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omments1.xml" ContentType="application/vnd.openxmlformats-officedocument.spreadsheetml.comments+xml"/>
  <Override PartName="/xl/customProperty3.bin" ContentType="application/vnd.openxmlformats-officedocument.spreadsheetml.customProperty"/>
  <Override PartName="/xl/customProperty4.bin" ContentType="application/vnd.openxmlformats-officedocument.spreadsheetml.customProperty"/>
  <Override PartName="/xl/drawings/drawing1.xml" ContentType="application/vnd.openxmlformats-officedocument.drawing+xml"/>
  <Override PartName="/xl/customProperty5.bin" ContentType="application/vnd.openxmlformats-officedocument.spreadsheetml.customProperty"/>
  <Override PartName="/xl/customProperty6.bin" ContentType="application/vnd.openxmlformats-officedocument.spreadsheetml.customProperty"/>
  <Override PartName="/xl/drawings/drawing2.xml" ContentType="application/vnd.openxmlformats-officedocument.drawing+xml"/>
  <Override PartName="/xl/comments2.xml" ContentType="application/vnd.openxmlformats-officedocument.spreadsheetml.comments+xml"/>
  <Override PartName="/xl/customProperty7.bin" ContentType="application/vnd.openxmlformats-officedocument.spreadsheetml.customProperty"/>
  <Override PartName="/xl/drawings/drawing3.xml" ContentType="application/vnd.openxmlformats-officedocument.drawing+xml"/>
  <Override PartName="/xl/comments3.xml" ContentType="application/vnd.openxmlformats-officedocument.spreadsheetml.comments+xml"/>
  <Override PartName="/xl/customProperty8.bin" ContentType="application/vnd.openxmlformats-officedocument.spreadsheetml.customProperty"/>
  <Override PartName="/xl/drawings/drawing4.xml" ContentType="application/vnd.openxmlformats-officedocument.drawing+xml"/>
  <Override PartName="/xl/comments4.xml" ContentType="application/vnd.openxmlformats-officedocument.spreadsheetml.comments+xml"/>
  <Override PartName="/xl/threadedComments/threadedComment1.xml" ContentType="application/vnd.ms-excel.threadedcomments+xml"/>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customProperty27.bin" ContentType="application/vnd.openxmlformats-officedocument.spreadsheetml.customProperty"/>
  <Override PartName="/xl/customProperty28.bin" ContentType="application/vnd.openxmlformats-officedocument.spreadsheetml.customProperty"/>
  <Override PartName="/xl/customProperty29.bin" ContentType="application/vnd.openxmlformats-officedocument.spreadsheetml.customProperty"/>
  <Override PartName="/xl/customProperty30.bin" ContentType="application/vnd.openxmlformats-officedocument.spreadsheetml.customProperty"/>
  <Override PartName="/xl/customProperty31.bin" ContentType="application/vnd.openxmlformats-officedocument.spreadsheetml.customProperty"/>
  <Override PartName="/xl/customProperty32.bin" ContentType="application/vnd.openxmlformats-officedocument.spreadsheetml.customProperty"/>
  <Override PartName="/xl/customProperty33.bin" ContentType="application/vnd.openxmlformats-officedocument.spreadsheetml.customProperty"/>
  <Override PartName="/xl/customProperty34.bin" ContentType="application/vnd.openxmlformats-officedocument.spreadsheetml.customProperty"/>
  <Override PartName="/xl/customProperty35.bin" ContentType="application/vnd.openxmlformats-officedocument.spreadsheetml.customProperty"/>
  <Override PartName="/xl/drawings/drawing5.xml" ContentType="application/vnd.openxmlformats-officedocument.drawing+xml"/>
  <Override PartName="/xl/comments5.xml" ContentType="application/vnd.openxmlformats-officedocument.spreadsheetml.comments+xml"/>
  <Override PartName="/xl/customProperty36.bin" ContentType="application/vnd.openxmlformats-officedocument.spreadsheetml.customProperty"/>
  <Override PartName="/xl/customProperty37.bin" ContentType="application/vnd.openxmlformats-officedocument.spreadsheetml.customProperty"/>
  <Override PartName="/xl/drawings/drawing6.xml" ContentType="application/vnd.openxmlformats-officedocument.drawing+xml"/>
  <Override PartName="/xl/comments6.xml" ContentType="application/vnd.openxmlformats-officedocument.spreadsheetml.comments+xml"/>
  <Override PartName="/xl/customProperty38.bin" ContentType="application/vnd.openxmlformats-officedocument.spreadsheetml.customProperty"/>
  <Override PartName="/xl/customProperty39.bin" ContentType="application/vnd.openxmlformats-officedocument.spreadsheetml.customProperty"/>
  <Override PartName="/xl/customProperty40.bin" ContentType="application/vnd.openxmlformats-officedocument.spreadsheetml.customProperty"/>
  <Override PartName="/xl/drawings/drawing7.xml" ContentType="application/vnd.openxmlformats-officedocument.drawing+xml"/>
  <Override PartName="/xl/comments7.xml" ContentType="application/vnd.openxmlformats-officedocument.spreadsheetml.comments+xml"/>
  <Override PartName="/xl/customProperty41.bin" ContentType="application/vnd.openxmlformats-officedocument.spreadsheetml.customProperty"/>
  <Override PartName="/xl/customProperty42.bin" ContentType="application/vnd.openxmlformats-officedocument.spreadsheetml.customProperty"/>
  <Override PartName="/xl/drawings/drawing8.xml" ContentType="application/vnd.openxmlformats-officedocument.drawing+xml"/>
  <Override PartName="/xl/comments8.xml" ContentType="application/vnd.openxmlformats-officedocument.spreadsheetml.comments+xml"/>
  <Override PartName="/xl/customProperty43.bin" ContentType="application/vnd.openxmlformats-officedocument.spreadsheetml.customProperty"/>
  <Override PartName="/xl/customProperty44.bin" ContentType="application/vnd.openxmlformats-officedocument.spreadsheetml.customProperty"/>
  <Override PartName="/xl/drawings/drawing9.xml" ContentType="application/vnd.openxmlformats-officedocument.drawing+xml"/>
  <Override PartName="/xl/comments9.xml" ContentType="application/vnd.openxmlformats-officedocument.spreadsheetml.comments+xml"/>
  <Override PartName="/xl/customProperty45.bin" ContentType="application/vnd.openxmlformats-officedocument.spreadsheetml.customProperty"/>
  <Override PartName="/xl/customProperty46.bin" ContentType="application/vnd.openxmlformats-officedocument.spreadsheetml.customProperty"/>
  <Override PartName="/xl/customProperty47.bin" ContentType="application/vnd.openxmlformats-officedocument.spreadsheetml.customProperty"/>
  <Override PartName="/xl/drawings/drawing10.xml" ContentType="application/vnd.openxmlformats-officedocument.drawing+xml"/>
  <Override PartName="/xl/comments10.xml" ContentType="application/vnd.openxmlformats-officedocument.spreadsheetml.comments+xml"/>
  <Override PartName="/xl/customProperty48.bin" ContentType="application/vnd.openxmlformats-officedocument.spreadsheetml.customProperty"/>
  <Override PartName="/xl/drawings/drawing1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ustomProperty49.bin" ContentType="application/vnd.openxmlformats-officedocument.spreadsheetml.customProperty"/>
  <Override PartName="/xl/comments11.xml" ContentType="application/vnd.openxmlformats-officedocument.spreadsheetml.comments+xml"/>
  <Override PartName="/xl/customProperty50.bin" ContentType="application/vnd.openxmlformats-officedocument.spreadsheetml.customProperty"/>
  <Override PartName="/xl/customProperty51.bin" ContentType="application/vnd.openxmlformats-officedocument.spreadsheetml.customProperty"/>
  <Override PartName="/xl/customProperty52.bin" ContentType="application/vnd.openxmlformats-officedocument.spreadsheetml.customProperty"/>
  <Override PartName="/xl/customProperty53.bin" ContentType="application/vnd.openxmlformats-officedocument.spreadsheetml.customProperty"/>
  <Override PartName="/xl/customProperty54.bin" ContentType="application/vnd.openxmlformats-officedocument.spreadsheetml.customProperty"/>
  <Override PartName="/xl/customProperty55.bin" ContentType="application/vnd.openxmlformats-officedocument.spreadsheetml.customProperty"/>
  <Override PartName="/xl/customProperty56.bin" ContentType="application/vnd.openxmlformats-officedocument.spreadsheetml.customProperty"/>
  <Override PartName="/xl/customProperty57.bin" ContentType="application/vnd.openxmlformats-officedocument.spreadsheetml.customProperty"/>
  <Override PartName="/xl/customProperty58.bin" ContentType="application/vnd.openxmlformats-officedocument.spreadsheetml.customProperty"/>
  <Override PartName="/xl/customProperty59.bin" ContentType="application/vnd.openxmlformats-officedocument.spreadsheetml.customProperty"/>
  <Override PartName="/xl/customProperty60.bin" ContentType="application/vnd.openxmlformats-officedocument.spreadsheetml.customProperty"/>
  <Override PartName="/xl/customProperty61.bin" ContentType="application/vnd.openxmlformats-officedocument.spreadsheetml.customProperty"/>
  <Override PartName="/xl/customProperty62.bin" ContentType="application/vnd.openxmlformats-officedocument.spreadsheetml.customProperty"/>
  <Override PartName="/xl/customProperty63.bin" ContentType="application/vnd.openxmlformats-officedocument.spreadsheetml.customProperty"/>
  <Override PartName="/xl/customProperty64.bin" ContentType="application/vnd.openxmlformats-officedocument.spreadsheetml.customProperty"/>
  <Override PartName="/xl/customProperty65.bin" ContentType="application/vnd.openxmlformats-officedocument.spreadsheetml.customProperty"/>
  <Override PartName="/xl/customProperty66.bin" ContentType="application/vnd.openxmlformats-officedocument.spreadsheetml.customProperty"/>
  <Override PartName="/xl/customProperty67.bin" ContentType="application/vnd.openxmlformats-officedocument.spreadsheetml.customProperty"/>
  <Override PartName="/xl/customProperty68.bin" ContentType="application/vnd.openxmlformats-officedocument.spreadsheetml.customProperty"/>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bookViews>
    <workbookView xWindow="-108" yWindow="-108" windowWidth="23256" windowHeight="13896" tabRatio="967" firstSheet="1" activeTab="1" xr2:uid="{00000000-000D-0000-FFFF-FFFF00000000}"/>
  </bookViews>
  <sheets>
    <sheet name="__FDSCACHE__" sheetId="15" state="veryHidden" r:id="rId1"/>
    <sheet name="Cover Sheet" sheetId="67" r:id="rId2"/>
    <sheet name="Revenue summary" sheetId="51" r:id="rId3"/>
    <sheet name="Segment - Products" sheetId="112" r:id="rId4"/>
    <sheet name="Segment - Services" sheetId="113" r:id="rId5"/>
    <sheet name="Ticker0001_Live_Sheet" sheetId="120" state="hidden" r:id="rId6"/>
    <sheet name="Ticker0001_Validation_Sheet" sheetId="121" state="hidden" r:id="rId7"/>
    <sheet name="Ticker0001_Annotation_Sheet" sheetId="122" state="hidden" r:id="rId8"/>
    <sheet name="Income Statement" sheetId="1" r:id="rId9"/>
    <sheet name="Balance Sheet" sheetId="2" r:id="rId10"/>
    <sheet name="Cash Flow Statement" sheetId="3" r:id="rId11"/>
    <sheet name="Geo" sheetId="6" r:id="rId12"/>
    <sheet name="Debt Schedule" sheetId="92" r:id="rId13"/>
    <sheet name="Estimate Changes" sheetId="116" state="hidden" r:id="rId14"/>
    <sheet name="AvE" sheetId="115" state="hidden" r:id="rId15"/>
    <sheet name="Valuation" sheetId="114" r:id="rId16"/>
    <sheet name="Scenario analysis" sheetId="118" state="hidden" r:id="rId17"/>
    <sheet name="Illustrative DCF" sheetId="117" state="hidden" r:id="rId18"/>
    <sheet name="Ticker0001_Exchange_Sheet" sheetId="119" state="hidden" r:id="rId19"/>
    <sheet name="AvE_F4Q23" sheetId="124" state="hidden" r:id="rId20"/>
    <sheet name="AvE_F1Q24" sheetId="125" state="hidden" r:id="rId21"/>
    <sheet name="AvE_F2Q24" sheetId="126" state="hidden" r:id="rId22"/>
    <sheet name="AvE_F3Q24" sheetId="127" state="hidden" r:id="rId23"/>
    <sheet name="AvE_F1Q25" sheetId="128" state="hidden" r:id="rId24"/>
    <sheet name="AvE F1Q23" sheetId="123" state="hidden" r:id="rId25"/>
    <sheet name="Macro1" sheetId="70" state="hidden" r:id="rId26"/>
    <sheet name="delta Qsheet" sheetId="30" state="hidden" r:id="rId27"/>
  </sheets>
  <definedNames>
    <definedName name="__123Graph_AGRPH_EXPIRE" localSheetId="12" hidden="1">#REF!</definedName>
    <definedName name="__123Graph_AGRPH_EXPIRE" hidden="1">#REF!</definedName>
    <definedName name="__123Graph_XGRPH_EXPIRE" localSheetId="12" hidden="1">#REF!</definedName>
    <definedName name="__123Graph_XGRPH_EXPIRE" hidden="1">#REF!</definedName>
    <definedName name="__FDS_HYPERLINK_TOGGLE_STATE__" hidden="1">"ON"</definedName>
    <definedName name="__FDS_UNIQUE_RANGE_ID_GENERATOR_COUNTER">1</definedName>
    <definedName name="_Order1" hidden="1">0</definedName>
    <definedName name="_Table1_In1" localSheetId="12" hidden="1">#REF!</definedName>
    <definedName name="_Table1_In1" hidden="1">#REF!</definedName>
    <definedName name="_Table1_Out" localSheetId="12" hidden="1">#REF!</definedName>
    <definedName name="_Table1_Out" hidden="1">#REF!</definedName>
    <definedName name="A_ALL_Ticker0001">Ticker0001_Annotation_Sheet!$A$1:$FE$309</definedName>
    <definedName name="A_ALL_KEYWORDS_TYPE_ScalarContributed_EQTY_200000801" localSheetId="7">Ticker0001_Annotation_Sheet!$245:$245,Ticker0001_Annotation_Sheet!$248:$254,Ticker0001_Annotation_Sheet!$296:$296,Ticker0001_Annotation_Sheet!$300:$302,Ticker0001_Annotation_Sheet!$307:$309</definedName>
    <definedName name="A_ALL_KEYWORDS_TYPE_ScalarContributed_EQTY_200000801">Ticker0001_Annotation_Sheet!$248:$254,Ticker0001_Annotation_Sheet!$296:$296,Ticker0001_Annotation_Sheet!$300:$302,Ticker0001_Annotation_Sheet!$307:$309,Ticker0001_Annotation_Sheet!$245:$246</definedName>
    <definedName name="A_ALL_KEYWORDS_TYPE_ScalarContributed_ISSR_208000149" localSheetId="7">Ticker0001_Annotation_Sheet!$9:$9,Ticker0001_Annotation_Sheet!$39:$39</definedName>
    <definedName name="A_ALL_KEYWORDS_TYPE_ScalarReference_EQTY_200000801" localSheetId="7">Ticker0001_Annotation_Sheet!$238:$243</definedName>
    <definedName name="A_ALL_KEYWORDS_TYPE_ScalarReference_ISSR_208000149" localSheetId="7">Ticker0001_Annotation_Sheet!$6:$7</definedName>
    <definedName name="A_ALL_KEYWORDS_TYPE_Vector_EQTY_200000801" localSheetId="7">Ticker0001_Annotation_Sheet!$256:$260,Ticker0001_Annotation_Sheet!$262:$271,Ticker0001_Annotation_Sheet!$273:$288,Ticker0001_Annotation_Sheet!$290:$290,Ticker0001_Annotation_Sheet!$292:$295,Ticker0001_Annotation_Sheet!$298:$298,Ticker0001_Annotation_Sheet!$303:$303,Ticker0001_Annotation_Sheet!$305:$305</definedName>
    <definedName name="A_ALL_KEYWORDS_TYPE_Vector_ISSR_208000149" localSheetId="7">Ticker0001_Annotation_Sheet!$2:$3,Ticker0001_Annotation_Sheet!$11:$30,Ticker0001_Annotation_Sheet!$32:$38,Ticker0001_Annotation_Sheet!$41:$70,Ticker0001_Annotation_Sheet!$72:$90,Ticker0001_Annotation_Sheet!$92:$108,Ticker0001_Annotation_Sheet!$110:$122,Ticker0001_Annotation_Sheet!$124:$124,Ticker0001_Annotation_Sheet!$128:$189,Ticker0001_Annotation_Sheet!$191:$197,Ticker0001_Annotation_Sheet!$199:$213,Ticker0001_Annotation_Sheet!$215:$224</definedName>
    <definedName name="A_ALL_KEYWORDS_TYPE_Vector_ISSR_208000149">Ticker0001_Annotation_Sheet!$2:$3,Ticker0001_Annotation_Sheet!$11:$30,Ticker0001_Annotation_Sheet!$32:$38,Ticker0001_Annotation_Sheet!$41:$70,Ticker0001_Annotation_Sheet!$72:$90,Ticker0001_Annotation_Sheet!$92:$108,Ticker0001_Annotation_Sheet!$110:$122,Ticker0001_Annotation_Sheet!$124:$124,Ticker0001_Annotation_Sheet!$128:$189,Ticker0001_Annotation_Sheet!$191:$197,Ticker0001_Annotation_Sheet!$199:$213,Ticker0001_Annotation_Sheet!$215:$224,Ticker0001_Annotation_Sheet!$126:$126</definedName>
    <definedName name="A_ALL_PERIODS_Ticker0001" localSheetId="7">Ticker0001_Annotation_Sheet!$F$1:$FE$1</definedName>
    <definedName name="A_ALL_SECTION_KEYWORDS_EQTY_200000801_1314" localSheetId="7">Ticker0001_Annotation_Sheet!$C$298</definedName>
    <definedName name="A_ALL_SECTION_KEYWORDS_EQTY_200000801_1319" localSheetId="7">Ticker0001_Annotation_Sheet!$C$300:$C$303</definedName>
    <definedName name="A_ALL_SECTION_KEYWORDS_EQTY_200000801_131E" localSheetId="7">Ticker0001_Annotation_Sheet!$C$305</definedName>
    <definedName name="A_ALL_SECTION_KEYWORDS_EQTY_200000801_131O" localSheetId="7">Ticker0001_Annotation_Sheet!$C$307:$C$309</definedName>
    <definedName name="A_ALL_SECTION_KEYWORDS_EQTY_200000801_13A" localSheetId="7">Ticker0001_Annotation_Sheet!$C$245:$C$254</definedName>
    <definedName name="A_ALL_SECTION_KEYWORDS_EQTY_200000801_13A">Ticker0001_Annotation_Sheet!$C$245:$C$254</definedName>
    <definedName name="A_ALL_SECTION_KEYWORDS_EQTY_200000801_13K" localSheetId="7">Ticker0001_Annotation_Sheet!$C$256:$C$271</definedName>
    <definedName name="A_ALL_SECTION_KEYWORDS_EQTY_200000801_13U" localSheetId="7">Ticker0001_Annotation_Sheet!$C$273:$C$288</definedName>
    <definedName name="A_ALL_SECTION_KEYWORDS_EQTY_200000801_13V" localSheetId="7">Ticker0001_Annotation_Sheet!$C$290</definedName>
    <definedName name="A_ALL_SECTION_KEYWORDS_EQTY_200000801_13W" localSheetId="7">Ticker0001_Annotation_Sheet!$C$292:$C$296</definedName>
    <definedName name="A_ALL_SECTION_KEYWORDS_EQTY_200000801_Reference_Data" localSheetId="7">Ticker0001_Annotation_Sheet!$C$238:$C$243</definedName>
    <definedName name="A_ALL_SECTION_KEYWORDS_ISSR_208000149_1314" localSheetId="7">Ticker0001_Annotation_Sheet!$C$41:$C$70</definedName>
    <definedName name="A_ALL_SECTION_KEYWORDS_ISSR_208000149_13168" localSheetId="7">Ticker0001_Annotation_Sheet!$C$128:$C$189</definedName>
    <definedName name="A_ALL_SECTION_KEYWORDS_ISSR_208000149_1316T" localSheetId="7">Ticker0001_Annotation_Sheet!$C$191:$C$197</definedName>
    <definedName name="A_ALL_SECTION_KEYWORDS_ISSR_208000149_1316U" localSheetId="7">Ticker0001_Annotation_Sheet!$C$199:$C$213</definedName>
    <definedName name="A_ALL_SECTION_KEYWORDS_ISSR_208000149_1319" localSheetId="7">Ticker0001_Annotation_Sheet!$C$72:$C$90</definedName>
    <definedName name="A_ALL_SECTION_KEYWORDS_ISSR_208000149_131E" localSheetId="7">Ticker0001_Annotation_Sheet!$C$92:$C$108</definedName>
    <definedName name="A_ALL_SECTION_KEYWORDS_ISSR_208000149_131J" localSheetId="7">Ticker0001_Annotation_Sheet!$C$110:$C$122</definedName>
    <definedName name="A_ALL_SECTION_KEYWORDS_ISSR_208000149_131O" localSheetId="7">Ticker0001_Annotation_Sheet!$C$124</definedName>
    <definedName name="A_ALL_SECTION_KEYWORDS_ISSR_208000149_131O">Ticker0001_Annotation_Sheet!$C$124,Ticker0001_Annotation_Sheet!$C$126</definedName>
    <definedName name="A_ALL_SECTION_KEYWORDS_ISSR_208000149_136E" localSheetId="7">Ticker0001_Annotation_Sheet!$C$215:$C$224</definedName>
    <definedName name="A_ALL_SECTION_KEYWORDS_ISSR_208000149_136J" localSheetId="7">Ticker0001_Annotation_Sheet!$C$226:$C$235</definedName>
    <definedName name="A_ALL_SECTION_KEYWORDS_ISSR_208000149_13A" localSheetId="7">Ticker0001_Annotation_Sheet!$C$9</definedName>
    <definedName name="A_ALL_SECTION_KEYWORDS_ISSR_208000149_13U" localSheetId="7">Ticker0001_Annotation_Sheet!$C$11:$C$30</definedName>
    <definedName name="A_ALL_SECTION_KEYWORDS_ISSR_208000149_13V" localSheetId="7">Ticker0001_Annotation_Sheet!$C$32:$C$39</definedName>
    <definedName name="A_ALL_SECTION_KEYWORDS_ISSR_208000149_Reference_Data" localSheetId="7">Ticker0001_Annotation_Sheet!$C$6:$C$7</definedName>
    <definedName name="A_ALL_SECTIONS_EQTY_200000801" localSheetId="7">Ticker0001_Annotation_Sheet!$237:$237,Ticker0001_Annotation_Sheet!$244:$244,Ticker0001_Annotation_Sheet!$255:$255,Ticker0001_Annotation_Sheet!$272:$272,Ticker0001_Annotation_Sheet!$289:$289,Ticker0001_Annotation_Sheet!$291:$291,Ticker0001_Annotation_Sheet!$297:$297,Ticker0001_Annotation_Sheet!$299:$299,Ticker0001_Annotation_Sheet!$304:$304,Ticker0001_Annotation_Sheet!$306:$306</definedName>
    <definedName name="A_ALL_SECTIONS_ISSR_208000149" localSheetId="7">Ticker0001_Annotation_Sheet!$5:$5,Ticker0001_Annotation_Sheet!$8:$8,Ticker0001_Annotation_Sheet!$10:$10,Ticker0001_Annotation_Sheet!$31:$31,Ticker0001_Annotation_Sheet!$40:$40,Ticker0001_Annotation_Sheet!$71:$71,Ticker0001_Annotation_Sheet!$91:$91,Ticker0001_Annotation_Sheet!$109:$109,Ticker0001_Annotation_Sheet!$123:$123,Ticker0001_Annotation_Sheet!$127:$127,Ticker0001_Annotation_Sheet!$190:$190,Ticker0001_Annotation_Sheet!$198:$198,Ticker0001_Annotation_Sheet!$214:$214,Ticker0001_Annotation_Sheet!$225:$225</definedName>
    <definedName name="A_CURRENCY_EQTY_200000801_PRI" localSheetId="7">Ticker0001_Annotation_Sheet!$E$242</definedName>
    <definedName name="A_CURRENCY_EQTY_200000801_PUB" localSheetId="7">Ticker0001_Annotation_Sheet!$E$241</definedName>
    <definedName name="A_CURRENCY_EQTY_200000801_REP" localSheetId="7">Ticker0001_Annotation_Sheet!$E$243</definedName>
    <definedName name="A_CURRENCY_ISSR_208000149_REP" localSheetId="7">Ticker0001_Annotation_Sheet!$E$7</definedName>
    <definedName name="A_ENTITY_DATA_EQTY_200000801" localSheetId="7">Ticker0001_Annotation_Sheet!$E$237:$FE$309</definedName>
    <definedName name="A_ENTITY_DATA_ISSR_208000149" localSheetId="7">Ticker0001_Annotation_Sheet!$E$5:$FE$235</definedName>
    <definedName name="A_KEYWORD_EQTY_200000801_AMER_CONVICTION" localSheetId="7">Ticker0001_Annotation_Sheet!$247:$247</definedName>
    <definedName name="A_KEYWORD_EQTY_200000801_AMER_LIST" localSheetId="7">Ticker0001_Annotation_Sheet!$245:$245</definedName>
    <definedName name="A_KEYWORD_EQTY_200000801_BETA_ANALYST" localSheetId="7">Ticker0001_Annotation_Sheet!$307:$307</definedName>
    <definedName name="A_KEYWORD_EQTY_200000801_BVPS" localSheetId="7">Ticker0001_Annotation_Sheet!$298:$298</definedName>
    <definedName name="A_KEYWORD_EQTY_200000801_BVPS_PUB" localSheetId="7">Ticker0001_Annotation_Sheet!$256:$256</definedName>
    <definedName name="A_KEYWORD_EQTY_200000801_CEEE_EPS" localSheetId="7">Ticker0001_Annotation_Sheet!$261:$261</definedName>
    <definedName name="A_KEYWORD_EQTY_200000801_CEEE_NDEBT" localSheetId="7">Ticker0001_Annotation_Sheet!$266:$266</definedName>
    <definedName name="A_KEYWORD_EQTY_200000801_CF_NI_PRE_PREF" localSheetId="7">Ticker0001_Annotation_Sheet!$305:$305</definedName>
    <definedName name="A_KEYWORD_EQTY_200000801_COMMON_DIV_PAID" localSheetId="7">Ticker0001_Annotation_Sheet!$284:$284</definedName>
    <definedName name="A_KEYWORD_EQTY_200000801_CURRENCY_ISO" localSheetId="7">Ticker0001_Annotation_Sheet!$243:$243</definedName>
    <definedName name="A_KEYWORD_EQTY_200000801_DILUTE_SHARES" localSheetId="7">Ticker0001_Annotation_Sheet!$287:$287</definedName>
    <definedName name="A_KEYWORD_EQTY_200000801_DPS" localSheetId="7">Ticker0001_Annotation_Sheet!$285:$285</definedName>
    <definedName name="A_KEYWORD_EQTY_200000801_DPS_PUB" localSheetId="7">Ticker0001_Annotation_Sheet!$257:$257</definedName>
    <definedName name="A_KEYWORD_EQTY_200000801_DPS_SPECIAL_PUB" localSheetId="7">Ticker0001_Annotation_Sheet!$258:$258</definedName>
    <definedName name="A_KEYWORD_EQTY_200000801_EBIT_PUB" localSheetId="7">Ticker0001_Annotation_Sheet!$268:$268</definedName>
    <definedName name="A_KEYWORD_EQTY_200000801_EBITDA_PUB" localSheetId="7">Ticker0001_Annotation_Sheet!$259:$259</definedName>
    <definedName name="A_KEYWORD_EQTY_200000801_EPS" localSheetId="7">Ticker0001_Annotation_Sheet!$280:$280</definedName>
    <definedName name="A_KEYWORD_EQTY_200000801_EPS_EX_ESO_B" localSheetId="7">Ticker0001_Annotation_Sheet!$294:$294</definedName>
    <definedName name="A_KEYWORD_EQTY_200000801_EPS_EX_ESO_D" localSheetId="7">Ticker0001_Annotation_Sheet!$295:$295</definedName>
    <definedName name="A_KEYWORD_EQTY_200000801_EPS_FUL_DIL" localSheetId="7">Ticker0001_Annotation_Sheet!$281:$281</definedName>
    <definedName name="A_KEYWORD_EQTY_200000801_EPS_POST_BASIC" localSheetId="7">Ticker0001_Annotation_Sheet!$282:$282</definedName>
    <definedName name="A_KEYWORD_EQTY_200000801_EPS_PUB" localSheetId="7">Ticker0001_Annotation_Sheet!$260:$260</definedName>
    <definedName name="A_KEYWORD_EQTY_200000801_EPS_PUB_EX_ESO" localSheetId="7">Ticker0001_Annotation_Sheet!$262:$262</definedName>
    <definedName name="A_KEYWORD_EQTY_200000801_EQ_PUB" localSheetId="7">Ticker0001_Annotation_Sheet!$271:$271</definedName>
    <definedName name="A_KEYWORD_EQTY_200000801_ESO_POST_TAX" localSheetId="7">Ticker0001_Annotation_Sheet!$293:$293</definedName>
    <definedName name="A_KEYWORD_EQTY_200000801_ESO_YEAR" localSheetId="7">Ticker0001_Annotation_Sheet!$296:$296</definedName>
    <definedName name="A_KEYWORD_EQTY_200000801_EV_ADJ_PUB" localSheetId="7">Ticker0001_Annotation_Sheet!$263:$263</definedName>
    <definedName name="A_KEYWORD_EQTY_200000801_FREE_FLOAT" localSheetId="7">Ticker0001_Annotation_Sheet!$254:$254</definedName>
    <definedName name="A_KEYWORD_EQTY_200000801_FULLY_DIL_EPS" localSheetId="7">Ticker0001_Annotation_Sheet!$283:$283</definedName>
    <definedName name="A_KEYWORD_EQTY_200000801_FV_GRANT" localSheetId="7">Ticker0001_Annotation_Sheet!$292:$292</definedName>
    <definedName name="A_KEYWORD_EQTY_200000801_INC_MINORITY" localSheetId="7">Ticker0001_Annotation_Sheet!$274:$274</definedName>
    <definedName name="A_KEYWORD_EQTY_200000801_Interim_Type" localSheetId="7">Ticker0001_Annotation_Sheet!$240:$240</definedName>
    <definedName name="A_KEYWORD_EQTY_200000801_LEGAL_RATING" localSheetId="7">Ticker0001_Annotation_Sheet!$248:$248</definedName>
    <definedName name="A_KEYWORD_EQTY_200000801_MARGIN_TAX_RATE" localSheetId="7">Ticker0001_Annotation_Sheet!$290:$290</definedName>
    <definedName name="A_KEYWORD_EQTY_200000801_MKT_EQ_RISK_PREM" localSheetId="7">Ticker0001_Annotation_Sheet!$308:$308</definedName>
    <definedName name="A_KEYWORD_EQTY_200000801_NET_DEBT_EX_LEASES_PUB" localSheetId="7">Ticker0001_Annotation_Sheet!$265:$265</definedName>
    <definedName name="A_KEYWORD_EQTY_200000801_NET_DEBT_PUB" localSheetId="7">Ticker0001_Annotation_Sheet!$264:$264</definedName>
    <definedName name="A_KEYWORD_EQTY_200000801_NET_EARNING" localSheetId="7">Ticker0001_Annotation_Sheet!$277:$277</definedName>
    <definedName name="A_KEYWORD_EQTY_200000801_NET_INC" localSheetId="7">Ticker0001_Annotation_Sheet!$279:$279</definedName>
    <definedName name="A_KEYWORD_EQTY_200000801_NI_PRE_PREF" localSheetId="7">Ticker0001_Annotation_Sheet!$275:$275</definedName>
    <definedName name="A_KEYWORD_EQTY_200000801_NI_PUB" localSheetId="7">Ticker0001_Annotation_Sheet!$267:$267</definedName>
    <definedName name="A_KEYWORD_EQTY_200000801_NON_OP_ADD" localSheetId="7">Ticker0001_Annotation_Sheet!$288:$288</definedName>
    <definedName name="A_KEYWORD_EQTY_200000801_NOT_IN_USE" localSheetId="7">Ticker0001_Annotation_Sheet!$246:$246</definedName>
    <definedName name="A_KEYWORD_EQTY_200000801_NUM_SH" localSheetId="7">Ticker0001_Annotation_Sheet!$253:$253</definedName>
    <definedName name="A_KEYWORD_EQTY_200000801_PREF_DIV" localSheetId="7">Ticker0001_Annotation_Sheet!$276:$276</definedName>
    <definedName name="A_KEYWORD_EQTY_200000801_PRICE_CURRENCY_ISO" localSheetId="7">Ticker0001_Annotation_Sheet!$242:$242</definedName>
    <definedName name="A_KEYWORD_EQTY_200000801_PROV_INC_TAX" localSheetId="7">Ticker0001_Annotation_Sheet!$273:$273</definedName>
    <definedName name="A_KEYWORD_EQTY_200000801_PTP_PUB" localSheetId="7">Ticker0001_Annotation_Sheet!$269:$269</definedName>
    <definedName name="A_KEYWORD_EQTY_200000801_PUB_CURRENCY_ISO" localSheetId="7">Ticker0001_Annotation_Sheet!$241:$241</definedName>
    <definedName name="A_KEYWORD_EQTY_200000801_REPUR_ACTUAL" localSheetId="7">Ticker0001_Annotation_Sheet!$303:$303</definedName>
    <definedName name="A_KEYWORD_EQTY_200000801_REPUR_REMAINING" localSheetId="7">Ticker0001_Annotation_Sheet!$301:$301</definedName>
    <definedName name="A_KEYWORD_EQTY_200000801_REPUR_SUSPENDED" localSheetId="7">Ticker0001_Annotation_Sheet!$302:$302</definedName>
    <definedName name="A_KEYWORD_EQTY_200000801_REPUR_TOT_AUTH" localSheetId="7">Ticker0001_Annotation_Sheet!$300:$300</definedName>
    <definedName name="A_KEYWORD_EQTY_200000801_REVS_PUB" localSheetId="7">Ticker0001_Annotation_Sheet!$270:$270</definedName>
    <definedName name="A_KEYWORD_EQTY_200000801_RISK_FR_RATE" localSheetId="7">Ticker0001_Annotation_Sheet!$309:$309</definedName>
    <definedName name="A_KEYWORD_EQTY_200000801_Security_Name" localSheetId="7">Ticker0001_Annotation_Sheet!$239:$239</definedName>
    <definedName name="A_KEYWORD_EQTY_200000801_SH" localSheetId="7">Ticker0001_Annotation_Sheet!$286:$286</definedName>
    <definedName name="A_KEYWORD_EQTY_200000801_TARGET_PRICE" localSheetId="7">Ticker0001_Annotation_Sheet!$249:$249</definedName>
    <definedName name="A_KEYWORD_EQTY_200000801_TARGET_PRICE_FUNDAMENTAL" localSheetId="7">Ticker0001_Annotation_Sheet!$251:$251</definedName>
    <definedName name="A_KEYWORD_EQTY_200000801_TARGET_PRICE_MA" localSheetId="7">Ticker0001_Annotation_Sheet!$252:$252</definedName>
    <definedName name="A_KEYWORD_EQTY_200000801_TAX_EXC" localSheetId="7">Ticker0001_Annotation_Sheet!$278:$278</definedName>
    <definedName name="A_KEYWORD_EQTY_200000801_Ticker" localSheetId="7">Ticker0001_Annotation_Sheet!$238:$238</definedName>
    <definedName name="A_KEYWORD_EQTY_200000801_TP_PERIOD" localSheetId="7">Ticker0001_Annotation_Sheet!$250:$250</definedName>
    <definedName name="A_KEYWORD_ISSR_208000149_ACC_AMORT" localSheetId="7">Ticker0001_Annotation_Sheet!$50:$50</definedName>
    <definedName name="A_KEYWORD_ISSR_208000149_ACC_DDA" localSheetId="7">Ticker0001_Annotation_Sheet!$47:$47</definedName>
    <definedName name="A_KEYWORD_ISSR_208000149_ACC_END_DATE" localSheetId="7">Ticker0001_Annotation_Sheet!$3:$3</definedName>
    <definedName name="A_KEYWORD_ISSR_208000149_ACC_PAY_GQ" localSheetId="7">Ticker0001_Annotation_Sheet!$56:$56</definedName>
    <definedName name="A_KEYWORD_ISSR_208000149_ACQ" localSheetId="7">Ticker0001_Annotation_Sheet!$98:$98</definedName>
    <definedName name="A_KEYWORD_ISSR_208000149_ADJ_UNF_PENS_GOOD" localSheetId="7">Ticker0001_Annotation_Sheet!$86:$86</definedName>
    <definedName name="A_KEYWORD_ISSR_208000149_ASSOC_JV_ADDBK" localSheetId="7">Ticker0001_Annotation_Sheet!$110:$110</definedName>
    <definedName name="A_KEYWORD_ISSR_208000149_ASSOCIATE" localSheetId="7">Ticker0001_Annotation_Sheet!$27:$27</definedName>
    <definedName name="A_KEYWORD_ISSR_208000149_ASSOCIATE_OP" localSheetId="7">Ticker0001_Annotation_Sheet!$36:$36</definedName>
    <definedName name="A_KEYWORD_ISSR_208000149_AVG_AGE_CUST" localSheetId="7">Ticker0001_Annotation_Sheet!$126:$126</definedName>
    <definedName name="A_KEYWORD_ISSR_208000149_AVG_HSHLD_INC_CUST" localSheetId="7">Ticker0001_Annotation_Sheet!$125:$125</definedName>
    <definedName name="A_KEYWORD_ISSR_208000149_BAL_MINO_INT" localSheetId="7">Ticker0001_Annotation_Sheet!$89:$89</definedName>
    <definedName name="A_KEYWORD_ISSR_208000149_CAP_LEASES" localSheetId="7">Ticker0001_Annotation_Sheet!$77:$77</definedName>
    <definedName name="A_KEYWORD_ISSR_208000149_CAPEX" localSheetId="7">Ticker0001_Annotation_Sheet!$97:$97</definedName>
    <definedName name="A_KEYWORD_ISSR_208000149_CAPEX_EXPANSION" localSheetId="7">Ticker0001_Annotation_Sheet!$120:$120</definedName>
    <definedName name="A_KEYWORD_ISSR_208000149_CAPEX_MAINTENANCE" localSheetId="7">Ticker0001_Annotation_Sheet!$119:$119</definedName>
    <definedName name="A_KEYWORD_ISSR_208000149_CASH_EQ" localSheetId="7">Ticker0001_Annotation_Sheet!$41:$41</definedName>
    <definedName name="A_KEYWORD_ISSR_208000149_CASH_INT_EXP" localSheetId="7">Ticker0001_Annotation_Sheet!$116:$116</definedName>
    <definedName name="A_KEYWORD_ISSR_208000149_CASH_PCT_OS_US" localSheetId="7">Ticker0001_Annotation_Sheet!$187:$187</definedName>
    <definedName name="A_KEYWORD_ISSR_208000149_CASH_TAX_EXP" localSheetId="7">Ticker0001_Annotation_Sheet!$117:$117</definedName>
    <definedName name="A_KEYWORD_ISSR_208000149_CF_FIN" localSheetId="7">Ticker0001_Annotation_Sheet!$107:$107</definedName>
    <definedName name="A_KEYWORD_ISSR_208000149_CF_INC_MINORITY" localSheetId="7">Ticker0001_Annotation_Sheet!$92:$92</definedName>
    <definedName name="A_KEYWORD_ISSR_208000149_CF_INV" localSheetId="7">Ticker0001_Annotation_Sheet!$101:$101</definedName>
    <definedName name="A_KEYWORD_ISSR_208000149_CF_OPS" localSheetId="7">Ticker0001_Annotation_Sheet!$96:$96</definedName>
    <definedName name="A_KEYWORD_ISSR_208000149_CHG_DEF_TAX_CF" localSheetId="7">Ticker0001_Annotation_Sheet!$114:$114</definedName>
    <definedName name="A_KEYWORD_ISSR_208000149_CHG_LT_DEBT" localSheetId="7">Ticker0001_Annotation_Sheet!$104:$104</definedName>
    <definedName name="A_KEYWORD_ISSR_208000149_CO_BOR_MARGIN" localSheetId="7">Ticker0001_Annotation_Sheet!$82:$82</definedName>
    <definedName name="A_KEYWORD_ISSR_208000149_COGS_PCT_ROW" localSheetId="7">Ticker0001_Annotation_Sheet!$178:$178</definedName>
    <definedName name="A_KEYWORD_ISSR_208000149_COGS_PCT_US" localSheetId="7">Ticker0001_Annotation_Sheet!$177:$177</definedName>
    <definedName name="A_KEYWORD_ISSR_208000149_COST_GD_SD" localSheetId="7">Ticker0001_Annotation_Sheet!$12:$12</definedName>
    <definedName name="A_KEYWORD_ISSR_208000149_CUR_ASS" localSheetId="7">Ticker0001_Annotation_Sheet!$45:$45</definedName>
    <definedName name="A_KEYWORD_ISSR_208000149_CURRENCY_ISO" localSheetId="7">Ticker0001_Annotation_Sheet!$7:$7</definedName>
    <definedName name="A_KEYWORD_ISSR_208000149_DEBTORS" localSheetId="7">Ticker0001_Annotation_Sheet!$42:$42</definedName>
    <definedName name="A_KEYWORD_ISSR_208000149_DEF_INC_TAX" localSheetId="7">Ticker0001_Annotation_Sheet!$78:$78</definedName>
    <definedName name="A_KEYWORD_ISSR_208000149_DEPR_AMORT" localSheetId="7">Ticker0001_Annotation_Sheet!$93:$93</definedName>
    <definedName name="A_KEYWORD_ISSR_208000149_DEPR_ROU_ASSETS" localSheetId="7">Ticker0001_Annotation_Sheet!$37:$37</definedName>
    <definedName name="A_KEYWORD_ISSR_208000149_DEPREC" localSheetId="7">Ticker0001_Annotation_Sheet!$21:$21</definedName>
    <definedName name="A_KEYWORD_ISSR_208000149_DIV_PAID" localSheetId="7">Ticker0001_Annotation_Sheet!$102:$102</definedName>
    <definedName name="A_KEYWORD_ISSR_208000149_DIVDS_ASSOC_JV" localSheetId="7">Ticker0001_Annotation_Sheet!$118:$118</definedName>
    <definedName name="A_KEYWORD_ISSR_208000149_DIVDS_PD_MINORITIES" localSheetId="7">Ticker0001_Annotation_Sheet!$122:$122</definedName>
    <definedName name="A_KEYWORD_ISSR_208000149_DIVEST" localSheetId="7">Ticker0001_Annotation_Sheet!$99:$99</definedName>
    <definedName name="A_KEYWORD_ISSR_208000149_EBIT" localSheetId="7">Ticker0001_Annotation_Sheet!$23:$23</definedName>
    <definedName name="A_KEYWORD_ISSR_208000149_EBIT_FIN_SEGMENT" localSheetId="7">Ticker0001_Annotation_Sheet!$189:$189</definedName>
    <definedName name="A_KEYWORD_ISSR_208000149_EBITDA_CALC" localSheetId="7">Ticker0001_Annotation_Sheet!$20:$20</definedName>
    <definedName name="A_KEYWORD_ISSR_208000149_EMPLOYEES" localSheetId="7">Ticker0001_Annotation_Sheet!$124:$124</definedName>
    <definedName name="A_KEYWORD_ISSR_208000149_EQ" localSheetId="7">Ticker0001_Annotation_Sheet!$69:$69</definedName>
    <definedName name="A_KEYWORD_ISSR_208000149_ESO_PRE_TAX" localSheetId="7">Ticker0001_Annotation_Sheet!$16:$16</definedName>
    <definedName name="A_KEYWORD_ISSR_208000149_EXP_GLASS" localSheetId="7">Ticker0001_Annotation_Sheet!$194:$194</definedName>
    <definedName name="A_KEYWORD_ISSR_208000149_EXP_OIL_DERIV_NGLS_PLASTICS" localSheetId="7">Ticker0001_Annotation_Sheet!$192:$192</definedName>
    <definedName name="A_KEYWORD_ISSR_208000149_EXP_OIL_PETRO_FUEL" localSheetId="7">Ticker0001_Annotation_Sheet!$191:$191</definedName>
    <definedName name="A_KEYWORD_ISSR_208000149_EXP_OTH_COMMODITY" localSheetId="7">Ticker0001_Annotation_Sheet!$196:$196</definedName>
    <definedName name="A_KEYWORD_ISSR_208000149_EXP_OTH_COST" localSheetId="7">Ticker0001_Annotation_Sheet!$197:$197</definedName>
    <definedName name="A_KEYWORD_ISSR_208000149_EXP_PAPER_PULP" localSheetId="7">Ticker0001_Annotation_Sheet!$193:$193</definedName>
    <definedName name="A_KEYWORD_ISSR_208000149_EXP_WATER" localSheetId="7">Ticker0001_Annotation_Sheet!$195:$195</definedName>
    <definedName name="A_KEYWORD_ISSR_208000149_FIX_ASS_INV" localSheetId="7">Ticker0001_Annotation_Sheet!$52:$52</definedName>
    <definedName name="A_KEYWORD_ISSR_208000149_FLOATING_PCT_LOCAL_DEBT" localSheetId="7">Ticker0001_Annotation_Sheet!$74:$74</definedName>
    <definedName name="A_KEYWORD_ISSR_208000149_FLOATING_PCT_LOCAL_DEBT_HEDGED" localSheetId="7">Ticker0001_Annotation_Sheet!$75:$75</definedName>
    <definedName name="A_KEYWORD_ISSR_208000149_FOREX" localSheetId="7">Ticker0001_Annotation_Sheet!$226:$226</definedName>
    <definedName name="A_KEYWORD_ISSR_208000149_GCI_INFL" localSheetId="7">Ticker0001_Annotation_Sheet!$88:$88</definedName>
    <definedName name="A_KEYWORD_ISSR_208000149_GOODWILL_AMORT" localSheetId="7">Ticker0001_Annotation_Sheet!$22:$22</definedName>
    <definedName name="A_KEYWORD_ISSR_208000149_GR_FIX_ASS" localSheetId="7">Ticker0001_Annotation_Sheet!$46:$46</definedName>
    <definedName name="A_KEYWORD_ISSR_208000149_GR_INTANG" localSheetId="7">Ticker0001_Annotation_Sheet!$49:$49</definedName>
    <definedName name="A_KEYWORD_ISSR_208000149_INS_TOT_HOMEOWNERS_PIF_GRTH" localSheetId="7">Ticker0001_Annotation_Sheet!$235:$235</definedName>
    <definedName name="A_KEYWORD_ISSR_208000149_INT_EXP_IND" localSheetId="7">Ticker0001_Annotation_Sheet!$25:$25</definedName>
    <definedName name="A_KEYWORD_ISSR_208000149_INT_INC_IND" localSheetId="7">Ticker0001_Annotation_Sheet!$24:$24</definedName>
    <definedName name="A_KEYWORD_ISSR_208000149_INV_SECUR" localSheetId="7">Ticker0001_Annotation_Sheet!$53:$53</definedName>
    <definedName name="A_KEYWORD_ISSR_208000149_Issuer_Name" localSheetId="7">Ticker0001_Annotation_Sheet!$6:$6</definedName>
    <definedName name="A_KEYWORD_ISSR_208000149_LEASE_ADOPT" localSheetId="7">Ticker0001_Annotation_Sheet!$39:$39</definedName>
    <definedName name="A_KEYWORD_ISSR_208000149_LEASE_DEEM_DEPR" localSheetId="7">Ticker0001_Annotation_Sheet!$34:$34</definedName>
    <definedName name="A_KEYWORD_ISSR_208000149_LEASE_DEEM_INT" localSheetId="7">Ticker0001_Annotation_Sheet!$33:$33</definedName>
    <definedName name="A_KEYWORD_ISSR_208000149_LEASE_INT_CHG" localSheetId="7">Ticker0001_Annotation_Sheet!$38:$38</definedName>
    <definedName name="A_KEYWORD_ISSR_208000149_LEASE_PAY" localSheetId="7">Ticker0001_Annotation_Sheet!$32:$32</definedName>
    <definedName name="A_KEYWORD_ISSR_208000149_LEASE_PRINCIPAL_CASH" localSheetId="7">Ticker0001_Annotation_Sheet!$105:$105</definedName>
    <definedName name="A_KEYWORD_ISSR_208000149_LT_DEBT" localSheetId="7">Ticker0001_Annotation_Sheet!$61:$61</definedName>
    <definedName name="A_KEYWORD_ISSR_208000149_LT_LEASE_LIAB" localSheetId="7">Ticker0001_Annotation_Sheet!$62:$62</definedName>
    <definedName name="A_KEYWORD_ISSR_208000149_MA_PROB" localSheetId="7">Ticker0001_Annotation_Sheet!$9:$9</definedName>
    <definedName name="A_KEYWORD_ISSR_208000149_MINORITIES" localSheetId="7">Ticker0001_Annotation_Sheet!$68:$68</definedName>
    <definedName name="A_KEYWORD_ISSR_208000149_MV_ASSOCIATES" localSheetId="7">Ticker0001_Annotation_Sheet!$80:$80</definedName>
    <definedName name="A_KEYWORD_ISSR_208000149_NET_DEBT" localSheetId="7">Ticker0001_Annotation_Sheet!$76:$76</definedName>
    <definedName name="A_KEYWORD_ISSR_208000149_NET_DEBT_ADJ" localSheetId="7">Ticker0001_Annotation_Sheet!$81:$81</definedName>
    <definedName name="A_KEYWORD_ISSR_208000149_NET_FIX_ASS" localSheetId="7">Ticker0001_Annotation_Sheet!$48:$48</definedName>
    <definedName name="A_KEYWORD_ISSR_208000149_NET_INT_CH" localSheetId="7">Ticker0001_Annotation_Sheet!$35:$35</definedName>
    <definedName name="A_KEYWORD_ISSR_208000149_NET_INT_EXP" localSheetId="7">Ticker0001_Annotation_Sheet!$26:$26</definedName>
    <definedName name="A_KEYWORD_ISSR_208000149_NET_INTANG" localSheetId="7">Ticker0001_Annotation_Sheet!$51:$51</definedName>
    <definedName name="A_KEYWORD_ISSR_208000149_NET_OP_LOSS_CFWD" localSheetId="7">Ticker0001_Annotation_Sheet!$79:$79</definedName>
    <definedName name="A_KEYWORD_ISSR_208000149_NONPPE_CAPEX" localSheetId="7">Ticker0001_Annotation_Sheet!$121:$121</definedName>
    <definedName name="A_KEYWORD_ISSR_208000149_OP_COST" localSheetId="7">Ticker0001_Annotation_Sheet!$14:$14</definedName>
    <definedName name="A_KEYWORD_ISSR_208000149_ORD_SH_FUND" localSheetId="7">Ticker0001_Annotation_Sheet!$67:$67</definedName>
    <definedName name="A_KEYWORD_ISSR_208000149_OTH_ADJ_CASH_TAX" localSheetId="7">Ticker0001_Annotation_Sheet!$115:$115</definedName>
    <definedName name="A_KEYWORD_ISSR_208000149_OTH_COST_INC" localSheetId="7">Ticker0001_Annotation_Sheet!$29:$29</definedName>
    <definedName name="A_KEYWORD_ISSR_208000149_OTH_CUR_ASS" localSheetId="7">Ticker0001_Annotation_Sheet!$44:$44</definedName>
    <definedName name="A_KEYWORD_ISSR_208000149_OTH_CUR_LIABS" localSheetId="7">Ticker0001_Annotation_Sheet!$59:$59</definedName>
    <definedName name="A_KEYWORD_ISSR_208000149_OTH_DACF_ADJ" localSheetId="7">Ticker0001_Annotation_Sheet!$113:$113</definedName>
    <definedName name="A_KEYWORD_ISSR_208000149_OTH_FIN_CF" localSheetId="7">Ticker0001_Annotation_Sheet!$106:$106</definedName>
    <definedName name="A_KEYWORD_ISSR_208000149_OTH_GCI_ADJ" localSheetId="7">Ticker0001_Annotation_Sheet!$87:$87</definedName>
    <definedName name="A_KEYWORD_ISSR_208000149_OTH_INV_CF" localSheetId="7">Ticker0001_Annotation_Sheet!$100:$100</definedName>
    <definedName name="A_KEYWORD_ISSR_208000149_OTH_LT_ASS" localSheetId="7">Ticker0001_Annotation_Sheet!$54:$54</definedName>
    <definedName name="A_KEYWORD_ISSR_208000149_OTH_LT_CRED_GQ" localSheetId="7">Ticker0001_Annotation_Sheet!$63:$63</definedName>
    <definedName name="A_KEYWORD_ISSR_208000149_OTH_NONCASH_ADJ" localSheetId="7">Ticker0001_Annotation_Sheet!$112:$112</definedName>
    <definedName name="A_KEYWORD_ISSR_208000149_OTH_OP_CF" localSheetId="7">Ticker0001_Annotation_Sheet!$95:$95</definedName>
    <definedName name="A_KEYWORD_ISSR_208000149_OTH_OP_INC_EXP" localSheetId="7">Ticker0001_Annotation_Sheet!$17:$17</definedName>
    <definedName name="A_KEYWORD_ISSR_208000149_PERIOD_MILESTONE" localSheetId="7">Ticker0001_Annotation_Sheet!$2:$2</definedName>
    <definedName name="A_KEYWORD_ISSR_208000149_PL_SALE_ASSETS" localSheetId="7">Ticker0001_Annotation_Sheet!$111:$111</definedName>
    <definedName name="A_KEYWORD_ISSR_208000149_PREF_SH" localSheetId="7">Ticker0001_Annotation_Sheet!$66:$66</definedName>
    <definedName name="A_KEYWORD_ISSR_208000149_PROFIT_ON_DISP" localSheetId="7">Ticker0001_Annotation_Sheet!$28:$28</definedName>
    <definedName name="A_KEYWORD_ISSR_208000149_PT_PROF" localSheetId="7">Ticker0001_Annotation_Sheet!$30:$30</definedName>
    <definedName name="A_KEYWORD_ISSR_208000149_RD_EXP" localSheetId="7">Ticker0001_Annotation_Sheet!$15:$15</definedName>
    <definedName name="A_KEYWORD_ISSR_208000149_REV_FIN_SEGMENT" localSheetId="7">Ticker0001_Annotation_Sheet!$188:$188</definedName>
    <definedName name="A_KEYWORD_ISSR_208000149_REV_SEG1_NAME" localSheetId="7">Ticker0001_Annotation_Sheet!$227:$227</definedName>
    <definedName name="A_KEYWORD_ISSR_208000149_REV_SEG1_VALUE" localSheetId="7">Ticker0001_Annotation_Sheet!$231:$231</definedName>
    <definedName name="A_KEYWORD_ISSR_208000149_REV_SEG2_NAME" localSheetId="7">Ticker0001_Annotation_Sheet!$228:$228</definedName>
    <definedName name="A_KEYWORD_ISSR_208000149_REV_SEG2_VALUE" localSheetId="7">Ticker0001_Annotation_Sheet!$232:$232</definedName>
    <definedName name="A_KEYWORD_ISSR_208000149_REV_SEG3_NAME" localSheetId="7">Ticker0001_Annotation_Sheet!$229:$229</definedName>
    <definedName name="A_KEYWORD_ISSR_208000149_REV_SEG3_VALUE" localSheetId="7">Ticker0001_Annotation_Sheet!$233:$233</definedName>
    <definedName name="A_KEYWORD_ISSR_208000149_REV_SEG4_NAME" localSheetId="7">Ticker0001_Annotation_Sheet!$230:$230</definedName>
    <definedName name="A_KEYWORD_ISSR_208000149_REV_SEG4_VALUE" localSheetId="7">Ticker0001_Annotation_Sheet!$234:$234</definedName>
    <definedName name="A_KEYWORD_ISSR_208000149_ROU_ASSET" localSheetId="7">Ticker0001_Annotation_Sheet!$90:$90</definedName>
    <definedName name="A_KEYWORD_ISSR_208000149_SALES" localSheetId="7">Ticker0001_Annotation_Sheet!$11:$11</definedName>
    <definedName name="A_KEYWORD_ISSR_208000149_SALES_ARGENTINA" localSheetId="7">Ticker0001_Annotation_Sheet!$131:$131</definedName>
    <definedName name="A_KEYWORD_ISSR_208000149_SALES_AUSTRA" localSheetId="7">Ticker0001_Annotation_Sheet!$174:$174</definedName>
    <definedName name="A_KEYWORD_ISSR_208000149_SALES_AUSTRIA" localSheetId="7">Ticker0001_Annotation_Sheet!$138:$138</definedName>
    <definedName name="A_KEYWORD_ISSR_208000149_SALES_COMPANY0377" localSheetId="7">Ticker0001_Annotation_Sheet!$139:$139</definedName>
    <definedName name="A_KEYWORD_ISSR_208000149_SALES_BRAZIL" localSheetId="7">Ticker0001_Annotation_Sheet!$132:$132</definedName>
    <definedName name="A_KEYWORD_ISSR_208000149_SALES_CANADA" localSheetId="7">Ticker0001_Annotation_Sheet!$128:$128</definedName>
    <definedName name="A_KEYWORD_ISSR_208000149_SALES_CEE" localSheetId="7">Ticker0001_Annotation_Sheet!$219:$219</definedName>
    <definedName name="A_KEYWORD_ISSR_208000149_SALES_CHILE" localSheetId="7">Ticker0001_Annotation_Sheet!$133:$133</definedName>
    <definedName name="A_KEYWORD_ISSR_208000149_SALES_CHINA" localSheetId="7">Ticker0001_Annotation_Sheet!$169:$169</definedName>
    <definedName name="A_KEYWORD_ISSR_208000149_SALES_COLOMBIA" localSheetId="7">Ticker0001_Annotation_Sheet!$134:$134</definedName>
    <definedName name="A_KEYWORD_ISSR_208000149_SALES_CONS" localSheetId="7">Ticker0001_Annotation_Sheet!$181:$181</definedName>
    <definedName name="A_KEYWORD_ISSR_208000149_SALES_EU_EX_UK" localSheetId="7">Ticker0001_Annotation_Sheet!$218:$218</definedName>
    <definedName name="A_KEYWORD_ISSR_208000149_SALES_FINAN" localSheetId="7">Ticker0001_Annotation_Sheet!$184:$184</definedName>
    <definedName name="A_KEYWORD_ISSR_208000149_SALES_FRA" localSheetId="7">Ticker0001_Annotation_Sheet!$140:$140</definedName>
    <definedName name="A_KEYWORD_ISSR_208000149_SALES_FX_ARS" localSheetId="7">Ticker0001_Annotation_Sheet!$210:$210</definedName>
    <definedName name="A_KEYWORD_ISSR_208000149_SALES_FX_BRL" localSheetId="7">Ticker0001_Annotation_Sheet!$203:$203</definedName>
    <definedName name="A_KEYWORD_ISSR_208000149_SALES_FX_CAD" localSheetId="7">Ticker0001_Annotation_Sheet!$207:$207</definedName>
    <definedName name="A_KEYWORD_ISSR_208000149_SALES_FX_CLP" localSheetId="7">Ticker0001_Annotation_Sheet!$211:$211</definedName>
    <definedName name="A_KEYWORD_ISSR_208000149_SALES_FX_CNY" localSheetId="7">Ticker0001_Annotation_Sheet!$205:$205</definedName>
    <definedName name="A_KEYWORD_ISSR_208000149_SALES_FX_COP" localSheetId="7">Ticker0001_Annotation_Sheet!$209:$209</definedName>
    <definedName name="A_KEYWORD_ISSR_208000149_SALES_FX_EUR" localSheetId="7">Ticker0001_Annotation_Sheet!$200:$200</definedName>
    <definedName name="A_KEYWORD_ISSR_208000149_SALES_FX_GPB" localSheetId="7">Ticker0001_Annotation_Sheet!$199:$199</definedName>
    <definedName name="A_KEYWORD_ISSR_208000149_SALES_FX_INR" localSheetId="7">Ticker0001_Annotation_Sheet!$206:$206</definedName>
    <definedName name="A_KEYWORD_ISSR_208000149_SALES_FX_MXN" localSheetId="7">Ticker0001_Annotation_Sheet!$208:$208</definedName>
    <definedName name="A_KEYWORD_ISSR_208000149_SALES_FX_OTH" localSheetId="7">Ticker0001_Annotation_Sheet!$213:$213</definedName>
    <definedName name="A_KEYWORD_ISSR_208000149_SALES_FX_RUB" localSheetId="7">Ticker0001_Annotation_Sheet!$201:$201</definedName>
    <definedName name="A_KEYWORD_ISSR_208000149_SALES_FX_USD" localSheetId="7">Ticker0001_Annotation_Sheet!$202:$202</definedName>
    <definedName name="A_KEYWORD_ISSR_208000149_SALES_FX_VEF" localSheetId="7">Ticker0001_Annotation_Sheet!$212:$212</definedName>
    <definedName name="A_KEYWORD_ISSR_208000149_SALES_FX_YEN" localSheetId="7">Ticker0001_Annotation_Sheet!$204:$204</definedName>
    <definedName name="A_KEYWORD_ISSR_208000149_SALES_GER" localSheetId="7">Ticker0001_Annotation_Sheet!$141:$141</definedName>
    <definedName name="A_KEYWORD_ISSR_208000149_SALES_GOV" localSheetId="7">Ticker0001_Annotation_Sheet!$183:$183</definedName>
    <definedName name="A_KEYWORD_ISSR_208000149_SALES_GRE" localSheetId="7">Ticker0001_Annotation_Sheet!$142:$142</definedName>
    <definedName name="A_KEYWORD_ISSR_208000149_SALES_HONG_KONG" localSheetId="7">Ticker0001_Annotation_Sheet!$163:$163</definedName>
    <definedName name="A_KEYWORD_ISSR_208000149_SALES_IND" localSheetId="7">Ticker0001_Annotation_Sheet!$182:$182</definedName>
    <definedName name="A_KEYWORD_ISSR_208000149_SALES_INDIA" localSheetId="7">Ticker0001_Annotation_Sheet!$170:$170</definedName>
    <definedName name="A_KEYWORD_ISSR_208000149_SALES_INDONESIA" localSheetId="7">Ticker0001_Annotation_Sheet!$171:$171</definedName>
    <definedName name="A_KEYWORD_ISSR_208000149_SALES_IRE" localSheetId="7">Ticker0001_Annotation_Sheet!$143:$143</definedName>
    <definedName name="A_KEYWORD_ISSR_208000149_SALES_ITA" localSheetId="7">Ticker0001_Annotation_Sheet!$144:$144</definedName>
    <definedName name="A_KEYWORD_ISSR_208000149_SALES_JAPAN" localSheetId="7">Ticker0001_Annotation_Sheet!$164:$164</definedName>
    <definedName name="A_KEYWORD_ISSR_208000149_SALES_ME" localSheetId="7">Ticker0001_Annotation_Sheet!$220:$220</definedName>
    <definedName name="A_KEYWORD_ISSR_208000149_SALES_MEXICO" localSheetId="7">Ticker0001_Annotation_Sheet!$135:$135</definedName>
    <definedName name="A_KEYWORD_ISSR_208000149_SALES_NETH" localSheetId="7">Ticker0001_Annotation_Sheet!$145:$145</definedName>
    <definedName name="A_KEYWORD_ISSR_208000149_SALES_NIGERIA" localSheetId="7">Ticker0001_Annotation_Sheet!$160:$160</definedName>
    <definedName name="A_KEYWORD_ISSR_208000149_SALES_NOR" localSheetId="7">Ticker0001_Annotation_Sheet!$146:$146</definedName>
    <definedName name="A_KEYWORD_ISSR_208000149_SALES_NZ" localSheetId="7">Ticker0001_Annotation_Sheet!$175:$175</definedName>
    <definedName name="A_KEYWORD_ISSR_208000149_SALES_OIL_GAS" localSheetId="7">Ticker0001_Annotation_Sheet!$185:$185</definedName>
    <definedName name="A_KEYWORD_ISSR_208000149_SALES_OTH_AEJ" localSheetId="7">Ticker0001_Annotation_Sheet!$224:$224</definedName>
    <definedName name="A_KEYWORD_ISSR_208000149_SALES_OTH_AFRICA" localSheetId="7">Ticker0001_Annotation_Sheet!$162:$162</definedName>
    <definedName name="A_KEYWORD_ISSR_208000149_SALES_OTH_AM" localSheetId="7">Ticker0001_Annotation_Sheet!$216:$216</definedName>
    <definedName name="A_KEYWORD_ISSR_208000149_SALES_OTH_CEE" localSheetId="7">Ticker0001_Annotation_Sheet!$156:$156</definedName>
    <definedName name="A_KEYWORD_ISSR_208000149_SALES_OTH_DEV_ASIA" localSheetId="7">Ticker0001_Annotation_Sheet!$168:$168</definedName>
    <definedName name="A_KEYWORD_ISSR_208000149_SALES_OTH_EMEA" localSheetId="7">Ticker0001_Annotation_Sheet!$222:$222</definedName>
    <definedName name="A_KEYWORD_ISSR_208000149_SALES_OTH_EMERG_ASIA" localSheetId="7">Ticker0001_Annotation_Sheet!$173:$173</definedName>
    <definedName name="A_KEYWORD_ISSR_208000149_SALES_OTH_LATAM" localSheetId="7">Ticker0001_Annotation_Sheet!$137:$137</definedName>
    <definedName name="A_KEYWORD_ISSR_208000149_SALES_OTH_ME" localSheetId="7">Ticker0001_Annotation_Sheet!$159:$159</definedName>
    <definedName name="A_KEYWORD_ISSR_208000149_SALES_OTH_NO_AMER" localSheetId="7">Ticker0001_Annotation_Sheet!$130:$130</definedName>
    <definedName name="A_KEYWORD_ISSR_208000149_SALES_OTH_WEST_EURO" localSheetId="7">Ticker0001_Annotation_Sheet!$152:$152</definedName>
    <definedName name="A_KEYWORD_ISSR_208000149_SALES_OTHER" localSheetId="7">Ticker0001_Annotation_Sheet!$176:$176</definedName>
    <definedName name="A_KEYWORD_ISSR_208000149_SALES_POLAND" localSheetId="7">Ticker0001_Annotation_Sheet!$153:$153</definedName>
    <definedName name="A_KEYWORD_ISSR_208000149_SALES_POR" localSheetId="7">Ticker0001_Annotation_Sheet!$147:$147</definedName>
    <definedName name="A_KEYWORD_ISSR_208000149_SALES_RUSSIA" localSheetId="7">Ticker0001_Annotation_Sheet!$154:$154</definedName>
    <definedName name="A_KEYWORD_ISSR_208000149_SALES_SAUDI_ARABIA" localSheetId="7">Ticker0001_Annotation_Sheet!$157:$157</definedName>
    <definedName name="A_KEYWORD_ISSR_208000149_SALES_SINGAPORE" localSheetId="7">Ticker0001_Annotation_Sheet!$165:$165</definedName>
    <definedName name="A_KEYWORD_ISSR_208000149_SALES_SK" localSheetId="7">Ticker0001_Annotation_Sheet!$166:$166</definedName>
    <definedName name="A_KEYWORD_ISSR_208000149_SALES_SMB" localSheetId="7">Ticker0001_Annotation_Sheet!$186:$186</definedName>
    <definedName name="A_KEYWORD_ISSR_208000149_SALES_SO_AFRICA" localSheetId="7">Ticker0001_Annotation_Sheet!$161:$161</definedName>
    <definedName name="A_KEYWORD_ISSR_208000149_SALES_SPA" localSheetId="7">Ticker0001_Annotation_Sheet!$148:$148</definedName>
    <definedName name="A_KEYWORD_ISSR_208000149_SALES_SWE" localSheetId="7">Ticker0001_Annotation_Sheet!$149:$149</definedName>
    <definedName name="A_KEYWORD_ISSR_208000149_SALES_SWIT" localSheetId="7">Ticker0001_Annotation_Sheet!$150:$150</definedName>
    <definedName name="A_KEYWORD_ISSR_208000149_SALES_TAIWAN" localSheetId="7">Ticker0001_Annotation_Sheet!$167:$167</definedName>
    <definedName name="A_KEYWORD_ISSR_208000149_SALES_THAILAND" localSheetId="7">Ticker0001_Annotation_Sheet!$172:$172</definedName>
    <definedName name="A_KEYWORD_ISSR_208000149_SALES_TOT_AFRICA" localSheetId="7">Ticker0001_Annotation_Sheet!$221:$221</definedName>
    <definedName name="A_KEYWORD_ISSR_208000149_SALES_TOT_AM" localSheetId="7">Ticker0001_Annotation_Sheet!$215:$215</definedName>
    <definedName name="A_KEYWORD_ISSR_208000149_SALES_TOT_ASIA" localSheetId="7">Ticker0001_Annotation_Sheet!$223:$223</definedName>
    <definedName name="A_KEYWORD_ISSR_208000149_SALES_TOT_EMEA" localSheetId="7">Ticker0001_Annotation_Sheet!$217:$217</definedName>
    <definedName name="A_KEYWORD_ISSR_208000149_SALES_TURKEY" localSheetId="7">Ticker0001_Annotation_Sheet!$155:$155</definedName>
    <definedName name="A_KEYWORD_ISSR_208000149_SALES_UAE" localSheetId="7">Ticker0001_Annotation_Sheet!$158:$158</definedName>
    <definedName name="A_KEYWORD_ISSR_208000149_SALES_UK" localSheetId="7">Ticker0001_Annotation_Sheet!$151:$151</definedName>
    <definedName name="A_KEYWORD_ISSR_208000149_SALES_US" localSheetId="7">Ticker0001_Annotation_Sheet!$129:$129</definedName>
    <definedName name="A_KEYWORD_ISSR_208000149_SALES_VENEZUELA" localSheetId="7">Ticker0001_Annotation_Sheet!$136:$136</definedName>
    <definedName name="A_KEYWORD_ISSR_208000149_SEL_GL_AD" localSheetId="7">Ticker0001_Annotation_Sheet!$13:$13</definedName>
    <definedName name="A_KEYWORD_ISSR_208000149_SGA_PCT_ROW" localSheetId="7">Ticker0001_Annotation_Sheet!$180:$180</definedName>
    <definedName name="A_KEYWORD_ISSR_208000149_SGA_PCT_US" localSheetId="7">Ticker0001_Annotation_Sheet!$179:$179</definedName>
    <definedName name="A_KEYWORD_ISSR_208000149_SH_REPUR" localSheetId="7">Ticker0001_Annotation_Sheet!$103:$103</definedName>
    <definedName name="A_KEYWORD_ISSR_208000149_SHORT_T_DEBT" localSheetId="7">Ticker0001_Annotation_Sheet!$57:$57</definedName>
    <definedName name="A_KEYWORD_ISSR_208000149_SHORT_TERM_LIABS" localSheetId="7">Ticker0001_Annotation_Sheet!$60:$60</definedName>
    <definedName name="A_KEYWORD_ISSR_208000149_ST_LEASE_LIAB" localSheetId="7">Ticker0001_Annotation_Sheet!$58:$58</definedName>
    <definedName name="A_KEYWORD_ISSR_208000149_STOCKS" localSheetId="7">Ticker0001_Annotation_Sheet!$43:$43</definedName>
    <definedName name="A_KEYWORD_ISSR_208000149_TOT_ASSET" localSheetId="7">Ticker0001_Annotation_Sheet!$55:$55</definedName>
    <definedName name="A_KEYWORD_ISSR_208000149_TOT_CF" localSheetId="7">Ticker0001_Annotation_Sheet!$108:$108</definedName>
    <definedName name="A_KEYWORD_ISSR_208000149_TOT_LIAB" localSheetId="7">Ticker0001_Annotation_Sheet!$65:$65</definedName>
    <definedName name="A_KEYWORD_ISSR_208000149_TOT_LIAB_EQ" localSheetId="7">Ticker0001_Annotation_Sheet!$70:$70</definedName>
    <definedName name="A_KEYWORD_ISSR_208000149_TOT_LT_LIAB" localSheetId="7">Ticker0001_Annotation_Sheet!$64:$64</definedName>
    <definedName name="A_KEYWORD_ISSR_208000149_TOT_OPS_EXP" localSheetId="7">Ticker0001_Annotation_Sheet!$19:$19</definedName>
    <definedName name="A_KEYWORD_ISSR_208000149_TOT_OPS_EXP_DDA" localSheetId="7">Ticker0001_Annotation_Sheet!$18:$18</definedName>
    <definedName name="A_KEYWORD_ISSR_208000149_TOT_PCT_USD_DEBT_HEDGED" localSheetId="7">Ticker0001_Annotation_Sheet!$73:$73</definedName>
    <definedName name="A_KEYWORD_ISSR_208000149_TOT_USD_DEBT" localSheetId="7">Ticker0001_Annotation_Sheet!$72:$72</definedName>
    <definedName name="A_KEYWORD_ISSR_208000149_UNF_PENS" localSheetId="7">Ticker0001_Annotation_Sheet!$83:$83</definedName>
    <definedName name="A_KEYWORD_ISSR_208000149_UNF_PENS_LIAB_OTH" localSheetId="7">Ticker0001_Annotation_Sheet!$85:$85</definedName>
    <definedName name="A_KEYWORD_ISSR_208000149_UNF_PENS_OFF" localSheetId="7">Ticker0001_Annotation_Sheet!$84:$84</definedName>
    <definedName name="A_KEYWORD_ISSR_208000149_WORK_CAP" localSheetId="7">Ticker0001_Annotation_Sheet!$94:$94</definedName>
    <definedName name="A_LIVEDATA_EQTY_200000801" localSheetId="7">Ticker0001_Annotation_Sheet!$B$236</definedName>
    <definedName name="A_LIVEDATA_ISSR_208000149" localSheetId="7">Ticker0001_Annotation_Sheet!$B$4</definedName>
    <definedName name="A_PERIOD_2000" localSheetId="7">Ticker0001_Annotation_Sheet!$F:$F</definedName>
    <definedName name="A_PERIOD_2000_Q1" localSheetId="7">Ticker0001_Annotation_Sheet!$AL:$AL</definedName>
    <definedName name="A_PERIOD_2000_Q2" localSheetId="7">Ticker0001_Annotation_Sheet!$AM:$AM</definedName>
    <definedName name="A_PERIOD_2000_Q3" localSheetId="7">Ticker0001_Annotation_Sheet!$AN:$AN</definedName>
    <definedName name="A_PERIOD_2000_Q4" localSheetId="7">Ticker0001_Annotation_Sheet!$AO:$AO</definedName>
    <definedName name="A_PERIOD_2001" localSheetId="7">Ticker0001_Annotation_Sheet!$G:$G</definedName>
    <definedName name="A_PERIOD_2001_Q1" localSheetId="7">Ticker0001_Annotation_Sheet!$AP:$AP</definedName>
    <definedName name="A_PERIOD_2001_Q2" localSheetId="7">Ticker0001_Annotation_Sheet!$AQ:$AQ</definedName>
    <definedName name="A_PERIOD_2001_Q3" localSheetId="7">Ticker0001_Annotation_Sheet!$AR:$AR</definedName>
    <definedName name="A_PERIOD_2001_Q4" localSheetId="7">Ticker0001_Annotation_Sheet!$AS:$AS</definedName>
    <definedName name="A_PERIOD_2002" localSheetId="7">Ticker0001_Annotation_Sheet!$H:$H</definedName>
    <definedName name="A_PERIOD_2002_Q1" localSheetId="7">Ticker0001_Annotation_Sheet!$AT:$AT</definedName>
    <definedName name="A_PERIOD_2002_Q2" localSheetId="7">Ticker0001_Annotation_Sheet!$AU:$AU</definedName>
    <definedName name="A_PERIOD_2002_Q3" localSheetId="7">Ticker0001_Annotation_Sheet!$AV:$AV</definedName>
    <definedName name="A_PERIOD_2002_Q4" localSheetId="7">Ticker0001_Annotation_Sheet!$AW:$AW</definedName>
    <definedName name="A_PERIOD_2003" localSheetId="7">Ticker0001_Annotation_Sheet!$I:$I</definedName>
    <definedName name="A_PERIOD_2003_Q1" localSheetId="7">Ticker0001_Annotation_Sheet!$AX:$AX</definedName>
    <definedName name="A_PERIOD_2003_Q2" localSheetId="7">Ticker0001_Annotation_Sheet!$AY:$AY</definedName>
    <definedName name="A_PERIOD_2003_Q3" localSheetId="7">Ticker0001_Annotation_Sheet!$AZ:$AZ</definedName>
    <definedName name="A_PERIOD_2003_Q4" localSheetId="7">Ticker0001_Annotation_Sheet!$BA:$BA</definedName>
    <definedName name="A_PERIOD_2004" localSheetId="7">Ticker0001_Annotation_Sheet!$J:$J</definedName>
    <definedName name="A_PERIOD_2004_Q1" localSheetId="7">Ticker0001_Annotation_Sheet!$BB:$BB</definedName>
    <definedName name="A_PERIOD_2004_Q2" localSheetId="7">Ticker0001_Annotation_Sheet!$BC:$BC</definedName>
    <definedName name="A_PERIOD_2004_Q3" localSheetId="7">Ticker0001_Annotation_Sheet!$BD:$BD</definedName>
    <definedName name="A_PERIOD_2004_Q4" localSheetId="7">Ticker0001_Annotation_Sheet!$BE:$BE</definedName>
    <definedName name="A_PERIOD_2005" localSheetId="7">Ticker0001_Annotation_Sheet!$K:$K</definedName>
    <definedName name="A_PERIOD_2005_Q1" localSheetId="7">Ticker0001_Annotation_Sheet!$BF:$BF</definedName>
    <definedName name="A_PERIOD_2005_Q2" localSheetId="7">Ticker0001_Annotation_Sheet!$BG:$BG</definedName>
    <definedName name="A_PERIOD_2005_Q3" localSheetId="7">Ticker0001_Annotation_Sheet!$BH:$BH</definedName>
    <definedName name="A_PERIOD_2005_Q4" localSheetId="7">Ticker0001_Annotation_Sheet!$BI:$BI</definedName>
    <definedName name="A_PERIOD_2006" localSheetId="7">Ticker0001_Annotation_Sheet!$L:$L</definedName>
    <definedName name="A_PERIOD_2006_Q1" localSheetId="7">Ticker0001_Annotation_Sheet!$BJ:$BJ</definedName>
    <definedName name="A_PERIOD_2006_Q2" localSheetId="7">Ticker0001_Annotation_Sheet!$BK:$BK</definedName>
    <definedName name="A_PERIOD_2006_Q3" localSheetId="7">Ticker0001_Annotation_Sheet!$BL:$BL</definedName>
    <definedName name="A_PERIOD_2006_Q4" localSheetId="7">Ticker0001_Annotation_Sheet!$BM:$BM</definedName>
    <definedName name="A_PERIOD_2007" localSheetId="7">Ticker0001_Annotation_Sheet!$M:$M</definedName>
    <definedName name="A_PERIOD_2007_Q1" localSheetId="7">Ticker0001_Annotation_Sheet!$BN:$BN</definedName>
    <definedName name="A_PERIOD_2007_Q2" localSheetId="7">Ticker0001_Annotation_Sheet!$BO:$BO</definedName>
    <definedName name="A_PERIOD_2007_Q3" localSheetId="7">Ticker0001_Annotation_Sheet!$BP:$BP</definedName>
    <definedName name="A_PERIOD_2007_Q4" localSheetId="7">Ticker0001_Annotation_Sheet!$BQ:$BQ</definedName>
    <definedName name="A_PERIOD_2008" localSheetId="7">Ticker0001_Annotation_Sheet!$N:$N</definedName>
    <definedName name="A_PERIOD_2008_Q1" localSheetId="7">Ticker0001_Annotation_Sheet!$BR:$BR</definedName>
    <definedName name="A_PERIOD_2008_Q2" localSheetId="7">Ticker0001_Annotation_Sheet!$BS:$BS</definedName>
    <definedName name="A_PERIOD_2008_Q3" localSheetId="7">Ticker0001_Annotation_Sheet!$BT:$BT</definedName>
    <definedName name="A_PERIOD_2008_Q4" localSheetId="7">Ticker0001_Annotation_Sheet!$BU:$BU</definedName>
    <definedName name="A_PERIOD_2009" localSheetId="7">Ticker0001_Annotation_Sheet!$O:$O</definedName>
    <definedName name="A_PERIOD_2009_Q1" localSheetId="7">Ticker0001_Annotation_Sheet!$BV:$BV</definedName>
    <definedName name="A_PERIOD_2009_Q2" localSheetId="7">Ticker0001_Annotation_Sheet!$BW:$BW</definedName>
    <definedName name="A_PERIOD_2009_Q3" localSheetId="7">Ticker0001_Annotation_Sheet!$BX:$BX</definedName>
    <definedName name="A_PERIOD_2009_Q4" localSheetId="7">Ticker0001_Annotation_Sheet!$BY:$BY</definedName>
    <definedName name="A_PERIOD_2010" localSheetId="7">Ticker0001_Annotation_Sheet!$P:$P</definedName>
    <definedName name="A_PERIOD_2010_Q1" localSheetId="7">Ticker0001_Annotation_Sheet!$BZ:$BZ</definedName>
    <definedName name="A_PERIOD_2010_Q2" localSheetId="7">Ticker0001_Annotation_Sheet!$CA:$CA</definedName>
    <definedName name="A_PERIOD_2010_Q3" localSheetId="7">Ticker0001_Annotation_Sheet!$CB:$CB</definedName>
    <definedName name="A_PERIOD_2010_Q4" localSheetId="7">Ticker0001_Annotation_Sheet!$CC:$CC</definedName>
    <definedName name="A_PERIOD_2011" localSheetId="7">Ticker0001_Annotation_Sheet!$Q:$Q</definedName>
    <definedName name="A_PERIOD_2011_Q1" localSheetId="7">Ticker0001_Annotation_Sheet!$CD:$CD</definedName>
    <definedName name="A_PERIOD_2011_Q2" localSheetId="7">Ticker0001_Annotation_Sheet!$CE:$CE</definedName>
    <definedName name="A_PERIOD_2011_Q3" localSheetId="7">Ticker0001_Annotation_Sheet!$CF:$CF</definedName>
    <definedName name="A_PERIOD_2011_Q4" localSheetId="7">Ticker0001_Annotation_Sheet!$CG:$CG</definedName>
    <definedName name="A_PERIOD_2012" localSheetId="7">Ticker0001_Annotation_Sheet!$R:$R</definedName>
    <definedName name="A_PERIOD_2012_Q1" localSheetId="7">Ticker0001_Annotation_Sheet!$CH:$CH</definedName>
    <definedName name="A_PERIOD_2012_Q2" localSheetId="7">Ticker0001_Annotation_Sheet!$CI:$CI</definedName>
    <definedName name="A_PERIOD_2012_Q3" localSheetId="7">Ticker0001_Annotation_Sheet!$CJ:$CJ</definedName>
    <definedName name="A_PERIOD_2012_Q4" localSheetId="7">Ticker0001_Annotation_Sheet!$CK:$CK</definedName>
    <definedName name="A_PERIOD_2013" localSheetId="7">Ticker0001_Annotation_Sheet!$S:$S</definedName>
    <definedName name="A_PERIOD_2013_Q1" localSheetId="7">Ticker0001_Annotation_Sheet!$CL:$CL</definedName>
    <definedName name="A_PERIOD_2013_Q2" localSheetId="7">Ticker0001_Annotation_Sheet!$CM:$CM</definedName>
    <definedName name="A_PERIOD_2013_Q3" localSheetId="7">Ticker0001_Annotation_Sheet!$CN:$CN</definedName>
    <definedName name="A_PERIOD_2013_Q4" localSheetId="7">Ticker0001_Annotation_Sheet!$CO:$CO</definedName>
    <definedName name="A_PERIOD_2014" localSheetId="7">Ticker0001_Annotation_Sheet!$T:$T</definedName>
    <definedName name="A_PERIOD_2014_Q1" localSheetId="7">Ticker0001_Annotation_Sheet!$CP:$CP</definedName>
    <definedName name="A_PERIOD_2014_Q2" localSheetId="7">Ticker0001_Annotation_Sheet!$CQ:$CQ</definedName>
    <definedName name="A_PERIOD_2014_Q3" localSheetId="7">Ticker0001_Annotation_Sheet!$CR:$CR</definedName>
    <definedName name="A_PERIOD_2014_Q4" localSheetId="7">Ticker0001_Annotation_Sheet!$CS:$CS</definedName>
    <definedName name="A_PERIOD_2015" localSheetId="7">Ticker0001_Annotation_Sheet!$U:$U</definedName>
    <definedName name="A_PERIOD_2015_Q1" localSheetId="7">Ticker0001_Annotation_Sheet!$CT:$CT</definedName>
    <definedName name="A_PERIOD_2015_Q2" localSheetId="7">Ticker0001_Annotation_Sheet!$CU:$CU</definedName>
    <definedName name="A_PERIOD_2015_Q3" localSheetId="7">Ticker0001_Annotation_Sheet!$CV:$CV</definedName>
    <definedName name="A_PERIOD_2015_Q4" localSheetId="7">Ticker0001_Annotation_Sheet!$CW:$CW</definedName>
    <definedName name="A_PERIOD_2016" localSheetId="7">Ticker0001_Annotation_Sheet!$V:$V</definedName>
    <definedName name="A_PERIOD_2016_Q1" localSheetId="7">Ticker0001_Annotation_Sheet!$CX:$CX</definedName>
    <definedName name="A_PERIOD_2016_Q2" localSheetId="7">Ticker0001_Annotation_Sheet!$CY:$CY</definedName>
    <definedName name="A_PERIOD_2016_Q3" localSheetId="7">Ticker0001_Annotation_Sheet!$CZ:$CZ</definedName>
    <definedName name="A_PERIOD_2016_Q4" localSheetId="7">Ticker0001_Annotation_Sheet!$DA:$DA</definedName>
    <definedName name="A_PERIOD_2017" localSheetId="7">Ticker0001_Annotation_Sheet!$W:$W</definedName>
    <definedName name="A_PERIOD_2017_Q1" localSheetId="7">Ticker0001_Annotation_Sheet!$DB:$DB</definedName>
    <definedName name="A_PERIOD_2017_Q2" localSheetId="7">Ticker0001_Annotation_Sheet!$DC:$DC</definedName>
    <definedName name="A_PERIOD_2017_Q3" localSheetId="7">Ticker0001_Annotation_Sheet!$DD:$DD</definedName>
    <definedName name="A_PERIOD_2017_Q4" localSheetId="7">Ticker0001_Annotation_Sheet!$DE:$DE</definedName>
    <definedName name="A_PERIOD_2018" localSheetId="7">Ticker0001_Annotation_Sheet!$X:$X</definedName>
    <definedName name="A_PERIOD_2018_Q1" localSheetId="7">Ticker0001_Annotation_Sheet!$DF:$DF</definedName>
    <definedName name="A_PERIOD_2018_Q2" localSheetId="7">Ticker0001_Annotation_Sheet!$DG:$DG</definedName>
    <definedName name="A_PERIOD_2018_Q3" localSheetId="7">Ticker0001_Annotation_Sheet!$DH:$DH</definedName>
    <definedName name="A_PERIOD_2018_Q4" localSheetId="7">Ticker0001_Annotation_Sheet!$DI:$DI</definedName>
    <definedName name="A_PERIOD_2019" localSheetId="7">Ticker0001_Annotation_Sheet!$Y:$Y</definedName>
    <definedName name="A_PERIOD_2019_Q1" localSheetId="7">Ticker0001_Annotation_Sheet!$DJ:$DJ</definedName>
    <definedName name="A_PERIOD_2019_Q2" localSheetId="7">Ticker0001_Annotation_Sheet!$DK:$DK</definedName>
    <definedName name="A_PERIOD_2019_Q3" localSheetId="7">Ticker0001_Annotation_Sheet!$DL:$DL</definedName>
    <definedName name="A_PERIOD_2019_Q4" localSheetId="7">Ticker0001_Annotation_Sheet!$DM:$DM</definedName>
    <definedName name="A_PERIOD_2020" localSheetId="7">Ticker0001_Annotation_Sheet!$Z:$Z</definedName>
    <definedName name="A_PERIOD_2020_Q1" localSheetId="7">Ticker0001_Annotation_Sheet!$DN:$DN</definedName>
    <definedName name="A_PERIOD_2020_Q2" localSheetId="7">Ticker0001_Annotation_Sheet!$DO:$DO</definedName>
    <definedName name="A_PERIOD_2020_Q3" localSheetId="7">Ticker0001_Annotation_Sheet!$DP:$DP</definedName>
    <definedName name="A_PERIOD_2020_Q4" localSheetId="7">Ticker0001_Annotation_Sheet!$DQ:$DQ</definedName>
    <definedName name="A_PERIOD_2021" localSheetId="7">Ticker0001_Annotation_Sheet!$AA:$AA</definedName>
    <definedName name="A_PERIOD_2021_Q1" localSheetId="7">Ticker0001_Annotation_Sheet!$DR:$DR</definedName>
    <definedName name="A_PERIOD_2021_Q2" localSheetId="7">Ticker0001_Annotation_Sheet!$DS:$DS</definedName>
    <definedName name="A_PERIOD_2021_Q3" localSheetId="7">Ticker0001_Annotation_Sheet!$DT:$DT</definedName>
    <definedName name="A_PERIOD_2021_Q4" localSheetId="7">Ticker0001_Annotation_Sheet!$DU:$DU</definedName>
    <definedName name="A_PERIOD_2022" localSheetId="7">Ticker0001_Annotation_Sheet!$AB:$AB</definedName>
    <definedName name="A_PERIOD_2022_Q1" localSheetId="7">Ticker0001_Annotation_Sheet!$DV:$DV</definedName>
    <definedName name="A_PERIOD_2022_Q2" localSheetId="7">Ticker0001_Annotation_Sheet!$DW:$DW</definedName>
    <definedName name="A_PERIOD_2022_Q3" localSheetId="7">Ticker0001_Annotation_Sheet!$DX:$DX</definedName>
    <definedName name="A_PERIOD_2022_Q4" localSheetId="7">Ticker0001_Annotation_Sheet!$DY:$DY</definedName>
    <definedName name="A_PERIOD_2023" localSheetId="7">Ticker0001_Annotation_Sheet!$AC:$AC</definedName>
    <definedName name="A_PERIOD_2023_Q1" localSheetId="7">Ticker0001_Annotation_Sheet!$DZ:$DZ</definedName>
    <definedName name="A_PERIOD_2023_Q2" localSheetId="7">Ticker0001_Annotation_Sheet!$EA:$EA</definedName>
    <definedName name="A_PERIOD_2023_Q3" localSheetId="7">Ticker0001_Annotation_Sheet!$EB:$EB</definedName>
    <definedName name="A_PERIOD_2023_Q4" localSheetId="7">Ticker0001_Annotation_Sheet!$EC:$EC</definedName>
    <definedName name="A_PERIOD_2024" localSheetId="7">Ticker0001_Annotation_Sheet!$AD:$AD</definedName>
    <definedName name="A_PERIOD_2024_Q1" localSheetId="7">Ticker0001_Annotation_Sheet!$ED:$ED</definedName>
    <definedName name="A_PERIOD_2024_Q2" localSheetId="7">Ticker0001_Annotation_Sheet!$EE:$EE</definedName>
    <definedName name="A_PERIOD_2024_Q3" localSheetId="7">Ticker0001_Annotation_Sheet!$EF:$EF</definedName>
    <definedName name="A_PERIOD_2024_Q4" localSheetId="7">Ticker0001_Annotation_Sheet!$EG:$EG</definedName>
    <definedName name="A_PERIOD_2025" localSheetId="7">Ticker0001_Annotation_Sheet!$AE:$AE</definedName>
    <definedName name="A_PERIOD_2025_Q1" localSheetId="7">Ticker0001_Annotation_Sheet!$EH:$EH</definedName>
    <definedName name="A_PERIOD_2025_Q2" localSheetId="7">Ticker0001_Annotation_Sheet!$EI:$EI</definedName>
    <definedName name="A_PERIOD_2025_Q3" localSheetId="7">Ticker0001_Annotation_Sheet!$EJ:$EJ</definedName>
    <definedName name="A_PERIOD_2025_Q4" localSheetId="7">Ticker0001_Annotation_Sheet!$EK:$EK</definedName>
    <definedName name="A_PERIOD_2026" localSheetId="7">Ticker0001_Annotation_Sheet!$AF:$AF</definedName>
    <definedName name="A_PERIOD_2026_Q1" localSheetId="7">Ticker0001_Annotation_Sheet!$EL:$EL</definedName>
    <definedName name="A_PERIOD_2026_Q2" localSheetId="7">Ticker0001_Annotation_Sheet!$EM:$EM</definedName>
    <definedName name="A_PERIOD_2026_Q3" localSheetId="7">Ticker0001_Annotation_Sheet!$EN:$EN</definedName>
    <definedName name="A_PERIOD_2026_Q4" localSheetId="7">Ticker0001_Annotation_Sheet!$EO:$EO</definedName>
    <definedName name="A_PERIOD_2027" localSheetId="7">Ticker0001_Annotation_Sheet!$AG:$AG</definedName>
    <definedName name="A_PERIOD_2027_Q1" localSheetId="7">Ticker0001_Annotation_Sheet!$EP:$EP</definedName>
    <definedName name="A_PERIOD_2027_Q2" localSheetId="7">Ticker0001_Annotation_Sheet!$EQ:$EQ</definedName>
    <definedName name="A_PERIOD_2027_Q3" localSheetId="7">Ticker0001_Annotation_Sheet!$ER:$ER</definedName>
    <definedName name="A_PERIOD_2027_Q4" localSheetId="7">Ticker0001_Annotation_Sheet!$ES:$ES</definedName>
    <definedName name="A_PERIOD_2028" localSheetId="7">Ticker0001_Annotation_Sheet!$AH:$AH</definedName>
    <definedName name="A_PERIOD_2028_Q1" localSheetId="7">Ticker0001_Annotation_Sheet!$ET:$ET</definedName>
    <definedName name="A_PERIOD_2028_Q2" localSheetId="7">Ticker0001_Annotation_Sheet!$EU:$EU</definedName>
    <definedName name="A_PERIOD_2028_Q3" localSheetId="7">Ticker0001_Annotation_Sheet!$EV:$EV</definedName>
    <definedName name="A_PERIOD_2028_Q4" localSheetId="7">Ticker0001_Annotation_Sheet!$EW:$EW</definedName>
    <definedName name="A_PERIOD_2029" localSheetId="7">Ticker0001_Annotation_Sheet!$AI:$AI</definedName>
    <definedName name="A_PERIOD_2029_Q1" localSheetId="7">Ticker0001_Annotation_Sheet!$EX:$EX</definedName>
    <definedName name="A_PERIOD_2029_Q2" localSheetId="7">Ticker0001_Annotation_Sheet!$EY:$EY</definedName>
    <definedName name="A_PERIOD_2029_Q3" localSheetId="7">Ticker0001_Annotation_Sheet!$EZ:$EZ</definedName>
    <definedName name="A_PERIOD_2029_Q4" localSheetId="7">Ticker0001_Annotation_Sheet!$FA:$FA</definedName>
    <definedName name="A_PERIOD_2030" localSheetId="7">Ticker0001_Annotation_Sheet!$AJ:$AJ</definedName>
    <definedName name="A_PERIOD_2030_Q1" localSheetId="7">Ticker0001_Annotation_Sheet!$FB:$FB</definedName>
    <definedName name="A_PERIOD_2030_Q2" localSheetId="7">Ticker0001_Annotation_Sheet!$FC:$FC</definedName>
    <definedName name="A_PERIOD_2030_Q3" localSheetId="7">Ticker0001_Annotation_Sheet!$FD:$FD</definedName>
    <definedName name="A_PERIOD_2030_Q4" localSheetId="7">Ticker0001_Annotation_Sheet!$FE:$FE</definedName>
    <definedName name="A_SECTION_EQTY_200000801_1314" localSheetId="7">Ticker0001_Annotation_Sheet!$297:$297</definedName>
    <definedName name="A_SECTION_EQTY_200000801_1319" localSheetId="7">Ticker0001_Annotation_Sheet!$299:$299</definedName>
    <definedName name="A_SECTION_EQTY_200000801_131E" localSheetId="7">Ticker0001_Annotation_Sheet!$304:$304</definedName>
    <definedName name="A_SECTION_EQTY_200000801_131O" localSheetId="7">Ticker0001_Annotation_Sheet!$306:$306</definedName>
    <definedName name="A_SECTION_EQTY_200000801_13A" localSheetId="7">Ticker0001_Annotation_Sheet!$244:$244</definedName>
    <definedName name="A_SECTION_EQTY_200000801_13K" localSheetId="7">Ticker0001_Annotation_Sheet!$255:$255</definedName>
    <definedName name="A_SECTION_EQTY_200000801_13U" localSheetId="7">Ticker0001_Annotation_Sheet!$272:$272</definedName>
    <definedName name="A_SECTION_EQTY_200000801_13V" localSheetId="7">Ticker0001_Annotation_Sheet!$289:$289</definedName>
    <definedName name="A_SECTION_EQTY_200000801_13W" localSheetId="7">Ticker0001_Annotation_Sheet!$291:$291</definedName>
    <definedName name="A_SECTION_EQTY_200000801_Reference_Data" localSheetId="7">Ticker0001_Annotation_Sheet!$237:$237</definedName>
    <definedName name="A_SECTION_ISSR_208000149_1314" localSheetId="7">Ticker0001_Annotation_Sheet!$40:$40</definedName>
    <definedName name="A_SECTION_ISSR_208000149_13168" localSheetId="7">Ticker0001_Annotation_Sheet!$127:$127</definedName>
    <definedName name="A_SECTION_ISSR_208000149_1316T" localSheetId="7">Ticker0001_Annotation_Sheet!$190:$190</definedName>
    <definedName name="A_SECTION_ISSR_208000149_1316U" localSheetId="7">Ticker0001_Annotation_Sheet!$198:$198</definedName>
    <definedName name="A_SECTION_ISSR_208000149_1319" localSheetId="7">Ticker0001_Annotation_Sheet!$71:$71</definedName>
    <definedName name="A_SECTION_ISSR_208000149_131E" localSheetId="7">Ticker0001_Annotation_Sheet!$91:$91</definedName>
    <definedName name="A_SECTION_ISSR_208000149_131J" localSheetId="7">Ticker0001_Annotation_Sheet!$109:$109</definedName>
    <definedName name="A_SECTION_ISSR_208000149_131O" localSheetId="7">Ticker0001_Annotation_Sheet!$123:$123</definedName>
    <definedName name="A_SECTION_ISSR_208000149_136E" localSheetId="7">Ticker0001_Annotation_Sheet!$214:$214</definedName>
    <definedName name="A_SECTION_ISSR_208000149_136J" localSheetId="7">Ticker0001_Annotation_Sheet!$225:$225</definedName>
    <definedName name="A_SECTION_ISSR_208000149_13A" localSheetId="7">Ticker0001_Annotation_Sheet!$8:$8</definedName>
    <definedName name="A_SECTION_ISSR_208000149_13U" localSheetId="7">Ticker0001_Annotation_Sheet!$10:$10</definedName>
    <definedName name="A_SECTION_ISSR_208000149_13V" localSheetId="7">Ticker0001_Annotation_Sheet!$31:$31</definedName>
    <definedName name="A_SECTION_ISSR_208000149_Reference_Data" localSheetId="7">Ticker0001_Annotation_Sheet!$5:$5</definedName>
    <definedName name="A_TEMPLATEHASH" localSheetId="7">Ticker0001_Annotation_Sheet!$C$1</definedName>
    <definedName name="AAA_Person0283"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"AAB_Company1150 Company2104 Chart Utilities 1.0g"</definedName>
    <definedName name="AJHFkjDGHF" hidden="1">{"Annual_Income",#N/A,FALSE,"Report Page";"Balance_Cash_Flow",#N/A,FALSE,"Report Page";"Quarterly_Income",#N/A,FALSE,"Report Page"}</definedName>
    <definedName name="and" hidden="1">{"fax (BS)",#N/A,FALSE,"BS";"fax (CF)",#N/A,FALSE,"CF";"fax (seg)",#N/A,FALSE,"Seg";"fax (telecomm)",#N/A,FALSE,"telecomm";"fax (infodisplay)",#N/A,FALSE,"infodisplay";"fax (am)",#N/A,FALSE,"AM";"fax (is)",#N/A,FALSE,"IS"}</definedName>
    <definedName name="aomnc" hidden="1">{"fax (BS)",#N/A,FALSE,"BS";"fax (CF)",#N/A,FALSE,"CF";"fax (seg)",#N/A,FALSE,"Seg";"fax (telecomm)",#N/A,FALSE,"telecomm";"fax (infodisplay)",#N/A,FALSE,"infodisplay";"fax (am)",#N/A,FALSE,"AM";"fax (is)",#N/A,FALSE,"IS"}</definedName>
    <definedName name="B" hidden="1">{"Annual_Income",#N/A,FALSE,"Report Page";"Balance_Cash_Flow",#N/A,FALSE,"Report Page";"Quarterly_Income",#N/A,FALSE,"Report Page"}</definedName>
    <definedName name="blah" hidden="1">{"page 1",#N/A,FALSE,"Comps";"page 2",#N/A,FALSE,"Comps"}</definedName>
    <definedName name="cb_sChart1560B1BF_opts" hidden="1">"1, 9, 1, False, 2, False, False, , 0, False, False, 1, 1"</definedName>
    <definedName name="cb_sChart1560B326_opts" hidden="1">"1, 9, 1, False, 2, False, False, , 0, False, False, 1, 1"</definedName>
    <definedName name="cb_sChart1560B5DC_opts" hidden="1">"1, 9, 1, False, 2, False, False, , 0, False, False, 1, 1"</definedName>
    <definedName name="cb_sChart1560C23F_opts" hidden="1">"1, 9, 1, False, 2, False, False, , 0, False, False, 1, 1"</definedName>
    <definedName name="cb_sChart1B28B2AD_opts" hidden="1">"1, 3, 1, False, 2, False, False, , 0, False, True, 1, 1"</definedName>
    <definedName name="cb_sChart1B28B8C8_opts" hidden="1">"1, 3, 1, False, 2, False, False, , 0, False, True, 1, 1"</definedName>
    <definedName name="cb_sChart1B28BF3F_opts" hidden="1">"1, 3, 1, False, 2, False, False, , 0, False, True, 1, 1"</definedName>
    <definedName name="cb_sChart1B28C218_opts" hidden="1">"1, 3, 1, False, 2, False, False, , 0, False, True, 1, 1"</definedName>
    <definedName name="cb_sChart1B28C96B_opts" hidden="1">"1, 3, 1, False, 2, False, False, , 0, False, True, 1, 1"</definedName>
    <definedName name="ChangeRange" localSheetId="24" hidden="1">#REF!</definedName>
    <definedName name="ChangeRange" localSheetId="20" hidden="1">#REF!</definedName>
    <definedName name="ChangeRange" localSheetId="23" hidden="1">#REF!</definedName>
    <definedName name="ChangeRange" localSheetId="21" hidden="1">#REF!</definedName>
    <definedName name="ChangeRange" localSheetId="19" hidden="1">#REF!</definedName>
    <definedName name="ChangeRange" localSheetId="12" hidden="1">#REF!</definedName>
    <definedName name="ChangeRange" localSheetId="13" hidden="1">#REF!</definedName>
    <definedName name="ChangeRange" localSheetId="4" hidden="1">#REF!</definedName>
    <definedName name="ChangeRange" hidden="1">#REF!</definedName>
    <definedName name="ContentsHelp" localSheetId="24" hidden="1">#REF!</definedName>
    <definedName name="ContentsHelp" localSheetId="20" hidden="1">#REF!</definedName>
    <definedName name="ContentsHelp" localSheetId="23" hidden="1">#REF!</definedName>
    <definedName name="ContentsHelp" localSheetId="21" hidden="1">#REF!</definedName>
    <definedName name="ContentsHelp" localSheetId="19" hidden="1">#REF!</definedName>
    <definedName name="ContentsHelp" localSheetId="12" hidden="1">#REF!</definedName>
    <definedName name="ContentsHelp" localSheetId="13" hidden="1">#REF!</definedName>
    <definedName name="ContentsHelp" localSheetId="4" hidden="1">#REF!</definedName>
    <definedName name="ContentsHelp" hidden="1">#REF!</definedName>
    <definedName name="CreateTable" localSheetId="24" hidden="1">#REF!</definedName>
    <definedName name="CreateTable" localSheetId="20" hidden="1">#REF!</definedName>
    <definedName name="CreateTable" localSheetId="23" hidden="1">#REF!</definedName>
    <definedName name="CreateTable" localSheetId="21" hidden="1">#REF!</definedName>
    <definedName name="CreateTable" localSheetId="19" hidden="1">#REF!</definedName>
    <definedName name="CreateTable" localSheetId="12" hidden="1">#REF!</definedName>
    <definedName name="CreateTable" localSheetId="13" hidden="1">#REF!</definedName>
    <definedName name="CreateTable" localSheetId="4" hidden="1">#REF!</definedName>
    <definedName name="CreateTable" hidden="1">#REF!</definedName>
    <definedName name="DeleteRange" localSheetId="24" hidden="1">#REF!</definedName>
    <definedName name="DeleteRange" localSheetId="20" hidden="1">#REF!</definedName>
    <definedName name="DeleteRange" localSheetId="23" hidden="1">#REF!</definedName>
    <definedName name="DeleteRange" localSheetId="21" hidden="1">#REF!</definedName>
    <definedName name="DeleteRange" localSheetId="19" hidden="1">#REF!</definedName>
    <definedName name="DeleteRange" localSheetId="12" hidden="1">#REF!</definedName>
    <definedName name="DeleteRange" localSheetId="13" hidden="1">#REF!</definedName>
    <definedName name="DeleteRange" localSheetId="4" hidden="1">#REF!</definedName>
    <definedName name="DeleteRange" hidden="1">#REF!</definedName>
    <definedName name="DeleteTable" localSheetId="24" hidden="1">#REF!</definedName>
    <definedName name="DeleteTable" localSheetId="20" hidden="1">#REF!</definedName>
    <definedName name="DeleteTable" localSheetId="23" hidden="1">#REF!</definedName>
    <definedName name="DeleteTable" localSheetId="21" hidden="1">#REF!</definedName>
    <definedName name="DeleteTable" localSheetId="19" hidden="1">#REF!</definedName>
    <definedName name="DeleteTable" localSheetId="12" hidden="1">#REF!</definedName>
    <definedName name="DeleteTable" localSheetId="13" hidden="1">#REF!</definedName>
    <definedName name="DeleteTable" localSheetId="4" hidden="1">#REF!</definedName>
    <definedName name="DeleteTable" hidden="1">#REF!</definedName>
    <definedName name="dfa" hidden="1">{"Annual_Income",#N/A,FALSE,"Report Page";"Balance_Cash_Flow",#N/A,FALSE,"Report Page";"Quarterly_Income",#N/A,FALSE,"Report Page"}</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_ALL_Ticker0001">Ticker0001_Exchange_Sheet!$A$1:$FE$309</definedName>
    <definedName name="E_ALL_KEYWORDS_TYPE_ScalarContributed_EQTY_200000801" localSheetId="18">Ticker0001_Exchange_Sheet!$245:$245,Ticker0001_Exchange_Sheet!$248:$254,Ticker0001_Exchange_Sheet!$296:$296,Ticker0001_Exchange_Sheet!$300:$302,Ticker0001_Exchange_Sheet!$307:$309</definedName>
    <definedName name="E_ALL_KEYWORDS_TYPE_ScalarContributed_EQTY_200000801">Ticker0001_Exchange_Sheet!$248:$254,Ticker0001_Exchange_Sheet!$296:$296,Ticker0001_Exchange_Sheet!$300:$302,Ticker0001_Exchange_Sheet!$307:$309,Ticker0001_Exchange_Sheet!$245:$246</definedName>
    <definedName name="E_ALL_KEYWORDS_TYPE_ScalarContributed_ISSR_208000149" localSheetId="18">Ticker0001_Exchange_Sheet!$9:$9,Ticker0001_Exchange_Sheet!$39:$39</definedName>
    <definedName name="E_ALL_KEYWORDS_TYPE_ScalarReference_EQTY_200000801" localSheetId="18">Ticker0001_Exchange_Sheet!$238:$243</definedName>
    <definedName name="E_ALL_KEYWORDS_TYPE_ScalarReference_ISSR_208000149" localSheetId="18">Ticker0001_Exchange_Sheet!$6:$7</definedName>
    <definedName name="E_ALL_KEYWORDS_TYPE_Vector_EQTY_200000801" localSheetId="18">Ticker0001_Exchange_Sheet!$256:$260,Ticker0001_Exchange_Sheet!$262:$271,Ticker0001_Exchange_Sheet!$273:$288,Ticker0001_Exchange_Sheet!$290:$290,Ticker0001_Exchange_Sheet!$292:$295,Ticker0001_Exchange_Sheet!$298:$298,Ticker0001_Exchange_Sheet!$303:$303,Ticker0001_Exchange_Sheet!$305:$305</definedName>
    <definedName name="E_ALL_KEYWORDS_TYPE_Vector_ISSR_208000149" localSheetId="18">Ticker0001_Exchange_Sheet!$2:$3,Ticker0001_Exchange_Sheet!$11:$30,Ticker0001_Exchange_Sheet!$32:$38,Ticker0001_Exchange_Sheet!$41:$70,Ticker0001_Exchange_Sheet!$72:$90,Ticker0001_Exchange_Sheet!$92:$108,Ticker0001_Exchange_Sheet!$110:$122,Ticker0001_Exchange_Sheet!$128:$189,Ticker0001_Exchange_Sheet!$191:$197,Ticker0001_Exchange_Sheet!$199:$213,Ticker0001_Exchange_Sheet!$215:$224,Ticker0001_Exchange_Sheet!$124:$126</definedName>
    <definedName name="E_ALL_PERIODS_Ticker0001" localSheetId="18">Ticker0001_Exchange_Sheet!$F$1:$FE$1</definedName>
    <definedName name="E_ALL_SECTION_KEYWORDS_EQTY_200000801_1314" localSheetId="18">Ticker0001_Exchange_Sheet!$C$298</definedName>
    <definedName name="E_ALL_SECTION_KEYWORDS_EQTY_200000801_1319" localSheetId="18">Ticker0001_Exchange_Sheet!$C$300:$C$303</definedName>
    <definedName name="E_ALL_SECTION_KEYWORDS_EQTY_200000801_131E" localSheetId="18">Ticker0001_Exchange_Sheet!$C$305</definedName>
    <definedName name="E_ALL_SECTION_KEYWORDS_EQTY_200000801_131O" localSheetId="18">Ticker0001_Exchange_Sheet!$C$307:$C$309</definedName>
    <definedName name="E_ALL_SECTION_KEYWORDS_EQTY_200000801_13A" localSheetId="18">Ticker0001_Exchange_Sheet!$C$245:$C$254</definedName>
    <definedName name="E_ALL_SECTION_KEYWORDS_EQTY_200000801_13A">Ticker0001_Exchange_Sheet!$C$245:$C$254</definedName>
    <definedName name="E_ALL_SECTION_KEYWORDS_EQTY_200000801_13K" localSheetId="18">Ticker0001_Exchange_Sheet!$C$256:$C$271</definedName>
    <definedName name="E_ALL_SECTION_KEYWORDS_EQTY_200000801_13U" localSheetId="18">Ticker0001_Exchange_Sheet!$C$273:$C$288</definedName>
    <definedName name="E_ALL_SECTION_KEYWORDS_EQTY_200000801_13V" localSheetId="18">Ticker0001_Exchange_Sheet!$C$290</definedName>
    <definedName name="E_ALL_SECTION_KEYWORDS_EQTY_200000801_13W" localSheetId="18">Ticker0001_Exchange_Sheet!$C$292:$C$296</definedName>
    <definedName name="E_ALL_SECTION_KEYWORDS_EQTY_200000801_Reference_Data" localSheetId="18">Ticker0001_Exchange_Sheet!$C$238:$C$243</definedName>
    <definedName name="E_ALL_SECTION_KEYWORDS_ISSR_208000149_1314" localSheetId="18">Ticker0001_Exchange_Sheet!$C$41:$C$70</definedName>
    <definedName name="E_ALL_SECTION_KEYWORDS_ISSR_208000149_13168" localSheetId="18">Ticker0001_Exchange_Sheet!$C$128:$C$189</definedName>
    <definedName name="E_ALL_SECTION_KEYWORDS_ISSR_208000149_1316T" localSheetId="18">Ticker0001_Exchange_Sheet!$C$191:$C$197</definedName>
    <definedName name="E_ALL_SECTION_KEYWORDS_ISSR_208000149_1316U" localSheetId="18">Ticker0001_Exchange_Sheet!$C$199:$C$213</definedName>
    <definedName name="E_ALL_SECTION_KEYWORDS_ISSR_208000149_1319" localSheetId="18">Ticker0001_Exchange_Sheet!$C$72:$C$90</definedName>
    <definedName name="E_ALL_SECTION_KEYWORDS_ISSR_208000149_131E" localSheetId="18">Ticker0001_Exchange_Sheet!$C$92:$C$108</definedName>
    <definedName name="E_ALL_SECTION_KEYWORDS_ISSR_208000149_131J" localSheetId="18">Ticker0001_Exchange_Sheet!$C$110:$C$122</definedName>
    <definedName name="E_ALL_SECTION_KEYWORDS_ISSR_208000149_131O" localSheetId="18">Ticker0001_Exchange_Sheet!$C$124:$C$126</definedName>
    <definedName name="E_ALL_SECTION_KEYWORDS_ISSR_208000149_136E" localSheetId="18">Ticker0001_Exchange_Sheet!$C$215:$C$224</definedName>
    <definedName name="E_ALL_SECTION_KEYWORDS_ISSR_208000149_136J" localSheetId="18">Ticker0001_Exchange_Sheet!$C$226:$C$235</definedName>
    <definedName name="E_ALL_SECTION_KEYWORDS_ISSR_208000149_13A" localSheetId="18">Ticker0001_Exchange_Sheet!$C$9</definedName>
    <definedName name="E_ALL_SECTION_KEYWORDS_ISSR_208000149_13U" localSheetId="18">Ticker0001_Exchange_Sheet!$C$11:$C$30</definedName>
    <definedName name="E_ALL_SECTION_KEYWORDS_ISSR_208000149_13V" localSheetId="18">Ticker0001_Exchange_Sheet!$C$32:$C$39</definedName>
    <definedName name="E_ALL_SECTION_KEYWORDS_ISSR_208000149_Reference_Data" localSheetId="18">Ticker0001_Exchange_Sheet!$C$6:$C$7</definedName>
    <definedName name="E_ALL_SECTIONS_EQTY_200000801" localSheetId="18">Ticker0001_Exchange_Sheet!$237:$237,Ticker0001_Exchange_Sheet!$244:$244,Ticker0001_Exchange_Sheet!$255:$255,Ticker0001_Exchange_Sheet!$272:$272,Ticker0001_Exchange_Sheet!$289:$289,Ticker0001_Exchange_Sheet!$291:$291,Ticker0001_Exchange_Sheet!$297:$297,Ticker0001_Exchange_Sheet!$299:$299,Ticker0001_Exchange_Sheet!$304:$304,Ticker0001_Exchange_Sheet!$306:$306</definedName>
    <definedName name="E_ALL_SECTIONS_ISSR_208000149" localSheetId="18">Ticker0001_Exchange_Sheet!$5:$5,Ticker0001_Exchange_Sheet!$8:$8,Ticker0001_Exchange_Sheet!$10:$10,Ticker0001_Exchange_Sheet!$31:$31,Ticker0001_Exchange_Sheet!$40:$40,Ticker0001_Exchange_Sheet!$71:$71,Ticker0001_Exchange_Sheet!$91:$91,Ticker0001_Exchange_Sheet!$109:$109,Ticker0001_Exchange_Sheet!$123:$123,Ticker0001_Exchange_Sheet!$127:$127,Ticker0001_Exchange_Sheet!$190:$190,Ticker0001_Exchange_Sheet!$198:$198,Ticker0001_Exchange_Sheet!$214:$214,Ticker0001_Exchange_Sheet!$225:$225</definedName>
    <definedName name="E_CURRENCY_EQTY_200000801_PRI" localSheetId="18">Ticker0001_Exchange_Sheet!$E$242</definedName>
    <definedName name="E_CURRENCY_EQTY_200000801_PRI" localSheetId="12">#REF!</definedName>
    <definedName name="E_CURRENCY_EQTY_200000801_PUB" localSheetId="18">Ticker0001_Exchange_Sheet!$E$241</definedName>
    <definedName name="E_CURRENCY_EQTY_200000801_PUB" localSheetId="12">#REF!</definedName>
    <definedName name="E_CURRENCY_EQTY_200000801_REP" localSheetId="18">Ticker0001_Exchange_Sheet!$E$243</definedName>
    <definedName name="E_CURRENCY_EQTY_200000801_REP" localSheetId="12">#REF!</definedName>
    <definedName name="E_CURRENCY_ISSR_208000149_REP" localSheetId="18">Ticker0001_Exchange_Sheet!$E$7</definedName>
    <definedName name="E_CURRENCY_ISSR_208000149_REP" localSheetId="12">#REF!</definedName>
    <definedName name="E_ENTITY_DATA_EQTY_200000801" localSheetId="18">Ticker0001_Exchange_Sheet!$E$237:$FE$309</definedName>
    <definedName name="E_ENTITY_DATA_ISSR_208000149" localSheetId="18">Ticker0001_Exchange_Sheet!$E$5:$FE$235</definedName>
    <definedName name="E_KEYWORD_EQTY_200000801_AMER_CONVICTION" localSheetId="18">Ticker0001_Exchange_Sheet!$247:$247</definedName>
    <definedName name="E_KEYWORD_EQTY_200000801_AMER_LIST" localSheetId="18">Ticker0001_Exchange_Sheet!$245:$245</definedName>
    <definedName name="E_KEYWORD_EQTY_200000801_BETA_ANALYST" localSheetId="18">Ticker0001_Exchange_Sheet!$307:$307</definedName>
    <definedName name="E_KEYWORD_EQTY_200000801_BVPS" localSheetId="18">Ticker0001_Exchange_Sheet!$298:$298</definedName>
    <definedName name="E_KEYWORD_EQTY_200000801_BVPS_PUB" localSheetId="18">Ticker0001_Exchange_Sheet!$256:$256</definedName>
    <definedName name="E_KEYWORD_EQTY_200000801_CEEE_EPS" localSheetId="18">Ticker0001_Exchange_Sheet!$261:$261</definedName>
    <definedName name="E_KEYWORD_EQTY_200000801_CEEE_NDEBT" localSheetId="18">Ticker0001_Exchange_Sheet!$266:$266</definedName>
    <definedName name="E_KEYWORD_EQTY_200000801_CF_NI_PRE_PREF" localSheetId="18">Ticker0001_Exchange_Sheet!$305:$305</definedName>
    <definedName name="E_KEYWORD_EQTY_200000801_COMMON_DIV_PAID" localSheetId="18">Ticker0001_Exchange_Sheet!$284:$284</definedName>
    <definedName name="E_KEYWORD_EQTY_200000801_CURRENCY_ISO" localSheetId="18">Ticker0001_Exchange_Sheet!$243:$243</definedName>
    <definedName name="E_KEYWORD_EQTY_200000801_DILUTE_SHARES" localSheetId="18">Ticker0001_Exchange_Sheet!$287:$287</definedName>
    <definedName name="E_KEYWORD_EQTY_200000801_DPS" localSheetId="18">Ticker0001_Exchange_Sheet!$285:$285</definedName>
    <definedName name="E_KEYWORD_EQTY_200000801_DPS_PUB" localSheetId="18">Ticker0001_Exchange_Sheet!$257:$257</definedName>
    <definedName name="E_KEYWORD_EQTY_200000801_DPS_SPECIAL_PUB" localSheetId="18">Ticker0001_Exchange_Sheet!$258:$258</definedName>
    <definedName name="E_KEYWORD_EQTY_200000801_EBIT_PUB" localSheetId="18">Ticker0001_Exchange_Sheet!$268:$268</definedName>
    <definedName name="E_KEYWORD_EQTY_200000801_EBITDA_PUB" localSheetId="18">Ticker0001_Exchange_Sheet!$259:$259</definedName>
    <definedName name="E_KEYWORD_EQTY_200000801_EPS" localSheetId="18">Ticker0001_Exchange_Sheet!$280:$280</definedName>
    <definedName name="E_KEYWORD_EQTY_200000801_EPS_EX_ESO_B" localSheetId="18">Ticker0001_Exchange_Sheet!$294:$294</definedName>
    <definedName name="E_KEYWORD_EQTY_200000801_EPS_EX_ESO_D" localSheetId="18">Ticker0001_Exchange_Sheet!$295:$295</definedName>
    <definedName name="E_KEYWORD_EQTY_200000801_EPS_FUL_DIL" localSheetId="18">Ticker0001_Exchange_Sheet!$281:$281</definedName>
    <definedName name="E_KEYWORD_EQTY_200000801_EPS_POST_BASIC" localSheetId="18">Ticker0001_Exchange_Sheet!$282:$282</definedName>
    <definedName name="E_KEYWORD_EQTY_200000801_EPS_PUB" localSheetId="18">Ticker0001_Exchange_Sheet!$260:$260</definedName>
    <definedName name="E_KEYWORD_EQTY_200000801_EPS_PUB_EX_ESO" localSheetId="18">Ticker0001_Exchange_Sheet!$262:$262</definedName>
    <definedName name="E_KEYWORD_EQTY_200000801_EQ_PUB" localSheetId="18">Ticker0001_Exchange_Sheet!$271:$271</definedName>
    <definedName name="E_KEYWORD_EQTY_200000801_ESO_POST_TAX" localSheetId="18">Ticker0001_Exchange_Sheet!$293:$293</definedName>
    <definedName name="E_KEYWORD_EQTY_200000801_ESO_YEAR" localSheetId="18">Ticker0001_Exchange_Sheet!$296:$296</definedName>
    <definedName name="E_KEYWORD_EQTY_200000801_EV_ADJ_PUB" localSheetId="18">Ticker0001_Exchange_Sheet!$263:$263</definedName>
    <definedName name="E_KEYWORD_EQTY_200000801_FREE_FLOAT" localSheetId="18">Ticker0001_Exchange_Sheet!$254:$254</definedName>
    <definedName name="E_KEYWORD_EQTY_200000801_FULLY_DIL_EPS" localSheetId="18">Ticker0001_Exchange_Sheet!$283:$283</definedName>
    <definedName name="E_KEYWORD_EQTY_200000801_FV_GRANT" localSheetId="18">Ticker0001_Exchange_Sheet!$292:$292</definedName>
    <definedName name="E_KEYWORD_EQTY_200000801_INC_MINORITY" localSheetId="18">Ticker0001_Exchange_Sheet!$274:$274</definedName>
    <definedName name="E_KEYWORD_EQTY_200000801_Interim_Type" localSheetId="18">Ticker0001_Exchange_Sheet!$240:$240</definedName>
    <definedName name="E_KEYWORD_EQTY_200000801_LEGAL_RATING" localSheetId="18">Ticker0001_Exchange_Sheet!$248:$248</definedName>
    <definedName name="E_KEYWORD_EQTY_200000801_MARGIN_TAX_RATE" localSheetId="18">Ticker0001_Exchange_Sheet!$290:$290</definedName>
    <definedName name="E_KEYWORD_EQTY_200000801_MKT_EQ_RISK_PREM" localSheetId="18">Ticker0001_Exchange_Sheet!$308:$308</definedName>
    <definedName name="E_KEYWORD_EQTY_200000801_NET_DEBT_EX_LEASES_PUB" localSheetId="18">Ticker0001_Exchange_Sheet!$265:$265</definedName>
    <definedName name="E_KEYWORD_EQTY_200000801_NET_DEBT_PUB" localSheetId="18">Ticker0001_Exchange_Sheet!$264:$264</definedName>
    <definedName name="E_KEYWORD_EQTY_200000801_NET_EARNING" localSheetId="18">Ticker0001_Exchange_Sheet!$277:$277</definedName>
    <definedName name="E_KEYWORD_EQTY_200000801_NET_INC" localSheetId="18">Ticker0001_Exchange_Sheet!$279:$279</definedName>
    <definedName name="E_KEYWORD_EQTY_200000801_NI_PRE_PREF" localSheetId="18">Ticker0001_Exchange_Sheet!$275:$275</definedName>
    <definedName name="E_KEYWORD_EQTY_200000801_NI_PUB" localSheetId="18">Ticker0001_Exchange_Sheet!$267:$267</definedName>
    <definedName name="E_KEYWORD_EQTY_200000801_NON_OP_ADD" localSheetId="18">Ticker0001_Exchange_Sheet!$288:$288</definedName>
    <definedName name="E_KEYWORD_EQTY_200000801_NOT_IN_USE" localSheetId="18">Ticker0001_Exchange_Sheet!$246:$246</definedName>
    <definedName name="E_KEYWORD_EQTY_200000801_NUM_SH" localSheetId="18">Ticker0001_Exchange_Sheet!$253:$253</definedName>
    <definedName name="E_KEYWORD_EQTY_200000801_PREF_DIV" localSheetId="18">Ticker0001_Exchange_Sheet!$276:$276</definedName>
    <definedName name="E_KEYWORD_EQTY_200000801_PRICE_CURRENCY_ISO" localSheetId="18">Ticker0001_Exchange_Sheet!$242:$242</definedName>
    <definedName name="E_KEYWORD_EQTY_200000801_PROV_INC_TAX" localSheetId="18">Ticker0001_Exchange_Sheet!$273:$273</definedName>
    <definedName name="E_KEYWORD_EQTY_200000801_PTP_PUB" localSheetId="18">Ticker0001_Exchange_Sheet!$269:$269</definedName>
    <definedName name="E_KEYWORD_EQTY_200000801_PUB_CURRENCY_ISO" localSheetId="18">Ticker0001_Exchange_Sheet!$241:$241</definedName>
    <definedName name="E_KEYWORD_EQTY_200000801_REPUR_ACTUAL" localSheetId="18">Ticker0001_Exchange_Sheet!$303:$303</definedName>
    <definedName name="E_KEYWORD_EQTY_200000801_REPUR_REMAINING" localSheetId="18">Ticker0001_Exchange_Sheet!$301:$301</definedName>
    <definedName name="E_KEYWORD_EQTY_200000801_REPUR_SUSPENDED" localSheetId="18">Ticker0001_Exchange_Sheet!$302:$302</definedName>
    <definedName name="E_KEYWORD_EQTY_200000801_REPUR_TOT_AUTH" localSheetId="18">Ticker0001_Exchange_Sheet!$300:$300</definedName>
    <definedName name="E_KEYWORD_EQTY_200000801_REVS_PUB" localSheetId="18">Ticker0001_Exchange_Sheet!$270:$270</definedName>
    <definedName name="E_KEYWORD_EQTY_200000801_RISK_FR_RATE" localSheetId="18">Ticker0001_Exchange_Sheet!$309:$309</definedName>
    <definedName name="E_KEYWORD_EQTY_200000801_Security_Name" localSheetId="18">Ticker0001_Exchange_Sheet!$239:$239</definedName>
    <definedName name="E_KEYWORD_EQTY_200000801_SH" localSheetId="18">Ticker0001_Exchange_Sheet!$286:$286</definedName>
    <definedName name="E_KEYWORD_EQTY_200000801_TARGET_PRICE" localSheetId="18">Ticker0001_Exchange_Sheet!$249:$249</definedName>
    <definedName name="E_KEYWORD_EQTY_200000801_TARGET_PRICE_FUNDAMENTAL" localSheetId="18">Ticker0001_Exchange_Sheet!$251:$251</definedName>
    <definedName name="E_KEYWORD_EQTY_200000801_TARGET_PRICE_MA" localSheetId="18">Ticker0001_Exchange_Sheet!$252:$252</definedName>
    <definedName name="E_KEYWORD_EQTY_200000801_TAX_EXC" localSheetId="18">Ticker0001_Exchange_Sheet!$278:$278</definedName>
    <definedName name="E_KEYWORD_EQTY_200000801_Ticker" localSheetId="18">Ticker0001_Exchange_Sheet!$238:$238</definedName>
    <definedName name="E_KEYWORD_EQTY_200000801_TP_PERIOD" localSheetId="18">Ticker0001_Exchange_Sheet!$250:$250</definedName>
    <definedName name="E_KEYWORD_ISSR_208000149_ACC_AMORT" localSheetId="18">Ticker0001_Exchange_Sheet!$50:$50</definedName>
    <definedName name="E_KEYWORD_ISSR_208000149_ACC_DDA" localSheetId="18">Ticker0001_Exchange_Sheet!$47:$47</definedName>
    <definedName name="E_KEYWORD_ISSR_208000149_ACC_END_DATE" localSheetId="18">Ticker0001_Exchange_Sheet!$3:$3</definedName>
    <definedName name="E_KEYWORD_ISSR_208000149_ACC_PAY_GQ" localSheetId="18">Ticker0001_Exchange_Sheet!$56:$56</definedName>
    <definedName name="E_KEYWORD_ISSR_208000149_ACQ" localSheetId="18">Ticker0001_Exchange_Sheet!$98:$98</definedName>
    <definedName name="E_KEYWORD_ISSR_208000149_ADJ_UNF_PENS_GOOD" localSheetId="18">Ticker0001_Exchange_Sheet!$86:$86</definedName>
    <definedName name="E_KEYWORD_ISSR_208000149_ASSOC_JV_ADDBK" localSheetId="18">Ticker0001_Exchange_Sheet!$110:$110</definedName>
    <definedName name="E_KEYWORD_ISSR_208000149_ASSOCIATE" localSheetId="18">Ticker0001_Exchange_Sheet!$27:$27</definedName>
    <definedName name="E_KEYWORD_ISSR_208000149_ASSOCIATE_OP" localSheetId="18">Ticker0001_Exchange_Sheet!$36:$36</definedName>
    <definedName name="E_KEYWORD_ISSR_208000149_AVG_AGE_CUST" localSheetId="18">Ticker0001_Exchange_Sheet!$126:$126</definedName>
    <definedName name="E_KEYWORD_ISSR_208000149_AVG_HSHLD_INC_CUST" localSheetId="18">Ticker0001_Exchange_Sheet!$125:$125</definedName>
    <definedName name="E_KEYWORD_ISSR_208000149_BAL_MINO_INT" localSheetId="18">Ticker0001_Exchange_Sheet!$89:$89</definedName>
    <definedName name="E_KEYWORD_ISSR_208000149_CAP_LEASES" localSheetId="18">Ticker0001_Exchange_Sheet!$77:$77</definedName>
    <definedName name="E_KEYWORD_ISSR_208000149_CAPEX" localSheetId="18">Ticker0001_Exchange_Sheet!$97:$97</definedName>
    <definedName name="E_KEYWORD_ISSR_208000149_CAPEX_EXPANSION" localSheetId="18">Ticker0001_Exchange_Sheet!$120:$120</definedName>
    <definedName name="E_KEYWORD_ISSR_208000149_CAPEX_MAINTENANCE" localSheetId="18">Ticker0001_Exchange_Sheet!$119:$119</definedName>
    <definedName name="E_KEYWORD_ISSR_208000149_CASH_EQ" localSheetId="18">Ticker0001_Exchange_Sheet!$41:$41</definedName>
    <definedName name="E_KEYWORD_ISSR_208000149_CASH_INT_EXP" localSheetId="18">Ticker0001_Exchange_Sheet!$116:$116</definedName>
    <definedName name="E_KEYWORD_ISSR_208000149_CASH_PCT_OS_US" localSheetId="18">Ticker0001_Exchange_Sheet!$187:$187</definedName>
    <definedName name="E_KEYWORD_ISSR_208000149_CASH_TAX_EXP" localSheetId="18">Ticker0001_Exchange_Sheet!$117:$117</definedName>
    <definedName name="E_KEYWORD_ISSR_208000149_CF_FIN" localSheetId="18">Ticker0001_Exchange_Sheet!$107:$107</definedName>
    <definedName name="E_KEYWORD_ISSR_208000149_CF_INC_MINORITY" localSheetId="18">Ticker0001_Exchange_Sheet!$92:$92</definedName>
    <definedName name="E_KEYWORD_ISSR_208000149_CF_INV" localSheetId="18">Ticker0001_Exchange_Sheet!$101:$101</definedName>
    <definedName name="E_KEYWORD_ISSR_208000149_CF_OPS" localSheetId="18">Ticker0001_Exchange_Sheet!$96:$96</definedName>
    <definedName name="E_KEYWORD_ISSR_208000149_CHG_DEF_TAX_CF" localSheetId="18">Ticker0001_Exchange_Sheet!$114:$114</definedName>
    <definedName name="E_KEYWORD_ISSR_208000149_CHG_LT_DEBT" localSheetId="18">Ticker0001_Exchange_Sheet!$104:$104</definedName>
    <definedName name="E_KEYWORD_ISSR_208000149_CO_BOR_MARGIN" localSheetId="18">Ticker0001_Exchange_Sheet!$82:$82</definedName>
    <definedName name="E_KEYWORD_ISSR_208000149_COGS_PCT_ROW" localSheetId="18">Ticker0001_Exchange_Sheet!$178:$178</definedName>
    <definedName name="E_KEYWORD_ISSR_208000149_COGS_PCT_US" localSheetId="18">Ticker0001_Exchange_Sheet!$177:$177</definedName>
    <definedName name="E_KEYWORD_ISSR_208000149_COST_GD_SD" localSheetId="18">Ticker0001_Exchange_Sheet!$12:$12</definedName>
    <definedName name="E_KEYWORD_ISSR_208000149_CUR_ASS" localSheetId="18">Ticker0001_Exchange_Sheet!$45:$45</definedName>
    <definedName name="E_KEYWORD_ISSR_208000149_CURRENCY_ISO" localSheetId="18">Ticker0001_Exchange_Sheet!$7:$7</definedName>
    <definedName name="E_KEYWORD_ISSR_208000149_DEBTORS" localSheetId="18">Ticker0001_Exchange_Sheet!$42:$42</definedName>
    <definedName name="E_KEYWORD_ISSR_208000149_DEF_INC_TAX" localSheetId="18">Ticker0001_Exchange_Sheet!$78:$78</definedName>
    <definedName name="E_KEYWORD_ISSR_208000149_DEPR_AMORT" localSheetId="18">Ticker0001_Exchange_Sheet!$93:$93</definedName>
    <definedName name="E_KEYWORD_ISSR_208000149_DEPR_ROU_ASSETS" localSheetId="18">Ticker0001_Exchange_Sheet!$37:$37</definedName>
    <definedName name="E_KEYWORD_ISSR_208000149_DEPREC" localSheetId="18">Ticker0001_Exchange_Sheet!$21:$21</definedName>
    <definedName name="E_KEYWORD_ISSR_208000149_DIV_PAID" localSheetId="18">Ticker0001_Exchange_Sheet!$102:$102</definedName>
    <definedName name="E_KEYWORD_ISSR_208000149_DIVDS_ASSOC_JV" localSheetId="18">Ticker0001_Exchange_Sheet!$118:$118</definedName>
    <definedName name="E_KEYWORD_ISSR_208000149_DIVDS_PD_MINORITIES" localSheetId="18">Ticker0001_Exchange_Sheet!$122:$122</definedName>
    <definedName name="E_KEYWORD_ISSR_208000149_DIVEST" localSheetId="18">Ticker0001_Exchange_Sheet!$99:$99</definedName>
    <definedName name="E_KEYWORD_ISSR_208000149_EBIT" localSheetId="18">Ticker0001_Exchange_Sheet!$23:$23</definedName>
    <definedName name="E_KEYWORD_ISSR_208000149_EBIT_FIN_SEGMENT" localSheetId="18">Ticker0001_Exchange_Sheet!$189:$189</definedName>
    <definedName name="E_KEYWORD_ISSR_208000149_EBITDA_CALC" localSheetId="18">Ticker0001_Exchange_Sheet!$20:$20</definedName>
    <definedName name="E_KEYWORD_ISSR_208000149_EMPLOYEES" localSheetId="18">Ticker0001_Exchange_Sheet!$124:$124</definedName>
    <definedName name="E_KEYWORD_ISSR_208000149_EQ" localSheetId="18">Ticker0001_Exchange_Sheet!$69:$69</definedName>
    <definedName name="E_KEYWORD_ISSR_208000149_ESO_PRE_TAX" localSheetId="18">Ticker0001_Exchange_Sheet!$16:$16</definedName>
    <definedName name="E_KEYWORD_ISSR_208000149_EXP_GLASS" localSheetId="18">Ticker0001_Exchange_Sheet!$194:$194</definedName>
    <definedName name="E_KEYWORD_ISSR_208000149_EXP_OIL_DERIV_NGLS_PLASTICS" localSheetId="18">Ticker0001_Exchange_Sheet!$192:$192</definedName>
    <definedName name="E_KEYWORD_ISSR_208000149_EXP_OIL_PETRO_FUEL" localSheetId="18">Ticker0001_Exchange_Sheet!$191:$191</definedName>
    <definedName name="E_KEYWORD_ISSR_208000149_EXP_OTH_COMMODITY" localSheetId="18">Ticker0001_Exchange_Sheet!$196:$196</definedName>
    <definedName name="E_KEYWORD_ISSR_208000149_EXP_OTH_COST" localSheetId="18">Ticker0001_Exchange_Sheet!$197:$197</definedName>
    <definedName name="E_KEYWORD_ISSR_208000149_EXP_PAPER_PULP" localSheetId="18">Ticker0001_Exchange_Sheet!$193:$193</definedName>
    <definedName name="E_KEYWORD_ISSR_208000149_EXP_WATER" localSheetId="18">Ticker0001_Exchange_Sheet!$195:$195</definedName>
    <definedName name="E_KEYWORD_ISSR_208000149_FIX_ASS_INV" localSheetId="18">Ticker0001_Exchange_Sheet!$52:$52</definedName>
    <definedName name="E_KEYWORD_ISSR_208000149_FLOATING_PCT_LOCAL_DEBT" localSheetId="18">Ticker0001_Exchange_Sheet!$74:$74</definedName>
    <definedName name="E_KEYWORD_ISSR_208000149_FLOATING_PCT_LOCAL_DEBT_HEDGED" localSheetId="18">Ticker0001_Exchange_Sheet!$75:$75</definedName>
    <definedName name="E_KEYWORD_ISSR_208000149_FOREX" localSheetId="18">Ticker0001_Exchange_Sheet!$226:$226</definedName>
    <definedName name="E_KEYWORD_ISSR_208000149_GCI_INFL" localSheetId="18">Ticker0001_Exchange_Sheet!$88:$88</definedName>
    <definedName name="E_KEYWORD_ISSR_208000149_GOODWILL_AMORT" localSheetId="18">Ticker0001_Exchange_Sheet!$22:$22</definedName>
    <definedName name="E_KEYWORD_ISSR_208000149_GR_FIX_ASS" localSheetId="18">Ticker0001_Exchange_Sheet!$46:$46</definedName>
    <definedName name="E_KEYWORD_ISSR_208000149_GR_INTANG" localSheetId="18">Ticker0001_Exchange_Sheet!$49:$49</definedName>
    <definedName name="E_KEYWORD_ISSR_208000149_INS_TOT_HOMEOWNERS_PIF_GRTH" localSheetId="18">Ticker0001_Exchange_Sheet!$235:$235</definedName>
    <definedName name="E_KEYWORD_ISSR_208000149_INT_EXP_IND" localSheetId="18">Ticker0001_Exchange_Sheet!$25:$25</definedName>
    <definedName name="E_KEYWORD_ISSR_208000149_INT_INC_IND" localSheetId="18">Ticker0001_Exchange_Sheet!$24:$24</definedName>
    <definedName name="E_KEYWORD_ISSR_208000149_INV_SECUR" localSheetId="18">Ticker0001_Exchange_Sheet!$53:$53</definedName>
    <definedName name="E_KEYWORD_ISSR_208000149_Issuer_Name" localSheetId="18">Ticker0001_Exchange_Sheet!$6:$6</definedName>
    <definedName name="E_KEYWORD_ISSR_208000149_LEASE_ADOPT" localSheetId="18">Ticker0001_Exchange_Sheet!$39:$39</definedName>
    <definedName name="E_KEYWORD_ISSR_208000149_LEASE_DEEM_DEPR" localSheetId="18">Ticker0001_Exchange_Sheet!$34:$34</definedName>
    <definedName name="E_KEYWORD_ISSR_208000149_LEASE_DEEM_INT" localSheetId="18">Ticker0001_Exchange_Sheet!$33:$33</definedName>
    <definedName name="E_KEYWORD_ISSR_208000149_LEASE_INT_CHG" localSheetId="18">Ticker0001_Exchange_Sheet!$38:$38</definedName>
    <definedName name="E_KEYWORD_ISSR_208000149_LEASE_PAY" localSheetId="18">Ticker0001_Exchange_Sheet!$32:$32</definedName>
    <definedName name="E_KEYWORD_ISSR_208000149_LEASE_PRINCIPAL_CASH" localSheetId="18">Ticker0001_Exchange_Sheet!$105:$105</definedName>
    <definedName name="E_KEYWORD_ISSR_208000149_LT_DEBT" localSheetId="18">Ticker0001_Exchange_Sheet!$61:$61</definedName>
    <definedName name="E_KEYWORD_ISSR_208000149_LT_LEASE_LIAB" localSheetId="18">Ticker0001_Exchange_Sheet!$62:$62</definedName>
    <definedName name="E_KEYWORD_ISSR_208000149_MA_PROB" localSheetId="18">Ticker0001_Exchange_Sheet!$9:$9</definedName>
    <definedName name="E_KEYWORD_ISSR_208000149_MINORITIES" localSheetId="18">Ticker0001_Exchange_Sheet!$68:$68</definedName>
    <definedName name="E_KEYWORD_ISSR_208000149_MV_ASSOCIATES" localSheetId="18">Ticker0001_Exchange_Sheet!$80:$80</definedName>
    <definedName name="E_KEYWORD_ISSR_208000149_NET_DEBT" localSheetId="18">Ticker0001_Exchange_Sheet!$76:$76</definedName>
    <definedName name="E_KEYWORD_ISSR_208000149_NET_DEBT_ADJ" localSheetId="18">Ticker0001_Exchange_Sheet!$81:$81</definedName>
    <definedName name="E_KEYWORD_ISSR_208000149_NET_FIX_ASS" localSheetId="18">Ticker0001_Exchange_Sheet!$48:$48</definedName>
    <definedName name="E_KEYWORD_ISSR_208000149_NET_INT_CH" localSheetId="18">Ticker0001_Exchange_Sheet!$35:$35</definedName>
    <definedName name="E_KEYWORD_ISSR_208000149_NET_INT_EXP" localSheetId="18">Ticker0001_Exchange_Sheet!$26:$26</definedName>
    <definedName name="E_KEYWORD_ISSR_208000149_NET_INTANG" localSheetId="18">Ticker0001_Exchange_Sheet!$51:$51</definedName>
    <definedName name="E_KEYWORD_ISSR_208000149_NET_OP_LOSS_CFWD" localSheetId="18">Ticker0001_Exchange_Sheet!$79:$79</definedName>
    <definedName name="E_KEYWORD_ISSR_208000149_NONPPE_CAPEX" localSheetId="18">Ticker0001_Exchange_Sheet!$121:$121</definedName>
    <definedName name="E_KEYWORD_ISSR_208000149_OP_COST" localSheetId="18">Ticker0001_Exchange_Sheet!$14:$14</definedName>
    <definedName name="E_KEYWORD_ISSR_208000149_ORD_SH_FUND" localSheetId="18">Ticker0001_Exchange_Sheet!$67:$67</definedName>
    <definedName name="E_KEYWORD_ISSR_208000149_OTH_ADJ_CASH_TAX" localSheetId="18">Ticker0001_Exchange_Sheet!$115:$115</definedName>
    <definedName name="E_KEYWORD_ISSR_208000149_OTH_COST_INC" localSheetId="18">Ticker0001_Exchange_Sheet!$29:$29</definedName>
    <definedName name="E_KEYWORD_ISSR_208000149_OTH_CUR_ASS" localSheetId="18">Ticker0001_Exchange_Sheet!$44:$44</definedName>
    <definedName name="E_KEYWORD_ISSR_208000149_OTH_CUR_LIABS" localSheetId="18">Ticker0001_Exchange_Sheet!$59:$59</definedName>
    <definedName name="E_KEYWORD_ISSR_208000149_OTH_DACF_ADJ" localSheetId="18">Ticker0001_Exchange_Sheet!$113:$113</definedName>
    <definedName name="E_KEYWORD_ISSR_208000149_OTH_FIN_CF" localSheetId="18">Ticker0001_Exchange_Sheet!$106:$106</definedName>
    <definedName name="E_KEYWORD_ISSR_208000149_OTH_GCI_ADJ" localSheetId="18">Ticker0001_Exchange_Sheet!$87:$87</definedName>
    <definedName name="E_KEYWORD_ISSR_208000149_OTH_INV_CF" localSheetId="18">Ticker0001_Exchange_Sheet!$100:$100</definedName>
    <definedName name="E_KEYWORD_ISSR_208000149_OTH_LT_ASS" localSheetId="18">Ticker0001_Exchange_Sheet!$54:$54</definedName>
    <definedName name="E_KEYWORD_ISSR_208000149_OTH_LT_CRED_GQ" localSheetId="18">Ticker0001_Exchange_Sheet!$63:$63</definedName>
    <definedName name="E_KEYWORD_ISSR_208000149_OTH_NONCASH_ADJ" localSheetId="18">Ticker0001_Exchange_Sheet!$112:$112</definedName>
    <definedName name="E_KEYWORD_ISSR_208000149_OTH_OP_CF" localSheetId="18">Ticker0001_Exchange_Sheet!$95:$95</definedName>
    <definedName name="E_KEYWORD_ISSR_208000149_OTH_OP_INC_EXP" localSheetId="18">Ticker0001_Exchange_Sheet!$17:$17</definedName>
    <definedName name="E_KEYWORD_ISSR_208000149_PERIOD_MILESTONE" localSheetId="18">Ticker0001_Exchange_Sheet!$2:$2</definedName>
    <definedName name="E_KEYWORD_ISSR_208000149_PL_SALE_ASSETS" localSheetId="18">Ticker0001_Exchange_Sheet!$111:$111</definedName>
    <definedName name="E_KEYWORD_ISSR_208000149_PREF_SH" localSheetId="18">Ticker0001_Exchange_Sheet!$66:$66</definedName>
    <definedName name="E_KEYWORD_ISSR_208000149_PROFIT_ON_DISP" localSheetId="18">Ticker0001_Exchange_Sheet!$28:$28</definedName>
    <definedName name="E_KEYWORD_ISSR_208000149_PT_PROF" localSheetId="18">Ticker0001_Exchange_Sheet!$30:$30</definedName>
    <definedName name="E_KEYWORD_ISSR_208000149_RD_EXP" localSheetId="18">Ticker0001_Exchange_Sheet!$15:$15</definedName>
    <definedName name="E_KEYWORD_ISSR_208000149_REV_FIN_SEGMENT" localSheetId="18">Ticker0001_Exchange_Sheet!$188:$188</definedName>
    <definedName name="E_KEYWORD_ISSR_208000149_REV_SEG1_NAME" localSheetId="18">Ticker0001_Exchange_Sheet!$227:$227</definedName>
    <definedName name="E_KEYWORD_ISSR_208000149_REV_SEG1_VALUE" localSheetId="18">Ticker0001_Exchange_Sheet!$231:$231</definedName>
    <definedName name="E_KEYWORD_ISSR_208000149_REV_SEG2_NAME" localSheetId="18">Ticker0001_Exchange_Sheet!$228:$228</definedName>
    <definedName name="E_KEYWORD_ISSR_208000149_REV_SEG2_VALUE" localSheetId="18">Ticker0001_Exchange_Sheet!$232:$232</definedName>
    <definedName name="E_KEYWORD_ISSR_208000149_REV_SEG3_NAME" localSheetId="18">Ticker0001_Exchange_Sheet!$229:$229</definedName>
    <definedName name="E_KEYWORD_ISSR_208000149_REV_SEG3_VALUE" localSheetId="18">Ticker0001_Exchange_Sheet!$233:$233</definedName>
    <definedName name="E_KEYWORD_ISSR_208000149_REV_SEG4_NAME" localSheetId="18">Ticker0001_Exchange_Sheet!$230:$230</definedName>
    <definedName name="E_KEYWORD_ISSR_208000149_REV_SEG4_VALUE" localSheetId="18">Ticker0001_Exchange_Sheet!$234:$234</definedName>
    <definedName name="E_KEYWORD_ISSR_208000149_ROU_ASSET" localSheetId="18">Ticker0001_Exchange_Sheet!$90:$90</definedName>
    <definedName name="E_KEYWORD_ISSR_208000149_SALES" localSheetId="18">Ticker0001_Exchange_Sheet!$11:$11</definedName>
    <definedName name="E_KEYWORD_ISSR_208000149_SALES_ARGENTINA" localSheetId="18">Ticker0001_Exchange_Sheet!$131:$131</definedName>
    <definedName name="E_KEYWORD_ISSR_208000149_SALES_AUSTRA" localSheetId="18">Ticker0001_Exchange_Sheet!$174:$174</definedName>
    <definedName name="E_KEYWORD_ISSR_208000149_SALES_AUSTRIA" localSheetId="18">Ticker0001_Exchange_Sheet!$138:$138</definedName>
    <definedName name="E_KEYWORD_ISSR_208000149_SALES_COMPANY0377" localSheetId="18">Ticker0001_Exchange_Sheet!$139:$139</definedName>
    <definedName name="E_KEYWORD_ISSR_208000149_SALES_BRAZIL" localSheetId="18">Ticker0001_Exchange_Sheet!$132:$132</definedName>
    <definedName name="E_KEYWORD_ISSR_208000149_SALES_CANADA" localSheetId="18">Ticker0001_Exchange_Sheet!$128:$128</definedName>
    <definedName name="E_KEYWORD_ISSR_208000149_SALES_CEE" localSheetId="18">Ticker0001_Exchange_Sheet!$219:$219</definedName>
    <definedName name="E_KEYWORD_ISSR_208000149_SALES_CHILE" localSheetId="18">Ticker0001_Exchange_Sheet!$133:$133</definedName>
    <definedName name="E_KEYWORD_ISSR_208000149_SALES_CHINA" localSheetId="18">Ticker0001_Exchange_Sheet!$169:$169</definedName>
    <definedName name="E_KEYWORD_ISSR_208000149_SALES_COLOMBIA" localSheetId="18">Ticker0001_Exchange_Sheet!$134:$134</definedName>
    <definedName name="E_KEYWORD_ISSR_208000149_SALES_CONS" localSheetId="18">Ticker0001_Exchange_Sheet!$181:$181</definedName>
    <definedName name="E_KEYWORD_ISSR_208000149_SALES_EU_EX_UK" localSheetId="18">Ticker0001_Exchange_Sheet!$218:$218</definedName>
    <definedName name="E_KEYWORD_ISSR_208000149_SALES_FINAN" localSheetId="18">Ticker0001_Exchange_Sheet!$184:$184</definedName>
    <definedName name="E_KEYWORD_ISSR_208000149_SALES_FRA" localSheetId="18">Ticker0001_Exchange_Sheet!$140:$140</definedName>
    <definedName name="E_KEYWORD_ISSR_208000149_SALES_FX_ARS" localSheetId="18">Ticker0001_Exchange_Sheet!$210:$210</definedName>
    <definedName name="E_KEYWORD_ISSR_208000149_SALES_FX_BRL" localSheetId="18">Ticker0001_Exchange_Sheet!$203:$203</definedName>
    <definedName name="E_KEYWORD_ISSR_208000149_SALES_FX_CAD" localSheetId="18">Ticker0001_Exchange_Sheet!$207:$207</definedName>
    <definedName name="E_KEYWORD_ISSR_208000149_SALES_FX_CLP" localSheetId="18">Ticker0001_Exchange_Sheet!$211:$211</definedName>
    <definedName name="E_KEYWORD_ISSR_208000149_SALES_FX_CNY" localSheetId="18">Ticker0001_Exchange_Sheet!$205:$205</definedName>
    <definedName name="E_KEYWORD_ISSR_208000149_SALES_FX_COP" localSheetId="18">Ticker0001_Exchange_Sheet!$209:$209</definedName>
    <definedName name="E_KEYWORD_ISSR_208000149_SALES_FX_EUR" localSheetId="18">Ticker0001_Exchange_Sheet!$200:$200</definedName>
    <definedName name="E_KEYWORD_ISSR_208000149_SALES_FX_GPB" localSheetId="18">Ticker0001_Exchange_Sheet!$199:$199</definedName>
    <definedName name="E_KEYWORD_ISSR_208000149_SALES_FX_INR" localSheetId="18">Ticker0001_Exchange_Sheet!$206:$206</definedName>
    <definedName name="E_KEYWORD_ISSR_208000149_SALES_FX_MXN" localSheetId="18">Ticker0001_Exchange_Sheet!$208:$208</definedName>
    <definedName name="E_KEYWORD_ISSR_208000149_SALES_FX_OTH" localSheetId="18">Ticker0001_Exchange_Sheet!$213:$213</definedName>
    <definedName name="E_KEYWORD_ISSR_208000149_SALES_FX_RUB" localSheetId="18">Ticker0001_Exchange_Sheet!$201:$201</definedName>
    <definedName name="E_KEYWORD_ISSR_208000149_SALES_FX_USD" localSheetId="18">Ticker0001_Exchange_Sheet!$202:$202</definedName>
    <definedName name="E_KEYWORD_ISSR_208000149_SALES_FX_VEF" localSheetId="18">Ticker0001_Exchange_Sheet!$212:$212</definedName>
    <definedName name="E_KEYWORD_ISSR_208000149_SALES_FX_YEN" localSheetId="18">Ticker0001_Exchange_Sheet!$204:$204</definedName>
    <definedName name="E_KEYWORD_ISSR_208000149_SALES_GER" localSheetId="18">Ticker0001_Exchange_Sheet!$141:$141</definedName>
    <definedName name="E_KEYWORD_ISSR_208000149_SALES_GOV" localSheetId="18">Ticker0001_Exchange_Sheet!$183:$183</definedName>
    <definedName name="E_KEYWORD_ISSR_208000149_SALES_GRE" localSheetId="18">Ticker0001_Exchange_Sheet!$142:$142</definedName>
    <definedName name="E_KEYWORD_ISSR_208000149_SALES_HONG_KONG" localSheetId="18">Ticker0001_Exchange_Sheet!$163:$163</definedName>
    <definedName name="E_KEYWORD_ISSR_208000149_SALES_IND" localSheetId="18">Ticker0001_Exchange_Sheet!$182:$182</definedName>
    <definedName name="E_KEYWORD_ISSR_208000149_SALES_INDIA" localSheetId="18">Ticker0001_Exchange_Sheet!$170:$170</definedName>
    <definedName name="E_KEYWORD_ISSR_208000149_SALES_INDONESIA" localSheetId="18">Ticker0001_Exchange_Sheet!$171:$171</definedName>
    <definedName name="E_KEYWORD_ISSR_208000149_SALES_IRE" localSheetId="18">Ticker0001_Exchange_Sheet!$143:$143</definedName>
    <definedName name="E_KEYWORD_ISSR_208000149_SALES_ITA" localSheetId="18">Ticker0001_Exchange_Sheet!$144:$144</definedName>
    <definedName name="E_KEYWORD_ISSR_208000149_SALES_JAPAN" localSheetId="18">Ticker0001_Exchange_Sheet!$164:$164</definedName>
    <definedName name="E_KEYWORD_ISSR_208000149_SALES_ME" localSheetId="18">Ticker0001_Exchange_Sheet!$220:$220</definedName>
    <definedName name="E_KEYWORD_ISSR_208000149_SALES_MEXICO" localSheetId="18">Ticker0001_Exchange_Sheet!$135:$135</definedName>
    <definedName name="E_KEYWORD_ISSR_208000149_SALES_NETH" localSheetId="18">Ticker0001_Exchange_Sheet!$145:$145</definedName>
    <definedName name="E_KEYWORD_ISSR_208000149_SALES_NIGERIA" localSheetId="18">Ticker0001_Exchange_Sheet!$160:$160</definedName>
    <definedName name="E_KEYWORD_ISSR_208000149_SALES_NOR" localSheetId="18">Ticker0001_Exchange_Sheet!$146:$146</definedName>
    <definedName name="E_KEYWORD_ISSR_208000149_SALES_NZ" localSheetId="18">Ticker0001_Exchange_Sheet!$175:$175</definedName>
    <definedName name="E_KEYWORD_ISSR_208000149_SALES_OIL_GAS" localSheetId="18">Ticker0001_Exchange_Sheet!$185:$185</definedName>
    <definedName name="E_KEYWORD_ISSR_208000149_SALES_OTH_AEJ" localSheetId="18">Ticker0001_Exchange_Sheet!$224:$224</definedName>
    <definedName name="E_KEYWORD_ISSR_208000149_SALES_OTH_AFRICA" localSheetId="18">Ticker0001_Exchange_Sheet!$162:$162</definedName>
    <definedName name="E_KEYWORD_ISSR_208000149_SALES_OTH_AM" localSheetId="18">Ticker0001_Exchange_Sheet!$216:$216</definedName>
    <definedName name="E_KEYWORD_ISSR_208000149_SALES_OTH_CEE" localSheetId="18">Ticker0001_Exchange_Sheet!$156:$156</definedName>
    <definedName name="E_KEYWORD_ISSR_208000149_SALES_OTH_DEV_ASIA" localSheetId="18">Ticker0001_Exchange_Sheet!$168:$168</definedName>
    <definedName name="E_KEYWORD_ISSR_208000149_SALES_OTH_EMEA" localSheetId="18">Ticker0001_Exchange_Sheet!$222:$222</definedName>
    <definedName name="E_KEYWORD_ISSR_208000149_SALES_OTH_EMERG_ASIA" localSheetId="18">Ticker0001_Exchange_Sheet!$173:$173</definedName>
    <definedName name="E_KEYWORD_ISSR_208000149_SALES_OTH_LATAM" localSheetId="18">Ticker0001_Exchange_Sheet!$137:$137</definedName>
    <definedName name="E_KEYWORD_ISSR_208000149_SALES_OTH_ME" localSheetId="18">Ticker0001_Exchange_Sheet!$159:$159</definedName>
    <definedName name="E_KEYWORD_ISSR_208000149_SALES_OTH_NO_AMER" localSheetId="18">Ticker0001_Exchange_Sheet!$130:$130</definedName>
    <definedName name="E_KEYWORD_ISSR_208000149_SALES_OTH_WEST_EURO" localSheetId="18">Ticker0001_Exchange_Sheet!$152:$152</definedName>
    <definedName name="E_KEYWORD_ISSR_208000149_SALES_OTHER" localSheetId="18">Ticker0001_Exchange_Sheet!$176:$176</definedName>
    <definedName name="E_KEYWORD_ISSR_208000149_SALES_POLAND" localSheetId="18">Ticker0001_Exchange_Sheet!$153:$153</definedName>
    <definedName name="E_KEYWORD_ISSR_208000149_SALES_POR" localSheetId="18">Ticker0001_Exchange_Sheet!$147:$147</definedName>
    <definedName name="E_KEYWORD_ISSR_208000149_SALES_RUSSIA" localSheetId="18">Ticker0001_Exchange_Sheet!$154:$154</definedName>
    <definedName name="E_KEYWORD_ISSR_208000149_SALES_SAUDI_ARABIA" localSheetId="18">Ticker0001_Exchange_Sheet!$157:$157</definedName>
    <definedName name="E_KEYWORD_ISSR_208000149_SALES_SINGAPORE" localSheetId="18">Ticker0001_Exchange_Sheet!$165:$165</definedName>
    <definedName name="E_KEYWORD_ISSR_208000149_SALES_SK" localSheetId="18">Ticker0001_Exchange_Sheet!$166:$166</definedName>
    <definedName name="E_KEYWORD_ISSR_208000149_SALES_SMB" localSheetId="18">Ticker0001_Exchange_Sheet!$186:$186</definedName>
    <definedName name="E_KEYWORD_ISSR_208000149_SALES_SO_AFRICA" localSheetId="18">Ticker0001_Exchange_Sheet!$161:$161</definedName>
    <definedName name="E_KEYWORD_ISSR_208000149_SALES_SPA" localSheetId="18">Ticker0001_Exchange_Sheet!$148:$148</definedName>
    <definedName name="E_KEYWORD_ISSR_208000149_SALES_SWE" localSheetId="18">Ticker0001_Exchange_Sheet!$149:$149</definedName>
    <definedName name="E_KEYWORD_ISSR_208000149_SALES_SWIT" localSheetId="18">Ticker0001_Exchange_Sheet!$150:$150</definedName>
    <definedName name="E_KEYWORD_ISSR_208000149_SALES_TAIWAN" localSheetId="18">Ticker0001_Exchange_Sheet!$167:$167</definedName>
    <definedName name="E_KEYWORD_ISSR_208000149_SALES_THAILAND" localSheetId="18">Ticker0001_Exchange_Sheet!$172:$172</definedName>
    <definedName name="E_KEYWORD_ISSR_208000149_SALES_TOT_AFRICA" localSheetId="18">Ticker0001_Exchange_Sheet!$221:$221</definedName>
    <definedName name="E_KEYWORD_ISSR_208000149_SALES_TOT_AM" localSheetId="18">Ticker0001_Exchange_Sheet!$215:$215</definedName>
    <definedName name="E_KEYWORD_ISSR_208000149_SALES_TOT_ASIA" localSheetId="18">Ticker0001_Exchange_Sheet!$223:$223</definedName>
    <definedName name="E_KEYWORD_ISSR_208000149_SALES_TOT_EMEA" localSheetId="18">Ticker0001_Exchange_Sheet!$217:$217</definedName>
    <definedName name="E_KEYWORD_ISSR_208000149_SALES_TURKEY" localSheetId="18">Ticker0001_Exchange_Sheet!$155:$155</definedName>
    <definedName name="E_KEYWORD_ISSR_208000149_SALES_UAE" localSheetId="18">Ticker0001_Exchange_Sheet!$158:$158</definedName>
    <definedName name="E_KEYWORD_ISSR_208000149_SALES_UK" localSheetId="18">Ticker0001_Exchange_Sheet!$151:$151</definedName>
    <definedName name="E_KEYWORD_ISSR_208000149_SALES_US" localSheetId="18">Ticker0001_Exchange_Sheet!$129:$129</definedName>
    <definedName name="E_KEYWORD_ISSR_208000149_SALES_VENEZUELA" localSheetId="18">Ticker0001_Exchange_Sheet!$136:$136</definedName>
    <definedName name="E_KEYWORD_ISSR_208000149_SEL_GL_AD" localSheetId="18">Ticker0001_Exchange_Sheet!$13:$13</definedName>
    <definedName name="E_KEYWORD_ISSR_208000149_SGA_PCT_ROW" localSheetId="18">Ticker0001_Exchange_Sheet!$180:$180</definedName>
    <definedName name="E_KEYWORD_ISSR_208000149_SGA_PCT_US" localSheetId="18">Ticker0001_Exchange_Sheet!$179:$179</definedName>
    <definedName name="E_KEYWORD_ISSR_208000149_SH_REPUR" localSheetId="18">Ticker0001_Exchange_Sheet!$103:$103</definedName>
    <definedName name="E_KEYWORD_ISSR_208000149_SHORT_T_DEBT" localSheetId="18">Ticker0001_Exchange_Sheet!$57:$57</definedName>
    <definedName name="E_KEYWORD_ISSR_208000149_SHORT_TERM_LIABS" localSheetId="18">Ticker0001_Exchange_Sheet!$60:$60</definedName>
    <definedName name="E_KEYWORD_ISSR_208000149_ST_LEASE_LIAB" localSheetId="18">Ticker0001_Exchange_Sheet!$58:$58</definedName>
    <definedName name="E_KEYWORD_ISSR_208000149_STOCKS" localSheetId="18">Ticker0001_Exchange_Sheet!$43:$43</definedName>
    <definedName name="E_KEYWORD_ISSR_208000149_TOT_ASSET" localSheetId="18">Ticker0001_Exchange_Sheet!$55:$55</definedName>
    <definedName name="E_KEYWORD_ISSR_208000149_TOT_CF" localSheetId="18">Ticker0001_Exchange_Sheet!$108:$108</definedName>
    <definedName name="E_KEYWORD_ISSR_208000149_TOT_LIAB" localSheetId="18">Ticker0001_Exchange_Sheet!$65:$65</definedName>
    <definedName name="E_KEYWORD_ISSR_208000149_TOT_LIAB_EQ" localSheetId="18">Ticker0001_Exchange_Sheet!$70:$70</definedName>
    <definedName name="E_KEYWORD_ISSR_208000149_TOT_LT_LIAB" localSheetId="18">Ticker0001_Exchange_Sheet!$64:$64</definedName>
    <definedName name="E_KEYWORD_ISSR_208000149_TOT_OPS_EXP" localSheetId="18">Ticker0001_Exchange_Sheet!$19:$19</definedName>
    <definedName name="E_KEYWORD_ISSR_208000149_TOT_OPS_EXP_DDA" localSheetId="18">Ticker0001_Exchange_Sheet!$18:$18</definedName>
    <definedName name="E_KEYWORD_ISSR_208000149_TOT_PCT_USD_DEBT_HEDGED" localSheetId="18">Ticker0001_Exchange_Sheet!$73:$73</definedName>
    <definedName name="E_KEYWORD_ISSR_208000149_TOT_USD_DEBT" localSheetId="18">Ticker0001_Exchange_Sheet!$72:$72</definedName>
    <definedName name="E_KEYWORD_ISSR_208000149_UNF_PENS" localSheetId="18">Ticker0001_Exchange_Sheet!$83:$83</definedName>
    <definedName name="E_KEYWORD_ISSR_208000149_UNF_PENS_LIAB_OTH" localSheetId="18">Ticker0001_Exchange_Sheet!$85:$85</definedName>
    <definedName name="E_KEYWORD_ISSR_208000149_UNF_PENS_OFF" localSheetId="18">Ticker0001_Exchange_Sheet!$84:$84</definedName>
    <definedName name="E_KEYWORD_ISSR_208000149_WORK_CAP" localSheetId="18">Ticker0001_Exchange_Sheet!$94:$94</definedName>
    <definedName name="E_LIVEDATA_EQTY_200000801" localSheetId="18">Ticker0001_Exchange_Sheet!$B$236</definedName>
    <definedName name="E_LIVEDATA_ISSR_208000149" localSheetId="18">Ticker0001_Exchange_Sheet!$B$4</definedName>
    <definedName name="E_PERIOD_2000" localSheetId="18">Ticker0001_Exchange_Sheet!$F:$F</definedName>
    <definedName name="E_PERIOD_2000_Q1" localSheetId="18">Ticker0001_Exchange_Sheet!$AL:$AL</definedName>
    <definedName name="E_PERIOD_2000_Q2" localSheetId="18">Ticker0001_Exchange_Sheet!$AM:$AM</definedName>
    <definedName name="E_PERIOD_2000_Q3" localSheetId="18">Ticker0001_Exchange_Sheet!$AN:$AN</definedName>
    <definedName name="E_PERIOD_2000_Q4" localSheetId="18">Ticker0001_Exchange_Sheet!$AO:$AO</definedName>
    <definedName name="E_PERIOD_2001" localSheetId="18">Ticker0001_Exchange_Sheet!$G:$G</definedName>
    <definedName name="E_PERIOD_2001_Q1" localSheetId="18">Ticker0001_Exchange_Sheet!$AP:$AP</definedName>
    <definedName name="E_PERIOD_2001_Q2" localSheetId="18">Ticker0001_Exchange_Sheet!$AQ:$AQ</definedName>
    <definedName name="E_PERIOD_2001_Q3" localSheetId="18">Ticker0001_Exchange_Sheet!$AR:$AR</definedName>
    <definedName name="E_PERIOD_2001_Q4" localSheetId="18">Ticker0001_Exchange_Sheet!$AS:$AS</definedName>
    <definedName name="E_PERIOD_2002" localSheetId="18">Ticker0001_Exchange_Sheet!$H:$H</definedName>
    <definedName name="E_PERIOD_2002_Q1" localSheetId="18">Ticker0001_Exchange_Sheet!$AT:$AT</definedName>
    <definedName name="E_PERIOD_2002_Q2" localSheetId="18">Ticker0001_Exchange_Sheet!$AU:$AU</definedName>
    <definedName name="E_PERIOD_2002_Q3" localSheetId="18">Ticker0001_Exchange_Sheet!$AV:$AV</definedName>
    <definedName name="E_PERIOD_2002_Q4" localSheetId="18">Ticker0001_Exchange_Sheet!$AW:$AW</definedName>
    <definedName name="E_PERIOD_2003" localSheetId="18">Ticker0001_Exchange_Sheet!$I:$I</definedName>
    <definedName name="E_PERIOD_2003_Q1" localSheetId="18">Ticker0001_Exchange_Sheet!$AX:$AX</definedName>
    <definedName name="E_PERIOD_2003_Q2" localSheetId="18">Ticker0001_Exchange_Sheet!$AY:$AY</definedName>
    <definedName name="E_PERIOD_2003_Q3" localSheetId="18">Ticker0001_Exchange_Sheet!$AZ:$AZ</definedName>
    <definedName name="E_PERIOD_2003_Q4" localSheetId="18">Ticker0001_Exchange_Sheet!$BA:$BA</definedName>
    <definedName name="E_PERIOD_2004" localSheetId="18">Ticker0001_Exchange_Sheet!$J:$J</definedName>
    <definedName name="E_PERIOD_2004_Q1" localSheetId="18">Ticker0001_Exchange_Sheet!$BB:$BB</definedName>
    <definedName name="E_PERIOD_2004_Q2" localSheetId="18">Ticker0001_Exchange_Sheet!$BC:$BC</definedName>
    <definedName name="E_PERIOD_2004_Q3" localSheetId="18">Ticker0001_Exchange_Sheet!$BD:$BD</definedName>
    <definedName name="E_PERIOD_2004_Q4" localSheetId="18">Ticker0001_Exchange_Sheet!$BE:$BE</definedName>
    <definedName name="E_PERIOD_2005" localSheetId="18">Ticker0001_Exchange_Sheet!$K:$K</definedName>
    <definedName name="E_PERIOD_2005_Q1" localSheetId="18">Ticker0001_Exchange_Sheet!$BF:$BF</definedName>
    <definedName name="E_PERIOD_2005_Q2" localSheetId="18">Ticker0001_Exchange_Sheet!$BG:$BG</definedName>
    <definedName name="E_PERIOD_2005_Q3" localSheetId="18">Ticker0001_Exchange_Sheet!$BH:$BH</definedName>
    <definedName name="E_PERIOD_2005_Q4" localSheetId="18">Ticker0001_Exchange_Sheet!$BI:$BI</definedName>
    <definedName name="E_PERIOD_2006" localSheetId="18">Ticker0001_Exchange_Sheet!$L:$L</definedName>
    <definedName name="E_PERIOD_2006_Q1" localSheetId="18">Ticker0001_Exchange_Sheet!$BJ:$BJ</definedName>
    <definedName name="E_PERIOD_2006_Q2" localSheetId="18">Ticker0001_Exchange_Sheet!$BK:$BK</definedName>
    <definedName name="E_PERIOD_2006_Q3" localSheetId="18">Ticker0001_Exchange_Sheet!$BL:$BL</definedName>
    <definedName name="E_PERIOD_2006_Q4" localSheetId="18">Ticker0001_Exchange_Sheet!$BM:$BM</definedName>
    <definedName name="E_PERIOD_2007" localSheetId="18">Ticker0001_Exchange_Sheet!$M:$M</definedName>
    <definedName name="E_PERIOD_2007_Q1" localSheetId="18">Ticker0001_Exchange_Sheet!$BN:$BN</definedName>
    <definedName name="E_PERIOD_2007_Q2" localSheetId="18">Ticker0001_Exchange_Sheet!$BO:$BO</definedName>
    <definedName name="E_PERIOD_2007_Q3" localSheetId="18">Ticker0001_Exchange_Sheet!$BP:$BP</definedName>
    <definedName name="E_PERIOD_2007_Q4" localSheetId="18">Ticker0001_Exchange_Sheet!$BQ:$BQ</definedName>
    <definedName name="E_PERIOD_2008" localSheetId="18">Ticker0001_Exchange_Sheet!$N:$N</definedName>
    <definedName name="E_PERIOD_2008_Q1" localSheetId="18">Ticker0001_Exchange_Sheet!$BR:$BR</definedName>
    <definedName name="E_PERIOD_2008_Q2" localSheetId="18">Ticker0001_Exchange_Sheet!$BS:$BS</definedName>
    <definedName name="E_PERIOD_2008_Q3" localSheetId="18">Ticker0001_Exchange_Sheet!$BT:$BT</definedName>
    <definedName name="E_PERIOD_2008_Q4" localSheetId="18">Ticker0001_Exchange_Sheet!$BU:$BU</definedName>
    <definedName name="E_PERIOD_2009" localSheetId="18">Ticker0001_Exchange_Sheet!$O:$O</definedName>
    <definedName name="E_PERIOD_2009_Q1" localSheetId="18">Ticker0001_Exchange_Sheet!$BV:$BV</definedName>
    <definedName name="E_PERIOD_2009_Q2" localSheetId="18">Ticker0001_Exchange_Sheet!$BW:$BW</definedName>
    <definedName name="E_PERIOD_2009_Q3" localSheetId="18">Ticker0001_Exchange_Sheet!$BX:$BX</definedName>
    <definedName name="E_PERIOD_2009_Q4" localSheetId="18">Ticker0001_Exchange_Sheet!$BY:$BY</definedName>
    <definedName name="E_PERIOD_2010" localSheetId="18">Ticker0001_Exchange_Sheet!$P:$P</definedName>
    <definedName name="E_PERIOD_2010_Q1" localSheetId="18">Ticker0001_Exchange_Sheet!$BZ:$BZ</definedName>
    <definedName name="E_PERIOD_2010_Q2" localSheetId="18">Ticker0001_Exchange_Sheet!$CA:$CA</definedName>
    <definedName name="E_PERIOD_2010_Q3" localSheetId="18">Ticker0001_Exchange_Sheet!$CB:$CB</definedName>
    <definedName name="E_PERIOD_2010_Q4" localSheetId="18">Ticker0001_Exchange_Sheet!$CC:$CC</definedName>
    <definedName name="E_PERIOD_2011" localSheetId="18">Ticker0001_Exchange_Sheet!$Q:$Q</definedName>
    <definedName name="E_PERIOD_2011_Q1" localSheetId="18">Ticker0001_Exchange_Sheet!$CD:$CD</definedName>
    <definedName name="E_PERIOD_2011_Q2" localSheetId="18">Ticker0001_Exchange_Sheet!$CE:$CE</definedName>
    <definedName name="E_PERIOD_2011_Q3" localSheetId="18">Ticker0001_Exchange_Sheet!$CF:$CF</definedName>
    <definedName name="E_PERIOD_2011_Q4" localSheetId="18">Ticker0001_Exchange_Sheet!$CG:$CG</definedName>
    <definedName name="E_PERIOD_2012" localSheetId="18">Ticker0001_Exchange_Sheet!$R:$R</definedName>
    <definedName name="E_PERIOD_2012_Q1" localSheetId="18">Ticker0001_Exchange_Sheet!$CH:$CH</definedName>
    <definedName name="E_PERIOD_2012_Q2" localSheetId="18">Ticker0001_Exchange_Sheet!$CI:$CI</definedName>
    <definedName name="E_PERIOD_2012_Q3" localSheetId="18">Ticker0001_Exchange_Sheet!$CJ:$CJ</definedName>
    <definedName name="E_PERIOD_2012_Q4" localSheetId="18">Ticker0001_Exchange_Sheet!$CK:$CK</definedName>
    <definedName name="E_PERIOD_2013" localSheetId="18">Ticker0001_Exchange_Sheet!$S:$S</definedName>
    <definedName name="E_PERIOD_2013_Q1" localSheetId="18">Ticker0001_Exchange_Sheet!$CL:$CL</definedName>
    <definedName name="E_PERIOD_2013_Q2" localSheetId="18">Ticker0001_Exchange_Sheet!$CM:$CM</definedName>
    <definedName name="E_PERIOD_2013_Q3" localSheetId="18">Ticker0001_Exchange_Sheet!$CN:$CN</definedName>
    <definedName name="E_PERIOD_2013_Q4" localSheetId="18">Ticker0001_Exchange_Sheet!$CO:$CO</definedName>
    <definedName name="E_PERIOD_2014" localSheetId="18">Ticker0001_Exchange_Sheet!$T:$T</definedName>
    <definedName name="E_PERIOD_2014_Q1" localSheetId="18">Ticker0001_Exchange_Sheet!$CP:$CP</definedName>
    <definedName name="E_PERIOD_2014_Q2" localSheetId="18">Ticker0001_Exchange_Sheet!$CQ:$CQ</definedName>
    <definedName name="E_PERIOD_2014_Q3" localSheetId="18">Ticker0001_Exchange_Sheet!$CR:$CR</definedName>
    <definedName name="E_PERIOD_2014_Q4" localSheetId="18">Ticker0001_Exchange_Sheet!$CS:$CS</definedName>
    <definedName name="E_PERIOD_2015" localSheetId="18">Ticker0001_Exchange_Sheet!$U:$U</definedName>
    <definedName name="E_PERIOD_2015_Q1" localSheetId="18">Ticker0001_Exchange_Sheet!$CT:$CT</definedName>
    <definedName name="E_PERIOD_2015_Q2" localSheetId="18">Ticker0001_Exchange_Sheet!$CU:$CU</definedName>
    <definedName name="E_PERIOD_2015_Q3" localSheetId="18">Ticker0001_Exchange_Sheet!$CV:$CV</definedName>
    <definedName name="E_PERIOD_2015_Q4" localSheetId="18">Ticker0001_Exchange_Sheet!$CW:$CW</definedName>
    <definedName name="E_PERIOD_2016" localSheetId="18">Ticker0001_Exchange_Sheet!$V:$V</definedName>
    <definedName name="E_PERIOD_2016_Q1" localSheetId="18">Ticker0001_Exchange_Sheet!$CX:$CX</definedName>
    <definedName name="E_PERIOD_2016_Q2" localSheetId="18">Ticker0001_Exchange_Sheet!$CY:$CY</definedName>
    <definedName name="E_PERIOD_2016_Q3" localSheetId="18">Ticker0001_Exchange_Sheet!$CZ:$CZ</definedName>
    <definedName name="E_PERIOD_2016_Q4" localSheetId="18">Ticker0001_Exchange_Sheet!$DA:$DA</definedName>
    <definedName name="E_PERIOD_2017" localSheetId="18">Ticker0001_Exchange_Sheet!$W:$W</definedName>
    <definedName name="E_PERIOD_2017_Q1" localSheetId="18">Ticker0001_Exchange_Sheet!$DB:$DB</definedName>
    <definedName name="E_PERIOD_2017_Q2" localSheetId="18">Ticker0001_Exchange_Sheet!$DC:$DC</definedName>
    <definedName name="E_PERIOD_2017_Q3" localSheetId="18">Ticker0001_Exchange_Sheet!$DD:$DD</definedName>
    <definedName name="E_PERIOD_2017_Q4" localSheetId="18">Ticker0001_Exchange_Sheet!$DE:$DE</definedName>
    <definedName name="E_PERIOD_2018" localSheetId="18">Ticker0001_Exchange_Sheet!$X:$X</definedName>
    <definedName name="E_PERIOD_2018_Q1" localSheetId="18">Ticker0001_Exchange_Sheet!$DF:$DF</definedName>
    <definedName name="E_PERIOD_2018_Q2" localSheetId="18">Ticker0001_Exchange_Sheet!$DG:$DG</definedName>
    <definedName name="E_PERIOD_2018_Q3" localSheetId="18">Ticker0001_Exchange_Sheet!$DH:$DH</definedName>
    <definedName name="E_PERIOD_2018_Q4" localSheetId="18">Ticker0001_Exchange_Sheet!$DI:$DI</definedName>
    <definedName name="E_PERIOD_2019" localSheetId="18">Ticker0001_Exchange_Sheet!$Y:$Y</definedName>
    <definedName name="E_PERIOD_2019_Q1" localSheetId="18">Ticker0001_Exchange_Sheet!$DJ:$DJ</definedName>
    <definedName name="E_PERIOD_2019_Q2" localSheetId="18">Ticker0001_Exchange_Sheet!$DK:$DK</definedName>
    <definedName name="E_PERIOD_2019_Q3" localSheetId="18">Ticker0001_Exchange_Sheet!$DL:$DL</definedName>
    <definedName name="E_PERIOD_2019_Q4" localSheetId="18">Ticker0001_Exchange_Sheet!$DM:$DM</definedName>
    <definedName name="E_PERIOD_2020" localSheetId="18">Ticker0001_Exchange_Sheet!$Z:$Z</definedName>
    <definedName name="E_PERIOD_2020_Q1" localSheetId="18">Ticker0001_Exchange_Sheet!$DN:$DN</definedName>
    <definedName name="E_PERIOD_2020_Q2" localSheetId="18">Ticker0001_Exchange_Sheet!$DO:$DO</definedName>
    <definedName name="E_PERIOD_2020_Q3" localSheetId="18">Ticker0001_Exchange_Sheet!$DP:$DP</definedName>
    <definedName name="E_PERIOD_2020_Q4" localSheetId="18">Ticker0001_Exchange_Sheet!$DQ:$DQ</definedName>
    <definedName name="E_PERIOD_2021" localSheetId="18">Ticker0001_Exchange_Sheet!$AA:$AA</definedName>
    <definedName name="E_PERIOD_2021_Q1" localSheetId="18">Ticker0001_Exchange_Sheet!$DR:$DR</definedName>
    <definedName name="E_PERIOD_2021_Q2" localSheetId="18">Ticker0001_Exchange_Sheet!$DS:$DS</definedName>
    <definedName name="E_PERIOD_2021_Q3" localSheetId="18">Ticker0001_Exchange_Sheet!$DT:$DT</definedName>
    <definedName name="E_PERIOD_2021_Q4" localSheetId="18">Ticker0001_Exchange_Sheet!$DU:$DU</definedName>
    <definedName name="E_PERIOD_2022" localSheetId="18">Ticker0001_Exchange_Sheet!$AB:$AB</definedName>
    <definedName name="E_PERIOD_2022_Q1" localSheetId="18">Ticker0001_Exchange_Sheet!$DV:$DV</definedName>
    <definedName name="E_PERIOD_2022_Q2" localSheetId="18">Ticker0001_Exchange_Sheet!$DW:$DW</definedName>
    <definedName name="E_PERIOD_2022_Q3" localSheetId="18">Ticker0001_Exchange_Sheet!$DX:$DX</definedName>
    <definedName name="E_PERIOD_2022_Q4" localSheetId="18">Ticker0001_Exchange_Sheet!$DY:$DY</definedName>
    <definedName name="E_PERIOD_2023" localSheetId="18">Ticker0001_Exchange_Sheet!$AC:$AC</definedName>
    <definedName name="E_PERIOD_2023_Q1" localSheetId="18">Ticker0001_Exchange_Sheet!$DZ:$DZ</definedName>
    <definedName name="E_PERIOD_2023_Q2" localSheetId="18">Ticker0001_Exchange_Sheet!$EA:$EA</definedName>
    <definedName name="E_PERIOD_2023_Q3" localSheetId="18">Ticker0001_Exchange_Sheet!$EB:$EB</definedName>
    <definedName name="E_PERIOD_2023_Q4" localSheetId="18">Ticker0001_Exchange_Sheet!$EC:$EC</definedName>
    <definedName name="E_PERIOD_2024" localSheetId="18">Ticker0001_Exchange_Sheet!$AD:$AD</definedName>
    <definedName name="E_PERIOD_2024_Q1" localSheetId="18">Ticker0001_Exchange_Sheet!$ED:$ED</definedName>
    <definedName name="E_PERIOD_2024_Q2" localSheetId="18">Ticker0001_Exchange_Sheet!$EE:$EE</definedName>
    <definedName name="E_PERIOD_2024_Q3" localSheetId="18">Ticker0001_Exchange_Sheet!$EF:$EF</definedName>
    <definedName name="E_PERIOD_2024_Q4" localSheetId="18">Ticker0001_Exchange_Sheet!$EG:$EG</definedName>
    <definedName name="E_PERIOD_2025" localSheetId="18">Ticker0001_Exchange_Sheet!$AE:$AE</definedName>
    <definedName name="E_PERIOD_2025_Q1" localSheetId="18">Ticker0001_Exchange_Sheet!$EH:$EH</definedName>
    <definedName name="E_PERIOD_2025_Q2" localSheetId="18">Ticker0001_Exchange_Sheet!$EI:$EI</definedName>
    <definedName name="E_PERIOD_2025_Q3" localSheetId="18">Ticker0001_Exchange_Sheet!$EJ:$EJ</definedName>
    <definedName name="E_PERIOD_2025_Q4" localSheetId="18">Ticker0001_Exchange_Sheet!$EK:$EK</definedName>
    <definedName name="E_PERIOD_2026" localSheetId="18">Ticker0001_Exchange_Sheet!$AF:$AF</definedName>
    <definedName name="E_PERIOD_2026_Q1" localSheetId="18">Ticker0001_Exchange_Sheet!$EL:$EL</definedName>
    <definedName name="E_PERIOD_2026_Q2" localSheetId="18">Ticker0001_Exchange_Sheet!$EM:$EM</definedName>
    <definedName name="E_PERIOD_2026_Q3" localSheetId="18">Ticker0001_Exchange_Sheet!$EN:$EN</definedName>
    <definedName name="E_PERIOD_2026_Q4" localSheetId="18">Ticker0001_Exchange_Sheet!$EO:$EO</definedName>
    <definedName name="E_PERIOD_2027" localSheetId="18">Ticker0001_Exchange_Sheet!$AG:$AG</definedName>
    <definedName name="E_PERIOD_2027_Q1" localSheetId="18">Ticker0001_Exchange_Sheet!$EP:$EP</definedName>
    <definedName name="E_PERIOD_2027_Q2" localSheetId="18">Ticker0001_Exchange_Sheet!$EQ:$EQ</definedName>
    <definedName name="E_PERIOD_2027_Q3" localSheetId="18">Ticker0001_Exchange_Sheet!$ER:$ER</definedName>
    <definedName name="E_PERIOD_2027_Q4" localSheetId="18">Ticker0001_Exchange_Sheet!$ES:$ES</definedName>
    <definedName name="E_PERIOD_2028" localSheetId="18">Ticker0001_Exchange_Sheet!$AH:$AH</definedName>
    <definedName name="E_PERIOD_2028_Q1" localSheetId="18">Ticker0001_Exchange_Sheet!$ET:$ET</definedName>
    <definedName name="E_PERIOD_2028_Q2" localSheetId="18">Ticker0001_Exchange_Sheet!$EU:$EU</definedName>
    <definedName name="E_PERIOD_2028_Q3" localSheetId="18">Ticker0001_Exchange_Sheet!$EV:$EV</definedName>
    <definedName name="E_PERIOD_2028_Q4" localSheetId="18">Ticker0001_Exchange_Sheet!$EW:$EW</definedName>
    <definedName name="E_PERIOD_2029" localSheetId="18">Ticker0001_Exchange_Sheet!$AI:$AI</definedName>
    <definedName name="E_PERIOD_2029_Q1" localSheetId="18">Ticker0001_Exchange_Sheet!$EX:$EX</definedName>
    <definedName name="E_PERIOD_2029_Q2" localSheetId="18">Ticker0001_Exchange_Sheet!$EY:$EY</definedName>
    <definedName name="E_PERIOD_2029_Q3" localSheetId="18">Ticker0001_Exchange_Sheet!$EZ:$EZ</definedName>
    <definedName name="E_PERIOD_2029_Q4" localSheetId="18">Ticker0001_Exchange_Sheet!$FA:$FA</definedName>
    <definedName name="E_PERIOD_2030" localSheetId="18">Ticker0001_Exchange_Sheet!$AJ:$AJ</definedName>
    <definedName name="E_PERIOD_2030_Q1" localSheetId="18">Ticker0001_Exchange_Sheet!$FB:$FB</definedName>
    <definedName name="E_PERIOD_2030_Q2" localSheetId="18">Ticker0001_Exchange_Sheet!$FC:$FC</definedName>
    <definedName name="E_PERIOD_2030_Q3" localSheetId="18">Ticker0001_Exchange_Sheet!$FD:$FD</definedName>
    <definedName name="E_PERIOD_2030_Q4" localSheetId="18">Ticker0001_Exchange_Sheet!$FE:$FE</definedName>
    <definedName name="E_SECTION_EQTY_200000801_1314" localSheetId="18">Ticker0001_Exchange_Sheet!$297:$297</definedName>
    <definedName name="E_SECTION_EQTY_200000801_1319" localSheetId="18">Ticker0001_Exchange_Sheet!$299:$299</definedName>
    <definedName name="E_SECTION_EQTY_200000801_131E" localSheetId="18">Ticker0001_Exchange_Sheet!$304:$304</definedName>
    <definedName name="E_SECTION_EQTY_200000801_131O" localSheetId="18">Ticker0001_Exchange_Sheet!$306:$306</definedName>
    <definedName name="E_SECTION_EQTY_200000801_13A" localSheetId="18">Ticker0001_Exchange_Sheet!$244:$244</definedName>
    <definedName name="E_SECTION_EQTY_200000801_13K" localSheetId="18">Ticker0001_Exchange_Sheet!$255:$255</definedName>
    <definedName name="E_SECTION_EQTY_200000801_13U" localSheetId="18">Ticker0001_Exchange_Sheet!$272:$272</definedName>
    <definedName name="E_SECTION_EQTY_200000801_13V" localSheetId="18">Ticker0001_Exchange_Sheet!$289:$289</definedName>
    <definedName name="E_SECTION_EQTY_200000801_13W" localSheetId="18">Ticker0001_Exchange_Sheet!$291:$291</definedName>
    <definedName name="E_SECTION_EQTY_200000801_Reference_Data" localSheetId="18">Ticker0001_Exchange_Sheet!$237:$237</definedName>
    <definedName name="E_SECTION_ISSR_208000149_1314" localSheetId="18">Ticker0001_Exchange_Sheet!$40:$40</definedName>
    <definedName name="E_SECTION_ISSR_208000149_13168" localSheetId="18">Ticker0001_Exchange_Sheet!$127:$127</definedName>
    <definedName name="E_SECTION_ISSR_208000149_1316T" localSheetId="18">Ticker0001_Exchange_Sheet!$190:$190</definedName>
    <definedName name="E_SECTION_ISSR_208000149_1316U" localSheetId="18">Ticker0001_Exchange_Sheet!$198:$198</definedName>
    <definedName name="E_SECTION_ISSR_208000149_1319" localSheetId="18">Ticker0001_Exchange_Sheet!$71:$71</definedName>
    <definedName name="E_SECTION_ISSR_208000149_131E" localSheetId="18">Ticker0001_Exchange_Sheet!$91:$91</definedName>
    <definedName name="E_SECTION_ISSR_208000149_131J" localSheetId="18">Ticker0001_Exchange_Sheet!$109:$109</definedName>
    <definedName name="E_SECTION_ISSR_208000149_131O" localSheetId="18">Ticker0001_Exchange_Sheet!$123:$123</definedName>
    <definedName name="E_SECTION_ISSR_208000149_136E" localSheetId="18">Ticker0001_Exchange_Sheet!$214:$214</definedName>
    <definedName name="E_SECTION_ISSR_208000149_136J" localSheetId="18">Ticker0001_Exchange_Sheet!$225:$225</definedName>
    <definedName name="E_SECTION_ISSR_208000149_13A" localSheetId="18">Ticker0001_Exchange_Sheet!$8:$8</definedName>
    <definedName name="E_SECTION_ISSR_208000149_13U" localSheetId="18">Ticker0001_Exchange_Sheet!$10:$10</definedName>
    <definedName name="E_SECTION_ISSR_208000149_13V" localSheetId="18">Ticker0001_Exchange_Sheet!$31:$31</definedName>
    <definedName name="E_SECTION_ISSR_208000149_Reference_Data" localSheetId="18">Ticker0001_Exchange_Sheet!$5:$5</definedName>
    <definedName name="E_TEMPLATEHASH" localSheetId="18">Ticker0001_Exchange_Sheet!$C$1</definedName>
    <definedName name="f" hidden="1">{#N/A,#N/A,FALSE,"Report Print"}</definedName>
    <definedName name="f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FDP_402_1_aUrv" localSheetId="12" hidden="1">#REF!</definedName>
    <definedName name="FDP_402_1_aUrv" hidden="1">#REF!</definedName>
    <definedName name="FDP_403_1_aUrv" localSheetId="12" hidden="1">#REF!</definedName>
    <definedName name="FDP_403_1_aUrv" hidden="1">#REF!</definedName>
    <definedName name="FDP_404_1_aUrv" localSheetId="12" hidden="1">#REF!</definedName>
    <definedName name="FDP_404_1_aUrv" hidden="1">#REF!</definedName>
    <definedName name="FDP_405_1_aUrv" localSheetId="12" hidden="1">#REF!</definedName>
    <definedName name="FDP_405_1_aUrv" hidden="1">#REF!</definedName>
    <definedName name="FDP_406_1_aUrv" localSheetId="12" hidden="1">#REF!</definedName>
    <definedName name="FDP_406_1_aUrv" hidden="1">#REF!</definedName>
    <definedName name="FDP_408_1_aUrv" localSheetId="12" hidden="1">#REF!</definedName>
    <definedName name="FDP_408_1_aUrv" hidden="1">#REF!</definedName>
    <definedName name="FDP_409_1_aUrv" localSheetId="12" hidden="1">#REF!</definedName>
    <definedName name="FDP_409_1_aUrv" hidden="1">#REF!</definedName>
    <definedName name="FDP_410_1_aUrv" localSheetId="12" hidden="1">#REF!</definedName>
    <definedName name="FDP_410_1_aUrv" hidden="1">#REF!</definedName>
    <definedName name="FDP_411_1_aUrv" localSheetId="12" hidden="1">#REF!</definedName>
    <definedName name="FDP_411_1_aUrv" hidden="1">#REF!</definedName>
    <definedName name="FDP_412_1_aUrv" localSheetId="12" hidden="1">#REF!</definedName>
    <definedName name="FDP_412_1_aUrv" hidden="1">#REF!</definedName>
    <definedName name="FDP_413_1_aUrv" localSheetId="12" hidden="1">#REF!</definedName>
    <definedName name="FDP_413_1_aUrv" hidden="1">#REF!</definedName>
    <definedName name="FDP_414_1_aUrv" localSheetId="12" hidden="1">#REF!</definedName>
    <definedName name="FDP_414_1_aUrv" hidden="1">#REF!</definedName>
    <definedName name="FDP_415_1_aUrv" localSheetId="12" hidden="1">#REF!</definedName>
    <definedName name="FDP_415_1_aUrv" hidden="1">#REF!</definedName>
    <definedName name="FDP_416_1_aUrv" localSheetId="12" hidden="1">#REF!</definedName>
    <definedName name="FDP_416_1_aUrv" hidden="1">#REF!</definedName>
    <definedName name="FDP_417_1_aUrv" localSheetId="12" hidden="1">#REF!</definedName>
    <definedName name="FDP_417_1_aUrv" hidden="1">#REF!</definedName>
    <definedName name="FDP_418_1_aUrv" localSheetId="12" hidden="1">#REF!</definedName>
    <definedName name="FDP_418_1_aUrv" hidden="1">#REF!</definedName>
    <definedName name="FDP_419_1_aUrv" localSheetId="12" hidden="1">#REF!</definedName>
    <definedName name="FDP_419_1_aUrv" hidden="1">#REF!</definedName>
    <definedName name="FDP_420_1_aUrv" localSheetId="12" hidden="1">#REF!</definedName>
    <definedName name="FDP_420_1_aUrv" hidden="1">#REF!</definedName>
    <definedName name="FDP_421_1_aUrv" localSheetId="12" hidden="1">#REF!</definedName>
    <definedName name="FDP_421_1_aUrv" hidden="1">#REF!</definedName>
    <definedName name="FDP_422_1_aUrv" localSheetId="12" hidden="1">#REF!</definedName>
    <definedName name="FDP_422_1_aUrv" hidden="1">#REF!</definedName>
    <definedName name="FDP_423_1_aUrv" localSheetId="12" hidden="1">#REF!</definedName>
    <definedName name="FDP_423_1_aUrv" hidden="1">#REF!</definedName>
    <definedName name="FDP_424_1_aUrv" localSheetId="12" hidden="1">#REF!</definedName>
    <definedName name="FDP_424_1_aUrv" hidden="1">#REF!</definedName>
    <definedName name="FDP_425_1_aUrv" localSheetId="12" hidden="1">#REF!</definedName>
    <definedName name="FDP_425_1_aUrv" hidden="1">#REF!</definedName>
    <definedName name="FDP_426_1_aUrv" localSheetId="12" hidden="1">#REF!</definedName>
    <definedName name="FDP_426_1_aUrv" hidden="1">#REF!</definedName>
    <definedName name="FDP_427_1_aUrv" localSheetId="12" hidden="1">#REF!</definedName>
    <definedName name="FDP_427_1_aUrv" hidden="1">#REF!</definedName>
    <definedName name="FDP_428_1_aUrv" localSheetId="12" hidden="1">#REF!</definedName>
    <definedName name="FDP_428_1_aUrv" hidden="1">#REF!</definedName>
    <definedName name="FDP_429_1_aUrv" localSheetId="12" hidden="1">#REF!</definedName>
    <definedName name="FDP_429_1_aUrv" hidden="1">#REF!</definedName>
    <definedName name="FDP_430_1_aUrv" localSheetId="12" hidden="1">#REF!</definedName>
    <definedName name="FDP_430_1_aUrv" hidden="1">#REF!</definedName>
    <definedName name="FDP_431_1_aUrv" localSheetId="12" hidden="1">#REF!</definedName>
    <definedName name="FDP_431_1_aUrv" hidden="1">#REF!</definedName>
    <definedName name="FDP_432_1_aUrv" localSheetId="12" hidden="1">#REF!</definedName>
    <definedName name="FDP_432_1_aUrv" hidden="1">#REF!</definedName>
    <definedName name="FDP_433_1_aUrv" localSheetId="12" hidden="1">#REF!</definedName>
    <definedName name="FDP_433_1_aUrv" hidden="1">#REF!</definedName>
    <definedName name="FDP_441_1_aUrv" localSheetId="12" hidden="1">#REF!</definedName>
    <definedName name="FDP_441_1_aUrv" hidden="1">#REF!</definedName>
    <definedName name="FDP_442_1_aUrv" localSheetId="12" hidden="1">#REF!</definedName>
    <definedName name="FDP_442_1_aUrv" hidden="1">#REF!</definedName>
    <definedName name="FDP_443_1_aUrv" localSheetId="12" hidden="1">#REF!</definedName>
    <definedName name="FDP_443_1_aUrv" hidden="1">#REF!</definedName>
    <definedName name="FDP_445_1_aUrv" localSheetId="12" hidden="1">#REF!</definedName>
    <definedName name="FDP_445_1_aUrv" hidden="1">#REF!</definedName>
    <definedName name="FDP_446_1_aUrv" localSheetId="12" hidden="1">#REF!</definedName>
    <definedName name="FDP_446_1_aUrv" hidden="1">#REF!</definedName>
    <definedName name="FDP_447_1_aUrv" localSheetId="12" hidden="1">#REF!</definedName>
    <definedName name="FDP_447_1_aUrv" hidden="1">#REF!</definedName>
    <definedName name="FDP_449_1_aUrv" localSheetId="12" hidden="1">#REF!</definedName>
    <definedName name="FDP_449_1_aUrv" hidden="1">#REF!</definedName>
    <definedName name="FDP_450_1_aUrv" localSheetId="12" hidden="1">#REF!</definedName>
    <definedName name="FDP_450_1_aUrv" hidden="1">#REF!</definedName>
    <definedName name="FDP_451_1_aUrv" localSheetId="12" hidden="1">#REF!</definedName>
    <definedName name="FDP_451_1_aUrv" hidden="1">#REF!</definedName>
    <definedName name="FDP_452_1_aSrv" localSheetId="12" hidden="1">#REF!</definedName>
    <definedName name="FDP_452_1_aSrv" hidden="1">#REF!</definedName>
    <definedName name="FDP_453_1_aSrv" localSheetId="12" hidden="1">#REF!</definedName>
    <definedName name="FDP_453_1_aSrv" hidden="1">#REF!</definedName>
    <definedName name="HTML1_1" hidden="1">"[FCFF3]Sheet1!$A$1:$L$34"</definedName>
    <definedName name="HTML1_10" hidden="1">""</definedName>
    <definedName name="HTML1_11" hidden="1">1</definedName>
    <definedName name="HTML1_12" hidden="1">"Person0096:Company0196 Product0376™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"Person0096 Person0287"</definedName>
    <definedName name="HTMLCount" hidden="1">1</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FS_AMORT_COST_FFIEC" hidden="1">"c20499"</definedName>
    <definedName name="IQ_ABS_AFS_FAIR_VAL_FFIEC" hidden="1">"c20464"</definedName>
    <definedName name="IQ_ABS_AVAIL_SALE_FFIEC" hidden="1">"c12802"</definedName>
    <definedName name="IQ_ABS_FFIEC" hidden="1">"c12788"</definedName>
    <definedName name="IQ_ABS_HTM_AMORT_COST_FFIEC" hidden="1">"c20447"</definedName>
    <definedName name="IQ_ABS_HTM_FAIR_VAL_FFIEC" hidden="1">"c20482"</definedName>
    <definedName name="IQ_ABS_INVEST_SECURITIES_FFIEC" hidden="1">"c13461"</definedName>
    <definedName name="IQ_ABS_PERIOD" hidden="1">"c13823"</definedName>
    <definedName name="IQ_ABS_PERIOD_EST" hidden="1">"c16122"</definedName>
    <definedName name="IQ_ACCEPTANCES_OTHER_FOREIGN_BANKS_LL_REC_FFIEC" hidden="1">"c15293"</definedName>
    <definedName name="IQ_ACCEPTANCES_OTHER_US_BANKS_LL_REC_FFIEC" hidden="1">"c15292"</definedName>
    <definedName name="IQ_ACCOUNT_CHANGE" hidden="1">"c1449"</definedName>
    <definedName name="IQ_ACCOUNT_CODE_INTEREST_PENALTIES" hidden="1">"c15741"</definedName>
    <definedName name="IQ_ACCOUNTING_FFIEC" hidden="1">"c13054"</definedName>
    <definedName name="IQ_ACCOUNTING_STANDARD_CIQ_COL" hidden="1">"c11739"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_WIRELESS_SUB" hidden="1">"c2125"</definedName>
    <definedName name="IQ_ACQ_COSTS_CAPITALIZED" hidden="1">"c5"</definedName>
    <definedName name="IQ_ACQUIRE_REAL_ESTATE_CF" hidden="1">"c6"</definedName>
    <definedName name="IQ_ACQUIRED_BY_REPORTING_BANK_FDIC" hidden="1">"c6535"</definedName>
    <definedName name="IQ_ACQUISITION_COST_SUB" hidden="1">"c15807"</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PERSON0813" hidden="1">"c9300"</definedName>
    <definedName name="IQ_ACTUAL_PRODUCTION_PLAT" hidden="1">"c9138"</definedName>
    <definedName name="IQ_ACTUAL_PRODUCTION_SILVER" hidden="1">"c9085"</definedName>
    <definedName name="IQ_ACTUAL_PRODUCTION_STEAM" hidden="1">"c9791"</definedName>
    <definedName name="IQ_ACTUAL_PRODUCTION_PRODUCT0419" hidden="1">"c9565"</definedName>
    <definedName name="IQ_ACTUAL_PRODUCTION_URAN" hidden="1">"c9618"</definedName>
    <definedName name="IQ_ACTUAL_PRODUCTION_Company3050" hidden="1">"c9353"</definedName>
    <definedName name="IQ_AD" hidden="1">"c7"</definedName>
    <definedName name="IQ_ADD_PAID_IN" hidden="1">"c1344"</definedName>
    <definedName name="IQ_ADD_TAX_POSITIONS_CURRENT_YR" hidden="1">"c15733"</definedName>
    <definedName name="IQ_ADD_TAX_POSITIONS_PRIOR_YRS" hidden="1">"c15735"</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DILUTED" hidden="1">"c16188"</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_PROD_FARM_LOANS_DOM_QUARTERLY_AVG_FFIEC" hidden="1">"c15477"</definedName>
    <definedName name="IQ_AGENCY" hidden="1">"c8960"</definedName>
    <definedName name="IQ_AGENCY_INVEST_SECURITIES_FFIEC" hidden="1">"c13458"</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 hidden="1">"c15347"</definedName>
    <definedName name="IQ_ALL_OTHER_INVEST_UNCONSOL_SUBS_FFIEC" hidden="1">"c15275"</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"c1591"</definedName>
    <definedName name="IQ_AMORTIZED_COST_FDIC" hidden="1">"c6426"</definedName>
    <definedName name="IQ_AMOUNT_FINANCIAL_LOC_CONVEYED_FFIEC" hidden="1">"c13250"</definedName>
    <definedName name="IQ_AMOUNT_PERFORMANCE_LOC_CONVEYED_FFIEC" hidden="1">"c13252"</definedName>
    <definedName name="IQ_AMT_OUT" hidden="1">"c2145"</definedName>
    <definedName name="IQ_ANALYST_EMAIL" hidden="1">"c13738"</definedName>
    <definedName name="IQ_ANALYST_NAME" hidden="1">"c13736"</definedName>
    <definedName name="IQ_ANALYST_PHONE" hidden="1">"c13737"</definedName>
    <definedName name="IQ_ANALYST_START_DATE" hidden="1">"c13740"</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RPU_COMPANY0235_CABLE" hidden="1">"c2864"</definedName>
    <definedName name="IQ_ARPU_BASIC_CABLE" hidden="1">"c2866"</definedName>
    <definedName name="IQ_ARPU_BBAND" hidden="1">"c2867"</definedName>
    <definedName name="IQ_ARPU_DIG_CABLE" hidden="1">"c2865"</definedName>
    <definedName name="IQ_ARPU_PHONE" hidden="1">"c2868"</definedName>
    <definedName name="IQ_ARPU_POSTPAID_WIRELESS" hidden="1">"c15758"</definedName>
    <definedName name="IQ_ARPU_PREPAID_WIRELESS" hidden="1">"c15759"</definedName>
    <definedName name="IQ_ARPU_RETAIL_WIRELESS" hidden="1">"c15760"</definedName>
    <definedName name="IQ_ARPU_SATELLITE" hidden="1">"c15790"</definedName>
    <definedName name="IQ_ARPU_TOTAL" hidden="1">"c2869"</definedName>
    <definedName name="IQ_ARPU_WHOLESALE_WIRELESS" hidden="1">"c15761"</definedName>
    <definedName name="IQ_ARPU_WIRELESS" hidden="1">"c2126"</definedName>
    <definedName name="IQ_ASSET_BACKED_FDIC" hidden="1">"c6301"</definedName>
    <definedName name="IQ_ASSET_MANAGED_GROWTH_RATE" hidden="1">"c20434"</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AME_AP" hidden="1">"c8921"</definedName>
    <definedName name="IQ_ASSETS_NAME_AP_ABS" hidden="1">"c8940"</definedName>
    <definedName name="IQ_ASSETS_NETTING_OTHER_ADJUSTMENTS" hidden="1">"c13842"</definedName>
    <definedName name="IQ_ASSETS_OPER_LEASE_DEPR" hidden="1">"c2070"</definedName>
    <definedName name="IQ_ASSETS_OPER_LEASE_GROSS" hidden="1">"c2071"</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ETS_UNDER_ADMINISTRATION" hidden="1">"c20432"</definedName>
    <definedName name="IQ_ASSIGNED_RESERVES_COAL" hidden="1">"c15912"</definedName>
    <definedName name="IQ_ASSIGNED_RESERVES_TO_TOTAL_RESERVES_COAL" hidden="1">"c15955"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LOSSES" hidden="1">"c15870"</definedName>
    <definedName name="IQ_ASSUMED_PC_EARNED" hidden="1">"c2746"</definedName>
    <definedName name="IQ_ASSUMED_PREMIUMS_EARNED_GROSS_PREMIUMS_EARNED" hidden="1">"c15886"</definedName>
    <definedName name="IQ_ASSUMED_PREMIUMS_WRITTEN_GROSS_PREMIUMS_WRITTEN" hidden="1">"c15884"</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ACQUISITIONS_TRANSFERS" hidden="1">"c20415"</definedName>
    <definedName name="IQ_AUM_AVERAGE" hidden="1">"c20418"</definedName>
    <definedName name="IQ_AUM_BOP" hidden="1">"c20409"</definedName>
    <definedName name="IQ_AUM_CASH_FLOWS_DIVIDENDS" hidden="1">"c20413"</definedName>
    <definedName name="IQ_AUM_DOMESTIC" hidden="1">"c20400"</definedName>
    <definedName name="IQ_AUM_EOP" hidden="1">"c20417"</definedName>
    <definedName name="IQ_AUM_EQUITY_FUNDS" hidden="1">"c10039"</definedName>
    <definedName name="IQ_AUM_FEE_EARNING" hidden="1">"c20402"</definedName>
    <definedName name="IQ_AUM_FIXED_INCOME_FUNDS" hidden="1">"c10040"</definedName>
    <definedName name="IQ_AUM_FOREIGN" hidden="1">"c20401"</definedName>
    <definedName name="IQ_AUM_HIGH_NET_WORTH" hidden="1">"c20398"</definedName>
    <definedName name="IQ_AUM_INFLOWS" hidden="1">"c20410"</definedName>
    <definedName name="IQ_AUM_INSTITUTIONAL" hidden="1">"c20396"</definedName>
    <definedName name="IQ_AUM_INSTITUTIONAL_CUSTOMERS" hidden="1">"c20405"</definedName>
    <definedName name="IQ_AUM_MARKET_APPRECIATION_DEPRECIATION" hidden="1">"c20414"</definedName>
    <definedName name="IQ_AUM_MONEY_MARKET_FUNDS" hidden="1">"c10041"</definedName>
    <definedName name="IQ_AUM_NET_CHANGE" hidden="1">"c20419"</definedName>
    <definedName name="IQ_AUM_NET_INFLOWS_OUTFLOWS" hidden="1">"c20412"</definedName>
    <definedName name="IQ_AUM_NON_FEE_EARNING" hidden="1">"c20403"</definedName>
    <definedName name="IQ_AUM_OTHER" hidden="1">"c10042"</definedName>
    <definedName name="IQ_AUM_OTHER_ADJUSTMENTS" hidden="1">"c20416"</definedName>
    <definedName name="IQ_AUM_OTHER_CLIENTS" hidden="1">"c20399"</definedName>
    <definedName name="IQ_AUM_OTHER_CUSTOMERS" hidden="1">"c20407"</definedName>
    <definedName name="IQ_AUM_OUTFLOWS" hidden="1">"c20411"</definedName>
    <definedName name="IQ_AUM_PRIVATE_EQUITY" hidden="1">"c20394"</definedName>
    <definedName name="IQ_AUM_REAL_ESTATE" hidden="1">"c20395"</definedName>
    <definedName name="IQ_AUM_RETAIL" hidden="1">"c20397"</definedName>
    <definedName name="IQ_AUM_RETAIL_CUSTOMERS" hidden="1">"c20404"</definedName>
    <definedName name="IQ_AUM_SME_CUSTOMERS" hidden="1">"c20406"</definedName>
    <definedName name="IQ_AUM_TOTAL_CUSTOMERS" hidden="1">"c20408"</definedName>
    <definedName name="IQ_AUTO_LOANS_TOTAL_LOANS" hidden="1">"c15713"</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Company1190"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PERSON0813" hidden="1">"c9307"</definedName>
    <definedName name="IQ_AVG_GRADE_PLAT" hidden="1">"c9145"</definedName>
    <definedName name="IQ_AVG_GRADE_SILVER" hidden="1">"c9092"</definedName>
    <definedName name="IQ_AVG_GRADE_PRODUCT0419" hidden="1">"c9572"</definedName>
    <definedName name="IQ_AVG_GRADE_URAN" hidden="1">"c9625"</definedName>
    <definedName name="IQ_AVG_GRADE_Company3050" hidden="1">"c9360"</definedName>
    <definedName name="IQ_AVG_INDUSTRY_REC_CIQ" hidden="1">"c4984"</definedName>
    <definedName name="IQ_AVG_INDUSTRY_REC_CIQ_COL" hidden="1">"c11631"</definedName>
    <definedName name="IQ_AVG_INDUSTRY_REC_NO_CIQ_COL" hidden="1">"c11630"</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INV_HOMEBUILDING" hidden="1">"c15812"</definedName>
    <definedName name="IQ_AVG_INV_HOMES" hidden="1">"c15810"</definedName>
    <definedName name="IQ_AVG_INV_LAND_LOTS" hidden="1">"c15811"</definedName>
    <definedName name="IQ_AVG_MKTCAP" hidden="1">"c80"</definedName>
    <definedName name="IQ_AVG_PRICE" hidden="1">"c81"</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PERSON0813" hidden="1">"c9302"</definedName>
    <definedName name="IQ_AVG_PRODUCTION_PER_MINE_PLAT" hidden="1">"c9140"</definedName>
    <definedName name="IQ_AVG_PRODUCTION_PER_MINE_SILVER" hidden="1">"c9087"</definedName>
    <definedName name="IQ_AVG_PRODUCTION_PER_MINE_PRODUCT0419" hidden="1">"c9567"</definedName>
    <definedName name="IQ_AVG_PRODUCTION_PER_MINE_URAN" hidden="1">"c9620"</definedName>
    <definedName name="IQ_AVG_PRODUCTION_PER_MINE_Company3050"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PERSON0813" hidden="1">"c9311"</definedName>
    <definedName name="IQ_AVG_REAL_PRICE_POST_TREAT_REFINING_PLAT" hidden="1">"c9150"</definedName>
    <definedName name="IQ_AVG_REAL_PRICE_POST_TREAT_REFINING_SILVER" hidden="1">"c9097"</definedName>
    <definedName name="IQ_AVG_REAL_PRICE_POST_TREAT_REFINING_PRODUCT0419" hidden="1">"c9577"</definedName>
    <definedName name="IQ_AVG_REAL_PRICE_POST_TREAT_REFINING_URAN" hidden="1">"c9630"</definedName>
    <definedName name="IQ_AVG_REAL_PRICE_POST_TREAT_REFINING_Company3050"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PERSON0813" hidden="1">"c9312"</definedName>
    <definedName name="IQ_AVG_REAL_PRICE_PRE_TREAT_REFINING_PLAT" hidden="1">"c9149"</definedName>
    <definedName name="IQ_AVG_REAL_PRICE_PRE_TREAT_REFINING_SILVER" hidden="1">"c9096"</definedName>
    <definedName name="IQ_AVG_REAL_PRICE_PRE_TREAT_REFINING_PRODUCT0419" hidden="1">"c9576"</definedName>
    <definedName name="IQ_AVG_REAL_PRICE_PRE_TREAT_REFINING_URAN" hidden="1">"c9629"</definedName>
    <definedName name="IQ_AVG_REAL_PRICE_PRE_TREAT_REFINING_Company3050"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PERSON0813"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PRODUCT0419" hidden="1">"c9575"</definedName>
    <definedName name="IQ_AVG_REALIZED_PRICE_AFTER_HEDGING_URAN" hidden="1">"c9628"</definedName>
    <definedName name="IQ_AVG_REALIZED_PRICE_AFTER_HEDGING_Company3050"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PERSON0813"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PRODUCT0419" hidden="1">"c9574"</definedName>
    <definedName name="IQ_AVG_REALIZED_PRICE_BEFORE_HEDGING_URAN" hidden="1">"c9627"</definedName>
    <definedName name="IQ_AVG_REALIZED_PRICE_BEFORE_HEDGING_Company3050" hidden="1">"c9362"</definedName>
    <definedName name="IQ_AVG_REV_PER_TRADE" hidden="1">"c20431"</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UNUSED" hidden="1">"c7473"</definedName>
    <definedName name="IQ_BALANCE_GOODS_FC_UNUSED" hidden="1">"c7693"</definedName>
    <definedName name="IQ_BALANCE_GOODS_POP_FC_UNUSED" hidden="1">"c7913"</definedName>
    <definedName name="IQ_BALANCE_GOODS_POP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UNUSED" hidden="1">"c7253"</definedName>
    <definedName name="IQ_BALANCE_SERV_APR_FC_UNUSED" hidden="1">"c8355"</definedName>
    <definedName name="IQ_BALANCE_SERV_APR_UNUSED" hidden="1">"c7475"</definedName>
    <definedName name="IQ_BALANCE_SERV_FC_UNUSED" hidden="1">"c7695"</definedName>
    <definedName name="IQ_BALANCE_SERV_POP_FC_UNUSED" hidden="1">"c7915"</definedName>
    <definedName name="IQ_BALANCE_SERV_POP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UNUSED" hidden="1">"c7477"</definedName>
    <definedName name="IQ_BALANCE_TRADE_FC_UNUSED" hidden="1">"c7697"</definedName>
    <definedName name="IQ_BALANCE_TRADE_POP_FC_UNUSED" hidden="1">"c7917"</definedName>
    <definedName name="IQ_BALANCE_TRADE_POP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SE_RENT" hidden="1">"c16017"</definedName>
    <definedName name="IQ_BASE_RENT_OPERATING_LEASE_EXPIRING_AFTER_FIVE" hidden="1">"c16107"</definedName>
    <definedName name="IQ_BASE_RENT_OPERATING_LEASE_EXPIRING_CY" hidden="1">"c16101"</definedName>
    <definedName name="IQ_BASE_RENT_OPERATING_LEASE_EXPIRING_CY1" hidden="1">"c16102"</definedName>
    <definedName name="IQ_BASE_RENT_OPERATING_LEASE_EXPIRING_CY2" hidden="1">"c16103"</definedName>
    <definedName name="IQ_BASE_RENT_OPERATING_LEASE_EXPIRING_CY3" hidden="1">"c16104"</definedName>
    <definedName name="IQ_BASE_RENT_OPERATING_LEASE_EXPIRING_CY4" hidden="1">"c16105"</definedName>
    <definedName name="IQ_BASE_RENT_OPERATING_LEASE_EXPIRING_NEXT_FIVE" hidden="1">"c16106"</definedName>
    <definedName name="IQ_BASE_RENT_OPERATING_LEASE_EXPIRING_TOTAL" hidden="1">"c16108"</definedName>
    <definedName name="IQ_BASE_RENT_RENTAL_REVENUE" hidden="1">"c16062"</definedName>
    <definedName name="IQ_BASIC_EPS_EXCL" hidden="1">"c85"</definedName>
    <definedName name="IQ_BASIC_EPS_INCL" hidden="1">"c86"</definedName>
    <definedName name="IQ_BASIC_NAV_SHARES" hidden="1">"c16012"</definedName>
    <definedName name="IQ_BASIC_NORMAL_EPS" hidden="1">"c1592"</definedName>
    <definedName name="IQ_BASIC_WEIGHT" hidden="1">"c87"</definedName>
    <definedName name="IQ_BASIC_WEIGHT_GUIDANCE" hidden="1">"c4141"</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ALL_OTHER_COMP" hidden="1">"c18992"</definedName>
    <definedName name="IQ_BOARD_MEMBER_ANNUAL_CASH_COMP" hidden="1">"c18993"</definedName>
    <definedName name="IQ_BOARD_MEMBER_AS_REPORTED_COMP" hidden="1">"c18997"</definedName>
    <definedName name="IQ_BOARD_MEMBER_AS_REPORTED_DIRECTOR_COMP" hidden="1">"c19009"</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BONUS" hidden="1">"c18988"</definedName>
    <definedName name="IQ_BOARD_MEMBER_CALCULATED_COMP" hidden="1">"c18995"</definedName>
    <definedName name="IQ_BOARD_MEMBER_CHANGE_PENSION" hidden="1">"c19010"</definedName>
    <definedName name="IQ_BOARD_MEMBER_DIRECT_FAX" hidden="1">"c15176"</definedName>
    <definedName name="IQ_BOARD_MEMBER_DIRECT_PHONE" hidden="1">"c15175"</definedName>
    <definedName name="IQ_BOARD_MEMBER_DIRECTOR_BONUS" hidden="1">"c19004"</definedName>
    <definedName name="IQ_BOARD_MEMBER_DIRECTOR_CHANGE_PENSION" hidden="1">"c19005"</definedName>
    <definedName name="IQ_BOARD_MEMBER_DIRECTOR_FEE" hidden="1">"c19001"</definedName>
    <definedName name="IQ_BOARD_MEMBER_DIRECTOR_NON_EQUITY_COMP" hidden="1">"c19006"</definedName>
    <definedName name="IQ_BOARD_MEMBER_DIRECTOR_OPTION_AWARDS" hidden="1">"c19002"</definedName>
    <definedName name="IQ_BOARD_MEMBER_DIRECTOR_OTHER" hidden="1">"c19003"</definedName>
    <definedName name="IQ_BOARD_MEMBER_DIRECTOR_STOCK_AWARDS" hidden="1">"c19007"</definedName>
    <definedName name="IQ_BOARD_MEMBER_DIRECTOR_STOCK_GRANTS" hidden="1">"c19034"</definedName>
    <definedName name="IQ_BOARD_MEMBER_DIRECTOR_STOCK_OPTIONS" hidden="1">"c19008"</definedName>
    <definedName name="IQ_BOARD_MEMBER_EMAIL" hidden="1">"c15177"</definedName>
    <definedName name="IQ_BOARD_MEMBER_EQUITY_INCENTIVE" hidden="1">"c19030"</definedName>
    <definedName name="IQ_BOARD_MEMBER_EST_PAYMENTS_CHANGE_CONTROL" hidden="1">"c18999"</definedName>
    <definedName name="IQ_BOARD_MEMBER_EST_PAYMENTS_TERMINATION" hidden="1">"c19011"</definedName>
    <definedName name="IQ_BOARD_MEMBER_EXERCISABLE_OPTIONS" hidden="1">"c19014"</definedName>
    <definedName name="IQ_BOARD_MEMBER_EXERCISABLE_VALUES" hidden="1">"c19015"</definedName>
    <definedName name="IQ_BOARD_MEMBER_EXERCISED_OPTIONS" hidden="1">"c19012"</definedName>
    <definedName name="IQ_BOARD_MEMBER_EXERCISED_VALUES" hidden="1">"c19013"</definedName>
    <definedName name="IQ_BOARD_MEMBER_ID" hidden="1">"c13756"</definedName>
    <definedName name="IQ_BOARD_MEMBER_LT_INCENTIVE" hidden="1">"c18991"</definedName>
    <definedName name="IQ_BOARD_MEMBER_MAIN_FAX" hidden="1">"c15174"</definedName>
    <definedName name="IQ_BOARD_MEMBER_MAIN_PHONE" hidden="1">"c15173"</definedName>
    <definedName name="IQ_BOARD_MEMBER_MARKET_VALUE_SHARES_NOT_VESTED" hidden="1">"c19029"</definedName>
    <definedName name="IQ_BOARD_MEMBER_NON_EQUITY_INCENTIVE" hidden="1">"c19000"</definedName>
    <definedName name="IQ_BOARD_MEMBER_NUM_SHARED_NOT_VESTED" hidden="1">"c19028"</definedName>
    <definedName name="IQ_BOARD_MEMBER_NUM_SHARES_ACQUIRED" hidden="1">"c19026"</definedName>
    <definedName name="IQ_BOARD_MEMBER_OFFICE_ADDRESS" hidden="1">"c15172"</definedName>
    <definedName name="IQ_BOARD_MEMBER_OPTION_AWARDS" hidden="1">"c18996"</definedName>
    <definedName name="IQ_BOARD_MEMBER_OPTION_MARKET_PRICE" hidden="1">"c19025"</definedName>
    <definedName name="IQ_BOARD_MEMBER_OPTION_PRICE" hidden="1">"c19024"</definedName>
    <definedName name="IQ_BOARD_MEMBER_OTHER_ANNUAL_COMP" hidden="1">"c18989"</definedName>
    <definedName name="IQ_BOARD_MEMBER_OTHER_COMP" hidden="1">"c18998"</definedName>
    <definedName name="IQ_BOARD_MEMBER_RESTRICTED_STOCK_COMP" hidden="1">"c18990"</definedName>
    <definedName name="IQ_BOARD_MEMBER_SALARY" hidden="1">"c18987"</definedName>
    <definedName name="IQ_BOARD_MEMBER_ST_COMP" hidden="1">"c18994"</definedName>
    <definedName name="IQ_BOARD_MEMBER_TITLE" hidden="1">"c97"</definedName>
    <definedName name="IQ_BOARD_MEMBER_TOTAL_NUM_STOCK_AWARDS" hidden="1">"c19033"</definedName>
    <definedName name="IQ_BOARD_MEMBER_TOTAL_OPTIONS" hidden="1">"c19022"</definedName>
    <definedName name="IQ_BOARD_MEMBER_TOTAL_STOCK_VALUE" hidden="1">"c19032"</definedName>
    <definedName name="IQ_BOARD_MEMBER_TOTAL_VALUE_OPTIONS" hidden="1">"c19023"</definedName>
    <definedName name="IQ_BOARD_MEMBER_UNCLASSIFIED_OPTIONS" hidden="1">"c19018"</definedName>
    <definedName name="IQ_BOARD_MEMBER_UNCLASSIFIED_OPTIONS_VALUE" hidden="1">"c19019"</definedName>
    <definedName name="IQ_BOARD_MEMBER_UNEARNED_STOCK_VALUE" hidden="1">"c19031"</definedName>
    <definedName name="IQ_BOARD_MEMBER_UNEXERCISABLE_OPTIONS" hidden="1">"c19016"</definedName>
    <definedName name="IQ_BOARD_MEMBER_UNEXERCISABLE_VALUES" hidden="1">"c19017"</definedName>
    <definedName name="IQ_BOARD_MEMBER_UNEXERCISED_UNEARNED_OPTIONS" hidden="1">"c19020"</definedName>
    <definedName name="IQ_BOARD_MEMBER_UNEXERCISED_UNEARNED_OPTIONS_VALUE" hidden="1">"c19021"</definedName>
    <definedName name="IQ_BOARD_MEMBER_VALUE_VESTING" hidden="1">"c19027"</definedName>
    <definedName name="IQ_BOND_COUPON" hidden="1">"c2183"</definedName>
    <definedName name="IQ_BOND_COUPON_TYPE" hidden="1">"c2184"</definedName>
    <definedName name="IQ_BOND_LIST" hidden="1">"c13505"</definedName>
    <definedName name="IQ_BOND_PRICE" hidden="1">"c2162"</definedName>
    <definedName name="IQ_BORROWED_MONEY_QUARTERLY_AVG_FFIEC" hidden="1">"c13091"</definedName>
    <definedName name="IQ_BORROWINGS_LESS_1YR_ASSETS_TOT_FFIEC" hidden="1">"c13450"</definedName>
    <definedName name="IQ_BR_FILING_DATE" hidden="1">"c16223"</definedName>
    <definedName name="IQ_BR_FILING_TYPE" hidden="1">"c16224"</definedName>
    <definedName name="IQ_BR_PLAN_APPROVE_DATE" hidden="1">"c16226"</definedName>
    <definedName name="IQ_BR_PLAN_CONFIRM" hidden="1">"c16225"</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APR_FC_UNUSED" hidden="1">"c8359"</definedName>
    <definedName name="IQ_BUDGET_BALANCE_APR_UNUSED" hidden="1">"c7479"</definedName>
    <definedName name="IQ_BUDGET_BALANCE_FC_UNUSED" hidden="1">"c7699"</definedName>
    <definedName name="IQ_BUDGET_BALANCE_POP_FC_UNUSED" hidden="1">"c7919"</definedName>
    <definedName name="IQ_BUDGET_BALANCE_POP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YOY_FC_UNUSED" hidden="1">"c8139"</definedName>
    <definedName name="IQ_BUDGET_BALANCE_YOY_UNUSED" hidden="1">"c7259"</definedName>
    <definedName name="IQ_BUDGET_RECEIPTS_APR_FC_UNUSED" hidden="1">"c8361"</definedName>
    <definedName name="IQ_BUDGET_RECEIPTS_APR_UNUSED" hidden="1">"c7481"</definedName>
    <definedName name="IQ_BUDGET_RECEIPTS_FC_UNUSED" hidden="1">"c7701"</definedName>
    <definedName name="IQ_BUDGET_RECEIPTS_POP_FC_UNUSED" hidden="1">"c7921"</definedName>
    <definedName name="IQ_BUDGET_RECEIPTS_POP_UNUSED" hidden="1">"c7041"</definedName>
    <definedName name="IQ_BUDGET_RECEIPTS_UNUSED" hidden="1">"c6821"</definedName>
    <definedName name="IQ_BUDGET_RECEIPTS_YOY_FC_UNUSED" hidden="1">"c8141"</definedName>
    <definedName name="IQ_BUDGET_RECEIPTS_YOY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DESCRIPTION" hidden="1">"c15589"</definedName>
    <definedName name="IQ_BUS_SEG_DESCRIPTION_ABS" hidden="1">"c15577"</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IC" hidden="1">"c15588"</definedName>
    <definedName name="IQ_BUS_SEG_NAIC_ABS" hidden="1">"c15576"</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PRIMARY_SIC" hidden="1">"c15586"</definedName>
    <definedName name="IQ_BUS_SEG_PRIMARY_SIC_ABS" hidden="1">"c15574"</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_SEG_SECONDARY_SIC" hidden="1">"c15587"</definedName>
    <definedName name="IQ_BUS_SEG_SECONDARY_SIC_ABS" hidden="1">"c15575"</definedName>
    <definedName name="IQ_BUSINESS_COMBINATIONS_FFIEC" hidden="1">"c12967"</definedName>
    <definedName name="IQ_BUSINESS_DESCRIPTION" hidden="1">"c322"</definedName>
    <definedName name="IQ_BV_ACT_OR_EST_CIQ" hidden="1">"c5068"</definedName>
    <definedName name="IQ_BV_ACT_OR_EST_CIQ_COL" hidden="1">"c11715"</definedName>
    <definedName name="IQ_BV_OVER_SHARES" hidden="1">"c1349"</definedName>
    <definedName name="IQ_BV_SHARE" hidden="1">"c100"</definedName>
    <definedName name="IQ_BV_SHARE_ACT_OR_EST_CIQ_COL" hidden="1">"c11719"</definedName>
    <definedName name="IQ_CA_AP" hidden="1">"c8881"</definedName>
    <definedName name="IQ_CA_AP_ABS" hidden="1">"c8900"</definedName>
    <definedName name="IQ_CA_NAME_AP" hidden="1">"c8919"</definedName>
    <definedName name="IQ_CA_NAME_AP_ABS" hidden="1">"c8938"</definedName>
    <definedName name="IQ_CABLE_ARPU" hidden="1">"c16151"</definedName>
    <definedName name="IQ_CABLE_ARPU_COMPANY0235" hidden="1">"c16146"</definedName>
    <definedName name="IQ_CABLE_ARPU_BASIC" hidden="1">"c16148"</definedName>
    <definedName name="IQ_CABLE_ARPU_BBAND" hidden="1">"c16150"</definedName>
    <definedName name="IQ_CABLE_ARPU_DIG" hidden="1">"c16147"</definedName>
    <definedName name="IQ_CABLE_ARPU_PHONE" hidden="1">"c16149"</definedName>
    <definedName name="IQ_CABLE_BASIC_PENETRATION" hidden="1">"c16130"</definedName>
    <definedName name="IQ_CABLE_BBAND_PENETRATION" hidden="1">"c16131"</definedName>
    <definedName name="IQ_CABLE_BBAND_PENETRATION_THP" hidden="1">"c16132"</definedName>
    <definedName name="IQ_CABLE_CHURN" hidden="1">"c16156"</definedName>
    <definedName name="IQ_CABLE_CHURN_BASIC" hidden="1">"c16153"</definedName>
    <definedName name="IQ_CABLE_CHURN_BBAND" hidden="1">"c16155"</definedName>
    <definedName name="IQ_CABLE_CHURN_DIG" hidden="1">"c16152"</definedName>
    <definedName name="IQ_CABLE_CHURN_PHONE" hidden="1">"c16154"</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"c16145"</definedName>
    <definedName name="IQ_CABLE_OTHER_REV" hidden="1">"c16164"</definedName>
    <definedName name="IQ_CABLE_PHONE_PENETRATION" hidden="1">"c16133"</definedName>
    <definedName name="IQ_CABLE_PROGRAMMING_COSTS" hidden="1">"c16144"</definedName>
    <definedName name="IQ_CABLE_REV_ADVERT" hidden="1">"c16162"</definedName>
    <definedName name="IQ_CABLE_REV_COMPANY0235" hidden="1">"c16157"</definedName>
    <definedName name="IQ_CABLE_REV_BASIC" hidden="1">"c16159"</definedName>
    <definedName name="IQ_CABLE_REV_BBAND" hidden="1">"c16160"</definedName>
    <definedName name="IQ_CABLE_REV_COMMERCIAL" hidden="1">"c16163"</definedName>
    <definedName name="IQ_CABLE_REV_DIG" hidden="1">"c16158"</definedName>
    <definedName name="IQ_CABLE_REV_PHONE" hidden="1">"c16161"</definedName>
    <definedName name="IQ_CABLE_RGU" hidden="1">"c16143"</definedName>
    <definedName name="IQ_CABLE_SUBS_COMPANY0235" hidden="1">"c16135"</definedName>
    <definedName name="IQ_CABLE_SUBS_BASIC" hidden="1">"c16137"</definedName>
    <definedName name="IQ_CABLE_SUBS_BBAND" hidden="1">"c16138"</definedName>
    <definedName name="IQ_CABLE_SUBS_BUNDLED" hidden="1">"c16141"</definedName>
    <definedName name="IQ_CABLE_SUBS_BUS_PHONE" hidden="1">"c15773"</definedName>
    <definedName name="IQ_CABLE_SUBS_DIG" hidden="1">"c16136"</definedName>
    <definedName name="IQ_CABLE_SUBS_LONG_DIST_PHONE" hidden="1">"c15775"</definedName>
    <definedName name="IQ_CABLE_SUBS_NON_VIDEO" hidden="1">"c16140"</definedName>
    <definedName name="IQ_CABLE_SUBS_PHONE" hidden="1">"c16139"</definedName>
    <definedName name="IQ_CABLE_SUBS_RES_PHONE" hidden="1">"c15772"</definedName>
    <definedName name="IQ_CABLE_SUBS_SATELITE" hidden="1">"c15771"</definedName>
    <definedName name="IQ_CABLE_SUBS_TOTAL" hidden="1">"c16142"</definedName>
    <definedName name="IQ_CABLE_SUBS_WHOLE_PHONE" hidden="1">"c15774"</definedName>
    <definedName name="IQ_CABLE_THP" hidden="1">"c2847"</definedName>
    <definedName name="IQ_CABLE_TOTAL_PENETRATION" hidden="1">"c2854"</definedName>
    <definedName name="IQ_CABLE_TOTAL_REV" hidden="1">"c16165"</definedName>
    <definedName name="IQ_CAL_Q" hidden="1">"c101"</definedName>
    <definedName name="IQ_CAL_Q_EST" hidden="1">"c6796"</definedName>
    <definedName name="IQ_CAL_Q_EST_CIQ" hidden="1">"c6808"</definedName>
    <definedName name="IQ_CAL_Q_EST_CIQ_COL" hidden="1">"c11743"</definedName>
    <definedName name="IQ_CAL_Y" hidden="1">"c102"</definedName>
    <definedName name="IQ_CAL_Y_EST" hidden="1">"c6797"</definedName>
    <definedName name="IQ_CAL_Y_EST_CIQ" hidden="1">"c6809"</definedName>
    <definedName name="IQ_CAL_Y_EST_CIQ_COL" hidden="1">"c11744"</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INVEST_CABLE" hidden="1">"c15794"</definedName>
    <definedName name="IQ_CAP_INVEST_COMMERCIAL" hidden="1">"c15800"</definedName>
    <definedName name="IQ_CAP_INVEST_CUST_PREMISE_EQUIP" hidden="1">"c15795"</definedName>
    <definedName name="IQ_CAP_INVEST_LINE_EXTENSIONS" hidden="1">"c15797"</definedName>
    <definedName name="IQ_CAP_INVEST_SCALABLE_INFRASTRUCTURE" hidden="1">"c15796"</definedName>
    <definedName name="IQ_CAP_INVEST_SUPPORT" hidden="1">"c15799"</definedName>
    <definedName name="IQ_CAP_INVEST_UPGRADE_REBUILD" hidden="1">"c15798"</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_CIQ_COL" hidden="1">"c11718"</definedName>
    <definedName name="IQ_CAPEX_BNK" hidden="1">"c110"</definedName>
    <definedName name="IQ_CAPEX_BR" hidden="1">"c111"</definedName>
    <definedName name="IQ_CAPEX_FIN" hidden="1">"c112"</definedName>
    <definedName name="IQ_CAPEX_GUIDANCE_CIQ" hidden="1">"c4562"</definedName>
    <definedName name="IQ_CAPEX_GUIDANCE_CIQ_COL" hidden="1">"c11211"</definedName>
    <definedName name="IQ_CAPEX_HIGH_GUIDANCE_CIQ" hidden="1">"c4592"</definedName>
    <definedName name="IQ_CAPEX_HIGH_GUIDANCE_CIQ_COL" hidden="1">"c11241"</definedName>
    <definedName name="IQ_CAPEX_INS" hidden="1">"c113"</definedName>
    <definedName name="IQ_CAPEX_LOW_GUIDANCE_CIQ" hidden="1">"c4632"</definedName>
    <definedName name="IQ_CAPEX_LOW_GUIDANCE_CIQ_COL" hidden="1">"c11281"</definedName>
    <definedName name="IQ_CAPEX_PCT_REV" hidden="1">"c19144"</definedName>
    <definedName name="IQ_CAPEX_UTI" hidden="1">"c114"</definedName>
    <definedName name="IQ_CAPITAL_ALLOCATION_ADJUSTMENT_FOREIGN_FFIEC" hidden="1">"c15389"</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_UNDER_MANAGE" hidden="1">"c18929"</definedName>
    <definedName name="IQ_CAPITAL_UNDER_MANAGE_CURRENCY" hidden="1">"c19171"</definedName>
    <definedName name="IQ_CAPITAL_UNDER_MANAGE_DATE" hidden="1">"c18930"</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"c1630"</definedName>
    <definedName name="IQ_CASH_BALANCES_DUE_FFIEC" hidden="1">"c12773"</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PERSON0813" hidden="1">"c9305"</definedName>
    <definedName name="IQ_CASH_COST_PER_SUB" hidden="1">"c15763"</definedName>
    <definedName name="IQ_CASH_COST_PLAT" hidden="1">"c9143"</definedName>
    <definedName name="IQ_CASH_COST_SILVER" hidden="1">"c9090"</definedName>
    <definedName name="IQ_CASH_COST_STEAM" hidden="1">"c9792"</definedName>
    <definedName name="IQ_CASH_COST_PRODUCT0419" hidden="1">"c9570"</definedName>
    <definedName name="IQ_CASH_COST_URAN" hidden="1">"c9623"</definedName>
    <definedName name="IQ_CASH_COST_Company3050" hidden="1">"c9358"</definedName>
    <definedName name="IQ_CASH_DEPOSITORY_INSTIT_US_DOM_FFIEC" hidden="1">"c15288"</definedName>
    <definedName name="IQ_CASH_DIVIDENDS_NET_INCOME_FDIC" hidden="1">"c6738"</definedName>
    <definedName name="IQ_CASH_DUE_BANKS" hidden="1">"c1351"</definedName>
    <definedName name="IQ_CASH_DUE_OTHER_FED_RESERVE_BANKS_DOM_FFIEC" hidden="1">"c15290"</definedName>
    <definedName name="IQ_CASH_DUE_OTHER_FED_RESERVE_BANKS_FFIEC" hidden="1">"c15284"</definedName>
    <definedName name="IQ_CASH_DUE_US_PERSON0154_FOREIGN_BANK_FFIEC" hidden="1">"c15280"</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_CIQ" hidden="1">"c4566"</definedName>
    <definedName name="IQ_CASH_FLOW_ACT_OR_EST_CIQ_COL" hidden="1">"c11215"</definedName>
    <definedName name="IQ_CASH_FLOW_GUIDANCE" hidden="1">"c4155"</definedName>
    <definedName name="IQ_CASH_FLOW_GUIDANCE_CIQ" hidden="1">"c4567"</definedName>
    <definedName name="IQ_CASH_FLOW_GUIDANCE_CIQ_COL" hidden="1">"c11216"</definedName>
    <definedName name="IQ_CASH_FLOW_HIGH_GUIDANCE" hidden="1">"c4201"</definedName>
    <definedName name="IQ_CASH_FLOW_HIGH_GUIDANCE_CIQ" hidden="1">"c4613"</definedName>
    <definedName name="IQ_CASH_FLOW_HIGH_GUIDANCE_CIQ_COL" hidden="1">"c11262"</definedName>
    <definedName name="IQ_CASH_FLOW_LOW_GUIDANCE" hidden="1">"c4241"</definedName>
    <definedName name="IQ_CASH_FLOW_LOW_GUIDANCE_CIQ" hidden="1">"c4653"</definedName>
    <definedName name="IQ_CASH_FLOW_LOW_GUIDANCE_CIQ_COL" hidden="1">"c11302"</definedName>
    <definedName name="IQ_CASH_FOREIGN_PERSON0154_OTHER_US_BANKS_FFIEC" hidden="1">"c15282"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_CIQ" hidden="1">"c4576"</definedName>
    <definedName name="IQ_CASH_OPER_ACT_OR_EST_CIQ_COL" hidden="1">"c11225"</definedName>
    <definedName name="IQ_CASH_OPER_AP" hidden="1">"c8888"</definedName>
    <definedName name="IQ_CASH_OPER_AP_ABS" hidden="1">"c8907"</definedName>
    <definedName name="IQ_CASH_OPER_GUIDANCE_CIQ" hidden="1">"c4577"</definedName>
    <definedName name="IQ_CASH_OPER_GUIDANCE_CIQ_COL" hidden="1">"c11226"</definedName>
    <definedName name="IQ_CASH_OPER_HIGH_GUIDANCE_CIQ" hidden="1">"c4597"</definedName>
    <definedName name="IQ_CASH_OPER_HIGH_GUIDANCE_CIQ_COL" hidden="1">"c11246"</definedName>
    <definedName name="IQ_CASH_OPER_LOW_GUIDANCE_CIQ" hidden="1">"c4637"</definedName>
    <definedName name="IQ_CASH_OPER_LOW_GUIDANCE_CIQ_COL" hidden="1">"c11286"</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"c1355"</definedName>
    <definedName name="IQ_CASH_ST_INVEST" hidden="1">"c124"</definedName>
    <definedName name="IQ_CASH_ST_INVEST_GUIDANCE" hidden="1">"c4250"</definedName>
    <definedName name="IQ_CASH_ST_INVEST_GUIDANCE_CIQ" hidden="1">"c4776"</definedName>
    <definedName name="IQ_CASH_ST_INVEST_GUIDANCE_CIQ_COL" hidden="1">"c11423"</definedName>
    <definedName name="IQ_CASH_ST_INVEST_HIGH_GUIDANCE" hidden="1">"c4195"</definedName>
    <definedName name="IQ_CASH_ST_INVEST_HIGH_GUIDANCE_CIQ" hidden="1">"c4607"</definedName>
    <definedName name="IQ_CASH_ST_INVEST_HIGH_GUIDANCE_CIQ_COL" hidden="1">"c11256"</definedName>
    <definedName name="IQ_CASH_ST_INVEST_LOW_GUIDANCE" hidden="1">"c4235"</definedName>
    <definedName name="IQ_CASH_ST_INVEST_LOW_GUIDANCE_CIQ" hidden="1">"c4647"</definedName>
    <definedName name="IQ_CASH_ST_INVEST_LOW_GUIDANCE_CIQ_COL" hidden="1">"c11296"</definedName>
    <definedName name="IQ_CASH_STRUCTURED_PRODUCTS_AFS_AMORT_COST_FFIEC" hidden="1">"c20500"</definedName>
    <definedName name="IQ_CASH_STRUCTURED_PRODUCTS_AFS_FAIR_VAL_FFIEC" hidden="1">"c20465"</definedName>
    <definedName name="IQ_CASH_STRUCTURED_PRODUCTS_AVAIL_SALE_FFIEC" hidden="1">"c15263"</definedName>
    <definedName name="IQ_CASH_STRUCTURED_PRODUCTS_FFIEC" hidden="1">"c15260"</definedName>
    <definedName name="IQ_CASH_STRUCTURED_PRODUCTS_HTM_AMORT_COST_FFIEC" hidden="1">"c20448"</definedName>
    <definedName name="IQ_CASH_STRUCTURED_PRODUCTS_HTM_FAIR_VAL_FFIEC" hidden="1">"c20483"</definedName>
    <definedName name="IQ_CASH_TAXES" hidden="1">"c125"</definedName>
    <definedName name="IQ_CASH_TAXES_FINAN" hidden="1">"c6292"</definedName>
    <definedName name="IQ_CASH_TAXES_INVEST" hidden="1">"c6291"</definedName>
    <definedName name="IQ_CASH_TAXES_OPER" hidden="1">"c6290"</definedName>
    <definedName name="IQ_CATASTROPHIC_LOSS_RATIO" hidden="1">"c15881"</definedName>
    <definedName name="IQ_CCE_FDIC" hidden="1">"c6296"</definedName>
    <definedName name="IQ_CDS_5YR_CIQID" hidden="1">"c11751"</definedName>
    <definedName name="IQ_CDS_ASK" hidden="1">"c6027"</definedName>
    <definedName name="IQ_CDS_BID" hidden="1">"c6026"</definedName>
    <definedName name="IQ_CDS_COUPON" hidden="1">"c15234"</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NEXT_SERIES_ID" hidden="1">"c15231"</definedName>
    <definedName name="IQ_CDS_PREV_SERIES_ID" hidden="1">"c15232"</definedName>
    <definedName name="IQ_CDS_PRICE_TYPE" hidden="1">"c15233"</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ADJ_EXP_RESERVE_BOP" hidden="1">"c15875"</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LOSSES" hidden="1">"c15872"</definedName>
    <definedName name="IQ_CEDED_PC_EARNED" hidden="1">"c2748"</definedName>
    <definedName name="IQ_CEDED_PREMIUMS_EARNED_GROSS_PREMIUMS_EARNED" hidden="1">"c15887"</definedName>
    <definedName name="IQ_CEDED_PREMIUMS_WRITTEN_GROSS_PREMIUMS_WRITTEN" hidden="1">"c15885"</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ACT_OR_EST_CIQ_COL" hidden="1">"c11708"</definedName>
    <definedName name="IQ_CFPS_EST" hidden="1">"c1667"</definedName>
    <definedName name="IQ_CFPS_GUIDANCE_CIQ" hidden="1">"c4782"</definedName>
    <definedName name="IQ_CFPS_GUIDANCE_CIQ_COL" hidden="1">"c11429"</definedName>
    <definedName name="IQ_CFPS_HIGH_EST" hidden="1">"c1669"</definedName>
    <definedName name="IQ_CFPS_HIGH_GUIDANCE_CIQ" hidden="1">"c4579"</definedName>
    <definedName name="IQ_CFPS_HIGH_GUIDANCE_CIQ_COL" hidden="1">"c11228"</definedName>
    <definedName name="IQ_CFPS_LOW_EST" hidden="1">"c1670"</definedName>
    <definedName name="IQ_CFPS_LOW_GUIDANCE_CIQ" hidden="1">"c4619"</definedName>
    <definedName name="IQ_CFPS_LOW_GUIDANCE_CIQ_COL" hidden="1">"c11268"</definedName>
    <definedName name="IQ_CFPS_MEDIAN_EST" hidden="1">"c1668"</definedName>
    <definedName name="IQ_CFPS_NUM_EST" hidden="1">"c1671"</definedName>
    <definedName name="IQ_CFPS_STDDEV_EST" hidden="1">"c1672"</definedName>
    <definedName name="IQ_CH" hidden="1">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UNUSED" hidden="1">"c7620"</definedName>
    <definedName name="IQ_CHANGE_INVENT_REAL_FC_UNUSED" hidden="1">"c7840"</definedName>
    <definedName name="IQ_CHANGE_INVENT_REAL_POP_FC_UNUSED" hidden="1">"c8060"</definedName>
    <definedName name="IQ_CHANGE_INVENT_REAL_POP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UNRECOG_TAX_BENEFIT_1_YR_MAX" hidden="1">"c15747"</definedName>
    <definedName name="IQ_CHANGE_UNRECOG_TAX_BENEFIT_1_YR_MIN" hidden="1">"c15746"</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HURN_BASIC_CABLE" hidden="1">"c2871"</definedName>
    <definedName name="IQ_CHURN_BBAND" hidden="1">"c2872"</definedName>
    <definedName name="IQ_CHURN_DIG_CABLE" hidden="1">"c2870"</definedName>
    <definedName name="IQ_CHURN_PHONE" hidden="1">"c2873"</definedName>
    <definedName name="IQ_CHURN_POSTPAID_WIRELESS" hidden="1">"c2121"</definedName>
    <definedName name="IQ_CHURN_PREPAID_WIRELESS" hidden="1">"c2120"</definedName>
    <definedName name="IQ_CHURN_SATELLITE" hidden="1">"c15791"</definedName>
    <definedName name="IQ_CHURN_TOTAL" hidden="1">"c2874"</definedName>
    <definedName name="IQ_CHURN_TOTAL_WIRELESS" hidden="1">"c2122"</definedName>
    <definedName name="IQ_CIK" hidden="1">"c20384"</definedName>
    <definedName name="IQ_CIP" hidden="1">"c17551"</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D_END_1_4_FAM_LOANS_TOT_LOANS_FFIEC" hidden="1">"c13866"</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LOSEPRICE_RT" hidden="1">"CLOSE"</definedName>
    <definedName name="IQ_CMBS_ISSUED_AFS_AMORT_COST_FFIEC" hidden="1">"c20497"</definedName>
    <definedName name="IQ_CMBS_ISSUED_AFS_FAIR_VAL_FFIEC" hidden="1">"c20462"</definedName>
    <definedName name="IQ_CMBS_ISSUED_AVAIL_SALE_FFIEC" hidden="1">"c12800"</definedName>
    <definedName name="IQ_CMBS_ISSUED_FFIEC" hidden="1">"c12786"</definedName>
    <definedName name="IQ_CMBS_ISSUED_HTM_AMORT_COST_FFIEC" hidden="1">"c20445"</definedName>
    <definedName name="IQ_CMBS_ISSUED_HTM_FAIR_VAL_FFIEC" hidden="1">"c20480"</definedName>
    <definedName name="IQ_CMO_FDIC" hidden="1">"c6406"</definedName>
    <definedName name="IQ_CO_INVESTORS" hidden="1">"c18910"</definedName>
    <definedName name="IQ_CO_INVESTORS_ID" hidden="1">"c18911"</definedName>
    <definedName name="IQ_CO_INVESTORS_INVESTMENT" hidden="1">"c19113"</definedName>
    <definedName name="IQ_CO_INVESTORS_NUM_INVESTMENTS" hidden="1">"c19170"</definedName>
    <definedName name="IQ_COAL_SALES_TO_OPERATING_REVENUE_COAL" hidden="1">"c15954"</definedName>
    <definedName name="IQ_COGS" hidden="1">"c175"</definedName>
    <definedName name="IQ_COLLATERAL_TYPE" hidden="1">"c8954"</definedName>
    <definedName name="IQ_COLLECTION_DOMESTIC_FDIC" hidden="1">"c6387"</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INDUSTRIAL_LL_REC_FFIEC" hidden="1">"c18880"</definedName>
    <definedName name="IQ_COMM_INDUSTRIAL_LOANS_FFIEC" hidden="1">"c12821"</definedName>
    <definedName name="IQ_COMM_INDUSTRIAL_NON_US_LL_REC_FFIEC" hidden="1">"c12888"</definedName>
    <definedName name="IQ_COMM_INDUSTRIAL_US_LL_REC_FFIEC" hidden="1">"c12887"</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 hidden="1">"c15478"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INDUSTRIAL_US_RECOV_FFIEC" hidden="1">"c13200"</definedName>
    <definedName name="IQ_COMMERCIAL_INVEST_CABLE_INVEST" hidden="1">"c15806"</definedName>
    <definedName name="IQ_COMMERCIAL_LOANS_TOTAL_LOANS" hidden="1">"c15709"</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LOANS_TOTAL_LOANS" hidden="1">"c15710"</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FFIEC" hidden="1">"c12876"</definedName>
    <definedName name="IQ_COMP_BENEFITS" hidden="1">"c213"</definedName>
    <definedName name="IQ_COMPANY_ADDRESS" hidden="1">"c214"</definedName>
    <definedName name="IQ_COMPANY_ID" hidden="1">"c3513"</definedName>
    <definedName name="IQ_COMPANY_ID_QUICK_MATCH" hidden="1">"c16227"</definedName>
    <definedName name="IQ_COMPANY_NAME" hidden="1">"c215"</definedName>
    <definedName name="IQ_COMPANY_NAME_LONG" hidden="1">"c1585"</definedName>
    <definedName name="IQ_COMPANY_NAME_QUICK_MATCH" hidden="1">"c16228"</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OLIDATED_NI_FOREIGN_FFIEC" hidden="1">"c15396"</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ITUENTS" hidden="1">"c19169"</definedName>
    <definedName name="IQ_CONSTITUENTS_NAME" hidden="1">"c19192"</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LOANS_TOTAL_LOANS" hidden="1">"c15711"</definedName>
    <definedName name="IQ_CONSTRUCTION_RISK_BASED_FFIEC" hidden="1">"c13422"</definedName>
    <definedName name="IQ_CONSULTING_FFIEC" hidden="1">"c13055"</definedName>
    <definedName name="IQ_CONSUMER_COMPANY0686" hidden="1">"c6831"</definedName>
    <definedName name="IQ_CONSUMER_COMPANY0686_APR" hidden="1">"c7491"</definedName>
    <definedName name="IQ_CONSUMER_COMPANY0686_APR_FC" hidden="1">"c8371"</definedName>
    <definedName name="IQ_CONSUMER_COMPANY0686_FC" hidden="1">"c7711"</definedName>
    <definedName name="IQ_CONSUMER_COMPANY0686_POP" hidden="1">"c7051"</definedName>
    <definedName name="IQ_CONSUMER_COMPANY0686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LOANS_TOT_LOANS_FFIEC" hidden="1">"c13875"</definedName>
    <definedName name="IQ_CONSUMER_LOANS_TOTAL_LOANS" hidden="1">"c15712"</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INGENT_LIABILITIES" hidden="1">"c18873"</definedName>
    <definedName name="IQ_CONTRACT_OBLIGATION_AFTER_FIVE" hidden="1">"c15691"</definedName>
    <definedName name="IQ_CONTRACT_OBLIGATION_CY" hidden="1">"c15685"</definedName>
    <definedName name="IQ_CONTRACT_OBLIGATION_CY1" hidden="1">"c15686"</definedName>
    <definedName name="IQ_CONTRACT_OBLIGATION_CY2" hidden="1">"c15687"</definedName>
    <definedName name="IQ_CONTRACT_OBLIGATION_CY3" hidden="1">"c15688"</definedName>
    <definedName name="IQ_CONTRACT_OBLIGATION_CY4" hidden="1">"c15689"</definedName>
    <definedName name="IQ_CONTRACT_OBLIGATION_NEXT_FIVE" hidden="1">"c15690"</definedName>
    <definedName name="IQ_CONTRACT_OBLIGATION_TOTAL" hidden="1">"c15692"</definedName>
    <definedName name="IQ_CONTRACTS_OTHER_COMMODITIES_EQUITIES_FDIC" hidden="1">"c6522"</definedName>
    <definedName name="IQ_CONTRIBUTOR_CIQID" hidden="1">"c13742"</definedName>
    <definedName name="IQ_CONTRIBUTOR_NAME" hidden="1">"c13735"</definedName>
    <definedName name="IQ_CONTRIBUTOR_START_DATE" hidden="1">"c13741"</definedName>
    <definedName name="IQ_CONV_DATE" hidden="1">"c2191"</definedName>
    <definedName name="IQ_CONV_EXP_DATE" hidden="1">"c3043"</definedName>
    <definedName name="IQ_CONV_PARITY" hidden="1">"c16197"</definedName>
    <definedName name="IQ_CONV_PREMIUM" hidden="1">"c2195"</definedName>
    <definedName name="IQ_CONV_PRICE" hidden="1">"c2193"</definedName>
    <definedName name="IQ_CONV_PRICE_ISSUE" hidden="1">"c16195"</definedName>
    <definedName name="IQ_CONV_PRICE_PREM_ISSUE" hidden="1">"c16196"</definedName>
    <definedName name="IQ_CONV_PRICE_PREMIUM" hidden="1">"c16198"</definedName>
    <definedName name="IQ_CONV_PT_PREMIUM" hidden="1">"c16199"</definedName>
    <definedName name="IQ_CONV_PT_PREMIUM_PCT" hidden="1">"c16200"</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PCT" hidden="1">"c2537"</definedName>
    <definedName name="IQ_CONVEXITY" hidden="1">"c2182"</definedName>
    <definedName name="IQ_CONVEYED_TO_OTHERS_FDIC" hidden="1">"c6534"</definedName>
    <definedName name="IQ_COO_ID" hidden="1">"c15222"</definedName>
    <definedName name="IQ_COO_NAME" hidden="1">"c15221"</definedName>
    <definedName name="IQ_CORE_CAPITAL_RATIO_FDIC" hidden="1">"c6745"</definedName>
    <definedName name="IQ_CORE_DEPOSITS_ASSETS_TOT_FFIEC" hidden="1">"c13442"</definedName>
    <definedName name="IQ_CORE_DEPOSITS_FFIEC" hidden="1">"c13862"</definedName>
    <definedName name="IQ_CORE_DEPOSITS_TOT_DEPOSITS_FFIEC" hidden="1">"c13911"</definedName>
    <definedName name="IQ_CORE_TIER_ONE_CAPITAL" hidden="1">"c15244"</definedName>
    <definedName name="IQ_CORE_TIER_ONE_CAPITAL_RATIO" hidden="1">"c15240"</definedName>
    <definedName name="IQ_CORP_GOODS_PRICE_INDEX_APR_FC_UNUSED" hidden="1">"c8381"</definedName>
    <definedName name="IQ_CORP_GOODS_PRICE_INDEX_APR_UNUSED" hidden="1">"c7501"</definedName>
    <definedName name="IQ_CORP_GOODS_PRICE_INDEX_FC_UNUSED" hidden="1">"c7721"</definedName>
    <definedName name="IQ_CORP_GOODS_PRICE_INDEX_POP_FC_UNUSED" hidden="1">"c7941"</definedName>
    <definedName name="IQ_CORP_GOODS_PRICE_INDEX_POP_UNUSED" hidden="1">"c7061"</definedName>
    <definedName name="IQ_CORP_GOODS_PRICE_INDEX_UNUSED" hidden="1">"c6841"</definedName>
    <definedName name="IQ_CORP_GOODS_PRICE_INDEX_YOY_FC_UNUSED" hidden="1">"c8161"</definedName>
    <definedName name="IQ_CORP_GOODS_PRICE_INDEX_YOY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RPORATE_OVER_TOTAL" hidden="1">"c13767"</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 hidden="1">"c15726"</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"c1359"</definedName>
    <definedName name="IQ_COST_SALES_COAL" hidden="1">"c15933"</definedName>
    <definedName name="IQ_COST_SALES_PER_UNIT_SOLD_COAL" hidden="1">"c15944"</definedName>
    <definedName name="IQ_COST_SALES_TO_SALES_COAL" hidden="1">"c15951"</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AGE_RATIO" hidden="1">"c15243"</definedName>
    <definedName name="IQ_COVERED_POPS" hidden="1">"c2124"</definedName>
    <definedName name="IQ_COVERED_WIRELESS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OM_QUARTERLY_AVG_FFIEC" hidden="1">"c15480"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_APR_FC_UNUSED" hidden="1">"c8387"</definedName>
    <definedName name="IQ_CURR_ACCT_BALANCE_APR_UNUSED" hidden="1">"c7507"</definedName>
    <definedName name="IQ_CURR_ACCT_BALANCE_FC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_TAXES" hidden="1">"c19141"</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T_PREMISE_EQUIP_CABLE_INVEST" hidden="1">"c15801"</definedName>
    <definedName name="IQ_CUSTOMER_LIAB_ACCEPTANCES_OUT_FFIEC" hidden="1">"c12835"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500000</definedName>
    <definedName name="IQ_DART" hidden="1">"c20427"</definedName>
    <definedName name="IQ_DATA_PROCESSING_EXP_FFIEC" hidden="1">"c13047"</definedName>
    <definedName name="IQ_DATA_SET" hidden="1">"c19244"</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1_5_INVEST_SECURITIES_FFIEC" hidden="1">"c13465"</definedName>
    <definedName name="IQ_DEBT_ADJ" hidden="1">"c2515"</definedName>
    <definedName name="IQ_DEBT_ADJ_PCT" hidden="1">"c2516"</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AULT_DATE" hidden="1">"c16220"</definedName>
    <definedName name="IQ_DEFAULT_TYPE" hidden="1">"c16219"</definedName>
    <definedName name="IQ_DEFERRED_CONTINGENT_RENT" hidden="1">"c16181"</definedName>
    <definedName name="IQ_DEFERRED_DOMESTIC_TAXES" hidden="1">"c2077"</definedName>
    <definedName name="IQ_DEFERRED_FOREIGN_TAXES" hidden="1">"c2078"</definedName>
    <definedName name="IQ_DEFERRED_INC_TAX" hidden="1">"c1447"</definedName>
    <definedName name="IQ_DEFERRED_TAX_ASSETS_FFIEC" hidden="1">"c12843"</definedName>
    <definedName name="IQ_DEFERRED_TAX_ASSETS_T1_FFIEC" hidden="1">"c13141"</definedName>
    <definedName name="IQ_DEFERRED_TAX_LIAB_FFIEC" hidden="1">"c12870"</definedName>
    <definedName name="IQ_DEFERRED_TAX_NAV" hidden="1">"c16003"</definedName>
    <definedName name="IQ_DEFERRED_TAX_NNAV" hidden="1">"c16008"</definedName>
    <definedName name="IQ_DEFERRED_TAXES" hidden="1">"c1356"</definedName>
    <definedName name="IQ_DEFERRED_TAXES_TOTAL" hidden="1">"c19142"</definedName>
    <definedName name="IQ_DELIVERED_HOMES_NEW_ORDERS" hidden="1">"c15821"</definedName>
    <definedName name="IQ_DELIVERED_HOMES_PRICE_NEW_ORDER_PRICE" hidden="1">"c15822"</definedName>
    <definedName name="IQ_DEMAND_DEP" hidden="1">"c320"</definedName>
    <definedName name="IQ_DEMAND_DEPOSITS_COMMERCIAL_BANK_SUBS_FFIEC" hidden="1">"c12945"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BANKS_FOREIGN_AGENCIES_FFIEC" hidden="1">"c15344"</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VELOP_LAND" hidden="1">"c323"</definedName>
    <definedName name="IQ_DEVELOPMENT_EXPENSE" hidden="1">"c16040"</definedName>
    <definedName name="IQ_DEVELOPMENT_REVENUE" hidden="1">"c16024"</definedName>
    <definedName name="IQ_DIC" hidden="1">"c13834"</definedName>
    <definedName name="IQ_DIFF_LASTCLOSE_TARGET_PRICE" hidden="1">"c1854"</definedName>
    <definedName name="IQ_DIFF_LASTCLOSE_TARGET_PRICE_CIQ" hidden="1">"c4767"</definedName>
    <definedName name="IQ_DIG_SUB_BASIC_SUB" hidden="1">"c16202"</definedName>
    <definedName name="IQ_DIG_SUB_VIDEO_SUB" hidden="1">"c15788"</definedName>
    <definedName name="IQ_DIGITAL_SUB_TOTAL_HOMES_PASSED" hidden="1">"c15769"</definedName>
    <definedName name="IQ_DIGITAL_VIDEO_PENETRATION" hidden="1">"c15768"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LUT_WEIGHT_GUIDANCE" hidden="1">"c4270"</definedName>
    <definedName name="IQ_DILUTED_EPRA_NAV" hidden="1">"c16005"</definedName>
    <definedName name="IQ_DILUTED_EPRA_NAV_SHARE_RE" hidden="1">"c16014"</definedName>
    <definedName name="IQ_DILUTED_EPRA_NNAV" hidden="1">"c16010"</definedName>
    <definedName name="IQ_DILUTED_EPRA_NNAV_SHARE_RE" hidden="1">"c16015"</definedName>
    <definedName name="IQ_DILUTED_NAV_RE" hidden="1">"c15998"</definedName>
    <definedName name="IQ_DILUTED_NAV_SHARE_RE" hidden="1">"c16013"</definedName>
    <definedName name="IQ_DILUTED_NAV_SHARES" hidden="1">"c16016"</definedName>
    <definedName name="IQ_DILUTION_EFFECT_NAV" hidden="1">"c15997"</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LOSSES" hidden="1">"c15869"</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"c1367"</definedName>
    <definedName name="IQ_DISCOUNT_RATE_PENSION_DOMESTIC" hidden="1">"c327"</definedName>
    <definedName name="IQ_DISCOUNT_RATE_PENSION_FOREIGN" hidden="1">"c328"</definedName>
    <definedName name="IQ_DISCRETIONARY_CAPEX" hidden="1">"c16183"</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_CIQ" hidden="1">"c4803"</definedName>
    <definedName name="IQ_DISTRIBUTABLE_CASH_ACT_OR_EST_CIQ_COL" hidden="1">"c11450"</definedName>
    <definedName name="IQ_DISTRIBUTABLE_CASH_GUIDANCE_CIQ" hidden="1">"c4804"</definedName>
    <definedName name="IQ_DISTRIBUTABLE_CASH_GUIDANCE_CIQ_COL" hidden="1">"c11451"</definedName>
    <definedName name="IQ_DISTRIBUTABLE_CASH_HIGH_GUIDANCE_CIQ" hidden="1">"c4610"</definedName>
    <definedName name="IQ_DISTRIBUTABLE_CASH_HIGH_GUIDANCE_CIQ_COL" hidden="1">"c11259"</definedName>
    <definedName name="IQ_DISTRIBUTABLE_CASH_LOW_GUIDANCE_CIQ" hidden="1">"c4650"</definedName>
    <definedName name="IQ_DISTRIBUTABLE_CASH_LOW_GUIDANCE_CIQ_COL" hidden="1">"c11299"</definedName>
    <definedName name="IQ_DISTRIBUTABLE_CASH_PAYOUT" hidden="1">"c3005"</definedName>
    <definedName name="IQ_DISTRIBUTABLE_CASH_PER_SHARE_DILUTED" hidden="1">"c16191"</definedName>
    <definedName name="IQ_DISTRIBUTABLE_CASH_SHARE" hidden="1">"c3003"</definedName>
    <definedName name="IQ_DISTRIBUTABLE_CASH_SHARE_ACT_OR_EST_CIQ" hidden="1">"c4811"</definedName>
    <definedName name="IQ_DISTRIBUTABLE_CASH_SHARE_ACT_OR_EST_CIQ_COL" hidden="1">"c11458"</definedName>
    <definedName name="IQ_DISTRIBUTABLE_CASH_SHARE_GUIDANCE_CIQ" hidden="1">"c4812"</definedName>
    <definedName name="IQ_DISTRIBUTABLE_CASH_SHARE_GUIDANCE_CIQ_COL" hidden="1">"c11459"</definedName>
    <definedName name="IQ_DISTRIBUTABLE_CASH_SHARE_HIGH_GUIDANCE_CIQ" hidden="1">"c4611"</definedName>
    <definedName name="IQ_DISTRIBUTABLE_CASH_SHARE_HIGH_GUIDANCE_CIQ_COL" hidden="1">"c11260"</definedName>
    <definedName name="IQ_DISTRIBUTABLE_CASH_SHARE_LOW_GUIDANCE_CIQ" hidden="1">"c4651"</definedName>
    <definedName name="IQ_DISTRIBUTABLE_CASH_SHARE_LOW_GUIDANCE_CIQ_COL" hidden="1">"c11300"</definedName>
    <definedName name="IQ_DISTRIBUTABLE_CASH_SHARES_BASIC" hidden="1">"c16189"</definedName>
    <definedName name="IQ_DISTRIBUTABLE_CASH_SHARES_DILUTED" hidden="1">"c16190"</definedName>
    <definedName name="IQ_DISTRIBUTABLE_CASH_STANDARDIZED" hidden="1">"c20435"</definedName>
    <definedName name="IQ_DIV_AMOUNT" hidden="1">"c3041"</definedName>
    <definedName name="IQ_DIV_AMOUNT_LIST" hidden="1">"c17417"</definedName>
    <definedName name="IQ_DIV_PAYMENT_DATE" hidden="1">"c2106"</definedName>
    <definedName name="IQ_DIV_PAYMENT_DATE_LIST" hidden="1">"c17418"</definedName>
    <definedName name="IQ_DIV_PAYMENT_TYPE" hidden="1">"c12752"</definedName>
    <definedName name="IQ_DIV_PAYMENT_TYPE_LIST" hidden="1">"c17419"</definedName>
    <definedName name="IQ_DIV_RECORD_DATE" hidden="1">"c2105"</definedName>
    <definedName name="IQ_DIV_RECORD_DATE_LIST" hidden="1">"c17420"</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Company0742_OTHER_EXP_INC_TAX_US" hidden="1">"c6787"</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OM_OFFICE_DEPOSITS_TOT_DEPOSITS_FFIEC" hidden="1">"c13910"</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CIQ_COL" hidden="1">"c11709"</definedName>
    <definedName name="IQ_DPS_EST" hidden="1">"c1674"</definedName>
    <definedName name="IQ_DPS_GUIDANCE_CIQ" hidden="1">"c4827"</definedName>
    <definedName name="IQ_DPS_GUIDANCE_CIQ_COL" hidden="1">"c11474"</definedName>
    <definedName name="IQ_DPS_HIGH_EST" hidden="1">"c1676"</definedName>
    <definedName name="IQ_DPS_HIGH_GUIDANCE_CIQ" hidden="1">"c4580"</definedName>
    <definedName name="IQ_DPS_HIGH_GUIDANCE_CIQ_COL" hidden="1">"c11229"</definedName>
    <definedName name="IQ_DPS_LOW_EST" hidden="1">"c1677"</definedName>
    <definedName name="IQ_DPS_LOW_GUIDANCE_CIQ" hidden="1">"c4620"</definedName>
    <definedName name="IQ_DPS_LOW_GUIDANCE_CIQ_COL" hidden="1">"c11269"</definedName>
    <definedName name="IQ_DPS_MEDIAN_EST" hidden="1">"c1675"</definedName>
    <definedName name="IQ_DPS_NUM_EST" hidden="1">"c1678"</definedName>
    <definedName name="IQ_DPS_STDDEV_EST" hidden="1">"c1679"</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INT_BEAR_LIABILITIES" hidden="1">"c15703"</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CO_FFIEC" hidden="1">"c13032"</definedName>
    <definedName name="IQ_EARNINGS_CONT_OPS_HOMEBUILDING_SALES" hidden="1">"c15817"</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CIQ_COL" hidden="1">"c11710"</definedName>
    <definedName name="IQ_EBIT_EQ_INC" hidden="1">"c3498"</definedName>
    <definedName name="IQ_EBIT_EQ_INC_EXCL_SBC" hidden="1">"c3502"</definedName>
    <definedName name="IQ_EBIT_EST" hidden="1">"c1681"</definedName>
    <definedName name="IQ_EBIT_EXCL_SBC" hidden="1">"c3082"</definedName>
    <definedName name="IQ_EBIT_GUIDANCE_CIQ" hidden="1">"c4828"</definedName>
    <definedName name="IQ_EBIT_GUIDANCE_CIQ_COL" hidden="1">"c11475"</definedName>
    <definedName name="IQ_EBIT_GW_ACT_OR_EST_CIQ_COL" hidden="1">"c11478"</definedName>
    <definedName name="IQ_EBIT_GW_GUIDANCE" hidden="1">"c4307"</definedName>
    <definedName name="IQ_EBIT_GW_GUIDANCE_CIQ" hidden="1">"c4832"</definedName>
    <definedName name="IQ_EBIT_GW_GUIDANCE_CIQ_COL" hidden="1">"c11479"</definedName>
    <definedName name="IQ_EBIT_GW_HIGH_GUIDANCE" hidden="1">"c4171"</definedName>
    <definedName name="IQ_EBIT_GW_HIGH_GUIDANCE_CIQ" hidden="1">"c4583"</definedName>
    <definedName name="IQ_EBIT_GW_HIGH_GUIDANCE_CIQ_COL" hidden="1">"c11232"</definedName>
    <definedName name="IQ_EBIT_GW_LOW_GUIDANCE" hidden="1">"c4211"</definedName>
    <definedName name="IQ_EBIT_GW_LOW_GUIDANCE_CIQ" hidden="1">"c4623"</definedName>
    <definedName name="IQ_EBIT_GW_LOW_GUIDANCE_CIQ_COL" hidden="1">"c11272"</definedName>
    <definedName name="IQ_EBIT_HIGH_EST" hidden="1">"c1683"</definedName>
    <definedName name="IQ_EBIT_HIGH_GUIDANCE_CIQ" hidden="1">"c4584"</definedName>
    <definedName name="IQ_EBIT_HIGH_GUIDANCE_CIQ_COL" hidden="1">"c11233"</definedName>
    <definedName name="IQ_EBIT_HOMEBUILDING_SALES" hidden="1">"c15815"</definedName>
    <definedName name="IQ_EBIT_INT" hidden="1">"c360"</definedName>
    <definedName name="IQ_EBIT_LOW_EST" hidden="1">"c1684"</definedName>
    <definedName name="IQ_EBIT_LOW_GUIDANCE_CIQ" hidden="1">"c4624"</definedName>
    <definedName name="IQ_EBIT_LOW_GUIDANCE_CIQ_COL" hidden="1">"c11273"</definedName>
    <definedName name="IQ_EBIT_MARGIN" hidden="1">"c359"</definedName>
    <definedName name="IQ_EBIT_MEDIAN_EST" hidden="1">"c1682"</definedName>
    <definedName name="IQ_EBIT_NUM_EST" hidden="1">"c1685"</definedName>
    <definedName name="IQ_EBIT_OVER_IE" hidden="1">"c1369"</definedName>
    <definedName name="IQ_EBIT_SBC_ACT_OR_EST_CIQ" hidden="1">"c4841"</definedName>
    <definedName name="IQ_EBIT_SBC_ACT_OR_EST_CIQ_COL" hidden="1">"c11488"</definedName>
    <definedName name="IQ_EBIT_SBC_GUIDANCE" hidden="1">"c4317"</definedName>
    <definedName name="IQ_EBIT_SBC_GUIDANCE_CIQ" hidden="1">"c4842"</definedName>
    <definedName name="IQ_EBIT_SBC_GUIDANCE_CIQ_COL" hidden="1">"c11489"</definedName>
    <definedName name="IQ_EBIT_SBC_GW_ACT_OR_EST_CIQ" hidden="1">"c4845"</definedName>
    <definedName name="IQ_EBIT_SBC_GW_ACT_OR_EST_CIQ_COL" hidden="1">"c11492"</definedName>
    <definedName name="IQ_EBIT_SBC_GW_GUIDANCE" hidden="1">"c4321"</definedName>
    <definedName name="IQ_EBIT_SBC_GW_GUIDANCE_CIQ" hidden="1">"c4846"</definedName>
    <definedName name="IQ_EBIT_SBC_GW_GUIDANCE_CIQ_COL" hidden="1">"c11493"</definedName>
    <definedName name="IQ_EBIT_SBC_GW_HIGH_GUIDANCE" hidden="1">"c4193"</definedName>
    <definedName name="IQ_EBIT_SBC_GW_HIGH_GUIDANCE_CIQ" hidden="1">"c4605"</definedName>
    <definedName name="IQ_EBIT_SBC_GW_HIGH_GUIDANCE_CIQ_COL" hidden="1">"c11254"</definedName>
    <definedName name="IQ_EBIT_SBC_GW_LOW_GUIDANCE" hidden="1">"c4233"</definedName>
    <definedName name="IQ_EBIT_SBC_GW_LOW_GUIDANCE_CIQ" hidden="1">"c4645"</definedName>
    <definedName name="IQ_EBIT_SBC_GW_LOW_GUIDANCE_CIQ_COL" hidden="1">"c11294"</definedName>
    <definedName name="IQ_EBIT_SBC_HIGH_GUIDANCE" hidden="1">"c4192"</definedName>
    <definedName name="IQ_EBIT_SBC_HIGH_GUIDANCE_CIQ" hidden="1">"c4604"</definedName>
    <definedName name="IQ_EBIT_SBC_HIGH_GUIDANCE_CIQ_COL" hidden="1">"c11253"</definedName>
    <definedName name="IQ_EBIT_SBC_LOW_GUIDANCE" hidden="1">"c4232"</definedName>
    <definedName name="IQ_EBIT_SBC_LOW_GUIDANCE_CIQ" hidden="1">"c4644"</definedName>
    <definedName name="IQ_EBIT_SBC_LOW_GUIDANCE_CIQ_COL" hidden="1">"c11293"</definedName>
    <definedName name="IQ_EBIT_STDDEV_EST" hidden="1">"c1686"</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CIQ_COL" hidden="1">"c11707"</definedName>
    <definedName name="IQ_EBITDA_CAPEX" hidden="1">"c19143"</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DOWN_2MONTH" hidden="1">"c16297"</definedName>
    <definedName name="IQ_EBITDA_EST_DOWN_2MONTH_CIQ" hidden="1">"c16621"</definedName>
    <definedName name="IQ_EBITDA_EST_DOWN_3MONTH" hidden="1">"c16301"</definedName>
    <definedName name="IQ_EBITDA_EST_DOWN_3MONTH_CIQ" hidden="1">"c16625"</definedName>
    <definedName name="IQ_EBITDA_EST_DOWN_MONTH" hidden="1">"c16293"</definedName>
    <definedName name="IQ_EBITDA_EST_DOWN_MONTH_CIQ" hidden="1">"c16617"</definedName>
    <definedName name="IQ_EBITDA_EST_NOTE" hidden="1">"c17503"</definedName>
    <definedName name="IQ_EBITDA_EST_NOTE_CIQ" hidden="1">"c17456"</definedName>
    <definedName name="IQ_EBITDA_EST_NUM_ANALYSTS_2MONTH" hidden="1">"c16295"</definedName>
    <definedName name="IQ_EBITDA_EST_NUM_ANALYSTS_2MONTH_CIQ" hidden="1">"c16619"</definedName>
    <definedName name="IQ_EBITDA_EST_NUM_ANALYSTS_3MONTH" hidden="1">"c16299"</definedName>
    <definedName name="IQ_EBITDA_EST_NUM_ANALYSTS_3MONTH_CIQ" hidden="1">"c16623"</definedName>
    <definedName name="IQ_EBITDA_EST_NUM_ANALYSTS_MONTH" hidden="1">"c16291"</definedName>
    <definedName name="IQ_EBITDA_EST_NUM_ANALYSTS_MONTH_CIQ" hidden="1">"c16615"</definedName>
    <definedName name="IQ_EBITDA_EST_TOTAL_REVISED_2MONTH" hidden="1">"c16298"</definedName>
    <definedName name="IQ_EBITDA_EST_TOTAL_REVISED_2MONTH_CIQ" hidden="1">"c16622"</definedName>
    <definedName name="IQ_EBITDA_EST_TOTAL_REVISED_3MONTH" hidden="1">"c16302"</definedName>
    <definedName name="IQ_EBITDA_EST_TOTAL_REVISED_3MONTH_CIQ" hidden="1">"c16626"</definedName>
    <definedName name="IQ_EBITDA_EST_TOTAL_REVISED_MONTH" hidden="1">"c16294"</definedName>
    <definedName name="IQ_EBITDA_EST_TOTAL_REVISED_MONTH_CIQ" hidden="1">"c16618"</definedName>
    <definedName name="IQ_EBITDA_EST_UP_2MONTH" hidden="1">"c16296"</definedName>
    <definedName name="IQ_EBITDA_EST_UP_2MONTH_CIQ" hidden="1">"c16620"</definedName>
    <definedName name="IQ_EBITDA_EST_UP_3MONTH" hidden="1">"c16300"</definedName>
    <definedName name="IQ_EBITDA_EST_UP_3MONTH_CIQ" hidden="1">"c16624"</definedName>
    <definedName name="IQ_EBITDA_EST_UP_MONTH" hidden="1">"c16292"</definedName>
    <definedName name="IQ_EBITDA_EST_UP_MONTH_CIQ" hidden="1">"c16616"</definedName>
    <definedName name="IQ_EBITDA_EXCL_SBC" hidden="1">"c3081"</definedName>
    <definedName name="IQ_EBITDA_GUIDANCE_CIQ" hidden="1">"c4859"</definedName>
    <definedName name="IQ_EBITDA_GUIDANCE_CIQ_COL" hidden="1">"c11506"</definedName>
    <definedName name="IQ_EBITDA_HIGH_EST" hidden="1">"c370"</definedName>
    <definedName name="IQ_EBITDA_HIGH_EST_CIQ" hidden="1">"c3624"</definedName>
    <definedName name="IQ_EBITDA_HIGH_GUIDANCE_CIQ" hidden="1">"c4582"</definedName>
    <definedName name="IQ_EBITDA_HIGH_GUIDANCE_CIQ_COL" hidden="1">"c11231"</definedName>
    <definedName name="IQ_EBITDA_HOMEBUILDING_SALES" hidden="1">"c15814"</definedName>
    <definedName name="IQ_EBITDA_INT" hidden="1">"c373"</definedName>
    <definedName name="IQ_EBITDA_LOW_EST" hidden="1">"c371"</definedName>
    <definedName name="IQ_EBITDA_LOW_EST_CIQ" hidden="1">"c3625"</definedName>
    <definedName name="IQ_EBITDA_LOW_GUIDANCE_CIQ" hidden="1">"c4622"</definedName>
    <definedName name="IQ_EBITDA_LOW_GUIDANCE_CIQ_COL" hidden="1">"c11271"</definedName>
    <definedName name="IQ_EBITDA_MARGIN" hidden="1">"c372"</definedName>
    <definedName name="IQ_EBITDA_MEDIAN_EST" hidden="1">"c1663"</definedName>
    <definedName name="IQ_EBITDA_MEDIAN_EST_CIQ" hidden="1">"c3623"</definedName>
    <definedName name="IQ_EBITDA_NUM_EST" hidden="1">"c374"</definedName>
    <definedName name="IQ_EBITDA_NUM_EST_CIQ" hidden="1">"c3626"</definedName>
    <definedName name="IQ_EBITDA_OVER_TOTAL_IE" hidden="1">"c1371"</definedName>
    <definedName name="IQ_EBITDA_SBC_ACT_OR_EST_CIQ" hidden="1">"c4862"</definedName>
    <definedName name="IQ_EBITDA_SBC_ACT_OR_EST_CIQ_COL" hidden="1">"c11509"</definedName>
    <definedName name="IQ_EBITDA_SBC_GUIDANCE" hidden="1">"c4338"</definedName>
    <definedName name="IQ_EBITDA_SBC_GUIDANCE_CIQ" hidden="1">"c4863"</definedName>
    <definedName name="IQ_EBITDA_SBC_GUIDANCE_CIQ_COL" hidden="1">"c11510"</definedName>
    <definedName name="IQ_EBITDA_SBC_HIGH_GUIDANCE" hidden="1">"c4194"</definedName>
    <definedName name="IQ_EBITDA_SBC_HIGH_GUIDANCE_CIQ" hidden="1">"c4606"</definedName>
    <definedName name="IQ_EBITDA_SBC_HIGH_GUIDANCE_CIQ_COL" hidden="1">"c11255"</definedName>
    <definedName name="IQ_EBITDA_SBC_LOW_GUIDANCE" hidden="1">"c4234"</definedName>
    <definedName name="IQ_EBITDA_SBC_LOW_GUIDANCE_CIQ" hidden="1">"c4646"</definedName>
    <definedName name="IQ_EBITDA_SBC_LOW_GUIDANCE_CIQ_COL" hidden="1">"c11295"</definedName>
    <definedName name="IQ_EBITDA_STDDEV_EST" hidden="1">"c375"</definedName>
    <definedName name="IQ_EBITDA_STDDEV_EST_CIQ" hidden="1">"c3627"</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GAAP_GUIDANCE_CIQ" hidden="1">"c4870"</definedName>
    <definedName name="IQ_EBT_GAAP_GUIDANCE_CIQ_COL" hidden="1">"c11517"</definedName>
    <definedName name="IQ_EBT_GAAP_HIGH_GUIDANCE_CIQ" hidden="1">"c4586"</definedName>
    <definedName name="IQ_EBT_GAAP_HIGH_GUIDANCE_CIQ_COL" hidden="1">"c11235"</definedName>
    <definedName name="IQ_EBT_GAAP_LOW_GUIDANCE_CIQ" hidden="1">"c4626"</definedName>
    <definedName name="IQ_EBT_GAAP_LOW_GUIDANCE_CIQ_COL" hidden="1">"c11275"</definedName>
    <definedName name="IQ_EBT_GUIDANCE_CIQ" hidden="1">"c4871"</definedName>
    <definedName name="IQ_EBT_GUIDANCE_CIQ_COL" hidden="1">"c11518"</definedName>
    <definedName name="IQ_EBT_GW_GUIDANCE_CIQ" hidden="1">"c4872"</definedName>
    <definedName name="IQ_EBT_GW_GUIDANCE_CIQ_COL" hidden="1">"c11519"</definedName>
    <definedName name="IQ_EBT_GW_HIGH_GUIDANCE_CIQ" hidden="1">"c4587"</definedName>
    <definedName name="IQ_EBT_GW_HIGH_GUIDANCE_CIQ_COL" hidden="1">"c11236"</definedName>
    <definedName name="IQ_EBT_GW_LOW_GUIDANCE_CIQ" hidden="1">"c4627"</definedName>
    <definedName name="IQ_EBT_GW_LOW_GUIDANCE_CIQ_COL" hidden="1">"c11276"</definedName>
    <definedName name="IQ_EBT_HIGH_GUIDANCE_CIQ" hidden="1">"c4585"</definedName>
    <definedName name="IQ_EBT_HIGH_GUIDANCE_CIQ_COL" hidden="1">"c11234"</definedName>
    <definedName name="IQ_EBT_HOMEBUILDING_SALES" hidden="1">"c15816"</definedName>
    <definedName name="IQ_EBT_INCL_MARGIN" hidden="1">"c387"</definedName>
    <definedName name="IQ_EBT_INS" hidden="1">"c388"</definedName>
    <definedName name="IQ_EBT_LOW_GUIDANCE_CIQ" hidden="1">"c4625"</definedName>
    <definedName name="IQ_EBT_LOW_GUIDANCE_CIQ_COL" hidden="1">"c11274"</definedName>
    <definedName name="IQ_EBT_RE" hidden="1">"c6215"</definedName>
    <definedName name="IQ_EBT_REIT" hidden="1">"c389"</definedName>
    <definedName name="IQ_EBT_SBC_ACT_OR_EST_CIQ" hidden="1">"c4875"</definedName>
    <definedName name="IQ_EBT_SBC_ACT_OR_EST_CIQ_COL" hidden="1">"c11522"</definedName>
    <definedName name="IQ_EBT_SBC_GUIDANCE" hidden="1">"c4351"</definedName>
    <definedName name="IQ_EBT_SBC_GUIDANCE_CIQ" hidden="1">"c4876"</definedName>
    <definedName name="IQ_EBT_SBC_GUIDANCE_CIQ_COL" hidden="1">"c11523"</definedName>
    <definedName name="IQ_EBT_SBC_GW_ACT_OR_EST_CIQ" hidden="1">"c4879"</definedName>
    <definedName name="IQ_EBT_SBC_GW_ACT_OR_EST_CIQ_COL" hidden="1">"c11526"</definedName>
    <definedName name="IQ_EBT_SBC_GW_GUIDANCE" hidden="1">"c4355"</definedName>
    <definedName name="IQ_EBT_SBC_GW_GUIDANCE_CIQ" hidden="1">"c4880"</definedName>
    <definedName name="IQ_EBT_SBC_GW_GUIDANCE_CIQ_COL" hidden="1">"c11527"</definedName>
    <definedName name="IQ_EBT_SBC_GW_HIGH_GUIDANCE" hidden="1">"c4191"</definedName>
    <definedName name="IQ_EBT_SBC_GW_HIGH_GUIDANCE_CIQ" hidden="1">"c4603"</definedName>
    <definedName name="IQ_EBT_SBC_GW_HIGH_GUIDANCE_CIQ_COL" hidden="1">"c11252"</definedName>
    <definedName name="IQ_EBT_SBC_GW_LOW_GUIDANCE" hidden="1">"c4231"</definedName>
    <definedName name="IQ_EBT_SBC_GW_LOW_GUIDANCE_CIQ" hidden="1">"c4643"</definedName>
    <definedName name="IQ_EBT_SBC_GW_LOW_GUIDANCE_CIQ_COL" hidden="1">"c11292"</definedName>
    <definedName name="IQ_EBT_SBC_HIGH_GUIDANCE" hidden="1">"c4190"</definedName>
    <definedName name="IQ_EBT_SBC_HIGH_GUIDANCE_CIQ" hidden="1">"c4602"</definedName>
    <definedName name="IQ_EBT_SBC_HIGH_GUIDANCE_CIQ_COL" hidden="1">"c11251"</definedName>
    <definedName name="IQ_EBT_SBC_LOW_GUIDANCE" hidden="1">"c4230"</definedName>
    <definedName name="IQ_EBT_SBC_LOW_GUIDANCE_CIQ" hidden="1">"c4642"</definedName>
    <definedName name="IQ_EBT_SBC_LOW_GUIDANCE_CIQ_COL" hidden="1">"c11291"</definedName>
    <definedName name="IQ_EBT_SUBTOTAL_AP" hidden="1">"c8982"</definedName>
    <definedName name="IQ_EBT_UTI" hidden="1">"c390"</definedName>
    <definedName name="IQ_ECO_METRIC_6825_UNUSED" hidden="1">"c6825"</definedName>
    <definedName name="IQ_ECO_METRIC_6839_UNUSED" hidden="1">"c6839"</definedName>
    <definedName name="IQ_ECO_METRIC_6896_UNUSED" hidden="1">"c6896"</definedName>
    <definedName name="IQ_ECO_METRIC_6897_UNUSED" hidden="1">"c6897"</definedName>
    <definedName name="IQ_ECO_METRIC_6927" hidden="1">"c6927"</definedName>
    <definedName name="IQ_ECO_METRIC_6988_UNUSED" hidden="1">"c6988"</definedName>
    <definedName name="IQ_ECO_METRIC_7045_UNUSED" hidden="1">"c7045"</definedName>
    <definedName name="IQ_ECO_METRIC_7059_UNUSED" hidden="1">"c7059"</definedName>
    <definedName name="IQ_ECO_METRIC_7116_UNUSED" hidden="1">"c7116"</definedName>
    <definedName name="IQ_ECO_METRIC_7117_UNUSED" hidden="1">"c7117"</definedName>
    <definedName name="IQ_ECO_METRIC_7147" hidden="1">"c7147"</definedName>
    <definedName name="IQ_ECO_METRIC_7208_UNUSED" hidden="1">"c7208"</definedName>
    <definedName name="IQ_ECO_METRIC_7265_UNUSED" hidden="1">"c7265"</definedName>
    <definedName name="IQ_ECO_METRIC_7279_UNUSED" hidden="1">"c7279"</definedName>
    <definedName name="IQ_ECO_METRIC_7336_UNUSED" hidden="1">"c7336"</definedName>
    <definedName name="IQ_ECO_METRIC_7337_UNUSED" hidden="1">"c7337"</definedName>
    <definedName name="IQ_ECO_METRIC_7367" hidden="1">"c7367"</definedName>
    <definedName name="IQ_ECO_METRIC_7428_UNUSED" hidden="1">"c7428"</definedName>
    <definedName name="IQ_ECO_METRIC_7556_UNUSED" hidden="1">"c7556"</definedName>
    <definedName name="IQ_ECO_METRIC_7557_UNUSED" hidden="1">"c7557"</definedName>
    <definedName name="IQ_ECO_METRIC_7587" hidden="1">"c7587"</definedName>
    <definedName name="IQ_ECO_METRIC_7648_UNUSED" hidden="1">"c7648"</definedName>
    <definedName name="IQ_ECO_METRIC_7704" hidden="1">"c7704"</definedName>
    <definedName name="IQ_ECO_METRIC_7705_UNUSED" hidden="1">"c7705"</definedName>
    <definedName name="IQ_ECO_METRIC_7706" hidden="1">"c7706"</definedName>
    <definedName name="IQ_ECO_METRIC_7718" hidden="1">"c7718"</definedName>
    <definedName name="IQ_ECO_METRIC_7719_UNUSED" hidden="1">"c7719"</definedName>
    <definedName name="IQ_ECO_METRIC_7776_UNUSED" hidden="1">"c7776"</definedName>
    <definedName name="IQ_ECO_METRIC_7777_UNUSED" hidden="1">"c7777"</definedName>
    <definedName name="IQ_ECO_METRIC_7807" hidden="1">"c7807"</definedName>
    <definedName name="IQ_ECO_METRIC_7811" hidden="1">"c7811"</definedName>
    <definedName name="IQ_ECO_METRIC_7868_UNUSED" hidden="1">"c7868"</definedName>
    <definedName name="IQ_ECO_METRIC_7873" hidden="1">"c7873"</definedName>
    <definedName name="IQ_ECO_METRIC_7924" hidden="1">"c7924"</definedName>
    <definedName name="IQ_ECO_METRIC_7925_UNUSED" hidden="1">"c7925"</definedName>
    <definedName name="IQ_ECO_METRIC_7926" hidden="1">"c7926"</definedName>
    <definedName name="IQ_ECO_METRIC_7938" hidden="1">"c7938"</definedName>
    <definedName name="IQ_ECO_METRIC_7939_UNUSED" hidden="1">"c7939"</definedName>
    <definedName name="IQ_ECO_METRIC_7996_UNUSED" hidden="1">"c7996"</definedName>
    <definedName name="IQ_ECO_METRIC_7997_UNUSED" hidden="1">"c7997"</definedName>
    <definedName name="IQ_ECO_METRIC_8027" hidden="1">"c8027"</definedName>
    <definedName name="IQ_ECO_METRIC_8031" hidden="1">"c8031"</definedName>
    <definedName name="IQ_ECO_METRIC_8088_UNUSED" hidden="1">"c8088"</definedName>
    <definedName name="IQ_ECO_METRIC_8093" hidden="1">"c8093"</definedName>
    <definedName name="IQ_ECO_METRIC_8144" hidden="1">"c8144"</definedName>
    <definedName name="IQ_ECO_METRIC_8145_UNUSED" hidden="1">"c8145"</definedName>
    <definedName name="IQ_ECO_METRIC_8146" hidden="1">"c8146"</definedName>
    <definedName name="IQ_ECO_METRIC_8158" hidden="1">"c8158"</definedName>
    <definedName name="IQ_ECO_METRIC_8159_UNUSED" hidden="1">"c8159"</definedName>
    <definedName name="IQ_ECO_METRIC_8216_UNUSED" hidden="1">"c8216"</definedName>
    <definedName name="IQ_ECO_METRIC_8217_UNUSED" hidden="1">"c8217"</definedName>
    <definedName name="IQ_ECO_METRIC_8247" hidden="1">"c8247"</definedName>
    <definedName name="IQ_ECO_METRIC_8251" hidden="1">"c8251"</definedName>
    <definedName name="IQ_ECO_METRIC_8308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7_UNUSED" hidden="1">"c8437"</definedName>
    <definedName name="IQ_ECO_METRIC_8467" hidden="1">"c8467"</definedName>
    <definedName name="IQ_ECO_METRIC_8471" hidden="1">"c8471"</definedName>
    <definedName name="IQ_ECO_METRIC_8528_UNUSED" hidden="1">"c8528"</definedName>
    <definedName name="IQ_ECO_METRIC_8533" hidden="1">"c8533"</definedName>
    <definedName name="IQ_ECS_AUTHORIZED_SHARES" hidden="1">"c5583"</definedName>
    <definedName name="IQ_ECS_AUTHORIZED_SHARES_ABS" hidden="1">"c5597"</definedName>
    <definedName name="IQ_ECS_AUTHORIZED_SHARES_OTHER" hidden="1">"c15613"</definedName>
    <definedName name="IQ_ECS_AUTHORIZED_SHARES_OTHER_ABS" hidden="1">"c15630"</definedName>
    <definedName name="IQ_ECS_CONVERT_FACTOR" hidden="1">"c5581"</definedName>
    <definedName name="IQ_ECS_CONVERT_FACTOR_ABS" hidden="1">"c5595"</definedName>
    <definedName name="IQ_ECS_CONVERT_FACTOR_OTHER" hidden="1">"c15611"</definedName>
    <definedName name="IQ_ECS_CONVERT_FACTOR_OTHER_ABS" hidden="1">"c15628"</definedName>
    <definedName name="IQ_ECS_CONVERT_INTO" hidden="1">"c5580"</definedName>
    <definedName name="IQ_ECS_CONVERT_INTO_ABS" hidden="1">"c5594"</definedName>
    <definedName name="IQ_ECS_CONVERT_INTO_OTHER" hidden="1">"c15610"</definedName>
    <definedName name="IQ_ECS_CONVERT_INTO_OTHER_ABS" hidden="1">"c15627"</definedName>
    <definedName name="IQ_ECS_CONVERT_PRIMARY_FACTOR" hidden="1">"c15592"</definedName>
    <definedName name="IQ_ECS_CONVERT_PRIMARY_FACTOR_ABS" hidden="1">"c15596"</definedName>
    <definedName name="IQ_ECS_CONVERT_TYPE" hidden="1">"c5579"</definedName>
    <definedName name="IQ_ECS_CONVERT_TYPE_ABS" hidden="1">"c5593"</definedName>
    <definedName name="IQ_ECS_CONVERT_TYPE_OTHER" hidden="1">"c15609"</definedName>
    <definedName name="IQ_ECS_CONVERT_TYPE_OTHER_ABS" hidden="1">"c15626"</definedName>
    <definedName name="IQ_ECS_INACTIVE_DATE" hidden="1">"c5576"</definedName>
    <definedName name="IQ_ECS_INACTIVE_DATE_ABS" hidden="1">"c5590"</definedName>
    <definedName name="IQ_ECS_INACTIVE_DATE_OTHER" hidden="1">"c15606"</definedName>
    <definedName name="IQ_ECS_INACTIVE_DATE_OTHER_ABS" hidden="1">"c15623"</definedName>
    <definedName name="IQ_ECS_NAME" hidden="1">"c5571"</definedName>
    <definedName name="IQ_ECS_NAME_ABS" hidden="1">"c5585"</definedName>
    <definedName name="IQ_ECS_NAME_OTHER" hidden="1">"c15599"</definedName>
    <definedName name="IQ_ECS_NAME_OTHER_ABS" hidden="1">"c15616"</definedName>
    <definedName name="IQ_ECS_NUM_SHAREHOLDERS" hidden="1">"c16242"</definedName>
    <definedName name="IQ_ECS_NUM_SHAREHOLDERS_ABS" hidden="1">"c16243"</definedName>
    <definedName name="IQ_ECS_NUM_SHAREHOLDERS_BENEFICIAL_BS_DATE" hidden="1">"c16234"</definedName>
    <definedName name="IQ_ECS_NUM_SHAREHOLDERS_BENEFICIAL_BS_DATE_ABS" hidden="1">"c16235"</definedName>
    <definedName name="IQ_ECS_NUM_SHAREHOLDERS_BENEFICIAL_BS_DATE_OTHER" hidden="1">"c16236"</definedName>
    <definedName name="IQ_ECS_NUM_SHAREHOLDERS_BENEFICIAL_BS_DATE_OTHER_ABS" hidden="1">"c16237"</definedName>
    <definedName name="IQ_ECS_NUM_SHAREHOLDERS_BENEFICIAL_FILING_DATE" hidden="1">"c16230"</definedName>
    <definedName name="IQ_ECS_NUM_SHAREHOLDERS_BENEFICIAL_FILING_DATE_ABS" hidden="1">"c16231"</definedName>
    <definedName name="IQ_ECS_NUM_SHAREHOLDERS_BENEFICIAL_FILING_DATE_OTHER" hidden="1">"c16232"</definedName>
    <definedName name="IQ_ECS_NUM_SHAREHOLDERS_BENEFICIAL_FILING_DATE_OTHER_ABS" hidden="1">"c16233"</definedName>
    <definedName name="IQ_ECS_NUM_SHAREHOLDERS_BS_DATE" hidden="1">"c16238"</definedName>
    <definedName name="IQ_ECS_NUM_SHAREHOLDERS_BS_DATE_ABS" hidden="1">"c16239"</definedName>
    <definedName name="IQ_ECS_NUM_SHAREHOLDERS_BS_DATE_OTHER" hidden="1">"c16240"</definedName>
    <definedName name="IQ_ECS_NUM_SHAREHOLDERS_BS_DATE_OTHER_ABS" hidden="1">"c16241"</definedName>
    <definedName name="IQ_ECS_NUM_SHAREHOLDERS_FILING_DATE" hidden="1">"c5584"</definedName>
    <definedName name="IQ_ECS_NUM_SHAREHOLDERS_FILING_DATE_ABS" hidden="1">"c5598"</definedName>
    <definedName name="IQ_ECS_NUM_SHAREHOLDERS_FILING_DATE_OTHER" hidden="1">"c15615"</definedName>
    <definedName name="IQ_ECS_NUM_SHAREHOLDERS_FILING_DATE_OTHER_ABS" hidden="1">"c15632"</definedName>
    <definedName name="IQ_ECS_NUM_SHAREHOLDERS_OTHER" hidden="1">"c16244"</definedName>
    <definedName name="IQ_ECS_NUM_SHAREHOLDERS_OTHER_ABS" hidden="1">"c16245"</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PAR_VALUE_CURRENCY_OTHER" hidden="1">"c15608"</definedName>
    <definedName name="IQ_ECS_PAR_VALUE_CURRENCY_OTHER_ABS" hidden="1">"c15625"</definedName>
    <definedName name="IQ_ECS_PAR_VALUE_OTHER" hidden="1">"c15607"</definedName>
    <definedName name="IQ_ECS_PAR_VALUE_OTHER_ABS" hidden="1">"c15624"</definedName>
    <definedName name="IQ_ECS_PARTICIPATE_FLAG" hidden="1">"c15591"</definedName>
    <definedName name="IQ_ECS_PARTICIPATE_FLAG_ABS" hidden="1">"c15595"</definedName>
    <definedName name="IQ_ECS_PARTICIPATE_FLAG_OTHER" hidden="1">"c15614"</definedName>
    <definedName name="IQ_ECS_PARTICIPATE_FLAG_OTHER_ABS" hidden="1">"c15631"</definedName>
    <definedName name="IQ_ECS_SHARES_OUT_BS_DATE" hidden="1">"c5572"</definedName>
    <definedName name="IQ_ECS_SHARES_OUT_BS_DATE_ABS" hidden="1">"c5586"</definedName>
    <definedName name="IQ_ECS_SHARES_OUT_BS_DATE_OTHER" hidden="1">"c15600"</definedName>
    <definedName name="IQ_ECS_SHARES_OUT_BS_DATE_OTHER_ABS" hidden="1">"c15617"</definedName>
    <definedName name="IQ_ECS_SHARES_OUT_FILING_DATE" hidden="1">"c5573"</definedName>
    <definedName name="IQ_ECS_SHARES_OUT_FILING_DATE_ABS" hidden="1">"c5587"</definedName>
    <definedName name="IQ_ECS_SHARES_OUT_FILING_DATE_OTHER" hidden="1">"c15601"</definedName>
    <definedName name="IQ_ECS_SHARES_OUT_FILING_DATE_OTHER_ABS" hidden="1">"c15618"</definedName>
    <definedName name="IQ_ECS_START_DATE" hidden="1">"c5575"</definedName>
    <definedName name="IQ_ECS_START_DATE_ABS" hidden="1">"c5589"</definedName>
    <definedName name="IQ_ECS_START_DATE_OTHER" hidden="1">"c15605"</definedName>
    <definedName name="IQ_ECS_START_DATE_OTHER_ABS" hidden="1">"c15622"</definedName>
    <definedName name="IQ_ECS_TICKER" hidden="1">"c15594"</definedName>
    <definedName name="IQ_ECS_TICKER_ABS" hidden="1">"c15598"</definedName>
    <definedName name="IQ_ECS_TICKER_OTHER" hidden="1">"c15603"</definedName>
    <definedName name="IQ_ECS_TICKER_OTHER_ABS" hidden="1">"c15620"</definedName>
    <definedName name="IQ_ECS_TRADING_ITEM_CIQID" hidden="1">"c15593"</definedName>
    <definedName name="IQ_ECS_TRADING_ITEM_CIQID_ABS" hidden="1">"c15597"</definedName>
    <definedName name="IQ_ECS_TRADING_ITEM_CIQID_OTHER" hidden="1">"c15602"</definedName>
    <definedName name="IQ_ECS_TRADING_ITEM_CIQID_OTHER_ABS" hidden="1">"c15619"</definedName>
    <definedName name="IQ_ECS_TYPE" hidden="1">"c5574"</definedName>
    <definedName name="IQ_ECS_TYPE_ABS" hidden="1">"c5588"</definedName>
    <definedName name="IQ_ECS_TYPE_OTHER" hidden="1">"c15604"</definedName>
    <definedName name="IQ_ECS_TYPE_OTHER_ABS" hidden="1">"c15621"</definedName>
    <definedName name="IQ_ECS_VOTING" hidden="1">"c5582"</definedName>
    <definedName name="IQ_ECS_VOTING_ABS" hidden="1">"c5596"</definedName>
    <definedName name="IQ_ECS_VOTING_OTHER" hidden="1">"c15612"</definedName>
    <definedName name="IQ_ECS_VOTING_OTHER_ABS" hidden="1">"c15629"</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LIMINATIONS_CONSOL_OFFICES_FOREIGN_FFIEC" hidden="1">"c15395"</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MPLOYEES_UNDER_UNION_CONTRACTS" hidden="1">"c16109"</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CIQ_COL" hidden="1">"c11705"</definedName>
    <definedName name="IQ_EPS_AP" hidden="1">"c8880"</definedName>
    <definedName name="IQ_EPS_AP_ABS" hidden="1">"c8899"</definedName>
    <definedName name="IQ_EPS_EST" hidden="1">"c399"</definedName>
    <definedName name="IQ_EPS_EST_BOTTOM_UP_CIQ" hidden="1">"c12026"</definedName>
    <definedName name="IQ_EPS_EST_CIQ" hidden="1">"c4994"</definedName>
    <definedName name="IQ_EPS_EST_DOWN_2MONTH" hidden="1">"c16309"</definedName>
    <definedName name="IQ_EPS_EST_DOWN_2MONTH_CIQ" hidden="1">"c16633"</definedName>
    <definedName name="IQ_EPS_EST_DOWN_3MONTH" hidden="1">"c16313"</definedName>
    <definedName name="IQ_EPS_EST_DOWN_3MONTH_CIQ" hidden="1">"c16637"</definedName>
    <definedName name="IQ_EPS_EST_DOWN_MONTH" hidden="1">"c16305"</definedName>
    <definedName name="IQ_EPS_EST_DOWN_MONTH_CIQ" hidden="1">"c16629"</definedName>
    <definedName name="IQ_EPS_EST_NOTE" hidden="1">"c17504"</definedName>
    <definedName name="IQ_EPS_EST_NOTE_CIQ" hidden="1">"c17457"</definedName>
    <definedName name="IQ_EPS_EST_NUM_ANALYSTS_2MONTH" hidden="1">"c16307"</definedName>
    <definedName name="IQ_EPS_EST_NUM_ANALYSTS_2MONTH_CIQ" hidden="1">"c16631"</definedName>
    <definedName name="IQ_EPS_EST_NUM_ANALYSTS_3MONTH" hidden="1">"c16311"</definedName>
    <definedName name="IQ_EPS_EST_NUM_ANALYSTS_3MONTH_CIQ" hidden="1">"c16635"</definedName>
    <definedName name="IQ_EPS_EST_NUM_ANALYSTS_MONTH" hidden="1">"c16303"</definedName>
    <definedName name="IQ_EPS_EST_NUM_ANALYSTS_MONTH_CIQ" hidden="1">"c16627"</definedName>
    <definedName name="IQ_EPS_EST_TOTAL_REVISED_2MONTH" hidden="1">"c16310"</definedName>
    <definedName name="IQ_EPS_EST_TOTAL_REVISED_2MONTH_CIQ" hidden="1">"c16634"</definedName>
    <definedName name="IQ_EPS_EST_TOTAL_REVISED_3MONTH" hidden="1">"c16314"</definedName>
    <definedName name="IQ_EPS_EST_TOTAL_REVISED_3MONTH_CIQ" hidden="1">"c16638"</definedName>
    <definedName name="IQ_EPS_EST_TOTAL_REVISED_MONTH" hidden="1">"c16306"</definedName>
    <definedName name="IQ_EPS_EST_TOTAL_REVISED_MONTH_CIQ" hidden="1">"c16630"</definedName>
    <definedName name="IQ_EPS_EST_UP_2MONTH" hidden="1">"c16308"</definedName>
    <definedName name="IQ_EPS_EST_UP_2MONTH_CIQ" hidden="1">"c16632"</definedName>
    <definedName name="IQ_EPS_EST_UP_3MONTH" hidden="1">"c16312"</definedName>
    <definedName name="IQ_EPS_EST_UP_3MONTH_CIQ" hidden="1">"c16636"</definedName>
    <definedName name="IQ_EPS_EST_UP_MONTH" hidden="1">"c16304"</definedName>
    <definedName name="IQ_EPS_EST_UP_MONTH_CIQ" hidden="1">"c16628"</definedName>
    <definedName name="IQ_EPS_EXCL_GUIDANCE_CIQ" hidden="1">"c4893"</definedName>
    <definedName name="IQ_EPS_EXCL_GUIDANCE_CIQ_COL" hidden="1">"c11540"</definedName>
    <definedName name="IQ_EPS_EXCL_HIGH_GUIDANCE_CIQ" hidden="1">"c4894"</definedName>
    <definedName name="IQ_EPS_EXCL_HIGH_GUIDANCE_CIQ_COL" hidden="1">"c11541"</definedName>
    <definedName name="IQ_EPS_EXCL_LOW_GUIDANCE_CIQ" hidden="1">"c4616"</definedName>
    <definedName name="IQ_EPS_EXCL_LOW_GUIDANCE_CIQ_COL" hidden="1">"c11265"</definedName>
    <definedName name="IQ_EPS_GAAP_GUIDANCE_CIQ" hidden="1">"c4895"</definedName>
    <definedName name="IQ_EPS_GAAP_GUIDANCE_CIQ_COL" hidden="1">"c11542"</definedName>
    <definedName name="IQ_EPS_GAAP_HIGH_GUIDANCE_CIQ" hidden="1">"c4896"</definedName>
    <definedName name="IQ_EPS_GAAP_HIGH_GUIDANCE_CIQ_COL" hidden="1">"c11543"</definedName>
    <definedName name="IQ_EPS_GAAP_LOW_GUIDANCE_CIQ" hidden="1">"c4617"</definedName>
    <definedName name="IQ_EPS_GAAP_LOW_GUIDANCE_CIQ_COL" hidden="1">"c11266"</definedName>
    <definedName name="IQ_EPS_GROWTH_GUIDANCE_CIQ" hidden="1">"c32283"</definedName>
    <definedName name="IQ_EPS_GROWTH_GUIDANCE_CIQ_COL" hidden="1">"c32286"</definedName>
    <definedName name="IQ_EPS_GROWTH_HIGH_GUIDANCE_CIQ" hidden="1">"c32284"</definedName>
    <definedName name="IQ_EPS_GROWTH_HIGH_GUIDANCE_CIQ_COL" hidden="1">"c32287"</definedName>
    <definedName name="IQ_EPS_GROWTH_LOW_GUIDANCE_CIQ" hidden="1">"c32285"</definedName>
    <definedName name="IQ_EPS_GROWTH_LOW_GUIDANCE_CIQ_COL" hidden="1">"c32288"</definedName>
    <definedName name="IQ_EPS_GW_ACT_OR_EST" hidden="1">"c2223"</definedName>
    <definedName name="IQ_EPS_GW_ACT_OR_EST_CIQ" hidden="1">"c5066"</definedName>
    <definedName name="IQ_EPS_GW_EST" hidden="1">"c1737"</definedName>
    <definedName name="IQ_EPS_GW_EST_BOTTOM_UP_CIQ" hidden="1">"c12028"</definedName>
    <definedName name="IQ_EPS_GW_EST_CIQ" hidden="1">"c4723"</definedName>
    <definedName name="IQ_EPS_GW_EST_DOWN_2MONTH" hidden="1">"c16465"</definedName>
    <definedName name="IQ_EPS_GW_EST_DOWN_2MONTH_CIQ" hidden="1">"c16753"</definedName>
    <definedName name="IQ_EPS_GW_EST_DOWN_3MONTH" hidden="1">"c16469"</definedName>
    <definedName name="IQ_EPS_GW_EST_DOWN_3MONTH_CIQ" hidden="1">"c16757"</definedName>
    <definedName name="IQ_EPS_GW_EST_DOWN_MONTH" hidden="1">"c16461"</definedName>
    <definedName name="IQ_EPS_GW_EST_DOWN_MONTH_CIQ" hidden="1">"c16749"</definedName>
    <definedName name="IQ_EPS_GW_EST_NOTE" hidden="1">"c17524"</definedName>
    <definedName name="IQ_EPS_GW_EST_NOTE_CIQ" hidden="1">"c17477"</definedName>
    <definedName name="IQ_EPS_GW_EST_NUM_ANALYSTS_2MONTH" hidden="1">"c16463"</definedName>
    <definedName name="IQ_EPS_GW_EST_NUM_ANALYSTS_2MONTH_CIQ" hidden="1">"c16751"</definedName>
    <definedName name="IQ_EPS_GW_EST_NUM_ANALYSTS_3MONTH" hidden="1">"c16467"</definedName>
    <definedName name="IQ_EPS_GW_EST_NUM_ANALYSTS_3MONTH_CIQ" hidden="1">"c16755"</definedName>
    <definedName name="IQ_EPS_GW_EST_NUM_ANALYSTS_MONTH" hidden="1">"c16459"</definedName>
    <definedName name="IQ_EPS_GW_EST_NUM_ANALYSTS_MONTH_CIQ" hidden="1">"c16747"</definedName>
    <definedName name="IQ_EPS_GW_EST_TOTAL_REVISED_2MONTH" hidden="1">"c16466"</definedName>
    <definedName name="IQ_EPS_GW_EST_TOTAL_REVISED_2MONTH_CIQ" hidden="1">"c16754"</definedName>
    <definedName name="IQ_EPS_GW_EST_TOTAL_REVISED_3MONTH" hidden="1">"c16470"</definedName>
    <definedName name="IQ_EPS_GW_EST_TOTAL_REVISED_3MONTH_CIQ" hidden="1">"c16758"</definedName>
    <definedName name="IQ_EPS_GW_EST_TOTAL_REVISED_MONTH" hidden="1">"c16462"</definedName>
    <definedName name="IQ_EPS_GW_EST_TOTAL_REVISED_MONTH_CIQ" hidden="1">"c16750"</definedName>
    <definedName name="IQ_EPS_GW_EST_UP_2MONTH" hidden="1">"c16464"</definedName>
    <definedName name="IQ_EPS_GW_EST_UP_2MONTH_CIQ" hidden="1">"c16752"</definedName>
    <definedName name="IQ_EPS_GW_EST_UP_3MONTH" hidden="1">"c16468"</definedName>
    <definedName name="IQ_EPS_GW_EST_UP_3MONTH_CIQ" hidden="1">"c16756"</definedName>
    <definedName name="IQ_EPS_GW_EST_UP_MONTH" hidden="1">"c16460"</definedName>
    <definedName name="IQ_EPS_GW_EST_UP_MONTH_CIQ" hidden="1">"c16748"</definedName>
    <definedName name="IQ_EPS_GW_GUIDANCE_CIQ" hidden="1">"c4897"</definedName>
    <definedName name="IQ_EPS_GW_GUIDANCE_CIQ_COL" hidden="1">"c11544"</definedName>
    <definedName name="IQ_EPS_GW_HIGH_EST" hidden="1">"c1739"</definedName>
    <definedName name="IQ_EPS_GW_HIGH_EST_CIQ" hidden="1">"c4725"</definedName>
    <definedName name="IQ_EPS_GW_HIGH_GUIDANCE_CIQ" hidden="1">"c4898"</definedName>
    <definedName name="IQ_EPS_GW_HIGH_GUIDANCE_CIQ_COL" hidden="1">"c11545"</definedName>
    <definedName name="IQ_EPS_GW_LOW_EST" hidden="1">"c1740"</definedName>
    <definedName name="IQ_EPS_GW_LOW_EST_CIQ" hidden="1">"c4726"</definedName>
    <definedName name="IQ_EPS_GW_LOW_GUIDANCE_CIQ" hidden="1">"c4618"</definedName>
    <definedName name="IQ_EPS_GW_LOW_GUIDANCE_CIQ_COL" hidden="1">"c11267"</definedName>
    <definedName name="IQ_EPS_GW_MEDIAN_EST" hidden="1">"c1738"</definedName>
    <definedName name="IQ_EPS_GW_MEDIAN_EST_CIQ" hidden="1">"c4724"</definedName>
    <definedName name="IQ_EPS_GW_NUM_EST" hidden="1">"c1741"</definedName>
    <definedName name="IQ_EPS_GW_NUM_EST_CIQ" hidden="1">"c4727"</definedName>
    <definedName name="IQ_EPS_GW_STDDEV_EST" hidden="1">"c1742"</definedName>
    <definedName name="IQ_EPS_GW_STDDEV_EST_CIQ" hidden="1">"c4728"</definedName>
    <definedName name="IQ_EPS_HIGH_EST" hidden="1">"c400"</definedName>
    <definedName name="IQ_EPS_HIGH_EST_CIQ" hidden="1">"c4995"</definedName>
    <definedName name="IQ_EPS_LOW_EST" hidden="1">"c401"</definedName>
    <definedName name="IQ_EPS_LOW_EST_CIQ" hidden="1">"c4996"</definedName>
    <definedName name="IQ_EPS_MEDIAN_EST" hidden="1">"c1661"</definedName>
    <definedName name="IQ_EPS_MEDIAN_EST_CIQ" hidden="1">"c4997"</definedName>
    <definedName name="IQ_EPS_NAME_AP" hidden="1">"c8918"</definedName>
    <definedName name="IQ_EPS_NAME_AP_ABS" hidden="1">"c8937"</definedName>
    <definedName name="IQ_EPS_NORM" hidden="1">"c1902"</definedName>
    <definedName name="IQ_EPS_NORM_EST" hidden="1">"c2226"</definedName>
    <definedName name="IQ_EPS_NORM_EST_BOTTOM_UP_CIQ" hidden="1">"c12027"</definedName>
    <definedName name="IQ_EPS_NORM_EST_CIQ" hidden="1">"c4667"</definedName>
    <definedName name="IQ_EPS_NORM_EST_DOWN_2MONTH" hidden="1">"c16597"</definedName>
    <definedName name="IQ_EPS_NORM_EST_DOWN_2MONTH_CIQ" hidden="1">"c16861"</definedName>
    <definedName name="IQ_EPS_NORM_EST_DOWN_3MONTH" hidden="1">"c16601"</definedName>
    <definedName name="IQ_EPS_NORM_EST_DOWN_3MONTH_CIQ" hidden="1">"c16865"</definedName>
    <definedName name="IQ_EPS_NORM_EST_DOWN_MONTH" hidden="1">"c16593"</definedName>
    <definedName name="IQ_EPS_NORM_EST_DOWN_MONTH_CIQ" hidden="1">"c16857"</definedName>
    <definedName name="IQ_EPS_NORM_EST_NOTE" hidden="1">"c17505"</definedName>
    <definedName name="IQ_EPS_NORM_EST_NOTE_CIQ" hidden="1">"c17458"</definedName>
    <definedName name="IQ_EPS_NORM_EST_NUM_ANALYSTS_2MONTH" hidden="1">"c16595"</definedName>
    <definedName name="IQ_EPS_NORM_EST_NUM_ANALYSTS_2MONTH_CIQ" hidden="1">"c16859"</definedName>
    <definedName name="IQ_EPS_NORM_EST_NUM_ANALYSTS_3MONTH" hidden="1">"c16599"</definedName>
    <definedName name="IQ_EPS_NORM_EST_NUM_ANALYSTS_3MONTH_CIQ" hidden="1">"c16863"</definedName>
    <definedName name="IQ_EPS_NORM_EST_NUM_ANALYSTS_MONTH" hidden="1">"c16591"</definedName>
    <definedName name="IQ_EPS_NORM_EST_NUM_ANALYSTS_MONTH_CIQ" hidden="1">"c16855"</definedName>
    <definedName name="IQ_EPS_NORM_EST_TOTAL_REVISED_2MONTH" hidden="1">"c16598"</definedName>
    <definedName name="IQ_EPS_NORM_EST_TOTAL_REVISED_2MONTH_CIQ" hidden="1">"c16862"</definedName>
    <definedName name="IQ_EPS_NORM_EST_TOTAL_REVISED_3MONTH" hidden="1">"c16602"</definedName>
    <definedName name="IQ_EPS_NORM_EST_TOTAL_REVISED_3MONTH_CIQ" hidden="1">"c16866"</definedName>
    <definedName name="IQ_EPS_NORM_EST_TOTAL_REVISED_MONTH" hidden="1">"c16594"</definedName>
    <definedName name="IQ_EPS_NORM_EST_TOTAL_REVISED_MONTH_CIQ" hidden="1">"c16858"</definedName>
    <definedName name="IQ_EPS_NORM_EST_UP_2MONTH" hidden="1">"c16596"</definedName>
    <definedName name="IQ_EPS_NORM_EST_UP_2MONTH_CIQ" hidden="1">"c16860"</definedName>
    <definedName name="IQ_EPS_NORM_EST_UP_3MONTH" hidden="1">"c16600"</definedName>
    <definedName name="IQ_EPS_NORM_EST_UP_3MONTH_CIQ" hidden="1">"c16864"</definedName>
    <definedName name="IQ_EPS_NORM_EST_UP_MONTH" hidden="1">"c16592"</definedName>
    <definedName name="IQ_EPS_NORM_EST_UP_MONTH_CIQ" hidden="1">"c16856"</definedName>
    <definedName name="IQ_EPS_NORM_HIGH_EST" hidden="1">"c2228"</definedName>
    <definedName name="IQ_EPS_NORM_HIGH_EST_CIQ" hidden="1">"c4669"</definedName>
    <definedName name="IQ_EPS_NORM_LOW_EST" hidden="1">"c2229"</definedName>
    <definedName name="IQ_EPS_NORM_LOW_EST_CIQ" hidden="1">"c4670"</definedName>
    <definedName name="IQ_EPS_NORM_MEDIAN_EST" hidden="1">"c2227"</definedName>
    <definedName name="IQ_EPS_NORM_MEDIAN_EST_CIQ" hidden="1">"c4668"</definedName>
    <definedName name="IQ_EPS_NORM_NUM_EST" hidden="1">"c2230"</definedName>
    <definedName name="IQ_EPS_NORM_NUM_EST_CIQ" hidden="1">"c4671"</definedName>
    <definedName name="IQ_EPS_NORM_STDDEV_EST" hidden="1">"c2231"</definedName>
    <definedName name="IQ_EPS_NORM_STDDEV_EST_CIQ" hidden="1">"c4672"</definedName>
    <definedName name="IQ_EPS_NUM_EST" hidden="1">"c402"</definedName>
    <definedName name="IQ_EPS_NUM_EST_CIQ" hidden="1">"c4992"</definedName>
    <definedName name="IQ_EPS_REPORT_ACT_OR_EST" hidden="1">"c2224"</definedName>
    <definedName name="IQ_EPS_REPORT_ACT_OR_EST_CIQ" hidden="1">"c5067"</definedName>
    <definedName name="IQ_EPS_REPORTED_EST" hidden="1">"c1744"</definedName>
    <definedName name="IQ_EPS_REPORTED_EST_BOTTOM_UP_CIQ" hidden="1">"c12029"</definedName>
    <definedName name="IQ_EPS_REPORTED_EST_CIQ" hidden="1">"c4730"</definedName>
    <definedName name="IQ_EPS_REPORTED_EST_DOWN_2MONTH" hidden="1">"c16477"</definedName>
    <definedName name="IQ_EPS_REPORTED_EST_DOWN_2MONTH_CIQ" hidden="1">"c16765"</definedName>
    <definedName name="IQ_EPS_REPORTED_EST_DOWN_3MONTH" hidden="1">"c16481"</definedName>
    <definedName name="IQ_EPS_REPORTED_EST_DOWN_3MONTH_CIQ" hidden="1">"c16769"</definedName>
    <definedName name="IQ_EPS_REPORTED_EST_DOWN_MONTH" hidden="1">"c16473"</definedName>
    <definedName name="IQ_EPS_REPORTED_EST_DOWN_MONTH_CIQ" hidden="1">"c16761"</definedName>
    <definedName name="IQ_EPS_REPORTED_EST_NOTE" hidden="1">"c17517"</definedName>
    <definedName name="IQ_EPS_REPORTED_EST_NOTE_CIQ" hidden="1">"c17470"</definedName>
    <definedName name="IQ_EPS_REPORTED_EST_NUM_ANALYSTS_2MONTH" hidden="1">"c16475"</definedName>
    <definedName name="IQ_EPS_REPORTED_EST_NUM_ANALYSTS_2MONTH_CIQ" hidden="1">"c16763"</definedName>
    <definedName name="IQ_EPS_REPORTED_EST_NUM_ANALYSTS_3MONTH" hidden="1">"c16479"</definedName>
    <definedName name="IQ_EPS_REPORTED_EST_NUM_ANALYSTS_3MONTH_CIQ" hidden="1">"c16767"</definedName>
    <definedName name="IQ_EPS_REPORTED_EST_NUM_ANALYSTS_MONTH" hidden="1">"c16471"</definedName>
    <definedName name="IQ_EPS_REPORTED_EST_NUM_ANALYSTS_MONTH_CIQ" hidden="1">"c16759"</definedName>
    <definedName name="IQ_EPS_REPORTED_EST_TOTAL_REVISED_2MONTH" hidden="1">"c16478"</definedName>
    <definedName name="IQ_EPS_REPORTED_EST_TOTAL_REVISED_2MONTH_CIQ" hidden="1">"c16766"</definedName>
    <definedName name="IQ_EPS_REPORTED_EST_TOTAL_REVISED_3MONTH" hidden="1">"c16482"</definedName>
    <definedName name="IQ_EPS_REPORTED_EST_TOTAL_REVISED_3MONTH_CIQ" hidden="1">"c16770"</definedName>
    <definedName name="IQ_EPS_REPORTED_EST_TOTAL_REVISED_MONTH" hidden="1">"c16474"</definedName>
    <definedName name="IQ_EPS_REPORTED_EST_TOTAL_REVISED_MONTH_CIQ" hidden="1">"c16762"</definedName>
    <definedName name="IQ_EPS_REPORTED_EST_UP_2MONTH" hidden="1">"c16476"</definedName>
    <definedName name="IQ_EPS_REPORTED_EST_UP_2MONTH_CIQ" hidden="1">"c16764"</definedName>
    <definedName name="IQ_EPS_REPORTED_EST_UP_3MONTH" hidden="1">"c16480"</definedName>
    <definedName name="IQ_EPS_REPORTED_EST_UP_3MONTH_CIQ" hidden="1">"c16768"</definedName>
    <definedName name="IQ_EPS_REPORTED_EST_UP_MONTH" hidden="1">"c16472"</definedName>
    <definedName name="IQ_EPS_REPORTED_EST_UP_MONTH_CIQ" hidden="1">"c16760"</definedName>
    <definedName name="IQ_EPS_REPORTED_HIGH_EST" hidden="1">"c1746"</definedName>
    <definedName name="IQ_EPS_REPORTED_HIGH_EST_CIQ" hidden="1">"c4732"</definedName>
    <definedName name="IQ_EPS_REPORTED_LOW_EST" hidden="1">"c1747"</definedName>
    <definedName name="IQ_EPS_REPORTED_LOW_EST_CIQ" hidden="1">"c4733"</definedName>
    <definedName name="IQ_EPS_REPORTED_MEDIAN_EST" hidden="1">"c1745"</definedName>
    <definedName name="IQ_EPS_REPORTED_MEDIAN_EST_CIQ" hidden="1">"c4731"</definedName>
    <definedName name="IQ_EPS_REPORTED_NUM_EST" hidden="1">"c1748"</definedName>
    <definedName name="IQ_EPS_REPORTED_NUM_EST_CIQ" hidden="1">"c4734"</definedName>
    <definedName name="IQ_EPS_REPORTED_STDDEV_EST" hidden="1">"c1749"</definedName>
    <definedName name="IQ_EPS_REPORTED_STDDEV_EST_CIQ" hidden="1">"c4735"</definedName>
    <definedName name="IQ_EPS_SBC_ACT_OR_EST_CIQ" hidden="1">"c4901"</definedName>
    <definedName name="IQ_EPS_SBC_ACT_OR_EST_CIQ_COL" hidden="1">"c11548"</definedName>
    <definedName name="IQ_EPS_SBC_GUIDANCE" hidden="1">"c4377"</definedName>
    <definedName name="IQ_EPS_SBC_GUIDANCE_CIQ" hidden="1">"c4902"</definedName>
    <definedName name="IQ_EPS_SBC_GUIDANCE_CIQ_COL" hidden="1">"c11549"</definedName>
    <definedName name="IQ_EPS_SBC_GW_ACT_OR_EST_CIQ" hidden="1">"c4905"</definedName>
    <definedName name="IQ_EPS_SBC_GW_ACT_OR_EST_CIQ_COL" hidden="1">"c11552"</definedName>
    <definedName name="IQ_EPS_SBC_GW_GUIDANCE" hidden="1">"c4381"</definedName>
    <definedName name="IQ_EPS_SBC_GW_GUIDANCE_CIQ" hidden="1">"c4906"</definedName>
    <definedName name="IQ_EPS_SBC_GW_GUIDANCE_CIQ_COL" hidden="1">"c11553"</definedName>
    <definedName name="IQ_EPS_SBC_GW_HIGH_GUIDANCE" hidden="1">"c4189"</definedName>
    <definedName name="IQ_EPS_SBC_GW_HIGH_GUIDANCE_CIQ" hidden="1">"c4601"</definedName>
    <definedName name="IQ_EPS_SBC_GW_HIGH_GUIDANCE_CIQ_COL" hidden="1">"c11250"</definedName>
    <definedName name="IQ_EPS_SBC_GW_LOW_GUIDANCE" hidden="1">"c4229"</definedName>
    <definedName name="IQ_EPS_SBC_GW_LOW_GUIDANCE_CIQ" hidden="1">"c4641"</definedName>
    <definedName name="IQ_EPS_SBC_GW_LOW_GUIDANCE_CIQ_COL" hidden="1">"c11290"</definedName>
    <definedName name="IQ_EPS_SBC_HIGH_GUIDANCE" hidden="1">"c4188"</definedName>
    <definedName name="IQ_EPS_SBC_HIGH_GUIDANCE_CIQ" hidden="1">"c4600"</definedName>
    <definedName name="IQ_EPS_SBC_HIGH_GUIDANCE_CIQ_COL" hidden="1">"c11249"</definedName>
    <definedName name="IQ_EPS_SBC_LOW_GUIDANCE" hidden="1">"c4228"</definedName>
    <definedName name="IQ_EPS_SBC_LOW_GUIDANCE_CIQ" hidden="1">"c4640"</definedName>
    <definedName name="IQ_EPS_SBC_LOW_GUIDANCE_CIQ_COL" hidden="1">"c11289"</definedName>
    <definedName name="IQ_EPS_STDDEV_EST" hidden="1">"c403"</definedName>
    <definedName name="IQ_EPS_STDDEV_EST_CIQ" hidden="1">"c4993"</definedName>
    <definedName name="IQ_EQUITY_AFFIL" hidden="1">"c1451"</definedName>
    <definedName name="IQ_EQUITY_AP" hidden="1">"c8887"</definedName>
    <definedName name="IQ_EQUITY_AP_ABS" hidden="1">"c8906"</definedName>
    <definedName name="IQ_EQUITY_ASSETS_TOT_FFIEC" hidden="1">"c13436"</definedName>
    <definedName name="IQ_EQUITY_BEG_EXCL_FFIEC" hidden="1">"c12957"</definedName>
    <definedName name="IQ_EQUITY_BEG_FFIEC" hidden="1">"c12959"</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LIST" hidden="1">"c15158"</definedName>
    <definedName name="IQ_EQUITY_METHOD" hidden="1">"c404"</definedName>
    <definedName name="IQ_EQUITY_NAME_AP" hidden="1">"c8925"</definedName>
    <definedName name="IQ_EQUITY_NAME_AP_ABS" hidden="1">"c8944"</definedName>
    <definedName name="IQ_EQUITY_SEC_FAIR_VALUE_AFS_AMORT_COST_FFIEC" hidden="1">"c20505"</definedName>
    <definedName name="IQ_EQUITY_SEC_FAIR_VALUE_AFS_FAIR_VAL_FFIEC" hidden="1">"c20470"</definedName>
    <definedName name="IQ_EQUITY_SEC_FAIR_VALUE_FFIEC" hidden="1">"c12805"</definedName>
    <definedName name="IQ_EQUITY_SEC_INVEST_SECURITIES_FFIEC" hidden="1">"c13463"</definedName>
    <definedName name="IQ_EQUITY_SECURITIES_FDIC" hidden="1">"c6304"</definedName>
    <definedName name="IQ_EQUITY_SECURITIES_QUARTERLY_AVG_FFIEC" hidden="1">"c15474"</definedName>
    <definedName name="IQ_EQUITY_SECURITIES_WITHOUT_FAIR_VALUES_FFIEC" hidden="1">"c12846"</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"c1390"</definedName>
    <definedName name="IQ_ESOP_DEBT" hidden="1">"c1597"</definedName>
    <definedName name="IQ_ESOP_DEBT_GUARANTEED_FFIEC" hidden="1">"c12971"</definedName>
    <definedName name="IQ_ESOP_OVER_TOTAL" hidden="1">"c13768"</definedName>
    <definedName name="IQ_EST_ACT_CFPS" hidden="1">"c1673"</definedName>
    <definedName name="IQ_EST_ACT_DISTRIBUTABLE_CASH_CIQ_COL" hidden="1">"c11568"</definedName>
    <definedName name="IQ_EST_ACT_DPS" hidden="1">"c1680"</definedName>
    <definedName name="IQ_EST_ACT_EBIT" hidden="1">"c1687"</definedName>
    <definedName name="IQ_EST_ACT_EBITDA" hidden="1">"c1664"</definedName>
    <definedName name="IQ_EST_ACT_EBITDA_CIQ" hidden="1">"c3667"</definedName>
    <definedName name="IQ_EST_ACT_EPS" hidden="1">"c1648"</definedName>
    <definedName name="IQ_EST_ACT_EPS_CIQ" hidden="1">"c4998"</definedName>
    <definedName name="IQ_EST_ACT_EPS_GW" hidden="1">"c1743"</definedName>
    <definedName name="IQ_EST_ACT_EPS_GW_CIQ" hidden="1">"c4729"</definedName>
    <definedName name="IQ_EST_ACT_EPS_NORM" hidden="1">"c2232"</definedName>
    <definedName name="IQ_EST_ACT_EPS_NORM_CIQ" hidden="1">"c4673"</definedName>
    <definedName name="IQ_EST_ACT_EPS_REPORTED" hidden="1">"c1750"</definedName>
    <definedName name="IQ_EST_ACT_EPS_REPORTED_CIQ" hidden="1">"c4736"</definedName>
    <definedName name="IQ_EST_ACT_FFO" hidden="1">"c1666"</definedName>
    <definedName name="IQ_EST_ACT_FFO_CIQ_COL" hidden="1">"c11579"</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ACT_REV_CIQ" hidden="1">"c3666"</definedName>
    <definedName name="IQ_EST_CASH_FLOW_DIFF_CIQ_COL" hidden="1">"c11213"</definedName>
    <definedName name="IQ_EST_CASH_FLOW_SURPRISE_PERCENT_CIQ_COL" hidden="1">"c11222"</definedName>
    <definedName name="IQ_EST_CASH_OPER_DIFF_CIQ_COL" hidden="1">"c11223"</definedName>
    <definedName name="IQ_EST_CASH_OPER_SURPRISE_PERCENT_CIQ_COL" hidden="1">"c11421"</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CURRENCY_CIQ" hidden="1">"c4769"</definedName>
    <definedName name="IQ_EST_DATE" hidden="1">"c1634"</definedName>
    <definedName name="IQ_EST_DATE_CIQ" hidden="1">"c4770"</definedName>
    <definedName name="IQ_EST_DISTRIBUTABLE_CASH_DIFF_CIQ_COL" hidden="1">"c11448"</definedName>
    <definedName name="IQ_EST_DISTRIBUTABLE_CASH_GROWTH_1YR_CIQ_COL" hidden="1">"c11585"</definedName>
    <definedName name="IQ_EST_DISTRIBUTABLE_CASH_GROWTH_2YR_CIQ_COL" hidden="1">"c11586"</definedName>
    <definedName name="IQ_EST_DISTRIBUTABLE_CASH_GROWTH_Q_1YR_CIQ_COL" hidden="1">"c11587"</definedName>
    <definedName name="IQ_EST_DISTRIBUTABLE_CASH_SEQ_GROWTH_Q_CIQ_COL" hidden="1">"c11588"</definedName>
    <definedName name="IQ_EST_DISTRIBUTABLE_CASH_SHARE_DIFF_CIQ_COL" hidden="1">"c11456"</definedName>
    <definedName name="IQ_EST_DISTRIBUTABLE_CASH_SHARE_GROWTH_1YR_CIQ_COL" hidden="1">"c11589"</definedName>
    <definedName name="IQ_EST_DISTRIBUTABLE_CASH_SHARE_GROWTH_2YR_CIQ_COL" hidden="1">"c11590"</definedName>
    <definedName name="IQ_EST_DISTRIBUTABLE_CASH_SHARE_GROWTH_Q_1YR_CIQ_COL" hidden="1">"c11591"</definedName>
    <definedName name="IQ_EST_DISTRIBUTABLE_CASH_SHARE_SEQ_GROWTH_Q_CIQ_COL" hidden="1">"c11592"</definedName>
    <definedName name="IQ_EST_DISTRIBUTABLE_CASH_SHARE_SURPRISE_PERCENT_CIQ_COL" hidden="1">"c11465"</definedName>
    <definedName name="IQ_EST_DISTRIBUTABLE_CASH_SURPRISE_PERCENT_CIQ_COL" hidden="1">"c11467"</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GW_DIFF_CIQ_COL" hidden="1">"c11476"</definedName>
    <definedName name="IQ_EST_EBIT_GW_SURPRISE_PERCENT_CIQ_COL" hidden="1">"c11485"</definedName>
    <definedName name="IQ_EST_EBIT_SBC_DIFF_CIQ_COL" hidden="1">"c11486"</definedName>
    <definedName name="IQ_EST_EBIT_SBC_GW_DIFF_CIQ_COL" hidden="1">"c11490"</definedName>
    <definedName name="IQ_EST_EBIT_SBC_GW_SURPRISE_PERCENT_CIQ_COL" hidden="1">"c11499"</definedName>
    <definedName name="IQ_EST_EBIT_SBC_SURPRISE_PERCENT_CIQ_COL" hidden="1">"c11505"</definedName>
    <definedName name="IQ_EST_EBIT_SURPRISE_PERCENT" hidden="1">"c1876"</definedName>
    <definedName name="IQ_EST_EBITDA_DIFF" hidden="1">"c1867"</definedName>
    <definedName name="IQ_EST_EBITDA_DIFF_CIQ" hidden="1">"c3719"</definedName>
    <definedName name="IQ_EST_EBITDA_GROWTH_1YR" hidden="1">"c1766"</definedName>
    <definedName name="IQ_EST_EBITDA_GROWTH_1YR_CIQ" hidden="1">"c3695"</definedName>
    <definedName name="IQ_EST_EBITDA_GROWTH_2YR" hidden="1">"c1767"</definedName>
    <definedName name="IQ_EST_EBITDA_GROWTH_2YR_CIQ" hidden="1">"c3696"</definedName>
    <definedName name="IQ_EST_EBITDA_GROWTH_Q_1YR" hidden="1">"c1768"</definedName>
    <definedName name="IQ_EST_EBITDA_GROWTH_Q_1YR_CIQ" hidden="1">"c3697"</definedName>
    <definedName name="IQ_EST_EBITDA_SBC_DIFF_CIQ_COL" hidden="1">"c11507"</definedName>
    <definedName name="IQ_EST_EBITDA_SBC_SURPRISE_PERCENT_CIQ_COL" hidden="1">"c11516"</definedName>
    <definedName name="IQ_EST_EBITDA_SEQ_GROWTH_Q" hidden="1">"c1769"</definedName>
    <definedName name="IQ_EST_EBITDA_SEQ_GROWTH_Q_CIQ" hidden="1">"c3698"</definedName>
    <definedName name="IQ_EST_EBITDA_SURPRISE_PERCENT" hidden="1">"c1868"</definedName>
    <definedName name="IQ_EST_EBITDA_SURPRISE_PERCENT_CIQ" hidden="1">"c3720"</definedName>
    <definedName name="IQ_EST_EBT_SBC_DIFF_CIQ_COL" hidden="1">"c11520"</definedName>
    <definedName name="IQ_EST_EBT_SBC_GW_DIFF_CIQ_COL" hidden="1">"c11524"</definedName>
    <definedName name="IQ_EST_EBT_SBC_GW_SURPRISE_PERCENT_CIQ_COL" hidden="1">"c11533"</definedName>
    <definedName name="IQ_EST_EBT_SBC_SURPRISE_PERCENT_CIQ_COL" hidden="1">"c11539"</definedName>
    <definedName name="IQ_EST_EPS_DIFF" hidden="1">"c1864"</definedName>
    <definedName name="IQ_EST_EPS_DIFF_CIQ" hidden="1">"c4999"</definedName>
    <definedName name="IQ_EST_EPS_GROWTH_1YR" hidden="1">"c1636"</definedName>
    <definedName name="IQ_EST_EPS_GROWTH_1YR_CIQ" hidden="1">"c3628"</definedName>
    <definedName name="IQ_EST_EPS_GROWTH_2YR" hidden="1">"c1637"</definedName>
    <definedName name="IQ_EST_EPS_GROWTH_2YR_CIQ" hidden="1">"c3689"</definedName>
    <definedName name="IQ_EST_EPS_GROWTH_5YR" hidden="1">"c1655"</definedName>
    <definedName name="IQ_EST_EPS_GROWTH_5YR_BOTTOM_UP_CIQ" hidden="1">"c12024"</definedName>
    <definedName name="IQ_EST_EPS_GROWTH_5YR_CIQ" hidden="1">"c3615"</definedName>
    <definedName name="IQ_EST_EPS_GROWTH_5YR_HIGH" hidden="1">"c1657"</definedName>
    <definedName name="IQ_EST_EPS_GROWTH_5YR_HIGH_CIQ" hidden="1">"c4663"</definedName>
    <definedName name="IQ_EST_EPS_GROWTH_5YR_LOW" hidden="1">"c1658"</definedName>
    <definedName name="IQ_EST_EPS_GROWTH_5YR_LOW_CIQ" hidden="1">"c4664"</definedName>
    <definedName name="IQ_EST_EPS_GROWTH_5YR_MEDIAN" hidden="1">"c1656"</definedName>
    <definedName name="IQ_EST_EPS_GROWTH_5YR_MEDIAN_CIQ" hidden="1">"c5480"</definedName>
    <definedName name="IQ_EST_EPS_GROWTH_5YR_NUM" hidden="1">"c1659"</definedName>
    <definedName name="IQ_EST_EPS_GROWTH_5YR_NUM_CIQ" hidden="1">"c4665"</definedName>
    <definedName name="IQ_EST_EPS_GROWTH_5YR_STDDEV" hidden="1">"c1660"</definedName>
    <definedName name="IQ_EST_EPS_GROWTH_5YR_STDDEV_CIQ" hidden="1">"c4666"</definedName>
    <definedName name="IQ_EST_EPS_GROWTH_Q_1YR" hidden="1">"c1641"</definedName>
    <definedName name="IQ_EST_EPS_GROWTH_Q_1YR_CIQ" hidden="1">"c4744"</definedName>
    <definedName name="IQ_EST_EPS_GW_DIFF" hidden="1">"c1891"</definedName>
    <definedName name="IQ_EST_EPS_GW_DIFF_CIQ" hidden="1">"c4761"</definedName>
    <definedName name="IQ_EST_EPS_GW_SURPRISE_PERCENT" hidden="1">"c1892"</definedName>
    <definedName name="IQ_EST_EPS_GW_SURPRISE_PERCENT_CIQ" hidden="1">"c4762"</definedName>
    <definedName name="IQ_EST_EPS_NORM_DIFF" hidden="1">"c2247"</definedName>
    <definedName name="IQ_EST_EPS_NORM_DIFF_CIQ" hidden="1">"c4745"</definedName>
    <definedName name="IQ_EST_EPS_NORM_SURPRISE_PERCENT" hidden="1">"c2248"</definedName>
    <definedName name="IQ_EST_EPS_NORM_SURPRISE_PERCENT_CIQ" hidden="1">"c4746"</definedName>
    <definedName name="IQ_EST_EPS_REPORT_DIFF" hidden="1">"c1893"</definedName>
    <definedName name="IQ_EST_EPS_REPORT_DIFF_CIQ" hidden="1">"c4763"</definedName>
    <definedName name="IQ_EST_EPS_REPORT_SURPRISE_PERCENT" hidden="1">"c1894"</definedName>
    <definedName name="IQ_EST_EPS_REPORT_SURPRISE_PERCENT_CIQ" hidden="1">"c4764"</definedName>
    <definedName name="IQ_EST_EPS_SBC_DIFF_CIQ_COL" hidden="1">"c11546"</definedName>
    <definedName name="IQ_EST_EPS_SBC_GW_DIFF_CIQ_COL" hidden="1">"c11550"</definedName>
    <definedName name="IQ_EST_EPS_SBC_GW_SURPRISE_PERCENT_CIQ_COL" hidden="1">"c11559"</definedName>
    <definedName name="IQ_EST_EPS_SBC_SURPRISE_PERCENT_CIQ_COL" hidden="1">"c11565"</definedName>
    <definedName name="IQ_EST_EPS_SEQ_GROWTH_Q" hidden="1">"c1764"</definedName>
    <definedName name="IQ_EST_EPS_SEQ_GROWTH_Q_CIQ" hidden="1">"c3690"</definedName>
    <definedName name="IQ_EST_EPS_SURPRISE_PERCENT" hidden="1">"c1635"</definedName>
    <definedName name="IQ_EST_EPS_SURPRISE_PERCENT_CIQ" hidden="1">"c5000"</definedName>
    <definedName name="IQ_EST_FAIR_VALUE_MORT_SERVICING_ASSETS_FFIEC" hidden="1">"c12956"</definedName>
    <definedName name="IQ_EST_FFO_ADJ_DIFF_CIQ_COL" hidden="1">"c11605"</definedName>
    <definedName name="IQ_EST_FFO_ADJ_GROWTH_1YR_CIQ_COL" hidden="1">"c11593"</definedName>
    <definedName name="IQ_EST_FFO_ADJ_GROWTH_2YR_CIQ_COL" hidden="1">"c11594"</definedName>
    <definedName name="IQ_EST_FFO_ADJ_GROWTH_Q_1YR_CIQ_COL" hidden="1">"c11595"</definedName>
    <definedName name="IQ_EST_FFO_ADJ_SEQ_GROWTH_Q_CIQ_COL" hidden="1">"c11596"</definedName>
    <definedName name="IQ_EST_FFO_ADJ_SURPRISE_PERCENT_CIQ_COL" hidden="1">"c11614"</definedName>
    <definedName name="IQ_EST_FFO_DIFF" hidden="1">"c1869"</definedName>
    <definedName name="IQ_EST_FFO_DIFF_CIQ_COL" hidden="1">"c11616"</definedName>
    <definedName name="IQ_EST_FFO_GROWTH_1YR" hidden="1">"c1770"</definedName>
    <definedName name="IQ_EST_FFO_GROWTH_1YR_CIQ_COL" hidden="1">"c11597"</definedName>
    <definedName name="IQ_EST_FFO_GROWTH_2YR" hidden="1">"c1771"</definedName>
    <definedName name="IQ_EST_FFO_GROWTH_2YR_CIQ_COL" hidden="1">"c11598"</definedName>
    <definedName name="IQ_EST_FFO_GROWTH_Q_1YR" hidden="1">"c1772"</definedName>
    <definedName name="IQ_EST_FFO_GROWTH_Q_1YR_CIQ_COL" hidden="1">"c11599"</definedName>
    <definedName name="IQ_EST_FFO_SEQ_GROWTH_Q" hidden="1">"c1773"</definedName>
    <definedName name="IQ_EST_FFO_SEQ_GROWTH_Q_CIQ_COL" hidden="1">"c11600"</definedName>
    <definedName name="IQ_EST_FFO_SURPRISE_PERCENT" hidden="1">"c1870"</definedName>
    <definedName name="IQ_EST_FFO_SURPRISE_PERCENT_CIQ_COL" hidden="1">"c11629"</definedName>
    <definedName name="IQ_EST_FOOTNOTE" hidden="1">"c4540"</definedName>
    <definedName name="IQ_EST_FOOTNOTE_CIQ" hidden="1">"c12022"</definedName>
    <definedName name="IQ_EST_MAINT_CAPEX_DIFF_CIQ_COL" hidden="1">"c11632"</definedName>
    <definedName name="IQ_EST_MAINT_CAPEX_GROWTH_1YR_CIQ_COL" hidden="1">"c11601"</definedName>
    <definedName name="IQ_EST_MAINT_CAPEX_GROWTH_2YR_CIQ_COL" hidden="1">"c11602"</definedName>
    <definedName name="IQ_EST_MAINT_CAPEX_GROWTH_Q_1YR_CIQ_COL" hidden="1">"c11603"</definedName>
    <definedName name="IQ_EST_MAINT_CAPEX_SEQ_GROWTH_Q_CIQ_COL" hidden="1">"c11604"</definedName>
    <definedName name="IQ_EST_MAINT_CAPEX_SURPRISE_PERCENT_CIQ_COL" hidden="1">"c11650"</definedName>
    <definedName name="IQ_EST_NAV_DIFF" hidden="1">"c1895"</definedName>
    <definedName name="IQ_EST_NAV_SURPRISE_PERCENT" hidden="1">"c1896"</definedName>
    <definedName name="IQ_EST_NEXT_EARNINGS_DATE" hidden="1">"c13591"</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BC_DIFF_CIQ_COL" hidden="1">"c11657"</definedName>
    <definedName name="IQ_EST_NI_SBC_GW_DIFF_CIQ_COL" hidden="1">"c11661"</definedName>
    <definedName name="IQ_EST_NI_SBC_GW_SURPRISE_PERCENT_CIQ_COL" hidden="1">"c11670"</definedName>
    <definedName name="IQ_EST_NI_SBC_SURPRISE_PERCENT_CIQ_COL" hidden="1">"c11676"</definedName>
    <definedName name="IQ_EST_NI_SURPRISE_PERCENT" hidden="1">"c1886"</definedName>
    <definedName name="IQ_EST_NUM_BUY" hidden="1">"c1759"</definedName>
    <definedName name="IQ_EST_NUM_HIGH_REC" hidden="1">"c5649"</definedName>
    <definedName name="IQ_EST_NUM_HIGH_REC_CIQ" hidden="1">"c3701"</definedName>
    <definedName name="IQ_EST_NUM_HIGHEST_REC" hidden="1">"c5648"</definedName>
    <definedName name="IQ_EST_NUM_HIGHEST_REC_CIQ" hidden="1">"c3700"</definedName>
    <definedName name="IQ_EST_NUM_HOLD" hidden="1">"c1761"</definedName>
    <definedName name="IQ_EST_NUM_LOW_REC" hidden="1">"c5651"</definedName>
    <definedName name="IQ_EST_NUM_LOW_REC_CIQ" hidden="1">"c3703"</definedName>
    <definedName name="IQ_EST_NUM_LOWEST_REC" hidden="1">"c5652"</definedName>
    <definedName name="IQ_EST_NUM_LOWEST_REC_CIQ" hidden="1">"c3704"</definedName>
    <definedName name="IQ_EST_NUM_NEUTRAL_REC" hidden="1">"c5650"</definedName>
    <definedName name="IQ_EST_NUM_NEUTRAL_REC_CIQ" hidden="1">"c3702"</definedName>
    <definedName name="IQ_EST_NUM_NO_OPINION" hidden="1">"c1758"</definedName>
    <definedName name="IQ_EST_NUM_NO_OPINION_CIQ" hidden="1">"c3699"</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ERIOD_ID" hidden="1">"c13923"</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CURRING_PROFIT_SHARE_DIFF_CIQ_COL" hidden="1">"c11690"</definedName>
    <definedName name="IQ_EST_RECURRING_PROFIT_SHARE_SURPRISE_PERCENT_CIQ_COL" hidden="1">"c11700"</definedName>
    <definedName name="IQ_EST_REV_DIFF" hidden="1">"c1865"</definedName>
    <definedName name="IQ_EST_REV_DIFF_CIQ" hidden="1">"c3717"</definedName>
    <definedName name="IQ_EST_REV_GROWTH_1YR" hidden="1">"c1638"</definedName>
    <definedName name="IQ_EST_REV_GROWTH_1YR_CIQ" hidden="1">"c3691"</definedName>
    <definedName name="IQ_EST_REV_GROWTH_2YR" hidden="1">"c1639"</definedName>
    <definedName name="IQ_EST_REV_GROWTH_2YR_CIQ" hidden="1">"c3692"</definedName>
    <definedName name="IQ_EST_REV_GROWTH_Q_1YR" hidden="1">"c1640"</definedName>
    <definedName name="IQ_EST_REV_GROWTH_Q_1YR_CIQ" hidden="1">"c3693"</definedName>
    <definedName name="IQ_EST_REV_SEQ_GROWTH_Q" hidden="1">"c1765"</definedName>
    <definedName name="IQ_EST_REV_SEQ_GROWTH_Q_CIQ" hidden="1">"c3694"</definedName>
    <definedName name="IQ_EST_REV_SURPRISE_PERCENT" hidden="1">"c1866"</definedName>
    <definedName name="IQ_EST_REV_SURPRISE_PERCENT_CIQ" hidden="1">"c3718"</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VENT_ADDRESS" hidden="1">"c19167"</definedName>
    <definedName name="IQ_EVENT_ADVISORS" hidden="1">"c19147"</definedName>
    <definedName name="IQ_EVENT_AGENDA" hidden="1">"c19168"</definedName>
    <definedName name="IQ_EVENT_CALL_DESCRIPTION" hidden="1">"c19154"</definedName>
    <definedName name="IQ_EVENT_CONTACT" hidden="1">"c19160"</definedName>
    <definedName name="IQ_EVENT_DATE" hidden="1">"c13819"</definedName>
    <definedName name="IQ_EVENT_EMAIL" hidden="1">"c19162"</definedName>
    <definedName name="IQ_EVENT_ID" hidden="1">"c13818"</definedName>
    <definedName name="IQ_EVENT_LIVE_AUDIO_DETAILS_WEBCAST_URL" hidden="1">"c19153"</definedName>
    <definedName name="IQ_EVENT_LIVE_OTHER_PASSCODE" hidden="1">"c19152"</definedName>
    <definedName name="IQ_EVENT_LIVE_OTHER_PHONE_NUMBER" hidden="1">"c19151"</definedName>
    <definedName name="IQ_EVENT_LIVE_PASSCODE" hidden="1">"c19150"</definedName>
    <definedName name="IQ_EVENT_LIVE_PHONE_NUMBER" hidden="1">"c19149"</definedName>
    <definedName name="IQ_EVENT_MARKETINDICATOR" hidden="1">"c19166"</definedName>
    <definedName name="IQ_EVENT_OTHER_CONTACT" hidden="1">"c19163"</definedName>
    <definedName name="IQ_EVENT_OTHER_CONTACT_EMAIL" hidden="1">"c19165"</definedName>
    <definedName name="IQ_EVENT_OTHER_CONTACT_PHONE" hidden="1">"c19164"</definedName>
    <definedName name="IQ_EVENT_PHONE" hidden="1">"c19161"</definedName>
    <definedName name="IQ_EVENT_REPLAY_AUDIO_DETAILS_WEBCAST_URL" hidden="1">"c19159"</definedName>
    <definedName name="IQ_EVENT_REPLAY_BEGINS" hidden="1">"c19157"</definedName>
    <definedName name="IQ_EVENT_REPLAY_ENDS" hidden="1">"c19158"</definedName>
    <definedName name="IQ_EVENT_REPLAY_PASSCODE" hidden="1">"c19156"</definedName>
    <definedName name="IQ_EVENT_REPLAY_PHONE_NUMBER" hidden="1">"c19155"</definedName>
    <definedName name="IQ_EVENT_SITUATION" hidden="1">"c19148"</definedName>
    <definedName name="IQ_EVENT_SOURCE" hidden="1">"c19146"</definedName>
    <definedName name="IQ_EVENT_TIME" hidden="1">"c13820"</definedName>
    <definedName name="IQ_EVENT_TYPE" hidden="1">"c13821"</definedName>
    <definedName name="IQ_EXCEL_DATA_METHOD" hidden="1">"c16229"</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IMBURSE_RENTAL_REVENUE" hidden="1">"c16064"</definedName>
    <definedName name="IQ_EXP_RETURN_PENSION_DOMESTIC" hidden="1">"c407"</definedName>
    <definedName name="IQ_EXP_RETURN_PENSION_FOREIGN" hidden="1">"c408"</definedName>
    <definedName name="IQ_EXPENSE_REIMBURSEMENTS" hidden="1">"c16020"</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PERSON0813" hidden="1">"c9308"</definedName>
    <definedName name="IQ_EXPLORATION_EXPENDITURE_PLAT" hidden="1">"c9146"</definedName>
    <definedName name="IQ_EXPLORATION_EXPENDITURE_SILVER" hidden="1">"c9093"</definedName>
    <definedName name="IQ_EXPLORATION_EXPENDITURE_PRODUCT0419" hidden="1">"c9573"</definedName>
    <definedName name="IQ_EXPLORATION_EXPENDITURE_URAN" hidden="1">"c9626"</definedName>
    <definedName name="IQ_EXPLORATION_EXPENDITURE_Company3050"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UNUSED" hidden="1">"c7632"</definedName>
    <definedName name="IQ_EXPORTS_GOODS_REAL_SAAR_FC_UNUSED" hidden="1">"c7852"</definedName>
    <definedName name="IQ_EXPORTS_GOODS_REAL_SAAR_POP" hidden="1">"c11931"</definedName>
    <definedName name="IQ_EXPORTS_GOODS_REAL_SAAR_POP_FC_UNUSED" hidden="1">"c8072"</definedName>
    <definedName name="IQ_EXPORTS_GOODS_REAL_SAAR_POP_UNUSED" hidden="1">"c7192"</definedName>
    <definedName name="IQ_EXPORTS_GOODS_REAL_SAAR_UNUSED" hidden="1">"c6972"</definedName>
    <definedName name="IQ_EXPORTS_GOODS_REAL_SAAR_YOY" hidden="1">"c11932"</definedName>
    <definedName name="IQ_EXPORTS_GOODS_REAL_SAAR_YOY_FC_UNUSED" hidden="1">"c8292"</definedName>
    <definedName name="IQ_EXPORTS_GOODS_REAL_SAAR_YOY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UNUSED" hidden="1">"c7636"</definedName>
    <definedName name="IQ_EXPORTS_SERVICES_REAL_SAAR_FC_UNUSED" hidden="1">"c7856"</definedName>
    <definedName name="IQ_EXPORTS_SERVICES_REAL_SAAR_POP" hidden="1">"c11935"</definedName>
    <definedName name="IQ_EXPORTS_SERVICES_REAL_SAAR_POP_FC_UNUSED" hidden="1">"c8076"</definedName>
    <definedName name="IQ_EXPORTS_SERVICES_REAL_SAAR_POP_UNUSED" hidden="1">"c7196"</definedName>
    <definedName name="IQ_EXPORTS_SERVICES_REAL_SAAR_UNUSED" hidden="1">"c6976"</definedName>
    <definedName name="IQ_EXPORTS_SERVICES_REAL_SAAR_YOY" hidden="1">"c11936"</definedName>
    <definedName name="IQ_EXPORTS_SERVICES_REAL_SAAR_YOY_FC_UNUSED" hidden="1">"c8296"</definedName>
    <definedName name="IQ_EXPORTS_SERVICES_REAL_SAAR_YOY_UNUSED" hidden="1">"c7416"</definedName>
    <definedName name="IQ_EXPORTS_SERVICES_REAL_YOY" hidden="1">"c7417"</definedName>
    <definedName name="IQ_EXPORTS_SERVICES_REAL_YOY_FC" hidden="1">"c8297"</definedName>
    <definedName name="IQ_EXPORTS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_ITEMS_OTHER_ADJUSTMENTS_FOREIGN_FFIEC" hidden="1">"c15392"</definedName>
    <definedName name="IQ_EXTRAORDINARY_GAINS_FDIC" hidden="1">"c6586"</definedName>
    <definedName name="IQ_EXTRAORDINARY_ITEMS_FFIEC" hidden="1">"c13033"</definedName>
    <definedName name="IQ_FAD" hidden="1">"c8757"</definedName>
    <definedName name="IQ_FAD_PAYOUT_RATIO" hidden="1">"c8872"</definedName>
    <definedName name="IQ_FAIR_VALUE_CHANGE_INCL_EARNINGS" hidden="1">"c13849"</definedName>
    <definedName name="IQ_FAIR_VALUE_DEBT" hidden="1">"c16007"</definedName>
    <definedName name="IQ_FAIR_VALUE_FDIC" hidden="1">"c6427"</definedName>
    <definedName name="IQ_FAIR_VALUE_FIN_INSTRUMENTS_NAV" hidden="1">"c16002"</definedName>
    <definedName name="IQ_FAIR_VALUE_FIN_INSTRUMENTS_NNAV" hidden="1">"c16006"</definedName>
    <definedName name="IQ_FAIR_VALUE_TRADING_PROP" hidden="1">"c16001"</definedName>
    <definedName name="IQ_FARM_LOANS_NET_FDIC" hidden="1">"c6316"</definedName>
    <definedName name="IQ_FARM_LOANS_TOT_LOANS_FFIEC" hidden="1">"c13870"</definedName>
    <definedName name="IQ_FARM_LOANS_TOTAL_LOANS_FOREIGN_FDIC" hidden="1">"c6450"</definedName>
    <definedName name="IQ_FARMLAND_DOM_FFIEC" hidden="1">"c15268"</definedName>
    <definedName name="IQ_FARMLAND_LOANS_FDIC" hidden="1">"c6314"</definedName>
    <definedName name="IQ_FDIC" hidden="1">"c417"</definedName>
    <definedName name="IQ_FDIC_CERT_NUMBER_FFIEC" hidden="1">"c20507"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_PURCHASED_SEC_SOLD_REPURCHASE_FFIEC" hidden="1">"c15489"</definedName>
    <definedName name="IQ_FED_FUND_SOLD_SEC_PURCHASED_RESELL_FFIEC" hidden="1">"c15488"</definedName>
    <definedName name="IQ_FED_FUNDS_AVAIL" hidden="1">"c2523"</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FUNDS_PURCHASED_RELATED" hidden="1">"c19132"</definedName>
    <definedName name="IQ_FEDFUNDS_SOLD" hidden="1">"c2256"</definedName>
    <definedName name="IQ_FEDFUNDS_SOLD_RELATED" hidden="1">"c19130"</definedName>
    <definedName name="IQ_FEES_COMMISSIONS_BROKERAGE_FFIEC" hidden="1">"c13005"</definedName>
    <definedName name="IQ_FEES_OTHER_INCOME" hidden="1">"c15257"</definedName>
    <definedName name="IQ_FFO" hidden="1">"c1574"</definedName>
    <definedName name="IQ_FFO_ACT_OR_EST" hidden="1">"c2216"</definedName>
    <definedName name="IQ_FFO_ADJ_ACT_OR_EST_CIQ" hidden="1">"c4960"</definedName>
    <definedName name="IQ_FFO_ADJ_ACT_OR_EST_CIQ_COL" hidden="1">"c11607"</definedName>
    <definedName name="IQ_FFO_ADJ_GUIDANCE_CIQ" hidden="1">"c4961"</definedName>
    <definedName name="IQ_FFO_ADJ_GUIDANCE_CIQ_COL" hidden="1">"c11608"</definedName>
    <definedName name="IQ_FFO_ADJ_HIGH_GUIDANCE_CIQ" hidden="1">"c4614"</definedName>
    <definedName name="IQ_FFO_ADJ_HIGH_GUIDANCE_CIQ_COL" hidden="1">"c11263"</definedName>
    <definedName name="IQ_FFO_ADJ_LOW_GUIDANCE_CIQ" hidden="1">"c4654"</definedName>
    <definedName name="IQ_FFO_ADJ_LOW_GUIDANCE_CIQ_COL" hidden="1">"c11303"</definedName>
    <definedName name="IQ_FFO_DILUTED" hidden="1">"c16186"</definedName>
    <definedName name="IQ_FFO_EST" hidden="1">"c418"</definedName>
    <definedName name="IQ_FFO_EST_CIQ_COL" hidden="1">"c11617"</definedName>
    <definedName name="IQ_FFO_GUIDANCE_CIQ" hidden="1">"c4968"</definedName>
    <definedName name="IQ_FFO_GUIDANCE_CIQ_COL" hidden="1">"c11615"</definedName>
    <definedName name="IQ_FFO_HIGH_EST" hidden="1">"c419"</definedName>
    <definedName name="IQ_FFO_HIGH_EST_CIQ_COL" hidden="1">"c11624"</definedName>
    <definedName name="IQ_FFO_HIGH_GUIDANCE_CIQ" hidden="1">"c4596"</definedName>
    <definedName name="IQ_FFO_HIGH_GUIDANCE_CIQ_COL" hidden="1">"c11245"</definedName>
    <definedName name="IQ_FFO_LOW_EST" hidden="1">"c420"</definedName>
    <definedName name="IQ_FFO_LOW_EST_CIQ_COL" hidden="1">"c11625"</definedName>
    <definedName name="IQ_FFO_LOW_GUIDANCE_CIQ" hidden="1">"c4636"</definedName>
    <definedName name="IQ_FFO_LOW_GUIDANCE_CIQ_COL" hidden="1">"c11285"</definedName>
    <definedName name="IQ_FFO_MEDIAN_EST" hidden="1">"c1665"</definedName>
    <definedName name="IQ_FFO_MEDIAN_EST_CIQ_COL" hidden="1">"c11626"</definedName>
    <definedName name="IQ_FFO_NUM_EST" hidden="1">"c421"</definedName>
    <definedName name="IQ_FFO_NUM_EST_CIQ_COL" hidden="1">"c11627"</definedName>
    <definedName name="IQ_FFO_PAYOUT_RATIO" hidden="1">"c3492"</definedName>
    <definedName name="IQ_FFO_PER_SHARE_BASIC" hidden="1">"c8867"</definedName>
    <definedName name="IQ_FFO_PER_SHARE_DILUTED" hidden="1">"c8868"</definedName>
    <definedName name="IQ_FFO_SHARE_ACT_OR_EST_CIQ" hidden="1">"c4971"</definedName>
    <definedName name="IQ_FFO_SHARE_ACT_OR_EST_CIQ_COL" hidden="1">"c11618"</definedName>
    <definedName name="IQ_FFO_SHARE_GUIDANCE_CIQ" hidden="1">"c4976"</definedName>
    <definedName name="IQ_FFO_SHARE_GUIDANCE_CIQ_COL" hidden="1">"c11623"</definedName>
    <definedName name="IQ_FFO_SHARE_HIGH_GUIDANCE_CIQ" hidden="1">"c4615"</definedName>
    <definedName name="IQ_FFO_SHARE_HIGH_GUIDANCE_CIQ_COL" hidden="1">"c11264"</definedName>
    <definedName name="IQ_FFO_SHARE_LOW_GUIDANCE_CIQ" hidden="1">"c4655"</definedName>
    <definedName name="IQ_FFO_SHARE_LOW_GUIDANCE_CIQ_COL" hidden="1">"c11304"</definedName>
    <definedName name="IQ_FFO_SHARES_BASIC" hidden="1">"c16185"</definedName>
    <definedName name="IQ_FFO_SHARES_DILUTED" hidden="1">"c16187"</definedName>
    <definedName name="IQ_FFO_STDDEV_EST" hidden="1">"c422"</definedName>
    <definedName name="IQ_FFO_STDDEV_EST_CIQ_COL" hidden="1">"c11628"</definedName>
    <definedName name="IQ_FFO_TOTAL_REVENUE" hidden="1">"c16060"</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ARCHITECTURE" hidden="1">"c20386"</definedName>
    <definedName name="IQ_FIN_COLLECTION_ID" hidden="1">"c13922"</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_DIV_ST_INVEST" hidden="1">"c6288"</definedName>
    <definedName name="IQ_FIN_INSTANCE_ID" hidden="1">"c13921"</definedName>
    <definedName name="IQ_FIN_PERIOD_ID" hidden="1">"c13920"</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CIQ_COL" hidden="1">"c11741"</definedName>
    <definedName name="IQ_FISCAL_Y" hidden="1">"c441"</definedName>
    <definedName name="IQ_FISCAL_Y_EST" hidden="1">"c6795"</definedName>
    <definedName name="IQ_FISCAL_Y_EST_CIQ" hidden="1">"c6807"</definedName>
    <definedName name="IQ_FISCAL_Y_EST_CIQ_COL" hidden="1">"c11742"</definedName>
    <definedName name="IQ_FIVE_PERCENT_CIQID" hidden="1">"c19094"</definedName>
    <definedName name="IQ_FIVE_PERCENT_DERIVATIVES" hidden="1">"c19096"</definedName>
    <definedName name="IQ_FIVE_PERCENT_NAME" hidden="1">"c19093"</definedName>
    <definedName name="IQ_FIVE_PERCENT_OWNER" hidden="1">"c442"</definedName>
    <definedName name="IQ_FIVE_PERCENT_PERCENT" hidden="1">"c19097"</definedName>
    <definedName name="IQ_FIVE_PERCENT_POSITION_DATE" hidden="1">"c19099"</definedName>
    <definedName name="IQ_FIVE_PERCENT_SHARES" hidden="1">"c19095"</definedName>
    <definedName name="IQ_FIVE_PERCENT_VALUE" hidden="1">"c19098"</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UNUSED" hidden="1">"c7530"</definedName>
    <definedName name="IQ_FIXED_INVEST_FC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UNUSED" hidden="1">"c7090"</definedName>
    <definedName name="IQ_FIXED_INVEST_REAL_APR_FC_UNUSED" hidden="1">"c8518"</definedName>
    <definedName name="IQ_FIXED_INVEST_REAL_APR_UNUSED" hidden="1">"c7638"</definedName>
    <definedName name="IQ_FIXED_INVEST_REAL_FC_UNUSED" hidden="1">"c7858"</definedName>
    <definedName name="IQ_FIXED_INVEST_REAL_POP_FC_UNUSED" hidden="1">"c8078"</definedName>
    <definedName name="IQ_FIXED_INVEST_REAL_POP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UNUSED" hidden="1">"c7310"</definedName>
    <definedName name="IQ_FLOAT" hidden="1">"c17421"</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OTAL_DEPOSITS" hidden="1">"c15719"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L_REC_FFIEC" hidden="1">"c12892"</definedName>
    <definedName name="IQ_FOREIGN_LOANS" hidden="1">"c448"</definedName>
    <definedName name="IQ_FOREIGN_LOANS_LEASES_FOREIGN_FFIEC" hidden="1">"c13478"</definedName>
    <definedName name="IQ_FOREIGN_LOANS_TOTAL_LOANS" hidden="1">"c15714"</definedName>
    <definedName name="IQ_FOUNDATION_OVER_TOTAL" hidden="1">"c13769"</definedName>
    <definedName name="IQ_FQ" hidden="1">500</definedName>
    <definedName name="IQ_FTOOL_CAPEX" hidden="1">"c16212"</definedName>
    <definedName name="IQ_FTOOL_CASH" hidden="1">"c16213"</definedName>
    <definedName name="IQ_FTOOL_CASH_INVEST" hidden="1">"c16214"</definedName>
    <definedName name="IQ_FTOOL_EBT" hidden="1">"c16215"</definedName>
    <definedName name="IQ_FTOOL_NI" hidden="1">"c16216"</definedName>
    <definedName name="IQ_FTOOL_NI_CF" hidden="1">"c16206"</definedName>
    <definedName name="IQ_FTOOL_NUMBER_SHAREHOLDERS" hidden="1">"c16207"</definedName>
    <definedName name="IQ_FTOOL_SHARES_PER_DR" hidden="1">"c16208"</definedName>
    <definedName name="IQ_FTOOL_TOTAL_ASSETS" hidden="1">"c16209"</definedName>
    <definedName name="IQ_FTOOL_TOTAL_LIAB_EQUITY" hidden="1">"c16210"</definedName>
    <definedName name="IQ_FTOOL_TOTAL_REV" hidden="1">"c16211"</definedName>
    <definedName name="IQ_FUEL" hidden="1">"c449"</definedName>
    <definedName name="IQ_FULL_TIME" hidden="1">"c450"</definedName>
    <definedName name="IQ_FULLY_INSURED_BROKERED_DEPOSITS_FFIEC" hidden="1">"c15305"</definedName>
    <definedName name="IQ_FULLY_INSURED_DEPOSITS_FDIC" hidden="1">"c6487"</definedName>
    <definedName name="IQ_FUND_ANALYSIS" hidden="1">"c19198"</definedName>
    <definedName name="IQ_FUND_AUTHORIZED_SALE" hidden="1">"c19199"</definedName>
    <definedName name="IQ_FUND_BENCHMARK" hidden="1">"c19200"</definedName>
    <definedName name="IQ_FUND_BENCHMARK_ID" hidden="1">"c19201"</definedName>
    <definedName name="IQ_FUND_DISCOUNT_OR_PREMIUM" hidden="1">"c19242"</definedName>
    <definedName name="IQ_FUND_FEE_INC_NON_INT_INC_FFIEC" hidden="1">"c13493"</definedName>
    <definedName name="IQ_FUND_GEOGRAPHIC_MANDATE" hidden="1">"c19195"</definedName>
    <definedName name="IQ_FUND_MARKET_CAP_EMPHASIS" hidden="1">"c19197"</definedName>
    <definedName name="IQ_FUND_NAV" hidden="1">"c15225"</definedName>
    <definedName name="IQ_FUND_PRIMARY_ADVISOR" hidden="1">"c19091"</definedName>
    <definedName name="IQ_FUND_SECTOR_EMPHASIS" hidden="1">"c19196"</definedName>
    <definedName name="IQ_FUND_VEHICLE_TYPE" hidden="1">"c19194"</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Y" hidden="1">1000</definedName>
    <definedName name="IQ_GA_EXP" hidden="1">"c2241"</definedName>
    <definedName name="IQ_GAAP_BS" hidden="1">"c6789"</definedName>
    <definedName name="IQ_GAAP_CF" hidden="1">"c6790"</definedName>
    <definedName name="IQ_GAAP_COMBINED_RATIO" hidden="1">"c2781"</definedName>
    <definedName name="IQ_GAAP_COMBINED_RATIO_EXCL_CL" hidden="1">"c2782"</definedName>
    <definedName name="IQ_GAAP_EST_CIQ" hidden="1">"c13924"</definedName>
    <definedName name="IQ_GAAP_EXPENSE_RATIO" hidden="1">"c2780"</definedName>
    <definedName name="IQ_GAAP_IS" hidden="1">"c6194"</definedName>
    <definedName name="IQ_GAAP_LOSS" hidden="1">"c2779"</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"c1377"</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NERAL_ALLOWANCE" hidden="1">"c15248"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ICS_CODE" hidden="1">"c16201"</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DD_BASIC" hidden="1">"c15776"</definedName>
    <definedName name="IQ_GROSS_ADD_BBAND" hidden="1">"c15779"</definedName>
    <definedName name="IQ_GROSS_ADD_DIG" hidden="1">"c15777"</definedName>
    <definedName name="IQ_GROSS_ADD_PHONE" hidden="1">"c15780"</definedName>
    <definedName name="IQ_GROSS_ADD_POSTPAID_WIRELESS" hidden="1">"c15750"</definedName>
    <definedName name="IQ_GROSS_ADD_PREPAID_WIRELESS" hidden="1">"c15751"</definedName>
    <definedName name="IQ_GROSS_ADD_RESELL_WHOLESALE_WIRELESS" hidden="1">"c15752"</definedName>
    <definedName name="IQ_GROSS_ADD_RGU" hidden="1">"c15781"</definedName>
    <definedName name="IQ_GROSS_ADD_SATELLITE" hidden="1">"c15778"</definedName>
    <definedName name="IQ_GROSS_ADD_TOTAL_WIRELESS" hidden="1">"c15753"</definedName>
    <definedName name="IQ_GROSS_AH_EARNED" hidden="1">"c2742"</definedName>
    <definedName name="IQ_GROSS_CLAIM_ADJ_EXP_RESERVE_BOP" hidden="1">"c15874"</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 hidden="1">"c15871"</definedName>
    <definedName name="IQ_GROSS_LOSSES_AVG_LOANS_FFIEC" hidden="1">"c13475"</definedName>
    <definedName name="IQ_GROSS_MARGIN" hidden="1">"c529"</definedName>
    <definedName name="IQ_GROSS_PC_EARNED" hidden="1">"c2747"</definedName>
    <definedName name="IQ_GROSS_PREMIUMS_WRITTEN_AVG_ASSETS" hidden="1">"c15893"</definedName>
    <definedName name="IQ_GROSS_PREMIUMS_WRITTEN_AVG_EQUITY" hidden="1">"c15892"</definedName>
    <definedName name="IQ_GROSS_PREMIUMS_WRITTEN_AVG_STATUTORY_SURPLUS" hidden="1">"c15894"</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VKEY" hidden="1">"c15590"</definedName>
    <definedName name="IQ_GVKEY_OTHER" hidden="1">"c15633"</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 hidden="1">"c19145"</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_EXP_DIRECT_OPERATING_EXP" hidden="1">"c15981"</definedName>
    <definedName name="IQ_HG_CASINO_GROSS_PROFIT" hidden="1">"c15974"</definedName>
    <definedName name="IQ_HG_CASINO_MARGIN" hidden="1">"c15976"</definedName>
    <definedName name="IQ_HG_CASINO_OPERATING_MARGIN" hidden="1">"c15977"</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CONFERENCE_SPACE" hidden="1">"c15971"</definedName>
    <definedName name="IQ_HG_EXP_CASINO" hidden="1">"c8733"</definedName>
    <definedName name="IQ_HG_EXP_DEVELOPMENT" hidden="1">"c8738"</definedName>
    <definedName name="IQ_HG_EXP_DIRECT_CASINO_GAMING" hidden="1">"c15994"</definedName>
    <definedName name="IQ_HG_EXP_ENTERTAINMENT" hidden="1">"c8736"</definedName>
    <definedName name="IQ_HG_EXP_FOOD_BEV" hidden="1">"c8734"</definedName>
    <definedName name="IQ_HG_EXP_FRANCHISE_MANAGEMENT" hidden="1">"c8744"</definedName>
    <definedName name="IQ_HG_EXP_OTHER_DIRECT_HOTEL_MOTEL" hidden="1">"c15995"</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BEV_EXP_DIRECT_OPERATING_EXP" hidden="1">"c15980"</definedName>
    <definedName name="IQ_HG_FOOD_BEV_REV_TOTAL_REV" hidden="1">"c15983"</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NUMBER_SUITES" hidden="1">"c15970"</definedName>
    <definedName name="IQ_HG_NUMBER_TABLES_AVG" hidden="1">"c15973"</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PROMO_ALLOW_GROSS_OPERATING_REV" hidden="1">"c15979"</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GROSS_OPERATING" hidden="1">"c15993"</definedName>
    <definedName name="IQ_HG_REV_INCENTIVE_MANAGEMENT_FEES" hidden="1">"c8727"</definedName>
    <definedName name="IQ_HG_REV_MANAGEMENT_FEES" hidden="1">"c8718"</definedName>
    <definedName name="IQ_HG_REV_OTHER_CASINO" hidden="1">"c15992"</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SLOT_MACHINE" hidden="1">"c15990"</definedName>
    <definedName name="IQ_HG_REV_TABLE" hidden="1">"c15991"</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EXP_DIRECT_OPERATING_EXP" hidden="1">"c15982"</definedName>
    <definedName name="IQ_HG_ROOM_GROSS_PROFIT" hidden="1">"c15975"</definedName>
    <definedName name="IQ_HG_ROOM_MARGIN" hidden="1">"c15978"</definedName>
    <definedName name="IQ_HG_ROOM_PROM_COSTS" hidden="1">"c8745"</definedName>
    <definedName name="IQ_HG_ROOM_REV_TOTAL_REV" hidden="1">"c15984"</definedName>
    <definedName name="IQ_HG_ROOMS_BEG" hidden="1">"c8600"</definedName>
    <definedName name="IQ_HG_SAME_PROPERTIES_CASINO_REV_CHANGE" hidden="1">"c15987"</definedName>
    <definedName name="IQ_HG_SAME_PROPERTIES_FOOD_BEV_REV_CHANGE" hidden="1">"c15989"</definedName>
    <definedName name="IQ_HG_SAME_PROPERTIES_ROOM_REV_CHANGE" hidden="1">"c15988"</definedName>
    <definedName name="IQ_HG_SAME_PROPERTIES_SLOT_MACHINE_REV_CHANGE" hidden="1">"c15985"</definedName>
    <definedName name="IQ_HG_SAME_PROPERTIES_TABLE_REV_CHANGE" hidden="1">"c15986"</definedName>
    <definedName name="IQ_HG_SLOT_MACHINES_AVG" hidden="1">"c15972"</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"c16124"</definedName>
    <definedName name="IQ_HG_TABLE_GAMES_MANAGED" hidden="1">"c16125"</definedName>
    <definedName name="IQ_HG_TABLE_GAMES_OWNED" hidden="1">"c16123"</definedName>
    <definedName name="IQ_HG_TABLE_GAMES_TOTAL" hidden="1">"c16126"</definedName>
    <definedName name="IQ_HG_TABLES_JV" hidden="1">"c8643"</definedName>
    <definedName name="IQ_HG_TABLES_MANAGED" hidden="1">"c8644"</definedName>
    <definedName name="IQ_HG_TABLES_OWNED" hidden="1">"c8642"</definedName>
    <definedName name="IQ_HG_TABL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SULFUR_CONTENT_RESERVES_COAL" hidden="1">"c15928"</definedName>
    <definedName name="IQ_HIGH_SULFURE_RESERVES_TO_TOTAL_RESERVES_COAL" hidden="1">"c15963"</definedName>
    <definedName name="IQ_HIGH_TARGET_PRICE" hidden="1">"c1651"</definedName>
    <definedName name="IQ_HIGH_TARGET_PRICE_CIQ" hidden="1">"c4659"</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FUND_CIQID" hidden="1">"c19084"</definedName>
    <definedName name="IQ_HOLDER_FUND_DERIVATIVES" hidden="1">"c19115"</definedName>
    <definedName name="IQ_HOLDER_FUND_NAME" hidden="1">"c19083"</definedName>
    <definedName name="IQ_HOLDER_FUND_NUMBER" hidden="1">"c19090"</definedName>
    <definedName name="IQ_HOLDER_FUND_PERCENT" hidden="1">"c19085"</definedName>
    <definedName name="IQ_HOLDER_FUND_POSITION_DATE" hidden="1">"c19088"</definedName>
    <definedName name="IQ_HOLDER_FUND_PRIMARY_ADVISOR" hidden="1">"c19089"</definedName>
    <definedName name="IQ_HOLDER_FUND_SHARES" hidden="1">"c19086"</definedName>
    <definedName name="IQ_HOLDER_FUND_VALUE" hidden="1">"c19087"</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LDINGS_AFRICA_MIDEAST_PERCENT" hidden="1">"c19235"</definedName>
    <definedName name="IQ_HOLDINGS_AFRICA_MIDEAST_VALUE" hidden="1">"c19234"</definedName>
    <definedName name="IQ_HOLDINGS_ASIA_PERCENT" hidden="1">"c19233"</definedName>
    <definedName name="IQ_HOLDINGS_ASIA_VALUE" hidden="1">"c19232"</definedName>
    <definedName name="IQ_HOLDINGS_CONSUMER_DISCRETIONARY_PERCENT" hidden="1">"c19213"</definedName>
    <definedName name="IQ_HOLDINGS_CONSUMER_DISCRETIONARY_VALUE" hidden="1">"c19212"</definedName>
    <definedName name="IQ_HOLDINGS_CONSUMER_Company2490_PERCENT" hidden="1">"c19219"</definedName>
    <definedName name="IQ_HOLDINGS_CONSUMER_Company2490_VALUE" hidden="1">"c19218"</definedName>
    <definedName name="IQ_HOLDINGS_ENERGY_PERCENT" hidden="1">"c19215"</definedName>
    <definedName name="IQ_HOLDINGS_ENERGY_VALUE" hidden="1">"c19214"</definedName>
    <definedName name="IQ_HOLDINGS_EUROPE_PERCENT" hidden="1">"c19229"</definedName>
    <definedName name="IQ_HOLDINGS_EUROPE_VALUE" hidden="1">"c19228"</definedName>
    <definedName name="IQ_HOLDINGS_FINANCIALS_PERCENT" hidden="1">"c19209"</definedName>
    <definedName name="IQ_HOLDINGS_FINANCIALS_VALUE" hidden="1">"c19208"</definedName>
    <definedName name="IQ_HOLDINGS_HEALTHCARE_PERCENT" hidden="1">"c19211"</definedName>
    <definedName name="IQ_HOLDINGS_HEALTHCARE_VALUE" hidden="1">"c19210"</definedName>
    <definedName name="IQ_HOLDINGS_INDUSTRIALS_PERCENT" hidden="1">"c19217"</definedName>
    <definedName name="IQ_HOLDINGS_INDUSTRIALS_VALUE" hidden="1">"c19216"</definedName>
    <definedName name="IQ_HOLDINGS_IT_PERCENT" hidden="1">"c19207"</definedName>
    <definedName name="IQ_HOLDINGS_IT_VALUE" hidden="1">"c19206"</definedName>
    <definedName name="IQ_HOLDINGS_LATIN_CARIBBEAN_PERCENT" hidden="1">"c19231"</definedName>
    <definedName name="IQ_HOLDINGS_LATIN_CARIBBEAN_VALUE" hidden="1">"c19230"</definedName>
    <definedName name="IQ_HOLDINGS_MATERIALS_PERCENT" hidden="1">"c19223"</definedName>
    <definedName name="IQ_HOLDINGS_MATERIALS_VALUE" hidden="1">"c19222"</definedName>
    <definedName name="IQ_HOLDINGS_TELECOMM_PERCENT" hidden="1">"c19221"</definedName>
    <definedName name="IQ_HOLDINGS_TELECOMM_VALUE" hidden="1">"c19220"</definedName>
    <definedName name="IQ_HOLDINGS_US_CANADA_PERCENT" hidden="1">"c19227"</definedName>
    <definedName name="IQ_HOLDINGS_US_CANADA_VALUE" hidden="1">"c19226"</definedName>
    <definedName name="IQ_HOLDINGS_UTILITIES_PERCENT" hidden="1">"c19225"</definedName>
    <definedName name="IQ_HOLDINGS_UTILITIES_VALUE" hidden="1">"c19224"</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ANCELLATION_RATE" hidden="1">"c16192"</definedName>
    <definedName name="IQ_HOME_CANCELLATION_RATE_INCL_JV" hidden="1">"c16194"</definedName>
    <definedName name="IQ_HOME_CANCELLATION_RATE_JV" hidden="1">"c16193"</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BUILDING_COGS_SALES" hidden="1">"c15813"</definedName>
    <definedName name="IQ_HOMEBUILDING_INV_TURN" hidden="1">"c15819"</definedName>
    <definedName name="IQ_HOMEBUILDING_TURN" hidden="1">"c15820"</definedName>
    <definedName name="IQ_HOMEOWNERS_WRITTEN" hidden="1">"c546"</definedName>
    <definedName name="IQ_HOTEL_OPERATING_EXPENSE" hidden="1">"c16042"</definedName>
    <definedName name="IQ_HOTEL_OPERATING_REVENUE" hidden="1">"c16026"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UNUSED" hidden="1">"c7542"</definedName>
    <definedName name="IQ_HOUSING_COMPLETIONS_SINGLE_FAM_FC_UNUSED" hidden="1">"c7762"</definedName>
    <definedName name="IQ_HOUSING_COMPLETIONS_SINGLE_FAM_POP_FC_UNUSED" hidden="1">"c7982"</definedName>
    <definedName name="IQ_HOUSING_COMPLETIONS_SINGLE_FAM_POP_UNUSED" hidden="1">"c7102"</definedName>
    <definedName name="IQ_HOUSING_COMPLETIONS_SINGLE_FAM_UNUSED" hidden="1">"c6882"</definedName>
    <definedName name="IQ_HOUSING_COMPLETIONS_SINGLE_FAM_YOY_FC_UNUSED" hidden="1">"c8202"</definedName>
    <definedName name="IQ_HOUSING_COMPLETIONS_SINGLE_FAM_YOY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HYBRID_CAPITAL" hidden="1">"c15245"</definedName>
    <definedName name="IQ_HYBRID_STRUCTURED_PRODUCTS_AFS_AMORT_COST_FFIEC" hidden="1">"c20502"</definedName>
    <definedName name="IQ_HYBRID_STRUCTURED_PRODUCTS_AFS_FAIR_VAL_FFIEC" hidden="1">"c20467"</definedName>
    <definedName name="IQ_HYBRID_STRUCTURED_PRODUCTS_AVAIL_SALE_FFIEC" hidden="1">"c15265"</definedName>
    <definedName name="IQ_HYBRID_STRUCTURED_PRODUCTS_FFIEC" hidden="1">"c15262"</definedName>
    <definedName name="IQ_HYBRID_STRUCTURED_PRODUCTS_HTM_AMORT_COST_FFIEC" hidden="1">"c20450"</definedName>
    <definedName name="IQ_HYBRID_STRUCTURED_PRODUCTS_HTM_FAIR_VAL_FFIEC" hidden="1">"c20485"</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CT_UNRECOG_TAX_BENEFIT_EFFECTIVE_TAX" hidden="1">"c15748"</definedName>
    <definedName name="IQ_IMPAIR_OIL" hidden="1">"c547"</definedName>
    <definedName name="IQ_IMPAIRED_LOANS" hidden="1">"c15250"</definedName>
    <definedName name="IQ_IMPAIRMENT_GW" hidden="1">"c548"</definedName>
    <definedName name="IQ_IMPAIRMENT_GW_SUPPLE" hidden="1">"c13811"</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UNUSED" hidden="1">"c7643"</definedName>
    <definedName name="IQ_IMPORTS_GOODS_REAL_SAAR_FC_UNUSED" hidden="1">"c7863"</definedName>
    <definedName name="IQ_IMPORTS_GOODS_REAL_SAAR_POP_FC_UNUSED" hidden="1">"c8083"</definedName>
    <definedName name="IQ_IMPORTS_GOODS_REAL_SAAR_POP_UNUSED" hidden="1">"c7203"</definedName>
    <definedName name="IQ_IMPORTS_GOODS_REAL_SAAR_UNUSED" hidden="1">"c6983"</definedName>
    <definedName name="IQ_IMPORTS_GOODS_REAL_SAAR_YOY_FC_UNUSED" hidden="1">"c8303"</definedName>
    <definedName name="IQ_IMPORTS_GOODS_REAL_SAAR_YOY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UNUSED" hidden="1">"c7549"</definedName>
    <definedName name="IQ_IMPORTS_GOODS_SERVICES_FC_UNUSED" hidden="1">"c7769"</definedName>
    <definedName name="IQ_IMPORTS_GOODS_SERVICES_POP_FC_UNUSED" hidden="1">"c7989"</definedName>
    <definedName name="IQ_IMPORTS_GOODS_SERVICES_POP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UNUSED" hidden="1">"c7644"</definedName>
    <definedName name="IQ_IMPORTS_GOODS_SERVICES_REAL_SAAR_FC_UNUSED" hidden="1">"c7864"</definedName>
    <definedName name="IQ_IMPORTS_GOODS_SERVICES_REAL_SAAR_POP" hidden="1">"c11959"</definedName>
    <definedName name="IQ_IMPORTS_GOODS_SERVICES_REAL_SAAR_POP_FC_UNUSED" hidden="1">"c8084"</definedName>
    <definedName name="IQ_IMPORTS_GOODS_SERVICES_REAL_SAAR_POP_UNUSED" hidden="1">"c7204"</definedName>
    <definedName name="IQ_IMPORTS_GOODS_SERVICES_REAL_SAAR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_FOREIGN_FFIEC" hidden="1">"c15391"</definedName>
    <definedName name="IQ_INCOME_TAXES_FDIC" hidden="1">"c6582"</definedName>
    <definedName name="IQ_INCOME_TAXES_FFIEC" hidden="1">"c13030"</definedName>
    <definedName name="IQ_INCREASE_INT_INCOME_FFIEC" hidden="1">"c13063"</definedName>
    <definedName name="IQ_INDEX_CURRENCY" hidden="1">"c15224"</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PROVIDED_DIVIDEND" hidden="1">"c19252"</definedName>
    <definedName name="IQ_INDEX_SHARES" hidden="1">"c19193"</definedName>
    <definedName name="IQ_INDEX_TYPE" hidden="1">"c15223"</definedName>
    <definedName name="IQ_INDEXCONSTITUENT_CLOSEPRICE" hidden="1">"c19241"</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PERSON0813" hidden="1">"c9291"</definedName>
    <definedName name="IQ_INDICATED_ATTRIB_ORE_RESOURCES_PLAT" hidden="1">"c9129"</definedName>
    <definedName name="IQ_INDICATED_ATTRIB_ORE_RESOURCES_SILVER" hidden="1">"c9076"</definedName>
    <definedName name="IQ_INDICATED_ATTRIB_ORE_RESOURCES_PRODUCT0419" hidden="1">"c9556"</definedName>
    <definedName name="IQ_INDICATED_ATTRIB_ORE_RESOURCES_URAN" hidden="1">"c9609"</definedName>
    <definedName name="IQ_INDICATED_ATTRIB_ORE_RESOURCES_Company3050"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PERSON0813" hidden="1">"c9277"</definedName>
    <definedName name="IQ_INDICATED_ORE_RESOURCES_PLAT" hidden="1">"c9115"</definedName>
    <definedName name="IQ_INDICATED_ORE_RESOURCES_SILVER" hidden="1">"c9062"</definedName>
    <definedName name="IQ_INDICATED_ORE_RESOURCES_PRODUCT0419" hidden="1">"c9542"</definedName>
    <definedName name="IQ_INDICATED_ORE_RESOURCES_URAN" hidden="1">"c9595"</definedName>
    <definedName name="IQ_INDICATED_ORE_RESOURCES_Company3050"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PERSON0813"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PRODUCT0419" hidden="1">"c9561"</definedName>
    <definedName name="IQ_INDICATED_RECOV_ATTRIB_RESOURCES_URAN" hidden="1">"c9614"</definedName>
    <definedName name="IQ_INDICATED_RECOV_ATTRIB_RESOURCES_Company3050"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PERSON0813"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PRODUCT0419" hidden="1">"c9551"</definedName>
    <definedName name="IQ_INDICATED_RECOV_RESOURCES_URAN" hidden="1">"c9604"</definedName>
    <definedName name="IQ_INDICATED_RECOV_RESOURCES_Company3050"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PERSON0813" hidden="1">"c9278"</definedName>
    <definedName name="IQ_INDICATED_RESOURCES_GRADE_PLAT" hidden="1">"c9116"</definedName>
    <definedName name="IQ_INDICATED_RESOURCES_GRADE_SILVER" hidden="1">"c9063"</definedName>
    <definedName name="IQ_INDICATED_RESOURCES_GRADE_PRODUCT0419" hidden="1">"c9543"</definedName>
    <definedName name="IQ_INDICATED_RESOURCES_GRADE_URAN" hidden="1">"c9596"</definedName>
    <definedName name="IQ_INDICATED_RESOURCES_GRADE_Company3050" hidden="1">"c9331"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LL_OTHER_COMP" hidden="1">"c19040"</definedName>
    <definedName name="IQ_INDIVIDUAL_ANNUAL_CASH_COMP" hidden="1">"c19041"</definedName>
    <definedName name="IQ_INDIVIDUAL_AS_REPORTED_COMP" hidden="1">"c19045"</definedName>
    <definedName name="IQ_INDIVIDUAL_AS_REPORTED_DIRECTOR_COMP" hidden="1">"c19057"</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BONUS" hidden="1">"c19036"</definedName>
    <definedName name="IQ_INDIVIDUAL_CALCULATED_COMP" hidden="1">"c19043"</definedName>
    <definedName name="IQ_INDIVIDUAL_CHANGE_PENSION" hidden="1">"c19058"</definedName>
    <definedName name="IQ_INDIVIDUAL_DIRECT_FAX" hidden="1">"c15189"</definedName>
    <definedName name="IQ_INDIVIDUAL_DIRECT_PHONE" hidden="1">"c15188"</definedName>
    <definedName name="IQ_INDIVIDUAL_DIRECTOR_BONUS" hidden="1">"c19052"</definedName>
    <definedName name="IQ_INDIVIDUAL_DIRECTOR_CHANGE_PENSION" hidden="1">"c19053"</definedName>
    <definedName name="IQ_INDIVIDUAL_DIRECTOR_FEE" hidden="1">"c19049"</definedName>
    <definedName name="IQ_INDIVIDUAL_DIRECTOR_NON_EQUITY_COMP" hidden="1">"c19054"</definedName>
    <definedName name="IQ_INDIVIDUAL_DIRECTOR_OPTION_AWARDS" hidden="1">"c19050"</definedName>
    <definedName name="IQ_INDIVIDUAL_DIRECTOR_OTHER" hidden="1">"c19051"</definedName>
    <definedName name="IQ_INDIVIDUAL_DIRECTOR_STOCK_AWARDS" hidden="1">"c19055"</definedName>
    <definedName name="IQ_INDIVIDUAL_DIRECTOR_STOCK_GRANTS" hidden="1">"c19082"</definedName>
    <definedName name="IQ_INDIVIDUAL_DIRECTOR_STOCK_OPTIONS" hidden="1">"c19056"</definedName>
    <definedName name="IQ_INDIVIDUAL_EDUCATION" hidden="1">"c15203"</definedName>
    <definedName name="IQ_INDIVIDUAL_EMAIL" hidden="1">"c15193"</definedName>
    <definedName name="IQ_INDIVIDUAL_EQUITY_INCENTIVE" hidden="1">"c19078"</definedName>
    <definedName name="IQ_INDIVIDUAL_EST_PAYMENTS_CHANGE_CONTROL" hidden="1">"c19047"</definedName>
    <definedName name="IQ_INDIVIDUAL_EST_PAYMENTS_TERMINATION" hidden="1">"c19059"</definedName>
    <definedName name="IQ_INDIVIDUAL_EXERCISABLE_OPTIONS" hidden="1">"c19062"</definedName>
    <definedName name="IQ_INDIVIDUAL_EXERCISABLE_VALUES" hidden="1">"c19063"</definedName>
    <definedName name="IQ_INDIVIDUAL_EXERCISED_OPTIONS" hidden="1">"c19060"</definedName>
    <definedName name="IQ_INDIVIDUAL_EXERCISED_VALUES" hidden="1">"c19061"</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LT_INCENTIVE" hidden="1">"c19039"</definedName>
    <definedName name="IQ_INDIVIDUAL_MAIN_FAX" hidden="1">"c15187"</definedName>
    <definedName name="IQ_INDIVIDUAL_MAIN_PHONE" hidden="1">"c15186"</definedName>
    <definedName name="IQ_INDIVIDUAL_MARKET_VALUE_SHARES_NOT_VESTED" hidden="1">"c19077"</definedName>
    <definedName name="IQ_INDIVIDUAL_MOBILE" hidden="1">"c15198"</definedName>
    <definedName name="IQ_INDIVIDUAL_NICKNAME" hidden="1">"c15192"</definedName>
    <definedName name="IQ_INDIVIDUAL_NON_EQUITY_INCENTIVE" hidden="1">"c19048"</definedName>
    <definedName name="IQ_INDIVIDUAL_NOTES" hidden="1">"c15204"</definedName>
    <definedName name="IQ_INDIVIDUAL_NUM_SHARED_NOT_VESTED" hidden="1">"c19076"</definedName>
    <definedName name="IQ_INDIVIDUAL_NUM_SHARES_ACQUIRED" hidden="1">"c19074"</definedName>
    <definedName name="IQ_INDIVIDUAL_OFFICE_ADDRESS" hidden="1">"c15185"</definedName>
    <definedName name="IQ_INDIVIDUAL_OPTION_AWARDS" hidden="1">"c19044"</definedName>
    <definedName name="IQ_INDIVIDUAL_OPTION_MARKET_PRICE" hidden="1">"c19073"</definedName>
    <definedName name="IQ_INDIVIDUAL_OPTION_PRICE" hidden="1">"c19072"</definedName>
    <definedName name="IQ_INDIVIDUAL_OTHER_ANNUAL_COMP" hidden="1">"c19037"</definedName>
    <definedName name="IQ_INDIVIDUAL_OTHER_COMP" hidden="1">"c19046"</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RESTRICTED_STOCK_COMP" hidden="1">"c19038"</definedName>
    <definedName name="IQ_INDIVIDUAL_SALARY" hidden="1">"c19035"</definedName>
    <definedName name="IQ_INDIVIDUAL_SPECIALTY" hidden="1">"c15190"</definedName>
    <definedName name="IQ_INDIVIDUAL_ST_COMP" hidden="1">"c19042"</definedName>
    <definedName name="IQ_INDIVIDUAL_TITLE" hidden="1">"c15183"</definedName>
    <definedName name="IQ_INDIVIDUAL_TOTAL_NUM_STOCK_AWARDS" hidden="1">"c19081"</definedName>
    <definedName name="IQ_INDIVIDUAL_TOTAL_OPTIONS" hidden="1">"c19070"</definedName>
    <definedName name="IQ_INDIVIDUAL_TOTAL_STOCK_VALUE" hidden="1">"c19080"</definedName>
    <definedName name="IQ_INDIVIDUAL_TOTAL_VALUE_OPTIONS" hidden="1">"c19071"</definedName>
    <definedName name="IQ_INDIVIDUAL_UNCLASSIFIED_OPTIONS" hidden="1">"c19066"</definedName>
    <definedName name="IQ_INDIVIDUAL_UNCLASSIFIED_OPTIONS_VALUE" hidden="1">"c19067"</definedName>
    <definedName name="IQ_INDIVIDUAL_UNEARNED_STOCK_VALUE" hidden="1">"c19079"</definedName>
    <definedName name="IQ_INDIVIDUAL_UNEXERCISABLE_OPTIONS" hidden="1">"c19064"</definedName>
    <definedName name="IQ_INDIVIDUAL_UNEXERCISABLE_VALUES" hidden="1">"c19065"</definedName>
    <definedName name="IQ_INDIVIDUAL_UNEXERCISED_UNEARNED_OPTIONS" hidden="1">"c19068"</definedName>
    <definedName name="IQ_INDIVIDUAL_UNEXERCISED_UNEARNED_OPTIONS_VALUE" hidden="1">"c19069"</definedName>
    <definedName name="IQ_INDIVIDUAL_VALUE_VESTING" hidden="1">"c19075"</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PERSON0813" hidden="1">"c9293"</definedName>
    <definedName name="IQ_INFERRED_ATTRIB_ORE_RESOURCES_PLAT" hidden="1">"c9131"</definedName>
    <definedName name="IQ_INFERRED_ATTRIB_ORE_RESOURCES_SILVER" hidden="1">"c9078"</definedName>
    <definedName name="IQ_INFERRED_ATTRIB_ORE_RESOURCES_PRODUCT0419" hidden="1">"c9558"</definedName>
    <definedName name="IQ_INFERRED_ATTRIB_ORE_RESOURCES_URAN" hidden="1">"c9611"</definedName>
    <definedName name="IQ_INFERRED_ATTRIB_ORE_RESOURCES_Company3050"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PERSON0813" hidden="1">"c9281"</definedName>
    <definedName name="IQ_INFERRED_ORE_RESOURCES_PLAT" hidden="1">"c9119"</definedName>
    <definedName name="IQ_INFERRED_ORE_RESOURCES_SILVER" hidden="1">"c9066"</definedName>
    <definedName name="IQ_INFERRED_ORE_RESOURCES_PRODUCT0419" hidden="1">"c9546"</definedName>
    <definedName name="IQ_INFERRED_ORE_RESOURCES_URAN" hidden="1">"c9599"</definedName>
    <definedName name="IQ_INFERRED_ORE_RESOURCES_Company3050"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PERSON0813"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PRODUCT0419" hidden="1">"c9563"</definedName>
    <definedName name="IQ_INFERRED_RECOV_ATTRIB_RESOURCES_URAN" hidden="1">"c9616"</definedName>
    <definedName name="IQ_INFERRED_RECOV_ATTRIB_RESOURCES_Company3050"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PERSON0813"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PRODUCT0419" hidden="1">"c9553"</definedName>
    <definedName name="IQ_INFERRED_RECOV_RESOURCES_URAN" hidden="1">"c9606"</definedName>
    <definedName name="IQ_INFERRED_RECOV_RESOURCES_Company3050"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PERSON0813" hidden="1">"c9282"</definedName>
    <definedName name="IQ_INFERRED_RESOURCES_GRADE_PLAT" hidden="1">"c9120"</definedName>
    <definedName name="IQ_INFERRED_RESOURCES_GRADE_SILVER" hidden="1">"c9067"</definedName>
    <definedName name="IQ_INFERRED_RESOURCES_GRADE_PRODUCT0419" hidden="1">"c9547"</definedName>
    <definedName name="IQ_INFERRED_RESOURCES_GRADE_URAN" hidden="1">"c9600"</definedName>
    <definedName name="IQ_INFERRED_RESOURCES_GRADE_Company3050"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ITIAL_TRANSACTION" hidden="1">"c18885"</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CIQID" hidden="1">"c19101"</definedName>
    <definedName name="IQ_INSIDER_DERIVATIVES" hidden="1">"c19102"</definedName>
    <definedName name="IQ_INSIDER_LOANS_FDIC" hidden="1">"c6365"</definedName>
    <definedName name="IQ_INSIDER_NAME" hidden="1">"c19100"</definedName>
    <definedName name="IQ_INSIDER_OVER_TOTAL" hidden="1">"c1581"</definedName>
    <definedName name="IQ_INSIDER_OWNER" hidden="1">"c577"</definedName>
    <definedName name="IQ_INSIDER_PERCENT" hidden="1">"c578"</definedName>
    <definedName name="IQ_INSIDER_POSITION_DATE" hidden="1">"c19104"</definedName>
    <definedName name="IQ_INSIDER_SHARES" hidden="1">"c579"</definedName>
    <definedName name="IQ_INSIDER_VALUE" hidden="1">"c19103"</definedName>
    <definedName name="IQ_INST_DEPOSITS" hidden="1">"c89"</definedName>
    <definedName name="IQ_INSTITUTIONAL_CIQID" hidden="1">"c19106"</definedName>
    <definedName name="IQ_INSTITUTIONAL_DERIVATIVES" hidden="1">"c19107"</definedName>
    <definedName name="IQ_INSTITUTIONAL_NAME" hidden="1">"c19105"</definedName>
    <definedName name="IQ_INSTITUTIONAL_OVER_TOTAL" hidden="1">"c1580"</definedName>
    <definedName name="IQ_INSTITUTIONAL_OWNER" hidden="1">"c580"</definedName>
    <definedName name="IQ_INSTITUTIONAL_PERCENT" hidden="1">"c581"</definedName>
    <definedName name="IQ_INSTITUTIONAL_POSITION_DATE" hidden="1">"c19109"</definedName>
    <definedName name="IQ_INSTITUTIONAL_SHARES" hidden="1">"c582"</definedName>
    <definedName name="IQ_INSTITUTIONAL_VALUE" hidden="1">"c19108"</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EXPENSE_AVG_ASSET" hidden="1">"c15705"</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RE_LOANS_DOM_FFIEC" hidden="1">"c15353"</definedName>
    <definedName name="IQ_INT_FEE_INC_SECURED_RE_DOM_FFIEC" hidden="1">"c12977"</definedName>
    <definedName name="IQ_INT_FEE_INC_TAX_EXEMPT_OBLIGATIONS_DOM_FFIEC" hidden="1">"c15362"</definedName>
    <definedName name="IQ_INT_FEE_INC_TAXABLE_OBLIGATIONS_DOM_FFIEC" hidden="1">"c15361"</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AVG_ASSET" hidden="1">"c15704"</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AVINGS_DEPOSITS_MMDA_DOM_FFIEC" hidden="1">"c15364"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_TRANSACTION_ACCOUNTS_DOM_FFIEC" hidden="1">"c15363"</definedName>
    <definedName name="IQ_INTANGIBLES_NET" hidden="1">"c1407"</definedName>
    <definedName name="IQ_INTERBANK_RATIO" hidden="1">"c19134"</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PENALTIES_RECOG_BS_AFTER_TAX" hidden="1">"c15745"</definedName>
    <definedName name="IQ_INTEREST_PENALTIES_RECOG_BS_PRE_TAX" hidden="1">"c15744"</definedName>
    <definedName name="IQ_INTEREST_PENALTIES_RECOG_IS_AFTER_TAX" hidden="1">"c15743"</definedName>
    <definedName name="IQ_INTEREST_PENALTIES_RECOG_IS_PRE_TAX" hidden="1">"c15742"</definedName>
    <definedName name="IQ_INTEREST_RATE_CONTRACTS_FDIC" hidden="1">"c6512"</definedName>
    <definedName name="IQ_INTEREST_RATE_EXPOSURES_FDIC" hidden="1">"c6662"</definedName>
    <definedName name="IQ_INTERNAL_ALLOCATIONS_INC_EXP_FOREIGN_FFIEC" hidden="1">"c15394"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 hidden="1">"c15220"</definedName>
    <definedName name="IQ_INV_REL_NAME" hidden="1">"c15219"</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CRITERIA_EBITDA_MAX" hidden="1">"c18907"</definedName>
    <definedName name="IQ_INVEST_CRITERIA_EBITDA_MIN" hidden="1">"c18906"</definedName>
    <definedName name="IQ_INVEST_CRITERIA_EQUITY_MAX" hidden="1">"c18901"</definedName>
    <definedName name="IQ_INVEST_CRITERIA_EQUITY_MIN" hidden="1">"c18900"</definedName>
    <definedName name="IQ_INVEST_CRITERIA_EV_MAX" hidden="1">"c18903"</definedName>
    <definedName name="IQ_INVEST_CRITERIA_EV_MIN" hidden="1">"c18902"</definedName>
    <definedName name="IQ_INVEST_CRITERIA_GEOGRAPHY" hidden="1">"c18898"</definedName>
    <definedName name="IQ_INVEST_CRITERIA_INDUSTRY" hidden="1">"c18897"</definedName>
    <definedName name="IQ_INVEST_CRITERIA_STAGES" hidden="1">"c18899"</definedName>
    <definedName name="IQ_INVEST_CRITERIA_TOT_REV_MAX" hidden="1">"c18905"</definedName>
    <definedName name="IQ_INVEST_CRITERIA_TOT_REV_MIN" hidden="1">"c18904"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ADVISOR" hidden="1">"c19236"</definedName>
    <definedName name="IQ_INVESTMENT_ADVISOR_ID" hidden="1">"c19237"</definedName>
    <definedName name="IQ_INVESTMENT_ADVISOR_PRIMARY" hidden="1">"c19239"</definedName>
    <definedName name="IQ_INVESTMENT_ADVISOR_PRIMARY_ID" hidden="1">"c19240"</definedName>
    <definedName name="IQ_INVESTMENT_ADVISOR_REL" hidden="1">"c19238"</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NVESTMENT_PARTNERSHIP" hidden="1">"c16072"</definedName>
    <definedName name="IQ_INVESTMENTS_ALL" hidden="1">"c18891"</definedName>
    <definedName name="IQ_INVESTMENTS_ALL_COVER" hidden="1">"c19112"</definedName>
    <definedName name="IQ_INVESTMENTS_ALL_ID" hidden="1">"c18892"</definedName>
    <definedName name="IQ_INVESTMENTS_ALL_REL" hidden="1">"c18894"</definedName>
    <definedName name="IQ_INVESTMENTS_ALL_STAKE" hidden="1">"c18893"</definedName>
    <definedName name="IQ_INVESTMENTS_CURR" hidden="1">"c18881"</definedName>
    <definedName name="IQ_INVESTMENTS_CURR_COVER" hidden="1">"c19110"</definedName>
    <definedName name="IQ_INVESTMENTS_CURR_ID" hidden="1">"c18882"</definedName>
    <definedName name="IQ_INVESTMENTS_CURR_REL" hidden="1">"c18884"</definedName>
    <definedName name="IQ_INVESTMENTS_CURR_STAKE" hidden="1">"c18883"</definedName>
    <definedName name="IQ_INVESTMENTS_LP" hidden="1">"c18912"</definedName>
    <definedName name="IQ_INVESTMENTS_LP_ID" hidden="1">"c18913"</definedName>
    <definedName name="IQ_INVESTMENTS_LP_REL" hidden="1">"c18914"</definedName>
    <definedName name="IQ_INVESTMENTS_PENDING" hidden="1">"c18887"</definedName>
    <definedName name="IQ_INVESTMENTS_PENDING_COVER" hidden="1">"c19111"</definedName>
    <definedName name="IQ_INVESTMENTS_PENDING_ID" hidden="1">"c18888"</definedName>
    <definedName name="IQ_INVESTMENTS_PENDING_REL" hidden="1">"c18890"</definedName>
    <definedName name="IQ_INVESTMENTS_PENDING_STAKE" hidden="1">"c18889"</definedName>
    <definedName name="IQ_INVESTMENTS_PRIOR" hidden="1">"c18895"</definedName>
    <definedName name="IQ_INVESTMENTS_PRIOR_ID" hidden="1">"c18896"</definedName>
    <definedName name="IQ_IPRD" hidden="1">"c644"</definedName>
    <definedName name="IQ_IPRD_SUPPLE" hidden="1">"c13813"</definedName>
    <definedName name="IQ_IRA_Person0564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UNUSED" hidden="1">"c7563"</definedName>
    <definedName name="IQ_ISM_SERVICES_FC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UNUSED" hidden="1">"c7123"</definedName>
    <definedName name="IQ_ISM_SERVICES_UNUSED" hidden="1">"c6903"</definedName>
    <definedName name="IQ_ISM_SERVICES_YOY_FC_UNUSED" hidden="1">"c8223"</definedName>
    <definedName name="IQ_ISM_SERVICES_YOY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ND" hidden="1">"c645"</definedName>
    <definedName name="IQ_LAND_MINERAL_RIGHTS_TO_PPE_GROSS_COAL" hidden="1">"c15949"</definedName>
    <definedName name="IQ_LAND_MINERAL_RIGHTS_TO_PPE_NET_COAL" hidden="1">"c15950"</definedName>
    <definedName name="IQ_LANDS_MINERAL_RIGHTS_GROSS_COAL" hidden="1">"c15938"</definedName>
    <definedName name="IQ_LANDS_MINERAL_RIGHTS_NET_COAL" hidden="1">"c15939"</definedName>
    <definedName name="IQ_LAPSE_STATUTE_LIMITATIONS" hidden="1">"c15738"</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_MONTHLY_FACTOR" hidden="1">"c8971"</definedName>
    <definedName name="IQ_LATEST_MONTHLY_FACTOR_DATE" hidden="1">"c8972"</definedName>
    <definedName name="IQ_LATEST_TRANSACTION" hidden="1">"c18886"</definedName>
    <definedName name="IQ_LATESTK" hidden="1">1000</definedName>
    <definedName name="IQ_LATESTQ" hidden="1">500</definedName>
    <definedName name="IQ_LEAD_UNDERWRITER" hidden="1">"c8957"</definedName>
    <definedName name="IQ_LEASE_EXPENSE" hidden="1">"c16039"</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ASE_PMT_REC_AFTER_FIVE" hidden="1">"c16099"</definedName>
    <definedName name="IQ_LEASE_PMT_REC_CY" hidden="1">"c16093"</definedName>
    <definedName name="IQ_LEASE_PMT_REC_CY1" hidden="1">"c16094"</definedName>
    <definedName name="IQ_LEASE_PMT_REC_CY2" hidden="1">"c16095"</definedName>
    <definedName name="IQ_LEASE_PMT_REC_CY3" hidden="1">"c16096"</definedName>
    <definedName name="IQ_LEASE_PMT_REC_CY4" hidden="1">"c16097"</definedName>
    <definedName name="IQ_LEASE_PMT_REC_NEXT_FIVE" hidden="1">"c16098"</definedName>
    <definedName name="IQ_LEASE_PMT_REC_TOTAL" hidden="1">"c16100"</definedName>
    <definedName name="IQ_LEASE_RECEIVABLES_FOREIGN_FFIEC" hidden="1">"c13483"</definedName>
    <definedName name="IQ_LEASE_REVENUE" hidden="1">"c16023"</definedName>
    <definedName name="IQ_LEASE_TERMINATION_FEES" hidden="1">"c16182"</definedName>
    <definedName name="IQ_LEASED_RESERVES_COAL" hidden="1">"c15918"</definedName>
    <definedName name="IQ_LEASED_RESERVES_TO_TOTAL_RESERVES_COAL" hidden="1">"c15958"</definedName>
    <definedName name="IQ_LEASEHOLD_IMPROVEMENT" hidden="1">"c17549"</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CENSED_WIRELESS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MITED_PARTNERS" hidden="1">"c18915"</definedName>
    <definedName name="IQ_LIMITED_PARTNERS_ID" hidden="1">"c18916"</definedName>
    <definedName name="IQ_LIMITED_PARTNERS_REL" hidden="1">"c19114"</definedName>
    <definedName name="IQ_LINE_EXTENSIONS_CABLE_INVEST" hidden="1">"c15803"</definedName>
    <definedName name="IQ_LIQUID_ASSETS_ASSETS_TOT_FFIEC" hidden="1">"c13439"</definedName>
    <definedName name="IQ_LIQUID_ASSETS_NONCORE_FUNDING_FFIEC" hidden="1">"c13339"</definedName>
    <definedName name="IQ_LIQUIDATION_VALUE_PREFERRED_CONVERT" hidden="1">"c13835"</definedName>
    <definedName name="IQ_LIQUIDATION_VALUE_PREFERRED_NON_REDEEM" hidden="1">"c13836"</definedName>
    <definedName name="IQ_LIQUIDATION_VALUE_PREFERRED_REDEEM" hidden="1">"c13837"</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_PERF_ASSETS_FFIEC" hidden="1">"c13912"</definedName>
    <definedName name="IQ_LOAN_LOSS_ALLOWANCE_NONCURRENT_LOANS_FDIC" hidden="1">"c6740"</definedName>
    <definedName name="IQ_LOAN_LOSS_PROVISION_FOREIGN_FFIEC" hidden="1">"c15382"</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Company1190_FAIR_VALUE_TOT_FFIEC" hidden="1">"c15400"</definedName>
    <definedName name="IQ_LOANS_LEASES_Company1190_LEVEL_1_FFIEC" hidden="1">"c15422"</definedName>
    <definedName name="IQ_LOANS_LEASES_Company1190_LEVEL_2_FFIEC" hidden="1">"c15435"</definedName>
    <definedName name="IQ_LOANS_LEASES_Company1190_LEVEL_3_FFIEC" hidden="1">"c15448"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SULFUR_CONTENT_RESERVES_COAL" hidden="1">"c15924"</definedName>
    <definedName name="IQ_LOW_SULFURE_RESERVES_TO_TOTAL_RESERVES_COAL" hidden="1">"c15961"</definedName>
    <definedName name="IQ_LOW_TARGET_PRICE" hidden="1">"c1652"</definedName>
    <definedName name="IQ_LOW_TARGET_PRICE_CIQ" hidden="1">"c4660"</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_CIQ" hidden="1">"c4987"</definedName>
    <definedName name="IQ_MAINT_CAPEX_ACT_OR_EST_CIQ_COL" hidden="1">"c11634"</definedName>
    <definedName name="IQ_MAINT_CAPEX_GUIDANCE_CIQ" hidden="1">"c4988"</definedName>
    <definedName name="IQ_MAINT_CAPEX_GUIDANCE_CIQ_COL" hidden="1">"c11635"</definedName>
    <definedName name="IQ_MAINT_CAPEX_HIGH_GUIDANCE_CIQ" hidden="1">"c4609"</definedName>
    <definedName name="IQ_MAINT_CAPEX_HIGH_GUIDANCE_CIQ_COL" hidden="1">"c11258"</definedName>
    <definedName name="IQ_MAINT_CAPEX_LOW_GUIDANCE_CIQ" hidden="1">"c4649"</definedName>
    <definedName name="IQ_MAINT_CAPEX_LOW_GUIDANCE_CIQ_COL" hidden="1">"c11298"</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RKETING_PRODUCT0315_EXPENSE" hidden="1">"c16035"</definedName>
    <definedName name="IQ_MATERIALS_SUPPLES_INVENTORY_COAL" hidden="1">"c15942"</definedName>
    <definedName name="IQ_MATURITY_DATE" hidden="1">"c2146"</definedName>
    <definedName name="IQ_MATURITY_ONE_YEAR_LESS_FDIC" hidden="1">"c6425"</definedName>
    <definedName name="IQ_MBS_INVEST_SECURITIES_FFIEC" hidden="1">"c13460"</definedName>
    <definedName name="IQ_MBS_OTHER_ISSUED_FNMA_HTM_AMORT_COST_FFIEC" hidden="1">"c20444"</definedName>
    <definedName name="IQ_MBS_OTHER_ISSUED_FNMA_HTM_FAIR_VAL_FFIEC" hidden="1">"c20479"</definedName>
    <definedName name="IQ_MBS_OTHER_ISSUED_FNMA_OTHERS_AFS_AMORT_COST_FFIEC" hidden="1">"c20496"</definedName>
    <definedName name="IQ_MBS_OTHER_ISSUED_FNMA_OTHERS_AFS_FAIR_VAL_FFIEC" hidden="1">"c20461"</definedName>
    <definedName name="IQ_MBS_OTHER_ISSUED_FNMA_OTHERS_AVAIL_SALE_FFIEC" hidden="1">"c12799"</definedName>
    <definedName name="IQ_MBS_OTHER_ISSUED_FNMA_OTHERS_FFIEC" hidden="1">"c12785"</definedName>
    <definedName name="IQ_MBS_PASS_THROUGH_FNMA_AFS_AMORT_COST_FFIEC" hidden="1">"c20494"</definedName>
    <definedName name="IQ_MBS_PASS_THROUGH_FNMA_AFS_FAIR_VAL_FFIEC" hidden="1">"c20459"</definedName>
    <definedName name="IQ_MBS_PASS_THROUGH_FNMA_AVAIL_SALE_FFIEC" hidden="1">"c12797"</definedName>
    <definedName name="IQ_MBS_PASS_THROUGH_FNMA_FFIEC" hidden="1">"c12783"</definedName>
    <definedName name="IQ_MBS_PASS_THROUGH_FNMA_HTM_AMORT_COST_FFIEC" hidden="1">"c20442"</definedName>
    <definedName name="IQ_MBS_PASS_THROUGH_FNMA_HTM_FAIR_VAL_FFIEC" hidden="1">"c20477"</definedName>
    <definedName name="IQ_MBS_PASS_THROUGH_GNMA_AFS_AMORT_COST_FFIEC" hidden="1">"c20493"</definedName>
    <definedName name="IQ_MBS_PASS_THROUGH_GNMA_AFS_FAIR_VAL_FFIEC" hidden="1">"c20458"</definedName>
    <definedName name="IQ_MBS_PASS_THROUGH_GNMA_AVAIL_SALE_FFIEC" hidden="1">"c12796"</definedName>
    <definedName name="IQ_MBS_PASS_THROUGH_GNMA_FFIEC" hidden="1">"c12782"</definedName>
    <definedName name="IQ_MBS_PASS_THROUGH_GNMA_HTM_AMORT_COST_FFIEC" hidden="1">"c20441"</definedName>
    <definedName name="IQ_MBS_PASS_THROUGH_GNMA_HTM_FAIR_VAL_FFIEC" hidden="1">"c20476"</definedName>
    <definedName name="IQ_MBS_PASS_THROUGH_ISSUED_FNMA_GNMA_TRADING_DOM_FFIEC" hidden="1">"c12921"</definedName>
    <definedName name="IQ_MBS_PASS_THROUGH_OTHER_AFS_AMORT_COST_FFIEC" hidden="1">"c20495"</definedName>
    <definedName name="IQ_MBS_PASS_THROUGH_OTHER_AFS_FAIR_VAL_FFIEC" hidden="1">"c20460"</definedName>
    <definedName name="IQ_MBS_PASS_THROUGH_OTHER_AVAIL_SALE_FFIEC" hidden="1">"c12798"</definedName>
    <definedName name="IQ_MBS_PASS_THROUGH_OTHER_FFIEC" hidden="1">"c12784"</definedName>
    <definedName name="IQ_MBS_PASS_THROUGH_OTHER_HTM_AMORT_COST_FFIEC" hidden="1">"c20443"</definedName>
    <definedName name="IQ_MBS_PASS_THROUGH_OTHER_HTM_FAIR_VAL_FFIEC" hidden="1">"c20478"</definedName>
    <definedName name="IQ_MBS_QUARTERLY_AVG_FFIEC" hidden="1">"c15471"</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COMMERCIAL_ASO_FEES" hidden="1">"c15862"</definedName>
    <definedName name="IQ_MC_COMMERCIAL_NON_RISK_MEMBERS" hidden="1">"c15835"</definedName>
    <definedName name="IQ_MC_COMMERCIAL_PREMIUMS" hidden="1">"c15852"</definedName>
    <definedName name="IQ_MC_DAYS_CLAIMS_PAYABLE" hidden="1">"c9937"</definedName>
    <definedName name="IQ_MC_DAYS_CLAIMS_PAYABLE_EXCL_CAPITATION" hidden="1">"c9938"</definedName>
    <definedName name="IQ_MC_DENTAL_MEMBERS" hidden="1">"c15832"</definedName>
    <definedName name="IQ_MC_DENTAL_PREMIUMS" hidden="1">"c15858"</definedName>
    <definedName name="IQ_MC_HMO_MEMBERS" hidden="1">"c15824"</definedName>
    <definedName name="IQ_MC_HMO_PREMIUMS" hidden="1">"c15850"</definedName>
    <definedName name="IQ_MC_INDEMNITY_MEMBERS" hidden="1">"c15825"</definedName>
    <definedName name="IQ_MC_INDEMNITY_PREMIUMS" hidden="1">"c15851"</definedName>
    <definedName name="IQ_MC_MEDICAID_ASO_FEES" hidden="1">"c15865"</definedName>
    <definedName name="IQ_MC_MEDICAID_MEMBERS" hidden="1">"c15830"</definedName>
    <definedName name="IQ_MC_MEDICAID_NON_RISK_MEMBERS" hidden="1">"c15838"</definedName>
    <definedName name="IQ_MC_MEDICAID_PREMIUMS" hidden="1">"c15856"</definedName>
    <definedName name="IQ_MC_MEDICAL_COST" hidden="1">"c15847"</definedName>
    <definedName name="IQ_MC_MEDICAL_COSTS_PMPM" hidden="1">"c9925"</definedName>
    <definedName name="IQ_MC_MEDICARE_ASO_FEES" hidden="1">"c15864"</definedName>
    <definedName name="IQ_MC_MEDICARE_MEMBERS" hidden="1">"c15828"</definedName>
    <definedName name="IQ_MC_MEDICARE_NON_RISK_MEMBERS" hidden="1">"c15837"</definedName>
    <definedName name="IQ_MC_MEDICARE_PART_D_MEMBERS" hidden="1">"c15829"</definedName>
    <definedName name="IQ_MC_MEDICARE_PART_D_PREMIUMS" hidden="1">"c15855"</definedName>
    <definedName name="IQ_MC_MEDICARE_PREMIUMS" hidden="1">"c15854"</definedName>
    <definedName name="IQ_MC_MILITARY_ASO_FEES" hidden="1">"c15863"</definedName>
    <definedName name="IQ_MC_MILITARY_MEMBERS" hidden="1">"c15827"</definedName>
    <definedName name="IQ_MC_MILITARY_NON_RISK_MEMBERS" hidden="1">"c15836"</definedName>
    <definedName name="IQ_MC_MILITARY_PREMIUMS" hidden="1">"c15853"</definedName>
    <definedName name="IQ_MC_NET_INVESTMENT_INCOME" hidden="1">"c15845"</definedName>
    <definedName name="IQ_MC_OTHER_REV" hidden="1">"c15846"</definedName>
    <definedName name="IQ_MC_PARENT_CASH" hidden="1">"c9942"</definedName>
    <definedName name="IQ_MC_PPO_POS_MEMBERS" hidden="1">"c15823"</definedName>
    <definedName name="IQ_MC_PPO_POS_PREMIUMS" hidden="1">"c15849"</definedName>
    <definedName name="IQ_MC_PREMIUMS" hidden="1">"c15861"</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PECIALTY_ASO_FEES" hidden="1">"c15867"</definedName>
    <definedName name="IQ_MC_SPECIALTY_NON_RISK_MEMBERS" hidden="1">"c15840"</definedName>
    <definedName name="IQ_MC_STATUTORY_SURPLUS" hidden="1">"c2772"</definedName>
    <definedName name="IQ_MC_TANGIBLE_EQUITY_MEDICAL_COST" hidden="1">"c15848"</definedName>
    <definedName name="IQ_MC_TANGIBLE_EQUITY_PER_MEMBER" hidden="1">"c15843"</definedName>
    <definedName name="IQ_MC_TOTAL_ASO_FEES" hidden="1">"c15868"</definedName>
    <definedName name="IQ_MC_TOTAL_COMMERCIAL_MEMBERS" hidden="1">"c15826"</definedName>
    <definedName name="IQ_MC_TOTAL_COVERED_LIVES" hidden="1">"c9919"</definedName>
    <definedName name="IQ_MC_TOTAL_EQUITY_PER_MEMBER" hidden="1">"c15842"</definedName>
    <definedName name="IQ_MC_TOTAL_GOVT_ASO_FEES" hidden="1">"c15866"</definedName>
    <definedName name="IQ_MC_TOTAL_GOVT_MEMBERS" hidden="1">"c15831"</definedName>
    <definedName name="IQ_MC_TOTAL_GOVT_NON_RISK_MEMBERS" hidden="1">"c15839"</definedName>
    <definedName name="IQ_MC_TOTAL_GOVT_PREMIUMS" hidden="1">"c15857"</definedName>
    <definedName name="IQ_MC_TOTAL_MEMBERSHIP" hidden="1">"c9922"</definedName>
    <definedName name="IQ_MC_TOTAL_MEMBERSHIP_CAPITATION" hidden="1">"c9923"</definedName>
    <definedName name="IQ_MC_TOTAL_OTHER_MEMBERS" hidden="1">"c15833"</definedName>
    <definedName name="IQ_MC_TOTAL_OTHER_PREMIUMS" hidden="1">"c15859"</definedName>
    <definedName name="IQ_MC_TOTAL_RESERVES_PER_MEMBER" hidden="1">"c15844"</definedName>
    <definedName name="IQ_MC_TOTAL_SEPCIALTY_MEMBERS" hidden="1">"c15834"</definedName>
    <definedName name="IQ_MC_TOTAL_SEPCIALTY_PREMIUMS" hidden="1">"c15860"</definedName>
    <definedName name="IQ_MC_TOTAL_STATUTORY_CAPITAL_SURPLUS_PER_MEMBER" hidden="1">"c15841"</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PERSON0813" hidden="1">"c9290"</definedName>
    <definedName name="IQ_MEASURED_ATTRIB_ORE_RESOURCES_PLAT" hidden="1">"c9128"</definedName>
    <definedName name="IQ_MEASURED_ATTRIB_ORE_RESOURCES_SILVER" hidden="1">"c9075"</definedName>
    <definedName name="IQ_MEASURED_ATTRIB_ORE_RESOURCES_PRODUCT0419" hidden="1">"c9555"</definedName>
    <definedName name="IQ_MEASURED_ATTRIB_ORE_RESOURCES_URAN" hidden="1">"c9608"</definedName>
    <definedName name="IQ_MEASURED_ATTRIB_ORE_RESOURCES_Company3050"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PERSON0813" hidden="1">"c9292"</definedName>
    <definedName name="IQ_MEASURED_INDICATED_ATTRIB_ORE_RESOURCES_PLAT" hidden="1">"c9130"</definedName>
    <definedName name="IQ_MEASURED_INDICATED_ATTRIB_ORE_RESOURCES_SILVER" hidden="1">"c9077"</definedName>
    <definedName name="IQ_MEASURED_INDICATED_ATTRIB_ORE_RESOURCES_PRODUCT0419" hidden="1">"c9557"</definedName>
    <definedName name="IQ_MEASURED_INDICATED_ATTRIB_ORE_RESOURCES_URAN" hidden="1">"c9610"</definedName>
    <definedName name="IQ_MEASURED_INDICATED_ATTRIB_ORE_RESOURCES_Company3050"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PERSON0813" hidden="1">"c9279"</definedName>
    <definedName name="IQ_MEASURED_INDICATED_ORE_RESOURCES_PLAT" hidden="1">"c9117"</definedName>
    <definedName name="IQ_MEASURED_INDICATED_ORE_RESOURCES_SILVER" hidden="1">"c9064"</definedName>
    <definedName name="IQ_MEASURED_INDICATED_ORE_RESOURCES_PRODUCT0419" hidden="1">"c9544"</definedName>
    <definedName name="IQ_MEASURED_INDICATED_ORE_RESOURCES_URAN" hidden="1">"c9597"</definedName>
    <definedName name="IQ_MEASURED_INDICATED_ORE_RESOURCES_Company3050"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PERSON0813"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PRODUCT0419" hidden="1">"c9552"</definedName>
    <definedName name="IQ_MEASURED_INDICATED_RECOV_RESOURCES_URAN" hidden="1">"c9605"</definedName>
    <definedName name="IQ_MEASURED_INDICATED_RECOV_RESOURCES_Company3050"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PERSON0813" hidden="1">"c9280"</definedName>
    <definedName name="IQ_MEASURED_INDICATED_RESOURCES_GRADE_PLAT" hidden="1">"c9118"</definedName>
    <definedName name="IQ_MEASURED_INDICATED_RESOURCES_GRADE_SILVER" hidden="1">"c9065"</definedName>
    <definedName name="IQ_MEASURED_INDICATED_RESOURCES_GRADE_PRODUCT0419" hidden="1">"c9545"</definedName>
    <definedName name="IQ_MEASURED_INDICATED_RESOURCES_GRADE_URAN" hidden="1">"c9598"</definedName>
    <definedName name="IQ_MEASURED_INDICATED_RESOURCES_GRADE_Company3050"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PERSON0813" hidden="1">"c9275"</definedName>
    <definedName name="IQ_MEASURED_ORE_RESOURCES_PLAT" hidden="1">"c9113"</definedName>
    <definedName name="IQ_MEASURED_ORE_RESOURCES_SILVER" hidden="1">"c9060"</definedName>
    <definedName name="IQ_MEASURED_ORE_RESOURCES_PRODUCT0419" hidden="1">"c9540"</definedName>
    <definedName name="IQ_MEASURED_ORE_RESOURCES_URAN" hidden="1">"c9593"</definedName>
    <definedName name="IQ_MEASURED_ORE_RESOURCES_Company3050"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PERSON0813"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PRODUCT0419" hidden="1">"c9560"</definedName>
    <definedName name="IQ_MEASURED_RECOV_ATTRIB_RESOURCES_URAN" hidden="1">"c9613"</definedName>
    <definedName name="IQ_MEASURED_RECOV_ATTRIB_RESOURCES_Company3050"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PERSON0813"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PRODUCT0419" hidden="1">"c9550"</definedName>
    <definedName name="IQ_MEASURED_RECOV_RESOURCES_URAN" hidden="1">"c9603"</definedName>
    <definedName name="IQ_MEASURED_RECOV_RESOURCES_Company3050"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PERSON0813" hidden="1">"c9276"</definedName>
    <definedName name="IQ_MEASURED_RESOURCES_GRADE_PLAT" hidden="1">"c9114"</definedName>
    <definedName name="IQ_MEASURED_RESOURCES_GRADE_SILVER" hidden="1">"c9061"</definedName>
    <definedName name="IQ_MEASURED_RESOURCES_GRADE_PRODUCT0419" hidden="1">"c9541"</definedName>
    <definedName name="IQ_MEASURED_RESOURCES_GRADE_URAN" hidden="1">"c9594"</definedName>
    <definedName name="IQ_MEASURED_RESOURCES_GRADE_Company3050" hidden="1">"c9329"</definedName>
    <definedName name="IQ_MEDIAN_NEW_HOME_SALES_APR_FC_UNUSED" hidden="1">"c8460"</definedName>
    <definedName name="IQ_MEDIAN_NEW_HOME_SALES_APR_UNUSED" hidden="1">"c7580"</definedName>
    <definedName name="IQ_MEDIAN_NEW_HOME_SALES_FC_UNUSED" hidden="1">"c7800"</definedName>
    <definedName name="IQ_MEDIAN_NEW_HOME_SALES_POP_FC_UNUSED" hidden="1">"c8020"</definedName>
    <definedName name="IQ_MEDIAN_NEW_HOME_SALES_POP_UNUSED" hidden="1">"c7140"</definedName>
    <definedName name="IQ_MEDIAN_NEW_HOME_SALES_UNUSED" hidden="1">"c6920"</definedName>
    <definedName name="IQ_MEDIAN_NEW_HOME_SALES_YOY_FC_UNUSED" hidden="1">"c8240"</definedName>
    <definedName name="IQ_MEDIAN_NEW_HOME_SALES_YOY_UNUSED" hidden="1">"c7360"</definedName>
    <definedName name="IQ_MEDIAN_TARGET_PRICE" hidden="1">"c1650"</definedName>
    <definedName name="IQ_MEDIAN_TARGET_PRICE_CIQ" hidden="1">"c4658"</definedName>
    <definedName name="IQ_MEDIUM_SULFUR_CONTENT_RESERVES_COAL" hidden="1">"c15926"</definedName>
    <definedName name="IQ_MEDIUM_SULFURE_RESERVES_TO_TOTAL_RESERVES_COAL" hidden="1">"c15962"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PERSON0813"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PRODUCT0419" hidden="1">"c9562"</definedName>
    <definedName name="IQ_MI_RECOV_ATTRIB_RESOURCES_URAN" hidden="1">"c9615"</definedName>
    <definedName name="IQ_MI_RECOV_ATTRIB_RESOURCES_Company3050"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LES_PASSED" hidden="1">"c2848"</definedName>
    <definedName name="IQ_MIN_USE_PER_SUB" hidden="1">"c15764"</definedName>
    <definedName name="IQ_MINE_DEVELOPMENT_GROSS_COAL" hidden="1">"c15940"</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NTUTES_USED_LOCAL" hidden="1">"c15808"</definedName>
    <definedName name="IQ_MINTUTES_USED_LONG_DIST" hidden="1">"c15809"</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NON_TRANS_ACCTS_FFIEC" hidden="1">"c15330"</definedName>
    <definedName name="IQ_MMDA_SAVINGS_TOT_DEPOSITS_FFIEC" hidden="1">"c13905"</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EY_MKT_DEPOSITS_TOTAL_DEPOSITS" hidden="1">"c15720"</definedName>
    <definedName name="IQ_MONEY_MKT_SAVINGS_ACCT_DEPOSITS_TOTAL_DEPOSITS" hidden="1">"c15722"</definedName>
    <definedName name="IQ_MONTH" hidden="1">15000</definedName>
    <definedName name="IQ_MOODYS_ACTION_LT" hidden="1">"c5660"</definedName>
    <definedName name="IQ_MOODYS_ACTION_ST" hidden="1">"c5663"</definedName>
    <definedName name="IQ_MOODYS_BANK_FIN_STRENGTH_ACTION_LT" hidden="1">"c5669"</definedName>
    <definedName name="IQ_MOODYS_BANK_FIN_STRENGTH_DATE_LT" hidden="1">"c5668"</definedName>
    <definedName name="IQ_MOODYS_BANK_FIN_STRENGTH_LT" hidden="1">"c5670"</definedName>
    <definedName name="IQ_MOODYS_CORP_FAMILY_ACTION_LT" hidden="1">"c5666"</definedName>
    <definedName name="IQ_MOODYS_CORP_FAMILY_DATE_LT" hidden="1">"c5665"</definedName>
    <definedName name="IQ_MOODYS_CORP_FAMILY_LT" hidden="1">"c5667"</definedName>
    <definedName name="IQ_MOODYS_DATE_LT" hidden="1">"c5659"</definedName>
    <definedName name="IQ_MOODYS_DATE_ST" hidden="1">"c5662"</definedName>
    <definedName name="IQ_MOODYS_INS_FIN_STRENGTH_ACTION_LT" hidden="1">"c5672"</definedName>
    <definedName name="IQ_MOODYS_INS_FIN_STRENGTH_ACTION_ST" hidden="1">"c5675"</definedName>
    <definedName name="IQ_MOODYS_INS_FIN_STRENGTH_DATE_LT" hidden="1">"c5671"</definedName>
    <definedName name="IQ_MOODYS_INS_FIN_STRENGTH_DATE_ST" hidden="1">"c5674"</definedName>
    <definedName name="IQ_MOODYS_INS_FIN_STRENGTH_LT" hidden="1">"c5673"</definedName>
    <definedName name="IQ_MOODYS_INS_FIN_STRENGTH_ST" hidden="1">"c5676"</definedName>
    <definedName name="IQ_MOODYS_ISSUE_ACTION_LT" hidden="1">"c5683"</definedName>
    <definedName name="IQ_MOODYS_ISSUE_ACTION_ST" hidden="1">"c6784"</definedName>
    <definedName name="IQ_MOODYS_ISSUE_DATE_LT" hidden="1">"c5682"</definedName>
    <definedName name="IQ_MOODYS_ISSUE_DATE_ST" hidden="1">"c6783"</definedName>
    <definedName name="IQ_MOODYS_ISSUE_LT" hidden="1">"c5684"</definedName>
    <definedName name="IQ_MOODYS_ISSUE_ST" hidden="1">"c6785"</definedName>
    <definedName name="IQ_MOODYS_ISSUE_WATCHLIST_DATE" hidden="1">"c5685"</definedName>
    <definedName name="IQ_MOODYS_ISSUE_WATCHLIST_INDICATOR" hidden="1">"c5687"</definedName>
    <definedName name="IQ_MOODYS_ISSUE_WATCHLIST_REASON" hidden="1">"c5686"</definedName>
    <definedName name="IQ_MOODYS_JR_SUB_ACTION_LT" hidden="1">"c13537"</definedName>
    <definedName name="IQ_MOODYS_JR_SUB_DATE_LT" hidden="1">"c13536"</definedName>
    <definedName name="IQ_MOODYS_JR_SUB_LT" hidden="1">"c13535"</definedName>
    <definedName name="IQ_MOODYS_JR_SUB_TYPE_LT" hidden="1">"c13538"</definedName>
    <definedName name="IQ_MOODYS_LATEST_DATE_LT" hidden="1">"c12711"</definedName>
    <definedName name="IQ_MOODYS_LATEST_DATE_ST" hidden="1">"c12715"</definedName>
    <definedName name="IQ_MOODYS_LATEST_LT" hidden="1">"c12710"</definedName>
    <definedName name="IQ_MOODYS_LATEST_ST" hidden="1">"c12714"</definedName>
    <definedName name="IQ_MOODYS_LATEST_TYPE_LT" hidden="1">"c12713"</definedName>
    <definedName name="IQ_MOODYS_LATEST_TYPE_ST" hidden="1">"c12717"</definedName>
    <definedName name="IQ_MOODYS_LT" hidden="1">"c5661"</definedName>
    <definedName name="IQ_MOODYS_OTHER_ACTION_LT" hidden="1">"c13545"</definedName>
    <definedName name="IQ_MOODYS_OTHER_ACTION_ST" hidden="1">"c13569"</definedName>
    <definedName name="IQ_MOODYS_OTHER_DATE_LT" hidden="1">"c13544"</definedName>
    <definedName name="IQ_MOODYS_OTHER_DATE_ST" hidden="1">"c13568"</definedName>
    <definedName name="IQ_MOODYS_OTHER_LT" hidden="1">"c13543"</definedName>
    <definedName name="IQ_MOODYS_OTHER_ST" hidden="1">"c13567"</definedName>
    <definedName name="IQ_MOODYS_OTHER_TYPE_LT" hidden="1">"c13546"</definedName>
    <definedName name="IQ_MOODYS_OTHER_TYPE_ST" hidden="1">"c13570"</definedName>
    <definedName name="IQ_MOODYS_OUTLOOK" hidden="1">"c5678"</definedName>
    <definedName name="IQ_MOODYS_OUTLOOK_DATE" hidden="1">"c5677"</definedName>
    <definedName name="IQ_MOODYS_PREF_ACTION_LT" hidden="1">"c13541"</definedName>
    <definedName name="IQ_MOODYS_PREF_DATE_LT" hidden="1">"c13540"</definedName>
    <definedName name="IQ_MOODYS_PREF_LT" hidden="1">"c13539"</definedName>
    <definedName name="IQ_MOODYS_PREF_TYPE_LT" hidden="1">"c13542"</definedName>
    <definedName name="IQ_MOODYS_SERVICER_QUALITY_ACTION_LT" hidden="1">"c13549"</definedName>
    <definedName name="IQ_MOODYS_SERVICER_QUALITY_DATE_LT" hidden="1">"c13548"</definedName>
    <definedName name="IQ_MOODYS_SERVICER_QUALITY_LT" hidden="1">"c13547"</definedName>
    <definedName name="IQ_MOODYS_SERVICER_QUALITY_TYPE_LT" hidden="1">"c13550"</definedName>
    <definedName name="IQ_MOODYS_SR_SECURED_ACTION_LT" hidden="1">"c13521"</definedName>
    <definedName name="IQ_MOODYS_SR_SECURED_ACTION_ST" hidden="1">"c13553"</definedName>
    <definedName name="IQ_MOODYS_SR_SECURED_DATE_LT" hidden="1">"c13520"</definedName>
    <definedName name="IQ_MOODYS_SR_SECURED_DATE_ST" hidden="1">"c13552"</definedName>
    <definedName name="IQ_MOODYS_SR_SECURED_LT" hidden="1">"c13519"</definedName>
    <definedName name="IQ_MOODYS_SR_SECURED_ST" hidden="1">"c13551"</definedName>
    <definedName name="IQ_MOODYS_SR_SECURED_TYPE_LT" hidden="1">"c13522"</definedName>
    <definedName name="IQ_MOODYS_SR_SECURED_TYPE_ST" hidden="1">"c13554"</definedName>
    <definedName name="IQ_MOODYS_SR_SUB_ACTION_LT" hidden="1">"c13529"</definedName>
    <definedName name="IQ_MOODYS_SR_SUB_ACTION_ST" hidden="1">"c13561"</definedName>
    <definedName name="IQ_MOODYS_SR_SUB_DATE_LT" hidden="1">"c13528"</definedName>
    <definedName name="IQ_MOODYS_SR_SUB_DATE_ST" hidden="1">"c13560"</definedName>
    <definedName name="IQ_MOODYS_SR_SUB_LT" hidden="1">"c13527"</definedName>
    <definedName name="IQ_MOODYS_SR_SUB_ST" hidden="1">"c13559"</definedName>
    <definedName name="IQ_MOODYS_SR_SUB_TYPE_LT" hidden="1">"c13530"</definedName>
    <definedName name="IQ_MOODYS_SR_SUB_TYPE_ST" hidden="1">"c13562"</definedName>
    <definedName name="IQ_MOODYS_SR_UNSECURED_ACTION_LT" hidden="1">"c13525"</definedName>
    <definedName name="IQ_MOODYS_SR_UNSECURED_ACTION_ST" hidden="1">"c13557"</definedName>
    <definedName name="IQ_MOODYS_SR_UNSECURED_DATE_LT" hidden="1">"c13524"</definedName>
    <definedName name="IQ_MOODYS_SR_UNSECURED_DATE_ST" hidden="1">"c13556"</definedName>
    <definedName name="IQ_MOODYS_SR_UNSECURED_LT" hidden="1">"c13523"</definedName>
    <definedName name="IQ_MOODYS_SR_UNSECURED_ST" hidden="1">"c13555"</definedName>
    <definedName name="IQ_MOODYS_SR_UNSECURED_TYPE_LT" hidden="1">"c13526"</definedName>
    <definedName name="IQ_MOODYS_SR_UNSECURED_TYPE_ST" hidden="1">"c13558"</definedName>
    <definedName name="IQ_MOODYS_ST" hidden="1">"c5664"</definedName>
    <definedName name="IQ_MOODYS_SUB_ACTION_LT" hidden="1">"c13533"</definedName>
    <definedName name="IQ_MOODYS_SUB_ACTION_ST" hidden="1">"c13565"</definedName>
    <definedName name="IQ_MOODYS_SUB_DATE_LT" hidden="1">"c13532"</definedName>
    <definedName name="IQ_MOODYS_SUB_DATE_ST" hidden="1">"c13564"</definedName>
    <definedName name="IQ_MOODYS_SUB_LT" hidden="1">"c13531"</definedName>
    <definedName name="IQ_MOODYS_SUB_ST" hidden="1">"c13563"</definedName>
    <definedName name="IQ_MOODYS_SUB_TYPE_LT" hidden="1">"c13534"</definedName>
    <definedName name="IQ_MOODYS_SUB_TYPE_ST" hidden="1">"c13566"</definedName>
    <definedName name="IQ_MOODYS_WATCHLIST_DATE" hidden="1">"c5679"</definedName>
    <definedName name="IQ_MOODYS_WATCHLIST_INDICATOR" hidden="1">"c5681"</definedName>
    <definedName name="IQ_MOODYS_WATCHLIST_REASON" hidden="1">"c5680"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DEBT_UNDER_CAPITAL_LEASES_FFIEC" hidden="1">"c15276"</definedName>
    <definedName name="IQ_MORTGAGE_SERV_RIGHTS" hidden="1">"c2242"</definedName>
    <definedName name="IQ_MORTGAGE_SERVICING_ASSETS_FFIEC" hidden="1">"c12838"</definedName>
    <definedName name="IQ_MORTGAGE_SERVICING_FDIC" hidden="1">"c6335"</definedName>
    <definedName name="IQ_MTM_ADJ" hidden="1">"c16000"</definedName>
    <definedName name="IQ_MULTI_RES_PROPERTIES_TRADING_DOM_FFIEC" hidden="1">"c12930"</definedName>
    <definedName name="IQ_MULTIFAM_5_LOANS_TOT_LOANS_FFIEC" hidden="1">"c13869"</definedName>
    <definedName name="IQ_MULTIFAMILY_LOANS_GROSS_LOANS_FFIEC" hidden="1">"c13404"</definedName>
    <definedName name="IQ_MULTIFAMILY_LOANS_RISK_BASED_FFIEC" hidden="1">"c13425"</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MUNICIPAL_INVEST_SECURITIES_FFIEC" hidden="1">"c13459"</definedName>
    <definedName name="IQ_MUTUAL_FUND_ACQUISITIONS_OTHER" hidden="1">"c20425"</definedName>
    <definedName name="IQ_MUTUAL_FUND_APPRECIATION_DEPRECIATION" hidden="1">"c20424"</definedName>
    <definedName name="IQ_MUTUAL_FUND_BOP" hidden="1">"c20420"</definedName>
    <definedName name="IQ_MUTUAL_FUND_EOP" hidden="1">"c20426"</definedName>
    <definedName name="IQ_MUTUAL_FUND_LIST" hidden="1">"c19092"</definedName>
    <definedName name="IQ_MUTUAL_FUND_NET_SALES" hidden="1">"c20423"</definedName>
    <definedName name="IQ_MUTUAL_FUND_REDEMPTIONS" hidden="1">"c20422"</definedName>
    <definedName name="IQ_MUTUAL_FUND_SALES" hidden="1">"c20421"</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ATURAL_RESOURCES_COST" hidden="1">"c17550"</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RE" hidden="1">"c15996"</definedName>
    <definedName name="IQ_NAV_SHARE_EST_NOTE" hidden="1">"c17522"</definedName>
    <definedName name="IQ_NAV_SHARE_EST_NOTE_CIQ" hidden="1">"c17475"</definedName>
    <definedName name="IQ_NAV_SHARE_RE" hidden="1">"c16011"</definedName>
    <definedName name="IQ_NAV_STDDEV_EST" hidden="1">"c1756"</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GATIVE_FAIR_VALUE_DERIVATIVES_BENEFICIARY_FFIEC" hidden="1">"c13124"</definedName>
    <definedName name="IQ_NEGATIVE_FAIR_VALUE_DERIVATIVES_GUARANTOR_FFIEC" hidden="1">"c13117"</definedName>
    <definedName name="IQ_NET_ADD_BASIC" hidden="1">"c15782"</definedName>
    <definedName name="IQ_NET_ADD_BBAND" hidden="1">"c15785"</definedName>
    <definedName name="IQ_NET_ADD_DIG" hidden="1">"c15783"</definedName>
    <definedName name="IQ_NET_ADD_PHONE" hidden="1">"c15786"</definedName>
    <definedName name="IQ_NET_ADD_POSTPAID_WIRELESS" hidden="1">"c15754"</definedName>
    <definedName name="IQ_NET_ADD_PREPAID_WIRELESS" hidden="1">"c15755"</definedName>
    <definedName name="IQ_NET_ADD_RESELL_WHOLESALE_WIRELESS" hidden="1">"c15756"</definedName>
    <definedName name="IQ_NET_ADD_RGU" hidden="1">"c15787"</definedName>
    <definedName name="IQ_NET_ADD_SATELLITE" hidden="1">"c15784"</definedName>
    <definedName name="IQ_NET_ADD_TOTAL_WIRELESS" hidden="1">"c15757"</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ADJ_EXP_RESERVE_BOP" hidden="1">"c15877"</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_CIQ_COL" hidden="1">"c11717"</definedName>
    <definedName name="IQ_NET_DEBT_EBITDA" hidden="1">"c750"</definedName>
    <definedName name="IQ_NET_DEBT_EBITDA_CAPEX" hidden="1">"c2949"</definedName>
    <definedName name="IQ_NET_DEBT_GUIDANCE_CIQ" hidden="1">"c5005"</definedName>
    <definedName name="IQ_NET_DEBT_GUIDANCE_CIQ_COL" hidden="1">"c11652"</definedName>
    <definedName name="IQ_NET_DEBT_HIGH_GUIDANCE_CIQ" hidden="1">"c4593"</definedName>
    <definedName name="IQ_NET_DEBT_HIGH_GUIDANCE_CIQ_COL" hidden="1">"c11242"</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GUIDANCE_CIQ" hidden="1">"c4633"</definedName>
    <definedName name="IQ_NET_DEBT_LOW_GUIDANCE_CIQ_COL" hidden="1">"c11282"</definedName>
    <definedName name="IQ_NET_EARNED" hidden="1">"c2734"</definedName>
    <definedName name="IQ_NET_FUNDS_PURCHASED_ASSETS_TOT_FFIEC" hidden="1">"c13448"</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COME_HOMEBUILDING_SALES" hidden="1">"c15818"</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AVG_ASSET" hidden="1">"c15706"</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LOSSES" hidden="1">"c15873"</definedName>
    <definedName name="IQ_NET_NEW_CLIENT_ASSETS" hidden="1">"c20430"</definedName>
    <definedName name="IQ_NET_NONINTEREST_INC_EXP_INTERNATIONAL_OPS_FFIEC" hidden="1">"c15387"</definedName>
    <definedName name="IQ_NET_OPERATING_INCOME_ASSETS_FDIC" hidden="1">"c6729"</definedName>
    <definedName name="IQ_NET_PREMIUM_WRITTEN_STATUTORY_SURPLUS" hidden="1">"c15880"</definedName>
    <definedName name="IQ_NET_PREMIUMS_WRITTEN_AVG_ASSETS" hidden="1">"c15888"</definedName>
    <definedName name="IQ_NET_PREMIUMS_WRITTEN_AVG_EQUITY" hidden="1">"c15891"</definedName>
    <definedName name="IQ_NET_PREMIUMS_WRITTEN_AVG_STATUTORY_SURPLUS" hidden="1">"c15890"</definedName>
    <definedName name="IQ_NET_PREMIUMS_WRITTEN_GROSS_PREMIUMS_WRITTEN" hidden="1">"c15889"</definedName>
    <definedName name="IQ_NET_RENTAL_EXP_FN" hidden="1">"c780"</definedName>
    <definedName name="IQ_NET_SECURITIZATION_INC_FOREIGN_FFIEC" hidden="1">"c15379"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DIV_AMOUNT" hidden="1">"c17414"</definedName>
    <definedName name="IQ_NEXT_DIV_PAYMENT_DATE" hidden="1">"c17413"</definedName>
    <definedName name="IQ_NEXT_DIV_PAYMENT_TYPE" hidden="1">"c17415"</definedName>
    <definedName name="IQ_NEXT_DIV_RECORD_DATE" hidden="1">"c17412"</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XDIV_DATE" hidden="1">"c17411"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PERSON0813" hidden="1">"c9304"</definedName>
    <definedName name="IQ_NEXT_YR_PROD_EST_MAX_PLAT" hidden="1">"c9142"</definedName>
    <definedName name="IQ_NEXT_YR_PROD_EST_MAX_SILVER" hidden="1">"c9089"</definedName>
    <definedName name="IQ_NEXT_YR_PROD_EST_MAX_PRODUCT0419" hidden="1">"c9569"</definedName>
    <definedName name="IQ_NEXT_YR_PROD_EST_MAX_URAN" hidden="1">"c9622"</definedName>
    <definedName name="IQ_NEXT_YR_PROD_EST_MAX_Company3050"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PERSON0813" hidden="1">"c9303"</definedName>
    <definedName name="IQ_NEXT_YR_PROD_EST_MIN_PLAT" hidden="1">"c9141"</definedName>
    <definedName name="IQ_NEXT_YR_PROD_EST_MIN_SILVER" hidden="1">"c9088"</definedName>
    <definedName name="IQ_NEXT_YR_PROD_EST_MIN_PRODUCT0419" hidden="1">"c9568"</definedName>
    <definedName name="IQ_NEXT_YR_PROD_EST_MIN_URAN" hidden="1">"c9621"</definedName>
    <definedName name="IQ_NEXT_YR_PROD_EST_MIN_Company3050"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CIQ_COL" hidden="1">"c11712"</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EST" hidden="1">"c1716"</definedName>
    <definedName name="IQ_NI_FFIEC" hidden="1">"c13034"</definedName>
    <definedName name="IQ_NI_GAAP_GUIDANCE_CIQ" hidden="1">"c5008"</definedName>
    <definedName name="IQ_NI_GAAP_GUIDANCE_CIQ_COL" hidden="1">"c11655"</definedName>
    <definedName name="IQ_NI_GAAP_HIGH_GUIDANCE_CIQ" hidden="1">"c4589"</definedName>
    <definedName name="IQ_NI_GAAP_HIGH_GUIDANCE_CIQ_COL" hidden="1">"c11238"</definedName>
    <definedName name="IQ_NI_GAAP_LOW_GUIDANCE_CIQ" hidden="1">"c4629"</definedName>
    <definedName name="IQ_NI_GAAP_LOW_GUIDANCE_CIQ_COL" hidden="1">"c11278"</definedName>
    <definedName name="IQ_NI_GUIDANCE_CIQ" hidden="1">"c5007"</definedName>
    <definedName name="IQ_NI_GUIDANCE_CIQ_COL" hidden="1">"c11654"</definedName>
    <definedName name="IQ_NI_GW_EST" hidden="1">"c1723"</definedName>
    <definedName name="IQ_NI_GW_GUIDANCE_CIQ" hidden="1">"c5009"</definedName>
    <definedName name="IQ_NI_GW_GUIDANCE_CIQ_COL" hidden="1">"c11656"</definedName>
    <definedName name="IQ_NI_GW_HIGH_EST" hidden="1">"c1725"</definedName>
    <definedName name="IQ_NI_GW_HIGH_GUIDANCE_CIQ" hidden="1">"c4590"</definedName>
    <definedName name="IQ_NI_GW_HIGH_GUIDANCE_CIQ_COL" hidden="1">"c11239"</definedName>
    <definedName name="IQ_NI_GW_LOW_EST" hidden="1">"c1726"</definedName>
    <definedName name="IQ_NI_GW_LOW_GUIDANCE_CIQ" hidden="1">"c4630"</definedName>
    <definedName name="IQ_NI_GW_LOW_GUIDANCE_CIQ_COL" hidden="1">"c11279"</definedName>
    <definedName name="IQ_NI_GW_MEDIAN_EST" hidden="1">"c1724"</definedName>
    <definedName name="IQ_NI_GW_NUM_EST" hidden="1">"c1727"</definedName>
    <definedName name="IQ_NI_GW_STDDEV_EST" hidden="1">"c1728"</definedName>
    <definedName name="IQ_NI_HIGH_EST" hidden="1">"c1718"</definedName>
    <definedName name="IQ_NI_HIGH_GUIDANCE_CIQ" hidden="1">"c4588"</definedName>
    <definedName name="IQ_NI_HIGH_GUIDANCE_CIQ_COL" hidden="1">"c11237"</definedName>
    <definedName name="IQ_NI_LOW_EST" hidden="1">"c1719"</definedName>
    <definedName name="IQ_NI_LOW_GUIDANCE_CIQ" hidden="1">"c4628"</definedName>
    <definedName name="IQ_NI_LOW_GUIDANCE_CIQ_COL" hidden="1">"c11277"</definedName>
    <definedName name="IQ_NI_MARGIN" hidden="1">"c794"</definedName>
    <definedName name="IQ_NI_MEDIAN_EST" hidden="1">"c1717"</definedName>
    <definedName name="IQ_NI_NON_CONTROLLING_INTERESTS_FFIEC" hidden="1">"c15366"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_CIQ" hidden="1">"c5012"</definedName>
    <definedName name="IQ_NI_SBC_ACT_OR_EST_CIQ_COL" hidden="1">"c11659"</definedName>
    <definedName name="IQ_NI_SBC_GUIDANCE" hidden="1">"c4475"</definedName>
    <definedName name="IQ_NI_SBC_GUIDANCE_CIQ" hidden="1">"c5013"</definedName>
    <definedName name="IQ_NI_SBC_GUIDANCE_CIQ_COL" hidden="1">"c11660"</definedName>
    <definedName name="IQ_NI_SBC_GW_ACT_OR_EST_CIQ" hidden="1">"c5016"</definedName>
    <definedName name="IQ_NI_SBC_GW_ACT_OR_EST_CIQ_COL" hidden="1">"c11663"</definedName>
    <definedName name="IQ_NI_SBC_GW_GUIDANCE" hidden="1">"c4479"</definedName>
    <definedName name="IQ_NI_SBC_GW_GUIDANCE_CIQ" hidden="1">"c5017"</definedName>
    <definedName name="IQ_NI_SBC_GW_GUIDANCE_CIQ_COL" hidden="1">"c11664"</definedName>
    <definedName name="IQ_NI_SBC_GW_HIGH_GUIDANCE" hidden="1">"c4187"</definedName>
    <definedName name="IQ_NI_SBC_GW_HIGH_GUIDANCE_CIQ" hidden="1">"c4599"</definedName>
    <definedName name="IQ_NI_SBC_GW_HIGH_GUIDANCE_CIQ_COL" hidden="1">"c11248"</definedName>
    <definedName name="IQ_NI_SBC_GW_LOW_GUIDANCE" hidden="1">"c4227"</definedName>
    <definedName name="IQ_NI_SBC_GW_LOW_GUIDANCE_CIQ" hidden="1">"c4639"</definedName>
    <definedName name="IQ_NI_SBC_GW_LOW_GUIDANCE_CIQ_COL" hidden="1">"c11288"</definedName>
    <definedName name="IQ_NI_SBC_HIGH_GUIDANCE" hidden="1">"c4186"</definedName>
    <definedName name="IQ_NI_SBC_HIGH_GUIDANCE_CIQ" hidden="1">"c4598"</definedName>
    <definedName name="IQ_NI_SBC_HIGH_GUIDANCE_CIQ_COL" hidden="1">"c11247"</definedName>
    <definedName name="IQ_NI_SBC_LOW_GUIDANCE" hidden="1">"c4226"</definedName>
    <definedName name="IQ_NI_SBC_LOW_GUIDANCE_CIQ" hidden="1">"c4638"</definedName>
    <definedName name="IQ_NI_SBC_LOW_GUIDANCE_CIQ_COL" hidden="1">"c11287"</definedName>
    <definedName name="IQ_NI_SFAS" hidden="1">"c795"</definedName>
    <definedName name="IQ_NI_STDDEV_EST" hidden="1">"c1721"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I_INCL_UNCONSOL" hidden="1">"c16068"</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ASSET_SOLD_DURING_QTR_FFIEC" hidden="1">"c15350"</definedName>
    <definedName name="IQ_NON_ACCRUAL_LOANS" hidden="1">"c796"</definedName>
    <definedName name="IQ_NON_CASH" hidden="1">"c1399"</definedName>
    <definedName name="IQ_NON_CASH_ITEMS" hidden="1">"c797"</definedName>
    <definedName name="IQ_NON_CD_DEPOSITS" hidden="1">"c15718"</definedName>
    <definedName name="IQ_NON_CD_DEPOSITS_TOTAL_DEPOSITS" hidden="1">"c15725"</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"c800"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AVG_ASSETS_FFIEC" hidden="1">"c18878"</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AVG_ASSET" hidden="1">"c15708"</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AVG_ASSET" hidden="1">"c15707"</definedName>
    <definedName name="IQ_NON_INT_INCOME_FFIEC" hidden="1">"c13017"</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EQUITY" hidden="1">"c15702"</definedName>
    <definedName name="IQ_NON_PERF_ASSETS_LOANS_OREO" hidden="1">"c15701"</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RE_DA" hidden="1">"c16179"</definedName>
    <definedName name="IQ_NON_RENTAL_NOI" hidden="1">"c16066"</definedName>
    <definedName name="IQ_NON_RENTAL_OPERATING_EXPENSE" hidden="1">"c16046"</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DOM_FFIEC" hidden="1">"c15271"</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UNUSED" hidden="1">"c7588"</definedName>
    <definedName name="IQ_NONRES_FIXED_INVEST_PRIV_FC_UNUSED" hidden="1">"c7808"</definedName>
    <definedName name="IQ_NONRES_FIXED_INVEST_PRIV_POP_FC_UNUSED" hidden="1">"c8028"</definedName>
    <definedName name="IQ_NONRES_FIXED_INVEST_PRIV_POP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BER_ADRHOLDERS" hidden="1">"c1970"</definedName>
    <definedName name="IQ_NUMBER_CELL_SITES" hidden="1">"c15762"</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PERSON0813" hidden="1">"c9301"</definedName>
    <definedName name="IQ_NUMBER_MINES_PLAT" hidden="1">"c9139"</definedName>
    <definedName name="IQ_NUMBER_MINES_SILVER" hidden="1">"c9086"</definedName>
    <definedName name="IQ_NUMBER_MINES_PRODUCT0419" hidden="1">"c9566"</definedName>
    <definedName name="IQ_NUMBER_MINES_URAN" hidden="1">"c9619"</definedName>
    <definedName name="IQ_NUMBER_MINES_Company3050" hidden="1">"c9354"</definedName>
    <definedName name="IQ_NUMBER_SHAREHOLDERS" hidden="1">"c1967"</definedName>
    <definedName name="IQ_NUMBER_SHAREHOLDERS_CLASSA" hidden="1">"c1968"</definedName>
    <definedName name="IQ_NUMBER_SHAREHOLDERS_OTHER" hidden="1">"c1969"</definedName>
    <definedName name="IQ_NUMBER_TRADES_EXECUTED" hidden="1">"c20428"</definedName>
    <definedName name="IQ_NUMBER_WIRELESS_TOWERS" hidden="1">"c15766"</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Company0325"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ITY_RESERVES_GAS" hidden="1">"c2050"</definedName>
    <definedName name="IQ_OG_EQUITY_RESERVES_NGL" hidden="1">"c2921"</definedName>
    <definedName name="IQ_OG_EQUITY_RESERVES_OIL" hidden="1">"c2038"</definedName>
    <definedName name="IQ_OG_EQUTY_RESERVES_GAS" hidden="1">"c2050"</definedName>
    <definedName name="IQ_OG_EQUTY_RESERVES_NGL" hidden="1">"c20388"</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PRODUCTIVE_WELLS_DRILLED_GAS" hidden="1">"c15907"</definedName>
    <definedName name="IQ_OG_GROSS_DEVELOPMENT_PRODUCTIVE_WELLS_DRILLED_OIL" hidden="1">"c15906"</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PRODUCTIVE_WELLS_DRILLED_GAS" hidden="1">"c15905"</definedName>
    <definedName name="IQ_OG_GROSS_EXPLORATORY_PRODUCTIVE_WELLS_DRILLED_OIL" hidden="1">"c15904"</definedName>
    <definedName name="IQ_OG_GROSS_EXPLORATORY_TOTAL_WELLS_DRILLED" hidden="1">"c10096"</definedName>
    <definedName name="IQ_OG_GROSS_OPERATED_WELLS" hidden="1">"c10092"</definedName>
    <definedName name="IQ_OG_GROSS_PRODUCING_WELLS_GAS" hidden="1">"c15897"</definedName>
    <definedName name="IQ_OG_GROSS_PRODUCING_WELLS_OIL" hidden="1">"c15896"</definedName>
    <definedName name="IQ_OG_GROSS_PRODUCTIVE_WELLS_DRILLED_GAS" hidden="1">"c15901"</definedName>
    <definedName name="IQ_OG_GROSS_PRODUCTIVE_WELLS_DRILLED_OIL" hidden="1">"c15900"</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PRODUCTIVE_WELLS_DRILLED_GAS" hidden="1">"c15911"</definedName>
    <definedName name="IQ_OG_NET_DEVELOPMENT_PRODUCTIVE_WELLS_DRILLED_OIL" hidden="1">"c15910"</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PRODUCTIVE_WELLS_DRILLED_GAS" hidden="1">"c15909"</definedName>
    <definedName name="IQ_OG_NET_EXPLORATORY_PRODUCTIVE_WELLS_DRILLED_OIL" hidden="1">"c15908"</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ING_WELLS_GAS" hidden="1">"c15899"</definedName>
    <definedName name="IQ_OG_NET_PRODUCING_WELLS_OIL" hidden="1">"c15898"</definedName>
    <definedName name="IQ_OG_NET_PRODUCTIVE_WELLS_DRILLED_GAS" hidden="1">"c15903"</definedName>
    <definedName name="IQ_OG_NET_PRODUCTIVE_WELLS_DRILLED_OIL" hidden="1">"c15902"</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 hidden="1">"c6240"</definedName>
    <definedName name="IQ_OPER_INC_REIT" hidden="1">"c853"</definedName>
    <definedName name="IQ_OPER_INC_STDDEV_EST" hidden="1">"c1693"</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NG_NOI_AVG_GROSS_PROP" hidden="1">"c16058"</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FOREIGN_FFIEC" hidden="1">"c15273"</definedName>
    <definedName name="IQ_OREO_MULTI_FAMILY_RESIDENTIAL_FDIC" hidden="1">"c6455"</definedName>
    <definedName name="IQ_OREO_OTHER_FFIEC" hidden="1">"c12833"</definedName>
    <definedName name="IQ_ORGANIC_GROWTH_RATE" hidden="1">"c20429"</definedName>
    <definedName name="IQ_OTHER_ADDITIONS_T1_FFIEC" hidden="1">"c13142"</definedName>
    <definedName name="IQ_OTHER_ADDITIONS_T2_FFIEC" hidden="1">"c13148"</definedName>
    <definedName name="IQ_OTHER_ADJ_CLAIM_ADJ_EXP_INCURRED" hidden="1">"c15878"</definedName>
    <definedName name="IQ_OTHER_ADJ_CLAIM_ADJ_EXP_PAID" hidden="1">"c15879"</definedName>
    <definedName name="IQ_OTHER_ADJ_RESERVE_BOP" hidden="1">"c15876"</definedName>
    <definedName name="IQ_OTHER_ADJ_RESERVES" hidden="1">"c15882"</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FFO" hidden="1">"c16180"</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AIR_VALUE_TOT_FFIEC" hidden="1">"c15409"</definedName>
    <definedName name="IQ_OTHER_BORROWED_MONEY_FFIEC" hidden="1">"c12862"</definedName>
    <definedName name="IQ_OTHER_BORROWED_MONEY_LEVEL_1_FFIEC" hidden="1">"c15431"</definedName>
    <definedName name="IQ_OTHER_BORROWED_MONEY_LEVEL_2_FFIEC" hidden="1">"c15444"</definedName>
    <definedName name="IQ_OTHER_BORROWED_MONEY_LEVEL_3_FFIEC" hidden="1">"c15457"</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_DOM_AFS_AMORT_COST_FFIEC" hidden="1">"c20503"</definedName>
    <definedName name="IQ_OTHER_DEBT_SEC_DOM_AFS_FAIR_VAL_FFIEC" hidden="1">"c20468"</definedName>
    <definedName name="IQ_OTHER_DEBT_SEC_DOM_AVAIL_SALE_FFIEC" hidden="1">"c12803"</definedName>
    <definedName name="IQ_OTHER_DEBT_SEC_FOREIGN_AFS_AMORT_COST_FFIEC" hidden="1">"c20504"</definedName>
    <definedName name="IQ_OTHER_DEBT_SEC_FOREIGN_AFS_FAIR_VAL_FFIEC" hidden="1">"c20469"</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DOM_HTM_AMORT_COST_FFIEC" hidden="1">"c20451"</definedName>
    <definedName name="IQ_OTHER_DEBT_SECURITIES_DOM_HTM_FAIR_VAL_FFIEC" hidden="1">"c20486"</definedName>
    <definedName name="IQ_OTHER_DEBT_SECURITIES_FOREIGN_FFIEC" hidden="1">"c12790"</definedName>
    <definedName name="IQ_OTHER_DEBT_SECURITIES_FOREIGN_HTM_AMORT_COST_FFIEC" hidden="1">"c20452"</definedName>
    <definedName name="IQ_OTHER_DEBT_SECURITIES_FOREIGN_HTM_FAIR_VAL_FFIEC" hidden="1">"c20487"</definedName>
    <definedName name="IQ_OTHER_DEBT_SECURITIES_QUARTERLY_AVG_FFIEC" hidden="1">"c15473"</definedName>
    <definedName name="IQ_OTHER_DEDUCTIONS_LEVERAGE_RATIO_FFIEC" hidden="1">"c13158"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POSITS_TOTAL_DEPOSITS" hidden="1">"c15724"</definedName>
    <definedName name="IQ_OTHER_DERIVATIVES_BENEFICIARY_FFIEC" hidden="1">"c13122"</definedName>
    <definedName name="IQ_OTHER_DERIVATIVES_GUARANTOR_FFIEC" hidden="1">"c13115"</definedName>
    <definedName name="IQ_OTHER_DEVELOPMENT_EXPENSE" hidden="1">"c16041"</definedName>
    <definedName name="IQ_OTHER_DEVELOPMENT_REVENUE" hidden="1">"c16025"</definedName>
    <definedName name="IQ_OTHER_DOMESTIC_DEBT_SECURITIES_FDIC" hidden="1">"c6302"</definedName>
    <definedName name="IQ_OTHER_EARNING" hidden="1">"c1609"</definedName>
    <definedName name="IQ_OTHER_EPRA_NAV_ADJ" hidden="1">"c16004"</definedName>
    <definedName name="IQ_OTHER_EPRA_NNAV_ADJ" hidden="1">"c16009"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AD" hidden="1">"c16184"</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OTAL_LOANS" hidden="1">"c15716"</definedName>
    <definedName name="IQ_OTHER_LOANS_TRADING_DOM_FFIEC" hidden="1">"c12936"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FS_AMORT_COST_FFIEC" hidden="1">"c20498"</definedName>
    <definedName name="IQ_OTHER_MBS_AFS_FAIR_VAL_FFIEC" hidden="1">"c20463"</definedName>
    <definedName name="IQ_OTHER_MBS_AVAIL_SALE_FFIEC" hidden="1">"c12801"</definedName>
    <definedName name="IQ_OTHER_MBS_FFIEC" hidden="1">"c12787"</definedName>
    <definedName name="IQ_OTHER_MBS_HTM_AMORT_COST_FFIEC" hidden="1">"c20446"</definedName>
    <definedName name="IQ_OTHER_MBS_HTM_FAIR_VAL_FFIEC" hidden="1">"c20481"</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MINING_REVENUE_COAL" hidden="1">"c15931"</definedName>
    <definedName name="IQ_OTHER_NET" hidden="1">"c1453"</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NONINTEREST_INC_FOREIGN_FFIEC" hidden="1">"c15380"</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 hidden="1">"c8764"</definedName>
    <definedName name="IQ_OTHER_PROP_OPERATING_EXPENSE" hidden="1">"c16043"</definedName>
    <definedName name="IQ_OTHER_PROP_OPERATING_REVENUE" hidden="1">"c16027"</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AVINGS_DEPOSITS_NON_TRANS_ACCTS_FFIEC" hidden="1">"c15331"</definedName>
    <definedName name="IQ_OTHER_SECURITIES_QUARTERLY_AVG_FFIEC" hidden="1">"c15472"</definedName>
    <definedName name="IQ_OTHER_SQ_FT" hidden="1">"c8780"</definedName>
    <definedName name="IQ_OTHER_STRIKE_PRICE_GRANTED" hidden="1">"c2692"</definedName>
    <definedName name="IQ_OTHER_TAX_EQUIVALENT_ADJUSTMENTS_FFIEC" hidden="1">"c13855"</definedName>
    <definedName name="IQ_OTHER_TRADING_ASSETS_FAIR_VALUE_TOT_FFIEC" hidden="1">"c15404"</definedName>
    <definedName name="IQ_OTHER_TRADING_ASSETS_FFIEC" hidden="1">"c12826"</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ASSETS_TOTAL_FFIEC" hidden="1">"c12937"</definedName>
    <definedName name="IQ_OTHER_TRADING_LIABILITIES_FAIR_VALUE_TOT_FFIEC" hidden="1">"c15408"</definedName>
    <definedName name="IQ_OTHER_TRADING_LIABILITIES_FFIEC" hidden="1">"c12860"</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D_RESERVES_COAL" hidden="1">"c15916"</definedName>
    <definedName name="IQ_OWNED_RESERVES_TO_TOTAL_RESERVES_COAL" hidden="1">"c15957"</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"c1457"</definedName>
    <definedName name="IQ_PAYOUT_RATIO" hidden="1">"c1900"</definedName>
    <definedName name="IQ_PBV" hidden="1">"c1025"</definedName>
    <definedName name="IQ_PBV_AVG" hidden="1">"c1026"</definedName>
    <definedName name="IQ_PBV_FWD" hidden="1">"c15235"</definedName>
    <definedName name="IQ_PC_EARNED" hidden="1">"c2749"</definedName>
    <definedName name="IQ_PC_GAAP_COMBINED_RATIO" hidden="1">"c20392"</definedName>
    <definedName name="IQ_PC_GAAP_COMBINED_RATIO_EXCL_CL" hidden="1">"c20393"</definedName>
    <definedName name="IQ_PC_GAAP_EXPENSE_RATIO" hidden="1">"c20391"</definedName>
    <definedName name="IQ_PC_GAAP_LOSS" hidden="1">"c20390"</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FUND_DATE_EST" hidden="1">"c19174"</definedName>
    <definedName name="IQ_PE_FUND_DATE_MONTH" hidden="1">"c19172"</definedName>
    <definedName name="IQ_PE_FUND_DATE_YEAR" hidden="1">"c18925"</definedName>
    <definedName name="IQ_PE_FUND_FAMILIES" hidden="1">"c18917"</definedName>
    <definedName name="IQ_PE_FUND_FAMILIES_ID" hidden="1">"c18918"</definedName>
    <definedName name="IQ_PE_FUND_FAMILIES_REL" hidden="1">"c18919"</definedName>
    <definedName name="IQ_PE_FUND_ID" hidden="1">"c18923"</definedName>
    <definedName name="IQ_PE_FUND_INVEST_AMOUNT" hidden="1">"c18933"</definedName>
    <definedName name="IQ_PE_FUND_INVEST_DATE_MONTH" hidden="1">"c19173"</definedName>
    <definedName name="IQ_PE_FUND_INVEST_DATE_YEAR" hidden="1">"c18934"</definedName>
    <definedName name="IQ_PE_FUND_NAME" hidden="1">"c18922"</definedName>
    <definedName name="IQ_PE_FUND_SIZE" hidden="1">"c18924"</definedName>
    <definedName name="IQ_PE_FUND_STAGE" hidden="1">"c18928"</definedName>
    <definedName name="IQ_PE_FUND_TARGET_MAX" hidden="1">"c18927"</definedName>
    <definedName name="IQ_PE_FUND_TARGET_MIN" hidden="1">"c18926"</definedName>
    <definedName name="IQ_PE_FUND_TRANSACTION_COMMENTS" hidden="1">"c18931"</definedName>
    <definedName name="IQ_PE_NORMALIZED" hidden="1">"c2207"</definedName>
    <definedName name="IQ_PE_RATIO" hidden="1">"c1610"</definedName>
    <definedName name="IQ_PEG_FWD" hidden="1">"c1863"</definedName>
    <definedName name="IQ_PEG_FWD_CIQ" hidden="1">"c4045"</definedName>
    <definedName name="IQ_PENETRATION_BASIC_CABLE" hidden="1">"c16204"</definedName>
    <definedName name="IQ_PENETRATION_BBAND" hidden="1">"c2852"</definedName>
    <definedName name="IQ_PENETRATION_BBAND_THP" hidden="1">"c2851"</definedName>
    <definedName name="IQ_PENETRATION_PHONE" hidden="1">"c2853"</definedName>
    <definedName name="IQ_PENETRATION_VIDEO" hidden="1">"c2850"</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8MONTHS" hidden="1">"c1853"</definedName>
    <definedName name="IQ_PERCENT_CHANGE_EST_5YR_GROWTH_RATE_18MONTHS_CIQ" hidden="1">"c3791"</definedName>
    <definedName name="IQ_PERCENT_CHANGE_EST_5YR_GROWTH_RATE_3MONTHS" hidden="1">"c1849"</definedName>
    <definedName name="IQ_PERCENT_CHANGE_EST_5YR_GROWTH_RATE_3MONTHS_CIQ" hidden="1">"c3787"</definedName>
    <definedName name="IQ_PERCENT_CHANGE_EST_5YR_GROWTH_RATE_6MONTHS" hidden="1">"c1850"</definedName>
    <definedName name="IQ_PERCENT_CHANGE_EST_5YR_GROWTH_RATE_6MONTHS_CIQ" hidden="1">"c3788"</definedName>
    <definedName name="IQ_PERCENT_CHANGE_EST_5YR_GROWTH_RATE_9MONTHS" hidden="1">"c1851"</definedName>
    <definedName name="IQ_PERCENT_CHANGE_EST_5YR_GROWTH_RATE_9MONTHS_CIQ" hidden="1">"c3789"</definedName>
    <definedName name="IQ_PERCENT_CHANGE_EST_5YR_GROWTH_RATE_DAY" hidden="1">"c1846"</definedName>
    <definedName name="IQ_PERCENT_CHANGE_EST_5YR_GROWTH_RATE_DAY_CIQ" hidden="1">"c3785"</definedName>
    <definedName name="IQ_PERCENT_CHANGE_EST_5YR_GROWTH_RATE_MONTH" hidden="1">"c1848"</definedName>
    <definedName name="IQ_PERCENT_CHANGE_EST_5YR_GROWTH_RATE_MONTH_CIQ" hidden="1">"c3786"</definedName>
    <definedName name="IQ_PERCENT_CHANGE_EST_5YR_GROWTH_RATE_WEEK" hidden="1">"c1847"</definedName>
    <definedName name="IQ_PERCENT_CHANGE_EST_5YR_GROWTH_RATE_WEEK_CIQ" hidden="1">"c3797"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2MONTHS_CIQ" hidden="1">"c3748"</definedName>
    <definedName name="IQ_PERCENT_CHANGE_EST_EBITDA_18MONTHS" hidden="1">"c1805"</definedName>
    <definedName name="IQ_PERCENT_CHANGE_EST_EBITDA_18MONTHS_CIQ" hidden="1">"c3749"</definedName>
    <definedName name="IQ_PERCENT_CHANGE_EST_EBITDA_3MONTHS" hidden="1">"c1801"</definedName>
    <definedName name="IQ_PERCENT_CHANGE_EST_EBITDA_3MONTHS_CIQ" hidden="1">"c3745"</definedName>
    <definedName name="IQ_PERCENT_CHANGE_EST_EBITDA_6MONTHS" hidden="1">"c1802"</definedName>
    <definedName name="IQ_PERCENT_CHANGE_EST_EBITDA_6MONTHS_CIQ" hidden="1">"c3746"</definedName>
    <definedName name="IQ_PERCENT_CHANGE_EST_EBITDA_9MONTHS" hidden="1">"c1803"</definedName>
    <definedName name="IQ_PERCENT_CHANGE_EST_EBITDA_9MONTHS_CIQ" hidden="1">"c3747"</definedName>
    <definedName name="IQ_PERCENT_CHANGE_EST_EBITDA_DAY" hidden="1">"c1798"</definedName>
    <definedName name="IQ_PERCENT_CHANGE_EST_EBITDA_DAY_CIQ" hidden="1">"c3743"</definedName>
    <definedName name="IQ_PERCENT_CHANGE_EST_EBITDA_MONTH" hidden="1">"c1800"</definedName>
    <definedName name="IQ_PERCENT_CHANGE_EST_EBITDA_MONTH_CIQ" hidden="1">"c3744"</definedName>
    <definedName name="IQ_PERCENT_CHANGE_EST_EBITDA_WEEK" hidden="1">"c1799"</definedName>
    <definedName name="IQ_PERCENT_CHANGE_EST_EBITDA_WEEK_CIQ" hidden="1">"c3792"</definedName>
    <definedName name="IQ_PERCENT_CHANGE_EST_EPS_12MONTHS" hidden="1">"c1788"</definedName>
    <definedName name="IQ_PERCENT_CHANGE_EST_EPS_12MONTHS_CIQ" hidden="1">"c3733"</definedName>
    <definedName name="IQ_PERCENT_CHANGE_EST_EPS_18MONTHS" hidden="1">"c1789"</definedName>
    <definedName name="IQ_PERCENT_CHANGE_EST_EPS_18MONTHS_CIQ" hidden="1">"c3734"</definedName>
    <definedName name="IQ_PERCENT_CHANGE_EST_EPS_3MONTHS" hidden="1">"c1785"</definedName>
    <definedName name="IQ_PERCENT_CHANGE_EST_EPS_3MONTHS_CIQ" hidden="1">"c3730"</definedName>
    <definedName name="IQ_PERCENT_CHANGE_EST_EPS_6MONTHS" hidden="1">"c1786"</definedName>
    <definedName name="IQ_PERCENT_CHANGE_EST_EPS_6MONTHS_CIQ" hidden="1">"c3731"</definedName>
    <definedName name="IQ_PERCENT_CHANGE_EST_EPS_9MONTHS" hidden="1">"c1787"</definedName>
    <definedName name="IQ_PERCENT_CHANGE_EST_EPS_9MONTHS_CIQ" hidden="1">"c3732"</definedName>
    <definedName name="IQ_PERCENT_CHANGE_EST_EPS_DAY" hidden="1">"c1782"</definedName>
    <definedName name="IQ_PERCENT_CHANGE_EST_EPS_DAY_CIQ" hidden="1">"c3727"</definedName>
    <definedName name="IQ_PERCENT_CHANGE_EST_EPS_MONTH" hidden="1">"c1784"</definedName>
    <definedName name="IQ_PERCENT_CHANGE_EST_EPS_MONTH_CIQ" hidden="1">"c3729"</definedName>
    <definedName name="IQ_PERCENT_CHANGE_EST_EPS_WEEK" hidden="1">"c1783"</definedName>
    <definedName name="IQ_PERCENT_CHANGE_EST_EPS_WEEK_CIQ" hidden="1">"c3728"</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2MONTHS_CIQ" hidden="1">"c3783"</definedName>
    <definedName name="IQ_PERCENT_CHANGE_EST_PRICE_TARGET_18MONTHS" hidden="1">"c1845"</definedName>
    <definedName name="IQ_PERCENT_CHANGE_EST_PRICE_TARGET_18MONTHS_CIQ" hidden="1">"c3784"</definedName>
    <definedName name="IQ_PERCENT_CHANGE_EST_PRICE_TARGET_3MONTHS" hidden="1">"c1841"</definedName>
    <definedName name="IQ_PERCENT_CHANGE_EST_PRICE_TARGET_3MONTHS_CIQ" hidden="1">"c3780"</definedName>
    <definedName name="IQ_PERCENT_CHANGE_EST_PRICE_TARGET_6MONTHS" hidden="1">"c1842"</definedName>
    <definedName name="IQ_PERCENT_CHANGE_EST_PRICE_TARGET_6MONTHS_CIQ" hidden="1">"c3781"</definedName>
    <definedName name="IQ_PERCENT_CHANGE_EST_PRICE_TARGET_9MONTHS" hidden="1">"c1843"</definedName>
    <definedName name="IQ_PERCENT_CHANGE_EST_PRICE_TARGET_9MONTHS_CIQ" hidden="1">"c3782"</definedName>
    <definedName name="IQ_PERCENT_CHANGE_EST_PRICE_TARGET_DAY" hidden="1">"c1838"</definedName>
    <definedName name="IQ_PERCENT_CHANGE_EST_PRICE_TARGET_DAY_CIQ" hidden="1">"c3778"</definedName>
    <definedName name="IQ_PERCENT_CHANGE_EST_PRICE_TARGET_MONTH" hidden="1">"c1840"</definedName>
    <definedName name="IQ_PERCENT_CHANGE_EST_PRICE_TARGET_MONTH_CIQ" hidden="1">"c3779"</definedName>
    <definedName name="IQ_PERCENT_CHANGE_EST_PRICE_TARGET_WEEK" hidden="1">"c1839"</definedName>
    <definedName name="IQ_PERCENT_CHANGE_EST_PRICE_TARGET_WEEK_CIQ" hidden="1">"c3798"</definedName>
    <definedName name="IQ_PERCENT_CHANGE_EST_RECO_12MONTHS" hidden="1">"c1836"</definedName>
    <definedName name="IQ_PERCENT_CHANGE_EST_RECO_12MONTHS_CIQ" hidden="1">"c3776"</definedName>
    <definedName name="IQ_PERCENT_CHANGE_EST_RECO_18MONTHS" hidden="1">"c1837"</definedName>
    <definedName name="IQ_PERCENT_CHANGE_EST_RECO_18MONTHS_CIQ" hidden="1">"c3777"</definedName>
    <definedName name="IQ_PERCENT_CHANGE_EST_RECO_3MONTHS" hidden="1">"c1833"</definedName>
    <definedName name="IQ_PERCENT_CHANGE_EST_RECO_3MONTHS_CIQ" hidden="1">"c3773"</definedName>
    <definedName name="IQ_PERCENT_CHANGE_EST_RECO_6MONTHS" hidden="1">"c1834"</definedName>
    <definedName name="IQ_PERCENT_CHANGE_EST_RECO_6MONTHS_CIQ" hidden="1">"c3774"</definedName>
    <definedName name="IQ_PERCENT_CHANGE_EST_RECO_9MONTHS" hidden="1">"c1835"</definedName>
    <definedName name="IQ_PERCENT_CHANGE_EST_RECO_9MONTHS_CIQ" hidden="1">"c3775"</definedName>
    <definedName name="IQ_PERCENT_CHANGE_EST_RECO_DAY" hidden="1">"c1830"</definedName>
    <definedName name="IQ_PERCENT_CHANGE_EST_RECO_DAY_CIQ" hidden="1">"c3771"</definedName>
    <definedName name="IQ_PERCENT_CHANGE_EST_RECO_MONTH" hidden="1">"c1832"</definedName>
    <definedName name="IQ_PERCENT_CHANGE_EST_RECO_MONTH_CIQ" hidden="1">"c3772"</definedName>
    <definedName name="IQ_PERCENT_CHANGE_EST_RECO_WEEK" hidden="1">"c1831"</definedName>
    <definedName name="IQ_PERCENT_CHANGE_EST_RECO_WEEK_CIQ" hidden="1">"c3796"</definedName>
    <definedName name="IQ_PERCENT_CHANGE_EST_REV_12MONTHS" hidden="1">"c1796"</definedName>
    <definedName name="IQ_PERCENT_CHANGE_EST_REV_12MONTHS_CIQ" hidden="1">"c3741"</definedName>
    <definedName name="IQ_PERCENT_CHANGE_EST_REV_18MONTHS" hidden="1">"c1797"</definedName>
    <definedName name="IQ_PERCENT_CHANGE_EST_REV_18MONTHS_CIQ" hidden="1">"c3742"</definedName>
    <definedName name="IQ_PERCENT_CHANGE_EST_REV_3MONTHS" hidden="1">"c1793"</definedName>
    <definedName name="IQ_PERCENT_CHANGE_EST_REV_3MONTHS_CIQ" hidden="1">"c3738"</definedName>
    <definedName name="IQ_PERCENT_CHANGE_EST_REV_6MONTHS" hidden="1">"c1794"</definedName>
    <definedName name="IQ_PERCENT_CHANGE_EST_REV_6MONTHS_CIQ" hidden="1">"c3739"</definedName>
    <definedName name="IQ_PERCENT_CHANGE_EST_REV_9MONTHS" hidden="1">"c1795"</definedName>
    <definedName name="IQ_PERCENT_CHANGE_EST_REV_9MONTHS_CIQ" hidden="1">"c3740"</definedName>
    <definedName name="IQ_PERCENT_CHANGE_EST_REV_DAY" hidden="1">"c1790"</definedName>
    <definedName name="IQ_PERCENT_CHANGE_EST_REV_DAY_CIQ" hidden="1">"c3735"</definedName>
    <definedName name="IQ_PERCENT_CHANGE_EST_REV_MONTH" hidden="1">"c1792"</definedName>
    <definedName name="IQ_PERCENT_CHANGE_EST_REV_MONTH_CIQ" hidden="1">"c3737"</definedName>
    <definedName name="IQ_PERCENT_CHANGE_EST_REV_WEEK" hidden="1">"c1791"</definedName>
    <definedName name="IQ_PERCENT_CHANGE_EST_REV_WEEK_CIQ" hidden="1">"c3736"</definedName>
    <definedName name="IQ_PERCENT_INSURED_FDIC" hidden="1">"c6374"</definedName>
    <definedName name="IQ_PERCENTAGE_RENT" hidden="1">"c16018"</definedName>
    <definedName name="IQ_PERCENTAGE_RENT_RENTAL_REVENUE" hidden="1">"c16063"</definedName>
    <definedName name="IQ_PERFORMANCE_LOC_FOREIGN_GUARANTEES_FFIEC" hidden="1">"c13251"</definedName>
    <definedName name="IQ_PERIODDATE"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 hidden="1">"c6401"</definedName>
    <definedName name="IQ_PLL" hidden="1">"c2114"</definedName>
    <definedName name="IQ_Company2089_DIFFUSION_INDEX" hidden="1">"c6946"</definedName>
    <definedName name="IQ_Company2089_DIFFUSION_INDEX_APR" hidden="1">"c7606"</definedName>
    <definedName name="IQ_Company2089_DIFFUSION_INDEX_APR_FC" hidden="1">"c8486"</definedName>
    <definedName name="IQ_Company2089_DIFFUSION_INDEX_FC" hidden="1">"c7826"</definedName>
    <definedName name="IQ_Company2089_DIFFUSION_INDEX_POP" hidden="1">"c7166"</definedName>
    <definedName name="IQ_Company2089_DIFFUSION_INDEX_POP_FC" hidden="1">"c8046"</definedName>
    <definedName name="IQ_Company2089_DIFFUSION_INDEX_YOY" hidden="1">"c7386"</definedName>
    <definedName name="IQ_Company2089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RTFOLIO_SHARES" hidden="1">"c19116"</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PERSON0813" hidden="1">"c9271"</definedName>
    <definedName name="IQ_PP_ATTRIB_ORE_RESERVES_PLAT" hidden="1">"c9109"</definedName>
    <definedName name="IQ_PP_ATTRIB_ORE_RESERVES_SILVER" hidden="1">"c9056"</definedName>
    <definedName name="IQ_PP_ATTRIB_ORE_RESERVES_PRODUCT0419" hidden="1">"c9536"</definedName>
    <definedName name="IQ_PP_ATTRIB_ORE_RESERVES_URAN" hidden="1">"c9589"</definedName>
    <definedName name="IQ_PP_ATTRIB_ORE_RESERVES_Company3050"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PERSON0813" hidden="1">"c9264"</definedName>
    <definedName name="IQ_PP_ORE_RESERVES_PLAT" hidden="1">"c9102"</definedName>
    <definedName name="IQ_PP_ORE_RESERVES_SILVER" hidden="1">"c9049"</definedName>
    <definedName name="IQ_PP_ORE_RESERVES_PRODUCT0419" hidden="1">"c9529"</definedName>
    <definedName name="IQ_PP_ORE_RESERVES_URAN" hidden="1">"c9582"</definedName>
    <definedName name="IQ_PP_ORE_RESERVES_Company3050"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PERSON0813"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PRODUCT0419" hidden="1">"c9539"</definedName>
    <definedName name="IQ_PP_RECOV_ATTRIB_RESERVES_URAN" hidden="1">"c9592"</definedName>
    <definedName name="IQ_PP_RECOV_ATTRIB_RESERVES_Company3050"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PERSON0813" hidden="1">"c9268"</definedName>
    <definedName name="IQ_PP_RECOV_RESERVES_PLAT" hidden="1">"c9106"</definedName>
    <definedName name="IQ_PP_RECOV_RESERVES_SILVER" hidden="1">"c9053"</definedName>
    <definedName name="IQ_PP_RECOV_RESERVES_STEAM" hidden="1">"c9772"</definedName>
    <definedName name="IQ_PP_RECOV_RESERVES_PRODUCT0419" hidden="1">"c9533"</definedName>
    <definedName name="IQ_PP_RECOV_RESERVES_URAN" hidden="1">"c9586"</definedName>
    <definedName name="IQ_PP_RECOV_RESERVES_Company3050"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PERSON0813" hidden="1">"c9265"</definedName>
    <definedName name="IQ_PP_RESERVES_GRADE_PLAT" hidden="1">"c9103"</definedName>
    <definedName name="IQ_PP_RESERVES_GRADE_SILVER" hidden="1">"c9050"</definedName>
    <definedName name="IQ_PP_RESERVES_GRADE_PRODUCT0419" hidden="1">"c9530"</definedName>
    <definedName name="IQ_PP_RESERVES_GRADE_URAN" hidden="1">"c9583"</definedName>
    <definedName name="IQ_PP_RESERVES_GRADE_Company3050"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CIQ_COL" hidden="1">"c11711"</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FFIEC" hidden="1">"c12875"</definedName>
    <definedName name="IQ_PREF_TOT" hidden="1">"c1415"</definedName>
    <definedName name="IQ_PREFERRED_DEPOSITS_FFIEC" hidden="1">"c15312"</definedName>
    <definedName name="IQ_PREFERRED_FDIC" hidden="1">"c6349"</definedName>
    <definedName name="IQ_PREFERRED_LIST" hidden="1">"c13506"</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SIDENT_ID" hidden="1">"c15216"</definedName>
    <definedName name="IQ_PRESIDENT_NAME" hidden="1">"c15215"</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AFTER_CAP_ALLOCATION_FOREIGN_FFIEC" hidden="1">"c15390"</definedName>
    <definedName name="IQ_PRETAX_INC_BEFORE_CAP_ALLOCATION_FOREIGN_FFIEC" hidden="1">"c15388"</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OPERATING_INC_AVG_ASSETS_FFIEC" hidden="1">"c13365"</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EV_MONTHLY_FACTOR" hidden="1">"c8973"</definedName>
    <definedName name="IQ_PREV_MONTHLY_FACTOR_DATE" hidden="1">"c8974"</definedName>
    <definedName name="IQ_PREVIOUS_TIME_RT" hidden="1">"PREVIOUSLASTTIME"</definedName>
    <definedName name="IQ_PRICE_CFPS_FWD" hidden="1">"c2237"</definedName>
    <definedName name="IQ_PRICE_OVER_BVPS" hidden="1">"c1412"</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SALES" hidden="1">"c17552"</definedName>
    <definedName name="IQ_PRICE_TARGET" hidden="1">"c82"</definedName>
    <definedName name="IQ_PRICE_TARGET_BOTTOM_UP_CIQ" hidden="1">"c12023"</definedName>
    <definedName name="IQ_PRICE_TARGET_CIQ" hidden="1">"c3613"</definedName>
    <definedName name="IQ_PRICE_VOL_HIST_2YR" hidden="1">"c15637"</definedName>
    <definedName name="IQ_PRICE_VOL_HIST_3MTH" hidden="1">"c15634"</definedName>
    <definedName name="IQ_PRICE_VOL_HIST_5YR" hidden="1">"c15638"</definedName>
    <definedName name="IQ_PRICE_VOL_HIST_6MTH" hidden="1">"c15635"</definedName>
    <definedName name="IQ_PRICE_VOL_HIST_YR" hidden="1">"c15636"</definedName>
    <definedName name="IQ_PRICE_VOLATILITY_EST_CIQ_COL" hidden="1">"c11677"</definedName>
    <definedName name="IQ_PRICE_VOLATILITY_HIGH_CIQ_COL" hidden="1">"c11678"</definedName>
    <definedName name="IQ_PRICE_VOLATILITY_LOW_CIQ_COL" hidden="1">"c11679"</definedName>
    <definedName name="IQ_PRICE_VOLATILITY_MEDIAN_CIQ_COL" hidden="1">"c11680"</definedName>
    <definedName name="IQ_PRICE_VOLATILITY_NUM_CIQ_COL" hidden="1">"c11681"</definedName>
    <definedName name="IQ_PRICE_VOLATILITY_STDDEV_CIQ_COL" hidden="1">"c11682"</definedName>
    <definedName name="IQ_PRICEDATE" hidden="1">"c1069"</definedName>
    <definedName name="IQ_PRICING_DATE" hidden="1">"c1613"</definedName>
    <definedName name="IQ_PRIMARY_EPS_TYPE" hidden="1">"c4498"</definedName>
    <definedName name="IQ_PRIMARY_EPS_TYPE_CIQ" hidden="1">"c5036"</definedName>
    <definedName name="IQ_PRIMARY_EST_CONSOLIDATION" hidden="1">"c16246"</definedName>
    <definedName name="IQ_PRIMARY_EST_CONSOLIDATION_CIQ" hidden="1">"c16247"</definedName>
    <definedName name="IQ_PRIMARY_INDUSTRY" hidden="1">"c1070"</definedName>
    <definedName name="IQ_PRIMARY_SIC_CODE" hidden="1">"c16218"</definedName>
    <definedName name="IQ_PRIMARY_SIC_INDUSTRY" hidden="1">"c16217"</definedName>
    <definedName name="IQ_PRINCIPAL_AMT" hidden="1">"c2157"</definedName>
    <definedName name="IQ_PRIVATE_CONST_TOTAL_APR_FC_UNUSED" hidden="1">"c8559"</definedName>
    <definedName name="IQ_PRIVATE_CONST_TOTAL_APR_UNUSED" hidden="1">"c7679"</definedName>
    <definedName name="IQ_PRIVATE_CONST_TOTAL_FC_UNUSED" hidden="1">"c7899"</definedName>
    <definedName name="IQ_PRIVATE_CONST_TOTAL_POP_FC_UNUSED" hidden="1">"c8119"</definedName>
    <definedName name="IQ_PRIVATE_CONST_TOTAL_POP_UNUSED" hidden="1">"c7239"</definedName>
    <definedName name="IQ_PRIVATE_CONST_TOTAL_UNUSED" hidden="1">"c7019"</definedName>
    <definedName name="IQ_PRIVATE_CONST_TOTAL_YOY_FC_UNUSED" hidden="1">"c8339"</definedName>
    <definedName name="IQ_PRIVATE_CONST_TOTAL_YOY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UNUSED" hidden="1">"c7655"</definedName>
    <definedName name="IQ_PRIVATE_RES_CONST_REAL_FC_UNUSED" hidden="1">"c7875"</definedName>
    <definedName name="IQ_PRIVATE_RES_CONST_REAL_POP_FC_UNUSED" hidden="1">"c8095"</definedName>
    <definedName name="IQ_PRIVATE_RES_CONST_REAL_POP_UNUSED" hidden="1">"c7215"</definedName>
    <definedName name="IQ_PRIVATE_RES_CONST_REAL_UNUSED" hidden="1">"c6995"</definedName>
    <definedName name="IQ_PRIVATE_RES_CONST_REAL_YOY_FC_UNUSED" hidden="1">"c8315"</definedName>
    <definedName name="IQ_PRIVATE_RES_CONST_REAL_YOY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PERSON0813" hidden="1">"c9270"</definedName>
    <definedName name="IQ_PROBABLE_ATTRIB_ORE_RESERVES_PLAT" hidden="1">"c9108"</definedName>
    <definedName name="IQ_PROBABLE_ATTRIB_ORE_RESERVES_SILVER" hidden="1">"c9055"</definedName>
    <definedName name="IQ_PROBABLE_ATTRIB_ORE_RESERVES_PRODUCT0419" hidden="1">"c9535"</definedName>
    <definedName name="IQ_PROBABLE_ATTRIB_ORE_RESERVES_URAN" hidden="1">"c9588"</definedName>
    <definedName name="IQ_PROBABLE_ATTRIB_ORE_RESERVES_Company3050"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PERSON0813" hidden="1">"c9262"</definedName>
    <definedName name="IQ_PROBABLE_ORE_RESERVES_PLAT" hidden="1">"c9100"</definedName>
    <definedName name="IQ_PROBABLE_ORE_RESERVES_SILVER" hidden="1">"c9047"</definedName>
    <definedName name="IQ_PROBABLE_ORE_RESERVES_PRODUCT0419" hidden="1">"c9527"</definedName>
    <definedName name="IQ_PROBABLE_ORE_RESERVES_URAN" hidden="1">"c9580"</definedName>
    <definedName name="IQ_PROBABLE_ORE_RESERVES_Company3050"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PERSON0813"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PRODUCT0419" hidden="1">"c9538"</definedName>
    <definedName name="IQ_PROBABLE_RECOV_ATTRIB_RESERVES_URAN" hidden="1">"c9591"</definedName>
    <definedName name="IQ_PROBABLE_RECOV_ATTRIB_RESERVES_Company3050"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PERSON0813"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PRODUCT0419" hidden="1">"c9532"</definedName>
    <definedName name="IQ_PROBABLE_RECOV_RESERVES_URAN" hidden="1">"c9585"</definedName>
    <definedName name="IQ_PROBABLE_RECOV_RESERVES_Company3050"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PERSON0813" hidden="1">"c9263"</definedName>
    <definedName name="IQ_PROBABLE_RESERVES_GRADE_PLAT" hidden="1">"c9101"</definedName>
    <definedName name="IQ_PROBABLE_RESERVES_GRADE_SILVER" hidden="1">"c9048"</definedName>
    <definedName name="IQ_PROBABLE_RESERVES_GRADE_PRODUCT0419" hidden="1">"c9528"</definedName>
    <definedName name="IQ_PROBABLE_RESERVES_GRADE_URAN" hidden="1">"c9581"</definedName>
    <definedName name="IQ_PROBABLE_RESERVES_GRADE_Company3050" hidden="1">"c9316"</definedName>
    <definedName name="IQ_PROBABLE_RESERVES_TO_TOTAL_RESERVES_COAL" hidden="1">"c15953"</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PERSON0813" hidden="1">"c9306"</definedName>
    <definedName name="IQ_PRODUCTION_COST_PLAT" hidden="1">"c9144"</definedName>
    <definedName name="IQ_PRODUCTION_COST_SILVER" hidden="1">"c9091"</definedName>
    <definedName name="IQ_PRODUCTION_COST_STEAM" hidden="1">"c9793"</definedName>
    <definedName name="IQ_PRODUCTION_COST_PRODUCT0419" hidden="1">"c9571"</definedName>
    <definedName name="IQ_PRODUCTION_COST_URAN" hidden="1">"c9624"</definedName>
    <definedName name="IQ_PRODUCTION_COST_Company3050" hidden="1">"c9359"</definedName>
    <definedName name="IQ_PRODUCTION_TO_SOLD_COAL" hidden="1">"c15945"</definedName>
    <definedName name="IQ_PROFESSIONAL" hidden="1">"c1071"</definedName>
    <definedName name="IQ_PROFESSIONAL_ALL_OTHER_COMP" hidden="1">"c18944"</definedName>
    <definedName name="IQ_PROFESSIONAL_ANNUAL_CASH_COMP" hidden="1">"c18945"</definedName>
    <definedName name="IQ_PROFESSIONAL_AS_REPORTED_COMP" hidden="1">"c18949"</definedName>
    <definedName name="IQ_PROFESSIONAL_AS_REPORTED_DIRECTOR_COMP" hidden="1">"c18961"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BONUS" hidden="1">"c18940"</definedName>
    <definedName name="IQ_PROFESSIONAL_CALCULATED_COMP" hidden="1">"c18947"</definedName>
    <definedName name="IQ_PROFESSIONAL_CHANGE_PENSION" hidden="1">"c18962"</definedName>
    <definedName name="IQ_PROFESSIONAL_DIRECT_FAX" hidden="1">"c15166"</definedName>
    <definedName name="IQ_PROFESSIONAL_DIRECT_PHONE" hidden="1">"c15165"</definedName>
    <definedName name="IQ_PROFESSIONAL_DIRECTOR_BONUS" hidden="1">"c18956"</definedName>
    <definedName name="IQ_PROFESSIONAL_DIRECTOR_CHANGE_PENSION" hidden="1">"c18957"</definedName>
    <definedName name="IQ_PROFESSIONAL_DIRECTOR_FEE" hidden="1">"c18953"</definedName>
    <definedName name="IQ_PROFESSIONAL_DIRECTOR_NON_EQUITY_COMP" hidden="1">"c18958"</definedName>
    <definedName name="IQ_PROFESSIONAL_DIRECTOR_OPTION_AWARDS" hidden="1">"c18954"</definedName>
    <definedName name="IQ_PROFESSIONAL_DIRECTOR_OTHER" hidden="1">"c18955"</definedName>
    <definedName name="IQ_PROFESSIONAL_DIRECTOR_STOCK_AWARDS" hidden="1">"c18959"</definedName>
    <definedName name="IQ_PROFESSIONAL_DIRECTOR_STOCK_GRANTS" hidden="1">"c18986"</definedName>
    <definedName name="IQ_PROFESSIONAL_DIRECTOR_STOCK_OPTIONS" hidden="1">"c18960"</definedName>
    <definedName name="IQ_PROFESSIONAL_EMAIL" hidden="1">"c15167"</definedName>
    <definedName name="IQ_PROFESSIONAL_EQUITY_INCENTIVE" hidden="1">"c18982"</definedName>
    <definedName name="IQ_PROFESSIONAL_EST_PAYMENTS_CHANGE_CONTROL" hidden="1">"c18951"</definedName>
    <definedName name="IQ_PROFESSIONAL_EST_PAYMENTS_TERMINATION" hidden="1">"c18963"</definedName>
    <definedName name="IQ_PROFESSIONAL_EXERCISABLE_OPTIONS" hidden="1">"c18966"</definedName>
    <definedName name="IQ_PROFESSIONAL_EXERCISABLE_VALUES" hidden="1">"c18967"</definedName>
    <definedName name="IQ_PROFESSIONAL_EXERCISED_OPTIONS" hidden="1">"c18964"</definedName>
    <definedName name="IQ_PROFESSIONAL_EXERCISED_VALUES" hidden="1">"c18965"</definedName>
    <definedName name="IQ_PROFESSIONAL_ID" hidden="1">"c13755"</definedName>
    <definedName name="IQ_PROFESSIONAL_LT_INCENTIVE" hidden="1">"c18943"</definedName>
    <definedName name="IQ_PROFESSIONAL_MAIN_FAX" hidden="1">"c15164"</definedName>
    <definedName name="IQ_PROFESSIONAL_MAIN_PHONE" hidden="1">"c15163"</definedName>
    <definedName name="IQ_PROFESSIONAL_MARKET_VALUE_SHARES_NOT_VESTED" hidden="1">"c18981"</definedName>
    <definedName name="IQ_PROFESSIONAL_NON_EQUITY_INCENTIVE" hidden="1">"c18952"</definedName>
    <definedName name="IQ_PROFESSIONAL_NUM_SHARED_NOT_VESTED" hidden="1">"c18980"</definedName>
    <definedName name="IQ_PROFESSIONAL_NUM_SHARES_ACQUIRED" hidden="1">"c18978"</definedName>
    <definedName name="IQ_PROFESSIONAL_OFFICE_ADDRESS" hidden="1">"c15162"</definedName>
    <definedName name="IQ_PROFESSIONAL_OPTION_AWARDS" hidden="1">"c18948"</definedName>
    <definedName name="IQ_PROFESSIONAL_OPTION_MARKET_PRICE" hidden="1">"c18977"</definedName>
    <definedName name="IQ_PROFESSIONAL_OPTION_PRICE" hidden="1">"c18976"</definedName>
    <definedName name="IQ_PROFESSIONAL_OTHER_ANNUAL_COMP" hidden="1">"c18941"</definedName>
    <definedName name="IQ_PROFESSIONAL_OTHER_COMP" hidden="1">"c18950"</definedName>
    <definedName name="IQ_PROFESSIONAL_RESTRICTED_STOCK_COMP" hidden="1">"c18942"</definedName>
    <definedName name="IQ_PROFESSIONAL_SALARY" hidden="1">"c18939"</definedName>
    <definedName name="IQ_PROFESSIONAL_ST_COMP" hidden="1">"c18946"</definedName>
    <definedName name="IQ_PROFESSIONAL_TITLE" hidden="1">"c1072"</definedName>
    <definedName name="IQ_PROFESSIONAL_TOTAL_NUM_STOCK_AWARDS" hidden="1">"c18985"</definedName>
    <definedName name="IQ_PROFESSIONAL_TOTAL_OPTIONS" hidden="1">"c18974"</definedName>
    <definedName name="IQ_PROFESSIONAL_TOTAL_STOCK_VALUE" hidden="1">"c18984"</definedName>
    <definedName name="IQ_PROFESSIONAL_TOTAL_VALUE_OPTIONS" hidden="1">"c18975"</definedName>
    <definedName name="IQ_PROFESSIONAL_UNCLASSIFIED_OPTIONS" hidden="1">"c18970"</definedName>
    <definedName name="IQ_PROFESSIONAL_UNCLASSIFIED_OPTIONS_VALUE" hidden="1">"c18971"</definedName>
    <definedName name="IQ_PROFESSIONAL_UNEARNED_STOCK_VALUE" hidden="1">"c18983"</definedName>
    <definedName name="IQ_PROFESSIONAL_UNEXERCISABLE_OPTIONS" hidden="1">"c18968"</definedName>
    <definedName name="IQ_PROFESSIONAL_UNEXERCISABLE_VALUES" hidden="1">"c18969"</definedName>
    <definedName name="IQ_PROFESSIONAL_UNEXERCISED_UNEARNED_OPTIONS" hidden="1">"c18972"</definedName>
    <definedName name="IQ_PROFESSIONAL_UNEXERCISED_UNEARNED_OPTIONS_VALUE" hidden="1">"c18973"</definedName>
    <definedName name="IQ_PROFESSIONAL_VALUE_VESTING" hidden="1">"c18979"</definedName>
    <definedName name="IQ_PROFIT_AFTER_COST_CAPITAL_NEW_BUSINESS" hidden="1">"c9969"</definedName>
    <definedName name="IQ_PROFIT_BEFORE_COST_CAPITAL_NEW_BUSINESS" hidden="1">"c9967"</definedName>
    <definedName name="IQ_PROGRAMMING_COSTS" hidden="1">"c2884"</definedName>
    <definedName name="IQ_PROJECTED_PENSION_OBLIGATION" hidden="1">"c1292"</definedName>
    <definedName name="IQ_PROJECTED_PENSION_OBLIGATION_DOMESTIC" hidden="1">"c2656"</definedName>
    <definedName name="IQ_PROJECTED_PENSION_OBLIGATION_FOREIGN" hidden="1">"c2664"</definedName>
    <definedName name="IQ_PROP_MGMT_EXPENSE" hidden="1">"c16038"</definedName>
    <definedName name="IQ_PROP_MGMT_INCOME" hidden="1">"c16028"</definedName>
    <definedName name="IQ_PROP_OPERATING_EXPENSE" hidden="1">"c16037"</definedName>
    <definedName name="IQ_PROP_RENTAL_REVENUE" hidden="1">"c16019"</definedName>
    <definedName name="IQ_PROP_SALES_EXPENSE" hidden="1">"c16044"</definedName>
    <definedName name="IQ_PROPERTY_EXP" hidden="1">"c1073"</definedName>
    <definedName name="IQ_PROPERTY_GROSS" hidden="1">"c1379"</definedName>
    <definedName name="IQ_PROPERTY_MGMT_FEE" hidden="1">"c1074"</definedName>
    <definedName name="IQ_PROPERTY_NET" hidden="1">"c1402"</definedName>
    <definedName name="IQ_PROPERTY_TAX_INSURANCE" hidden="1">"c16033"</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PERSON0813" hidden="1">"c9269"</definedName>
    <definedName name="IQ_PROVED_ATTRIB_ORE_RESERVES_PLAT" hidden="1">"c9107"</definedName>
    <definedName name="IQ_PROVED_ATTRIB_ORE_RESERVES_SILVER" hidden="1">"c9054"</definedName>
    <definedName name="IQ_PROVED_ATTRIB_ORE_RESERVES_PRODUCT0419" hidden="1">"c9534"</definedName>
    <definedName name="IQ_PROVED_ATTRIB_ORE_RESERVES_URAN" hidden="1">"c9587"</definedName>
    <definedName name="IQ_PROVED_ATTRIB_ORE_RESERVES_Company3050"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PERSON0813" hidden="1">"c9260"</definedName>
    <definedName name="IQ_PROVED_ORE_RESERVES_PLAT" hidden="1">"c9098"</definedName>
    <definedName name="IQ_PROVED_ORE_RESERVES_SILVER" hidden="1">"c9045"</definedName>
    <definedName name="IQ_PROVED_ORE_RESERVES_PRODUCT0419" hidden="1">"c9525"</definedName>
    <definedName name="IQ_PROVED_ORE_RESERVES_URAN" hidden="1">"c9578"</definedName>
    <definedName name="IQ_PROVED_ORE_RESERVES_Company3050"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PERSON0813"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PRODUCT0419" hidden="1">"c9537"</definedName>
    <definedName name="IQ_PROVED_RECOV_ATTRIB_RESERVES_URAN" hidden="1">"c9590"</definedName>
    <definedName name="IQ_PROVED_RECOV_ATTRIB_RESERVES_Company3050"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PERSON0813" hidden="1">"c9266"</definedName>
    <definedName name="IQ_PROVED_RECOV_RESERVES_PLAT" hidden="1">"c9104"</definedName>
    <definedName name="IQ_PROVED_RECOV_RESERVES_SILVER" hidden="1">"c9051"</definedName>
    <definedName name="IQ_PROVED_RECOV_RESERVES_STEAM" hidden="1">"c9770"</definedName>
    <definedName name="IQ_PROVED_RECOV_RESERVES_PRODUCT0419" hidden="1">"c9531"</definedName>
    <definedName name="IQ_PROVED_RECOV_RESERVES_URAN" hidden="1">"c9584"</definedName>
    <definedName name="IQ_PROVED_RECOV_RESERVES_Company3050"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PERSON0813" hidden="1">"c9261"</definedName>
    <definedName name="IQ_PROVED_RESERVES_GRADE_PLAT" hidden="1">"c9099"</definedName>
    <definedName name="IQ_PROVED_RESERVES_GRADE_SILVER" hidden="1">"c9046"</definedName>
    <definedName name="IQ_PROVED_RESERVES_GRADE_PRODUCT0419" hidden="1">"c9526"</definedName>
    <definedName name="IQ_PROVED_RESERVES_GRADE_URAN" hidden="1">"c9579"</definedName>
    <definedName name="IQ_PROVED_RESERVES_GRADE_Company3050" hidden="1">"c9314"</definedName>
    <definedName name="IQ_PROVEN_RESERVES_TO_TOTAL_RESERVES_COAL" hidden="1">"c15952"</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AVG_LOANS" hidden="1">"c15717"</definedName>
    <definedName name="IQ_PROVISION_CHARGE_OFFS" hidden="1">"c1083"</definedName>
    <definedName name="IQ_PROVISION_LL_FFIEC" hidden="1">"c13019"</definedName>
    <definedName name="IQ_PROVISION_LOAN_LOSS_AVG_ASSETS_FFIEC" hidden="1">"c18879"</definedName>
    <definedName name="IQ_PROVISION_LOSSES_AVG_ASSETS_FFIEC" hidden="1">"c13362"</definedName>
    <definedName name="IQ_PROVISION_LOSSES_AVG_LOANS_FFIEC" hidden="1">"c13470"</definedName>
    <definedName name="IQ_PROVISION_LOSSES_NET_LOSSES_FFIEC" hidden="1">"c13471"</definedName>
    <definedName name="IQ_PSGR_REV" hidden="1">"c19125"</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OAL" hidden="1">"c15934"</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D_PRODUCTION_TO_SOLD_COAL" hidden="1">"c15947"</definedName>
    <definedName name="IQ_PURCHASED_TO_PRODUCTION_COAL" hidden="1">"c15948"</definedName>
    <definedName name="IQ_PURCHASED_TO_SOLD_COAL" hidden="1">"c15946"</definedName>
    <definedName name="IQ_PURCHASES_EQUIP_NONRES_SAAR_APR_FC_UNUSED" hidden="1">"c8491"</definedName>
    <definedName name="IQ_PURCHASES_EQUIP_NONRES_SAAR_APR_UNUSED" hidden="1">"c7611"</definedName>
    <definedName name="IQ_PURCHASES_EQUIP_NONRES_SAAR_FC_UNUSED" hidden="1">"c7831"</definedName>
    <definedName name="IQ_PURCHASES_EQUIP_NONRES_SAAR_POP_FC_UNUSED" hidden="1">"c8051"</definedName>
    <definedName name="IQ_PURCHASES_EQUIP_NONRES_SAAR_POP_UNUSED" hidden="1">"c7171"</definedName>
    <definedName name="IQ_PURCHASES_EQUIP_NONRES_SAAR_UNUSED" hidden="1">"c6951"</definedName>
    <definedName name="IQ_PURCHASES_EQUIP_NONRES_SAAR_YOY_FC_UNUSED" hidden="1">"c8271"</definedName>
    <definedName name="IQ_PURCHASES_EQUIP_NONRES_SAAR_YOY_UNUSED" hidden="1">"c7391"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UALIFYING_MINORITY_INT_T1_FFIEC" hidden="1">"c13135"</definedName>
    <definedName name="IQ_QUALIFYING_SUB_DEBT_REDEEM_PREF_T2_FFIEC" hidden="1">"c13144"</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TE_COUNTRY" hidden="1">"c19247"</definedName>
    <definedName name="IQ_RATE_LEVEL" hidden="1">"c19251"</definedName>
    <definedName name="IQ_RATE_NAME" hidden="1">"c19249"</definedName>
    <definedName name="IQ_RATE_TERM" hidden="1">"c19248"</definedName>
    <definedName name="IQ_RATE_TYPE" hidden="1">"c19246"</definedName>
    <definedName name="IQ_RAW_INV" hidden="1">"c1089"</definedName>
    <definedName name="IQ_RAW_SALEABLE_INVENTORY_COAL" hidden="1">"c15941"</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ASSET_DEVELOPMENT_PROP" hidden="1">"c19136"</definedName>
    <definedName name="IQ_RE_ASSET_INVESTMENT_PROP" hidden="1">"c19135"</definedName>
    <definedName name="IQ_RE_ASSET_OTHER_PROP" hidden="1">"c19137"</definedName>
    <definedName name="IQ_RE_ASSET_TOTAL_PROP" hidden="1">"c19138"</definedName>
    <definedName name="IQ_RE_DEPR_AMORT" hidden="1">"c8750"</definedName>
    <definedName name="IQ_RE_DEPRECIATION" hidden="1">"c16045"</definedName>
    <definedName name="IQ_RE_FARMLAND_GROSS_LOANS_FFIEC" hidden="1">"c13408"</definedName>
    <definedName name="IQ_RE_FARMLAND_RISK_BASED_FFIEC" hidden="1">"c13429"</definedName>
    <definedName name="IQ_RE_Company0943" hidden="1">"c8858"</definedName>
    <definedName name="IQ_RE_Company0943_CONT_OPS" hidden="1">"c8859"</definedName>
    <definedName name="IQ_RE_Company0943_INCL_DISC_OPS" hidden="1">"c8860"</definedName>
    <definedName name="IQ_RE_Company0943_INCL_PREF_DIV" hidden="1">"c8861"</definedName>
    <definedName name="IQ_RE_Company0943_INCL_PREF_DIV_CONT_OPS" hidden="1">"c8862"</definedName>
    <definedName name="IQ_RE_Company0943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ENTAL_EXPENSE" hidden="1">"c16036"</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ENT_FUNDS" hidden="1">"c18908"</definedName>
    <definedName name="IQ_RECENT_FUNDS_ID" hidden="1">"c18909"</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_CIQ" hidden="1">"c5045"</definedName>
    <definedName name="IQ_RECURRING_PROFIT_ACT_OR_EST_CIQ_COL" hidden="1">"c11692"</definedName>
    <definedName name="IQ_RECURRING_PROFIT_GUIDANCE" hidden="1">"c4500"</definedName>
    <definedName name="IQ_RECURRING_PROFIT_GUIDANCE_CIQ" hidden="1">"c5038"</definedName>
    <definedName name="IQ_RECURRING_PROFIT_GUIDANCE_CIQ_COL" hidden="1">"c11685"</definedName>
    <definedName name="IQ_RECURRING_PROFIT_HIGH_GUIDANCE" hidden="1">"c4179"</definedName>
    <definedName name="IQ_RECURRING_PROFIT_HIGH_GUIDANCE_CIQ" hidden="1">"c4591"</definedName>
    <definedName name="IQ_RECURRING_PROFIT_HIGH_GUIDANCE_CIQ_COL" hidden="1">"c11240"</definedName>
    <definedName name="IQ_RECURRING_PROFIT_LOW_GUIDANCE" hidden="1">"c4219"</definedName>
    <definedName name="IQ_RECURRING_PROFIT_LOW_GUIDANCE_CIQ" hidden="1">"c4631"</definedName>
    <definedName name="IQ_RECURRING_PROFIT_LOW_GUIDANCE_CIQ_COL" hidden="1">"c11280"</definedName>
    <definedName name="IQ_RECURRING_PROFIT_SHARE_ACT_OR_EST_CIQ" hidden="1">"c5046"</definedName>
    <definedName name="IQ_RECURRING_PROFIT_SHARE_ACT_OR_EST_CIQ_COL" hidden="1">"c11693"</definedName>
    <definedName name="IQ_RECURRING_PROFIT_SHARE_GUIDANCE" hidden="1">"c4509"</definedName>
    <definedName name="IQ_RECURRING_PROFIT_SHARE_GUIDANCE_CIQ" hidden="1">"c5047"</definedName>
    <definedName name="IQ_RECURRING_PROFIT_SHARE_GUIDANCE_CIQ_COL" hidden="1">"c11694"</definedName>
    <definedName name="IQ_RECURRING_PROFIT_SHARE_HIGH_GUIDANCE" hidden="1">"c4200"</definedName>
    <definedName name="IQ_RECURRING_PROFIT_SHARE_HIGH_GUIDANCE_CIQ" hidden="1">"c4612"</definedName>
    <definedName name="IQ_RECURRING_PROFIT_SHARE_HIGH_GUIDANCE_CIQ_COL" hidden="1">"c11261"</definedName>
    <definedName name="IQ_RECURRING_PROFIT_SHARE_LOW_GUIDANCE" hidden="1">"c4240"</definedName>
    <definedName name="IQ_RECURRING_PROFIT_SHARE_LOW_GUIDANCE_CIQ" hidden="1">"c4652"</definedName>
    <definedName name="IQ_RECURRING_PROFIT_SHARE_LOW_GUIDANCE_CIQ_COL" hidden="1">"c11301"</definedName>
    <definedName name="IQ_REDEEM_PREF_STOCK" hidden="1">"c1417"</definedName>
    <definedName name="IQ_REDUCTION_TAX_POSITION_CURRENT_YR" hidden="1">"c15734"</definedName>
    <definedName name="IQ_REDUCTION_TAX_POSITION_PRIOR_YRS" hidden="1">"c15736"</definedName>
    <definedName name="IQ_REF_ENTITY" hidden="1">"c6033"</definedName>
    <definedName name="IQ_REF_ENTITY_CIQID" hidden="1">"c6024"</definedName>
    <definedName name="IQ_REF_ENTITY_TICKER" hidden="1">"c6023"</definedName>
    <definedName name="IQ_REG_ASSETS" hidden="1">"c1095"</definedName>
    <definedName name="IQ_REINSTATED" hidden="1">"c16221"</definedName>
    <definedName name="IQ_REINSTATEMENT_DATE" hidden="1">"c16222"</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AVG_PROP" hidden="1">"c16056"</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NOI" hidden="1">"c16065"</definedName>
    <definedName name="IQ_RENTAL_NOI_AVG_GROSS_PROP" hidden="1">"c16057"</definedName>
    <definedName name="IQ_RENTAL_NOI_TOTAL_RENT_REVENUE" hidden="1">"c16061"</definedName>
    <definedName name="IQ_RENTAL_REV" hidden="1">"c1101"</definedName>
    <definedName name="IQ_REPAIRS_MAINTENANCE" hidden="1">"c16032"</definedName>
    <definedName name="IQ_REPO" hidden="1">"c19133"</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UNUSED" hidden="1">"c7656"</definedName>
    <definedName name="IQ_RES_CONST_REAL_FC_UNUSED" hidden="1">"c7876"</definedName>
    <definedName name="IQ_RES_CONST_REAL_POP_FC_UNUSED" hidden="1">"c8096"</definedName>
    <definedName name="IQ_RES_CONST_REAL_POP_UNUSED" hidden="1">"c7216"</definedName>
    <definedName name="IQ_RES_CONST_REAL_SAAR_APR_FC_UNUSED" hidden="1">"c8537"</definedName>
    <definedName name="IQ_RES_CONST_REAL_SAAR_APR_UNUSED" hidden="1">"c7657"</definedName>
    <definedName name="IQ_RES_CONST_REAL_SAAR_FC_UNUSED" hidden="1">"c7877"</definedName>
    <definedName name="IQ_RES_CONST_REAL_SAAR_POP_FC_UNUSED" hidden="1">"c8097"</definedName>
    <definedName name="IQ_RES_CONST_REAL_SAAR_POP_UNUSED" hidden="1">"c7217"</definedName>
    <definedName name="IQ_RES_CONST_REAL_SAAR_UNUSED" hidden="1">"c6997"</definedName>
    <definedName name="IQ_RES_CONST_REAL_SAAR_YOY_FC_UNUSED" hidden="1">"c8317"</definedName>
    <definedName name="IQ_RES_CONST_REAL_SAAR_YOY_UNUSED" hidden="1">"c7437"</definedName>
    <definedName name="IQ_RES_CONST_REAL_UNUSED" hidden="1">"c6996"</definedName>
    <definedName name="IQ_RES_CONST_REAL_YOY_FC_UNUSED" hidden="1">"c8316"</definedName>
    <definedName name="IQ_RES_CONST_REAL_YOY_UNUSED" hidden="1">"c7436"</definedName>
    <definedName name="IQ_RES_CONST_SAAR_APR_FC_UNUSED" hidden="1">"c8540"</definedName>
    <definedName name="IQ_RES_CONST_SAAR_APR_UNUSED" hidden="1">"c7660"</definedName>
    <definedName name="IQ_RES_CONST_SAAR_FC_UNUSED" hidden="1">"c7880"</definedName>
    <definedName name="IQ_RES_CONST_SAAR_POP_FC_UNUSED" hidden="1">"c8100"</definedName>
    <definedName name="IQ_RES_CONST_SAAR_POP_UNUSED" hidden="1">"c7220"</definedName>
    <definedName name="IQ_RES_CONST_SAAR_UNUSED" hidden="1">"c7000"</definedName>
    <definedName name="IQ_RES_CONST_SAAR_YOY_FC_UNUSED" hidden="1">"c8320"</definedName>
    <definedName name="IQ_RES_CONST_SAAR_YOY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ATALOG_REVENUES" hidden="1">"c9903"</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NLINE_REVENUES" hidden="1">"c9904"</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REVENUES" hidden="1">"c9902"</definedName>
    <definedName name="IQ_RETAIL_SALES" hidden="1">"c7003"</definedName>
    <definedName name="IQ_RETAIL_SALES_APR" hidden="1">"c7663"</definedName>
    <definedName name="IQ_RETAIL_SALES_APR_FC" hidden="1">"c8543"</definedName>
    <definedName name="IQ_RETAIL_SALES_CATALOG" hidden="1">"c16128"</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"c16129"</definedName>
    <definedName name="IQ_RETAIL_SALES_POP" hidden="1">"c7223"</definedName>
    <definedName name="IQ_RETAIL_SALES_POP_FC" hidden="1">"c8103"</definedName>
    <definedName name="IQ_RETAIL_SALES_RETAIL" hidden="1">"c16127"</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L_WHOLESALE_REVENUES" hidden="1">"c15895"</definedName>
    <definedName name="IQ_RETAINED_EARN" hidden="1">"c1420"</definedName>
    <definedName name="IQ_RETAINED_EARNINGS_AVERAGE_EQUITY_FDIC" hidden="1">"c6733"</definedName>
    <definedName name="IQ_RETAINED_EARNINGS_EQUITY_FFIEC" hidden="1">"c13348"</definedName>
    <definedName name="IQ_RETAINED_EARNINGS_FFIEC" hidden="1">"c12878"</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ASSETS_GUIDANCE_CIQ" hidden="1">"c5055"</definedName>
    <definedName name="IQ_RETURN_ASSETS_GUIDANCE_CIQ_COL" hidden="1">"c11702"</definedName>
    <definedName name="IQ_RETURN_ASSETS_HIGH_GUIDANCE_CIQ" hidden="1">"c4595"</definedName>
    <definedName name="IQ_RETURN_ASSETS_HIGH_GUIDANCE_CIQ_COL" hidden="1">"c11244"</definedName>
    <definedName name="IQ_RETURN_ASSETS_LOW_GUIDANCE_CIQ" hidden="1">"c4635"</definedName>
    <definedName name="IQ_RETURN_ASSETS_LOW_GUIDANCE_CIQ_COL" hidden="1">"c11284"</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EQUITY_GUIDANCE_CIQ" hidden="1">"c5056"</definedName>
    <definedName name="IQ_RETURN_EQUITY_GUIDANCE_CIQ_COL" hidden="1">"c11703"</definedName>
    <definedName name="IQ_RETURN_EQUITY_HIGH_GUIDANCE_CIQ" hidden="1">"c4594"</definedName>
    <definedName name="IQ_RETURN_EQUITY_HIGH_GUIDANCE_CIQ_COL" hidden="1">"c11243"</definedName>
    <definedName name="IQ_RETURN_EQUITY_LOW_GUIDANCE_CIQ" hidden="1">"c4634"</definedName>
    <definedName name="IQ_RETURN_EQUITY_LOW_GUIDANCE_CIQ_COL" hidden="1">"c11283"</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BEFORE_LOAN_LOSS_FOREIGN_FFIEC" hidden="1">"c15381"</definedName>
    <definedName name="IQ_REV_NAME_AP" hidden="1">"c8911"</definedName>
    <definedName name="IQ_REV_NAME_AP_ABS" hidden="1">"c8930"</definedName>
    <definedName name="IQ_REV_STDDEV_EST" hidden="1">"c1124"</definedName>
    <definedName name="IQ_REV_STDDEV_EST_CIQ" hidden="1">"c3621"</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ALUATION_NON_TRADING_PROP" hidden="1">"c15999"</definedName>
    <definedName name="IQ_REVENUE" hidden="1">"c1422"</definedName>
    <definedName name="IQ_REVENUE_ACT_OR_EST" hidden="1">"c2214"</definedName>
    <definedName name="IQ_REVENUE_ACT_OR_EST_CIQ" hidden="1">"c5059"</definedName>
    <definedName name="IQ_REVENUE_ACT_OR_EST_CIQ_COL" hidden="1">"c11706"</definedName>
    <definedName name="IQ_REVENUE_ADVERTISING" hidden="1">"c2880"</definedName>
    <definedName name="IQ_REVENUE_COMPANY0235_CABLE" hidden="1">"c2875"</definedName>
    <definedName name="IQ_REVENUE_BASIC_CABLE" hidden="1">"c2877"</definedName>
    <definedName name="IQ_REVENUE_BBAND" hidden="1">"c2878"</definedName>
    <definedName name="IQ_REVENUE_BEFORE_LL_FFIEC" hidden="1">"c13018"</definedName>
    <definedName name="IQ_REVENUE_COMMERCIAL" hidden="1">"c2881"</definedName>
    <definedName name="IQ_REVENUE_DIGITAL_CABLE" hidden="1">"c2876"</definedName>
    <definedName name="IQ_REVENUE_EST" hidden="1">"c1126"</definedName>
    <definedName name="IQ_REVENUE_EST_BOTTOM_UP_CIQ" hidden="1">"c12025"</definedName>
    <definedName name="IQ_REVENUE_EST_CIQ" hidden="1">"c3616"</definedName>
    <definedName name="IQ_REVENUE_EST_DOWN_2MONTH" hidden="1">"c16285"</definedName>
    <definedName name="IQ_REVENUE_EST_DOWN_2MONTH_CIQ" hidden="1">"c16609"</definedName>
    <definedName name="IQ_REVENUE_EST_DOWN_3MONTH" hidden="1">"c16289"</definedName>
    <definedName name="IQ_REVENUE_EST_DOWN_3MONTH_CIQ" hidden="1">"c16613"</definedName>
    <definedName name="IQ_REVENUE_EST_DOWN_MONTH" hidden="1">"c16281"</definedName>
    <definedName name="IQ_REVENUE_EST_DOWN_MONTH_CIQ" hidden="1">"c16605"</definedName>
    <definedName name="IQ_REVENUE_EST_NOTE" hidden="1">"c17502"</definedName>
    <definedName name="IQ_REVENUE_EST_NOTE_CIQ" hidden="1">"c17455"</definedName>
    <definedName name="IQ_REVENUE_EST_NUM_ANALYSTS_2MONTH" hidden="1">"c16283"</definedName>
    <definedName name="IQ_REVENUE_EST_NUM_ANALYSTS_2MONTH_CIQ" hidden="1">"c16607"</definedName>
    <definedName name="IQ_REVENUE_EST_NUM_ANALYSTS_3MONTH" hidden="1">"c16287"</definedName>
    <definedName name="IQ_REVENUE_EST_NUM_ANALYSTS_3MONTH_CIQ" hidden="1">"c16611"</definedName>
    <definedName name="IQ_REVENUE_EST_NUM_ANALYSTS_MONTH" hidden="1">"c16279"</definedName>
    <definedName name="IQ_REVENUE_EST_NUM_ANALYSTS_MONTH_CIQ" hidden="1">"c16603"</definedName>
    <definedName name="IQ_REVENUE_EST_TOTAL_REVISED_2MONTH" hidden="1">"c16286"</definedName>
    <definedName name="IQ_REVENUE_EST_TOTAL_REVISED_2MONTH_CIQ" hidden="1">"c16610"</definedName>
    <definedName name="IQ_REVENUE_EST_TOTAL_REVISED_3MONTH" hidden="1">"c16290"</definedName>
    <definedName name="IQ_REVENUE_EST_TOTAL_REVISED_3MONTH_CIQ" hidden="1">"c16614"</definedName>
    <definedName name="IQ_REVENUE_EST_TOTAL_REVISED_MONTH" hidden="1">"c16282"</definedName>
    <definedName name="IQ_REVENUE_EST_TOTAL_REVISED_MONTH_CIQ" hidden="1">"c16606"</definedName>
    <definedName name="IQ_REVENUE_EST_UP_2MONTH" hidden="1">"c16284"</definedName>
    <definedName name="IQ_REVENUE_EST_UP_2MONTH_CIQ" hidden="1">"c16608"</definedName>
    <definedName name="IQ_REVENUE_EST_UP_3MONTH" hidden="1">"c16288"</definedName>
    <definedName name="IQ_REVENUE_EST_UP_3MONTH_CIQ" hidden="1">"c16612"</definedName>
    <definedName name="IQ_REVENUE_EST_UP_MONTH" hidden="1">"c16280"</definedName>
    <definedName name="IQ_REVENUE_EST_UP_MONTH_CIQ" hidden="1">"c16604"</definedName>
    <definedName name="IQ_REVENUE_GUIDANCE_CIQ" hidden="1">"c5057"</definedName>
    <definedName name="IQ_REVENUE_GUIDANCE_CIQ_COL" hidden="1">"c11704"</definedName>
    <definedName name="IQ_REVENUE_HIGH_EST" hidden="1">"c1127"</definedName>
    <definedName name="IQ_REVENUE_HIGH_EST_CIQ" hidden="1">"c3618"</definedName>
    <definedName name="IQ_REVENUE_HIGH_GUIDANCE_CIQ" hidden="1">"c4581"</definedName>
    <definedName name="IQ_REVENUE_HIGH_GUIDANCE_CIQ_COL" hidden="1">"c11230"</definedName>
    <definedName name="IQ_REVENUE_LOW_EST" hidden="1">"c1128"</definedName>
    <definedName name="IQ_REVENUE_LOW_EST_CIQ" hidden="1">"c3619"</definedName>
    <definedName name="IQ_REVENUE_LOW_GUIDANCE_CIQ" hidden="1">"c4621"</definedName>
    <definedName name="IQ_REVENUE_LOW_GUIDANCE_CIQ_COL" hidden="1">"c11270"</definedName>
    <definedName name="IQ_REVENUE_MEDIAN_EST" hidden="1">"c1662"</definedName>
    <definedName name="IQ_REVENUE_MEDIAN_EST_CIQ" hidden="1">"c3617"</definedName>
    <definedName name="IQ_REVENUE_NUM_EST" hidden="1">"c1129"</definedName>
    <definedName name="IQ_REVENUE_NUM_EST_CIQ" hidden="1">"c3620"</definedName>
    <definedName name="IQ_REVENUE_OTHER" hidden="1">"c2882"</definedName>
    <definedName name="IQ_REVENUE_PHONE" hidden="1">"c2879"</definedName>
    <definedName name="IQ_REVENUE_TOTAL" hidden="1">"c2883"</definedName>
    <definedName name="IQ_REVENUES_SATELLITE" hidden="1">"c15792"</definedName>
    <definedName name="IQ_REVENUES_WIRELESS" hidden="1">"c15793"</definedName>
    <definedName name="IQ_REVERSE_REPO" hidden="1">"c19131"</definedName>
    <definedName name="IQ_REVISION_DATE_" hidden="1">40364.6438541667</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EVOLVING_SECURED_1_4_NON_ACCRUAL_FFIEC" hidden="1">"c13314"</definedName>
    <definedName name="IQ_RGU" hidden="1">"c2863"</definedName>
    <definedName name="IQ_RISK_ADJ_BANK_ASSETS" hidden="1">"c2670"</definedName>
    <definedName name="IQ_RISK_WEIGHTED_ASSETS_0_PCT_FFIEC" hidden="1">"c18874"</definedName>
    <definedName name="IQ_RISK_WEIGHTED_ASSETS_100_PCT_FFIEC" hidden="1">"c18877"</definedName>
    <definedName name="IQ_RISK_WEIGHTED_ASSETS_20_PCT_FFIEC" hidden="1">"c18875"</definedName>
    <definedName name="IQ_RISK_WEIGHTED_ASSETS_50_PCT_FFIEC" hidden="1">"c18876"</definedName>
    <definedName name="IQ_RISK_WEIGHTED_ASSETS_FDIC" hidden="1">"c6370"</definedName>
    <definedName name="IQ_ROAM_MIN_USE_OTHER_CARRIERS" hidden="1">"c15765"</definedName>
    <definedName name="IQ_ROYALTIES_DUE_AFTER_FIVE" hidden="1">"c15969"</definedName>
    <definedName name="IQ_ROYALTIES_DUE_CY" hidden="1">"c15964"</definedName>
    <definedName name="IQ_ROYALTIES_DUE_CY1" hidden="1">"c15965"</definedName>
    <definedName name="IQ_ROYALTIES_DUE_CY2" hidden="1">"c15966"</definedName>
    <definedName name="IQ_ROYALTIES_DUE_CY3" hidden="1">"c15967"</definedName>
    <definedName name="IQ_ROYALTIES_DUE_CY4" hidden="1">"c15968"</definedName>
    <definedName name="IQ_ROYALTY_REVENUE_COAL" hidden="1">"c15932"</definedName>
    <definedName name="IQ_RSI" hidden="1">"c12704"</definedName>
    <definedName name="IQ_RSI_ADJ" hidden="1">"c12705"</definedName>
    <definedName name="IQ_RSSD_ID_FFIEC" hidden="1">"c20506"</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IES_OTHER_BENEFITS" hidden="1">"c16176"</definedName>
    <definedName name="IQ_SALARY" hidden="1">"c1130"</definedName>
    <definedName name="IQ_SALARY_FDIC" hidden="1">"c6576"</definedName>
    <definedName name="IQ_SALE_COMMON_GROSS_FFIEC" hidden="1">"c12963"</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PROP" hidden="1">"c16029"</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COAL" hidden="1">"c15930"</definedName>
    <definedName name="IQ_SALES_MARKETING" hidden="1">"c2240"</definedName>
    <definedName name="IQ_SALES_TO_TOTAL_REVENUE_COAL" hidden="1">"c15943"</definedName>
    <definedName name="IQ_SAME_PROP_AGG_GLA" hidden="1">"c16055"</definedName>
    <definedName name="IQ_SAME_PROP_AGG_UNITS" hidden="1">"c16053"</definedName>
    <definedName name="IQ_SAME_PROP_EXPENSE" hidden="1">"c16050"</definedName>
    <definedName name="IQ_SAME_PROP_EXPENSE_GROWTH" hidden="1">"c16051"</definedName>
    <definedName name="IQ_SAME_PROP_NUMBER_PROP" hidden="1">"c16052"</definedName>
    <definedName name="IQ_SAME_PROP_PORTFOLIO_AREA" hidden="1">"c16054"</definedName>
    <definedName name="IQ_SAME_PROP_REV_GROWTH" hidden="1">"c16049"</definedName>
    <definedName name="IQ_SAME_PROP_REVENUE" hidden="1">"c16048"</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ACCT_DEPOSITS_TOTAL_DEPOSITS" hidden="1">"c15721"</definedName>
    <definedName name="IQ_SAVINGS_DEPOSITS_NON_TRANS_ACCTS_FFIEC" hidden="1">"c15329"</definedName>
    <definedName name="IQ_SAVINGS_DEPOSITS_QUARTERLY_AVG_FFIEC" hidden="1">"c15485"</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CALABLE_INFRASTRUCTURE_CABLE_INVEST" hidden="1">"c15802"</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FS_AMORT_COST_FFIEC" hidden="1">"c20492"</definedName>
    <definedName name="IQ_SEC_ISSUED_US_AFS_FAIR_VAL_FFIEC" hidden="1">"c20457"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NON_ACCRUAL_FFIEC" hidden="1">"c15462"</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NON_ACCRUAL_FFIEC" hidden="1">"c15461"</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AFS_AMORT_COST_FFIEC" hidden="1">"c20488"</definedName>
    <definedName name="IQ_SECURITIES_AFS_FAIR_VAL_FFIEC" hidden="1">"c20453"</definedName>
    <definedName name="IQ_SECURITIES_GAINS_FDIC" hidden="1">"c6584"</definedName>
    <definedName name="IQ_SECURITIES_HELD_MATURITY_FFIEC" hidden="1">"c12777"</definedName>
    <definedName name="IQ_SECURITIES_HTM_AMORT_COST_FFIEC" hidden="1">"c20436"</definedName>
    <definedName name="IQ_SECURITIES_HTM_FAIR_VAL_FFIEC" hidden="1">"c20471"</definedName>
    <definedName name="IQ_SECURITIES_ISSUED_STATES_FDIC" hidden="1">"c6300"</definedName>
    <definedName name="IQ_SECURITIES_ISSUED_US_FFIEC" hidden="1">"c12781"</definedName>
    <definedName name="IQ_SECURITIES_ISSUED_US_HTM_AMORT_COST_FFIEC" hidden="1">"c20440"</definedName>
    <definedName name="IQ_SECURITIES_ISSUED_US_HTM_FAIR_VAL_FFIEC" hidden="1">"c20475"</definedName>
    <definedName name="IQ_SECURITIES_LENT_FDIC" hidden="1">"c6532"</definedName>
    <definedName name="IQ_SECURITIES_LENT_FFIEC" hidden="1">"c13255"</definedName>
    <definedName name="IQ_SECURITIES_QUARTERLY_AVG_FFIEC" hidden="1">"c13079"</definedName>
    <definedName name="IQ_SECURITIES_STATE_POLI_SUBD_QUARTERLY_AVG_FFIEC" hidden="1">"c15470"</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Y_ACTIVE_STATUS" hidden="1">"c15160"</definedName>
    <definedName name="IQ_SECURITY_BORROW" hidden="1">"c1152"</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ETTLEMENTS_TAX_AUTHORITIES" hidden="1">"c15737"</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_PARTNERSHIP_ASSETS" hidden="1">"c16071"</definedName>
    <definedName name="IQ_SHARE_PARTNERSHIP_CONSOL_JV_DEBT" hidden="1">"c19139"</definedName>
    <definedName name="IQ_SHARE_PARTNERSHIP_CURRENT_ASSETS" hidden="1">"c16069"</definedName>
    <definedName name="IQ_SHARE_PARTNERSHIP_CURRENT_LIAB" hidden="1">"c16073"</definedName>
    <definedName name="IQ_SHARE_PARTNERSHIP_CURRENT_TAX" hidden="1">"c16091"</definedName>
    <definedName name="IQ_SHARE_PARTNERSHIP_DEBT" hidden="1">"c16078"</definedName>
    <definedName name="IQ_SHARE_PARTNERSHIP_DEFERRED_TAX" hidden="1">"c16092"</definedName>
    <definedName name="IQ_SHARE_PARTNERSHIP_DEPRECIATION" hidden="1">"c16089"</definedName>
    <definedName name="IQ_SHARE_PARTNERSHIP_FLOAT_DEBT" hidden="1">"c16077"</definedName>
    <definedName name="IQ_SHARE_PARTNERSHIP_FR_DEBT" hidden="1">"c16076"</definedName>
    <definedName name="IQ_SHARE_PARTNERSHIP_INT_EXPENSE" hidden="1">"c16088"</definedName>
    <definedName name="IQ_SHARE_PARTNERSHIP_INT_INCOME" hidden="1">"c16090"</definedName>
    <definedName name="IQ_SHARE_PARTNERSHIP_LIAB" hidden="1">"c16075"</definedName>
    <definedName name="IQ_SHARE_PARTNERSHIP_LT_ASSETS" hidden="1">"c16070"</definedName>
    <definedName name="IQ_SHARE_PARTNERSHIP_NOI" hidden="1">"c16084"</definedName>
    <definedName name="IQ_SHARE_PARTNERSHIP_NON_CURRENT_LIAB" hidden="1">"c16074"</definedName>
    <definedName name="IQ_SHARE_PARTNERSHIP_OPEX" hidden="1">"c16086"</definedName>
    <definedName name="IQ_SHARE_PARTNERSHIP_OTHER_EXPENSE" hidden="1">"c16087"</definedName>
    <definedName name="IQ_SHARE_PARTNERSHIP_OTHER_INCOME" hidden="1">"c16085"</definedName>
    <definedName name="IQ_SHARE_PARTNERSHIP_REVENUE" hidden="1">"c16083"</definedName>
    <definedName name="IQ_SHARE_RE_ASSET" hidden="1">"c16082"</definedName>
    <definedName name="IQ_SHARE_RE_ASSET_DEVELOP_PROP" hidden="1">"c16080"</definedName>
    <definedName name="IQ_SHARE_RE_ASSET_INV_PROP" hidden="1">"c16079"</definedName>
    <definedName name="IQ_SHARE_RE_ASSET_OTHER" hidden="1">"c16081"</definedName>
    <definedName name="IQ_SHAREOUTSTANDING"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OVER_INST_OWNERSHIP" hidden="1">"c17422"</definedName>
    <definedName name="IQ_SHORT_INTEREST_PERCENT" hidden="1">"c1576"</definedName>
    <definedName name="IQ_SHORT_POSITIONS_FFIEC" hidden="1">"c12859"</definedName>
    <definedName name="IQ_SHORT_SCORE_DX" hidden="1">"c17439"</definedName>
    <definedName name="IQ_SHORT_TERM_INVEST" hidden="1">"c1425"</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LD_COAL" hidden="1">"c15936"</definedName>
    <definedName name="IQ_SOURCE" hidden="1">"c1168"</definedName>
    <definedName name="IQ_SP_BANK" hidden="1">"c2637"</definedName>
    <definedName name="IQ_SP_BANK_ACTION" hidden="1">"c2636"</definedName>
    <definedName name="IQ_SP_BANK_DATE" hidden="1">"c2635"</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QUALITY_RANKING_DESCRIPTION" hidden="1">"c17410"</definedName>
    <definedName name="IQ_SP_QUALITY_RANKING_VALUE" hidden="1">"c17409"</definedName>
    <definedName name="IQ_SP_STARS_DESCRIPTION" hidden="1">"c17408"</definedName>
    <definedName name="IQ_SP_STARS_VALUE" hidden="1">"c17407"</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ALTIES" hidden="1">"c18932"</definedName>
    <definedName name="IQ_SPECIFIC_ALLOWANCE" hidden="1">"c15247"</definedName>
    <definedName name="IQ_SPONSORS" hidden="1">"c18920"</definedName>
    <definedName name="IQ_SPONSORS_ID" hidden="1">"c18921"</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BY_LOC_FHLB_BANK_BEHALF_OFF_BS_FFIEC" hidden="1">"c15412"</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ATUTORY_SURPLUS_GAAP_EQUITY" hidden="1">"c15883"</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XPLORE_DRILL" hidden="1">"c13851"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IGHT_LINE_RENT_ADJ" hidden="1">"c16178"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TYLE_GROWTH_VALUE" hidden="1">"c19203"</definedName>
    <definedName name="IQ_STYLE_HIGH_YIELD" hidden="1">"c19204"</definedName>
    <definedName name="IQ_STYLE_MARKET_CAP" hidden="1">"c19202"</definedName>
    <definedName name="IQ_STYLE_REPORTED" hidden="1">"c19205"</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FFIEC" hidden="1">"c12867"</definedName>
    <definedName name="IQ_SUB_NOTES_DEBENTURES_LEVEL_1_FFIEC" hidden="1">"c15432"</definedName>
    <definedName name="IQ_SUB_NOTES_DEBENTURES_LEVEL_2_FFIEC" hidden="1">"c15445"</definedName>
    <definedName name="IQ_SUB_NOTES_DEBENTURES_LEVEL_3_FFIEC" hidden="1">"c15458"</definedName>
    <definedName name="IQ_SUB_NOTES_PAYABLE_UNCONSOLIDATED_TRUSTS_FFIEC" hidden="1">"c12868"</definedName>
    <definedName name="IQ_SUBS_COMPANY0235_CABLE" hidden="1">"c2855"</definedName>
    <definedName name="IQ_SUBS_BASIC_CABLE" hidden="1">"c16205"</definedName>
    <definedName name="IQ_SUBS_BBAND" hidden="1">"c2858"</definedName>
    <definedName name="IQ_SUBS_BUNDLED" hidden="1">"c2861"</definedName>
    <definedName name="IQ_SUBS_DIG_CABLE" hidden="1">"c2856"</definedName>
    <definedName name="IQ_SUBS_NON_VIDEO" hidden="1">"c2860"</definedName>
    <definedName name="IQ_SUBS_PHONE" hidden="1">"c2859"</definedName>
    <definedName name="IQ_SUBS_POSTPAID_WIRELESS" hidden="1">"c2118"</definedName>
    <definedName name="IQ_SUBS_PREPAID_WIRELESS" hidden="1">"c2117"</definedName>
    <definedName name="IQ_SUBS_RESELL_WHOLESALE_WIRELESS" hidden="1">"c15749"</definedName>
    <definedName name="IQ_SUBS_TOTAL" hidden="1">"c2862"</definedName>
    <definedName name="IQ_SUBS_TOTAL_WIRELESS" hidden="1">"c2119"</definedName>
    <definedName name="IQ_SUBS_VIDEO" hidden="1">"c2857"</definedName>
    <definedName name="IQ_SUPPLIES_FFIEC" hidden="1">"c13050"</definedName>
    <definedName name="IQ_SUPPORT_INFRASTRUCTURE_CABLE_INVEST" hidden="1">"c15805"</definedName>
    <definedName name="IQ_PRODUCT0391_RESERVES_COAL" hidden="1">"c15920"</definedName>
    <definedName name="IQ_PRODUCT0391_RESERVES_TO_TOTAL_RESERVES_COAL" hidden="1">"c15959"</definedName>
    <definedName name="IQ_SURPLUS_FDIC" hidden="1">"c6351"</definedName>
    <definedName name="IQ_SURPLUS_FFIEC" hidden="1">"c12877"</definedName>
    <definedName name="IQ_SVA" hidden="1">"c1214"</definedName>
    <definedName name="IQ_SYMBOL_RT" hidden="1">"SYMBOL"</definedName>
    <definedName name="IQ_SYNTH_STRUCTURED_PRODUCTS_AFS_AMORT_COST_FFIEC" hidden="1">"c20501"</definedName>
    <definedName name="IQ_SYNTH_STRUCTURED_PRODUCTS_AFS_FAIR_VAL_FFIEC" hidden="1">"c20466"</definedName>
    <definedName name="IQ_SYNTH_STRUCTURED_PRODUCTS_HTM_AMORT_COST_FFIEC" hidden="1">"c20449"</definedName>
    <definedName name="IQ_SYNTH_STRUCTURED_PRODUCTS_HTM_FAIR_VAL_FFIEC" hidden="1">"c20484"</definedName>
    <definedName name="IQ_SYNTHETIC_STRUCTURED_PRODUCTS_AVAIL_SALE_FFIEC" hidden="1">"c15264"</definedName>
    <definedName name="IQ_SYNTHETIC_STRUCTURED_PRODUCTS_FFIEC" hidden="1">"c15261"</definedName>
    <definedName name="IQ_TANGIBLE_ASSETS_FFIEC" hidden="1">"c13916"</definedName>
    <definedName name="IQ_TANGIBLE_COMMON_EQUITY_FFIEC" hidden="1">"c13914"</definedName>
    <definedName name="IQ_TANGIBLE_EQUITY_ASSETS_FFIEC" hidden="1">"c13346"</definedName>
    <definedName name="IQ_TANGIBLE_EQUITY_FFIEC" hidden="1">"c13915"</definedName>
    <definedName name="IQ_TANGIBLE_TIER_1_LEVERAGE_FFIEC" hidden="1">"c13345"</definedName>
    <definedName name="IQ_TARGET_PRICE_NUM" hidden="1">"c1653"</definedName>
    <definedName name="IQ_TARGET_PRICE_NUM_CIQ" hidden="1">"c4661"</definedName>
    <definedName name="IQ_TARGET_PRICE_STDDEV" hidden="1">"c1654"</definedName>
    <definedName name="IQ_TARGET_PRICE_STDDEV_CIQ" hidden="1">"c4662"</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BV_SHARE_REPORTED" hidden="1">"c19140"</definedName>
    <definedName name="IQ_TELECOM_FFIEC" hidden="1">"c13057"</definedName>
    <definedName name="IQ_TEMPLATE" hidden="1">"c1521"</definedName>
    <definedName name="IQ_TENANT" hidden="1">"c1218"</definedName>
    <definedName name="IQ_TENANT_LEASE_COMMISSION" hidden="1">"c16177"</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CAPEX" hidden="1">"c17553"</definedName>
    <definedName name="IQ_TEV_EBITDA_FWD" hidden="1">"c1224"</definedName>
    <definedName name="IQ_TEV_EBITDA_FWD_CIQ" hidden="1">"c4043"</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CIQ" hidden="1">"c4044"</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100K_OTHER_INSTITUTIONS_FFIEC" hidden="1">"c12953"</definedName>
    <definedName name="IQ_TIME_DEPOSITS_LESS_100K_TOT_DEPOSITS_FFIEC" hidden="1">"c13907"</definedName>
    <definedName name="IQ_TIME_DEPOSITS_LESS_THAN_100K_FDIC" hidden="1">"c6465"</definedName>
    <definedName name="IQ_TIME_DEPOSITS_MORE_100K_OTHER_INSTITUTIONS_FFIEC" hidden="1">"c12954"</definedName>
    <definedName name="IQ_TIME_DEPOSITS_MORE_100K_TOT_DEPOSITS_FFIEC" hidden="1">"c13906"</definedName>
    <definedName name="IQ_TIME_DEPOSITS_MORE_THAN_100K_FDIC" hidden="1">"c6470"</definedName>
    <definedName name="IQ_TIME_DEPOSITS_TOTAL_DEPOSITS" hidden="1">"c15723"</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AIR_VALUE_TOT_FFIEC" hidden="1">"c15405"</definedName>
    <definedName name="IQ_TOTAL_ASSETS_FDIC" hidden="1">"c6339"</definedName>
    <definedName name="IQ_TOTAL_ASSETS_FFIEC" hidden="1">"c12849"</definedName>
    <definedName name="IQ_TOTAL_ASSETS_LEVEL_1_FFIEC" hidden="1">"c15427"</definedName>
    <definedName name="IQ_TOTAL_ASSETS_LEVEL_2_FFIEC" hidden="1">"c15440"</definedName>
    <definedName name="IQ_TOTAL_ASSETS_LEVEL_3_FFIEC" hidden="1">"c15453"</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PERSON0813" hidden="1">"c9294"</definedName>
    <definedName name="IQ_TOTAL_ATTRIB_ORE_RESOURCES_PLAT" hidden="1">"c9132"</definedName>
    <definedName name="IQ_TOTAL_ATTRIB_ORE_RESOURCES_SILVER" hidden="1">"c9079"</definedName>
    <definedName name="IQ_TOTAL_ATTRIB_ORE_RESOURCES_PRODUCT0419" hidden="1">"c9559"</definedName>
    <definedName name="IQ_TOTAL_ATTRIB_ORE_RESOURCES_URAN" hidden="1">"c9612"</definedName>
    <definedName name="IQ_TOTAL_ATTRIB_ORE_RESOURCES_Company3050"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BROKERED_DEPOSIT_FFIEC" hidden="1">"c15304"</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DUE_DEPOSITORY_INSTIT_DOM_FFIEC" hidden="1">"c15291"</definedName>
    <definedName name="IQ_TOTAL_CASH_DUE_DEPOSITORY_INSTIT_FFIEC" hidden="1">"c15285"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OMMON_EQUITY_FFIEC" hidden="1">"c13913"</definedName>
    <definedName name="IQ_TOTAL_COMMON_EQUITY_TOTAL_ASSETS_FFIEC" hidden="1">"c13864"</definedName>
    <definedName name="IQ_TOTAL_COMMON_SHARES_OUT_FFIEC" hidden="1">"c12955"</definedName>
    <definedName name="IQ_TOTAL_CONSTRUCTION_LL_REC_DOM_FFIEC" hidden="1">"c13515"</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GUIDANCE" hidden="1">"c4533"</definedName>
    <definedName name="IQ_TOTAL_DEBT_GUIDANCE_CIQ" hidden="1">"c5086"</definedName>
    <definedName name="IQ_TOTAL_DEBT_GUIDANCE_CIQ_COL" hidden="1">"c11733"</definedName>
    <definedName name="IQ_TOTAL_DEBT_HIGH_GUIDANCE" hidden="1">"c4196"</definedName>
    <definedName name="IQ_TOTAL_DEBT_HIGH_GUIDANCE_CIQ" hidden="1">"c4608"</definedName>
    <definedName name="IQ_TOTAL_DEBT_HIGH_GUIDANCE_CIQ_COL" hidden="1">"c11257"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GUIDANCE" hidden="1">"c4236"</definedName>
    <definedName name="IQ_TOTAL_DEBT_LOW_GUIDANCE_CIQ" hidden="1">"c4648"</definedName>
    <definedName name="IQ_TOTAL_DEBT_LOW_GUIDANCE_CIQ_COL" hidden="1">"c11297"</definedName>
    <definedName name="IQ_TOTAL_DEBT_NON_CURRENT" hidden="1">"c6191"</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DOM_FFIEC" hidden="1">"c15313"</definedName>
    <definedName name="IQ_TOTAL_DEPOSITS_FDIC" hidden="1">"c6342"</definedName>
    <definedName name="IQ_TOTAL_DEPOSITS_FFIEC" hidden="1">"c13623"</definedName>
    <definedName name="IQ_TOTAL_DEPOSITS_SUPPLE" hidden="1">"c15253"</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INCL_MINORITY_INTEREST_FFIEC" hidden="1">"c15278"</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_EXPENSE_FFIEC" hidden="1">"c13000"</definedName>
    <definedName name="IQ_TOTAL_INT_INCOME_FFIEC" hidden="1">"c12989"</definedName>
    <definedName name="IQ_TOTAL_INTEREST_EXP" hidden="1">"c1382"</definedName>
    <definedName name="IQ_TOTAL_INTEREST_EXP_FOREIGN_FFIEC" hidden="1">"c15374"</definedName>
    <definedName name="IQ_TOTAL_INTEREST_INC_FOREIGN_FFIEC" hidden="1">"c15373"</definedName>
    <definedName name="IQ_TOTAL_INVENTORY" hidden="1">"c1385"</definedName>
    <definedName name="IQ_TOTAL_INVEST" hidden="1">"c1275"</definedName>
    <definedName name="IQ_TOTAL_IRA_Person0564_PLAN_ACCOUNTS_FFIEC" hidden="1">"c15303"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EQUITY_FFIEC" hidden="1">"c12882"</definedName>
    <definedName name="IQ_TOTAL_LIABILITIES_FAIR_VALUE_TOT_FFIEC" hidden="1">"c15411"</definedName>
    <definedName name="IQ_TOTAL_LIABILITIES_FDIC" hidden="1">"c6348"</definedName>
    <definedName name="IQ_TOTAL_LIABILITIES_FFIEC" hidden="1">"c12873"</definedName>
    <definedName name="IQ_TOTAL_LIABILITIES_LEVEL_1_FFIEC" hidden="1">"c15433"</definedName>
    <definedName name="IQ_TOTAL_LIABILITIES_LEVEL_2_FFIEC" hidden="1">"c15446"</definedName>
    <definedName name="IQ_TOTAL_LIABILITIES_LEVEL_3_FFIEC" hidden="1">"c15459"</definedName>
    <definedName name="IQ_TOTAL_LL_REC_DOM_FFIEC" hidden="1">"c12917"</definedName>
    <definedName name="IQ_TOTAL_LL_REC_FFIEC" hidden="1">"c12898"</definedName>
    <definedName name="IQ_TOTAL_LOANS" hidden="1">"c5653"</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ERATING_EXPENSE" hidden="1">"c16047"</definedName>
    <definedName name="IQ_TOTAL_OPERATING_REVENUE" hidden="1">"c16030"</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PERSON0813" hidden="1">"c9283"</definedName>
    <definedName name="IQ_TOTAL_ORE_RESOURCES_PLAT" hidden="1">"c9121"</definedName>
    <definedName name="IQ_TOTAL_ORE_RESOURCES_SILVER" hidden="1">"c9068"</definedName>
    <definedName name="IQ_TOTAL_ORE_RESOURCES_PRODUCT0419" hidden="1">"c9548"</definedName>
    <definedName name="IQ_TOTAL_ORE_RESOURCES_URAN" hidden="1">"c9601"</definedName>
    <definedName name="IQ_TOTAL_ORE_RESOURCES_Company3050"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_LOANS_TOTAL_LOANS" hidden="1">"c15715"</definedName>
    <definedName name="IQ_TOTAL_RE_NOI_AVG_GROSS_PROP" hidden="1">"c16059"</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PERSON0813"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PRODUCT0419" hidden="1">"c9564"</definedName>
    <definedName name="IQ_TOTAL_RECOV_ATTRIB_RESOURCES_URAN" hidden="1">"c9617"</definedName>
    <definedName name="IQ_TOTAL_RECOV_ATTRIB_RESOURCES_Company3050"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PERSON0813" hidden="1">"c9289"</definedName>
    <definedName name="IQ_TOTAL_RECOV_RESOURCES_PLAT" hidden="1">"c9127"</definedName>
    <definedName name="IQ_TOTAL_RECOV_RESOURCES_SILVER" hidden="1">"c9074"</definedName>
    <definedName name="IQ_TOTAL_RECOV_RESOURCES_STEAM" hidden="1">"c9785"</definedName>
    <definedName name="IQ_TOTAL_RECOV_RESOURCES_PRODUCT0419" hidden="1">"c9554"</definedName>
    <definedName name="IQ_TOTAL_RECOV_RESOURCES_URAN" hidden="1">"c9607"</definedName>
    <definedName name="IQ_TOTAL_RECOV_RESOURCES_Company3050" hidden="1">"c9342"</definedName>
    <definedName name="IQ_TOTAL_RECOVERIES_FDIC" hidden="1">"c6622"</definedName>
    <definedName name="IQ_TOTAL_RENTAL_REVENUE" hidden="1">"c16022"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PERSON0813" hidden="1">"c9284"</definedName>
    <definedName name="IQ_TOTAL_RESOURCES_GRADE_PLAT" hidden="1">"c9122"</definedName>
    <definedName name="IQ_TOTAL_RESOURCES_GRADE_SILVER" hidden="1">"c9069"</definedName>
    <definedName name="IQ_TOTAL_RESOURCES_GRADE_PRODUCT0419" hidden="1">"c9549"</definedName>
    <definedName name="IQ_TOTAL_RESOURCES_GRADE_URAN" hidden="1">"c9602"</definedName>
    <definedName name="IQ_TOTAL_RESOURCES_GRADE_Company3050"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FFIEC" hidden="1">"c13020"</definedName>
    <definedName name="IQ_TOTAL_REVENUE_FOREIGN_FFIEC" hidden="1">"c15383"</definedName>
    <definedName name="IQ_TOTAL_RISK_BASED_CAPITAL_FFIEC" hidden="1">"c13153"</definedName>
    <definedName name="IQ_TOTAL_RISK_BASED_CAPITAL_RATIO_FDIC" hidden="1">"c6747"</definedName>
    <definedName name="IQ_TOTAL_RISK_BASED_CAPITAL_RATIO_FFIEC" hidden="1">"c13162"</definedName>
    <definedName name="IQ_TOTAL_RISK_WEIGHTED_ASSETS_FFIEC" hidden="1">"c13858"</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ASSETS_FFIEC" hidden="1">"c12939"</definedName>
    <definedName name="IQ_TOTAL_TRADING_LIAB_DOM_FFIEC" hidden="1">"c12944"</definedName>
    <definedName name="IQ_TOTAL_TRADING_LIAB_FOREIGN_FFIEC" hidden="1">"c15296"</definedName>
    <definedName name="IQ_TOTAL_TRANS_ACCTS_FFIEC" hidden="1">"c15321"</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DJ_SIZE_FINAL" hidden="1">"c16265"</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CONSID_PCT_FINAL" hidden="1">"c16268"</definedName>
    <definedName name="IQ_TR_CASH_ST_INVEST" hidden="1">"c3025"</definedName>
    <definedName name="IQ_TR_CASH_ST_INVEST_FINAL" hidden="1">"c16266"</definedName>
    <definedName name="IQ_TR_CHANGE_CONTROL" hidden="1">"c2365"</definedName>
    <definedName name="IQ_TR_CLOSED_DATE" hidden="1">"c2283"</definedName>
    <definedName name="IQ_TR_CO_NET_PROCEEDS" hidden="1">"c2268"</definedName>
    <definedName name="IQ_TR_CO_NET_PROCEEDS_ISSUE" hidden="1">"c17571"</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BT_CONSID_PCT_FINAL" hidden="1">"c16274"</definedName>
    <definedName name="IQ_TR_DEF_AGRMT_DATE" hidden="1">"c2285"</definedName>
    <definedName name="IQ_TR_DISCLOSED_FEES_EXP" hidden="1">"c2288"</definedName>
    <definedName name="IQ_TR_EARNOUTS" hidden="1">"c3023"</definedName>
    <definedName name="IQ_TR_EARNOUTS_FINAL" hidden="1">"c16262"</definedName>
    <definedName name="IQ_TR_EX_OVER_SHARES_ISSUE" hidden="1">"c17566"</definedName>
    <definedName name="IQ_TR_EXPIRED_DATE" hidden="1">"c2412"</definedName>
    <definedName name="IQ_TR_GROSS_OFFERING_AMT" hidden="1">"c2262"</definedName>
    <definedName name="IQ_TR_GROSS_PROCEEDS_ISSUE" hidden="1">"c17568"</definedName>
    <definedName name="IQ_TR_HYBRID_CONSID_PCT" hidden="1">"c2300"</definedName>
    <definedName name="IQ_TR_HYBRID_CONSID_PCT_FINAL" hidden="1">"c16276"</definedName>
    <definedName name="IQ_TR_IMPLIED_EQ" hidden="1">"c3018"</definedName>
    <definedName name="IQ_TR_IMPLIED_EQ_BV" hidden="1">"c3019"</definedName>
    <definedName name="IQ_TR_IMPLIED_EQ_BV_FINAL" hidden="1">"c16255"</definedName>
    <definedName name="IQ_TR_IMPLIED_EQ_FINAL" hidden="1">"c16253"</definedName>
    <definedName name="IQ_TR_IMPLIED_EQ_NI_LTM" hidden="1">"c3020"</definedName>
    <definedName name="IQ_TR_IMPLIED_EQ_NI_LTM_FINAL" hidden="1">"c16254"</definedName>
    <definedName name="IQ_TR_IMPLIED_EV" hidden="1">"c2301"</definedName>
    <definedName name="IQ_TR_IMPLIED_EV_BV" hidden="1">"c2306"</definedName>
    <definedName name="IQ_TR_IMPLIED_EV_EBIT" hidden="1">"c2302"</definedName>
    <definedName name="IQ_TR_IMPLIED_EV_EBIT_FINAL" hidden="1">"c16252"</definedName>
    <definedName name="IQ_TR_IMPLIED_EV_EBITDA" hidden="1">"c2303"</definedName>
    <definedName name="IQ_TR_IMPLIED_EV_EBITDA_FINAL" hidden="1">"c16251"</definedName>
    <definedName name="IQ_TR_IMPLIED_EV_FINAL" hidden="1">"c16249"</definedName>
    <definedName name="IQ_TR_IMPLIED_EV_NI_LTM" hidden="1">"c2307"</definedName>
    <definedName name="IQ_TR_IMPLIED_EV_REV" hidden="1">"c2304"</definedName>
    <definedName name="IQ_TR_IMPLIED_EV_REV_FINAL" hidden="1">"c16250"</definedName>
    <definedName name="IQ_TR_INIT_FILED_DATE" hidden="1">"c3495"</definedName>
    <definedName name="IQ_TR_IPO_TRANSACTION_ID" hidden="1">"c17554"</definedName>
    <definedName name="IQ_TR_LEAD_UNDERWRITERS" hidden="1">"c17576"</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ASSUM_LIABILITIES_FINAL" hidden="1">"c16264"</definedName>
    <definedName name="IQ_TR_NET_PROCEEDS" hidden="1">"c2267"</definedName>
    <definedName name="IQ_TR_OFFER_DATE" hidden="1">"c2265"</definedName>
    <definedName name="IQ_TR_OFFER_DATE_MA" hidden="1">"c3035"</definedName>
    <definedName name="IQ_TR_OFFER_PER_SHARE" hidden="1">"c3017"</definedName>
    <definedName name="IQ_TR_OFFER_PER_SHARE_FINAL" hidden="1">"c16257"</definedName>
    <definedName name="IQ_TR_OPTIONS_CONSID_PCT" hidden="1">"c2311"</definedName>
    <definedName name="IQ_TR_OPTIONS_CONSID_PCT_FINAL" hidden="1">"c16278"</definedName>
    <definedName name="IQ_TR_OTHER_CONSID" hidden="1">"c3022"</definedName>
    <definedName name="IQ_TR_OTHER_CONSID_FINAL" hidden="1">"c16261"</definedName>
    <definedName name="IQ_TR_PCT_SOUGHT" hidden="1">"c2309"</definedName>
    <definedName name="IQ_TR_PCT_SOUGHT_ACQUIRED_FINAL" hidden="1">"c16256"</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_1D_PRICE" hidden="1">"c19180"</definedName>
    <definedName name="IQ_TR_PO_1D_RETURN" hidden="1">"c19179"</definedName>
    <definedName name="IQ_TR_PO_1M_PRICE" hidden="1">"c19184"</definedName>
    <definedName name="IQ_TR_PO_1M_RETURN" hidden="1">"c19183"</definedName>
    <definedName name="IQ_TR_PO_1W_PRICE" hidden="1">"c19182"</definedName>
    <definedName name="IQ_TR_PO_1W_RETURN" hidden="1">"c19181"</definedName>
    <definedName name="IQ_TR_PO_1Y_PRICE" hidden="1">"c19190"</definedName>
    <definedName name="IQ_TR_PO_1Y_RETURN" hidden="1">"c19189"</definedName>
    <definedName name="IQ_TR_PO_3M_PRICE" hidden="1">"c19186"</definedName>
    <definedName name="IQ_TR_PO_3M_RETURN" hidden="1">"c19185"</definedName>
    <definedName name="IQ_TR_PO_6M_PRICE" hidden="1">"c19188"</definedName>
    <definedName name="IQ_TR_PO_6M_RETURN" hidden="1">"c19187"</definedName>
    <definedName name="IQ_TR_PO_DISCOUNT_SHARE" hidden="1">"c17562"</definedName>
    <definedName name="IQ_TR_PO_ISSUE_CURRENCY" hidden="1">"c17557"</definedName>
    <definedName name="IQ_TR_PO_NET_PROCEEDS_SHARE" hidden="1">"c17563"</definedName>
    <definedName name="IQ_TR_PO_PRICE_RANGE" hidden="1">"c17559"</definedName>
    <definedName name="IQ_TR_PO_PRICE_RANGE_HIGH" hidden="1">"c17560"</definedName>
    <definedName name="IQ_TR_PO_PRICE_RANGE_LOW" hidden="1">"c17561"</definedName>
    <definedName name="IQ_TR_PO_PRICE_SHARE" hidden="1">"c17558"</definedName>
    <definedName name="IQ_TR_PO_SHARES_OFFERED" hidden="1">"c17564"</definedName>
    <definedName name="IQ_TR_PO_SHARES_OFFERED_EX_OVER" hidden="1">"c17567"</definedName>
    <definedName name="IQ_TR_PO_TICKER" hidden="1">"c17556"</definedName>
    <definedName name="IQ_TR_PO_TRADING_ITEM_CIQID" hidden="1">"c17555"</definedName>
    <definedName name="IQ_TR_POSTMONEY_VAL" hidden="1">"c2286"</definedName>
    <definedName name="IQ_TR_PREDEAL_SITUATION" hidden="1">"c2390"</definedName>
    <definedName name="IQ_TR_PREF_CONSID_PCT" hidden="1">"c2310"</definedName>
    <definedName name="IQ_TR_PREF_CONSID_PCT_FINAL" hidden="1">"c16272"</definedName>
    <definedName name="IQ_TR_PREMONEY_VAL" hidden="1">"c2287"</definedName>
    <definedName name="IQ_TR_PRINTING_FEES" hidden="1">"c2276"</definedName>
    <definedName name="IQ_TR_PROCEEDS_EX_OVER_ISSUE" hidden="1">"c17574"</definedName>
    <definedName name="IQ_TR_PT_MONETARY_VALUES" hidden="1">"c2415"</definedName>
    <definedName name="IQ_TR_PT_NUMBER_SHARES" hidden="1">"c2417"</definedName>
    <definedName name="IQ_TR_PT_OFFER_PER_SHARE" hidden="1">"c18872"</definedName>
    <definedName name="IQ_TR_PT_PCT_SHARES" hidden="1">"c2416"</definedName>
    <definedName name="IQ_TR_RATING_FEES" hidden="1">"c2275"</definedName>
    <definedName name="IQ_TR_REG_EFFECT_DATE" hidden="1">"c2264"</definedName>
    <definedName name="IQ_TR_REG_FILED_DATE" hidden="1">"c2263"</definedName>
    <definedName name="IQ_TR_REG_OVER_SHARES_ISSUE" hidden="1">"c17565"</definedName>
    <definedName name="IQ_TR_REG_OVER_VALUE_ISSUE" hidden="1">"c17572"</definedName>
    <definedName name="IQ_TR_REGISTRATION_FEES" hidden="1">"c2274"</definedName>
    <definedName name="IQ_TR_RENEWAL_BUYBACK" hidden="1">"c2413"</definedName>
    <definedName name="IQ_TR_ROUND_NUMBER" hidden="1">"c2295"</definedName>
    <definedName name="IQ_TR_SEC_FEES" hidden="1">"c13642"</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ISSUE" hidden="1">"c17570"</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TOCK_CONSID_PCT_FINAL" hidden="1">"c16270"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"c13640"</definedName>
    <definedName name="IQ_TR_TERM_FEE_PCT" hidden="1">"c13641"</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ASH_FINAL" hidden="1">"c16267"</definedName>
    <definedName name="IQ_TR_TOTAL_CONSID_SH" hidden="1">"c2316"</definedName>
    <definedName name="IQ_TR_TOTAL_CONSID_SH_FINAL" hidden="1">"c16260"</definedName>
    <definedName name="IQ_TR_TOTAL_DEBT" hidden="1">"c2317"</definedName>
    <definedName name="IQ_TR_TOTAL_DEBT_FINAL" hidden="1">"c16273"</definedName>
    <definedName name="IQ_TR_TOTAL_EX_OVER_VALUE_ISSUE" hidden="1">"c17573"</definedName>
    <definedName name="IQ_TR_TOTAL_GROSS_TV" hidden="1">"c2318"</definedName>
    <definedName name="IQ_TR_TOTAL_GROSS_TV_FINAL" hidden="1">"c16259"</definedName>
    <definedName name="IQ_TR_TOTAL_HYBRID" hidden="1">"c2319"</definedName>
    <definedName name="IQ_TR_TOTAL_HYBRID_FINAL" hidden="1">"c16275"</definedName>
    <definedName name="IQ_TR_TOTAL_LEGAL_FEES" hidden="1">"c2272"</definedName>
    <definedName name="IQ_TR_TOTAL_NET_TV" hidden="1">"c2320"</definedName>
    <definedName name="IQ_TR_TOTAL_NET_TV_FINAL" hidden="1">"c16258"</definedName>
    <definedName name="IQ_TR_TOTAL_NEWMONEY" hidden="1">"c2289"</definedName>
    <definedName name="IQ_TR_TOTAL_OPTIONS" hidden="1">"c2322"</definedName>
    <definedName name="IQ_TR_TOTAL_OPTIONS_BUYER" hidden="1">"c3026"</definedName>
    <definedName name="IQ_TR_TOTAL_OPTIONS_BUYER_FINAL" hidden="1">"c16277"</definedName>
    <definedName name="IQ_TR_TOTAL_OPTIONS_FINAL" hidden="1">"c16263"</definedName>
    <definedName name="IQ_TR_TOTAL_PREFERRED" hidden="1">"c2321"</definedName>
    <definedName name="IQ_TR_TOTAL_PREFERRED_FINAL" hidden="1">"c16271"</definedName>
    <definedName name="IQ_TR_TOTAL_REG_AMT" hidden="1">"c2261"</definedName>
    <definedName name="IQ_TR_TOTAL_STOCK" hidden="1">"c2323"</definedName>
    <definedName name="IQ_TR_TOTAL_STOCK_FINAL" hidden="1">"c16269"</definedName>
    <definedName name="IQ_TR_TOTAL_TAKEDOWNS" hidden="1">"c2278"</definedName>
    <definedName name="IQ_TR_TOTAL_UW_COMP" hidden="1">"c2280"</definedName>
    <definedName name="IQ_TR_TOTALVALUE" hidden="1">"c2400"</definedName>
    <definedName name="IQ_TR_TRANSACTION_TYPE" hidden="1">"c2398"</definedName>
    <definedName name="IQ_TR_UNDERWRITER_COMP_ISSUE" hidden="1">"c17569"</definedName>
    <definedName name="IQ_TR_UNDERWRITERS_OTHER" hidden="1">"c17577"</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FOREIGN_FFIEC" hidden="1">"c15377"</definedName>
    <definedName name="IQ_TRADING_REV_OPERATING_INC_FFIEC" hidden="1">"c13385"</definedName>
    <definedName name="IQ_TRADING_REVENUE_FFIEC" hidden="1">"c13004"</definedName>
    <definedName name="IQ_TRANS_ACCTS_TOT_DEPOSITS_FFIEC" hidden="1">"c13904"</definedName>
    <definedName name="IQ_TRANS_IMPACT_FIN_48_CURRENT_ASSETS" hidden="1">"c15727"</definedName>
    <definedName name="IQ_TRANS_IMPACT_FIN_48_CURRENT_LIABILITIES" hidden="1">"c15729"</definedName>
    <definedName name="IQ_TRANS_IMPACT_FIN_48_LT_ASSETS" hidden="1">"c15728"</definedName>
    <definedName name="IQ_TRANS_IMPACT_FIN_48_NON_CURRENT_LIABILITIES" hidden="1">"c15730"</definedName>
    <definedName name="IQ_TRANS_IMPACT_FIN_48_RETAINED_EARNINGS" hidden="1">"c15731"</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EASURY_STOCK_TRANSACTIONS_FFIEC" hidden="1">"c15352"</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ASSIGNED_RESERVES_COAL" hidden="1">"c15914"</definedName>
    <definedName name="IQ_UNASSIGNED_RESERVES_TO_TOTAL_RESERVES_COAL" hidden="1">"c15956"</definedName>
    <definedName name="IQ_UNCLASSIFIED_PROPERTY_OPERATING_EXPENSE" hidden="1">"c16034"</definedName>
    <definedName name="IQ_UNCLASSIFIED_RENTAL_INCOME" hidden="1">"c16021"</definedName>
    <definedName name="IQ_UNCONSOL_BEDS" hidden="1">"c8783"</definedName>
    <definedName name="IQ_UNCONSOL_NOI" hidden="1">"c16067"</definedName>
    <definedName name="IQ_UNCONSOL_PROP" hidden="1">"c8762"</definedName>
    <definedName name="IQ_UNCONSOL_ROOMS" hidden="1">"c8787"</definedName>
    <definedName name="IQ_UNCONSOL_SQ_FT" hidden="1">"c8778"</definedName>
    <definedName name="IQ_UNCONSOL_UNITS" hidden="1">"c8770"</definedName>
    <definedName name="IQ_UNDERGROUND_RESERVES_COAL" hidden="1">"c15922"</definedName>
    <definedName name="IQ_UNDERGROUND_RESERVES_TO_TOTAL_RESERVES_COAL" hidden="1">"c15960"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FED_FUNDS" hidden="1">"c2524"</definedName>
    <definedName name="IQ_UNDRAWN_FHLB" hidden="1">"c2520"</definedName>
    <definedName name="IQ_UNDRAWN_LC" hidden="1">"c2521"</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RECOG_TAX_BENEFIT_BEG_PERIOD" hidden="1">"c15732"</definedName>
    <definedName name="IQ_UNRECOG_TAX_BENEFIT_END_PERIOD" hidden="1">"c15740"</definedName>
    <definedName name="IQ_UNRECOG_TAX_BENEFIT_OTHER_ADJ" hidden="1">"c15739"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"c1456"</definedName>
    <definedName name="IQ_UPGRADE_REBUILD_CABLE_INVEST" hidden="1">"c15804"</definedName>
    <definedName name="IQ_US_ADDRESS_LEASE_FIN_REC_FFIEC" hidden="1">"c13624"</definedName>
    <definedName name="IQ_US_AGENCY_OBLIG_FFIEC" hidden="1">"c12779"</definedName>
    <definedName name="IQ_US_AGENCY_OBLIG_HTM_AMORT_COST_FFIEC" hidden="1">"c20438"</definedName>
    <definedName name="IQ_US_AGENCY_OBLIG_HTM_FAIR_VAL_FFIEC" hidden="1">"c20473"</definedName>
    <definedName name="IQ_US_AGENCY_OBLIG_TRADING_DOM_FFIEC" hidden="1">"c12919"</definedName>
    <definedName name="IQ_US_AGENCY_OBLIG_TRADING_FFIEC" hidden="1">"c12814"</definedName>
    <definedName name="IQ_US_AGENCY_OBLIGATIONS_AFS_AMORT_COST_FFIEC" hidden="1">"c20490"</definedName>
    <definedName name="IQ_US_AGENCY_OBLIGATIONS_AFS_FAIR_VAL_FFIEC" hidden="1">"c20455"</definedName>
    <definedName name="IQ_US_AGENCY_OBLIGATIONS_AVAIL_SALE_FFIEC" hidden="1">"c12793"</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INST_DUE_30_89_FFIEC" hidden="1">"c13268"</definedName>
    <definedName name="IQ_US_INST_DUE_90_FFIEC" hidden="1">"c13294"</definedName>
    <definedName name="IQ_US_INST_NON_ACCRUAL_FFIEC" hidden="1">"c13320"</definedName>
    <definedName name="IQ_US_SPONSORED_AGENCY_OBLIG_AFS_AMORT_COST_FFIEC" hidden="1">"c20491"</definedName>
    <definedName name="IQ_US_SPONSORED_AGENCY_OBLIG_AFS_FAIR_VAL_FFIEC" hidden="1">"c20456"</definedName>
    <definedName name="IQ_US_SPONSORED_AGENCY_OBLIG_AVAIL_SALE_FFIEC" hidden="1">"c12794"</definedName>
    <definedName name="IQ_US_SPONSORED_AGENCY_OBLIG_FFIEC" hidden="1">"c12780"</definedName>
    <definedName name="IQ_US_SPONSORED_AGENCY_OBLIG_HTM_AMORT_COST_FFIEC" hidden="1">"c20439"</definedName>
    <definedName name="IQ_US_SPONSORED_AGENCY_OBLIG_HTM_FAIR_VAL_FFIEC" hidden="1">"c20474"</definedName>
    <definedName name="IQ_US_TREASURY_SEC_AFS_AMORT_COST_FFIEC" hidden="1">"c20489"</definedName>
    <definedName name="IQ_US_TREASURY_SEC_AFS_FAIR_VAL_FFIEC" hidden="1">"c20454"</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S_TREASURY_SECURITIES_HTM_AMORT_COST_FFIEC" hidden="1">"c20437"</definedName>
    <definedName name="IQ_US_TREASURY_SECURITIES_HTM_FAIR_VAL_FFIEC" hidden="1">"c20472"</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TILITY_EXPENSE" hidden="1">"c16031"</definedName>
    <definedName name="IQ_UV_PENSION_LIAB" hidden="1">"c1332"</definedName>
    <definedName name="IQ_VALUATION_ALLOWANCES_FDIC" hidden="1">"c6400"</definedName>
    <definedName name="IQ_VALUE_CUSTOMER_ASSETS" hidden="1">"c20433"</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HICLE_LOANS" hidden="1">"c15249"</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ICE_SUB_BASIC_SUB" hidden="1">"c16203"</definedName>
    <definedName name="IQ_VOICE_SUB_TOTAL_HOMES_PASSED" hidden="1">"c15770"</definedName>
    <definedName name="IQ_VOICE_SUB_VIDEO_SUB" hidden="1">"c15789"</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IRELESS_PENETRATION" hidden="1">"c15767"</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WTD_AVG_IR_AFTER_FIVE" hidden="1">"c15700"</definedName>
    <definedName name="IQ_WTD_AVG_IR_CY" hidden="1">"c15695"</definedName>
    <definedName name="IQ_WTD_AVG_IR_CY1" hidden="1">"c15696"</definedName>
    <definedName name="IQ_WTD_AVG_IR_CY2" hidden="1">"c15697"</definedName>
    <definedName name="IQ_WTD_AVG_IR_CY3" hidden="1">"c15698"</definedName>
    <definedName name="IQ_WTD_AVG_IR_CY4" hidden="1">"c15699"</definedName>
    <definedName name="IQ_WTD_AVG_IR_LT_DEBT" hidden="1">"c15693"</definedName>
    <definedName name="IQ_WTD_AVG_IR_TOTAL_DEBT" hidden="1">"c15694"</definedName>
    <definedName name="IQ_XDIV_DATE" hidden="1">"c2104"</definedName>
    <definedName name="IQ_XDIV_DATE_LIST" hidden="1">"c17416"</definedName>
    <definedName name="IQ_YEAR_FOUNDED" hidden="1">"c6793"</definedName>
    <definedName name="IQ_YEARHIGH" hidden="1">"c1337"</definedName>
    <definedName name="IQ_YEARHIGH_DATE" hidden="1">"c2250"</definedName>
    <definedName name="IQ_YEARHIGH_RT" hidden="1">"YEARHIGH"</definedName>
    <definedName name="IQ_YEARLOW" hidden="1">"c1338"</definedName>
    <definedName name="IQ_YEARLOW_DATE" hidden="1">"c2251"</definedName>
    <definedName name="IQ_YEARLOW_RT" hidden="1">"YEARLOW"</definedName>
    <definedName name="IQ_YIELD_CURVE_LIST" hidden="1">"c19250"</definedName>
    <definedName name="IQ_YIELD_FED_FUNDS_SOLD_FFIEC" hidden="1">"c13487"</definedName>
    <definedName name="IQ_YIELD_TRADING_ASSETS_FFIEC" hidden="1">"c13488"</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L_ALL_Ticker0001">Ticker0001_Live_Sheet!$A$1:$FE$309</definedName>
    <definedName name="L_ALL_KEYWORDS_TYPE_ScalarContributed_EQTY_200000801" localSheetId="5">Ticker0001_Live_Sheet!$245:$245,Ticker0001_Live_Sheet!$248:$254,Ticker0001_Live_Sheet!$296:$296,Ticker0001_Live_Sheet!$300:$302,Ticker0001_Live_Sheet!$307:$309</definedName>
    <definedName name="L_ALL_KEYWORDS_TYPE_ScalarContributed_EQTY_200000801">Ticker0001_Live_Sheet!$248:$254,Ticker0001_Live_Sheet!$296:$296,Ticker0001_Live_Sheet!$300:$302,Ticker0001_Live_Sheet!$307:$309,Ticker0001_Live_Sheet!$245:$246</definedName>
    <definedName name="L_ALL_KEYWORDS_TYPE_ScalarContributed_ISSR_208000149" localSheetId="5">Ticker0001_Live_Sheet!$9:$9,Ticker0001_Live_Sheet!$39:$39</definedName>
    <definedName name="L_ALL_KEYWORDS_TYPE_ScalarReference_EQTY_200000801" localSheetId="5">Ticker0001_Live_Sheet!$238:$243</definedName>
    <definedName name="L_ALL_KEYWORDS_TYPE_ScalarReference_ISSR_208000149" localSheetId="5">Ticker0001_Live_Sheet!$6:$7</definedName>
    <definedName name="L_ALL_KEYWORDS_TYPE_Vector_EQTY_200000801" localSheetId="5">Ticker0001_Live_Sheet!$256:$260,Ticker0001_Live_Sheet!$262:$271,Ticker0001_Live_Sheet!$273:$288,Ticker0001_Live_Sheet!$290:$290,Ticker0001_Live_Sheet!$292:$295,Ticker0001_Live_Sheet!$298:$298,Ticker0001_Live_Sheet!$303:$303,Ticker0001_Live_Sheet!$305:$305</definedName>
    <definedName name="L_ALL_KEYWORDS_TYPE_Vector_ISSR_208000149" localSheetId="5">Ticker0001_Live_Sheet!$2:$3,Ticker0001_Live_Sheet!$11:$30,Ticker0001_Live_Sheet!$32:$38,Ticker0001_Live_Sheet!$41:$70,Ticker0001_Live_Sheet!$72:$90,Ticker0001_Live_Sheet!$92:$108,Ticker0001_Live_Sheet!$110:$122,Ticker0001_Live_Sheet!$124:$124,Ticker0001_Live_Sheet!$128:$189,Ticker0001_Live_Sheet!$191:$197,Ticker0001_Live_Sheet!$199:$213,Ticker0001_Live_Sheet!$215:$224</definedName>
    <definedName name="L_ALL_KEYWORDS_TYPE_Vector_ISSR_208000149">Ticker0001_Live_Sheet!$2:$3,Ticker0001_Live_Sheet!$11:$30,Ticker0001_Live_Sheet!$32:$38,Ticker0001_Live_Sheet!$41:$70,Ticker0001_Live_Sheet!$72:$90,Ticker0001_Live_Sheet!$92:$108,Ticker0001_Live_Sheet!$110:$122,Ticker0001_Live_Sheet!$124:$124,Ticker0001_Live_Sheet!$128:$189,Ticker0001_Live_Sheet!$191:$197,Ticker0001_Live_Sheet!$199:$213,Ticker0001_Live_Sheet!$215:$224,Ticker0001_Live_Sheet!$126:$126</definedName>
    <definedName name="L_ALL_PERIODS_Ticker0001" localSheetId="5">Ticker0001_Live_Sheet!$F$1:$FE$1</definedName>
    <definedName name="L_ALL_SECTION_KEYWORDS_EQTY_200000801_1314" localSheetId="5">Ticker0001_Live_Sheet!$C$298</definedName>
    <definedName name="L_ALL_SECTION_KEYWORDS_EQTY_200000801_1319" localSheetId="5">Ticker0001_Live_Sheet!$C$300:$C$303</definedName>
    <definedName name="L_ALL_SECTION_KEYWORDS_EQTY_200000801_131E" localSheetId="5">Ticker0001_Live_Sheet!$C$305</definedName>
    <definedName name="L_ALL_SECTION_KEYWORDS_EQTY_200000801_131O" localSheetId="5">Ticker0001_Live_Sheet!$C$307:$C$309</definedName>
    <definedName name="L_ALL_SECTION_KEYWORDS_EQTY_200000801_13A" localSheetId="5">Ticker0001_Live_Sheet!$C$245:$C$254</definedName>
    <definedName name="L_ALL_SECTION_KEYWORDS_EQTY_200000801_13A">Ticker0001_Live_Sheet!$C$245:$C$254</definedName>
    <definedName name="L_ALL_SECTION_KEYWORDS_EQTY_200000801_13K" localSheetId="5">Ticker0001_Live_Sheet!$C$256:$C$271</definedName>
    <definedName name="L_ALL_SECTION_KEYWORDS_EQTY_200000801_13U" localSheetId="5">Ticker0001_Live_Sheet!$C$273:$C$288</definedName>
    <definedName name="L_ALL_SECTION_KEYWORDS_EQTY_200000801_13V" localSheetId="5">Ticker0001_Live_Sheet!$C$290</definedName>
    <definedName name="L_ALL_SECTION_KEYWORDS_EQTY_200000801_13W" localSheetId="5">Ticker0001_Live_Sheet!$C$292:$C$296</definedName>
    <definedName name="L_ALL_SECTION_KEYWORDS_EQTY_200000801_Reference_Data" localSheetId="5">Ticker0001_Live_Sheet!$C$238:$C$243</definedName>
    <definedName name="L_ALL_SECTION_KEYWORDS_ISSR_208000149_1314" localSheetId="5">Ticker0001_Live_Sheet!$C$41:$C$70</definedName>
    <definedName name="L_ALL_SECTION_KEYWORDS_ISSR_208000149_13168" localSheetId="5">Ticker0001_Live_Sheet!$C$128:$C$189</definedName>
    <definedName name="L_ALL_SECTION_KEYWORDS_ISSR_208000149_1316T" localSheetId="5">Ticker0001_Live_Sheet!$C$191:$C$197</definedName>
    <definedName name="L_ALL_SECTION_KEYWORDS_ISSR_208000149_1316U" localSheetId="5">Ticker0001_Live_Sheet!$C$199:$C$213</definedName>
    <definedName name="L_ALL_SECTION_KEYWORDS_ISSR_208000149_1319" localSheetId="5">Ticker0001_Live_Sheet!$C$72:$C$90</definedName>
    <definedName name="L_ALL_SECTION_KEYWORDS_ISSR_208000149_131E" localSheetId="5">Ticker0001_Live_Sheet!$C$92:$C$108</definedName>
    <definedName name="L_ALL_SECTION_KEYWORDS_ISSR_208000149_131J" localSheetId="5">Ticker0001_Live_Sheet!$C$110:$C$122</definedName>
    <definedName name="L_ALL_SECTION_KEYWORDS_ISSR_208000149_131O" localSheetId="5">Ticker0001_Live_Sheet!$C$124</definedName>
    <definedName name="L_ALL_SECTION_KEYWORDS_ISSR_208000149_131O">Ticker0001_Live_Sheet!$C$124,Ticker0001_Live_Sheet!$C$126</definedName>
    <definedName name="L_ALL_SECTION_KEYWORDS_ISSR_208000149_136E" localSheetId="5">Ticker0001_Live_Sheet!$C$215:$C$224</definedName>
    <definedName name="L_ALL_SECTION_KEYWORDS_ISSR_208000149_136J" localSheetId="5">Ticker0001_Live_Sheet!$C$226:$C$235</definedName>
    <definedName name="L_ALL_SECTION_KEYWORDS_ISSR_208000149_13A" localSheetId="5">Ticker0001_Live_Sheet!$C$9</definedName>
    <definedName name="L_ALL_SECTION_KEYWORDS_ISSR_208000149_13U" localSheetId="5">Ticker0001_Live_Sheet!$C$11:$C$30</definedName>
    <definedName name="L_ALL_SECTION_KEYWORDS_ISSR_208000149_13V" localSheetId="5">Ticker0001_Live_Sheet!$C$32:$C$39</definedName>
    <definedName name="L_ALL_SECTION_KEYWORDS_ISSR_208000149_Reference_Data" localSheetId="5">Ticker0001_Live_Sheet!$C$6:$C$7</definedName>
    <definedName name="L_ALL_SECTIONS_EQTY_200000801" localSheetId="5">Ticker0001_Live_Sheet!$237:$237,Ticker0001_Live_Sheet!$244:$244,Ticker0001_Live_Sheet!$255:$255,Ticker0001_Live_Sheet!$272:$272,Ticker0001_Live_Sheet!$289:$289,Ticker0001_Live_Sheet!$291:$291,Ticker0001_Live_Sheet!$297:$297,Ticker0001_Live_Sheet!$299:$299,Ticker0001_Live_Sheet!$304:$304,Ticker0001_Live_Sheet!$306:$306</definedName>
    <definedName name="L_ALL_SECTIONS_ISSR_208000149" localSheetId="5">Ticker0001_Live_Sheet!$5:$5,Ticker0001_Live_Sheet!$8:$8,Ticker0001_Live_Sheet!$10:$10,Ticker0001_Live_Sheet!$31:$31,Ticker0001_Live_Sheet!$40:$40,Ticker0001_Live_Sheet!$71:$71,Ticker0001_Live_Sheet!$91:$91,Ticker0001_Live_Sheet!$109:$109,Ticker0001_Live_Sheet!$123:$123,Ticker0001_Live_Sheet!$127:$127,Ticker0001_Live_Sheet!$190:$190,Ticker0001_Live_Sheet!$198:$198,Ticker0001_Live_Sheet!$214:$214,Ticker0001_Live_Sheet!$225:$225</definedName>
    <definedName name="L_CURRENCY_EQTY_200000801_PRI" localSheetId="5">Ticker0001_Live_Sheet!$E$242</definedName>
    <definedName name="L_CURRENCY_EQTY_200000801_PUB" localSheetId="5">Ticker0001_Live_Sheet!$E$241</definedName>
    <definedName name="L_CURRENCY_EQTY_200000801_REP" localSheetId="5">Ticker0001_Live_Sheet!$E$243</definedName>
    <definedName name="L_CURRENCY_ISSR_208000149_REP" localSheetId="5">Ticker0001_Live_Sheet!$E$7</definedName>
    <definedName name="L_ENTITY_DATA_EQTY_200000801" localSheetId="5">Ticker0001_Live_Sheet!$E$237:$FE$309</definedName>
    <definedName name="L_ENTITY_DATA_ISSR_208000149" localSheetId="5">Ticker0001_Live_Sheet!$E$5:$FE$235</definedName>
    <definedName name="L_KEYWORD_EQTY_200000801_AMER_CONVICTION" localSheetId="5">Ticker0001_Live_Sheet!$247:$247</definedName>
    <definedName name="L_KEYWORD_EQTY_200000801_AMER_LIST" localSheetId="5">Ticker0001_Live_Sheet!$245:$245</definedName>
    <definedName name="L_KEYWORD_EQTY_200000801_BETA_ANALYST" localSheetId="5">Ticker0001_Live_Sheet!$307:$307</definedName>
    <definedName name="L_KEYWORD_EQTY_200000801_BVPS" localSheetId="5">Ticker0001_Live_Sheet!$298:$298</definedName>
    <definedName name="L_KEYWORD_EQTY_200000801_BVPS_PUB" localSheetId="5">Ticker0001_Live_Sheet!$256:$256</definedName>
    <definedName name="L_KEYWORD_EQTY_200000801_CEEE_EPS" localSheetId="5">Ticker0001_Live_Sheet!$261:$261</definedName>
    <definedName name="L_KEYWORD_EQTY_200000801_CEEE_NDEBT" localSheetId="5">Ticker0001_Live_Sheet!$266:$266</definedName>
    <definedName name="L_KEYWORD_EQTY_200000801_CF_NI_PRE_PREF" localSheetId="5">Ticker0001_Live_Sheet!$305:$305</definedName>
    <definedName name="L_KEYWORD_EQTY_200000801_COMMON_DIV_PAID" localSheetId="5">Ticker0001_Live_Sheet!$284:$284</definedName>
    <definedName name="L_KEYWORD_EQTY_200000801_CURRENCY_ISO" localSheetId="5">Ticker0001_Live_Sheet!$243:$243</definedName>
    <definedName name="L_KEYWORD_EQTY_200000801_DILUTE_SHARES" localSheetId="5">Ticker0001_Live_Sheet!$287:$287</definedName>
    <definedName name="L_KEYWORD_EQTY_200000801_DPS" localSheetId="5">Ticker0001_Live_Sheet!$285:$285</definedName>
    <definedName name="L_KEYWORD_EQTY_200000801_DPS_PUB" localSheetId="5">Ticker0001_Live_Sheet!$257:$257</definedName>
    <definedName name="L_KEYWORD_EQTY_200000801_DPS_SPECIAL_PUB" localSheetId="5">Ticker0001_Live_Sheet!$258:$258</definedName>
    <definedName name="L_KEYWORD_EQTY_200000801_EBIT_PUB" localSheetId="5">Ticker0001_Live_Sheet!$268:$268</definedName>
    <definedName name="L_KEYWORD_EQTY_200000801_EBITDA_PUB" localSheetId="5">Ticker0001_Live_Sheet!$259:$259</definedName>
    <definedName name="L_KEYWORD_EQTY_200000801_EPS" localSheetId="5">Ticker0001_Live_Sheet!$280:$280</definedName>
    <definedName name="L_KEYWORD_EQTY_200000801_EPS_EX_ESO_B" localSheetId="5">Ticker0001_Live_Sheet!$294:$294</definedName>
    <definedName name="L_KEYWORD_EQTY_200000801_EPS_EX_ESO_D" localSheetId="5">Ticker0001_Live_Sheet!$295:$295</definedName>
    <definedName name="L_KEYWORD_EQTY_200000801_EPS_FUL_DIL" localSheetId="5">Ticker0001_Live_Sheet!$281:$281</definedName>
    <definedName name="L_KEYWORD_EQTY_200000801_EPS_POST_BASIC" localSheetId="5">Ticker0001_Live_Sheet!$282:$282</definedName>
    <definedName name="L_KEYWORD_EQTY_200000801_EPS_PUB" localSheetId="5">Ticker0001_Live_Sheet!$260:$260</definedName>
    <definedName name="L_KEYWORD_EQTY_200000801_EPS_PUB_EX_ESO" localSheetId="5">Ticker0001_Live_Sheet!$262:$262</definedName>
    <definedName name="L_KEYWORD_EQTY_200000801_EQ_PUB" localSheetId="5">Ticker0001_Live_Sheet!$271:$271</definedName>
    <definedName name="L_KEYWORD_EQTY_200000801_ESO_POST_TAX" localSheetId="5">Ticker0001_Live_Sheet!$293:$293</definedName>
    <definedName name="L_KEYWORD_EQTY_200000801_ESO_YEAR" localSheetId="5">Ticker0001_Live_Sheet!$296:$296</definedName>
    <definedName name="L_KEYWORD_EQTY_200000801_EV_ADJ_PUB" localSheetId="5">Ticker0001_Live_Sheet!$263:$263</definedName>
    <definedName name="L_KEYWORD_EQTY_200000801_FREE_FLOAT" localSheetId="5">Ticker0001_Live_Sheet!$254:$254</definedName>
    <definedName name="L_KEYWORD_EQTY_200000801_FULLY_DIL_EPS" localSheetId="5">Ticker0001_Live_Sheet!$283:$283</definedName>
    <definedName name="L_KEYWORD_EQTY_200000801_FV_GRANT" localSheetId="5">Ticker0001_Live_Sheet!$292:$292</definedName>
    <definedName name="L_KEYWORD_EQTY_200000801_INC_MINORITY" localSheetId="5">Ticker0001_Live_Sheet!$274:$274</definedName>
    <definedName name="L_KEYWORD_EQTY_200000801_Interim_Type" localSheetId="5">Ticker0001_Live_Sheet!$240:$240</definedName>
    <definedName name="L_KEYWORD_EQTY_200000801_LEGAL_RATING" localSheetId="5">Ticker0001_Live_Sheet!$248:$248</definedName>
    <definedName name="L_KEYWORD_EQTY_200000801_MARGIN_TAX_RATE" localSheetId="5">Ticker0001_Live_Sheet!$290:$290</definedName>
    <definedName name="L_KEYWORD_EQTY_200000801_MKT_EQ_RISK_PREM" localSheetId="5">Ticker0001_Live_Sheet!$308:$308</definedName>
    <definedName name="L_KEYWORD_EQTY_200000801_NET_DEBT_EX_LEASES_PUB" localSheetId="5">Ticker0001_Live_Sheet!$265:$265</definedName>
    <definedName name="L_KEYWORD_EQTY_200000801_NET_DEBT_PUB" localSheetId="5">Ticker0001_Live_Sheet!$264:$264</definedName>
    <definedName name="L_KEYWORD_EQTY_200000801_NET_EARNING" localSheetId="5">Ticker0001_Live_Sheet!$277:$277</definedName>
    <definedName name="L_KEYWORD_EQTY_200000801_NET_INC" localSheetId="5">Ticker0001_Live_Sheet!$279:$279</definedName>
    <definedName name="L_KEYWORD_EQTY_200000801_NI_PRE_PREF" localSheetId="5">Ticker0001_Live_Sheet!$275:$275</definedName>
    <definedName name="L_KEYWORD_EQTY_200000801_NI_PUB" localSheetId="5">Ticker0001_Live_Sheet!$267:$267</definedName>
    <definedName name="L_KEYWORD_EQTY_200000801_NON_OP_ADD" localSheetId="5">Ticker0001_Live_Sheet!$288:$288</definedName>
    <definedName name="L_KEYWORD_EQTY_200000801_NOT_IN_USE" localSheetId="5">Ticker0001_Live_Sheet!$246:$246</definedName>
    <definedName name="L_KEYWORD_EQTY_200000801_NUM_SH" localSheetId="5">Ticker0001_Live_Sheet!$253:$253</definedName>
    <definedName name="L_KEYWORD_EQTY_200000801_PREF_DIV" localSheetId="5">Ticker0001_Live_Sheet!$276:$276</definedName>
    <definedName name="L_KEYWORD_EQTY_200000801_PRICE_CURRENCY_ISO" localSheetId="5">Ticker0001_Live_Sheet!$242:$242</definedName>
    <definedName name="L_KEYWORD_EQTY_200000801_PROV_INC_TAX" localSheetId="5">Ticker0001_Live_Sheet!$273:$273</definedName>
    <definedName name="L_KEYWORD_EQTY_200000801_PTP_PUB" localSheetId="5">Ticker0001_Live_Sheet!$269:$269</definedName>
    <definedName name="L_KEYWORD_EQTY_200000801_PUB_CURRENCY_ISO" localSheetId="5">Ticker0001_Live_Sheet!$241:$241</definedName>
    <definedName name="L_KEYWORD_EQTY_200000801_REPUR_ACTUAL" localSheetId="5">Ticker0001_Live_Sheet!$303:$303</definedName>
    <definedName name="L_KEYWORD_EQTY_200000801_REPUR_REMAINING" localSheetId="5">Ticker0001_Live_Sheet!$301:$301</definedName>
    <definedName name="L_KEYWORD_EQTY_200000801_REPUR_SUSPENDED" localSheetId="5">Ticker0001_Live_Sheet!$302:$302</definedName>
    <definedName name="L_KEYWORD_EQTY_200000801_REPUR_TOT_AUTH" localSheetId="5">Ticker0001_Live_Sheet!$300:$300</definedName>
    <definedName name="L_KEYWORD_EQTY_200000801_REVS_PUB" localSheetId="5">Ticker0001_Live_Sheet!$270:$270</definedName>
    <definedName name="L_KEYWORD_EQTY_200000801_RISK_FR_RATE" localSheetId="5">Ticker0001_Live_Sheet!$309:$309</definedName>
    <definedName name="L_KEYWORD_EQTY_200000801_Security_Name" localSheetId="5">Ticker0001_Live_Sheet!$239:$239</definedName>
    <definedName name="L_KEYWORD_EQTY_200000801_SH" localSheetId="5">Ticker0001_Live_Sheet!$286:$286</definedName>
    <definedName name="L_KEYWORD_EQTY_200000801_TARGET_PRICE" localSheetId="5">Ticker0001_Live_Sheet!$249:$249</definedName>
    <definedName name="L_KEYWORD_EQTY_200000801_TARGET_PRICE_FUNDAMENTAL" localSheetId="5">Ticker0001_Live_Sheet!$251:$251</definedName>
    <definedName name="L_KEYWORD_EQTY_200000801_TARGET_PRICE_MA" localSheetId="5">Ticker0001_Live_Sheet!$252:$252</definedName>
    <definedName name="L_KEYWORD_EQTY_200000801_TAX_EXC" localSheetId="5">Ticker0001_Live_Sheet!$278:$278</definedName>
    <definedName name="L_KEYWORD_EQTY_200000801_Ticker" localSheetId="5">Ticker0001_Live_Sheet!$238:$238</definedName>
    <definedName name="L_KEYWORD_EQTY_200000801_TP_PERIOD" localSheetId="5">Ticker0001_Live_Sheet!$250:$250</definedName>
    <definedName name="L_KEYWORD_ISSR_208000149_ACC_AMORT" localSheetId="5">Ticker0001_Live_Sheet!$50:$50</definedName>
    <definedName name="L_KEYWORD_ISSR_208000149_ACC_DDA" localSheetId="5">Ticker0001_Live_Sheet!$47:$47</definedName>
    <definedName name="L_KEYWORD_ISSR_208000149_ACC_END_DATE" localSheetId="5">Ticker0001_Live_Sheet!$3:$3</definedName>
    <definedName name="L_KEYWORD_ISSR_208000149_ACC_PAY_GQ" localSheetId="5">Ticker0001_Live_Sheet!$56:$56</definedName>
    <definedName name="L_KEYWORD_ISSR_208000149_ACQ" localSheetId="5">Ticker0001_Live_Sheet!$98:$98</definedName>
    <definedName name="L_KEYWORD_ISSR_208000149_ADJ_UNF_PENS_GOOD" localSheetId="5">Ticker0001_Live_Sheet!$86:$86</definedName>
    <definedName name="L_KEYWORD_ISSR_208000149_ASSOC_JV_ADDBK" localSheetId="5">Ticker0001_Live_Sheet!$110:$110</definedName>
    <definedName name="L_KEYWORD_ISSR_208000149_ASSOCIATE" localSheetId="5">Ticker0001_Live_Sheet!$27:$27</definedName>
    <definedName name="L_KEYWORD_ISSR_208000149_ASSOCIATE_OP" localSheetId="5">Ticker0001_Live_Sheet!$36:$36</definedName>
    <definedName name="L_KEYWORD_ISSR_208000149_AVG_AGE_CUST" localSheetId="5">Ticker0001_Live_Sheet!$126:$126</definedName>
    <definedName name="L_KEYWORD_ISSR_208000149_AVG_HSHLD_INC_CUST" localSheetId="5">Ticker0001_Live_Sheet!$125:$125</definedName>
    <definedName name="L_KEYWORD_ISSR_208000149_BAL_MINO_INT" localSheetId="5">Ticker0001_Live_Sheet!$89:$89</definedName>
    <definedName name="L_KEYWORD_ISSR_208000149_CAP_LEASES" localSheetId="5">Ticker0001_Live_Sheet!$77:$77</definedName>
    <definedName name="L_KEYWORD_ISSR_208000149_CAPEX" localSheetId="5">Ticker0001_Live_Sheet!$97:$97</definedName>
    <definedName name="L_KEYWORD_ISSR_208000149_CAPEX_EXPANSION" localSheetId="5">Ticker0001_Live_Sheet!$120:$120</definedName>
    <definedName name="L_KEYWORD_ISSR_208000149_CAPEX_MAINTENANCE" localSheetId="5">Ticker0001_Live_Sheet!$119:$119</definedName>
    <definedName name="L_KEYWORD_ISSR_208000149_CASH_EQ" localSheetId="5">Ticker0001_Live_Sheet!$41:$41</definedName>
    <definedName name="L_KEYWORD_ISSR_208000149_CASH_INT_EXP" localSheetId="5">Ticker0001_Live_Sheet!$116:$116</definedName>
    <definedName name="L_KEYWORD_ISSR_208000149_CASH_PCT_OS_US" localSheetId="5">Ticker0001_Live_Sheet!$187:$187</definedName>
    <definedName name="L_KEYWORD_ISSR_208000149_CASH_TAX_EXP" localSheetId="5">Ticker0001_Live_Sheet!$117:$117</definedName>
    <definedName name="L_KEYWORD_ISSR_208000149_CF_FIN" localSheetId="5">Ticker0001_Live_Sheet!$107:$107</definedName>
    <definedName name="L_KEYWORD_ISSR_208000149_CF_INC_MINORITY" localSheetId="5">Ticker0001_Live_Sheet!$92:$92</definedName>
    <definedName name="L_KEYWORD_ISSR_208000149_CF_INV" localSheetId="5">Ticker0001_Live_Sheet!$101:$101</definedName>
    <definedName name="L_KEYWORD_ISSR_208000149_CF_OPS" localSheetId="5">Ticker0001_Live_Sheet!$96:$96</definedName>
    <definedName name="L_KEYWORD_ISSR_208000149_CHG_DEF_TAX_CF" localSheetId="5">Ticker0001_Live_Sheet!$114:$114</definedName>
    <definedName name="L_KEYWORD_ISSR_208000149_CHG_LT_DEBT" localSheetId="5">Ticker0001_Live_Sheet!$104:$104</definedName>
    <definedName name="L_KEYWORD_ISSR_208000149_CO_BOR_MARGIN" localSheetId="5">Ticker0001_Live_Sheet!$82:$82</definedName>
    <definedName name="L_KEYWORD_ISSR_208000149_COGS_PCT_ROW" localSheetId="5">Ticker0001_Live_Sheet!$178:$178</definedName>
    <definedName name="L_KEYWORD_ISSR_208000149_COGS_PCT_US" localSheetId="5">Ticker0001_Live_Sheet!$177:$177</definedName>
    <definedName name="L_KEYWORD_ISSR_208000149_COST_GD_SD" localSheetId="5">Ticker0001_Live_Sheet!$12:$12</definedName>
    <definedName name="L_KEYWORD_ISSR_208000149_CUR_ASS" localSheetId="5">Ticker0001_Live_Sheet!$45:$45</definedName>
    <definedName name="L_KEYWORD_ISSR_208000149_CURRENCY_ISO" localSheetId="5">Ticker0001_Live_Sheet!$7:$7</definedName>
    <definedName name="L_KEYWORD_ISSR_208000149_DEBTORS" localSheetId="5">Ticker0001_Live_Sheet!$42:$42</definedName>
    <definedName name="L_KEYWORD_ISSR_208000149_DEF_INC_TAX" localSheetId="5">Ticker0001_Live_Sheet!$78:$78</definedName>
    <definedName name="L_KEYWORD_ISSR_208000149_DEPR_AMORT" localSheetId="5">Ticker0001_Live_Sheet!$93:$93</definedName>
    <definedName name="L_KEYWORD_ISSR_208000149_DEPR_ROU_ASSETS" localSheetId="5">Ticker0001_Live_Sheet!$37:$37</definedName>
    <definedName name="L_KEYWORD_ISSR_208000149_DEPREC" localSheetId="5">Ticker0001_Live_Sheet!$21:$21</definedName>
    <definedName name="L_KEYWORD_ISSR_208000149_DIV_PAID" localSheetId="5">Ticker0001_Live_Sheet!$102:$102</definedName>
    <definedName name="L_KEYWORD_ISSR_208000149_DIVDS_ASSOC_JV" localSheetId="5">Ticker0001_Live_Sheet!$118:$118</definedName>
    <definedName name="L_KEYWORD_ISSR_208000149_DIVDS_PD_MINORITIES" localSheetId="5">Ticker0001_Live_Sheet!$122:$122</definedName>
    <definedName name="L_KEYWORD_ISSR_208000149_DIVEST" localSheetId="5">Ticker0001_Live_Sheet!$99:$99</definedName>
    <definedName name="L_KEYWORD_ISSR_208000149_EBIT" localSheetId="5">Ticker0001_Live_Sheet!$23:$23</definedName>
    <definedName name="L_KEYWORD_ISSR_208000149_EBIT_FIN_SEGMENT" localSheetId="5">Ticker0001_Live_Sheet!$189:$189</definedName>
    <definedName name="L_KEYWORD_ISSR_208000149_EBITDA_CALC" localSheetId="5">Ticker0001_Live_Sheet!$20:$20</definedName>
    <definedName name="L_KEYWORD_ISSR_208000149_EMPLOYEES" localSheetId="5">Ticker0001_Live_Sheet!$124:$124</definedName>
    <definedName name="L_KEYWORD_ISSR_208000149_EQ" localSheetId="5">Ticker0001_Live_Sheet!$69:$69</definedName>
    <definedName name="L_KEYWORD_ISSR_208000149_ESO_PRE_TAX" localSheetId="5">Ticker0001_Live_Sheet!$16:$16</definedName>
    <definedName name="L_KEYWORD_ISSR_208000149_EXP_GLASS" localSheetId="5">Ticker0001_Live_Sheet!$194:$194</definedName>
    <definedName name="L_KEYWORD_ISSR_208000149_EXP_OIL_DERIV_NGLS_PLASTICS" localSheetId="5">Ticker0001_Live_Sheet!$192:$192</definedName>
    <definedName name="L_KEYWORD_ISSR_208000149_EXP_OIL_PETRO_FUEL" localSheetId="5">Ticker0001_Live_Sheet!$191:$191</definedName>
    <definedName name="L_KEYWORD_ISSR_208000149_EXP_OTH_COMMODITY" localSheetId="5">Ticker0001_Live_Sheet!$196:$196</definedName>
    <definedName name="L_KEYWORD_ISSR_208000149_EXP_OTH_COST" localSheetId="5">Ticker0001_Live_Sheet!$197:$197</definedName>
    <definedName name="L_KEYWORD_ISSR_208000149_EXP_PAPER_PULP" localSheetId="5">Ticker0001_Live_Sheet!$193:$193</definedName>
    <definedName name="L_KEYWORD_ISSR_208000149_EXP_WATER" localSheetId="5">Ticker0001_Live_Sheet!$195:$195</definedName>
    <definedName name="L_KEYWORD_ISSR_208000149_FIX_ASS_INV" localSheetId="5">Ticker0001_Live_Sheet!$52:$52</definedName>
    <definedName name="L_KEYWORD_ISSR_208000149_FLOATING_PCT_LOCAL_DEBT" localSheetId="5">Ticker0001_Live_Sheet!$74:$74</definedName>
    <definedName name="L_KEYWORD_ISSR_208000149_FLOATING_PCT_LOCAL_DEBT_HEDGED" localSheetId="5">Ticker0001_Live_Sheet!$75:$75</definedName>
    <definedName name="L_KEYWORD_ISSR_208000149_FOREX" localSheetId="5">Ticker0001_Live_Sheet!$226:$226</definedName>
    <definedName name="L_KEYWORD_ISSR_208000149_GCI_INFL" localSheetId="5">Ticker0001_Live_Sheet!$88:$88</definedName>
    <definedName name="L_KEYWORD_ISSR_208000149_GOODWILL_AMORT" localSheetId="5">Ticker0001_Live_Sheet!$22:$22</definedName>
    <definedName name="L_KEYWORD_ISSR_208000149_GR_FIX_ASS" localSheetId="5">Ticker0001_Live_Sheet!$46:$46</definedName>
    <definedName name="L_KEYWORD_ISSR_208000149_GR_INTANG" localSheetId="5">Ticker0001_Live_Sheet!$49:$49</definedName>
    <definedName name="L_KEYWORD_ISSR_208000149_INS_TOT_HOMEOWNERS_PIF_GRTH" localSheetId="5">Ticker0001_Live_Sheet!$235:$235</definedName>
    <definedName name="L_KEYWORD_ISSR_208000149_INT_EXP_IND" localSheetId="5">Ticker0001_Live_Sheet!$25:$25</definedName>
    <definedName name="L_KEYWORD_ISSR_208000149_INT_INC_IND" localSheetId="5">Ticker0001_Live_Sheet!$24:$24</definedName>
    <definedName name="L_KEYWORD_ISSR_208000149_INV_SECUR" localSheetId="5">Ticker0001_Live_Sheet!$53:$53</definedName>
    <definedName name="L_KEYWORD_ISSR_208000149_Issuer_Name" localSheetId="5">Ticker0001_Live_Sheet!$6:$6</definedName>
    <definedName name="L_KEYWORD_ISSR_208000149_LEASE_ADOPT" localSheetId="5">Ticker0001_Live_Sheet!$39:$39</definedName>
    <definedName name="L_KEYWORD_ISSR_208000149_LEASE_DEEM_DEPR" localSheetId="5">Ticker0001_Live_Sheet!$34:$34</definedName>
    <definedName name="L_KEYWORD_ISSR_208000149_LEASE_DEEM_INT" localSheetId="5">Ticker0001_Live_Sheet!$33:$33</definedName>
    <definedName name="L_KEYWORD_ISSR_208000149_LEASE_INT_CHG" localSheetId="5">Ticker0001_Live_Sheet!$38:$38</definedName>
    <definedName name="L_KEYWORD_ISSR_208000149_LEASE_PAY" localSheetId="5">Ticker0001_Live_Sheet!$32:$32</definedName>
    <definedName name="L_KEYWORD_ISSR_208000149_LEASE_PRINCIPAL_CASH" localSheetId="5">Ticker0001_Live_Sheet!$105:$105</definedName>
    <definedName name="L_KEYWORD_ISSR_208000149_LT_DEBT" localSheetId="5">Ticker0001_Live_Sheet!$61:$61</definedName>
    <definedName name="L_KEYWORD_ISSR_208000149_LT_LEASE_LIAB" localSheetId="5">Ticker0001_Live_Sheet!$62:$62</definedName>
    <definedName name="L_KEYWORD_ISSR_208000149_MA_PROB" localSheetId="5">Ticker0001_Live_Sheet!$9:$9</definedName>
    <definedName name="L_KEYWORD_ISSR_208000149_MINORITIES" localSheetId="5">Ticker0001_Live_Sheet!$68:$68</definedName>
    <definedName name="L_KEYWORD_ISSR_208000149_MV_ASSOCIATES" localSheetId="5">Ticker0001_Live_Sheet!$80:$80</definedName>
    <definedName name="L_KEYWORD_ISSR_208000149_NET_DEBT" localSheetId="5">Ticker0001_Live_Sheet!$76:$76</definedName>
    <definedName name="L_KEYWORD_ISSR_208000149_NET_DEBT_ADJ" localSheetId="5">Ticker0001_Live_Sheet!$81:$81</definedName>
    <definedName name="L_KEYWORD_ISSR_208000149_NET_FIX_ASS" localSheetId="5">Ticker0001_Live_Sheet!$48:$48</definedName>
    <definedName name="L_KEYWORD_ISSR_208000149_NET_INT_CH" localSheetId="5">Ticker0001_Live_Sheet!$35:$35</definedName>
    <definedName name="L_KEYWORD_ISSR_208000149_NET_INT_EXP" localSheetId="5">Ticker0001_Live_Sheet!$26:$26</definedName>
    <definedName name="L_KEYWORD_ISSR_208000149_NET_INTANG" localSheetId="5">Ticker0001_Live_Sheet!$51:$51</definedName>
    <definedName name="L_KEYWORD_ISSR_208000149_NET_OP_LOSS_CFWD" localSheetId="5">Ticker0001_Live_Sheet!$79:$79</definedName>
    <definedName name="L_KEYWORD_ISSR_208000149_NONPPE_CAPEX" localSheetId="5">Ticker0001_Live_Sheet!$121:$121</definedName>
    <definedName name="L_KEYWORD_ISSR_208000149_OP_COST" localSheetId="5">Ticker0001_Live_Sheet!$14:$14</definedName>
    <definedName name="L_KEYWORD_ISSR_208000149_ORD_SH_FUND" localSheetId="5">Ticker0001_Live_Sheet!$67:$67</definedName>
    <definedName name="L_KEYWORD_ISSR_208000149_OTH_ADJ_CASH_TAX" localSheetId="5">Ticker0001_Live_Sheet!$115:$115</definedName>
    <definedName name="L_KEYWORD_ISSR_208000149_OTH_COST_INC" localSheetId="5">Ticker0001_Live_Sheet!$29:$29</definedName>
    <definedName name="L_KEYWORD_ISSR_208000149_OTH_CUR_ASS" localSheetId="5">Ticker0001_Live_Sheet!$44:$44</definedName>
    <definedName name="L_KEYWORD_ISSR_208000149_OTH_CUR_LIABS" localSheetId="5">Ticker0001_Live_Sheet!$59:$59</definedName>
    <definedName name="L_KEYWORD_ISSR_208000149_OTH_DACF_ADJ" localSheetId="5">Ticker0001_Live_Sheet!$113:$113</definedName>
    <definedName name="L_KEYWORD_ISSR_208000149_OTH_FIN_CF" localSheetId="5">Ticker0001_Live_Sheet!$106:$106</definedName>
    <definedName name="L_KEYWORD_ISSR_208000149_OTH_GCI_ADJ" localSheetId="5">Ticker0001_Live_Sheet!$87:$87</definedName>
    <definedName name="L_KEYWORD_ISSR_208000149_OTH_INV_CF" localSheetId="5">Ticker0001_Live_Sheet!$100:$100</definedName>
    <definedName name="L_KEYWORD_ISSR_208000149_OTH_LT_ASS" localSheetId="5">Ticker0001_Live_Sheet!$54:$54</definedName>
    <definedName name="L_KEYWORD_ISSR_208000149_OTH_LT_CRED_GQ" localSheetId="5">Ticker0001_Live_Sheet!$63:$63</definedName>
    <definedName name="L_KEYWORD_ISSR_208000149_OTH_NONCASH_ADJ" localSheetId="5">Ticker0001_Live_Sheet!$112:$112</definedName>
    <definedName name="L_KEYWORD_ISSR_208000149_OTH_OP_CF" localSheetId="5">Ticker0001_Live_Sheet!$95:$95</definedName>
    <definedName name="L_KEYWORD_ISSR_208000149_OTH_OP_INC_EXP" localSheetId="5">Ticker0001_Live_Sheet!$17:$17</definedName>
    <definedName name="L_KEYWORD_ISSR_208000149_PERIOD_MILESTONE" localSheetId="5">Ticker0001_Live_Sheet!$2:$2</definedName>
    <definedName name="L_KEYWORD_ISSR_208000149_PL_SALE_ASSETS" localSheetId="5">Ticker0001_Live_Sheet!$111:$111</definedName>
    <definedName name="L_KEYWORD_ISSR_208000149_PREF_SH" localSheetId="5">Ticker0001_Live_Sheet!$66:$66</definedName>
    <definedName name="L_KEYWORD_ISSR_208000149_PROFIT_ON_DISP" localSheetId="5">Ticker0001_Live_Sheet!$28:$28</definedName>
    <definedName name="L_KEYWORD_ISSR_208000149_PT_PROF" localSheetId="5">Ticker0001_Live_Sheet!$30:$30</definedName>
    <definedName name="L_KEYWORD_ISSR_208000149_RD_EXP" localSheetId="5">Ticker0001_Live_Sheet!$15:$15</definedName>
    <definedName name="L_KEYWORD_ISSR_208000149_REV_FIN_SEGMENT" localSheetId="5">Ticker0001_Live_Sheet!$188:$188</definedName>
    <definedName name="L_KEYWORD_ISSR_208000149_REV_SEG1_NAME" localSheetId="5">Ticker0001_Live_Sheet!$227:$227</definedName>
    <definedName name="L_KEYWORD_ISSR_208000149_REV_SEG1_VALUE" localSheetId="5">Ticker0001_Live_Sheet!$231:$231</definedName>
    <definedName name="L_KEYWORD_ISSR_208000149_REV_SEG2_NAME" localSheetId="5">Ticker0001_Live_Sheet!$228:$228</definedName>
    <definedName name="L_KEYWORD_ISSR_208000149_REV_SEG2_VALUE" localSheetId="5">Ticker0001_Live_Sheet!$232:$232</definedName>
    <definedName name="L_KEYWORD_ISSR_208000149_REV_SEG3_NAME" localSheetId="5">Ticker0001_Live_Sheet!$229:$229</definedName>
    <definedName name="L_KEYWORD_ISSR_208000149_REV_SEG3_VALUE" localSheetId="5">Ticker0001_Live_Sheet!$233:$233</definedName>
    <definedName name="L_KEYWORD_ISSR_208000149_REV_SEG4_NAME" localSheetId="5">Ticker0001_Live_Sheet!$230:$230</definedName>
    <definedName name="L_KEYWORD_ISSR_208000149_REV_SEG4_VALUE" localSheetId="5">Ticker0001_Live_Sheet!$234:$234</definedName>
    <definedName name="L_KEYWORD_ISSR_208000149_ROU_ASSET" localSheetId="5">Ticker0001_Live_Sheet!$90:$90</definedName>
    <definedName name="L_KEYWORD_ISSR_208000149_SALES" localSheetId="5">Ticker0001_Live_Sheet!$11:$11</definedName>
    <definedName name="L_KEYWORD_ISSR_208000149_SALES_ARGENTINA" localSheetId="5">Ticker0001_Live_Sheet!$131:$131</definedName>
    <definedName name="L_KEYWORD_ISSR_208000149_SALES_AUSTRA" localSheetId="5">Ticker0001_Live_Sheet!$174:$174</definedName>
    <definedName name="L_KEYWORD_ISSR_208000149_SALES_AUSTRIA" localSheetId="5">Ticker0001_Live_Sheet!$138:$138</definedName>
    <definedName name="L_KEYWORD_ISSR_208000149_SALES_COMPANY0377" localSheetId="5">Ticker0001_Live_Sheet!$139:$139</definedName>
    <definedName name="L_KEYWORD_ISSR_208000149_SALES_BRAZIL" localSheetId="5">Ticker0001_Live_Sheet!$132:$132</definedName>
    <definedName name="L_KEYWORD_ISSR_208000149_SALES_CANADA" localSheetId="5">Ticker0001_Live_Sheet!$128:$128</definedName>
    <definedName name="L_KEYWORD_ISSR_208000149_SALES_CEE" localSheetId="5">Ticker0001_Live_Sheet!$219:$219</definedName>
    <definedName name="L_KEYWORD_ISSR_208000149_SALES_CHILE" localSheetId="5">Ticker0001_Live_Sheet!$133:$133</definedName>
    <definedName name="L_KEYWORD_ISSR_208000149_SALES_CHINA" localSheetId="5">Ticker0001_Live_Sheet!$169:$169</definedName>
    <definedName name="L_KEYWORD_ISSR_208000149_SALES_COLOMBIA" localSheetId="5">Ticker0001_Live_Sheet!$134:$134</definedName>
    <definedName name="L_KEYWORD_ISSR_208000149_SALES_CONS" localSheetId="5">Ticker0001_Live_Sheet!$181:$181</definedName>
    <definedName name="L_KEYWORD_ISSR_208000149_SALES_EU_EX_UK" localSheetId="5">Ticker0001_Live_Sheet!$218:$218</definedName>
    <definedName name="L_KEYWORD_ISSR_208000149_SALES_FINAN" localSheetId="5">Ticker0001_Live_Sheet!$184:$184</definedName>
    <definedName name="L_KEYWORD_ISSR_208000149_SALES_FRA" localSheetId="5">Ticker0001_Live_Sheet!$140:$140</definedName>
    <definedName name="L_KEYWORD_ISSR_208000149_SALES_FX_ARS" localSheetId="5">Ticker0001_Live_Sheet!$210:$210</definedName>
    <definedName name="L_KEYWORD_ISSR_208000149_SALES_FX_BRL" localSheetId="5">Ticker0001_Live_Sheet!$203:$203</definedName>
    <definedName name="L_KEYWORD_ISSR_208000149_SALES_FX_CAD" localSheetId="5">Ticker0001_Live_Sheet!$207:$207</definedName>
    <definedName name="L_KEYWORD_ISSR_208000149_SALES_FX_CLP" localSheetId="5">Ticker0001_Live_Sheet!$211:$211</definedName>
    <definedName name="L_KEYWORD_ISSR_208000149_SALES_FX_CNY" localSheetId="5">Ticker0001_Live_Sheet!$205:$205</definedName>
    <definedName name="L_KEYWORD_ISSR_208000149_SALES_FX_COP" localSheetId="5">Ticker0001_Live_Sheet!$209:$209</definedName>
    <definedName name="L_KEYWORD_ISSR_208000149_SALES_FX_EUR" localSheetId="5">Ticker0001_Live_Sheet!$200:$200</definedName>
    <definedName name="L_KEYWORD_ISSR_208000149_SALES_FX_GPB" localSheetId="5">Ticker0001_Live_Sheet!$199:$199</definedName>
    <definedName name="L_KEYWORD_ISSR_208000149_SALES_FX_INR" localSheetId="5">Ticker0001_Live_Sheet!$206:$206</definedName>
    <definedName name="L_KEYWORD_ISSR_208000149_SALES_FX_MXN" localSheetId="5">Ticker0001_Live_Sheet!$208:$208</definedName>
    <definedName name="L_KEYWORD_ISSR_208000149_SALES_FX_OTH" localSheetId="5">Ticker0001_Live_Sheet!$213:$213</definedName>
    <definedName name="L_KEYWORD_ISSR_208000149_SALES_FX_RUB" localSheetId="5">Ticker0001_Live_Sheet!$201:$201</definedName>
    <definedName name="L_KEYWORD_ISSR_208000149_SALES_FX_USD" localSheetId="5">Ticker0001_Live_Sheet!$202:$202</definedName>
    <definedName name="L_KEYWORD_ISSR_208000149_SALES_FX_VEF" localSheetId="5">Ticker0001_Live_Sheet!$212:$212</definedName>
    <definedName name="L_KEYWORD_ISSR_208000149_SALES_FX_YEN" localSheetId="5">Ticker0001_Live_Sheet!$204:$204</definedName>
    <definedName name="L_KEYWORD_ISSR_208000149_SALES_GER" localSheetId="5">Ticker0001_Live_Sheet!$141:$141</definedName>
    <definedName name="L_KEYWORD_ISSR_208000149_SALES_GOV" localSheetId="5">Ticker0001_Live_Sheet!$183:$183</definedName>
    <definedName name="L_KEYWORD_ISSR_208000149_SALES_GRE" localSheetId="5">Ticker0001_Live_Sheet!$142:$142</definedName>
    <definedName name="L_KEYWORD_ISSR_208000149_SALES_HONG_KONG" localSheetId="5">Ticker0001_Live_Sheet!$163:$163</definedName>
    <definedName name="L_KEYWORD_ISSR_208000149_SALES_IND" localSheetId="5">Ticker0001_Live_Sheet!$182:$182</definedName>
    <definedName name="L_KEYWORD_ISSR_208000149_SALES_INDIA" localSheetId="5">Ticker0001_Live_Sheet!$170:$170</definedName>
    <definedName name="L_KEYWORD_ISSR_208000149_SALES_INDONESIA" localSheetId="5">Ticker0001_Live_Sheet!$171:$171</definedName>
    <definedName name="L_KEYWORD_ISSR_208000149_SALES_IRE" localSheetId="5">Ticker0001_Live_Sheet!$143:$143</definedName>
    <definedName name="L_KEYWORD_ISSR_208000149_SALES_ITA" localSheetId="5">Ticker0001_Live_Sheet!$144:$144</definedName>
    <definedName name="L_KEYWORD_ISSR_208000149_SALES_JAPAN" localSheetId="5">Ticker0001_Live_Sheet!$164:$164</definedName>
    <definedName name="L_KEYWORD_ISSR_208000149_SALES_ME" localSheetId="5">Ticker0001_Live_Sheet!$220:$220</definedName>
    <definedName name="L_KEYWORD_ISSR_208000149_SALES_MEXICO" localSheetId="5">Ticker0001_Live_Sheet!$135:$135</definedName>
    <definedName name="L_KEYWORD_ISSR_208000149_SALES_NETH" localSheetId="5">Ticker0001_Live_Sheet!$145:$145</definedName>
    <definedName name="L_KEYWORD_ISSR_208000149_SALES_NIGERIA" localSheetId="5">Ticker0001_Live_Sheet!$160:$160</definedName>
    <definedName name="L_KEYWORD_ISSR_208000149_SALES_NOR" localSheetId="5">Ticker0001_Live_Sheet!$146:$146</definedName>
    <definedName name="L_KEYWORD_ISSR_208000149_SALES_NZ" localSheetId="5">Ticker0001_Live_Sheet!$175:$175</definedName>
    <definedName name="L_KEYWORD_ISSR_208000149_SALES_OIL_GAS" localSheetId="5">Ticker0001_Live_Sheet!$185:$185</definedName>
    <definedName name="L_KEYWORD_ISSR_208000149_SALES_OTH_AEJ" localSheetId="5">Ticker0001_Live_Sheet!$224:$224</definedName>
    <definedName name="L_KEYWORD_ISSR_208000149_SALES_OTH_AFRICA" localSheetId="5">Ticker0001_Live_Sheet!$162:$162</definedName>
    <definedName name="L_KEYWORD_ISSR_208000149_SALES_OTH_AM" localSheetId="5">Ticker0001_Live_Sheet!$216:$216</definedName>
    <definedName name="L_KEYWORD_ISSR_208000149_SALES_OTH_CEE" localSheetId="5">Ticker0001_Live_Sheet!$156:$156</definedName>
    <definedName name="L_KEYWORD_ISSR_208000149_SALES_OTH_DEV_ASIA" localSheetId="5">Ticker0001_Live_Sheet!$168:$168</definedName>
    <definedName name="L_KEYWORD_ISSR_208000149_SALES_OTH_EMEA" localSheetId="5">Ticker0001_Live_Sheet!$222:$222</definedName>
    <definedName name="L_KEYWORD_ISSR_208000149_SALES_OTH_EMERG_ASIA" localSheetId="5">Ticker0001_Live_Sheet!$173:$173</definedName>
    <definedName name="L_KEYWORD_ISSR_208000149_SALES_OTH_LATAM" localSheetId="5">Ticker0001_Live_Sheet!$137:$137</definedName>
    <definedName name="L_KEYWORD_ISSR_208000149_SALES_OTH_ME" localSheetId="5">Ticker0001_Live_Sheet!$159:$159</definedName>
    <definedName name="L_KEYWORD_ISSR_208000149_SALES_OTH_NO_AMER" localSheetId="5">Ticker0001_Live_Sheet!$130:$130</definedName>
    <definedName name="L_KEYWORD_ISSR_208000149_SALES_OTH_WEST_EURO" localSheetId="5">Ticker0001_Live_Sheet!$152:$152</definedName>
    <definedName name="L_KEYWORD_ISSR_208000149_SALES_OTHER" localSheetId="5">Ticker0001_Live_Sheet!$176:$176</definedName>
    <definedName name="L_KEYWORD_ISSR_208000149_SALES_POLAND" localSheetId="5">Ticker0001_Live_Sheet!$153:$153</definedName>
    <definedName name="L_KEYWORD_ISSR_208000149_SALES_POR" localSheetId="5">Ticker0001_Live_Sheet!$147:$147</definedName>
    <definedName name="L_KEYWORD_ISSR_208000149_SALES_RUSSIA" localSheetId="5">Ticker0001_Live_Sheet!$154:$154</definedName>
    <definedName name="L_KEYWORD_ISSR_208000149_SALES_SAUDI_ARABIA" localSheetId="5">Ticker0001_Live_Sheet!$157:$157</definedName>
    <definedName name="L_KEYWORD_ISSR_208000149_SALES_SINGAPORE" localSheetId="5">Ticker0001_Live_Sheet!$165:$165</definedName>
    <definedName name="L_KEYWORD_ISSR_208000149_SALES_SK" localSheetId="5">Ticker0001_Live_Sheet!$166:$166</definedName>
    <definedName name="L_KEYWORD_ISSR_208000149_SALES_SMB" localSheetId="5">Ticker0001_Live_Sheet!$186:$186</definedName>
    <definedName name="L_KEYWORD_ISSR_208000149_SALES_SO_AFRICA" localSheetId="5">Ticker0001_Live_Sheet!$161:$161</definedName>
    <definedName name="L_KEYWORD_ISSR_208000149_SALES_SPA" localSheetId="5">Ticker0001_Live_Sheet!$148:$148</definedName>
    <definedName name="L_KEYWORD_ISSR_208000149_SALES_SWE" localSheetId="5">Ticker0001_Live_Sheet!$149:$149</definedName>
    <definedName name="L_KEYWORD_ISSR_208000149_SALES_SWIT" localSheetId="5">Ticker0001_Live_Sheet!$150:$150</definedName>
    <definedName name="L_KEYWORD_ISSR_208000149_SALES_TAIWAN" localSheetId="5">Ticker0001_Live_Sheet!$167:$167</definedName>
    <definedName name="L_KEYWORD_ISSR_208000149_SALES_THAILAND" localSheetId="5">Ticker0001_Live_Sheet!$172:$172</definedName>
    <definedName name="L_KEYWORD_ISSR_208000149_SALES_TOT_AFRICA" localSheetId="5">Ticker0001_Live_Sheet!$221:$221</definedName>
    <definedName name="L_KEYWORD_ISSR_208000149_SALES_TOT_AM" localSheetId="5">Ticker0001_Live_Sheet!$215:$215</definedName>
    <definedName name="L_KEYWORD_ISSR_208000149_SALES_TOT_ASIA" localSheetId="5">Ticker0001_Live_Sheet!$223:$223</definedName>
    <definedName name="L_KEYWORD_ISSR_208000149_SALES_TOT_EMEA" localSheetId="5">Ticker0001_Live_Sheet!$217:$217</definedName>
    <definedName name="L_KEYWORD_ISSR_208000149_SALES_TURKEY" localSheetId="5">Ticker0001_Live_Sheet!$155:$155</definedName>
    <definedName name="L_KEYWORD_ISSR_208000149_SALES_UAE" localSheetId="5">Ticker0001_Live_Sheet!$158:$158</definedName>
    <definedName name="L_KEYWORD_ISSR_208000149_SALES_UK" localSheetId="5">Ticker0001_Live_Sheet!$151:$151</definedName>
    <definedName name="L_KEYWORD_ISSR_208000149_SALES_US" localSheetId="5">Ticker0001_Live_Sheet!$129:$129</definedName>
    <definedName name="L_KEYWORD_ISSR_208000149_SALES_VENEZUELA" localSheetId="5">Ticker0001_Live_Sheet!$136:$136</definedName>
    <definedName name="L_KEYWORD_ISSR_208000149_SEL_GL_AD" localSheetId="5">Ticker0001_Live_Sheet!$13:$13</definedName>
    <definedName name="L_KEYWORD_ISSR_208000149_SGA_PCT_ROW" localSheetId="5">Ticker0001_Live_Sheet!$180:$180</definedName>
    <definedName name="L_KEYWORD_ISSR_208000149_SGA_PCT_US" localSheetId="5">Ticker0001_Live_Sheet!$179:$179</definedName>
    <definedName name="L_KEYWORD_ISSR_208000149_SH_REPUR" localSheetId="5">Ticker0001_Live_Sheet!$103:$103</definedName>
    <definedName name="L_KEYWORD_ISSR_208000149_SHORT_T_DEBT" localSheetId="5">Ticker0001_Live_Sheet!$57:$57</definedName>
    <definedName name="L_KEYWORD_ISSR_208000149_SHORT_TERM_LIABS" localSheetId="5">Ticker0001_Live_Sheet!$60:$60</definedName>
    <definedName name="L_KEYWORD_ISSR_208000149_ST_LEASE_LIAB" localSheetId="5">Ticker0001_Live_Sheet!$58:$58</definedName>
    <definedName name="L_KEYWORD_ISSR_208000149_STOCKS" localSheetId="5">Ticker0001_Live_Sheet!$43:$43</definedName>
    <definedName name="L_KEYWORD_ISSR_208000149_TOT_ASSET" localSheetId="5">Ticker0001_Live_Sheet!$55:$55</definedName>
    <definedName name="L_KEYWORD_ISSR_208000149_TOT_CF" localSheetId="5">Ticker0001_Live_Sheet!$108:$108</definedName>
    <definedName name="L_KEYWORD_ISSR_208000149_TOT_LIAB" localSheetId="5">Ticker0001_Live_Sheet!$65:$65</definedName>
    <definedName name="L_KEYWORD_ISSR_208000149_TOT_LIAB_EQ" localSheetId="5">Ticker0001_Live_Sheet!$70:$70</definedName>
    <definedName name="L_KEYWORD_ISSR_208000149_TOT_LT_LIAB" localSheetId="5">Ticker0001_Live_Sheet!$64:$64</definedName>
    <definedName name="L_KEYWORD_ISSR_208000149_TOT_OPS_EXP" localSheetId="5">Ticker0001_Live_Sheet!$19:$19</definedName>
    <definedName name="L_KEYWORD_ISSR_208000149_TOT_OPS_EXP_DDA" localSheetId="5">Ticker0001_Live_Sheet!$18:$18</definedName>
    <definedName name="L_KEYWORD_ISSR_208000149_TOT_PCT_USD_DEBT_HEDGED" localSheetId="5">Ticker0001_Live_Sheet!$73:$73</definedName>
    <definedName name="L_KEYWORD_ISSR_208000149_TOT_USD_DEBT" localSheetId="5">Ticker0001_Live_Sheet!$72:$72</definedName>
    <definedName name="L_KEYWORD_ISSR_208000149_UNF_PENS" localSheetId="5">Ticker0001_Live_Sheet!$83:$83</definedName>
    <definedName name="L_KEYWORD_ISSR_208000149_UNF_PENS_LIAB_OTH" localSheetId="5">Ticker0001_Live_Sheet!$85:$85</definedName>
    <definedName name="L_KEYWORD_ISSR_208000149_UNF_PENS_OFF" localSheetId="5">Ticker0001_Live_Sheet!$84:$84</definedName>
    <definedName name="L_KEYWORD_ISSR_208000149_WORK_CAP" localSheetId="5">Ticker0001_Live_Sheet!$94:$94</definedName>
    <definedName name="L_LIVEDATA_EQTY_200000801" localSheetId="5">Ticker0001_Live_Sheet!$B$236</definedName>
    <definedName name="L_LIVEDATA_ISSR_208000149" localSheetId="5">Ticker0001_Live_Sheet!$B$4</definedName>
    <definedName name="L_PERIOD_2000" localSheetId="5">Ticker0001_Live_Sheet!$F:$F</definedName>
    <definedName name="L_PERIOD_2000_Q1" localSheetId="5">Ticker0001_Live_Sheet!$AL:$AL</definedName>
    <definedName name="L_PERIOD_2000_Q2" localSheetId="5">Ticker0001_Live_Sheet!$AM:$AM</definedName>
    <definedName name="L_PERIOD_2000_Q3" localSheetId="5">Ticker0001_Live_Sheet!$AN:$AN</definedName>
    <definedName name="L_PERIOD_2000_Q4" localSheetId="5">Ticker0001_Live_Sheet!$AO:$AO</definedName>
    <definedName name="L_PERIOD_2001" localSheetId="5">Ticker0001_Live_Sheet!$G:$G</definedName>
    <definedName name="L_PERIOD_2001_Q1" localSheetId="5">Ticker0001_Live_Sheet!$AP:$AP</definedName>
    <definedName name="L_PERIOD_2001_Q2" localSheetId="5">Ticker0001_Live_Sheet!$AQ:$AQ</definedName>
    <definedName name="L_PERIOD_2001_Q3" localSheetId="5">Ticker0001_Live_Sheet!$AR:$AR</definedName>
    <definedName name="L_PERIOD_2001_Q4" localSheetId="5">Ticker0001_Live_Sheet!$AS:$AS</definedName>
    <definedName name="L_PERIOD_2002" localSheetId="5">Ticker0001_Live_Sheet!$H:$H</definedName>
    <definedName name="L_PERIOD_2002_Q1" localSheetId="5">Ticker0001_Live_Sheet!$AT:$AT</definedName>
    <definedName name="L_PERIOD_2002_Q2" localSheetId="5">Ticker0001_Live_Sheet!$AU:$AU</definedName>
    <definedName name="L_PERIOD_2002_Q3" localSheetId="5">Ticker0001_Live_Sheet!$AV:$AV</definedName>
    <definedName name="L_PERIOD_2002_Q4" localSheetId="5">Ticker0001_Live_Sheet!$AW:$AW</definedName>
    <definedName name="L_PERIOD_2003" localSheetId="5">Ticker0001_Live_Sheet!$I:$I</definedName>
    <definedName name="L_PERIOD_2003_Q1" localSheetId="5">Ticker0001_Live_Sheet!$AX:$AX</definedName>
    <definedName name="L_PERIOD_2003_Q2" localSheetId="5">Ticker0001_Live_Sheet!$AY:$AY</definedName>
    <definedName name="L_PERIOD_2003_Q3" localSheetId="5">Ticker0001_Live_Sheet!$AZ:$AZ</definedName>
    <definedName name="L_PERIOD_2003_Q4" localSheetId="5">Ticker0001_Live_Sheet!$BA:$BA</definedName>
    <definedName name="L_PERIOD_2004" localSheetId="5">Ticker0001_Live_Sheet!$J:$J</definedName>
    <definedName name="L_PERIOD_2004_Q1" localSheetId="5">Ticker0001_Live_Sheet!$BB:$BB</definedName>
    <definedName name="L_PERIOD_2004_Q2" localSheetId="5">Ticker0001_Live_Sheet!$BC:$BC</definedName>
    <definedName name="L_PERIOD_2004_Q3" localSheetId="5">Ticker0001_Live_Sheet!$BD:$BD</definedName>
    <definedName name="L_PERIOD_2004_Q4" localSheetId="5">Ticker0001_Live_Sheet!$BE:$BE</definedName>
    <definedName name="L_PERIOD_2005" localSheetId="5">Ticker0001_Live_Sheet!$K:$K</definedName>
    <definedName name="L_PERIOD_2005_Q1" localSheetId="5">Ticker0001_Live_Sheet!$BF:$BF</definedName>
    <definedName name="L_PERIOD_2005_Q2" localSheetId="5">Ticker0001_Live_Sheet!$BG:$BG</definedName>
    <definedName name="L_PERIOD_2005_Q3" localSheetId="5">Ticker0001_Live_Sheet!$BH:$BH</definedName>
    <definedName name="L_PERIOD_2005_Q4" localSheetId="5">Ticker0001_Live_Sheet!$BI:$BI</definedName>
    <definedName name="L_PERIOD_2006" localSheetId="5">Ticker0001_Live_Sheet!$L:$L</definedName>
    <definedName name="L_PERIOD_2006_Q1" localSheetId="5">Ticker0001_Live_Sheet!$BJ:$BJ</definedName>
    <definedName name="L_PERIOD_2006_Q2" localSheetId="5">Ticker0001_Live_Sheet!$BK:$BK</definedName>
    <definedName name="L_PERIOD_2006_Q3" localSheetId="5">Ticker0001_Live_Sheet!$BL:$BL</definedName>
    <definedName name="L_PERIOD_2006_Q4" localSheetId="5">Ticker0001_Live_Sheet!$BM:$BM</definedName>
    <definedName name="L_PERIOD_2007" localSheetId="5">Ticker0001_Live_Sheet!$M:$M</definedName>
    <definedName name="L_PERIOD_2007_Q1" localSheetId="5">Ticker0001_Live_Sheet!$BN:$BN</definedName>
    <definedName name="L_PERIOD_2007_Q2" localSheetId="5">Ticker0001_Live_Sheet!$BO:$BO</definedName>
    <definedName name="L_PERIOD_2007_Q3" localSheetId="5">Ticker0001_Live_Sheet!$BP:$BP</definedName>
    <definedName name="L_PERIOD_2007_Q4" localSheetId="5">Ticker0001_Live_Sheet!$BQ:$BQ</definedName>
    <definedName name="L_PERIOD_2008" localSheetId="5">Ticker0001_Live_Sheet!$N:$N</definedName>
    <definedName name="L_PERIOD_2008_Q1" localSheetId="5">Ticker0001_Live_Sheet!$BR:$BR</definedName>
    <definedName name="L_PERIOD_2008_Q2" localSheetId="5">Ticker0001_Live_Sheet!$BS:$BS</definedName>
    <definedName name="L_PERIOD_2008_Q3" localSheetId="5">Ticker0001_Live_Sheet!$BT:$BT</definedName>
    <definedName name="L_PERIOD_2008_Q4" localSheetId="5">Ticker0001_Live_Sheet!$BU:$BU</definedName>
    <definedName name="L_PERIOD_2009" localSheetId="5">Ticker0001_Live_Sheet!$O:$O</definedName>
    <definedName name="L_PERIOD_2009_Q1" localSheetId="5">Ticker0001_Live_Sheet!$BV:$BV</definedName>
    <definedName name="L_PERIOD_2009_Q2" localSheetId="5">Ticker0001_Live_Sheet!$BW:$BW</definedName>
    <definedName name="L_PERIOD_2009_Q3" localSheetId="5">Ticker0001_Live_Sheet!$BX:$BX</definedName>
    <definedName name="L_PERIOD_2009_Q4" localSheetId="5">Ticker0001_Live_Sheet!$BY:$BY</definedName>
    <definedName name="L_PERIOD_2010" localSheetId="5">Ticker0001_Live_Sheet!$P:$P</definedName>
    <definedName name="L_PERIOD_2010_Q1" localSheetId="5">Ticker0001_Live_Sheet!$BZ:$BZ</definedName>
    <definedName name="L_PERIOD_2010_Q2" localSheetId="5">Ticker0001_Live_Sheet!$CA:$CA</definedName>
    <definedName name="L_PERIOD_2010_Q3" localSheetId="5">Ticker0001_Live_Sheet!$CB:$CB</definedName>
    <definedName name="L_PERIOD_2010_Q4" localSheetId="5">Ticker0001_Live_Sheet!$CC:$CC</definedName>
    <definedName name="L_PERIOD_2011" localSheetId="5">Ticker0001_Live_Sheet!$Q:$Q</definedName>
    <definedName name="L_PERIOD_2011_Q1" localSheetId="5">Ticker0001_Live_Sheet!$CD:$CD</definedName>
    <definedName name="L_PERIOD_2011_Q2" localSheetId="5">Ticker0001_Live_Sheet!$CE:$CE</definedName>
    <definedName name="L_PERIOD_2011_Q3" localSheetId="5">Ticker0001_Live_Sheet!$CF:$CF</definedName>
    <definedName name="L_PERIOD_2011_Q4" localSheetId="5">Ticker0001_Live_Sheet!$CG:$CG</definedName>
    <definedName name="L_PERIOD_2012" localSheetId="5">Ticker0001_Live_Sheet!$R:$R</definedName>
    <definedName name="L_PERIOD_2012_Q1" localSheetId="5">Ticker0001_Live_Sheet!$CH:$CH</definedName>
    <definedName name="L_PERIOD_2012_Q2" localSheetId="5">Ticker0001_Live_Sheet!$CI:$CI</definedName>
    <definedName name="L_PERIOD_2012_Q3" localSheetId="5">Ticker0001_Live_Sheet!$CJ:$CJ</definedName>
    <definedName name="L_PERIOD_2012_Q4" localSheetId="5">Ticker0001_Live_Sheet!$CK:$CK</definedName>
    <definedName name="L_PERIOD_2013" localSheetId="5">Ticker0001_Live_Sheet!$S:$S</definedName>
    <definedName name="L_PERIOD_2013_Q1" localSheetId="5">Ticker0001_Live_Sheet!$CL:$CL</definedName>
    <definedName name="L_PERIOD_2013_Q2" localSheetId="5">Ticker0001_Live_Sheet!$CM:$CM</definedName>
    <definedName name="L_PERIOD_2013_Q3" localSheetId="5">Ticker0001_Live_Sheet!$CN:$CN</definedName>
    <definedName name="L_PERIOD_2013_Q4" localSheetId="5">Ticker0001_Live_Sheet!$CO:$CO</definedName>
    <definedName name="L_PERIOD_2014" localSheetId="5">Ticker0001_Live_Sheet!$T:$T</definedName>
    <definedName name="L_PERIOD_2014_Q1" localSheetId="5">Ticker0001_Live_Sheet!$CP:$CP</definedName>
    <definedName name="L_PERIOD_2014_Q2" localSheetId="5">Ticker0001_Live_Sheet!$CQ:$CQ</definedName>
    <definedName name="L_PERIOD_2014_Q3" localSheetId="5">Ticker0001_Live_Sheet!$CR:$CR</definedName>
    <definedName name="L_PERIOD_2014_Q4" localSheetId="5">Ticker0001_Live_Sheet!$CS:$CS</definedName>
    <definedName name="L_PERIOD_2015" localSheetId="5">Ticker0001_Live_Sheet!$U:$U</definedName>
    <definedName name="L_PERIOD_2015_Q1" localSheetId="5">Ticker0001_Live_Sheet!$CT:$CT</definedName>
    <definedName name="L_PERIOD_2015_Q2" localSheetId="5">Ticker0001_Live_Sheet!$CU:$CU</definedName>
    <definedName name="L_PERIOD_2015_Q3" localSheetId="5">Ticker0001_Live_Sheet!$CV:$CV</definedName>
    <definedName name="L_PERIOD_2015_Q4" localSheetId="5">Ticker0001_Live_Sheet!$CW:$CW</definedName>
    <definedName name="L_PERIOD_2016" localSheetId="5">Ticker0001_Live_Sheet!$V:$V</definedName>
    <definedName name="L_PERIOD_2016_Q1" localSheetId="5">Ticker0001_Live_Sheet!$CX:$CX</definedName>
    <definedName name="L_PERIOD_2016_Q2" localSheetId="5">Ticker0001_Live_Sheet!$CY:$CY</definedName>
    <definedName name="L_PERIOD_2016_Q3" localSheetId="5">Ticker0001_Live_Sheet!$CZ:$CZ</definedName>
    <definedName name="L_PERIOD_2016_Q4" localSheetId="5">Ticker0001_Live_Sheet!$DA:$DA</definedName>
    <definedName name="L_PERIOD_2017" localSheetId="5">Ticker0001_Live_Sheet!$W:$W</definedName>
    <definedName name="L_PERIOD_2017_Q1" localSheetId="5">Ticker0001_Live_Sheet!$DB:$DB</definedName>
    <definedName name="L_PERIOD_2017_Q2" localSheetId="5">Ticker0001_Live_Sheet!$DC:$DC</definedName>
    <definedName name="L_PERIOD_2017_Q3" localSheetId="5">Ticker0001_Live_Sheet!$DD:$DD</definedName>
    <definedName name="L_PERIOD_2017_Q4" localSheetId="5">Ticker0001_Live_Sheet!$DE:$DE</definedName>
    <definedName name="L_PERIOD_2018" localSheetId="5">Ticker0001_Live_Sheet!$X:$X</definedName>
    <definedName name="L_PERIOD_2018_Q1" localSheetId="5">Ticker0001_Live_Sheet!$DF:$DF</definedName>
    <definedName name="L_PERIOD_2018_Q2" localSheetId="5">Ticker0001_Live_Sheet!$DG:$DG</definedName>
    <definedName name="L_PERIOD_2018_Q3" localSheetId="5">Ticker0001_Live_Sheet!$DH:$DH</definedName>
    <definedName name="L_PERIOD_2018_Q4" localSheetId="5">Ticker0001_Live_Sheet!$DI:$DI</definedName>
    <definedName name="L_PERIOD_2019" localSheetId="5">Ticker0001_Live_Sheet!$Y:$Y</definedName>
    <definedName name="L_PERIOD_2019_Q1" localSheetId="5">Ticker0001_Live_Sheet!$DJ:$DJ</definedName>
    <definedName name="L_PERIOD_2019_Q2" localSheetId="5">Ticker0001_Live_Sheet!$DK:$DK</definedName>
    <definedName name="L_PERIOD_2019_Q3" localSheetId="5">Ticker0001_Live_Sheet!$DL:$DL</definedName>
    <definedName name="L_PERIOD_2019_Q4" localSheetId="5">Ticker0001_Live_Sheet!$DM:$DM</definedName>
    <definedName name="L_PERIOD_2020" localSheetId="5">Ticker0001_Live_Sheet!$Z:$Z</definedName>
    <definedName name="L_PERIOD_2020_Q1" localSheetId="5">Ticker0001_Live_Sheet!$DN:$DN</definedName>
    <definedName name="L_PERIOD_2020_Q2" localSheetId="5">Ticker0001_Live_Sheet!$DO:$DO</definedName>
    <definedName name="L_PERIOD_2020_Q3" localSheetId="5">Ticker0001_Live_Sheet!$DP:$DP</definedName>
    <definedName name="L_PERIOD_2020_Q4" localSheetId="5">Ticker0001_Live_Sheet!$DQ:$DQ</definedName>
    <definedName name="L_PERIOD_2021" localSheetId="5">Ticker0001_Live_Sheet!$AA:$AA</definedName>
    <definedName name="L_PERIOD_2021_Q1" localSheetId="5">Ticker0001_Live_Sheet!$DR:$DR</definedName>
    <definedName name="L_PERIOD_2021_Q2" localSheetId="5">Ticker0001_Live_Sheet!$DS:$DS</definedName>
    <definedName name="L_PERIOD_2021_Q3" localSheetId="5">Ticker0001_Live_Sheet!$DT:$DT</definedName>
    <definedName name="L_PERIOD_2021_Q4" localSheetId="5">Ticker0001_Live_Sheet!$DU:$DU</definedName>
    <definedName name="L_PERIOD_2022" localSheetId="5">Ticker0001_Live_Sheet!$AB:$AB</definedName>
    <definedName name="L_PERIOD_2022_Q1" localSheetId="5">Ticker0001_Live_Sheet!$DV:$DV</definedName>
    <definedName name="L_PERIOD_2022_Q2" localSheetId="5">Ticker0001_Live_Sheet!$DW:$DW</definedName>
    <definedName name="L_PERIOD_2022_Q3" localSheetId="5">Ticker0001_Live_Sheet!$DX:$DX</definedName>
    <definedName name="L_PERIOD_2022_Q4" localSheetId="5">Ticker0001_Live_Sheet!$DY:$DY</definedName>
    <definedName name="L_PERIOD_2023" localSheetId="5">Ticker0001_Live_Sheet!$AC:$AC</definedName>
    <definedName name="L_PERIOD_2023_Q1" localSheetId="5">Ticker0001_Live_Sheet!$DZ:$DZ</definedName>
    <definedName name="L_PERIOD_2023_Q2" localSheetId="5">Ticker0001_Live_Sheet!$EA:$EA</definedName>
    <definedName name="L_PERIOD_2023_Q3" localSheetId="5">Ticker0001_Live_Sheet!$EB:$EB</definedName>
    <definedName name="L_PERIOD_2023_Q4" localSheetId="5">Ticker0001_Live_Sheet!$EC:$EC</definedName>
    <definedName name="L_PERIOD_2024" localSheetId="5">Ticker0001_Live_Sheet!$AD:$AD</definedName>
    <definedName name="L_PERIOD_2024_Q1" localSheetId="5">Ticker0001_Live_Sheet!$ED:$ED</definedName>
    <definedName name="L_PERIOD_2024_Q2" localSheetId="5">Ticker0001_Live_Sheet!$EE:$EE</definedName>
    <definedName name="L_PERIOD_2024_Q3" localSheetId="5">Ticker0001_Live_Sheet!$EF:$EF</definedName>
    <definedName name="L_PERIOD_2024_Q4" localSheetId="5">Ticker0001_Live_Sheet!$EG:$EG</definedName>
    <definedName name="L_PERIOD_2025" localSheetId="5">Ticker0001_Live_Sheet!$AE:$AE</definedName>
    <definedName name="L_PERIOD_2025_Q1" localSheetId="5">Ticker0001_Live_Sheet!$EH:$EH</definedName>
    <definedName name="L_PERIOD_2025_Q2" localSheetId="5">Ticker0001_Live_Sheet!$EI:$EI</definedName>
    <definedName name="L_PERIOD_2025_Q3" localSheetId="5">Ticker0001_Live_Sheet!$EJ:$EJ</definedName>
    <definedName name="L_PERIOD_2025_Q4" localSheetId="5">Ticker0001_Live_Sheet!$EK:$EK</definedName>
    <definedName name="L_PERIOD_2026" localSheetId="5">Ticker0001_Live_Sheet!$AF:$AF</definedName>
    <definedName name="L_PERIOD_2026_Q1" localSheetId="5">Ticker0001_Live_Sheet!$EL:$EL</definedName>
    <definedName name="L_PERIOD_2026_Q2" localSheetId="5">Ticker0001_Live_Sheet!$EM:$EM</definedName>
    <definedName name="L_PERIOD_2026_Q3" localSheetId="5">Ticker0001_Live_Sheet!$EN:$EN</definedName>
    <definedName name="L_PERIOD_2026_Q4" localSheetId="5">Ticker0001_Live_Sheet!$EO:$EO</definedName>
    <definedName name="L_PERIOD_2027" localSheetId="5">Ticker0001_Live_Sheet!$AG:$AG</definedName>
    <definedName name="L_PERIOD_2027_Q1" localSheetId="5">Ticker0001_Live_Sheet!$EP:$EP</definedName>
    <definedName name="L_PERIOD_2027_Q2" localSheetId="5">Ticker0001_Live_Sheet!$EQ:$EQ</definedName>
    <definedName name="L_PERIOD_2027_Q3" localSheetId="5">Ticker0001_Live_Sheet!$ER:$ER</definedName>
    <definedName name="L_PERIOD_2027_Q4" localSheetId="5">Ticker0001_Live_Sheet!$ES:$ES</definedName>
    <definedName name="L_PERIOD_2028" localSheetId="5">Ticker0001_Live_Sheet!$AH:$AH</definedName>
    <definedName name="L_PERIOD_2028_Q1" localSheetId="5">Ticker0001_Live_Sheet!$ET:$ET</definedName>
    <definedName name="L_PERIOD_2028_Q2" localSheetId="5">Ticker0001_Live_Sheet!$EU:$EU</definedName>
    <definedName name="L_PERIOD_2028_Q3" localSheetId="5">Ticker0001_Live_Sheet!$EV:$EV</definedName>
    <definedName name="L_PERIOD_2028_Q4" localSheetId="5">Ticker0001_Live_Sheet!$EW:$EW</definedName>
    <definedName name="L_PERIOD_2029" localSheetId="5">Ticker0001_Live_Sheet!$AI:$AI</definedName>
    <definedName name="L_PERIOD_2029_Q1" localSheetId="5">Ticker0001_Live_Sheet!$EX:$EX</definedName>
    <definedName name="L_PERIOD_2029_Q2" localSheetId="5">Ticker0001_Live_Sheet!$EY:$EY</definedName>
    <definedName name="L_PERIOD_2029_Q3" localSheetId="5">Ticker0001_Live_Sheet!$EZ:$EZ</definedName>
    <definedName name="L_PERIOD_2029_Q4" localSheetId="5">Ticker0001_Live_Sheet!$FA:$FA</definedName>
    <definedName name="L_PERIOD_2030" localSheetId="5">Ticker0001_Live_Sheet!$AJ:$AJ</definedName>
    <definedName name="L_PERIOD_2030_Q1" localSheetId="5">Ticker0001_Live_Sheet!$FB:$FB</definedName>
    <definedName name="L_PERIOD_2030_Q2" localSheetId="5">Ticker0001_Live_Sheet!$FC:$FC</definedName>
    <definedName name="L_PERIOD_2030_Q3" localSheetId="5">Ticker0001_Live_Sheet!$FD:$FD</definedName>
    <definedName name="L_PERIOD_2030_Q4" localSheetId="5">Ticker0001_Live_Sheet!$FE:$FE</definedName>
    <definedName name="L_SECTION_EQTY_200000801_1314" localSheetId="5">Ticker0001_Live_Sheet!$297:$297</definedName>
    <definedName name="L_SECTION_EQTY_200000801_1319" localSheetId="5">Ticker0001_Live_Sheet!$299:$299</definedName>
    <definedName name="L_SECTION_EQTY_200000801_131E" localSheetId="5">Ticker0001_Live_Sheet!$304:$304</definedName>
    <definedName name="L_SECTION_EQTY_200000801_131O" localSheetId="5">Ticker0001_Live_Sheet!$306:$306</definedName>
    <definedName name="L_SECTION_EQTY_200000801_13A" localSheetId="5">Ticker0001_Live_Sheet!$244:$244</definedName>
    <definedName name="L_SECTION_EQTY_200000801_13K" localSheetId="5">Ticker0001_Live_Sheet!$255:$255</definedName>
    <definedName name="L_SECTION_EQTY_200000801_13U" localSheetId="5">Ticker0001_Live_Sheet!$272:$272</definedName>
    <definedName name="L_SECTION_EQTY_200000801_13V" localSheetId="5">Ticker0001_Live_Sheet!$289:$289</definedName>
    <definedName name="L_SECTION_EQTY_200000801_13W" localSheetId="5">Ticker0001_Live_Sheet!$291:$291</definedName>
    <definedName name="L_SECTION_EQTY_200000801_Reference_Data" localSheetId="5">Ticker0001_Live_Sheet!$237:$237</definedName>
    <definedName name="L_SECTION_ISSR_208000149_1314" localSheetId="5">Ticker0001_Live_Sheet!$40:$40</definedName>
    <definedName name="L_SECTION_ISSR_208000149_13168" localSheetId="5">Ticker0001_Live_Sheet!$127:$127</definedName>
    <definedName name="L_SECTION_ISSR_208000149_1316T" localSheetId="5">Ticker0001_Live_Sheet!$190:$190</definedName>
    <definedName name="L_SECTION_ISSR_208000149_1316U" localSheetId="5">Ticker0001_Live_Sheet!$198:$198</definedName>
    <definedName name="L_SECTION_ISSR_208000149_1319" localSheetId="5">Ticker0001_Live_Sheet!$71:$71</definedName>
    <definedName name="L_SECTION_ISSR_208000149_131E" localSheetId="5">Ticker0001_Live_Sheet!$91:$91</definedName>
    <definedName name="L_SECTION_ISSR_208000149_131J" localSheetId="5">Ticker0001_Live_Sheet!$109:$109</definedName>
    <definedName name="L_SECTION_ISSR_208000149_131O" localSheetId="5">Ticker0001_Live_Sheet!$123:$123</definedName>
    <definedName name="L_SECTION_ISSR_208000149_136E" localSheetId="5">Ticker0001_Live_Sheet!$214:$214</definedName>
    <definedName name="L_SECTION_ISSR_208000149_136J" localSheetId="5">Ticker0001_Live_Sheet!$225:$225</definedName>
    <definedName name="L_SECTION_ISSR_208000149_13A" localSheetId="5">Ticker0001_Live_Sheet!$8:$8</definedName>
    <definedName name="L_SECTION_ISSR_208000149_13U" localSheetId="5">Ticker0001_Live_Sheet!$10:$10</definedName>
    <definedName name="L_SECTION_ISSR_208000149_13V" localSheetId="5">Ticker0001_Live_Sheet!$31:$31</definedName>
    <definedName name="L_SECTION_ISSR_208000149_Reference_Data" localSheetId="5">Ticker0001_Live_Sheet!$5:$5</definedName>
    <definedName name="L_TEMPLATEHASH" localSheetId="5">Ticker0001_Live_Sheet!$C$1</definedName>
    <definedName name="lnk_CoName" localSheetId="12" hidden="1">#REF!</definedName>
    <definedName name="lnk_CoName" hidden="1">#REF!</definedName>
    <definedName name="lnk_countryID" localSheetId="12" hidden="1">#REF!</definedName>
    <definedName name="lnk_countryID" hidden="1">#REF!</definedName>
    <definedName name="lnk_cpyID" localSheetId="12" hidden="1">#REF!</definedName>
    <definedName name="lnk_cpyID" hidden="1">#REF!</definedName>
    <definedName name="lnk_display_Currency" localSheetId="12" hidden="1">#REF!</definedName>
    <definedName name="lnk_display_Currency" hidden="1">#REF!</definedName>
    <definedName name="lnk_IndustryType" localSheetId="12" hidden="1">#REF!</definedName>
    <definedName name="lnk_IndustryType" hidden="1">#REF!</definedName>
    <definedName name="lnk_LastFiscalYear" localSheetId="12" hidden="1">#REF!</definedName>
    <definedName name="lnk_LastFiscalYear" hidden="1">#REF!</definedName>
    <definedName name="lnk_numForecastYears" localSheetId="12" hidden="1">#REF!</definedName>
    <definedName name="lnk_numForecastYears" hidden="1">#REF!</definedName>
    <definedName name="lnk_numHistoricalYears" localSheetId="12" hidden="1">#REF!</definedName>
    <definedName name="lnk_numHistoricalYears" hidden="1">#REF!</definedName>
    <definedName name="lnk_Print_Area" localSheetId="12" hidden="1">#REF!</definedName>
    <definedName name="lnk_Print_Area" hidden="1">#REF!</definedName>
    <definedName name="lnk_rData_Start_Driver" localSheetId="12" hidden="1">#REF!</definedName>
    <definedName name="lnk_rData_Start_Driver" hidden="1">#REF!</definedName>
    <definedName name="lnk_rData_Start_Result" localSheetId="12" hidden="1">#REF!</definedName>
    <definedName name="lnk_rData_Start_Result" hidden="1">#REF!</definedName>
    <definedName name="lnk_rDataStart" localSheetId="12" hidden="1">#REF!</definedName>
    <definedName name="lnk_rDataStart" hidden="1">#REF!</definedName>
    <definedName name="lnk_rSourceFore" localSheetId="12" hidden="1">#REF!</definedName>
    <definedName name="lnk_rSourceFore" hidden="1">#REF!</definedName>
    <definedName name="lnk_rSourceFore1st" localSheetId="12" hidden="1">#REF!</definedName>
    <definedName name="lnk_rSourceFore1st" hidden="1">#REF!</definedName>
    <definedName name="lnk_rSourceHist" localSheetId="12" hidden="1">#REF!</definedName>
    <definedName name="lnk_rSourceHist" hidden="1">#REF!</definedName>
    <definedName name="lnk_rYearRow" localSheetId="12" hidden="1">#REF!</definedName>
    <definedName name="lnk_rYearRow" hidden="1">#REF!</definedName>
    <definedName name="lnk_rYearRow_Driver" localSheetId="12" hidden="1">#REF!</definedName>
    <definedName name="lnk_rYearRow_Driver" hidden="1">#REF!</definedName>
    <definedName name="lnk_rYearRow_Result" localSheetId="12" hidden="1">#REF!</definedName>
    <definedName name="lnk_rYearRow_Result" hidden="1">#REF!</definedName>
    <definedName name="lnk_ScenarioName" localSheetId="12" hidden="1">#REF!</definedName>
    <definedName name="lnk_ScenarioName" hidden="1">#REF!</definedName>
    <definedName name="lnk_TICK" localSheetId="12" hidden="1">#REF!</definedName>
    <definedName name="lnk_TICK" hidden="1">#REF!</definedName>
    <definedName name="lnk_update" localSheetId="12" hidden="1">#REF!</definedName>
    <definedName name="lnk_update" hidden="1">#REF!</definedName>
    <definedName name="lnk_version" localSheetId="12" hidden="1">#REF!</definedName>
    <definedName name="lnk_version" hidden="1">#REF!</definedName>
    <definedName name="M_PlaceofPath" hidden="1">"C:\redacted\PLXS_VDF.xls"</definedName>
    <definedName name="MerrillPrintIt" localSheetId="24" hidden="1">#REF!</definedName>
    <definedName name="MerrillPrintIt" localSheetId="20" hidden="1">#REF!</definedName>
    <definedName name="MerrillPrintIt" localSheetId="23" hidden="1">#REF!</definedName>
    <definedName name="MerrillPrintIt" localSheetId="21" hidden="1">#REF!</definedName>
    <definedName name="MerrillPrintIt" localSheetId="19" hidden="1">#REF!</definedName>
    <definedName name="MerrillPrintIt" localSheetId="12" hidden="1">#REF!</definedName>
    <definedName name="MerrillPrintIt" localSheetId="13" hidden="1">#REF!</definedName>
    <definedName name="MerrillPrintIt" localSheetId="4" hidden="1">#REF!</definedName>
    <definedName name="MerrillPrintIt" hidden="1">#REF!</definedName>
    <definedName name="misc"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Range" localSheetId="24" hidden="1">#REF!</definedName>
    <definedName name="NewRange" localSheetId="20" hidden="1">#REF!</definedName>
    <definedName name="NewRange" localSheetId="23" hidden="1">#REF!</definedName>
    <definedName name="NewRange" localSheetId="21" hidden="1">#REF!</definedName>
    <definedName name="NewRange" localSheetId="19" hidden="1">#REF!</definedName>
    <definedName name="NewRange" localSheetId="12" hidden="1">#REF!</definedName>
    <definedName name="NewRange" localSheetId="13" hidden="1">#REF!</definedName>
    <definedName name="NewRange" localSheetId="4" hidden="1">#REF!</definedName>
    <definedName name="NewRange" hidden="1">#REF!</definedName>
    <definedName name="p" hidden="1">{"External_Annual_Income",#N/A,FALSE,"External";"External_Quarterly_Income",#N/A,FALSE,"External"}</definedName>
    <definedName name="_xlnm.Print_Area" localSheetId="14">AvE!$B$2:$X$83</definedName>
    <definedName name="_xlnm.Print_Area" localSheetId="23">AvE_F1Q25!$B$2:$X$83</definedName>
    <definedName name="_xlnm.Print_Area" localSheetId="9">'Balance Sheet'!$A$1:$FV$117</definedName>
    <definedName name="_xlnm.Print_Area" localSheetId="10">'Cash Flow Statement'!$A$1:$FV$74</definedName>
    <definedName name="_xlnm.Print_Area" localSheetId="1">'Cover Sheet'!$A$1:$L$34</definedName>
    <definedName name="_xlnm.Print_Area" localSheetId="12">'Debt Schedule'!$A$1:$DQ$116</definedName>
    <definedName name="_xlnm.Print_Area" localSheetId="13">'Estimate Changes'!$A$1:$AJ$37</definedName>
    <definedName name="_xlnm.Print_Area" localSheetId="11">Geo!$A$1:$EV$96</definedName>
    <definedName name="_xlnm.Print_Area" localSheetId="17">'Illustrative DCF'!$A$1:$N$67</definedName>
    <definedName name="_xlnm.Print_Area" localSheetId="8">'Income Statement'!$A$1:$FR$134</definedName>
    <definedName name="_xlnm.Print_Area" localSheetId="2">'Revenue summary'!$A$1:$FU$84</definedName>
    <definedName name="_xlnm.Print_Area" localSheetId="16">'Scenario analysis'!$A$1:$L$117</definedName>
    <definedName name="_xlnm.Print_Area" localSheetId="3">'Segment - Products'!$A$1:$FU$245</definedName>
    <definedName name="_xlnm.Print_Area" localSheetId="4">'Segment - Services'!$A$1:$FU$169</definedName>
    <definedName name="_xlnm.Print_Area" localSheetId="15">Valuation!$A$1:$AM$46</definedName>
    <definedName name="print_bs" localSheetId="12" hidden="1">#REF!</definedName>
    <definedName name="print_bs" hidden="1">#REF!</definedName>
    <definedName name="_xlnm.Print_Titles" localSheetId="9">'Balance Sheet'!$A:$A,'Balance Sheet'!$8:$9</definedName>
    <definedName name="_xlnm.Print_Titles" localSheetId="10">'Cash Flow Statement'!$A:$A,'Cash Flow Statement'!$8:$9</definedName>
    <definedName name="_xlnm.Print_Titles" localSheetId="12">'Debt Schedule'!$A:$A,'Debt Schedule'!$9:$10</definedName>
    <definedName name="_xlnm.Print_Titles" localSheetId="11">Geo!$A:$A,Geo!$7:$8</definedName>
    <definedName name="_xlnm.Print_Titles" localSheetId="8">'Income Statement'!$A:$A,'Income Statement'!$7:$8</definedName>
    <definedName name="_xlnm.Print_Titles" localSheetId="2">'Revenue summary'!$A:$A,'Revenue summary'!$8:$9</definedName>
    <definedName name="_xlnm.Print_Titles" localSheetId="3">'Segment - Products'!$A:$A,'Segment - Products'!$8:$9</definedName>
    <definedName name="_xlnm.Print_Titles" localSheetId="4">'Segment - Services'!$A:$A,'Segment - Services'!$1:$9</definedName>
    <definedName name="RedefinePrintTableRange" localSheetId="24" hidden="1">#REF!</definedName>
    <definedName name="RedefinePrintTableRange" localSheetId="20" hidden="1">#REF!</definedName>
    <definedName name="RedefinePrintTableRange" localSheetId="23" hidden="1">#REF!</definedName>
    <definedName name="RedefinePrintTableRange" localSheetId="21" hidden="1">#REF!</definedName>
    <definedName name="RedefinePrintTableRange" localSheetId="19" hidden="1">#REF!</definedName>
    <definedName name="RedefinePrintTableRange" localSheetId="12" hidden="1">#REF!</definedName>
    <definedName name="RedefinePrintTableRange" localSheetId="13" hidden="1">#REF!</definedName>
    <definedName name="RedefinePrintTableRange" localSheetId="4" hidden="1">#REF!</definedName>
    <definedName name="RedefinePrintTableRange" hidden="1">#REF!</definedName>
    <definedName name="Report" hidden="1">{#N/A,#N/A,FALSE,"Report Print"}</definedName>
    <definedName name="ReportPage1" hidden="1">{"Annual_Income",#N/A,FALSE,"Report Page";"Balance_Cash_Flow",#N/A,FALSE,"Report Page";"Quarterly_Income",#N/A,FALSE,"Report Page"}</definedName>
    <definedName name="solver_adj" localSheetId="12" hidden="1">#REF!</definedName>
    <definedName name="solver_adj" hidden="1">#REF!</definedName>
    <definedName name="solver_eng" localSheetId="2" hidden="1">1</definedName>
    <definedName name="solver_lin" hidden="1">0</definedName>
    <definedName name="solver_neg" localSheetId="2" hidden="1">1</definedName>
    <definedName name="solver_num" localSheetId="2" hidden="1">0</definedName>
    <definedName name="solver_num" hidden="1">0</definedName>
    <definedName name="solver_opt" localSheetId="12" hidden="1">#REF!</definedName>
    <definedName name="solver_opt" localSheetId="2" hidden="1">'Revenue summary'!#REF!</definedName>
    <definedName name="solver_opt" hidden="1">#REF!</definedName>
    <definedName name="solver_typ" localSheetId="2" hidden="1">1</definedName>
    <definedName name="solver_typ" hidden="1">3</definedName>
    <definedName name="solver_val" localSheetId="2" hidden="1">0</definedName>
    <definedName name="solver_val" hidden="1">49</definedName>
    <definedName name="solver_ver" localSheetId="2" hidden="1">3</definedName>
    <definedName name="Tigr_Exhibit07c9d9d1_017b_4261_a053_634074ac01f4" localSheetId="12" hidden="1">#REF!</definedName>
    <definedName name="Tigr_Exhibit07c9d9d1_017b_4261_a053_634074ac01f4" hidden="1">#REF!</definedName>
    <definedName name="Tigr_Exhibit0a2b2fee_2286_411c_9809_8fc3973c09c2" hidden="1">#REF!</definedName>
    <definedName name="Tigr_Exhibit0e659137_53bc_4738_8c94_f75c93f311eb" localSheetId="12" hidden="1">#REF!</definedName>
    <definedName name="Tigr_Exhibit0e659137_53bc_4738_8c94_f75c93f311eb" hidden="1">#REF!</definedName>
    <definedName name="Tigr_Exhibit0ef7e77c_58ac_4ed0_bcb7_e103faf5e27b" localSheetId="12" hidden="1">#REF!</definedName>
    <definedName name="Tigr_Exhibit0ef7e77c_58ac_4ed0_bcb7_e103faf5e27b" hidden="1">#REF!</definedName>
    <definedName name="Tigr_Exhibit1a2d5483_0077_441d_a3e7_18a3290326cd" hidden="1">#REF!</definedName>
    <definedName name="Tigr_Exhibit1b13f305_3b78_4b75_b18b_926a8b1569da" hidden="1">#REF!</definedName>
    <definedName name="Tigr_Exhibit2694d285_9bbd_4447_9547_5603364e46b4" hidden="1">#REF!</definedName>
    <definedName name="Tigr_Exhibit2a69b9b7_da32_4d7a_a820_a7c4539816a8" localSheetId="12" hidden="1">#REF!</definedName>
    <definedName name="Tigr_Exhibit2a69b9b7_da32_4d7a_a820_a7c4539816a8" hidden="1">#REF!</definedName>
    <definedName name="Tigr_Exhibit2d66d844_21b4_4c84_b00b_c49c0211f2f1" localSheetId="12" hidden="1">#REF!</definedName>
    <definedName name="Tigr_Exhibit2d66d844_21b4_4c84_b00b_c49c0211f2f1" hidden="1">#REF!</definedName>
    <definedName name="Tigr_Exhibit2db763a6_8f75_409e_a218_96df4d3fc444" localSheetId="12" hidden="1">#REF!</definedName>
    <definedName name="Tigr_Exhibit2db763a6_8f75_409e_a218_96df4d3fc444" hidden="1">#REF!</definedName>
    <definedName name="Tigr_Exhibit2e40a7b0_57f4_4f26_aff4_784fd4bd5634" localSheetId="12" hidden="1">#REF!</definedName>
    <definedName name="Tigr_Exhibit2e40a7b0_57f4_4f26_aff4_784fd4bd5634" hidden="1">#REF!</definedName>
    <definedName name="Tigr_Exhibit38d6b031_f3ba_48ad_8bf5_676d9dbe9f11" localSheetId="12" hidden="1">#REF!</definedName>
    <definedName name="Tigr_Exhibit38d6b031_f3ba_48ad_8bf5_676d9dbe9f11" hidden="1">#REF!</definedName>
    <definedName name="Tigr_Exhibit3bc5e3ea_4c27_4835_b636_db842be26f64" hidden="1">#REF!</definedName>
    <definedName name="Tigr_Exhibit3f621b56_6446_4f19_9b1d_dd2b8e1361dc" hidden="1">#REF!</definedName>
    <definedName name="Tigr_Exhibit41927946_c5d8_4e9f_95ab_9bb4f6dae2c0" hidden="1">#REF!</definedName>
    <definedName name="Tigr_Exhibit4712b7e9_13e9_45e3_bf91_fe5a950fdfbd" hidden="1">#REF!</definedName>
    <definedName name="Tigr_Exhibit49490661_7ed3_4d7c_a63f_14ddee2c805a" hidden="1">#REF!</definedName>
    <definedName name="Tigr_Exhibit4ea46b26_7262_436d_a55e_d842a8dbeb72" localSheetId="12" hidden="1">#REF!</definedName>
    <definedName name="Tigr_Exhibit4ea46b26_7262_436d_a55e_d842a8dbeb72" hidden="1">#REF!</definedName>
    <definedName name="Tigr_Exhibit5276ce88_9075_443d_acb4_5a1792d08991" hidden="1">#REF!</definedName>
    <definedName name="Tigr_Exhibit54bb15f9_0113_4a9c_a675_19ccccab488e" localSheetId="12" hidden="1">#REF!</definedName>
    <definedName name="Tigr_Exhibit54bb15f9_0113_4a9c_a675_19ccccab488e" hidden="1">#REF!</definedName>
    <definedName name="Tigr_Exhibit56fdf290_7489_49dd_ab32_8cb6b46c70e0" hidden="1">#REF!</definedName>
    <definedName name="Tigr_Exhibit5ae8d559_dc4e_4b30_91c8_2624a3fba1ac" localSheetId="12" hidden="1">#REF!</definedName>
    <definedName name="Tigr_Exhibit5ae8d559_dc4e_4b30_91c8_2624a3fba1ac" hidden="1">#REF!</definedName>
    <definedName name="Tigr_Exhibit5c89b9f5_140b_4270_8bce_935a991a8640" localSheetId="12" hidden="1">#REF!</definedName>
    <definedName name="Tigr_Exhibit5c89b9f5_140b_4270_8bce_935a991a8640" hidden="1">#REF!</definedName>
    <definedName name="Tigr_Exhibit5ccdd614_2683_499f_8da3_0360a2f85daa" hidden="1">#REF!</definedName>
    <definedName name="Tigr_Exhibit5e49112a_e81e_4f3b_8ddd_3ac3e6de0476" localSheetId="12" hidden="1">#REF!</definedName>
    <definedName name="Tigr_Exhibit5e49112a_e81e_4f3b_8ddd_3ac3e6de0476" hidden="1">#REF!</definedName>
    <definedName name="Tigr_Exhibit64933964_a5bd_4cbb_ab65_37a76792560a" hidden="1">#REF!</definedName>
    <definedName name="Tigr_Exhibit65079c26_194f_487b_82d1_ef84dfbdc47b" localSheetId="12" hidden="1">#REF!</definedName>
    <definedName name="Tigr_Exhibit65079c26_194f_487b_82d1_ef84dfbdc47b" hidden="1">#REF!</definedName>
    <definedName name="Tigr_Exhibit66a53ee4_1548_4faa_b4f1_c9ed2712e60e" localSheetId="12" hidden="1">#REF!</definedName>
    <definedName name="Tigr_Exhibit66a53ee4_1548_4faa_b4f1_c9ed2712e60e" hidden="1">#REF!</definedName>
    <definedName name="Tigr_Exhibit6939be1b_763d_4223_bb39_1d66918c5a3f" hidden="1">#REF!</definedName>
    <definedName name="Tigr_Exhibit6e8ca0c3_cc2b_4f47_be80_a36d65867184" localSheetId="12" hidden="1">#REF!</definedName>
    <definedName name="Tigr_Exhibit6e8ca0c3_cc2b_4f47_be80_a36d65867184" hidden="1">#REF!</definedName>
    <definedName name="Tigr_Exhibit72c2dc82_130d_4afc_9dfc_1f25e9a29420" localSheetId="12" hidden="1">#REF!</definedName>
    <definedName name="Tigr_Exhibit72c2dc82_130d_4afc_9dfc_1f25e9a29420" hidden="1">#REF!</definedName>
    <definedName name="Tigr_Exhibit7352a65e_1eb0_44ab_961c_9a8be0bc934c" localSheetId="12" hidden="1">#REF!</definedName>
    <definedName name="Tigr_Exhibit7352a65e_1eb0_44ab_961c_9a8be0bc934c" hidden="1">#REF!</definedName>
    <definedName name="Tigr_Exhibit7707cbee_d3de_429a_90e5_4cca225090d6" hidden="1">#REF!</definedName>
    <definedName name="Tigr_Exhibit7b22693b_4c34_4b2a_8fd6_4ddbd2b3b3b1" localSheetId="12" hidden="1">#REF!</definedName>
    <definedName name="Tigr_Exhibit7b22693b_4c34_4b2a_8fd6_4ddbd2b3b3b1" hidden="1">#REF!</definedName>
    <definedName name="Tigr_Exhibit7e44aea3_ac97_4c6a_8c4e_1fce7bfaf31a" hidden="1">#REF!</definedName>
    <definedName name="Tigr_Exhibit81d70fb6_0aef_40fd_ac9b_49edfbfd8860" hidden="1">#REF!</definedName>
    <definedName name="Tigr_Exhibit8687e2d4_2068_44c9_84ce_5c56580eeb60" hidden="1">#REF!</definedName>
    <definedName name="Tigr_Exhibit8b18549f_861d_4632_9827_ce7e46409a37" localSheetId="12" hidden="1">#REF!</definedName>
    <definedName name="Tigr_Exhibit8b18549f_861d_4632_9827_ce7e46409a37" hidden="1">#REF!</definedName>
    <definedName name="Tigr_Exhibit8f86c38f_d8b7_48a1_a821_3a23976177f7" hidden="1">#REF!</definedName>
    <definedName name="Tigr_Exhibit9fb341cc_be12_4d85_8fc6_059c0c28ca5a" hidden="1">#REF!</definedName>
    <definedName name="Tigr_Exhibita04c1570_cd66_451d_bdff_3be9eb9aef63" hidden="1">#REF!</definedName>
    <definedName name="Tigr_Exhibita49b1ea3_1023_48db_99d5_9a922d74ca16" hidden="1">#REF!</definedName>
    <definedName name="Tigr_Exhibita5ed9361_819e_4766_a899_9c3c6155da3b" hidden="1">#REF!</definedName>
    <definedName name="Tigr_Exhibita6960d81_020b_4361_9bdd_a7d5ccc3a053" hidden="1">#REF!</definedName>
    <definedName name="Tigr_Exhibitac41d12f_1966_4bce_8d04_7c8db683b01b" hidden="1">#REF!</definedName>
    <definedName name="Tigr_Exhibitb141870e_a216_46fa_b297_cb5dc7204962" hidden="1">#REF!</definedName>
    <definedName name="Tigr_Exhibitb9fcfc86_8a6c_4408_ac75_871f54cff15e" localSheetId="12" hidden="1">#REF!</definedName>
    <definedName name="Tigr_Exhibitb9fcfc86_8a6c_4408_ac75_871f54cff15e" hidden="1">#REF!</definedName>
    <definedName name="Tigr_Exhibitbc3c2f51_3010_4bda_8369_b8f7b44e65ca" hidden="1">#REF!</definedName>
    <definedName name="Tigr_Exhibitc47b8814_170b_407e_b47e_fdae4f9ad236" localSheetId="12" hidden="1">#REF!</definedName>
    <definedName name="Tigr_Exhibitc47b8814_170b_407e_b47e_fdae4f9ad236" hidden="1">#REF!</definedName>
    <definedName name="Tigr_Exhibitc4b35be0_2490_4bac_af2d_f95e1c28b8a4" localSheetId="12" hidden="1">#REF!</definedName>
    <definedName name="Tigr_Exhibitc4b35be0_2490_4bac_af2d_f95e1c28b8a4" hidden="1">#REF!</definedName>
    <definedName name="Tigr_Exhibitd03639b3_2b72_4e83_a27e_3dbc1d0a787e" localSheetId="12" hidden="1">#REF!</definedName>
    <definedName name="Tigr_Exhibitd03639b3_2b72_4e83_a27e_3dbc1d0a787e" hidden="1">#REF!</definedName>
    <definedName name="Tigr_Exhibitdb2d4df9_f2f9_412a_8144_a233d26914ca" hidden="1">#REF!</definedName>
    <definedName name="Tigr_Exhibitdd3f9578_5ec9_49ba_9d77_f9cbd2e795ec" hidden="1">#REF!</definedName>
    <definedName name="Tigr_Exhibite25079ba_e8e2_4757_8e06_a873f78edf2c" hidden="1">#REF!</definedName>
    <definedName name="Tigr_Exhibitea977f32_0358_4f59_ab05_7ffd6e3cc457" localSheetId="12" hidden="1">#REF!</definedName>
    <definedName name="Tigr_Exhibitea977f32_0358_4f59_ab05_7ffd6e3cc457" hidden="1">#REF!</definedName>
    <definedName name="Tigr_Exhibitec9d8b5b_13af_41b2_b238_e5e00370ac07" localSheetId="12" hidden="1">#REF!</definedName>
    <definedName name="Tigr_Exhibitec9d8b5b_13af_41b2_b238_e5e00370ac07" hidden="1">#REF!</definedName>
    <definedName name="Tigr_Exhibitedba2075_a25b_4c54_8edb_94d037fad10d" localSheetId="12" hidden="1">#REF!</definedName>
    <definedName name="Tigr_Exhibitedba2075_a25b_4c54_8edb_94d037fad10d" hidden="1">#REF!</definedName>
    <definedName name="Tigr_Exhibitee64e2b2_632e_423b_9dd2_742f91328540" hidden="1">#REF!</definedName>
    <definedName name="Tigr_Exhibitf98ae0ae_a8b6_42e9_bb00_d8afe9e1c307" hidden="1">#REF!</definedName>
    <definedName name="V_ALL_Ticker0001">Ticker0001_Validation_Sheet!$A$1:$FE$309</definedName>
    <definedName name="V_ALL_KEYWORDS_TYPE_ScalarContributed_EQTY_200000801" localSheetId="6">Ticker0001_Validation_Sheet!$245:$245,Ticker0001_Validation_Sheet!$248:$254,Ticker0001_Validation_Sheet!$296:$296,Ticker0001_Validation_Sheet!$300:$302,Ticker0001_Validation_Sheet!$307:$309</definedName>
    <definedName name="V_ALL_KEYWORDS_TYPE_ScalarContributed_EQTY_200000801">Ticker0001_Validation_Sheet!$248:$254,Ticker0001_Validation_Sheet!$296:$296,Ticker0001_Validation_Sheet!$300:$302,Ticker0001_Validation_Sheet!$307:$309,Ticker0001_Validation_Sheet!$245:$246</definedName>
    <definedName name="V_ALL_KEYWORDS_TYPE_ScalarContributed_ISSR_208000149" localSheetId="6">Ticker0001_Validation_Sheet!$9:$9,Ticker0001_Validation_Sheet!$39:$39</definedName>
    <definedName name="V_ALL_KEYWORDS_TYPE_ScalarReference_EQTY_200000801" localSheetId="6">Ticker0001_Validation_Sheet!$238:$243</definedName>
    <definedName name="V_ALL_KEYWORDS_TYPE_ScalarReference_ISSR_208000149" localSheetId="6">Ticker0001_Validation_Sheet!$6:$7</definedName>
    <definedName name="V_ALL_KEYWORDS_TYPE_Vector_EQTY_200000801" localSheetId="6">Ticker0001_Validation_Sheet!$256:$260,Ticker0001_Validation_Sheet!$262:$271,Ticker0001_Validation_Sheet!$273:$288,Ticker0001_Validation_Sheet!$290:$290,Ticker0001_Validation_Sheet!$292:$295,Ticker0001_Validation_Sheet!$298:$298,Ticker0001_Validation_Sheet!$303:$303,Ticker0001_Validation_Sheet!$305:$305</definedName>
    <definedName name="V_ALL_KEYWORDS_TYPE_Vector_ISSR_208000149" localSheetId="6">Ticker0001_Validation_Sheet!$2:$3,Ticker0001_Validation_Sheet!$11:$30,Ticker0001_Validation_Sheet!$32:$38,Ticker0001_Validation_Sheet!$41:$70,Ticker0001_Validation_Sheet!$72:$90,Ticker0001_Validation_Sheet!$92:$108,Ticker0001_Validation_Sheet!$110:$122,Ticker0001_Validation_Sheet!$124:$124,Ticker0001_Validation_Sheet!$128:$189,Ticker0001_Validation_Sheet!$191:$197,Ticker0001_Validation_Sheet!$199:$213,Ticker0001_Validation_Sheet!$215:$224</definedName>
    <definedName name="V_ALL_KEYWORDS_TYPE_Vector_ISSR_208000149">Ticker0001_Validation_Sheet!$2:$3,Ticker0001_Validation_Sheet!$11:$30,Ticker0001_Validation_Sheet!$32:$38,Ticker0001_Validation_Sheet!$41:$70,Ticker0001_Validation_Sheet!$72:$90,Ticker0001_Validation_Sheet!$92:$108,Ticker0001_Validation_Sheet!$110:$122,Ticker0001_Validation_Sheet!$124:$124,Ticker0001_Validation_Sheet!$128:$189,Ticker0001_Validation_Sheet!$191:$197,Ticker0001_Validation_Sheet!$199:$213,Ticker0001_Validation_Sheet!$215:$224,Ticker0001_Validation_Sheet!$126:$126</definedName>
    <definedName name="V_ALL_PERIODS_Ticker0001" localSheetId="6">Ticker0001_Validation_Sheet!$F$1:$FE$1</definedName>
    <definedName name="V_ALL_SECTION_KEYWORDS_EQTY_200000801_1314" localSheetId="6">Ticker0001_Validation_Sheet!$C$298</definedName>
    <definedName name="V_ALL_SECTION_KEYWORDS_EQTY_200000801_1319" localSheetId="6">Ticker0001_Validation_Sheet!$C$300:$C$303</definedName>
    <definedName name="V_ALL_SECTION_KEYWORDS_EQTY_200000801_131E" localSheetId="6">Ticker0001_Validation_Sheet!$C$305</definedName>
    <definedName name="V_ALL_SECTION_KEYWORDS_EQTY_200000801_131O" localSheetId="6">Ticker0001_Validation_Sheet!$C$307:$C$309</definedName>
    <definedName name="V_ALL_SECTION_KEYWORDS_EQTY_200000801_13A" localSheetId="6">Ticker0001_Validation_Sheet!$C$245:$C$254</definedName>
    <definedName name="V_ALL_SECTION_KEYWORDS_EQTY_200000801_13A">Ticker0001_Validation_Sheet!$C$245:$C$254</definedName>
    <definedName name="V_ALL_SECTION_KEYWORDS_EQTY_200000801_13K" localSheetId="6">Ticker0001_Validation_Sheet!$C$256:$C$271</definedName>
    <definedName name="V_ALL_SECTION_KEYWORDS_EQTY_200000801_13U" localSheetId="6">Ticker0001_Validation_Sheet!$C$273:$C$288</definedName>
    <definedName name="V_ALL_SECTION_KEYWORDS_EQTY_200000801_13V" localSheetId="6">Ticker0001_Validation_Sheet!$C$290</definedName>
    <definedName name="V_ALL_SECTION_KEYWORDS_EQTY_200000801_13W" localSheetId="6">Ticker0001_Validation_Sheet!$C$292:$C$296</definedName>
    <definedName name="V_ALL_SECTION_KEYWORDS_EQTY_200000801_Reference_Data" localSheetId="6">Ticker0001_Validation_Sheet!$C$238:$C$243</definedName>
    <definedName name="V_ALL_SECTION_KEYWORDS_ISSR_208000149_1314" localSheetId="6">Ticker0001_Validation_Sheet!$C$41:$C$70</definedName>
    <definedName name="V_ALL_SECTION_KEYWORDS_ISSR_208000149_13168" localSheetId="6">Ticker0001_Validation_Sheet!$C$128:$C$189</definedName>
    <definedName name="V_ALL_SECTION_KEYWORDS_ISSR_208000149_1316T" localSheetId="6">Ticker0001_Validation_Sheet!$C$191:$C$197</definedName>
    <definedName name="V_ALL_SECTION_KEYWORDS_ISSR_208000149_1316U" localSheetId="6">Ticker0001_Validation_Sheet!$C$199:$C$213</definedName>
    <definedName name="V_ALL_SECTION_KEYWORDS_ISSR_208000149_1319" localSheetId="6">Ticker0001_Validation_Sheet!$C$72:$C$90</definedName>
    <definedName name="V_ALL_SECTION_KEYWORDS_ISSR_208000149_131E" localSheetId="6">Ticker0001_Validation_Sheet!$C$92:$C$108</definedName>
    <definedName name="V_ALL_SECTION_KEYWORDS_ISSR_208000149_131J" localSheetId="6">Ticker0001_Validation_Sheet!$C$110:$C$122</definedName>
    <definedName name="V_ALL_SECTION_KEYWORDS_ISSR_208000149_131O" localSheetId="6">Ticker0001_Validation_Sheet!$C$124</definedName>
    <definedName name="V_ALL_SECTION_KEYWORDS_ISSR_208000149_131O">Ticker0001_Validation_Sheet!$C$124,Ticker0001_Validation_Sheet!$C$126</definedName>
    <definedName name="V_ALL_SECTION_KEYWORDS_ISSR_208000149_136E" localSheetId="6">Ticker0001_Validation_Sheet!$C$215:$C$224</definedName>
    <definedName name="V_ALL_SECTION_KEYWORDS_ISSR_208000149_136J" localSheetId="6">Ticker0001_Validation_Sheet!$C$226:$C$235</definedName>
    <definedName name="V_ALL_SECTION_KEYWORDS_ISSR_208000149_13A" localSheetId="6">Ticker0001_Validation_Sheet!$C$9</definedName>
    <definedName name="V_ALL_SECTION_KEYWORDS_ISSR_208000149_13U" localSheetId="6">Ticker0001_Validation_Sheet!$C$11:$C$30</definedName>
    <definedName name="V_ALL_SECTION_KEYWORDS_ISSR_208000149_13V" localSheetId="6">Ticker0001_Validation_Sheet!$C$32:$C$39</definedName>
    <definedName name="V_ALL_SECTION_KEYWORDS_ISSR_208000149_Reference_Data" localSheetId="6">Ticker0001_Validation_Sheet!$C$6:$C$7</definedName>
    <definedName name="V_ALL_SECTIONS_EQTY_200000801" localSheetId="6">Ticker0001_Validation_Sheet!$237:$237,Ticker0001_Validation_Sheet!$244:$244,Ticker0001_Validation_Sheet!$255:$255,Ticker0001_Validation_Sheet!$272:$272,Ticker0001_Validation_Sheet!$289:$289,Ticker0001_Validation_Sheet!$291:$291,Ticker0001_Validation_Sheet!$297:$297,Ticker0001_Validation_Sheet!$299:$299,Ticker0001_Validation_Sheet!$304:$304,Ticker0001_Validation_Sheet!$306:$306</definedName>
    <definedName name="V_ALL_SECTIONS_ISSR_208000149" localSheetId="6">Ticker0001_Validation_Sheet!$5:$5,Ticker0001_Validation_Sheet!$8:$8,Ticker0001_Validation_Sheet!$10:$10,Ticker0001_Validation_Sheet!$31:$31,Ticker0001_Validation_Sheet!$40:$40,Ticker0001_Validation_Sheet!$71:$71,Ticker0001_Validation_Sheet!$91:$91,Ticker0001_Validation_Sheet!$109:$109,Ticker0001_Validation_Sheet!$123:$123,Ticker0001_Validation_Sheet!$127:$127,Ticker0001_Validation_Sheet!$190:$190,Ticker0001_Validation_Sheet!$198:$198,Ticker0001_Validation_Sheet!$214:$214,Ticker0001_Validation_Sheet!$225:$225</definedName>
    <definedName name="V_CURRENCY_EQTY_200000801_PRI" localSheetId="6">Ticker0001_Validation_Sheet!$E$242</definedName>
    <definedName name="V_CURRENCY_EQTY_200000801_PUB" localSheetId="6">Ticker0001_Validation_Sheet!$E$241</definedName>
    <definedName name="V_CURRENCY_EQTY_200000801_REP" localSheetId="6">Ticker0001_Validation_Sheet!$E$243</definedName>
    <definedName name="V_CURRENCY_ISSR_208000149_REP" localSheetId="6">Ticker0001_Validation_Sheet!$E$7</definedName>
    <definedName name="V_ENTITY_DATA_EQTY_200000801" localSheetId="6">Ticker0001_Validation_Sheet!$E$237:$FE$309</definedName>
    <definedName name="V_ENTITY_DATA_ISSR_208000149" localSheetId="6">Ticker0001_Validation_Sheet!$E$5:$FE$235</definedName>
    <definedName name="V_KEYWORD_EQTY_200000801_AMER_CONVICTION" localSheetId="6">Ticker0001_Validation_Sheet!$247:$247</definedName>
    <definedName name="V_KEYWORD_EQTY_200000801_AMER_LIST" localSheetId="6">Ticker0001_Validation_Sheet!$245:$245</definedName>
    <definedName name="V_KEYWORD_EQTY_200000801_BETA_ANALYST" localSheetId="6">Ticker0001_Validation_Sheet!$307:$307</definedName>
    <definedName name="V_KEYWORD_EQTY_200000801_BVPS" localSheetId="6">Ticker0001_Validation_Sheet!$298:$298</definedName>
    <definedName name="V_KEYWORD_EQTY_200000801_BVPS_PUB" localSheetId="6">Ticker0001_Validation_Sheet!$256:$256</definedName>
    <definedName name="V_KEYWORD_EQTY_200000801_CEEE_EPS" localSheetId="6">Ticker0001_Validation_Sheet!$261:$261</definedName>
    <definedName name="V_KEYWORD_EQTY_200000801_CEEE_NDEBT" localSheetId="6">Ticker0001_Validation_Sheet!$266:$266</definedName>
    <definedName name="V_KEYWORD_EQTY_200000801_CF_NI_PRE_PREF" localSheetId="6">Ticker0001_Validation_Sheet!$305:$305</definedName>
    <definedName name="V_KEYWORD_EQTY_200000801_COMMON_DIV_PAID" localSheetId="6">Ticker0001_Validation_Sheet!$284:$284</definedName>
    <definedName name="V_KEYWORD_EQTY_200000801_CURRENCY_ISO" localSheetId="6">Ticker0001_Validation_Sheet!$243:$243</definedName>
    <definedName name="V_KEYWORD_EQTY_200000801_DILUTE_SHARES" localSheetId="6">Ticker0001_Validation_Sheet!$287:$287</definedName>
    <definedName name="V_KEYWORD_EQTY_200000801_DPS" localSheetId="6">Ticker0001_Validation_Sheet!$285:$285</definedName>
    <definedName name="V_KEYWORD_EQTY_200000801_DPS_PUB" localSheetId="6">Ticker0001_Validation_Sheet!$257:$257</definedName>
    <definedName name="V_KEYWORD_EQTY_200000801_DPS_SPECIAL_PUB" localSheetId="6">Ticker0001_Validation_Sheet!$258:$258</definedName>
    <definedName name="V_KEYWORD_EQTY_200000801_EBIT_PUB" localSheetId="6">Ticker0001_Validation_Sheet!$268:$268</definedName>
    <definedName name="V_KEYWORD_EQTY_200000801_EBITDA_PUB" localSheetId="6">Ticker0001_Validation_Sheet!$259:$259</definedName>
    <definedName name="V_KEYWORD_EQTY_200000801_EPS" localSheetId="6">Ticker0001_Validation_Sheet!$280:$280</definedName>
    <definedName name="V_KEYWORD_EQTY_200000801_EPS_EX_ESO_B" localSheetId="6">Ticker0001_Validation_Sheet!$294:$294</definedName>
    <definedName name="V_KEYWORD_EQTY_200000801_EPS_EX_ESO_D" localSheetId="6">Ticker0001_Validation_Sheet!$295:$295</definedName>
    <definedName name="V_KEYWORD_EQTY_200000801_EPS_FUL_DIL" localSheetId="6">Ticker0001_Validation_Sheet!$281:$281</definedName>
    <definedName name="V_KEYWORD_EQTY_200000801_EPS_POST_BASIC" localSheetId="6">Ticker0001_Validation_Sheet!$282:$282</definedName>
    <definedName name="V_KEYWORD_EQTY_200000801_EPS_PUB" localSheetId="6">Ticker0001_Validation_Sheet!$260:$260</definedName>
    <definedName name="V_KEYWORD_EQTY_200000801_EPS_PUB_EX_ESO" localSheetId="6">Ticker0001_Validation_Sheet!$262:$262</definedName>
    <definedName name="V_KEYWORD_EQTY_200000801_EQ_PUB" localSheetId="6">Ticker0001_Validation_Sheet!$271:$271</definedName>
    <definedName name="V_KEYWORD_EQTY_200000801_ESO_POST_TAX" localSheetId="6">Ticker0001_Validation_Sheet!$293:$293</definedName>
    <definedName name="V_KEYWORD_EQTY_200000801_ESO_YEAR" localSheetId="6">Ticker0001_Validation_Sheet!$296:$296</definedName>
    <definedName name="V_KEYWORD_EQTY_200000801_EV_ADJ_PUB" localSheetId="6">Ticker0001_Validation_Sheet!$263:$263</definedName>
    <definedName name="V_KEYWORD_EQTY_200000801_FREE_FLOAT" localSheetId="6">Ticker0001_Validation_Sheet!$254:$254</definedName>
    <definedName name="V_KEYWORD_EQTY_200000801_FULLY_DIL_EPS" localSheetId="6">Ticker0001_Validation_Sheet!$283:$283</definedName>
    <definedName name="V_KEYWORD_EQTY_200000801_FV_GRANT" localSheetId="6">Ticker0001_Validation_Sheet!$292:$292</definedName>
    <definedName name="V_KEYWORD_EQTY_200000801_INC_MINORITY" localSheetId="6">Ticker0001_Validation_Sheet!$274:$274</definedName>
    <definedName name="V_KEYWORD_EQTY_200000801_Interim_Type" localSheetId="6">Ticker0001_Validation_Sheet!$240:$240</definedName>
    <definedName name="V_KEYWORD_EQTY_200000801_LEGAL_RATING" localSheetId="6">Ticker0001_Validation_Sheet!$248:$248</definedName>
    <definedName name="V_KEYWORD_EQTY_200000801_MARGIN_TAX_RATE" localSheetId="6">Ticker0001_Validation_Sheet!$290:$290</definedName>
    <definedName name="V_KEYWORD_EQTY_200000801_MKT_EQ_RISK_PREM" localSheetId="6">Ticker0001_Validation_Sheet!$308:$308</definedName>
    <definedName name="V_KEYWORD_EQTY_200000801_NET_DEBT_EX_LEASES_PUB" localSheetId="6">Ticker0001_Validation_Sheet!$265:$265</definedName>
    <definedName name="V_KEYWORD_EQTY_200000801_NET_DEBT_PUB" localSheetId="6">Ticker0001_Validation_Sheet!$264:$264</definedName>
    <definedName name="V_KEYWORD_EQTY_200000801_NET_EARNING" localSheetId="6">Ticker0001_Validation_Sheet!$277:$277</definedName>
    <definedName name="V_KEYWORD_EQTY_200000801_NET_INC" localSheetId="6">Ticker0001_Validation_Sheet!$279:$279</definedName>
    <definedName name="V_KEYWORD_EQTY_200000801_NI_PRE_PREF" localSheetId="6">Ticker0001_Validation_Sheet!$275:$275</definedName>
    <definedName name="V_KEYWORD_EQTY_200000801_NI_PUB" localSheetId="6">Ticker0001_Validation_Sheet!$267:$267</definedName>
    <definedName name="V_KEYWORD_EQTY_200000801_NON_OP_ADD" localSheetId="6">Ticker0001_Validation_Sheet!$288:$288</definedName>
    <definedName name="V_KEYWORD_EQTY_200000801_NOT_IN_USE" localSheetId="6">Ticker0001_Validation_Sheet!$246:$246</definedName>
    <definedName name="V_KEYWORD_EQTY_200000801_NUM_SH" localSheetId="6">Ticker0001_Validation_Sheet!$253:$253</definedName>
    <definedName name="V_KEYWORD_EQTY_200000801_PREF_DIV" localSheetId="6">Ticker0001_Validation_Sheet!$276:$276</definedName>
    <definedName name="V_KEYWORD_EQTY_200000801_PRICE_CURRENCY_ISO" localSheetId="6">Ticker0001_Validation_Sheet!$242:$242</definedName>
    <definedName name="V_KEYWORD_EQTY_200000801_PROV_INC_TAX" localSheetId="6">Ticker0001_Validation_Sheet!$273:$273</definedName>
    <definedName name="V_KEYWORD_EQTY_200000801_PTP_PUB" localSheetId="6">Ticker0001_Validation_Sheet!$269:$269</definedName>
    <definedName name="V_KEYWORD_EQTY_200000801_PUB_CURRENCY_ISO" localSheetId="6">Ticker0001_Validation_Sheet!$241:$241</definedName>
    <definedName name="V_KEYWORD_EQTY_200000801_REPUR_ACTUAL" localSheetId="6">Ticker0001_Validation_Sheet!$303:$303</definedName>
    <definedName name="V_KEYWORD_EQTY_200000801_REPUR_REMAINING" localSheetId="6">Ticker0001_Validation_Sheet!$301:$301</definedName>
    <definedName name="V_KEYWORD_EQTY_200000801_REPUR_SUSPENDED" localSheetId="6">Ticker0001_Validation_Sheet!$302:$302</definedName>
    <definedName name="V_KEYWORD_EQTY_200000801_REPUR_TOT_AUTH" localSheetId="6">Ticker0001_Validation_Sheet!$300:$300</definedName>
    <definedName name="V_KEYWORD_EQTY_200000801_REVS_PUB" localSheetId="6">Ticker0001_Validation_Sheet!$270:$270</definedName>
    <definedName name="V_KEYWORD_EQTY_200000801_RISK_FR_RATE" localSheetId="6">Ticker0001_Validation_Sheet!$309:$309</definedName>
    <definedName name="V_KEYWORD_EQTY_200000801_Security_Name" localSheetId="6">Ticker0001_Validation_Sheet!$239:$239</definedName>
    <definedName name="V_KEYWORD_EQTY_200000801_SH" localSheetId="6">Ticker0001_Validation_Sheet!$286:$286</definedName>
    <definedName name="V_KEYWORD_EQTY_200000801_TARGET_PRICE" localSheetId="6">Ticker0001_Validation_Sheet!$249:$249</definedName>
    <definedName name="V_KEYWORD_EQTY_200000801_TARGET_PRICE_FUNDAMENTAL" localSheetId="6">Ticker0001_Validation_Sheet!$251:$251</definedName>
    <definedName name="V_KEYWORD_EQTY_200000801_TARGET_PRICE_MA" localSheetId="6">Ticker0001_Validation_Sheet!$252:$252</definedName>
    <definedName name="V_KEYWORD_EQTY_200000801_TAX_EXC" localSheetId="6">Ticker0001_Validation_Sheet!$278:$278</definedName>
    <definedName name="V_KEYWORD_EQTY_200000801_Ticker" localSheetId="6">Ticker0001_Validation_Sheet!$238:$238</definedName>
    <definedName name="V_KEYWORD_EQTY_200000801_TP_PERIOD" localSheetId="6">Ticker0001_Validation_Sheet!$250:$250</definedName>
    <definedName name="V_KEYWORD_ISSR_208000149_ACC_AMORT" localSheetId="6">Ticker0001_Validation_Sheet!$50:$50</definedName>
    <definedName name="V_KEYWORD_ISSR_208000149_ACC_DDA" localSheetId="6">Ticker0001_Validation_Sheet!$47:$47</definedName>
    <definedName name="V_KEYWORD_ISSR_208000149_ACC_END_DATE" localSheetId="6">Ticker0001_Validation_Sheet!$3:$3</definedName>
    <definedName name="V_KEYWORD_ISSR_208000149_ACC_PAY_GQ" localSheetId="6">Ticker0001_Validation_Sheet!$56:$56</definedName>
    <definedName name="V_KEYWORD_ISSR_208000149_ACQ" localSheetId="6">Ticker0001_Validation_Sheet!$98:$98</definedName>
    <definedName name="V_KEYWORD_ISSR_208000149_ADJ_UNF_PENS_GOOD" localSheetId="6">Ticker0001_Validation_Sheet!$86:$86</definedName>
    <definedName name="V_KEYWORD_ISSR_208000149_ASSOC_JV_ADDBK" localSheetId="6">Ticker0001_Validation_Sheet!$110:$110</definedName>
    <definedName name="V_KEYWORD_ISSR_208000149_ASSOCIATE" localSheetId="6">Ticker0001_Validation_Sheet!$27:$27</definedName>
    <definedName name="V_KEYWORD_ISSR_208000149_ASSOCIATE_OP" localSheetId="6">Ticker0001_Validation_Sheet!$36:$36</definedName>
    <definedName name="V_KEYWORD_ISSR_208000149_AVG_AGE_CUST" localSheetId="6">Ticker0001_Validation_Sheet!$126:$126</definedName>
    <definedName name="V_KEYWORD_ISSR_208000149_AVG_HSHLD_INC_CUST" localSheetId="6">Ticker0001_Validation_Sheet!$125:$125</definedName>
    <definedName name="V_KEYWORD_ISSR_208000149_BAL_MINO_INT" localSheetId="6">Ticker0001_Validation_Sheet!$89:$89</definedName>
    <definedName name="V_KEYWORD_ISSR_208000149_CAP_LEASES" localSheetId="6">Ticker0001_Validation_Sheet!$77:$77</definedName>
    <definedName name="V_KEYWORD_ISSR_208000149_CAPEX" localSheetId="6">Ticker0001_Validation_Sheet!$97:$97</definedName>
    <definedName name="V_KEYWORD_ISSR_208000149_CAPEX_EXPANSION" localSheetId="6">Ticker0001_Validation_Sheet!$120:$120</definedName>
    <definedName name="V_KEYWORD_ISSR_208000149_CAPEX_MAINTENANCE" localSheetId="6">Ticker0001_Validation_Sheet!$119:$119</definedName>
    <definedName name="V_KEYWORD_ISSR_208000149_CASH_EQ" localSheetId="6">Ticker0001_Validation_Sheet!$41:$41</definedName>
    <definedName name="V_KEYWORD_ISSR_208000149_CASH_INT_EXP" localSheetId="6">Ticker0001_Validation_Sheet!$116:$116</definedName>
    <definedName name="V_KEYWORD_ISSR_208000149_CASH_PCT_OS_US" localSheetId="6">Ticker0001_Validation_Sheet!$187:$187</definedName>
    <definedName name="V_KEYWORD_ISSR_208000149_CASH_TAX_EXP" localSheetId="6">Ticker0001_Validation_Sheet!$117:$117</definedName>
    <definedName name="V_KEYWORD_ISSR_208000149_CF_FIN" localSheetId="6">Ticker0001_Validation_Sheet!$107:$107</definedName>
    <definedName name="V_KEYWORD_ISSR_208000149_CF_INC_MINORITY" localSheetId="6">Ticker0001_Validation_Sheet!$92:$92</definedName>
    <definedName name="V_KEYWORD_ISSR_208000149_CF_INV" localSheetId="6">Ticker0001_Validation_Sheet!$101:$101</definedName>
    <definedName name="V_KEYWORD_ISSR_208000149_CF_OPS" localSheetId="6">Ticker0001_Validation_Sheet!$96:$96</definedName>
    <definedName name="V_KEYWORD_ISSR_208000149_CHG_DEF_TAX_CF" localSheetId="6">Ticker0001_Validation_Sheet!$114:$114</definedName>
    <definedName name="V_KEYWORD_ISSR_208000149_CHG_LT_DEBT" localSheetId="6">Ticker0001_Validation_Sheet!$104:$104</definedName>
    <definedName name="V_KEYWORD_ISSR_208000149_CO_BOR_MARGIN" localSheetId="6">Ticker0001_Validation_Sheet!$82:$82</definedName>
    <definedName name="V_KEYWORD_ISSR_208000149_COGS_PCT_ROW" localSheetId="6">Ticker0001_Validation_Sheet!$178:$178</definedName>
    <definedName name="V_KEYWORD_ISSR_208000149_COGS_PCT_US" localSheetId="6">Ticker0001_Validation_Sheet!$177:$177</definedName>
    <definedName name="V_KEYWORD_ISSR_208000149_COST_GD_SD" localSheetId="6">Ticker0001_Validation_Sheet!$12:$12</definedName>
    <definedName name="V_KEYWORD_ISSR_208000149_CUR_ASS" localSheetId="6">Ticker0001_Validation_Sheet!$45:$45</definedName>
    <definedName name="V_KEYWORD_ISSR_208000149_CURRENCY_ISO" localSheetId="6">Ticker0001_Validation_Sheet!$7:$7</definedName>
    <definedName name="V_KEYWORD_ISSR_208000149_DEBTORS" localSheetId="6">Ticker0001_Validation_Sheet!$42:$42</definedName>
    <definedName name="V_KEYWORD_ISSR_208000149_DEF_INC_TAX" localSheetId="6">Ticker0001_Validation_Sheet!$78:$78</definedName>
    <definedName name="V_KEYWORD_ISSR_208000149_DEPR_AMORT" localSheetId="6">Ticker0001_Validation_Sheet!$93:$93</definedName>
    <definedName name="V_KEYWORD_ISSR_208000149_DEPR_ROU_ASSETS" localSheetId="6">Ticker0001_Validation_Sheet!$37:$37</definedName>
    <definedName name="V_KEYWORD_ISSR_208000149_DEPREC" localSheetId="6">Ticker0001_Validation_Sheet!$21:$21</definedName>
    <definedName name="V_KEYWORD_ISSR_208000149_DIV_PAID" localSheetId="6">Ticker0001_Validation_Sheet!$102:$102</definedName>
    <definedName name="V_KEYWORD_ISSR_208000149_DIVDS_ASSOC_JV" localSheetId="6">Ticker0001_Validation_Sheet!$118:$118</definedName>
    <definedName name="V_KEYWORD_ISSR_208000149_DIVDS_PD_MINORITIES" localSheetId="6">Ticker0001_Validation_Sheet!$122:$122</definedName>
    <definedName name="V_KEYWORD_ISSR_208000149_DIVEST" localSheetId="6">Ticker0001_Validation_Sheet!$99:$99</definedName>
    <definedName name="V_KEYWORD_ISSR_208000149_EBIT" localSheetId="6">Ticker0001_Validation_Sheet!$23:$23</definedName>
    <definedName name="V_KEYWORD_ISSR_208000149_EBIT_FIN_SEGMENT" localSheetId="6">Ticker0001_Validation_Sheet!$189:$189</definedName>
    <definedName name="V_KEYWORD_ISSR_208000149_EBITDA_CALC" localSheetId="6">Ticker0001_Validation_Sheet!$20:$20</definedName>
    <definedName name="V_KEYWORD_ISSR_208000149_EMPLOYEES" localSheetId="6">Ticker0001_Validation_Sheet!$124:$124</definedName>
    <definedName name="V_KEYWORD_ISSR_208000149_EQ" localSheetId="6">Ticker0001_Validation_Sheet!$69:$69</definedName>
    <definedName name="V_KEYWORD_ISSR_208000149_ESO_PRE_TAX" localSheetId="6">Ticker0001_Validation_Sheet!$16:$16</definedName>
    <definedName name="V_KEYWORD_ISSR_208000149_EXP_GLASS" localSheetId="6">Ticker0001_Validation_Sheet!$194:$194</definedName>
    <definedName name="V_KEYWORD_ISSR_208000149_EXP_OIL_DERIV_NGLS_PLASTICS" localSheetId="6">Ticker0001_Validation_Sheet!$192:$192</definedName>
    <definedName name="V_KEYWORD_ISSR_208000149_EXP_OIL_PETRO_FUEL" localSheetId="6">Ticker0001_Validation_Sheet!$191:$191</definedName>
    <definedName name="V_KEYWORD_ISSR_208000149_EXP_OTH_COMMODITY" localSheetId="6">Ticker0001_Validation_Sheet!$196:$196</definedName>
    <definedName name="V_KEYWORD_ISSR_208000149_EXP_OTH_COST" localSheetId="6">Ticker0001_Validation_Sheet!$197:$197</definedName>
    <definedName name="V_KEYWORD_ISSR_208000149_EXP_PAPER_PULP" localSheetId="6">Ticker0001_Validation_Sheet!$193:$193</definedName>
    <definedName name="V_KEYWORD_ISSR_208000149_EXP_WATER" localSheetId="6">Ticker0001_Validation_Sheet!$195:$195</definedName>
    <definedName name="V_KEYWORD_ISSR_208000149_FIX_ASS_INV" localSheetId="6">Ticker0001_Validation_Sheet!$52:$52</definedName>
    <definedName name="V_KEYWORD_ISSR_208000149_FLOATING_PCT_LOCAL_DEBT" localSheetId="6">Ticker0001_Validation_Sheet!$74:$74</definedName>
    <definedName name="V_KEYWORD_ISSR_208000149_FLOATING_PCT_LOCAL_DEBT_HEDGED" localSheetId="6">Ticker0001_Validation_Sheet!$75:$75</definedName>
    <definedName name="V_KEYWORD_ISSR_208000149_FOREX" localSheetId="6">Ticker0001_Validation_Sheet!$226:$226</definedName>
    <definedName name="V_KEYWORD_ISSR_208000149_GCI_INFL" localSheetId="6">Ticker0001_Validation_Sheet!$88:$88</definedName>
    <definedName name="V_KEYWORD_ISSR_208000149_GOODWILL_AMORT" localSheetId="6">Ticker0001_Validation_Sheet!$22:$22</definedName>
    <definedName name="V_KEYWORD_ISSR_208000149_GR_FIX_ASS" localSheetId="6">Ticker0001_Validation_Sheet!$46:$46</definedName>
    <definedName name="V_KEYWORD_ISSR_208000149_GR_INTANG" localSheetId="6">Ticker0001_Validation_Sheet!$49:$49</definedName>
    <definedName name="V_KEYWORD_ISSR_208000149_INS_TOT_HOMEOWNERS_PIF_GRTH" localSheetId="6">Ticker0001_Validation_Sheet!$235:$235</definedName>
    <definedName name="V_KEYWORD_ISSR_208000149_INT_EXP_IND" localSheetId="6">Ticker0001_Validation_Sheet!$25:$25</definedName>
    <definedName name="V_KEYWORD_ISSR_208000149_INT_INC_IND" localSheetId="6">Ticker0001_Validation_Sheet!$24:$24</definedName>
    <definedName name="V_KEYWORD_ISSR_208000149_INV_SECUR" localSheetId="6">Ticker0001_Validation_Sheet!$53:$53</definedName>
    <definedName name="V_KEYWORD_ISSR_208000149_Issuer_Name" localSheetId="6">Ticker0001_Validation_Sheet!$6:$6</definedName>
    <definedName name="V_KEYWORD_ISSR_208000149_LEASE_ADOPT" localSheetId="6">Ticker0001_Validation_Sheet!$39:$39</definedName>
    <definedName name="V_KEYWORD_ISSR_208000149_LEASE_DEEM_DEPR" localSheetId="6">Ticker0001_Validation_Sheet!$34:$34</definedName>
    <definedName name="V_KEYWORD_ISSR_208000149_LEASE_DEEM_INT" localSheetId="6">Ticker0001_Validation_Sheet!$33:$33</definedName>
    <definedName name="V_KEYWORD_ISSR_208000149_LEASE_INT_CHG" localSheetId="6">Ticker0001_Validation_Sheet!$38:$38</definedName>
    <definedName name="V_KEYWORD_ISSR_208000149_LEASE_PAY" localSheetId="6">Ticker0001_Validation_Sheet!$32:$32</definedName>
    <definedName name="V_KEYWORD_ISSR_208000149_LEASE_PRINCIPAL_CASH" localSheetId="6">Ticker0001_Validation_Sheet!$105:$105</definedName>
    <definedName name="V_KEYWORD_ISSR_208000149_LT_DEBT" localSheetId="6">Ticker0001_Validation_Sheet!$61:$61</definedName>
    <definedName name="V_KEYWORD_ISSR_208000149_LT_LEASE_LIAB" localSheetId="6">Ticker0001_Validation_Sheet!$62:$62</definedName>
    <definedName name="V_KEYWORD_ISSR_208000149_MA_PROB" localSheetId="6">Ticker0001_Validation_Sheet!$9:$9</definedName>
    <definedName name="V_KEYWORD_ISSR_208000149_MINORITIES" localSheetId="6">Ticker0001_Validation_Sheet!$68:$68</definedName>
    <definedName name="V_KEYWORD_ISSR_208000149_MV_ASSOCIATES" localSheetId="6">Ticker0001_Validation_Sheet!$80:$80</definedName>
    <definedName name="V_KEYWORD_ISSR_208000149_NET_DEBT" localSheetId="6">Ticker0001_Validation_Sheet!$76:$76</definedName>
    <definedName name="V_KEYWORD_ISSR_208000149_NET_DEBT_ADJ" localSheetId="6">Ticker0001_Validation_Sheet!$81:$81</definedName>
    <definedName name="V_KEYWORD_ISSR_208000149_NET_FIX_ASS" localSheetId="6">Ticker0001_Validation_Sheet!$48:$48</definedName>
    <definedName name="V_KEYWORD_ISSR_208000149_NET_INT_CH" localSheetId="6">Ticker0001_Validation_Sheet!$35:$35</definedName>
    <definedName name="V_KEYWORD_ISSR_208000149_NET_INT_EXP" localSheetId="6">Ticker0001_Validation_Sheet!$26:$26</definedName>
    <definedName name="V_KEYWORD_ISSR_208000149_NET_INTANG" localSheetId="6">Ticker0001_Validation_Sheet!$51:$51</definedName>
    <definedName name="V_KEYWORD_ISSR_208000149_NET_OP_LOSS_CFWD" localSheetId="6">Ticker0001_Validation_Sheet!$79:$79</definedName>
    <definedName name="V_KEYWORD_ISSR_208000149_NONPPE_CAPEX" localSheetId="6">Ticker0001_Validation_Sheet!$121:$121</definedName>
    <definedName name="V_KEYWORD_ISSR_208000149_OP_COST" localSheetId="6">Ticker0001_Validation_Sheet!$14:$14</definedName>
    <definedName name="V_KEYWORD_ISSR_208000149_ORD_SH_FUND" localSheetId="6">Ticker0001_Validation_Sheet!$67:$67</definedName>
    <definedName name="V_KEYWORD_ISSR_208000149_OTH_ADJ_CASH_TAX" localSheetId="6">Ticker0001_Validation_Sheet!$115:$115</definedName>
    <definedName name="V_KEYWORD_ISSR_208000149_OTH_COST_INC" localSheetId="6">Ticker0001_Validation_Sheet!$29:$29</definedName>
    <definedName name="V_KEYWORD_ISSR_208000149_OTH_CUR_ASS" localSheetId="6">Ticker0001_Validation_Sheet!$44:$44</definedName>
    <definedName name="V_KEYWORD_ISSR_208000149_OTH_CUR_LIABS" localSheetId="6">Ticker0001_Validation_Sheet!$59:$59</definedName>
    <definedName name="V_KEYWORD_ISSR_208000149_OTH_DACF_ADJ" localSheetId="6">Ticker0001_Validation_Sheet!$113:$113</definedName>
    <definedName name="V_KEYWORD_ISSR_208000149_OTH_FIN_CF" localSheetId="6">Ticker0001_Validation_Sheet!$106:$106</definedName>
    <definedName name="V_KEYWORD_ISSR_208000149_OTH_GCI_ADJ" localSheetId="6">Ticker0001_Validation_Sheet!$87:$87</definedName>
    <definedName name="V_KEYWORD_ISSR_208000149_OTH_INV_CF" localSheetId="6">Ticker0001_Validation_Sheet!$100:$100</definedName>
    <definedName name="V_KEYWORD_ISSR_208000149_OTH_LT_ASS" localSheetId="6">Ticker0001_Validation_Sheet!$54:$54</definedName>
    <definedName name="V_KEYWORD_ISSR_208000149_OTH_LT_CRED_GQ" localSheetId="6">Ticker0001_Validation_Sheet!$63:$63</definedName>
    <definedName name="V_KEYWORD_ISSR_208000149_OTH_NONCASH_ADJ" localSheetId="6">Ticker0001_Validation_Sheet!$112:$112</definedName>
    <definedName name="V_KEYWORD_ISSR_208000149_OTH_OP_CF" localSheetId="6">Ticker0001_Validation_Sheet!$95:$95</definedName>
    <definedName name="V_KEYWORD_ISSR_208000149_OTH_OP_INC_EXP" localSheetId="6">Ticker0001_Validation_Sheet!$17:$17</definedName>
    <definedName name="V_KEYWORD_ISSR_208000149_PERIOD_MILESTONE" localSheetId="6">Ticker0001_Validation_Sheet!$2:$2</definedName>
    <definedName name="V_KEYWORD_ISSR_208000149_PL_SALE_ASSETS" localSheetId="6">Ticker0001_Validation_Sheet!$111:$111</definedName>
    <definedName name="V_KEYWORD_ISSR_208000149_PREF_SH" localSheetId="6">Ticker0001_Validation_Sheet!$66:$66</definedName>
    <definedName name="V_KEYWORD_ISSR_208000149_PROFIT_ON_DISP" localSheetId="6">Ticker0001_Validation_Sheet!$28:$28</definedName>
    <definedName name="V_KEYWORD_ISSR_208000149_PT_PROF" localSheetId="6">Ticker0001_Validation_Sheet!$30:$30</definedName>
    <definedName name="V_KEYWORD_ISSR_208000149_RD_EXP" localSheetId="6">Ticker0001_Validation_Sheet!$15:$15</definedName>
    <definedName name="V_KEYWORD_ISSR_208000149_REV_FIN_SEGMENT" localSheetId="6">Ticker0001_Validation_Sheet!$188:$188</definedName>
    <definedName name="V_KEYWORD_ISSR_208000149_REV_SEG1_NAME" localSheetId="6">Ticker0001_Validation_Sheet!$227:$227</definedName>
    <definedName name="V_KEYWORD_ISSR_208000149_REV_SEG1_VALUE" localSheetId="6">Ticker0001_Validation_Sheet!$231:$231</definedName>
    <definedName name="V_KEYWORD_ISSR_208000149_REV_SEG2_NAME" localSheetId="6">Ticker0001_Validation_Sheet!$228:$228</definedName>
    <definedName name="V_KEYWORD_ISSR_208000149_REV_SEG2_VALUE" localSheetId="6">Ticker0001_Validation_Sheet!$232:$232</definedName>
    <definedName name="V_KEYWORD_ISSR_208000149_REV_SEG3_NAME" localSheetId="6">Ticker0001_Validation_Sheet!$229:$229</definedName>
    <definedName name="V_KEYWORD_ISSR_208000149_REV_SEG3_VALUE" localSheetId="6">Ticker0001_Validation_Sheet!$233:$233</definedName>
    <definedName name="V_KEYWORD_ISSR_208000149_REV_SEG4_NAME" localSheetId="6">Ticker0001_Validation_Sheet!$230:$230</definedName>
    <definedName name="V_KEYWORD_ISSR_208000149_REV_SEG4_VALUE" localSheetId="6">Ticker0001_Validation_Sheet!$234:$234</definedName>
    <definedName name="V_KEYWORD_ISSR_208000149_ROU_ASSET" localSheetId="6">Ticker0001_Validation_Sheet!$90:$90</definedName>
    <definedName name="V_KEYWORD_ISSR_208000149_SALES" localSheetId="6">Ticker0001_Validation_Sheet!$11:$11</definedName>
    <definedName name="V_KEYWORD_ISSR_208000149_SALES_ARGENTINA" localSheetId="6">Ticker0001_Validation_Sheet!$131:$131</definedName>
    <definedName name="V_KEYWORD_ISSR_208000149_SALES_AUSTRA" localSheetId="6">Ticker0001_Validation_Sheet!$174:$174</definedName>
    <definedName name="V_KEYWORD_ISSR_208000149_SALES_AUSTRIA" localSheetId="6">Ticker0001_Validation_Sheet!$138:$138</definedName>
    <definedName name="V_KEYWORD_ISSR_208000149_SALES_COMPANY0377" localSheetId="6">Ticker0001_Validation_Sheet!$139:$139</definedName>
    <definedName name="V_KEYWORD_ISSR_208000149_SALES_BRAZIL" localSheetId="6">Ticker0001_Validation_Sheet!$132:$132</definedName>
    <definedName name="V_KEYWORD_ISSR_208000149_SALES_CANADA" localSheetId="6">Ticker0001_Validation_Sheet!$128:$128</definedName>
    <definedName name="V_KEYWORD_ISSR_208000149_SALES_CEE" localSheetId="6">Ticker0001_Validation_Sheet!$219:$219</definedName>
    <definedName name="V_KEYWORD_ISSR_208000149_SALES_CHILE" localSheetId="6">Ticker0001_Validation_Sheet!$133:$133</definedName>
    <definedName name="V_KEYWORD_ISSR_208000149_SALES_CHINA" localSheetId="6">Ticker0001_Validation_Sheet!$169:$169</definedName>
    <definedName name="V_KEYWORD_ISSR_208000149_SALES_COLOMBIA" localSheetId="6">Ticker0001_Validation_Sheet!$134:$134</definedName>
    <definedName name="V_KEYWORD_ISSR_208000149_SALES_CONS" localSheetId="6">Ticker0001_Validation_Sheet!$181:$181</definedName>
    <definedName name="V_KEYWORD_ISSR_208000149_SALES_EU_EX_UK" localSheetId="6">Ticker0001_Validation_Sheet!$218:$218</definedName>
    <definedName name="V_KEYWORD_ISSR_208000149_SALES_FINAN" localSheetId="6">Ticker0001_Validation_Sheet!$184:$184</definedName>
    <definedName name="V_KEYWORD_ISSR_208000149_SALES_FRA" localSheetId="6">Ticker0001_Validation_Sheet!$140:$140</definedName>
    <definedName name="V_KEYWORD_ISSR_208000149_SALES_FX_ARS" localSheetId="6">Ticker0001_Validation_Sheet!$210:$210</definedName>
    <definedName name="V_KEYWORD_ISSR_208000149_SALES_FX_BRL" localSheetId="6">Ticker0001_Validation_Sheet!$203:$203</definedName>
    <definedName name="V_KEYWORD_ISSR_208000149_SALES_FX_CAD" localSheetId="6">Ticker0001_Validation_Sheet!$207:$207</definedName>
    <definedName name="V_KEYWORD_ISSR_208000149_SALES_FX_CLP" localSheetId="6">Ticker0001_Validation_Sheet!$211:$211</definedName>
    <definedName name="V_KEYWORD_ISSR_208000149_SALES_FX_CNY" localSheetId="6">Ticker0001_Validation_Sheet!$205:$205</definedName>
    <definedName name="V_KEYWORD_ISSR_208000149_SALES_FX_COP" localSheetId="6">Ticker0001_Validation_Sheet!$209:$209</definedName>
    <definedName name="V_KEYWORD_ISSR_208000149_SALES_FX_EUR" localSheetId="6">Ticker0001_Validation_Sheet!$200:$200</definedName>
    <definedName name="V_KEYWORD_ISSR_208000149_SALES_FX_GPB" localSheetId="6">Ticker0001_Validation_Sheet!$199:$199</definedName>
    <definedName name="V_KEYWORD_ISSR_208000149_SALES_FX_INR" localSheetId="6">Ticker0001_Validation_Sheet!$206:$206</definedName>
    <definedName name="V_KEYWORD_ISSR_208000149_SALES_FX_MXN" localSheetId="6">Ticker0001_Validation_Sheet!$208:$208</definedName>
    <definedName name="V_KEYWORD_ISSR_208000149_SALES_FX_OTH" localSheetId="6">Ticker0001_Validation_Sheet!$213:$213</definedName>
    <definedName name="V_KEYWORD_ISSR_208000149_SALES_FX_RUB" localSheetId="6">Ticker0001_Validation_Sheet!$201:$201</definedName>
    <definedName name="V_KEYWORD_ISSR_208000149_SALES_FX_USD" localSheetId="6">Ticker0001_Validation_Sheet!$202:$202</definedName>
    <definedName name="V_KEYWORD_ISSR_208000149_SALES_FX_VEF" localSheetId="6">Ticker0001_Validation_Sheet!$212:$212</definedName>
    <definedName name="V_KEYWORD_ISSR_208000149_SALES_FX_YEN" localSheetId="6">Ticker0001_Validation_Sheet!$204:$204</definedName>
    <definedName name="V_KEYWORD_ISSR_208000149_SALES_GER" localSheetId="6">Ticker0001_Validation_Sheet!$141:$141</definedName>
    <definedName name="V_KEYWORD_ISSR_208000149_SALES_GOV" localSheetId="6">Ticker0001_Validation_Sheet!$183:$183</definedName>
    <definedName name="V_KEYWORD_ISSR_208000149_SALES_GRE" localSheetId="6">Ticker0001_Validation_Sheet!$142:$142</definedName>
    <definedName name="V_KEYWORD_ISSR_208000149_SALES_HONG_KONG" localSheetId="6">Ticker0001_Validation_Sheet!$163:$163</definedName>
    <definedName name="V_KEYWORD_ISSR_208000149_SALES_IND" localSheetId="6">Ticker0001_Validation_Sheet!$182:$182</definedName>
    <definedName name="V_KEYWORD_ISSR_208000149_SALES_INDIA" localSheetId="6">Ticker0001_Validation_Sheet!$170:$170</definedName>
    <definedName name="V_KEYWORD_ISSR_208000149_SALES_INDONESIA" localSheetId="6">Ticker0001_Validation_Sheet!$171:$171</definedName>
    <definedName name="V_KEYWORD_ISSR_208000149_SALES_IRE" localSheetId="6">Ticker0001_Validation_Sheet!$143:$143</definedName>
    <definedName name="V_KEYWORD_ISSR_208000149_SALES_ITA" localSheetId="6">Ticker0001_Validation_Sheet!$144:$144</definedName>
    <definedName name="V_KEYWORD_ISSR_208000149_SALES_JAPAN" localSheetId="6">Ticker0001_Validation_Sheet!$164:$164</definedName>
    <definedName name="V_KEYWORD_ISSR_208000149_SALES_ME" localSheetId="6">Ticker0001_Validation_Sheet!$220:$220</definedName>
    <definedName name="V_KEYWORD_ISSR_208000149_SALES_MEXICO" localSheetId="6">Ticker0001_Validation_Sheet!$135:$135</definedName>
    <definedName name="V_KEYWORD_ISSR_208000149_SALES_NETH" localSheetId="6">Ticker0001_Validation_Sheet!$145:$145</definedName>
    <definedName name="V_KEYWORD_ISSR_208000149_SALES_NIGERIA" localSheetId="6">Ticker0001_Validation_Sheet!$160:$160</definedName>
    <definedName name="V_KEYWORD_ISSR_208000149_SALES_NOR" localSheetId="6">Ticker0001_Validation_Sheet!$146:$146</definedName>
    <definedName name="V_KEYWORD_ISSR_208000149_SALES_NZ" localSheetId="6">Ticker0001_Validation_Sheet!$175:$175</definedName>
    <definedName name="V_KEYWORD_ISSR_208000149_SALES_OIL_GAS" localSheetId="6">Ticker0001_Validation_Sheet!$185:$185</definedName>
    <definedName name="V_KEYWORD_ISSR_208000149_SALES_OTH_AEJ" localSheetId="6">Ticker0001_Validation_Sheet!$224:$224</definedName>
    <definedName name="V_KEYWORD_ISSR_208000149_SALES_OTH_AFRICA" localSheetId="6">Ticker0001_Validation_Sheet!$162:$162</definedName>
    <definedName name="V_KEYWORD_ISSR_208000149_SALES_OTH_AM" localSheetId="6">Ticker0001_Validation_Sheet!$216:$216</definedName>
    <definedName name="V_KEYWORD_ISSR_208000149_SALES_OTH_CEE" localSheetId="6">Ticker0001_Validation_Sheet!$156:$156</definedName>
    <definedName name="V_KEYWORD_ISSR_208000149_SALES_OTH_DEV_ASIA" localSheetId="6">Ticker0001_Validation_Sheet!$168:$168</definedName>
    <definedName name="V_KEYWORD_ISSR_208000149_SALES_OTH_EMEA" localSheetId="6">Ticker0001_Validation_Sheet!$222:$222</definedName>
    <definedName name="V_KEYWORD_ISSR_208000149_SALES_OTH_EMERG_ASIA" localSheetId="6">Ticker0001_Validation_Sheet!$173:$173</definedName>
    <definedName name="V_KEYWORD_ISSR_208000149_SALES_OTH_LATAM" localSheetId="6">Ticker0001_Validation_Sheet!$137:$137</definedName>
    <definedName name="V_KEYWORD_ISSR_208000149_SALES_OTH_ME" localSheetId="6">Ticker0001_Validation_Sheet!$159:$159</definedName>
    <definedName name="V_KEYWORD_ISSR_208000149_SALES_OTH_NO_AMER" localSheetId="6">Ticker0001_Validation_Sheet!$130:$130</definedName>
    <definedName name="V_KEYWORD_ISSR_208000149_SALES_OTH_WEST_EURO" localSheetId="6">Ticker0001_Validation_Sheet!$152:$152</definedName>
    <definedName name="V_KEYWORD_ISSR_208000149_SALES_OTHER" localSheetId="6">Ticker0001_Validation_Sheet!$176:$176</definedName>
    <definedName name="V_KEYWORD_ISSR_208000149_SALES_POLAND" localSheetId="6">Ticker0001_Validation_Sheet!$153:$153</definedName>
    <definedName name="V_KEYWORD_ISSR_208000149_SALES_POR" localSheetId="6">Ticker0001_Validation_Sheet!$147:$147</definedName>
    <definedName name="V_KEYWORD_ISSR_208000149_SALES_RUSSIA" localSheetId="6">Ticker0001_Validation_Sheet!$154:$154</definedName>
    <definedName name="V_KEYWORD_ISSR_208000149_SALES_SAUDI_ARABIA" localSheetId="6">Ticker0001_Validation_Sheet!$157:$157</definedName>
    <definedName name="V_KEYWORD_ISSR_208000149_SALES_SINGAPORE" localSheetId="6">Ticker0001_Validation_Sheet!$165:$165</definedName>
    <definedName name="V_KEYWORD_ISSR_208000149_SALES_SK" localSheetId="6">Ticker0001_Validation_Sheet!$166:$166</definedName>
    <definedName name="V_KEYWORD_ISSR_208000149_SALES_SMB" localSheetId="6">Ticker0001_Validation_Sheet!$186:$186</definedName>
    <definedName name="V_KEYWORD_ISSR_208000149_SALES_SO_AFRICA" localSheetId="6">Ticker0001_Validation_Sheet!$161:$161</definedName>
    <definedName name="V_KEYWORD_ISSR_208000149_SALES_SPA" localSheetId="6">Ticker0001_Validation_Sheet!$148:$148</definedName>
    <definedName name="V_KEYWORD_ISSR_208000149_SALES_SWE" localSheetId="6">Ticker0001_Validation_Sheet!$149:$149</definedName>
    <definedName name="V_KEYWORD_ISSR_208000149_SALES_SWIT" localSheetId="6">Ticker0001_Validation_Sheet!$150:$150</definedName>
    <definedName name="V_KEYWORD_ISSR_208000149_SALES_TAIWAN" localSheetId="6">Ticker0001_Validation_Sheet!$167:$167</definedName>
    <definedName name="V_KEYWORD_ISSR_208000149_SALES_THAILAND" localSheetId="6">Ticker0001_Validation_Sheet!$172:$172</definedName>
    <definedName name="V_KEYWORD_ISSR_208000149_SALES_TOT_AFRICA" localSheetId="6">Ticker0001_Validation_Sheet!$221:$221</definedName>
    <definedName name="V_KEYWORD_ISSR_208000149_SALES_TOT_AM" localSheetId="6">Ticker0001_Validation_Sheet!$215:$215</definedName>
    <definedName name="V_KEYWORD_ISSR_208000149_SALES_TOT_ASIA" localSheetId="6">Ticker0001_Validation_Sheet!$223:$223</definedName>
    <definedName name="V_KEYWORD_ISSR_208000149_SALES_TOT_EMEA" localSheetId="6">Ticker0001_Validation_Sheet!$217:$217</definedName>
    <definedName name="V_KEYWORD_ISSR_208000149_SALES_TURKEY" localSheetId="6">Ticker0001_Validation_Sheet!$155:$155</definedName>
    <definedName name="V_KEYWORD_ISSR_208000149_SALES_UAE" localSheetId="6">Ticker0001_Validation_Sheet!$158:$158</definedName>
    <definedName name="V_KEYWORD_ISSR_208000149_SALES_UK" localSheetId="6">Ticker0001_Validation_Sheet!$151:$151</definedName>
    <definedName name="V_KEYWORD_ISSR_208000149_SALES_US" localSheetId="6">Ticker0001_Validation_Sheet!$129:$129</definedName>
    <definedName name="V_KEYWORD_ISSR_208000149_SALES_VENEZUELA" localSheetId="6">Ticker0001_Validation_Sheet!$136:$136</definedName>
    <definedName name="V_KEYWORD_ISSR_208000149_SEL_GL_AD" localSheetId="6">Ticker0001_Validation_Sheet!$13:$13</definedName>
    <definedName name="V_KEYWORD_ISSR_208000149_SGA_PCT_ROW" localSheetId="6">Ticker0001_Validation_Sheet!$180:$180</definedName>
    <definedName name="V_KEYWORD_ISSR_208000149_SGA_PCT_US" localSheetId="6">Ticker0001_Validation_Sheet!$179:$179</definedName>
    <definedName name="V_KEYWORD_ISSR_208000149_SH_REPUR" localSheetId="6">Ticker0001_Validation_Sheet!$103:$103</definedName>
    <definedName name="V_KEYWORD_ISSR_208000149_SHORT_T_DEBT" localSheetId="6">Ticker0001_Validation_Sheet!$57:$57</definedName>
    <definedName name="V_KEYWORD_ISSR_208000149_SHORT_TERM_LIABS" localSheetId="6">Ticker0001_Validation_Sheet!$60:$60</definedName>
    <definedName name="V_KEYWORD_ISSR_208000149_ST_LEASE_LIAB" localSheetId="6">Ticker0001_Validation_Sheet!$58:$58</definedName>
    <definedName name="V_KEYWORD_ISSR_208000149_STOCKS" localSheetId="6">Ticker0001_Validation_Sheet!$43:$43</definedName>
    <definedName name="V_KEYWORD_ISSR_208000149_TOT_ASSET" localSheetId="6">Ticker0001_Validation_Sheet!$55:$55</definedName>
    <definedName name="V_KEYWORD_ISSR_208000149_TOT_CF" localSheetId="6">Ticker0001_Validation_Sheet!$108:$108</definedName>
    <definedName name="V_KEYWORD_ISSR_208000149_TOT_LIAB" localSheetId="6">Ticker0001_Validation_Sheet!$65:$65</definedName>
    <definedName name="V_KEYWORD_ISSR_208000149_TOT_LIAB_EQ" localSheetId="6">Ticker0001_Validation_Sheet!$70:$70</definedName>
    <definedName name="V_KEYWORD_ISSR_208000149_TOT_LT_LIAB" localSheetId="6">Ticker0001_Validation_Sheet!$64:$64</definedName>
    <definedName name="V_KEYWORD_ISSR_208000149_TOT_OPS_EXP" localSheetId="6">Ticker0001_Validation_Sheet!$19:$19</definedName>
    <definedName name="V_KEYWORD_ISSR_208000149_TOT_OPS_EXP_DDA" localSheetId="6">Ticker0001_Validation_Sheet!$18:$18</definedName>
    <definedName name="V_KEYWORD_ISSR_208000149_TOT_PCT_USD_DEBT_HEDGED" localSheetId="6">Ticker0001_Validation_Sheet!$73:$73</definedName>
    <definedName name="V_KEYWORD_ISSR_208000149_TOT_USD_DEBT" localSheetId="6">Ticker0001_Validation_Sheet!$72:$72</definedName>
    <definedName name="V_KEYWORD_ISSR_208000149_UNF_PENS" localSheetId="6">Ticker0001_Validation_Sheet!$83:$83</definedName>
    <definedName name="V_KEYWORD_ISSR_208000149_UNF_PENS_LIAB_OTH" localSheetId="6">Ticker0001_Validation_Sheet!$85:$85</definedName>
    <definedName name="V_KEYWORD_ISSR_208000149_UNF_PENS_OFF" localSheetId="6">Ticker0001_Validation_Sheet!$84:$84</definedName>
    <definedName name="V_KEYWORD_ISSR_208000149_WORK_CAP" localSheetId="6">Ticker0001_Validation_Sheet!$94:$94</definedName>
    <definedName name="V_LIVEDATA_EQTY_200000801" localSheetId="6">Ticker0001_Validation_Sheet!$B$236</definedName>
    <definedName name="V_LIVEDATA_ISSR_208000149" localSheetId="6">Ticker0001_Validation_Sheet!$B$4</definedName>
    <definedName name="V_PERIOD_2000" localSheetId="6">Ticker0001_Validation_Sheet!$F:$F</definedName>
    <definedName name="V_PERIOD_2000_Q1" localSheetId="6">Ticker0001_Validation_Sheet!$AL:$AL</definedName>
    <definedName name="V_PERIOD_2000_Q2" localSheetId="6">Ticker0001_Validation_Sheet!$AM:$AM</definedName>
    <definedName name="V_PERIOD_2000_Q3" localSheetId="6">Ticker0001_Validation_Sheet!$AN:$AN</definedName>
    <definedName name="V_PERIOD_2000_Q4" localSheetId="6">Ticker0001_Validation_Sheet!$AO:$AO</definedName>
    <definedName name="V_PERIOD_2001" localSheetId="6">Ticker0001_Validation_Sheet!$G:$G</definedName>
    <definedName name="V_PERIOD_2001_Q1" localSheetId="6">Ticker0001_Validation_Sheet!$AP:$AP</definedName>
    <definedName name="V_PERIOD_2001_Q2" localSheetId="6">Ticker0001_Validation_Sheet!$AQ:$AQ</definedName>
    <definedName name="V_PERIOD_2001_Q3" localSheetId="6">Ticker0001_Validation_Sheet!$AR:$AR</definedName>
    <definedName name="V_PERIOD_2001_Q4" localSheetId="6">Ticker0001_Validation_Sheet!$AS:$AS</definedName>
    <definedName name="V_PERIOD_2002" localSheetId="6">Ticker0001_Validation_Sheet!$H:$H</definedName>
    <definedName name="V_PERIOD_2002_Q1" localSheetId="6">Ticker0001_Validation_Sheet!$AT:$AT</definedName>
    <definedName name="V_PERIOD_2002_Q2" localSheetId="6">Ticker0001_Validation_Sheet!$AU:$AU</definedName>
    <definedName name="V_PERIOD_2002_Q3" localSheetId="6">Ticker0001_Validation_Sheet!$AV:$AV</definedName>
    <definedName name="V_PERIOD_2002_Q4" localSheetId="6">Ticker0001_Validation_Sheet!$AW:$AW</definedName>
    <definedName name="V_PERIOD_2003" localSheetId="6">Ticker0001_Validation_Sheet!$I:$I</definedName>
    <definedName name="V_PERIOD_2003_Q1" localSheetId="6">Ticker0001_Validation_Sheet!$AX:$AX</definedName>
    <definedName name="V_PERIOD_2003_Q2" localSheetId="6">Ticker0001_Validation_Sheet!$AY:$AY</definedName>
    <definedName name="V_PERIOD_2003_Q3" localSheetId="6">Ticker0001_Validation_Sheet!$AZ:$AZ</definedName>
    <definedName name="V_PERIOD_2003_Q4" localSheetId="6">Ticker0001_Validation_Sheet!$BA:$BA</definedName>
    <definedName name="V_PERIOD_2004" localSheetId="6">Ticker0001_Validation_Sheet!$J:$J</definedName>
    <definedName name="V_PERIOD_2004_Q1" localSheetId="6">Ticker0001_Validation_Sheet!$BB:$BB</definedName>
    <definedName name="V_PERIOD_2004_Q2" localSheetId="6">Ticker0001_Validation_Sheet!$BC:$BC</definedName>
    <definedName name="V_PERIOD_2004_Q3" localSheetId="6">Ticker0001_Validation_Sheet!$BD:$BD</definedName>
    <definedName name="V_PERIOD_2004_Q4" localSheetId="6">Ticker0001_Validation_Sheet!$BE:$BE</definedName>
    <definedName name="V_PERIOD_2005" localSheetId="6">Ticker0001_Validation_Sheet!$K:$K</definedName>
    <definedName name="V_PERIOD_2005_Q1" localSheetId="6">Ticker0001_Validation_Sheet!$BF:$BF</definedName>
    <definedName name="V_PERIOD_2005_Q2" localSheetId="6">Ticker0001_Validation_Sheet!$BG:$BG</definedName>
    <definedName name="V_PERIOD_2005_Q3" localSheetId="6">Ticker0001_Validation_Sheet!$BH:$BH</definedName>
    <definedName name="V_PERIOD_2005_Q4" localSheetId="6">Ticker0001_Validation_Sheet!$BI:$BI</definedName>
    <definedName name="V_PERIOD_2006" localSheetId="6">Ticker0001_Validation_Sheet!$L:$L</definedName>
    <definedName name="V_PERIOD_2006_Q1" localSheetId="6">Ticker0001_Validation_Sheet!$BJ:$BJ</definedName>
    <definedName name="V_PERIOD_2006_Q2" localSheetId="6">Ticker0001_Validation_Sheet!$BK:$BK</definedName>
    <definedName name="V_PERIOD_2006_Q3" localSheetId="6">Ticker0001_Validation_Sheet!$BL:$BL</definedName>
    <definedName name="V_PERIOD_2006_Q4" localSheetId="6">Ticker0001_Validation_Sheet!$BM:$BM</definedName>
    <definedName name="V_PERIOD_2007" localSheetId="6">Ticker0001_Validation_Sheet!$M:$M</definedName>
    <definedName name="V_PERIOD_2007_Q1" localSheetId="6">Ticker0001_Validation_Sheet!$BN:$BN</definedName>
    <definedName name="V_PERIOD_2007_Q2" localSheetId="6">Ticker0001_Validation_Sheet!$BO:$BO</definedName>
    <definedName name="V_PERIOD_2007_Q3" localSheetId="6">Ticker0001_Validation_Sheet!$BP:$BP</definedName>
    <definedName name="V_PERIOD_2007_Q4" localSheetId="6">Ticker0001_Validation_Sheet!$BQ:$BQ</definedName>
    <definedName name="V_PERIOD_2008" localSheetId="6">Ticker0001_Validation_Sheet!$N:$N</definedName>
    <definedName name="V_PERIOD_2008_Q1" localSheetId="6">Ticker0001_Validation_Sheet!$BR:$BR</definedName>
    <definedName name="V_PERIOD_2008_Q2" localSheetId="6">Ticker0001_Validation_Sheet!$BS:$BS</definedName>
    <definedName name="V_PERIOD_2008_Q3" localSheetId="6">Ticker0001_Validation_Sheet!$BT:$BT</definedName>
    <definedName name="V_PERIOD_2008_Q4" localSheetId="6">Ticker0001_Validation_Sheet!$BU:$BU</definedName>
    <definedName name="V_PERIOD_2009" localSheetId="6">Ticker0001_Validation_Sheet!$O:$O</definedName>
    <definedName name="V_PERIOD_2009_Q1" localSheetId="6">Ticker0001_Validation_Sheet!$BV:$BV</definedName>
    <definedName name="V_PERIOD_2009_Q2" localSheetId="6">Ticker0001_Validation_Sheet!$BW:$BW</definedName>
    <definedName name="V_PERIOD_2009_Q3" localSheetId="6">Ticker0001_Validation_Sheet!$BX:$BX</definedName>
    <definedName name="V_PERIOD_2009_Q4" localSheetId="6">Ticker0001_Validation_Sheet!$BY:$BY</definedName>
    <definedName name="V_PERIOD_2010" localSheetId="6">Ticker0001_Validation_Sheet!$P:$P</definedName>
    <definedName name="V_PERIOD_2010_Q1" localSheetId="6">Ticker0001_Validation_Sheet!$BZ:$BZ</definedName>
    <definedName name="V_PERIOD_2010_Q2" localSheetId="6">Ticker0001_Validation_Sheet!$CA:$CA</definedName>
    <definedName name="V_PERIOD_2010_Q3" localSheetId="6">Ticker0001_Validation_Sheet!$CB:$CB</definedName>
    <definedName name="V_PERIOD_2010_Q4" localSheetId="6">Ticker0001_Validation_Sheet!$CC:$CC</definedName>
    <definedName name="V_PERIOD_2011" localSheetId="6">Ticker0001_Validation_Sheet!$Q:$Q</definedName>
    <definedName name="V_PERIOD_2011_Q1" localSheetId="6">Ticker0001_Validation_Sheet!$CD:$CD</definedName>
    <definedName name="V_PERIOD_2011_Q2" localSheetId="6">Ticker0001_Validation_Sheet!$CE:$CE</definedName>
    <definedName name="V_PERIOD_2011_Q3" localSheetId="6">Ticker0001_Validation_Sheet!$CF:$CF</definedName>
    <definedName name="V_PERIOD_2011_Q4" localSheetId="6">Ticker0001_Validation_Sheet!$CG:$CG</definedName>
    <definedName name="V_PERIOD_2012" localSheetId="6">Ticker0001_Validation_Sheet!$R:$R</definedName>
    <definedName name="V_PERIOD_2012_Q1" localSheetId="6">Ticker0001_Validation_Sheet!$CH:$CH</definedName>
    <definedName name="V_PERIOD_2012_Q2" localSheetId="6">Ticker0001_Validation_Sheet!$CI:$CI</definedName>
    <definedName name="V_PERIOD_2012_Q3" localSheetId="6">Ticker0001_Validation_Sheet!$CJ:$CJ</definedName>
    <definedName name="V_PERIOD_2012_Q4" localSheetId="6">Ticker0001_Validation_Sheet!$CK:$CK</definedName>
    <definedName name="V_PERIOD_2013" localSheetId="6">Ticker0001_Validation_Sheet!$S:$S</definedName>
    <definedName name="V_PERIOD_2013_Q1" localSheetId="6">Ticker0001_Validation_Sheet!$CL:$CL</definedName>
    <definedName name="V_PERIOD_2013_Q2" localSheetId="6">Ticker0001_Validation_Sheet!$CM:$CM</definedName>
    <definedName name="V_PERIOD_2013_Q3" localSheetId="6">Ticker0001_Validation_Sheet!$CN:$CN</definedName>
    <definedName name="V_PERIOD_2013_Q4" localSheetId="6">Ticker0001_Validation_Sheet!$CO:$CO</definedName>
    <definedName name="V_PERIOD_2014" localSheetId="6">Ticker0001_Validation_Sheet!$T:$T</definedName>
    <definedName name="V_PERIOD_2014_Q1" localSheetId="6">Ticker0001_Validation_Sheet!$CP:$CP</definedName>
    <definedName name="V_PERIOD_2014_Q2" localSheetId="6">Ticker0001_Validation_Sheet!$CQ:$CQ</definedName>
    <definedName name="V_PERIOD_2014_Q3" localSheetId="6">Ticker0001_Validation_Sheet!$CR:$CR</definedName>
    <definedName name="V_PERIOD_2014_Q4" localSheetId="6">Ticker0001_Validation_Sheet!$CS:$CS</definedName>
    <definedName name="V_PERIOD_2015" localSheetId="6">Ticker0001_Validation_Sheet!$U:$U</definedName>
    <definedName name="V_PERIOD_2015_Q1" localSheetId="6">Ticker0001_Validation_Sheet!$CT:$CT</definedName>
    <definedName name="V_PERIOD_2015_Q2" localSheetId="6">Ticker0001_Validation_Sheet!$CU:$CU</definedName>
    <definedName name="V_PERIOD_2015_Q3" localSheetId="6">Ticker0001_Validation_Sheet!$CV:$CV</definedName>
    <definedName name="V_PERIOD_2015_Q4" localSheetId="6">Ticker0001_Validation_Sheet!$CW:$CW</definedName>
    <definedName name="V_PERIOD_2016" localSheetId="6">Ticker0001_Validation_Sheet!$V:$V</definedName>
    <definedName name="V_PERIOD_2016_Q1" localSheetId="6">Ticker0001_Validation_Sheet!$CX:$CX</definedName>
    <definedName name="V_PERIOD_2016_Q2" localSheetId="6">Ticker0001_Validation_Sheet!$CY:$CY</definedName>
    <definedName name="V_PERIOD_2016_Q3" localSheetId="6">Ticker0001_Validation_Sheet!$CZ:$CZ</definedName>
    <definedName name="V_PERIOD_2016_Q4" localSheetId="6">Ticker0001_Validation_Sheet!$DA:$DA</definedName>
    <definedName name="V_PERIOD_2017" localSheetId="6">Ticker0001_Validation_Sheet!$W:$W</definedName>
    <definedName name="V_PERIOD_2017_Q1" localSheetId="6">Ticker0001_Validation_Sheet!$DB:$DB</definedName>
    <definedName name="V_PERIOD_2017_Q2" localSheetId="6">Ticker0001_Validation_Sheet!$DC:$DC</definedName>
    <definedName name="V_PERIOD_2017_Q3" localSheetId="6">Ticker0001_Validation_Sheet!$DD:$DD</definedName>
    <definedName name="V_PERIOD_2017_Q4" localSheetId="6">Ticker0001_Validation_Sheet!$DE:$DE</definedName>
    <definedName name="V_PERIOD_2018" localSheetId="6">Ticker0001_Validation_Sheet!$X:$X</definedName>
    <definedName name="V_PERIOD_2018_Q1" localSheetId="6">Ticker0001_Validation_Sheet!$DF:$DF</definedName>
    <definedName name="V_PERIOD_2018_Q2" localSheetId="6">Ticker0001_Validation_Sheet!$DG:$DG</definedName>
    <definedName name="V_PERIOD_2018_Q3" localSheetId="6">Ticker0001_Validation_Sheet!$DH:$DH</definedName>
    <definedName name="V_PERIOD_2018_Q4" localSheetId="6">Ticker0001_Validation_Sheet!$DI:$DI</definedName>
    <definedName name="V_PERIOD_2019" localSheetId="6">Ticker0001_Validation_Sheet!$Y:$Y</definedName>
    <definedName name="V_PERIOD_2019_Q1" localSheetId="6">Ticker0001_Validation_Sheet!$DJ:$DJ</definedName>
    <definedName name="V_PERIOD_2019_Q2" localSheetId="6">Ticker0001_Validation_Sheet!$DK:$DK</definedName>
    <definedName name="V_PERIOD_2019_Q3" localSheetId="6">Ticker0001_Validation_Sheet!$DL:$DL</definedName>
    <definedName name="V_PERIOD_2019_Q4" localSheetId="6">Ticker0001_Validation_Sheet!$DM:$DM</definedName>
    <definedName name="V_PERIOD_2020" localSheetId="6">Ticker0001_Validation_Sheet!$Z:$Z</definedName>
    <definedName name="V_PERIOD_2020_Q1" localSheetId="6">Ticker0001_Validation_Sheet!$DN:$DN</definedName>
    <definedName name="V_PERIOD_2020_Q2" localSheetId="6">Ticker0001_Validation_Sheet!$DO:$DO</definedName>
    <definedName name="V_PERIOD_2020_Q3" localSheetId="6">Ticker0001_Validation_Sheet!$DP:$DP</definedName>
    <definedName name="V_PERIOD_2020_Q4" localSheetId="6">Ticker0001_Validation_Sheet!$DQ:$DQ</definedName>
    <definedName name="V_PERIOD_2021" localSheetId="6">Ticker0001_Validation_Sheet!$AA:$AA</definedName>
    <definedName name="V_PERIOD_2021_Q1" localSheetId="6">Ticker0001_Validation_Sheet!$DR:$DR</definedName>
    <definedName name="V_PERIOD_2021_Q2" localSheetId="6">Ticker0001_Validation_Sheet!$DS:$DS</definedName>
    <definedName name="V_PERIOD_2021_Q3" localSheetId="6">Ticker0001_Validation_Sheet!$DT:$DT</definedName>
    <definedName name="V_PERIOD_2021_Q4" localSheetId="6">Ticker0001_Validation_Sheet!$DU:$DU</definedName>
    <definedName name="V_PERIOD_2022" localSheetId="6">Ticker0001_Validation_Sheet!$AB:$AB</definedName>
    <definedName name="V_PERIOD_2022_Q1" localSheetId="6">Ticker0001_Validation_Sheet!$DV:$DV</definedName>
    <definedName name="V_PERIOD_2022_Q2" localSheetId="6">Ticker0001_Validation_Sheet!$DW:$DW</definedName>
    <definedName name="V_PERIOD_2022_Q3" localSheetId="6">Ticker0001_Validation_Sheet!$DX:$DX</definedName>
    <definedName name="V_PERIOD_2022_Q4" localSheetId="6">Ticker0001_Validation_Sheet!$DY:$DY</definedName>
    <definedName name="V_PERIOD_2023" localSheetId="6">Ticker0001_Validation_Sheet!$AC:$AC</definedName>
    <definedName name="V_PERIOD_2023_Q1" localSheetId="6">Ticker0001_Validation_Sheet!$DZ:$DZ</definedName>
    <definedName name="V_PERIOD_2023_Q2" localSheetId="6">Ticker0001_Validation_Sheet!$EA:$EA</definedName>
    <definedName name="V_PERIOD_2023_Q3" localSheetId="6">Ticker0001_Validation_Sheet!$EB:$EB</definedName>
    <definedName name="V_PERIOD_2023_Q4" localSheetId="6">Ticker0001_Validation_Sheet!$EC:$EC</definedName>
    <definedName name="V_PERIOD_2024" localSheetId="6">Ticker0001_Validation_Sheet!$AD:$AD</definedName>
    <definedName name="V_PERIOD_2024_Q1" localSheetId="6">Ticker0001_Validation_Sheet!$ED:$ED</definedName>
    <definedName name="V_PERIOD_2024_Q2" localSheetId="6">Ticker0001_Validation_Sheet!$EE:$EE</definedName>
    <definedName name="V_PERIOD_2024_Q3" localSheetId="6">Ticker0001_Validation_Sheet!$EF:$EF</definedName>
    <definedName name="V_PERIOD_2024_Q4" localSheetId="6">Ticker0001_Validation_Sheet!$EG:$EG</definedName>
    <definedName name="V_PERIOD_2025" localSheetId="6">Ticker0001_Validation_Sheet!$AE:$AE</definedName>
    <definedName name="V_PERIOD_2025_Q1" localSheetId="6">Ticker0001_Validation_Sheet!$EH:$EH</definedName>
    <definedName name="V_PERIOD_2025_Q2" localSheetId="6">Ticker0001_Validation_Sheet!$EI:$EI</definedName>
    <definedName name="V_PERIOD_2025_Q3" localSheetId="6">Ticker0001_Validation_Sheet!$EJ:$EJ</definedName>
    <definedName name="V_PERIOD_2025_Q4" localSheetId="6">Ticker0001_Validation_Sheet!$EK:$EK</definedName>
    <definedName name="V_PERIOD_2026" localSheetId="6">Ticker0001_Validation_Sheet!$AF:$AF</definedName>
    <definedName name="V_PERIOD_2026_Q1" localSheetId="6">Ticker0001_Validation_Sheet!$EL:$EL</definedName>
    <definedName name="V_PERIOD_2026_Q2" localSheetId="6">Ticker0001_Validation_Sheet!$EM:$EM</definedName>
    <definedName name="V_PERIOD_2026_Q3" localSheetId="6">Ticker0001_Validation_Sheet!$EN:$EN</definedName>
    <definedName name="V_PERIOD_2026_Q4" localSheetId="6">Ticker0001_Validation_Sheet!$EO:$EO</definedName>
    <definedName name="V_PERIOD_2027" localSheetId="6">Ticker0001_Validation_Sheet!$AG:$AG</definedName>
    <definedName name="V_PERIOD_2027_Q1" localSheetId="6">Ticker0001_Validation_Sheet!$EP:$EP</definedName>
    <definedName name="V_PERIOD_2027_Q2" localSheetId="6">Ticker0001_Validation_Sheet!$EQ:$EQ</definedName>
    <definedName name="V_PERIOD_2027_Q3" localSheetId="6">Ticker0001_Validation_Sheet!$ER:$ER</definedName>
    <definedName name="V_PERIOD_2027_Q4" localSheetId="6">Ticker0001_Validation_Sheet!$ES:$ES</definedName>
    <definedName name="V_PERIOD_2028" localSheetId="6">Ticker0001_Validation_Sheet!$AH:$AH</definedName>
    <definedName name="V_PERIOD_2028_Q1" localSheetId="6">Ticker0001_Validation_Sheet!$ET:$ET</definedName>
    <definedName name="V_PERIOD_2028_Q2" localSheetId="6">Ticker0001_Validation_Sheet!$EU:$EU</definedName>
    <definedName name="V_PERIOD_2028_Q3" localSheetId="6">Ticker0001_Validation_Sheet!$EV:$EV</definedName>
    <definedName name="V_PERIOD_2028_Q4" localSheetId="6">Ticker0001_Validation_Sheet!$EW:$EW</definedName>
    <definedName name="V_PERIOD_2029" localSheetId="6">Ticker0001_Validation_Sheet!$AI:$AI</definedName>
    <definedName name="V_PERIOD_2029_Q1" localSheetId="6">Ticker0001_Validation_Sheet!$EX:$EX</definedName>
    <definedName name="V_PERIOD_2029_Q2" localSheetId="6">Ticker0001_Validation_Sheet!$EY:$EY</definedName>
    <definedName name="V_PERIOD_2029_Q3" localSheetId="6">Ticker0001_Validation_Sheet!$EZ:$EZ</definedName>
    <definedName name="V_PERIOD_2029_Q4" localSheetId="6">Ticker0001_Validation_Sheet!$FA:$FA</definedName>
    <definedName name="V_PERIOD_2030" localSheetId="6">Ticker0001_Validation_Sheet!$AJ:$AJ</definedName>
    <definedName name="V_PERIOD_2030_Q1" localSheetId="6">Ticker0001_Validation_Sheet!$FB:$FB</definedName>
    <definedName name="V_PERIOD_2030_Q2" localSheetId="6">Ticker0001_Validation_Sheet!$FC:$FC</definedName>
    <definedName name="V_PERIOD_2030_Q3" localSheetId="6">Ticker0001_Validation_Sheet!$FD:$FD</definedName>
    <definedName name="V_PERIOD_2030_Q4" localSheetId="6">Ticker0001_Validation_Sheet!$FE:$FE</definedName>
    <definedName name="V_SECTION_EQTY_200000801_1314" localSheetId="6">Ticker0001_Validation_Sheet!$297:$297</definedName>
    <definedName name="V_SECTION_EQTY_200000801_1319" localSheetId="6">Ticker0001_Validation_Sheet!$299:$299</definedName>
    <definedName name="V_SECTION_EQTY_200000801_131E" localSheetId="6">Ticker0001_Validation_Sheet!$304:$304</definedName>
    <definedName name="V_SECTION_EQTY_200000801_131O" localSheetId="6">Ticker0001_Validation_Sheet!$306:$306</definedName>
    <definedName name="V_SECTION_EQTY_200000801_13A" localSheetId="6">Ticker0001_Validation_Sheet!$244:$244</definedName>
    <definedName name="V_SECTION_EQTY_200000801_13K" localSheetId="6">Ticker0001_Validation_Sheet!$255:$255</definedName>
    <definedName name="V_SECTION_EQTY_200000801_13U" localSheetId="6">Ticker0001_Validation_Sheet!$272:$272</definedName>
    <definedName name="V_SECTION_EQTY_200000801_13V" localSheetId="6">Ticker0001_Validation_Sheet!$289:$289</definedName>
    <definedName name="V_SECTION_EQTY_200000801_13W" localSheetId="6">Ticker0001_Validation_Sheet!$291:$291</definedName>
    <definedName name="V_SECTION_EQTY_200000801_Reference_Data" localSheetId="6">Ticker0001_Validation_Sheet!$237:$237</definedName>
    <definedName name="V_SECTION_ISSR_208000149_1314" localSheetId="6">Ticker0001_Validation_Sheet!$40:$40</definedName>
    <definedName name="V_SECTION_ISSR_208000149_13168" localSheetId="6">Ticker0001_Validation_Sheet!$127:$127</definedName>
    <definedName name="V_SECTION_ISSR_208000149_1316T" localSheetId="6">Ticker0001_Validation_Sheet!$190:$190</definedName>
    <definedName name="V_SECTION_ISSR_208000149_1316U" localSheetId="6">Ticker0001_Validation_Sheet!$198:$198</definedName>
    <definedName name="V_SECTION_ISSR_208000149_1319" localSheetId="6">Ticker0001_Validation_Sheet!$71:$71</definedName>
    <definedName name="V_SECTION_ISSR_208000149_131E" localSheetId="6">Ticker0001_Validation_Sheet!$91:$91</definedName>
    <definedName name="V_SECTION_ISSR_208000149_131J" localSheetId="6">Ticker0001_Validation_Sheet!$109:$109</definedName>
    <definedName name="V_SECTION_ISSR_208000149_131O" localSheetId="6">Ticker0001_Validation_Sheet!$123:$123</definedName>
    <definedName name="V_SECTION_ISSR_208000149_136E" localSheetId="6">Ticker0001_Validation_Sheet!$214:$214</definedName>
    <definedName name="V_SECTION_ISSR_208000149_136J" localSheetId="6">Ticker0001_Validation_Sheet!$225:$225</definedName>
    <definedName name="V_SECTION_ISSR_208000149_13A" localSheetId="6">Ticker0001_Validation_Sheet!$8:$8</definedName>
    <definedName name="V_SECTION_ISSR_208000149_13U" localSheetId="6">Ticker0001_Validation_Sheet!$10:$10</definedName>
    <definedName name="V_SECTION_ISSR_208000149_13V" localSheetId="6">Ticker0001_Validation_Sheet!$31:$31</definedName>
    <definedName name="V_SECTION_ISSR_208000149_Reference_Data" localSheetId="6">Ticker0001_Validation_Sheet!$5:$5</definedName>
    <definedName name="V_TEMPLATEHASH" localSheetId="6">Ticker0001_Validation_Sheet!$C$1</definedName>
    <definedName name="wrn.both._.pages." hidden="1">{"page 1",#N/A,FALSE,"Comps";"page 2",#N/A,FALSE,"Comps"}</definedName>
    <definedName name="wrn.cases." hidden="1">{"summary",#N/A,TRUE,"pro forma";"avp",#N/A,TRUE,"AVP";"Pro Forma Financials","Low Debt",TRUE,"pro forma";"Credit Analysis","Low Debt",TRUE,"pro forma";"Pro Forma Financials","Base Case",TRUE,"pro forma";"Credit Analysis","Base Case",TRUE,"pro forma";"Pro Forma Financials","High Debt",TRUE,"pro forma";"Credit Analysis","High Debt",TRUE,"pro forma"}</definedName>
    <definedName name="wrn.client." hidden="1">{"multiple",#N/A,FALSE,"client";"margins",#N/A,FALSE,"client";"data",#N/A,FALSE,"client"}</definedName>
    <definedName name="wrn.Client3." hidden="1">{"data",#N/A,FALSE,"client (3)";"margins",#N/A,FALSE,"client (3)";"multiple",#N/A,FALSE,"client (3)"}</definedName>
    <definedName name="wrn.client4." hidden="1">{"multiple",#N/A,FALSE,"client (4)";"margins",#N/A,FALSE,"client (4)";"data",#N/A,FALSE,"client (4)"}</definedName>
    <definedName name="wrn.Compensation." hidden="1">{"Comp sum",#N/A,FALSE,"Compensation";"Comp by emp",#N/A,FALSE,"Compensation";"Salary summary",#N/A,FALSE,"Compensation";"Payroll taxes",#N/A,FALSE,"Compensation";"HC by Month",#N/A,FALSE,"Compensation";"Misc",#N/A,FALSE,"Compensation"}</definedName>
    <definedName name="wrn.CONSOLIDATION." hidden="1">{"PAGE1",#N/A,FALSE,"Consolidation";"PAGE2",#N/A,FALSE,"Consolidation";"PAGE3",#N/A,FALSE,"Consolidation";"PAGE4",#N/A,FALSE,"Consolidation";"PAGE5",#N/A,FALSE,"Consolidation";"PAGE6",#N/A,FALSE,"Consolidation";"PAGE7",#N/A,FALSE,"Consolidation"}</definedName>
    <definedName name="wrn.CSC." hidden="1">{"Output",#N/A,FALSE,"Output"}</definedName>
    <definedName name="wrn.dcf." hidden="1">{"mgmt forecast",#N/A,FALSE,"Mgmt Forecast";"dcf table",#N/A,FALSE,"Mgmt Forecast";"sensitivity",#N/A,FALSE,"Mgmt Forecast";"table inputs",#N/A,FALSE,"Mgmt Forecast";"calculations",#N/A,FALSE,"Mgmt Forecast"}</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xternal." hidden="1">{"External_Annual_Income",#N/A,FALSE,"External";"External_Quarterly_Income",#N/A,FALSE,"External"}</definedName>
    <definedName name="wrn.external.2" hidden="1">{"External_Annual_Income",#N/A,FALSE,"External";"External_Quarterly_Income",#N/A,FALSE,"External"}</definedName>
    <definedName name="wrn.Fax." hidden="1">{"fax (BS)",#N/A,FALSE,"BS";"fax (CF)",#N/A,FALSE,"CF";"fax (seg)",#N/A,FALSE,"Seg";"fax (telecomm)",#N/A,FALSE,"telecomm";"fax (infodisplay)",#N/A,FALSE,"infodisplay";"fax (am)",#N/A,FALSE,"AM";"fax (is)",#N/A,FALSE,"IS"}</definedName>
    <definedName name="wrn.Full._.report." hidden="1">{"multiple",#N/A,FALSE,"client (2)";"margins",#N/A,FALSE,"client (2)";"data",#N/A,FALSE,"client (2)";"multiple",#N/A,FALSE,"client";"margins",#N/A,FALSE,"client";"data",#N/A,FALSE,"client"}</definedName>
    <definedName name="wrn.Income._.Statement." hidden="1">{#N/A,#N/A,FALSE,"Report Print"}</definedName>
    <definedName name="wrn.IPIX." hidden="1">{#N/A,#N/A,FALSE,"Report Print"}</definedName>
    <definedName name="wrn.Level._.4." hidden="1">{"Income (All hidden)",#N/A,FALSE,"Income";"EPS (All Hidden)",#N/A,FALSE,"EPS";"Cash Flow (All Hidden)",#N/A,FALSE,"CashFlow";"Quarterly (Last, Current and Next)",#N/A,FALSE,"Quarterly";"Inventory",#N/A,FALSE,"Inventory";"Other Section",#N/A,FALSE,"Detail Qtrly";"Dividend (All Hidden)",#N/A,FALSE,"Dividend";"ROE (All Hidden)",#N/A,FALSE,"Return On Equity";"FinRatio",#N/A,FALSE,"Financials &amp; Ratios"}</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ster_Income." hidden="1">{"Annual_Income",#N/A,FALSE,"Master Model";"Quarterly_Income",#N/A,FALSE,"Master Model"}</definedName>
    <definedName name="wrn.Model._.Level._.3." hidden="1">{"Income (All hidden)",#N/A,FALSE,"Income";"EPS (All Hidden)",#N/A,FALSE,"EPS";"EPS (All Hidden)",#N/A,FALSE,"CashFlow";"Quarterly (Last, Current and Next)",#N/A,FALSE,"Quarterly"}</definedName>
    <definedName name="wrn.one._.case." hidden="1">{"pro forma financials",#N/A,FALSE,"pf parent";"pro forma credit",#N/A,FALSE,"pf parent";"pro forma financials",#N/A,FALSE,"pro forma";"pro forma credit",#N/A,FALSE,"pro forma";"avp",#N/A,FALSE,"AVP"}</definedName>
    <definedName name="wrn.print._.graphs." hidden="1">{"cap_structure",#N/A,FALSE,"Graph-Mkt Cap";"price",#N/A,FALSE,"Graph-Price";"ebit",#N/A,FALSE,"Graph-EBITDA";"ebitda",#N/A,FALSE,"Graph-EBITDA"}</definedName>
    <definedName name="wrn.print._.parent._.cases." hidden="1">{"scenario summary",#N/A,FALSE,"pf parent";"pro forma financials","low price low cash",FALSE,"pf parent";"pro forma credit","low price low cash",FALSE,"pf parent";"pro forma financials","low price med cash",FALSE,"pf parent";"pro forma credit","low price med cash",FALSE,"pf parent";"pro forma financials","low price high cash",FALSE,"pf parent";"pro forma credit","low price high cash",FALSE,"pf parent";"pro forma financials","high price low cash",FALSE,"pf parent";"pro forma credit","high price low cash",FALSE,"pf parent";"pro forma financials","high price med cash",FALSE,"pf parent";"pro forma credit","high price med cash",FALSE,"pf parent";"pro forma financials","high price high cash",FALSE,"pf parent";"pro forma credit","high price high cash",FALSE,"pf parent"}</definedName>
    <definedName name="wrn.print._.raw._.data._.entry." hidden="1">{"inputs raw data",#N/A,TRUE,"INPUT"}</definedName>
    <definedName name="wrn.print._.summary._.sheets." hidden="1">{"summary1",#N/A,TRUE,"Comps";"summary2",#N/A,TRUE,"Comps";"summary3",#N/A,TRUE,"Comps"}</definedName>
    <definedName name="wrn.print._.ulster._.cases." hidden="1">{"scenario summary",#N/A,FALSE,"pro forma";"pro forma financials","low price low cash",FALSE,"pro forma";"pro forma credit","low price low cash",FALSE,"pro forma";"pro forma financials","low price med cash",FALSE,"pro forma";"pro forma credit","low price med cash",FALSE,"pro forma";"pro forma financials","low price high cash",FALSE,"pro forma";"pro forma credit","low price high cash",FALSE,"pro forma";"pro forma financials","high price low cash",FALSE,"pro forma";"pro forma credit","high price low cash",FALSE,"pro forma";"pro forma financials","high price med cash",FALSE,"pro forma";"pro forma credit","high price med cash",FALSE,"pro forma";"pro forma financials","high price high cash",FALSE,"pro forma";"pro forma credit","high price high cash",FALSE,"pro forma"}</definedName>
    <definedName name="wrn.rep_page." hidden="1">{"Annual_Income",#N/A,FALSE,"Report Page";"Balance_Cash_Flow",#N/A,FALSE,"Report Page";"Quarterly_Income",#N/A,FALSE,"Report Page"}</definedName>
    <definedName name="wrn.Report_Page." hidden="1">{"Annual_Income",#N/A,FALSE,"Report Page";"Balance_Cash_Flow",#N/A,FALSE,"Report Page";"Quarterly_Income",#N/A,FALSE,"Report Page"}</definedName>
    <definedName name="wrn.Seven._.Page." hidden="1">{"Income",#N/A,FALSE,"income";"Sales",#N/A,FALSE,"income";"Critical",#N/A,FALSE,"income";"Market",#N/A,FALSE,"Market";"Returns",#N/A,FALSE,"returns";"Balance",#N/A,FALSE,"balance";"Cash Flow",#N/A,FALSE,"balance"}</definedName>
    <definedName name="wrn.single._.case." hidden="1">{"Pro Forma Financials",#N/A,FALSE,"pro forma";"Credit Analysis",#N/A,FALSE,"pro forma";"avp",#N/A,FALSE,"avp jon"}</definedName>
    <definedName name="wrn.Six._.Page." hidden="1">{"Income",#N/A,FALSE,"Earnings";"Critical Measures",#N/A,FALSE,"Earnings";"Balance",#N/A,FALSE,"Balance";"Cash Flow",#N/A,FALSE,"Balance";"Market",#N/A,FALSE,"Market";"Returns",#N/A,FALSE,"Returns"}</definedName>
    <definedName name="wrn.Summary." hidden="1">{"Print Summary",#N/A,FALSE,"Bal_Graphs";"Print Summary",#N/A,FALSE,"DCF";"Print Summary",#N/A,FALSE,"Graphs";"Print Summary",#N/A,FALSE,"Summary"}</definedName>
    <definedName name="wrn1.Fax." hidden="1">{"fax (BS)",#N/A,FALSE,"BS";"fax (CF)",#N/A,FALSE,"CF";"fax (seg)",#N/A,FALSE,"Seg";"fax (telecomm)",#N/A,FALSE,"telecomm";"fax (infodisplay)",#N/A,FALSE,"infodisplay";"fax (am)",#N/A,FALSE,"AM";"fax (is)",#N/A,FALSE,"IS"}</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x" hidden="1">#N/A</definedName>
    <definedName name="Z_870DA93B_C7EC_11D1_935A_00A0C95F1362_.wvu.PrintArea" localSheetId="12" hidden="1">#REF!</definedName>
    <definedName name="Z_870DA93B_C7EC_11D1_935A_00A0C95F1362_.wvu.PrintArea" hidden="1">#REF!</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P92" i="112" l="1"/>
  <c r="DP104" i="112" s="1"/>
  <c r="DQ84" i="112"/>
  <c r="R131" i="115"/>
  <c r="DP166" i="112"/>
  <c r="DP91" i="112"/>
  <c r="DP68" i="112"/>
  <c r="DP67" i="112"/>
  <c r="DP62" i="112"/>
  <c r="DP61" i="112"/>
  <c r="DP60" i="112"/>
  <c r="DP59" i="112"/>
  <c r="DP58" i="112"/>
  <c r="DP57" i="112"/>
  <c r="DP56" i="112"/>
  <c r="DP55" i="112"/>
  <c r="DP54" i="112"/>
  <c r="DP53" i="112"/>
  <c r="DP52" i="112"/>
  <c r="DP51" i="112"/>
  <c r="DP47" i="112"/>
  <c r="DP46" i="112"/>
  <c r="DP45" i="112"/>
  <c r="DP44" i="112"/>
  <c r="DP45" i="113"/>
  <c r="DP44" i="113"/>
  <c r="DP21" i="113"/>
  <c r="DP134" i="1"/>
  <c r="DP133" i="1"/>
  <c r="DP121" i="1"/>
  <c r="DP120" i="1"/>
  <c r="DP118" i="1"/>
  <c r="DP117" i="1"/>
  <c r="CV48" i="6"/>
  <c r="CV47" i="6"/>
  <c r="CV46" i="6"/>
  <c r="CV45" i="6"/>
  <c r="CV44" i="6"/>
  <c r="DP208" i="92"/>
  <c r="DP102" i="92"/>
  <c r="DP100" i="92"/>
  <c r="DP82" i="2"/>
  <c r="DP65" i="2"/>
  <c r="DP64" i="2"/>
  <c r="DP63" i="2"/>
  <c r="DP62" i="2"/>
  <c r="DP57" i="2"/>
  <c r="DP56" i="2"/>
  <c r="DP58" i="2" s="1"/>
  <c r="DP59" i="2" s="1"/>
  <c r="DP49" i="2"/>
  <c r="DP35" i="2"/>
  <c r="DP18" i="2"/>
  <c r="DP17" i="112"/>
  <c r="DP14" i="112"/>
  <c r="DP13" i="112"/>
  <c r="DP12" i="112"/>
  <c r="DP152" i="112" s="1"/>
  <c r="DP11" i="112"/>
  <c r="DP151" i="112" s="1"/>
  <c r="DP58" i="51"/>
  <c r="CV16" i="6"/>
  <c r="DP53" i="51"/>
  <c r="DP50" i="51"/>
  <c r="DP15" i="51"/>
  <c r="DP17" i="51" s="1"/>
  <c r="DP21" i="1"/>
  <c r="DP19" i="1"/>
  <c r="DP116" i="2" s="1"/>
  <c r="DP14" i="1"/>
  <c r="DP11" i="1"/>
  <c r="DP20" i="1" l="1"/>
  <c r="DP57" i="51"/>
  <c r="DP19" i="112"/>
  <c r="DP48" i="112"/>
  <c r="DP69" i="112"/>
  <c r="DP150" i="112" s="1"/>
  <c r="DP68" i="2"/>
  <c r="DP61" i="2"/>
  <c r="DP114" i="2"/>
  <c r="DP115" i="2" s="1"/>
  <c r="DP52" i="51"/>
  <c r="DP54" i="51" s="1"/>
  <c r="DP15" i="1"/>
  <c r="DP23" i="1"/>
  <c r="D249" i="120"/>
  <c r="D251" i="120"/>
  <c r="D252" i="120"/>
  <c r="D256" i="120"/>
  <c r="D257" i="120"/>
  <c r="D258" i="120"/>
  <c r="D259" i="120"/>
  <c r="D260" i="120"/>
  <c r="D262" i="120"/>
  <c r="D263" i="120"/>
  <c r="D264" i="120"/>
  <c r="D265" i="120"/>
  <c r="D266" i="120"/>
  <c r="D267" i="120"/>
  <c r="D268" i="120"/>
  <c r="D269" i="120"/>
  <c r="D270" i="120"/>
  <c r="D271" i="120"/>
  <c r="D273" i="120"/>
  <c r="D274" i="120"/>
  <c r="D275" i="120"/>
  <c r="D276" i="120"/>
  <c r="D277" i="120"/>
  <c r="D278" i="120"/>
  <c r="D279" i="120"/>
  <c r="D280" i="120"/>
  <c r="D281" i="120"/>
  <c r="D282" i="120"/>
  <c r="D283" i="120"/>
  <c r="D284" i="120"/>
  <c r="D285" i="120"/>
  <c r="D292" i="120"/>
  <c r="D293" i="120"/>
  <c r="D294" i="120"/>
  <c r="D295" i="120"/>
  <c r="D298" i="120"/>
  <c r="D300" i="120"/>
  <c r="D301" i="120"/>
  <c r="D302" i="120"/>
  <c r="D303" i="120"/>
  <c r="D305" i="120"/>
  <c r="D11" i="120"/>
  <c r="D12" i="120"/>
  <c r="D13" i="120"/>
  <c r="D14" i="120"/>
  <c r="D15" i="120"/>
  <c r="D16" i="120"/>
  <c r="D17" i="120"/>
  <c r="D18" i="120"/>
  <c r="D19" i="120"/>
  <c r="D20" i="120"/>
  <c r="D21" i="120"/>
  <c r="D22" i="120"/>
  <c r="D23" i="120"/>
  <c r="D24" i="120"/>
  <c r="D25" i="120"/>
  <c r="D26" i="120"/>
  <c r="D27" i="120"/>
  <c r="D28" i="120"/>
  <c r="D29" i="120"/>
  <c r="D30" i="120"/>
  <c r="D32" i="120"/>
  <c r="D33" i="120"/>
  <c r="D34" i="120"/>
  <c r="D35" i="120"/>
  <c r="D36" i="120"/>
  <c r="D37" i="120"/>
  <c r="D38" i="120"/>
  <c r="D41" i="120"/>
  <c r="D42" i="120"/>
  <c r="D43" i="120"/>
  <c r="D44" i="120"/>
  <c r="D45" i="120"/>
  <c r="D46" i="120"/>
  <c r="D47" i="120"/>
  <c r="D48" i="120"/>
  <c r="D49" i="120"/>
  <c r="D50" i="120"/>
  <c r="D51" i="120"/>
  <c r="D52" i="120"/>
  <c r="D53" i="120"/>
  <c r="D54" i="120"/>
  <c r="D55" i="120"/>
  <c r="D56" i="120"/>
  <c r="D57" i="120"/>
  <c r="D58" i="120"/>
  <c r="D59" i="120"/>
  <c r="D60" i="120"/>
  <c r="D61" i="120"/>
  <c r="D62" i="120"/>
  <c r="D63" i="120"/>
  <c r="D64" i="120"/>
  <c r="D65" i="120"/>
  <c r="D66" i="120"/>
  <c r="D67" i="120"/>
  <c r="D68" i="120"/>
  <c r="D69" i="120"/>
  <c r="D70" i="120"/>
  <c r="D76" i="120"/>
  <c r="D77" i="120"/>
  <c r="D78" i="120"/>
  <c r="D79" i="120"/>
  <c r="D80" i="120"/>
  <c r="D81" i="120"/>
  <c r="D83" i="120"/>
  <c r="D84" i="120"/>
  <c r="D85" i="120"/>
  <c r="D86" i="120"/>
  <c r="D87" i="120"/>
  <c r="D89" i="120"/>
  <c r="D90" i="120"/>
  <c r="D92" i="120"/>
  <c r="D93" i="120"/>
  <c r="D94" i="120"/>
  <c r="D95" i="120"/>
  <c r="D96" i="120"/>
  <c r="D97" i="120"/>
  <c r="D98" i="120"/>
  <c r="D99" i="120"/>
  <c r="D100" i="120"/>
  <c r="D101" i="120"/>
  <c r="D102" i="120"/>
  <c r="D103" i="120"/>
  <c r="D104" i="120"/>
  <c r="D105" i="120"/>
  <c r="D106" i="120"/>
  <c r="D107" i="120"/>
  <c r="D108" i="120"/>
  <c r="D110" i="120"/>
  <c r="D111" i="120"/>
  <c r="D112" i="120"/>
  <c r="D113" i="120"/>
  <c r="D114" i="120"/>
  <c r="D115" i="120"/>
  <c r="D116" i="120"/>
  <c r="D117" i="120"/>
  <c r="D118" i="120"/>
  <c r="D119" i="120"/>
  <c r="D120" i="120"/>
  <c r="D121" i="120"/>
  <c r="D122" i="120"/>
  <c r="A2" i="121"/>
  <c r="DP49" i="112" l="1"/>
  <c r="DP157" i="112"/>
  <c r="DP70" i="112"/>
  <c r="DP25" i="1"/>
  <c r="DP26" i="1"/>
  <c r="Z19" i="115" l="1"/>
  <c r="DP30" i="1"/>
  <c r="DP29" i="1"/>
  <c r="DP28" i="1"/>
  <c r="Z21" i="115"/>
  <c r="DP32" i="1" l="1"/>
  <c r="DP31" i="1"/>
  <c r="CO37" i="113" l="1"/>
  <c r="CN37" i="113"/>
  <c r="CM37" i="113"/>
  <c r="CL37" i="113"/>
  <c r="CK37" i="113"/>
  <c r="CJ37" i="113"/>
  <c r="CI37" i="113"/>
  <c r="CH37" i="113"/>
  <c r="DO208" i="92" l="1"/>
  <c r="DO102" i="92"/>
  <c r="DO103" i="92" s="1"/>
  <c r="DO100" i="92"/>
  <c r="CU91" i="6"/>
  <c r="CU90" i="6"/>
  <c r="CU89" i="6"/>
  <c r="CU88" i="6"/>
  <c r="CU87" i="6"/>
  <c r="DO69" i="3"/>
  <c r="DO68" i="3"/>
  <c r="DO74" i="3"/>
  <c r="DO89" i="2"/>
  <c r="DO87" i="2" s="1"/>
  <c r="DO104" i="2"/>
  <c r="DN104" i="2"/>
  <c r="DM104" i="2"/>
  <c r="DL104" i="2"/>
  <c r="DK104" i="2"/>
  <c r="DJ104" i="2"/>
  <c r="DI104" i="2"/>
  <c r="DH104" i="2"/>
  <c r="DO103" i="2"/>
  <c r="DN103" i="2"/>
  <c r="DM103" i="2"/>
  <c r="DL103" i="2"/>
  <c r="DK103" i="2"/>
  <c r="DJ103" i="2"/>
  <c r="DI103" i="2"/>
  <c r="DH103" i="2"/>
  <c r="C2" i="115" l="1"/>
  <c r="DO121" i="1" l="1"/>
  <c r="DO120" i="1"/>
  <c r="CU44" i="6"/>
  <c r="CU45" i="6"/>
  <c r="CU46" i="6"/>
  <c r="CU47" i="6"/>
  <c r="DO45" i="113"/>
  <c r="DO44" i="113"/>
  <c r="DO21" i="113"/>
  <c r="DO166" i="112"/>
  <c r="DN89" i="2"/>
  <c r="DN87" i="2" s="1"/>
  <c r="DO82" i="2"/>
  <c r="DP78" i="2" s="1"/>
  <c r="DO65" i="2"/>
  <c r="DO64" i="2"/>
  <c r="DO63" i="2"/>
  <c r="DO62" i="2"/>
  <c r="DO57" i="2"/>
  <c r="DO56" i="2"/>
  <c r="DO49" i="2"/>
  <c r="DP66" i="2" s="1"/>
  <c r="DO35" i="2"/>
  <c r="DO18" i="2"/>
  <c r="DO61" i="3"/>
  <c r="DP61" i="3" s="1"/>
  <c r="DO47" i="3"/>
  <c r="DP47" i="3" s="1"/>
  <c r="DO45" i="3"/>
  <c r="DP45" i="3" s="1"/>
  <c r="DO44" i="3"/>
  <c r="DP44" i="3" s="1"/>
  <c r="DO41" i="3"/>
  <c r="DP41" i="3" s="1"/>
  <c r="DO40" i="3"/>
  <c r="DP40" i="3" s="1"/>
  <c r="DO34" i="3"/>
  <c r="DP34" i="3" s="1"/>
  <c r="DO32" i="3"/>
  <c r="DO30" i="3"/>
  <c r="DP30" i="3" s="1"/>
  <c r="DO29" i="3"/>
  <c r="DP29" i="3" s="1"/>
  <c r="DO28" i="3"/>
  <c r="DP28" i="3" s="1"/>
  <c r="DO23" i="3"/>
  <c r="DP23" i="3" s="1"/>
  <c r="DO21" i="3"/>
  <c r="DP21" i="3" s="1"/>
  <c r="DO20" i="3"/>
  <c r="DP20" i="3" s="1"/>
  <c r="DO19" i="3"/>
  <c r="DP19" i="3" s="1"/>
  <c r="DO18" i="3"/>
  <c r="DP18" i="3" s="1"/>
  <c r="DO17" i="3"/>
  <c r="DP17" i="3" s="1"/>
  <c r="DO14" i="3"/>
  <c r="DP14" i="3" s="1"/>
  <c r="DO15" i="3"/>
  <c r="DP15" i="3" s="1"/>
  <c r="DO13" i="3"/>
  <c r="DP13" i="3" s="1"/>
  <c r="DO12" i="3"/>
  <c r="DO11" i="3"/>
  <c r="DP11" i="3" s="1"/>
  <c r="DO22" i="3"/>
  <c r="DP22" i="3" s="1"/>
  <c r="DO42" i="3"/>
  <c r="DO68" i="112"/>
  <c r="DO67" i="112"/>
  <c r="DO62" i="112"/>
  <c r="DO61" i="112"/>
  <c r="DO58" i="112"/>
  <c r="DO57" i="112"/>
  <c r="DO56" i="112"/>
  <c r="DO55" i="112"/>
  <c r="DO54" i="112"/>
  <c r="DO53" i="112"/>
  <c r="DO52" i="112"/>
  <c r="DO51" i="112"/>
  <c r="DO47" i="112"/>
  <c r="DO46" i="112"/>
  <c r="DO44" i="112"/>
  <c r="DO14" i="112"/>
  <c r="DO13" i="112"/>
  <c r="DO12" i="112"/>
  <c r="DO152" i="112" s="1"/>
  <c r="DO11" i="112"/>
  <c r="CU16" i="6"/>
  <c r="CU17" i="6" s="1"/>
  <c r="DO58" i="51"/>
  <c r="DS58" i="51" s="1"/>
  <c r="DO53" i="51"/>
  <c r="DO50" i="51"/>
  <c r="DO21" i="1"/>
  <c r="DO19" i="1"/>
  <c r="DO116" i="2" s="1"/>
  <c r="DO14" i="1"/>
  <c r="DP122" i="1" s="1"/>
  <c r="DO11" i="1"/>
  <c r="DP119" i="1" s="1"/>
  <c r="DO15" i="51"/>
  <c r="DO17" i="51" s="1"/>
  <c r="DO79" i="2" l="1"/>
  <c r="DP12" i="3"/>
  <c r="DO80" i="2"/>
  <c r="DP32" i="3"/>
  <c r="DP80" i="2" s="1"/>
  <c r="DO71" i="3"/>
  <c r="DO70" i="3" s="1"/>
  <c r="DP42" i="3"/>
  <c r="DP48" i="3" s="1"/>
  <c r="DP24" i="3"/>
  <c r="DO61" i="2"/>
  <c r="DO16" i="1"/>
  <c r="DO20" i="1"/>
  <c r="DO58" i="2"/>
  <c r="DO59" i="2" s="1"/>
  <c r="DO52" i="51"/>
  <c r="DO54" i="51" s="1"/>
  <c r="DO35" i="3"/>
  <c r="DO24" i="3"/>
  <c r="DO57" i="51"/>
  <c r="DO151" i="112"/>
  <c r="DO68" i="2"/>
  <c r="DO114" i="2"/>
  <c r="DO115" i="2" s="1"/>
  <c r="DO15" i="1"/>
  <c r="DP123" i="1" s="1"/>
  <c r="M8" i="115"/>
  <c r="DP25" i="3" l="1"/>
  <c r="DP35" i="3"/>
  <c r="DP54" i="3"/>
  <c r="DP55" i="3" s="1"/>
  <c r="DP50" i="3"/>
  <c r="DP79" i="2"/>
  <c r="DP16" i="1"/>
  <c r="DO17" i="1"/>
  <c r="DO23" i="1"/>
  <c r="DP81" i="2" l="1"/>
  <c r="DP84" i="2"/>
  <c r="DP124" i="1"/>
  <c r="DP17" i="1"/>
  <c r="DO25" i="1"/>
  <c r="DP126" i="1"/>
  <c r="DO74" i="2"/>
  <c r="DO75" i="2"/>
  <c r="DO73" i="2"/>
  <c r="DO72" i="2"/>
  <c r="DO85" i="2"/>
  <c r="DO26" i="1"/>
  <c r="DN47" i="112"/>
  <c r="DO105" i="112"/>
  <c r="DP74" i="2" l="1"/>
  <c r="DP73" i="2"/>
  <c r="DP72" i="2"/>
  <c r="DP75" i="2"/>
  <c r="DP85" i="2"/>
  <c r="DP125" i="1"/>
  <c r="DO30" i="1"/>
  <c r="DP130" i="1" s="1"/>
  <c r="DP127" i="1"/>
  <c r="DO29" i="1"/>
  <c r="DP129" i="1" s="1"/>
  <c r="DO28" i="1"/>
  <c r="DP128" i="1" s="1"/>
  <c r="DO31" i="1" l="1"/>
  <c r="DP131" i="1" s="1"/>
  <c r="DO32" i="1"/>
  <c r="DP132" i="1" s="1"/>
  <c r="DU84" i="112"/>
  <c r="DY85" i="112" s="1"/>
  <c r="DR84" i="112"/>
  <c r="DV85" i="112" s="1"/>
  <c r="DU85" i="112"/>
  <c r="R45" i="115" l="1"/>
  <c r="CS16" i="6"/>
  <c r="CS17" i="6" s="1"/>
  <c r="CR16" i="6"/>
  <c r="CQ16" i="6"/>
  <c r="CQ17" i="6" s="1"/>
  <c r="CP16" i="6"/>
  <c r="CP17" i="6" s="1"/>
  <c r="CO16" i="6"/>
  <c r="CO17" i="6" s="1"/>
  <c r="CN16" i="6"/>
  <c r="CN17" i="6" s="1"/>
  <c r="CM16" i="6"/>
  <c r="CM17" i="6" s="1"/>
  <c r="CL16" i="6"/>
  <c r="CL17" i="6" s="1"/>
  <c r="CR17" i="6" l="1"/>
  <c r="CV49" i="6"/>
  <c r="DN98" i="112"/>
  <c r="CT91" i="6"/>
  <c r="CT90" i="6"/>
  <c r="CT89" i="6"/>
  <c r="CT88" i="6"/>
  <c r="CT87" i="6"/>
  <c r="DN69" i="3"/>
  <c r="CT48" i="6"/>
  <c r="CT47" i="6"/>
  <c r="CT46" i="6"/>
  <c r="CT45" i="6"/>
  <c r="CT44" i="6"/>
  <c r="DN208" i="92" l="1"/>
  <c r="DN102" i="92"/>
  <c r="DM102" i="92"/>
  <c r="DN100" i="92"/>
  <c r="DM100" i="92"/>
  <c r="DM74" i="3"/>
  <c r="DM69" i="3"/>
  <c r="DV58" i="51"/>
  <c r="DZ58" i="51" s="1"/>
  <c r="ED58" i="51" s="1"/>
  <c r="EH58" i="51" s="1"/>
  <c r="DN218" i="112"/>
  <c r="DR218" i="112" s="1"/>
  <c r="N103" i="115"/>
  <c r="N100" i="115"/>
  <c r="N99" i="115"/>
  <c r="N94" i="115"/>
  <c r="DM89" i="2"/>
  <c r="DM87" i="2" s="1"/>
  <c r="DN48" i="113"/>
  <c r="DN45" i="113"/>
  <c r="DN21" i="113"/>
  <c r="DN68" i="112"/>
  <c r="DN67" i="112"/>
  <c r="DN62" i="112"/>
  <c r="DN61" i="112"/>
  <c r="DN59" i="112"/>
  <c r="DN58" i="112"/>
  <c r="DN57" i="112"/>
  <c r="DN56" i="112"/>
  <c r="DN55" i="112"/>
  <c r="DN54" i="112"/>
  <c r="DN53" i="112"/>
  <c r="DN52" i="112"/>
  <c r="DN51" i="112"/>
  <c r="DN46" i="112"/>
  <c r="DN45" i="112"/>
  <c r="DN44" i="112"/>
  <c r="DN14" i="112"/>
  <c r="DN13" i="112"/>
  <c r="DN12" i="112"/>
  <c r="DN11" i="112"/>
  <c r="DN82" i="2"/>
  <c r="DO78" i="2" s="1"/>
  <c r="DN80" i="2"/>
  <c r="DN79" i="2"/>
  <c r="DN65" i="2"/>
  <c r="DN64" i="2"/>
  <c r="DN63" i="2"/>
  <c r="DN62" i="2"/>
  <c r="DN57" i="2"/>
  <c r="DN56" i="2"/>
  <c r="DN48" i="3"/>
  <c r="DN35" i="3"/>
  <c r="DN24" i="3"/>
  <c r="DN25" i="3" s="1"/>
  <c r="DN49" i="2"/>
  <c r="DO66" i="2" s="1"/>
  <c r="DN35" i="2"/>
  <c r="DN18" i="2"/>
  <c r="DN134" i="1"/>
  <c r="DN133" i="1"/>
  <c r="DN121" i="1"/>
  <c r="DN120" i="1"/>
  <c r="DN118" i="1"/>
  <c r="DN117" i="1"/>
  <c r="DN58" i="51"/>
  <c r="DN53" i="51"/>
  <c r="DN50" i="51"/>
  <c r="CT16" i="6"/>
  <c r="DN25" i="51"/>
  <c r="DN23" i="51"/>
  <c r="DN22" i="51"/>
  <c r="DN21" i="51"/>
  <c r="DN20" i="51"/>
  <c r="DN15" i="51"/>
  <c r="DN17" i="51" s="1"/>
  <c r="DN21" i="1"/>
  <c r="DN19" i="1"/>
  <c r="DN116" i="2" s="1"/>
  <c r="DN16" i="1"/>
  <c r="DN14" i="1"/>
  <c r="DN11" i="1"/>
  <c r="DO81" i="2" l="1"/>
  <c r="DO84" i="2"/>
  <c r="DN151" i="112"/>
  <c r="DN58" i="2"/>
  <c r="DN59" i="2" s="1"/>
  <c r="DN50" i="3"/>
  <c r="DN52" i="51"/>
  <c r="DN54" i="51" s="1"/>
  <c r="DN68" i="2"/>
  <c r="DN61" i="2"/>
  <c r="DN54" i="3"/>
  <c r="DN55" i="3" s="1"/>
  <c r="DN57" i="51"/>
  <c r="DN48" i="112"/>
  <c r="DN152" i="112"/>
  <c r="DN20" i="1"/>
  <c r="DN15" i="1"/>
  <c r="N101" i="115"/>
  <c r="DN49" i="112" l="1"/>
  <c r="DN157" i="112"/>
  <c r="DN17" i="1"/>
  <c r="DN72" i="2" s="1"/>
  <c r="DN23" i="1"/>
  <c r="DN25" i="1" s="1"/>
  <c r="DN73" i="2" l="1"/>
  <c r="DN75" i="2"/>
  <c r="DN74" i="2"/>
  <c r="DN85" i="2"/>
  <c r="DN26" i="1"/>
  <c r="DN28" i="1" s="1"/>
  <c r="DN29" i="1" l="1"/>
  <c r="DN30" i="1"/>
  <c r="DN32" i="1"/>
  <c r="DN31" i="1"/>
  <c r="EK17" i="112" l="1"/>
  <c r="EJ17" i="112"/>
  <c r="EI17" i="112"/>
  <c r="EH17" i="112"/>
  <c r="EG17" i="112"/>
  <c r="EF17" i="112"/>
  <c r="EE17" i="112"/>
  <c r="ED17" i="112"/>
  <c r="EC17" i="112"/>
  <c r="EB17" i="112"/>
  <c r="EA17" i="112"/>
  <c r="DZ17" i="112"/>
  <c r="DY17" i="112"/>
  <c r="DX17" i="112"/>
  <c r="DW17" i="112"/>
  <c r="DV17" i="112"/>
  <c r="DR17" i="112"/>
  <c r="DS17" i="112"/>
  <c r="DT17" i="112"/>
  <c r="DU17" i="112"/>
  <c r="DU83" i="112" l="1"/>
  <c r="DT83" i="112"/>
  <c r="DS83" i="112"/>
  <c r="DR83" i="112"/>
  <c r="DR82" i="112" l="1"/>
  <c r="DN91" i="112"/>
  <c r="DU7" i="112" l="1"/>
  <c r="DN105" i="112"/>
  <c r="DN104" i="112"/>
  <c r="DN83" i="113" l="1"/>
  <c r="DM98" i="112"/>
  <c r="EP21" i="6"/>
  <c r="CS48" i="6"/>
  <c r="CS47" i="6"/>
  <c r="CS46" i="6"/>
  <c r="CS45" i="6"/>
  <c r="CS44" i="6"/>
  <c r="M17" i="115" l="1"/>
  <c r="DM19" i="1" l="1"/>
  <c r="DM116" i="2" s="1"/>
  <c r="B13" i="115"/>
  <c r="DM121" i="1"/>
  <c r="DM120" i="1"/>
  <c r="DM82" i="2"/>
  <c r="DN78" i="2" s="1"/>
  <c r="DM43" i="3"/>
  <c r="DM65" i="2"/>
  <c r="DM64" i="2"/>
  <c r="DM63" i="2"/>
  <c r="DM62" i="2"/>
  <c r="DM57" i="2"/>
  <c r="DM56" i="2"/>
  <c r="DM114" i="2" s="1"/>
  <c r="DM49" i="2"/>
  <c r="DN66" i="2" s="1"/>
  <c r="DM35" i="2"/>
  <c r="DM18" i="2"/>
  <c r="DM166" i="112"/>
  <c r="DM47" i="112"/>
  <c r="DM46" i="112"/>
  <c r="DM45" i="112"/>
  <c r="DM44" i="112"/>
  <c r="DM45" i="113"/>
  <c r="DM44" i="113"/>
  <c r="DM48" i="113"/>
  <c r="DM21" i="113"/>
  <c r="DM14" i="112"/>
  <c r="DM13" i="112"/>
  <c r="DM12" i="112"/>
  <c r="DM152" i="112" s="1"/>
  <c r="DM11" i="112"/>
  <c r="DM58" i="51"/>
  <c r="DM53" i="51"/>
  <c r="DM50" i="51"/>
  <c r="DM15" i="51"/>
  <c r="DM17" i="51" s="1"/>
  <c r="DM14" i="1"/>
  <c r="DN122" i="1" s="1"/>
  <c r="DM11" i="1"/>
  <c r="DN119" i="1" l="1"/>
  <c r="DN84" i="2"/>
  <c r="DN81" i="2"/>
  <c r="DM115" i="2"/>
  <c r="DM151" i="112"/>
  <c r="DM61" i="2"/>
  <c r="I105" i="115"/>
  <c r="N105" i="115" s="1"/>
  <c r="DM57" i="51"/>
  <c r="DM48" i="112"/>
  <c r="DM52" i="51"/>
  <c r="DM54" i="51" s="1"/>
  <c r="DM58" i="2"/>
  <c r="DM59" i="2" s="1"/>
  <c r="DM68" i="2"/>
  <c r="DM15" i="1"/>
  <c r="DN123" i="1" l="1"/>
  <c r="DM23" i="1"/>
  <c r="DM49" i="112"/>
  <c r="DM157" i="112"/>
  <c r="DM25" i="1" l="1"/>
  <c r="DN126" i="1"/>
  <c r="DM26" i="1"/>
  <c r="DM29" i="1" l="1"/>
  <c r="DN129" i="1" s="1"/>
  <c r="DN127" i="1"/>
  <c r="DM28" i="1"/>
  <c r="DM30" i="1"/>
  <c r="DN130" i="1" s="1"/>
  <c r="DM32" i="1" l="1"/>
  <c r="DN128" i="1"/>
  <c r="DM31" i="1"/>
  <c r="DN131" i="1" s="1"/>
  <c r="DN132" i="1" l="1"/>
  <c r="GZ93" i="112"/>
  <c r="DL82" i="112" l="1"/>
  <c r="DL98" i="112"/>
  <c r="DN17" i="112"/>
  <c r="DN28" i="112" s="1"/>
  <c r="DO17" i="112"/>
  <c r="DQ17" i="112"/>
  <c r="DM17" i="112"/>
  <c r="DM28" i="112" s="1"/>
  <c r="DY144" i="112"/>
  <c r="EC145" i="112" s="1"/>
  <c r="EG146" i="112" s="1"/>
  <c r="EK147" i="112" s="1"/>
  <c r="DL60" i="112" l="1"/>
  <c r="DT84" i="112"/>
  <c r="DX85" i="112" s="1"/>
  <c r="W89" i="115"/>
  <c r="DM105" i="112"/>
  <c r="DL208" i="92" l="1"/>
  <c r="DL102" i="92"/>
  <c r="DL103" i="92" s="1"/>
  <c r="DL100" i="92"/>
  <c r="CR91" i="6"/>
  <c r="CR90" i="6"/>
  <c r="CR89" i="6"/>
  <c r="CR88" i="6"/>
  <c r="CR87" i="6"/>
  <c r="DL89" i="2"/>
  <c r="DL87" i="2" s="1"/>
  <c r="AA8" i="115"/>
  <c r="AA13" i="115"/>
  <c r="AA11" i="115"/>
  <c r="AA10" i="115"/>
  <c r="AA9" i="115"/>
  <c r="DL120" i="1" l="1"/>
  <c r="DL121" i="1"/>
  <c r="Z14" i="115"/>
  <c r="Z12" i="115"/>
  <c r="Z13" i="115"/>
  <c r="Z8" i="115"/>
  <c r="Z9" i="115"/>
  <c r="Z10" i="115"/>
  <c r="Z11" i="115"/>
  <c r="Z7" i="115"/>
  <c r="FS118" i="51"/>
  <c r="FS119" i="51"/>
  <c r="FM118" i="51"/>
  <c r="FM119" i="51"/>
  <c r="DL74" i="3"/>
  <c r="DL69" i="3" s="1"/>
  <c r="CR48" i="6"/>
  <c r="CR47" i="6"/>
  <c r="CR46" i="6"/>
  <c r="CR45" i="6"/>
  <c r="CR44" i="6"/>
  <c r="DL48" i="113"/>
  <c r="DL45" i="113"/>
  <c r="DL44" i="113"/>
  <c r="DL21" i="113"/>
  <c r="DP47" i="113" s="1"/>
  <c r="DL166" i="112"/>
  <c r="DL68" i="112"/>
  <c r="DL67" i="112"/>
  <c r="DL107" i="112"/>
  <c r="DL106" i="112"/>
  <c r="DL105" i="112"/>
  <c r="DL104" i="112"/>
  <c r="DL47" i="112"/>
  <c r="DL46" i="112"/>
  <c r="DL45" i="112"/>
  <c r="DL44" i="112"/>
  <c r="DL19" i="1"/>
  <c r="DL116" i="2" s="1"/>
  <c r="DL21" i="1"/>
  <c r="DL82" i="2"/>
  <c r="DM78" i="2" s="1"/>
  <c r="DL65" i="2"/>
  <c r="DL64" i="2"/>
  <c r="DL63" i="2"/>
  <c r="DL62" i="2"/>
  <c r="DL57" i="2"/>
  <c r="DL56" i="2"/>
  <c r="DL49" i="2"/>
  <c r="DM66" i="2" s="1"/>
  <c r="DL35" i="2"/>
  <c r="DL18" i="2"/>
  <c r="DL58" i="51"/>
  <c r="DL53" i="51"/>
  <c r="DL50" i="51"/>
  <c r="DL15" i="51"/>
  <c r="DL17" i="51" s="1"/>
  <c r="R5" i="115" s="1"/>
  <c r="DL15" i="112"/>
  <c r="DL14" i="1"/>
  <c r="DL11" i="1"/>
  <c r="FM136" i="51" l="1"/>
  <c r="DL15" i="1"/>
  <c r="DL20" i="1"/>
  <c r="FM137" i="51"/>
  <c r="DL58" i="2"/>
  <c r="DL59" i="2" s="1"/>
  <c r="DL61" i="2"/>
  <c r="DL68" i="2"/>
  <c r="DL114" i="2"/>
  <c r="DL115" i="2" s="1"/>
  <c r="DL57" i="51"/>
  <c r="DL52" i="51"/>
  <c r="DL54" i="51" s="1"/>
  <c r="DL23" i="1" l="1"/>
  <c r="DL25" i="1" l="1"/>
  <c r="DL26" i="1"/>
  <c r="DK98" i="112"/>
  <c r="DL30" i="1" l="1"/>
  <c r="DL29" i="1"/>
  <c r="DL28" i="1"/>
  <c r="DN219" i="112"/>
  <c r="DR219" i="112" s="1"/>
  <c r="DV219" i="112" s="1"/>
  <c r="DZ219" i="112" s="1"/>
  <c r="ED219" i="112" s="1"/>
  <c r="EH219" i="112" s="1"/>
  <c r="DV218" i="112"/>
  <c r="DZ218" i="112" s="1"/>
  <c r="ED218" i="112" s="1"/>
  <c r="EH218" i="112" s="1"/>
  <c r="DY84" i="112"/>
  <c r="DX84" i="112"/>
  <c r="DW84" i="112"/>
  <c r="DL32" i="1" l="1"/>
  <c r="DL31" i="1"/>
  <c r="DK82" i="112" l="1"/>
  <c r="DS84" i="112" s="1"/>
  <c r="DW85" i="112" s="1"/>
  <c r="FE290" i="119"/>
  <c r="FD290" i="119"/>
  <c r="FC290" i="119"/>
  <c r="FB290" i="119"/>
  <c r="FA290" i="119"/>
  <c r="EZ290" i="119"/>
  <c r="EY290" i="119"/>
  <c r="EX290" i="119"/>
  <c r="EW290" i="119"/>
  <c r="EV290" i="119"/>
  <c r="EU290" i="119"/>
  <c r="ET290" i="119"/>
  <c r="ES290" i="119"/>
  <c r="ER290" i="119"/>
  <c r="EQ290" i="119"/>
  <c r="EP290" i="119"/>
  <c r="EO290" i="119"/>
  <c r="EN290" i="119"/>
  <c r="EM290" i="119"/>
  <c r="EL290" i="119"/>
  <c r="FE278" i="119"/>
  <c r="FD278" i="119"/>
  <c r="FC278" i="119"/>
  <c r="FB278" i="119"/>
  <c r="FA278" i="119"/>
  <c r="EZ278" i="119"/>
  <c r="EY278" i="119"/>
  <c r="EX278" i="119"/>
  <c r="EW278" i="119"/>
  <c r="EV278" i="119"/>
  <c r="EU278" i="119"/>
  <c r="ET278" i="119"/>
  <c r="ES278" i="119"/>
  <c r="ER278" i="119"/>
  <c r="EQ278" i="119"/>
  <c r="EP278" i="119"/>
  <c r="EO278" i="119"/>
  <c r="EN278" i="119"/>
  <c r="EM278" i="119"/>
  <c r="EL278" i="119"/>
  <c r="FE176" i="119"/>
  <c r="FD176" i="119"/>
  <c r="FC176" i="119"/>
  <c r="FB176" i="119"/>
  <c r="FA176" i="119"/>
  <c r="EZ176" i="119"/>
  <c r="EY176" i="119"/>
  <c r="EX176" i="119"/>
  <c r="EW176" i="119"/>
  <c r="EV176" i="119"/>
  <c r="EU176" i="119"/>
  <c r="ET176" i="119"/>
  <c r="ES176" i="119"/>
  <c r="ER176" i="119"/>
  <c r="EQ176" i="119"/>
  <c r="EP176" i="119"/>
  <c r="EO176" i="119"/>
  <c r="EN176" i="119"/>
  <c r="EM176" i="119"/>
  <c r="EL176" i="119"/>
  <c r="DK69" i="3" l="1"/>
  <c r="CP23" i="6" l="1"/>
  <c r="CP25" i="6"/>
  <c r="CP26" i="6" s="1"/>
  <c r="CQ91" i="6"/>
  <c r="CQ90" i="6"/>
  <c r="CQ89" i="6"/>
  <c r="CQ88" i="6"/>
  <c r="CQ87" i="6"/>
  <c r="V26" i="115"/>
  <c r="EG84" i="112"/>
  <c r="EF84" i="112"/>
  <c r="EE84" i="112"/>
  <c r="ED84" i="112"/>
  <c r="DO107" i="112"/>
  <c r="CP24" i="6" l="1"/>
  <c r="DL17" i="112"/>
  <c r="DL28" i="112" s="1"/>
  <c r="DK208" i="92"/>
  <c r="DK102" i="92"/>
  <c r="DK103" i="92" s="1"/>
  <c r="DJ102" i="92"/>
  <c r="DJ103" i="92" s="1"/>
  <c r="DK100" i="92"/>
  <c r="DJ100" i="92"/>
  <c r="DK82" i="2"/>
  <c r="DL78" i="2" s="1"/>
  <c r="DK65" i="2"/>
  <c r="DK64" i="2"/>
  <c r="DK63" i="2"/>
  <c r="DK62" i="2"/>
  <c r="DK15" i="112"/>
  <c r="DK14" i="112"/>
  <c r="DO25" i="112" s="1"/>
  <c r="DK13" i="112"/>
  <c r="DK12" i="112"/>
  <c r="DK11" i="112"/>
  <c r="DK107" i="112"/>
  <c r="DK106" i="112"/>
  <c r="DK105" i="112"/>
  <c r="DK45" i="113"/>
  <c r="DK21" i="113"/>
  <c r="DO47" i="113" s="1"/>
  <c r="CQ48" i="6"/>
  <c r="CQ47" i="6"/>
  <c r="CQ46" i="6"/>
  <c r="CQ45" i="6"/>
  <c r="CQ44" i="6"/>
  <c r="DK74" i="3"/>
  <c r="DK68" i="3"/>
  <c r="DK61" i="3"/>
  <c r="DK47" i="3"/>
  <c r="DK45" i="3"/>
  <c r="DK44" i="3"/>
  <c r="DK42" i="3"/>
  <c r="DK41" i="3"/>
  <c r="DK40" i="3"/>
  <c r="DK34" i="3"/>
  <c r="DK32" i="3"/>
  <c r="DK30" i="3"/>
  <c r="DK29" i="3"/>
  <c r="DK28" i="3"/>
  <c r="DK23" i="3"/>
  <c r="DK21" i="3"/>
  <c r="DK20" i="3"/>
  <c r="DK19" i="3"/>
  <c r="DK18" i="3"/>
  <c r="DK17" i="3"/>
  <c r="DK15" i="3"/>
  <c r="DK13" i="3"/>
  <c r="DK12" i="3"/>
  <c r="DK11" i="3"/>
  <c r="DK22" i="3"/>
  <c r="DK14" i="3"/>
  <c r="DK49" i="2"/>
  <c r="DL66" i="2" s="1"/>
  <c r="DK35" i="2"/>
  <c r="DK18" i="2"/>
  <c r="DK58" i="51"/>
  <c r="DK53" i="51"/>
  <c r="DK50" i="51"/>
  <c r="DK15" i="51"/>
  <c r="DK17" i="51" s="1"/>
  <c r="DK134" i="1"/>
  <c r="DK133" i="1"/>
  <c r="DK121" i="1"/>
  <c r="DK120" i="1"/>
  <c r="DK118" i="1"/>
  <c r="DK117" i="1"/>
  <c r="DK21" i="1"/>
  <c r="DK19" i="1"/>
  <c r="DK116" i="2" s="1"/>
  <c r="DK14" i="1"/>
  <c r="DK11" i="1"/>
  <c r="CS150" i="113"/>
  <c r="CW150" i="113" s="1"/>
  <c r="DA150" i="113" s="1"/>
  <c r="DE150" i="113" s="1"/>
  <c r="DI150" i="113" s="1"/>
  <c r="DM150" i="113" s="1"/>
  <c r="DQ150" i="113" s="1"/>
  <c r="CR150" i="113"/>
  <c r="CV150" i="113" s="1"/>
  <c r="CZ150" i="113" s="1"/>
  <c r="DD150" i="113" s="1"/>
  <c r="DH150" i="113" s="1"/>
  <c r="DL150" i="113" s="1"/>
  <c r="DP150" i="113" s="1"/>
  <c r="CQ150" i="113"/>
  <c r="CU150" i="113" s="1"/>
  <c r="CY150" i="113" s="1"/>
  <c r="DC150" i="113" s="1"/>
  <c r="DG150" i="113" s="1"/>
  <c r="DK150" i="113" s="1"/>
  <c r="DO150" i="113" s="1"/>
  <c r="CP150" i="113"/>
  <c r="CT150" i="113" s="1"/>
  <c r="CX150" i="113" s="1"/>
  <c r="DB150" i="113" s="1"/>
  <c r="DF150" i="113" s="1"/>
  <c r="DJ150" i="113" s="1"/>
  <c r="DN150" i="113" s="1"/>
  <c r="DO22" i="112" l="1"/>
  <c r="DK152" i="112"/>
  <c r="DO164" i="112" s="1"/>
  <c r="DO23" i="112"/>
  <c r="DK158" i="112"/>
  <c r="DO24" i="112"/>
  <c r="DL17" i="3"/>
  <c r="DM17" i="3" s="1"/>
  <c r="DL41" i="3"/>
  <c r="DM41" i="3" s="1"/>
  <c r="DL22" i="3"/>
  <c r="DM22" i="3" s="1"/>
  <c r="DL18" i="3"/>
  <c r="DM18" i="3" s="1"/>
  <c r="DL30" i="3"/>
  <c r="DM30" i="3" s="1"/>
  <c r="DL20" i="3"/>
  <c r="DM20" i="3" s="1"/>
  <c r="DL45" i="3"/>
  <c r="DM45" i="3" s="1"/>
  <c r="DL28" i="3"/>
  <c r="DM28" i="3" s="1"/>
  <c r="DL29" i="3"/>
  <c r="DM29" i="3" s="1"/>
  <c r="DL11" i="3"/>
  <c r="DM11" i="3" s="1"/>
  <c r="DL44" i="3"/>
  <c r="DM44" i="3" s="1"/>
  <c r="DL13" i="3"/>
  <c r="DM13" i="3" s="1"/>
  <c r="DL21" i="3"/>
  <c r="DM21" i="3" s="1"/>
  <c r="DL34" i="3"/>
  <c r="DM34" i="3" s="1"/>
  <c r="DL47" i="3"/>
  <c r="DM47" i="3" s="1"/>
  <c r="DL14" i="3"/>
  <c r="DM14" i="3" s="1"/>
  <c r="DL19" i="3"/>
  <c r="DM19" i="3" s="1"/>
  <c r="DL15" i="3"/>
  <c r="DM15" i="3" s="1"/>
  <c r="DL23" i="3"/>
  <c r="DM23" i="3" s="1"/>
  <c r="DL40" i="3"/>
  <c r="DM40" i="3" s="1"/>
  <c r="DL61" i="3"/>
  <c r="DM61" i="3" s="1"/>
  <c r="DK79" i="2"/>
  <c r="DL12" i="3"/>
  <c r="DM12" i="3" s="1"/>
  <c r="DK80" i="2"/>
  <c r="DL32" i="3"/>
  <c r="DL80" i="2" s="1"/>
  <c r="DK71" i="3"/>
  <c r="DK70" i="3" s="1"/>
  <c r="DL42" i="3"/>
  <c r="DK20" i="1"/>
  <c r="DK61" i="2"/>
  <c r="DK52" i="51"/>
  <c r="DK54" i="51" s="1"/>
  <c r="DK35" i="3"/>
  <c r="DK24" i="3"/>
  <c r="DK25" i="3" s="1"/>
  <c r="DK54" i="3" s="1"/>
  <c r="DK55" i="3" s="1"/>
  <c r="DK68" i="2"/>
  <c r="DK15" i="1"/>
  <c r="DK48" i="3"/>
  <c r="DK64" i="3"/>
  <c r="DK151" i="112"/>
  <c r="DO163" i="112" s="1"/>
  <c r="DK57" i="51"/>
  <c r="DK48" i="113"/>
  <c r="N102" i="115" l="1"/>
  <c r="DM32" i="3"/>
  <c r="DM80" i="2" s="1"/>
  <c r="DL64" i="3"/>
  <c r="DM42" i="3"/>
  <c r="DM48" i="3" s="1"/>
  <c r="DM16" i="1"/>
  <c r="DM79" i="2"/>
  <c r="DL24" i="3"/>
  <c r="DL25" i="3" s="1"/>
  <c r="DL54" i="3" s="1"/>
  <c r="DM24" i="3"/>
  <c r="DM25" i="3" s="1"/>
  <c r="DL48" i="3"/>
  <c r="DL35" i="3"/>
  <c r="DL16" i="1"/>
  <c r="DL17" i="1" s="1"/>
  <c r="DL79" i="2"/>
  <c r="DK23" i="1"/>
  <c r="DK50" i="3"/>
  <c r="DK65" i="3"/>
  <c r="DK26" i="1" l="1"/>
  <c r="DK29" i="1" s="1"/>
  <c r="N104" i="115"/>
  <c r="N106" i="115" s="1"/>
  <c r="DM17" i="1"/>
  <c r="DN125" i="1" s="1"/>
  <c r="DN124" i="1"/>
  <c r="DM35" i="3"/>
  <c r="DM50" i="3" s="1"/>
  <c r="DM84" i="2"/>
  <c r="DM81" i="2"/>
  <c r="DM54" i="3"/>
  <c r="DM55" i="3" s="1"/>
  <c r="DL50" i="3"/>
  <c r="DL72" i="2"/>
  <c r="DL75" i="2"/>
  <c r="DL74" i="2"/>
  <c r="DL73" i="2"/>
  <c r="DL65" i="3"/>
  <c r="DL55" i="3"/>
  <c r="DL84" i="2"/>
  <c r="DL81" i="2"/>
  <c r="DL85" i="2"/>
  <c r="DK25" i="1"/>
  <c r="DM74" i="2" l="1"/>
  <c r="DM75" i="2"/>
  <c r="DM85" i="2"/>
  <c r="DM72" i="2"/>
  <c r="DK28" i="1"/>
  <c r="DK30" i="1"/>
  <c r="DM73" i="2"/>
  <c r="N107" i="115" l="1"/>
  <c r="DK31" i="1"/>
  <c r="DK32" i="1"/>
  <c r="FS101" i="51"/>
  <c r="FS102" i="51"/>
  <c r="N108" i="115" l="1"/>
  <c r="DJ107" i="112"/>
  <c r="DH107" i="112"/>
  <c r="DG107" i="112"/>
  <c r="DJ98" i="112" l="1"/>
  <c r="DJ21" i="1"/>
  <c r="CP91" i="6"/>
  <c r="CP90" i="6"/>
  <c r="CP89" i="6"/>
  <c r="CP88" i="6"/>
  <c r="CP87" i="6"/>
  <c r="I116" i="125" l="1"/>
  <c r="I115" i="125"/>
  <c r="I114" i="125"/>
  <c r="I113" i="125"/>
  <c r="I112" i="125"/>
  <c r="I111" i="125"/>
  <c r="N88" i="125"/>
  <c r="S87" i="125"/>
  <c r="M83" i="125"/>
  <c r="M82" i="125"/>
  <c r="M81" i="125"/>
  <c r="M80" i="125"/>
  <c r="M77" i="125"/>
  <c r="M76" i="125"/>
  <c r="M75" i="125"/>
  <c r="M74" i="125"/>
  <c r="M71" i="125"/>
  <c r="M70" i="125"/>
  <c r="M69" i="125"/>
  <c r="M68" i="125"/>
  <c r="M67" i="125"/>
  <c r="M66" i="125"/>
  <c r="M63" i="125"/>
  <c r="D63" i="125"/>
  <c r="M62" i="125"/>
  <c r="M60" i="125"/>
  <c r="M59" i="125"/>
  <c r="M58" i="125"/>
  <c r="M57" i="125"/>
  <c r="M56" i="125"/>
  <c r="M55" i="125"/>
  <c r="M54" i="125"/>
  <c r="M53" i="125"/>
  <c r="B53" i="125"/>
  <c r="M52" i="125"/>
  <c r="B52" i="125"/>
  <c r="B58" i="125" s="1"/>
  <c r="J82" i="125" s="1"/>
  <c r="J127" i="125" s="1"/>
  <c r="M51" i="125"/>
  <c r="B51" i="125"/>
  <c r="M50" i="125"/>
  <c r="B50" i="125"/>
  <c r="B56" i="125" s="1"/>
  <c r="J80" i="125" s="1"/>
  <c r="J125" i="125" s="1"/>
  <c r="M49" i="125"/>
  <c r="D49" i="125"/>
  <c r="D55" i="125" s="1"/>
  <c r="A46" i="125"/>
  <c r="M44" i="125"/>
  <c r="B44" i="125"/>
  <c r="B43" i="125"/>
  <c r="M42" i="125"/>
  <c r="J42" i="125"/>
  <c r="B42" i="125"/>
  <c r="M41" i="125"/>
  <c r="J41" i="125"/>
  <c r="B41" i="125"/>
  <c r="M40" i="125"/>
  <c r="J40" i="125"/>
  <c r="B40" i="125"/>
  <c r="M39" i="125"/>
  <c r="J39" i="125"/>
  <c r="E39" i="125"/>
  <c r="M38" i="125"/>
  <c r="J38" i="125"/>
  <c r="M34" i="125"/>
  <c r="M33" i="125"/>
  <c r="M32" i="125"/>
  <c r="M30" i="125"/>
  <c r="M29" i="125"/>
  <c r="M28" i="125"/>
  <c r="M26" i="125"/>
  <c r="M43" i="125" s="1"/>
  <c r="M25" i="125"/>
  <c r="M24" i="125"/>
  <c r="M23" i="125"/>
  <c r="M22" i="125"/>
  <c r="M21" i="125"/>
  <c r="H21" i="125"/>
  <c r="H49" i="125" s="1"/>
  <c r="H55" i="125" s="1"/>
  <c r="H39" i="125" s="1"/>
  <c r="G21" i="125"/>
  <c r="G49" i="125" s="1"/>
  <c r="G55" i="125" s="1"/>
  <c r="G39" i="125" s="1"/>
  <c r="F21" i="125"/>
  <c r="F49" i="125" s="1"/>
  <c r="F55" i="125" s="1"/>
  <c r="F39" i="125" s="1"/>
  <c r="E21" i="125"/>
  <c r="C21" i="125"/>
  <c r="C49" i="125" s="1"/>
  <c r="C55" i="125" s="1"/>
  <c r="C39" i="125" s="1"/>
  <c r="M20" i="125"/>
  <c r="M17" i="125"/>
  <c r="M16" i="125"/>
  <c r="M15" i="125"/>
  <c r="J15" i="125"/>
  <c r="M14" i="125"/>
  <c r="J14" i="125"/>
  <c r="M13" i="125"/>
  <c r="M12" i="125"/>
  <c r="J12" i="125"/>
  <c r="M11" i="125"/>
  <c r="M9" i="125"/>
  <c r="M8" i="125"/>
  <c r="T3" i="125"/>
  <c r="C2" i="125"/>
  <c r="DJ19" i="1"/>
  <c r="DJ20" i="1" s="1"/>
  <c r="DJ64" i="3"/>
  <c r="DF64" i="3"/>
  <c r="DB64" i="3"/>
  <c r="DJ53" i="51"/>
  <c r="DE53" i="51"/>
  <c r="DF53" i="51"/>
  <c r="DJ74" i="3"/>
  <c r="DJ71" i="3"/>
  <c r="DJ70" i="3" s="1"/>
  <c r="DJ69" i="3"/>
  <c r="DJ45" i="113"/>
  <c r="DJ89" i="2"/>
  <c r="DJ87" i="2" s="1"/>
  <c r="DJ21" i="113"/>
  <c r="DJ68" i="112"/>
  <c r="DJ62" i="112"/>
  <c r="DJ61" i="112"/>
  <c r="DJ57" i="112"/>
  <c r="DJ56" i="112"/>
  <c r="DJ55" i="112"/>
  <c r="DJ54" i="112"/>
  <c r="DJ53" i="112"/>
  <c r="DJ52" i="112"/>
  <c r="DJ51" i="112"/>
  <c r="DJ47" i="112"/>
  <c r="DJ46" i="112"/>
  <c r="DJ45" i="112"/>
  <c r="DJ44" i="112"/>
  <c r="DJ28" i="112"/>
  <c r="DJ14" i="112"/>
  <c r="DN25" i="112" s="1"/>
  <c r="DJ13" i="112"/>
  <c r="DN24" i="112" s="1"/>
  <c r="DJ12" i="112"/>
  <c r="DJ11" i="112"/>
  <c r="DJ82" i="2"/>
  <c r="DJ80" i="2"/>
  <c r="DJ79" i="2"/>
  <c r="DJ65" i="2"/>
  <c r="DJ64" i="2"/>
  <c r="DJ63" i="2"/>
  <c r="DJ62" i="2"/>
  <c r="DJ48" i="3"/>
  <c r="DJ35" i="3"/>
  <c r="DJ24" i="3"/>
  <c r="DJ25" i="3" s="1"/>
  <c r="DJ49" i="2"/>
  <c r="DK66" i="2" s="1"/>
  <c r="DJ35" i="2"/>
  <c r="DJ18" i="2"/>
  <c r="DJ58" i="51"/>
  <c r="DJ50" i="51"/>
  <c r="CP48" i="6"/>
  <c r="CP47" i="6"/>
  <c r="CP46" i="6"/>
  <c r="CP45" i="6"/>
  <c r="CP44" i="6"/>
  <c r="DJ15" i="51"/>
  <c r="DN24" i="51" s="1"/>
  <c r="DJ134" i="1"/>
  <c r="DJ133" i="1"/>
  <c r="DJ121" i="1"/>
  <c r="DJ120" i="1"/>
  <c r="DJ118" i="1"/>
  <c r="DJ117" i="1"/>
  <c r="DJ16" i="1"/>
  <c r="DJ14" i="1"/>
  <c r="DK122" i="1" s="1"/>
  <c r="DJ11" i="1"/>
  <c r="DN22" i="112" l="1"/>
  <c r="DJ152" i="112"/>
  <c r="DN23" i="112"/>
  <c r="DJ17" i="51"/>
  <c r="AA12" i="115"/>
  <c r="DK119" i="1"/>
  <c r="DJ151" i="112"/>
  <c r="DN163" i="112" s="1"/>
  <c r="C6" i="125"/>
  <c r="K9" i="125" s="1"/>
  <c r="O9" i="125" s="1"/>
  <c r="C8" i="125"/>
  <c r="K56" i="125" s="1"/>
  <c r="T56" i="125" s="1"/>
  <c r="C13" i="125"/>
  <c r="E13" i="125" s="1"/>
  <c r="F13" i="125" s="1"/>
  <c r="C4" i="125"/>
  <c r="E4" i="125" s="1"/>
  <c r="C5" i="125"/>
  <c r="E5" i="125" s="1"/>
  <c r="F5" i="125" s="1"/>
  <c r="C11" i="125"/>
  <c r="K58" i="125" s="1"/>
  <c r="N58" i="125" s="1"/>
  <c r="X13" i="125"/>
  <c r="X20" i="125"/>
  <c r="X39" i="125"/>
  <c r="R61" i="125"/>
  <c r="X11" i="125"/>
  <c r="Y8" i="125"/>
  <c r="Y9" i="125"/>
  <c r="Y70" i="125"/>
  <c r="Y54" i="125"/>
  <c r="X59" i="125"/>
  <c r="X28" i="125"/>
  <c r="X38" i="125"/>
  <c r="R80" i="125"/>
  <c r="Y80" i="125" s="1"/>
  <c r="Y66" i="125"/>
  <c r="Y52" i="125"/>
  <c r="Y16" i="125"/>
  <c r="X17" i="125"/>
  <c r="X23" i="125"/>
  <c r="Y25" i="125"/>
  <c r="X43" i="125"/>
  <c r="X58" i="125"/>
  <c r="Y50" i="125"/>
  <c r="Y55" i="125"/>
  <c r="R82" i="125"/>
  <c r="X82" i="125" s="1"/>
  <c r="Y68" i="125"/>
  <c r="R83" i="125"/>
  <c r="Y83" i="125" s="1"/>
  <c r="Y71" i="125"/>
  <c r="R126" i="125"/>
  <c r="X75" i="125"/>
  <c r="Y51" i="125"/>
  <c r="Y62" i="125"/>
  <c r="X62" i="125"/>
  <c r="Y42" i="125"/>
  <c r="R81" i="125"/>
  <c r="X81" i="125" s="1"/>
  <c r="Y69" i="125"/>
  <c r="X69" i="125"/>
  <c r="R127" i="125"/>
  <c r="R125" i="125"/>
  <c r="F91" i="125"/>
  <c r="G94" i="125"/>
  <c r="R98" i="125"/>
  <c r="R101" i="125"/>
  <c r="R106" i="125"/>
  <c r="R128" i="125"/>
  <c r="X71" i="125"/>
  <c r="X55" i="125"/>
  <c r="Y57" i="125"/>
  <c r="Y49" i="125"/>
  <c r="X49" i="125"/>
  <c r="M10" i="125"/>
  <c r="M35" i="125"/>
  <c r="Y53" i="125"/>
  <c r="X53" i="125"/>
  <c r="X66" i="125"/>
  <c r="C19" i="125"/>
  <c r="C7" i="125"/>
  <c r="C9" i="125"/>
  <c r="Y67" i="125"/>
  <c r="X67" i="125"/>
  <c r="B57" i="125"/>
  <c r="J81" i="125" s="1"/>
  <c r="J126" i="125" s="1"/>
  <c r="I120" i="125"/>
  <c r="X63" i="125"/>
  <c r="Y77" i="125"/>
  <c r="X52" i="125"/>
  <c r="Y74" i="125"/>
  <c r="X77" i="125"/>
  <c r="X50" i="125"/>
  <c r="I121" i="125"/>
  <c r="X57" i="125"/>
  <c r="Y58" i="125"/>
  <c r="X70" i="125"/>
  <c r="Y76" i="125"/>
  <c r="I119" i="125"/>
  <c r="X51" i="125"/>
  <c r="Y56" i="125"/>
  <c r="X56" i="125"/>
  <c r="Y59" i="125"/>
  <c r="M61" i="125"/>
  <c r="Y60" i="125"/>
  <c r="X60" i="125"/>
  <c r="Y63" i="125"/>
  <c r="X68" i="125"/>
  <c r="Y75" i="125"/>
  <c r="I122" i="125"/>
  <c r="B59" i="125"/>
  <c r="J83" i="125" s="1"/>
  <c r="J128" i="125" s="1"/>
  <c r="X54" i="125"/>
  <c r="X74" i="125"/>
  <c r="X76" i="125"/>
  <c r="M100" i="125"/>
  <c r="M99" i="125"/>
  <c r="DJ61" i="2"/>
  <c r="DJ52" i="51"/>
  <c r="DJ54" i="51" s="1"/>
  <c r="DJ68" i="2"/>
  <c r="DJ19" i="112"/>
  <c r="DJ57" i="51"/>
  <c r="DJ48" i="112"/>
  <c r="DJ49" i="112" s="1"/>
  <c r="DJ54" i="3"/>
  <c r="DJ55" i="3" s="1"/>
  <c r="DJ50" i="3"/>
  <c r="DJ15" i="1"/>
  <c r="DK46" i="112"/>
  <c r="AA14" i="115" l="1"/>
  <c r="DN184" i="112"/>
  <c r="DJ23" i="1"/>
  <c r="DJ26" i="1" s="1"/>
  <c r="DK123" i="1"/>
  <c r="N56" i="125"/>
  <c r="Y11" i="125"/>
  <c r="O56" i="125"/>
  <c r="E8" i="125"/>
  <c r="F8" i="125" s="1"/>
  <c r="K8" i="125"/>
  <c r="O8" i="125" s="1"/>
  <c r="X8" i="125"/>
  <c r="Y17" i="125"/>
  <c r="X9" i="125"/>
  <c r="S56" i="125"/>
  <c r="X42" i="125"/>
  <c r="R15" i="125"/>
  <c r="X15" i="125" s="1"/>
  <c r="E11" i="125"/>
  <c r="I13" i="125" s="1"/>
  <c r="K12" i="125"/>
  <c r="O12" i="125" s="1"/>
  <c r="T58" i="125"/>
  <c r="O58" i="125"/>
  <c r="Y38" i="125"/>
  <c r="N9" i="125"/>
  <c r="X14" i="125"/>
  <c r="T9" i="125"/>
  <c r="Y14" i="125"/>
  <c r="E6" i="125"/>
  <c r="F6" i="125" s="1"/>
  <c r="S9" i="125"/>
  <c r="Y43" i="125"/>
  <c r="S58" i="125"/>
  <c r="DJ65" i="3"/>
  <c r="Y28" i="125"/>
  <c r="X80" i="125"/>
  <c r="C10" i="125"/>
  <c r="K11" i="125" s="1"/>
  <c r="K60" i="125"/>
  <c r="K14" i="125"/>
  <c r="Y82" i="125"/>
  <c r="X83" i="125"/>
  <c r="Y81" i="125"/>
  <c r="R32" i="125"/>
  <c r="Y99" i="125"/>
  <c r="M101" i="125"/>
  <c r="X99" i="125"/>
  <c r="X16" i="125"/>
  <c r="Y21" i="125"/>
  <c r="X21" i="125"/>
  <c r="Y24" i="125"/>
  <c r="X24" i="125"/>
  <c r="Y100" i="125"/>
  <c r="X100" i="125"/>
  <c r="Y41" i="125"/>
  <c r="X41" i="125"/>
  <c r="R10" i="125"/>
  <c r="Y10" i="125" s="1"/>
  <c r="Y39" i="125"/>
  <c r="E9" i="125"/>
  <c r="Y30" i="125"/>
  <c r="X30" i="125"/>
  <c r="R34" i="125"/>
  <c r="X29" i="125"/>
  <c r="R33" i="125"/>
  <c r="Y29" i="125"/>
  <c r="Y22" i="125"/>
  <c r="X22" i="125"/>
  <c r="X25" i="125"/>
  <c r="Y26" i="125"/>
  <c r="X26" i="125"/>
  <c r="R35" i="125"/>
  <c r="Y20" i="125"/>
  <c r="Y61" i="125"/>
  <c r="X61" i="125"/>
  <c r="K55" i="125"/>
  <c r="E7" i="125"/>
  <c r="F7" i="125" s="1"/>
  <c r="E19" i="125"/>
  <c r="F19" i="125" s="1"/>
  <c r="F4" i="125"/>
  <c r="Y23" i="125"/>
  <c r="Y40" i="125"/>
  <c r="X40" i="125"/>
  <c r="Y13" i="125"/>
  <c r="R12" i="125"/>
  <c r="DJ17" i="1"/>
  <c r="DJ75" i="2" s="1"/>
  <c r="DJ105" i="112"/>
  <c r="DJ25" i="1" l="1"/>
  <c r="C15" i="125"/>
  <c r="E15" i="125" s="1"/>
  <c r="F15" i="125" s="1"/>
  <c r="DK127" i="1"/>
  <c r="C12" i="125"/>
  <c r="DK126" i="1"/>
  <c r="S8" i="125"/>
  <c r="N8" i="125"/>
  <c r="F11" i="125"/>
  <c r="T8" i="125"/>
  <c r="N12" i="125"/>
  <c r="DJ74" i="2"/>
  <c r="T12" i="125"/>
  <c r="DJ72" i="2"/>
  <c r="DJ73" i="2"/>
  <c r="I8" i="125"/>
  <c r="DJ85" i="2"/>
  <c r="E10" i="125"/>
  <c r="I12" i="125" s="1"/>
  <c r="C37" i="125"/>
  <c r="F37" i="125" s="1"/>
  <c r="N14" i="125"/>
  <c r="O14" i="125"/>
  <c r="S14" i="125"/>
  <c r="T14" i="125"/>
  <c r="K57" i="125"/>
  <c r="T57" i="125" s="1"/>
  <c r="T60" i="125"/>
  <c r="S60" i="125"/>
  <c r="O60" i="125"/>
  <c r="N60" i="125"/>
  <c r="X10" i="125"/>
  <c r="T55" i="125"/>
  <c r="S55" i="125"/>
  <c r="O55" i="125"/>
  <c r="N55" i="125"/>
  <c r="O11" i="125"/>
  <c r="S11" i="125"/>
  <c r="K35" i="125"/>
  <c r="T11" i="125"/>
  <c r="N11" i="125"/>
  <c r="K10" i="125"/>
  <c r="X33" i="125"/>
  <c r="X101" i="125"/>
  <c r="Y101" i="125"/>
  <c r="X35" i="125"/>
  <c r="Y12" i="125"/>
  <c r="X12" i="125"/>
  <c r="S12" i="125"/>
  <c r="X34" i="125"/>
  <c r="I11" i="125"/>
  <c r="F9" i="125"/>
  <c r="X32" i="125"/>
  <c r="DJ30" i="1"/>
  <c r="DJ29" i="1"/>
  <c r="DK129" i="1" s="1"/>
  <c r="DJ28" i="1"/>
  <c r="DM141" i="112"/>
  <c r="K13" i="125" l="1"/>
  <c r="I14" i="125"/>
  <c r="K59" i="125"/>
  <c r="E12" i="125"/>
  <c r="F12" i="125" s="1"/>
  <c r="C14" i="125"/>
  <c r="C17" i="125"/>
  <c r="E17" i="125" s="1"/>
  <c r="F17" i="125" s="1"/>
  <c r="DK130" i="1"/>
  <c r="C16" i="125"/>
  <c r="K62" i="125" s="1"/>
  <c r="DK128" i="1"/>
  <c r="O57" i="125"/>
  <c r="N57" i="125"/>
  <c r="S57" i="125"/>
  <c r="F10" i="125"/>
  <c r="S35" i="125"/>
  <c r="N35" i="125"/>
  <c r="S10" i="125"/>
  <c r="O10" i="125"/>
  <c r="T10" i="125"/>
  <c r="N10" i="125"/>
  <c r="DJ32" i="1"/>
  <c r="DJ31" i="1"/>
  <c r="DK131" i="1" s="1"/>
  <c r="A46" i="115"/>
  <c r="K16" i="125" l="1"/>
  <c r="N16" i="125" s="1"/>
  <c r="E14" i="125"/>
  <c r="K15" i="125"/>
  <c r="N15" i="125" s="1"/>
  <c r="E16" i="125"/>
  <c r="F16" i="125" s="1"/>
  <c r="O59" i="125"/>
  <c r="N59" i="125"/>
  <c r="K61" i="125"/>
  <c r="T59" i="125"/>
  <c r="S59" i="125"/>
  <c r="C18" i="125"/>
  <c r="K17" i="125" s="1"/>
  <c r="DK132" i="1"/>
  <c r="S13" i="125"/>
  <c r="T13" i="125"/>
  <c r="O13" i="125"/>
  <c r="N13" i="125"/>
  <c r="S62" i="125"/>
  <c r="O62" i="125"/>
  <c r="T62" i="125"/>
  <c r="N62" i="125"/>
  <c r="DK17" i="112"/>
  <c r="DI79" i="112"/>
  <c r="DH79" i="112"/>
  <c r="DG79" i="112"/>
  <c r="DK28" i="112" l="1"/>
  <c r="DO28" i="112"/>
  <c r="T16" i="125"/>
  <c r="O16" i="125"/>
  <c r="S16" i="125"/>
  <c r="K63" i="125"/>
  <c r="S63" i="125" s="1"/>
  <c r="N61" i="125"/>
  <c r="S61" i="125"/>
  <c r="T61" i="125"/>
  <c r="E18" i="125"/>
  <c r="F18" i="125" s="1"/>
  <c r="T17" i="125"/>
  <c r="S17" i="125"/>
  <c r="O17" i="125"/>
  <c r="N17" i="125"/>
  <c r="DJ141" i="112"/>
  <c r="DF81" i="112"/>
  <c r="DF59" i="112" s="1"/>
  <c r="DJ89" i="112"/>
  <c r="DJ67" i="112" s="1"/>
  <c r="DJ81" i="112"/>
  <c r="DJ59" i="112" s="1"/>
  <c r="DJ80" i="112"/>
  <c r="DF80" i="112"/>
  <c r="DF79" i="112"/>
  <c r="DF89" i="112"/>
  <c r="T63" i="125" l="1"/>
  <c r="N63" i="125"/>
  <c r="O63" i="125"/>
  <c r="DV83" i="112"/>
  <c r="DZ84" i="112" s="1"/>
  <c r="DJ58" i="112"/>
  <c r="DJ60" i="112"/>
  <c r="DJ91" i="112"/>
  <c r="DO81" i="112"/>
  <c r="DO59" i="112" s="1"/>
  <c r="DL80" i="112"/>
  <c r="DL91" i="112" s="1"/>
  <c r="DS82" i="112" l="1"/>
  <c r="DW83" i="112" s="1"/>
  <c r="DO91" i="112"/>
  <c r="ED85" i="112"/>
  <c r="EH86" i="112" s="1"/>
  <c r="DJ69" i="112"/>
  <c r="DJ150" i="112" s="1"/>
  <c r="DM80" i="112"/>
  <c r="DQ81" i="112" s="1"/>
  <c r="DT82" i="112" l="1"/>
  <c r="DX83" i="112" s="1"/>
  <c r="DM91" i="112"/>
  <c r="EA84" i="112"/>
  <c r="EE85" i="112" s="1"/>
  <c r="EI86" i="112" s="1"/>
  <c r="DJ70" i="112"/>
  <c r="DU82" i="112" l="1"/>
  <c r="DY83" i="112" s="1"/>
  <c r="EC84" i="112" s="1"/>
  <c r="EG85" i="112" s="1"/>
  <c r="EK86" i="112" s="1"/>
  <c r="EB84" i="112"/>
  <c r="EF85" i="112" s="1"/>
  <c r="EJ86" i="112" s="1"/>
  <c r="FN17" i="112"/>
  <c r="FM17" i="112"/>
  <c r="FL17" i="112"/>
  <c r="FK17" i="112"/>
  <c r="FJ17" i="112"/>
  <c r="FI17" i="112"/>
  <c r="FR17" i="112" l="1"/>
  <c r="FU17" i="112"/>
  <c r="FS17" i="112"/>
  <c r="FT17" i="112"/>
  <c r="EA39" i="112"/>
  <c r="EC39" i="112"/>
  <c r="EB39" i="112"/>
  <c r="DZ39" i="112"/>
  <c r="DV39" i="112"/>
  <c r="DV28" i="112"/>
  <c r="EK39" i="112"/>
  <c r="EJ39" i="112"/>
  <c r="EI39" i="112"/>
  <c r="EH39" i="112"/>
  <c r="EG39" i="112"/>
  <c r="EF39" i="112"/>
  <c r="EE39" i="112"/>
  <c r="ED39" i="112"/>
  <c r="DY39" i="112"/>
  <c r="DX39" i="112"/>
  <c r="DW39" i="112"/>
  <c r="DK39" i="112"/>
  <c r="DJ39" i="112"/>
  <c r="DI39" i="112"/>
  <c r="DH39" i="112"/>
  <c r="DG39" i="112"/>
  <c r="DF39" i="112"/>
  <c r="DE39" i="112"/>
  <c r="DD39" i="112"/>
  <c r="DC39" i="112"/>
  <c r="DB39" i="112"/>
  <c r="DA39" i="112"/>
  <c r="CZ39" i="112"/>
  <c r="CY39" i="112"/>
  <c r="CX39" i="112"/>
  <c r="CW39" i="112"/>
  <c r="CV39" i="112"/>
  <c r="CU39" i="112"/>
  <c r="CT39" i="112"/>
  <c r="CS39" i="112"/>
  <c r="CR39" i="112"/>
  <c r="CQ39" i="112"/>
  <c r="CP39" i="112"/>
  <c r="CO39" i="112"/>
  <c r="CN39" i="112"/>
  <c r="CM39" i="112"/>
  <c r="CL39" i="112"/>
  <c r="CK39" i="112"/>
  <c r="CJ39" i="112"/>
  <c r="CI39" i="112"/>
  <c r="CH39" i="112"/>
  <c r="CG39" i="112"/>
  <c r="CF39" i="112"/>
  <c r="CE39" i="112"/>
  <c r="CD39" i="112"/>
  <c r="CC39" i="112"/>
  <c r="CB39" i="112"/>
  <c r="CA39" i="112"/>
  <c r="BZ39" i="112"/>
  <c r="BY39" i="112"/>
  <c r="BX39" i="112"/>
  <c r="BW39" i="112"/>
  <c r="BV39" i="112"/>
  <c r="BU39" i="112"/>
  <c r="BT39" i="112"/>
  <c r="BS39" i="112"/>
  <c r="BR39" i="112"/>
  <c r="BQ39" i="112"/>
  <c r="BP39" i="112"/>
  <c r="BO39" i="112"/>
  <c r="BN39" i="112"/>
  <c r="BM39" i="112"/>
  <c r="BL39" i="112"/>
  <c r="BK39" i="112"/>
  <c r="BJ39" i="112"/>
  <c r="BI39" i="112"/>
  <c r="BH39" i="112"/>
  <c r="BG39" i="112"/>
  <c r="BF39" i="112"/>
  <c r="BE39" i="112"/>
  <c r="BD39" i="112"/>
  <c r="BC39" i="112"/>
  <c r="BB39" i="112"/>
  <c r="BA39" i="112"/>
  <c r="AZ39" i="112"/>
  <c r="AY39" i="112"/>
  <c r="AX39" i="112"/>
  <c r="AW39" i="112"/>
  <c r="AV39" i="112"/>
  <c r="AU39" i="112"/>
  <c r="AT39" i="112"/>
  <c r="EK28" i="112"/>
  <c r="EJ28" i="112"/>
  <c r="EI28" i="112"/>
  <c r="EH28" i="112"/>
  <c r="EG28" i="112"/>
  <c r="EF28" i="112"/>
  <c r="EE28" i="112"/>
  <c r="ED28" i="112"/>
  <c r="EC28" i="112"/>
  <c r="EB28" i="112"/>
  <c r="DI28" i="112"/>
  <c r="DH28" i="112"/>
  <c r="DG28" i="112"/>
  <c r="DF28" i="112"/>
  <c r="DE28" i="112"/>
  <c r="DD28" i="112"/>
  <c r="DC28" i="112"/>
  <c r="DB28" i="112"/>
  <c r="A28" i="112"/>
  <c r="A39" i="112" s="1"/>
  <c r="DI98" i="112"/>
  <c r="DH98" i="112"/>
  <c r="FS28" i="112" l="1"/>
  <c r="FU28" i="112"/>
  <c r="DY28" i="112"/>
  <c r="DP28" i="112"/>
  <c r="DU39" i="112"/>
  <c r="FT28" i="112"/>
  <c r="DP39" i="112"/>
  <c r="DU28" i="112"/>
  <c r="DS28" i="112"/>
  <c r="DO39" i="112"/>
  <c r="DM39" i="112"/>
  <c r="DQ39" i="112"/>
  <c r="DQ28" i="112"/>
  <c r="FO17" i="112"/>
  <c r="FQ17" i="112"/>
  <c r="DT28" i="112"/>
  <c r="DL39" i="112"/>
  <c r="DR28" i="112"/>
  <c r="DR39" i="112"/>
  <c r="FP17" i="112"/>
  <c r="DZ28" i="112"/>
  <c r="EA28" i="112"/>
  <c r="DW28" i="112"/>
  <c r="DS39" i="112"/>
  <c r="DX28" i="112"/>
  <c r="DT39" i="112"/>
  <c r="DN39" i="112"/>
  <c r="FP28" i="112" l="1"/>
  <c r="FQ28" i="112"/>
  <c r="FR28" i="112"/>
  <c r="DF144" i="113" l="1"/>
  <c r="CO33" i="6" l="1"/>
  <c r="CO91" i="6" s="1"/>
  <c r="CO32" i="6"/>
  <c r="CO90" i="6" s="1"/>
  <c r="CO31" i="6"/>
  <c r="CO89" i="6" s="1"/>
  <c r="CO30" i="6"/>
  <c r="CO88" i="6" s="1"/>
  <c r="CO29" i="6"/>
  <c r="CO48" i="6"/>
  <c r="CO47" i="6"/>
  <c r="CO46" i="6"/>
  <c r="CO45" i="6"/>
  <c r="CO44" i="6"/>
  <c r="DI69" i="3"/>
  <c r="DI74" i="3"/>
  <c r="DJ68" i="3" s="1"/>
  <c r="DI22" i="1"/>
  <c r="DI208" i="92" s="1"/>
  <c r="DI20" i="1"/>
  <c r="DI19" i="1"/>
  <c r="DI116" i="2" s="1"/>
  <c r="DI82" i="112" l="1"/>
  <c r="DI91" i="112" l="1"/>
  <c r="DI105" i="112"/>
  <c r="AE34" i="116" l="1"/>
  <c r="AE36" i="116"/>
  <c r="AE35" i="116"/>
  <c r="DI102" i="92" l="1"/>
  <c r="DI121" i="1"/>
  <c r="DI120" i="1"/>
  <c r="DI21" i="113"/>
  <c r="DM47" i="113" s="1"/>
  <c r="DM49" i="113" s="1"/>
  <c r="DI14" i="112" l="1"/>
  <c r="DM25" i="112" s="1"/>
  <c r="DI13" i="112"/>
  <c r="DM24" i="112" s="1"/>
  <c r="DI12" i="112"/>
  <c r="DM23" i="112" s="1"/>
  <c r="DI11" i="112"/>
  <c r="DI82" i="2"/>
  <c r="DJ78" i="2" s="1"/>
  <c r="DI65" i="2"/>
  <c r="DI63" i="2"/>
  <c r="DI62" i="2"/>
  <c r="DI58" i="51"/>
  <c r="DI53" i="51"/>
  <c r="DM22" i="112" l="1"/>
  <c r="CS49" i="6"/>
  <c r="DJ81" i="2"/>
  <c r="DJ84" i="2"/>
  <c r="FM116" i="51"/>
  <c r="FM115" i="51"/>
  <c r="FM114" i="51"/>
  <c r="FM113" i="51"/>
  <c r="FM131" i="51" s="1"/>
  <c r="FM112" i="51"/>
  <c r="FM130" i="51" s="1"/>
  <c r="FM111" i="51"/>
  <c r="FM110" i="51"/>
  <c r="FM109" i="51"/>
  <c r="FM108" i="51"/>
  <c r="FM107" i="51"/>
  <c r="FM125" i="51" s="1"/>
  <c r="FM106" i="51"/>
  <c r="FM124" i="51" s="1"/>
  <c r="FM117" i="51"/>
  <c r="FS99" i="51"/>
  <c r="FS98" i="51"/>
  <c r="FS97" i="51"/>
  <c r="FS96" i="51"/>
  <c r="FS95" i="51"/>
  <c r="FS94" i="51"/>
  <c r="FS93" i="51"/>
  <c r="FS92" i="51"/>
  <c r="FS91" i="51"/>
  <c r="FS90" i="51"/>
  <c r="FS89" i="51"/>
  <c r="FS100" i="51"/>
  <c r="FS116" i="51"/>
  <c r="FS115" i="51"/>
  <c r="FS114" i="51"/>
  <c r="FS113" i="51"/>
  <c r="FS112" i="51"/>
  <c r="FS111" i="51"/>
  <c r="FS110" i="51"/>
  <c r="FS109" i="51"/>
  <c r="FS108" i="51"/>
  <c r="FS107" i="51"/>
  <c r="FS106" i="51"/>
  <c r="FS117" i="51"/>
  <c r="FM135" i="51" l="1"/>
  <c r="FM126" i="51"/>
  <c r="FM132" i="51"/>
  <c r="FM127" i="51"/>
  <c r="FM133" i="51"/>
  <c r="FM128" i="51"/>
  <c r="FM134" i="51"/>
  <c r="FM129" i="51"/>
  <c r="DU159" i="112" l="1"/>
  <c r="DV159" i="112" s="1"/>
  <c r="DW159" i="112" s="1"/>
  <c r="DX159" i="112" s="1"/>
  <c r="DY159" i="112" s="1"/>
  <c r="DZ159" i="112" s="1"/>
  <c r="EA159" i="112" s="1"/>
  <c r="EB159" i="112" s="1"/>
  <c r="EC159" i="112" s="1"/>
  <c r="ED159" i="112" s="1"/>
  <c r="EE159" i="112" s="1"/>
  <c r="EF159" i="112" s="1"/>
  <c r="EG159" i="112" s="1"/>
  <c r="EH159" i="112" s="1"/>
  <c r="EI159" i="112" s="1"/>
  <c r="EJ159" i="112" s="1"/>
  <c r="EK159" i="112" s="1"/>
  <c r="DA100" i="112" l="1"/>
  <c r="DE100" i="112"/>
  <c r="DI107" i="112" s="1"/>
  <c r="DC107" i="112"/>
  <c r="DF107" i="112"/>
  <c r="DD107" i="112"/>
  <c r="DE107" i="112" l="1"/>
  <c r="DV84" i="112" l="1"/>
  <c r="DH116" i="2"/>
  <c r="CN87" i="6"/>
  <c r="CN88" i="6"/>
  <c r="CN89" i="6"/>
  <c r="CN90" i="6"/>
  <c r="CN91" i="6"/>
  <c r="AP6" i="114" l="1"/>
  <c r="AP14" i="114" s="1"/>
  <c r="AQ14" i="114" s="1"/>
  <c r="AR14" i="114" s="1"/>
  <c r="DH208" i="92"/>
  <c r="DH100" i="92"/>
  <c r="DH102" i="92"/>
  <c r="DH103" i="92" s="1"/>
  <c r="CN44" i="6"/>
  <c r="CN45" i="6"/>
  <c r="CN46" i="6"/>
  <c r="CN47" i="6"/>
  <c r="DH74" i="3"/>
  <c r="DH69" i="3"/>
  <c r="DH43" i="3"/>
  <c r="DI43" i="3" s="1"/>
  <c r="DH82" i="2"/>
  <c r="DH65" i="2"/>
  <c r="DH64" i="2"/>
  <c r="DH63" i="2"/>
  <c r="DH62" i="2"/>
  <c r="DH44" i="112"/>
  <c r="DH59" i="112"/>
  <c r="DH21" i="113"/>
  <c r="DL47" i="113" s="1"/>
  <c r="DL49" i="113" s="1"/>
  <c r="DH120" i="1"/>
  <c r="DH121" i="1"/>
  <c r="DH14" i="112"/>
  <c r="DH13" i="112"/>
  <c r="DH158" i="112" s="1"/>
  <c r="DH12" i="112"/>
  <c r="DH152" i="112" s="1"/>
  <c r="DH11" i="112"/>
  <c r="DH58" i="51"/>
  <c r="DH53" i="51"/>
  <c r="DH15" i="51"/>
  <c r="DH57" i="51" s="1"/>
  <c r="DH21" i="1"/>
  <c r="DH14" i="1"/>
  <c r="DH11" i="1"/>
  <c r="CR49" i="6" l="1"/>
  <c r="DH19" i="112"/>
  <c r="DH52" i="51"/>
  <c r="DH54" i="51" s="1"/>
  <c r="DH151" i="112"/>
  <c r="DH68" i="2"/>
  <c r="DH15" i="1"/>
  <c r="DH23" i="1" l="1"/>
  <c r="DH25" i="1" s="1"/>
  <c r="DG116" i="2"/>
  <c r="M14" i="115" l="1"/>
  <c r="J15" i="115"/>
  <c r="J14" i="115"/>
  <c r="M13" i="115" l="1"/>
  <c r="M12" i="115"/>
  <c r="J12" i="115"/>
  <c r="X14" i="115" l="1"/>
  <c r="X13" i="115"/>
  <c r="R15" i="115"/>
  <c r="M15" i="115"/>
  <c r="M44" i="115" l="1"/>
  <c r="I116" i="115"/>
  <c r="I115" i="115"/>
  <c r="I114" i="115"/>
  <c r="I113" i="115"/>
  <c r="I112" i="115"/>
  <c r="I111" i="115"/>
  <c r="R12" i="115" l="1"/>
  <c r="X12" i="115" l="1"/>
  <c r="DI44" i="112" l="1"/>
  <c r="DI46" i="112" l="1"/>
  <c r="CO25" i="6" l="1"/>
  <c r="CO26" i="6" s="1"/>
  <c r="CN25" i="6"/>
  <c r="CN26" i="6" s="1"/>
  <c r="CO23" i="6"/>
  <c r="CO24" i="6" s="1"/>
  <c r="CN23" i="6"/>
  <c r="CN24" i="6" s="1"/>
  <c r="DH105" i="112" l="1"/>
  <c r="A61" i="113"/>
  <c r="A46" i="113"/>
  <c r="A33" i="113"/>
  <c r="FU20" i="1" l="1"/>
  <c r="FT20" i="1"/>
  <c r="FS20" i="1"/>
  <c r="FR20" i="1"/>
  <c r="FQ20" i="1"/>
  <c r="FP20" i="1"/>
  <c r="DC106" i="112"/>
  <c r="DC98" i="112"/>
  <c r="DG98" i="112"/>
  <c r="DG82" i="2" l="1"/>
  <c r="DG104" i="2"/>
  <c r="DG103" i="2"/>
  <c r="DG102" i="92"/>
  <c r="DG103" i="92" s="1"/>
  <c r="DG100" i="92"/>
  <c r="DF104" i="2" l="1"/>
  <c r="DF103" i="2"/>
  <c r="CM91" i="6"/>
  <c r="CM90" i="6"/>
  <c r="CM89" i="6"/>
  <c r="CM88" i="6"/>
  <c r="CM87" i="6"/>
  <c r="DG62" i="3"/>
  <c r="DG61" i="3"/>
  <c r="DH61" i="3" l="1"/>
  <c r="DI61" i="3" s="1"/>
  <c r="DH62" i="3"/>
  <c r="DI62" i="3" s="1"/>
  <c r="DH76" i="113"/>
  <c r="DI76" i="113" l="1"/>
  <c r="DJ76" i="113" s="1"/>
  <c r="DK76" i="113" s="1"/>
  <c r="DL76" i="113" s="1"/>
  <c r="DG65" i="2"/>
  <c r="DG64" i="2"/>
  <c r="DG63" i="2"/>
  <c r="DG62" i="2"/>
  <c r="DG45" i="3"/>
  <c r="DG47" i="3"/>
  <c r="DG44" i="3"/>
  <c r="DG42" i="3"/>
  <c r="DG41" i="3"/>
  <c r="DG40" i="3"/>
  <c r="DG34" i="3"/>
  <c r="DG32" i="3"/>
  <c r="DG30" i="3"/>
  <c r="DG29" i="3"/>
  <c r="DG28" i="3"/>
  <c r="DG23" i="3"/>
  <c r="DG22" i="3"/>
  <c r="DG21" i="3"/>
  <c r="DG20" i="3"/>
  <c r="DG19" i="3"/>
  <c r="DG18" i="3"/>
  <c r="DG17" i="3"/>
  <c r="DG14" i="3"/>
  <c r="DG15" i="3"/>
  <c r="DG13" i="3"/>
  <c r="DG12" i="3"/>
  <c r="DG11" i="3"/>
  <c r="DG74" i="3"/>
  <c r="DG69" i="3"/>
  <c r="DG68" i="3"/>
  <c r="DG48" i="113"/>
  <c r="DG45" i="113"/>
  <c r="DG44" i="112"/>
  <c r="DM76" i="113" l="1"/>
  <c r="DN76" i="113" s="1"/>
  <c r="DO76" i="113" s="1"/>
  <c r="DP76" i="113" s="1"/>
  <c r="DQ76" i="113" s="1"/>
  <c r="DR76" i="113" s="1"/>
  <c r="DS76" i="113" s="1"/>
  <c r="DT76" i="113" s="1"/>
  <c r="DU76" i="113" s="1"/>
  <c r="DV76" i="113" s="1"/>
  <c r="DW76" i="113" s="1"/>
  <c r="DX76" i="113" s="1"/>
  <c r="DY76" i="113" s="1"/>
  <c r="DZ76" i="113" s="1"/>
  <c r="EA76" i="113" s="1"/>
  <c r="EB76" i="113" s="1"/>
  <c r="EC76" i="113" s="1"/>
  <c r="ED76" i="113" s="1"/>
  <c r="EE76" i="113" s="1"/>
  <c r="EF76" i="113" s="1"/>
  <c r="EG76" i="113" s="1"/>
  <c r="EH76" i="113" s="1"/>
  <c r="EI76" i="113" s="1"/>
  <c r="EJ76" i="113" s="1"/>
  <c r="EK76" i="113" s="1"/>
  <c r="DG64" i="3"/>
  <c r="DH34" i="3"/>
  <c r="DI34" i="3" s="1"/>
  <c r="DH45" i="3"/>
  <c r="DI45" i="3" s="1"/>
  <c r="DH40" i="3"/>
  <c r="DI40" i="3" s="1"/>
  <c r="DH28" i="3"/>
  <c r="DI28" i="3" s="1"/>
  <c r="DH14" i="3"/>
  <c r="DI14" i="3" s="1"/>
  <c r="DH23" i="3"/>
  <c r="DI23" i="3" s="1"/>
  <c r="DH18" i="3"/>
  <c r="DI18" i="3" s="1"/>
  <c r="DH41" i="3"/>
  <c r="DI41" i="3" s="1"/>
  <c r="DH29" i="3"/>
  <c r="DI29" i="3" s="1"/>
  <c r="DH22" i="3"/>
  <c r="DI22" i="3" s="1"/>
  <c r="DH17" i="3"/>
  <c r="DI17" i="3" s="1"/>
  <c r="DH11" i="3"/>
  <c r="DI11" i="3" s="1"/>
  <c r="DH13" i="3"/>
  <c r="DI13" i="3" s="1"/>
  <c r="DH20" i="3"/>
  <c r="DI20" i="3" s="1"/>
  <c r="DH30" i="3"/>
  <c r="DI30" i="3" s="1"/>
  <c r="DH44" i="3"/>
  <c r="DI44" i="3" s="1"/>
  <c r="DH19" i="3"/>
  <c r="DI19" i="3" s="1"/>
  <c r="DH15" i="3"/>
  <c r="DI15" i="3" s="1"/>
  <c r="DH21" i="3"/>
  <c r="DI21" i="3" s="1"/>
  <c r="DH47" i="3"/>
  <c r="DI47" i="3" s="1"/>
  <c r="DG80" i="2"/>
  <c r="DH32" i="3"/>
  <c r="DI32" i="3" s="1"/>
  <c r="DI80" i="2" s="1"/>
  <c r="DG79" i="2"/>
  <c r="DH12" i="3"/>
  <c r="DI12" i="3" s="1"/>
  <c r="DI79" i="2" s="1"/>
  <c r="DG71" i="3"/>
  <c r="DG70" i="3" s="1"/>
  <c r="DH42" i="3"/>
  <c r="DG68" i="2"/>
  <c r="CM48" i="6"/>
  <c r="CM47" i="6"/>
  <c r="CM46" i="6"/>
  <c r="CM45" i="6"/>
  <c r="CM44" i="6"/>
  <c r="DI42" i="3" l="1"/>
  <c r="DI64" i="3" s="1"/>
  <c r="DH64" i="3"/>
  <c r="DG21" i="113"/>
  <c r="DK47" i="113" s="1"/>
  <c r="DK49" i="113" s="1"/>
  <c r="DG14" i="112"/>
  <c r="DK25" i="112" s="1"/>
  <c r="DG13" i="112"/>
  <c r="DG12" i="112"/>
  <c r="DG11" i="112"/>
  <c r="DG121" i="1"/>
  <c r="DG120" i="1"/>
  <c r="DG58" i="51"/>
  <c r="DG53" i="51"/>
  <c r="DG50" i="51"/>
  <c r="DG15" i="51"/>
  <c r="DG57" i="51" s="1"/>
  <c r="DG16" i="1"/>
  <c r="DG14" i="1"/>
  <c r="DG11" i="1"/>
  <c r="DK22" i="112" l="1"/>
  <c r="CQ49" i="6"/>
  <c r="DG152" i="112"/>
  <c r="DK164" i="112" s="1"/>
  <c r="DK23" i="112"/>
  <c r="DG158" i="112"/>
  <c r="DK24" i="112"/>
  <c r="DG52" i="51"/>
  <c r="DG54" i="51" s="1"/>
  <c r="DG15" i="1"/>
  <c r="DG19" i="112"/>
  <c r="DG22" i="112"/>
  <c r="DG151" i="112"/>
  <c r="CD63" i="2"/>
  <c r="CE63" i="2"/>
  <c r="CF63" i="2"/>
  <c r="CG63" i="2"/>
  <c r="CH63" i="2"/>
  <c r="CI63" i="2"/>
  <c r="CJ63" i="2"/>
  <c r="CK63" i="2"/>
  <c r="CW63" i="2"/>
  <c r="CV63" i="2"/>
  <c r="CU63" i="2"/>
  <c r="CT63" i="2"/>
  <c r="CS63" i="2"/>
  <c r="CR63" i="2"/>
  <c r="CQ63" i="2"/>
  <c r="CP63" i="2"/>
  <c r="CO63" i="2"/>
  <c r="CN63" i="2"/>
  <c r="CM63" i="2"/>
  <c r="CL63" i="2"/>
  <c r="DE63" i="2"/>
  <c r="DD63" i="2"/>
  <c r="DC63" i="2"/>
  <c r="DB63" i="2"/>
  <c r="DA63" i="2"/>
  <c r="CZ63" i="2"/>
  <c r="CY63" i="2"/>
  <c r="CX63" i="2"/>
  <c r="DF63" i="2"/>
  <c r="DG17" i="1" l="1"/>
  <c r="DG72" i="2" s="1"/>
  <c r="DG75" i="2" l="1"/>
  <c r="DG85" i="2"/>
  <c r="DG73" i="2"/>
  <c r="DG74" i="2"/>
  <c r="M42" i="115"/>
  <c r="M41" i="115"/>
  <c r="M40" i="115"/>
  <c r="M39" i="115"/>
  <c r="M38" i="115"/>
  <c r="E39" i="115"/>
  <c r="B44" i="115"/>
  <c r="B43" i="115"/>
  <c r="B42" i="115"/>
  <c r="B41" i="115"/>
  <c r="B40" i="115"/>
  <c r="R10" i="115" l="1"/>
  <c r="X42" i="115"/>
  <c r="X41" i="115" l="1"/>
  <c r="X40" i="115" l="1"/>
  <c r="X39" i="115" l="1"/>
  <c r="J42" i="115"/>
  <c r="J41" i="115"/>
  <c r="J40" i="115"/>
  <c r="J39" i="115"/>
  <c r="J38" i="115"/>
  <c r="DG91" i="112"/>
  <c r="S87" i="115"/>
  <c r="X38" i="115" l="1"/>
  <c r="R35" i="115" l="1"/>
  <c r="DQ12" i="2" l="1"/>
  <c r="DR12" i="2" s="1"/>
  <c r="DQ20" i="2"/>
  <c r="DR20" i="2" s="1"/>
  <c r="DR42" i="3"/>
  <c r="DS42" i="3"/>
  <c r="DT42" i="3"/>
  <c r="DU42" i="3"/>
  <c r="DS20" i="2" l="1"/>
  <c r="EL53" i="119"/>
  <c r="DY42" i="3"/>
  <c r="EC42" i="3" s="1"/>
  <c r="EG42" i="3" s="1"/>
  <c r="EK42" i="3" s="1"/>
  <c r="EO103" i="119"/>
  <c r="DX42" i="3"/>
  <c r="EB42" i="3" s="1"/>
  <c r="EF42" i="3" s="1"/>
  <c r="EJ42" i="3" s="1"/>
  <c r="EN103" i="119"/>
  <c r="DW42" i="3"/>
  <c r="EA42" i="3" s="1"/>
  <c r="EE42" i="3" s="1"/>
  <c r="EI42" i="3" s="1"/>
  <c r="EM103" i="119"/>
  <c r="DV42" i="3"/>
  <c r="DZ42" i="3" s="1"/>
  <c r="ED42" i="3" s="1"/>
  <c r="EH42" i="3" s="1"/>
  <c r="EL103" i="119"/>
  <c r="DS12" i="2"/>
  <c r="EL87" i="119"/>
  <c r="EL81" i="119"/>
  <c r="CO27" i="51"/>
  <c r="EP103" i="119" l="1"/>
  <c r="DT12" i="2"/>
  <c r="EM81" i="119"/>
  <c r="EM87" i="119"/>
  <c r="ER103" i="119"/>
  <c r="ES103" i="119"/>
  <c r="EQ103" i="119"/>
  <c r="DT20" i="2"/>
  <c r="EM53" i="119"/>
  <c r="EK83" i="112"/>
  <c r="EJ83" i="112"/>
  <c r="EI83" i="112"/>
  <c r="EH83" i="112"/>
  <c r="EG83" i="112"/>
  <c r="EK84" i="112" s="1"/>
  <c r="EF83" i="112"/>
  <c r="EJ84" i="112" s="1"/>
  <c r="EE83" i="112"/>
  <c r="EI84" i="112" s="1"/>
  <c r="ED83" i="112"/>
  <c r="EH84" i="112" s="1"/>
  <c r="EK85" i="112"/>
  <c r="EJ85" i="112"/>
  <c r="EI85" i="112"/>
  <c r="EH85" i="112"/>
  <c r="CM25" i="6"/>
  <c r="CM26" i="6" s="1"/>
  <c r="CM23" i="6"/>
  <c r="CM24" i="6" s="1"/>
  <c r="DU20" i="2" l="1"/>
  <c r="EN53" i="119"/>
  <c r="EU103" i="119"/>
  <c r="EW103" i="119"/>
  <c r="EV103" i="119"/>
  <c r="DU12" i="2"/>
  <c r="EN81" i="119"/>
  <c r="EN87" i="119"/>
  <c r="ET103" i="119"/>
  <c r="DE98" i="112"/>
  <c r="FB103" i="119" l="1"/>
  <c r="EX103" i="119"/>
  <c r="FC103" i="119"/>
  <c r="EY103" i="119"/>
  <c r="FE103" i="119"/>
  <c r="FA103" i="119"/>
  <c r="DV12" i="2"/>
  <c r="EO81" i="119"/>
  <c r="EO87" i="119"/>
  <c r="FD103" i="119"/>
  <c r="EZ103" i="119"/>
  <c r="DV20" i="2"/>
  <c r="EO53" i="119"/>
  <c r="DG144" i="113"/>
  <c r="DO141" i="112"/>
  <c r="EB86" i="112"/>
  <c r="EF87" i="112" s="1"/>
  <c r="EJ88" i="112" s="1"/>
  <c r="DS142" i="112" l="1"/>
  <c r="DW143" i="112" s="1"/>
  <c r="EA144" i="112" s="1"/>
  <c r="EE145" i="112" s="1"/>
  <c r="EI146" i="112" s="1"/>
  <c r="DO60" i="112"/>
  <c r="DW20" i="2"/>
  <c r="EP53" i="119"/>
  <c r="DW12" i="2"/>
  <c r="EP81" i="119"/>
  <c r="EP87" i="119"/>
  <c r="DZ86" i="112"/>
  <c r="ED87" i="112" s="1"/>
  <c r="EH88" i="112" s="1"/>
  <c r="EC85" i="112"/>
  <c r="EG86" i="112" s="1"/>
  <c r="EK87" i="112" s="1"/>
  <c r="EB85" i="112"/>
  <c r="EF86" i="112" s="1"/>
  <c r="EJ87" i="112" s="1"/>
  <c r="EA85" i="112"/>
  <c r="EE86" i="112" s="1"/>
  <c r="EI87" i="112" s="1"/>
  <c r="DZ85" i="112"/>
  <c r="ED86" i="112" s="1"/>
  <c r="EH87" i="112" s="1"/>
  <c r="EA86" i="112"/>
  <c r="EE87" i="112" s="1"/>
  <c r="EI88" i="112" s="1"/>
  <c r="DO69" i="112" l="1"/>
  <c r="DO150" i="112" s="1"/>
  <c r="DX12" i="2"/>
  <c r="EQ87" i="119"/>
  <c r="EQ81" i="119"/>
  <c r="DX20" i="2"/>
  <c r="EQ53" i="119"/>
  <c r="DY86" i="112"/>
  <c r="EC87" i="112" s="1"/>
  <c r="EG88" i="112" s="1"/>
  <c r="DG105" i="112"/>
  <c r="DO70" i="112" l="1"/>
  <c r="DY20" i="2"/>
  <c r="ER53" i="119"/>
  <c r="DY12" i="2"/>
  <c r="ER81" i="119"/>
  <c r="ER87" i="119"/>
  <c r="AM39" i="116"/>
  <c r="DZ12" i="2" l="1"/>
  <c r="ES81" i="119"/>
  <c r="ES87" i="119"/>
  <c r="DZ20" i="2"/>
  <c r="ES53" i="119"/>
  <c r="EC86" i="112"/>
  <c r="EG87" i="112" s="1"/>
  <c r="EK88" i="112" s="1"/>
  <c r="FR85" i="112"/>
  <c r="AM4" i="116"/>
  <c r="T3" i="115"/>
  <c r="A43" i="116"/>
  <c r="A49" i="116" s="1"/>
  <c r="AA49" i="116" s="1"/>
  <c r="A41" i="116"/>
  <c r="A47" i="116" s="1"/>
  <c r="AA47" i="116" s="1"/>
  <c r="A42" i="116"/>
  <c r="A48" i="116" s="1"/>
  <c r="AA48" i="116" s="1"/>
  <c r="A40" i="116"/>
  <c r="A46" i="116" s="1"/>
  <c r="AA46" i="116" s="1"/>
  <c r="EA20" i="2" l="1"/>
  <c r="ET53" i="119"/>
  <c r="EA12" i="2"/>
  <c r="ET87" i="119"/>
  <c r="ET81" i="119"/>
  <c r="M71" i="115"/>
  <c r="M63" i="115"/>
  <c r="M62" i="115"/>
  <c r="M60" i="115"/>
  <c r="M59" i="115"/>
  <c r="M58" i="115"/>
  <c r="M57" i="115"/>
  <c r="M56" i="115"/>
  <c r="M55" i="115"/>
  <c r="M54" i="115"/>
  <c r="M53" i="115"/>
  <c r="M52" i="115"/>
  <c r="M51" i="115"/>
  <c r="M50" i="115"/>
  <c r="M49" i="115"/>
  <c r="M70" i="115"/>
  <c r="M69" i="115"/>
  <c r="M68" i="115"/>
  <c r="M67" i="115"/>
  <c r="M66" i="115"/>
  <c r="M81" i="115"/>
  <c r="M82" i="115"/>
  <c r="M83" i="115"/>
  <c r="M80" i="115"/>
  <c r="EB12" i="2" l="1"/>
  <c r="EU81" i="119"/>
  <c r="EU87" i="119"/>
  <c r="EB20" i="2"/>
  <c r="EU53" i="119"/>
  <c r="EC20" i="2" l="1"/>
  <c r="EV53" i="119"/>
  <c r="EC12" i="2"/>
  <c r="EV81" i="119"/>
  <c r="EV87" i="119"/>
  <c r="ED12" i="2" l="1"/>
  <c r="EW87" i="119"/>
  <c r="EW81" i="119"/>
  <c r="ED20" i="2"/>
  <c r="EW53" i="119"/>
  <c r="M75" i="115"/>
  <c r="M76" i="115"/>
  <c r="M77" i="115"/>
  <c r="M74" i="115"/>
  <c r="B53" i="115"/>
  <c r="I122" i="115" s="1"/>
  <c r="B51" i="115"/>
  <c r="B52" i="115"/>
  <c r="B50" i="115"/>
  <c r="I119" i="115" s="1"/>
  <c r="EE20" i="2" l="1"/>
  <c r="EX53" i="119"/>
  <c r="EE12" i="2"/>
  <c r="EX81" i="119"/>
  <c r="EX87" i="119"/>
  <c r="B57" i="115"/>
  <c r="J81" i="115" s="1"/>
  <c r="J126" i="115" s="1"/>
  <c r="I120" i="115"/>
  <c r="B58" i="115"/>
  <c r="J82" i="115" s="1"/>
  <c r="J127" i="115" s="1"/>
  <c r="I121" i="115"/>
  <c r="B56" i="115"/>
  <c r="J80" i="115" s="1"/>
  <c r="J125" i="115" s="1"/>
  <c r="B59" i="115"/>
  <c r="J83" i="115" s="1"/>
  <c r="J128" i="115" s="1"/>
  <c r="S94" i="115" l="1"/>
  <c r="AE48" i="116"/>
  <c r="X56" i="115"/>
  <c r="W102" i="115"/>
  <c r="X49" i="115"/>
  <c r="R125" i="115"/>
  <c r="W125" i="115" s="1"/>
  <c r="W111" i="115"/>
  <c r="W122" i="115"/>
  <c r="X55" i="115"/>
  <c r="AC48" i="116"/>
  <c r="AC46" i="116"/>
  <c r="AC47" i="116"/>
  <c r="AD48" i="116"/>
  <c r="W105" i="115"/>
  <c r="R106" i="115"/>
  <c r="W106" i="115" s="1"/>
  <c r="X57" i="115"/>
  <c r="AB47" i="116"/>
  <c r="X75" i="115"/>
  <c r="W93" i="115"/>
  <c r="W92" i="115"/>
  <c r="R98" i="115"/>
  <c r="W97" i="115"/>
  <c r="AC74" i="116"/>
  <c r="W100" i="115"/>
  <c r="W114" i="115"/>
  <c r="X60" i="115"/>
  <c r="R61" i="115"/>
  <c r="X51" i="115"/>
  <c r="AE46" i="116"/>
  <c r="AB48" i="116"/>
  <c r="W119" i="115"/>
  <c r="X52" i="115"/>
  <c r="X53" i="115"/>
  <c r="W108" i="115"/>
  <c r="AB46" i="116"/>
  <c r="AD47" i="116"/>
  <c r="W113" i="115"/>
  <c r="R127" i="115"/>
  <c r="W127" i="115" s="1"/>
  <c r="R128" i="115"/>
  <c r="W128" i="115" s="1"/>
  <c r="W116" i="115"/>
  <c r="X50" i="115"/>
  <c r="X77" i="115"/>
  <c r="AD49" i="116"/>
  <c r="W107" i="115"/>
  <c r="X59" i="115"/>
  <c r="W112" i="115"/>
  <c r="R126" i="115"/>
  <c r="W126" i="115" s="1"/>
  <c r="AB74" i="116"/>
  <c r="W115" i="115"/>
  <c r="W121" i="115"/>
  <c r="W120" i="115"/>
  <c r="X66" i="115"/>
  <c r="W103" i="115"/>
  <c r="AC49" i="116"/>
  <c r="AE49" i="116"/>
  <c r="X62" i="115"/>
  <c r="X54" i="115"/>
  <c r="W104" i="115"/>
  <c r="X68" i="115"/>
  <c r="X63" i="115"/>
  <c r="X71" i="115"/>
  <c r="R83" i="115"/>
  <c r="X83" i="115" s="1"/>
  <c r="W95" i="115"/>
  <c r="R133" i="115"/>
  <c r="AB49" i="116"/>
  <c r="W94" i="115"/>
  <c r="V87" i="115"/>
  <c r="Y94" i="115"/>
  <c r="R81" i="115"/>
  <c r="X81" i="115" s="1"/>
  <c r="X67" i="115"/>
  <c r="AE47" i="116"/>
  <c r="AD46" i="116"/>
  <c r="W96" i="115"/>
  <c r="R134" i="115"/>
  <c r="X70" i="115"/>
  <c r="X58" i="115"/>
  <c r="W99" i="115"/>
  <c r="R101" i="115"/>
  <c r="W101" i="115" s="1"/>
  <c r="X69" i="115"/>
  <c r="AD74" i="116"/>
  <c r="AE74" i="116"/>
  <c r="EF12" i="2"/>
  <c r="EY81" i="119"/>
  <c r="EY87" i="119"/>
  <c r="EF20" i="2"/>
  <c r="EY53" i="119"/>
  <c r="X76" i="115"/>
  <c r="X74" i="115"/>
  <c r="R82" i="115"/>
  <c r="R80" i="115"/>
  <c r="DG45" i="112"/>
  <c r="EG20" i="2" l="1"/>
  <c r="EZ53" i="119"/>
  <c r="EG12" i="2"/>
  <c r="EZ81" i="119"/>
  <c r="EZ87" i="119"/>
  <c r="X80" i="115"/>
  <c r="X82" i="115"/>
  <c r="E301" i="119"/>
  <c r="EH12" i="2" l="1"/>
  <c r="FA87" i="119"/>
  <c r="FA81" i="119"/>
  <c r="EH20" i="2"/>
  <c r="FA53" i="119"/>
  <c r="H21" i="115"/>
  <c r="H49" i="115" s="1"/>
  <c r="H55" i="115" s="1"/>
  <c r="H39" i="115" s="1"/>
  <c r="G21" i="115"/>
  <c r="G49" i="115" s="1"/>
  <c r="G55" i="115" s="1"/>
  <c r="G39" i="115" s="1"/>
  <c r="F21" i="115"/>
  <c r="F49" i="115" s="1"/>
  <c r="F55" i="115" s="1"/>
  <c r="F39" i="115" s="1"/>
  <c r="E21" i="115"/>
  <c r="C21" i="115"/>
  <c r="C49" i="115" s="1"/>
  <c r="C55" i="115" s="1"/>
  <c r="C39" i="115" s="1"/>
  <c r="EI20" i="2" l="1"/>
  <c r="FB53" i="119"/>
  <c r="EI12" i="2"/>
  <c r="FB87" i="119"/>
  <c r="FB81" i="119"/>
  <c r="D49" i="115"/>
  <c r="D55" i="115" s="1"/>
  <c r="DF102" i="92"/>
  <c r="DF103" i="92" s="1"/>
  <c r="DF100" i="92"/>
  <c r="DQ13" i="3"/>
  <c r="DU13" i="3" s="1"/>
  <c r="DT13" i="3"/>
  <c r="DS13" i="3"/>
  <c r="DR13" i="3"/>
  <c r="DW13" i="3" l="1"/>
  <c r="EM95" i="119"/>
  <c r="DV13" i="3"/>
  <c r="EL95" i="119"/>
  <c r="DX13" i="3"/>
  <c r="EN95" i="119"/>
  <c r="DY13" i="3"/>
  <c r="EO95" i="119"/>
  <c r="EJ12" i="2"/>
  <c r="FC87" i="119"/>
  <c r="FC81" i="119"/>
  <c r="EJ20" i="2"/>
  <c r="FC53" i="119"/>
  <c r="DF96" i="112"/>
  <c r="CL91" i="6"/>
  <c r="CL90" i="6"/>
  <c r="CL89" i="6"/>
  <c r="CL88" i="6"/>
  <c r="CL87" i="6"/>
  <c r="EB13" i="3" l="1"/>
  <c r="ER95" i="119"/>
  <c r="EK12" i="2"/>
  <c r="FD81" i="119"/>
  <c r="FD87" i="119"/>
  <c r="DZ13" i="3"/>
  <c r="EP95" i="119"/>
  <c r="EK20" i="2"/>
  <c r="FE53" i="119" s="1"/>
  <c r="FD53" i="119"/>
  <c r="EC13" i="3"/>
  <c r="ES95" i="119"/>
  <c r="EA13" i="3"/>
  <c r="EQ95" i="119"/>
  <c r="ED13" i="3" l="1"/>
  <c r="ET95" i="119"/>
  <c r="EE13" i="3"/>
  <c r="EU95" i="119"/>
  <c r="EG13" i="3"/>
  <c r="EW95" i="119"/>
  <c r="FE81" i="119"/>
  <c r="FE87" i="119"/>
  <c r="EF13" i="3"/>
  <c r="EV95" i="119"/>
  <c r="CS41" i="6"/>
  <c r="CT41" i="6" s="1"/>
  <c r="CU41" i="6" s="1"/>
  <c r="CV41" i="6" s="1"/>
  <c r="CW41" i="6" s="1"/>
  <c r="CX41" i="6" s="1"/>
  <c r="CY41" i="6" s="1"/>
  <c r="CZ41" i="6" s="1"/>
  <c r="DA41" i="6" s="1"/>
  <c r="DB41" i="6" s="1"/>
  <c r="DC41" i="6" s="1"/>
  <c r="DD41" i="6" s="1"/>
  <c r="DE41" i="6" s="1"/>
  <c r="DF41" i="6" s="1"/>
  <c r="DG41" i="6" s="1"/>
  <c r="DH41" i="6" s="1"/>
  <c r="DI41" i="6" s="1"/>
  <c r="DJ41" i="6" s="1"/>
  <c r="DK41" i="6" s="1"/>
  <c r="DL41" i="6" s="1"/>
  <c r="DM41" i="6" s="1"/>
  <c r="DN41" i="6" s="1"/>
  <c r="DO41" i="6" s="1"/>
  <c r="DP41" i="6" s="1"/>
  <c r="DQ41" i="6" s="1"/>
  <c r="CQ25" i="6"/>
  <c r="CQ26" i="6" s="1"/>
  <c r="CL25" i="6"/>
  <c r="CL26" i="6" s="1"/>
  <c r="EK13" i="3" l="1"/>
  <c r="FE95" i="119" s="1"/>
  <c r="FA95" i="119"/>
  <c r="EJ13" i="3"/>
  <c r="FD95" i="119" s="1"/>
  <c r="EZ95" i="119"/>
  <c r="EI13" i="3"/>
  <c r="FC95" i="119" s="1"/>
  <c r="EY95" i="119"/>
  <c r="EH13" i="3"/>
  <c r="FB95" i="119" s="1"/>
  <c r="EX95" i="119"/>
  <c r="CL23" i="6"/>
  <c r="CL24" i="6" s="1"/>
  <c r="DF69" i="3" l="1"/>
  <c r="DF74" i="3"/>
  <c r="E27" i="123"/>
  <c r="F27" i="123" s="1"/>
  <c r="E24" i="123"/>
  <c r="F24" i="123" s="1"/>
  <c r="E23" i="123"/>
  <c r="F23" i="123" s="1"/>
  <c r="E22" i="123"/>
  <c r="F22" i="123" s="1"/>
  <c r="G18" i="123"/>
  <c r="H18" i="123" s="1"/>
  <c r="E18" i="123"/>
  <c r="F18" i="123" s="1"/>
  <c r="K17" i="123"/>
  <c r="N17" i="123" s="1"/>
  <c r="K14" i="123"/>
  <c r="G13" i="123"/>
  <c r="H13" i="123" s="1"/>
  <c r="E13" i="123"/>
  <c r="F13" i="123" s="1"/>
  <c r="K12" i="123"/>
  <c r="G11" i="123"/>
  <c r="E11" i="123"/>
  <c r="F11" i="123" s="1"/>
  <c r="G8" i="123"/>
  <c r="H8" i="123" s="1"/>
  <c r="E8" i="123"/>
  <c r="F8" i="123" s="1"/>
  <c r="G7" i="123"/>
  <c r="H7" i="123" s="1"/>
  <c r="G5" i="123"/>
  <c r="H5" i="123" s="1"/>
  <c r="K4" i="123"/>
  <c r="M4" i="123" s="1"/>
  <c r="E4" i="123"/>
  <c r="F4" i="123" s="1"/>
  <c r="C2" i="123"/>
  <c r="M12" i="123" l="1"/>
  <c r="N14" i="123"/>
  <c r="M17" i="123"/>
  <c r="M14" i="123"/>
  <c r="N12" i="123"/>
  <c r="U21" i="123"/>
  <c r="Q4" i="123"/>
  <c r="Q17" i="123"/>
  <c r="U10" i="123"/>
  <c r="U5" i="123"/>
  <c r="U7" i="123"/>
  <c r="U12" i="123"/>
  <c r="T16" i="123"/>
  <c r="T18" i="123"/>
  <c r="U14" i="123"/>
  <c r="T7" i="123"/>
  <c r="U18" i="123"/>
  <c r="U16" i="123"/>
  <c r="N4" i="123"/>
  <c r="T10" i="123"/>
  <c r="H11" i="123"/>
  <c r="Q14" i="123"/>
  <c r="E5" i="123"/>
  <c r="F5" i="123" s="1"/>
  <c r="E7" i="123"/>
  <c r="F7" i="123" s="1"/>
  <c r="E25" i="123"/>
  <c r="F25" i="123" s="1"/>
  <c r="K13" i="123"/>
  <c r="K15" i="123"/>
  <c r="T5" i="123" l="1"/>
  <c r="T21" i="123"/>
  <c r="R4" i="123"/>
  <c r="Q12" i="123"/>
  <c r="U15" i="123"/>
  <c r="T15" i="123"/>
  <c r="U13" i="123"/>
  <c r="T13" i="123"/>
  <c r="T26" i="123"/>
  <c r="T22" i="123"/>
  <c r="T8" i="123"/>
  <c r="U8" i="123"/>
  <c r="T6" i="123"/>
  <c r="U6" i="123"/>
  <c r="R15" i="123"/>
  <c r="Q15" i="123"/>
  <c r="N15" i="123"/>
  <c r="M15" i="123"/>
  <c r="T14" i="123"/>
  <c r="R14" i="123"/>
  <c r="T24" i="123"/>
  <c r="U20" i="123"/>
  <c r="T20" i="123"/>
  <c r="T4" i="123"/>
  <c r="U4" i="123"/>
  <c r="R13" i="123"/>
  <c r="Q13" i="123"/>
  <c r="N13" i="123"/>
  <c r="M13" i="123"/>
  <c r="U22" i="123"/>
  <c r="T12" i="123"/>
  <c r="R12" i="123"/>
  <c r="R17" i="123"/>
  <c r="U17" i="123"/>
  <c r="T17" i="123"/>
  <c r="T25" i="123"/>
  <c r="DF116" i="2" l="1"/>
  <c r="DF208" i="92"/>
  <c r="DF21" i="1"/>
  <c r="DF121" i="1"/>
  <c r="CL48" i="6"/>
  <c r="CL47" i="6"/>
  <c r="CL46" i="6"/>
  <c r="CL45" i="6"/>
  <c r="CL44" i="6"/>
  <c r="DF139" i="112"/>
  <c r="DG139" i="112" s="1"/>
  <c r="DH139" i="112" s="1"/>
  <c r="DF58" i="112" l="1"/>
  <c r="DF71" i="3" l="1"/>
  <c r="DF70" i="3" s="1"/>
  <c r="FF232" i="112"/>
  <c r="DF69" i="113"/>
  <c r="DF14" i="112"/>
  <c r="DJ25" i="112" s="1"/>
  <c r="DF13" i="112"/>
  <c r="DF12" i="112"/>
  <c r="DF11" i="112"/>
  <c r="DF21" i="113"/>
  <c r="DF82" i="2"/>
  <c r="DF80" i="2"/>
  <c r="DF79" i="2"/>
  <c r="DF65" i="2"/>
  <c r="DF64" i="2"/>
  <c r="DF62" i="2"/>
  <c r="DF24" i="2"/>
  <c r="DF24" i="3"/>
  <c r="DF25" i="3" s="1"/>
  <c r="DF120" i="1"/>
  <c r="DF58" i="51"/>
  <c r="DF16" i="1"/>
  <c r="DF14" i="1"/>
  <c r="DF11" i="1"/>
  <c r="DF15" i="51"/>
  <c r="DJ22" i="112" l="1"/>
  <c r="DJ47" i="113"/>
  <c r="V86" i="125"/>
  <c r="DF57" i="51"/>
  <c r="DF52" i="51"/>
  <c r="DF54" i="51" s="1"/>
  <c r="CP49" i="6"/>
  <c r="DF152" i="112"/>
  <c r="DJ164" i="112" s="1"/>
  <c r="DJ23" i="112"/>
  <c r="DF158" i="112"/>
  <c r="DJ24" i="112"/>
  <c r="DF67" i="113"/>
  <c r="V86" i="115"/>
  <c r="DF151" i="112"/>
  <c r="E6" i="123"/>
  <c r="F6" i="123" s="1"/>
  <c r="K5" i="123"/>
  <c r="DF68" i="2"/>
  <c r="E26" i="123"/>
  <c r="F26" i="123" s="1"/>
  <c r="K16" i="123"/>
  <c r="E9" i="123"/>
  <c r="F9" i="123" s="1"/>
  <c r="DF15" i="1"/>
  <c r="DF105" i="112"/>
  <c r="DF91" i="112"/>
  <c r="CX151" i="112"/>
  <c r="CP151" i="112"/>
  <c r="CL151" i="112"/>
  <c r="DF17" i="1" l="1"/>
  <c r="DF72" i="2" s="1"/>
  <c r="N5" i="123"/>
  <c r="M5" i="123"/>
  <c r="R5" i="123"/>
  <c r="Q5" i="123"/>
  <c r="N16" i="123"/>
  <c r="M16" i="123"/>
  <c r="R16" i="123"/>
  <c r="Q16" i="123"/>
  <c r="K10" i="123"/>
  <c r="E20" i="123"/>
  <c r="F20" i="123" s="1"/>
  <c r="DF23" i="1"/>
  <c r="DF26" i="1" s="1"/>
  <c r="CZ105" i="112"/>
  <c r="DB105" i="112"/>
  <c r="DC105" i="112"/>
  <c r="DD105" i="112"/>
  <c r="DF75" i="2" l="1"/>
  <c r="DF73" i="2"/>
  <c r="DF74" i="2"/>
  <c r="DF85" i="2"/>
  <c r="DF25" i="1"/>
  <c r="DZ290" i="119" s="1"/>
  <c r="Q10" i="123"/>
  <c r="N10" i="123"/>
  <c r="M10" i="123"/>
  <c r="R10" i="123"/>
  <c r="E14" i="123"/>
  <c r="F14" i="123" s="1"/>
  <c r="K6" i="123"/>
  <c r="E10" i="123"/>
  <c r="F10" i="123" s="1"/>
  <c r="E12" i="123"/>
  <c r="F12" i="123" s="1"/>
  <c r="DF30" i="1"/>
  <c r="DF29" i="1"/>
  <c r="DF28" i="1"/>
  <c r="CF250" i="30"/>
  <c r="CF249" i="30"/>
  <c r="CF248" i="30"/>
  <c r="CF247" i="30"/>
  <c r="CF246" i="30"/>
  <c r="CF245" i="30"/>
  <c r="CF244" i="30"/>
  <c r="CF243" i="30"/>
  <c r="CF242" i="30"/>
  <c r="CF241" i="30"/>
  <c r="CF240" i="30"/>
  <c r="CF239" i="30"/>
  <c r="CF238" i="30"/>
  <c r="CF237" i="30"/>
  <c r="CF235" i="30"/>
  <c r="CF234" i="30"/>
  <c r="CF233" i="30"/>
  <c r="CF232" i="30"/>
  <c r="CF231" i="30"/>
  <c r="CF230" i="30"/>
  <c r="CF228" i="30"/>
  <c r="CF227" i="30"/>
  <c r="CF226" i="30"/>
  <c r="CF225" i="30"/>
  <c r="CF224" i="30"/>
  <c r="CF223" i="30"/>
  <c r="CF222" i="30"/>
  <c r="CF220" i="30"/>
  <c r="CF207" i="30"/>
  <c r="CF205" i="30"/>
  <c r="CF203" i="30"/>
  <c r="CF196" i="30"/>
  <c r="CF195" i="30"/>
  <c r="CF194" i="30"/>
  <c r="CF191" i="30"/>
  <c r="CF188" i="30"/>
  <c r="CF187" i="30"/>
  <c r="CF186" i="30"/>
  <c r="CF185" i="30"/>
  <c r="CF184" i="30"/>
  <c r="CF183" i="30"/>
  <c r="CF182" i="30"/>
  <c r="CF181" i="30"/>
  <c r="CF180" i="30"/>
  <c r="CF179" i="30"/>
  <c r="CF178" i="30"/>
  <c r="CF177" i="30"/>
  <c r="CF176" i="30"/>
  <c r="CF175" i="30"/>
  <c r="CF174" i="30"/>
  <c r="CF173" i="30"/>
  <c r="CF172" i="30"/>
  <c r="CF171" i="30"/>
  <c r="CF170" i="30"/>
  <c r="CF169" i="30"/>
  <c r="CF168" i="30"/>
  <c r="CF167" i="30"/>
  <c r="CF166" i="30"/>
  <c r="CF165" i="30"/>
  <c r="CF164" i="30"/>
  <c r="CF163" i="30"/>
  <c r="CF162" i="30"/>
  <c r="CF161" i="30"/>
  <c r="CF160" i="30"/>
  <c r="CF159" i="30"/>
  <c r="CF158" i="30"/>
  <c r="CF157" i="30"/>
  <c r="CF156" i="30"/>
  <c r="CF155" i="30"/>
  <c r="CF154" i="30"/>
  <c r="CF153" i="30"/>
  <c r="CF152" i="30"/>
  <c r="CF151" i="30"/>
  <c r="CF150" i="30"/>
  <c r="CF149" i="30"/>
  <c r="CF148" i="30"/>
  <c r="CF147" i="30"/>
  <c r="CF146" i="30"/>
  <c r="CF145" i="30"/>
  <c r="CF144" i="30"/>
  <c r="CF143" i="30"/>
  <c r="CF142" i="30"/>
  <c r="CF141" i="30"/>
  <c r="CF139" i="30"/>
  <c r="CF135" i="30"/>
  <c r="CF134" i="30"/>
  <c r="CF132" i="30"/>
  <c r="CF131" i="30"/>
  <c r="CF130" i="30"/>
  <c r="CF129" i="30"/>
  <c r="CF127" i="30"/>
  <c r="CF126" i="30"/>
  <c r="CF125" i="30"/>
  <c r="CF123" i="30"/>
  <c r="CF122" i="30"/>
  <c r="CF121" i="30"/>
  <c r="CF120" i="30"/>
  <c r="CF117" i="30"/>
  <c r="CF116" i="30"/>
  <c r="CF115" i="30"/>
  <c r="CF114" i="30"/>
  <c r="CF113" i="30"/>
  <c r="CF112" i="30"/>
  <c r="CF111" i="30"/>
  <c r="CF110" i="30"/>
  <c r="CF109" i="30"/>
  <c r="CF108" i="30"/>
  <c r="CF107" i="30"/>
  <c r="CF106" i="30"/>
  <c r="CF105" i="30"/>
  <c r="CF104" i="30"/>
  <c r="CF103" i="30"/>
  <c r="CF102" i="30"/>
  <c r="CF101" i="30"/>
  <c r="CF100" i="30"/>
  <c r="CF99" i="30"/>
  <c r="CF96" i="30"/>
  <c r="CF90" i="30"/>
  <c r="CF83" i="30"/>
  <c r="CF82" i="30"/>
  <c r="CF81" i="30"/>
  <c r="CF80" i="30"/>
  <c r="CF78" i="30"/>
  <c r="CF77" i="30"/>
  <c r="CF76" i="30"/>
  <c r="CF75" i="30"/>
  <c r="CF74" i="30"/>
  <c r="CF72" i="30"/>
  <c r="CF71" i="30"/>
  <c r="CF70" i="30"/>
  <c r="CF69" i="30"/>
  <c r="CF67" i="30"/>
  <c r="CF64" i="30"/>
  <c r="CF62" i="30"/>
  <c r="CF50" i="30"/>
  <c r="CF38" i="30"/>
  <c r="CF37" i="30"/>
  <c r="CF36" i="30"/>
  <c r="CF35" i="30"/>
  <c r="CF34" i="30"/>
  <c r="CF33" i="30"/>
  <c r="CF32" i="30"/>
  <c r="CF31" i="30"/>
  <c r="CF29" i="30"/>
  <c r="CF28" i="30"/>
  <c r="CF27" i="30"/>
  <c r="CF22" i="30"/>
  <c r="CF17" i="30"/>
  <c r="CF16" i="30"/>
  <c r="CE250" i="30"/>
  <c r="CE249" i="30"/>
  <c r="CE248" i="30"/>
  <c r="CE247" i="30"/>
  <c r="CE246" i="30"/>
  <c r="CE245" i="30"/>
  <c r="CE244" i="30"/>
  <c r="CE243" i="30"/>
  <c r="CE242" i="30"/>
  <c r="CE241" i="30"/>
  <c r="CE240" i="30"/>
  <c r="CE239" i="30"/>
  <c r="CE238" i="30"/>
  <c r="CE237" i="30"/>
  <c r="CE235" i="30"/>
  <c r="CE234" i="30"/>
  <c r="CE233" i="30"/>
  <c r="CE232" i="30"/>
  <c r="CE231" i="30"/>
  <c r="CE230" i="30"/>
  <c r="CE228" i="30"/>
  <c r="CE227" i="30"/>
  <c r="CE226" i="30"/>
  <c r="CE225" i="30"/>
  <c r="CE224" i="30"/>
  <c r="CE223" i="30"/>
  <c r="CE222" i="30"/>
  <c r="CE220" i="30"/>
  <c r="CE207" i="30"/>
  <c r="CE205" i="30"/>
  <c r="CE203" i="30"/>
  <c r="CE196" i="30"/>
  <c r="CE195" i="30"/>
  <c r="CE194" i="30"/>
  <c r="CE191" i="30"/>
  <c r="CE188" i="30"/>
  <c r="CE187" i="30"/>
  <c r="CE186" i="30"/>
  <c r="CE185" i="30"/>
  <c r="CE184" i="30"/>
  <c r="CE183" i="30"/>
  <c r="CE182" i="30"/>
  <c r="CE181" i="30"/>
  <c r="CE180" i="30"/>
  <c r="CE179" i="30"/>
  <c r="CE178" i="30"/>
  <c r="CE177" i="30"/>
  <c r="CE176" i="30"/>
  <c r="CE175" i="30"/>
  <c r="CE174" i="30"/>
  <c r="CE173" i="30"/>
  <c r="CE172" i="30"/>
  <c r="CE171" i="30"/>
  <c r="CE170" i="30"/>
  <c r="CE169" i="30"/>
  <c r="CE168" i="30"/>
  <c r="CE167" i="30"/>
  <c r="CE166" i="30"/>
  <c r="CE165" i="30"/>
  <c r="CE164" i="30"/>
  <c r="CE163" i="30"/>
  <c r="CE162" i="30"/>
  <c r="CE161" i="30"/>
  <c r="CE160" i="30"/>
  <c r="CE159" i="30"/>
  <c r="CE158" i="30"/>
  <c r="CE157" i="30"/>
  <c r="CE156" i="30"/>
  <c r="CE155" i="30"/>
  <c r="CE154" i="30"/>
  <c r="CE153" i="30"/>
  <c r="CE152" i="30"/>
  <c r="CE151" i="30"/>
  <c r="CE150" i="30"/>
  <c r="CE149" i="30"/>
  <c r="CE148" i="30"/>
  <c r="CE147" i="30"/>
  <c r="CE146" i="30"/>
  <c r="CE145" i="30"/>
  <c r="CE144" i="30"/>
  <c r="CE143" i="30"/>
  <c r="CE142" i="30"/>
  <c r="CE141" i="30"/>
  <c r="CE139" i="30"/>
  <c r="CE135" i="30"/>
  <c r="CE134" i="30"/>
  <c r="CE132" i="30"/>
  <c r="CE131" i="30"/>
  <c r="CE130" i="30"/>
  <c r="CE129" i="30"/>
  <c r="CE127" i="30"/>
  <c r="CE126" i="30"/>
  <c r="CE125" i="30"/>
  <c r="CE123" i="30"/>
  <c r="CE122" i="30"/>
  <c r="CE121" i="30"/>
  <c r="CE120" i="30"/>
  <c r="CE117" i="30"/>
  <c r="CE116" i="30"/>
  <c r="CE115" i="30"/>
  <c r="CE114" i="30"/>
  <c r="CE113" i="30"/>
  <c r="CE112" i="30"/>
  <c r="CE111" i="30"/>
  <c r="CE110" i="30"/>
  <c r="CE109" i="30"/>
  <c r="CE108" i="30"/>
  <c r="CE107" i="30"/>
  <c r="CE106" i="30"/>
  <c r="CE105" i="30"/>
  <c r="CE104" i="30"/>
  <c r="CE103" i="30"/>
  <c r="CE102" i="30"/>
  <c r="CE101" i="30"/>
  <c r="CE100" i="30"/>
  <c r="CE99" i="30"/>
  <c r="CE96" i="30"/>
  <c r="CE90" i="30"/>
  <c r="CE83" i="30"/>
  <c r="CE82" i="30"/>
  <c r="CE81" i="30"/>
  <c r="CE80" i="30"/>
  <c r="CE78" i="30"/>
  <c r="CE77" i="30"/>
  <c r="CE76" i="30"/>
  <c r="CE75" i="30"/>
  <c r="CE74" i="30"/>
  <c r="CE72" i="30"/>
  <c r="CE71" i="30"/>
  <c r="CE70" i="30"/>
  <c r="CE69" i="30"/>
  <c r="CE67" i="30"/>
  <c r="CE64" i="30"/>
  <c r="CE62" i="30"/>
  <c r="CE50" i="30"/>
  <c r="CE38" i="30"/>
  <c r="CE37" i="30"/>
  <c r="CE36" i="30"/>
  <c r="CE35" i="30"/>
  <c r="CE34" i="30"/>
  <c r="CE33" i="30"/>
  <c r="CE32" i="30"/>
  <c r="CE31" i="30"/>
  <c r="CE29" i="30"/>
  <c r="CE28" i="30"/>
  <c r="CE27" i="30"/>
  <c r="CE22" i="30"/>
  <c r="CE17" i="30"/>
  <c r="CE16" i="30"/>
  <c r="CD250" i="30"/>
  <c r="CD249" i="30"/>
  <c r="CD248" i="30"/>
  <c r="CD247" i="30"/>
  <c r="CD246" i="30"/>
  <c r="CD245" i="30"/>
  <c r="CD244" i="30"/>
  <c r="CD243" i="30"/>
  <c r="CD242" i="30"/>
  <c r="CD241" i="30"/>
  <c r="CD240" i="30"/>
  <c r="CD239" i="30"/>
  <c r="CD238" i="30"/>
  <c r="CD237" i="30"/>
  <c r="CD235" i="30"/>
  <c r="CD233" i="30"/>
  <c r="CD232" i="30"/>
  <c r="CD231" i="30"/>
  <c r="CD230" i="30"/>
  <c r="CD228" i="30"/>
  <c r="CD227" i="30"/>
  <c r="CD226" i="30"/>
  <c r="CD225" i="30"/>
  <c r="CD224" i="30"/>
  <c r="CD223" i="30"/>
  <c r="CD222" i="30"/>
  <c r="CD220" i="30"/>
  <c r="CD207" i="30"/>
  <c r="CD205" i="30"/>
  <c r="CD203" i="30"/>
  <c r="CD196" i="30"/>
  <c r="CD195" i="30"/>
  <c r="CD194" i="30"/>
  <c r="CD191" i="30"/>
  <c r="CD188" i="30"/>
  <c r="CD187" i="30"/>
  <c r="CD186" i="30"/>
  <c r="CD185" i="30"/>
  <c r="CD184" i="30"/>
  <c r="CD183" i="30"/>
  <c r="CD182" i="30"/>
  <c r="CD181" i="30"/>
  <c r="CD180" i="30"/>
  <c r="CD179" i="30"/>
  <c r="CD178" i="30"/>
  <c r="CD177" i="30"/>
  <c r="CD176" i="30"/>
  <c r="CD175" i="30"/>
  <c r="CD174" i="30"/>
  <c r="CD173" i="30"/>
  <c r="CD172" i="30"/>
  <c r="CD171" i="30"/>
  <c r="CD170" i="30"/>
  <c r="CD169" i="30"/>
  <c r="CD168" i="30"/>
  <c r="CD167" i="30"/>
  <c r="CD166" i="30"/>
  <c r="CD165" i="30"/>
  <c r="CD164" i="30"/>
  <c r="CD163" i="30"/>
  <c r="CD162" i="30"/>
  <c r="CD161" i="30"/>
  <c r="CD160" i="30"/>
  <c r="CD159" i="30"/>
  <c r="CD158" i="30"/>
  <c r="CD157" i="30"/>
  <c r="CD156" i="30"/>
  <c r="CD155" i="30"/>
  <c r="CD154" i="30"/>
  <c r="CD153" i="30"/>
  <c r="CD152" i="30"/>
  <c r="CD151" i="30"/>
  <c r="CD150" i="30"/>
  <c r="CD149" i="30"/>
  <c r="CD148" i="30"/>
  <c r="CD147" i="30"/>
  <c r="CD146" i="30"/>
  <c r="CD145" i="30"/>
  <c r="CD144" i="30"/>
  <c r="CD143" i="30"/>
  <c r="CD142" i="30"/>
  <c r="CD141" i="30"/>
  <c r="CD139" i="30"/>
  <c r="CD135" i="30"/>
  <c r="CD134" i="30"/>
  <c r="CD132" i="30"/>
  <c r="CD131" i="30"/>
  <c r="CD130" i="30"/>
  <c r="CD129" i="30"/>
  <c r="CD127" i="30"/>
  <c r="CD126" i="30"/>
  <c r="CD125" i="30"/>
  <c r="CD123" i="30"/>
  <c r="CD122" i="30"/>
  <c r="CD121" i="30"/>
  <c r="CD120" i="30"/>
  <c r="CD117" i="30"/>
  <c r="CD116" i="30"/>
  <c r="CD115" i="30"/>
  <c r="CD114" i="30"/>
  <c r="CD113" i="30"/>
  <c r="CD112" i="30"/>
  <c r="CD111" i="30"/>
  <c r="CD110" i="30"/>
  <c r="CD109" i="30"/>
  <c r="CD108" i="30"/>
  <c r="CD107" i="30"/>
  <c r="CD106" i="30"/>
  <c r="CD105" i="30"/>
  <c r="CD104" i="30"/>
  <c r="CD103" i="30"/>
  <c r="CD102" i="30"/>
  <c r="CD101" i="30"/>
  <c r="CD100" i="30"/>
  <c r="CD99" i="30"/>
  <c r="CD96" i="30"/>
  <c r="CD90" i="30"/>
  <c r="CD83" i="30"/>
  <c r="CD82" i="30"/>
  <c r="CD81" i="30"/>
  <c r="CD80" i="30"/>
  <c r="CD78" i="30"/>
  <c r="CD77" i="30"/>
  <c r="CD76" i="30"/>
  <c r="CD75" i="30"/>
  <c r="CD74" i="30"/>
  <c r="CD72" i="30"/>
  <c r="CD71" i="30"/>
  <c r="CD70" i="30"/>
  <c r="CD69" i="30"/>
  <c r="CD67" i="30"/>
  <c r="CD64" i="30"/>
  <c r="CD62" i="30"/>
  <c r="CD50" i="30"/>
  <c r="CD38" i="30"/>
  <c r="CD37" i="30"/>
  <c r="CD36" i="30"/>
  <c r="CD35" i="30"/>
  <c r="CD34" i="30"/>
  <c r="CD33" i="30"/>
  <c r="CD32" i="30"/>
  <c r="CD31" i="30"/>
  <c r="CD29" i="30"/>
  <c r="CD28" i="30"/>
  <c r="CD27" i="30"/>
  <c r="CD22" i="30"/>
  <c r="CD17" i="30"/>
  <c r="CD16" i="30"/>
  <c r="CC250" i="30"/>
  <c r="CC249" i="30"/>
  <c r="CC248" i="30"/>
  <c r="CC247" i="30"/>
  <c r="CC246" i="30"/>
  <c r="CC245" i="30"/>
  <c r="CC244" i="30"/>
  <c r="CC243" i="30"/>
  <c r="CC242" i="30"/>
  <c r="CC241" i="30"/>
  <c r="CC240" i="30"/>
  <c r="CC239" i="30"/>
  <c r="CC238" i="30"/>
  <c r="CC237" i="30"/>
  <c r="CC235" i="30"/>
  <c r="CC233" i="30"/>
  <c r="CC232" i="30"/>
  <c r="CC231" i="30"/>
  <c r="CC230" i="30"/>
  <c r="CC228" i="30"/>
  <c r="CC227" i="30"/>
  <c r="CC226" i="30"/>
  <c r="CC225" i="30"/>
  <c r="CC224" i="30"/>
  <c r="CC223" i="30"/>
  <c r="CC222" i="30"/>
  <c r="CC220" i="30"/>
  <c r="CC207" i="30"/>
  <c r="CC205" i="30"/>
  <c r="CC203" i="30"/>
  <c r="CC196" i="30"/>
  <c r="CC195" i="30"/>
  <c r="CC194" i="30"/>
  <c r="CC191" i="30"/>
  <c r="CC188" i="30"/>
  <c r="CC187" i="30"/>
  <c r="CC186" i="30"/>
  <c r="CC185" i="30"/>
  <c r="CC184" i="30"/>
  <c r="CC183" i="30"/>
  <c r="CC182" i="30"/>
  <c r="CC181" i="30"/>
  <c r="CC180" i="30"/>
  <c r="CC179" i="30"/>
  <c r="CC178" i="30"/>
  <c r="CC177" i="30"/>
  <c r="CC176" i="30"/>
  <c r="CC175" i="30"/>
  <c r="CC174" i="30"/>
  <c r="CC173" i="30"/>
  <c r="CC172" i="30"/>
  <c r="CC171" i="30"/>
  <c r="CC170" i="30"/>
  <c r="CC169" i="30"/>
  <c r="CC168" i="30"/>
  <c r="CC167" i="30"/>
  <c r="CC166" i="30"/>
  <c r="CC165" i="30"/>
  <c r="CC164" i="30"/>
  <c r="CC163" i="30"/>
  <c r="CC162" i="30"/>
  <c r="CC161" i="30"/>
  <c r="CC160" i="30"/>
  <c r="CC159" i="30"/>
  <c r="CC158" i="30"/>
  <c r="CC157" i="30"/>
  <c r="CC156" i="30"/>
  <c r="CC155" i="30"/>
  <c r="CC154" i="30"/>
  <c r="CC153" i="30"/>
  <c r="CC152" i="30"/>
  <c r="CC151" i="30"/>
  <c r="CC150" i="30"/>
  <c r="CC149" i="30"/>
  <c r="CC148" i="30"/>
  <c r="CC147" i="30"/>
  <c r="CC146" i="30"/>
  <c r="CC145" i="30"/>
  <c r="CC144" i="30"/>
  <c r="CC143" i="30"/>
  <c r="CC142" i="30"/>
  <c r="CC141" i="30"/>
  <c r="CC139" i="30"/>
  <c r="CC135" i="30"/>
  <c r="CC134" i="30"/>
  <c r="CC132" i="30"/>
  <c r="CC131" i="30"/>
  <c r="CC130" i="30"/>
  <c r="CC129" i="30"/>
  <c r="CC127" i="30"/>
  <c r="CC126" i="30"/>
  <c r="CC125" i="30"/>
  <c r="CC123" i="30"/>
  <c r="CC122" i="30"/>
  <c r="CC121" i="30"/>
  <c r="CC120" i="30"/>
  <c r="CC117" i="30"/>
  <c r="CC116" i="30"/>
  <c r="CC115" i="30"/>
  <c r="CC114" i="30"/>
  <c r="CC113" i="30"/>
  <c r="CC112" i="30"/>
  <c r="CC111" i="30"/>
  <c r="CC110" i="30"/>
  <c r="CC109" i="30"/>
  <c r="CC108" i="30"/>
  <c r="CC107" i="30"/>
  <c r="CC106" i="30"/>
  <c r="CC105" i="30"/>
  <c r="CC104" i="30"/>
  <c r="CC103" i="30"/>
  <c r="CC102" i="30"/>
  <c r="CC101" i="30"/>
  <c r="CC100" i="30"/>
  <c r="CC99" i="30"/>
  <c r="CC96" i="30"/>
  <c r="CC90" i="30"/>
  <c r="CC83" i="30"/>
  <c r="CC82" i="30"/>
  <c r="CC81" i="30"/>
  <c r="CC80" i="30"/>
  <c r="CC78" i="30"/>
  <c r="CC77" i="30"/>
  <c r="CC76" i="30"/>
  <c r="CC75" i="30"/>
  <c r="CC74" i="30"/>
  <c r="CC72" i="30"/>
  <c r="CC71" i="30"/>
  <c r="CC70" i="30"/>
  <c r="CC69" i="30"/>
  <c r="CC67" i="30"/>
  <c r="CC64" i="30"/>
  <c r="CC62" i="30"/>
  <c r="CC50" i="30"/>
  <c r="CC38" i="30"/>
  <c r="CC37" i="30"/>
  <c r="CC36" i="30"/>
  <c r="CC35" i="30"/>
  <c r="CC34" i="30"/>
  <c r="CC33" i="30"/>
  <c r="CC32" i="30"/>
  <c r="CC31" i="30"/>
  <c r="CC29" i="30"/>
  <c r="CC28" i="30"/>
  <c r="CC27" i="30"/>
  <c r="CC22" i="30"/>
  <c r="CC17" i="30"/>
  <c r="CC16" i="30"/>
  <c r="CB250" i="30"/>
  <c r="CB249" i="30"/>
  <c r="CB248" i="30"/>
  <c r="CB247" i="30"/>
  <c r="CB246" i="30"/>
  <c r="CB245" i="30"/>
  <c r="CB244" i="30"/>
  <c r="CB243" i="30"/>
  <c r="CB242" i="30"/>
  <c r="CB241" i="30"/>
  <c r="CB240" i="30"/>
  <c r="CB239" i="30"/>
  <c r="CB238" i="30"/>
  <c r="CB237" i="30"/>
  <c r="CB235" i="30"/>
  <c r="CB233" i="30"/>
  <c r="CB232" i="30"/>
  <c r="CB231" i="30"/>
  <c r="CB230" i="30"/>
  <c r="CB228" i="30"/>
  <c r="CB227" i="30"/>
  <c r="CB226" i="30"/>
  <c r="CB225" i="30"/>
  <c r="CB224" i="30"/>
  <c r="CB223" i="30"/>
  <c r="CB222" i="30"/>
  <c r="CB220" i="30"/>
  <c r="CB207" i="30"/>
  <c r="CB205" i="30"/>
  <c r="CB203" i="30"/>
  <c r="CB196" i="30"/>
  <c r="CB195" i="30"/>
  <c r="CB194" i="30"/>
  <c r="CB191" i="30"/>
  <c r="CB188" i="30"/>
  <c r="CB187" i="30"/>
  <c r="CB186" i="30"/>
  <c r="CB185" i="30"/>
  <c r="CB184" i="30"/>
  <c r="CB183" i="30"/>
  <c r="CB182" i="30"/>
  <c r="CB181" i="30"/>
  <c r="CB180" i="30"/>
  <c r="CB179" i="30"/>
  <c r="CB178" i="30"/>
  <c r="CB177" i="30"/>
  <c r="CB176" i="30"/>
  <c r="CB175" i="30"/>
  <c r="CB174" i="30"/>
  <c r="CB173" i="30"/>
  <c r="CB172" i="30"/>
  <c r="CB171" i="30"/>
  <c r="CB170" i="30"/>
  <c r="CB169" i="30"/>
  <c r="CB168" i="30"/>
  <c r="CB167" i="30"/>
  <c r="CB166" i="30"/>
  <c r="CB165" i="30"/>
  <c r="CB164" i="30"/>
  <c r="CB163" i="30"/>
  <c r="CB162" i="30"/>
  <c r="CB161" i="30"/>
  <c r="CB160" i="30"/>
  <c r="CB159" i="30"/>
  <c r="CB158" i="30"/>
  <c r="CB157" i="30"/>
  <c r="CB156" i="30"/>
  <c r="CB155" i="30"/>
  <c r="CB154" i="30"/>
  <c r="CB153" i="30"/>
  <c r="CB152" i="30"/>
  <c r="CB151" i="30"/>
  <c r="CB150" i="30"/>
  <c r="CB149" i="30"/>
  <c r="CB148" i="30"/>
  <c r="CB147" i="30"/>
  <c r="CB146" i="30"/>
  <c r="CB145" i="30"/>
  <c r="CB144" i="30"/>
  <c r="CB143" i="30"/>
  <c r="CB142" i="30"/>
  <c r="CB141" i="30"/>
  <c r="CB139" i="30"/>
  <c r="CB135" i="30"/>
  <c r="CB134" i="30"/>
  <c r="CB132" i="30"/>
  <c r="CB131" i="30"/>
  <c r="CB130" i="30"/>
  <c r="CB129" i="30"/>
  <c r="CB127" i="30"/>
  <c r="CB126" i="30"/>
  <c r="CB125" i="30"/>
  <c r="CB123" i="30"/>
  <c r="CB122" i="30"/>
  <c r="CB121" i="30"/>
  <c r="CB120" i="30"/>
  <c r="CB117" i="30"/>
  <c r="CB116" i="30"/>
  <c r="CB115" i="30"/>
  <c r="CB114" i="30"/>
  <c r="CB113" i="30"/>
  <c r="CB112" i="30"/>
  <c r="CB111" i="30"/>
  <c r="CB110" i="30"/>
  <c r="CB109" i="30"/>
  <c r="CB108" i="30"/>
  <c r="CB107" i="30"/>
  <c r="CB106" i="30"/>
  <c r="CB105" i="30"/>
  <c r="CB104" i="30"/>
  <c r="CB103" i="30"/>
  <c r="CB102" i="30"/>
  <c r="CB101" i="30"/>
  <c r="CB100" i="30"/>
  <c r="CB99" i="30"/>
  <c r="CB96" i="30"/>
  <c r="CB90" i="30"/>
  <c r="CB83" i="30"/>
  <c r="CB82" i="30"/>
  <c r="CB81" i="30"/>
  <c r="CB80" i="30"/>
  <c r="CB78" i="30"/>
  <c r="CB77" i="30"/>
  <c r="CB76" i="30"/>
  <c r="CB75" i="30"/>
  <c r="CB74" i="30"/>
  <c r="CB72" i="30"/>
  <c r="CB71" i="30"/>
  <c r="CB70" i="30"/>
  <c r="CB69" i="30"/>
  <c r="CB67" i="30"/>
  <c r="CB64" i="30"/>
  <c r="CB62" i="30"/>
  <c r="CB50" i="30"/>
  <c r="CB38" i="30"/>
  <c r="CB37" i="30"/>
  <c r="CB36" i="30"/>
  <c r="CB35" i="30"/>
  <c r="CB34" i="30"/>
  <c r="CB33" i="30"/>
  <c r="CB32" i="30"/>
  <c r="CB31" i="30"/>
  <c r="CB29" i="30"/>
  <c r="CB28" i="30"/>
  <c r="CB27" i="30"/>
  <c r="CB22" i="30"/>
  <c r="CB17" i="30"/>
  <c r="CB16" i="30"/>
  <c r="CA250" i="30"/>
  <c r="CA249" i="30"/>
  <c r="CA248" i="30"/>
  <c r="CA247" i="30"/>
  <c r="CA246" i="30"/>
  <c r="CA245" i="30"/>
  <c r="CA244" i="30"/>
  <c r="CA243" i="30"/>
  <c r="CA242" i="30"/>
  <c r="CA241" i="30"/>
  <c r="CA240" i="30"/>
  <c r="CA239" i="30"/>
  <c r="CA238" i="30"/>
  <c r="CA237" i="30"/>
  <c r="CA235" i="30"/>
  <c r="CA233" i="30"/>
  <c r="CA232" i="30"/>
  <c r="CA231" i="30"/>
  <c r="CA230" i="30"/>
  <c r="CA228" i="30"/>
  <c r="CA227" i="30"/>
  <c r="CA226" i="30"/>
  <c r="CA225" i="30"/>
  <c r="CA224" i="30"/>
  <c r="CA223" i="30"/>
  <c r="CA222" i="30"/>
  <c r="CA220" i="30"/>
  <c r="CA207" i="30"/>
  <c r="CA205" i="30"/>
  <c r="CA203" i="30"/>
  <c r="CA196" i="30"/>
  <c r="CA195" i="30"/>
  <c r="CA194" i="30"/>
  <c r="CA191" i="30"/>
  <c r="CA188" i="30"/>
  <c r="CA187" i="30"/>
  <c r="CA186" i="30"/>
  <c r="CA185" i="30"/>
  <c r="CA184" i="30"/>
  <c r="CA183" i="30"/>
  <c r="CA182" i="30"/>
  <c r="CA181" i="30"/>
  <c r="CA180" i="30"/>
  <c r="CA179" i="30"/>
  <c r="CA178" i="30"/>
  <c r="CA177" i="30"/>
  <c r="CA176" i="30"/>
  <c r="CA175" i="30"/>
  <c r="CA174" i="30"/>
  <c r="CA173" i="30"/>
  <c r="CA172" i="30"/>
  <c r="CA171" i="30"/>
  <c r="CA170" i="30"/>
  <c r="CA169" i="30"/>
  <c r="CA168" i="30"/>
  <c r="CA167" i="30"/>
  <c r="CA166" i="30"/>
  <c r="CA165" i="30"/>
  <c r="CA164" i="30"/>
  <c r="CA163" i="30"/>
  <c r="CA162" i="30"/>
  <c r="CA161" i="30"/>
  <c r="CA160" i="30"/>
  <c r="CA159" i="30"/>
  <c r="CA158" i="30"/>
  <c r="CA157" i="30"/>
  <c r="CA156" i="30"/>
  <c r="CA155" i="30"/>
  <c r="CA154" i="30"/>
  <c r="CA153" i="30"/>
  <c r="CA152" i="30"/>
  <c r="CA151" i="30"/>
  <c r="CA150" i="30"/>
  <c r="CA149" i="30"/>
  <c r="CA148" i="30"/>
  <c r="CA147" i="30"/>
  <c r="CA146" i="30"/>
  <c r="CA145" i="30"/>
  <c r="CA144" i="30"/>
  <c r="CA143" i="30"/>
  <c r="CA142" i="30"/>
  <c r="CA141" i="30"/>
  <c r="CA139" i="30"/>
  <c r="CA135" i="30"/>
  <c r="CA134" i="30"/>
  <c r="CA132" i="30"/>
  <c r="CA131" i="30"/>
  <c r="CA130" i="30"/>
  <c r="CA129" i="30"/>
  <c r="CA127" i="30"/>
  <c r="CA126" i="30"/>
  <c r="CA125" i="30"/>
  <c r="CA123" i="30"/>
  <c r="CA122" i="30"/>
  <c r="CA121" i="30"/>
  <c r="CA120" i="30"/>
  <c r="CA117" i="30"/>
  <c r="CA116" i="30"/>
  <c r="CA115" i="30"/>
  <c r="CA114" i="30"/>
  <c r="CA113" i="30"/>
  <c r="CA112" i="30"/>
  <c r="CA111" i="30"/>
  <c r="CA110" i="30"/>
  <c r="CA109" i="30"/>
  <c r="CA108" i="30"/>
  <c r="CA107" i="30"/>
  <c r="CA106" i="30"/>
  <c r="CA105" i="30"/>
  <c r="CA104" i="30"/>
  <c r="CA103" i="30"/>
  <c r="CA102" i="30"/>
  <c r="CA101" i="30"/>
  <c r="CA100" i="30"/>
  <c r="CA99" i="30"/>
  <c r="CA96" i="30"/>
  <c r="CA90" i="30"/>
  <c r="CA83" i="30"/>
  <c r="CA82" i="30"/>
  <c r="CA81" i="30"/>
  <c r="CA80" i="30"/>
  <c r="CA78" i="30"/>
  <c r="CA77" i="30"/>
  <c r="CA76" i="30"/>
  <c r="CA75" i="30"/>
  <c r="CA74" i="30"/>
  <c r="CA72" i="30"/>
  <c r="CA71" i="30"/>
  <c r="CA70" i="30"/>
  <c r="CA69" i="30"/>
  <c r="CA67" i="30"/>
  <c r="CA64" i="30"/>
  <c r="CA62" i="30"/>
  <c r="CA50" i="30"/>
  <c r="CA38" i="30"/>
  <c r="CA37" i="30"/>
  <c r="CA36" i="30"/>
  <c r="CA35" i="30"/>
  <c r="CA34" i="30"/>
  <c r="CA33" i="30"/>
  <c r="CA32" i="30"/>
  <c r="CA31" i="30"/>
  <c r="CA29" i="30"/>
  <c r="CA28" i="30"/>
  <c r="CA27" i="30"/>
  <c r="CA22" i="30"/>
  <c r="CA17" i="30"/>
  <c r="CA16" i="30"/>
  <c r="BZ250" i="30"/>
  <c r="BZ249" i="30"/>
  <c r="BZ248" i="30"/>
  <c r="BZ247" i="30"/>
  <c r="BZ246" i="30"/>
  <c r="BZ245" i="30"/>
  <c r="BZ244" i="30"/>
  <c r="BZ243" i="30"/>
  <c r="BZ242" i="30"/>
  <c r="BZ241" i="30"/>
  <c r="BZ240" i="30"/>
  <c r="BZ239" i="30"/>
  <c r="BZ238" i="30"/>
  <c r="BZ237" i="30"/>
  <c r="BZ235" i="30"/>
  <c r="BZ233" i="30"/>
  <c r="BZ232" i="30"/>
  <c r="BZ231" i="30"/>
  <c r="BZ230" i="30"/>
  <c r="BZ228" i="30"/>
  <c r="BZ227" i="30"/>
  <c r="BZ226" i="30"/>
  <c r="BZ225" i="30"/>
  <c r="BZ224" i="30"/>
  <c r="BZ223" i="30"/>
  <c r="BZ222" i="30"/>
  <c r="BZ220" i="30"/>
  <c r="BZ207" i="30"/>
  <c r="BZ205" i="30"/>
  <c r="BZ203" i="30"/>
  <c r="BZ196" i="30"/>
  <c r="BZ195" i="30"/>
  <c r="BZ194" i="30"/>
  <c r="BZ191" i="30"/>
  <c r="BZ188" i="30"/>
  <c r="BZ187" i="30"/>
  <c r="BZ186" i="30"/>
  <c r="BZ185" i="30"/>
  <c r="BZ184" i="30"/>
  <c r="BZ183" i="30"/>
  <c r="BZ182" i="30"/>
  <c r="BZ181" i="30"/>
  <c r="BZ180" i="30"/>
  <c r="BZ179" i="30"/>
  <c r="BZ178" i="30"/>
  <c r="BZ177" i="30"/>
  <c r="BZ176" i="30"/>
  <c r="BZ175" i="30"/>
  <c r="BZ174" i="30"/>
  <c r="BZ173" i="30"/>
  <c r="BZ172" i="30"/>
  <c r="BZ171" i="30"/>
  <c r="BZ170" i="30"/>
  <c r="BZ169" i="30"/>
  <c r="BZ168" i="30"/>
  <c r="BZ167" i="30"/>
  <c r="BZ166" i="30"/>
  <c r="BZ165" i="30"/>
  <c r="BZ164" i="30"/>
  <c r="BZ163" i="30"/>
  <c r="BZ162" i="30"/>
  <c r="BZ161" i="30"/>
  <c r="BZ160" i="30"/>
  <c r="BZ159" i="30"/>
  <c r="BZ158" i="30"/>
  <c r="BZ157" i="30"/>
  <c r="BZ156" i="30"/>
  <c r="BZ155" i="30"/>
  <c r="BZ154" i="30"/>
  <c r="BZ153" i="30"/>
  <c r="BZ152" i="30"/>
  <c r="BZ151" i="30"/>
  <c r="BZ150" i="30"/>
  <c r="BZ149" i="30"/>
  <c r="BZ148" i="30"/>
  <c r="BZ147" i="30"/>
  <c r="BZ146" i="30"/>
  <c r="BZ145" i="30"/>
  <c r="BZ144" i="30"/>
  <c r="BZ143" i="30"/>
  <c r="BZ142" i="30"/>
  <c r="BZ141" i="30"/>
  <c r="BZ139" i="30"/>
  <c r="BZ135" i="30"/>
  <c r="BZ134" i="30"/>
  <c r="BZ132" i="30"/>
  <c r="BZ131" i="30"/>
  <c r="BZ130" i="30"/>
  <c r="BZ129" i="30"/>
  <c r="BZ127" i="30"/>
  <c r="BZ126" i="30"/>
  <c r="BZ125" i="30"/>
  <c r="BZ123" i="30"/>
  <c r="BZ122" i="30"/>
  <c r="BZ121" i="30"/>
  <c r="BZ120" i="30"/>
  <c r="BZ117" i="30"/>
  <c r="BZ116" i="30"/>
  <c r="BZ115" i="30"/>
  <c r="BZ114" i="30"/>
  <c r="BZ113" i="30"/>
  <c r="BZ112" i="30"/>
  <c r="BZ111" i="30"/>
  <c r="BZ110" i="30"/>
  <c r="BZ109" i="30"/>
  <c r="BZ108" i="30"/>
  <c r="BZ107" i="30"/>
  <c r="BZ106" i="30"/>
  <c r="BZ105" i="30"/>
  <c r="BZ104" i="30"/>
  <c r="BZ103" i="30"/>
  <c r="BZ102" i="30"/>
  <c r="BZ101" i="30"/>
  <c r="BZ100" i="30"/>
  <c r="BZ99" i="30"/>
  <c r="BZ96" i="30"/>
  <c r="BZ90" i="30"/>
  <c r="BZ83" i="30"/>
  <c r="BZ82" i="30"/>
  <c r="BZ81" i="30"/>
  <c r="BZ80" i="30"/>
  <c r="BZ78" i="30"/>
  <c r="BZ77" i="30"/>
  <c r="BZ76" i="30"/>
  <c r="BZ75" i="30"/>
  <c r="BZ74" i="30"/>
  <c r="BZ72" i="30"/>
  <c r="BZ71" i="30"/>
  <c r="BZ70" i="30"/>
  <c r="BZ69" i="30"/>
  <c r="BZ67" i="30"/>
  <c r="BZ64" i="30"/>
  <c r="BZ62" i="30"/>
  <c r="BZ50" i="30"/>
  <c r="BZ38" i="30"/>
  <c r="BZ37" i="30"/>
  <c r="BZ36" i="30"/>
  <c r="BZ35" i="30"/>
  <c r="BZ34" i="30"/>
  <c r="BZ33" i="30"/>
  <c r="BZ32" i="30"/>
  <c r="BZ31" i="30"/>
  <c r="BZ29" i="30"/>
  <c r="BZ28" i="30"/>
  <c r="BZ27" i="30"/>
  <c r="BZ22" i="30"/>
  <c r="BZ17" i="30"/>
  <c r="BZ16" i="30"/>
  <c r="BY250" i="30"/>
  <c r="BY249" i="30"/>
  <c r="BY248" i="30"/>
  <c r="BY247" i="30"/>
  <c r="BY246" i="30"/>
  <c r="BY245" i="30"/>
  <c r="BY244" i="30"/>
  <c r="BY243" i="30"/>
  <c r="BY242" i="30"/>
  <c r="BY241" i="30"/>
  <c r="BY240" i="30"/>
  <c r="BY239" i="30"/>
  <c r="BY238" i="30"/>
  <c r="BY237" i="30"/>
  <c r="BY235" i="30"/>
  <c r="BY233" i="30"/>
  <c r="BY232" i="30"/>
  <c r="BY231" i="30"/>
  <c r="BY230" i="30"/>
  <c r="BY228" i="30"/>
  <c r="BY227" i="30"/>
  <c r="BY226" i="30"/>
  <c r="BY225" i="30"/>
  <c r="BY224" i="30"/>
  <c r="BY223" i="30"/>
  <c r="BY222" i="30"/>
  <c r="BY220" i="30"/>
  <c r="BY207" i="30"/>
  <c r="BY205" i="30"/>
  <c r="BY203" i="30"/>
  <c r="BY196" i="30"/>
  <c r="BY195" i="30"/>
  <c r="BY194" i="30"/>
  <c r="BY191" i="30"/>
  <c r="BY188" i="30"/>
  <c r="BY187" i="30"/>
  <c r="BY186" i="30"/>
  <c r="BY185" i="30"/>
  <c r="BY184" i="30"/>
  <c r="BY183" i="30"/>
  <c r="BY182" i="30"/>
  <c r="BY181" i="30"/>
  <c r="BY180" i="30"/>
  <c r="BY179" i="30"/>
  <c r="BY178" i="30"/>
  <c r="BY177" i="30"/>
  <c r="BY176" i="30"/>
  <c r="BY175" i="30"/>
  <c r="BY174" i="30"/>
  <c r="BY173" i="30"/>
  <c r="BY172" i="30"/>
  <c r="BY171" i="30"/>
  <c r="BY170" i="30"/>
  <c r="BY169" i="30"/>
  <c r="BY168" i="30"/>
  <c r="BY167" i="30"/>
  <c r="BY166" i="30"/>
  <c r="BY165" i="30"/>
  <c r="BY164" i="30"/>
  <c r="BY163" i="30"/>
  <c r="BY162" i="30"/>
  <c r="BY161" i="30"/>
  <c r="BY160" i="30"/>
  <c r="BY159" i="30"/>
  <c r="BY158" i="30"/>
  <c r="BY157" i="30"/>
  <c r="BY156" i="30"/>
  <c r="BY155" i="30"/>
  <c r="BY154" i="30"/>
  <c r="BY153" i="30"/>
  <c r="BY152" i="30"/>
  <c r="BY151" i="30"/>
  <c r="BY150" i="30"/>
  <c r="BY149" i="30"/>
  <c r="BY148" i="30"/>
  <c r="BY147" i="30"/>
  <c r="BY146" i="30"/>
  <c r="BY145" i="30"/>
  <c r="BY144" i="30"/>
  <c r="BY143" i="30"/>
  <c r="BY142" i="30"/>
  <c r="BY141" i="30"/>
  <c r="BY139" i="30"/>
  <c r="BY135" i="30"/>
  <c r="BY134" i="30"/>
  <c r="BY132" i="30"/>
  <c r="BY131" i="30"/>
  <c r="BY130" i="30"/>
  <c r="BY129" i="30"/>
  <c r="BY127" i="30"/>
  <c r="BY126" i="30"/>
  <c r="BY125" i="30"/>
  <c r="BY123" i="30"/>
  <c r="BY122" i="30"/>
  <c r="BY121" i="30"/>
  <c r="BY120" i="30"/>
  <c r="BY117" i="30"/>
  <c r="BY116" i="30"/>
  <c r="BY115" i="30"/>
  <c r="BY114" i="30"/>
  <c r="BY113" i="30"/>
  <c r="BY112" i="30"/>
  <c r="BY111" i="30"/>
  <c r="BY110" i="30"/>
  <c r="BY109" i="30"/>
  <c r="BY108" i="30"/>
  <c r="BY107" i="30"/>
  <c r="BY106" i="30"/>
  <c r="BY105" i="30"/>
  <c r="BY104" i="30"/>
  <c r="BY103" i="30"/>
  <c r="BY102" i="30"/>
  <c r="BY101" i="30"/>
  <c r="BY100" i="30"/>
  <c r="BY99" i="30"/>
  <c r="BY90" i="30"/>
  <c r="BY83" i="30"/>
  <c r="BY82" i="30"/>
  <c r="BY81" i="30"/>
  <c r="BY80" i="30"/>
  <c r="BY78" i="30"/>
  <c r="BY77" i="30"/>
  <c r="BY76" i="30"/>
  <c r="BY75" i="30"/>
  <c r="BY74" i="30"/>
  <c r="BY72" i="30"/>
  <c r="BY71" i="30"/>
  <c r="BY70" i="30"/>
  <c r="BY69" i="30"/>
  <c r="BY67" i="30"/>
  <c r="BY64" i="30"/>
  <c r="BY62" i="30"/>
  <c r="BY50" i="30"/>
  <c r="BY38" i="30"/>
  <c r="BY37" i="30"/>
  <c r="BY36" i="30"/>
  <c r="BY35" i="30"/>
  <c r="BY34" i="30"/>
  <c r="BY33" i="30"/>
  <c r="BY32" i="30"/>
  <c r="BY31" i="30"/>
  <c r="BY29" i="30"/>
  <c r="BY28" i="30"/>
  <c r="BY27" i="30"/>
  <c r="BY22" i="30"/>
  <c r="BY17" i="30"/>
  <c r="BY16" i="30"/>
  <c r="BX250" i="30"/>
  <c r="BX249" i="30"/>
  <c r="BX248" i="30"/>
  <c r="BX247" i="30"/>
  <c r="BX246" i="30"/>
  <c r="BX245" i="30"/>
  <c r="BX244" i="30"/>
  <c r="BX243" i="30"/>
  <c r="BX242" i="30"/>
  <c r="BX241" i="30"/>
  <c r="BX240" i="30"/>
  <c r="BX239" i="30"/>
  <c r="BX238" i="30"/>
  <c r="BX237" i="30"/>
  <c r="BX235" i="30"/>
  <c r="BX233" i="30"/>
  <c r="BX232" i="30"/>
  <c r="BX231" i="30"/>
  <c r="BX230" i="30"/>
  <c r="BX228" i="30"/>
  <c r="BX227" i="30"/>
  <c r="BX226" i="30"/>
  <c r="BX225" i="30"/>
  <c r="BX224" i="30"/>
  <c r="BX223" i="30"/>
  <c r="BX222" i="30"/>
  <c r="BX220" i="30"/>
  <c r="BX207" i="30"/>
  <c r="BX205" i="30"/>
  <c r="BX203" i="30"/>
  <c r="BX196" i="30"/>
  <c r="BX195" i="30"/>
  <c r="BX194" i="30"/>
  <c r="BX191" i="30"/>
  <c r="BX188" i="30"/>
  <c r="BX187" i="30"/>
  <c r="BX186" i="30"/>
  <c r="BX185" i="30"/>
  <c r="BX184" i="30"/>
  <c r="BX183" i="30"/>
  <c r="BX182" i="30"/>
  <c r="BX181" i="30"/>
  <c r="BX180" i="30"/>
  <c r="BX179" i="30"/>
  <c r="BX178" i="30"/>
  <c r="BX177" i="30"/>
  <c r="BX176" i="30"/>
  <c r="BX175" i="30"/>
  <c r="BX174" i="30"/>
  <c r="BX173" i="30"/>
  <c r="BX172" i="30"/>
  <c r="BX171" i="30"/>
  <c r="BX170" i="30"/>
  <c r="BX169" i="30"/>
  <c r="BX168" i="30"/>
  <c r="BX167" i="30"/>
  <c r="BX166" i="30"/>
  <c r="BX165" i="30"/>
  <c r="BX164" i="30"/>
  <c r="BX163" i="30"/>
  <c r="BX162" i="30"/>
  <c r="BX161" i="30"/>
  <c r="BX160" i="30"/>
  <c r="BX159" i="30"/>
  <c r="BX158" i="30"/>
  <c r="BX157" i="30"/>
  <c r="BX156" i="30"/>
  <c r="BX155" i="30"/>
  <c r="BX154" i="30"/>
  <c r="BX153" i="30"/>
  <c r="BX152" i="30"/>
  <c r="BX151" i="30"/>
  <c r="BX150" i="30"/>
  <c r="BX149" i="30"/>
  <c r="BX148" i="30"/>
  <c r="BX147" i="30"/>
  <c r="BX146" i="30"/>
  <c r="BX145" i="30"/>
  <c r="BX144" i="30"/>
  <c r="BX143" i="30"/>
  <c r="BX142" i="30"/>
  <c r="BX141" i="30"/>
  <c r="BX139" i="30"/>
  <c r="BX135" i="30"/>
  <c r="BX134" i="30"/>
  <c r="BX132" i="30"/>
  <c r="BX131" i="30"/>
  <c r="BX130" i="30"/>
  <c r="BX129" i="30"/>
  <c r="BX127" i="30"/>
  <c r="BX126" i="30"/>
  <c r="BX125" i="30"/>
  <c r="BX123" i="30"/>
  <c r="BX122" i="30"/>
  <c r="BX121" i="30"/>
  <c r="BX120" i="30"/>
  <c r="BX117" i="30"/>
  <c r="BX116" i="30"/>
  <c r="BX115" i="30"/>
  <c r="BX114" i="30"/>
  <c r="BX113" i="30"/>
  <c r="BX112" i="30"/>
  <c r="BX111" i="30"/>
  <c r="BX110" i="30"/>
  <c r="BX109" i="30"/>
  <c r="BX108" i="30"/>
  <c r="BX107" i="30"/>
  <c r="BX106" i="30"/>
  <c r="BX105" i="30"/>
  <c r="BX104" i="30"/>
  <c r="BX103" i="30"/>
  <c r="BX102" i="30"/>
  <c r="BX101" i="30"/>
  <c r="BX100" i="30"/>
  <c r="BX99" i="30"/>
  <c r="BX96" i="30"/>
  <c r="BX90" i="30"/>
  <c r="BX83" i="30"/>
  <c r="BX82" i="30"/>
  <c r="BX81" i="30"/>
  <c r="BX80" i="30"/>
  <c r="BX78" i="30"/>
  <c r="BX77" i="30"/>
  <c r="BX76" i="30"/>
  <c r="BX75" i="30"/>
  <c r="BX74" i="30"/>
  <c r="BX72" i="30"/>
  <c r="BX71" i="30"/>
  <c r="BX70" i="30"/>
  <c r="BX69" i="30"/>
  <c r="BX67" i="30"/>
  <c r="BX64" i="30"/>
  <c r="BX62" i="30"/>
  <c r="BX50" i="30"/>
  <c r="BX38" i="30"/>
  <c r="BX37" i="30"/>
  <c r="BX36" i="30"/>
  <c r="BX35" i="30"/>
  <c r="BX34" i="30"/>
  <c r="BX33" i="30"/>
  <c r="BX32" i="30"/>
  <c r="BX31" i="30"/>
  <c r="BX29" i="30"/>
  <c r="BX28" i="30"/>
  <c r="BX27" i="30"/>
  <c r="BX22" i="30"/>
  <c r="BX17" i="30"/>
  <c r="BX16" i="30"/>
  <c r="BW250" i="30"/>
  <c r="BW249" i="30"/>
  <c r="BW248" i="30"/>
  <c r="BW247" i="30"/>
  <c r="BW246" i="30"/>
  <c r="BW245" i="30"/>
  <c r="BW244" i="30"/>
  <c r="BW243" i="30"/>
  <c r="BW242" i="30"/>
  <c r="BW241" i="30"/>
  <c r="BW240" i="30"/>
  <c r="BW239" i="30"/>
  <c r="BW238" i="30"/>
  <c r="BW237" i="30"/>
  <c r="BW235" i="30"/>
  <c r="BW233" i="30"/>
  <c r="BW232" i="30"/>
  <c r="BW231" i="30"/>
  <c r="BW230" i="30"/>
  <c r="BW228" i="30"/>
  <c r="BW227" i="30"/>
  <c r="BW226" i="30"/>
  <c r="BW225" i="30"/>
  <c r="BW224" i="30"/>
  <c r="BW223" i="30"/>
  <c r="BW222" i="30"/>
  <c r="BW220" i="30"/>
  <c r="BW207" i="30"/>
  <c r="BW205" i="30"/>
  <c r="BW203" i="30"/>
  <c r="BW196" i="30"/>
  <c r="BW195" i="30"/>
  <c r="BW194" i="30"/>
  <c r="BW191" i="30"/>
  <c r="BW188" i="30"/>
  <c r="BW187" i="30"/>
  <c r="BW186" i="30"/>
  <c r="BW185" i="30"/>
  <c r="BW184" i="30"/>
  <c r="BW183" i="30"/>
  <c r="BW182" i="30"/>
  <c r="BW181" i="30"/>
  <c r="BW180" i="30"/>
  <c r="BW179" i="30"/>
  <c r="BW178" i="30"/>
  <c r="BW177" i="30"/>
  <c r="BW176" i="30"/>
  <c r="BW175" i="30"/>
  <c r="BW174" i="30"/>
  <c r="BW173" i="30"/>
  <c r="BW172" i="30"/>
  <c r="BW171" i="30"/>
  <c r="BW170" i="30"/>
  <c r="BW169" i="30"/>
  <c r="BW168" i="30"/>
  <c r="BW167" i="30"/>
  <c r="BW166" i="30"/>
  <c r="BW165" i="30"/>
  <c r="BW164" i="30"/>
  <c r="BW163" i="30"/>
  <c r="BW162" i="30"/>
  <c r="BW161" i="30"/>
  <c r="BW160" i="30"/>
  <c r="BW159" i="30"/>
  <c r="BW158" i="30"/>
  <c r="BW157" i="30"/>
  <c r="BW156" i="30"/>
  <c r="BW155" i="30"/>
  <c r="BW154" i="30"/>
  <c r="BW153" i="30"/>
  <c r="BW152" i="30"/>
  <c r="BW151" i="30"/>
  <c r="BW150" i="30"/>
  <c r="BW149" i="30"/>
  <c r="BW148" i="30"/>
  <c r="BW147" i="30"/>
  <c r="BW146" i="30"/>
  <c r="BW145" i="30"/>
  <c r="BW144" i="30"/>
  <c r="BW143" i="30"/>
  <c r="BW142" i="30"/>
  <c r="BW141" i="30"/>
  <c r="BW139" i="30"/>
  <c r="BW135" i="30"/>
  <c r="BW134" i="30"/>
  <c r="BW132" i="30"/>
  <c r="BW131" i="30"/>
  <c r="BW130" i="30"/>
  <c r="BW129" i="30"/>
  <c r="BW127" i="30"/>
  <c r="BW126" i="30"/>
  <c r="BW125" i="30"/>
  <c r="BW123" i="30"/>
  <c r="BW122" i="30"/>
  <c r="BW121" i="30"/>
  <c r="BW120" i="30"/>
  <c r="BW117" i="30"/>
  <c r="BW116" i="30"/>
  <c r="BW115" i="30"/>
  <c r="BW114" i="30"/>
  <c r="BW113" i="30"/>
  <c r="BW112" i="30"/>
  <c r="BW111" i="30"/>
  <c r="BW110" i="30"/>
  <c r="BW109" i="30"/>
  <c r="BW108" i="30"/>
  <c r="BW107" i="30"/>
  <c r="BW106" i="30"/>
  <c r="BW105" i="30"/>
  <c r="BW104" i="30"/>
  <c r="BW103" i="30"/>
  <c r="BW102" i="30"/>
  <c r="BW101" i="30"/>
  <c r="BW100" i="30"/>
  <c r="BW99" i="30"/>
  <c r="BW96" i="30"/>
  <c r="BW90" i="30"/>
  <c r="BW83" i="30"/>
  <c r="BW82" i="30"/>
  <c r="BW81" i="30"/>
  <c r="BW80" i="30"/>
  <c r="BW78" i="30"/>
  <c r="BW77" i="30"/>
  <c r="BW76" i="30"/>
  <c r="BW75" i="30"/>
  <c r="BW74" i="30"/>
  <c r="BW72" i="30"/>
  <c r="BW71" i="30"/>
  <c r="BW70" i="30"/>
  <c r="BW69" i="30"/>
  <c r="BW67" i="30"/>
  <c r="BW64" i="30"/>
  <c r="BW62" i="30"/>
  <c r="BW50" i="30"/>
  <c r="BW38" i="30"/>
  <c r="BW37" i="30"/>
  <c r="BW36" i="30"/>
  <c r="BW35" i="30"/>
  <c r="BW34" i="30"/>
  <c r="BW33" i="30"/>
  <c r="BW32" i="30"/>
  <c r="BW31" i="30"/>
  <c r="BW29" i="30"/>
  <c r="BW28" i="30"/>
  <c r="BW27" i="30"/>
  <c r="BW22" i="30"/>
  <c r="BW17" i="30"/>
  <c r="BW16" i="30"/>
  <c r="BV250" i="30"/>
  <c r="BV249" i="30"/>
  <c r="BV248" i="30"/>
  <c r="BV247" i="30"/>
  <c r="BV246" i="30"/>
  <c r="BV245" i="30"/>
  <c r="BV244" i="30"/>
  <c r="BV243" i="30"/>
  <c r="BV242" i="30"/>
  <c r="BV241" i="30"/>
  <c r="BV240" i="30"/>
  <c r="BV239" i="30"/>
  <c r="BV238" i="30"/>
  <c r="BV237" i="30"/>
  <c r="BV235" i="30"/>
  <c r="BV233" i="30"/>
  <c r="BV232" i="30"/>
  <c r="BV231" i="30"/>
  <c r="BV230" i="30"/>
  <c r="BV228" i="30"/>
  <c r="BV227" i="30"/>
  <c r="BV226" i="30"/>
  <c r="BV225" i="30"/>
  <c r="BV224" i="30"/>
  <c r="BV223" i="30"/>
  <c r="BV222" i="30"/>
  <c r="BV220" i="30"/>
  <c r="BV207" i="30"/>
  <c r="BV205" i="30"/>
  <c r="BV203" i="30"/>
  <c r="BV196" i="30"/>
  <c r="BV195" i="30"/>
  <c r="BV194" i="30"/>
  <c r="BV191" i="30"/>
  <c r="BV188" i="30"/>
  <c r="BV187" i="30"/>
  <c r="BV186" i="30"/>
  <c r="BV185" i="30"/>
  <c r="BV184" i="30"/>
  <c r="BV183" i="30"/>
  <c r="BV182" i="30"/>
  <c r="BV181" i="30"/>
  <c r="BV180" i="30"/>
  <c r="BV179" i="30"/>
  <c r="BV178" i="30"/>
  <c r="BV177" i="30"/>
  <c r="BV176" i="30"/>
  <c r="BV175" i="30"/>
  <c r="BV174" i="30"/>
  <c r="BV173" i="30"/>
  <c r="BV172" i="30"/>
  <c r="BV170" i="30"/>
  <c r="BV169" i="30"/>
  <c r="BV168" i="30"/>
  <c r="BV167" i="30"/>
  <c r="BV166" i="30"/>
  <c r="BV165" i="30"/>
  <c r="BV164" i="30"/>
  <c r="BV161" i="30"/>
  <c r="BV159" i="30"/>
  <c r="BV157" i="30"/>
  <c r="BV156" i="30"/>
  <c r="BV155" i="30"/>
  <c r="BV154" i="30"/>
  <c r="BV153" i="30"/>
  <c r="BV152" i="30"/>
  <c r="BV151" i="30"/>
  <c r="BV150" i="30"/>
  <c r="BV149" i="30"/>
  <c r="BV148" i="30"/>
  <c r="BV147" i="30"/>
  <c r="BV146" i="30"/>
  <c r="BV145" i="30"/>
  <c r="BV144" i="30"/>
  <c r="BV143" i="30"/>
  <c r="BV142" i="30"/>
  <c r="BV141" i="30"/>
  <c r="BV139" i="30"/>
  <c r="BV135" i="30"/>
  <c r="BV134" i="30"/>
  <c r="BV132" i="30"/>
  <c r="BV131" i="30"/>
  <c r="BV130" i="30"/>
  <c r="BV129" i="30"/>
  <c r="BV127" i="30"/>
  <c r="BV126" i="30"/>
  <c r="BV125" i="30"/>
  <c r="BV123" i="30"/>
  <c r="BV122" i="30"/>
  <c r="BV121" i="30"/>
  <c r="BV120" i="30"/>
  <c r="BV116" i="30"/>
  <c r="BV115" i="30"/>
  <c r="BV114" i="30"/>
  <c r="BV113" i="30"/>
  <c r="BV112" i="30"/>
  <c r="BV111" i="30"/>
  <c r="BV110" i="30"/>
  <c r="BV109" i="30"/>
  <c r="BV108" i="30"/>
  <c r="BV107" i="30"/>
  <c r="BV106" i="30"/>
  <c r="BV105" i="30"/>
  <c r="BV104" i="30"/>
  <c r="BV103" i="30"/>
  <c r="BV102" i="30"/>
  <c r="BV101" i="30"/>
  <c r="BV100" i="30"/>
  <c r="BV99" i="30"/>
  <c r="BV96" i="30"/>
  <c r="BV90" i="30"/>
  <c r="BV83" i="30"/>
  <c r="BV82" i="30"/>
  <c r="BV81" i="30"/>
  <c r="BV80" i="30"/>
  <c r="BV78" i="30"/>
  <c r="BV77" i="30"/>
  <c r="BV76" i="30"/>
  <c r="BV75" i="30"/>
  <c r="BV74" i="30"/>
  <c r="BV72" i="30"/>
  <c r="BV71" i="30"/>
  <c r="BV70" i="30"/>
  <c r="BV69" i="30"/>
  <c r="BV67" i="30"/>
  <c r="BV64" i="30"/>
  <c r="BV62" i="30"/>
  <c r="BV50" i="30"/>
  <c r="BV38" i="30"/>
  <c r="BV37" i="30"/>
  <c r="BV36" i="30"/>
  <c r="BV35" i="30"/>
  <c r="BV34" i="30"/>
  <c r="BV33" i="30"/>
  <c r="BV32" i="30"/>
  <c r="BV31" i="30"/>
  <c r="BV29" i="30"/>
  <c r="BV28" i="30"/>
  <c r="BV27" i="30"/>
  <c r="BV22" i="30"/>
  <c r="BV17" i="30"/>
  <c r="BV16" i="30"/>
  <c r="BU250" i="30"/>
  <c r="BU249" i="30"/>
  <c r="BU248" i="30"/>
  <c r="BU247" i="30"/>
  <c r="BU246" i="30"/>
  <c r="BU245" i="30"/>
  <c r="BU244" i="30"/>
  <c r="BU243" i="30"/>
  <c r="BU242" i="30"/>
  <c r="BU241" i="30"/>
  <c r="BU240" i="30"/>
  <c r="BU239" i="30"/>
  <c r="BU238" i="30"/>
  <c r="BU237" i="30"/>
  <c r="BU235" i="30"/>
  <c r="BU233" i="30"/>
  <c r="BU232" i="30"/>
  <c r="BU231" i="30"/>
  <c r="BU230" i="30"/>
  <c r="BU228" i="30"/>
  <c r="BU227" i="30"/>
  <c r="BU226" i="30"/>
  <c r="BU225" i="30"/>
  <c r="BU224" i="30"/>
  <c r="BU223" i="30"/>
  <c r="BU222" i="30"/>
  <c r="BU220" i="30"/>
  <c r="BU207" i="30"/>
  <c r="BU205" i="30"/>
  <c r="BU203" i="30"/>
  <c r="BU196" i="30"/>
  <c r="BU195" i="30"/>
  <c r="BU194" i="30"/>
  <c r="BU191" i="30"/>
  <c r="BU188" i="30"/>
  <c r="BU187" i="30"/>
  <c r="BU186" i="30"/>
  <c r="BU185" i="30"/>
  <c r="BU184" i="30"/>
  <c r="BU183" i="30"/>
  <c r="BU182" i="30"/>
  <c r="BU181" i="30"/>
  <c r="BU180" i="30"/>
  <c r="BU179" i="30"/>
  <c r="BU178" i="30"/>
  <c r="BU177" i="30"/>
  <c r="BU176" i="30"/>
  <c r="BU175" i="30"/>
  <c r="BU174" i="30"/>
  <c r="BU173" i="30"/>
  <c r="BU172" i="30"/>
  <c r="BU170" i="30"/>
  <c r="BU169" i="30"/>
  <c r="BU168" i="30"/>
  <c r="BU167" i="30"/>
  <c r="BU166" i="30"/>
  <c r="BU165" i="30"/>
  <c r="BU164" i="30"/>
  <c r="BU161" i="30"/>
  <c r="BU159" i="30"/>
  <c r="BU157" i="30"/>
  <c r="BU156" i="30"/>
  <c r="BU155" i="30"/>
  <c r="BU154" i="30"/>
  <c r="BU153" i="30"/>
  <c r="BU152" i="30"/>
  <c r="BU151" i="30"/>
  <c r="BU150" i="30"/>
  <c r="BU149" i="30"/>
  <c r="BU148" i="30"/>
  <c r="BU147" i="30"/>
  <c r="BU146" i="30"/>
  <c r="BU145" i="30"/>
  <c r="BU144" i="30"/>
  <c r="BU143" i="30"/>
  <c r="BU142" i="30"/>
  <c r="BU141" i="30"/>
  <c r="BU139" i="30"/>
  <c r="BU135" i="30"/>
  <c r="BU134" i="30"/>
  <c r="BU132" i="30"/>
  <c r="BU131" i="30"/>
  <c r="BU130" i="30"/>
  <c r="BU129" i="30"/>
  <c r="BU127" i="30"/>
  <c r="BU126" i="30"/>
  <c r="BU125" i="30"/>
  <c r="BU123" i="30"/>
  <c r="BU122" i="30"/>
  <c r="BU121" i="30"/>
  <c r="BU120" i="30"/>
  <c r="BU116" i="30"/>
  <c r="BU115" i="30"/>
  <c r="BU114" i="30"/>
  <c r="BU113" i="30"/>
  <c r="BU112" i="30"/>
  <c r="BU111" i="30"/>
  <c r="BU110" i="30"/>
  <c r="BU109" i="30"/>
  <c r="BU108" i="30"/>
  <c r="BU107" i="30"/>
  <c r="BU106" i="30"/>
  <c r="BU105" i="30"/>
  <c r="BU104" i="30"/>
  <c r="BU103" i="30"/>
  <c r="BU102" i="30"/>
  <c r="BU101" i="30"/>
  <c r="BU100" i="30"/>
  <c r="BU99" i="30"/>
  <c r="BU96" i="30"/>
  <c r="BU90" i="30"/>
  <c r="BU83" i="30"/>
  <c r="BU82" i="30"/>
  <c r="BU81" i="30"/>
  <c r="BU80" i="30"/>
  <c r="BU78" i="30"/>
  <c r="BU77" i="30"/>
  <c r="BU76" i="30"/>
  <c r="BU75" i="30"/>
  <c r="BU74" i="30"/>
  <c r="BU72" i="30"/>
  <c r="BU71" i="30"/>
  <c r="BU70" i="30"/>
  <c r="BU69" i="30"/>
  <c r="BU67" i="30"/>
  <c r="BU64" i="30"/>
  <c r="BU62" i="30"/>
  <c r="BU50" i="30"/>
  <c r="BU38" i="30"/>
  <c r="BU37" i="30"/>
  <c r="BU36" i="30"/>
  <c r="BU35" i="30"/>
  <c r="BU34" i="30"/>
  <c r="BU33" i="30"/>
  <c r="BU32" i="30"/>
  <c r="BU31" i="30"/>
  <c r="BU29" i="30"/>
  <c r="BU28" i="30"/>
  <c r="BU27" i="30"/>
  <c r="BU22" i="30"/>
  <c r="BU17" i="30"/>
  <c r="BU16" i="30"/>
  <c r="BT250" i="30"/>
  <c r="BT249" i="30"/>
  <c r="BT248" i="30"/>
  <c r="BT247" i="30"/>
  <c r="BT246" i="30"/>
  <c r="BT245" i="30"/>
  <c r="BT244" i="30"/>
  <c r="BT243" i="30"/>
  <c r="BT242" i="30"/>
  <c r="BT241" i="30"/>
  <c r="BT240" i="30"/>
  <c r="BT239" i="30"/>
  <c r="BT238" i="30"/>
  <c r="BT237" i="30"/>
  <c r="BT235" i="30"/>
  <c r="BT233" i="30"/>
  <c r="BT232" i="30"/>
  <c r="BT231" i="30"/>
  <c r="BT230" i="30"/>
  <c r="BT228" i="30"/>
  <c r="BT227" i="30"/>
  <c r="BT226" i="30"/>
  <c r="BT225" i="30"/>
  <c r="BT224" i="30"/>
  <c r="BT223" i="30"/>
  <c r="BT222" i="30"/>
  <c r="BT220" i="30"/>
  <c r="BT207" i="30"/>
  <c r="BT205" i="30"/>
  <c r="BT203" i="30"/>
  <c r="BT196" i="30"/>
  <c r="BT195" i="30"/>
  <c r="BT194" i="30"/>
  <c r="BT191" i="30"/>
  <c r="BT188" i="30"/>
  <c r="BT187" i="30"/>
  <c r="BT186" i="30"/>
  <c r="BT185" i="30"/>
  <c r="BT184" i="30"/>
  <c r="BT183" i="30"/>
  <c r="BT182" i="30"/>
  <c r="BT181" i="30"/>
  <c r="BT180" i="30"/>
  <c r="BT179" i="30"/>
  <c r="BT178" i="30"/>
  <c r="BT177" i="30"/>
  <c r="BT176" i="30"/>
  <c r="BT175" i="30"/>
  <c r="BT174" i="30"/>
  <c r="BT173" i="30"/>
  <c r="BT172" i="30"/>
  <c r="BT170" i="30"/>
  <c r="BT169" i="30"/>
  <c r="BT168" i="30"/>
  <c r="BT167" i="30"/>
  <c r="BT166" i="30"/>
  <c r="BT165" i="30"/>
  <c r="BT164" i="30"/>
  <c r="BT161" i="30"/>
  <c r="BT159" i="30"/>
  <c r="BT157" i="30"/>
  <c r="BT156" i="30"/>
  <c r="BT155" i="30"/>
  <c r="BT154" i="30"/>
  <c r="BT153" i="30"/>
  <c r="BT152" i="30"/>
  <c r="BT151" i="30"/>
  <c r="BT150" i="30"/>
  <c r="BT149" i="30"/>
  <c r="BT148" i="30"/>
  <c r="BT147" i="30"/>
  <c r="BT146" i="30"/>
  <c r="BT145" i="30"/>
  <c r="BT144" i="30"/>
  <c r="BT143" i="30"/>
  <c r="BT142" i="30"/>
  <c r="BT141" i="30"/>
  <c r="BT139" i="30"/>
  <c r="BT135" i="30"/>
  <c r="BT134" i="30"/>
  <c r="BT132" i="30"/>
  <c r="BT131" i="30"/>
  <c r="BT130" i="30"/>
  <c r="BT129" i="30"/>
  <c r="BT127" i="30"/>
  <c r="BT126" i="30"/>
  <c r="BT125" i="30"/>
  <c r="BT123" i="30"/>
  <c r="BT122" i="30"/>
  <c r="BT121" i="30"/>
  <c r="BT120" i="30"/>
  <c r="BT116" i="30"/>
  <c r="BT115" i="30"/>
  <c r="BT114" i="30"/>
  <c r="BT113" i="30"/>
  <c r="BT112" i="30"/>
  <c r="BT111" i="30"/>
  <c r="BT110" i="30"/>
  <c r="BT109" i="30"/>
  <c r="BT108" i="30"/>
  <c r="BT107" i="30"/>
  <c r="BT106" i="30"/>
  <c r="BT105" i="30"/>
  <c r="BT104" i="30"/>
  <c r="BT103" i="30"/>
  <c r="BT102" i="30"/>
  <c r="BT101" i="30"/>
  <c r="BT100" i="30"/>
  <c r="BT99" i="30"/>
  <c r="BT96" i="30"/>
  <c r="BT90" i="30"/>
  <c r="BT83" i="30"/>
  <c r="BT82" i="30"/>
  <c r="BT81" i="30"/>
  <c r="BT80" i="30"/>
  <c r="BT78" i="30"/>
  <c r="BT77" i="30"/>
  <c r="BT76" i="30"/>
  <c r="BT75" i="30"/>
  <c r="BT74" i="30"/>
  <c r="BT72" i="30"/>
  <c r="BT71" i="30"/>
  <c r="BT70" i="30"/>
  <c r="BT69" i="30"/>
  <c r="BT67" i="30"/>
  <c r="BT64" i="30"/>
  <c r="BT62" i="30"/>
  <c r="BT50" i="30"/>
  <c r="BT38" i="30"/>
  <c r="BT37" i="30"/>
  <c r="BT36" i="30"/>
  <c r="BT35" i="30"/>
  <c r="BT34" i="30"/>
  <c r="BT33" i="30"/>
  <c r="BT32" i="30"/>
  <c r="BT31" i="30"/>
  <c r="BT29" i="30"/>
  <c r="BT28" i="30"/>
  <c r="BT27" i="30"/>
  <c r="BT22" i="30"/>
  <c r="BT17" i="30"/>
  <c r="BT16" i="30"/>
  <c r="BS250" i="30"/>
  <c r="BS249" i="30"/>
  <c r="BS248" i="30"/>
  <c r="BS247" i="30"/>
  <c r="BS246" i="30"/>
  <c r="BS245" i="30"/>
  <c r="BS244" i="30"/>
  <c r="BS243" i="30"/>
  <c r="BS242" i="30"/>
  <c r="BS241" i="30"/>
  <c r="BS240" i="30"/>
  <c r="BS239" i="30"/>
  <c r="BS238" i="30"/>
  <c r="BS237" i="30"/>
  <c r="BS235" i="30"/>
  <c r="BS233" i="30"/>
  <c r="BS232" i="30"/>
  <c r="BS231" i="30"/>
  <c r="BS230" i="30"/>
  <c r="BS228" i="30"/>
  <c r="BS227" i="30"/>
  <c r="BS226" i="30"/>
  <c r="BS225" i="30"/>
  <c r="BS224" i="30"/>
  <c r="BS223" i="30"/>
  <c r="BS222" i="30"/>
  <c r="BS220" i="30"/>
  <c r="BS207" i="30"/>
  <c r="BS205" i="30"/>
  <c r="BS203" i="30"/>
  <c r="BS196" i="30"/>
  <c r="BS195" i="30"/>
  <c r="BS194" i="30"/>
  <c r="BS191" i="30"/>
  <c r="BS188" i="30"/>
  <c r="BS187" i="30"/>
  <c r="BS186" i="30"/>
  <c r="BS185" i="30"/>
  <c r="BS184" i="30"/>
  <c r="BS183" i="30"/>
  <c r="BS182" i="30"/>
  <c r="BS181" i="30"/>
  <c r="BS180" i="30"/>
  <c r="BS179" i="30"/>
  <c r="BS178" i="30"/>
  <c r="BS177" i="30"/>
  <c r="BS176" i="30"/>
  <c r="BS175" i="30"/>
  <c r="BS174" i="30"/>
  <c r="BS173" i="30"/>
  <c r="BS172" i="30"/>
  <c r="BS170" i="30"/>
  <c r="BS169" i="30"/>
  <c r="BS168" i="30"/>
  <c r="BS167" i="30"/>
  <c r="BS166" i="30"/>
  <c r="BS165" i="30"/>
  <c r="BS164" i="30"/>
  <c r="BS161" i="30"/>
  <c r="BS159" i="30"/>
  <c r="BS157" i="30"/>
  <c r="BS156" i="30"/>
  <c r="BS155" i="30"/>
  <c r="BS154" i="30"/>
  <c r="BS153" i="30"/>
  <c r="BS152" i="30"/>
  <c r="BS151" i="30"/>
  <c r="BS150" i="30"/>
  <c r="BS149" i="30"/>
  <c r="BS148" i="30"/>
  <c r="BS147" i="30"/>
  <c r="BS146" i="30"/>
  <c r="BS145" i="30"/>
  <c r="BS144" i="30"/>
  <c r="BS143" i="30"/>
  <c r="BS142" i="30"/>
  <c r="BS141" i="30"/>
  <c r="BS139" i="30"/>
  <c r="BS135" i="30"/>
  <c r="BS134" i="30"/>
  <c r="BS132" i="30"/>
  <c r="BS131" i="30"/>
  <c r="BS130" i="30"/>
  <c r="BS129" i="30"/>
  <c r="BS127" i="30"/>
  <c r="BS126" i="30"/>
  <c r="BS125" i="30"/>
  <c r="BS123" i="30"/>
  <c r="BS122" i="30"/>
  <c r="BS121" i="30"/>
  <c r="BS120" i="30"/>
  <c r="BS116" i="30"/>
  <c r="BS115" i="30"/>
  <c r="BS114" i="30"/>
  <c r="BS113" i="30"/>
  <c r="BS112" i="30"/>
  <c r="BS111" i="30"/>
  <c r="BS110" i="30"/>
  <c r="BS109" i="30"/>
  <c r="BS108" i="30"/>
  <c r="BS107" i="30"/>
  <c r="BS106" i="30"/>
  <c r="BS105" i="30"/>
  <c r="BS104" i="30"/>
  <c r="BS103" i="30"/>
  <c r="BS102" i="30"/>
  <c r="BS101" i="30"/>
  <c r="BS100" i="30"/>
  <c r="BS99" i="30"/>
  <c r="BS96" i="30"/>
  <c r="BS90" i="30"/>
  <c r="BS83" i="30"/>
  <c r="BS82" i="30"/>
  <c r="BS81" i="30"/>
  <c r="BS80" i="30"/>
  <c r="BS78" i="30"/>
  <c r="BS77" i="30"/>
  <c r="BS76" i="30"/>
  <c r="BS75" i="30"/>
  <c r="BS74" i="30"/>
  <c r="BS72" i="30"/>
  <c r="BS71" i="30"/>
  <c r="BS70" i="30"/>
  <c r="BS69" i="30"/>
  <c r="BS67" i="30"/>
  <c r="BS64" i="30"/>
  <c r="BS62" i="30"/>
  <c r="BS50" i="30"/>
  <c r="BS38" i="30"/>
  <c r="BS37" i="30"/>
  <c r="BS36" i="30"/>
  <c r="BS35" i="30"/>
  <c r="BS34" i="30"/>
  <c r="BS33" i="30"/>
  <c r="BS32" i="30"/>
  <c r="BS31" i="30"/>
  <c r="BS29" i="30"/>
  <c r="BS28" i="30"/>
  <c r="BS27" i="30"/>
  <c r="BS22" i="30"/>
  <c r="BS17" i="30"/>
  <c r="BS16" i="30"/>
  <c r="BR250" i="30"/>
  <c r="BR249" i="30"/>
  <c r="BR248" i="30"/>
  <c r="BR247" i="30"/>
  <c r="BR246" i="30"/>
  <c r="BR245" i="30"/>
  <c r="BR244" i="30"/>
  <c r="BR243" i="30"/>
  <c r="BR242" i="30"/>
  <c r="BR241" i="30"/>
  <c r="BR240" i="30"/>
  <c r="BR239" i="30"/>
  <c r="BR238" i="30"/>
  <c r="BR237" i="30"/>
  <c r="BR235" i="30"/>
  <c r="BR233" i="30"/>
  <c r="BR232" i="30"/>
  <c r="BR231" i="30"/>
  <c r="BR230" i="30"/>
  <c r="BR228" i="30"/>
  <c r="BR227" i="30"/>
  <c r="BR226" i="30"/>
  <c r="BR225" i="30"/>
  <c r="BR224" i="30"/>
  <c r="BR223" i="30"/>
  <c r="BR222" i="30"/>
  <c r="BR220" i="30"/>
  <c r="BR207" i="30"/>
  <c r="BR205" i="30"/>
  <c r="BR203" i="30"/>
  <c r="BR196" i="30"/>
  <c r="BR195" i="30"/>
  <c r="BR194" i="30"/>
  <c r="BR191" i="30"/>
  <c r="BR188" i="30"/>
  <c r="BR187" i="30"/>
  <c r="BR186" i="30"/>
  <c r="BR185" i="30"/>
  <c r="BR184" i="30"/>
  <c r="BR183" i="30"/>
  <c r="BR182" i="30"/>
  <c r="BR181" i="30"/>
  <c r="BR180" i="30"/>
  <c r="BR179" i="30"/>
  <c r="BR178" i="30"/>
  <c r="BR177" i="30"/>
  <c r="BR176" i="30"/>
  <c r="BR175" i="30"/>
  <c r="BR174" i="30"/>
  <c r="BR173" i="30"/>
  <c r="BR172" i="30"/>
  <c r="BR170" i="30"/>
  <c r="BR169" i="30"/>
  <c r="BR168" i="30"/>
  <c r="BR167" i="30"/>
  <c r="BR166" i="30"/>
  <c r="BR165" i="30"/>
  <c r="BR164" i="30"/>
  <c r="BR161" i="30"/>
  <c r="BR159" i="30"/>
  <c r="BR157" i="30"/>
  <c r="BR156" i="30"/>
  <c r="BR155" i="30"/>
  <c r="BR154" i="30"/>
  <c r="BR153" i="30"/>
  <c r="BR152" i="30"/>
  <c r="BR151" i="30"/>
  <c r="BR150" i="30"/>
  <c r="BR149" i="30"/>
  <c r="BR148" i="30"/>
  <c r="BR147" i="30"/>
  <c r="BR146" i="30"/>
  <c r="BR145" i="30"/>
  <c r="BR144" i="30"/>
  <c r="BR143" i="30"/>
  <c r="BR142" i="30"/>
  <c r="BR141" i="30"/>
  <c r="BR139" i="30"/>
  <c r="BR135" i="30"/>
  <c r="BR134" i="30"/>
  <c r="BR132" i="30"/>
  <c r="BR131" i="30"/>
  <c r="BR130" i="30"/>
  <c r="BR129" i="30"/>
  <c r="BR127" i="30"/>
  <c r="BR126" i="30"/>
  <c r="BR125" i="30"/>
  <c r="BR123" i="30"/>
  <c r="BR122" i="30"/>
  <c r="BR121" i="30"/>
  <c r="BR120" i="30"/>
  <c r="BR116" i="30"/>
  <c r="BR115" i="30"/>
  <c r="BR114" i="30"/>
  <c r="BR113" i="30"/>
  <c r="BR112" i="30"/>
  <c r="BR111" i="30"/>
  <c r="BR110" i="30"/>
  <c r="BR109" i="30"/>
  <c r="BR108" i="30"/>
  <c r="BR107" i="30"/>
  <c r="BR106" i="30"/>
  <c r="BR105" i="30"/>
  <c r="BR104" i="30"/>
  <c r="BR103" i="30"/>
  <c r="BR102" i="30"/>
  <c r="BR101" i="30"/>
  <c r="BR100" i="30"/>
  <c r="BR99" i="30"/>
  <c r="BR96" i="30"/>
  <c r="BR95" i="30"/>
  <c r="BR90" i="30"/>
  <c r="BR83" i="30"/>
  <c r="BR82" i="30"/>
  <c r="BR81" i="30"/>
  <c r="BR80" i="30"/>
  <c r="BR78" i="30"/>
  <c r="BR77" i="30"/>
  <c r="BR76" i="30"/>
  <c r="BR75" i="30"/>
  <c r="BR74" i="30"/>
  <c r="BR72" i="30"/>
  <c r="BR71" i="30"/>
  <c r="BR70" i="30"/>
  <c r="BR69" i="30"/>
  <c r="BR67" i="30"/>
  <c r="BR64" i="30"/>
  <c r="BR62" i="30"/>
  <c r="BR50" i="30"/>
  <c r="BR38" i="30"/>
  <c r="BR37" i="30"/>
  <c r="BR36" i="30"/>
  <c r="BR35" i="30"/>
  <c r="BR34" i="30"/>
  <c r="BR33" i="30"/>
  <c r="BR32" i="30"/>
  <c r="BR31" i="30"/>
  <c r="BR29" i="30"/>
  <c r="BR28" i="30"/>
  <c r="BR27" i="30"/>
  <c r="BR22" i="30"/>
  <c r="BR17" i="30"/>
  <c r="BR16" i="30"/>
  <c r="BQ250" i="30"/>
  <c r="BQ249" i="30"/>
  <c r="BQ248" i="30"/>
  <c r="BQ247" i="30"/>
  <c r="BQ246" i="30"/>
  <c r="BQ245" i="30"/>
  <c r="BQ244" i="30"/>
  <c r="BQ243" i="30"/>
  <c r="BQ242" i="30"/>
  <c r="BQ241" i="30"/>
  <c r="BQ240" i="30"/>
  <c r="BQ239" i="30"/>
  <c r="BQ238" i="30"/>
  <c r="BQ237" i="30"/>
  <c r="BQ235" i="30"/>
  <c r="BQ233" i="30"/>
  <c r="BQ232" i="30"/>
  <c r="BQ231" i="30"/>
  <c r="BQ230" i="30"/>
  <c r="BQ228" i="30"/>
  <c r="BQ227" i="30"/>
  <c r="BQ226" i="30"/>
  <c r="BQ225" i="30"/>
  <c r="BQ224" i="30"/>
  <c r="BQ223" i="30"/>
  <c r="BQ222" i="30"/>
  <c r="BQ220" i="30"/>
  <c r="BQ207" i="30"/>
  <c r="BQ205" i="30"/>
  <c r="BQ203" i="30"/>
  <c r="BQ196" i="30"/>
  <c r="BQ195" i="30"/>
  <c r="BQ194" i="30"/>
  <c r="BQ191" i="30"/>
  <c r="BQ188" i="30"/>
  <c r="BQ187" i="30"/>
  <c r="BQ186" i="30"/>
  <c r="BQ185" i="30"/>
  <c r="BQ184" i="30"/>
  <c r="BQ183" i="30"/>
  <c r="BQ182" i="30"/>
  <c r="BQ181" i="30"/>
  <c r="BQ180" i="30"/>
  <c r="BQ179" i="30"/>
  <c r="BQ178" i="30"/>
  <c r="BQ177" i="30"/>
  <c r="BQ176" i="30"/>
  <c r="BQ175" i="30"/>
  <c r="BQ174" i="30"/>
  <c r="BQ173" i="30"/>
  <c r="BQ172" i="30"/>
  <c r="BQ170" i="30"/>
  <c r="BQ169" i="30"/>
  <c r="BQ168" i="30"/>
  <c r="BQ167" i="30"/>
  <c r="BQ166" i="30"/>
  <c r="BQ165" i="30"/>
  <c r="BQ164" i="30"/>
  <c r="BQ161" i="30"/>
  <c r="BQ159" i="30"/>
  <c r="BQ157" i="30"/>
  <c r="BQ156" i="30"/>
  <c r="BQ155" i="30"/>
  <c r="BQ154" i="30"/>
  <c r="BQ153" i="30"/>
  <c r="BQ152" i="30"/>
  <c r="BQ151" i="30"/>
  <c r="BQ150" i="30"/>
  <c r="BQ149" i="30"/>
  <c r="BQ148" i="30"/>
  <c r="BQ147" i="30"/>
  <c r="BQ146" i="30"/>
  <c r="BQ145" i="30"/>
  <c r="BQ144" i="30"/>
  <c r="BQ143" i="30"/>
  <c r="BQ142" i="30"/>
  <c r="BQ141" i="30"/>
  <c r="BQ139" i="30"/>
  <c r="BQ135" i="30"/>
  <c r="BQ134" i="30"/>
  <c r="BQ132" i="30"/>
  <c r="BQ131" i="30"/>
  <c r="BQ130" i="30"/>
  <c r="BQ129" i="30"/>
  <c r="BQ127" i="30"/>
  <c r="BQ126" i="30"/>
  <c r="BQ125" i="30"/>
  <c r="BQ123" i="30"/>
  <c r="BQ122" i="30"/>
  <c r="BQ121" i="30"/>
  <c r="BQ120" i="30"/>
  <c r="BQ116" i="30"/>
  <c r="BQ115" i="30"/>
  <c r="BQ114" i="30"/>
  <c r="BQ113" i="30"/>
  <c r="BQ112" i="30"/>
  <c r="BQ111" i="30"/>
  <c r="BQ110" i="30"/>
  <c r="BQ109" i="30"/>
  <c r="BQ108" i="30"/>
  <c r="BQ107" i="30"/>
  <c r="BQ106" i="30"/>
  <c r="BQ105" i="30"/>
  <c r="BQ104" i="30"/>
  <c r="BQ103" i="30"/>
  <c r="BQ102" i="30"/>
  <c r="BQ101" i="30"/>
  <c r="BQ100" i="30"/>
  <c r="BQ99" i="30"/>
  <c r="BQ96" i="30"/>
  <c r="BQ95" i="30"/>
  <c r="BQ90" i="30"/>
  <c r="BQ83" i="30"/>
  <c r="BQ82" i="30"/>
  <c r="BQ81" i="30"/>
  <c r="BQ80" i="30"/>
  <c r="BQ78" i="30"/>
  <c r="BQ77" i="30"/>
  <c r="BQ76" i="30"/>
  <c r="BQ75" i="30"/>
  <c r="BQ74" i="30"/>
  <c r="BQ72" i="30"/>
  <c r="BQ71" i="30"/>
  <c r="BQ70" i="30"/>
  <c r="BQ69" i="30"/>
  <c r="BQ67" i="30"/>
  <c r="BQ64" i="30"/>
  <c r="BQ62" i="30"/>
  <c r="BQ50" i="30"/>
  <c r="BQ38" i="30"/>
  <c r="BQ37" i="30"/>
  <c r="BQ36" i="30"/>
  <c r="BQ35" i="30"/>
  <c r="BQ34" i="30"/>
  <c r="BQ33" i="30"/>
  <c r="BQ32" i="30"/>
  <c r="BQ31" i="30"/>
  <c r="BQ29" i="30"/>
  <c r="BQ28" i="30"/>
  <c r="BQ27" i="30"/>
  <c r="BQ22" i="30"/>
  <c r="BQ17" i="30"/>
  <c r="BQ16" i="30"/>
  <c r="BP250" i="30"/>
  <c r="BP249" i="30"/>
  <c r="BP248" i="30"/>
  <c r="BP247" i="30"/>
  <c r="BP246" i="30"/>
  <c r="BP245" i="30"/>
  <c r="BP244" i="30"/>
  <c r="BP243" i="30"/>
  <c r="BP242" i="30"/>
  <c r="BP241" i="30"/>
  <c r="BP240" i="30"/>
  <c r="BP239" i="30"/>
  <c r="BP238" i="30"/>
  <c r="BP237" i="30"/>
  <c r="BP235" i="30"/>
  <c r="BP233" i="30"/>
  <c r="BP232" i="30"/>
  <c r="BP231" i="30"/>
  <c r="BP230" i="30"/>
  <c r="BP228" i="30"/>
  <c r="BP227" i="30"/>
  <c r="BP226" i="30"/>
  <c r="BP225" i="30"/>
  <c r="BP224" i="30"/>
  <c r="BP223" i="30"/>
  <c r="BP222" i="30"/>
  <c r="BP220" i="30"/>
  <c r="BP207" i="30"/>
  <c r="BP205" i="30"/>
  <c r="BP203" i="30"/>
  <c r="BP196" i="30"/>
  <c r="BP195" i="30"/>
  <c r="BP194" i="30"/>
  <c r="BP191" i="30"/>
  <c r="BP188" i="30"/>
  <c r="BP187" i="30"/>
  <c r="BP186" i="30"/>
  <c r="BP185" i="30"/>
  <c r="BP184" i="30"/>
  <c r="BP183" i="30"/>
  <c r="BP182" i="30"/>
  <c r="BP181" i="30"/>
  <c r="BP180" i="30"/>
  <c r="BP179" i="30"/>
  <c r="BP178" i="30"/>
  <c r="BP177" i="30"/>
  <c r="BP176" i="30"/>
  <c r="BP175" i="30"/>
  <c r="BP174" i="30"/>
  <c r="BP173" i="30"/>
  <c r="BP172" i="30"/>
  <c r="BP170" i="30"/>
  <c r="BP169" i="30"/>
  <c r="BP168" i="30"/>
  <c r="BP167" i="30"/>
  <c r="BP166" i="30"/>
  <c r="BP165" i="30"/>
  <c r="BP164" i="30"/>
  <c r="BP161" i="30"/>
  <c r="BP159" i="30"/>
  <c r="BP157" i="30"/>
  <c r="BP156" i="30"/>
  <c r="BP155" i="30"/>
  <c r="BP154" i="30"/>
  <c r="BP153" i="30"/>
  <c r="BP152" i="30"/>
  <c r="BP151" i="30"/>
  <c r="BP150" i="30"/>
  <c r="BP149" i="30"/>
  <c r="BP148" i="30"/>
  <c r="BP147" i="30"/>
  <c r="BP146" i="30"/>
  <c r="BP145" i="30"/>
  <c r="BP144" i="30"/>
  <c r="BP143" i="30"/>
  <c r="BP142" i="30"/>
  <c r="BP141" i="30"/>
  <c r="BP139" i="30"/>
  <c r="BP135" i="30"/>
  <c r="BP134" i="30"/>
  <c r="BP132" i="30"/>
  <c r="BP131" i="30"/>
  <c r="BP130" i="30"/>
  <c r="BP129" i="30"/>
  <c r="BP127" i="30"/>
  <c r="BP126" i="30"/>
  <c r="BP125" i="30"/>
  <c r="BP123" i="30"/>
  <c r="BP122" i="30"/>
  <c r="BP121" i="30"/>
  <c r="BP120" i="30"/>
  <c r="BP116" i="30"/>
  <c r="BP115" i="30"/>
  <c r="BP114" i="30"/>
  <c r="BP113" i="30"/>
  <c r="BP112" i="30"/>
  <c r="BP111" i="30"/>
  <c r="BP110" i="30"/>
  <c r="BP109" i="30"/>
  <c r="BP108" i="30"/>
  <c r="BP107" i="30"/>
  <c r="BP106" i="30"/>
  <c r="BP105" i="30"/>
  <c r="BP104" i="30"/>
  <c r="BP103" i="30"/>
  <c r="BP102" i="30"/>
  <c r="BP101" i="30"/>
  <c r="BP100" i="30"/>
  <c r="BP99" i="30"/>
  <c r="BP96" i="30"/>
  <c r="BP95" i="30"/>
  <c r="BP90" i="30"/>
  <c r="BP83" i="30"/>
  <c r="BP82" i="30"/>
  <c r="BP81" i="30"/>
  <c r="BP80" i="30"/>
  <c r="BP78" i="30"/>
  <c r="BP77" i="30"/>
  <c r="BP76" i="30"/>
  <c r="BP75" i="30"/>
  <c r="BP74" i="30"/>
  <c r="BP72" i="30"/>
  <c r="BP71" i="30"/>
  <c r="BP70" i="30"/>
  <c r="BP69" i="30"/>
  <c r="BP67" i="30"/>
  <c r="BP64" i="30"/>
  <c r="BP62" i="30"/>
  <c r="BP50" i="30"/>
  <c r="BP38" i="30"/>
  <c r="BP37" i="30"/>
  <c r="BP36" i="30"/>
  <c r="BP35" i="30"/>
  <c r="BP34" i="30"/>
  <c r="BP33" i="30"/>
  <c r="BP32" i="30"/>
  <c r="BP31" i="30"/>
  <c r="BP29" i="30"/>
  <c r="BP28" i="30"/>
  <c r="BP27" i="30"/>
  <c r="BP22" i="30"/>
  <c r="BP17" i="30"/>
  <c r="BP16" i="30"/>
  <c r="BO250" i="30"/>
  <c r="BO249" i="30"/>
  <c r="BO248" i="30"/>
  <c r="BO247" i="30"/>
  <c r="BO246" i="30"/>
  <c r="BO245" i="30"/>
  <c r="BO244" i="30"/>
  <c r="BO243" i="30"/>
  <c r="BO242" i="30"/>
  <c r="BO241" i="30"/>
  <c r="BO240" i="30"/>
  <c r="BO239" i="30"/>
  <c r="BO238" i="30"/>
  <c r="BO237" i="30"/>
  <c r="BO235" i="30"/>
  <c r="BO233" i="30"/>
  <c r="BO232" i="30"/>
  <c r="BO231" i="30"/>
  <c r="BO230" i="30"/>
  <c r="BO228" i="30"/>
  <c r="BO227" i="30"/>
  <c r="BO226" i="30"/>
  <c r="BO225" i="30"/>
  <c r="BO224" i="30"/>
  <c r="BO223" i="30"/>
  <c r="BO222" i="30"/>
  <c r="BO220" i="30"/>
  <c r="BO207" i="30"/>
  <c r="BO205" i="30"/>
  <c r="BO203" i="30"/>
  <c r="BO196" i="30"/>
  <c r="BO195" i="30"/>
  <c r="BO194" i="30"/>
  <c r="BO191" i="30"/>
  <c r="BO188" i="30"/>
  <c r="BO187" i="30"/>
  <c r="BO186" i="30"/>
  <c r="BO185" i="30"/>
  <c r="BO184" i="30"/>
  <c r="BO183" i="30"/>
  <c r="BO182" i="30"/>
  <c r="BO181" i="30"/>
  <c r="BO180" i="30"/>
  <c r="BO179" i="30"/>
  <c r="BO178" i="30"/>
  <c r="BO177" i="30"/>
  <c r="BO176" i="30"/>
  <c r="BO175" i="30"/>
  <c r="BO174" i="30"/>
  <c r="BO173" i="30"/>
  <c r="BO172" i="30"/>
  <c r="BO170" i="30"/>
  <c r="BO169" i="30"/>
  <c r="BO168" i="30"/>
  <c r="BO167" i="30"/>
  <c r="BO166" i="30"/>
  <c r="BO165" i="30"/>
  <c r="BO164" i="30"/>
  <c r="BO161" i="30"/>
  <c r="BO159" i="30"/>
  <c r="BO157" i="30"/>
  <c r="BO156" i="30"/>
  <c r="BO155" i="30"/>
  <c r="BO154" i="30"/>
  <c r="BO153" i="30"/>
  <c r="BO152" i="30"/>
  <c r="BO151" i="30"/>
  <c r="BO150" i="30"/>
  <c r="BO149" i="30"/>
  <c r="BO148" i="30"/>
  <c r="BO147" i="30"/>
  <c r="BO146" i="30"/>
  <c r="BO145" i="30"/>
  <c r="BO144" i="30"/>
  <c r="BO143" i="30"/>
  <c r="BO142" i="30"/>
  <c r="BO141" i="30"/>
  <c r="BO139" i="30"/>
  <c r="BO135" i="30"/>
  <c r="BO134" i="30"/>
  <c r="BO132" i="30"/>
  <c r="BO131" i="30"/>
  <c r="BO130" i="30"/>
  <c r="BO129" i="30"/>
  <c r="BO127" i="30"/>
  <c r="BO126" i="30"/>
  <c r="BO125" i="30"/>
  <c r="BO123" i="30"/>
  <c r="BO122" i="30"/>
  <c r="BO121" i="30"/>
  <c r="BO120" i="30"/>
  <c r="BO116" i="30"/>
  <c r="BO115" i="30"/>
  <c r="BO114" i="30"/>
  <c r="BO113" i="30"/>
  <c r="BO112" i="30"/>
  <c r="BO111" i="30"/>
  <c r="BO110" i="30"/>
  <c r="BO109" i="30"/>
  <c r="BO108" i="30"/>
  <c r="BO107" i="30"/>
  <c r="BO106" i="30"/>
  <c r="BO105" i="30"/>
  <c r="BO104" i="30"/>
  <c r="BO103" i="30"/>
  <c r="BO102" i="30"/>
  <c r="BO101" i="30"/>
  <c r="BO100" i="30"/>
  <c r="BO99" i="30"/>
  <c r="BO96" i="30"/>
  <c r="BO90" i="30"/>
  <c r="BO83" i="30"/>
  <c r="BO82" i="30"/>
  <c r="BO81" i="30"/>
  <c r="BO80" i="30"/>
  <c r="BO78" i="30"/>
  <c r="BO77" i="30"/>
  <c r="BO76" i="30"/>
  <c r="BO75" i="30"/>
  <c r="BO74" i="30"/>
  <c r="BO72" i="30"/>
  <c r="BO71" i="30"/>
  <c r="BO70" i="30"/>
  <c r="BO69" i="30"/>
  <c r="BO67" i="30"/>
  <c r="BO64" i="30"/>
  <c r="BO62" i="30"/>
  <c r="BO50" i="30"/>
  <c r="BO38" i="30"/>
  <c r="BO37" i="30"/>
  <c r="BO36" i="30"/>
  <c r="BO35" i="30"/>
  <c r="BO34" i="30"/>
  <c r="BO33" i="30"/>
  <c r="BO32" i="30"/>
  <c r="BO31" i="30"/>
  <c r="BO29" i="30"/>
  <c r="BO28" i="30"/>
  <c r="BO27" i="30"/>
  <c r="BO22" i="30"/>
  <c r="BO17" i="30"/>
  <c r="BO16" i="30"/>
  <c r="BN250" i="30"/>
  <c r="BN249" i="30"/>
  <c r="BN248" i="30"/>
  <c r="BN247" i="30"/>
  <c r="BN246" i="30"/>
  <c r="BN245" i="30"/>
  <c r="BN244" i="30"/>
  <c r="BN243" i="30"/>
  <c r="BN242" i="30"/>
  <c r="BN241" i="30"/>
  <c r="BN240" i="30"/>
  <c r="BN239" i="30"/>
  <c r="BN238" i="30"/>
  <c r="BN237" i="30"/>
  <c r="BN235" i="30"/>
  <c r="BN233" i="30"/>
  <c r="BN232" i="30"/>
  <c r="BN231" i="30"/>
  <c r="BN230" i="30"/>
  <c r="BN228" i="30"/>
  <c r="BN227" i="30"/>
  <c r="BN226" i="30"/>
  <c r="BN225" i="30"/>
  <c r="BN224" i="30"/>
  <c r="BN223" i="30"/>
  <c r="BN222" i="30"/>
  <c r="BN220" i="30"/>
  <c r="BN207" i="30"/>
  <c r="BN205" i="30"/>
  <c r="BN203" i="30"/>
  <c r="BN196" i="30"/>
  <c r="BN195" i="30"/>
  <c r="BN194" i="30"/>
  <c r="BN191" i="30"/>
  <c r="BN188" i="30"/>
  <c r="BN187" i="30"/>
  <c r="BN186" i="30"/>
  <c r="BN185" i="30"/>
  <c r="BN184" i="30"/>
  <c r="BN183" i="30"/>
  <c r="BN182" i="30"/>
  <c r="BN181" i="30"/>
  <c r="BN180" i="30"/>
  <c r="BN179" i="30"/>
  <c r="BN178" i="30"/>
  <c r="BN177" i="30"/>
  <c r="BN176" i="30"/>
  <c r="BN175" i="30"/>
  <c r="BN174" i="30"/>
  <c r="BN173" i="30"/>
  <c r="BN172" i="30"/>
  <c r="BN170" i="30"/>
  <c r="BN169" i="30"/>
  <c r="BN168" i="30"/>
  <c r="BN167" i="30"/>
  <c r="BN166" i="30"/>
  <c r="BN165" i="30"/>
  <c r="BN164" i="30"/>
  <c r="BN161" i="30"/>
  <c r="BN159" i="30"/>
  <c r="BN157" i="30"/>
  <c r="BN156" i="30"/>
  <c r="BN155" i="30"/>
  <c r="BN154" i="30"/>
  <c r="BN153" i="30"/>
  <c r="BN152" i="30"/>
  <c r="BN151" i="30"/>
  <c r="BN150" i="30"/>
  <c r="BN149" i="30"/>
  <c r="BN148" i="30"/>
  <c r="BN147" i="30"/>
  <c r="BN146" i="30"/>
  <c r="BN145" i="30"/>
  <c r="BN144" i="30"/>
  <c r="BN143" i="30"/>
  <c r="BN142" i="30"/>
  <c r="BN141" i="30"/>
  <c r="BN139" i="30"/>
  <c r="BN135" i="30"/>
  <c r="BN134" i="30"/>
  <c r="BN132" i="30"/>
  <c r="BN131" i="30"/>
  <c r="BN130" i="30"/>
  <c r="BN129" i="30"/>
  <c r="BN127" i="30"/>
  <c r="BN126" i="30"/>
  <c r="BN125" i="30"/>
  <c r="BN123" i="30"/>
  <c r="BN122" i="30"/>
  <c r="BN121" i="30"/>
  <c r="BN120" i="30"/>
  <c r="BN116" i="30"/>
  <c r="BN115" i="30"/>
  <c r="BN114" i="30"/>
  <c r="BN113" i="30"/>
  <c r="BN112" i="30"/>
  <c r="BN111" i="30"/>
  <c r="BN110" i="30"/>
  <c r="BN109" i="30"/>
  <c r="BN108" i="30"/>
  <c r="BN107" i="30"/>
  <c r="BN106" i="30"/>
  <c r="BN105" i="30"/>
  <c r="BN104" i="30"/>
  <c r="BN103" i="30"/>
  <c r="BN102" i="30"/>
  <c r="BN101" i="30"/>
  <c r="BN100" i="30"/>
  <c r="BN99" i="30"/>
  <c r="BN96" i="30"/>
  <c r="BN95" i="30"/>
  <c r="BN90" i="30"/>
  <c r="BN83" i="30"/>
  <c r="BN82" i="30"/>
  <c r="BN81" i="30"/>
  <c r="BN80" i="30"/>
  <c r="BN78" i="30"/>
  <c r="BN77" i="30"/>
  <c r="BN76" i="30"/>
  <c r="BN75" i="30"/>
  <c r="BN74" i="30"/>
  <c r="BN72" i="30"/>
  <c r="BN71" i="30"/>
  <c r="BN70" i="30"/>
  <c r="BN69" i="30"/>
  <c r="BN67" i="30"/>
  <c r="BN64" i="30"/>
  <c r="BN62" i="30"/>
  <c r="BN50" i="30"/>
  <c r="BN38" i="30"/>
  <c r="BN37" i="30"/>
  <c r="BN36" i="30"/>
  <c r="BN35" i="30"/>
  <c r="BN34" i="30"/>
  <c r="BN33" i="30"/>
  <c r="BN32" i="30"/>
  <c r="BN31" i="30"/>
  <c r="BN29" i="30"/>
  <c r="BN28" i="30"/>
  <c r="BN27" i="30"/>
  <c r="BN22" i="30"/>
  <c r="BN17" i="30"/>
  <c r="BN16" i="30"/>
  <c r="BM250" i="30"/>
  <c r="BM249" i="30"/>
  <c r="BM248" i="30"/>
  <c r="BM247" i="30"/>
  <c r="BM246" i="30"/>
  <c r="BM245" i="30"/>
  <c r="BM244" i="30"/>
  <c r="BM243" i="30"/>
  <c r="BM242" i="30"/>
  <c r="BM241" i="30"/>
  <c r="BM240" i="30"/>
  <c r="BM239" i="30"/>
  <c r="BM238" i="30"/>
  <c r="BM237" i="30"/>
  <c r="BM235" i="30"/>
  <c r="BM233" i="30"/>
  <c r="BM232" i="30"/>
  <c r="BM231" i="30"/>
  <c r="BM230" i="30"/>
  <c r="BM228" i="30"/>
  <c r="BM227" i="30"/>
  <c r="BM226" i="30"/>
  <c r="BM225" i="30"/>
  <c r="BM224" i="30"/>
  <c r="BM223" i="30"/>
  <c r="BM222" i="30"/>
  <c r="BM220" i="30"/>
  <c r="BM207" i="30"/>
  <c r="BM205" i="30"/>
  <c r="BM203" i="30"/>
  <c r="BM196" i="30"/>
  <c r="BM195" i="30"/>
  <c r="BM194" i="30"/>
  <c r="BM191" i="30"/>
  <c r="BM188" i="30"/>
  <c r="BM187" i="30"/>
  <c r="BM186" i="30"/>
  <c r="BM185" i="30"/>
  <c r="BM184" i="30"/>
  <c r="BM183" i="30"/>
  <c r="BM182" i="30"/>
  <c r="BM181" i="30"/>
  <c r="BM180" i="30"/>
  <c r="BM179" i="30"/>
  <c r="BM178" i="30"/>
  <c r="BM177" i="30"/>
  <c r="BM176" i="30"/>
  <c r="BM175" i="30"/>
  <c r="BM174" i="30"/>
  <c r="BM173" i="30"/>
  <c r="BM172" i="30"/>
  <c r="BM170" i="30"/>
  <c r="BM169" i="30"/>
  <c r="BM168" i="30"/>
  <c r="BM167" i="30"/>
  <c r="BM166" i="30"/>
  <c r="BM165" i="30"/>
  <c r="BM164" i="30"/>
  <c r="BM161" i="30"/>
  <c r="BM159" i="30"/>
  <c r="BM157" i="30"/>
  <c r="BM156" i="30"/>
  <c r="BM155" i="30"/>
  <c r="BM154" i="30"/>
  <c r="BM153" i="30"/>
  <c r="BM152" i="30"/>
  <c r="BM151" i="30"/>
  <c r="BM150" i="30"/>
  <c r="BM149" i="30"/>
  <c r="BM148" i="30"/>
  <c r="BM147" i="30"/>
  <c r="BM146" i="30"/>
  <c r="BM145" i="30"/>
  <c r="BM144" i="30"/>
  <c r="BM143" i="30"/>
  <c r="BM142" i="30"/>
  <c r="BM141" i="30"/>
  <c r="BM139" i="30"/>
  <c r="BM135" i="30"/>
  <c r="BM134" i="30"/>
  <c r="BM132" i="30"/>
  <c r="BM131" i="30"/>
  <c r="BM130" i="30"/>
  <c r="BM129" i="30"/>
  <c r="BM127" i="30"/>
  <c r="BM126" i="30"/>
  <c r="BM125" i="30"/>
  <c r="BM123" i="30"/>
  <c r="BM122" i="30"/>
  <c r="BM121" i="30"/>
  <c r="BM120" i="30"/>
  <c r="BM116" i="30"/>
  <c r="BM115" i="30"/>
  <c r="BM114" i="30"/>
  <c r="BM113" i="30"/>
  <c r="BM112" i="30"/>
  <c r="BM111" i="30"/>
  <c r="BM110" i="30"/>
  <c r="BM109" i="30"/>
  <c r="BM108" i="30"/>
  <c r="BM107" i="30"/>
  <c r="BM106" i="30"/>
  <c r="BM105" i="30"/>
  <c r="BM104" i="30"/>
  <c r="BM103" i="30"/>
  <c r="BM102" i="30"/>
  <c r="BM101" i="30"/>
  <c r="BM100" i="30"/>
  <c r="BM99" i="30"/>
  <c r="BM96" i="30"/>
  <c r="BM95" i="30"/>
  <c r="BM90" i="30"/>
  <c r="BM83" i="30"/>
  <c r="BM82" i="30"/>
  <c r="BM81" i="30"/>
  <c r="BM80" i="30"/>
  <c r="BM78" i="30"/>
  <c r="BM77" i="30"/>
  <c r="BM76" i="30"/>
  <c r="BM75" i="30"/>
  <c r="BM74" i="30"/>
  <c r="BM72" i="30"/>
  <c r="BM71" i="30"/>
  <c r="BM70" i="30"/>
  <c r="BM69" i="30"/>
  <c r="BM67" i="30"/>
  <c r="BM64" i="30"/>
  <c r="BM62" i="30"/>
  <c r="BM50" i="30"/>
  <c r="BM38" i="30"/>
  <c r="BM37" i="30"/>
  <c r="BM36" i="30"/>
  <c r="BM35" i="30"/>
  <c r="BM34" i="30"/>
  <c r="BM33" i="30"/>
  <c r="BM32" i="30"/>
  <c r="BM31" i="30"/>
  <c r="BM29" i="30"/>
  <c r="BM28" i="30"/>
  <c r="BM27" i="30"/>
  <c r="BM22" i="30"/>
  <c r="BM17" i="30"/>
  <c r="BM16" i="30"/>
  <c r="BL250" i="30"/>
  <c r="BL249" i="30"/>
  <c r="BL248" i="30"/>
  <c r="BL247" i="30"/>
  <c r="BL246" i="30"/>
  <c r="BL245" i="30"/>
  <c r="BL244" i="30"/>
  <c r="BL243" i="30"/>
  <c r="BL242" i="30"/>
  <c r="BL241" i="30"/>
  <c r="BL240" i="30"/>
  <c r="BL239" i="30"/>
  <c r="BL238" i="30"/>
  <c r="BL237" i="30"/>
  <c r="BL235" i="30"/>
  <c r="BL234" i="30"/>
  <c r="BL233" i="30"/>
  <c r="BL232" i="30"/>
  <c r="BL231" i="30"/>
  <c r="BL230" i="30"/>
  <c r="BL228" i="30"/>
  <c r="BL227" i="30"/>
  <c r="BL226" i="30"/>
  <c r="BL225" i="30"/>
  <c r="BL224" i="30"/>
  <c r="BL223" i="30"/>
  <c r="BL222" i="30"/>
  <c r="BL220" i="30"/>
  <c r="BL207" i="30"/>
  <c r="BL205" i="30"/>
  <c r="BL203" i="30"/>
  <c r="BL196" i="30"/>
  <c r="BL195" i="30"/>
  <c r="BL194" i="30"/>
  <c r="BL191" i="30"/>
  <c r="BL188" i="30"/>
  <c r="BL187" i="30"/>
  <c r="BL186" i="30"/>
  <c r="BL185" i="30"/>
  <c r="BL184" i="30"/>
  <c r="BL183" i="30"/>
  <c r="BL182" i="30"/>
  <c r="BL181" i="30"/>
  <c r="BL180" i="30"/>
  <c r="BL179" i="30"/>
  <c r="BL178" i="30"/>
  <c r="BL177" i="30"/>
  <c r="BL176" i="30"/>
  <c r="BL175" i="30"/>
  <c r="BL174" i="30"/>
  <c r="BL173" i="30"/>
  <c r="BL172" i="30"/>
  <c r="BL170" i="30"/>
  <c r="BL169" i="30"/>
  <c r="BL168" i="30"/>
  <c r="BL167" i="30"/>
  <c r="BL166" i="30"/>
  <c r="BL165" i="30"/>
  <c r="BL164" i="30"/>
  <c r="BL161" i="30"/>
  <c r="BL159" i="30"/>
  <c r="BL157" i="30"/>
  <c r="BL156" i="30"/>
  <c r="BL155" i="30"/>
  <c r="BL154" i="30"/>
  <c r="BL153" i="30"/>
  <c r="BL152" i="30"/>
  <c r="BL151" i="30"/>
  <c r="BL150" i="30"/>
  <c r="BL149" i="30"/>
  <c r="BL148" i="30"/>
  <c r="BL147" i="30"/>
  <c r="BL146" i="30"/>
  <c r="BL145" i="30"/>
  <c r="BL144" i="30"/>
  <c r="BL143" i="30"/>
  <c r="BL142" i="30"/>
  <c r="BL141" i="30"/>
  <c r="BL139" i="30"/>
  <c r="BL135" i="30"/>
  <c r="BL134" i="30"/>
  <c r="BL132" i="30"/>
  <c r="BL131" i="30"/>
  <c r="BL130" i="30"/>
  <c r="BL129" i="30"/>
  <c r="BL127" i="30"/>
  <c r="BL126" i="30"/>
  <c r="BL125" i="30"/>
  <c r="BL123" i="30"/>
  <c r="BL122" i="30"/>
  <c r="BL121" i="30"/>
  <c r="BL120" i="30"/>
  <c r="BL116" i="30"/>
  <c r="BL115" i="30"/>
  <c r="BL114" i="30"/>
  <c r="BL113" i="30"/>
  <c r="BL112" i="30"/>
  <c r="BL111" i="30"/>
  <c r="BL110" i="30"/>
  <c r="BL109" i="30"/>
  <c r="BL108" i="30"/>
  <c r="BL107" i="30"/>
  <c r="BL106" i="30"/>
  <c r="BL105" i="30"/>
  <c r="BL104" i="30"/>
  <c r="BL103" i="30"/>
  <c r="BL102" i="30"/>
  <c r="BL101" i="30"/>
  <c r="BL100" i="30"/>
  <c r="BL99" i="30"/>
  <c r="BL96" i="30"/>
  <c r="BL95" i="30"/>
  <c r="BL90" i="30"/>
  <c r="BL83" i="30"/>
  <c r="BL82" i="30"/>
  <c r="BL81" i="30"/>
  <c r="BL80" i="30"/>
  <c r="BL78" i="30"/>
  <c r="BL77" i="30"/>
  <c r="BL76" i="30"/>
  <c r="BL75" i="30"/>
  <c r="BL74" i="30"/>
  <c r="BL72" i="30"/>
  <c r="BL71" i="30"/>
  <c r="BL70" i="30"/>
  <c r="BL69" i="30"/>
  <c r="BL67" i="30"/>
  <c r="BL64" i="30"/>
  <c r="BL62" i="30"/>
  <c r="BL50" i="30"/>
  <c r="BL38" i="30"/>
  <c r="BL37" i="30"/>
  <c r="BL36" i="30"/>
  <c r="BL35" i="30"/>
  <c r="BL34" i="30"/>
  <c r="BL33" i="30"/>
  <c r="BL32" i="30"/>
  <c r="BL31" i="30"/>
  <c r="BL29" i="30"/>
  <c r="BL28" i="30"/>
  <c r="BL27" i="30"/>
  <c r="BL22" i="30"/>
  <c r="BL17" i="30"/>
  <c r="BL16" i="30"/>
  <c r="BK250" i="30"/>
  <c r="BK249" i="30"/>
  <c r="BK248" i="30"/>
  <c r="BK247" i="30"/>
  <c r="BK246" i="30"/>
  <c r="BK245" i="30"/>
  <c r="BK244" i="30"/>
  <c r="BK243" i="30"/>
  <c r="BK242" i="30"/>
  <c r="BK241" i="30"/>
  <c r="BK240" i="30"/>
  <c r="BK239" i="30"/>
  <c r="BK238" i="30"/>
  <c r="BK237" i="30"/>
  <c r="BK235" i="30"/>
  <c r="BK234" i="30"/>
  <c r="BK233" i="30"/>
  <c r="BK232" i="30"/>
  <c r="BK231" i="30"/>
  <c r="BK230" i="30"/>
  <c r="BK228" i="30"/>
  <c r="BK227" i="30"/>
  <c r="BK226" i="30"/>
  <c r="BK225" i="30"/>
  <c r="BK224" i="30"/>
  <c r="BK223" i="30"/>
  <c r="BK222" i="30"/>
  <c r="BK220" i="30"/>
  <c r="BK207" i="30"/>
  <c r="BK205" i="30"/>
  <c r="BK203" i="30"/>
  <c r="BK196" i="30"/>
  <c r="BK195" i="30"/>
  <c r="BK194" i="30"/>
  <c r="BK191" i="30"/>
  <c r="BK188" i="30"/>
  <c r="BK187" i="30"/>
  <c r="BK186" i="30"/>
  <c r="BK185" i="30"/>
  <c r="BK184" i="30"/>
  <c r="BK183" i="30"/>
  <c r="BK182" i="30"/>
  <c r="BK181" i="30"/>
  <c r="BK180" i="30"/>
  <c r="BK179" i="30"/>
  <c r="BK178" i="30"/>
  <c r="BK177" i="30"/>
  <c r="BK176" i="30"/>
  <c r="BK175" i="30"/>
  <c r="BK174" i="30"/>
  <c r="BK173" i="30"/>
  <c r="BK172" i="30"/>
  <c r="BK170" i="30"/>
  <c r="BK169" i="30"/>
  <c r="BK168" i="30"/>
  <c r="BK167" i="30"/>
  <c r="BK166" i="30"/>
  <c r="BK165" i="30"/>
  <c r="BK164" i="30"/>
  <c r="BK161" i="30"/>
  <c r="BK159" i="30"/>
  <c r="BK157" i="30"/>
  <c r="BK156" i="30"/>
  <c r="BK155" i="30"/>
  <c r="BK154" i="30"/>
  <c r="BK153" i="30"/>
  <c r="BK152" i="30"/>
  <c r="BK151" i="30"/>
  <c r="BK150" i="30"/>
  <c r="BK149" i="30"/>
  <c r="BK148" i="30"/>
  <c r="BK147" i="30"/>
  <c r="BK146" i="30"/>
  <c r="BK145" i="30"/>
  <c r="BK144" i="30"/>
  <c r="BK143" i="30"/>
  <c r="BK142" i="30"/>
  <c r="BK141" i="30"/>
  <c r="BK139" i="30"/>
  <c r="BK135" i="30"/>
  <c r="BK134" i="30"/>
  <c r="BK132" i="30"/>
  <c r="BK131" i="30"/>
  <c r="BK130" i="30"/>
  <c r="BK129" i="30"/>
  <c r="BK127" i="30"/>
  <c r="BK126" i="30"/>
  <c r="BK125" i="30"/>
  <c r="BK123" i="30"/>
  <c r="BK122" i="30"/>
  <c r="BK121" i="30"/>
  <c r="BK120" i="30"/>
  <c r="BK116" i="30"/>
  <c r="BK115" i="30"/>
  <c r="BK114" i="30"/>
  <c r="BK113" i="30"/>
  <c r="BK112" i="30"/>
  <c r="BK111" i="30"/>
  <c r="BK110" i="30"/>
  <c r="BK109" i="30"/>
  <c r="BK108" i="30"/>
  <c r="BK107" i="30"/>
  <c r="BK106" i="30"/>
  <c r="BK105" i="30"/>
  <c r="BK104" i="30"/>
  <c r="BK103" i="30"/>
  <c r="BK102" i="30"/>
  <c r="BK101" i="30"/>
  <c r="BK100" i="30"/>
  <c r="BK99" i="30"/>
  <c r="BK96" i="30"/>
  <c r="BK95" i="30"/>
  <c r="BK93" i="30"/>
  <c r="BK90" i="30"/>
  <c r="BK83" i="30"/>
  <c r="BK82" i="30"/>
  <c r="BK81" i="30"/>
  <c r="BK80" i="30"/>
  <c r="BK78" i="30"/>
  <c r="BK77" i="30"/>
  <c r="BK76" i="30"/>
  <c r="BK75" i="30"/>
  <c r="BK74" i="30"/>
  <c r="BK72" i="30"/>
  <c r="BK71" i="30"/>
  <c r="BK70" i="30"/>
  <c r="BK69" i="30"/>
  <c r="BK67" i="30"/>
  <c r="BK64" i="30"/>
  <c r="BK62" i="30"/>
  <c r="BK50" i="30"/>
  <c r="BK38" i="30"/>
  <c r="BK37" i="30"/>
  <c r="BK36" i="30"/>
  <c r="BK35" i="30"/>
  <c r="BK34" i="30"/>
  <c r="BK33" i="30"/>
  <c r="BK32" i="30"/>
  <c r="BK31" i="30"/>
  <c r="BK29" i="30"/>
  <c r="BK28" i="30"/>
  <c r="BK27" i="30"/>
  <c r="BK22" i="30"/>
  <c r="BK17" i="30"/>
  <c r="BK16" i="30"/>
  <c r="BJ250" i="30"/>
  <c r="BJ249" i="30"/>
  <c r="BJ248" i="30"/>
  <c r="BJ247" i="30"/>
  <c r="BJ246" i="30"/>
  <c r="BJ245" i="30"/>
  <c r="BJ244" i="30"/>
  <c r="BJ243" i="30"/>
  <c r="BJ242" i="30"/>
  <c r="BJ241" i="30"/>
  <c r="BJ240" i="30"/>
  <c r="BJ239" i="30"/>
  <c r="BJ238" i="30"/>
  <c r="BJ237" i="30"/>
  <c r="BJ235" i="30"/>
  <c r="BJ234" i="30"/>
  <c r="BJ233" i="30"/>
  <c r="BJ232" i="30"/>
  <c r="BJ231" i="30"/>
  <c r="BJ230" i="30"/>
  <c r="BJ228" i="30"/>
  <c r="BJ227" i="30"/>
  <c r="BJ226" i="30"/>
  <c r="BJ225" i="30"/>
  <c r="BJ224" i="30"/>
  <c r="BJ223" i="30"/>
  <c r="BJ222" i="30"/>
  <c r="BJ220" i="30"/>
  <c r="BJ207" i="30"/>
  <c r="BJ205" i="30"/>
  <c r="BJ203" i="30"/>
  <c r="BJ196" i="30"/>
  <c r="BJ195" i="30"/>
  <c r="BJ194" i="30"/>
  <c r="BJ191" i="30"/>
  <c r="BJ188" i="30"/>
  <c r="BJ187" i="30"/>
  <c r="BJ186" i="30"/>
  <c r="BJ185" i="30"/>
  <c r="BJ184" i="30"/>
  <c r="BJ183" i="30"/>
  <c r="BJ182" i="30"/>
  <c r="BJ181" i="30"/>
  <c r="BJ180" i="30"/>
  <c r="BJ179" i="30"/>
  <c r="BJ178" i="30"/>
  <c r="BJ177" i="30"/>
  <c r="BJ176" i="30"/>
  <c r="BJ175" i="30"/>
  <c r="BJ174" i="30"/>
  <c r="BJ173" i="30"/>
  <c r="BJ172" i="30"/>
  <c r="BJ170" i="30"/>
  <c r="BJ169" i="30"/>
  <c r="BJ168" i="30"/>
  <c r="BJ167" i="30"/>
  <c r="BJ166" i="30"/>
  <c r="BJ165" i="30"/>
  <c r="BJ164" i="30"/>
  <c r="BJ161" i="30"/>
  <c r="BJ159" i="30"/>
  <c r="BJ157" i="30"/>
  <c r="BJ156" i="30"/>
  <c r="BJ155" i="30"/>
  <c r="BJ154" i="30"/>
  <c r="BJ153" i="30"/>
  <c r="BJ152" i="30"/>
  <c r="BJ151" i="30"/>
  <c r="BJ150" i="30"/>
  <c r="BJ149" i="30"/>
  <c r="BJ148" i="30"/>
  <c r="BJ147" i="30"/>
  <c r="BJ146" i="30"/>
  <c r="BJ145" i="30"/>
  <c r="BJ144" i="30"/>
  <c r="BJ143" i="30"/>
  <c r="BJ142" i="30"/>
  <c r="BJ141" i="30"/>
  <c r="BJ139" i="30"/>
  <c r="BJ135" i="30"/>
  <c r="BJ134" i="30"/>
  <c r="BJ132" i="30"/>
  <c r="BJ131" i="30"/>
  <c r="BJ130" i="30"/>
  <c r="BJ129" i="30"/>
  <c r="BJ127" i="30"/>
  <c r="BJ126" i="30"/>
  <c r="BJ125" i="30"/>
  <c r="BJ123" i="30"/>
  <c r="BJ122" i="30"/>
  <c r="BJ121" i="30"/>
  <c r="BJ120" i="30"/>
  <c r="BJ116" i="30"/>
  <c r="BJ115" i="30"/>
  <c r="BJ114" i="30"/>
  <c r="BJ113" i="30"/>
  <c r="BJ112" i="30"/>
  <c r="BJ111" i="30"/>
  <c r="BJ110" i="30"/>
  <c r="BJ109" i="30"/>
  <c r="BJ108" i="30"/>
  <c r="BJ107" i="30"/>
  <c r="BJ106" i="30"/>
  <c r="BJ105" i="30"/>
  <c r="BJ104" i="30"/>
  <c r="BJ103" i="30"/>
  <c r="BJ102" i="30"/>
  <c r="BJ101" i="30"/>
  <c r="BJ100" i="30"/>
  <c r="BJ99" i="30"/>
  <c r="BJ96" i="30"/>
  <c r="BJ95" i="30"/>
  <c r="BJ93" i="30"/>
  <c r="BJ90" i="30"/>
  <c r="BJ83" i="30"/>
  <c r="BJ82" i="30"/>
  <c r="BJ81" i="30"/>
  <c r="BJ80" i="30"/>
  <c r="BJ78" i="30"/>
  <c r="BJ77" i="30"/>
  <c r="BJ76" i="30"/>
  <c r="BJ75" i="30"/>
  <c r="BJ74" i="30"/>
  <c r="BJ72" i="30"/>
  <c r="BJ71" i="30"/>
  <c r="BJ70" i="30"/>
  <c r="BJ69" i="30"/>
  <c r="BJ67" i="30"/>
  <c r="BJ64" i="30"/>
  <c r="BJ62" i="30"/>
  <c r="BJ50" i="30"/>
  <c r="BJ38" i="30"/>
  <c r="BJ37" i="30"/>
  <c r="BJ36" i="30"/>
  <c r="BJ35" i="30"/>
  <c r="BJ34" i="30"/>
  <c r="BJ33" i="30"/>
  <c r="BJ32" i="30"/>
  <c r="BJ31" i="30"/>
  <c r="BJ29" i="30"/>
  <c r="BJ28" i="30"/>
  <c r="BJ27" i="30"/>
  <c r="BJ22" i="30"/>
  <c r="BJ17" i="30"/>
  <c r="BJ16" i="30"/>
  <c r="BI250" i="30"/>
  <c r="BI249" i="30"/>
  <c r="BI248" i="30"/>
  <c r="BI247" i="30"/>
  <c r="BI246" i="30"/>
  <c r="BI245" i="30"/>
  <c r="BI244" i="30"/>
  <c r="BI243" i="30"/>
  <c r="BI242" i="30"/>
  <c r="BI241" i="30"/>
  <c r="BI240" i="30"/>
  <c r="BI239" i="30"/>
  <c r="BI238" i="30"/>
  <c r="BI237" i="30"/>
  <c r="BI235" i="30"/>
  <c r="BI234" i="30"/>
  <c r="BI233" i="30"/>
  <c r="BI232" i="30"/>
  <c r="BI231" i="30"/>
  <c r="BI230" i="30"/>
  <c r="BI228" i="30"/>
  <c r="BI227" i="30"/>
  <c r="BI226" i="30"/>
  <c r="BI225" i="30"/>
  <c r="BI224" i="30"/>
  <c r="BI223" i="30"/>
  <c r="BI222" i="30"/>
  <c r="BI220" i="30"/>
  <c r="BI207" i="30"/>
  <c r="BI205" i="30"/>
  <c r="BI203" i="30"/>
  <c r="BI196" i="30"/>
  <c r="BI195" i="30"/>
  <c r="BI194" i="30"/>
  <c r="BI191" i="30"/>
  <c r="BI188" i="30"/>
  <c r="BI187" i="30"/>
  <c r="BI186" i="30"/>
  <c r="BI185" i="30"/>
  <c r="BI184" i="30"/>
  <c r="BI183" i="30"/>
  <c r="BI182" i="30"/>
  <c r="BI181" i="30"/>
  <c r="BI180" i="30"/>
  <c r="BI179" i="30"/>
  <c r="BI178" i="30"/>
  <c r="BI177" i="30"/>
  <c r="BI176" i="30"/>
  <c r="BI175" i="30"/>
  <c r="BI174" i="30"/>
  <c r="BI173" i="30"/>
  <c r="BI172" i="30"/>
  <c r="BI170" i="30"/>
  <c r="BI169" i="30"/>
  <c r="BI168" i="30"/>
  <c r="BI167" i="30"/>
  <c r="BI166" i="30"/>
  <c r="BI165" i="30"/>
  <c r="BI164" i="30"/>
  <c r="BI161" i="30"/>
  <c r="BI159" i="30"/>
  <c r="BI157" i="30"/>
  <c r="BI156" i="30"/>
  <c r="BI155" i="30"/>
  <c r="BI154" i="30"/>
  <c r="BI153" i="30"/>
  <c r="BI152" i="30"/>
  <c r="BI151" i="30"/>
  <c r="BI150" i="30"/>
  <c r="BI149" i="30"/>
  <c r="BI148" i="30"/>
  <c r="BI147" i="30"/>
  <c r="BI146" i="30"/>
  <c r="BI145" i="30"/>
  <c r="BI144" i="30"/>
  <c r="BI143" i="30"/>
  <c r="BI142" i="30"/>
  <c r="BI141" i="30"/>
  <c r="BI139" i="30"/>
  <c r="BI135" i="30"/>
  <c r="BI134" i="30"/>
  <c r="BI132" i="30"/>
  <c r="BI131" i="30"/>
  <c r="BI130" i="30"/>
  <c r="BI129" i="30"/>
  <c r="BI127" i="30"/>
  <c r="BI126" i="30"/>
  <c r="BI125" i="30"/>
  <c r="BI123" i="30"/>
  <c r="BI122" i="30"/>
  <c r="BI121" i="30"/>
  <c r="BI120" i="30"/>
  <c r="BI116" i="30"/>
  <c r="BI115" i="30"/>
  <c r="BI114" i="30"/>
  <c r="BI113" i="30"/>
  <c r="BI112" i="30"/>
  <c r="BI111" i="30"/>
  <c r="BI110" i="30"/>
  <c r="BI109" i="30"/>
  <c r="BI108" i="30"/>
  <c r="BI107" i="30"/>
  <c r="BI106" i="30"/>
  <c r="BI105" i="30"/>
  <c r="BI104" i="30"/>
  <c r="BI103" i="30"/>
  <c r="BI102" i="30"/>
  <c r="BI101" i="30"/>
  <c r="BI100" i="30"/>
  <c r="BI99" i="30"/>
  <c r="BI96" i="30"/>
  <c r="BI95" i="30"/>
  <c r="BI93" i="30"/>
  <c r="BI90" i="30"/>
  <c r="BI83" i="30"/>
  <c r="BI82" i="30"/>
  <c r="BI81" i="30"/>
  <c r="BI80" i="30"/>
  <c r="BI78" i="30"/>
  <c r="BI77" i="30"/>
  <c r="BI76" i="30"/>
  <c r="BI75" i="30"/>
  <c r="BI74" i="30"/>
  <c r="BI72" i="30"/>
  <c r="BI71" i="30"/>
  <c r="BI70" i="30"/>
  <c r="BI69" i="30"/>
  <c r="BI67" i="30"/>
  <c r="BI64" i="30"/>
  <c r="BI62" i="30"/>
  <c r="BI50" i="30"/>
  <c r="BI38" i="30"/>
  <c r="BI37" i="30"/>
  <c r="BI36" i="30"/>
  <c r="BI35" i="30"/>
  <c r="BI34" i="30"/>
  <c r="BI33" i="30"/>
  <c r="BI32" i="30"/>
  <c r="BI31" i="30"/>
  <c r="BI29" i="30"/>
  <c r="BI28" i="30"/>
  <c r="BI27" i="30"/>
  <c r="BI22" i="30"/>
  <c r="BI17" i="30"/>
  <c r="BI16" i="30"/>
  <c r="BH250" i="30"/>
  <c r="BH249" i="30"/>
  <c r="BH248" i="30"/>
  <c r="BH247" i="30"/>
  <c r="BH246" i="30"/>
  <c r="BH245" i="30"/>
  <c r="BH244" i="30"/>
  <c r="BH243" i="30"/>
  <c r="BH242" i="30"/>
  <c r="BH241" i="30"/>
  <c r="BH240" i="30"/>
  <c r="BH239" i="30"/>
  <c r="BH238" i="30"/>
  <c r="BH237" i="30"/>
  <c r="BH235" i="30"/>
  <c r="BH234" i="30"/>
  <c r="BH233" i="30"/>
  <c r="BH232" i="30"/>
  <c r="BH231" i="30"/>
  <c r="BH230" i="30"/>
  <c r="BH228" i="30"/>
  <c r="BH227" i="30"/>
  <c r="BH226" i="30"/>
  <c r="BH225" i="30"/>
  <c r="BH224" i="30"/>
  <c r="BH223" i="30"/>
  <c r="BH222" i="30"/>
  <c r="BH220" i="30"/>
  <c r="BH207" i="30"/>
  <c r="BH205" i="30"/>
  <c r="BH203" i="30"/>
  <c r="BH196" i="30"/>
  <c r="BH195" i="30"/>
  <c r="BH194" i="30"/>
  <c r="BH191" i="30"/>
  <c r="BH188" i="30"/>
  <c r="BH187" i="30"/>
  <c r="BH186" i="30"/>
  <c r="BH185" i="30"/>
  <c r="BH184" i="30"/>
  <c r="BH183" i="30"/>
  <c r="BH182" i="30"/>
  <c r="BH181" i="30"/>
  <c r="BH180" i="30"/>
  <c r="BH179" i="30"/>
  <c r="BH178" i="30"/>
  <c r="BH177" i="30"/>
  <c r="BH176" i="30"/>
  <c r="BH175" i="30"/>
  <c r="BH174" i="30"/>
  <c r="BH173" i="30"/>
  <c r="BH172" i="30"/>
  <c r="BH171" i="30"/>
  <c r="BH170" i="30"/>
  <c r="BH169" i="30"/>
  <c r="BH168" i="30"/>
  <c r="BH167" i="30"/>
  <c r="BH166" i="30"/>
  <c r="BH165" i="30"/>
  <c r="BH164" i="30"/>
  <c r="BH163" i="30"/>
  <c r="BH162" i="30"/>
  <c r="BH161" i="30"/>
  <c r="BH160" i="30"/>
  <c r="BH159" i="30"/>
  <c r="BH158" i="30"/>
  <c r="BH157" i="30"/>
  <c r="BH156" i="30"/>
  <c r="BH155" i="30"/>
  <c r="BH154" i="30"/>
  <c r="BH153" i="30"/>
  <c r="BH152" i="30"/>
  <c r="BH151" i="30"/>
  <c r="BH150" i="30"/>
  <c r="BH149" i="30"/>
  <c r="BH148" i="30"/>
  <c r="BH147" i="30"/>
  <c r="BH146" i="30"/>
  <c r="BH145" i="30"/>
  <c r="BH144" i="30"/>
  <c r="BH143" i="30"/>
  <c r="BH142" i="30"/>
  <c r="BH141" i="30"/>
  <c r="BH139" i="30"/>
  <c r="BH135" i="30"/>
  <c r="BH134" i="30"/>
  <c r="BH132" i="30"/>
  <c r="BH131" i="30"/>
  <c r="BH130" i="30"/>
  <c r="BH129" i="30"/>
  <c r="BH127" i="30"/>
  <c r="BH126" i="30"/>
  <c r="BH125" i="30"/>
  <c r="BH123" i="30"/>
  <c r="BH122" i="30"/>
  <c r="BH121" i="30"/>
  <c r="BH120" i="30"/>
  <c r="BH117" i="30"/>
  <c r="BH116" i="30"/>
  <c r="BH115" i="30"/>
  <c r="BH114" i="30"/>
  <c r="BH113" i="30"/>
  <c r="BH112" i="30"/>
  <c r="BH111" i="30"/>
  <c r="BH110" i="30"/>
  <c r="BH109" i="30"/>
  <c r="BH108" i="30"/>
  <c r="BH107" i="30"/>
  <c r="BH106" i="30"/>
  <c r="BH105" i="30"/>
  <c r="BH104" i="30"/>
  <c r="BH103" i="30"/>
  <c r="BH102" i="30"/>
  <c r="BH101" i="30"/>
  <c r="BH100" i="30"/>
  <c r="BH99" i="30"/>
  <c r="BH96" i="30"/>
  <c r="BH95" i="30"/>
  <c r="BH93" i="30"/>
  <c r="BH90" i="30"/>
  <c r="BH83" i="30"/>
  <c r="BH82" i="30"/>
  <c r="BH81" i="30"/>
  <c r="BH80" i="30"/>
  <c r="BH78" i="30"/>
  <c r="BH77" i="30"/>
  <c r="BH76" i="30"/>
  <c r="BH75" i="30"/>
  <c r="BH74" i="30"/>
  <c r="BH72" i="30"/>
  <c r="BH71" i="30"/>
  <c r="BH70" i="30"/>
  <c r="BH69" i="30"/>
  <c r="BH67" i="30"/>
  <c r="BH64" i="30"/>
  <c r="BH62" i="30"/>
  <c r="BH50" i="30"/>
  <c r="BH38" i="30"/>
  <c r="BH37" i="30"/>
  <c r="BH36" i="30"/>
  <c r="BH35" i="30"/>
  <c r="BH34" i="30"/>
  <c r="BH33" i="30"/>
  <c r="BH32" i="30"/>
  <c r="BH31" i="30"/>
  <c r="BH29" i="30"/>
  <c r="BH28" i="30"/>
  <c r="BH27" i="30"/>
  <c r="BH22" i="30"/>
  <c r="BH17" i="30"/>
  <c r="BH16" i="30"/>
  <c r="BG250" i="30"/>
  <c r="BG249" i="30"/>
  <c r="BG248" i="30"/>
  <c r="BG247" i="30"/>
  <c r="BG246" i="30"/>
  <c r="BG245" i="30"/>
  <c r="BG244" i="30"/>
  <c r="BG243" i="30"/>
  <c r="BG242" i="30"/>
  <c r="BG241" i="30"/>
  <c r="BG240" i="30"/>
  <c r="BG239" i="30"/>
  <c r="BG238" i="30"/>
  <c r="BG237" i="30"/>
  <c r="BG235" i="30"/>
  <c r="BG234" i="30"/>
  <c r="BG233" i="30"/>
  <c r="BG232" i="30"/>
  <c r="BG231" i="30"/>
  <c r="BG230" i="30"/>
  <c r="BG228" i="30"/>
  <c r="BG227" i="30"/>
  <c r="BG226" i="30"/>
  <c r="BG225" i="30"/>
  <c r="BG224" i="30"/>
  <c r="BG223" i="30"/>
  <c r="BG222" i="30"/>
  <c r="BG220" i="30"/>
  <c r="BG207" i="30"/>
  <c r="BG205" i="30"/>
  <c r="BG203" i="30"/>
  <c r="BG196" i="30"/>
  <c r="BG195" i="30"/>
  <c r="BG194" i="30"/>
  <c r="BG191" i="30"/>
  <c r="BG188" i="30"/>
  <c r="BG187" i="30"/>
  <c r="BG186" i="30"/>
  <c r="BG185" i="30"/>
  <c r="BG184" i="30"/>
  <c r="BG183" i="30"/>
  <c r="BG182" i="30"/>
  <c r="BG181" i="30"/>
  <c r="BG180" i="30"/>
  <c r="BG179" i="30"/>
  <c r="BG178" i="30"/>
  <c r="BG177" i="30"/>
  <c r="BG176" i="30"/>
  <c r="BG175" i="30"/>
  <c r="BG174" i="30"/>
  <c r="BG173" i="30"/>
  <c r="BG172" i="30"/>
  <c r="BG171" i="30"/>
  <c r="BG170" i="30"/>
  <c r="BG169" i="30"/>
  <c r="BG168" i="30"/>
  <c r="BG167" i="30"/>
  <c r="BG166" i="30"/>
  <c r="BG165" i="30"/>
  <c r="BG164" i="30"/>
  <c r="BG163" i="30"/>
  <c r="BG162" i="30"/>
  <c r="BG161" i="30"/>
  <c r="BG160" i="30"/>
  <c r="BG159" i="30"/>
  <c r="BG158" i="30"/>
  <c r="BG157" i="30"/>
  <c r="BG156" i="30"/>
  <c r="BG155" i="30"/>
  <c r="BG154" i="30"/>
  <c r="BG153" i="30"/>
  <c r="BG152" i="30"/>
  <c r="BG151" i="30"/>
  <c r="BG150" i="30"/>
  <c r="BG149" i="30"/>
  <c r="BG148" i="30"/>
  <c r="BG147" i="30"/>
  <c r="BG146" i="30"/>
  <c r="BG145" i="30"/>
  <c r="BG144" i="30"/>
  <c r="BG143" i="30"/>
  <c r="BG142" i="30"/>
  <c r="BG141" i="30"/>
  <c r="BG139" i="30"/>
  <c r="BG135" i="30"/>
  <c r="BG134" i="30"/>
  <c r="BG132" i="30"/>
  <c r="BG131" i="30"/>
  <c r="BG130" i="30"/>
  <c r="BG129" i="30"/>
  <c r="BG127" i="30"/>
  <c r="BG126" i="30"/>
  <c r="BG125" i="30"/>
  <c r="BG123" i="30"/>
  <c r="BG122" i="30"/>
  <c r="BG121" i="30"/>
  <c r="BG120" i="30"/>
  <c r="BG117" i="30"/>
  <c r="BG116" i="30"/>
  <c r="BG115" i="30"/>
  <c r="BG114" i="30"/>
  <c r="BG113" i="30"/>
  <c r="BG112" i="30"/>
  <c r="BG111" i="30"/>
  <c r="BG110" i="30"/>
  <c r="BG109" i="30"/>
  <c r="BG108" i="30"/>
  <c r="BG107" i="30"/>
  <c r="BG106" i="30"/>
  <c r="BG105" i="30"/>
  <c r="BG104" i="30"/>
  <c r="BG103" i="30"/>
  <c r="BG102" i="30"/>
  <c r="BG101" i="30"/>
  <c r="BG100" i="30"/>
  <c r="BG99" i="30"/>
  <c r="BG96" i="30"/>
  <c r="BG95" i="30"/>
  <c r="BG93" i="30"/>
  <c r="BG90" i="30"/>
  <c r="BG83" i="30"/>
  <c r="BG82" i="30"/>
  <c r="BG81" i="30"/>
  <c r="BG80" i="30"/>
  <c r="BG78" i="30"/>
  <c r="BG77" i="30"/>
  <c r="BG76" i="30"/>
  <c r="BG75" i="30"/>
  <c r="BG74" i="30"/>
  <c r="BG72" i="30"/>
  <c r="BG71" i="30"/>
  <c r="BG70" i="30"/>
  <c r="BG69" i="30"/>
  <c r="BG67" i="30"/>
  <c r="BG64" i="30"/>
  <c r="BG62" i="30"/>
  <c r="BG50" i="30"/>
  <c r="BG38" i="30"/>
  <c r="BG37" i="30"/>
  <c r="BG36" i="30"/>
  <c r="BG35" i="30"/>
  <c r="BG34" i="30"/>
  <c r="BG33" i="30"/>
  <c r="BG32" i="30"/>
  <c r="BG31" i="30"/>
  <c r="BG29" i="30"/>
  <c r="BG28" i="30"/>
  <c r="BG27" i="30"/>
  <c r="BG22" i="30"/>
  <c r="BG17" i="30"/>
  <c r="BG16" i="30"/>
  <c r="BF250" i="30"/>
  <c r="BF249" i="30"/>
  <c r="BF248" i="30"/>
  <c r="BF247" i="30"/>
  <c r="BF246" i="30"/>
  <c r="BF245" i="30"/>
  <c r="BF244" i="30"/>
  <c r="BF243" i="30"/>
  <c r="BF242" i="30"/>
  <c r="BF241" i="30"/>
  <c r="BF240" i="30"/>
  <c r="BF239" i="30"/>
  <c r="BF238" i="30"/>
  <c r="BF237" i="30"/>
  <c r="BF235" i="30"/>
  <c r="BF234" i="30"/>
  <c r="BF233" i="30"/>
  <c r="BF232" i="30"/>
  <c r="BF231" i="30"/>
  <c r="BF230" i="30"/>
  <c r="BF228" i="30"/>
  <c r="BF227" i="30"/>
  <c r="BF226" i="30"/>
  <c r="BF225" i="30"/>
  <c r="BF224" i="30"/>
  <c r="BF223" i="30"/>
  <c r="BF222" i="30"/>
  <c r="BF220" i="30"/>
  <c r="BF207" i="30"/>
  <c r="BF205" i="30"/>
  <c r="BF203" i="30"/>
  <c r="BF196" i="30"/>
  <c r="BF195" i="30"/>
  <c r="BF194" i="30"/>
  <c r="BF191" i="30"/>
  <c r="BF188" i="30"/>
  <c r="BF187" i="30"/>
  <c r="BF186" i="30"/>
  <c r="BF185" i="30"/>
  <c r="BF184" i="30"/>
  <c r="BF183" i="30"/>
  <c r="BF182" i="30"/>
  <c r="BF181" i="30"/>
  <c r="BF180" i="30"/>
  <c r="BF179" i="30"/>
  <c r="BF178" i="30"/>
  <c r="BF177" i="30"/>
  <c r="BF176" i="30"/>
  <c r="BF175" i="30"/>
  <c r="BF174" i="30"/>
  <c r="BF173" i="30"/>
  <c r="BF172" i="30"/>
  <c r="BF171" i="30"/>
  <c r="BF170" i="30"/>
  <c r="BF169" i="30"/>
  <c r="BF168" i="30"/>
  <c r="BF167" i="30"/>
  <c r="BF166" i="30"/>
  <c r="BF165" i="30"/>
  <c r="BF164" i="30"/>
  <c r="BF163" i="30"/>
  <c r="BF162" i="30"/>
  <c r="BF161" i="30"/>
  <c r="BF160" i="30"/>
  <c r="BF159" i="30"/>
  <c r="BF158" i="30"/>
  <c r="BF157" i="30"/>
  <c r="BF156" i="30"/>
  <c r="BF155" i="30"/>
  <c r="BF154" i="30"/>
  <c r="BF153" i="30"/>
  <c r="BF152" i="30"/>
  <c r="BF151" i="30"/>
  <c r="BF150" i="30"/>
  <c r="BF149" i="30"/>
  <c r="BF148" i="30"/>
  <c r="BF147" i="30"/>
  <c r="BF146" i="30"/>
  <c r="BF145" i="30"/>
  <c r="BF144" i="30"/>
  <c r="BF143" i="30"/>
  <c r="BF142" i="30"/>
  <c r="BF141" i="30"/>
  <c r="BF139" i="30"/>
  <c r="BF135" i="30"/>
  <c r="BF134" i="30"/>
  <c r="BF132" i="30"/>
  <c r="BF131" i="30"/>
  <c r="BF130" i="30"/>
  <c r="BF129" i="30"/>
  <c r="BF127" i="30"/>
  <c r="BF126" i="30"/>
  <c r="BF125" i="30"/>
  <c r="BF123" i="30"/>
  <c r="BF122" i="30"/>
  <c r="BF121" i="30"/>
  <c r="BF120" i="30"/>
  <c r="BF117" i="30"/>
  <c r="BF116" i="30"/>
  <c r="BF115" i="30"/>
  <c r="BF114" i="30"/>
  <c r="BF113" i="30"/>
  <c r="BF112" i="30"/>
  <c r="BF111" i="30"/>
  <c r="BF110" i="30"/>
  <c r="BF109" i="30"/>
  <c r="BF108" i="30"/>
  <c r="BF107" i="30"/>
  <c r="BF106" i="30"/>
  <c r="BF105" i="30"/>
  <c r="BF104" i="30"/>
  <c r="BF103" i="30"/>
  <c r="BF102" i="30"/>
  <c r="BF101" i="30"/>
  <c r="BF100" i="30"/>
  <c r="BF99" i="30"/>
  <c r="BF96" i="30"/>
  <c r="BF95" i="30"/>
  <c r="BF93" i="30"/>
  <c r="BF90" i="30"/>
  <c r="BF83" i="30"/>
  <c r="BF82" i="30"/>
  <c r="BF81" i="30"/>
  <c r="BF80" i="30"/>
  <c r="BF78" i="30"/>
  <c r="BF77" i="30"/>
  <c r="BF76" i="30"/>
  <c r="BF75" i="30"/>
  <c r="BF74" i="30"/>
  <c r="BF72" i="30"/>
  <c r="BF71" i="30"/>
  <c r="BF70" i="30"/>
  <c r="BF69" i="30"/>
  <c r="BF67" i="30"/>
  <c r="BF64" i="30"/>
  <c r="BF62" i="30"/>
  <c r="BF50" i="30"/>
  <c r="BF38" i="30"/>
  <c r="BF37" i="30"/>
  <c r="BF36" i="30"/>
  <c r="BF35" i="30"/>
  <c r="BF34" i="30"/>
  <c r="BF33" i="30"/>
  <c r="BF32" i="30"/>
  <c r="BF31" i="30"/>
  <c r="BF29" i="30"/>
  <c r="BF28" i="30"/>
  <c r="BF27" i="30"/>
  <c r="BF22" i="30"/>
  <c r="BF17" i="30"/>
  <c r="BF16" i="30"/>
  <c r="BE250" i="30"/>
  <c r="BE249" i="30"/>
  <c r="BE248" i="30"/>
  <c r="BE247" i="30"/>
  <c r="BE246" i="30"/>
  <c r="BE245" i="30"/>
  <c r="BE244" i="30"/>
  <c r="BE243" i="30"/>
  <c r="BE242" i="30"/>
  <c r="BE241" i="30"/>
  <c r="BE240" i="30"/>
  <c r="BE239" i="30"/>
  <c r="BE238" i="30"/>
  <c r="BE237" i="30"/>
  <c r="BE235" i="30"/>
  <c r="BE234" i="30"/>
  <c r="BE233" i="30"/>
  <c r="BE232" i="30"/>
  <c r="BE231" i="30"/>
  <c r="BE230" i="30"/>
  <c r="BE228" i="30"/>
  <c r="BE227" i="30"/>
  <c r="BE226" i="30"/>
  <c r="BE225" i="30"/>
  <c r="BE224" i="30"/>
  <c r="BE223" i="30"/>
  <c r="BE222" i="30"/>
  <c r="BE220" i="30"/>
  <c r="BE207" i="30"/>
  <c r="BE205" i="30"/>
  <c r="BE203" i="30"/>
  <c r="BE196" i="30"/>
  <c r="BE195" i="30"/>
  <c r="BE194" i="30"/>
  <c r="BE191" i="30"/>
  <c r="BE188" i="30"/>
  <c r="BE187" i="30"/>
  <c r="BE186" i="30"/>
  <c r="BE185" i="30"/>
  <c r="BE184" i="30"/>
  <c r="BE183" i="30"/>
  <c r="BE182" i="30"/>
  <c r="BE181" i="30"/>
  <c r="BE180" i="30"/>
  <c r="BE179" i="30"/>
  <c r="BE178" i="30"/>
  <c r="BE177" i="30"/>
  <c r="BE176" i="30"/>
  <c r="BE175" i="30"/>
  <c r="BE174" i="30"/>
  <c r="BE173" i="30"/>
  <c r="BE172" i="30"/>
  <c r="BE171" i="30"/>
  <c r="BE170" i="30"/>
  <c r="BE169" i="30"/>
  <c r="BE168" i="30"/>
  <c r="BE167" i="30"/>
  <c r="BE166" i="30"/>
  <c r="BE165" i="30"/>
  <c r="BE164" i="30"/>
  <c r="BE163" i="30"/>
  <c r="BE162" i="30"/>
  <c r="BE161" i="30"/>
  <c r="BE160" i="30"/>
  <c r="BE159" i="30"/>
  <c r="BE158" i="30"/>
  <c r="BE157" i="30"/>
  <c r="BE156" i="30"/>
  <c r="BE155" i="30"/>
  <c r="BE154" i="30"/>
  <c r="BE153" i="30"/>
  <c r="BE152" i="30"/>
  <c r="BE151" i="30"/>
  <c r="BE150" i="30"/>
  <c r="BE149" i="30"/>
  <c r="BE148" i="30"/>
  <c r="BE147" i="30"/>
  <c r="BE146" i="30"/>
  <c r="BE145" i="30"/>
  <c r="BE144" i="30"/>
  <c r="BE143" i="30"/>
  <c r="BE142" i="30"/>
  <c r="BE141" i="30"/>
  <c r="BE139" i="30"/>
  <c r="BE135" i="30"/>
  <c r="BE134" i="30"/>
  <c r="BE132" i="30"/>
  <c r="BE131" i="30"/>
  <c r="BE130" i="30"/>
  <c r="BE129" i="30"/>
  <c r="BE127" i="30"/>
  <c r="BE126" i="30"/>
  <c r="BE125" i="30"/>
  <c r="BE123" i="30"/>
  <c r="BE122" i="30"/>
  <c r="BE121" i="30"/>
  <c r="BE120" i="30"/>
  <c r="BE117" i="30"/>
  <c r="BE116" i="30"/>
  <c r="BE115" i="30"/>
  <c r="BE114" i="30"/>
  <c r="BE113" i="30"/>
  <c r="BE112" i="30"/>
  <c r="BE111" i="30"/>
  <c r="BE110" i="30"/>
  <c r="BE109" i="30"/>
  <c r="BE108" i="30"/>
  <c r="BE107" i="30"/>
  <c r="BE106" i="30"/>
  <c r="BE105" i="30"/>
  <c r="BE104" i="30"/>
  <c r="BE103" i="30"/>
  <c r="BE102" i="30"/>
  <c r="BE101" i="30"/>
  <c r="BE100" i="30"/>
  <c r="BE99" i="30"/>
  <c r="BE96" i="30"/>
  <c r="BE95" i="30"/>
  <c r="BE93" i="30"/>
  <c r="BE90" i="30"/>
  <c r="BE83" i="30"/>
  <c r="BE82" i="30"/>
  <c r="BE81" i="30"/>
  <c r="BE80" i="30"/>
  <c r="BE78" i="30"/>
  <c r="BE77" i="30"/>
  <c r="BE76" i="30"/>
  <c r="BE75" i="30"/>
  <c r="BE74" i="30"/>
  <c r="BE72" i="30"/>
  <c r="BE71" i="30"/>
  <c r="BE70" i="30"/>
  <c r="BE69" i="30"/>
  <c r="BE67" i="30"/>
  <c r="BE64" i="30"/>
  <c r="BE62" i="30"/>
  <c r="BE50" i="30"/>
  <c r="BE38" i="30"/>
  <c r="BE37" i="30"/>
  <c r="BE36" i="30"/>
  <c r="BE35" i="30"/>
  <c r="BE34" i="30"/>
  <c r="BE33" i="30"/>
  <c r="BE32" i="30"/>
  <c r="BE31" i="30"/>
  <c r="BE29" i="30"/>
  <c r="BE28" i="30"/>
  <c r="BE27" i="30"/>
  <c r="BE22" i="30"/>
  <c r="BE17" i="30"/>
  <c r="BE16" i="30"/>
  <c r="BD250" i="30"/>
  <c r="BD249" i="30"/>
  <c r="BD248" i="30"/>
  <c r="BD247" i="30"/>
  <c r="BD246" i="30"/>
  <c r="BD245" i="30"/>
  <c r="BD244" i="30"/>
  <c r="BD243" i="30"/>
  <c r="BD242" i="30"/>
  <c r="BD241" i="30"/>
  <c r="BD240" i="30"/>
  <c r="BD239" i="30"/>
  <c r="BD238" i="30"/>
  <c r="BD237" i="30"/>
  <c r="BD235" i="30"/>
  <c r="BD234" i="30"/>
  <c r="BD233" i="30"/>
  <c r="BD232" i="30"/>
  <c r="BD231" i="30"/>
  <c r="BD230" i="30"/>
  <c r="BD228" i="30"/>
  <c r="BD227" i="30"/>
  <c r="BD226" i="30"/>
  <c r="BD225" i="30"/>
  <c r="BD224" i="30"/>
  <c r="BD223" i="30"/>
  <c r="BD222" i="30"/>
  <c r="BD220" i="30"/>
  <c r="BD207" i="30"/>
  <c r="BD205" i="30"/>
  <c r="BD203" i="30"/>
  <c r="BD196" i="30"/>
  <c r="BD195" i="30"/>
  <c r="BD194" i="30"/>
  <c r="BD191" i="30"/>
  <c r="BD188" i="30"/>
  <c r="BD187" i="30"/>
  <c r="BD186" i="30"/>
  <c r="BD185" i="30"/>
  <c r="BD184" i="30"/>
  <c r="BD183" i="30"/>
  <c r="BD182" i="30"/>
  <c r="BD181" i="30"/>
  <c r="BD180" i="30"/>
  <c r="BD179" i="30"/>
  <c r="BD178" i="30"/>
  <c r="BD177" i="30"/>
  <c r="BD176" i="30"/>
  <c r="BD175" i="30"/>
  <c r="BD174" i="30"/>
  <c r="BD173" i="30"/>
  <c r="BD172" i="30"/>
  <c r="BD171" i="30"/>
  <c r="BD170" i="30"/>
  <c r="BD169" i="30"/>
  <c r="BD168" i="30"/>
  <c r="BD167" i="30"/>
  <c r="BD166" i="30"/>
  <c r="BD165" i="30"/>
  <c r="BD164" i="30"/>
  <c r="BD163" i="30"/>
  <c r="BD162" i="30"/>
  <c r="BD161" i="30"/>
  <c r="BD160" i="30"/>
  <c r="BD159" i="30"/>
  <c r="BD158" i="30"/>
  <c r="BD157" i="30"/>
  <c r="BD156" i="30"/>
  <c r="BD155" i="30"/>
  <c r="BD154" i="30"/>
  <c r="BD153" i="30"/>
  <c r="BD152" i="30"/>
  <c r="BD151" i="30"/>
  <c r="BD150" i="30"/>
  <c r="BD149" i="30"/>
  <c r="BD148" i="30"/>
  <c r="BD147" i="30"/>
  <c r="BD146" i="30"/>
  <c r="BD145" i="30"/>
  <c r="BD144" i="30"/>
  <c r="BD143" i="30"/>
  <c r="BD142" i="30"/>
  <c r="BD141" i="30"/>
  <c r="BD139" i="30"/>
  <c r="BD135" i="30"/>
  <c r="BD134" i="30"/>
  <c r="BD132" i="30"/>
  <c r="BD131" i="30"/>
  <c r="BD130" i="30"/>
  <c r="BD129" i="30"/>
  <c r="BD127" i="30"/>
  <c r="BD126" i="30"/>
  <c r="BD125" i="30"/>
  <c r="BD123" i="30"/>
  <c r="BD122" i="30"/>
  <c r="BD121" i="30"/>
  <c r="BD120" i="30"/>
  <c r="BD117" i="30"/>
  <c r="BD116" i="30"/>
  <c r="BD115" i="30"/>
  <c r="BD114" i="30"/>
  <c r="BD113" i="30"/>
  <c r="BD112" i="30"/>
  <c r="BD111" i="30"/>
  <c r="BD110" i="30"/>
  <c r="BD109" i="30"/>
  <c r="BD108" i="30"/>
  <c r="BD107" i="30"/>
  <c r="BD106" i="30"/>
  <c r="BD105" i="30"/>
  <c r="BD104" i="30"/>
  <c r="BD103" i="30"/>
  <c r="BD102" i="30"/>
  <c r="BD101" i="30"/>
  <c r="BD100" i="30"/>
  <c r="BD99" i="30"/>
  <c r="BD96" i="30"/>
  <c r="BD95" i="30"/>
  <c r="BD93" i="30"/>
  <c r="BD90" i="30"/>
  <c r="BD83" i="30"/>
  <c r="BD82" i="30"/>
  <c r="BD81" i="30"/>
  <c r="BD80" i="30"/>
  <c r="BD78" i="30"/>
  <c r="BD77" i="30"/>
  <c r="BD76" i="30"/>
  <c r="BD75" i="30"/>
  <c r="BD74" i="30"/>
  <c r="BD72" i="30"/>
  <c r="BD71" i="30"/>
  <c r="BD70" i="30"/>
  <c r="BD69" i="30"/>
  <c r="BD67" i="30"/>
  <c r="BD64" i="30"/>
  <c r="BD62" i="30"/>
  <c r="BD50" i="30"/>
  <c r="BD38" i="30"/>
  <c r="BD37" i="30"/>
  <c r="BD36" i="30"/>
  <c r="BD35" i="30"/>
  <c r="BD34" i="30"/>
  <c r="BD33" i="30"/>
  <c r="BD32" i="30"/>
  <c r="BD31" i="30"/>
  <c r="BD29" i="30"/>
  <c r="BD28" i="30"/>
  <c r="BD27" i="30"/>
  <c r="BD22" i="30"/>
  <c r="BD17" i="30"/>
  <c r="BD16" i="30"/>
  <c r="BC250" i="30"/>
  <c r="BC249" i="30"/>
  <c r="BC248" i="30"/>
  <c r="BC247" i="30"/>
  <c r="BC246" i="30"/>
  <c r="BC245" i="30"/>
  <c r="BC244" i="30"/>
  <c r="BC243" i="30"/>
  <c r="BC242" i="30"/>
  <c r="BC241" i="30"/>
  <c r="BC240" i="30"/>
  <c r="BC239" i="30"/>
  <c r="BC238" i="30"/>
  <c r="BC237" i="30"/>
  <c r="BC235" i="30"/>
  <c r="BC234" i="30"/>
  <c r="BC233" i="30"/>
  <c r="BC232" i="30"/>
  <c r="BC231" i="30"/>
  <c r="BC230" i="30"/>
  <c r="BC228" i="30"/>
  <c r="BC227" i="30"/>
  <c r="BC226" i="30"/>
  <c r="BC225" i="30"/>
  <c r="BC224" i="30"/>
  <c r="BC223" i="30"/>
  <c r="BC222" i="30"/>
  <c r="BC220" i="30"/>
  <c r="BC207" i="30"/>
  <c r="BC205" i="30"/>
  <c r="BC203" i="30"/>
  <c r="BC196" i="30"/>
  <c r="BC195" i="30"/>
  <c r="BC194" i="30"/>
  <c r="BC191" i="30"/>
  <c r="BC188" i="30"/>
  <c r="BC187" i="30"/>
  <c r="BC186" i="30"/>
  <c r="BC185" i="30"/>
  <c r="BC184" i="30"/>
  <c r="BC183" i="30"/>
  <c r="BC182" i="30"/>
  <c r="BC181" i="30"/>
  <c r="BC180" i="30"/>
  <c r="BC179" i="30"/>
  <c r="BC178" i="30"/>
  <c r="BC177" i="30"/>
  <c r="BC176" i="30"/>
  <c r="BC175" i="30"/>
  <c r="BC174" i="30"/>
  <c r="BC173" i="30"/>
  <c r="BC172" i="30"/>
  <c r="BC171" i="30"/>
  <c r="BC170" i="30"/>
  <c r="BC169" i="30"/>
  <c r="BC168" i="30"/>
  <c r="BC167" i="30"/>
  <c r="BC166" i="30"/>
  <c r="BC165" i="30"/>
  <c r="BC164" i="30"/>
  <c r="BC163" i="30"/>
  <c r="BC162" i="30"/>
  <c r="BC161" i="30"/>
  <c r="BC160" i="30"/>
  <c r="BC159" i="30"/>
  <c r="BC158" i="30"/>
  <c r="BC157" i="30"/>
  <c r="BC156" i="30"/>
  <c r="BC155" i="30"/>
  <c r="BC154" i="30"/>
  <c r="BC153" i="30"/>
  <c r="BC152" i="30"/>
  <c r="BC151" i="30"/>
  <c r="BC150" i="30"/>
  <c r="BC149" i="30"/>
  <c r="BC148" i="30"/>
  <c r="BC147" i="30"/>
  <c r="BC146" i="30"/>
  <c r="BC145" i="30"/>
  <c r="BC144" i="30"/>
  <c r="BC143" i="30"/>
  <c r="BC142" i="30"/>
  <c r="BC141" i="30"/>
  <c r="BC139" i="30"/>
  <c r="BC135" i="30"/>
  <c r="BC134" i="30"/>
  <c r="BC132" i="30"/>
  <c r="BC131" i="30"/>
  <c r="BC130" i="30"/>
  <c r="BC129" i="30"/>
  <c r="BC127" i="30"/>
  <c r="BC126" i="30"/>
  <c r="BC125" i="30"/>
  <c r="BC123" i="30"/>
  <c r="BC122" i="30"/>
  <c r="BC121" i="30"/>
  <c r="BC120" i="30"/>
  <c r="BC117" i="30"/>
  <c r="BC116" i="30"/>
  <c r="BC115" i="30"/>
  <c r="BC114" i="30"/>
  <c r="BC113" i="30"/>
  <c r="BC112" i="30"/>
  <c r="BC111" i="30"/>
  <c r="BC110" i="30"/>
  <c r="BC109" i="30"/>
  <c r="BC108" i="30"/>
  <c r="BC107" i="30"/>
  <c r="BC106" i="30"/>
  <c r="BC105" i="30"/>
  <c r="BC104" i="30"/>
  <c r="BC103" i="30"/>
  <c r="BC102" i="30"/>
  <c r="BC101" i="30"/>
  <c r="BC100" i="30"/>
  <c r="BC99" i="30"/>
  <c r="BC96" i="30"/>
  <c r="BC95" i="30"/>
  <c r="BC93" i="30"/>
  <c r="BC90" i="30"/>
  <c r="BC83" i="30"/>
  <c r="BC82" i="30"/>
  <c r="BC81" i="30"/>
  <c r="BC80" i="30"/>
  <c r="BC78" i="30"/>
  <c r="BC77" i="30"/>
  <c r="BC76" i="30"/>
  <c r="BC75" i="30"/>
  <c r="BC74" i="30"/>
  <c r="BC72" i="30"/>
  <c r="BC71" i="30"/>
  <c r="BC70" i="30"/>
  <c r="BC69" i="30"/>
  <c r="BC67" i="30"/>
  <c r="BC64" i="30"/>
  <c r="BC62" i="30"/>
  <c r="BC50" i="30"/>
  <c r="BC38" i="30"/>
  <c r="BC37" i="30"/>
  <c r="BC36" i="30"/>
  <c r="BC35" i="30"/>
  <c r="BC34" i="30"/>
  <c r="BC33" i="30"/>
  <c r="BC32" i="30"/>
  <c r="BC31" i="30"/>
  <c r="BC29" i="30"/>
  <c r="BC28" i="30"/>
  <c r="BC27" i="30"/>
  <c r="BC22" i="30"/>
  <c r="BC17" i="30"/>
  <c r="BC16" i="30"/>
  <c r="BB250" i="30"/>
  <c r="BB249" i="30"/>
  <c r="BB248" i="30"/>
  <c r="BB247" i="30"/>
  <c r="BB246" i="30"/>
  <c r="BB245" i="30"/>
  <c r="BB244" i="30"/>
  <c r="BB243" i="30"/>
  <c r="BB242" i="30"/>
  <c r="BB241" i="30"/>
  <c r="BB240" i="30"/>
  <c r="BB239" i="30"/>
  <c r="BB238" i="30"/>
  <c r="BB237" i="30"/>
  <c r="BB235" i="30"/>
  <c r="BB234" i="30"/>
  <c r="BB233" i="30"/>
  <c r="BB232" i="30"/>
  <c r="BB231" i="30"/>
  <c r="BB230" i="30"/>
  <c r="BB228" i="30"/>
  <c r="BB227" i="30"/>
  <c r="BB226" i="30"/>
  <c r="BB225" i="30"/>
  <c r="BB224" i="30"/>
  <c r="BB223" i="30"/>
  <c r="BB222" i="30"/>
  <c r="BB220" i="30"/>
  <c r="BB207" i="30"/>
  <c r="BB205" i="30"/>
  <c r="BB203" i="30"/>
  <c r="BB196" i="30"/>
  <c r="BB195" i="30"/>
  <c r="BB194" i="30"/>
  <c r="BB191" i="30"/>
  <c r="BB188" i="30"/>
  <c r="BB187" i="30"/>
  <c r="BB186" i="30"/>
  <c r="BB185" i="30"/>
  <c r="BB184" i="30"/>
  <c r="BB183" i="30"/>
  <c r="BB182" i="30"/>
  <c r="BB181" i="30"/>
  <c r="BB180" i="30"/>
  <c r="BB179" i="30"/>
  <c r="BB178" i="30"/>
  <c r="BB177" i="30"/>
  <c r="BB176" i="30"/>
  <c r="BB175" i="30"/>
  <c r="BB174" i="30"/>
  <c r="BB173" i="30"/>
  <c r="BB172" i="30"/>
  <c r="BB171" i="30"/>
  <c r="BB170" i="30"/>
  <c r="BB169" i="30"/>
  <c r="BB168" i="30"/>
  <c r="BB167" i="30"/>
  <c r="BB166" i="30"/>
  <c r="BB165" i="30"/>
  <c r="BB164" i="30"/>
  <c r="BB163" i="30"/>
  <c r="BB162" i="30"/>
  <c r="BB161" i="30"/>
  <c r="BB160" i="30"/>
  <c r="BB159" i="30"/>
  <c r="BB158" i="30"/>
  <c r="BB157" i="30"/>
  <c r="BB156" i="30"/>
  <c r="BB155" i="30"/>
  <c r="BB154" i="30"/>
  <c r="BB153" i="30"/>
  <c r="BB152" i="30"/>
  <c r="BB151" i="30"/>
  <c r="BB150" i="30"/>
  <c r="BB149" i="30"/>
  <c r="BB148" i="30"/>
  <c r="BB147" i="30"/>
  <c r="BB146" i="30"/>
  <c r="BB145" i="30"/>
  <c r="BB144" i="30"/>
  <c r="BB143" i="30"/>
  <c r="BB142" i="30"/>
  <c r="BB141" i="30"/>
  <c r="BB139" i="30"/>
  <c r="BB135" i="30"/>
  <c r="BB134" i="30"/>
  <c r="BB132" i="30"/>
  <c r="BB131" i="30"/>
  <c r="BB130" i="30"/>
  <c r="BB129" i="30"/>
  <c r="BB127" i="30"/>
  <c r="BB126" i="30"/>
  <c r="BB125" i="30"/>
  <c r="BB123" i="30"/>
  <c r="BB122" i="30"/>
  <c r="BB121" i="30"/>
  <c r="BB120" i="30"/>
  <c r="BB117" i="30"/>
  <c r="BB116" i="30"/>
  <c r="BB115" i="30"/>
  <c r="BB114" i="30"/>
  <c r="BB113" i="30"/>
  <c r="BB112" i="30"/>
  <c r="BB111" i="30"/>
  <c r="BB110" i="30"/>
  <c r="BB109" i="30"/>
  <c r="BB108" i="30"/>
  <c r="BB107" i="30"/>
  <c r="BB106" i="30"/>
  <c r="BB105" i="30"/>
  <c r="BB104" i="30"/>
  <c r="BB103" i="30"/>
  <c r="BB102" i="30"/>
  <c r="BB101" i="30"/>
  <c r="BB100" i="30"/>
  <c r="BB99" i="30"/>
  <c r="BB96" i="30"/>
  <c r="BB95" i="30"/>
  <c r="BB93" i="30"/>
  <c r="BB90" i="30"/>
  <c r="BB83" i="30"/>
  <c r="BB82" i="30"/>
  <c r="BB81" i="30"/>
  <c r="BB80" i="30"/>
  <c r="BB78" i="30"/>
  <c r="BB77" i="30"/>
  <c r="BB76" i="30"/>
  <c r="BB75" i="30"/>
  <c r="BB74" i="30"/>
  <c r="BB72" i="30"/>
  <c r="BB71" i="30"/>
  <c r="BB70" i="30"/>
  <c r="BB69" i="30"/>
  <c r="BB67" i="30"/>
  <c r="BB64" i="30"/>
  <c r="BB62" i="30"/>
  <c r="BB50" i="30"/>
  <c r="BB38" i="30"/>
  <c r="BB37" i="30"/>
  <c r="BB36" i="30"/>
  <c r="BB35" i="30"/>
  <c r="BB34" i="30"/>
  <c r="BB33" i="30"/>
  <c r="BB32" i="30"/>
  <c r="BB31" i="30"/>
  <c r="BB29" i="30"/>
  <c r="BB28" i="30"/>
  <c r="BB27" i="30"/>
  <c r="BB22" i="30"/>
  <c r="BB17" i="30"/>
  <c r="BB16" i="30"/>
  <c r="BA250" i="30"/>
  <c r="BA249" i="30"/>
  <c r="BA248" i="30"/>
  <c r="BA247" i="30"/>
  <c r="BA246" i="30"/>
  <c r="BA245" i="30"/>
  <c r="BA244" i="30"/>
  <c r="BA243" i="30"/>
  <c r="BA242" i="30"/>
  <c r="BA241" i="30"/>
  <c r="BA240" i="30"/>
  <c r="BA239" i="30"/>
  <c r="BA238" i="30"/>
  <c r="BA237" i="30"/>
  <c r="BA235" i="30"/>
  <c r="BA234" i="30"/>
  <c r="BA233" i="30"/>
  <c r="BA232" i="30"/>
  <c r="BA231" i="30"/>
  <c r="BA230" i="30"/>
  <c r="BA228" i="30"/>
  <c r="BA227" i="30"/>
  <c r="BA226" i="30"/>
  <c r="BA225" i="30"/>
  <c r="BA224" i="30"/>
  <c r="BA223" i="30"/>
  <c r="BA222" i="30"/>
  <c r="BA220" i="30"/>
  <c r="BA207" i="30"/>
  <c r="BA205" i="30"/>
  <c r="BA203" i="30"/>
  <c r="BA196" i="30"/>
  <c r="BA195" i="30"/>
  <c r="BA194" i="30"/>
  <c r="BA191" i="30"/>
  <c r="BA188" i="30"/>
  <c r="BA187" i="30"/>
  <c r="BA186" i="30"/>
  <c r="BA185" i="30"/>
  <c r="BA184" i="30"/>
  <c r="BA183" i="30"/>
  <c r="BA182" i="30"/>
  <c r="BA181" i="30"/>
  <c r="BA180" i="30"/>
  <c r="BA179" i="30"/>
  <c r="BA178" i="30"/>
  <c r="BA177" i="30"/>
  <c r="BA176" i="30"/>
  <c r="BA175" i="30"/>
  <c r="BA174" i="30"/>
  <c r="BA173" i="30"/>
  <c r="BA172" i="30"/>
  <c r="BA171" i="30"/>
  <c r="BA170" i="30"/>
  <c r="BA169" i="30"/>
  <c r="BA168" i="30"/>
  <c r="BA167" i="30"/>
  <c r="BA166" i="30"/>
  <c r="BA165" i="30"/>
  <c r="BA164" i="30"/>
  <c r="BA163" i="30"/>
  <c r="BA162" i="30"/>
  <c r="BA161" i="30"/>
  <c r="BA160" i="30"/>
  <c r="BA159" i="30"/>
  <c r="BA158" i="30"/>
  <c r="BA157" i="30"/>
  <c r="BA156" i="30"/>
  <c r="BA155" i="30"/>
  <c r="BA154" i="30"/>
  <c r="BA153" i="30"/>
  <c r="BA152" i="30"/>
  <c r="BA151" i="30"/>
  <c r="BA150" i="30"/>
  <c r="BA149" i="30"/>
  <c r="BA148" i="30"/>
  <c r="BA147" i="30"/>
  <c r="BA146" i="30"/>
  <c r="BA145" i="30"/>
  <c r="BA144" i="30"/>
  <c r="BA143" i="30"/>
  <c r="BA142" i="30"/>
  <c r="BA141" i="30"/>
  <c r="BA139" i="30"/>
  <c r="BA135" i="30"/>
  <c r="BA134" i="30"/>
  <c r="BA132" i="30"/>
  <c r="BA131" i="30"/>
  <c r="BA130" i="30"/>
  <c r="BA129" i="30"/>
  <c r="BA127" i="30"/>
  <c r="BA126" i="30"/>
  <c r="BA125" i="30"/>
  <c r="BA123" i="30"/>
  <c r="BA122" i="30"/>
  <c r="BA121" i="30"/>
  <c r="BA120" i="30"/>
  <c r="BA117" i="30"/>
  <c r="BA116" i="30"/>
  <c r="BA115" i="30"/>
  <c r="BA114" i="30"/>
  <c r="BA113" i="30"/>
  <c r="BA112" i="30"/>
  <c r="BA111" i="30"/>
  <c r="BA110" i="30"/>
  <c r="BA109" i="30"/>
  <c r="BA108" i="30"/>
  <c r="BA107" i="30"/>
  <c r="BA106" i="30"/>
  <c r="BA105" i="30"/>
  <c r="BA104" i="30"/>
  <c r="BA103" i="30"/>
  <c r="BA102" i="30"/>
  <c r="BA101" i="30"/>
  <c r="BA100" i="30"/>
  <c r="BA99" i="30"/>
  <c r="BA96" i="30"/>
  <c r="BA95" i="30"/>
  <c r="BA93" i="30"/>
  <c r="BA90" i="30"/>
  <c r="BA83" i="30"/>
  <c r="BA82" i="30"/>
  <c r="BA81" i="30"/>
  <c r="BA80" i="30"/>
  <c r="BA78" i="30"/>
  <c r="BA77" i="30"/>
  <c r="BA76" i="30"/>
  <c r="BA75" i="30"/>
  <c r="BA74" i="30"/>
  <c r="BA72" i="30"/>
  <c r="BA71" i="30"/>
  <c r="BA70" i="30"/>
  <c r="BA69" i="30"/>
  <c r="BA67" i="30"/>
  <c r="BA64" i="30"/>
  <c r="BA62" i="30"/>
  <c r="BA50" i="30"/>
  <c r="BA38" i="30"/>
  <c r="BA37" i="30"/>
  <c r="BA36" i="30"/>
  <c r="BA35" i="30"/>
  <c r="BA34" i="30"/>
  <c r="BA33" i="30"/>
  <c r="BA32" i="30"/>
  <c r="BA31" i="30"/>
  <c r="BA29" i="30"/>
  <c r="BA28" i="30"/>
  <c r="BA27" i="30"/>
  <c r="BA22" i="30"/>
  <c r="BA17" i="30"/>
  <c r="BA16" i="30"/>
  <c r="AZ250" i="30"/>
  <c r="AZ249" i="30"/>
  <c r="AZ248" i="30"/>
  <c r="AZ247" i="30"/>
  <c r="AZ246" i="30"/>
  <c r="AZ245" i="30"/>
  <c r="AZ244" i="30"/>
  <c r="AZ243" i="30"/>
  <c r="AZ242" i="30"/>
  <c r="AZ241" i="30"/>
  <c r="AZ240" i="30"/>
  <c r="AZ239" i="30"/>
  <c r="AZ238" i="30"/>
  <c r="AZ237" i="30"/>
  <c r="AZ235" i="30"/>
  <c r="AZ234" i="30"/>
  <c r="AZ233" i="30"/>
  <c r="AZ232" i="30"/>
  <c r="AZ231" i="30"/>
  <c r="AZ230" i="30"/>
  <c r="AZ228" i="30"/>
  <c r="AZ227" i="30"/>
  <c r="AZ226" i="30"/>
  <c r="AZ225" i="30"/>
  <c r="AZ224" i="30"/>
  <c r="AZ223" i="30"/>
  <c r="AZ222" i="30"/>
  <c r="AZ220" i="30"/>
  <c r="AZ207" i="30"/>
  <c r="AZ205" i="30"/>
  <c r="AZ203" i="30"/>
  <c r="AZ196" i="30"/>
  <c r="AZ195" i="30"/>
  <c r="AZ194" i="30"/>
  <c r="AZ191" i="30"/>
  <c r="AZ188" i="30"/>
  <c r="AZ187" i="30"/>
  <c r="AZ186" i="30"/>
  <c r="AZ185" i="30"/>
  <c r="AZ184" i="30"/>
  <c r="AZ183" i="30"/>
  <c r="AZ182" i="30"/>
  <c r="AZ181" i="30"/>
  <c r="AZ180" i="30"/>
  <c r="AZ179" i="30"/>
  <c r="AZ178" i="30"/>
  <c r="AZ177" i="30"/>
  <c r="AZ176" i="30"/>
  <c r="AZ175" i="30"/>
  <c r="AZ174" i="30"/>
  <c r="AZ173" i="30"/>
  <c r="AZ172" i="30"/>
  <c r="AZ171" i="30"/>
  <c r="AZ170" i="30"/>
  <c r="AZ169" i="30"/>
  <c r="AZ168" i="30"/>
  <c r="AZ167" i="30"/>
  <c r="AZ166" i="30"/>
  <c r="AZ165" i="30"/>
  <c r="AZ164" i="30"/>
  <c r="AZ163" i="30"/>
  <c r="AZ162" i="30"/>
  <c r="AZ161" i="30"/>
  <c r="AZ160" i="30"/>
  <c r="AZ159" i="30"/>
  <c r="AZ158" i="30"/>
  <c r="AZ157" i="30"/>
  <c r="AZ156" i="30"/>
  <c r="AZ155" i="30"/>
  <c r="AZ154" i="30"/>
  <c r="AZ153" i="30"/>
  <c r="AZ152" i="30"/>
  <c r="AZ151" i="30"/>
  <c r="AZ150" i="30"/>
  <c r="AZ149" i="30"/>
  <c r="AZ148" i="30"/>
  <c r="AZ147" i="30"/>
  <c r="AZ146" i="30"/>
  <c r="AZ145" i="30"/>
  <c r="AZ144" i="30"/>
  <c r="AZ143" i="30"/>
  <c r="AZ142" i="30"/>
  <c r="AZ141" i="30"/>
  <c r="AZ139" i="30"/>
  <c r="AZ135" i="30"/>
  <c r="AZ134" i="30"/>
  <c r="AZ132" i="30"/>
  <c r="AZ131" i="30"/>
  <c r="AZ130" i="30"/>
  <c r="AZ129" i="30"/>
  <c r="AZ127" i="30"/>
  <c r="AZ126" i="30"/>
  <c r="AZ125" i="30"/>
  <c r="AZ123" i="30"/>
  <c r="AZ122" i="30"/>
  <c r="AZ121" i="30"/>
  <c r="AZ120" i="30"/>
  <c r="AZ117" i="30"/>
  <c r="AZ116" i="30"/>
  <c r="AZ115" i="30"/>
  <c r="AZ114" i="30"/>
  <c r="AZ113" i="30"/>
  <c r="AZ112" i="30"/>
  <c r="AZ111" i="30"/>
  <c r="AZ110" i="30"/>
  <c r="AZ109" i="30"/>
  <c r="AZ108" i="30"/>
  <c r="AZ107" i="30"/>
  <c r="AZ106" i="30"/>
  <c r="AZ105" i="30"/>
  <c r="AZ104" i="30"/>
  <c r="AZ103" i="30"/>
  <c r="AZ102" i="30"/>
  <c r="AZ101" i="30"/>
  <c r="AZ100" i="30"/>
  <c r="AZ99" i="30"/>
  <c r="AZ96" i="30"/>
  <c r="AZ95" i="30"/>
  <c r="AZ93" i="30"/>
  <c r="AZ90" i="30"/>
  <c r="AZ83" i="30"/>
  <c r="AZ82" i="30"/>
  <c r="AZ81" i="30"/>
  <c r="AZ80" i="30"/>
  <c r="AZ78" i="30"/>
  <c r="AZ77" i="30"/>
  <c r="AZ76" i="30"/>
  <c r="AZ75" i="30"/>
  <c r="AZ74" i="30"/>
  <c r="AZ72" i="30"/>
  <c r="AZ71" i="30"/>
  <c r="AZ70" i="30"/>
  <c r="AZ69" i="30"/>
  <c r="AZ67" i="30"/>
  <c r="AZ64" i="30"/>
  <c r="AZ62" i="30"/>
  <c r="AZ50" i="30"/>
  <c r="AZ38" i="30"/>
  <c r="AZ37" i="30"/>
  <c r="AZ36" i="30"/>
  <c r="AZ35" i="30"/>
  <c r="AZ34" i="30"/>
  <c r="AZ33" i="30"/>
  <c r="AZ32" i="30"/>
  <c r="AZ31" i="30"/>
  <c r="AZ29" i="30"/>
  <c r="AZ28" i="30"/>
  <c r="AZ27" i="30"/>
  <c r="AZ22" i="30"/>
  <c r="AZ17" i="30"/>
  <c r="AZ16" i="30"/>
  <c r="AY250" i="30"/>
  <c r="AY249" i="30"/>
  <c r="AY248" i="30"/>
  <c r="AY247" i="30"/>
  <c r="AY246" i="30"/>
  <c r="AY245" i="30"/>
  <c r="AY244" i="30"/>
  <c r="AY243" i="30"/>
  <c r="AY242" i="30"/>
  <c r="AY241" i="30"/>
  <c r="AY240" i="30"/>
  <c r="AY239" i="30"/>
  <c r="AY238" i="30"/>
  <c r="AY237" i="30"/>
  <c r="AY235" i="30"/>
  <c r="AY234" i="30"/>
  <c r="AY233" i="30"/>
  <c r="AY232" i="30"/>
  <c r="AY231" i="30"/>
  <c r="AY230" i="30"/>
  <c r="AY228" i="30"/>
  <c r="AY227" i="30"/>
  <c r="AY226" i="30"/>
  <c r="AY225" i="30"/>
  <c r="AY224" i="30"/>
  <c r="AY223" i="30"/>
  <c r="AY222" i="30"/>
  <c r="AY220" i="30"/>
  <c r="AY207" i="30"/>
  <c r="AY205" i="30"/>
  <c r="AY203" i="30"/>
  <c r="AY196" i="30"/>
  <c r="AY195" i="30"/>
  <c r="AY194" i="30"/>
  <c r="AY191" i="30"/>
  <c r="AY188" i="30"/>
  <c r="AY187" i="30"/>
  <c r="AY186" i="30"/>
  <c r="AY185" i="30"/>
  <c r="AY184" i="30"/>
  <c r="AY183" i="30"/>
  <c r="AY182" i="30"/>
  <c r="AY181" i="30"/>
  <c r="AY180" i="30"/>
  <c r="AY179" i="30"/>
  <c r="AY178" i="30"/>
  <c r="AY177" i="30"/>
  <c r="AY176" i="30"/>
  <c r="AY175" i="30"/>
  <c r="AY174" i="30"/>
  <c r="AY173" i="30"/>
  <c r="AY172" i="30"/>
  <c r="AY171" i="30"/>
  <c r="AY170" i="30"/>
  <c r="AY169" i="30"/>
  <c r="AY168" i="30"/>
  <c r="AY167" i="30"/>
  <c r="AY166" i="30"/>
  <c r="AY165" i="30"/>
  <c r="AY164" i="30"/>
  <c r="AY163" i="30"/>
  <c r="AY162" i="30"/>
  <c r="AY161" i="30"/>
  <c r="AY160" i="30"/>
  <c r="AY159" i="30"/>
  <c r="AY158" i="30"/>
  <c r="AY157" i="30"/>
  <c r="AY156" i="30"/>
  <c r="AY155" i="30"/>
  <c r="AY154" i="30"/>
  <c r="AY153" i="30"/>
  <c r="AY152" i="30"/>
  <c r="AY151" i="30"/>
  <c r="AY150" i="30"/>
  <c r="AY149" i="30"/>
  <c r="AY148" i="30"/>
  <c r="AY147" i="30"/>
  <c r="AY146" i="30"/>
  <c r="AY145" i="30"/>
  <c r="AY144" i="30"/>
  <c r="AY143" i="30"/>
  <c r="AY142" i="30"/>
  <c r="AY141" i="30"/>
  <c r="AY139" i="30"/>
  <c r="AY135" i="30"/>
  <c r="AY134" i="30"/>
  <c r="AY132" i="30"/>
  <c r="AY131" i="30"/>
  <c r="AY130" i="30"/>
  <c r="AY129" i="30"/>
  <c r="AY127" i="30"/>
  <c r="AY126" i="30"/>
  <c r="AY125" i="30"/>
  <c r="AY123" i="30"/>
  <c r="AY122" i="30"/>
  <c r="AY121" i="30"/>
  <c r="AY120" i="30"/>
  <c r="AY117" i="30"/>
  <c r="AY116" i="30"/>
  <c r="AY115" i="30"/>
  <c r="AY114" i="30"/>
  <c r="AY113" i="30"/>
  <c r="AY112" i="30"/>
  <c r="AY111" i="30"/>
  <c r="AY110" i="30"/>
  <c r="AY109" i="30"/>
  <c r="AY108" i="30"/>
  <c r="AY107" i="30"/>
  <c r="AY106" i="30"/>
  <c r="AY105" i="30"/>
  <c r="AY104" i="30"/>
  <c r="AY103" i="30"/>
  <c r="AY102" i="30"/>
  <c r="AY101" i="30"/>
  <c r="AY100" i="30"/>
  <c r="AY99" i="30"/>
  <c r="AY96" i="30"/>
  <c r="AY95" i="30"/>
  <c r="AY93" i="30"/>
  <c r="AY90" i="30"/>
  <c r="AY83" i="30"/>
  <c r="AY82" i="30"/>
  <c r="AY81" i="30"/>
  <c r="AY80" i="30"/>
  <c r="AY78" i="30"/>
  <c r="AY77" i="30"/>
  <c r="AY76" i="30"/>
  <c r="AY75" i="30"/>
  <c r="AY74" i="30"/>
  <c r="AY72" i="30"/>
  <c r="AY71" i="30"/>
  <c r="AY70" i="30"/>
  <c r="AY69" i="30"/>
  <c r="AY67" i="30"/>
  <c r="AY64" i="30"/>
  <c r="AY62" i="30"/>
  <c r="AY50" i="30"/>
  <c r="AY38" i="30"/>
  <c r="AY37" i="30"/>
  <c r="AY36" i="30"/>
  <c r="AY35" i="30"/>
  <c r="AY34" i="30"/>
  <c r="AY33" i="30"/>
  <c r="AY32" i="30"/>
  <c r="AY31" i="30"/>
  <c r="AY29" i="30"/>
  <c r="AY28" i="30"/>
  <c r="AY27" i="30"/>
  <c r="AY22" i="30"/>
  <c r="AY17" i="30"/>
  <c r="AY16" i="30"/>
  <c r="AX250" i="30"/>
  <c r="AX249" i="30"/>
  <c r="AX248" i="30"/>
  <c r="AX247" i="30"/>
  <c r="AX246" i="30"/>
  <c r="AX245" i="30"/>
  <c r="AX244" i="30"/>
  <c r="AX243" i="30"/>
  <c r="AX242" i="30"/>
  <c r="AX241" i="30"/>
  <c r="AX240" i="30"/>
  <c r="AX239" i="30"/>
  <c r="AX238" i="30"/>
  <c r="AX237" i="30"/>
  <c r="AX235" i="30"/>
  <c r="AX234" i="30"/>
  <c r="AX233" i="30"/>
  <c r="AX232" i="30"/>
  <c r="AX231" i="30"/>
  <c r="AX230" i="30"/>
  <c r="AX228" i="30"/>
  <c r="AX227" i="30"/>
  <c r="AX226" i="30"/>
  <c r="AX225" i="30"/>
  <c r="AX224" i="30"/>
  <c r="AX223" i="30"/>
  <c r="AX222" i="30"/>
  <c r="AX220" i="30"/>
  <c r="AX207" i="30"/>
  <c r="AX205" i="30"/>
  <c r="AX203" i="30"/>
  <c r="AX196" i="30"/>
  <c r="AX195" i="30"/>
  <c r="AX194" i="30"/>
  <c r="AX191" i="30"/>
  <c r="AX188" i="30"/>
  <c r="AX187" i="30"/>
  <c r="AX186" i="30"/>
  <c r="AX185" i="30"/>
  <c r="AX184" i="30"/>
  <c r="AX183" i="30"/>
  <c r="AX182" i="30"/>
  <c r="AX181" i="30"/>
  <c r="AX180" i="30"/>
  <c r="AX179" i="30"/>
  <c r="AX178" i="30"/>
  <c r="AX177" i="30"/>
  <c r="AX176" i="30"/>
  <c r="AX175" i="30"/>
  <c r="AX174" i="30"/>
  <c r="AX173" i="30"/>
  <c r="AX172" i="30"/>
  <c r="AX171" i="30"/>
  <c r="AX170" i="30"/>
  <c r="AX169" i="30"/>
  <c r="AX168" i="30"/>
  <c r="AX167" i="30"/>
  <c r="AX166" i="30"/>
  <c r="AX165" i="30"/>
  <c r="AX164" i="30"/>
  <c r="AX163" i="30"/>
  <c r="AX162" i="30"/>
  <c r="AX161" i="30"/>
  <c r="AX160" i="30"/>
  <c r="AX159" i="30"/>
  <c r="AX158" i="30"/>
  <c r="AX157" i="30"/>
  <c r="AX156" i="30"/>
  <c r="AX155" i="30"/>
  <c r="AX154" i="30"/>
  <c r="AX153" i="30"/>
  <c r="AX152" i="30"/>
  <c r="AX151" i="30"/>
  <c r="AX150" i="30"/>
  <c r="AX149" i="30"/>
  <c r="AX148" i="30"/>
  <c r="AX147" i="30"/>
  <c r="AX146" i="30"/>
  <c r="AX145" i="30"/>
  <c r="AX144" i="30"/>
  <c r="AX143" i="30"/>
  <c r="AX142" i="30"/>
  <c r="AX141" i="30"/>
  <c r="AX139" i="30"/>
  <c r="AX135" i="30"/>
  <c r="AX134" i="30"/>
  <c r="AX132" i="30"/>
  <c r="AX131" i="30"/>
  <c r="AX130" i="30"/>
  <c r="AX129" i="30"/>
  <c r="AX127" i="30"/>
  <c r="AX126" i="30"/>
  <c r="AX125" i="30"/>
  <c r="AX123" i="30"/>
  <c r="AX122" i="30"/>
  <c r="AX121" i="30"/>
  <c r="AX120" i="30"/>
  <c r="AX117" i="30"/>
  <c r="AX116" i="30"/>
  <c r="AX115" i="30"/>
  <c r="AX114" i="30"/>
  <c r="AX113" i="30"/>
  <c r="AX112" i="30"/>
  <c r="AX111" i="30"/>
  <c r="AX110" i="30"/>
  <c r="AX109" i="30"/>
  <c r="AX108" i="30"/>
  <c r="AX107" i="30"/>
  <c r="AX106" i="30"/>
  <c r="AX105" i="30"/>
  <c r="AX104" i="30"/>
  <c r="AX103" i="30"/>
  <c r="AX102" i="30"/>
  <c r="AX101" i="30"/>
  <c r="AX100" i="30"/>
  <c r="AX99" i="30"/>
  <c r="AX96" i="30"/>
  <c r="AX95" i="30"/>
  <c r="AX93" i="30"/>
  <c r="AX90" i="30"/>
  <c r="AX83" i="30"/>
  <c r="AX82" i="30"/>
  <c r="AX81" i="30"/>
  <c r="AX80" i="30"/>
  <c r="AX78" i="30"/>
  <c r="AX77" i="30"/>
  <c r="AX76" i="30"/>
  <c r="AX75" i="30"/>
  <c r="AX74" i="30"/>
  <c r="AX72" i="30"/>
  <c r="AX71" i="30"/>
  <c r="AX70" i="30"/>
  <c r="AX69" i="30"/>
  <c r="AX67" i="30"/>
  <c r="AX64" i="30"/>
  <c r="AX62" i="30"/>
  <c r="AX50" i="30"/>
  <c r="AX38" i="30"/>
  <c r="AX37" i="30"/>
  <c r="AX36" i="30"/>
  <c r="AX35" i="30"/>
  <c r="AX34" i="30"/>
  <c r="AX33" i="30"/>
  <c r="AX32" i="30"/>
  <c r="AX31" i="30"/>
  <c r="AX29" i="30"/>
  <c r="AX28" i="30"/>
  <c r="AX27" i="30"/>
  <c r="AX22" i="30"/>
  <c r="AX17" i="30"/>
  <c r="AX16" i="30"/>
  <c r="AW250" i="30"/>
  <c r="AW249" i="30"/>
  <c r="AW248" i="30"/>
  <c r="AW247" i="30"/>
  <c r="AW246" i="30"/>
  <c r="AW245" i="30"/>
  <c r="AW244" i="30"/>
  <c r="AW243" i="30"/>
  <c r="AW242" i="30"/>
  <c r="AW241" i="30"/>
  <c r="AW240" i="30"/>
  <c r="AW239" i="30"/>
  <c r="AW238" i="30"/>
  <c r="AW237" i="30"/>
  <c r="AW235" i="30"/>
  <c r="AW234" i="30"/>
  <c r="AW233" i="30"/>
  <c r="AW232" i="30"/>
  <c r="AW231" i="30"/>
  <c r="AW230" i="30"/>
  <c r="AW228" i="30"/>
  <c r="AW227" i="30"/>
  <c r="AW226" i="30"/>
  <c r="AW225" i="30"/>
  <c r="AW224" i="30"/>
  <c r="AW223" i="30"/>
  <c r="AW222" i="30"/>
  <c r="AW220" i="30"/>
  <c r="AW207" i="30"/>
  <c r="AW205" i="30"/>
  <c r="AW203" i="30"/>
  <c r="AW196" i="30"/>
  <c r="AW195" i="30"/>
  <c r="AW194" i="30"/>
  <c r="AW191" i="30"/>
  <c r="AW188" i="30"/>
  <c r="AW187" i="30"/>
  <c r="AW186" i="30"/>
  <c r="AW185" i="30"/>
  <c r="AW184" i="30"/>
  <c r="AW183" i="30"/>
  <c r="AW182" i="30"/>
  <c r="AW181" i="30"/>
  <c r="AW180" i="30"/>
  <c r="AW179" i="30"/>
  <c r="AW178" i="30"/>
  <c r="AW177" i="30"/>
  <c r="AW176" i="30"/>
  <c r="AW175" i="30"/>
  <c r="AW174" i="30"/>
  <c r="AW173" i="30"/>
  <c r="AW172" i="30"/>
  <c r="AW171" i="30"/>
  <c r="AW170" i="30"/>
  <c r="AW169" i="30"/>
  <c r="AW168" i="30"/>
  <c r="AW167" i="30"/>
  <c r="AW166" i="30"/>
  <c r="AW165" i="30"/>
  <c r="AW164" i="30"/>
  <c r="AW163" i="30"/>
  <c r="AW162" i="30"/>
  <c r="AW161" i="30"/>
  <c r="AW160" i="30"/>
  <c r="AW159" i="30"/>
  <c r="AW158" i="30"/>
  <c r="AW157" i="30"/>
  <c r="AW156" i="30"/>
  <c r="AW155" i="30"/>
  <c r="AW154" i="30"/>
  <c r="AW153" i="30"/>
  <c r="AW152" i="30"/>
  <c r="AW151" i="30"/>
  <c r="AW150" i="30"/>
  <c r="AW149" i="30"/>
  <c r="AW148" i="30"/>
  <c r="AW147" i="30"/>
  <c r="AW146" i="30"/>
  <c r="AW145" i="30"/>
  <c r="AW144" i="30"/>
  <c r="AW143" i="30"/>
  <c r="AW142" i="30"/>
  <c r="AW141" i="30"/>
  <c r="AW139" i="30"/>
  <c r="AW135" i="30"/>
  <c r="AW134" i="30"/>
  <c r="AW132" i="30"/>
  <c r="AW131" i="30"/>
  <c r="AW130" i="30"/>
  <c r="AW129" i="30"/>
  <c r="AW127" i="30"/>
  <c r="AW126" i="30"/>
  <c r="AW125" i="30"/>
  <c r="AW123" i="30"/>
  <c r="AW122" i="30"/>
  <c r="AW121" i="30"/>
  <c r="AW120" i="30"/>
  <c r="AW117" i="30"/>
  <c r="AW116" i="30"/>
  <c r="AW115" i="30"/>
  <c r="AW114" i="30"/>
  <c r="AW113" i="30"/>
  <c r="AW112" i="30"/>
  <c r="AW111" i="30"/>
  <c r="AW110" i="30"/>
  <c r="AW109" i="30"/>
  <c r="AW108" i="30"/>
  <c r="AW107" i="30"/>
  <c r="AW106" i="30"/>
  <c r="AW105" i="30"/>
  <c r="AW104" i="30"/>
  <c r="AW103" i="30"/>
  <c r="AW102" i="30"/>
  <c r="AW101" i="30"/>
  <c r="AW100" i="30"/>
  <c r="AW99" i="30"/>
  <c r="AW96" i="30"/>
  <c r="AW95" i="30"/>
  <c r="AW93" i="30"/>
  <c r="AW90" i="30"/>
  <c r="AW83" i="30"/>
  <c r="AW82" i="30"/>
  <c r="AW81" i="30"/>
  <c r="AW80" i="30"/>
  <c r="AW78" i="30"/>
  <c r="AW77" i="30"/>
  <c r="AW76" i="30"/>
  <c r="AW75" i="30"/>
  <c r="AW74" i="30"/>
  <c r="AW72" i="30"/>
  <c r="AW71" i="30"/>
  <c r="AW70" i="30"/>
  <c r="AW69" i="30"/>
  <c r="AW67" i="30"/>
  <c r="AW64" i="30"/>
  <c r="AW62" i="30"/>
  <c r="AW50" i="30"/>
  <c r="AW38" i="30"/>
  <c r="AW37" i="30"/>
  <c r="AW36" i="30"/>
  <c r="AW35" i="30"/>
  <c r="AW34" i="30"/>
  <c r="AW33" i="30"/>
  <c r="AW32" i="30"/>
  <c r="AW31" i="30"/>
  <c r="AW29" i="30"/>
  <c r="AW28" i="30"/>
  <c r="AW27" i="30"/>
  <c r="AW22" i="30"/>
  <c r="AW17" i="30"/>
  <c r="AW16" i="30"/>
  <c r="AV250" i="30"/>
  <c r="AV249" i="30"/>
  <c r="AV248" i="30"/>
  <c r="AV247" i="30"/>
  <c r="AV246" i="30"/>
  <c r="AV245" i="30"/>
  <c r="AV244" i="30"/>
  <c r="AV243" i="30"/>
  <c r="AV242" i="30"/>
  <c r="AV241" i="30"/>
  <c r="AV240" i="30"/>
  <c r="AV239" i="30"/>
  <c r="AV238" i="30"/>
  <c r="AV237" i="30"/>
  <c r="AV235" i="30"/>
  <c r="AV234" i="30"/>
  <c r="AV233" i="30"/>
  <c r="AV232" i="30"/>
  <c r="AV231" i="30"/>
  <c r="AV230" i="30"/>
  <c r="AV228" i="30"/>
  <c r="AV227" i="30"/>
  <c r="AV226" i="30"/>
  <c r="AV225" i="30"/>
  <c r="AV224" i="30"/>
  <c r="AV223" i="30"/>
  <c r="AV222" i="30"/>
  <c r="AV220" i="30"/>
  <c r="AV207" i="30"/>
  <c r="AV205" i="30"/>
  <c r="AV203" i="30"/>
  <c r="AV196" i="30"/>
  <c r="AV195" i="30"/>
  <c r="AV194" i="30"/>
  <c r="AV191" i="30"/>
  <c r="AV188" i="30"/>
  <c r="AV187" i="30"/>
  <c r="AV186" i="30"/>
  <c r="AV185" i="30"/>
  <c r="AV184" i="30"/>
  <c r="AV183" i="30"/>
  <c r="AV182" i="30"/>
  <c r="AV181" i="30"/>
  <c r="AV180" i="30"/>
  <c r="AV179" i="30"/>
  <c r="AV178" i="30"/>
  <c r="AV177" i="30"/>
  <c r="AV176" i="30"/>
  <c r="AV175" i="30"/>
  <c r="AV174" i="30"/>
  <c r="AV173" i="30"/>
  <c r="AV172" i="30"/>
  <c r="AV171" i="30"/>
  <c r="AV170" i="30"/>
  <c r="AV169" i="30"/>
  <c r="AV168" i="30"/>
  <c r="AV167" i="30"/>
  <c r="AV166" i="30"/>
  <c r="AV165" i="30"/>
  <c r="AV164" i="30"/>
  <c r="AV163" i="30"/>
  <c r="AV162" i="30"/>
  <c r="AV161" i="30"/>
  <c r="AV160" i="30"/>
  <c r="AV159" i="30"/>
  <c r="AV158" i="30"/>
  <c r="AV157" i="30"/>
  <c r="AV156" i="30"/>
  <c r="AV155" i="30"/>
  <c r="AV154" i="30"/>
  <c r="AV153" i="30"/>
  <c r="AV152" i="30"/>
  <c r="AV151" i="30"/>
  <c r="AV150" i="30"/>
  <c r="AV149" i="30"/>
  <c r="AV148" i="30"/>
  <c r="AV147" i="30"/>
  <c r="AV146" i="30"/>
  <c r="AV145" i="30"/>
  <c r="AV144" i="30"/>
  <c r="AV143" i="30"/>
  <c r="AV142" i="30"/>
  <c r="AV141" i="30"/>
  <c r="AV139" i="30"/>
  <c r="AV135" i="30"/>
  <c r="AV134" i="30"/>
  <c r="AV132" i="30"/>
  <c r="AV131" i="30"/>
  <c r="AV130" i="30"/>
  <c r="AV129" i="30"/>
  <c r="AV127" i="30"/>
  <c r="AV126" i="30"/>
  <c r="AV125" i="30"/>
  <c r="AV123" i="30"/>
  <c r="AV122" i="30"/>
  <c r="AV121" i="30"/>
  <c r="AV120" i="30"/>
  <c r="AV117" i="30"/>
  <c r="AV116" i="30"/>
  <c r="AV115" i="30"/>
  <c r="AV114" i="30"/>
  <c r="AV113" i="30"/>
  <c r="AV112" i="30"/>
  <c r="AV111" i="30"/>
  <c r="AV110" i="30"/>
  <c r="AV109" i="30"/>
  <c r="AV108" i="30"/>
  <c r="AV107" i="30"/>
  <c r="AV106" i="30"/>
  <c r="AV105" i="30"/>
  <c r="AV104" i="30"/>
  <c r="AV103" i="30"/>
  <c r="AV102" i="30"/>
  <c r="AV101" i="30"/>
  <c r="AV100" i="30"/>
  <c r="AV99" i="30"/>
  <c r="AV96" i="30"/>
  <c r="AV95" i="30"/>
  <c r="AV93" i="30"/>
  <c r="AV90" i="30"/>
  <c r="AV83" i="30"/>
  <c r="AV82" i="30"/>
  <c r="AV81" i="30"/>
  <c r="AV80" i="30"/>
  <c r="AV78" i="30"/>
  <c r="AV77" i="30"/>
  <c r="AV76" i="30"/>
  <c r="AV75" i="30"/>
  <c r="AV74" i="30"/>
  <c r="AV72" i="30"/>
  <c r="AV71" i="30"/>
  <c r="AV70" i="30"/>
  <c r="AV69" i="30"/>
  <c r="AV67" i="30"/>
  <c r="AV64" i="30"/>
  <c r="AV62" i="30"/>
  <c r="AV50" i="30"/>
  <c r="AV38" i="30"/>
  <c r="AV37" i="30"/>
  <c r="AV36" i="30"/>
  <c r="AV35" i="30"/>
  <c r="AV34" i="30"/>
  <c r="AV33" i="30"/>
  <c r="AV32" i="30"/>
  <c r="AV31" i="30"/>
  <c r="AV29" i="30"/>
  <c r="AV28" i="30"/>
  <c r="AV27" i="30"/>
  <c r="AV22" i="30"/>
  <c r="AV17" i="30"/>
  <c r="AV16" i="30"/>
  <c r="AU250" i="30"/>
  <c r="AU249" i="30"/>
  <c r="AU248" i="30"/>
  <c r="AU247" i="30"/>
  <c r="AU246" i="30"/>
  <c r="AU245" i="30"/>
  <c r="AU244" i="30"/>
  <c r="AU243" i="30"/>
  <c r="AU242" i="30"/>
  <c r="AU241" i="30"/>
  <c r="AU240" i="30"/>
  <c r="AU239" i="30"/>
  <c r="AU238" i="30"/>
  <c r="AU237" i="30"/>
  <c r="AU235" i="30"/>
  <c r="AU234" i="30"/>
  <c r="AU233" i="30"/>
  <c r="AU232" i="30"/>
  <c r="AU231" i="30"/>
  <c r="AU230" i="30"/>
  <c r="AU228" i="30"/>
  <c r="AU227" i="30"/>
  <c r="AU226" i="30"/>
  <c r="AU225" i="30"/>
  <c r="AU224" i="30"/>
  <c r="AU223" i="30"/>
  <c r="AU222" i="30"/>
  <c r="AU220" i="30"/>
  <c r="AU207" i="30"/>
  <c r="AU205" i="30"/>
  <c r="AU203" i="30"/>
  <c r="AU196" i="30"/>
  <c r="AU195" i="30"/>
  <c r="AU194" i="30"/>
  <c r="AU191" i="30"/>
  <c r="AU188" i="30"/>
  <c r="AU187" i="30"/>
  <c r="AU186" i="30"/>
  <c r="AU185" i="30"/>
  <c r="AU184" i="30"/>
  <c r="AU183" i="30"/>
  <c r="AU182" i="30"/>
  <c r="AU181" i="30"/>
  <c r="AU180" i="30"/>
  <c r="AU179" i="30"/>
  <c r="AU178" i="30"/>
  <c r="AU177" i="30"/>
  <c r="AU176" i="30"/>
  <c r="AU175" i="30"/>
  <c r="AU174" i="30"/>
  <c r="AU173" i="30"/>
  <c r="AU172" i="30"/>
  <c r="AU171" i="30"/>
  <c r="AU170" i="30"/>
  <c r="AU169" i="30"/>
  <c r="AU168" i="30"/>
  <c r="AU167" i="30"/>
  <c r="AU166" i="30"/>
  <c r="AU165" i="30"/>
  <c r="AU164" i="30"/>
  <c r="AU163" i="30"/>
  <c r="AU162" i="30"/>
  <c r="AU161" i="30"/>
  <c r="AU160" i="30"/>
  <c r="AU159" i="30"/>
  <c r="AU158" i="30"/>
  <c r="AU157" i="30"/>
  <c r="AU156" i="30"/>
  <c r="AU155" i="30"/>
  <c r="AU154" i="30"/>
  <c r="AU153" i="30"/>
  <c r="AU152" i="30"/>
  <c r="AU151" i="30"/>
  <c r="AU150" i="30"/>
  <c r="AU149" i="30"/>
  <c r="AU148" i="30"/>
  <c r="AU147" i="30"/>
  <c r="AU146" i="30"/>
  <c r="AU145" i="30"/>
  <c r="AU144" i="30"/>
  <c r="AU143" i="30"/>
  <c r="AU142" i="30"/>
  <c r="AU141" i="30"/>
  <c r="AU139" i="30"/>
  <c r="AU135" i="30"/>
  <c r="AU134" i="30"/>
  <c r="AU132" i="30"/>
  <c r="AU131" i="30"/>
  <c r="AU130" i="30"/>
  <c r="AU129" i="30"/>
  <c r="AU127" i="30"/>
  <c r="AU126" i="30"/>
  <c r="AU125" i="30"/>
  <c r="AU123" i="30"/>
  <c r="AU122" i="30"/>
  <c r="AU121" i="30"/>
  <c r="AU120" i="30"/>
  <c r="AU117" i="30"/>
  <c r="AU116" i="30"/>
  <c r="AU115" i="30"/>
  <c r="AU114" i="30"/>
  <c r="AU113" i="30"/>
  <c r="AU112" i="30"/>
  <c r="AU111" i="30"/>
  <c r="AU110" i="30"/>
  <c r="AU109" i="30"/>
  <c r="AU108" i="30"/>
  <c r="AU107" i="30"/>
  <c r="AU106" i="30"/>
  <c r="AU105" i="30"/>
  <c r="AU104" i="30"/>
  <c r="AU103" i="30"/>
  <c r="AU102" i="30"/>
  <c r="AU101" i="30"/>
  <c r="AU100" i="30"/>
  <c r="AU99" i="30"/>
  <c r="AU96" i="30"/>
  <c r="AU95" i="30"/>
  <c r="AU93" i="30"/>
  <c r="AU90" i="30"/>
  <c r="AU83" i="30"/>
  <c r="AU82" i="30"/>
  <c r="AU81" i="30"/>
  <c r="AU80" i="30"/>
  <c r="AU78" i="30"/>
  <c r="AU77" i="30"/>
  <c r="AU76" i="30"/>
  <c r="AU75" i="30"/>
  <c r="AU74" i="30"/>
  <c r="AU72" i="30"/>
  <c r="AU71" i="30"/>
  <c r="AU70" i="30"/>
  <c r="AU69" i="30"/>
  <c r="AU67" i="30"/>
  <c r="AU64" i="30"/>
  <c r="AU62" i="30"/>
  <c r="AU50" i="30"/>
  <c r="AU38" i="30"/>
  <c r="AU37" i="30"/>
  <c r="AU36" i="30"/>
  <c r="AU35" i="30"/>
  <c r="AU34" i="30"/>
  <c r="AU33" i="30"/>
  <c r="AU32" i="30"/>
  <c r="AU31" i="30"/>
  <c r="AU29" i="30"/>
  <c r="AU28" i="30"/>
  <c r="AU27" i="30"/>
  <c r="AU22" i="30"/>
  <c r="AU17" i="30"/>
  <c r="AU16" i="30"/>
  <c r="AT250" i="30"/>
  <c r="AT249" i="30"/>
  <c r="AT248" i="30"/>
  <c r="AT247" i="30"/>
  <c r="AT246" i="30"/>
  <c r="AT245" i="30"/>
  <c r="AT244" i="30"/>
  <c r="AT243" i="30"/>
  <c r="AT242" i="30"/>
  <c r="AT241" i="30"/>
  <c r="AT240" i="30"/>
  <c r="AT239" i="30"/>
  <c r="AT238" i="30"/>
  <c r="AT237" i="30"/>
  <c r="AT235" i="30"/>
  <c r="AT234" i="30"/>
  <c r="AT233" i="30"/>
  <c r="AT232" i="30"/>
  <c r="AT231" i="30"/>
  <c r="AT230" i="30"/>
  <c r="AT228" i="30"/>
  <c r="AT227" i="30"/>
  <c r="AT226" i="30"/>
  <c r="AT225" i="30"/>
  <c r="AT224" i="30"/>
  <c r="AT223" i="30"/>
  <c r="AT222" i="30"/>
  <c r="AT220" i="30"/>
  <c r="AT207" i="30"/>
  <c r="AT205" i="30"/>
  <c r="AT203" i="30"/>
  <c r="AT196" i="30"/>
  <c r="AT195" i="30"/>
  <c r="AT194" i="30"/>
  <c r="AT191" i="30"/>
  <c r="AT188" i="30"/>
  <c r="AT187" i="30"/>
  <c r="AT186" i="30"/>
  <c r="AT185" i="30"/>
  <c r="AT184" i="30"/>
  <c r="AT183" i="30"/>
  <c r="AT182" i="30"/>
  <c r="AT181" i="30"/>
  <c r="AT180" i="30"/>
  <c r="AT179" i="30"/>
  <c r="AT178" i="30"/>
  <c r="AT177" i="30"/>
  <c r="AT176" i="30"/>
  <c r="AT175" i="30"/>
  <c r="AT174" i="30"/>
  <c r="AT173" i="30"/>
  <c r="AT172" i="30"/>
  <c r="AT171" i="30"/>
  <c r="AT170" i="30"/>
  <c r="AT169" i="30"/>
  <c r="AT168" i="30"/>
  <c r="AT167" i="30"/>
  <c r="AT166" i="30"/>
  <c r="AT165" i="30"/>
  <c r="AT164" i="30"/>
  <c r="AT163" i="30"/>
  <c r="AT162" i="30"/>
  <c r="AT161" i="30"/>
  <c r="AT160" i="30"/>
  <c r="AT159" i="30"/>
  <c r="AT158" i="30"/>
  <c r="AT157" i="30"/>
  <c r="AT156" i="30"/>
  <c r="AT155" i="30"/>
  <c r="AT154" i="30"/>
  <c r="AT153" i="30"/>
  <c r="AT152" i="30"/>
  <c r="AT151" i="30"/>
  <c r="AT150" i="30"/>
  <c r="AT149" i="30"/>
  <c r="AT148" i="30"/>
  <c r="AT147" i="30"/>
  <c r="AT146" i="30"/>
  <c r="AT145" i="30"/>
  <c r="AT144" i="30"/>
  <c r="AT143" i="30"/>
  <c r="AT142" i="30"/>
  <c r="AT141" i="30"/>
  <c r="AT139" i="30"/>
  <c r="AT135" i="30"/>
  <c r="AT134" i="30"/>
  <c r="AT132" i="30"/>
  <c r="AT131" i="30"/>
  <c r="AT130" i="30"/>
  <c r="AT129" i="30"/>
  <c r="AT127" i="30"/>
  <c r="AT126" i="30"/>
  <c r="AT125" i="30"/>
  <c r="AT123" i="30"/>
  <c r="AT122" i="30"/>
  <c r="AT121" i="30"/>
  <c r="AT120" i="30"/>
  <c r="AT117" i="30"/>
  <c r="AT116" i="30"/>
  <c r="AT115" i="30"/>
  <c r="AT114" i="30"/>
  <c r="AT113" i="30"/>
  <c r="AT112" i="30"/>
  <c r="AT111" i="30"/>
  <c r="AT110" i="30"/>
  <c r="AT109" i="30"/>
  <c r="AT108" i="30"/>
  <c r="AT107" i="30"/>
  <c r="AT106" i="30"/>
  <c r="AT105" i="30"/>
  <c r="AT104" i="30"/>
  <c r="AT103" i="30"/>
  <c r="AT102" i="30"/>
  <c r="AT101" i="30"/>
  <c r="AT100" i="30"/>
  <c r="AT99" i="30"/>
  <c r="AT96" i="30"/>
  <c r="AT95" i="30"/>
  <c r="AT93" i="30"/>
  <c r="AT90" i="30"/>
  <c r="AT83" i="30"/>
  <c r="AT82" i="30"/>
  <c r="AT81" i="30"/>
  <c r="AT80" i="30"/>
  <c r="AT78" i="30"/>
  <c r="AT77" i="30"/>
  <c r="AT76" i="30"/>
  <c r="AT75" i="30"/>
  <c r="AT74" i="30"/>
  <c r="AT72" i="30"/>
  <c r="AT71" i="30"/>
  <c r="AT70" i="30"/>
  <c r="AT69" i="30"/>
  <c r="AT67" i="30"/>
  <c r="AT64" i="30"/>
  <c r="AT62" i="30"/>
  <c r="AT50" i="30"/>
  <c r="AT38" i="30"/>
  <c r="AT37" i="30"/>
  <c r="AT36" i="30"/>
  <c r="AT35" i="30"/>
  <c r="AT34" i="30"/>
  <c r="AT33" i="30"/>
  <c r="AT32" i="30"/>
  <c r="AT31" i="30"/>
  <c r="AT29" i="30"/>
  <c r="AT28" i="30"/>
  <c r="AT27" i="30"/>
  <c r="AT22" i="30"/>
  <c r="AT17" i="30"/>
  <c r="AT16" i="30"/>
  <c r="AS250" i="30"/>
  <c r="AS249" i="30"/>
  <c r="AS248" i="30"/>
  <c r="AS247" i="30"/>
  <c r="AS246" i="30"/>
  <c r="AS245" i="30"/>
  <c r="AS244" i="30"/>
  <c r="AS243" i="30"/>
  <c r="AS242" i="30"/>
  <c r="AS241" i="30"/>
  <c r="AS240" i="30"/>
  <c r="AS239" i="30"/>
  <c r="AS238" i="30"/>
  <c r="AS237" i="30"/>
  <c r="AS235" i="30"/>
  <c r="AS234" i="30"/>
  <c r="AS233" i="30"/>
  <c r="AS232" i="30"/>
  <c r="AS231" i="30"/>
  <c r="AS230" i="30"/>
  <c r="AS228" i="30"/>
  <c r="AS227" i="30"/>
  <c r="AS226" i="30"/>
  <c r="AS225" i="30"/>
  <c r="AS224" i="30"/>
  <c r="AS223" i="30"/>
  <c r="AS222" i="30"/>
  <c r="AS220" i="30"/>
  <c r="AS207" i="30"/>
  <c r="AS205" i="30"/>
  <c r="AS203" i="30"/>
  <c r="AS196" i="30"/>
  <c r="AS195" i="30"/>
  <c r="AS194" i="30"/>
  <c r="AS191" i="30"/>
  <c r="AS188" i="30"/>
  <c r="AS187" i="30"/>
  <c r="AS186" i="30"/>
  <c r="AS185" i="30"/>
  <c r="AS184" i="30"/>
  <c r="AS183" i="30"/>
  <c r="AS182" i="30"/>
  <c r="AS181" i="30"/>
  <c r="AS180" i="30"/>
  <c r="AS179" i="30"/>
  <c r="AS178" i="30"/>
  <c r="AS177" i="30"/>
  <c r="AS176" i="30"/>
  <c r="AS175" i="30"/>
  <c r="AS174" i="30"/>
  <c r="AS173" i="30"/>
  <c r="AS172" i="30"/>
  <c r="AS171" i="30"/>
  <c r="AS170" i="30"/>
  <c r="AS169" i="30"/>
  <c r="AS168" i="30"/>
  <c r="AS167" i="30"/>
  <c r="AS166" i="30"/>
  <c r="AS165" i="30"/>
  <c r="AS164" i="30"/>
  <c r="AS163" i="30"/>
  <c r="AS162" i="30"/>
  <c r="AS161" i="30"/>
  <c r="AS160" i="30"/>
  <c r="AS159" i="30"/>
  <c r="AS158" i="30"/>
  <c r="AS157" i="30"/>
  <c r="AS156" i="30"/>
  <c r="AS155" i="30"/>
  <c r="AS154" i="30"/>
  <c r="AS153" i="30"/>
  <c r="AS152" i="30"/>
  <c r="AS151" i="30"/>
  <c r="AS150" i="30"/>
  <c r="AS149" i="30"/>
  <c r="AS148" i="30"/>
  <c r="AS147" i="30"/>
  <c r="AS146" i="30"/>
  <c r="AS145" i="30"/>
  <c r="AS144" i="30"/>
  <c r="AS143" i="30"/>
  <c r="AS142" i="30"/>
  <c r="AS141" i="30"/>
  <c r="AS139" i="30"/>
  <c r="AS135" i="30"/>
  <c r="AS134" i="30"/>
  <c r="AS132" i="30"/>
  <c r="AS131" i="30"/>
  <c r="AS130" i="30"/>
  <c r="AS129" i="30"/>
  <c r="AS127" i="30"/>
  <c r="AS126" i="30"/>
  <c r="AS125" i="30"/>
  <c r="AS123" i="30"/>
  <c r="AS122" i="30"/>
  <c r="AS121" i="30"/>
  <c r="AS120" i="30"/>
  <c r="AS117" i="30"/>
  <c r="AS116" i="30"/>
  <c r="AS115" i="30"/>
  <c r="AS114" i="30"/>
  <c r="AS113" i="30"/>
  <c r="AS112" i="30"/>
  <c r="AS111" i="30"/>
  <c r="AS110" i="30"/>
  <c r="AS109" i="30"/>
  <c r="AS108" i="30"/>
  <c r="AS107" i="30"/>
  <c r="AS106" i="30"/>
  <c r="AS105" i="30"/>
  <c r="AS104" i="30"/>
  <c r="AS103" i="30"/>
  <c r="AS102" i="30"/>
  <c r="AS101" i="30"/>
  <c r="AS100" i="30"/>
  <c r="AS99" i="30"/>
  <c r="AS96" i="30"/>
  <c r="AS95" i="30"/>
  <c r="AS93" i="30"/>
  <c r="AS90" i="30"/>
  <c r="AS83" i="30"/>
  <c r="AS82" i="30"/>
  <c r="AS81" i="30"/>
  <c r="AS80" i="30"/>
  <c r="AS78" i="30"/>
  <c r="AS77" i="30"/>
  <c r="AS76" i="30"/>
  <c r="AS75" i="30"/>
  <c r="AS74" i="30"/>
  <c r="AS72" i="30"/>
  <c r="AS71" i="30"/>
  <c r="AS70" i="30"/>
  <c r="AS69" i="30"/>
  <c r="AS67" i="30"/>
  <c r="AS64" i="30"/>
  <c r="AS62" i="30"/>
  <c r="AS50" i="30"/>
  <c r="AS38" i="30"/>
  <c r="AS37" i="30"/>
  <c r="AS36" i="30"/>
  <c r="AS35" i="30"/>
  <c r="AS34" i="30"/>
  <c r="AS33" i="30"/>
  <c r="AS32" i="30"/>
  <c r="AS31" i="30"/>
  <c r="AS29" i="30"/>
  <c r="AS28" i="30"/>
  <c r="AS27" i="30"/>
  <c r="AS22" i="30"/>
  <c r="AS17" i="30"/>
  <c r="AS16" i="30"/>
  <c r="AR250" i="30"/>
  <c r="AR249" i="30"/>
  <c r="AR248" i="30"/>
  <c r="AR247" i="30"/>
  <c r="AR246" i="30"/>
  <c r="AR245" i="30"/>
  <c r="AR244" i="30"/>
  <c r="AR243" i="30"/>
  <c r="AR242" i="30"/>
  <c r="AR241" i="30"/>
  <c r="AR240" i="30"/>
  <c r="AR239" i="30"/>
  <c r="AR238" i="30"/>
  <c r="AR237" i="30"/>
  <c r="AR235" i="30"/>
  <c r="AR234" i="30"/>
  <c r="AR233" i="30"/>
  <c r="AR232" i="30"/>
  <c r="AR231" i="30"/>
  <c r="AR230" i="30"/>
  <c r="AR228" i="30"/>
  <c r="AR227" i="30"/>
  <c r="AR226" i="30"/>
  <c r="AR225" i="30"/>
  <c r="AR224" i="30"/>
  <c r="AR223" i="30"/>
  <c r="AR222" i="30"/>
  <c r="AR220" i="30"/>
  <c r="AR207" i="30"/>
  <c r="AR205" i="30"/>
  <c r="AR203" i="30"/>
  <c r="AR196" i="30"/>
  <c r="AR195" i="30"/>
  <c r="AR194" i="30"/>
  <c r="AR191" i="30"/>
  <c r="AR188" i="30"/>
  <c r="AR187" i="30"/>
  <c r="AR186" i="30"/>
  <c r="AR185" i="30"/>
  <c r="AR184" i="30"/>
  <c r="AR183" i="30"/>
  <c r="AR182" i="30"/>
  <c r="AR181" i="30"/>
  <c r="AR180" i="30"/>
  <c r="AR179" i="30"/>
  <c r="AR178" i="30"/>
  <c r="AR177" i="30"/>
  <c r="AR176" i="30"/>
  <c r="AR175" i="30"/>
  <c r="AR174" i="30"/>
  <c r="AR173" i="30"/>
  <c r="AR172" i="30"/>
  <c r="AR171" i="30"/>
  <c r="AR170" i="30"/>
  <c r="AR169" i="30"/>
  <c r="AR168" i="30"/>
  <c r="AR167" i="30"/>
  <c r="AR166" i="30"/>
  <c r="AR165" i="30"/>
  <c r="AR164" i="30"/>
  <c r="AR163" i="30"/>
  <c r="AR162" i="30"/>
  <c r="AR161" i="30"/>
  <c r="AR160" i="30"/>
  <c r="AR159" i="30"/>
  <c r="AR158" i="30"/>
  <c r="AR157" i="30"/>
  <c r="AR156" i="30"/>
  <c r="AR155" i="30"/>
  <c r="AR154" i="30"/>
  <c r="AR153" i="30"/>
  <c r="AR152" i="30"/>
  <c r="AR151" i="30"/>
  <c r="AR150" i="30"/>
  <c r="AR149" i="30"/>
  <c r="AR148" i="30"/>
  <c r="AR147" i="30"/>
  <c r="AR146" i="30"/>
  <c r="AR145" i="30"/>
  <c r="AR144" i="30"/>
  <c r="AR143" i="30"/>
  <c r="AR142" i="30"/>
  <c r="AR141" i="30"/>
  <c r="AR139" i="30"/>
  <c r="AR135" i="30"/>
  <c r="AR134" i="30"/>
  <c r="AR132" i="30"/>
  <c r="AR131" i="30"/>
  <c r="AR130" i="30"/>
  <c r="AR129" i="30"/>
  <c r="AR127" i="30"/>
  <c r="AR126" i="30"/>
  <c r="AR125" i="30"/>
  <c r="AR123" i="30"/>
  <c r="AR122" i="30"/>
  <c r="AR121" i="30"/>
  <c r="AR120" i="30"/>
  <c r="AR117" i="30"/>
  <c r="AR116" i="30"/>
  <c r="AR115" i="30"/>
  <c r="AR114" i="30"/>
  <c r="AR113" i="30"/>
  <c r="AR112" i="30"/>
  <c r="AR111" i="30"/>
  <c r="AR110" i="30"/>
  <c r="AR109" i="30"/>
  <c r="AR108" i="30"/>
  <c r="AR107" i="30"/>
  <c r="AR106" i="30"/>
  <c r="AR105" i="30"/>
  <c r="AR104" i="30"/>
  <c r="AR103" i="30"/>
  <c r="AR102" i="30"/>
  <c r="AR101" i="30"/>
  <c r="AR100" i="30"/>
  <c r="AR99" i="30"/>
  <c r="AR96" i="30"/>
  <c r="AR95" i="30"/>
  <c r="AR93" i="30"/>
  <c r="AR90" i="30"/>
  <c r="AR83" i="30"/>
  <c r="AR82" i="30"/>
  <c r="AR81" i="30"/>
  <c r="AR80" i="30"/>
  <c r="AR78" i="30"/>
  <c r="AR77" i="30"/>
  <c r="AR76" i="30"/>
  <c r="AR75" i="30"/>
  <c r="AR74" i="30"/>
  <c r="AR72" i="30"/>
  <c r="AR71" i="30"/>
  <c r="AR70" i="30"/>
  <c r="AR69" i="30"/>
  <c r="AR67" i="30"/>
  <c r="AR64" i="30"/>
  <c r="AR62" i="30"/>
  <c r="AR50" i="30"/>
  <c r="AR38" i="30"/>
  <c r="AR37" i="30"/>
  <c r="AR36" i="30"/>
  <c r="AR35" i="30"/>
  <c r="AR34" i="30"/>
  <c r="AR33" i="30"/>
  <c r="AR32" i="30"/>
  <c r="AR31" i="30"/>
  <c r="AR29" i="30"/>
  <c r="AR28" i="30"/>
  <c r="AR27" i="30"/>
  <c r="AR22" i="30"/>
  <c r="AR17" i="30"/>
  <c r="AR16" i="30"/>
  <c r="AQ250" i="30"/>
  <c r="AQ249" i="30"/>
  <c r="AQ248" i="30"/>
  <c r="AQ247" i="30"/>
  <c r="AQ246" i="30"/>
  <c r="AQ245" i="30"/>
  <c r="AQ244" i="30"/>
  <c r="AQ243" i="30"/>
  <c r="AQ242" i="30"/>
  <c r="AQ241" i="30"/>
  <c r="AQ240" i="30"/>
  <c r="AQ239" i="30"/>
  <c r="AQ238" i="30"/>
  <c r="AQ237" i="30"/>
  <c r="AQ235" i="30"/>
  <c r="AQ234" i="30"/>
  <c r="AQ233" i="30"/>
  <c r="AQ232" i="30"/>
  <c r="AQ231" i="30"/>
  <c r="AQ230" i="30"/>
  <c r="AQ228" i="30"/>
  <c r="AQ227" i="30"/>
  <c r="AQ226" i="30"/>
  <c r="AQ225" i="30"/>
  <c r="AQ224" i="30"/>
  <c r="AQ223" i="30"/>
  <c r="AQ222" i="30"/>
  <c r="AQ220" i="30"/>
  <c r="AQ207" i="30"/>
  <c r="AQ205" i="30"/>
  <c r="AQ203" i="30"/>
  <c r="AQ196" i="30"/>
  <c r="AQ195" i="30"/>
  <c r="AQ194" i="30"/>
  <c r="AQ191" i="30"/>
  <c r="AQ188" i="30"/>
  <c r="AQ187" i="30"/>
  <c r="AQ186" i="30"/>
  <c r="AQ185" i="30"/>
  <c r="AQ184" i="30"/>
  <c r="AQ183" i="30"/>
  <c r="AQ182" i="30"/>
  <c r="AQ181" i="30"/>
  <c r="AQ180" i="30"/>
  <c r="AQ179" i="30"/>
  <c r="AQ178" i="30"/>
  <c r="AQ177" i="30"/>
  <c r="AQ176" i="30"/>
  <c r="AQ175" i="30"/>
  <c r="AQ174" i="30"/>
  <c r="AQ173" i="30"/>
  <c r="AQ172" i="30"/>
  <c r="AQ171" i="30"/>
  <c r="AQ170" i="30"/>
  <c r="AQ169" i="30"/>
  <c r="AQ168" i="30"/>
  <c r="AQ167" i="30"/>
  <c r="AQ166" i="30"/>
  <c r="AQ165" i="30"/>
  <c r="AQ164" i="30"/>
  <c r="AQ163" i="30"/>
  <c r="AQ162" i="30"/>
  <c r="AQ161" i="30"/>
  <c r="AQ160" i="30"/>
  <c r="AQ159" i="30"/>
  <c r="AQ158" i="30"/>
  <c r="AQ157" i="30"/>
  <c r="AQ156" i="30"/>
  <c r="AQ155" i="30"/>
  <c r="AQ154" i="30"/>
  <c r="AQ153" i="30"/>
  <c r="AQ152" i="30"/>
  <c r="AQ151" i="30"/>
  <c r="AQ150" i="30"/>
  <c r="AQ149" i="30"/>
  <c r="AQ148" i="30"/>
  <c r="AQ147" i="30"/>
  <c r="AQ146" i="30"/>
  <c r="AQ145" i="30"/>
  <c r="AQ144" i="30"/>
  <c r="AQ143" i="30"/>
  <c r="AQ142" i="30"/>
  <c r="AQ141" i="30"/>
  <c r="AQ139" i="30"/>
  <c r="AQ135" i="30"/>
  <c r="AQ134" i="30"/>
  <c r="AQ132" i="30"/>
  <c r="AQ131" i="30"/>
  <c r="AQ130" i="30"/>
  <c r="AQ129" i="30"/>
  <c r="AQ127" i="30"/>
  <c r="AQ126" i="30"/>
  <c r="AQ125" i="30"/>
  <c r="AQ123" i="30"/>
  <c r="AQ122" i="30"/>
  <c r="AQ121" i="30"/>
  <c r="AQ120" i="30"/>
  <c r="AQ117" i="30"/>
  <c r="AQ116" i="30"/>
  <c r="AQ115" i="30"/>
  <c r="AQ114" i="30"/>
  <c r="AQ113" i="30"/>
  <c r="AQ112" i="30"/>
  <c r="AQ111" i="30"/>
  <c r="AQ110" i="30"/>
  <c r="AQ109" i="30"/>
  <c r="AQ108" i="30"/>
  <c r="AQ107" i="30"/>
  <c r="AQ106" i="30"/>
  <c r="AQ105" i="30"/>
  <c r="AQ104" i="30"/>
  <c r="AQ103" i="30"/>
  <c r="AQ102" i="30"/>
  <c r="AQ101" i="30"/>
  <c r="AQ100" i="30"/>
  <c r="AQ99" i="30"/>
  <c r="AQ96" i="30"/>
  <c r="AQ95" i="30"/>
  <c r="AQ93" i="30"/>
  <c r="AQ90" i="30"/>
  <c r="AQ83" i="30"/>
  <c r="AQ82" i="30"/>
  <c r="AQ81" i="30"/>
  <c r="AQ80" i="30"/>
  <c r="AQ78" i="30"/>
  <c r="AQ77" i="30"/>
  <c r="AQ76" i="30"/>
  <c r="AQ75" i="30"/>
  <c r="AQ74" i="30"/>
  <c r="AQ72" i="30"/>
  <c r="AQ71" i="30"/>
  <c r="AQ70" i="30"/>
  <c r="AQ69" i="30"/>
  <c r="AQ67" i="30"/>
  <c r="AQ64" i="30"/>
  <c r="AQ62" i="30"/>
  <c r="AQ50" i="30"/>
  <c r="AQ38" i="30"/>
  <c r="AQ37" i="30"/>
  <c r="AQ36" i="30"/>
  <c r="AQ35" i="30"/>
  <c r="AQ34" i="30"/>
  <c r="AQ33" i="30"/>
  <c r="AQ32" i="30"/>
  <c r="AQ31" i="30"/>
  <c r="AQ29" i="30"/>
  <c r="AQ28" i="30"/>
  <c r="AQ27" i="30"/>
  <c r="AQ22" i="30"/>
  <c r="AQ17" i="30"/>
  <c r="AQ16" i="30"/>
  <c r="AP250" i="30"/>
  <c r="AP249" i="30"/>
  <c r="AP248" i="30"/>
  <c r="AP247" i="30"/>
  <c r="AP246" i="30"/>
  <c r="AP245" i="30"/>
  <c r="AP244" i="30"/>
  <c r="AP243" i="30"/>
  <c r="AP242" i="30"/>
  <c r="AP241" i="30"/>
  <c r="AP240" i="30"/>
  <c r="AP239" i="30"/>
  <c r="AP238" i="30"/>
  <c r="AP237" i="30"/>
  <c r="AP235" i="30"/>
  <c r="AP234" i="30"/>
  <c r="AP233" i="30"/>
  <c r="AP232" i="30"/>
  <c r="AP231" i="30"/>
  <c r="AP230" i="30"/>
  <c r="AP228" i="30"/>
  <c r="AP227" i="30"/>
  <c r="AP226" i="30"/>
  <c r="AP225" i="30"/>
  <c r="AP224" i="30"/>
  <c r="AP223" i="30"/>
  <c r="AP222" i="30"/>
  <c r="AP220" i="30"/>
  <c r="AP207" i="30"/>
  <c r="AP205" i="30"/>
  <c r="AP203" i="30"/>
  <c r="AP196" i="30"/>
  <c r="AP195" i="30"/>
  <c r="AP194" i="30"/>
  <c r="AP191" i="30"/>
  <c r="AP188" i="30"/>
  <c r="AP187" i="30"/>
  <c r="AP186" i="30"/>
  <c r="AP185" i="30"/>
  <c r="AP184" i="30"/>
  <c r="AP183" i="30"/>
  <c r="AP182" i="30"/>
  <c r="AP181" i="30"/>
  <c r="AP180" i="30"/>
  <c r="AP179" i="30"/>
  <c r="AP178" i="30"/>
  <c r="AP177" i="30"/>
  <c r="AP176" i="30"/>
  <c r="AP175" i="30"/>
  <c r="AP174" i="30"/>
  <c r="AP173" i="30"/>
  <c r="AP172" i="30"/>
  <c r="AP171" i="30"/>
  <c r="AP170" i="30"/>
  <c r="AP169" i="30"/>
  <c r="AP168" i="30"/>
  <c r="AP167" i="30"/>
  <c r="AP166" i="30"/>
  <c r="AP165" i="30"/>
  <c r="AP164" i="30"/>
  <c r="AP163" i="30"/>
  <c r="AP162" i="30"/>
  <c r="AP161" i="30"/>
  <c r="AP160" i="30"/>
  <c r="AP159" i="30"/>
  <c r="AP158" i="30"/>
  <c r="AP157" i="30"/>
  <c r="AP156" i="30"/>
  <c r="AP155" i="30"/>
  <c r="AP154" i="30"/>
  <c r="AP153" i="30"/>
  <c r="AP152" i="30"/>
  <c r="AP151" i="30"/>
  <c r="AP150" i="30"/>
  <c r="AP149" i="30"/>
  <c r="AP148" i="30"/>
  <c r="AP147" i="30"/>
  <c r="AP146" i="30"/>
  <c r="AP145" i="30"/>
  <c r="AP144" i="30"/>
  <c r="AP143" i="30"/>
  <c r="AP142" i="30"/>
  <c r="AP141" i="30"/>
  <c r="AP139" i="30"/>
  <c r="AP135" i="30"/>
  <c r="AP134" i="30"/>
  <c r="AP132" i="30"/>
  <c r="AP131" i="30"/>
  <c r="AP130" i="30"/>
  <c r="AP129" i="30"/>
  <c r="AP127" i="30"/>
  <c r="AP126" i="30"/>
  <c r="AP125" i="30"/>
  <c r="AP123" i="30"/>
  <c r="AP122" i="30"/>
  <c r="AP121" i="30"/>
  <c r="AP120" i="30"/>
  <c r="AP117" i="30"/>
  <c r="AP116" i="30"/>
  <c r="AP115" i="30"/>
  <c r="AP114" i="30"/>
  <c r="AP113" i="30"/>
  <c r="AP112" i="30"/>
  <c r="AP111" i="30"/>
  <c r="AP110" i="30"/>
  <c r="AP109" i="30"/>
  <c r="AP108" i="30"/>
  <c r="AP107" i="30"/>
  <c r="AP106" i="30"/>
  <c r="AP105" i="30"/>
  <c r="AP104" i="30"/>
  <c r="AP103" i="30"/>
  <c r="AP102" i="30"/>
  <c r="AP101" i="30"/>
  <c r="AP100" i="30"/>
  <c r="AP99" i="30"/>
  <c r="AP96" i="30"/>
  <c r="AP95" i="30"/>
  <c r="AP93" i="30"/>
  <c r="AP90" i="30"/>
  <c r="AP83" i="30"/>
  <c r="AP82" i="30"/>
  <c r="AP81" i="30"/>
  <c r="AP80" i="30"/>
  <c r="AP78" i="30"/>
  <c r="AP77" i="30"/>
  <c r="AP76" i="30"/>
  <c r="AP75" i="30"/>
  <c r="AP74" i="30"/>
  <c r="AP72" i="30"/>
  <c r="AP71" i="30"/>
  <c r="AP70" i="30"/>
  <c r="AP69" i="30"/>
  <c r="AP67" i="30"/>
  <c r="AP64" i="30"/>
  <c r="AP62" i="30"/>
  <c r="AP50" i="30"/>
  <c r="AP38" i="30"/>
  <c r="AP37" i="30"/>
  <c r="AP36" i="30"/>
  <c r="AP35" i="30"/>
  <c r="AP34" i="30"/>
  <c r="AP33" i="30"/>
  <c r="AP32" i="30"/>
  <c r="AP31" i="30"/>
  <c r="AP29" i="30"/>
  <c r="AP28" i="30"/>
  <c r="AP27" i="30"/>
  <c r="AP22" i="30"/>
  <c r="AP17" i="30"/>
  <c r="AP16" i="30"/>
  <c r="AO250" i="30"/>
  <c r="AO249" i="30"/>
  <c r="AO248" i="30"/>
  <c r="AO247" i="30"/>
  <c r="AO246" i="30"/>
  <c r="AO245" i="30"/>
  <c r="AO244" i="30"/>
  <c r="AO243" i="30"/>
  <c r="AO242" i="30"/>
  <c r="AO241" i="30"/>
  <c r="AO240" i="30"/>
  <c r="AO239" i="30"/>
  <c r="AO238" i="30"/>
  <c r="AO237" i="30"/>
  <c r="AO235" i="30"/>
  <c r="AO234" i="30"/>
  <c r="AO233" i="30"/>
  <c r="AO232" i="30"/>
  <c r="AO231" i="30"/>
  <c r="AO230" i="30"/>
  <c r="AO228" i="30"/>
  <c r="AO227" i="30"/>
  <c r="AO226" i="30"/>
  <c r="AO225" i="30"/>
  <c r="AO224" i="30"/>
  <c r="AO223" i="30"/>
  <c r="AO222" i="30"/>
  <c r="AO220" i="30"/>
  <c r="AO207" i="30"/>
  <c r="AO205" i="30"/>
  <c r="AO203" i="30"/>
  <c r="AO196" i="30"/>
  <c r="AO195" i="30"/>
  <c r="AO194" i="30"/>
  <c r="AO191" i="30"/>
  <c r="AO188" i="30"/>
  <c r="AO187" i="30"/>
  <c r="AO186" i="30"/>
  <c r="AO185" i="30"/>
  <c r="AO184" i="30"/>
  <c r="AO183" i="30"/>
  <c r="AO182" i="30"/>
  <c r="AO181" i="30"/>
  <c r="AO180" i="30"/>
  <c r="AO179" i="30"/>
  <c r="AO178" i="30"/>
  <c r="AO177" i="30"/>
  <c r="AO176" i="30"/>
  <c r="AO175" i="30"/>
  <c r="AO174" i="30"/>
  <c r="AO173" i="30"/>
  <c r="AO172" i="30"/>
  <c r="AO171" i="30"/>
  <c r="AO170" i="30"/>
  <c r="AO169" i="30"/>
  <c r="AO168" i="30"/>
  <c r="AO167" i="30"/>
  <c r="AO166" i="30"/>
  <c r="AO165" i="30"/>
  <c r="AO164" i="30"/>
  <c r="AO163" i="30"/>
  <c r="AO162" i="30"/>
  <c r="AO161" i="30"/>
  <c r="AO160" i="30"/>
  <c r="AO159" i="30"/>
  <c r="AO158" i="30"/>
  <c r="AO157" i="30"/>
  <c r="AO156" i="30"/>
  <c r="AO155" i="30"/>
  <c r="AO154" i="30"/>
  <c r="AO153" i="30"/>
  <c r="AO152" i="30"/>
  <c r="AO151" i="30"/>
  <c r="AO150" i="30"/>
  <c r="AO149" i="30"/>
  <c r="AO148" i="30"/>
  <c r="AO147" i="30"/>
  <c r="AO146" i="30"/>
  <c r="AO145" i="30"/>
  <c r="AO144" i="30"/>
  <c r="AO143" i="30"/>
  <c r="AO142" i="30"/>
  <c r="AO141" i="30"/>
  <c r="AO139" i="30"/>
  <c r="AO135" i="30"/>
  <c r="AO134" i="30"/>
  <c r="AO132" i="30"/>
  <c r="AO131" i="30"/>
  <c r="AO130" i="30"/>
  <c r="AO129" i="30"/>
  <c r="AO127" i="30"/>
  <c r="AO126" i="30"/>
  <c r="AO125" i="30"/>
  <c r="AO123" i="30"/>
  <c r="AO122" i="30"/>
  <c r="AO121" i="30"/>
  <c r="AO120" i="30"/>
  <c r="AO117" i="30"/>
  <c r="AO116" i="30"/>
  <c r="AO115" i="30"/>
  <c r="AO114" i="30"/>
  <c r="AO113" i="30"/>
  <c r="AO112" i="30"/>
  <c r="AO111" i="30"/>
  <c r="AO110" i="30"/>
  <c r="AO109" i="30"/>
  <c r="AO108" i="30"/>
  <c r="AO107" i="30"/>
  <c r="AO106" i="30"/>
  <c r="AO105" i="30"/>
  <c r="AO104" i="30"/>
  <c r="AO103" i="30"/>
  <c r="AO102" i="30"/>
  <c r="AO101" i="30"/>
  <c r="AO100" i="30"/>
  <c r="AO99" i="30"/>
  <c r="AO96" i="30"/>
  <c r="AO95" i="30"/>
  <c r="AO93" i="30"/>
  <c r="AO90" i="30"/>
  <c r="AO83" i="30"/>
  <c r="AO82" i="30"/>
  <c r="AO81" i="30"/>
  <c r="AO80" i="30"/>
  <c r="AO78" i="30"/>
  <c r="AO77" i="30"/>
  <c r="AO76" i="30"/>
  <c r="AO75" i="30"/>
  <c r="AO74" i="30"/>
  <c r="AO72" i="30"/>
  <c r="AO71" i="30"/>
  <c r="AO70" i="30"/>
  <c r="AO69" i="30"/>
  <c r="AO67" i="30"/>
  <c r="AO64" i="30"/>
  <c r="AO62" i="30"/>
  <c r="AO50" i="30"/>
  <c r="AO38" i="30"/>
  <c r="AO37" i="30"/>
  <c r="AO36" i="30"/>
  <c r="AO35" i="30"/>
  <c r="AO34" i="30"/>
  <c r="AO33" i="30"/>
  <c r="AO32" i="30"/>
  <c r="AO31" i="30"/>
  <c r="AO29" i="30"/>
  <c r="AO28" i="30"/>
  <c r="AO27" i="30"/>
  <c r="AO22" i="30"/>
  <c r="AO17" i="30"/>
  <c r="AO16" i="30"/>
  <c r="AN250" i="30"/>
  <c r="AN249" i="30"/>
  <c r="AN248" i="30"/>
  <c r="AN247" i="30"/>
  <c r="AN246" i="30"/>
  <c r="AN245" i="30"/>
  <c r="AN244" i="30"/>
  <c r="AN243" i="30"/>
  <c r="AN242" i="30"/>
  <c r="AN241" i="30"/>
  <c r="AN240" i="30"/>
  <c r="AN239" i="30"/>
  <c r="AN238" i="30"/>
  <c r="AN237" i="30"/>
  <c r="AN235" i="30"/>
  <c r="AN234" i="30"/>
  <c r="AN233" i="30"/>
  <c r="AN232" i="30"/>
  <c r="AN231" i="30"/>
  <c r="AN230" i="30"/>
  <c r="AN228" i="30"/>
  <c r="AN227" i="30"/>
  <c r="AN226" i="30"/>
  <c r="AN225" i="30"/>
  <c r="AN224" i="30"/>
  <c r="AN223" i="30"/>
  <c r="AN222" i="30"/>
  <c r="AN220" i="30"/>
  <c r="AN207" i="30"/>
  <c r="AN205" i="30"/>
  <c r="AN203" i="30"/>
  <c r="AN196" i="30"/>
  <c r="AN195" i="30"/>
  <c r="AN194" i="30"/>
  <c r="AN191" i="30"/>
  <c r="AN188" i="30"/>
  <c r="AN187" i="30"/>
  <c r="AN186" i="30"/>
  <c r="AN185" i="30"/>
  <c r="AN184" i="30"/>
  <c r="AN183" i="30"/>
  <c r="AN182" i="30"/>
  <c r="AN181" i="30"/>
  <c r="AN180" i="30"/>
  <c r="AN179" i="30"/>
  <c r="AN178" i="30"/>
  <c r="AN177" i="30"/>
  <c r="AN176" i="30"/>
  <c r="AN175" i="30"/>
  <c r="AN174" i="30"/>
  <c r="AN173" i="30"/>
  <c r="AN172" i="30"/>
  <c r="AN171" i="30"/>
  <c r="AN170" i="30"/>
  <c r="AN169" i="30"/>
  <c r="AN168" i="30"/>
  <c r="AN167" i="30"/>
  <c r="AN166" i="30"/>
  <c r="AN165" i="30"/>
  <c r="AN164" i="30"/>
  <c r="AN163" i="30"/>
  <c r="AN162" i="30"/>
  <c r="AN161" i="30"/>
  <c r="AN160" i="30"/>
  <c r="AN159" i="30"/>
  <c r="AN158" i="30"/>
  <c r="AN157" i="30"/>
  <c r="AN156" i="30"/>
  <c r="AN155" i="30"/>
  <c r="AN154" i="30"/>
  <c r="AN153" i="30"/>
  <c r="AN152" i="30"/>
  <c r="AN151" i="30"/>
  <c r="AN150" i="30"/>
  <c r="AN149" i="30"/>
  <c r="AN148" i="30"/>
  <c r="AN147" i="30"/>
  <c r="AN146" i="30"/>
  <c r="AN145" i="30"/>
  <c r="AN144" i="30"/>
  <c r="AN143" i="30"/>
  <c r="AN142" i="30"/>
  <c r="AN141" i="30"/>
  <c r="AN139" i="30"/>
  <c r="AN135" i="30"/>
  <c r="AN134" i="30"/>
  <c r="AN132" i="30"/>
  <c r="AN131" i="30"/>
  <c r="AN130" i="30"/>
  <c r="AN129" i="30"/>
  <c r="AN127" i="30"/>
  <c r="AN126" i="30"/>
  <c r="AN125" i="30"/>
  <c r="AN123" i="30"/>
  <c r="AN122" i="30"/>
  <c r="AN121" i="30"/>
  <c r="AN120" i="30"/>
  <c r="AN117" i="30"/>
  <c r="AN116" i="30"/>
  <c r="AN115" i="30"/>
  <c r="AN114" i="30"/>
  <c r="AN113" i="30"/>
  <c r="AN112" i="30"/>
  <c r="AN111" i="30"/>
  <c r="AN110" i="30"/>
  <c r="AN109" i="30"/>
  <c r="AN108" i="30"/>
  <c r="AN107" i="30"/>
  <c r="AN106" i="30"/>
  <c r="AN105" i="30"/>
  <c r="AN104" i="30"/>
  <c r="AN103" i="30"/>
  <c r="AN102" i="30"/>
  <c r="AN101" i="30"/>
  <c r="AN100" i="30"/>
  <c r="AN99" i="30"/>
  <c r="AN96" i="30"/>
  <c r="AN95" i="30"/>
  <c r="AN93" i="30"/>
  <c r="AN90" i="30"/>
  <c r="AN89" i="30"/>
  <c r="AN83" i="30"/>
  <c r="AN82" i="30"/>
  <c r="AN81" i="30"/>
  <c r="AN80" i="30"/>
  <c r="AN78" i="30"/>
  <c r="AN77" i="30"/>
  <c r="AN76" i="30"/>
  <c r="AN75" i="30"/>
  <c r="AN74" i="30"/>
  <c r="AN72" i="30"/>
  <c r="AN71" i="30"/>
  <c r="AN70" i="30"/>
  <c r="AN69" i="30"/>
  <c r="AN67" i="30"/>
  <c r="AN64" i="30"/>
  <c r="AN62" i="30"/>
  <c r="AN50" i="30"/>
  <c r="AN38" i="30"/>
  <c r="AN37" i="30"/>
  <c r="AN36" i="30"/>
  <c r="AN35" i="30"/>
  <c r="AN34" i="30"/>
  <c r="AN33" i="30"/>
  <c r="AN32" i="30"/>
  <c r="AN31" i="30"/>
  <c r="AN29" i="30"/>
  <c r="AN28" i="30"/>
  <c r="AN27" i="30"/>
  <c r="AN22" i="30"/>
  <c r="AN17" i="30"/>
  <c r="AN16" i="30"/>
  <c r="AM250" i="30"/>
  <c r="AM249" i="30"/>
  <c r="AM248" i="30"/>
  <c r="AM247" i="30"/>
  <c r="AM246" i="30"/>
  <c r="AM245" i="30"/>
  <c r="AM244" i="30"/>
  <c r="AM243" i="30"/>
  <c r="AM242" i="30"/>
  <c r="AM241" i="30"/>
  <c r="AM240" i="30"/>
  <c r="AM239" i="30"/>
  <c r="AM238" i="30"/>
  <c r="AM237" i="30"/>
  <c r="AM235" i="30"/>
  <c r="AM234" i="30"/>
  <c r="AM233" i="30"/>
  <c r="AM232" i="30"/>
  <c r="AM231" i="30"/>
  <c r="AM230" i="30"/>
  <c r="AM228" i="30"/>
  <c r="AM227" i="30"/>
  <c r="AM226" i="30"/>
  <c r="AM225" i="30"/>
  <c r="AM224" i="30"/>
  <c r="AM223" i="30"/>
  <c r="AM222" i="30"/>
  <c r="AM220" i="30"/>
  <c r="AM207" i="30"/>
  <c r="AM205" i="30"/>
  <c r="AM203" i="30"/>
  <c r="AM196" i="30"/>
  <c r="AM195" i="30"/>
  <c r="AM194" i="30"/>
  <c r="AM191" i="30"/>
  <c r="AM188" i="30"/>
  <c r="AM187" i="30"/>
  <c r="AM186" i="30"/>
  <c r="AM185" i="30"/>
  <c r="AM184" i="30"/>
  <c r="AM183" i="30"/>
  <c r="AM182" i="30"/>
  <c r="AM181" i="30"/>
  <c r="AM180" i="30"/>
  <c r="AM179" i="30"/>
  <c r="AM178" i="30"/>
  <c r="AM177" i="30"/>
  <c r="AM176" i="30"/>
  <c r="AM175" i="30"/>
  <c r="AM174" i="30"/>
  <c r="AM173" i="30"/>
  <c r="AM172" i="30"/>
  <c r="AM171" i="30"/>
  <c r="AM170" i="30"/>
  <c r="AM169" i="30"/>
  <c r="AM168" i="30"/>
  <c r="AM167" i="30"/>
  <c r="AM166" i="30"/>
  <c r="AM165" i="30"/>
  <c r="AM164" i="30"/>
  <c r="AM163" i="30"/>
  <c r="AM162" i="30"/>
  <c r="AM161" i="30"/>
  <c r="AM160" i="30"/>
  <c r="AM159" i="30"/>
  <c r="AM158" i="30"/>
  <c r="AM157" i="30"/>
  <c r="AM156" i="30"/>
  <c r="AM155" i="30"/>
  <c r="AM154" i="30"/>
  <c r="AM153" i="30"/>
  <c r="AM152" i="30"/>
  <c r="AM151" i="30"/>
  <c r="AM150" i="30"/>
  <c r="AM149" i="30"/>
  <c r="AM148" i="30"/>
  <c r="AM147" i="30"/>
  <c r="AM146" i="30"/>
  <c r="AM145" i="30"/>
  <c r="AM144" i="30"/>
  <c r="AM143" i="30"/>
  <c r="AM142" i="30"/>
  <c r="AM141" i="30"/>
  <c r="AM139" i="30"/>
  <c r="AM135" i="30"/>
  <c r="AM134" i="30"/>
  <c r="AM132" i="30"/>
  <c r="AM131" i="30"/>
  <c r="AM130" i="30"/>
  <c r="AM129" i="30"/>
  <c r="AM127" i="30"/>
  <c r="AM126" i="30"/>
  <c r="AM125" i="30"/>
  <c r="AM123" i="30"/>
  <c r="AM122" i="30"/>
  <c r="AM121" i="30"/>
  <c r="AM120" i="30"/>
  <c r="AM117" i="30"/>
  <c r="AM116" i="30"/>
  <c r="AM115" i="30"/>
  <c r="AM114" i="30"/>
  <c r="AM113" i="30"/>
  <c r="AM112" i="30"/>
  <c r="AM111" i="30"/>
  <c r="AM110" i="30"/>
  <c r="AM109" i="30"/>
  <c r="AM108" i="30"/>
  <c r="AM107" i="30"/>
  <c r="AM106" i="30"/>
  <c r="AM105" i="30"/>
  <c r="AM104" i="30"/>
  <c r="AM103" i="30"/>
  <c r="AM102" i="30"/>
  <c r="AM101" i="30"/>
  <c r="AM100" i="30"/>
  <c r="AM99" i="30"/>
  <c r="AM96" i="30"/>
  <c r="AM95" i="30"/>
  <c r="AM93" i="30"/>
  <c r="AM90" i="30"/>
  <c r="AM89" i="30"/>
  <c r="AM83" i="30"/>
  <c r="AM82" i="30"/>
  <c r="AM81" i="30"/>
  <c r="AM80" i="30"/>
  <c r="AM78" i="30"/>
  <c r="AM77" i="30"/>
  <c r="AM76" i="30"/>
  <c r="AM75" i="30"/>
  <c r="AM74" i="30"/>
  <c r="AM72" i="30"/>
  <c r="AM71" i="30"/>
  <c r="AM70" i="30"/>
  <c r="AM69" i="30"/>
  <c r="AM67" i="30"/>
  <c r="AM64" i="30"/>
  <c r="AM62" i="30"/>
  <c r="AM50" i="30"/>
  <c r="AM38" i="30"/>
  <c r="AM37" i="30"/>
  <c r="AM36" i="30"/>
  <c r="AM35" i="30"/>
  <c r="AM34" i="30"/>
  <c r="AM33" i="30"/>
  <c r="AM32" i="30"/>
  <c r="AM31" i="30"/>
  <c r="AM29" i="30"/>
  <c r="AM28" i="30"/>
  <c r="AM27" i="30"/>
  <c r="AM22" i="30"/>
  <c r="AM17" i="30"/>
  <c r="AM16" i="30"/>
  <c r="AL250" i="30"/>
  <c r="AL249" i="30"/>
  <c r="AL248" i="30"/>
  <c r="AL247" i="30"/>
  <c r="AL246" i="30"/>
  <c r="AL245" i="30"/>
  <c r="AL244" i="30"/>
  <c r="AL243" i="30"/>
  <c r="AL242" i="30"/>
  <c r="AL241" i="30"/>
  <c r="AL240" i="30"/>
  <c r="AL239" i="30"/>
  <c r="AL238" i="30"/>
  <c r="AL237" i="30"/>
  <c r="AL235" i="30"/>
  <c r="AL234" i="30"/>
  <c r="AL233" i="30"/>
  <c r="AL232" i="30"/>
  <c r="AL231" i="30"/>
  <c r="AL230" i="30"/>
  <c r="AL228" i="30"/>
  <c r="AL227" i="30"/>
  <c r="AL226" i="30"/>
  <c r="AL225" i="30"/>
  <c r="AL224" i="30"/>
  <c r="AL223" i="30"/>
  <c r="AL222" i="30"/>
  <c r="AL220" i="30"/>
  <c r="AL207" i="30"/>
  <c r="AL205" i="30"/>
  <c r="AL203" i="30"/>
  <c r="AL196" i="30"/>
  <c r="AL195" i="30"/>
  <c r="AL194" i="30"/>
  <c r="AL191" i="30"/>
  <c r="AL188" i="30"/>
  <c r="AL187" i="30"/>
  <c r="AL186" i="30"/>
  <c r="AL185" i="30"/>
  <c r="AL184" i="30"/>
  <c r="AL183" i="30"/>
  <c r="AL182" i="30"/>
  <c r="AL181" i="30"/>
  <c r="AL180" i="30"/>
  <c r="AL179" i="30"/>
  <c r="AL178" i="30"/>
  <c r="AL177" i="30"/>
  <c r="AL176" i="30"/>
  <c r="AL175" i="30"/>
  <c r="AL174" i="30"/>
  <c r="AL173" i="30"/>
  <c r="AL172" i="30"/>
  <c r="AL171" i="30"/>
  <c r="AL170" i="30"/>
  <c r="AL169" i="30"/>
  <c r="AL168" i="30"/>
  <c r="AL167" i="30"/>
  <c r="AL166" i="30"/>
  <c r="AL165" i="30"/>
  <c r="AL164" i="30"/>
  <c r="AL163" i="30"/>
  <c r="AL162" i="30"/>
  <c r="AL161" i="30"/>
  <c r="AL160" i="30"/>
  <c r="AL159" i="30"/>
  <c r="AL158" i="30"/>
  <c r="AL157" i="30"/>
  <c r="AL156" i="30"/>
  <c r="AL155" i="30"/>
  <c r="AL154" i="30"/>
  <c r="AL153" i="30"/>
  <c r="AL152" i="30"/>
  <c r="AL151" i="30"/>
  <c r="AL150" i="30"/>
  <c r="AL149" i="30"/>
  <c r="AL148" i="30"/>
  <c r="AL147" i="30"/>
  <c r="AL146" i="30"/>
  <c r="AL145" i="30"/>
  <c r="AL144" i="30"/>
  <c r="AL143" i="30"/>
  <c r="AL142" i="30"/>
  <c r="AL141" i="30"/>
  <c r="AL139" i="30"/>
  <c r="AL135" i="30"/>
  <c r="AL134" i="30"/>
  <c r="AL132" i="30"/>
  <c r="AL131" i="30"/>
  <c r="AL130" i="30"/>
  <c r="AL129" i="30"/>
  <c r="AL127" i="30"/>
  <c r="AL126" i="30"/>
  <c r="AL125" i="30"/>
  <c r="AL123" i="30"/>
  <c r="AL122" i="30"/>
  <c r="AL121" i="30"/>
  <c r="AL120" i="30"/>
  <c r="AL117" i="30"/>
  <c r="AL116" i="30"/>
  <c r="AL115" i="30"/>
  <c r="AL114" i="30"/>
  <c r="AL113" i="30"/>
  <c r="AL112" i="30"/>
  <c r="AL111" i="30"/>
  <c r="AL110" i="30"/>
  <c r="AL109" i="30"/>
  <c r="AL108" i="30"/>
  <c r="AL107" i="30"/>
  <c r="AL106" i="30"/>
  <c r="AL105" i="30"/>
  <c r="AL104" i="30"/>
  <c r="AL103" i="30"/>
  <c r="AL102" i="30"/>
  <c r="AL101" i="30"/>
  <c r="AL100" i="30"/>
  <c r="AL99" i="30"/>
  <c r="AL96" i="30"/>
  <c r="AL95" i="30"/>
  <c r="AL93" i="30"/>
  <c r="AL90" i="30"/>
  <c r="AL89" i="30"/>
  <c r="AL83" i="30"/>
  <c r="AL82" i="30"/>
  <c r="AL81" i="30"/>
  <c r="AL80" i="30"/>
  <c r="AL78" i="30"/>
  <c r="AL77" i="30"/>
  <c r="AL76" i="30"/>
  <c r="AL75" i="30"/>
  <c r="AL74" i="30"/>
  <c r="AL72" i="30"/>
  <c r="AL71" i="30"/>
  <c r="AL70" i="30"/>
  <c r="AL69" i="30"/>
  <c r="AL67" i="30"/>
  <c r="AL64" i="30"/>
  <c r="AL62" i="30"/>
  <c r="AL50" i="30"/>
  <c r="AL38" i="30"/>
  <c r="AL37" i="30"/>
  <c r="AL36" i="30"/>
  <c r="AL35" i="30"/>
  <c r="AL34" i="30"/>
  <c r="AL33" i="30"/>
  <c r="AL32" i="30"/>
  <c r="AL31" i="30"/>
  <c r="AL29" i="30"/>
  <c r="AL28" i="30"/>
  <c r="AL27" i="30"/>
  <c r="AL22" i="30"/>
  <c r="AL17" i="30"/>
  <c r="AL16" i="30"/>
  <c r="AK250" i="30"/>
  <c r="AK249" i="30"/>
  <c r="AK248" i="30"/>
  <c r="AK247" i="30"/>
  <c r="AK246" i="30"/>
  <c r="AK245" i="30"/>
  <c r="AK244" i="30"/>
  <c r="AK243" i="30"/>
  <c r="AK242" i="30"/>
  <c r="AK241" i="30"/>
  <c r="AK240" i="30"/>
  <c r="AK239" i="30"/>
  <c r="AK238" i="30"/>
  <c r="AK237" i="30"/>
  <c r="AK235" i="30"/>
  <c r="AK234" i="30"/>
  <c r="AK233" i="30"/>
  <c r="AK232" i="30"/>
  <c r="AK231" i="30"/>
  <c r="AK230" i="30"/>
  <c r="AK228" i="30"/>
  <c r="AK227" i="30"/>
  <c r="AK226" i="30"/>
  <c r="AK225" i="30"/>
  <c r="AK224" i="30"/>
  <c r="AK223" i="30"/>
  <c r="AK222" i="30"/>
  <c r="AK220" i="30"/>
  <c r="AK207" i="30"/>
  <c r="AK205" i="30"/>
  <c r="AK203" i="30"/>
  <c r="AK196" i="30"/>
  <c r="AK195" i="30"/>
  <c r="AK194" i="30"/>
  <c r="AK191" i="30"/>
  <c r="AK188" i="30"/>
  <c r="AK187" i="30"/>
  <c r="AK186" i="30"/>
  <c r="AK185" i="30"/>
  <c r="AK184" i="30"/>
  <c r="AK183" i="30"/>
  <c r="AK182" i="30"/>
  <c r="AK181" i="30"/>
  <c r="AK180" i="30"/>
  <c r="AK179" i="30"/>
  <c r="AK178" i="30"/>
  <c r="AK177" i="30"/>
  <c r="AK176" i="30"/>
  <c r="AK175" i="30"/>
  <c r="AK174" i="30"/>
  <c r="AK173" i="30"/>
  <c r="AK172" i="30"/>
  <c r="AK171" i="30"/>
  <c r="AK170" i="30"/>
  <c r="AK169" i="30"/>
  <c r="AK168" i="30"/>
  <c r="AK167" i="30"/>
  <c r="AK166" i="30"/>
  <c r="AK165" i="30"/>
  <c r="AK164" i="30"/>
  <c r="AK163" i="30"/>
  <c r="AK162" i="30"/>
  <c r="AK161" i="30"/>
  <c r="AK160" i="30"/>
  <c r="AK159" i="30"/>
  <c r="AK158" i="30"/>
  <c r="AK157" i="30"/>
  <c r="AK156" i="30"/>
  <c r="AK155" i="30"/>
  <c r="AK154" i="30"/>
  <c r="AK153" i="30"/>
  <c r="AK152" i="30"/>
  <c r="AK151" i="30"/>
  <c r="AK150" i="30"/>
  <c r="AK149" i="30"/>
  <c r="AK148" i="30"/>
  <c r="AK147" i="30"/>
  <c r="AK146" i="30"/>
  <c r="AK145" i="30"/>
  <c r="AK144" i="30"/>
  <c r="AK143" i="30"/>
  <c r="AK142" i="30"/>
  <c r="AK141" i="30"/>
  <c r="AK139" i="30"/>
  <c r="AK135" i="30"/>
  <c r="AK134" i="30"/>
  <c r="AK132" i="30"/>
  <c r="AK131" i="30"/>
  <c r="AK130" i="30"/>
  <c r="AK129" i="30"/>
  <c r="AK127" i="30"/>
  <c r="AK126" i="30"/>
  <c r="AK125" i="30"/>
  <c r="AK123" i="30"/>
  <c r="AK122" i="30"/>
  <c r="AK121" i="30"/>
  <c r="AK120" i="30"/>
  <c r="AK117" i="30"/>
  <c r="AK116" i="30"/>
  <c r="AK115" i="30"/>
  <c r="AK114" i="30"/>
  <c r="AK113" i="30"/>
  <c r="AK112" i="30"/>
  <c r="AK111" i="30"/>
  <c r="AK110" i="30"/>
  <c r="AK109" i="30"/>
  <c r="AK108" i="30"/>
  <c r="AK107" i="30"/>
  <c r="AK106" i="30"/>
  <c r="AK105" i="30"/>
  <c r="AK104" i="30"/>
  <c r="AK103" i="30"/>
  <c r="AK102" i="30"/>
  <c r="AK101" i="30"/>
  <c r="AK100" i="30"/>
  <c r="AK99" i="30"/>
  <c r="AK96" i="30"/>
  <c r="AK95" i="30"/>
  <c r="AK93" i="30"/>
  <c r="AK90" i="30"/>
  <c r="AK89" i="30"/>
  <c r="AK83" i="30"/>
  <c r="AK82" i="30"/>
  <c r="AK81" i="30"/>
  <c r="AK80" i="30"/>
  <c r="AK78" i="30"/>
  <c r="AK77" i="30"/>
  <c r="AK76" i="30"/>
  <c r="AK75" i="30"/>
  <c r="AK74" i="30"/>
  <c r="AK72" i="30"/>
  <c r="AK71" i="30"/>
  <c r="AK70" i="30"/>
  <c r="AK69" i="30"/>
  <c r="AK67" i="30"/>
  <c r="AK64" i="30"/>
  <c r="AK62" i="30"/>
  <c r="AK50" i="30"/>
  <c r="AK38" i="30"/>
  <c r="AK37" i="30"/>
  <c r="AK36" i="30"/>
  <c r="AK35" i="30"/>
  <c r="AK34" i="30"/>
  <c r="AK33" i="30"/>
  <c r="AK32" i="30"/>
  <c r="AK31" i="30"/>
  <c r="AK29" i="30"/>
  <c r="AK28" i="30"/>
  <c r="AK27" i="30"/>
  <c r="AK22" i="30"/>
  <c r="AK17" i="30"/>
  <c r="AK16" i="30"/>
  <c r="AJ250" i="30"/>
  <c r="AJ249" i="30"/>
  <c r="AJ248" i="30"/>
  <c r="AJ247" i="30"/>
  <c r="AJ246" i="30"/>
  <c r="AJ245" i="30"/>
  <c r="AJ244" i="30"/>
  <c r="AJ243" i="30"/>
  <c r="AJ242" i="30"/>
  <c r="AJ241" i="30"/>
  <c r="AJ240" i="30"/>
  <c r="AJ239" i="30"/>
  <c r="AJ238" i="30"/>
  <c r="AJ237" i="30"/>
  <c r="AJ235" i="30"/>
  <c r="AJ234" i="30"/>
  <c r="AJ233" i="30"/>
  <c r="AJ232" i="30"/>
  <c r="AJ231" i="30"/>
  <c r="AJ230" i="30"/>
  <c r="AJ228" i="30"/>
  <c r="AJ227" i="30"/>
  <c r="AJ226" i="30"/>
  <c r="AJ225" i="30"/>
  <c r="AJ224" i="30"/>
  <c r="AJ223" i="30"/>
  <c r="AJ222" i="30"/>
  <c r="AJ220" i="30"/>
  <c r="AJ207" i="30"/>
  <c r="AJ205" i="30"/>
  <c r="AJ203" i="30"/>
  <c r="AJ196" i="30"/>
  <c r="AJ195" i="30"/>
  <c r="AJ194" i="30"/>
  <c r="AJ191" i="30"/>
  <c r="AJ188" i="30"/>
  <c r="AJ187" i="30"/>
  <c r="AJ186" i="30"/>
  <c r="AJ185" i="30"/>
  <c r="AJ184" i="30"/>
  <c r="AJ183" i="30"/>
  <c r="AJ182" i="30"/>
  <c r="AJ181" i="30"/>
  <c r="AJ180" i="30"/>
  <c r="AJ179" i="30"/>
  <c r="AJ178" i="30"/>
  <c r="AJ177" i="30"/>
  <c r="AJ176" i="30"/>
  <c r="AJ175" i="30"/>
  <c r="AJ174" i="30"/>
  <c r="AJ173" i="30"/>
  <c r="AJ172" i="30"/>
  <c r="AJ171" i="30"/>
  <c r="AJ170" i="30"/>
  <c r="AJ169" i="30"/>
  <c r="AJ168" i="30"/>
  <c r="AJ167" i="30"/>
  <c r="AJ166" i="30"/>
  <c r="AJ165" i="30"/>
  <c r="AJ164" i="30"/>
  <c r="AJ163" i="30"/>
  <c r="AJ162" i="30"/>
  <c r="AJ161" i="30"/>
  <c r="AJ160" i="30"/>
  <c r="AJ159" i="30"/>
  <c r="AJ158" i="30"/>
  <c r="AJ157" i="30"/>
  <c r="AJ156" i="30"/>
  <c r="AJ155" i="30"/>
  <c r="AJ154" i="30"/>
  <c r="AJ153" i="30"/>
  <c r="AJ152" i="30"/>
  <c r="AJ151" i="30"/>
  <c r="AJ150" i="30"/>
  <c r="AJ149" i="30"/>
  <c r="AJ148" i="30"/>
  <c r="AJ147" i="30"/>
  <c r="AJ146" i="30"/>
  <c r="AJ145" i="30"/>
  <c r="AJ144" i="30"/>
  <c r="AJ143" i="30"/>
  <c r="AJ142" i="30"/>
  <c r="AJ141" i="30"/>
  <c r="AJ139" i="30"/>
  <c r="AJ135" i="30"/>
  <c r="AJ134" i="30"/>
  <c r="AJ132" i="30"/>
  <c r="AJ131" i="30"/>
  <c r="AJ130" i="30"/>
  <c r="AJ129" i="30"/>
  <c r="AJ127" i="30"/>
  <c r="AJ126" i="30"/>
  <c r="AJ125" i="30"/>
  <c r="AJ123" i="30"/>
  <c r="AJ122" i="30"/>
  <c r="AJ121" i="30"/>
  <c r="AJ120" i="30"/>
  <c r="AJ117" i="30"/>
  <c r="AJ116" i="30"/>
  <c r="AJ115" i="30"/>
  <c r="AJ114" i="30"/>
  <c r="AJ113" i="30"/>
  <c r="AJ112" i="30"/>
  <c r="AJ111" i="30"/>
  <c r="AJ110" i="30"/>
  <c r="AJ109" i="30"/>
  <c r="AJ108" i="30"/>
  <c r="AJ107" i="30"/>
  <c r="AJ106" i="30"/>
  <c r="AJ105" i="30"/>
  <c r="AJ104" i="30"/>
  <c r="AJ103" i="30"/>
  <c r="AJ102" i="30"/>
  <c r="AJ101" i="30"/>
  <c r="AJ100" i="30"/>
  <c r="AJ99" i="30"/>
  <c r="AJ96" i="30"/>
  <c r="AJ95" i="30"/>
  <c r="AJ93" i="30"/>
  <c r="AJ90" i="30"/>
  <c r="AJ89" i="30"/>
  <c r="AJ83" i="30"/>
  <c r="AJ82" i="30"/>
  <c r="AJ81" i="30"/>
  <c r="AJ80" i="30"/>
  <c r="AJ78" i="30"/>
  <c r="AJ77" i="30"/>
  <c r="AJ76" i="30"/>
  <c r="AJ75" i="30"/>
  <c r="AJ74" i="30"/>
  <c r="AJ72" i="30"/>
  <c r="AJ71" i="30"/>
  <c r="AJ70" i="30"/>
  <c r="AJ69" i="30"/>
  <c r="AJ67" i="30"/>
  <c r="AJ64" i="30"/>
  <c r="AJ62" i="30"/>
  <c r="AJ50" i="30"/>
  <c r="AJ38" i="30"/>
  <c r="AJ37" i="30"/>
  <c r="AJ36" i="30"/>
  <c r="AJ35" i="30"/>
  <c r="AJ34" i="30"/>
  <c r="AJ33" i="30"/>
  <c r="AJ32" i="30"/>
  <c r="AJ31" i="30"/>
  <c r="AJ29" i="30"/>
  <c r="AJ28" i="30"/>
  <c r="AJ27" i="30"/>
  <c r="AJ22" i="30"/>
  <c r="AJ17" i="30"/>
  <c r="AJ16" i="30"/>
  <c r="AI250" i="30"/>
  <c r="AI249" i="30"/>
  <c r="AI248" i="30"/>
  <c r="AI247" i="30"/>
  <c r="AI246" i="30"/>
  <c r="AI245" i="30"/>
  <c r="AI244" i="30"/>
  <c r="AI243" i="30"/>
  <c r="AI242" i="30"/>
  <c r="AI241" i="30"/>
  <c r="AI240" i="30"/>
  <c r="AI239" i="30"/>
  <c r="AI238" i="30"/>
  <c r="AI237" i="30"/>
  <c r="AI235" i="30"/>
  <c r="AI234" i="30"/>
  <c r="AI233" i="30"/>
  <c r="AI232" i="30"/>
  <c r="AI231" i="30"/>
  <c r="AI230" i="30"/>
  <c r="AI228" i="30"/>
  <c r="AI227" i="30"/>
  <c r="AI226" i="30"/>
  <c r="AI225" i="30"/>
  <c r="AI224" i="30"/>
  <c r="AI223" i="30"/>
  <c r="AI222" i="30"/>
  <c r="AI220" i="30"/>
  <c r="AI207" i="30"/>
  <c r="AI205" i="30"/>
  <c r="AI203" i="30"/>
  <c r="AI196" i="30"/>
  <c r="AI195" i="30"/>
  <c r="AI194" i="30"/>
  <c r="AI191" i="30"/>
  <c r="AI188" i="30"/>
  <c r="AI187" i="30"/>
  <c r="AI186" i="30"/>
  <c r="AI185" i="30"/>
  <c r="AI184" i="30"/>
  <c r="AI183" i="30"/>
  <c r="AI182" i="30"/>
  <c r="AI181" i="30"/>
  <c r="AI180" i="30"/>
  <c r="AI179" i="30"/>
  <c r="AI178" i="30"/>
  <c r="AI177" i="30"/>
  <c r="AI176" i="30"/>
  <c r="AI175" i="30"/>
  <c r="AI174" i="30"/>
  <c r="AI173" i="30"/>
  <c r="AI172" i="30"/>
  <c r="AI171" i="30"/>
  <c r="AI170" i="30"/>
  <c r="AI169" i="30"/>
  <c r="AI168" i="30"/>
  <c r="AI167" i="30"/>
  <c r="AI166" i="30"/>
  <c r="AI165" i="30"/>
  <c r="AI164" i="30"/>
  <c r="AI163" i="30"/>
  <c r="AI162" i="30"/>
  <c r="AI161" i="30"/>
  <c r="AI160" i="30"/>
  <c r="AI159" i="30"/>
  <c r="AI158" i="30"/>
  <c r="AI157" i="30"/>
  <c r="AI156" i="30"/>
  <c r="AI155" i="30"/>
  <c r="AI154" i="30"/>
  <c r="AI153" i="30"/>
  <c r="AI152" i="30"/>
  <c r="AI151" i="30"/>
  <c r="AI150" i="30"/>
  <c r="AI149" i="30"/>
  <c r="AI148" i="30"/>
  <c r="AI147" i="30"/>
  <c r="AI146" i="30"/>
  <c r="AI145" i="30"/>
  <c r="AI144" i="30"/>
  <c r="AI143" i="30"/>
  <c r="AI142" i="30"/>
  <c r="AI141" i="30"/>
  <c r="AI139" i="30"/>
  <c r="AI135" i="30"/>
  <c r="AI134" i="30"/>
  <c r="AI132" i="30"/>
  <c r="AI131" i="30"/>
  <c r="AI130" i="30"/>
  <c r="AI129" i="30"/>
  <c r="AI127" i="30"/>
  <c r="AI126" i="30"/>
  <c r="AI125" i="30"/>
  <c r="AI123" i="30"/>
  <c r="AI122" i="30"/>
  <c r="AI121" i="30"/>
  <c r="AI120" i="30"/>
  <c r="AI117" i="30"/>
  <c r="AI116" i="30"/>
  <c r="AI115" i="30"/>
  <c r="AI114" i="30"/>
  <c r="AI113" i="30"/>
  <c r="AI112" i="30"/>
  <c r="AI111" i="30"/>
  <c r="AI110" i="30"/>
  <c r="AI109" i="30"/>
  <c r="AI108" i="30"/>
  <c r="AI107" i="30"/>
  <c r="AI106" i="30"/>
  <c r="AI105" i="30"/>
  <c r="AI104" i="30"/>
  <c r="AI103" i="30"/>
  <c r="AI102" i="30"/>
  <c r="AI101" i="30"/>
  <c r="AI100" i="30"/>
  <c r="AI99" i="30"/>
  <c r="AI96" i="30"/>
  <c r="AI95" i="30"/>
  <c r="AI93" i="30"/>
  <c r="AI90" i="30"/>
  <c r="AI89" i="30"/>
  <c r="AI83" i="30"/>
  <c r="AI82" i="30"/>
  <c r="AI81" i="30"/>
  <c r="AI80" i="30"/>
  <c r="AI78" i="30"/>
  <c r="AI77" i="30"/>
  <c r="AI76" i="30"/>
  <c r="AI75" i="30"/>
  <c r="AI74" i="30"/>
  <c r="AI72" i="30"/>
  <c r="AI71" i="30"/>
  <c r="AI70" i="30"/>
  <c r="AI69" i="30"/>
  <c r="AI67" i="30"/>
  <c r="AI64" i="30"/>
  <c r="AI62" i="30"/>
  <c r="AI50" i="30"/>
  <c r="AI38" i="30"/>
  <c r="AI37" i="30"/>
  <c r="AI36" i="30"/>
  <c r="AI35" i="30"/>
  <c r="AI34" i="30"/>
  <c r="AI33" i="30"/>
  <c r="AI32" i="30"/>
  <c r="AI31" i="30"/>
  <c r="AI29" i="30"/>
  <c r="AI28" i="30"/>
  <c r="AI27" i="30"/>
  <c r="AI22" i="30"/>
  <c r="AI17" i="30"/>
  <c r="AI16" i="30"/>
  <c r="AH250" i="30"/>
  <c r="AH249" i="30"/>
  <c r="AH248" i="30"/>
  <c r="AH247" i="30"/>
  <c r="AH246" i="30"/>
  <c r="AH245" i="30"/>
  <c r="AH244" i="30"/>
  <c r="AH243" i="30"/>
  <c r="AH242" i="30"/>
  <c r="AH241" i="30"/>
  <c r="AH240" i="30"/>
  <c r="AH239" i="30"/>
  <c r="AH238" i="30"/>
  <c r="AH237" i="30"/>
  <c r="AH235" i="30"/>
  <c r="AH234" i="30"/>
  <c r="AH233" i="30"/>
  <c r="AH232" i="30"/>
  <c r="AH231" i="30"/>
  <c r="AH230" i="30"/>
  <c r="AH228" i="30"/>
  <c r="AH227" i="30"/>
  <c r="AH226" i="30"/>
  <c r="AH225" i="30"/>
  <c r="AH224" i="30"/>
  <c r="AH223" i="30"/>
  <c r="AH222" i="30"/>
  <c r="AH220" i="30"/>
  <c r="AH207" i="30"/>
  <c r="AH205" i="30"/>
  <c r="AH203" i="30"/>
  <c r="AH196" i="30"/>
  <c r="AH195" i="30"/>
  <c r="AH194" i="30"/>
  <c r="AH191" i="30"/>
  <c r="AH188" i="30"/>
  <c r="AH187" i="30"/>
  <c r="AH186" i="30"/>
  <c r="AH185" i="30"/>
  <c r="AH184" i="30"/>
  <c r="AH183" i="30"/>
  <c r="AH182" i="30"/>
  <c r="AH181" i="30"/>
  <c r="AH180" i="30"/>
  <c r="AH179" i="30"/>
  <c r="AH178" i="30"/>
  <c r="AH177" i="30"/>
  <c r="AH176" i="30"/>
  <c r="AH175" i="30"/>
  <c r="AH174" i="30"/>
  <c r="AH173" i="30"/>
  <c r="AH172" i="30"/>
  <c r="AH171" i="30"/>
  <c r="AH170" i="30"/>
  <c r="AH169" i="30"/>
  <c r="AH168" i="30"/>
  <c r="AH167" i="30"/>
  <c r="AH166" i="30"/>
  <c r="AH165" i="30"/>
  <c r="AH164" i="30"/>
  <c r="AH163" i="30"/>
  <c r="AH162" i="30"/>
  <c r="AH161" i="30"/>
  <c r="AH160" i="30"/>
  <c r="AH159" i="30"/>
  <c r="AH158" i="30"/>
  <c r="AH157" i="30"/>
  <c r="AH156" i="30"/>
  <c r="AH155" i="30"/>
  <c r="AH154" i="30"/>
  <c r="AH153" i="30"/>
  <c r="AH152" i="30"/>
  <c r="AH151" i="30"/>
  <c r="AH150" i="30"/>
  <c r="AH149" i="30"/>
  <c r="AH148" i="30"/>
  <c r="AH147" i="30"/>
  <c r="AH146" i="30"/>
  <c r="AH145" i="30"/>
  <c r="AH144" i="30"/>
  <c r="AH143" i="30"/>
  <c r="AH142" i="30"/>
  <c r="AH141" i="30"/>
  <c r="AH139" i="30"/>
  <c r="AH135" i="30"/>
  <c r="AH134" i="30"/>
  <c r="AH132" i="30"/>
  <c r="AH131" i="30"/>
  <c r="AH130" i="30"/>
  <c r="AH129" i="30"/>
  <c r="AH127" i="30"/>
  <c r="AH126" i="30"/>
  <c r="AH125" i="30"/>
  <c r="AH123" i="30"/>
  <c r="AH122" i="30"/>
  <c r="AH121" i="30"/>
  <c r="AH120" i="30"/>
  <c r="AH117" i="30"/>
  <c r="AH116" i="30"/>
  <c r="AH115" i="30"/>
  <c r="AH114" i="30"/>
  <c r="AH113" i="30"/>
  <c r="AH112" i="30"/>
  <c r="AH111" i="30"/>
  <c r="AH110" i="30"/>
  <c r="AH109" i="30"/>
  <c r="AH108" i="30"/>
  <c r="AH107" i="30"/>
  <c r="AH106" i="30"/>
  <c r="AH105" i="30"/>
  <c r="AH104" i="30"/>
  <c r="AH103" i="30"/>
  <c r="AH102" i="30"/>
  <c r="AH101" i="30"/>
  <c r="AH100" i="30"/>
  <c r="AH99" i="30"/>
  <c r="AH96" i="30"/>
  <c r="AH95" i="30"/>
  <c r="AH93" i="30"/>
  <c r="AH90" i="30"/>
  <c r="AH89" i="30"/>
  <c r="AH83" i="30"/>
  <c r="AH82" i="30"/>
  <c r="AH81" i="30"/>
  <c r="AH80" i="30"/>
  <c r="AH78" i="30"/>
  <c r="AH77" i="30"/>
  <c r="AH76" i="30"/>
  <c r="AH75" i="30"/>
  <c r="AH74" i="30"/>
  <c r="AH72" i="30"/>
  <c r="AH71" i="30"/>
  <c r="AH70" i="30"/>
  <c r="AH69" i="30"/>
  <c r="AH67" i="30"/>
  <c r="AH64" i="30"/>
  <c r="AH62" i="30"/>
  <c r="AH50" i="30"/>
  <c r="AH38" i="30"/>
  <c r="AH37" i="30"/>
  <c r="AH36" i="30"/>
  <c r="AH35" i="30"/>
  <c r="AH34" i="30"/>
  <c r="AH33" i="30"/>
  <c r="AH32" i="30"/>
  <c r="AH31" i="30"/>
  <c r="AH29" i="30"/>
  <c r="AH28" i="30"/>
  <c r="AH27" i="30"/>
  <c r="AH22" i="30"/>
  <c r="AH17" i="30"/>
  <c r="AH16" i="30"/>
  <c r="AG250" i="30"/>
  <c r="AG249" i="30"/>
  <c r="AG248" i="30"/>
  <c r="AG247" i="30"/>
  <c r="AG246" i="30"/>
  <c r="AG245" i="30"/>
  <c r="AG244" i="30"/>
  <c r="AG243" i="30"/>
  <c r="AG242" i="30"/>
  <c r="AG241" i="30"/>
  <c r="AG240" i="30"/>
  <c r="AG239" i="30"/>
  <c r="AG238" i="30"/>
  <c r="AG237" i="30"/>
  <c r="AG235" i="30"/>
  <c r="AG234" i="30"/>
  <c r="AG233" i="30"/>
  <c r="AG232" i="30"/>
  <c r="AG231" i="30"/>
  <c r="AG230" i="30"/>
  <c r="AG228" i="30"/>
  <c r="AG227" i="30"/>
  <c r="AG226" i="30"/>
  <c r="AG225" i="30"/>
  <c r="AG224" i="30"/>
  <c r="AG223" i="30"/>
  <c r="AG222" i="30"/>
  <c r="AG220" i="30"/>
  <c r="AG207" i="30"/>
  <c r="AG205" i="30"/>
  <c r="AG203" i="30"/>
  <c r="AG196" i="30"/>
  <c r="AG195" i="30"/>
  <c r="AG194" i="30"/>
  <c r="AG191" i="30"/>
  <c r="AG188" i="30"/>
  <c r="AG187" i="30"/>
  <c r="AG186" i="30"/>
  <c r="AG185" i="30"/>
  <c r="AG184" i="30"/>
  <c r="AG183" i="30"/>
  <c r="AG182" i="30"/>
  <c r="AG181" i="30"/>
  <c r="AG180" i="30"/>
  <c r="AG179" i="30"/>
  <c r="AG178" i="30"/>
  <c r="AG177" i="30"/>
  <c r="AG176" i="30"/>
  <c r="AG175" i="30"/>
  <c r="AG174" i="30"/>
  <c r="AG173" i="30"/>
  <c r="AG172" i="30"/>
  <c r="AG171" i="30"/>
  <c r="AG170" i="30"/>
  <c r="AG169" i="30"/>
  <c r="AG168" i="30"/>
  <c r="AG167" i="30"/>
  <c r="AG166" i="30"/>
  <c r="AG165" i="30"/>
  <c r="AG164" i="30"/>
  <c r="AG163" i="30"/>
  <c r="AG162" i="30"/>
  <c r="AG161" i="30"/>
  <c r="AG160" i="30"/>
  <c r="AG159" i="30"/>
  <c r="AG158" i="30"/>
  <c r="AG157" i="30"/>
  <c r="AG156" i="30"/>
  <c r="AG155" i="30"/>
  <c r="AG154" i="30"/>
  <c r="AG153" i="30"/>
  <c r="AG152" i="30"/>
  <c r="AG151" i="30"/>
  <c r="AG150" i="30"/>
  <c r="AG149" i="30"/>
  <c r="AG148" i="30"/>
  <c r="AG147" i="30"/>
  <c r="AG146" i="30"/>
  <c r="AG145" i="30"/>
  <c r="AG144" i="30"/>
  <c r="AG143" i="30"/>
  <c r="AG142" i="30"/>
  <c r="AG141" i="30"/>
  <c r="AG139" i="30"/>
  <c r="AG135" i="30"/>
  <c r="AG134" i="30"/>
  <c r="AG132" i="30"/>
  <c r="AG131" i="30"/>
  <c r="AG130" i="30"/>
  <c r="AG129" i="30"/>
  <c r="AG127" i="30"/>
  <c r="AG126" i="30"/>
  <c r="AG125" i="30"/>
  <c r="AG123" i="30"/>
  <c r="AG122" i="30"/>
  <c r="AG121" i="30"/>
  <c r="AG120" i="30"/>
  <c r="AG117" i="30"/>
  <c r="AG116" i="30"/>
  <c r="AG115" i="30"/>
  <c r="AG114" i="30"/>
  <c r="AG113" i="30"/>
  <c r="AG112" i="30"/>
  <c r="AG111" i="30"/>
  <c r="AG110" i="30"/>
  <c r="AG109" i="30"/>
  <c r="AG108" i="30"/>
  <c r="AG107" i="30"/>
  <c r="AG106" i="30"/>
  <c r="AG105" i="30"/>
  <c r="AG104" i="30"/>
  <c r="AG103" i="30"/>
  <c r="AG102" i="30"/>
  <c r="AG101" i="30"/>
  <c r="AG100" i="30"/>
  <c r="AG99" i="30"/>
  <c r="AG96" i="30"/>
  <c r="AG95" i="30"/>
  <c r="AG93" i="30"/>
  <c r="AG90" i="30"/>
  <c r="AG89" i="30"/>
  <c r="AG83" i="30"/>
  <c r="AG82" i="30"/>
  <c r="AG81" i="30"/>
  <c r="AG80" i="30"/>
  <c r="AG78" i="30"/>
  <c r="AG77" i="30"/>
  <c r="AG76" i="30"/>
  <c r="AG75" i="30"/>
  <c r="AG74" i="30"/>
  <c r="AG72" i="30"/>
  <c r="AG71" i="30"/>
  <c r="AG70" i="30"/>
  <c r="AG69" i="30"/>
  <c r="AG67" i="30"/>
  <c r="AG64" i="30"/>
  <c r="AG62" i="30"/>
  <c r="AG50" i="30"/>
  <c r="AG38" i="30"/>
  <c r="AG37" i="30"/>
  <c r="AG36" i="30"/>
  <c r="AG35" i="30"/>
  <c r="AG34" i="30"/>
  <c r="AG33" i="30"/>
  <c r="AG32" i="30"/>
  <c r="AG31" i="30"/>
  <c r="AG29" i="30"/>
  <c r="AG28" i="30"/>
  <c r="AG27" i="30"/>
  <c r="AG22" i="30"/>
  <c r="AG17" i="30"/>
  <c r="AG16" i="30"/>
  <c r="AF250" i="30"/>
  <c r="AF249" i="30"/>
  <c r="AF248" i="30"/>
  <c r="AF247" i="30"/>
  <c r="AF246" i="30"/>
  <c r="AF245" i="30"/>
  <c r="AF244" i="30"/>
  <c r="AF243" i="30"/>
  <c r="AF242" i="30"/>
  <c r="AF241" i="30"/>
  <c r="AF240" i="30"/>
  <c r="AF239" i="30"/>
  <c r="AF238" i="30"/>
  <c r="AF237" i="30"/>
  <c r="AF235" i="30"/>
  <c r="AF234" i="30"/>
  <c r="AF233" i="30"/>
  <c r="AF232" i="30"/>
  <c r="AF231" i="30"/>
  <c r="AF230" i="30"/>
  <c r="AF228" i="30"/>
  <c r="AF227" i="30"/>
  <c r="AF226" i="30"/>
  <c r="AF225" i="30"/>
  <c r="AF224" i="30"/>
  <c r="AF223" i="30"/>
  <c r="AF222" i="30"/>
  <c r="AF220" i="30"/>
  <c r="AF207" i="30"/>
  <c r="AF205" i="30"/>
  <c r="AF203" i="30"/>
  <c r="AF196" i="30"/>
  <c r="AF195" i="30"/>
  <c r="AF194" i="30"/>
  <c r="AF191" i="30"/>
  <c r="AF188" i="30"/>
  <c r="AF187" i="30"/>
  <c r="AF186" i="30"/>
  <c r="AF185" i="30"/>
  <c r="AF184" i="30"/>
  <c r="AF183" i="30"/>
  <c r="AF182" i="30"/>
  <c r="AF181" i="30"/>
  <c r="AF180" i="30"/>
  <c r="AF179" i="30"/>
  <c r="AF178" i="30"/>
  <c r="AF177" i="30"/>
  <c r="AF176" i="30"/>
  <c r="AF175" i="30"/>
  <c r="AF174" i="30"/>
  <c r="AF173" i="30"/>
  <c r="AF172" i="30"/>
  <c r="AF171" i="30"/>
  <c r="AF170" i="30"/>
  <c r="AF169" i="30"/>
  <c r="AF168" i="30"/>
  <c r="AF167" i="30"/>
  <c r="AF166" i="30"/>
  <c r="AF165" i="30"/>
  <c r="AF164" i="30"/>
  <c r="AF163" i="30"/>
  <c r="AF162" i="30"/>
  <c r="AF161" i="30"/>
  <c r="AF160" i="30"/>
  <c r="AF159" i="30"/>
  <c r="AF158" i="30"/>
  <c r="AF157" i="30"/>
  <c r="AF156" i="30"/>
  <c r="AF155" i="30"/>
  <c r="AF154" i="30"/>
  <c r="AF153" i="30"/>
  <c r="AF152" i="30"/>
  <c r="AF151" i="30"/>
  <c r="AF150" i="30"/>
  <c r="AF149" i="30"/>
  <c r="AF148" i="30"/>
  <c r="AF147" i="30"/>
  <c r="AF146" i="30"/>
  <c r="AF145" i="30"/>
  <c r="AF144" i="30"/>
  <c r="AF143" i="30"/>
  <c r="AF142" i="30"/>
  <c r="AF141" i="30"/>
  <c r="AF139" i="30"/>
  <c r="AF135" i="30"/>
  <c r="AF134" i="30"/>
  <c r="AF132" i="30"/>
  <c r="AF131" i="30"/>
  <c r="AF130" i="30"/>
  <c r="AF129" i="30"/>
  <c r="AF127" i="30"/>
  <c r="AF126" i="30"/>
  <c r="AF125" i="30"/>
  <c r="AF123" i="30"/>
  <c r="AF122" i="30"/>
  <c r="AF121" i="30"/>
  <c r="AF120" i="30"/>
  <c r="AF117" i="30"/>
  <c r="AF116" i="30"/>
  <c r="AF115" i="30"/>
  <c r="AF114" i="30"/>
  <c r="AF113" i="30"/>
  <c r="AF112" i="30"/>
  <c r="AF111" i="30"/>
  <c r="AF110" i="30"/>
  <c r="AF109" i="30"/>
  <c r="AF108" i="30"/>
  <c r="AF107" i="30"/>
  <c r="AF106" i="30"/>
  <c r="AF105" i="30"/>
  <c r="AF104" i="30"/>
  <c r="AF103" i="30"/>
  <c r="AF102" i="30"/>
  <c r="AF101" i="30"/>
  <c r="AF100" i="30"/>
  <c r="AF99" i="30"/>
  <c r="AF96" i="30"/>
  <c r="AF95" i="30"/>
  <c r="AF93" i="30"/>
  <c r="AF90" i="30"/>
  <c r="AF89" i="30"/>
  <c r="AF83" i="30"/>
  <c r="AF82" i="30"/>
  <c r="AF81" i="30"/>
  <c r="AF80" i="30"/>
  <c r="AF78" i="30"/>
  <c r="AF77" i="30"/>
  <c r="AF76" i="30"/>
  <c r="AF75" i="30"/>
  <c r="AF74" i="30"/>
  <c r="AF72" i="30"/>
  <c r="AF71" i="30"/>
  <c r="AF70" i="30"/>
  <c r="AF69" i="30"/>
  <c r="AF67" i="30"/>
  <c r="AF64" i="30"/>
  <c r="AF62" i="30"/>
  <c r="AF50" i="30"/>
  <c r="AF38" i="30"/>
  <c r="AF37" i="30"/>
  <c r="AF36" i="30"/>
  <c r="AF35" i="30"/>
  <c r="AF34" i="30"/>
  <c r="AF33" i="30"/>
  <c r="AF32" i="30"/>
  <c r="AF31" i="30"/>
  <c r="AF29" i="30"/>
  <c r="AF28" i="30"/>
  <c r="AF27" i="30"/>
  <c r="AF22" i="30"/>
  <c r="AF17" i="30"/>
  <c r="AF16" i="30"/>
  <c r="AE250" i="30"/>
  <c r="AE249" i="30"/>
  <c r="AE248" i="30"/>
  <c r="AE247" i="30"/>
  <c r="AE246" i="30"/>
  <c r="AE245" i="30"/>
  <c r="AE244" i="30"/>
  <c r="AE243" i="30"/>
  <c r="AE242" i="30"/>
  <c r="AE241" i="30"/>
  <c r="AE240" i="30"/>
  <c r="AE239" i="30"/>
  <c r="AE238" i="30"/>
  <c r="AE237" i="30"/>
  <c r="AE235" i="30"/>
  <c r="AE234" i="30"/>
  <c r="AE233" i="30"/>
  <c r="AE232" i="30"/>
  <c r="AE231" i="30"/>
  <c r="AE230" i="30"/>
  <c r="AE228" i="30"/>
  <c r="AE227" i="30"/>
  <c r="AE226" i="30"/>
  <c r="AE225" i="30"/>
  <c r="AE224" i="30"/>
  <c r="AE223" i="30"/>
  <c r="AE222" i="30"/>
  <c r="AE220" i="30"/>
  <c r="AE207" i="30"/>
  <c r="AE205" i="30"/>
  <c r="AE203" i="30"/>
  <c r="AE196" i="30"/>
  <c r="AE195" i="30"/>
  <c r="AE194" i="30"/>
  <c r="AE191" i="30"/>
  <c r="AE188" i="30"/>
  <c r="AE187" i="30"/>
  <c r="AE186" i="30"/>
  <c r="AE185" i="30"/>
  <c r="AE184" i="30"/>
  <c r="AE183" i="30"/>
  <c r="AE182" i="30"/>
  <c r="AE181" i="30"/>
  <c r="AE180" i="30"/>
  <c r="AE179" i="30"/>
  <c r="AE178" i="30"/>
  <c r="AE177" i="30"/>
  <c r="AE176" i="30"/>
  <c r="AE175" i="30"/>
  <c r="AE174" i="30"/>
  <c r="AE173" i="30"/>
  <c r="AE172" i="30"/>
  <c r="AE171" i="30"/>
  <c r="AE170" i="30"/>
  <c r="AE169" i="30"/>
  <c r="AE168" i="30"/>
  <c r="AE167" i="30"/>
  <c r="AE166" i="30"/>
  <c r="AE165" i="30"/>
  <c r="AE164" i="30"/>
  <c r="AE163" i="30"/>
  <c r="AE162" i="30"/>
  <c r="AE161" i="30"/>
  <c r="AE160" i="30"/>
  <c r="AE159" i="30"/>
  <c r="AE158" i="30"/>
  <c r="AE157" i="30"/>
  <c r="AE156" i="30"/>
  <c r="AE155" i="30"/>
  <c r="AE154" i="30"/>
  <c r="AE153" i="30"/>
  <c r="AE152" i="30"/>
  <c r="AE151" i="30"/>
  <c r="AE150" i="30"/>
  <c r="AE149" i="30"/>
  <c r="AE148" i="30"/>
  <c r="AE147" i="30"/>
  <c r="AE146" i="30"/>
  <c r="AE145" i="30"/>
  <c r="AE144" i="30"/>
  <c r="AE143" i="30"/>
  <c r="AE142" i="30"/>
  <c r="AE141" i="30"/>
  <c r="AE139" i="30"/>
  <c r="AE135" i="30"/>
  <c r="AE134" i="30"/>
  <c r="AE132" i="30"/>
  <c r="AE131" i="30"/>
  <c r="AE130" i="30"/>
  <c r="AE129" i="30"/>
  <c r="AE127" i="30"/>
  <c r="AE126" i="30"/>
  <c r="AE125" i="30"/>
  <c r="AE123" i="30"/>
  <c r="AE122" i="30"/>
  <c r="AE121" i="30"/>
  <c r="AE120" i="30"/>
  <c r="AE117" i="30"/>
  <c r="AE116" i="30"/>
  <c r="AE115" i="30"/>
  <c r="AE114" i="30"/>
  <c r="AE113" i="30"/>
  <c r="AE112" i="30"/>
  <c r="AE111" i="30"/>
  <c r="AE110" i="30"/>
  <c r="AE109" i="30"/>
  <c r="AE108" i="30"/>
  <c r="AE107" i="30"/>
  <c r="AE106" i="30"/>
  <c r="AE105" i="30"/>
  <c r="AE104" i="30"/>
  <c r="AE103" i="30"/>
  <c r="AE102" i="30"/>
  <c r="AE101" i="30"/>
  <c r="AE100" i="30"/>
  <c r="AE99" i="30"/>
  <c r="AE96" i="30"/>
  <c r="AE95" i="30"/>
  <c r="AE93" i="30"/>
  <c r="AE90" i="30"/>
  <c r="AE89" i="30"/>
  <c r="AE83" i="30"/>
  <c r="AE82" i="30"/>
  <c r="AE81" i="30"/>
  <c r="AE80" i="30"/>
  <c r="AE78" i="30"/>
  <c r="AE77" i="30"/>
  <c r="AE76" i="30"/>
  <c r="AE75" i="30"/>
  <c r="AE74" i="30"/>
  <c r="AE72" i="30"/>
  <c r="AE71" i="30"/>
  <c r="AE70" i="30"/>
  <c r="AE69" i="30"/>
  <c r="AE67" i="30"/>
  <c r="AE64" i="30"/>
  <c r="AE62" i="30"/>
  <c r="AE50" i="30"/>
  <c r="AE38" i="30"/>
  <c r="AE37" i="30"/>
  <c r="AE36" i="30"/>
  <c r="AE35" i="30"/>
  <c r="AE34" i="30"/>
  <c r="AE33" i="30"/>
  <c r="AE32" i="30"/>
  <c r="AE31" i="30"/>
  <c r="AE29" i="30"/>
  <c r="AE28" i="30"/>
  <c r="AE27" i="30"/>
  <c r="AE22" i="30"/>
  <c r="AE17" i="30"/>
  <c r="AE16" i="30"/>
  <c r="AD250" i="30"/>
  <c r="AD249" i="30"/>
  <c r="AD248" i="30"/>
  <c r="AD247" i="30"/>
  <c r="AD246" i="30"/>
  <c r="AD245" i="30"/>
  <c r="AD244" i="30"/>
  <c r="AD243" i="30"/>
  <c r="AD242" i="30"/>
  <c r="AD241" i="30"/>
  <c r="AD240" i="30"/>
  <c r="AD239" i="30"/>
  <c r="AD238" i="30"/>
  <c r="AD237" i="30"/>
  <c r="AD235" i="30"/>
  <c r="AD234" i="30"/>
  <c r="AD233" i="30"/>
  <c r="AD232" i="30"/>
  <c r="AD231" i="30"/>
  <c r="AD230" i="30"/>
  <c r="AD228" i="30"/>
  <c r="AD227" i="30"/>
  <c r="AD226" i="30"/>
  <c r="AD225" i="30"/>
  <c r="AD224" i="30"/>
  <c r="AD223" i="30"/>
  <c r="AD222" i="30"/>
  <c r="AD220" i="30"/>
  <c r="AD207" i="30"/>
  <c r="AD205" i="30"/>
  <c r="AD203" i="30"/>
  <c r="AD196" i="30"/>
  <c r="AD195" i="30"/>
  <c r="AD194" i="30"/>
  <c r="AD191" i="30"/>
  <c r="AD188" i="30"/>
  <c r="AD187" i="30"/>
  <c r="AD186" i="30"/>
  <c r="AD185" i="30"/>
  <c r="AD184" i="30"/>
  <c r="AD183" i="30"/>
  <c r="AD182" i="30"/>
  <c r="AD181" i="30"/>
  <c r="AD180" i="30"/>
  <c r="AD179" i="30"/>
  <c r="AD178" i="30"/>
  <c r="AD177" i="30"/>
  <c r="AD176" i="30"/>
  <c r="AD175" i="30"/>
  <c r="AD174" i="30"/>
  <c r="AD173" i="30"/>
  <c r="AD172" i="30"/>
  <c r="AD171" i="30"/>
  <c r="AD170" i="30"/>
  <c r="AD169" i="30"/>
  <c r="AD168" i="30"/>
  <c r="AD167" i="30"/>
  <c r="AD166" i="30"/>
  <c r="AD165" i="30"/>
  <c r="AD164" i="30"/>
  <c r="AD163" i="30"/>
  <c r="AD162" i="30"/>
  <c r="AD161" i="30"/>
  <c r="AD160" i="30"/>
  <c r="AD159" i="30"/>
  <c r="AD158" i="30"/>
  <c r="AD157" i="30"/>
  <c r="AD156" i="30"/>
  <c r="AD155" i="30"/>
  <c r="AD154" i="30"/>
  <c r="AD153" i="30"/>
  <c r="AD152" i="30"/>
  <c r="AD151" i="30"/>
  <c r="AD150" i="30"/>
  <c r="AD149" i="30"/>
  <c r="AD148" i="30"/>
  <c r="AD147" i="30"/>
  <c r="AD146" i="30"/>
  <c r="AD145" i="30"/>
  <c r="AD144" i="30"/>
  <c r="AD143" i="30"/>
  <c r="AD142" i="30"/>
  <c r="AD141" i="30"/>
  <c r="AD139" i="30"/>
  <c r="AD135" i="30"/>
  <c r="AD134" i="30"/>
  <c r="AD132" i="30"/>
  <c r="AD131" i="30"/>
  <c r="AD130" i="30"/>
  <c r="AD129" i="30"/>
  <c r="AD127" i="30"/>
  <c r="AD126" i="30"/>
  <c r="AD125" i="30"/>
  <c r="AD123" i="30"/>
  <c r="AD122" i="30"/>
  <c r="AD121" i="30"/>
  <c r="AD120" i="30"/>
  <c r="AD117" i="30"/>
  <c r="AD116" i="30"/>
  <c r="AD115" i="30"/>
  <c r="AD114" i="30"/>
  <c r="AD113" i="30"/>
  <c r="AD112" i="30"/>
  <c r="AD111" i="30"/>
  <c r="AD110" i="30"/>
  <c r="AD109" i="30"/>
  <c r="AD108" i="30"/>
  <c r="AD107" i="30"/>
  <c r="AD106" i="30"/>
  <c r="AD105" i="30"/>
  <c r="AD104" i="30"/>
  <c r="AD103" i="30"/>
  <c r="AD102" i="30"/>
  <c r="AD101" i="30"/>
  <c r="AD100" i="30"/>
  <c r="AD99" i="30"/>
  <c r="AD96" i="30"/>
  <c r="AD93" i="30"/>
  <c r="AD90" i="30"/>
  <c r="AD89" i="30"/>
  <c r="AD83" i="30"/>
  <c r="AD82" i="30"/>
  <c r="AD81" i="30"/>
  <c r="AD80" i="30"/>
  <c r="AD78" i="30"/>
  <c r="AD77" i="30"/>
  <c r="AD76" i="30"/>
  <c r="AD75" i="30"/>
  <c r="AD74" i="30"/>
  <c r="AD72" i="30"/>
  <c r="AD71" i="30"/>
  <c r="AD70" i="30"/>
  <c r="AD69" i="30"/>
  <c r="AD67" i="30"/>
  <c r="AD64" i="30"/>
  <c r="AD62" i="30"/>
  <c r="AD50" i="30"/>
  <c r="AD38" i="30"/>
  <c r="AD37" i="30"/>
  <c r="AD36" i="30"/>
  <c r="AD35" i="30"/>
  <c r="AD34" i="30"/>
  <c r="AD33" i="30"/>
  <c r="AD32" i="30"/>
  <c r="AD31" i="30"/>
  <c r="AD29" i="30"/>
  <c r="AD28" i="30"/>
  <c r="AD27" i="30"/>
  <c r="AD22" i="30"/>
  <c r="AD17" i="30"/>
  <c r="AD16" i="30"/>
  <c r="AC250" i="30"/>
  <c r="AC249" i="30"/>
  <c r="AC248" i="30"/>
  <c r="AC247" i="30"/>
  <c r="AC246" i="30"/>
  <c r="AC245" i="30"/>
  <c r="AC244" i="30"/>
  <c r="AC243" i="30"/>
  <c r="AC242" i="30"/>
  <c r="AC241" i="30"/>
  <c r="AC240" i="30"/>
  <c r="AC239" i="30"/>
  <c r="AC238" i="30"/>
  <c r="AC237" i="30"/>
  <c r="AC235" i="30"/>
  <c r="AC234" i="30"/>
  <c r="AC233" i="30"/>
  <c r="AC232" i="30"/>
  <c r="AC231" i="30"/>
  <c r="AC230" i="30"/>
  <c r="AC228" i="30"/>
  <c r="AC227" i="30"/>
  <c r="AC226" i="30"/>
  <c r="AC225" i="30"/>
  <c r="AC224" i="30"/>
  <c r="AC223" i="30"/>
  <c r="AC222" i="30"/>
  <c r="AC220" i="30"/>
  <c r="AC207" i="30"/>
  <c r="AC205" i="30"/>
  <c r="AC203" i="30"/>
  <c r="AC196" i="30"/>
  <c r="AC195" i="30"/>
  <c r="AC194" i="30"/>
  <c r="AC191" i="30"/>
  <c r="AC188" i="30"/>
  <c r="AC187" i="30"/>
  <c r="AC186" i="30"/>
  <c r="AC185" i="30"/>
  <c r="AC184" i="30"/>
  <c r="AC183" i="30"/>
  <c r="AC182" i="30"/>
  <c r="AC181" i="30"/>
  <c r="AC180" i="30"/>
  <c r="AC179" i="30"/>
  <c r="AC178" i="30"/>
  <c r="AC177" i="30"/>
  <c r="AC176" i="30"/>
  <c r="AC175" i="30"/>
  <c r="AC174" i="30"/>
  <c r="AC173" i="30"/>
  <c r="AC172" i="30"/>
  <c r="AC171" i="30"/>
  <c r="AC170" i="30"/>
  <c r="AC169" i="30"/>
  <c r="AC168" i="30"/>
  <c r="AC167" i="30"/>
  <c r="AC166" i="30"/>
  <c r="AC165" i="30"/>
  <c r="AC164" i="30"/>
  <c r="AC163" i="30"/>
  <c r="AC162" i="30"/>
  <c r="AC161" i="30"/>
  <c r="AC160" i="30"/>
  <c r="AC159" i="30"/>
  <c r="AC158" i="30"/>
  <c r="AC157" i="30"/>
  <c r="AC156" i="30"/>
  <c r="AC155" i="30"/>
  <c r="AC154" i="30"/>
  <c r="AC153" i="30"/>
  <c r="AC152" i="30"/>
  <c r="AC151" i="30"/>
  <c r="AC150" i="30"/>
  <c r="AC149" i="30"/>
  <c r="AC148" i="30"/>
  <c r="AC147" i="30"/>
  <c r="AC146" i="30"/>
  <c r="AC145" i="30"/>
  <c r="AC144" i="30"/>
  <c r="AC143" i="30"/>
  <c r="AC142" i="30"/>
  <c r="AC141" i="30"/>
  <c r="AC139" i="30"/>
  <c r="AC135" i="30"/>
  <c r="AC134" i="30"/>
  <c r="AC132" i="30"/>
  <c r="AC131" i="30"/>
  <c r="AC130" i="30"/>
  <c r="AC129" i="30"/>
  <c r="AC127" i="30"/>
  <c r="AC126" i="30"/>
  <c r="AC125" i="30"/>
  <c r="AC123" i="30"/>
  <c r="AC122" i="30"/>
  <c r="AC121" i="30"/>
  <c r="AC120" i="30"/>
  <c r="AC117" i="30"/>
  <c r="AC116" i="30"/>
  <c r="AC115" i="30"/>
  <c r="AC114" i="30"/>
  <c r="AC113" i="30"/>
  <c r="AC112" i="30"/>
  <c r="AC111" i="30"/>
  <c r="AC110" i="30"/>
  <c r="AC109" i="30"/>
  <c r="AC108" i="30"/>
  <c r="AC107" i="30"/>
  <c r="AC106" i="30"/>
  <c r="AC105" i="30"/>
  <c r="AC104" i="30"/>
  <c r="AC103" i="30"/>
  <c r="AC102" i="30"/>
  <c r="AC101" i="30"/>
  <c r="AC100" i="30"/>
  <c r="AC99" i="30"/>
  <c r="AC96" i="30"/>
  <c r="AC95" i="30"/>
  <c r="AC93" i="30"/>
  <c r="AC90" i="30"/>
  <c r="AC89" i="30"/>
  <c r="AC83" i="30"/>
  <c r="AC82" i="30"/>
  <c r="AC81" i="30"/>
  <c r="AC80" i="30"/>
  <c r="AC78" i="30"/>
  <c r="AC77" i="30"/>
  <c r="AC76" i="30"/>
  <c r="AC75" i="30"/>
  <c r="AC74" i="30"/>
  <c r="AC72" i="30"/>
  <c r="AC71" i="30"/>
  <c r="AC70" i="30"/>
  <c r="AC69" i="30"/>
  <c r="AC67" i="30"/>
  <c r="AC64" i="30"/>
  <c r="AC62" i="30"/>
  <c r="AC50" i="30"/>
  <c r="AC38" i="30"/>
  <c r="AC37" i="30"/>
  <c r="AC36" i="30"/>
  <c r="AC35" i="30"/>
  <c r="AC34" i="30"/>
  <c r="AC33" i="30"/>
  <c r="AC32" i="30"/>
  <c r="AC31" i="30"/>
  <c r="AC29" i="30"/>
  <c r="AC28" i="30"/>
  <c r="AC27" i="30"/>
  <c r="AC22" i="30"/>
  <c r="AC17" i="30"/>
  <c r="AC16" i="30"/>
  <c r="AB250" i="30"/>
  <c r="AB249" i="30"/>
  <c r="AB248" i="30"/>
  <c r="AB247" i="30"/>
  <c r="AB246" i="30"/>
  <c r="AB245" i="30"/>
  <c r="AB244" i="30"/>
  <c r="AB243" i="30"/>
  <c r="AB242" i="30"/>
  <c r="AB241" i="30"/>
  <c r="AB240" i="30"/>
  <c r="AB239" i="30"/>
  <c r="AB238" i="30"/>
  <c r="AB237" i="30"/>
  <c r="AB235" i="30"/>
  <c r="AB234" i="30"/>
  <c r="AB233" i="30"/>
  <c r="AB232" i="30"/>
  <c r="AB231" i="30"/>
  <c r="AB230" i="30"/>
  <c r="AB228" i="30"/>
  <c r="AB227" i="30"/>
  <c r="AB226" i="30"/>
  <c r="AB225" i="30"/>
  <c r="AB224" i="30"/>
  <c r="AB223" i="30"/>
  <c r="AB222" i="30"/>
  <c r="AB220" i="30"/>
  <c r="AB207" i="30"/>
  <c r="AB205" i="30"/>
  <c r="AB203" i="30"/>
  <c r="AB196" i="30"/>
  <c r="AB195" i="30"/>
  <c r="AB194" i="30"/>
  <c r="AB191" i="30"/>
  <c r="AB188" i="30"/>
  <c r="AB187" i="30"/>
  <c r="AB186" i="30"/>
  <c r="AB185" i="30"/>
  <c r="AB184" i="30"/>
  <c r="AB183" i="30"/>
  <c r="AB182" i="30"/>
  <c r="AB181" i="30"/>
  <c r="AB180" i="30"/>
  <c r="AB179" i="30"/>
  <c r="AB178" i="30"/>
  <c r="AB177" i="30"/>
  <c r="AB176" i="30"/>
  <c r="AB175" i="30"/>
  <c r="AB174" i="30"/>
  <c r="AB173" i="30"/>
  <c r="AB172" i="30"/>
  <c r="AB171" i="30"/>
  <c r="AB170" i="30"/>
  <c r="AB169" i="30"/>
  <c r="AB168" i="30"/>
  <c r="AB167" i="30"/>
  <c r="AB166" i="30"/>
  <c r="AB165" i="30"/>
  <c r="AB164" i="30"/>
  <c r="AB163" i="30"/>
  <c r="AB162" i="30"/>
  <c r="AB161" i="30"/>
  <c r="AB160" i="30"/>
  <c r="AB159" i="30"/>
  <c r="AB158" i="30"/>
  <c r="AB157" i="30"/>
  <c r="AB156" i="30"/>
  <c r="AB155" i="30"/>
  <c r="AB154" i="30"/>
  <c r="AB153" i="30"/>
  <c r="AB152" i="30"/>
  <c r="AB151" i="30"/>
  <c r="AB150" i="30"/>
  <c r="AB149" i="30"/>
  <c r="AB148" i="30"/>
  <c r="AB147" i="30"/>
  <c r="AB146" i="30"/>
  <c r="AB145" i="30"/>
  <c r="AB144" i="30"/>
  <c r="AB143" i="30"/>
  <c r="AB142" i="30"/>
  <c r="AB141" i="30"/>
  <c r="AB139" i="30"/>
  <c r="AB135" i="30"/>
  <c r="AB134" i="30"/>
  <c r="AB132" i="30"/>
  <c r="AB131" i="30"/>
  <c r="AB130" i="30"/>
  <c r="AB129" i="30"/>
  <c r="AB127" i="30"/>
  <c r="AB126" i="30"/>
  <c r="AB125" i="30"/>
  <c r="AB123" i="30"/>
  <c r="AB122" i="30"/>
  <c r="AB121" i="30"/>
  <c r="AB120" i="30"/>
  <c r="AB117" i="30"/>
  <c r="AB116" i="30"/>
  <c r="AB115" i="30"/>
  <c r="AB114" i="30"/>
  <c r="AB113" i="30"/>
  <c r="AB112" i="30"/>
  <c r="AB111" i="30"/>
  <c r="AB110" i="30"/>
  <c r="AB109" i="30"/>
  <c r="AB108" i="30"/>
  <c r="AB107" i="30"/>
  <c r="AB106" i="30"/>
  <c r="AB105" i="30"/>
  <c r="AB104" i="30"/>
  <c r="AB103" i="30"/>
  <c r="AB102" i="30"/>
  <c r="AB101" i="30"/>
  <c r="AB100" i="30"/>
  <c r="AB99" i="30"/>
  <c r="AB96" i="30"/>
  <c r="AB95" i="30"/>
  <c r="AB93" i="30"/>
  <c r="AB90" i="30"/>
  <c r="AB89" i="30"/>
  <c r="AB83" i="30"/>
  <c r="AB82" i="30"/>
  <c r="AB81" i="30"/>
  <c r="AB80" i="30"/>
  <c r="AB78" i="30"/>
  <c r="AB77" i="30"/>
  <c r="AB76" i="30"/>
  <c r="AB75" i="30"/>
  <c r="AB74" i="30"/>
  <c r="AB72" i="30"/>
  <c r="AB71" i="30"/>
  <c r="AB70" i="30"/>
  <c r="AB69" i="30"/>
  <c r="AB67" i="30"/>
  <c r="AB64" i="30"/>
  <c r="AB62" i="30"/>
  <c r="AB50" i="30"/>
  <c r="AB38" i="30"/>
  <c r="AB37" i="30"/>
  <c r="AB36" i="30"/>
  <c r="AB35" i="30"/>
  <c r="AB34" i="30"/>
  <c r="AB33" i="30"/>
  <c r="AB32" i="30"/>
  <c r="AB31" i="30"/>
  <c r="AB29" i="30"/>
  <c r="AB28" i="30"/>
  <c r="AB27" i="30"/>
  <c r="AB22" i="30"/>
  <c r="AB17" i="30"/>
  <c r="AB16" i="30"/>
  <c r="AA250" i="30"/>
  <c r="AA249" i="30"/>
  <c r="AA248" i="30"/>
  <c r="AA247" i="30"/>
  <c r="AA246" i="30"/>
  <c r="AA245" i="30"/>
  <c r="AA244" i="30"/>
  <c r="AA243" i="30"/>
  <c r="AA242" i="30"/>
  <c r="AA241" i="30"/>
  <c r="AA240" i="30"/>
  <c r="AA239" i="30"/>
  <c r="AA238" i="30"/>
  <c r="AA237" i="30"/>
  <c r="AA235" i="30"/>
  <c r="AA234" i="30"/>
  <c r="AA233" i="30"/>
  <c r="AA232" i="30"/>
  <c r="AA231" i="30"/>
  <c r="AA230" i="30"/>
  <c r="AA228" i="30"/>
  <c r="AA227" i="30"/>
  <c r="AA226" i="30"/>
  <c r="AA225" i="30"/>
  <c r="AA224" i="30"/>
  <c r="AA223" i="30"/>
  <c r="AA222" i="30"/>
  <c r="AA220" i="30"/>
  <c r="AA207" i="30"/>
  <c r="AA205" i="30"/>
  <c r="AA203" i="30"/>
  <c r="AA196" i="30"/>
  <c r="AA195" i="30"/>
  <c r="AA194" i="30"/>
  <c r="AA191" i="30"/>
  <c r="AA188" i="30"/>
  <c r="AA187" i="30"/>
  <c r="AA186" i="30"/>
  <c r="AA185" i="30"/>
  <c r="AA184" i="30"/>
  <c r="AA183" i="30"/>
  <c r="AA182" i="30"/>
  <c r="AA181" i="30"/>
  <c r="AA180" i="30"/>
  <c r="AA179" i="30"/>
  <c r="AA178" i="30"/>
  <c r="AA177" i="30"/>
  <c r="AA176" i="30"/>
  <c r="AA175" i="30"/>
  <c r="AA174" i="30"/>
  <c r="AA173" i="30"/>
  <c r="AA172" i="30"/>
  <c r="AA171" i="30"/>
  <c r="AA170" i="30"/>
  <c r="AA169" i="30"/>
  <c r="AA168" i="30"/>
  <c r="AA167" i="30"/>
  <c r="AA166" i="30"/>
  <c r="AA165" i="30"/>
  <c r="AA164" i="30"/>
  <c r="AA163" i="30"/>
  <c r="AA162" i="30"/>
  <c r="AA161" i="30"/>
  <c r="AA160" i="30"/>
  <c r="AA159" i="30"/>
  <c r="AA158" i="30"/>
  <c r="AA157" i="30"/>
  <c r="AA156" i="30"/>
  <c r="AA155" i="30"/>
  <c r="AA154" i="30"/>
  <c r="AA153" i="30"/>
  <c r="AA152" i="30"/>
  <c r="AA151" i="30"/>
  <c r="AA150" i="30"/>
  <c r="AA149" i="30"/>
  <c r="AA148" i="30"/>
  <c r="AA147" i="30"/>
  <c r="AA146" i="30"/>
  <c r="AA145" i="30"/>
  <c r="AA144" i="30"/>
  <c r="AA143" i="30"/>
  <c r="AA142" i="30"/>
  <c r="AA141" i="30"/>
  <c r="AA139" i="30"/>
  <c r="AA135" i="30"/>
  <c r="AA134" i="30"/>
  <c r="AA132" i="30"/>
  <c r="AA131" i="30"/>
  <c r="AA130" i="30"/>
  <c r="AA129" i="30"/>
  <c r="AA127" i="30"/>
  <c r="AA126" i="30"/>
  <c r="AA125" i="30"/>
  <c r="AA123" i="30"/>
  <c r="AA122" i="30"/>
  <c r="AA121" i="30"/>
  <c r="AA120" i="30"/>
  <c r="AA117" i="30"/>
  <c r="AA116" i="30"/>
  <c r="AA115" i="30"/>
  <c r="AA114" i="30"/>
  <c r="AA113" i="30"/>
  <c r="AA112" i="30"/>
  <c r="AA111" i="30"/>
  <c r="AA110" i="30"/>
  <c r="AA109" i="30"/>
  <c r="AA108" i="30"/>
  <c r="AA107" i="30"/>
  <c r="AA106" i="30"/>
  <c r="AA105" i="30"/>
  <c r="AA104" i="30"/>
  <c r="AA103" i="30"/>
  <c r="AA102" i="30"/>
  <c r="AA101" i="30"/>
  <c r="AA100" i="30"/>
  <c r="AA99" i="30"/>
  <c r="AA96" i="30"/>
  <c r="AA95" i="30"/>
  <c r="AA93" i="30"/>
  <c r="AA90" i="30"/>
  <c r="AA89" i="30"/>
  <c r="AA83" i="30"/>
  <c r="AA82" i="30"/>
  <c r="AA81" i="30"/>
  <c r="AA80" i="30"/>
  <c r="AA78" i="30"/>
  <c r="AA77" i="30"/>
  <c r="AA76" i="30"/>
  <c r="AA75" i="30"/>
  <c r="AA74" i="30"/>
  <c r="AA72" i="30"/>
  <c r="AA71" i="30"/>
  <c r="AA70" i="30"/>
  <c r="AA69" i="30"/>
  <c r="AA67" i="30"/>
  <c r="AA64" i="30"/>
  <c r="AA62" i="30"/>
  <c r="AA50" i="30"/>
  <c r="AA38" i="30"/>
  <c r="AA37" i="30"/>
  <c r="AA36" i="30"/>
  <c r="AA35" i="30"/>
  <c r="AA34" i="30"/>
  <c r="AA33" i="30"/>
  <c r="AA32" i="30"/>
  <c r="AA31" i="30"/>
  <c r="AA29" i="30"/>
  <c r="AA28" i="30"/>
  <c r="AA27" i="30"/>
  <c r="AA22" i="30"/>
  <c r="AA17" i="30"/>
  <c r="AA16" i="30"/>
  <c r="Z250" i="30"/>
  <c r="Z249" i="30"/>
  <c r="Z248" i="30"/>
  <c r="Z247" i="30"/>
  <c r="Z246" i="30"/>
  <c r="Z245" i="30"/>
  <c r="Z244" i="30"/>
  <c r="Z243" i="30"/>
  <c r="Z242" i="30"/>
  <c r="Z241" i="30"/>
  <c r="Z240" i="30"/>
  <c r="Z239" i="30"/>
  <c r="Z238" i="30"/>
  <c r="Z237" i="30"/>
  <c r="Z235" i="30"/>
  <c r="Z234" i="30"/>
  <c r="Z233" i="30"/>
  <c r="Z232" i="30"/>
  <c r="Z231" i="30"/>
  <c r="Z230" i="30"/>
  <c r="Z228" i="30"/>
  <c r="Z227" i="30"/>
  <c r="Z226" i="30"/>
  <c r="Z225" i="30"/>
  <c r="Z224" i="30"/>
  <c r="Z223" i="30"/>
  <c r="Z222" i="30"/>
  <c r="Z220" i="30"/>
  <c r="Z207" i="30"/>
  <c r="Z205" i="30"/>
  <c r="Z203" i="30"/>
  <c r="Z196" i="30"/>
  <c r="Z195" i="30"/>
  <c r="Z194" i="30"/>
  <c r="Z191" i="30"/>
  <c r="Z188" i="30"/>
  <c r="Z187" i="30"/>
  <c r="Z186" i="30"/>
  <c r="Z185" i="30"/>
  <c r="Z184" i="30"/>
  <c r="Z183" i="30"/>
  <c r="Z182" i="30"/>
  <c r="Z181" i="30"/>
  <c r="Z180" i="30"/>
  <c r="Z179" i="30"/>
  <c r="Z178" i="30"/>
  <c r="Z177" i="30"/>
  <c r="Z176" i="30"/>
  <c r="Z175" i="30"/>
  <c r="Z174" i="30"/>
  <c r="Z173" i="30"/>
  <c r="Z172" i="30"/>
  <c r="Z171" i="30"/>
  <c r="Z170" i="30"/>
  <c r="Z169" i="30"/>
  <c r="Z168" i="30"/>
  <c r="Z167" i="30"/>
  <c r="Z166" i="30"/>
  <c r="Z165" i="30"/>
  <c r="Z164" i="30"/>
  <c r="Z163" i="30"/>
  <c r="Z162" i="30"/>
  <c r="Z161" i="30"/>
  <c r="Z160" i="30"/>
  <c r="Z159" i="30"/>
  <c r="Z158" i="30"/>
  <c r="Z157" i="30"/>
  <c r="Z156" i="30"/>
  <c r="Z155" i="30"/>
  <c r="Z154" i="30"/>
  <c r="Z153" i="30"/>
  <c r="Z152" i="30"/>
  <c r="Z151" i="30"/>
  <c r="Z150" i="30"/>
  <c r="Z149" i="30"/>
  <c r="Z148" i="30"/>
  <c r="Z147" i="30"/>
  <c r="Z146" i="30"/>
  <c r="Z145" i="30"/>
  <c r="Z144" i="30"/>
  <c r="Z143" i="30"/>
  <c r="Z142" i="30"/>
  <c r="Z141" i="30"/>
  <c r="Z139" i="30"/>
  <c r="Z135" i="30"/>
  <c r="Z134" i="30"/>
  <c r="Z132" i="30"/>
  <c r="Z131" i="30"/>
  <c r="Z130" i="30"/>
  <c r="Z129" i="30"/>
  <c r="Z127" i="30"/>
  <c r="Z126" i="30"/>
  <c r="Z125" i="30"/>
  <c r="Z123" i="30"/>
  <c r="Z122" i="30"/>
  <c r="Z121" i="30"/>
  <c r="Z120" i="30"/>
  <c r="Z117" i="30"/>
  <c r="Z116" i="30"/>
  <c r="Z115" i="30"/>
  <c r="Z114" i="30"/>
  <c r="Z113" i="30"/>
  <c r="Z112" i="30"/>
  <c r="Z111" i="30"/>
  <c r="Z110" i="30"/>
  <c r="Z109" i="30"/>
  <c r="Z108" i="30"/>
  <c r="Z107" i="30"/>
  <c r="Z106" i="30"/>
  <c r="Z105" i="30"/>
  <c r="Z104" i="30"/>
  <c r="Z103" i="30"/>
  <c r="Z102" i="30"/>
  <c r="Z101" i="30"/>
  <c r="Z100" i="30"/>
  <c r="Z99" i="30"/>
  <c r="Z96" i="30"/>
  <c r="Z95" i="30"/>
  <c r="Z93" i="30"/>
  <c r="Z90" i="30"/>
  <c r="Z89" i="30"/>
  <c r="Z83" i="30"/>
  <c r="Z82" i="30"/>
  <c r="Z81" i="30"/>
  <c r="Z80" i="30"/>
  <c r="Z78" i="30"/>
  <c r="Z77" i="30"/>
  <c r="Z76" i="30"/>
  <c r="Z75" i="30"/>
  <c r="Z74" i="30"/>
  <c r="Z72" i="30"/>
  <c r="Z71" i="30"/>
  <c r="Z70" i="30"/>
  <c r="Z69" i="30"/>
  <c r="Z67" i="30"/>
  <c r="Z64" i="30"/>
  <c r="Z62" i="30"/>
  <c r="Z50" i="30"/>
  <c r="Z38" i="30"/>
  <c r="Z37" i="30"/>
  <c r="Z36" i="30"/>
  <c r="Z35" i="30"/>
  <c r="Z34" i="30"/>
  <c r="Z33" i="30"/>
  <c r="Z32" i="30"/>
  <c r="Z31" i="30"/>
  <c r="Z29" i="30"/>
  <c r="Z28" i="30"/>
  <c r="Z27" i="30"/>
  <c r="Z22" i="30"/>
  <c r="Z17" i="30"/>
  <c r="Z16" i="30"/>
  <c r="Y250" i="30"/>
  <c r="Y249" i="30"/>
  <c r="Y248" i="30"/>
  <c r="Y247" i="30"/>
  <c r="Y246" i="30"/>
  <c r="Y245" i="30"/>
  <c r="Y244" i="30"/>
  <c r="Y243" i="30"/>
  <c r="Y242" i="30"/>
  <c r="Y241" i="30"/>
  <c r="Y240" i="30"/>
  <c r="Y239" i="30"/>
  <c r="Y238" i="30"/>
  <c r="Y237" i="30"/>
  <c r="Y235" i="30"/>
  <c r="Y234" i="30"/>
  <c r="Y233" i="30"/>
  <c r="Y232" i="30"/>
  <c r="Y231" i="30"/>
  <c r="Y230" i="30"/>
  <c r="Y228" i="30"/>
  <c r="Y227" i="30"/>
  <c r="Y226" i="30"/>
  <c r="Y225" i="30"/>
  <c r="Y224" i="30"/>
  <c r="Y223" i="30"/>
  <c r="Y222" i="30"/>
  <c r="Y220" i="30"/>
  <c r="Y207" i="30"/>
  <c r="Y205" i="30"/>
  <c r="Y203" i="30"/>
  <c r="Y196" i="30"/>
  <c r="Y195" i="30"/>
  <c r="Y194" i="30"/>
  <c r="Y191" i="30"/>
  <c r="Y188" i="30"/>
  <c r="Y187" i="30"/>
  <c r="Y186" i="30"/>
  <c r="Y185" i="30"/>
  <c r="Y184" i="30"/>
  <c r="Y183" i="30"/>
  <c r="Y182" i="30"/>
  <c r="Y181" i="30"/>
  <c r="Y180" i="30"/>
  <c r="Y179" i="30"/>
  <c r="Y178" i="30"/>
  <c r="Y177" i="30"/>
  <c r="Y176" i="30"/>
  <c r="Y175" i="30"/>
  <c r="Y174" i="30"/>
  <c r="Y173" i="30"/>
  <c r="Y172" i="30"/>
  <c r="Y171" i="30"/>
  <c r="Y170" i="30"/>
  <c r="Y169" i="30"/>
  <c r="Y168" i="30"/>
  <c r="Y167" i="30"/>
  <c r="Y166" i="30"/>
  <c r="Y165" i="30"/>
  <c r="Y164" i="30"/>
  <c r="Y163" i="30"/>
  <c r="Y162" i="30"/>
  <c r="Y161" i="30"/>
  <c r="Y160" i="30"/>
  <c r="Y159" i="30"/>
  <c r="Y158" i="30"/>
  <c r="Y157" i="30"/>
  <c r="Y156" i="30"/>
  <c r="Y155" i="30"/>
  <c r="Y154" i="30"/>
  <c r="Y153" i="30"/>
  <c r="Y152" i="30"/>
  <c r="Y151" i="30"/>
  <c r="Y150" i="30"/>
  <c r="Y149" i="30"/>
  <c r="Y148" i="30"/>
  <c r="Y147" i="30"/>
  <c r="Y146" i="30"/>
  <c r="Y145" i="30"/>
  <c r="Y144" i="30"/>
  <c r="Y143" i="30"/>
  <c r="Y142" i="30"/>
  <c r="Y141" i="30"/>
  <c r="Y139" i="30"/>
  <c r="Y135" i="30"/>
  <c r="Y134" i="30"/>
  <c r="Y132" i="30"/>
  <c r="Y131" i="30"/>
  <c r="Y130" i="30"/>
  <c r="Y129" i="30"/>
  <c r="Y127" i="30"/>
  <c r="Y126" i="30"/>
  <c r="Y125" i="30"/>
  <c r="Y123" i="30"/>
  <c r="Y122" i="30"/>
  <c r="Y121" i="30"/>
  <c r="Y120" i="30"/>
  <c r="Y117" i="30"/>
  <c r="Y116" i="30"/>
  <c r="Y115" i="30"/>
  <c r="Y114" i="30"/>
  <c r="Y113" i="30"/>
  <c r="Y112" i="30"/>
  <c r="Y111" i="30"/>
  <c r="Y110" i="30"/>
  <c r="Y109" i="30"/>
  <c r="Y108" i="30"/>
  <c r="Y107" i="30"/>
  <c r="Y106" i="30"/>
  <c r="Y105" i="30"/>
  <c r="Y104" i="30"/>
  <c r="Y103" i="30"/>
  <c r="Y102" i="30"/>
  <c r="Y101" i="30"/>
  <c r="Y100" i="30"/>
  <c r="Y99" i="30"/>
  <c r="Y96" i="30"/>
  <c r="Y95" i="30"/>
  <c r="Y93" i="30"/>
  <c r="Y90" i="30"/>
  <c r="Y89" i="30"/>
  <c r="Y83" i="30"/>
  <c r="Y82" i="30"/>
  <c r="Y81" i="30"/>
  <c r="Y80" i="30"/>
  <c r="Y78" i="30"/>
  <c r="Y77" i="30"/>
  <c r="Y76" i="30"/>
  <c r="Y75" i="30"/>
  <c r="Y74" i="30"/>
  <c r="Y72" i="30"/>
  <c r="Y71" i="30"/>
  <c r="Y70" i="30"/>
  <c r="Y69" i="30"/>
  <c r="Y67" i="30"/>
  <c r="Y64" i="30"/>
  <c r="Y62" i="30"/>
  <c r="Y50" i="30"/>
  <c r="Y38" i="30"/>
  <c r="Y37" i="30"/>
  <c r="Y36" i="30"/>
  <c r="Y35" i="30"/>
  <c r="Y34" i="30"/>
  <c r="Y33" i="30"/>
  <c r="Y32" i="30"/>
  <c r="Y31" i="30"/>
  <c r="Y29" i="30"/>
  <c r="Y28" i="30"/>
  <c r="Y27" i="30"/>
  <c r="Y22" i="30"/>
  <c r="Y17" i="30"/>
  <c r="Y16" i="30"/>
  <c r="X250" i="30"/>
  <c r="X249" i="30"/>
  <c r="X248" i="30"/>
  <c r="X247" i="30"/>
  <c r="X246" i="30"/>
  <c r="X245" i="30"/>
  <c r="X244" i="30"/>
  <c r="X243" i="30"/>
  <c r="X242" i="30"/>
  <c r="X241" i="30"/>
  <c r="X240" i="30"/>
  <c r="X239" i="30"/>
  <c r="X238" i="30"/>
  <c r="X237" i="30"/>
  <c r="X236" i="30"/>
  <c r="X235" i="30"/>
  <c r="X234" i="30"/>
  <c r="X233" i="30"/>
  <c r="X232" i="30"/>
  <c r="X231" i="30"/>
  <c r="X230" i="30"/>
  <c r="X229" i="30"/>
  <c r="X228" i="30"/>
  <c r="X227" i="30"/>
  <c r="X226" i="30"/>
  <c r="X225" i="30"/>
  <c r="X224" i="30"/>
  <c r="X223" i="30"/>
  <c r="X222" i="30"/>
  <c r="X221" i="30"/>
  <c r="X220" i="30"/>
  <c r="X219" i="30"/>
  <c r="X218" i="30"/>
  <c r="X217" i="30"/>
  <c r="X216" i="30"/>
  <c r="X215" i="30"/>
  <c r="X214" i="30"/>
  <c r="X213" i="30"/>
  <c r="X212" i="30"/>
  <c r="X211" i="30"/>
  <c r="X210" i="30"/>
  <c r="X209" i="30"/>
  <c r="X208" i="30"/>
  <c r="X207" i="30"/>
  <c r="X206" i="30"/>
  <c r="X205" i="30"/>
  <c r="X204" i="30"/>
  <c r="X203" i="30"/>
  <c r="X202" i="30"/>
  <c r="X201" i="30"/>
  <c r="X200" i="30"/>
  <c r="X199" i="30"/>
  <c r="X198" i="30"/>
  <c r="X197" i="30"/>
  <c r="X196" i="30"/>
  <c r="X195" i="30"/>
  <c r="X194" i="30"/>
  <c r="X193" i="30"/>
  <c r="X192" i="30"/>
  <c r="X191" i="30"/>
  <c r="X190" i="30"/>
  <c r="X189" i="30"/>
  <c r="X188" i="30"/>
  <c r="X187" i="30"/>
  <c r="X186" i="30"/>
  <c r="X185" i="30"/>
  <c r="X184" i="30"/>
  <c r="X183" i="30"/>
  <c r="X182" i="30"/>
  <c r="X181" i="30"/>
  <c r="X180" i="30"/>
  <c r="X179" i="30"/>
  <c r="X178" i="30"/>
  <c r="X177" i="30"/>
  <c r="X176" i="30"/>
  <c r="X175" i="30"/>
  <c r="X174" i="30"/>
  <c r="X173" i="30"/>
  <c r="X172" i="30"/>
  <c r="X171" i="30"/>
  <c r="X170" i="30"/>
  <c r="X169" i="30"/>
  <c r="X168" i="30"/>
  <c r="X167" i="30"/>
  <c r="X166" i="30"/>
  <c r="X165" i="30"/>
  <c r="X164" i="30"/>
  <c r="X163" i="30"/>
  <c r="X162" i="30"/>
  <c r="X161" i="30"/>
  <c r="X160" i="30"/>
  <c r="X159" i="30"/>
  <c r="X158" i="30"/>
  <c r="X157" i="30"/>
  <c r="X156" i="30"/>
  <c r="X155" i="30"/>
  <c r="X154" i="30"/>
  <c r="X153" i="30"/>
  <c r="X152" i="30"/>
  <c r="X151" i="30"/>
  <c r="X150" i="30"/>
  <c r="X149" i="30"/>
  <c r="X148" i="30"/>
  <c r="X147" i="30"/>
  <c r="X146" i="30"/>
  <c r="X145" i="30"/>
  <c r="X144" i="30"/>
  <c r="X143" i="30"/>
  <c r="X142" i="30"/>
  <c r="X141" i="30"/>
  <c r="X140" i="30"/>
  <c r="X139" i="30"/>
  <c r="X138" i="30"/>
  <c r="X137" i="30"/>
  <c r="X136" i="30"/>
  <c r="X135" i="30"/>
  <c r="X134" i="30"/>
  <c r="X133" i="30"/>
  <c r="X132" i="30"/>
  <c r="X131" i="30"/>
  <c r="X130" i="30"/>
  <c r="X129" i="30"/>
  <c r="X128" i="30"/>
  <c r="X127" i="30"/>
  <c r="X126" i="30"/>
  <c r="X125" i="30"/>
  <c r="X124" i="30"/>
  <c r="X123" i="30"/>
  <c r="X122" i="30"/>
  <c r="X121" i="30"/>
  <c r="X120" i="30"/>
  <c r="X119" i="30"/>
  <c r="X118" i="30"/>
  <c r="X117" i="30"/>
  <c r="X116" i="30"/>
  <c r="X115" i="30"/>
  <c r="X114" i="30"/>
  <c r="X113" i="30"/>
  <c r="X112" i="30"/>
  <c r="X111" i="30"/>
  <c r="X110" i="30"/>
  <c r="X109" i="30"/>
  <c r="X108" i="30"/>
  <c r="X107" i="30"/>
  <c r="X106" i="30"/>
  <c r="X105" i="30"/>
  <c r="X104" i="30"/>
  <c r="X103" i="30"/>
  <c r="X102" i="30"/>
  <c r="X101" i="30"/>
  <c r="X100" i="30"/>
  <c r="X99" i="30"/>
  <c r="X98" i="30"/>
  <c r="X97" i="30"/>
  <c r="X96" i="30"/>
  <c r="X95" i="30"/>
  <c r="X94" i="30"/>
  <c r="X93" i="30"/>
  <c r="X92" i="30"/>
  <c r="X91" i="30"/>
  <c r="X90" i="30"/>
  <c r="X89" i="30"/>
  <c r="X88" i="30"/>
  <c r="X87" i="30"/>
  <c r="X86" i="30"/>
  <c r="X85" i="30"/>
  <c r="X84" i="30"/>
  <c r="X83" i="30"/>
  <c r="X82" i="30"/>
  <c r="X81" i="30"/>
  <c r="X80" i="30"/>
  <c r="X79" i="30"/>
  <c r="X78" i="30"/>
  <c r="X77" i="30"/>
  <c r="X76" i="30"/>
  <c r="X75" i="30"/>
  <c r="X74" i="30"/>
  <c r="X73" i="30"/>
  <c r="X72" i="30"/>
  <c r="X71" i="30"/>
  <c r="X70" i="30"/>
  <c r="X69" i="30"/>
  <c r="X68" i="30"/>
  <c r="X67" i="30"/>
  <c r="X66" i="30"/>
  <c r="X65" i="30"/>
  <c r="X64" i="30"/>
  <c r="X63" i="30"/>
  <c r="X62" i="30"/>
  <c r="X61" i="30"/>
  <c r="X60" i="30"/>
  <c r="X59" i="30"/>
  <c r="X58" i="30"/>
  <c r="X57" i="30"/>
  <c r="X56" i="30"/>
  <c r="X55" i="30"/>
  <c r="X54" i="30"/>
  <c r="X53" i="30"/>
  <c r="X52" i="30"/>
  <c r="X51" i="30"/>
  <c r="X50" i="30"/>
  <c r="X49" i="30"/>
  <c r="X48" i="30"/>
  <c r="X47" i="30"/>
  <c r="X46" i="30"/>
  <c r="X45" i="30"/>
  <c r="X44" i="30"/>
  <c r="X43" i="30"/>
  <c r="X42" i="30"/>
  <c r="X41" i="30"/>
  <c r="X40" i="30"/>
  <c r="X39" i="30"/>
  <c r="X38" i="30"/>
  <c r="X37" i="30"/>
  <c r="X36" i="30"/>
  <c r="X35" i="30"/>
  <c r="X34" i="30"/>
  <c r="X33" i="30"/>
  <c r="X32" i="30"/>
  <c r="X31" i="30"/>
  <c r="X30" i="30"/>
  <c r="X29" i="30"/>
  <c r="X28" i="30"/>
  <c r="X27" i="30"/>
  <c r="X26" i="30"/>
  <c r="X25" i="30"/>
  <c r="X24" i="30"/>
  <c r="X23" i="30"/>
  <c r="X22" i="30"/>
  <c r="X21" i="30"/>
  <c r="X20" i="30"/>
  <c r="X19" i="30"/>
  <c r="X18" i="30"/>
  <c r="X17" i="30"/>
  <c r="X16" i="30"/>
  <c r="X15" i="30"/>
  <c r="X14" i="30"/>
  <c r="X13" i="30"/>
  <c r="X12" i="30"/>
  <c r="X11" i="30"/>
  <c r="W250" i="30"/>
  <c r="W249" i="30"/>
  <c r="W248" i="30"/>
  <c r="W247" i="30"/>
  <c r="W246" i="30"/>
  <c r="W245" i="30"/>
  <c r="W244" i="30"/>
  <c r="W243" i="30"/>
  <c r="W242" i="30"/>
  <c r="W241" i="30"/>
  <c r="W240" i="30"/>
  <c r="W239" i="30"/>
  <c r="W238" i="30"/>
  <c r="W237" i="30"/>
  <c r="W235" i="30"/>
  <c r="W234" i="30"/>
  <c r="W233" i="30"/>
  <c r="W232" i="30"/>
  <c r="W231" i="30"/>
  <c r="W230" i="30"/>
  <c r="W228" i="30"/>
  <c r="W227" i="30"/>
  <c r="W226" i="30"/>
  <c r="W225" i="30"/>
  <c r="W224" i="30"/>
  <c r="W223" i="30"/>
  <c r="W222" i="30"/>
  <c r="W220" i="30"/>
  <c r="W209" i="30"/>
  <c r="W207" i="30"/>
  <c r="W205" i="30"/>
  <c r="W203" i="30"/>
  <c r="W196" i="30"/>
  <c r="W195" i="30"/>
  <c r="W194" i="30"/>
  <c r="W191" i="30"/>
  <c r="W188" i="30"/>
  <c r="W187" i="30"/>
  <c r="W186" i="30"/>
  <c r="W185" i="30"/>
  <c r="W184" i="30"/>
  <c r="W183" i="30"/>
  <c r="W182" i="30"/>
  <c r="W181" i="30"/>
  <c r="W180" i="30"/>
  <c r="W179" i="30"/>
  <c r="W178" i="30"/>
  <c r="W177" i="30"/>
  <c r="W176" i="30"/>
  <c r="W175" i="30"/>
  <c r="W174" i="30"/>
  <c r="W173" i="30"/>
  <c r="W172" i="30"/>
  <c r="W170" i="30"/>
  <c r="W169" i="30"/>
  <c r="W168" i="30"/>
  <c r="W167" i="30"/>
  <c r="W166" i="30"/>
  <c r="W165" i="30"/>
  <c r="W164" i="30"/>
  <c r="W161" i="30"/>
  <c r="W159" i="30"/>
  <c r="W157" i="30"/>
  <c r="W156" i="30"/>
  <c r="W155" i="30"/>
  <c r="W154" i="30"/>
  <c r="W153" i="30"/>
  <c r="W152" i="30"/>
  <c r="W151" i="30"/>
  <c r="W150" i="30"/>
  <c r="W149" i="30"/>
  <c r="W148" i="30"/>
  <c r="W143" i="30"/>
  <c r="W142" i="30"/>
  <c r="W139" i="30"/>
  <c r="W135" i="30"/>
  <c r="W134" i="30"/>
  <c r="W132" i="30"/>
  <c r="W131" i="30"/>
  <c r="W130" i="30"/>
  <c r="W129" i="30"/>
  <c r="W127" i="30"/>
  <c r="W126" i="30"/>
  <c r="W125" i="30"/>
  <c r="W123" i="30"/>
  <c r="W122" i="30"/>
  <c r="W121" i="30"/>
  <c r="W120" i="30"/>
  <c r="W117" i="30"/>
  <c r="W116" i="30"/>
  <c r="W115" i="30"/>
  <c r="W114" i="30"/>
  <c r="W113" i="30"/>
  <c r="W112" i="30"/>
  <c r="W111" i="30"/>
  <c r="W110" i="30"/>
  <c r="W109" i="30"/>
  <c r="W108" i="30"/>
  <c r="W107" i="30"/>
  <c r="W106" i="30"/>
  <c r="W105" i="30"/>
  <c r="W104" i="30"/>
  <c r="W103" i="30"/>
  <c r="W102" i="30"/>
  <c r="W101" i="30"/>
  <c r="W100" i="30"/>
  <c r="W99" i="30"/>
  <c r="W96" i="30"/>
  <c r="W90" i="30"/>
  <c r="W83" i="30"/>
  <c r="W82" i="30"/>
  <c r="W81" i="30"/>
  <c r="W80" i="30"/>
  <c r="W78" i="30"/>
  <c r="W77" i="30"/>
  <c r="W76" i="30"/>
  <c r="W75" i="30"/>
  <c r="W74" i="30"/>
  <c r="W72" i="30"/>
  <c r="W71" i="30"/>
  <c r="W70" i="30"/>
  <c r="W69" i="30"/>
  <c r="W67" i="30"/>
  <c r="W64" i="30"/>
  <c r="W62" i="30"/>
  <c r="W50" i="30"/>
  <c r="W38" i="30"/>
  <c r="W37" i="30"/>
  <c r="W36" i="30"/>
  <c r="W35" i="30"/>
  <c r="W34" i="30"/>
  <c r="W33" i="30"/>
  <c r="W32" i="30"/>
  <c r="W31" i="30"/>
  <c r="W29" i="30"/>
  <c r="W28" i="30"/>
  <c r="W27" i="30"/>
  <c r="W22" i="30"/>
  <c r="W17" i="30"/>
  <c r="W16" i="30"/>
  <c r="V250" i="30"/>
  <c r="V249" i="30"/>
  <c r="V248" i="30"/>
  <c r="V247" i="30"/>
  <c r="V246" i="30"/>
  <c r="V245" i="30"/>
  <c r="V244" i="30"/>
  <c r="V243" i="30"/>
  <c r="V242" i="30"/>
  <c r="V241" i="30"/>
  <c r="V240" i="30"/>
  <c r="V239" i="30"/>
  <c r="V238" i="30"/>
  <c r="V237" i="30"/>
  <c r="V235" i="30"/>
  <c r="V233" i="30"/>
  <c r="V232" i="30"/>
  <c r="V231" i="30"/>
  <c r="V230" i="30"/>
  <c r="V228" i="30"/>
  <c r="V227" i="30"/>
  <c r="V226" i="30"/>
  <c r="V225" i="30"/>
  <c r="V224" i="30"/>
  <c r="V223" i="30"/>
  <c r="V222" i="30"/>
  <c r="V220" i="30"/>
  <c r="V209" i="30"/>
  <c r="V207" i="30"/>
  <c r="V205" i="30"/>
  <c r="V203" i="30"/>
  <c r="V196" i="30"/>
  <c r="V195" i="30"/>
  <c r="V194" i="30"/>
  <c r="V191" i="30"/>
  <c r="V188" i="30"/>
  <c r="V187" i="30"/>
  <c r="V186" i="30"/>
  <c r="V185" i="30"/>
  <c r="V184" i="30"/>
  <c r="V183" i="30"/>
  <c r="V182" i="30"/>
  <c r="V181" i="30"/>
  <c r="V180" i="30"/>
  <c r="V179" i="30"/>
  <c r="V178" i="30"/>
  <c r="V177" i="30"/>
  <c r="V176" i="30"/>
  <c r="V175" i="30"/>
  <c r="V174" i="30"/>
  <c r="V173" i="30"/>
  <c r="V172" i="30"/>
  <c r="V170" i="30"/>
  <c r="V169" i="30"/>
  <c r="V168" i="30"/>
  <c r="V167" i="30"/>
  <c r="V166" i="30"/>
  <c r="V165" i="30"/>
  <c r="V164" i="30"/>
  <c r="V161" i="30"/>
  <c r="V159" i="30"/>
  <c r="V157" i="30"/>
  <c r="V156" i="30"/>
  <c r="V155" i="30"/>
  <c r="V154" i="30"/>
  <c r="V153" i="30"/>
  <c r="V152" i="30"/>
  <c r="V151" i="30"/>
  <c r="V150" i="30"/>
  <c r="V149" i="30"/>
  <c r="V148" i="30"/>
  <c r="V143" i="30"/>
  <c r="V142" i="30"/>
  <c r="V139" i="30"/>
  <c r="V135" i="30"/>
  <c r="V134" i="30"/>
  <c r="V132" i="30"/>
  <c r="V131" i="30"/>
  <c r="V130" i="30"/>
  <c r="V129" i="30"/>
  <c r="V127" i="30"/>
  <c r="V126" i="30"/>
  <c r="V125" i="30"/>
  <c r="V123" i="30"/>
  <c r="V122" i="30"/>
  <c r="V121" i="30"/>
  <c r="V120" i="30"/>
  <c r="V117" i="30"/>
  <c r="V116" i="30"/>
  <c r="V115" i="30"/>
  <c r="V114" i="30"/>
  <c r="V113" i="30"/>
  <c r="V112" i="30"/>
  <c r="V111" i="30"/>
  <c r="V110" i="30"/>
  <c r="V109" i="30"/>
  <c r="V108" i="30"/>
  <c r="V107" i="30"/>
  <c r="V106" i="30"/>
  <c r="V105" i="30"/>
  <c r="V104" i="30"/>
  <c r="V103" i="30"/>
  <c r="V102" i="30"/>
  <c r="V101" i="30"/>
  <c r="V100" i="30"/>
  <c r="V99" i="30"/>
  <c r="V90" i="30"/>
  <c r="V83" i="30"/>
  <c r="V82" i="30"/>
  <c r="V81" i="30"/>
  <c r="V80" i="30"/>
  <c r="V78" i="30"/>
  <c r="V77" i="30"/>
  <c r="V76" i="30"/>
  <c r="V75" i="30"/>
  <c r="V74" i="30"/>
  <c r="V72" i="30"/>
  <c r="V71" i="30"/>
  <c r="V70" i="30"/>
  <c r="V69" i="30"/>
  <c r="V67" i="30"/>
  <c r="V64" i="30"/>
  <c r="V62" i="30"/>
  <c r="V50" i="30"/>
  <c r="V38" i="30"/>
  <c r="V37" i="30"/>
  <c r="V36" i="30"/>
  <c r="V35" i="30"/>
  <c r="V34" i="30"/>
  <c r="V33" i="30"/>
  <c r="V32" i="30"/>
  <c r="V31" i="30"/>
  <c r="V29" i="30"/>
  <c r="V28" i="30"/>
  <c r="V27" i="30"/>
  <c r="V22" i="30"/>
  <c r="V17" i="30"/>
  <c r="V16" i="30"/>
  <c r="U250" i="30"/>
  <c r="U249" i="30"/>
  <c r="U248" i="30"/>
  <c r="U247" i="30"/>
  <c r="U246" i="30"/>
  <c r="U245" i="30"/>
  <c r="U244" i="30"/>
  <c r="U243" i="30"/>
  <c r="U242" i="30"/>
  <c r="U241" i="30"/>
  <c r="U240" i="30"/>
  <c r="U239" i="30"/>
  <c r="U238" i="30"/>
  <c r="U237" i="30"/>
  <c r="U235" i="30"/>
  <c r="U233" i="30"/>
  <c r="U232" i="30"/>
  <c r="U231" i="30"/>
  <c r="U230" i="30"/>
  <c r="U228" i="30"/>
  <c r="U227" i="30"/>
  <c r="U226" i="30"/>
  <c r="U225" i="30"/>
  <c r="U224" i="30"/>
  <c r="U223" i="30"/>
  <c r="U222" i="30"/>
  <c r="U220" i="30"/>
  <c r="U209" i="30"/>
  <c r="U207" i="30"/>
  <c r="U205" i="30"/>
  <c r="U203" i="30"/>
  <c r="U196" i="30"/>
  <c r="U195" i="30"/>
  <c r="U194" i="30"/>
  <c r="U191" i="30"/>
  <c r="U188" i="30"/>
  <c r="U187" i="30"/>
  <c r="U186" i="30"/>
  <c r="U185" i="30"/>
  <c r="U184" i="30"/>
  <c r="U183" i="30"/>
  <c r="U182" i="30"/>
  <c r="U181" i="30"/>
  <c r="U180" i="30"/>
  <c r="U179" i="30"/>
  <c r="U178" i="30"/>
  <c r="U177" i="30"/>
  <c r="U176" i="30"/>
  <c r="U175" i="30"/>
  <c r="U174" i="30"/>
  <c r="U173" i="30"/>
  <c r="U172" i="30"/>
  <c r="U170" i="30"/>
  <c r="U169" i="30"/>
  <c r="U168" i="30"/>
  <c r="U167" i="30"/>
  <c r="U166" i="30"/>
  <c r="U165" i="30"/>
  <c r="U164" i="30"/>
  <c r="U161" i="30"/>
  <c r="U159" i="30"/>
  <c r="U157" i="30"/>
  <c r="U156" i="30"/>
  <c r="U155" i="30"/>
  <c r="U154" i="30"/>
  <c r="U153" i="30"/>
  <c r="U152" i="30"/>
  <c r="U151" i="30"/>
  <c r="U150" i="30"/>
  <c r="U149" i="30"/>
  <c r="U148" i="30"/>
  <c r="U143" i="30"/>
  <c r="U142" i="30"/>
  <c r="U139" i="30"/>
  <c r="U135" i="30"/>
  <c r="U134" i="30"/>
  <c r="U132" i="30"/>
  <c r="U131" i="30"/>
  <c r="U130" i="30"/>
  <c r="U129" i="30"/>
  <c r="U127" i="30"/>
  <c r="U126" i="30"/>
  <c r="U125" i="30"/>
  <c r="U123" i="30"/>
  <c r="U122" i="30"/>
  <c r="U121" i="30"/>
  <c r="U120" i="30"/>
  <c r="U116" i="30"/>
  <c r="U115" i="30"/>
  <c r="U114" i="30"/>
  <c r="U113" i="30"/>
  <c r="U112" i="30"/>
  <c r="U111" i="30"/>
  <c r="U110" i="30"/>
  <c r="U109" i="30"/>
  <c r="U108" i="30"/>
  <c r="U107" i="30"/>
  <c r="U106" i="30"/>
  <c r="U105" i="30"/>
  <c r="U104" i="30"/>
  <c r="U103" i="30"/>
  <c r="U102" i="30"/>
  <c r="U101" i="30"/>
  <c r="U100" i="30"/>
  <c r="U99" i="30"/>
  <c r="U96" i="30"/>
  <c r="U90" i="30"/>
  <c r="U83" i="30"/>
  <c r="U82" i="30"/>
  <c r="U81" i="30"/>
  <c r="U80" i="30"/>
  <c r="U78" i="30"/>
  <c r="U77" i="30"/>
  <c r="U76" i="30"/>
  <c r="U75" i="30"/>
  <c r="U74" i="30"/>
  <c r="U72" i="30"/>
  <c r="U71" i="30"/>
  <c r="U70" i="30"/>
  <c r="U69" i="30"/>
  <c r="U67" i="30"/>
  <c r="U64" i="30"/>
  <c r="U62" i="30"/>
  <c r="U50" i="30"/>
  <c r="U38" i="30"/>
  <c r="U37" i="30"/>
  <c r="U36" i="30"/>
  <c r="U35" i="30"/>
  <c r="U34" i="30"/>
  <c r="U33" i="30"/>
  <c r="U32" i="30"/>
  <c r="U31" i="30"/>
  <c r="U29" i="30"/>
  <c r="U28" i="30"/>
  <c r="U27" i="30"/>
  <c r="U22" i="30"/>
  <c r="U17" i="30"/>
  <c r="U16" i="30"/>
  <c r="T250" i="30"/>
  <c r="T249" i="30"/>
  <c r="T248" i="30"/>
  <c r="T247" i="30"/>
  <c r="T246" i="30"/>
  <c r="T245" i="30"/>
  <c r="T244" i="30"/>
  <c r="T243" i="30"/>
  <c r="T242" i="30"/>
  <c r="T241" i="30"/>
  <c r="T240" i="30"/>
  <c r="T239" i="30"/>
  <c r="T238" i="30"/>
  <c r="T237" i="30"/>
  <c r="T235" i="30"/>
  <c r="T233" i="30"/>
  <c r="T232" i="30"/>
  <c r="T231" i="30"/>
  <c r="T230" i="30"/>
  <c r="T228" i="30"/>
  <c r="T227" i="30"/>
  <c r="T226" i="30"/>
  <c r="T225" i="30"/>
  <c r="T224" i="30"/>
  <c r="T223" i="30"/>
  <c r="T222" i="30"/>
  <c r="T220" i="30"/>
  <c r="T209" i="30"/>
  <c r="T207" i="30"/>
  <c r="T205" i="30"/>
  <c r="T203" i="30"/>
  <c r="T196" i="30"/>
  <c r="T195" i="30"/>
  <c r="T194" i="30"/>
  <c r="T191" i="30"/>
  <c r="T188" i="30"/>
  <c r="T187" i="30"/>
  <c r="T186" i="30"/>
  <c r="T185" i="30"/>
  <c r="T184" i="30"/>
  <c r="T183" i="30"/>
  <c r="T182" i="30"/>
  <c r="T181" i="30"/>
  <c r="T180" i="30"/>
  <c r="T179" i="30"/>
  <c r="T178" i="30"/>
  <c r="T177" i="30"/>
  <c r="T176" i="30"/>
  <c r="T175" i="30"/>
  <c r="T174" i="30"/>
  <c r="T173" i="30"/>
  <c r="T172" i="30"/>
  <c r="T170" i="30"/>
  <c r="T169" i="30"/>
  <c r="T168" i="30"/>
  <c r="T167" i="30"/>
  <c r="T166" i="30"/>
  <c r="T165" i="30"/>
  <c r="T164" i="30"/>
  <c r="T161" i="30"/>
  <c r="T159" i="30"/>
  <c r="T157" i="30"/>
  <c r="T156" i="30"/>
  <c r="T155" i="30"/>
  <c r="T154" i="30"/>
  <c r="T153" i="30"/>
  <c r="T152" i="30"/>
  <c r="T151" i="30"/>
  <c r="T150" i="30"/>
  <c r="T149" i="30"/>
  <c r="T148" i="30"/>
  <c r="T147" i="30"/>
  <c r="T146" i="30"/>
  <c r="T143" i="30"/>
  <c r="T142" i="30"/>
  <c r="T139" i="30"/>
  <c r="T135" i="30"/>
  <c r="T134" i="30"/>
  <c r="T132" i="30"/>
  <c r="T131" i="30"/>
  <c r="T130" i="30"/>
  <c r="T129" i="30"/>
  <c r="T127" i="30"/>
  <c r="T126" i="30"/>
  <c r="T125" i="30"/>
  <c r="T123" i="30"/>
  <c r="T122" i="30"/>
  <c r="T121" i="30"/>
  <c r="T120" i="30"/>
  <c r="T116" i="30"/>
  <c r="T115" i="30"/>
  <c r="T114" i="30"/>
  <c r="T113" i="30"/>
  <c r="T112" i="30"/>
  <c r="T111" i="30"/>
  <c r="T110" i="30"/>
  <c r="T109" i="30"/>
  <c r="T108" i="30"/>
  <c r="T107" i="30"/>
  <c r="T106" i="30"/>
  <c r="T105" i="30"/>
  <c r="T104" i="30"/>
  <c r="T103" i="30"/>
  <c r="T102" i="30"/>
  <c r="T101" i="30"/>
  <c r="T100" i="30"/>
  <c r="T99" i="30"/>
  <c r="T96" i="30"/>
  <c r="T90" i="30"/>
  <c r="T83" i="30"/>
  <c r="T82" i="30"/>
  <c r="T81" i="30"/>
  <c r="T80" i="30"/>
  <c r="T78" i="30"/>
  <c r="T77" i="30"/>
  <c r="T76" i="30"/>
  <c r="T75" i="30"/>
  <c r="T74" i="30"/>
  <c r="T72" i="30"/>
  <c r="T71" i="30"/>
  <c r="T70" i="30"/>
  <c r="T69" i="30"/>
  <c r="T67" i="30"/>
  <c r="T64" i="30"/>
  <c r="T62" i="30"/>
  <c r="T50" i="30"/>
  <c r="T38" i="30"/>
  <c r="T37" i="30"/>
  <c r="T36" i="30"/>
  <c r="T35" i="30"/>
  <c r="T34" i="30"/>
  <c r="T33" i="30"/>
  <c r="T32" i="30"/>
  <c r="T31" i="30"/>
  <c r="T29" i="30"/>
  <c r="T28" i="30"/>
  <c r="T27" i="30"/>
  <c r="T22" i="30"/>
  <c r="T17" i="30"/>
  <c r="T16" i="30"/>
  <c r="S250" i="30"/>
  <c r="S249" i="30"/>
  <c r="S248" i="30"/>
  <c r="S247" i="30"/>
  <c r="S246" i="30"/>
  <c r="S245" i="30"/>
  <c r="S244" i="30"/>
  <c r="S243" i="30"/>
  <c r="S242" i="30"/>
  <c r="S241" i="30"/>
  <c r="S240" i="30"/>
  <c r="S239" i="30"/>
  <c r="S238" i="30"/>
  <c r="S237" i="30"/>
  <c r="S235" i="30"/>
  <c r="S233" i="30"/>
  <c r="S232" i="30"/>
  <c r="S231" i="30"/>
  <c r="S230" i="30"/>
  <c r="S228" i="30"/>
  <c r="S227" i="30"/>
  <c r="S226" i="30"/>
  <c r="S225" i="30"/>
  <c r="S224" i="30"/>
  <c r="S223" i="30"/>
  <c r="S222" i="30"/>
  <c r="S220" i="30"/>
  <c r="S209" i="30"/>
  <c r="S207" i="30"/>
  <c r="S205" i="30"/>
  <c r="S203" i="30"/>
  <c r="S196" i="30"/>
  <c r="S195" i="30"/>
  <c r="S194" i="30"/>
  <c r="S191" i="30"/>
  <c r="S188" i="30"/>
  <c r="S187" i="30"/>
  <c r="S186" i="30"/>
  <c r="S185" i="30"/>
  <c r="S184" i="30"/>
  <c r="S183" i="30"/>
  <c r="S182" i="30"/>
  <c r="S181" i="30"/>
  <c r="S180" i="30"/>
  <c r="S179" i="30"/>
  <c r="S178" i="30"/>
  <c r="S177" i="30"/>
  <c r="S176" i="30"/>
  <c r="S175" i="30"/>
  <c r="S174" i="30"/>
  <c r="S173" i="30"/>
  <c r="S172" i="30"/>
  <c r="S170" i="30"/>
  <c r="S169" i="30"/>
  <c r="S168" i="30"/>
  <c r="S167" i="30"/>
  <c r="S166" i="30"/>
  <c r="S165" i="30"/>
  <c r="S164" i="30"/>
  <c r="S161" i="30"/>
  <c r="S159" i="30"/>
  <c r="S157" i="30"/>
  <c r="S156" i="30"/>
  <c r="S155" i="30"/>
  <c r="S154" i="30"/>
  <c r="S153" i="30"/>
  <c r="S152" i="30"/>
  <c r="S151" i="30"/>
  <c r="S150" i="30"/>
  <c r="S149" i="30"/>
  <c r="S148" i="30"/>
  <c r="S147" i="30"/>
  <c r="S146" i="30"/>
  <c r="S143" i="30"/>
  <c r="S142" i="30"/>
  <c r="S139" i="30"/>
  <c r="S135" i="30"/>
  <c r="S134" i="30"/>
  <c r="S132" i="30"/>
  <c r="S131" i="30"/>
  <c r="S130" i="30"/>
  <c r="S129" i="30"/>
  <c r="S127" i="30"/>
  <c r="S126" i="30"/>
  <c r="S125" i="30"/>
  <c r="S123" i="30"/>
  <c r="S122" i="30"/>
  <c r="S121" i="30"/>
  <c r="S120" i="30"/>
  <c r="S116" i="30"/>
  <c r="S115" i="30"/>
  <c r="S114" i="30"/>
  <c r="S113" i="30"/>
  <c r="S112" i="30"/>
  <c r="S111" i="30"/>
  <c r="S110" i="30"/>
  <c r="S109" i="30"/>
  <c r="S108" i="30"/>
  <c r="S107" i="30"/>
  <c r="S106" i="30"/>
  <c r="S105" i="30"/>
  <c r="S104" i="30"/>
  <c r="S103" i="30"/>
  <c r="S102" i="30"/>
  <c r="S101" i="30"/>
  <c r="S100" i="30"/>
  <c r="S99" i="30"/>
  <c r="S96" i="30"/>
  <c r="S90" i="30"/>
  <c r="S83" i="30"/>
  <c r="S82" i="30"/>
  <c r="S81" i="30"/>
  <c r="S80" i="30"/>
  <c r="S78" i="30"/>
  <c r="S77" i="30"/>
  <c r="S76" i="30"/>
  <c r="S75" i="30"/>
  <c r="S74" i="30"/>
  <c r="S72" i="30"/>
  <c r="S71" i="30"/>
  <c r="S70" i="30"/>
  <c r="S69" i="30"/>
  <c r="S67" i="30"/>
  <c r="S64" i="30"/>
  <c r="S62" i="30"/>
  <c r="S55" i="30"/>
  <c r="S50" i="30"/>
  <c r="S38" i="30"/>
  <c r="S37" i="30"/>
  <c r="S36" i="30"/>
  <c r="S35" i="30"/>
  <c r="S34" i="30"/>
  <c r="S33" i="30"/>
  <c r="S32" i="30"/>
  <c r="S31" i="30"/>
  <c r="S29" i="30"/>
  <c r="S28" i="30"/>
  <c r="S27" i="30"/>
  <c r="S22" i="30"/>
  <c r="S17" i="30"/>
  <c r="S16" i="30"/>
  <c r="R250" i="30"/>
  <c r="R249" i="30"/>
  <c r="R248" i="30"/>
  <c r="R247" i="30"/>
  <c r="R246" i="30"/>
  <c r="R245" i="30"/>
  <c r="R244" i="30"/>
  <c r="R243" i="30"/>
  <c r="R242" i="30"/>
  <c r="R241" i="30"/>
  <c r="R240" i="30"/>
  <c r="R239" i="30"/>
  <c r="R238" i="30"/>
  <c r="R237" i="30"/>
  <c r="R235" i="30"/>
  <c r="R234" i="30"/>
  <c r="R233" i="30"/>
  <c r="R232" i="30"/>
  <c r="R231" i="30"/>
  <c r="R230" i="30"/>
  <c r="R228" i="30"/>
  <c r="R227" i="30"/>
  <c r="R226" i="30"/>
  <c r="R225" i="30"/>
  <c r="R224" i="30"/>
  <c r="R223" i="30"/>
  <c r="R222" i="30"/>
  <c r="R220" i="30"/>
  <c r="R209" i="30"/>
  <c r="R207" i="30"/>
  <c r="R205" i="30"/>
  <c r="R203" i="30"/>
  <c r="R196" i="30"/>
  <c r="R195" i="30"/>
  <c r="R194" i="30"/>
  <c r="R191" i="30"/>
  <c r="R188" i="30"/>
  <c r="R187" i="30"/>
  <c r="R186" i="30"/>
  <c r="R185" i="30"/>
  <c r="R184" i="30"/>
  <c r="R183" i="30"/>
  <c r="R182" i="30"/>
  <c r="R181" i="30"/>
  <c r="R180" i="30"/>
  <c r="R179" i="30"/>
  <c r="R178" i="30"/>
  <c r="R177" i="30"/>
  <c r="R176" i="30"/>
  <c r="R175" i="30"/>
  <c r="R174" i="30"/>
  <c r="R173" i="30"/>
  <c r="R172" i="30"/>
  <c r="R170" i="30"/>
  <c r="R169" i="30"/>
  <c r="R168" i="30"/>
  <c r="R167" i="30"/>
  <c r="R166" i="30"/>
  <c r="R165" i="30"/>
  <c r="R164" i="30"/>
  <c r="R161" i="30"/>
  <c r="R159" i="30"/>
  <c r="R157" i="30"/>
  <c r="R156" i="30"/>
  <c r="R155" i="30"/>
  <c r="R154" i="30"/>
  <c r="R153" i="30"/>
  <c r="R152" i="30"/>
  <c r="R151" i="30"/>
  <c r="R150" i="30"/>
  <c r="R149" i="30"/>
  <c r="R148" i="30"/>
  <c r="R147" i="30"/>
  <c r="R146" i="30"/>
  <c r="R143" i="30"/>
  <c r="R142" i="30"/>
  <c r="R139" i="30"/>
  <c r="R135" i="30"/>
  <c r="R134" i="30"/>
  <c r="R132" i="30"/>
  <c r="R131" i="30"/>
  <c r="R130" i="30"/>
  <c r="R129" i="30"/>
  <c r="R127" i="30"/>
  <c r="R126" i="30"/>
  <c r="R125" i="30"/>
  <c r="R123" i="30"/>
  <c r="R122" i="30"/>
  <c r="R121" i="30"/>
  <c r="R120" i="30"/>
  <c r="R116" i="30"/>
  <c r="R115" i="30"/>
  <c r="R114" i="30"/>
  <c r="R113" i="30"/>
  <c r="R112" i="30"/>
  <c r="R111" i="30"/>
  <c r="R110" i="30"/>
  <c r="R109" i="30"/>
  <c r="R108" i="30"/>
  <c r="R107" i="30"/>
  <c r="R106" i="30"/>
  <c r="R105" i="30"/>
  <c r="R104" i="30"/>
  <c r="R103" i="30"/>
  <c r="R102" i="30"/>
  <c r="R101" i="30"/>
  <c r="R100" i="30"/>
  <c r="R99" i="30"/>
  <c r="R96" i="30"/>
  <c r="R90" i="30"/>
  <c r="R83" i="30"/>
  <c r="R82" i="30"/>
  <c r="R81" i="30"/>
  <c r="R80" i="30"/>
  <c r="R78" i="30"/>
  <c r="R77" i="30"/>
  <c r="R76" i="30"/>
  <c r="R75" i="30"/>
  <c r="R74" i="30"/>
  <c r="R72" i="30"/>
  <c r="R71" i="30"/>
  <c r="R70" i="30"/>
  <c r="R69" i="30"/>
  <c r="R67" i="30"/>
  <c r="R64" i="30"/>
  <c r="R62" i="30"/>
  <c r="R58" i="30"/>
  <c r="R55" i="30"/>
  <c r="R50" i="30"/>
  <c r="R38" i="30"/>
  <c r="R37" i="30"/>
  <c r="R36" i="30"/>
  <c r="R35" i="30"/>
  <c r="R34" i="30"/>
  <c r="R33" i="30"/>
  <c r="R32" i="30"/>
  <c r="R31" i="30"/>
  <c r="R29" i="30"/>
  <c r="R28" i="30"/>
  <c r="R27" i="30"/>
  <c r="R22" i="30"/>
  <c r="R17" i="30"/>
  <c r="R16" i="30"/>
  <c r="Q250" i="30"/>
  <c r="Q249" i="30"/>
  <c r="Q248" i="30"/>
  <c r="Q247" i="30"/>
  <c r="Q246" i="30"/>
  <c r="Q245" i="30"/>
  <c r="Q244" i="30"/>
  <c r="Q243" i="30"/>
  <c r="Q242" i="30"/>
  <c r="Q241" i="30"/>
  <c r="Q240" i="30"/>
  <c r="Q239" i="30"/>
  <c r="Q238" i="30"/>
  <c r="Q237" i="30"/>
  <c r="Q235" i="30"/>
  <c r="Q234" i="30"/>
  <c r="Q233" i="30"/>
  <c r="Q232" i="30"/>
  <c r="Q231" i="30"/>
  <c r="Q230" i="30"/>
  <c r="Q228" i="30"/>
  <c r="Q227" i="30"/>
  <c r="Q226" i="30"/>
  <c r="Q225" i="30"/>
  <c r="Q224" i="30"/>
  <c r="Q223" i="30"/>
  <c r="Q222" i="30"/>
  <c r="Q220" i="30"/>
  <c r="Q209" i="30"/>
  <c r="Q207" i="30"/>
  <c r="Q205" i="30"/>
  <c r="Q203" i="30"/>
  <c r="Q196" i="30"/>
  <c r="Q195" i="30"/>
  <c r="Q194" i="30"/>
  <c r="Q191" i="30"/>
  <c r="Q188" i="30"/>
  <c r="Q187" i="30"/>
  <c r="Q186" i="30"/>
  <c r="Q185" i="30"/>
  <c r="Q184" i="30"/>
  <c r="Q183" i="30"/>
  <c r="Q182" i="30"/>
  <c r="Q181" i="30"/>
  <c r="Q180" i="30"/>
  <c r="Q179" i="30"/>
  <c r="Q178" i="30"/>
  <c r="Q177" i="30"/>
  <c r="Q176" i="30"/>
  <c r="Q175" i="30"/>
  <c r="Q174" i="30"/>
  <c r="Q173" i="30"/>
  <c r="Q172" i="30"/>
  <c r="Q171" i="30"/>
  <c r="Q170" i="30"/>
  <c r="Q169" i="30"/>
  <c r="Q168" i="30"/>
  <c r="Q167" i="30"/>
  <c r="Q166" i="30"/>
  <c r="Q165" i="30"/>
  <c r="Q164" i="30"/>
  <c r="Q163" i="30"/>
  <c r="Q162" i="30"/>
  <c r="Q161" i="30"/>
  <c r="Q160" i="30"/>
  <c r="Q159" i="30"/>
  <c r="Q158" i="30"/>
  <c r="Q157" i="30"/>
  <c r="Q156" i="30"/>
  <c r="Q155" i="30"/>
  <c r="Q154" i="30"/>
  <c r="Q153" i="30"/>
  <c r="Q152" i="30"/>
  <c r="Q151" i="30"/>
  <c r="Q150" i="30"/>
  <c r="Q149" i="30"/>
  <c r="Q148" i="30"/>
  <c r="Q147" i="30"/>
  <c r="Q146" i="30"/>
  <c r="Q143" i="30"/>
  <c r="Q142" i="30"/>
  <c r="Q139" i="30"/>
  <c r="Q135" i="30"/>
  <c r="Q134" i="30"/>
  <c r="Q132" i="30"/>
  <c r="Q131" i="30"/>
  <c r="Q130" i="30"/>
  <c r="Q129" i="30"/>
  <c r="Q127" i="30"/>
  <c r="Q126" i="30"/>
  <c r="Q125" i="30"/>
  <c r="Q123" i="30"/>
  <c r="Q122" i="30"/>
  <c r="Q121" i="30"/>
  <c r="Q120" i="30"/>
  <c r="Q117" i="30"/>
  <c r="Q116" i="30"/>
  <c r="Q115" i="30"/>
  <c r="Q114" i="30"/>
  <c r="Q113" i="30"/>
  <c r="Q112" i="30"/>
  <c r="Q111" i="30"/>
  <c r="Q110" i="30"/>
  <c r="Q109" i="30"/>
  <c r="Q108" i="30"/>
  <c r="Q107" i="30"/>
  <c r="Q106" i="30"/>
  <c r="Q105" i="30"/>
  <c r="Q104" i="30"/>
  <c r="Q103" i="30"/>
  <c r="Q102" i="30"/>
  <c r="Q101" i="30"/>
  <c r="Q100" i="30"/>
  <c r="Q99" i="30"/>
  <c r="Q96" i="30"/>
  <c r="Q90" i="30"/>
  <c r="Q83" i="30"/>
  <c r="Q82" i="30"/>
  <c r="Q81" i="30"/>
  <c r="Q80" i="30"/>
  <c r="Q78" i="30"/>
  <c r="Q77" i="30"/>
  <c r="Q76" i="30"/>
  <c r="Q75" i="30"/>
  <c r="Q74" i="30"/>
  <c r="Q72" i="30"/>
  <c r="Q71" i="30"/>
  <c r="Q70" i="30"/>
  <c r="Q69" i="30"/>
  <c r="Q67" i="30"/>
  <c r="Q64" i="30"/>
  <c r="Q62" i="30"/>
  <c r="Q58" i="30"/>
  <c r="Q55" i="30"/>
  <c r="Q50" i="30"/>
  <c r="Q38" i="30"/>
  <c r="Q37" i="30"/>
  <c r="Q36" i="30"/>
  <c r="Q35" i="30"/>
  <c r="Q34" i="30"/>
  <c r="Q33" i="30"/>
  <c r="Q32" i="30"/>
  <c r="Q31" i="30"/>
  <c r="Q29" i="30"/>
  <c r="Q28" i="30"/>
  <c r="Q27" i="30"/>
  <c r="Q22" i="30"/>
  <c r="Q17" i="30"/>
  <c r="Q16" i="30"/>
  <c r="P250" i="30"/>
  <c r="P249" i="30"/>
  <c r="P248" i="30"/>
  <c r="P247" i="30"/>
  <c r="P246" i="30"/>
  <c r="P245" i="30"/>
  <c r="P244" i="30"/>
  <c r="P243" i="30"/>
  <c r="P242" i="30"/>
  <c r="P241" i="30"/>
  <c r="P240" i="30"/>
  <c r="P239" i="30"/>
  <c r="P238" i="30"/>
  <c r="P237" i="30"/>
  <c r="P235" i="30"/>
  <c r="P234" i="30"/>
  <c r="P233" i="30"/>
  <c r="P232" i="30"/>
  <c r="P231" i="30"/>
  <c r="P230" i="30"/>
  <c r="P228" i="30"/>
  <c r="P227" i="30"/>
  <c r="P226" i="30"/>
  <c r="P225" i="30"/>
  <c r="P224" i="30"/>
  <c r="P223" i="30"/>
  <c r="P222" i="30"/>
  <c r="P220" i="30"/>
  <c r="P209" i="30"/>
  <c r="P207" i="30"/>
  <c r="P205" i="30"/>
  <c r="P203" i="30"/>
  <c r="P196" i="30"/>
  <c r="P195" i="30"/>
  <c r="P194" i="30"/>
  <c r="P191" i="30"/>
  <c r="P188" i="30"/>
  <c r="P187" i="30"/>
  <c r="P186" i="30"/>
  <c r="P185" i="30"/>
  <c r="P184" i="30"/>
  <c r="P183" i="30"/>
  <c r="P182" i="30"/>
  <c r="P181" i="30"/>
  <c r="P180" i="30"/>
  <c r="P179" i="30"/>
  <c r="P178" i="30"/>
  <c r="P177" i="30"/>
  <c r="P176" i="30"/>
  <c r="P175" i="30"/>
  <c r="P174" i="30"/>
  <c r="P173" i="30"/>
  <c r="P172" i="30"/>
  <c r="P171" i="30"/>
  <c r="P170" i="30"/>
  <c r="P169" i="30"/>
  <c r="P168" i="30"/>
  <c r="P167" i="30"/>
  <c r="P166" i="30"/>
  <c r="P165" i="30"/>
  <c r="P164" i="30"/>
  <c r="P163" i="30"/>
  <c r="P162" i="30"/>
  <c r="P161" i="30"/>
  <c r="P160" i="30"/>
  <c r="P159" i="30"/>
  <c r="P158" i="30"/>
  <c r="P157" i="30"/>
  <c r="P156" i="30"/>
  <c r="P155" i="30"/>
  <c r="P154" i="30"/>
  <c r="P153" i="30"/>
  <c r="P152" i="30"/>
  <c r="P151" i="30"/>
  <c r="P150" i="30"/>
  <c r="P149" i="30"/>
  <c r="P148" i="30"/>
  <c r="P147" i="30"/>
  <c r="P146" i="30"/>
  <c r="P143" i="30"/>
  <c r="P142" i="30"/>
  <c r="P139" i="30"/>
  <c r="P135" i="30"/>
  <c r="P134" i="30"/>
  <c r="P132" i="30"/>
  <c r="P131" i="30"/>
  <c r="P130" i="30"/>
  <c r="P129" i="30"/>
  <c r="P127" i="30"/>
  <c r="P126" i="30"/>
  <c r="P125" i="30"/>
  <c r="P123" i="30"/>
  <c r="P122" i="30"/>
  <c r="P121" i="30"/>
  <c r="P120" i="30"/>
  <c r="P117" i="30"/>
  <c r="P116" i="30"/>
  <c r="P115" i="30"/>
  <c r="P114" i="30"/>
  <c r="P113" i="30"/>
  <c r="P112" i="30"/>
  <c r="P111" i="30"/>
  <c r="P110" i="30"/>
  <c r="P109" i="30"/>
  <c r="P108" i="30"/>
  <c r="P107" i="30"/>
  <c r="P106" i="30"/>
  <c r="P105" i="30"/>
  <c r="P104" i="30"/>
  <c r="P103" i="30"/>
  <c r="P102" i="30"/>
  <c r="P101" i="30"/>
  <c r="P100" i="30"/>
  <c r="P99" i="30"/>
  <c r="P96" i="30"/>
  <c r="P90" i="30"/>
  <c r="P83" i="30"/>
  <c r="P82" i="30"/>
  <c r="P81" i="30"/>
  <c r="P80" i="30"/>
  <c r="P78" i="30"/>
  <c r="P77" i="30"/>
  <c r="P76" i="30"/>
  <c r="P75" i="30"/>
  <c r="P74" i="30"/>
  <c r="P72" i="30"/>
  <c r="P71" i="30"/>
  <c r="P70" i="30"/>
  <c r="P69" i="30"/>
  <c r="P67" i="30"/>
  <c r="P64" i="30"/>
  <c r="P62" i="30"/>
  <c r="P58" i="30"/>
  <c r="P55" i="30"/>
  <c r="P50" i="30"/>
  <c r="P38" i="30"/>
  <c r="P37" i="30"/>
  <c r="P36" i="30"/>
  <c r="P35" i="30"/>
  <c r="P34" i="30"/>
  <c r="P33" i="30"/>
  <c r="P32" i="30"/>
  <c r="P31" i="30"/>
  <c r="P29" i="30"/>
  <c r="P28" i="30"/>
  <c r="P27" i="30"/>
  <c r="P22" i="30"/>
  <c r="P17" i="30"/>
  <c r="P16" i="30"/>
  <c r="O250" i="30"/>
  <c r="O249" i="30"/>
  <c r="O248" i="30"/>
  <c r="O247" i="30"/>
  <c r="O246" i="30"/>
  <c r="O245" i="30"/>
  <c r="O244" i="30"/>
  <c r="O243" i="30"/>
  <c r="O242" i="30"/>
  <c r="O241" i="30"/>
  <c r="O240" i="30"/>
  <c r="O239" i="30"/>
  <c r="O238" i="30"/>
  <c r="O237" i="30"/>
  <c r="O235" i="30"/>
  <c r="O234" i="30"/>
  <c r="O233" i="30"/>
  <c r="O232" i="30"/>
  <c r="O231" i="30"/>
  <c r="O230" i="30"/>
  <c r="O228" i="30"/>
  <c r="O227" i="30"/>
  <c r="O226" i="30"/>
  <c r="O225" i="30"/>
  <c r="O224" i="30"/>
  <c r="O223" i="30"/>
  <c r="O222" i="30"/>
  <c r="O220" i="30"/>
  <c r="O209" i="30"/>
  <c r="O207" i="30"/>
  <c r="O205" i="30"/>
  <c r="O203" i="30"/>
  <c r="O196" i="30"/>
  <c r="O195" i="30"/>
  <c r="O194" i="30"/>
  <c r="O191" i="30"/>
  <c r="O188" i="30"/>
  <c r="O187" i="30"/>
  <c r="O186" i="30"/>
  <c r="O185" i="30"/>
  <c r="O184" i="30"/>
  <c r="O183" i="30"/>
  <c r="O182" i="30"/>
  <c r="O181" i="30"/>
  <c r="O180" i="30"/>
  <c r="O179" i="30"/>
  <c r="O178" i="30"/>
  <c r="O177" i="30"/>
  <c r="O176" i="30"/>
  <c r="O175" i="30"/>
  <c r="O174" i="30"/>
  <c r="O173" i="30"/>
  <c r="O172" i="30"/>
  <c r="O171" i="30"/>
  <c r="O170" i="30"/>
  <c r="O169" i="30"/>
  <c r="O168" i="30"/>
  <c r="O167" i="30"/>
  <c r="O166" i="30"/>
  <c r="O165" i="30"/>
  <c r="O164" i="30"/>
  <c r="O163" i="30"/>
  <c r="O162" i="30"/>
  <c r="O161" i="30"/>
  <c r="O160" i="30"/>
  <c r="O159" i="30"/>
  <c r="O158" i="30"/>
  <c r="O157" i="30"/>
  <c r="O156" i="30"/>
  <c r="O155" i="30"/>
  <c r="O154" i="30"/>
  <c r="O153" i="30"/>
  <c r="O152" i="30"/>
  <c r="O151" i="30"/>
  <c r="O150" i="30"/>
  <c r="O149" i="30"/>
  <c r="O148" i="30"/>
  <c r="O147" i="30"/>
  <c r="O146" i="30"/>
  <c r="O143" i="30"/>
  <c r="O142" i="30"/>
  <c r="O139" i="30"/>
  <c r="O135" i="30"/>
  <c r="O134" i="30"/>
  <c r="O132" i="30"/>
  <c r="O131" i="30"/>
  <c r="O130" i="30"/>
  <c r="O129" i="30"/>
  <c r="O127" i="30"/>
  <c r="O126" i="30"/>
  <c r="O125" i="30"/>
  <c r="O123" i="30"/>
  <c r="O122" i="30"/>
  <c r="O121" i="30"/>
  <c r="O120" i="30"/>
  <c r="O117" i="30"/>
  <c r="O116" i="30"/>
  <c r="O115" i="30"/>
  <c r="O114" i="30"/>
  <c r="O113" i="30"/>
  <c r="O112" i="30"/>
  <c r="O111" i="30"/>
  <c r="O110" i="30"/>
  <c r="O109" i="30"/>
  <c r="O108" i="30"/>
  <c r="O107" i="30"/>
  <c r="O106" i="30"/>
  <c r="O105" i="30"/>
  <c r="O104" i="30"/>
  <c r="O103" i="30"/>
  <c r="O102" i="30"/>
  <c r="O101" i="30"/>
  <c r="O100" i="30"/>
  <c r="O99" i="30"/>
  <c r="O96" i="30"/>
  <c r="O90" i="30"/>
  <c r="O83" i="30"/>
  <c r="O82" i="30"/>
  <c r="O81" i="30"/>
  <c r="O80" i="30"/>
  <c r="O78" i="30"/>
  <c r="O77" i="30"/>
  <c r="O76" i="30"/>
  <c r="O75" i="30"/>
  <c r="O74" i="30"/>
  <c r="O72" i="30"/>
  <c r="O71" i="30"/>
  <c r="O70" i="30"/>
  <c r="O69" i="30"/>
  <c r="O67" i="30"/>
  <c r="O64" i="30"/>
  <c r="O62" i="30"/>
  <c r="O58" i="30"/>
  <c r="O55" i="30"/>
  <c r="O50" i="30"/>
  <c r="O38" i="30"/>
  <c r="O37" i="30"/>
  <c r="O36" i="30"/>
  <c r="O35" i="30"/>
  <c r="O34" i="30"/>
  <c r="O33" i="30"/>
  <c r="O32" i="30"/>
  <c r="O31" i="30"/>
  <c r="O29" i="30"/>
  <c r="O28" i="30"/>
  <c r="O27" i="30"/>
  <c r="O22" i="30"/>
  <c r="O17" i="30"/>
  <c r="O16" i="30"/>
  <c r="N250" i="30"/>
  <c r="N249" i="30"/>
  <c r="N248" i="30"/>
  <c r="N247" i="30"/>
  <c r="N246" i="30"/>
  <c r="N245" i="30"/>
  <c r="N244" i="30"/>
  <c r="N243" i="30"/>
  <c r="N242" i="30"/>
  <c r="N241" i="30"/>
  <c r="N240" i="30"/>
  <c r="N239" i="30"/>
  <c r="N238" i="30"/>
  <c r="N237" i="30"/>
  <c r="N235" i="30"/>
  <c r="N234" i="30"/>
  <c r="N233" i="30"/>
  <c r="N232" i="30"/>
  <c r="N231" i="30"/>
  <c r="N230" i="30"/>
  <c r="N228" i="30"/>
  <c r="N227" i="30"/>
  <c r="N226" i="30"/>
  <c r="N225" i="30"/>
  <c r="N224" i="30"/>
  <c r="N223" i="30"/>
  <c r="N222" i="30"/>
  <c r="N220" i="30"/>
  <c r="N209" i="30"/>
  <c r="N207" i="30"/>
  <c r="N205" i="30"/>
  <c r="N203" i="30"/>
  <c r="N196" i="30"/>
  <c r="N195" i="30"/>
  <c r="N194" i="30"/>
  <c r="N191" i="30"/>
  <c r="N188" i="30"/>
  <c r="N187" i="30"/>
  <c r="N186" i="30"/>
  <c r="N185" i="30"/>
  <c r="N184" i="30"/>
  <c r="N183" i="30"/>
  <c r="N182" i="30"/>
  <c r="N181" i="30"/>
  <c r="N180" i="30"/>
  <c r="N179" i="30"/>
  <c r="N178" i="30"/>
  <c r="N177" i="30"/>
  <c r="N176" i="30"/>
  <c r="N175" i="30"/>
  <c r="N174" i="30"/>
  <c r="N173" i="30"/>
  <c r="N172" i="30"/>
  <c r="N171" i="30"/>
  <c r="N170" i="30"/>
  <c r="N169" i="30"/>
  <c r="N168" i="30"/>
  <c r="N167" i="30"/>
  <c r="N166" i="30"/>
  <c r="N165" i="30"/>
  <c r="N164" i="30"/>
  <c r="N163" i="30"/>
  <c r="N162" i="30"/>
  <c r="N161" i="30"/>
  <c r="N160" i="30"/>
  <c r="N159" i="30"/>
  <c r="N158" i="30"/>
  <c r="N157" i="30"/>
  <c r="N156" i="30"/>
  <c r="N155" i="30"/>
  <c r="N154" i="30"/>
  <c r="N153" i="30"/>
  <c r="N152" i="30"/>
  <c r="N151" i="30"/>
  <c r="N150" i="30"/>
  <c r="N149" i="30"/>
  <c r="N148" i="30"/>
  <c r="N147" i="30"/>
  <c r="N146" i="30"/>
  <c r="N145" i="30"/>
  <c r="N144" i="30"/>
  <c r="N143" i="30"/>
  <c r="N142" i="30"/>
  <c r="N141" i="30"/>
  <c r="N139" i="30"/>
  <c r="N135" i="30"/>
  <c r="N134" i="30"/>
  <c r="N132" i="30"/>
  <c r="N131" i="30"/>
  <c r="N130" i="30"/>
  <c r="N129" i="30"/>
  <c r="N127" i="30"/>
  <c r="N126" i="30"/>
  <c r="N125" i="30"/>
  <c r="N123" i="30"/>
  <c r="N122" i="30"/>
  <c r="N121" i="30"/>
  <c r="N120" i="30"/>
  <c r="N117" i="30"/>
  <c r="N116" i="30"/>
  <c r="N115" i="30"/>
  <c r="N114" i="30"/>
  <c r="N113" i="30"/>
  <c r="N112" i="30"/>
  <c r="N111" i="30"/>
  <c r="N110" i="30"/>
  <c r="N109" i="30"/>
  <c r="N108" i="30"/>
  <c r="N107" i="30"/>
  <c r="N106" i="30"/>
  <c r="N105" i="30"/>
  <c r="N104" i="30"/>
  <c r="N103" i="30"/>
  <c r="N102" i="30"/>
  <c r="N101" i="30"/>
  <c r="N100" i="30"/>
  <c r="N99" i="30"/>
  <c r="N96" i="30"/>
  <c r="N90" i="30"/>
  <c r="N83" i="30"/>
  <c r="N82" i="30"/>
  <c r="N81" i="30"/>
  <c r="N80" i="30"/>
  <c r="N78" i="30"/>
  <c r="N77" i="30"/>
  <c r="N76" i="30"/>
  <c r="N75" i="30"/>
  <c r="N74" i="30"/>
  <c r="N72" i="30"/>
  <c r="N71" i="30"/>
  <c r="N70" i="30"/>
  <c r="N69" i="30"/>
  <c r="N67" i="30"/>
  <c r="N64" i="30"/>
  <c r="N62" i="30"/>
  <c r="N58" i="30"/>
  <c r="N55" i="30"/>
  <c r="N52" i="30"/>
  <c r="N50" i="30"/>
  <c r="N38" i="30"/>
  <c r="N37" i="30"/>
  <c r="N36" i="30"/>
  <c r="N35" i="30"/>
  <c r="N34" i="30"/>
  <c r="N33" i="30"/>
  <c r="N32" i="30"/>
  <c r="N31" i="30"/>
  <c r="N29" i="30"/>
  <c r="N28" i="30"/>
  <c r="N27" i="30"/>
  <c r="N22" i="30"/>
  <c r="N17" i="30"/>
  <c r="N16" i="30"/>
  <c r="M250" i="30"/>
  <c r="M249" i="30"/>
  <c r="M248" i="30"/>
  <c r="M247" i="30"/>
  <c r="M246" i="30"/>
  <c r="M245" i="30"/>
  <c r="M244" i="30"/>
  <c r="M243" i="30"/>
  <c r="M242" i="30"/>
  <c r="M241" i="30"/>
  <c r="M240" i="30"/>
  <c r="M239" i="30"/>
  <c r="M238" i="30"/>
  <c r="M237" i="30"/>
  <c r="M235" i="30"/>
  <c r="M234" i="30"/>
  <c r="M233" i="30"/>
  <c r="M232" i="30"/>
  <c r="M231" i="30"/>
  <c r="M230" i="30"/>
  <c r="M228" i="30"/>
  <c r="M227" i="30"/>
  <c r="M226" i="30"/>
  <c r="M225" i="30"/>
  <c r="M224" i="30"/>
  <c r="M223" i="30"/>
  <c r="M222" i="30"/>
  <c r="M220" i="30"/>
  <c r="M209" i="30"/>
  <c r="M207" i="30"/>
  <c r="M205" i="30"/>
  <c r="M203" i="30"/>
  <c r="M196" i="30"/>
  <c r="M195" i="30"/>
  <c r="M194" i="30"/>
  <c r="M191" i="30"/>
  <c r="M188" i="30"/>
  <c r="M187" i="30"/>
  <c r="M186" i="30"/>
  <c r="M185" i="30"/>
  <c r="M184" i="30"/>
  <c r="M183" i="30"/>
  <c r="M182" i="30"/>
  <c r="M181" i="30"/>
  <c r="M180" i="30"/>
  <c r="M179" i="30"/>
  <c r="M178" i="30"/>
  <c r="M177" i="30"/>
  <c r="M176" i="30"/>
  <c r="M175" i="30"/>
  <c r="M174" i="30"/>
  <c r="M173" i="30"/>
  <c r="M172" i="30"/>
  <c r="M171" i="30"/>
  <c r="M170" i="30"/>
  <c r="M169" i="30"/>
  <c r="M168" i="30"/>
  <c r="M167" i="30"/>
  <c r="M166" i="30"/>
  <c r="M165" i="30"/>
  <c r="M164" i="30"/>
  <c r="M163" i="30"/>
  <c r="M162" i="30"/>
  <c r="M161" i="30"/>
  <c r="M160" i="30"/>
  <c r="M159" i="30"/>
  <c r="M158" i="30"/>
  <c r="M157" i="30"/>
  <c r="M156" i="30"/>
  <c r="M155" i="30"/>
  <c r="M154" i="30"/>
  <c r="M153" i="30"/>
  <c r="M152" i="30"/>
  <c r="M151" i="30"/>
  <c r="M150" i="30"/>
  <c r="M149" i="30"/>
  <c r="M148" i="30"/>
  <c r="M147" i="30"/>
  <c r="M146" i="30"/>
  <c r="M145" i="30"/>
  <c r="M144" i="30"/>
  <c r="M143" i="30"/>
  <c r="M142" i="30"/>
  <c r="M141" i="30"/>
  <c r="M139" i="30"/>
  <c r="M135" i="30"/>
  <c r="M134" i="30"/>
  <c r="M132" i="30"/>
  <c r="M131" i="30"/>
  <c r="M130" i="30"/>
  <c r="M129" i="30"/>
  <c r="M127" i="30"/>
  <c r="M126" i="30"/>
  <c r="M125" i="30"/>
  <c r="M123" i="30"/>
  <c r="M122" i="30"/>
  <c r="M121" i="30"/>
  <c r="M120" i="30"/>
  <c r="M117" i="30"/>
  <c r="M116" i="30"/>
  <c r="M115" i="30"/>
  <c r="M114" i="30"/>
  <c r="M113" i="30"/>
  <c r="M112" i="30"/>
  <c r="M111" i="30"/>
  <c r="M110" i="30"/>
  <c r="M109" i="30"/>
  <c r="M108" i="30"/>
  <c r="M107" i="30"/>
  <c r="M106" i="30"/>
  <c r="M105" i="30"/>
  <c r="M104" i="30"/>
  <c r="M103" i="30"/>
  <c r="M102" i="30"/>
  <c r="M101" i="30"/>
  <c r="M100" i="30"/>
  <c r="M99" i="30"/>
  <c r="M96" i="30"/>
  <c r="M90" i="30"/>
  <c r="M83" i="30"/>
  <c r="M82" i="30"/>
  <c r="M81" i="30"/>
  <c r="M80" i="30"/>
  <c r="M78" i="30"/>
  <c r="M77" i="30"/>
  <c r="M76" i="30"/>
  <c r="M75" i="30"/>
  <c r="M74" i="30"/>
  <c r="M72" i="30"/>
  <c r="M71" i="30"/>
  <c r="M70" i="30"/>
  <c r="M69" i="30"/>
  <c r="M67" i="30"/>
  <c r="M64" i="30"/>
  <c r="M62" i="30"/>
  <c r="M58" i="30"/>
  <c r="M55" i="30"/>
  <c r="M52" i="30"/>
  <c r="M50" i="30"/>
  <c r="M38" i="30"/>
  <c r="M37" i="30"/>
  <c r="M36" i="30"/>
  <c r="M35" i="30"/>
  <c r="M34" i="30"/>
  <c r="M33" i="30"/>
  <c r="M32" i="30"/>
  <c r="M31" i="30"/>
  <c r="M29" i="30"/>
  <c r="M28" i="30"/>
  <c r="M27" i="30"/>
  <c r="M22" i="30"/>
  <c r="M17" i="30"/>
  <c r="M16" i="30"/>
  <c r="L250" i="30"/>
  <c r="L249" i="30"/>
  <c r="L248" i="30"/>
  <c r="L247" i="30"/>
  <c r="L246" i="30"/>
  <c r="L245" i="30"/>
  <c r="L244" i="30"/>
  <c r="L243" i="30"/>
  <c r="L242" i="30"/>
  <c r="L241" i="30"/>
  <c r="L240" i="30"/>
  <c r="L239" i="30"/>
  <c r="L238" i="30"/>
  <c r="L237" i="30"/>
  <c r="L235" i="30"/>
  <c r="L234" i="30"/>
  <c r="L233" i="30"/>
  <c r="L232" i="30"/>
  <c r="L231" i="30"/>
  <c r="L230" i="30"/>
  <c r="L228" i="30"/>
  <c r="L227" i="30"/>
  <c r="L226" i="30"/>
  <c r="L225" i="30"/>
  <c r="L224" i="30"/>
  <c r="L223" i="30"/>
  <c r="L222" i="30"/>
  <c r="L220" i="30"/>
  <c r="L209" i="30"/>
  <c r="L207" i="30"/>
  <c r="L205" i="30"/>
  <c r="L203" i="30"/>
  <c r="L196" i="30"/>
  <c r="L195" i="30"/>
  <c r="L194" i="30"/>
  <c r="L191" i="30"/>
  <c r="L188" i="30"/>
  <c r="L187" i="30"/>
  <c r="L186" i="30"/>
  <c r="L185" i="30"/>
  <c r="L184" i="30"/>
  <c r="L183" i="30"/>
  <c r="L182" i="30"/>
  <c r="L181" i="30"/>
  <c r="L180" i="30"/>
  <c r="L179" i="30"/>
  <c r="L178" i="30"/>
  <c r="L177" i="30"/>
  <c r="L176" i="30"/>
  <c r="L175" i="30"/>
  <c r="L174" i="30"/>
  <c r="L173" i="30"/>
  <c r="L172" i="30"/>
  <c r="L171" i="30"/>
  <c r="L170" i="30"/>
  <c r="L169" i="30"/>
  <c r="L168" i="30"/>
  <c r="L167" i="30"/>
  <c r="L166" i="30"/>
  <c r="L165" i="30"/>
  <c r="L164" i="30"/>
  <c r="L163" i="30"/>
  <c r="L162" i="30"/>
  <c r="L161" i="30"/>
  <c r="L160" i="30"/>
  <c r="L159" i="30"/>
  <c r="L158" i="30"/>
  <c r="L157" i="30"/>
  <c r="L156" i="30"/>
  <c r="L155" i="30"/>
  <c r="L154" i="30"/>
  <c r="L153" i="30"/>
  <c r="L152" i="30"/>
  <c r="L151" i="30"/>
  <c r="L150" i="30"/>
  <c r="L149" i="30"/>
  <c r="L148" i="30"/>
  <c r="L147" i="30"/>
  <c r="L146" i="30"/>
  <c r="L145" i="30"/>
  <c r="L144" i="30"/>
  <c r="L143" i="30"/>
  <c r="L142" i="30"/>
  <c r="L141" i="30"/>
  <c r="L139" i="30"/>
  <c r="L135" i="30"/>
  <c r="L134" i="30"/>
  <c r="L132" i="30"/>
  <c r="L131" i="30"/>
  <c r="L130" i="30"/>
  <c r="L129" i="30"/>
  <c r="L127" i="30"/>
  <c r="L126" i="30"/>
  <c r="L125" i="30"/>
  <c r="L123" i="30"/>
  <c r="L122" i="30"/>
  <c r="L121" i="30"/>
  <c r="L120" i="30"/>
  <c r="L117" i="30"/>
  <c r="L116" i="30"/>
  <c r="L115" i="30"/>
  <c r="L114" i="30"/>
  <c r="L113" i="30"/>
  <c r="L112" i="30"/>
  <c r="L111" i="30"/>
  <c r="L110" i="30"/>
  <c r="L109" i="30"/>
  <c r="L108" i="30"/>
  <c r="L107" i="30"/>
  <c r="L106" i="30"/>
  <c r="L105" i="30"/>
  <c r="L104" i="30"/>
  <c r="L103" i="30"/>
  <c r="L102" i="30"/>
  <c r="L101" i="30"/>
  <c r="L100" i="30"/>
  <c r="L99" i="30"/>
  <c r="L96" i="30"/>
  <c r="L90" i="30"/>
  <c r="L83" i="30"/>
  <c r="L82" i="30"/>
  <c r="L81" i="30"/>
  <c r="L80" i="30"/>
  <c r="L78" i="30"/>
  <c r="L77" i="30"/>
  <c r="L76" i="30"/>
  <c r="L75" i="30"/>
  <c r="L74" i="30"/>
  <c r="L72" i="30"/>
  <c r="L71" i="30"/>
  <c r="L70" i="30"/>
  <c r="L69" i="30"/>
  <c r="L67" i="30"/>
  <c r="L64" i="30"/>
  <c r="L62" i="30"/>
  <c r="L58" i="30"/>
  <c r="L55" i="30"/>
  <c r="L52" i="30"/>
  <c r="L50" i="30"/>
  <c r="L38" i="30"/>
  <c r="L37" i="30"/>
  <c r="L36" i="30"/>
  <c r="L35" i="30"/>
  <c r="L34" i="30"/>
  <c r="L33" i="30"/>
  <c r="L32" i="30"/>
  <c r="L31" i="30"/>
  <c r="L29" i="30"/>
  <c r="L28" i="30"/>
  <c r="L27" i="30"/>
  <c r="L22" i="30"/>
  <c r="L17" i="30"/>
  <c r="L16" i="30"/>
  <c r="K250" i="30"/>
  <c r="K249" i="30"/>
  <c r="K248" i="30"/>
  <c r="K247" i="30"/>
  <c r="K246" i="30"/>
  <c r="K245" i="30"/>
  <c r="K244" i="30"/>
  <c r="K243" i="30"/>
  <c r="K242" i="30"/>
  <c r="K241" i="30"/>
  <c r="K240" i="30"/>
  <c r="K239" i="30"/>
  <c r="K238" i="30"/>
  <c r="K237" i="30"/>
  <c r="K235" i="30"/>
  <c r="K234" i="30"/>
  <c r="K233" i="30"/>
  <c r="K232" i="30"/>
  <c r="K231" i="30"/>
  <c r="K230" i="30"/>
  <c r="K228" i="30"/>
  <c r="K227" i="30"/>
  <c r="K226" i="30"/>
  <c r="K225" i="30"/>
  <c r="K224" i="30"/>
  <c r="K223" i="30"/>
  <c r="K222" i="30"/>
  <c r="K220" i="30"/>
  <c r="K207" i="30"/>
  <c r="K205" i="30"/>
  <c r="K203" i="30"/>
  <c r="K196" i="30"/>
  <c r="K195" i="30"/>
  <c r="K194" i="30"/>
  <c r="K191" i="30"/>
  <c r="K188" i="30"/>
  <c r="K187" i="30"/>
  <c r="K186" i="30"/>
  <c r="K185" i="30"/>
  <c r="K184" i="30"/>
  <c r="K183" i="30"/>
  <c r="K182" i="30"/>
  <c r="K181" i="30"/>
  <c r="K180" i="30"/>
  <c r="K179" i="30"/>
  <c r="K178" i="30"/>
  <c r="K177" i="30"/>
  <c r="K176" i="30"/>
  <c r="K175" i="30"/>
  <c r="K174" i="30"/>
  <c r="K173" i="30"/>
  <c r="K172" i="30"/>
  <c r="K171" i="30"/>
  <c r="K170" i="30"/>
  <c r="K169" i="30"/>
  <c r="K168" i="30"/>
  <c r="K167" i="30"/>
  <c r="K166" i="30"/>
  <c r="K165" i="30"/>
  <c r="K164" i="30"/>
  <c r="K163" i="30"/>
  <c r="K162" i="30"/>
  <c r="K161" i="30"/>
  <c r="K160" i="30"/>
  <c r="K159" i="30"/>
  <c r="K158" i="30"/>
  <c r="K157" i="30"/>
  <c r="K156" i="30"/>
  <c r="K155" i="30"/>
  <c r="K154" i="30"/>
  <c r="K153" i="30"/>
  <c r="K152" i="30"/>
  <c r="K151" i="30"/>
  <c r="K150" i="30"/>
  <c r="K149" i="30"/>
  <c r="K148" i="30"/>
  <c r="K147" i="30"/>
  <c r="K146" i="30"/>
  <c r="K145" i="30"/>
  <c r="K144" i="30"/>
  <c r="K143" i="30"/>
  <c r="K142" i="30"/>
  <c r="K141" i="30"/>
  <c r="K139" i="30"/>
  <c r="K135" i="30"/>
  <c r="K134" i="30"/>
  <c r="K132" i="30"/>
  <c r="K131" i="30"/>
  <c r="K130" i="30"/>
  <c r="K129" i="30"/>
  <c r="K127" i="30"/>
  <c r="K126" i="30"/>
  <c r="K125" i="30"/>
  <c r="K123" i="30"/>
  <c r="K122" i="30"/>
  <c r="K121" i="30"/>
  <c r="K120" i="30"/>
  <c r="K117" i="30"/>
  <c r="K116" i="30"/>
  <c r="K115" i="30"/>
  <c r="K114" i="30"/>
  <c r="K113" i="30"/>
  <c r="K112" i="30"/>
  <c r="K111" i="30"/>
  <c r="K110" i="30"/>
  <c r="K109" i="30"/>
  <c r="K108" i="30"/>
  <c r="K107" i="30"/>
  <c r="K106" i="30"/>
  <c r="K105" i="30"/>
  <c r="K104" i="30"/>
  <c r="K103" i="30"/>
  <c r="K102" i="30"/>
  <c r="K101" i="30"/>
  <c r="K100" i="30"/>
  <c r="K99" i="30"/>
  <c r="K96" i="30"/>
  <c r="K90" i="30"/>
  <c r="K83" i="30"/>
  <c r="K82" i="30"/>
  <c r="K81" i="30"/>
  <c r="K80" i="30"/>
  <c r="K78" i="30"/>
  <c r="K77" i="30"/>
  <c r="K76" i="30"/>
  <c r="K75" i="30"/>
  <c r="K74" i="30"/>
  <c r="K72" i="30"/>
  <c r="K71" i="30"/>
  <c r="K70" i="30"/>
  <c r="K69" i="30"/>
  <c r="K67" i="30"/>
  <c r="K64" i="30"/>
  <c r="K62" i="30"/>
  <c r="K58" i="30"/>
  <c r="K55" i="30"/>
  <c r="K52" i="30"/>
  <c r="K50" i="30"/>
  <c r="K38" i="30"/>
  <c r="K37" i="30"/>
  <c r="K36" i="30"/>
  <c r="K35" i="30"/>
  <c r="K34" i="30"/>
  <c r="K33" i="30"/>
  <c r="K32" i="30"/>
  <c r="K31" i="30"/>
  <c r="K29" i="30"/>
  <c r="K28" i="30"/>
  <c r="K27" i="30"/>
  <c r="K22" i="30"/>
  <c r="K17" i="30"/>
  <c r="K16" i="30"/>
  <c r="J250" i="30"/>
  <c r="J249" i="30"/>
  <c r="J248" i="30"/>
  <c r="J247" i="30"/>
  <c r="J246" i="30"/>
  <c r="J245" i="30"/>
  <c r="J244" i="30"/>
  <c r="J243" i="30"/>
  <c r="J242" i="30"/>
  <c r="J241" i="30"/>
  <c r="J240" i="30"/>
  <c r="J239" i="30"/>
  <c r="J238" i="30"/>
  <c r="J237" i="30"/>
  <c r="J235" i="30"/>
  <c r="J234" i="30"/>
  <c r="J233" i="30"/>
  <c r="J232" i="30"/>
  <c r="J231" i="30"/>
  <c r="J230" i="30"/>
  <c r="J228" i="30"/>
  <c r="J227" i="30"/>
  <c r="J226" i="30"/>
  <c r="J225" i="30"/>
  <c r="J224" i="30"/>
  <c r="J223" i="30"/>
  <c r="J222" i="30"/>
  <c r="J220" i="30"/>
  <c r="J207" i="30"/>
  <c r="J205" i="30"/>
  <c r="J203" i="30"/>
  <c r="J196" i="30"/>
  <c r="J195" i="30"/>
  <c r="J194" i="30"/>
  <c r="J191" i="30"/>
  <c r="J188" i="30"/>
  <c r="J187" i="30"/>
  <c r="J186" i="30"/>
  <c r="J185" i="30"/>
  <c r="J184" i="30"/>
  <c r="J183" i="30"/>
  <c r="J182" i="30"/>
  <c r="J181" i="30"/>
  <c r="J180" i="30"/>
  <c r="J179" i="30"/>
  <c r="J178" i="30"/>
  <c r="J177" i="30"/>
  <c r="J176" i="30"/>
  <c r="J175" i="30"/>
  <c r="J174" i="30"/>
  <c r="J173" i="30"/>
  <c r="J172" i="30"/>
  <c r="J171" i="30"/>
  <c r="J170" i="30"/>
  <c r="J169" i="30"/>
  <c r="J168" i="30"/>
  <c r="J167" i="30"/>
  <c r="J166" i="30"/>
  <c r="J165" i="30"/>
  <c r="J164" i="30"/>
  <c r="J163" i="30"/>
  <c r="J162" i="30"/>
  <c r="J161" i="30"/>
  <c r="J160" i="30"/>
  <c r="J159" i="30"/>
  <c r="J158" i="30"/>
  <c r="J157" i="30"/>
  <c r="J156" i="30"/>
  <c r="J155" i="30"/>
  <c r="J154" i="30"/>
  <c r="J153" i="30"/>
  <c r="J152" i="30"/>
  <c r="J151" i="30"/>
  <c r="J150" i="30"/>
  <c r="J149" i="30"/>
  <c r="J148" i="30"/>
  <c r="J147" i="30"/>
  <c r="J146" i="30"/>
  <c r="J145" i="30"/>
  <c r="J144" i="30"/>
  <c r="J143" i="30"/>
  <c r="J142" i="30"/>
  <c r="J141" i="30"/>
  <c r="J139" i="30"/>
  <c r="J135" i="30"/>
  <c r="J134" i="30"/>
  <c r="J132" i="30"/>
  <c r="J131" i="30"/>
  <c r="J130" i="30"/>
  <c r="J129" i="30"/>
  <c r="J127" i="30"/>
  <c r="J126" i="30"/>
  <c r="J125" i="30"/>
  <c r="J123" i="30"/>
  <c r="J122" i="30"/>
  <c r="J121" i="30"/>
  <c r="J120" i="30"/>
  <c r="J117" i="30"/>
  <c r="J116" i="30"/>
  <c r="J115" i="30"/>
  <c r="J114" i="30"/>
  <c r="J113" i="30"/>
  <c r="J112" i="30"/>
  <c r="J111" i="30"/>
  <c r="J110" i="30"/>
  <c r="J109" i="30"/>
  <c r="J108" i="30"/>
  <c r="J107" i="30"/>
  <c r="J106" i="30"/>
  <c r="J105" i="30"/>
  <c r="J104" i="30"/>
  <c r="J103" i="30"/>
  <c r="J102" i="30"/>
  <c r="J101" i="30"/>
  <c r="J100" i="30"/>
  <c r="J99" i="30"/>
  <c r="J96" i="30"/>
  <c r="J90" i="30"/>
  <c r="J83" i="30"/>
  <c r="J82" i="30"/>
  <c r="J81" i="30"/>
  <c r="J80" i="30"/>
  <c r="J78" i="30"/>
  <c r="J77" i="30"/>
  <c r="J76" i="30"/>
  <c r="J75" i="30"/>
  <c r="J74" i="30"/>
  <c r="J72" i="30"/>
  <c r="J71" i="30"/>
  <c r="J70" i="30"/>
  <c r="J69" i="30"/>
  <c r="J67" i="30"/>
  <c r="J64" i="30"/>
  <c r="J62" i="30"/>
  <c r="J58" i="30"/>
  <c r="J55" i="30"/>
  <c r="J52" i="30"/>
  <c r="J50" i="30"/>
  <c r="J38" i="30"/>
  <c r="J37" i="30"/>
  <c r="J36" i="30"/>
  <c r="J35" i="30"/>
  <c r="J34" i="30"/>
  <c r="J33" i="30"/>
  <c r="J32" i="30"/>
  <c r="J31" i="30"/>
  <c r="J29" i="30"/>
  <c r="J28" i="30"/>
  <c r="J27" i="30"/>
  <c r="J22" i="30"/>
  <c r="J17" i="30"/>
  <c r="J16" i="30"/>
  <c r="I250" i="30"/>
  <c r="I249" i="30"/>
  <c r="I248" i="30"/>
  <c r="I247" i="30"/>
  <c r="I246" i="30"/>
  <c r="I245" i="30"/>
  <c r="I244" i="30"/>
  <c r="I243" i="30"/>
  <c r="I242" i="30"/>
  <c r="I241" i="30"/>
  <c r="I240" i="30"/>
  <c r="I239" i="30"/>
  <c r="I238" i="30"/>
  <c r="I237" i="30"/>
  <c r="I235" i="30"/>
  <c r="I234" i="30"/>
  <c r="I233" i="30"/>
  <c r="I232" i="30"/>
  <c r="I231" i="30"/>
  <c r="I230" i="30"/>
  <c r="I228" i="30"/>
  <c r="I227" i="30"/>
  <c r="I226" i="30"/>
  <c r="I225" i="30"/>
  <c r="I224" i="30"/>
  <c r="I223" i="30"/>
  <c r="I222" i="30"/>
  <c r="I220" i="30"/>
  <c r="I207" i="30"/>
  <c r="I205" i="30"/>
  <c r="I203" i="30"/>
  <c r="I196" i="30"/>
  <c r="I195" i="30"/>
  <c r="I194" i="30"/>
  <c r="I191" i="30"/>
  <c r="I188" i="30"/>
  <c r="I187" i="30"/>
  <c r="I186" i="30"/>
  <c r="I185" i="30"/>
  <c r="I184" i="30"/>
  <c r="I183" i="30"/>
  <c r="I182" i="30"/>
  <c r="I181" i="30"/>
  <c r="I180" i="30"/>
  <c r="I179" i="30"/>
  <c r="I178" i="30"/>
  <c r="I177" i="30"/>
  <c r="I176" i="30"/>
  <c r="I175" i="30"/>
  <c r="I174" i="30"/>
  <c r="I173" i="30"/>
  <c r="I172" i="30"/>
  <c r="I171" i="30"/>
  <c r="I170" i="30"/>
  <c r="I169" i="30"/>
  <c r="I168" i="30"/>
  <c r="I167" i="30"/>
  <c r="I166" i="30"/>
  <c r="I165" i="30"/>
  <c r="I164" i="30"/>
  <c r="I163" i="30"/>
  <c r="I162" i="30"/>
  <c r="I161" i="30"/>
  <c r="I160" i="30"/>
  <c r="I159" i="30"/>
  <c r="I158" i="30"/>
  <c r="I157" i="30"/>
  <c r="I156" i="30"/>
  <c r="I155" i="30"/>
  <c r="I154" i="30"/>
  <c r="I153" i="30"/>
  <c r="I152" i="30"/>
  <c r="I151" i="30"/>
  <c r="I150" i="30"/>
  <c r="I149" i="30"/>
  <c r="I148" i="30"/>
  <c r="I147" i="30"/>
  <c r="I146" i="30"/>
  <c r="I145" i="30"/>
  <c r="I144" i="30"/>
  <c r="I143" i="30"/>
  <c r="I142" i="30"/>
  <c r="I141" i="30"/>
  <c r="I139" i="30"/>
  <c r="I135" i="30"/>
  <c r="I134" i="30"/>
  <c r="I132" i="30"/>
  <c r="I131" i="30"/>
  <c r="I130" i="30"/>
  <c r="I129" i="30"/>
  <c r="I127" i="30"/>
  <c r="I126" i="30"/>
  <c r="I125" i="30"/>
  <c r="I123" i="30"/>
  <c r="I122" i="30"/>
  <c r="I121" i="30"/>
  <c r="I120" i="30"/>
  <c r="I117" i="30"/>
  <c r="I116" i="30"/>
  <c r="I115" i="30"/>
  <c r="I114" i="30"/>
  <c r="I113" i="30"/>
  <c r="I112" i="30"/>
  <c r="I111" i="30"/>
  <c r="I110" i="30"/>
  <c r="I109" i="30"/>
  <c r="I108" i="30"/>
  <c r="I107" i="30"/>
  <c r="I106" i="30"/>
  <c r="I105" i="30"/>
  <c r="I104" i="30"/>
  <c r="I103" i="30"/>
  <c r="I102" i="30"/>
  <c r="I101" i="30"/>
  <c r="I100" i="30"/>
  <c r="I99" i="30"/>
  <c r="I96" i="30"/>
  <c r="I90" i="30"/>
  <c r="I83" i="30"/>
  <c r="I82" i="30"/>
  <c r="I81" i="30"/>
  <c r="I80" i="30"/>
  <c r="I78" i="30"/>
  <c r="I77" i="30"/>
  <c r="I76" i="30"/>
  <c r="I75" i="30"/>
  <c r="I74" i="30"/>
  <c r="I72" i="30"/>
  <c r="I71" i="30"/>
  <c r="I70" i="30"/>
  <c r="I69" i="30"/>
  <c r="I67" i="30"/>
  <c r="I64" i="30"/>
  <c r="I62" i="30"/>
  <c r="I58" i="30"/>
  <c r="I52" i="30"/>
  <c r="I50" i="30"/>
  <c r="I38" i="30"/>
  <c r="I37" i="30"/>
  <c r="I36" i="30"/>
  <c r="I35" i="30"/>
  <c r="I34" i="30"/>
  <c r="I33" i="30"/>
  <c r="I32" i="30"/>
  <c r="I31" i="30"/>
  <c r="I29" i="30"/>
  <c r="I28" i="30"/>
  <c r="I27" i="30"/>
  <c r="I22" i="30"/>
  <c r="I17" i="30"/>
  <c r="I16" i="30"/>
  <c r="H250" i="30"/>
  <c r="H249" i="30"/>
  <c r="H248" i="30"/>
  <c r="H247" i="30"/>
  <c r="H246" i="30"/>
  <c r="H245" i="30"/>
  <c r="H244" i="30"/>
  <c r="H243" i="30"/>
  <c r="H242" i="30"/>
  <c r="H241" i="30"/>
  <c r="H240" i="30"/>
  <c r="H239" i="30"/>
  <c r="H238" i="30"/>
  <c r="H237" i="30"/>
  <c r="H235" i="30"/>
  <c r="H234" i="30"/>
  <c r="H233" i="30"/>
  <c r="H232" i="30"/>
  <c r="H231" i="30"/>
  <c r="H230" i="30"/>
  <c r="H228" i="30"/>
  <c r="H227" i="30"/>
  <c r="H226" i="30"/>
  <c r="H225" i="30"/>
  <c r="H224" i="30"/>
  <c r="H223" i="30"/>
  <c r="H222" i="30"/>
  <c r="H220" i="30"/>
  <c r="H207" i="30"/>
  <c r="H205" i="30"/>
  <c r="H203" i="30"/>
  <c r="H196" i="30"/>
  <c r="H195" i="30"/>
  <c r="H194" i="30"/>
  <c r="H191" i="30"/>
  <c r="H188" i="30"/>
  <c r="H187" i="30"/>
  <c r="H186" i="30"/>
  <c r="H185" i="30"/>
  <c r="H184" i="30"/>
  <c r="H183" i="30"/>
  <c r="H182" i="30"/>
  <c r="H181" i="30"/>
  <c r="H180" i="30"/>
  <c r="H179" i="30"/>
  <c r="H178" i="30"/>
  <c r="H177" i="30"/>
  <c r="H176" i="30"/>
  <c r="H175" i="30"/>
  <c r="H174" i="30"/>
  <c r="H173" i="30"/>
  <c r="H172" i="30"/>
  <c r="H171" i="30"/>
  <c r="H170" i="30"/>
  <c r="H169" i="30"/>
  <c r="H168" i="30"/>
  <c r="H167" i="30"/>
  <c r="H166" i="30"/>
  <c r="H165" i="30"/>
  <c r="H164" i="30"/>
  <c r="H163" i="30"/>
  <c r="H162" i="30"/>
  <c r="H161" i="30"/>
  <c r="H160" i="30"/>
  <c r="H159" i="30"/>
  <c r="H158" i="30"/>
  <c r="H157" i="30"/>
  <c r="H156" i="30"/>
  <c r="H155" i="30"/>
  <c r="H154" i="30"/>
  <c r="H153" i="30"/>
  <c r="H152" i="30"/>
  <c r="H151" i="30"/>
  <c r="H150" i="30"/>
  <c r="H149" i="30"/>
  <c r="H148" i="30"/>
  <c r="H147" i="30"/>
  <c r="H146" i="30"/>
  <c r="H145" i="30"/>
  <c r="H144" i="30"/>
  <c r="H143" i="30"/>
  <c r="H142" i="30"/>
  <c r="H141" i="30"/>
  <c r="H139" i="30"/>
  <c r="H135" i="30"/>
  <c r="H134" i="30"/>
  <c r="H132" i="30"/>
  <c r="H131" i="30"/>
  <c r="H130" i="30"/>
  <c r="H129" i="30"/>
  <c r="H127" i="30"/>
  <c r="H126" i="30"/>
  <c r="H125" i="30"/>
  <c r="H123" i="30"/>
  <c r="H122" i="30"/>
  <c r="H121" i="30"/>
  <c r="H120" i="30"/>
  <c r="H117" i="30"/>
  <c r="H116" i="30"/>
  <c r="H115" i="30"/>
  <c r="H114" i="30"/>
  <c r="H113" i="30"/>
  <c r="H112" i="30"/>
  <c r="H111" i="30"/>
  <c r="H110" i="30"/>
  <c r="H109" i="30"/>
  <c r="H108" i="30"/>
  <c r="H107" i="30"/>
  <c r="H106" i="30"/>
  <c r="H105" i="30"/>
  <c r="H104" i="30"/>
  <c r="H103" i="30"/>
  <c r="H102" i="30"/>
  <c r="H101" i="30"/>
  <c r="H100" i="30"/>
  <c r="H99" i="30"/>
  <c r="H96" i="30"/>
  <c r="H90" i="30"/>
  <c r="H83" i="30"/>
  <c r="H82" i="30"/>
  <c r="H81" i="30"/>
  <c r="H80" i="30"/>
  <c r="H78" i="30"/>
  <c r="H77" i="30"/>
  <c r="H76" i="30"/>
  <c r="H75" i="30"/>
  <c r="H74" i="30"/>
  <c r="H72" i="30"/>
  <c r="H71" i="30"/>
  <c r="H70" i="30"/>
  <c r="H69" i="30"/>
  <c r="H67" i="30"/>
  <c r="H64" i="30"/>
  <c r="H62" i="30"/>
  <c r="H55" i="30"/>
  <c r="H52" i="30"/>
  <c r="H50" i="30"/>
  <c r="H38" i="30"/>
  <c r="H37" i="30"/>
  <c r="H36" i="30"/>
  <c r="H35" i="30"/>
  <c r="H34" i="30"/>
  <c r="H33" i="30"/>
  <c r="H32" i="30"/>
  <c r="H31" i="30"/>
  <c r="H29" i="30"/>
  <c r="H28" i="30"/>
  <c r="H27" i="30"/>
  <c r="H22" i="30"/>
  <c r="H17" i="30"/>
  <c r="H16" i="30"/>
  <c r="G250" i="30"/>
  <c r="G249" i="30"/>
  <c r="G248" i="30"/>
  <c r="G247" i="30"/>
  <c r="G246" i="30"/>
  <c r="G245" i="30"/>
  <c r="G244" i="30"/>
  <c r="G243" i="30"/>
  <c r="G242" i="30"/>
  <c r="G241" i="30"/>
  <c r="G240" i="30"/>
  <c r="G239" i="30"/>
  <c r="G238" i="30"/>
  <c r="G237" i="30"/>
  <c r="G235" i="30"/>
  <c r="G234" i="30"/>
  <c r="G233" i="30"/>
  <c r="G232" i="30"/>
  <c r="G231" i="30"/>
  <c r="G230" i="30"/>
  <c r="G228" i="30"/>
  <c r="G227" i="30"/>
  <c r="G226" i="30"/>
  <c r="G225" i="30"/>
  <c r="G224" i="30"/>
  <c r="G223" i="30"/>
  <c r="G222" i="30"/>
  <c r="G220" i="30"/>
  <c r="G207" i="30"/>
  <c r="G205" i="30"/>
  <c r="G203" i="30"/>
  <c r="G196" i="30"/>
  <c r="G195" i="30"/>
  <c r="G194" i="30"/>
  <c r="G191" i="30"/>
  <c r="G188" i="30"/>
  <c r="G187" i="30"/>
  <c r="G186" i="30"/>
  <c r="G185" i="30"/>
  <c r="G184" i="30"/>
  <c r="G183" i="30"/>
  <c r="G182" i="30"/>
  <c r="G181" i="30"/>
  <c r="G180" i="30"/>
  <c r="G179" i="30"/>
  <c r="G178" i="30"/>
  <c r="G177" i="30"/>
  <c r="G176" i="30"/>
  <c r="G175" i="30"/>
  <c r="G174" i="30"/>
  <c r="G173" i="30"/>
  <c r="G172" i="30"/>
  <c r="G171" i="30"/>
  <c r="G170" i="30"/>
  <c r="G169" i="30"/>
  <c r="G168" i="30"/>
  <c r="G167" i="30"/>
  <c r="G166" i="30"/>
  <c r="G165" i="30"/>
  <c r="G164" i="30"/>
  <c r="G163" i="30"/>
  <c r="G162" i="30"/>
  <c r="G161" i="30"/>
  <c r="G160" i="30"/>
  <c r="G159" i="30"/>
  <c r="G158" i="30"/>
  <c r="G157" i="30"/>
  <c r="G156" i="30"/>
  <c r="G155" i="30"/>
  <c r="G154" i="30"/>
  <c r="G153" i="30"/>
  <c r="G152" i="30"/>
  <c r="G151" i="30"/>
  <c r="G150" i="30"/>
  <c r="G149" i="30"/>
  <c r="G148" i="30"/>
  <c r="G147" i="30"/>
  <c r="G146" i="30"/>
  <c r="G145" i="30"/>
  <c r="G144" i="30"/>
  <c r="G143" i="30"/>
  <c r="G142" i="30"/>
  <c r="G141" i="30"/>
  <c r="G139" i="30"/>
  <c r="G135" i="30"/>
  <c r="G134" i="30"/>
  <c r="G132" i="30"/>
  <c r="G131" i="30"/>
  <c r="G130" i="30"/>
  <c r="G129" i="30"/>
  <c r="G127" i="30"/>
  <c r="G126" i="30"/>
  <c r="G125" i="30"/>
  <c r="G123" i="30"/>
  <c r="G122" i="30"/>
  <c r="G121" i="30"/>
  <c r="G120" i="30"/>
  <c r="G117" i="30"/>
  <c r="G116" i="30"/>
  <c r="G115" i="30"/>
  <c r="G114" i="30"/>
  <c r="G113" i="30"/>
  <c r="G112" i="30"/>
  <c r="G111" i="30"/>
  <c r="G110" i="30"/>
  <c r="G109" i="30"/>
  <c r="G108" i="30"/>
  <c r="G107" i="30"/>
  <c r="G106" i="30"/>
  <c r="G105" i="30"/>
  <c r="G104" i="30"/>
  <c r="G103" i="30"/>
  <c r="G102" i="30"/>
  <c r="G101" i="30"/>
  <c r="G100" i="30"/>
  <c r="G99" i="30"/>
  <c r="G96" i="30"/>
  <c r="G90" i="30"/>
  <c r="G83" i="30"/>
  <c r="G82" i="30"/>
  <c r="G81" i="30"/>
  <c r="G80" i="30"/>
  <c r="G78" i="30"/>
  <c r="G77" i="30"/>
  <c r="G76" i="30"/>
  <c r="G75" i="30"/>
  <c r="G74" i="30"/>
  <c r="G72" i="30"/>
  <c r="G71" i="30"/>
  <c r="G70" i="30"/>
  <c r="G69" i="30"/>
  <c r="G67" i="30"/>
  <c r="G64" i="30"/>
  <c r="G62" i="30"/>
  <c r="G55" i="30"/>
  <c r="G52" i="30"/>
  <c r="G50" i="30"/>
  <c r="G38" i="30"/>
  <c r="G37" i="30"/>
  <c r="G36" i="30"/>
  <c r="G35" i="30"/>
  <c r="G34" i="30"/>
  <c r="G33" i="30"/>
  <c r="G32" i="30"/>
  <c r="G31" i="30"/>
  <c r="G29" i="30"/>
  <c r="G28" i="30"/>
  <c r="G27" i="30"/>
  <c r="G22" i="30"/>
  <c r="G17" i="30"/>
  <c r="G16" i="30"/>
  <c r="F250" i="30"/>
  <c r="F249" i="30"/>
  <c r="F248" i="30"/>
  <c r="F247" i="30"/>
  <c r="F246" i="30"/>
  <c r="F245" i="30"/>
  <c r="F244" i="30"/>
  <c r="F243" i="30"/>
  <c r="F242" i="30"/>
  <c r="F241" i="30"/>
  <c r="F240" i="30"/>
  <c r="F239" i="30"/>
  <c r="F238" i="30"/>
  <c r="F237" i="30"/>
  <c r="F235" i="30"/>
  <c r="F234" i="30"/>
  <c r="F233" i="30"/>
  <c r="F232" i="30"/>
  <c r="F231" i="30"/>
  <c r="F230" i="30"/>
  <c r="F228" i="30"/>
  <c r="F227" i="30"/>
  <c r="F226" i="30"/>
  <c r="F225" i="30"/>
  <c r="F224" i="30"/>
  <c r="F223" i="30"/>
  <c r="F222" i="30"/>
  <c r="F220" i="30"/>
  <c r="F207" i="30"/>
  <c r="F205" i="30"/>
  <c r="F203" i="30"/>
  <c r="F196" i="30"/>
  <c r="F195" i="30"/>
  <c r="F194" i="30"/>
  <c r="F191" i="30"/>
  <c r="F188" i="30"/>
  <c r="F187" i="30"/>
  <c r="F186" i="30"/>
  <c r="F185" i="30"/>
  <c r="F184" i="30"/>
  <c r="F183" i="30"/>
  <c r="F182" i="30"/>
  <c r="F181" i="30"/>
  <c r="F180" i="30"/>
  <c r="F179" i="30"/>
  <c r="F178" i="30"/>
  <c r="F177" i="30"/>
  <c r="F176" i="30"/>
  <c r="F175" i="30"/>
  <c r="F174" i="30"/>
  <c r="F173" i="30"/>
  <c r="F172" i="30"/>
  <c r="F171" i="30"/>
  <c r="F170" i="30"/>
  <c r="F169" i="30"/>
  <c r="F168" i="30"/>
  <c r="F167" i="30"/>
  <c r="F166" i="30"/>
  <c r="F165" i="30"/>
  <c r="F164" i="30"/>
  <c r="F163" i="30"/>
  <c r="F162" i="30"/>
  <c r="F161" i="30"/>
  <c r="F160" i="30"/>
  <c r="F159" i="30"/>
  <c r="F158" i="30"/>
  <c r="F157" i="30"/>
  <c r="F156" i="30"/>
  <c r="F155" i="30"/>
  <c r="F154" i="30"/>
  <c r="F153" i="30"/>
  <c r="F152" i="30"/>
  <c r="F151" i="30"/>
  <c r="F150" i="30"/>
  <c r="F149" i="30"/>
  <c r="F148" i="30"/>
  <c r="F147" i="30"/>
  <c r="F146" i="30"/>
  <c r="F145" i="30"/>
  <c r="F144" i="30"/>
  <c r="F143" i="30"/>
  <c r="F142" i="30"/>
  <c r="F141" i="30"/>
  <c r="F140" i="30"/>
  <c r="F139" i="30"/>
  <c r="F138" i="30"/>
  <c r="F137" i="30"/>
  <c r="F136" i="30"/>
  <c r="F135" i="30"/>
  <c r="F134" i="30"/>
  <c r="F133" i="30"/>
  <c r="F132" i="30"/>
  <c r="F131" i="30"/>
  <c r="F130" i="30"/>
  <c r="F129" i="30"/>
  <c r="F128" i="30"/>
  <c r="F127" i="30"/>
  <c r="F126" i="30"/>
  <c r="F125" i="30"/>
  <c r="F124" i="30"/>
  <c r="F123" i="30"/>
  <c r="F122" i="30"/>
  <c r="F121" i="30"/>
  <c r="F120" i="30"/>
  <c r="F119" i="30"/>
  <c r="F118" i="30"/>
  <c r="F117" i="30"/>
  <c r="F116" i="30"/>
  <c r="F115" i="30"/>
  <c r="F114" i="30"/>
  <c r="F113" i="30"/>
  <c r="F112" i="30"/>
  <c r="F111" i="30"/>
  <c r="F110" i="30"/>
  <c r="F109" i="30"/>
  <c r="F108" i="30"/>
  <c r="F107" i="30"/>
  <c r="F106" i="30"/>
  <c r="F105" i="30"/>
  <c r="F104" i="30"/>
  <c r="F103" i="30"/>
  <c r="F102" i="30"/>
  <c r="F101" i="30"/>
  <c r="F100" i="30"/>
  <c r="F99" i="30"/>
  <c r="F96" i="30"/>
  <c r="F90" i="30"/>
  <c r="F83" i="30"/>
  <c r="F82" i="30"/>
  <c r="F81" i="30"/>
  <c r="F80" i="30"/>
  <c r="F78" i="30"/>
  <c r="F77" i="30"/>
  <c r="F76" i="30"/>
  <c r="F75" i="30"/>
  <c r="F74" i="30"/>
  <c r="F72" i="30"/>
  <c r="F71" i="30"/>
  <c r="F70" i="30"/>
  <c r="F69" i="30"/>
  <c r="F67" i="30"/>
  <c r="F64" i="30"/>
  <c r="F62" i="30"/>
  <c r="F55" i="30"/>
  <c r="F52" i="30"/>
  <c r="F50" i="30"/>
  <c r="F38" i="30"/>
  <c r="F37" i="30"/>
  <c r="F36" i="30"/>
  <c r="F35" i="30"/>
  <c r="F34" i="30"/>
  <c r="F33" i="30"/>
  <c r="F32" i="30"/>
  <c r="F31" i="30"/>
  <c r="F29" i="30"/>
  <c r="F28" i="30"/>
  <c r="F27" i="30"/>
  <c r="F22" i="30"/>
  <c r="F17" i="30"/>
  <c r="F16" i="30"/>
  <c r="DV305" i="119"/>
  <c r="DR305" i="119"/>
  <c r="DN305" i="119"/>
  <c r="DJ305" i="119"/>
  <c r="DF305" i="119"/>
  <c r="CX305" i="119"/>
  <c r="BY236" i="30" s="1"/>
  <c r="CT305" i="119"/>
  <c r="BU236" i="30" s="1"/>
  <c r="CP305" i="119"/>
  <c r="BQ236" i="30" s="1"/>
  <c r="CL305" i="119"/>
  <c r="BM236" i="30" s="1"/>
  <c r="CH305" i="119"/>
  <c r="BI236" i="30" s="1"/>
  <c r="CD305" i="119"/>
  <c r="BE236" i="30" s="1"/>
  <c r="BZ305" i="119"/>
  <c r="BA236" i="30" s="1"/>
  <c r="BV305" i="119"/>
  <c r="AW236" i="30" s="1"/>
  <c r="DB303" i="119"/>
  <c r="CC234" i="30" s="1"/>
  <c r="CX303" i="119"/>
  <c r="BY234" i="30" s="1"/>
  <c r="CT303" i="119"/>
  <c r="BU234" i="30" s="1"/>
  <c r="CP303" i="119"/>
  <c r="BQ234" i="30" s="1"/>
  <c r="CL303" i="119"/>
  <c r="BM234" i="30" s="1"/>
  <c r="DY287" i="119"/>
  <c r="DX287" i="119"/>
  <c r="DW287" i="119"/>
  <c r="DV287" i="119"/>
  <c r="DU287" i="119"/>
  <c r="DT287" i="119"/>
  <c r="DS287" i="119"/>
  <c r="DR287" i="119"/>
  <c r="DQ287" i="119"/>
  <c r="DP287" i="119"/>
  <c r="DO287" i="119"/>
  <c r="DN287" i="119"/>
  <c r="DM287" i="119"/>
  <c r="DL287" i="119"/>
  <c r="DK287" i="119"/>
  <c r="DJ287" i="119"/>
  <c r="DI287" i="119"/>
  <c r="DH287" i="119"/>
  <c r="DG287" i="119"/>
  <c r="DF287" i="119"/>
  <c r="DE287" i="119"/>
  <c r="CF218" i="30" s="1"/>
  <c r="DD287" i="119"/>
  <c r="CE218" i="30" s="1"/>
  <c r="DC287" i="119"/>
  <c r="CD218" i="30" s="1"/>
  <c r="DB287" i="119"/>
  <c r="CC218" i="30" s="1"/>
  <c r="DA287" i="119"/>
  <c r="CB218" i="30" s="1"/>
  <c r="CZ287" i="119"/>
  <c r="CA218" i="30" s="1"/>
  <c r="CY287" i="119"/>
  <c r="BZ218" i="30" s="1"/>
  <c r="CX287" i="119"/>
  <c r="BY218" i="30" s="1"/>
  <c r="CW287" i="119"/>
  <c r="BX218" i="30" s="1"/>
  <c r="CV287" i="119"/>
  <c r="BW218" i="30" s="1"/>
  <c r="CU287" i="119"/>
  <c r="BV218" i="30" s="1"/>
  <c r="CT287" i="119"/>
  <c r="BU218" i="30" s="1"/>
  <c r="CS287" i="119"/>
  <c r="BT218" i="30" s="1"/>
  <c r="CR287" i="119"/>
  <c r="BS218" i="30" s="1"/>
  <c r="CQ287" i="119"/>
  <c r="BR218" i="30" s="1"/>
  <c r="CP287" i="119"/>
  <c r="BQ218" i="30" s="1"/>
  <c r="CO287" i="119"/>
  <c r="BP218" i="30" s="1"/>
  <c r="CN287" i="119"/>
  <c r="BO218" i="30" s="1"/>
  <c r="CM287" i="119"/>
  <c r="BN218" i="30" s="1"/>
  <c r="CL287" i="119"/>
  <c r="BM218" i="30" s="1"/>
  <c r="CK287" i="119"/>
  <c r="BL218" i="30" s="1"/>
  <c r="CJ287" i="119"/>
  <c r="BK218" i="30" s="1"/>
  <c r="CI287" i="119"/>
  <c r="BJ218" i="30" s="1"/>
  <c r="CH287" i="119"/>
  <c r="BI218" i="30" s="1"/>
  <c r="CG287" i="119"/>
  <c r="BH218" i="30" s="1"/>
  <c r="CF287" i="119"/>
  <c r="BG218" i="30" s="1"/>
  <c r="CE287" i="119"/>
  <c r="BF218" i="30" s="1"/>
  <c r="CD287" i="119"/>
  <c r="BE218" i="30" s="1"/>
  <c r="CC287" i="119"/>
  <c r="BD218" i="30" s="1"/>
  <c r="CB287" i="119"/>
  <c r="BC218" i="30" s="1"/>
  <c r="CA287" i="119"/>
  <c r="BB218" i="30" s="1"/>
  <c r="BZ287" i="119"/>
  <c r="BA218" i="30" s="1"/>
  <c r="BY287" i="119"/>
  <c r="AZ218" i="30" s="1"/>
  <c r="BX287" i="119"/>
  <c r="AY218" i="30" s="1"/>
  <c r="BW287" i="119"/>
  <c r="AX218" i="30" s="1"/>
  <c r="BV287" i="119"/>
  <c r="AW218" i="30" s="1"/>
  <c r="BU287" i="119"/>
  <c r="AV218" i="30" s="1"/>
  <c r="BT287" i="119"/>
  <c r="AU218" i="30" s="1"/>
  <c r="BS287" i="119"/>
  <c r="AT218" i="30" s="1"/>
  <c r="BR287" i="119"/>
  <c r="AS218" i="30" s="1"/>
  <c r="BQ287" i="119"/>
  <c r="AR218" i="30" s="1"/>
  <c r="BP287" i="119"/>
  <c r="AQ218" i="30" s="1"/>
  <c r="BO287" i="119"/>
  <c r="AP218" i="30" s="1"/>
  <c r="BN287" i="119"/>
  <c r="AO218" i="30" s="1"/>
  <c r="BM287" i="119"/>
  <c r="AN218" i="30" s="1"/>
  <c r="BL287" i="119"/>
  <c r="AM218" i="30" s="1"/>
  <c r="BK287" i="119"/>
  <c r="AL218" i="30" s="1"/>
  <c r="BJ287" i="119"/>
  <c r="AK218" i="30" s="1"/>
  <c r="BI287" i="119"/>
  <c r="AJ218" i="30" s="1"/>
  <c r="BH287" i="119"/>
  <c r="AI218" i="30" s="1"/>
  <c r="BG287" i="119"/>
  <c r="AH218" i="30" s="1"/>
  <c r="BF287" i="119"/>
  <c r="AG218" i="30" s="1"/>
  <c r="BE287" i="119"/>
  <c r="AF218" i="30" s="1"/>
  <c r="BD287" i="119"/>
  <c r="AE218" i="30" s="1"/>
  <c r="BC287" i="119"/>
  <c r="AD218" i="30" s="1"/>
  <c r="BB287" i="119"/>
  <c r="AC218" i="30" s="1"/>
  <c r="BA287" i="119"/>
  <c r="AB218" i="30" s="1"/>
  <c r="AZ287" i="119"/>
  <c r="AA218" i="30" s="1"/>
  <c r="AY287" i="119"/>
  <c r="Z218" i="30" s="1"/>
  <c r="AX287" i="119"/>
  <c r="Y218" i="30" s="1"/>
  <c r="AW287" i="119"/>
  <c r="AV287" i="119"/>
  <c r="AU287" i="119"/>
  <c r="AT287" i="119"/>
  <c r="AS287" i="119"/>
  <c r="AR287" i="119"/>
  <c r="AQ287" i="119"/>
  <c r="AP287" i="119"/>
  <c r="AO287" i="119"/>
  <c r="AN287" i="119"/>
  <c r="AM287" i="119"/>
  <c r="AL287" i="119"/>
  <c r="DY286" i="119"/>
  <c r="DY288" i="119" s="1"/>
  <c r="DX286" i="119"/>
  <c r="DX288" i="119" s="1"/>
  <c r="DW286" i="119"/>
  <c r="DW288" i="119" s="1"/>
  <c r="DV286" i="119"/>
  <c r="DV288" i="119" s="1"/>
  <c r="DU286" i="119"/>
  <c r="DU288" i="119" s="1"/>
  <c r="DT286" i="119"/>
  <c r="DT288" i="119" s="1"/>
  <c r="DS286" i="119"/>
  <c r="DS288" i="119" s="1"/>
  <c r="DR286" i="119"/>
  <c r="DR288" i="119" s="1"/>
  <c r="DQ286" i="119"/>
  <c r="DQ288" i="119" s="1"/>
  <c r="DP286" i="119"/>
  <c r="DP288" i="119" s="1"/>
  <c r="DO286" i="119"/>
  <c r="DO288" i="119" s="1"/>
  <c r="DN286" i="119"/>
  <c r="DN288" i="119" s="1"/>
  <c r="DM286" i="119"/>
  <c r="DM288" i="119" s="1"/>
  <c r="DL286" i="119"/>
  <c r="DL288" i="119" s="1"/>
  <c r="DK286" i="119"/>
  <c r="DK288" i="119" s="1"/>
  <c r="DJ286" i="119"/>
  <c r="DJ288" i="119" s="1"/>
  <c r="DI286" i="119"/>
  <c r="DI288" i="119" s="1"/>
  <c r="DH286" i="119"/>
  <c r="DH288" i="119" s="1"/>
  <c r="DG286" i="119"/>
  <c r="DG288" i="119" s="1"/>
  <c r="DF286" i="119"/>
  <c r="DF288" i="119" s="1"/>
  <c r="DE286" i="119"/>
  <c r="DD286" i="119"/>
  <c r="DC286" i="119"/>
  <c r="DB286" i="119"/>
  <c r="DA286" i="119"/>
  <c r="CZ286" i="119"/>
  <c r="CY286" i="119"/>
  <c r="CX286" i="119"/>
  <c r="CW286" i="119"/>
  <c r="CV286" i="119"/>
  <c r="CU286" i="119"/>
  <c r="CT286" i="119"/>
  <c r="CS286" i="119"/>
  <c r="CR286" i="119"/>
  <c r="CQ286" i="119"/>
  <c r="CP286" i="119"/>
  <c r="CO286" i="119"/>
  <c r="CN286" i="119"/>
  <c r="CM286" i="119"/>
  <c r="CL286" i="119"/>
  <c r="CK286" i="119"/>
  <c r="CJ286" i="119"/>
  <c r="CI286" i="119"/>
  <c r="CH286" i="119"/>
  <c r="CG286" i="119"/>
  <c r="CF286" i="119"/>
  <c r="CE286" i="119"/>
  <c r="CD286" i="119"/>
  <c r="CC286" i="119"/>
  <c r="CB286" i="119"/>
  <c r="CA286" i="119"/>
  <c r="BZ286" i="119"/>
  <c r="BY286" i="119"/>
  <c r="BX286" i="119"/>
  <c r="BW286" i="119"/>
  <c r="BW288" i="119" s="1"/>
  <c r="AX219" i="30" s="1"/>
  <c r="BV286" i="119"/>
  <c r="BU286" i="119"/>
  <c r="BT286" i="119"/>
  <c r="BS286" i="119"/>
  <c r="BR286" i="119"/>
  <c r="BQ286" i="119"/>
  <c r="BP286" i="119"/>
  <c r="BO286" i="119"/>
  <c r="BN286" i="119"/>
  <c r="BM286" i="119"/>
  <c r="BL286" i="119"/>
  <c r="BK286" i="119"/>
  <c r="BJ286" i="119"/>
  <c r="BI286" i="119"/>
  <c r="BH286" i="119"/>
  <c r="BG286" i="119"/>
  <c r="BF286" i="119"/>
  <c r="BE286" i="119"/>
  <c r="BD286" i="119"/>
  <c r="BD288" i="119" s="1"/>
  <c r="AE219" i="30" s="1"/>
  <c r="BC286" i="119"/>
  <c r="BC288" i="119" s="1"/>
  <c r="AD219" i="30" s="1"/>
  <c r="BB286" i="119"/>
  <c r="BA286" i="119"/>
  <c r="AZ286" i="119"/>
  <c r="AY286" i="119"/>
  <c r="AY288" i="119" s="1"/>
  <c r="Z219" i="30" s="1"/>
  <c r="AX286" i="119"/>
  <c r="AX288" i="119" s="1"/>
  <c r="Y219" i="30" s="1"/>
  <c r="AW286" i="119"/>
  <c r="AW288" i="119" s="1"/>
  <c r="AV286" i="119"/>
  <c r="AV288" i="119" s="1"/>
  <c r="AU286" i="119"/>
  <c r="AU288" i="119" s="1"/>
  <c r="AT286" i="119"/>
  <c r="AT288" i="119" s="1"/>
  <c r="AS286" i="119"/>
  <c r="AS288" i="119" s="1"/>
  <c r="AR286" i="119"/>
  <c r="AR288" i="119" s="1"/>
  <c r="AQ286" i="119"/>
  <c r="AQ288" i="119" s="1"/>
  <c r="AP286" i="119"/>
  <c r="AP288" i="119" s="1"/>
  <c r="AO286" i="119"/>
  <c r="AO288" i="119" s="1"/>
  <c r="AN286" i="119"/>
  <c r="AN288" i="119" s="1"/>
  <c r="AM286" i="119"/>
  <c r="AM288" i="119" s="1"/>
  <c r="AL286" i="119"/>
  <c r="AL288" i="119" s="1"/>
  <c r="DY285" i="119"/>
  <c r="DY257" i="119" s="1"/>
  <c r="DX285" i="119"/>
  <c r="DX257" i="119" s="1"/>
  <c r="DW285" i="119"/>
  <c r="DV285" i="119"/>
  <c r="DV257" i="119" s="1"/>
  <c r="DU285" i="119"/>
  <c r="DU257" i="119" s="1"/>
  <c r="DT285" i="119"/>
  <c r="DT257" i="119" s="1"/>
  <c r="DS285" i="119"/>
  <c r="DS257" i="119" s="1"/>
  <c r="DR285" i="119"/>
  <c r="DR257" i="119" s="1"/>
  <c r="DQ285" i="119"/>
  <c r="DQ257" i="119" s="1"/>
  <c r="DP285" i="119"/>
  <c r="DP257" i="119" s="1"/>
  <c r="DO285" i="119"/>
  <c r="DO257" i="119" s="1"/>
  <c r="DN285" i="119"/>
  <c r="DN257" i="119" s="1"/>
  <c r="DM285" i="119"/>
  <c r="DM257" i="119" s="1"/>
  <c r="DL285" i="119"/>
  <c r="DL257" i="119" s="1"/>
  <c r="DK285" i="119"/>
  <c r="DK257" i="119" s="1"/>
  <c r="DJ285" i="119"/>
  <c r="DJ257" i="119" s="1"/>
  <c r="DI285" i="119"/>
  <c r="DI257" i="119" s="1"/>
  <c r="DH285" i="119"/>
  <c r="DH257" i="119" s="1"/>
  <c r="DG285" i="119"/>
  <c r="DG257" i="119" s="1"/>
  <c r="DF285" i="119"/>
  <c r="DF257" i="119" s="1"/>
  <c r="DE285" i="119"/>
  <c r="CF216" i="30" s="1"/>
  <c r="DD285" i="119"/>
  <c r="CE216" i="30" s="1"/>
  <c r="DC285" i="119"/>
  <c r="CD216" i="30" s="1"/>
  <c r="DB285" i="119"/>
  <c r="CC216" i="30" s="1"/>
  <c r="DA285" i="119"/>
  <c r="CB216" i="30" s="1"/>
  <c r="CZ285" i="119"/>
  <c r="CY285" i="119"/>
  <c r="BZ216" i="30" s="1"/>
  <c r="CX285" i="119"/>
  <c r="BY216" i="30" s="1"/>
  <c r="CW285" i="119"/>
  <c r="BX216" i="30" s="1"/>
  <c r="CV285" i="119"/>
  <c r="BW216" i="30" s="1"/>
  <c r="CU285" i="119"/>
  <c r="BV216" i="30" s="1"/>
  <c r="CT285" i="119"/>
  <c r="CS285" i="119"/>
  <c r="BT216" i="30" s="1"/>
  <c r="CR285" i="119"/>
  <c r="BS216" i="30" s="1"/>
  <c r="CQ285" i="119"/>
  <c r="BR216" i="30" s="1"/>
  <c r="CP285" i="119"/>
  <c r="BQ216" i="30" s="1"/>
  <c r="CO285" i="119"/>
  <c r="BP216" i="30" s="1"/>
  <c r="CN285" i="119"/>
  <c r="CM285" i="119"/>
  <c r="BN216" i="30" s="1"/>
  <c r="CL285" i="119"/>
  <c r="BM216" i="30" s="1"/>
  <c r="CK285" i="119"/>
  <c r="BL216" i="30" s="1"/>
  <c r="CJ285" i="119"/>
  <c r="BK216" i="30" s="1"/>
  <c r="CI285" i="119"/>
  <c r="BJ216" i="30" s="1"/>
  <c r="CH285" i="119"/>
  <c r="CG285" i="119"/>
  <c r="CF285" i="119"/>
  <c r="BG216" i="30" s="1"/>
  <c r="CE285" i="119"/>
  <c r="BF216" i="30" s="1"/>
  <c r="CD285" i="119"/>
  <c r="BE216" i="30" s="1"/>
  <c r="CC285" i="119"/>
  <c r="BD216" i="30" s="1"/>
  <c r="CB285" i="119"/>
  <c r="CA285" i="119"/>
  <c r="BZ285" i="119"/>
  <c r="BA216" i="30" s="1"/>
  <c r="BY285" i="119"/>
  <c r="AZ216" i="30" s="1"/>
  <c r="BX285" i="119"/>
  <c r="AY216" i="30" s="1"/>
  <c r="BW285" i="119"/>
  <c r="AX216" i="30" s="1"/>
  <c r="BV285" i="119"/>
  <c r="BU285" i="119"/>
  <c r="BT285" i="119"/>
  <c r="AU216" i="30" s="1"/>
  <c r="BS285" i="119"/>
  <c r="AT216" i="30" s="1"/>
  <c r="BR285" i="119"/>
  <c r="AS216" i="30" s="1"/>
  <c r="BQ285" i="119"/>
  <c r="AR216" i="30" s="1"/>
  <c r="BP285" i="119"/>
  <c r="BO285" i="119"/>
  <c r="BN285" i="119"/>
  <c r="AO216" i="30" s="1"/>
  <c r="BM285" i="119"/>
  <c r="AN216" i="30" s="1"/>
  <c r="BL285" i="119"/>
  <c r="AM216" i="30" s="1"/>
  <c r="BK285" i="119"/>
  <c r="AL216" i="30" s="1"/>
  <c r="BJ285" i="119"/>
  <c r="BI285" i="119"/>
  <c r="BH285" i="119"/>
  <c r="AI216" i="30" s="1"/>
  <c r="BG285" i="119"/>
  <c r="AH216" i="30" s="1"/>
  <c r="BF285" i="119"/>
  <c r="AG216" i="30" s="1"/>
  <c r="BE285" i="119"/>
  <c r="AF216" i="30" s="1"/>
  <c r="BD285" i="119"/>
  <c r="BC285" i="119"/>
  <c r="BB285" i="119"/>
  <c r="AC216" i="30" s="1"/>
  <c r="BA285" i="119"/>
  <c r="AB216" i="30" s="1"/>
  <c r="AZ285" i="119"/>
  <c r="AA216" i="30" s="1"/>
  <c r="AY285" i="119"/>
  <c r="Z216" i="30" s="1"/>
  <c r="AX285" i="119"/>
  <c r="AW285" i="119"/>
  <c r="AW257" i="119" s="1"/>
  <c r="AV285" i="119"/>
  <c r="AV257" i="119" s="1"/>
  <c r="AU285" i="119"/>
  <c r="AU257" i="119" s="1"/>
  <c r="AT285" i="119"/>
  <c r="AT257" i="119" s="1"/>
  <c r="AS285" i="119"/>
  <c r="AS257" i="119" s="1"/>
  <c r="AR285" i="119"/>
  <c r="AR257" i="119" s="1"/>
  <c r="AQ285" i="119"/>
  <c r="AQ257" i="119" s="1"/>
  <c r="AP285" i="119"/>
  <c r="AP257" i="119" s="1"/>
  <c r="AO285" i="119"/>
  <c r="AO257" i="119" s="1"/>
  <c r="AN285" i="119"/>
  <c r="AN257" i="119" s="1"/>
  <c r="AM285" i="119"/>
  <c r="AM257" i="119" s="1"/>
  <c r="AL285" i="119"/>
  <c r="AL257" i="119" s="1"/>
  <c r="DV284" i="119"/>
  <c r="DR284" i="119"/>
  <c r="DN284" i="119"/>
  <c r="DJ284" i="119"/>
  <c r="DF284" i="119"/>
  <c r="DB284" i="119"/>
  <c r="CC215" i="30" s="1"/>
  <c r="CX284" i="119"/>
  <c r="BY215" i="30" s="1"/>
  <c r="CT284" i="119"/>
  <c r="BU215" i="30" s="1"/>
  <c r="CP284" i="119"/>
  <c r="BQ215" i="30" s="1"/>
  <c r="CL284" i="119"/>
  <c r="BM215" i="30" s="1"/>
  <c r="CH284" i="119"/>
  <c r="BI215" i="30" s="1"/>
  <c r="CD284" i="119"/>
  <c r="BE215" i="30" s="1"/>
  <c r="BZ284" i="119"/>
  <c r="BA215" i="30" s="1"/>
  <c r="BV284" i="119"/>
  <c r="AW215" i="30" s="1"/>
  <c r="BU284" i="119"/>
  <c r="AV215" i="30" s="1"/>
  <c r="BT284" i="119"/>
  <c r="AU215" i="30" s="1"/>
  <c r="BS284" i="119"/>
  <c r="AT215" i="30" s="1"/>
  <c r="BR284" i="119"/>
  <c r="AS215" i="30" s="1"/>
  <c r="BQ284" i="119"/>
  <c r="AR215" i="30" s="1"/>
  <c r="BP284" i="119"/>
  <c r="AQ215" i="30" s="1"/>
  <c r="BO284" i="119"/>
  <c r="AP215" i="30" s="1"/>
  <c r="BN284" i="119"/>
  <c r="AO215" i="30" s="1"/>
  <c r="BM284" i="119"/>
  <c r="AN215" i="30" s="1"/>
  <c r="BL284" i="119"/>
  <c r="AM215" i="30" s="1"/>
  <c r="BK284" i="119"/>
  <c r="AL215" i="30" s="1"/>
  <c r="BJ284" i="119"/>
  <c r="AK215" i="30" s="1"/>
  <c r="BI284" i="119"/>
  <c r="AJ215" i="30" s="1"/>
  <c r="BH284" i="119"/>
  <c r="AI215" i="30" s="1"/>
  <c r="BG284" i="119"/>
  <c r="AH215" i="30" s="1"/>
  <c r="BF284" i="119"/>
  <c r="AG215" i="30" s="1"/>
  <c r="BE284" i="119"/>
  <c r="AF215" i="30" s="1"/>
  <c r="BD284" i="119"/>
  <c r="AE215" i="30" s="1"/>
  <c r="BC284" i="119"/>
  <c r="AD215" i="30" s="1"/>
  <c r="BB284" i="119"/>
  <c r="AC215" i="30" s="1"/>
  <c r="BA284" i="119"/>
  <c r="AB215" i="30" s="1"/>
  <c r="AZ284" i="119"/>
  <c r="AA215" i="30" s="1"/>
  <c r="AY284" i="119"/>
  <c r="Z215" i="30" s="1"/>
  <c r="AX284" i="119"/>
  <c r="Y215" i="30" s="1"/>
  <c r="AW284" i="119"/>
  <c r="AV284" i="119"/>
  <c r="AU284" i="119"/>
  <c r="AT284" i="119"/>
  <c r="AS284" i="119"/>
  <c r="AR284" i="119"/>
  <c r="AQ284" i="119"/>
  <c r="AP284" i="119"/>
  <c r="AO284" i="119"/>
  <c r="AN284" i="119"/>
  <c r="AM284" i="119"/>
  <c r="AL284" i="119"/>
  <c r="EK278" i="119"/>
  <c r="EJ278" i="119"/>
  <c r="EI278" i="119"/>
  <c r="EH278" i="119"/>
  <c r="EG278" i="119"/>
  <c r="EF278" i="119"/>
  <c r="EE278" i="119"/>
  <c r="ED278" i="119"/>
  <c r="EC278" i="119"/>
  <c r="EB278" i="119"/>
  <c r="EA278" i="119"/>
  <c r="DZ278" i="119"/>
  <c r="DY278" i="119"/>
  <c r="DX278" i="119"/>
  <c r="DW278" i="119"/>
  <c r="DV278" i="119"/>
  <c r="DU278" i="119"/>
  <c r="DT278" i="119"/>
  <c r="DS278" i="119"/>
  <c r="DR278" i="119"/>
  <c r="DQ278" i="119"/>
  <c r="DP278" i="119"/>
  <c r="DO278" i="119"/>
  <c r="DN278" i="119"/>
  <c r="DM278" i="119"/>
  <c r="DL278" i="119"/>
  <c r="DK278" i="119"/>
  <c r="DJ278" i="119"/>
  <c r="DI278" i="119"/>
  <c r="DH278" i="119"/>
  <c r="DG278" i="119"/>
  <c r="DF278" i="119"/>
  <c r="DE278" i="119"/>
  <c r="CF209" i="30" s="1"/>
  <c r="DD278" i="119"/>
  <c r="CE209" i="30" s="1"/>
  <c r="DC278" i="119"/>
  <c r="CD209" i="30" s="1"/>
  <c r="DB278" i="119"/>
  <c r="CC209" i="30" s="1"/>
  <c r="DA278" i="119"/>
  <c r="CB209" i="30" s="1"/>
  <c r="CZ278" i="119"/>
  <c r="CA209" i="30" s="1"/>
  <c r="CY278" i="119"/>
  <c r="BZ209" i="30" s="1"/>
  <c r="CX278" i="119"/>
  <c r="BY209" i="30" s="1"/>
  <c r="CW278" i="119"/>
  <c r="BX209" i="30" s="1"/>
  <c r="CV278" i="119"/>
  <c r="BW209" i="30" s="1"/>
  <c r="CU278" i="119"/>
  <c r="BV209" i="30" s="1"/>
  <c r="CT278" i="119"/>
  <c r="BU209" i="30" s="1"/>
  <c r="CS278" i="119"/>
  <c r="BT209" i="30" s="1"/>
  <c r="CR278" i="119"/>
  <c r="BS209" i="30" s="1"/>
  <c r="CQ278" i="119"/>
  <c r="BR209" i="30" s="1"/>
  <c r="CP278" i="119"/>
  <c r="BQ209" i="30" s="1"/>
  <c r="CO278" i="119"/>
  <c r="BP209" i="30" s="1"/>
  <c r="CN278" i="119"/>
  <c r="BO209" i="30" s="1"/>
  <c r="CM278" i="119"/>
  <c r="BN209" i="30" s="1"/>
  <c r="CL278" i="119"/>
  <c r="BM209" i="30" s="1"/>
  <c r="CK278" i="119"/>
  <c r="BL209" i="30" s="1"/>
  <c r="CJ278" i="119"/>
  <c r="BK209" i="30" s="1"/>
  <c r="CI278" i="119"/>
  <c r="BJ209" i="30" s="1"/>
  <c r="CH278" i="119"/>
  <c r="BI209" i="30" s="1"/>
  <c r="CG278" i="119"/>
  <c r="BH209" i="30" s="1"/>
  <c r="CF278" i="119"/>
  <c r="BG209" i="30" s="1"/>
  <c r="CE278" i="119"/>
  <c r="BF209" i="30" s="1"/>
  <c r="CD278" i="119"/>
  <c r="BE209" i="30" s="1"/>
  <c r="CC278" i="119"/>
  <c r="BD209" i="30" s="1"/>
  <c r="CB278" i="119"/>
  <c r="BC209" i="30" s="1"/>
  <c r="CA278" i="119"/>
  <c r="BB209" i="30" s="1"/>
  <c r="BZ278" i="119"/>
  <c r="BA209" i="30" s="1"/>
  <c r="BY278" i="119"/>
  <c r="AZ209" i="30" s="1"/>
  <c r="BX278" i="119"/>
  <c r="AY209" i="30" s="1"/>
  <c r="BW278" i="119"/>
  <c r="AX209" i="30" s="1"/>
  <c r="BV278" i="119"/>
  <c r="AW209" i="30" s="1"/>
  <c r="BU278" i="119"/>
  <c r="AV209" i="30" s="1"/>
  <c r="BT278" i="119"/>
  <c r="AU209" i="30" s="1"/>
  <c r="BS278" i="119"/>
  <c r="AT209" i="30" s="1"/>
  <c r="BR278" i="119"/>
  <c r="AS209" i="30" s="1"/>
  <c r="BQ278" i="119"/>
  <c r="AR209" i="30" s="1"/>
  <c r="BP278" i="119"/>
  <c r="AQ209" i="30" s="1"/>
  <c r="BO278" i="119"/>
  <c r="AP209" i="30" s="1"/>
  <c r="BN278" i="119"/>
  <c r="AO209" i="30" s="1"/>
  <c r="BM278" i="119"/>
  <c r="AN209" i="30" s="1"/>
  <c r="BL278" i="119"/>
  <c r="AM209" i="30" s="1"/>
  <c r="BK278" i="119"/>
  <c r="AL209" i="30" s="1"/>
  <c r="BJ278" i="119"/>
  <c r="AK209" i="30" s="1"/>
  <c r="BI278" i="119"/>
  <c r="AJ209" i="30" s="1"/>
  <c r="BH278" i="119"/>
  <c r="AI209" i="30" s="1"/>
  <c r="BG278" i="119"/>
  <c r="AH209" i="30" s="1"/>
  <c r="BF278" i="119"/>
  <c r="AG209" i="30" s="1"/>
  <c r="BE278" i="119"/>
  <c r="AF209" i="30" s="1"/>
  <c r="BD278" i="119"/>
  <c r="AE209" i="30" s="1"/>
  <c r="BC278" i="119"/>
  <c r="AD209" i="30" s="1"/>
  <c r="BB278" i="119"/>
  <c r="AC209" i="30" s="1"/>
  <c r="BA278" i="119"/>
  <c r="AB209" i="30" s="1"/>
  <c r="AZ278" i="119"/>
  <c r="AA209" i="30" s="1"/>
  <c r="AY278" i="119"/>
  <c r="Z209" i="30" s="1"/>
  <c r="AX278" i="119"/>
  <c r="Y209" i="30" s="1"/>
  <c r="AW278" i="119"/>
  <c r="AV278" i="119"/>
  <c r="AU278" i="119"/>
  <c r="AT278" i="119"/>
  <c r="AS278" i="119"/>
  <c r="AR278" i="119"/>
  <c r="AQ278" i="119"/>
  <c r="AP278" i="119"/>
  <c r="AO278" i="119"/>
  <c r="AN278" i="119"/>
  <c r="AM278" i="119"/>
  <c r="AL278" i="119"/>
  <c r="DY273" i="119"/>
  <c r="DX273" i="119"/>
  <c r="DW273" i="119"/>
  <c r="DV273" i="119"/>
  <c r="DU273" i="119"/>
  <c r="DT273" i="119"/>
  <c r="DS273" i="119"/>
  <c r="DR273" i="119"/>
  <c r="DQ273" i="119"/>
  <c r="DP273" i="119"/>
  <c r="DO273" i="119"/>
  <c r="DN273" i="119"/>
  <c r="DM273" i="119"/>
  <c r="DL273" i="119"/>
  <c r="DK273" i="119"/>
  <c r="DJ273" i="119"/>
  <c r="DI273" i="119"/>
  <c r="DH273" i="119"/>
  <c r="DG273" i="119"/>
  <c r="DF273" i="119"/>
  <c r="DE273" i="119"/>
  <c r="CF204" i="30" s="1"/>
  <c r="DD273" i="119"/>
  <c r="CE204" i="30" s="1"/>
  <c r="DC273" i="119"/>
  <c r="CD204" i="30" s="1"/>
  <c r="DB273" i="119"/>
  <c r="CC204" i="30" s="1"/>
  <c r="DA273" i="119"/>
  <c r="CB204" i="30" s="1"/>
  <c r="CZ273" i="119"/>
  <c r="CA204" i="30" s="1"/>
  <c r="CY273" i="119"/>
  <c r="BZ204" i="30" s="1"/>
  <c r="CX273" i="119"/>
  <c r="BY204" i="30" s="1"/>
  <c r="CW273" i="119"/>
  <c r="BX204" i="30" s="1"/>
  <c r="CV273" i="119"/>
  <c r="BW204" i="30" s="1"/>
  <c r="CU273" i="119"/>
  <c r="BV204" i="30" s="1"/>
  <c r="CT273" i="119"/>
  <c r="BU204" i="30" s="1"/>
  <c r="CS273" i="119"/>
  <c r="BT204" i="30" s="1"/>
  <c r="CR273" i="119"/>
  <c r="BS204" i="30" s="1"/>
  <c r="CQ273" i="119"/>
  <c r="BR204" i="30" s="1"/>
  <c r="CP273" i="119"/>
  <c r="BQ204" i="30" s="1"/>
  <c r="CO273" i="119"/>
  <c r="BP204" i="30" s="1"/>
  <c r="CN273" i="119"/>
  <c r="BO204" i="30" s="1"/>
  <c r="CM273" i="119"/>
  <c r="BN204" i="30" s="1"/>
  <c r="CL273" i="119"/>
  <c r="BM204" i="30" s="1"/>
  <c r="CK273" i="119"/>
  <c r="BL204" i="30" s="1"/>
  <c r="CJ273" i="119"/>
  <c r="BK204" i="30" s="1"/>
  <c r="CI273" i="119"/>
  <c r="BJ204" i="30" s="1"/>
  <c r="CH273" i="119"/>
  <c r="BI204" i="30" s="1"/>
  <c r="CG273" i="119"/>
  <c r="BH204" i="30" s="1"/>
  <c r="CF273" i="119"/>
  <c r="BG204" i="30" s="1"/>
  <c r="CE273" i="119"/>
  <c r="BF204" i="30" s="1"/>
  <c r="CD273" i="119"/>
  <c r="BE204" i="30" s="1"/>
  <c r="CC273" i="119"/>
  <c r="BD204" i="30" s="1"/>
  <c r="CB273" i="119"/>
  <c r="BC204" i="30" s="1"/>
  <c r="CA273" i="119"/>
  <c r="BB204" i="30" s="1"/>
  <c r="BZ273" i="119"/>
  <c r="BA204" i="30" s="1"/>
  <c r="BY273" i="119"/>
  <c r="AZ204" i="30" s="1"/>
  <c r="BX273" i="119"/>
  <c r="AY204" i="30" s="1"/>
  <c r="BW273" i="119"/>
  <c r="AX204" i="30" s="1"/>
  <c r="BV273" i="119"/>
  <c r="AW204" i="30" s="1"/>
  <c r="BU273" i="119"/>
  <c r="AV204" i="30" s="1"/>
  <c r="BT273" i="119"/>
  <c r="AU204" i="30" s="1"/>
  <c r="BS273" i="119"/>
  <c r="AT204" i="30" s="1"/>
  <c r="BR273" i="119"/>
  <c r="AS204" i="30" s="1"/>
  <c r="BQ273" i="119"/>
  <c r="AR204" i="30" s="1"/>
  <c r="BP273" i="119"/>
  <c r="AQ204" i="30" s="1"/>
  <c r="BO273" i="119"/>
  <c r="AP204" i="30" s="1"/>
  <c r="BN273" i="119"/>
  <c r="AO204" i="30" s="1"/>
  <c r="BM273" i="119"/>
  <c r="AN204" i="30" s="1"/>
  <c r="BL273" i="119"/>
  <c r="AM204" i="30" s="1"/>
  <c r="BK273" i="119"/>
  <c r="AL204" i="30" s="1"/>
  <c r="BJ273" i="119"/>
  <c r="AK204" i="30" s="1"/>
  <c r="BI273" i="119"/>
  <c r="AJ204" i="30" s="1"/>
  <c r="BH273" i="119"/>
  <c r="AI204" i="30" s="1"/>
  <c r="BG273" i="119"/>
  <c r="AH204" i="30" s="1"/>
  <c r="BF273" i="119"/>
  <c r="AG204" i="30" s="1"/>
  <c r="BE273" i="119"/>
  <c r="AF204" i="30" s="1"/>
  <c r="BD273" i="119"/>
  <c r="AE204" i="30" s="1"/>
  <c r="BC273" i="119"/>
  <c r="AD204" i="30" s="1"/>
  <c r="BB273" i="119"/>
  <c r="AC204" i="30" s="1"/>
  <c r="BA273" i="119"/>
  <c r="AB204" i="30" s="1"/>
  <c r="AZ273" i="119"/>
  <c r="AA204" i="30" s="1"/>
  <c r="AY273" i="119"/>
  <c r="Z204" i="30" s="1"/>
  <c r="AX273" i="119"/>
  <c r="Y204" i="30" s="1"/>
  <c r="AW273" i="119"/>
  <c r="AV273" i="119"/>
  <c r="AU273" i="119"/>
  <c r="AT273" i="119"/>
  <c r="AS273" i="119"/>
  <c r="AR273" i="119"/>
  <c r="AQ273" i="119"/>
  <c r="AP273" i="119"/>
  <c r="AO273" i="119"/>
  <c r="AN273" i="119"/>
  <c r="AM273" i="119"/>
  <c r="AL273" i="119"/>
  <c r="DW257" i="119"/>
  <c r="X192" i="119"/>
  <c r="X191" i="119"/>
  <c r="U189" i="119"/>
  <c r="U188" i="119"/>
  <c r="AB187" i="119"/>
  <c r="AJ184" i="119"/>
  <c r="AJ186" i="119" s="1"/>
  <c r="AI184" i="119"/>
  <c r="AI186" i="119" s="1"/>
  <c r="AH184" i="119"/>
  <c r="AH186" i="119" s="1"/>
  <c r="AG184" i="119"/>
  <c r="AG186" i="119" s="1"/>
  <c r="AF184" i="119"/>
  <c r="AF186" i="119" s="1"/>
  <c r="AE184" i="119"/>
  <c r="AE186" i="119" s="1"/>
  <c r="AD184" i="119"/>
  <c r="AD186" i="119" s="1"/>
  <c r="AC184" i="119"/>
  <c r="AC186" i="119" s="1"/>
  <c r="AB184" i="119"/>
  <c r="AB186" i="119" s="1"/>
  <c r="AA184" i="119"/>
  <c r="AA186" i="119" s="1"/>
  <c r="Z184" i="119"/>
  <c r="Z186" i="119" s="1"/>
  <c r="Y184" i="119"/>
  <c r="Y186" i="119" s="1"/>
  <c r="X184" i="119"/>
  <c r="X186" i="119" s="1"/>
  <c r="W184" i="119"/>
  <c r="V184" i="119"/>
  <c r="U184" i="119"/>
  <c r="U144" i="30" s="1"/>
  <c r="T184" i="119"/>
  <c r="S184" i="119"/>
  <c r="R184" i="119"/>
  <c r="R144" i="30" s="1"/>
  <c r="Q184" i="119"/>
  <c r="P184" i="119"/>
  <c r="P144" i="30" s="1"/>
  <c r="O184" i="119"/>
  <c r="O186" i="119" s="1"/>
  <c r="O145" i="30" s="1"/>
  <c r="AJ181" i="119"/>
  <c r="AI181" i="119"/>
  <c r="AH181" i="119"/>
  <c r="AG181" i="119"/>
  <c r="AF181" i="119"/>
  <c r="AE181" i="119"/>
  <c r="AD181" i="119"/>
  <c r="AC181" i="119"/>
  <c r="AB181" i="119"/>
  <c r="AA181" i="119"/>
  <c r="Z181" i="119"/>
  <c r="Y181" i="119"/>
  <c r="X181" i="119"/>
  <c r="W181" i="119"/>
  <c r="W141" i="30" s="1"/>
  <c r="V181" i="119"/>
  <c r="V141" i="30" s="1"/>
  <c r="U181" i="119"/>
  <c r="U141" i="30" s="1"/>
  <c r="T181" i="119"/>
  <c r="T141" i="30" s="1"/>
  <c r="S181" i="119"/>
  <c r="S141" i="30" s="1"/>
  <c r="R181" i="119"/>
  <c r="R141" i="30" s="1"/>
  <c r="Q181" i="119"/>
  <c r="Q141" i="30" s="1"/>
  <c r="P181" i="119"/>
  <c r="P141" i="30" s="1"/>
  <c r="O181" i="119"/>
  <c r="O141" i="30" s="1"/>
  <c r="AB178" i="119"/>
  <c r="AA178" i="119"/>
  <c r="Z178" i="119"/>
  <c r="Y178" i="119"/>
  <c r="X178" i="119"/>
  <c r="W178" i="119"/>
  <c r="V178" i="119"/>
  <c r="CC169" i="119"/>
  <c r="BD137" i="30" s="1"/>
  <c r="CB169" i="119"/>
  <c r="BC137" i="30" s="1"/>
  <c r="CA169" i="119"/>
  <c r="BB137" i="30" s="1"/>
  <c r="BZ169" i="119"/>
  <c r="BA137" i="30" s="1"/>
  <c r="BY169" i="119"/>
  <c r="AZ137" i="30" s="1"/>
  <c r="BX169" i="119"/>
  <c r="AY137" i="30" s="1"/>
  <c r="BW169" i="119"/>
  <c r="AX137" i="30" s="1"/>
  <c r="BV169" i="119"/>
  <c r="AW137" i="30" s="1"/>
  <c r="BU169" i="119"/>
  <c r="AV137" i="30" s="1"/>
  <c r="BT169" i="119"/>
  <c r="AU137" i="30" s="1"/>
  <c r="BS169" i="119"/>
  <c r="AT137" i="30" s="1"/>
  <c r="BR169" i="119"/>
  <c r="AS137" i="30" s="1"/>
  <c r="BQ169" i="119"/>
  <c r="AR137" i="30" s="1"/>
  <c r="BP169" i="119"/>
  <c r="AQ137" i="30" s="1"/>
  <c r="BO169" i="119"/>
  <c r="AP137" i="30" s="1"/>
  <c r="BN169" i="119"/>
  <c r="AO137" i="30" s="1"/>
  <c r="BM169" i="119"/>
  <c r="AN137" i="30" s="1"/>
  <c r="BL169" i="119"/>
  <c r="AM137" i="30" s="1"/>
  <c r="BK169" i="119"/>
  <c r="AL137" i="30" s="1"/>
  <c r="BJ169" i="119"/>
  <c r="AK137" i="30" s="1"/>
  <c r="BI169" i="119"/>
  <c r="AJ137" i="30" s="1"/>
  <c r="BH169" i="119"/>
  <c r="AI137" i="30" s="1"/>
  <c r="BG169" i="119"/>
  <c r="AH137" i="30" s="1"/>
  <c r="BF169" i="119"/>
  <c r="AG137" i="30" s="1"/>
  <c r="BE169" i="119"/>
  <c r="AF137" i="30" s="1"/>
  <c r="BD169" i="119"/>
  <c r="AE137" i="30" s="1"/>
  <c r="BC169" i="119"/>
  <c r="AD137" i="30" s="1"/>
  <c r="BB169" i="119"/>
  <c r="AC137" i="30" s="1"/>
  <c r="BA169" i="119"/>
  <c r="AB137" i="30" s="1"/>
  <c r="AZ169" i="119"/>
  <c r="AA137" i="30" s="1"/>
  <c r="AY169" i="119"/>
  <c r="Z137" i="30" s="1"/>
  <c r="AX169" i="119"/>
  <c r="Y137" i="30" s="1"/>
  <c r="AW169" i="119"/>
  <c r="AV169" i="119"/>
  <c r="AU169" i="119"/>
  <c r="AT169" i="119"/>
  <c r="AS169" i="119"/>
  <c r="AR169" i="119"/>
  <c r="AQ169" i="119"/>
  <c r="AP169" i="119"/>
  <c r="P169" i="119"/>
  <c r="P137" i="30" s="1"/>
  <c r="O169" i="119"/>
  <c r="O137" i="30" s="1"/>
  <c r="N169" i="119"/>
  <c r="N137" i="30" s="1"/>
  <c r="M169" i="119"/>
  <c r="M137" i="30" s="1"/>
  <c r="L169" i="119"/>
  <c r="L137" i="30" s="1"/>
  <c r="K169" i="119"/>
  <c r="K137" i="30" s="1"/>
  <c r="J169" i="119"/>
  <c r="J137" i="30" s="1"/>
  <c r="I169" i="119"/>
  <c r="I137" i="30" s="1"/>
  <c r="H169" i="119"/>
  <c r="H137" i="30" s="1"/>
  <c r="G169" i="119"/>
  <c r="G137" i="30" s="1"/>
  <c r="CC163" i="119"/>
  <c r="CB163" i="119"/>
  <c r="CA163" i="119"/>
  <c r="BZ163" i="119"/>
  <c r="BY163" i="119"/>
  <c r="BX163" i="119"/>
  <c r="BW163" i="119"/>
  <c r="BV163" i="119"/>
  <c r="BU163" i="119"/>
  <c r="BT163" i="119"/>
  <c r="BS163" i="119"/>
  <c r="BR163" i="119"/>
  <c r="BQ163" i="119"/>
  <c r="BP163" i="119"/>
  <c r="BO163" i="119"/>
  <c r="BN163" i="119"/>
  <c r="BM163" i="119"/>
  <c r="BL163" i="119"/>
  <c r="BK163" i="119"/>
  <c r="BJ163" i="119"/>
  <c r="BI163" i="119"/>
  <c r="BH163" i="119"/>
  <c r="BG163" i="119"/>
  <c r="BF163" i="119"/>
  <c r="BE163" i="119"/>
  <c r="BD163" i="119"/>
  <c r="BC163" i="119"/>
  <c r="BB163" i="119"/>
  <c r="BA163" i="119"/>
  <c r="AZ163" i="119"/>
  <c r="AY163" i="119"/>
  <c r="AX163" i="119"/>
  <c r="AW163" i="119"/>
  <c r="AV163" i="119"/>
  <c r="AU163" i="119"/>
  <c r="AT163" i="119"/>
  <c r="AS163" i="119"/>
  <c r="AR163" i="119"/>
  <c r="AQ163" i="119"/>
  <c r="AP163" i="119"/>
  <c r="P163" i="119"/>
  <c r="O163" i="119"/>
  <c r="N163" i="119"/>
  <c r="M163" i="119"/>
  <c r="L163" i="119"/>
  <c r="K163" i="119"/>
  <c r="J163" i="119"/>
  <c r="I163" i="119"/>
  <c r="H163" i="119"/>
  <c r="G163" i="119"/>
  <c r="DV104" i="119"/>
  <c r="DR104" i="119"/>
  <c r="DN104" i="119"/>
  <c r="DJ104" i="119"/>
  <c r="DF104" i="119"/>
  <c r="DB104" i="119"/>
  <c r="CC95" i="30" s="1"/>
  <c r="CX104" i="119"/>
  <c r="BY95" i="30" s="1"/>
  <c r="CT104" i="119"/>
  <c r="BU95" i="30" s="1"/>
  <c r="BC104" i="119"/>
  <c r="AD95" i="30" s="1"/>
  <c r="EK103" i="119"/>
  <c r="EJ103" i="119"/>
  <c r="EI103" i="119"/>
  <c r="EH103" i="119"/>
  <c r="EG103" i="119"/>
  <c r="EF103" i="119"/>
  <c r="EE103" i="119"/>
  <c r="ED103" i="119"/>
  <c r="EC103" i="119"/>
  <c r="EB103" i="119"/>
  <c r="EA103" i="119"/>
  <c r="DZ103" i="119"/>
  <c r="DV103" i="119"/>
  <c r="DR103" i="119"/>
  <c r="DN103" i="119"/>
  <c r="DJ103" i="119"/>
  <c r="DF103" i="119"/>
  <c r="DB103" i="119"/>
  <c r="CC94" i="30" s="1"/>
  <c r="CX103" i="119"/>
  <c r="BY94" i="30" s="1"/>
  <c r="CT103" i="119"/>
  <c r="BU94" i="30" s="1"/>
  <c r="CP103" i="119"/>
  <c r="BQ94" i="30" s="1"/>
  <c r="CL103" i="119"/>
  <c r="BM94" i="30" s="1"/>
  <c r="CH103" i="119"/>
  <c r="BI94" i="30" s="1"/>
  <c r="CD103" i="119"/>
  <c r="BE94" i="30" s="1"/>
  <c r="BZ103" i="119"/>
  <c r="BA94" i="30" s="1"/>
  <c r="BV103" i="119"/>
  <c r="AW94" i="30" s="1"/>
  <c r="BF103" i="119"/>
  <c r="AG94" i="30" s="1"/>
  <c r="BB103" i="119"/>
  <c r="AC94" i="30" s="1"/>
  <c r="AX103" i="119"/>
  <c r="Y94" i="30" s="1"/>
  <c r="AT103" i="119"/>
  <c r="AP103" i="119"/>
  <c r="DV102" i="119"/>
  <c r="DR102" i="119"/>
  <c r="DN102" i="119"/>
  <c r="DJ102" i="119"/>
  <c r="DF102" i="119"/>
  <c r="DB102" i="119"/>
  <c r="CC93" i="30" s="1"/>
  <c r="CX102" i="119"/>
  <c r="BY93" i="30" s="1"/>
  <c r="CT102" i="119"/>
  <c r="BU93" i="30" s="1"/>
  <c r="CP102" i="119"/>
  <c r="BQ93" i="30" s="1"/>
  <c r="CL102" i="119"/>
  <c r="BM93" i="30" s="1"/>
  <c r="DR100" i="119"/>
  <c r="DN100" i="119"/>
  <c r="DJ100" i="119"/>
  <c r="DF100" i="119"/>
  <c r="DB100" i="119"/>
  <c r="CC91" i="30" s="1"/>
  <c r="CX100" i="119"/>
  <c r="BY91" i="30" s="1"/>
  <c r="CT100" i="119"/>
  <c r="BU91" i="30" s="1"/>
  <c r="CP100" i="119"/>
  <c r="BQ91" i="30" s="1"/>
  <c r="CL100" i="119"/>
  <c r="BM91" i="30" s="1"/>
  <c r="CH100" i="119"/>
  <c r="BI91" i="30" s="1"/>
  <c r="CD100" i="119"/>
  <c r="BE91" i="30" s="1"/>
  <c r="BZ100" i="119"/>
  <c r="BA91" i="30" s="1"/>
  <c r="DV98" i="119"/>
  <c r="DR98" i="119"/>
  <c r="DN98" i="119"/>
  <c r="DJ98" i="119"/>
  <c r="DF98" i="119"/>
  <c r="DB98" i="119"/>
  <c r="CC89" i="30" s="1"/>
  <c r="CX98" i="119"/>
  <c r="BY89" i="30" s="1"/>
  <c r="CT98" i="119"/>
  <c r="BU89" i="30" s="1"/>
  <c r="CP98" i="119"/>
  <c r="BQ89" i="30" s="1"/>
  <c r="CL98" i="119"/>
  <c r="BM89" i="30" s="1"/>
  <c r="CH98" i="119"/>
  <c r="BI89" i="30" s="1"/>
  <c r="CD98" i="119"/>
  <c r="BE89" i="30" s="1"/>
  <c r="BZ98" i="119"/>
  <c r="BA89" i="30" s="1"/>
  <c r="BV98" i="119"/>
  <c r="AW89" i="30" s="1"/>
  <c r="BR98" i="119"/>
  <c r="AS89" i="30" s="1"/>
  <c r="BN98" i="119"/>
  <c r="AO89" i="30" s="1"/>
  <c r="DV97" i="119"/>
  <c r="DR97" i="119"/>
  <c r="DN97" i="119"/>
  <c r="DJ97" i="119"/>
  <c r="DF97" i="119"/>
  <c r="DB97" i="119"/>
  <c r="CC88" i="30" s="1"/>
  <c r="CX97" i="119"/>
  <c r="BY88" i="30" s="1"/>
  <c r="CT97" i="119"/>
  <c r="BU88" i="30" s="1"/>
  <c r="CP97" i="119"/>
  <c r="BQ88" i="30" s="1"/>
  <c r="CL97" i="119"/>
  <c r="BM88" i="30" s="1"/>
  <c r="CH97" i="119"/>
  <c r="BI88" i="30" s="1"/>
  <c r="CD97" i="119"/>
  <c r="BE88" i="30" s="1"/>
  <c r="BZ97" i="119"/>
  <c r="BA88" i="30" s="1"/>
  <c r="BV97" i="119"/>
  <c r="AW88" i="30" s="1"/>
  <c r="BR97" i="119"/>
  <c r="AS88" i="30" s="1"/>
  <c r="BN97" i="119"/>
  <c r="AO88" i="30" s="1"/>
  <c r="BJ97" i="119"/>
  <c r="AK88" i="30" s="1"/>
  <c r="BF97" i="119"/>
  <c r="AG88" i="30" s="1"/>
  <c r="BB97" i="119"/>
  <c r="AC88" i="30" s="1"/>
  <c r="AX97" i="119"/>
  <c r="Y88" i="30" s="1"/>
  <c r="AT97" i="119"/>
  <c r="AP97" i="119"/>
  <c r="DV95" i="119"/>
  <c r="DR95" i="119"/>
  <c r="DN95" i="119"/>
  <c r="DJ95" i="119"/>
  <c r="DF95" i="119"/>
  <c r="DB95" i="119"/>
  <c r="CC86" i="30" s="1"/>
  <c r="CX95" i="119"/>
  <c r="BY86" i="30" s="1"/>
  <c r="CT95" i="119"/>
  <c r="BU86" i="30" s="1"/>
  <c r="CP95" i="119"/>
  <c r="BQ86" i="30" s="1"/>
  <c r="CL95" i="119"/>
  <c r="BM86" i="30" s="1"/>
  <c r="CH95" i="119"/>
  <c r="BI86" i="30" s="1"/>
  <c r="CD95" i="119"/>
  <c r="BE86" i="30" s="1"/>
  <c r="BZ95" i="119"/>
  <c r="BA86" i="30" s="1"/>
  <c r="BV95" i="119"/>
  <c r="AW86" i="30" s="1"/>
  <c r="BU95" i="119"/>
  <c r="AV86" i="30" s="1"/>
  <c r="BT95" i="119"/>
  <c r="AU86" i="30" s="1"/>
  <c r="BS95" i="119"/>
  <c r="AT86" i="30" s="1"/>
  <c r="BR95" i="119"/>
  <c r="AS86" i="30" s="1"/>
  <c r="BQ95" i="119"/>
  <c r="AR86" i="30" s="1"/>
  <c r="BP95" i="119"/>
  <c r="AQ86" i="30" s="1"/>
  <c r="BO95" i="119"/>
  <c r="AP86" i="30" s="1"/>
  <c r="BN95" i="119"/>
  <c r="AO86" i="30" s="1"/>
  <c r="BM95" i="119"/>
  <c r="AN86" i="30" s="1"/>
  <c r="BL95" i="119"/>
  <c r="AM86" i="30" s="1"/>
  <c r="BK95" i="119"/>
  <c r="AL86" i="30" s="1"/>
  <c r="BJ95" i="119"/>
  <c r="AK86" i="30" s="1"/>
  <c r="BI95" i="119"/>
  <c r="AJ86" i="30" s="1"/>
  <c r="BH95" i="119"/>
  <c r="AI86" i="30" s="1"/>
  <c r="BG95" i="119"/>
  <c r="AH86" i="30" s="1"/>
  <c r="BF95" i="119"/>
  <c r="AG86" i="30" s="1"/>
  <c r="BE95" i="119"/>
  <c r="AF86" i="30" s="1"/>
  <c r="BD95" i="119"/>
  <c r="AE86" i="30" s="1"/>
  <c r="BC95" i="119"/>
  <c r="AD86" i="30" s="1"/>
  <c r="BB95" i="119"/>
  <c r="AC86" i="30" s="1"/>
  <c r="BA95" i="119"/>
  <c r="AB86" i="30" s="1"/>
  <c r="AZ95" i="119"/>
  <c r="AA86" i="30" s="1"/>
  <c r="AY95" i="119"/>
  <c r="Z86" i="30" s="1"/>
  <c r="AX95" i="119"/>
  <c r="Y86" i="30" s="1"/>
  <c r="AW95" i="119"/>
  <c r="AV95" i="119"/>
  <c r="AT95" i="119"/>
  <c r="AS95" i="119"/>
  <c r="AR95" i="119"/>
  <c r="AQ95" i="119"/>
  <c r="AP95" i="119"/>
  <c r="AO95" i="119"/>
  <c r="AN95" i="119"/>
  <c r="AM95" i="119"/>
  <c r="AL95" i="119"/>
  <c r="DV93" i="119"/>
  <c r="DR93" i="119"/>
  <c r="DN93" i="119"/>
  <c r="DJ93" i="119"/>
  <c r="DF93" i="119"/>
  <c r="DB93" i="119"/>
  <c r="CC84" i="30" s="1"/>
  <c r="CX93" i="119"/>
  <c r="BY84" i="30" s="1"/>
  <c r="CT93" i="119"/>
  <c r="BU84" i="30" s="1"/>
  <c r="CP93" i="119"/>
  <c r="BQ84" i="30" s="1"/>
  <c r="CL93" i="119"/>
  <c r="BM84" i="30" s="1"/>
  <c r="CH93" i="119"/>
  <c r="BI84" i="30" s="1"/>
  <c r="CD93" i="119"/>
  <c r="BE84" i="30" s="1"/>
  <c r="BZ93" i="119"/>
  <c r="BA84" i="30" s="1"/>
  <c r="BV93" i="119"/>
  <c r="AW84" i="30" s="1"/>
  <c r="BU93" i="119"/>
  <c r="AV84" i="30" s="1"/>
  <c r="BT93" i="119"/>
  <c r="AU84" i="30" s="1"/>
  <c r="BS93" i="119"/>
  <c r="AT84" i="30" s="1"/>
  <c r="BR93" i="119"/>
  <c r="AS84" i="30" s="1"/>
  <c r="BQ93" i="119"/>
  <c r="AR84" i="30" s="1"/>
  <c r="BP93" i="119"/>
  <c r="AQ84" i="30" s="1"/>
  <c r="BO93" i="119"/>
  <c r="AP84" i="30" s="1"/>
  <c r="BN93" i="119"/>
  <c r="AO84" i="30" s="1"/>
  <c r="BJ93" i="119"/>
  <c r="AK84" i="30" s="1"/>
  <c r="BF93" i="119"/>
  <c r="AG84" i="30" s="1"/>
  <c r="BB93" i="119"/>
  <c r="AC84" i="30" s="1"/>
  <c r="AX93" i="119"/>
  <c r="Y84" i="30" s="1"/>
  <c r="AT93" i="119"/>
  <c r="AP93" i="119"/>
  <c r="AL93" i="119"/>
  <c r="DY87" i="119"/>
  <c r="DX87" i="119"/>
  <c r="DW87" i="119"/>
  <c r="DV87" i="119"/>
  <c r="DU87" i="119"/>
  <c r="DT87" i="119"/>
  <c r="DS87" i="119"/>
  <c r="DR87" i="119"/>
  <c r="DQ87" i="119"/>
  <c r="DP87" i="119"/>
  <c r="DO87" i="119"/>
  <c r="DN87" i="119"/>
  <c r="DM87" i="119"/>
  <c r="DL87" i="119"/>
  <c r="DK87" i="119"/>
  <c r="DJ87" i="119"/>
  <c r="DI87" i="119"/>
  <c r="DH87" i="119"/>
  <c r="DG87" i="119"/>
  <c r="DF87" i="119"/>
  <c r="DE87" i="119"/>
  <c r="CF79" i="30" s="1"/>
  <c r="DD87" i="119"/>
  <c r="CE79" i="30" s="1"/>
  <c r="DC87" i="119"/>
  <c r="CD79" i="30" s="1"/>
  <c r="DB87" i="119"/>
  <c r="CC79" i="30" s="1"/>
  <c r="DA87" i="119"/>
  <c r="CB79" i="30" s="1"/>
  <c r="CZ87" i="119"/>
  <c r="CA79" i="30" s="1"/>
  <c r="CY87" i="119"/>
  <c r="BZ79" i="30" s="1"/>
  <c r="CX87" i="119"/>
  <c r="BY79" i="30" s="1"/>
  <c r="CW87" i="119"/>
  <c r="BX79" i="30" s="1"/>
  <c r="CV87" i="119"/>
  <c r="BW79" i="30" s="1"/>
  <c r="CU87" i="119"/>
  <c r="BV79" i="30" s="1"/>
  <c r="CT87" i="119"/>
  <c r="BU79" i="30" s="1"/>
  <c r="CS87" i="119"/>
  <c r="BT79" i="30" s="1"/>
  <c r="CR87" i="119"/>
  <c r="BS79" i="30" s="1"/>
  <c r="CQ87" i="119"/>
  <c r="BR79" i="30" s="1"/>
  <c r="CP87" i="119"/>
  <c r="BQ79" i="30" s="1"/>
  <c r="CO87" i="119"/>
  <c r="BP79" i="30" s="1"/>
  <c r="CN87" i="119"/>
  <c r="BO79" i="30" s="1"/>
  <c r="CM87" i="119"/>
  <c r="BN79" i="30" s="1"/>
  <c r="CL87" i="119"/>
  <c r="BM79" i="30" s="1"/>
  <c r="CK87" i="119"/>
  <c r="BL79" i="30" s="1"/>
  <c r="CJ87" i="119"/>
  <c r="BK79" i="30" s="1"/>
  <c r="CI87" i="119"/>
  <c r="BJ79" i="30" s="1"/>
  <c r="CH87" i="119"/>
  <c r="BI79" i="30" s="1"/>
  <c r="CG87" i="119"/>
  <c r="BH79" i="30" s="1"/>
  <c r="CF87" i="119"/>
  <c r="BG79" i="30" s="1"/>
  <c r="CE87" i="119"/>
  <c r="BF79" i="30" s="1"/>
  <c r="CD87" i="119"/>
  <c r="BE79" i="30" s="1"/>
  <c r="CC87" i="119"/>
  <c r="BD79" i="30" s="1"/>
  <c r="CB87" i="119"/>
  <c r="BC79" i="30" s="1"/>
  <c r="CA87" i="119"/>
  <c r="BB79" i="30" s="1"/>
  <c r="BZ87" i="119"/>
  <c r="BA79" i="30" s="1"/>
  <c r="BY87" i="119"/>
  <c r="AZ79" i="30" s="1"/>
  <c r="BX87" i="119"/>
  <c r="AY79" i="30" s="1"/>
  <c r="BW87" i="119"/>
  <c r="AX79" i="30" s="1"/>
  <c r="BV87" i="119"/>
  <c r="AW79" i="30" s="1"/>
  <c r="BU87" i="119"/>
  <c r="AV79" i="30" s="1"/>
  <c r="BT87" i="119"/>
  <c r="AU79" i="30" s="1"/>
  <c r="BS87" i="119"/>
  <c r="AT79" i="30" s="1"/>
  <c r="BR87" i="119"/>
  <c r="AS79" i="30" s="1"/>
  <c r="BQ87" i="119"/>
  <c r="AR79" i="30" s="1"/>
  <c r="BP87" i="119"/>
  <c r="AQ79" i="30" s="1"/>
  <c r="BO87" i="119"/>
  <c r="AP79" i="30" s="1"/>
  <c r="BN87" i="119"/>
  <c r="AO79" i="30" s="1"/>
  <c r="BM87" i="119"/>
  <c r="AN79" i="30" s="1"/>
  <c r="BL87" i="119"/>
  <c r="AM79" i="30" s="1"/>
  <c r="BK87" i="119"/>
  <c r="AL79" i="30" s="1"/>
  <c r="BJ87" i="119"/>
  <c r="AK79" i="30" s="1"/>
  <c r="BI87" i="119"/>
  <c r="AJ79" i="30" s="1"/>
  <c r="BH87" i="119"/>
  <c r="AI79" i="30" s="1"/>
  <c r="BG87" i="119"/>
  <c r="AH79" i="30" s="1"/>
  <c r="BF87" i="119"/>
  <c r="AG79" i="30" s="1"/>
  <c r="BE87" i="119"/>
  <c r="AF79" i="30" s="1"/>
  <c r="BD87" i="119"/>
  <c r="AE79" i="30" s="1"/>
  <c r="BC87" i="119"/>
  <c r="AD79" i="30" s="1"/>
  <c r="BB87" i="119"/>
  <c r="AC79" i="30" s="1"/>
  <c r="BA87" i="119"/>
  <c r="AB79" i="30" s="1"/>
  <c r="AZ87" i="119"/>
  <c r="AA79" i="30" s="1"/>
  <c r="AY87" i="119"/>
  <c r="Z79" i="30" s="1"/>
  <c r="AX87" i="119"/>
  <c r="Y79" i="30" s="1"/>
  <c r="AW87" i="119"/>
  <c r="AV87" i="119"/>
  <c r="AU87" i="119"/>
  <c r="AT87" i="119"/>
  <c r="AS87" i="119"/>
  <c r="AR87" i="119"/>
  <c r="AQ87" i="119"/>
  <c r="AP87" i="119"/>
  <c r="AO87" i="119"/>
  <c r="AN87" i="119"/>
  <c r="AM87" i="119"/>
  <c r="AL87" i="119"/>
  <c r="DY81" i="119"/>
  <c r="DX81" i="119"/>
  <c r="DW81" i="119"/>
  <c r="DV81" i="119"/>
  <c r="DU81" i="119"/>
  <c r="DT81" i="119"/>
  <c r="DS81" i="119"/>
  <c r="DR81" i="119"/>
  <c r="DQ81" i="119"/>
  <c r="DP81" i="119"/>
  <c r="DO81" i="119"/>
  <c r="DN81" i="119"/>
  <c r="DM81" i="119"/>
  <c r="DL81" i="119"/>
  <c r="DK81" i="119"/>
  <c r="DJ81" i="119"/>
  <c r="DI81" i="119"/>
  <c r="DH81" i="119"/>
  <c r="DG81" i="119"/>
  <c r="DF81" i="119"/>
  <c r="DE81" i="119"/>
  <c r="CF73" i="30" s="1"/>
  <c r="DD81" i="119"/>
  <c r="CE73" i="30" s="1"/>
  <c r="DC81" i="119"/>
  <c r="CD73" i="30" s="1"/>
  <c r="DB81" i="119"/>
  <c r="CC73" i="30" s="1"/>
  <c r="DA81" i="119"/>
  <c r="CB73" i="30" s="1"/>
  <c r="CZ81" i="119"/>
  <c r="CA73" i="30" s="1"/>
  <c r="CY81" i="119"/>
  <c r="BZ73" i="30" s="1"/>
  <c r="CX81" i="119"/>
  <c r="BY73" i="30" s="1"/>
  <c r="CW81" i="119"/>
  <c r="BX73" i="30" s="1"/>
  <c r="CV81" i="119"/>
  <c r="BW73" i="30" s="1"/>
  <c r="CU81" i="119"/>
  <c r="BV73" i="30" s="1"/>
  <c r="CT81" i="119"/>
  <c r="BU73" i="30" s="1"/>
  <c r="CS81" i="119"/>
  <c r="BT73" i="30" s="1"/>
  <c r="CR81" i="119"/>
  <c r="BS73" i="30" s="1"/>
  <c r="CQ81" i="119"/>
  <c r="BR73" i="30" s="1"/>
  <c r="CP81" i="119"/>
  <c r="BQ73" i="30" s="1"/>
  <c r="CO81" i="119"/>
  <c r="BP73" i="30" s="1"/>
  <c r="CN81" i="119"/>
  <c r="BO73" i="30" s="1"/>
  <c r="CM81" i="119"/>
  <c r="BN73" i="30" s="1"/>
  <c r="CL81" i="119"/>
  <c r="BM73" i="30" s="1"/>
  <c r="CK81" i="119"/>
  <c r="BL73" i="30" s="1"/>
  <c r="CJ81" i="119"/>
  <c r="BK73" i="30" s="1"/>
  <c r="CI81" i="119"/>
  <c r="BJ73" i="30" s="1"/>
  <c r="CH81" i="119"/>
  <c r="BI73" i="30" s="1"/>
  <c r="CG81" i="119"/>
  <c r="BH73" i="30" s="1"/>
  <c r="CF81" i="119"/>
  <c r="BG73" i="30" s="1"/>
  <c r="CE81" i="119"/>
  <c r="BF73" i="30" s="1"/>
  <c r="CD81" i="119"/>
  <c r="BE73" i="30" s="1"/>
  <c r="CC81" i="119"/>
  <c r="BD73" i="30" s="1"/>
  <c r="CB81" i="119"/>
  <c r="BC73" i="30" s="1"/>
  <c r="CA81" i="119"/>
  <c r="BB73" i="30" s="1"/>
  <c r="BZ81" i="119"/>
  <c r="BA73" i="30" s="1"/>
  <c r="BY81" i="119"/>
  <c r="AZ73" i="30" s="1"/>
  <c r="BX81" i="119"/>
  <c r="AY73" i="30" s="1"/>
  <c r="BW81" i="119"/>
  <c r="AX73" i="30" s="1"/>
  <c r="BV81" i="119"/>
  <c r="AW73" i="30" s="1"/>
  <c r="BU81" i="119"/>
  <c r="AV73" i="30" s="1"/>
  <c r="BT81" i="119"/>
  <c r="AU73" i="30" s="1"/>
  <c r="BS81" i="119"/>
  <c r="AT73" i="30" s="1"/>
  <c r="BR81" i="119"/>
  <c r="AS73" i="30" s="1"/>
  <c r="BQ81" i="119"/>
  <c r="AR73" i="30" s="1"/>
  <c r="BP81" i="119"/>
  <c r="AQ73" i="30" s="1"/>
  <c r="BO81" i="119"/>
  <c r="AP73" i="30" s="1"/>
  <c r="BN81" i="119"/>
  <c r="AO73" i="30" s="1"/>
  <c r="BM81" i="119"/>
  <c r="AN73" i="30" s="1"/>
  <c r="BL81" i="119"/>
  <c r="AM73" i="30" s="1"/>
  <c r="BK81" i="119"/>
  <c r="AL73" i="30" s="1"/>
  <c r="BJ81" i="119"/>
  <c r="AK73" i="30" s="1"/>
  <c r="BI81" i="119"/>
  <c r="AJ73" i="30" s="1"/>
  <c r="BH81" i="119"/>
  <c r="AI73" i="30" s="1"/>
  <c r="BG81" i="119"/>
  <c r="AH73" i="30" s="1"/>
  <c r="BF81" i="119"/>
  <c r="AG73" i="30" s="1"/>
  <c r="BE81" i="119"/>
  <c r="AF73" i="30" s="1"/>
  <c r="BD81" i="119"/>
  <c r="AE73" i="30" s="1"/>
  <c r="BC81" i="119"/>
  <c r="AD73" i="30" s="1"/>
  <c r="BB81" i="119"/>
  <c r="AC73" i="30" s="1"/>
  <c r="BA81" i="119"/>
  <c r="AB73" i="30" s="1"/>
  <c r="AZ81" i="119"/>
  <c r="AA73" i="30" s="1"/>
  <c r="AY81" i="119"/>
  <c r="Z73" i="30" s="1"/>
  <c r="AX81" i="119"/>
  <c r="Y73" i="30" s="1"/>
  <c r="AW81" i="119"/>
  <c r="AV81" i="119"/>
  <c r="AU81" i="119"/>
  <c r="AT81" i="119"/>
  <c r="AS81" i="119"/>
  <c r="AR81" i="119"/>
  <c r="AQ81" i="119"/>
  <c r="AP81" i="119"/>
  <c r="AO81" i="119"/>
  <c r="AN81" i="119"/>
  <c r="AM81" i="119"/>
  <c r="AL81" i="119"/>
  <c r="DH64" i="119"/>
  <c r="DG64" i="119"/>
  <c r="DF64" i="119"/>
  <c r="DE64" i="119"/>
  <c r="CF60" i="30" s="1"/>
  <c r="DD64" i="119"/>
  <c r="CE60" i="30" s="1"/>
  <c r="DC64" i="119"/>
  <c r="CD60" i="30" s="1"/>
  <c r="DB64" i="119"/>
  <c r="CC60" i="30" s="1"/>
  <c r="DA64" i="119"/>
  <c r="CB60" i="30" s="1"/>
  <c r="CZ64" i="119"/>
  <c r="CA60" i="30" s="1"/>
  <c r="CY64" i="119"/>
  <c r="BZ60" i="30" s="1"/>
  <c r="CX64" i="119"/>
  <c r="BY60" i="30" s="1"/>
  <c r="CW64" i="119"/>
  <c r="BX60" i="30" s="1"/>
  <c r="CV64" i="119"/>
  <c r="BW60" i="30" s="1"/>
  <c r="CU64" i="119"/>
  <c r="BV60" i="30" s="1"/>
  <c r="CT64" i="119"/>
  <c r="BU60" i="30" s="1"/>
  <c r="CS64" i="119"/>
  <c r="BT60" i="30" s="1"/>
  <c r="CR64" i="119"/>
  <c r="BS60" i="30" s="1"/>
  <c r="CQ64" i="119"/>
  <c r="BR60" i="30" s="1"/>
  <c r="CP64" i="119"/>
  <c r="BQ60" i="30" s="1"/>
  <c r="CO64" i="119"/>
  <c r="BP60" i="30" s="1"/>
  <c r="CN64" i="119"/>
  <c r="BO60" i="30" s="1"/>
  <c r="CM64" i="119"/>
  <c r="BN60" i="30" s="1"/>
  <c r="CL64" i="119"/>
  <c r="BM60" i="30" s="1"/>
  <c r="CK64" i="119"/>
  <c r="BL60" i="30" s="1"/>
  <c r="CJ64" i="119"/>
  <c r="BK60" i="30" s="1"/>
  <c r="CI64" i="119"/>
  <c r="BJ60" i="30" s="1"/>
  <c r="CH64" i="119"/>
  <c r="BI60" i="30" s="1"/>
  <c r="CG64" i="119"/>
  <c r="BH60" i="30" s="1"/>
  <c r="CF64" i="119"/>
  <c r="BG60" i="30" s="1"/>
  <c r="CE64" i="119"/>
  <c r="BF60" i="30" s="1"/>
  <c r="CD64" i="119"/>
  <c r="BE60" i="30" s="1"/>
  <c r="CC64" i="119"/>
  <c r="BD60" i="30" s="1"/>
  <c r="CB64" i="119"/>
  <c r="BC60" i="30" s="1"/>
  <c r="CA64" i="119"/>
  <c r="BB60" i="30" s="1"/>
  <c r="BZ64" i="119"/>
  <c r="BA60" i="30" s="1"/>
  <c r="BY64" i="119"/>
  <c r="AZ60" i="30" s="1"/>
  <c r="BX64" i="119"/>
  <c r="AY60" i="30" s="1"/>
  <c r="BW64" i="119"/>
  <c r="AX60" i="30" s="1"/>
  <c r="BV64" i="119"/>
  <c r="AW60" i="30" s="1"/>
  <c r="BU64" i="119"/>
  <c r="AV60" i="30" s="1"/>
  <c r="BT64" i="119"/>
  <c r="AU60" i="30" s="1"/>
  <c r="BS64" i="119"/>
  <c r="AT60" i="30" s="1"/>
  <c r="BR64" i="119"/>
  <c r="AS60" i="30" s="1"/>
  <c r="BQ64" i="119"/>
  <c r="AR60" i="30" s="1"/>
  <c r="BP64" i="119"/>
  <c r="AQ60" i="30" s="1"/>
  <c r="BO64" i="119"/>
  <c r="AP60" i="30" s="1"/>
  <c r="BN64" i="119"/>
  <c r="AO60" i="30" s="1"/>
  <c r="BM64" i="119"/>
  <c r="AN60" i="30" s="1"/>
  <c r="BL64" i="119"/>
  <c r="AM60" i="30" s="1"/>
  <c r="BK64" i="119"/>
  <c r="AL60" i="30" s="1"/>
  <c r="BJ64" i="119"/>
  <c r="AK60" i="30" s="1"/>
  <c r="BI64" i="119"/>
  <c r="AJ60" i="30" s="1"/>
  <c r="BH64" i="119"/>
  <c r="AI60" i="30" s="1"/>
  <c r="BG64" i="119"/>
  <c r="AH60" i="30" s="1"/>
  <c r="BF64" i="119"/>
  <c r="AG60" i="30" s="1"/>
  <c r="BE64" i="119"/>
  <c r="AF60" i="30" s="1"/>
  <c r="BD64" i="119"/>
  <c r="AE60" i="30" s="1"/>
  <c r="BC64" i="119"/>
  <c r="AD60" i="30" s="1"/>
  <c r="BB64" i="119"/>
  <c r="AC60" i="30" s="1"/>
  <c r="BA64" i="119"/>
  <c r="AB60" i="30" s="1"/>
  <c r="AZ64" i="119"/>
  <c r="AA60" i="30" s="1"/>
  <c r="AY64" i="119"/>
  <c r="Z60" i="30" s="1"/>
  <c r="AX64" i="119"/>
  <c r="Y60" i="30" s="1"/>
  <c r="AW64" i="119"/>
  <c r="AV64" i="119"/>
  <c r="AU64" i="119"/>
  <c r="AT64" i="119"/>
  <c r="AS64" i="119"/>
  <c r="AR64" i="119"/>
  <c r="AQ64" i="119"/>
  <c r="AP64" i="119"/>
  <c r="AO64" i="119"/>
  <c r="AN64" i="119"/>
  <c r="AM64" i="119"/>
  <c r="AL64" i="119"/>
  <c r="DH63" i="119"/>
  <c r="DG63" i="119"/>
  <c r="DF63" i="119"/>
  <c r="DE63" i="119"/>
  <c r="CF59" i="30" s="1"/>
  <c r="DD63" i="119"/>
  <c r="CE59" i="30" s="1"/>
  <c r="DC63" i="119"/>
  <c r="CD59" i="30" s="1"/>
  <c r="DB63" i="119"/>
  <c r="CC59" i="30" s="1"/>
  <c r="DA63" i="119"/>
  <c r="CB59" i="30" s="1"/>
  <c r="CZ63" i="119"/>
  <c r="CA59" i="30" s="1"/>
  <c r="CY63" i="119"/>
  <c r="BZ59" i="30" s="1"/>
  <c r="CX63" i="119"/>
  <c r="BY59" i="30" s="1"/>
  <c r="CW63" i="119"/>
  <c r="BX59" i="30" s="1"/>
  <c r="CV63" i="119"/>
  <c r="BW59" i="30" s="1"/>
  <c r="CU63" i="119"/>
  <c r="BV59" i="30" s="1"/>
  <c r="CT63" i="119"/>
  <c r="BU59" i="30" s="1"/>
  <c r="CS63" i="119"/>
  <c r="BT59" i="30" s="1"/>
  <c r="CR63" i="119"/>
  <c r="BS59" i="30" s="1"/>
  <c r="CQ63" i="119"/>
  <c r="BR59" i="30" s="1"/>
  <c r="CP63" i="119"/>
  <c r="BQ59" i="30" s="1"/>
  <c r="CO63" i="119"/>
  <c r="BP59" i="30" s="1"/>
  <c r="CN63" i="119"/>
  <c r="BO59" i="30" s="1"/>
  <c r="CM63" i="119"/>
  <c r="BN59" i="30" s="1"/>
  <c r="CL63" i="119"/>
  <c r="BM59" i="30" s="1"/>
  <c r="CK63" i="119"/>
  <c r="BL59" i="30" s="1"/>
  <c r="CJ63" i="119"/>
  <c r="BK59" i="30" s="1"/>
  <c r="CI63" i="119"/>
  <c r="BJ59" i="30" s="1"/>
  <c r="CH63" i="119"/>
  <c r="BI59" i="30" s="1"/>
  <c r="CG63" i="119"/>
  <c r="BH59" i="30" s="1"/>
  <c r="CF63" i="119"/>
  <c r="BG59" i="30" s="1"/>
  <c r="CE63" i="119"/>
  <c r="BF59" i="30" s="1"/>
  <c r="CD63" i="119"/>
  <c r="BE59" i="30" s="1"/>
  <c r="CC63" i="119"/>
  <c r="BD59" i="30" s="1"/>
  <c r="CB63" i="119"/>
  <c r="BC59" i="30" s="1"/>
  <c r="CA63" i="119"/>
  <c r="BB59" i="30" s="1"/>
  <c r="BZ63" i="119"/>
  <c r="BA59" i="30" s="1"/>
  <c r="BY63" i="119"/>
  <c r="AZ59" i="30" s="1"/>
  <c r="BX63" i="119"/>
  <c r="AY59" i="30" s="1"/>
  <c r="BW63" i="119"/>
  <c r="AX59" i="30" s="1"/>
  <c r="BV63" i="119"/>
  <c r="AW59" i="30" s="1"/>
  <c r="BU63" i="119"/>
  <c r="AV59" i="30" s="1"/>
  <c r="BT63" i="119"/>
  <c r="AU59" i="30" s="1"/>
  <c r="BS63" i="119"/>
  <c r="AT59" i="30" s="1"/>
  <c r="BR63" i="119"/>
  <c r="AS59" i="30" s="1"/>
  <c r="BQ63" i="119"/>
  <c r="AR59" i="30" s="1"/>
  <c r="BP63" i="119"/>
  <c r="AQ59" i="30" s="1"/>
  <c r="BO63" i="119"/>
  <c r="AP59" i="30" s="1"/>
  <c r="BN63" i="119"/>
  <c r="AO59" i="30" s="1"/>
  <c r="BM63" i="119"/>
  <c r="AN59" i="30" s="1"/>
  <c r="BL63" i="119"/>
  <c r="AM59" i="30" s="1"/>
  <c r="BK63" i="119"/>
  <c r="AL59" i="30" s="1"/>
  <c r="BJ63" i="119"/>
  <c r="AK59" i="30" s="1"/>
  <c r="BI63" i="119"/>
  <c r="AJ59" i="30" s="1"/>
  <c r="BH63" i="119"/>
  <c r="AI59" i="30" s="1"/>
  <c r="BG63" i="119"/>
  <c r="AH59" i="30" s="1"/>
  <c r="BF63" i="119"/>
  <c r="AG59" i="30" s="1"/>
  <c r="BE63" i="119"/>
  <c r="AF59" i="30" s="1"/>
  <c r="BD63" i="119"/>
  <c r="AE59" i="30" s="1"/>
  <c r="BC63" i="119"/>
  <c r="AD59" i="30" s="1"/>
  <c r="BB63" i="119"/>
  <c r="AC59" i="30" s="1"/>
  <c r="BA63" i="119"/>
  <c r="AB59" i="30" s="1"/>
  <c r="AZ63" i="119"/>
  <c r="AA59" i="30" s="1"/>
  <c r="AY63" i="119"/>
  <c r="Z59" i="30" s="1"/>
  <c r="AX63" i="119"/>
  <c r="Y59" i="30" s="1"/>
  <c r="AW63" i="119"/>
  <c r="AV63" i="119"/>
  <c r="AU63" i="119"/>
  <c r="AT63" i="119"/>
  <c r="AS63" i="119"/>
  <c r="AR63" i="119"/>
  <c r="AQ63" i="119"/>
  <c r="AP63" i="119"/>
  <c r="AO63" i="119"/>
  <c r="AN63" i="119"/>
  <c r="AM63" i="119"/>
  <c r="AL63" i="119"/>
  <c r="DX61" i="119"/>
  <c r="DW61" i="119"/>
  <c r="DV61" i="119"/>
  <c r="DU61" i="119"/>
  <c r="DT61" i="119"/>
  <c r="DS61" i="119"/>
  <c r="DR61" i="119"/>
  <c r="DQ61" i="119"/>
  <c r="DP61" i="119"/>
  <c r="DO61" i="119"/>
  <c r="DN61" i="119"/>
  <c r="DM61" i="119"/>
  <c r="DL61" i="119"/>
  <c r="DK61" i="119"/>
  <c r="DJ61" i="119"/>
  <c r="DI61" i="119"/>
  <c r="DH61" i="119"/>
  <c r="DG61" i="119"/>
  <c r="DF61" i="119"/>
  <c r="DE61" i="119"/>
  <c r="CF58" i="30" s="1"/>
  <c r="DD61" i="119"/>
  <c r="CE58" i="30" s="1"/>
  <c r="DC61" i="119"/>
  <c r="CD58" i="30" s="1"/>
  <c r="DB61" i="119"/>
  <c r="CC58" i="30" s="1"/>
  <c r="DA61" i="119"/>
  <c r="CB58" i="30" s="1"/>
  <c r="CZ61" i="119"/>
  <c r="CA58" i="30" s="1"/>
  <c r="CY61" i="119"/>
  <c r="BZ58" i="30" s="1"/>
  <c r="CX61" i="119"/>
  <c r="BY58" i="30" s="1"/>
  <c r="CW61" i="119"/>
  <c r="BX58" i="30" s="1"/>
  <c r="CV61" i="119"/>
  <c r="BW58" i="30" s="1"/>
  <c r="CU61" i="119"/>
  <c r="BV58" i="30" s="1"/>
  <c r="CT61" i="119"/>
  <c r="BU58" i="30" s="1"/>
  <c r="CS61" i="119"/>
  <c r="BT58" i="30" s="1"/>
  <c r="CR61" i="119"/>
  <c r="BS58" i="30" s="1"/>
  <c r="CQ61" i="119"/>
  <c r="BR58" i="30" s="1"/>
  <c r="CP61" i="119"/>
  <c r="BQ58" i="30" s="1"/>
  <c r="CO61" i="119"/>
  <c r="BP58" i="30" s="1"/>
  <c r="CN61" i="119"/>
  <c r="BO58" i="30" s="1"/>
  <c r="CM61" i="119"/>
  <c r="BN58" i="30" s="1"/>
  <c r="CL61" i="119"/>
  <c r="BM58" i="30" s="1"/>
  <c r="CK61" i="119"/>
  <c r="BL58" i="30" s="1"/>
  <c r="CJ61" i="119"/>
  <c r="BK58" i="30" s="1"/>
  <c r="CI61" i="119"/>
  <c r="BJ58" i="30" s="1"/>
  <c r="CH61" i="119"/>
  <c r="BI58" i="30" s="1"/>
  <c r="CG61" i="119"/>
  <c r="BH58" i="30" s="1"/>
  <c r="CF61" i="119"/>
  <c r="BG58" i="30" s="1"/>
  <c r="CE61" i="119"/>
  <c r="BF58" i="30" s="1"/>
  <c r="CD61" i="119"/>
  <c r="BE58" i="30" s="1"/>
  <c r="CC61" i="119"/>
  <c r="BD58" i="30" s="1"/>
  <c r="CB61" i="119"/>
  <c r="BC58" i="30" s="1"/>
  <c r="CA61" i="119"/>
  <c r="BB58" i="30" s="1"/>
  <c r="BZ61" i="119"/>
  <c r="BA58" i="30" s="1"/>
  <c r="BY61" i="119"/>
  <c r="AZ58" i="30" s="1"/>
  <c r="BX61" i="119"/>
  <c r="AY58" i="30" s="1"/>
  <c r="BW61" i="119"/>
  <c r="AX58" i="30" s="1"/>
  <c r="BV61" i="119"/>
  <c r="AW58" i="30" s="1"/>
  <c r="BU61" i="119"/>
  <c r="AV58" i="30" s="1"/>
  <c r="BT61" i="119"/>
  <c r="AU58" i="30" s="1"/>
  <c r="BS61" i="119"/>
  <c r="AT58" i="30" s="1"/>
  <c r="BR61" i="119"/>
  <c r="AS58" i="30" s="1"/>
  <c r="BQ61" i="119"/>
  <c r="AR58" i="30" s="1"/>
  <c r="BP61" i="119"/>
  <c r="AQ58" i="30" s="1"/>
  <c r="BO61" i="119"/>
  <c r="AP58" i="30" s="1"/>
  <c r="BN61" i="119"/>
  <c r="AO58" i="30" s="1"/>
  <c r="BM61" i="119"/>
  <c r="AN58" i="30" s="1"/>
  <c r="BL61" i="119"/>
  <c r="AM58" i="30" s="1"/>
  <c r="BK61" i="119"/>
  <c r="AL58" i="30" s="1"/>
  <c r="BJ61" i="119"/>
  <c r="AK58" i="30" s="1"/>
  <c r="BI61" i="119"/>
  <c r="AJ58" i="30" s="1"/>
  <c r="BH61" i="119"/>
  <c r="AI58" i="30" s="1"/>
  <c r="BG61" i="119"/>
  <c r="AH58" i="30" s="1"/>
  <c r="BF61" i="119"/>
  <c r="AG58" i="30" s="1"/>
  <c r="BE61" i="119"/>
  <c r="AF58" i="30" s="1"/>
  <c r="BD61" i="119"/>
  <c r="AE58" i="30" s="1"/>
  <c r="BC61" i="119"/>
  <c r="AD58" i="30" s="1"/>
  <c r="BB61" i="119"/>
  <c r="AC58" i="30" s="1"/>
  <c r="BA61" i="119"/>
  <c r="AB58" i="30" s="1"/>
  <c r="AZ61" i="119"/>
  <c r="AA58" i="30" s="1"/>
  <c r="AY61" i="119"/>
  <c r="Z58" i="30" s="1"/>
  <c r="AX61" i="119"/>
  <c r="Y58" i="30" s="1"/>
  <c r="AW61" i="119"/>
  <c r="AV61" i="119"/>
  <c r="AU61" i="119"/>
  <c r="AT61" i="119"/>
  <c r="AS61" i="119"/>
  <c r="AR61" i="119"/>
  <c r="AQ61" i="119"/>
  <c r="AP61" i="119"/>
  <c r="AO61" i="119"/>
  <c r="AN61" i="119"/>
  <c r="AM61" i="119"/>
  <c r="AL61" i="119"/>
  <c r="DY59" i="119"/>
  <c r="DX59" i="119"/>
  <c r="DW59" i="119"/>
  <c r="DV59" i="119"/>
  <c r="DU59" i="119"/>
  <c r="DT59" i="119"/>
  <c r="DS59" i="119"/>
  <c r="DR59" i="119"/>
  <c r="DQ59" i="119"/>
  <c r="DP59" i="119"/>
  <c r="DO59" i="119"/>
  <c r="DN59" i="119"/>
  <c r="DM59" i="119"/>
  <c r="DL59" i="119"/>
  <c r="DK59" i="119"/>
  <c r="DJ59" i="119"/>
  <c r="DI59" i="119"/>
  <c r="DH59" i="119"/>
  <c r="DG59" i="119"/>
  <c r="DF59" i="119"/>
  <c r="DE59" i="119"/>
  <c r="CF56" i="30" s="1"/>
  <c r="DD59" i="119"/>
  <c r="CE56" i="30" s="1"/>
  <c r="DC59" i="119"/>
  <c r="CD56" i="30" s="1"/>
  <c r="DB59" i="119"/>
  <c r="CC56" i="30" s="1"/>
  <c r="DA59" i="119"/>
  <c r="CB56" i="30" s="1"/>
  <c r="CZ59" i="119"/>
  <c r="CA56" i="30" s="1"/>
  <c r="CY59" i="119"/>
  <c r="BZ56" i="30" s="1"/>
  <c r="CX59" i="119"/>
  <c r="BY56" i="30" s="1"/>
  <c r="CW59" i="119"/>
  <c r="BX56" i="30" s="1"/>
  <c r="CV59" i="119"/>
  <c r="BW56" i="30" s="1"/>
  <c r="CU59" i="119"/>
  <c r="BV56" i="30" s="1"/>
  <c r="CT59" i="119"/>
  <c r="BU56" i="30" s="1"/>
  <c r="CS59" i="119"/>
  <c r="BT56" i="30" s="1"/>
  <c r="CR59" i="119"/>
  <c r="BS56" i="30" s="1"/>
  <c r="CQ59" i="119"/>
  <c r="BR56" i="30" s="1"/>
  <c r="CP59" i="119"/>
  <c r="BQ56" i="30" s="1"/>
  <c r="CO59" i="119"/>
  <c r="BP56" i="30" s="1"/>
  <c r="CN59" i="119"/>
  <c r="BO56" i="30" s="1"/>
  <c r="CM59" i="119"/>
  <c r="BN56" i="30" s="1"/>
  <c r="CL59" i="119"/>
  <c r="BM56" i="30" s="1"/>
  <c r="CK59" i="119"/>
  <c r="BL56" i="30" s="1"/>
  <c r="CJ59" i="119"/>
  <c r="BK56" i="30" s="1"/>
  <c r="CI59" i="119"/>
  <c r="BJ56" i="30" s="1"/>
  <c r="CH59" i="119"/>
  <c r="BI56" i="30" s="1"/>
  <c r="CG59" i="119"/>
  <c r="BH56" i="30" s="1"/>
  <c r="CF59" i="119"/>
  <c r="BG56" i="30" s="1"/>
  <c r="CE59" i="119"/>
  <c r="BF56" i="30" s="1"/>
  <c r="CD59" i="119"/>
  <c r="BE56" i="30" s="1"/>
  <c r="CC59" i="119"/>
  <c r="BD56" i="30" s="1"/>
  <c r="CB59" i="119"/>
  <c r="BC56" i="30" s="1"/>
  <c r="CA59" i="119"/>
  <c r="BB56" i="30" s="1"/>
  <c r="BZ59" i="119"/>
  <c r="BA56" i="30" s="1"/>
  <c r="BY59" i="119"/>
  <c r="AZ56" i="30" s="1"/>
  <c r="BX59" i="119"/>
  <c r="AY56" i="30" s="1"/>
  <c r="BW59" i="119"/>
  <c r="AX56" i="30" s="1"/>
  <c r="BV59" i="119"/>
  <c r="AW56" i="30" s="1"/>
  <c r="BU59" i="119"/>
  <c r="AV56" i="30" s="1"/>
  <c r="BT59" i="119"/>
  <c r="AU56" i="30" s="1"/>
  <c r="BS59" i="119"/>
  <c r="AT56" i="30" s="1"/>
  <c r="BR59" i="119"/>
  <c r="AS56" i="30" s="1"/>
  <c r="BQ59" i="119"/>
  <c r="AR56" i="30" s="1"/>
  <c r="BP59" i="119"/>
  <c r="AQ56" i="30" s="1"/>
  <c r="BO59" i="119"/>
  <c r="AP56" i="30" s="1"/>
  <c r="BN59" i="119"/>
  <c r="AO56" i="30" s="1"/>
  <c r="BM59" i="119"/>
  <c r="AN56" i="30" s="1"/>
  <c r="BL59" i="119"/>
  <c r="AM56" i="30" s="1"/>
  <c r="BK59" i="119"/>
  <c r="AL56" i="30" s="1"/>
  <c r="BJ59" i="119"/>
  <c r="AK56" i="30" s="1"/>
  <c r="BI59" i="119"/>
  <c r="AJ56" i="30" s="1"/>
  <c r="BH59" i="119"/>
  <c r="AI56" i="30" s="1"/>
  <c r="BG59" i="119"/>
  <c r="AH56" i="30" s="1"/>
  <c r="BF59" i="119"/>
  <c r="AG56" i="30" s="1"/>
  <c r="BE59" i="119"/>
  <c r="AF56" i="30" s="1"/>
  <c r="BD59" i="119"/>
  <c r="AE56" i="30" s="1"/>
  <c r="BC59" i="119"/>
  <c r="AD56" i="30" s="1"/>
  <c r="BB59" i="119"/>
  <c r="AC56" i="30" s="1"/>
  <c r="BA59" i="119"/>
  <c r="AB56" i="30" s="1"/>
  <c r="AZ59" i="119"/>
  <c r="AA56" i="30" s="1"/>
  <c r="AY59" i="119"/>
  <c r="Z56" i="30" s="1"/>
  <c r="AX59" i="119"/>
  <c r="Y56" i="30" s="1"/>
  <c r="AW59" i="119"/>
  <c r="AV59" i="119"/>
  <c r="AU59" i="119"/>
  <c r="AT59" i="119"/>
  <c r="AS59" i="119"/>
  <c r="AR59" i="119"/>
  <c r="AQ59" i="119"/>
  <c r="AP59" i="119"/>
  <c r="AO59" i="119"/>
  <c r="AN59" i="119"/>
  <c r="AM59" i="119"/>
  <c r="AL59" i="119"/>
  <c r="DY57" i="119"/>
  <c r="DX57" i="119"/>
  <c r="DW57" i="119"/>
  <c r="DV57" i="119"/>
  <c r="DU57" i="119"/>
  <c r="DT57" i="119"/>
  <c r="DR57" i="119"/>
  <c r="DQ57" i="119"/>
  <c r="DP57" i="119"/>
  <c r="DO57" i="119"/>
  <c r="DN57" i="119"/>
  <c r="DM57" i="119"/>
  <c r="DL57" i="119"/>
  <c r="DK57" i="119"/>
  <c r="DJ57" i="119"/>
  <c r="DI57" i="119"/>
  <c r="DH57" i="119"/>
  <c r="DG57" i="119"/>
  <c r="DF57" i="119"/>
  <c r="DE57" i="119"/>
  <c r="CF55" i="30" s="1"/>
  <c r="DD57" i="119"/>
  <c r="DC57" i="119"/>
  <c r="CD55" i="30" s="1"/>
  <c r="DB57" i="119"/>
  <c r="CC55" i="30" s="1"/>
  <c r="DA57" i="119"/>
  <c r="CB55" i="30" s="1"/>
  <c r="CZ57" i="119"/>
  <c r="CA55" i="30" s="1"/>
  <c r="CY57" i="119"/>
  <c r="BZ55" i="30" s="1"/>
  <c r="CX57" i="119"/>
  <c r="CW57" i="119"/>
  <c r="BX55" i="30" s="1"/>
  <c r="CV57" i="119"/>
  <c r="BW55" i="30" s="1"/>
  <c r="CU57" i="119"/>
  <c r="BV55" i="30" s="1"/>
  <c r="CT57" i="119"/>
  <c r="BU55" i="30" s="1"/>
  <c r="CS57" i="119"/>
  <c r="BT55" i="30" s="1"/>
  <c r="CR57" i="119"/>
  <c r="CQ57" i="119"/>
  <c r="BR55" i="30" s="1"/>
  <c r="CP57" i="119"/>
  <c r="BQ55" i="30" s="1"/>
  <c r="CO57" i="119"/>
  <c r="BP55" i="30" s="1"/>
  <c r="CN57" i="119"/>
  <c r="BO55" i="30" s="1"/>
  <c r="CM57" i="119"/>
  <c r="BN55" i="30" s="1"/>
  <c r="CL57" i="119"/>
  <c r="CK57" i="119"/>
  <c r="BL55" i="30" s="1"/>
  <c r="CJ57" i="119"/>
  <c r="BK55" i="30" s="1"/>
  <c r="CI57" i="119"/>
  <c r="BJ55" i="30" s="1"/>
  <c r="CH57" i="119"/>
  <c r="BI55" i="30" s="1"/>
  <c r="CG57" i="119"/>
  <c r="BH55" i="30" s="1"/>
  <c r="CF57" i="119"/>
  <c r="CE57" i="119"/>
  <c r="BF55" i="30" s="1"/>
  <c r="CD57" i="119"/>
  <c r="BE55" i="30" s="1"/>
  <c r="CC57" i="119"/>
  <c r="BD55" i="30" s="1"/>
  <c r="CB57" i="119"/>
  <c r="BC55" i="30" s="1"/>
  <c r="CA57" i="119"/>
  <c r="BB55" i="30" s="1"/>
  <c r="BZ57" i="119"/>
  <c r="BY57" i="119"/>
  <c r="AZ55" i="30" s="1"/>
  <c r="BX57" i="119"/>
  <c r="AY55" i="30" s="1"/>
  <c r="BW57" i="119"/>
  <c r="AX55" i="30" s="1"/>
  <c r="BV57" i="119"/>
  <c r="AW55" i="30" s="1"/>
  <c r="BU57" i="119"/>
  <c r="AV55" i="30" s="1"/>
  <c r="BT57" i="119"/>
  <c r="BS57" i="119"/>
  <c r="AT55" i="30" s="1"/>
  <c r="BR57" i="119"/>
  <c r="AS55" i="30" s="1"/>
  <c r="BQ57" i="119"/>
  <c r="AR55" i="30" s="1"/>
  <c r="BP57" i="119"/>
  <c r="AQ55" i="30" s="1"/>
  <c r="BO57" i="119"/>
  <c r="AP55" i="30" s="1"/>
  <c r="BN57" i="119"/>
  <c r="BM57" i="119"/>
  <c r="AN55" i="30" s="1"/>
  <c r="BL57" i="119"/>
  <c r="AM55" i="30" s="1"/>
  <c r="BK57" i="119"/>
  <c r="AL55" i="30" s="1"/>
  <c r="BJ57" i="119"/>
  <c r="AK55" i="30" s="1"/>
  <c r="BI57" i="119"/>
  <c r="AJ55" i="30" s="1"/>
  <c r="BH57" i="119"/>
  <c r="BG57" i="119"/>
  <c r="AH55" i="30" s="1"/>
  <c r="BF57" i="119"/>
  <c r="AG55" i="30" s="1"/>
  <c r="BE57" i="119"/>
  <c r="AF55" i="30" s="1"/>
  <c r="BD57" i="119"/>
  <c r="AE55" i="30" s="1"/>
  <c r="BC57" i="119"/>
  <c r="AD55" i="30" s="1"/>
  <c r="BB57" i="119"/>
  <c r="BA57" i="119"/>
  <c r="AB55" i="30" s="1"/>
  <c r="AZ57" i="119"/>
  <c r="AA55" i="30" s="1"/>
  <c r="AY57" i="119"/>
  <c r="Z55" i="30" s="1"/>
  <c r="AX57" i="119"/>
  <c r="Y55" i="30" s="1"/>
  <c r="AW57" i="119"/>
  <c r="AV57" i="119"/>
  <c r="AU57" i="119"/>
  <c r="AT57" i="119"/>
  <c r="AS57" i="119"/>
  <c r="AR57" i="119"/>
  <c r="AQ57" i="119"/>
  <c r="AP57" i="119"/>
  <c r="AO57" i="119"/>
  <c r="AN57" i="119"/>
  <c r="AM57" i="119"/>
  <c r="AL57" i="119"/>
  <c r="DY56" i="119"/>
  <c r="DX56" i="119"/>
  <c r="DW56" i="119"/>
  <c r="DV56" i="119"/>
  <c r="DU56" i="119"/>
  <c r="DT56" i="119"/>
  <c r="DS56" i="119"/>
  <c r="DR56" i="119"/>
  <c r="DQ56" i="119"/>
  <c r="DP56" i="119"/>
  <c r="DO56" i="119"/>
  <c r="DN56" i="119"/>
  <c r="DM56" i="119"/>
  <c r="DL56" i="119"/>
  <c r="DK56" i="119"/>
  <c r="DJ56" i="119"/>
  <c r="DI56" i="119"/>
  <c r="DH56" i="119"/>
  <c r="DG56" i="119"/>
  <c r="DF56" i="119"/>
  <c r="DE56" i="119"/>
  <c r="CF54" i="30" s="1"/>
  <c r="DD56" i="119"/>
  <c r="CE54" i="30" s="1"/>
  <c r="DC56" i="119"/>
  <c r="CD54" i="30" s="1"/>
  <c r="DB56" i="119"/>
  <c r="CC54" i="30" s="1"/>
  <c r="DA56" i="119"/>
  <c r="CB54" i="30" s="1"/>
  <c r="CZ56" i="119"/>
  <c r="CA54" i="30" s="1"/>
  <c r="CY56" i="119"/>
  <c r="BZ54" i="30" s="1"/>
  <c r="CX56" i="119"/>
  <c r="BY54" i="30" s="1"/>
  <c r="CW56" i="119"/>
  <c r="BX54" i="30" s="1"/>
  <c r="CV56" i="119"/>
  <c r="BW54" i="30" s="1"/>
  <c r="CU56" i="119"/>
  <c r="BV54" i="30" s="1"/>
  <c r="CT56" i="119"/>
  <c r="BU54" i="30" s="1"/>
  <c r="CS56" i="119"/>
  <c r="BT54" i="30" s="1"/>
  <c r="CR56" i="119"/>
  <c r="BS54" i="30" s="1"/>
  <c r="CQ56" i="119"/>
  <c r="BR54" i="30" s="1"/>
  <c r="CP56" i="119"/>
  <c r="BQ54" i="30" s="1"/>
  <c r="CO56" i="119"/>
  <c r="BP54" i="30" s="1"/>
  <c r="CN56" i="119"/>
  <c r="BO54" i="30" s="1"/>
  <c r="CM56" i="119"/>
  <c r="BN54" i="30" s="1"/>
  <c r="CL56" i="119"/>
  <c r="BM54" i="30" s="1"/>
  <c r="CK56" i="119"/>
  <c r="BL54" i="30" s="1"/>
  <c r="CJ56" i="119"/>
  <c r="BK54" i="30" s="1"/>
  <c r="CI56" i="119"/>
  <c r="BJ54" i="30" s="1"/>
  <c r="CH56" i="119"/>
  <c r="BI54" i="30" s="1"/>
  <c r="CG56" i="119"/>
  <c r="BH54" i="30" s="1"/>
  <c r="CF56" i="119"/>
  <c r="BG54" i="30" s="1"/>
  <c r="CE56" i="119"/>
  <c r="BF54" i="30" s="1"/>
  <c r="CD56" i="119"/>
  <c r="BE54" i="30" s="1"/>
  <c r="CC56" i="119"/>
  <c r="BD54" i="30" s="1"/>
  <c r="CB56" i="119"/>
  <c r="BC54" i="30" s="1"/>
  <c r="CA56" i="119"/>
  <c r="BB54" i="30" s="1"/>
  <c r="BZ56" i="119"/>
  <c r="BA54" i="30" s="1"/>
  <c r="BY56" i="119"/>
  <c r="AZ54" i="30" s="1"/>
  <c r="BX56" i="119"/>
  <c r="AY54" i="30" s="1"/>
  <c r="BW56" i="119"/>
  <c r="AX54" i="30" s="1"/>
  <c r="BV56" i="119"/>
  <c r="AW54" i="30" s="1"/>
  <c r="BU56" i="119"/>
  <c r="AV54" i="30" s="1"/>
  <c r="BT56" i="119"/>
  <c r="AU54" i="30" s="1"/>
  <c r="BS56" i="119"/>
  <c r="AT54" i="30" s="1"/>
  <c r="BR56" i="119"/>
  <c r="AS54" i="30" s="1"/>
  <c r="BQ56" i="119"/>
  <c r="AR54" i="30" s="1"/>
  <c r="BP56" i="119"/>
  <c r="AQ54" i="30" s="1"/>
  <c r="BO56" i="119"/>
  <c r="AP54" i="30" s="1"/>
  <c r="BN56" i="119"/>
  <c r="AO54" i="30" s="1"/>
  <c r="BM56" i="119"/>
  <c r="AN54" i="30" s="1"/>
  <c r="BL56" i="119"/>
  <c r="AM54" i="30" s="1"/>
  <c r="BK56" i="119"/>
  <c r="AL54" i="30" s="1"/>
  <c r="BJ56" i="119"/>
  <c r="AK54" i="30" s="1"/>
  <c r="BI56" i="119"/>
  <c r="AJ54" i="30" s="1"/>
  <c r="BH56" i="119"/>
  <c r="AI54" i="30" s="1"/>
  <c r="BG56" i="119"/>
  <c r="AH54" i="30" s="1"/>
  <c r="BF56" i="119"/>
  <c r="AG54" i="30" s="1"/>
  <c r="BE56" i="119"/>
  <c r="AF54" i="30" s="1"/>
  <c r="BD56" i="119"/>
  <c r="AE54" i="30" s="1"/>
  <c r="BC56" i="119"/>
  <c r="AD54" i="30" s="1"/>
  <c r="BB56" i="119"/>
  <c r="AC54" i="30" s="1"/>
  <c r="BA56" i="119"/>
  <c r="AB54" i="30" s="1"/>
  <c r="AZ56" i="119"/>
  <c r="AA54" i="30" s="1"/>
  <c r="AY56" i="119"/>
  <c r="Z54" i="30" s="1"/>
  <c r="AX56" i="119"/>
  <c r="Y54" i="30" s="1"/>
  <c r="AW56" i="119"/>
  <c r="AV56" i="119"/>
  <c r="AU56" i="119"/>
  <c r="AT56" i="119"/>
  <c r="AS56" i="119"/>
  <c r="AR56" i="119"/>
  <c r="AQ56" i="119"/>
  <c r="AP56" i="119"/>
  <c r="AO56" i="119"/>
  <c r="AN56" i="119"/>
  <c r="AM56" i="119"/>
  <c r="AL56" i="119"/>
  <c r="DF54" i="119"/>
  <c r="DE54" i="119"/>
  <c r="CF52" i="30" s="1"/>
  <c r="DD54" i="119"/>
  <c r="CE52" i="30" s="1"/>
  <c r="DC54" i="119"/>
  <c r="CD52" i="30" s="1"/>
  <c r="DB54" i="119"/>
  <c r="CC52" i="30" s="1"/>
  <c r="DA54" i="119"/>
  <c r="CB52" i="30" s="1"/>
  <c r="CZ54" i="119"/>
  <c r="CA52" i="30" s="1"/>
  <c r="CY54" i="119"/>
  <c r="BZ52" i="30" s="1"/>
  <c r="CX54" i="119"/>
  <c r="BY52" i="30" s="1"/>
  <c r="CW54" i="119"/>
  <c r="BX52" i="30" s="1"/>
  <c r="CV54" i="119"/>
  <c r="BW52" i="30" s="1"/>
  <c r="CU54" i="119"/>
  <c r="BV52" i="30" s="1"/>
  <c r="CT54" i="119"/>
  <c r="BU52" i="30" s="1"/>
  <c r="CS54" i="119"/>
  <c r="BT52" i="30" s="1"/>
  <c r="CR54" i="119"/>
  <c r="BS52" i="30" s="1"/>
  <c r="CQ54" i="119"/>
  <c r="BR52" i="30" s="1"/>
  <c r="CP54" i="119"/>
  <c r="BQ52" i="30" s="1"/>
  <c r="CO54" i="119"/>
  <c r="BP52" i="30" s="1"/>
  <c r="CN54" i="119"/>
  <c r="BO52" i="30" s="1"/>
  <c r="CM54" i="119"/>
  <c r="BN52" i="30" s="1"/>
  <c r="CL54" i="119"/>
  <c r="BM52" i="30" s="1"/>
  <c r="CK54" i="119"/>
  <c r="BL52" i="30" s="1"/>
  <c r="CJ54" i="119"/>
  <c r="BK52" i="30" s="1"/>
  <c r="CI54" i="119"/>
  <c r="BJ52" i="30" s="1"/>
  <c r="CH54" i="119"/>
  <c r="BI52" i="30" s="1"/>
  <c r="CG54" i="119"/>
  <c r="BH52" i="30" s="1"/>
  <c r="CF54" i="119"/>
  <c r="BG52" i="30" s="1"/>
  <c r="CE54" i="119"/>
  <c r="BF52" i="30" s="1"/>
  <c r="CD54" i="119"/>
  <c r="BE52" i="30" s="1"/>
  <c r="CC54" i="119"/>
  <c r="BD52" i="30" s="1"/>
  <c r="CB54" i="119"/>
  <c r="BC52" i="30" s="1"/>
  <c r="CA54" i="119"/>
  <c r="BB52" i="30" s="1"/>
  <c r="BZ54" i="119"/>
  <c r="BA52" i="30" s="1"/>
  <c r="BY54" i="119"/>
  <c r="AZ52" i="30" s="1"/>
  <c r="BX54" i="119"/>
  <c r="AY52" i="30" s="1"/>
  <c r="BW54" i="119"/>
  <c r="AX52" i="30" s="1"/>
  <c r="BV54" i="119"/>
  <c r="AW52" i="30" s="1"/>
  <c r="BU54" i="119"/>
  <c r="AV52" i="30" s="1"/>
  <c r="BT54" i="119"/>
  <c r="AU52" i="30" s="1"/>
  <c r="BS54" i="119"/>
  <c r="AT52" i="30" s="1"/>
  <c r="BR54" i="119"/>
  <c r="AS52" i="30" s="1"/>
  <c r="BQ54" i="119"/>
  <c r="AR52" i="30" s="1"/>
  <c r="BP54" i="119"/>
  <c r="AQ52" i="30" s="1"/>
  <c r="BO54" i="119"/>
  <c r="AP52" i="30" s="1"/>
  <c r="BN54" i="119"/>
  <c r="AO52" i="30" s="1"/>
  <c r="BM54" i="119"/>
  <c r="AN52" i="30" s="1"/>
  <c r="BL54" i="119"/>
  <c r="AM52" i="30" s="1"/>
  <c r="BK54" i="119"/>
  <c r="AL52" i="30" s="1"/>
  <c r="BJ54" i="119"/>
  <c r="AK52" i="30" s="1"/>
  <c r="BI54" i="119"/>
  <c r="AJ52" i="30" s="1"/>
  <c r="BH54" i="119"/>
  <c r="AI52" i="30" s="1"/>
  <c r="BG54" i="119"/>
  <c r="AH52" i="30" s="1"/>
  <c r="BF54" i="119"/>
  <c r="AG52" i="30" s="1"/>
  <c r="BE54" i="119"/>
  <c r="AF52" i="30" s="1"/>
  <c r="BD54" i="119"/>
  <c r="AE52" i="30" s="1"/>
  <c r="BC54" i="119"/>
  <c r="AD52" i="30" s="1"/>
  <c r="BB54" i="119"/>
  <c r="AC52" i="30" s="1"/>
  <c r="BA54" i="119"/>
  <c r="AB52" i="30" s="1"/>
  <c r="AZ54" i="119"/>
  <c r="AA52" i="30" s="1"/>
  <c r="AY54" i="119"/>
  <c r="Z52" i="30" s="1"/>
  <c r="AX54" i="119"/>
  <c r="Y52" i="30" s="1"/>
  <c r="AW54" i="119"/>
  <c r="AV54" i="119"/>
  <c r="AU54" i="119"/>
  <c r="AT54" i="119"/>
  <c r="AS54" i="119"/>
  <c r="AR54" i="119"/>
  <c r="AQ54" i="119"/>
  <c r="AP54" i="119"/>
  <c r="AO54" i="119"/>
  <c r="AN54" i="119"/>
  <c r="AM54" i="119"/>
  <c r="AL54" i="119"/>
  <c r="DY53" i="119"/>
  <c r="DX53" i="119"/>
  <c r="DW53" i="119"/>
  <c r="DV53" i="119"/>
  <c r="DU53" i="119"/>
  <c r="DT53" i="119"/>
  <c r="DS53" i="119"/>
  <c r="DR53" i="119"/>
  <c r="DQ53" i="119"/>
  <c r="DP53" i="119"/>
  <c r="DO53" i="119"/>
  <c r="DN53" i="119"/>
  <c r="DM53" i="119"/>
  <c r="DL53" i="119"/>
  <c r="DK53" i="119"/>
  <c r="DJ53" i="119"/>
  <c r="DI53" i="119"/>
  <c r="DH53" i="119"/>
  <c r="DG53" i="119"/>
  <c r="DF53" i="119"/>
  <c r="DE53" i="119"/>
  <c r="CF51" i="30" s="1"/>
  <c r="DD53" i="119"/>
  <c r="CE51" i="30" s="1"/>
  <c r="DC53" i="119"/>
  <c r="CD51" i="30" s="1"/>
  <c r="DB53" i="119"/>
  <c r="CC51" i="30" s="1"/>
  <c r="DA53" i="119"/>
  <c r="CB51" i="30" s="1"/>
  <c r="CZ53" i="119"/>
  <c r="CA51" i="30" s="1"/>
  <c r="CY53" i="119"/>
  <c r="BZ51" i="30" s="1"/>
  <c r="CX53" i="119"/>
  <c r="BY51" i="30" s="1"/>
  <c r="CW53" i="119"/>
  <c r="BX51" i="30" s="1"/>
  <c r="CV53" i="119"/>
  <c r="BW51" i="30" s="1"/>
  <c r="CU53" i="119"/>
  <c r="BV51" i="30" s="1"/>
  <c r="CT53" i="119"/>
  <c r="BU51" i="30" s="1"/>
  <c r="CS53" i="119"/>
  <c r="BT51" i="30" s="1"/>
  <c r="CR53" i="119"/>
  <c r="BS51" i="30" s="1"/>
  <c r="CQ53" i="119"/>
  <c r="BR51" i="30" s="1"/>
  <c r="CP53" i="119"/>
  <c r="BQ51" i="30" s="1"/>
  <c r="CO53" i="119"/>
  <c r="BP51" i="30" s="1"/>
  <c r="CN53" i="119"/>
  <c r="BO51" i="30" s="1"/>
  <c r="CM53" i="119"/>
  <c r="BN51" i="30" s="1"/>
  <c r="CL53" i="119"/>
  <c r="BM51" i="30" s="1"/>
  <c r="CK53" i="119"/>
  <c r="BL51" i="30" s="1"/>
  <c r="CJ53" i="119"/>
  <c r="BK51" i="30" s="1"/>
  <c r="CI53" i="119"/>
  <c r="BJ51" i="30" s="1"/>
  <c r="CH53" i="119"/>
  <c r="BI51" i="30" s="1"/>
  <c r="CG53" i="119"/>
  <c r="BH51" i="30" s="1"/>
  <c r="CF53" i="119"/>
  <c r="BG51" i="30" s="1"/>
  <c r="CE53" i="119"/>
  <c r="BF51" i="30" s="1"/>
  <c r="CD53" i="119"/>
  <c r="BE51" i="30" s="1"/>
  <c r="CC53" i="119"/>
  <c r="BD51" i="30" s="1"/>
  <c r="CB53" i="119"/>
  <c r="BC51" i="30" s="1"/>
  <c r="CA53" i="119"/>
  <c r="BB51" i="30" s="1"/>
  <c r="BZ53" i="119"/>
  <c r="BA51" i="30" s="1"/>
  <c r="BY53" i="119"/>
  <c r="AZ51" i="30" s="1"/>
  <c r="BX53" i="119"/>
  <c r="AY51" i="30" s="1"/>
  <c r="BW53" i="119"/>
  <c r="AX51" i="30" s="1"/>
  <c r="BV53" i="119"/>
  <c r="AW51" i="30" s="1"/>
  <c r="BU53" i="119"/>
  <c r="AV51" i="30" s="1"/>
  <c r="BT53" i="119"/>
  <c r="AU51" i="30" s="1"/>
  <c r="BS53" i="119"/>
  <c r="AT51" i="30" s="1"/>
  <c r="BR53" i="119"/>
  <c r="AS51" i="30" s="1"/>
  <c r="BQ53" i="119"/>
  <c r="AR51" i="30" s="1"/>
  <c r="BP53" i="119"/>
  <c r="AQ51" i="30" s="1"/>
  <c r="BO53" i="119"/>
  <c r="AP51" i="30" s="1"/>
  <c r="BN53" i="119"/>
  <c r="AO51" i="30" s="1"/>
  <c r="BM53" i="119"/>
  <c r="AN51" i="30" s="1"/>
  <c r="BL53" i="119"/>
  <c r="AM51" i="30" s="1"/>
  <c r="BK53" i="119"/>
  <c r="AL51" i="30" s="1"/>
  <c r="BJ53" i="119"/>
  <c r="AK51" i="30" s="1"/>
  <c r="BI53" i="119"/>
  <c r="AJ51" i="30" s="1"/>
  <c r="BH53" i="119"/>
  <c r="AI51" i="30" s="1"/>
  <c r="BG53" i="119"/>
  <c r="AH51" i="30" s="1"/>
  <c r="BF53" i="119"/>
  <c r="AG51" i="30" s="1"/>
  <c r="BE53" i="119"/>
  <c r="AF51" i="30" s="1"/>
  <c r="BD53" i="119"/>
  <c r="AE51" i="30" s="1"/>
  <c r="BC53" i="119"/>
  <c r="AD51" i="30" s="1"/>
  <c r="BB53" i="119"/>
  <c r="AC51" i="30" s="1"/>
  <c r="BA53" i="119"/>
  <c r="AB51" i="30" s="1"/>
  <c r="AZ53" i="119"/>
  <c r="AA51" i="30" s="1"/>
  <c r="AY53" i="119"/>
  <c r="Z51" i="30" s="1"/>
  <c r="AX53" i="119"/>
  <c r="Y51" i="30" s="1"/>
  <c r="AW53" i="119"/>
  <c r="AV53" i="119"/>
  <c r="AU53" i="119"/>
  <c r="AT53" i="119"/>
  <c r="AS53" i="119"/>
  <c r="AR53" i="119"/>
  <c r="AQ53" i="119"/>
  <c r="AP53" i="119"/>
  <c r="AO53" i="119"/>
  <c r="AN53" i="119"/>
  <c r="AM53" i="119"/>
  <c r="AL53" i="119"/>
  <c r="DH51" i="119"/>
  <c r="DG51" i="119"/>
  <c r="DF51" i="119"/>
  <c r="DE51" i="119"/>
  <c r="CF49" i="30" s="1"/>
  <c r="DD51" i="119"/>
  <c r="CE49" i="30" s="1"/>
  <c r="DC51" i="119"/>
  <c r="CD49" i="30" s="1"/>
  <c r="DB51" i="119"/>
  <c r="CC49" i="30" s="1"/>
  <c r="DA51" i="119"/>
  <c r="CB49" i="30" s="1"/>
  <c r="CZ51" i="119"/>
  <c r="CA49" i="30" s="1"/>
  <c r="CY51" i="119"/>
  <c r="BZ49" i="30" s="1"/>
  <c r="CX51" i="119"/>
  <c r="BY49" i="30" s="1"/>
  <c r="CW51" i="119"/>
  <c r="BX49" i="30" s="1"/>
  <c r="CV51" i="119"/>
  <c r="BW49" i="30" s="1"/>
  <c r="CU51" i="119"/>
  <c r="BV49" i="30" s="1"/>
  <c r="CT51" i="119"/>
  <c r="BU49" i="30" s="1"/>
  <c r="CS51" i="119"/>
  <c r="BT49" i="30" s="1"/>
  <c r="CR51" i="119"/>
  <c r="BS49" i="30" s="1"/>
  <c r="CQ51" i="119"/>
  <c r="BR49" i="30" s="1"/>
  <c r="CP51" i="119"/>
  <c r="BQ49" i="30" s="1"/>
  <c r="CO51" i="119"/>
  <c r="BP49" i="30" s="1"/>
  <c r="CN51" i="119"/>
  <c r="BO49" i="30" s="1"/>
  <c r="CM51" i="119"/>
  <c r="BN49" i="30" s="1"/>
  <c r="CL51" i="119"/>
  <c r="BM49" i="30" s="1"/>
  <c r="CK51" i="119"/>
  <c r="BL49" i="30" s="1"/>
  <c r="CJ51" i="119"/>
  <c r="BK49" i="30" s="1"/>
  <c r="CI51" i="119"/>
  <c r="BJ49" i="30" s="1"/>
  <c r="CH51" i="119"/>
  <c r="BI49" i="30" s="1"/>
  <c r="CG51" i="119"/>
  <c r="BH49" i="30" s="1"/>
  <c r="CF51" i="119"/>
  <c r="BG49" i="30" s="1"/>
  <c r="CE51" i="119"/>
  <c r="BF49" i="30" s="1"/>
  <c r="CD51" i="119"/>
  <c r="BE49" i="30" s="1"/>
  <c r="CC51" i="119"/>
  <c r="BD49" i="30" s="1"/>
  <c r="CB51" i="119"/>
  <c r="BC49" i="30" s="1"/>
  <c r="CA51" i="119"/>
  <c r="BB49" i="30" s="1"/>
  <c r="BZ51" i="119"/>
  <c r="BA49" i="30" s="1"/>
  <c r="BY51" i="119"/>
  <c r="AZ49" i="30" s="1"/>
  <c r="BX51" i="119"/>
  <c r="AY49" i="30" s="1"/>
  <c r="BW51" i="119"/>
  <c r="AX49" i="30" s="1"/>
  <c r="BV51" i="119"/>
  <c r="AW49" i="30" s="1"/>
  <c r="BU51" i="119"/>
  <c r="AV49" i="30" s="1"/>
  <c r="BT51" i="119"/>
  <c r="AU49" i="30" s="1"/>
  <c r="BS51" i="119"/>
  <c r="AT49" i="30" s="1"/>
  <c r="BR51" i="119"/>
  <c r="AS49" i="30" s="1"/>
  <c r="BQ51" i="119"/>
  <c r="AR49" i="30" s="1"/>
  <c r="BP51" i="119"/>
  <c r="AQ49" i="30" s="1"/>
  <c r="BO51" i="119"/>
  <c r="AP49" i="30" s="1"/>
  <c r="BN51" i="119"/>
  <c r="AO49" i="30" s="1"/>
  <c r="BM51" i="119"/>
  <c r="AN49" i="30" s="1"/>
  <c r="BL51" i="119"/>
  <c r="AM49" i="30" s="1"/>
  <c r="BK51" i="119"/>
  <c r="AL49" i="30" s="1"/>
  <c r="BJ51" i="119"/>
  <c r="AK49" i="30" s="1"/>
  <c r="BI51" i="119"/>
  <c r="AJ49" i="30" s="1"/>
  <c r="BH51" i="119"/>
  <c r="AI49" i="30" s="1"/>
  <c r="BG51" i="119"/>
  <c r="AH49" i="30" s="1"/>
  <c r="BF51" i="119"/>
  <c r="AG49" i="30" s="1"/>
  <c r="BE51" i="119"/>
  <c r="AF49" i="30" s="1"/>
  <c r="BD51" i="119"/>
  <c r="AE49" i="30" s="1"/>
  <c r="BC51" i="119"/>
  <c r="AD49" i="30" s="1"/>
  <c r="BB51" i="119"/>
  <c r="AC49" i="30" s="1"/>
  <c r="BA51" i="119"/>
  <c r="AB49" i="30" s="1"/>
  <c r="AZ51" i="119"/>
  <c r="AA49" i="30" s="1"/>
  <c r="AY51" i="119"/>
  <c r="Z49" i="30" s="1"/>
  <c r="AX51" i="119"/>
  <c r="Y49" i="30" s="1"/>
  <c r="AW51" i="119"/>
  <c r="AV51" i="119"/>
  <c r="AU51" i="119"/>
  <c r="AT51" i="119"/>
  <c r="AS51" i="119"/>
  <c r="AR51" i="119"/>
  <c r="AQ51" i="119"/>
  <c r="AP51" i="119"/>
  <c r="AO51" i="119"/>
  <c r="AN51" i="119"/>
  <c r="AM51" i="119"/>
  <c r="AL51" i="119"/>
  <c r="DE50" i="119"/>
  <c r="CF48" i="30" s="1"/>
  <c r="DD50" i="119"/>
  <c r="CE48" i="30" s="1"/>
  <c r="DC50" i="119"/>
  <c r="CD48" i="30" s="1"/>
  <c r="DB50" i="119"/>
  <c r="CC48" i="30" s="1"/>
  <c r="DA50" i="119"/>
  <c r="CB48" i="30" s="1"/>
  <c r="CZ50" i="119"/>
  <c r="CA48" i="30" s="1"/>
  <c r="CY50" i="119"/>
  <c r="BZ48" i="30" s="1"/>
  <c r="CX50" i="119"/>
  <c r="BY48" i="30" s="1"/>
  <c r="CW50" i="119"/>
  <c r="BX48" i="30" s="1"/>
  <c r="CV50" i="119"/>
  <c r="BW48" i="30" s="1"/>
  <c r="CU50" i="119"/>
  <c r="BV48" i="30" s="1"/>
  <c r="CT50" i="119"/>
  <c r="BU48" i="30" s="1"/>
  <c r="CS50" i="119"/>
  <c r="BT48" i="30" s="1"/>
  <c r="CR50" i="119"/>
  <c r="BS48" i="30" s="1"/>
  <c r="CQ50" i="119"/>
  <c r="BR48" i="30" s="1"/>
  <c r="CP50" i="119"/>
  <c r="BQ48" i="30" s="1"/>
  <c r="CO50" i="119"/>
  <c r="BP48" i="30" s="1"/>
  <c r="CK50" i="119"/>
  <c r="BL48" i="30" s="1"/>
  <c r="CG50" i="119"/>
  <c r="BH48" i="30" s="1"/>
  <c r="CC50" i="119"/>
  <c r="BD48" i="30" s="1"/>
  <c r="BY50" i="119"/>
  <c r="AZ48" i="30" s="1"/>
  <c r="BU50" i="119"/>
  <c r="AV48" i="30" s="1"/>
  <c r="BQ50" i="119"/>
  <c r="AR48" i="30" s="1"/>
  <c r="BM50" i="119"/>
  <c r="AN48" i="30" s="1"/>
  <c r="BI50" i="119"/>
  <c r="AJ48" i="30" s="1"/>
  <c r="BE50" i="119"/>
  <c r="AF48" i="30" s="1"/>
  <c r="BA50" i="119"/>
  <c r="AB48" i="30" s="1"/>
  <c r="AW50" i="119"/>
  <c r="AS50" i="119"/>
  <c r="AO50" i="119"/>
  <c r="AN50" i="119"/>
  <c r="AM50" i="119"/>
  <c r="AL50" i="119"/>
  <c r="DY48" i="119"/>
  <c r="DX48" i="119"/>
  <c r="DW48" i="119"/>
  <c r="DV48" i="119"/>
  <c r="DU48" i="119"/>
  <c r="DT48" i="119"/>
  <c r="DS48" i="119"/>
  <c r="DR48" i="119"/>
  <c r="DQ48" i="119"/>
  <c r="DP48" i="119"/>
  <c r="DO48" i="119"/>
  <c r="DN48" i="119"/>
  <c r="DM48" i="119"/>
  <c r="DL48" i="119"/>
  <c r="DK48" i="119"/>
  <c r="DJ48" i="119"/>
  <c r="DI48" i="119"/>
  <c r="DH48" i="119"/>
  <c r="DG48" i="119"/>
  <c r="DF48" i="119"/>
  <c r="DE48" i="119"/>
  <c r="CF46" i="30" s="1"/>
  <c r="DD48" i="119"/>
  <c r="CE46" i="30" s="1"/>
  <c r="DC48" i="119"/>
  <c r="CD46" i="30" s="1"/>
  <c r="DB48" i="119"/>
  <c r="CC46" i="30" s="1"/>
  <c r="DA48" i="119"/>
  <c r="CB46" i="30" s="1"/>
  <c r="CZ48" i="119"/>
  <c r="CA46" i="30" s="1"/>
  <c r="CY48" i="119"/>
  <c r="BZ46" i="30" s="1"/>
  <c r="CX48" i="119"/>
  <c r="BY46" i="30" s="1"/>
  <c r="CW48" i="119"/>
  <c r="BX46" i="30" s="1"/>
  <c r="CV48" i="119"/>
  <c r="BW46" i="30" s="1"/>
  <c r="CU48" i="119"/>
  <c r="BV46" i="30" s="1"/>
  <c r="CT48" i="119"/>
  <c r="BU46" i="30" s="1"/>
  <c r="CS48" i="119"/>
  <c r="BT46" i="30" s="1"/>
  <c r="CR48" i="119"/>
  <c r="BS46" i="30" s="1"/>
  <c r="CQ48" i="119"/>
  <c r="BR46" i="30" s="1"/>
  <c r="CP48" i="119"/>
  <c r="BQ46" i="30" s="1"/>
  <c r="CO48" i="119"/>
  <c r="BP46" i="30" s="1"/>
  <c r="CN48" i="119"/>
  <c r="BO46" i="30" s="1"/>
  <c r="CM48" i="119"/>
  <c r="BN46" i="30" s="1"/>
  <c r="CL48" i="119"/>
  <c r="BM46" i="30" s="1"/>
  <c r="CK48" i="119"/>
  <c r="BL46" i="30" s="1"/>
  <c r="CJ48" i="119"/>
  <c r="BK46" i="30" s="1"/>
  <c r="CI48" i="119"/>
  <c r="BJ46" i="30" s="1"/>
  <c r="CH48" i="119"/>
  <c r="BI46" i="30" s="1"/>
  <c r="CG48" i="119"/>
  <c r="BH46" i="30" s="1"/>
  <c r="CF48" i="119"/>
  <c r="BG46" i="30" s="1"/>
  <c r="CE48" i="119"/>
  <c r="BF46" i="30" s="1"/>
  <c r="CD48" i="119"/>
  <c r="BE46" i="30" s="1"/>
  <c r="CC48" i="119"/>
  <c r="BD46" i="30" s="1"/>
  <c r="CB48" i="119"/>
  <c r="BC46" i="30" s="1"/>
  <c r="CA48" i="119"/>
  <c r="BB46" i="30" s="1"/>
  <c r="BZ48" i="119"/>
  <c r="BA46" i="30" s="1"/>
  <c r="BY48" i="119"/>
  <c r="AZ46" i="30" s="1"/>
  <c r="BX48" i="119"/>
  <c r="AY46" i="30" s="1"/>
  <c r="BW48" i="119"/>
  <c r="AX46" i="30" s="1"/>
  <c r="BV48" i="119"/>
  <c r="AW46" i="30" s="1"/>
  <c r="BU48" i="119"/>
  <c r="AV46" i="30" s="1"/>
  <c r="BT48" i="119"/>
  <c r="AU46" i="30" s="1"/>
  <c r="BS48" i="119"/>
  <c r="AT46" i="30" s="1"/>
  <c r="BR48" i="119"/>
  <c r="AS46" i="30" s="1"/>
  <c r="BQ48" i="119"/>
  <c r="AR46" i="30" s="1"/>
  <c r="BP48" i="119"/>
  <c r="AQ46" i="30" s="1"/>
  <c r="BO48" i="119"/>
  <c r="AP46" i="30" s="1"/>
  <c r="BN48" i="119"/>
  <c r="AO46" i="30" s="1"/>
  <c r="BM48" i="119"/>
  <c r="AN46" i="30" s="1"/>
  <c r="BL48" i="119"/>
  <c r="AM46" i="30" s="1"/>
  <c r="BK48" i="119"/>
  <c r="AL46" i="30" s="1"/>
  <c r="BJ48" i="119"/>
  <c r="AK46" i="30" s="1"/>
  <c r="BI48" i="119"/>
  <c r="AJ46" i="30" s="1"/>
  <c r="BH48" i="119"/>
  <c r="AI46" i="30" s="1"/>
  <c r="BG48" i="119"/>
  <c r="AH46" i="30" s="1"/>
  <c r="BF48" i="119"/>
  <c r="AG46" i="30" s="1"/>
  <c r="BE48" i="119"/>
  <c r="AF46" i="30" s="1"/>
  <c r="BD48" i="119"/>
  <c r="AE46" i="30" s="1"/>
  <c r="BC48" i="119"/>
  <c r="AD46" i="30" s="1"/>
  <c r="BB48" i="119"/>
  <c r="AC46" i="30" s="1"/>
  <c r="BA48" i="119"/>
  <c r="AB46" i="30" s="1"/>
  <c r="AZ48" i="119"/>
  <c r="AA46" i="30" s="1"/>
  <c r="AY48" i="119"/>
  <c r="Z46" i="30" s="1"/>
  <c r="AX48" i="119"/>
  <c r="Y46" i="30" s="1"/>
  <c r="AW48" i="119"/>
  <c r="AV48" i="119"/>
  <c r="AU48" i="119"/>
  <c r="AT48" i="119"/>
  <c r="AS48" i="119"/>
  <c r="AR48" i="119"/>
  <c r="AQ48" i="119"/>
  <c r="AP48" i="119"/>
  <c r="AO48" i="119"/>
  <c r="AN48" i="119"/>
  <c r="AM48" i="119"/>
  <c r="AL48" i="119"/>
  <c r="DY47" i="119"/>
  <c r="DX47" i="119"/>
  <c r="DW47" i="119"/>
  <c r="DV47" i="119"/>
  <c r="DU47" i="119"/>
  <c r="DE47" i="119"/>
  <c r="CF45" i="30" s="1"/>
  <c r="DD47" i="119"/>
  <c r="CE45" i="30" s="1"/>
  <c r="DC47" i="119"/>
  <c r="CD45" i="30" s="1"/>
  <c r="DB47" i="119"/>
  <c r="CC45" i="30" s="1"/>
  <c r="DA47" i="119"/>
  <c r="CB45" i="30" s="1"/>
  <c r="CZ47" i="119"/>
  <c r="CA45" i="30" s="1"/>
  <c r="CX47" i="119"/>
  <c r="BY45" i="30" s="1"/>
  <c r="CW47" i="119"/>
  <c r="BX45" i="30" s="1"/>
  <c r="CV47" i="119"/>
  <c r="BW45" i="30" s="1"/>
  <c r="CU47" i="119"/>
  <c r="BV45" i="30" s="1"/>
  <c r="CT47" i="119"/>
  <c r="BU45" i="30" s="1"/>
  <c r="CS47" i="119"/>
  <c r="BT45" i="30" s="1"/>
  <c r="CR47" i="119"/>
  <c r="BS45" i="30" s="1"/>
  <c r="CQ47" i="119"/>
  <c r="BR45" i="30" s="1"/>
  <c r="CP47" i="119"/>
  <c r="BQ45" i="30" s="1"/>
  <c r="CO47" i="119"/>
  <c r="BP45" i="30" s="1"/>
  <c r="CN47" i="119"/>
  <c r="BO45" i="30" s="1"/>
  <c r="CM47" i="119"/>
  <c r="BN45" i="30" s="1"/>
  <c r="CL47" i="119"/>
  <c r="BM45" i="30" s="1"/>
  <c r="CK47" i="119"/>
  <c r="BL45" i="30" s="1"/>
  <c r="CJ47" i="119"/>
  <c r="BK45" i="30" s="1"/>
  <c r="CI47" i="119"/>
  <c r="BJ45" i="30" s="1"/>
  <c r="CH47" i="119"/>
  <c r="BI45" i="30" s="1"/>
  <c r="CG47" i="119"/>
  <c r="BH45" i="30" s="1"/>
  <c r="CF47" i="119"/>
  <c r="BG45" i="30" s="1"/>
  <c r="CE47" i="119"/>
  <c r="BF45" i="30" s="1"/>
  <c r="CD47" i="119"/>
  <c r="BE45" i="30" s="1"/>
  <c r="CC47" i="119"/>
  <c r="BD45" i="30" s="1"/>
  <c r="CB47" i="119"/>
  <c r="BC45" i="30" s="1"/>
  <c r="CA47" i="119"/>
  <c r="BB45" i="30" s="1"/>
  <c r="BZ47" i="119"/>
  <c r="BA45" i="30" s="1"/>
  <c r="BY47" i="119"/>
  <c r="AZ45" i="30" s="1"/>
  <c r="BX47" i="119"/>
  <c r="AY45" i="30" s="1"/>
  <c r="BW47" i="119"/>
  <c r="AX45" i="30" s="1"/>
  <c r="BV47" i="119"/>
  <c r="AW45" i="30" s="1"/>
  <c r="BU47" i="119"/>
  <c r="AV45" i="30" s="1"/>
  <c r="BT47" i="119"/>
  <c r="AU45" i="30" s="1"/>
  <c r="BS47" i="119"/>
  <c r="AT45" i="30" s="1"/>
  <c r="BR47" i="119"/>
  <c r="AS45" i="30" s="1"/>
  <c r="BQ47" i="119"/>
  <c r="AR45" i="30" s="1"/>
  <c r="BP47" i="119"/>
  <c r="AQ45" i="30" s="1"/>
  <c r="BO47" i="119"/>
  <c r="AP45" i="30" s="1"/>
  <c r="BN47" i="119"/>
  <c r="AO45" i="30" s="1"/>
  <c r="BM47" i="119"/>
  <c r="AN45" i="30" s="1"/>
  <c r="BL47" i="119"/>
  <c r="AM45" i="30" s="1"/>
  <c r="BK47" i="119"/>
  <c r="AL45" i="30" s="1"/>
  <c r="BJ47" i="119"/>
  <c r="AK45" i="30" s="1"/>
  <c r="BI47" i="119"/>
  <c r="AJ45" i="30" s="1"/>
  <c r="BH47" i="119"/>
  <c r="AI45" i="30" s="1"/>
  <c r="BG47" i="119"/>
  <c r="AH45" i="30" s="1"/>
  <c r="BF47" i="119"/>
  <c r="AG45" i="30" s="1"/>
  <c r="BE47" i="119"/>
  <c r="AF45" i="30" s="1"/>
  <c r="BD47" i="119"/>
  <c r="AE45" i="30" s="1"/>
  <c r="BC47" i="119"/>
  <c r="AD45" i="30" s="1"/>
  <c r="BB47" i="119"/>
  <c r="AC45" i="30" s="1"/>
  <c r="BA47" i="119"/>
  <c r="AB45" i="30" s="1"/>
  <c r="AZ47" i="119"/>
  <c r="AA45" i="30" s="1"/>
  <c r="AY47" i="119"/>
  <c r="Z45" i="30" s="1"/>
  <c r="AX47" i="119"/>
  <c r="Y45" i="30" s="1"/>
  <c r="AW47" i="119"/>
  <c r="AV47" i="119"/>
  <c r="AU47" i="119"/>
  <c r="AT47" i="119"/>
  <c r="AS47" i="119"/>
  <c r="AR47" i="119"/>
  <c r="AQ47" i="119"/>
  <c r="AP47" i="119"/>
  <c r="AO47" i="119"/>
  <c r="AN47" i="119"/>
  <c r="AM47" i="119"/>
  <c r="AL47" i="119"/>
  <c r="DY44" i="119"/>
  <c r="DX44" i="119"/>
  <c r="DW44" i="119"/>
  <c r="DV44" i="119"/>
  <c r="DU44" i="119"/>
  <c r="DT44" i="119"/>
  <c r="DS44" i="119"/>
  <c r="DR44" i="119"/>
  <c r="DQ44" i="119"/>
  <c r="DP44" i="119"/>
  <c r="DO44" i="119"/>
  <c r="DN44" i="119"/>
  <c r="DM44" i="119"/>
  <c r="DL44" i="119"/>
  <c r="DK44" i="119"/>
  <c r="DJ44" i="119"/>
  <c r="DI44" i="119"/>
  <c r="DH44" i="119"/>
  <c r="DG44" i="119"/>
  <c r="DF44" i="119"/>
  <c r="DE44" i="119"/>
  <c r="CF42" i="30" s="1"/>
  <c r="DD44" i="119"/>
  <c r="CE42" i="30" s="1"/>
  <c r="DC44" i="119"/>
  <c r="CD42" i="30" s="1"/>
  <c r="DB44" i="119"/>
  <c r="CC42" i="30" s="1"/>
  <c r="DA44" i="119"/>
  <c r="CB42" i="30" s="1"/>
  <c r="CZ44" i="119"/>
  <c r="CA42" i="30" s="1"/>
  <c r="CY44" i="119"/>
  <c r="BZ42" i="30" s="1"/>
  <c r="CX44" i="119"/>
  <c r="BY42" i="30" s="1"/>
  <c r="CW44" i="119"/>
  <c r="BX42" i="30" s="1"/>
  <c r="CV44" i="119"/>
  <c r="BW42" i="30" s="1"/>
  <c r="CU44" i="119"/>
  <c r="BV42" i="30" s="1"/>
  <c r="CT44" i="119"/>
  <c r="BU42" i="30" s="1"/>
  <c r="CS44" i="119"/>
  <c r="BT42" i="30" s="1"/>
  <c r="CR44" i="119"/>
  <c r="BS42" i="30" s="1"/>
  <c r="CQ44" i="119"/>
  <c r="BR42" i="30" s="1"/>
  <c r="CP44" i="119"/>
  <c r="BQ42" i="30" s="1"/>
  <c r="CO44" i="119"/>
  <c r="BP42" i="30" s="1"/>
  <c r="CN44" i="119"/>
  <c r="BO42" i="30" s="1"/>
  <c r="CM44" i="119"/>
  <c r="BN42" i="30" s="1"/>
  <c r="CL44" i="119"/>
  <c r="BM42" i="30" s="1"/>
  <c r="CK44" i="119"/>
  <c r="BL42" i="30" s="1"/>
  <c r="CJ44" i="119"/>
  <c r="BK42" i="30" s="1"/>
  <c r="CI44" i="119"/>
  <c r="BJ42" i="30" s="1"/>
  <c r="CH44" i="119"/>
  <c r="BI42" i="30" s="1"/>
  <c r="CG44" i="119"/>
  <c r="BH42" i="30" s="1"/>
  <c r="CF44" i="119"/>
  <c r="BG42" i="30" s="1"/>
  <c r="CE44" i="119"/>
  <c r="BF42" i="30" s="1"/>
  <c r="CD44" i="119"/>
  <c r="BE42" i="30" s="1"/>
  <c r="CC44" i="119"/>
  <c r="BD42" i="30" s="1"/>
  <c r="CB44" i="119"/>
  <c r="BC42" i="30" s="1"/>
  <c r="CA44" i="119"/>
  <c r="BB42" i="30" s="1"/>
  <c r="BZ44" i="119"/>
  <c r="BA42" i="30" s="1"/>
  <c r="BY44" i="119"/>
  <c r="AZ42" i="30" s="1"/>
  <c r="BX44" i="119"/>
  <c r="AY42" i="30" s="1"/>
  <c r="BW44" i="119"/>
  <c r="AX42" i="30" s="1"/>
  <c r="BV44" i="119"/>
  <c r="AW42" i="30" s="1"/>
  <c r="BU44" i="119"/>
  <c r="AV42" i="30" s="1"/>
  <c r="BT44" i="119"/>
  <c r="AU42" i="30" s="1"/>
  <c r="BS44" i="119"/>
  <c r="AT42" i="30" s="1"/>
  <c r="BR44" i="119"/>
  <c r="AS42" i="30" s="1"/>
  <c r="BQ44" i="119"/>
  <c r="AR42" i="30" s="1"/>
  <c r="BP44" i="119"/>
  <c r="AQ42" i="30" s="1"/>
  <c r="BO44" i="119"/>
  <c r="AP42" i="30" s="1"/>
  <c r="BN44" i="119"/>
  <c r="AO42" i="30" s="1"/>
  <c r="BM44" i="119"/>
  <c r="AN42" i="30" s="1"/>
  <c r="BL44" i="119"/>
  <c r="AM42" i="30" s="1"/>
  <c r="BK44" i="119"/>
  <c r="AL42" i="30" s="1"/>
  <c r="BJ44" i="119"/>
  <c r="AK42" i="30" s="1"/>
  <c r="BI44" i="119"/>
  <c r="AJ42" i="30" s="1"/>
  <c r="BH44" i="119"/>
  <c r="AI42" i="30" s="1"/>
  <c r="BG44" i="119"/>
  <c r="AH42" i="30" s="1"/>
  <c r="BF44" i="119"/>
  <c r="AG42" i="30" s="1"/>
  <c r="BE44" i="119"/>
  <c r="AF42" i="30" s="1"/>
  <c r="BD44" i="119"/>
  <c r="AE42" i="30" s="1"/>
  <c r="BC44" i="119"/>
  <c r="AD42" i="30" s="1"/>
  <c r="BB44" i="119"/>
  <c r="AC42" i="30" s="1"/>
  <c r="BA44" i="119"/>
  <c r="AB42" i="30" s="1"/>
  <c r="AZ44" i="119"/>
  <c r="AA42" i="30" s="1"/>
  <c r="AY44" i="119"/>
  <c r="Z42" i="30" s="1"/>
  <c r="AX44" i="119"/>
  <c r="Y42" i="30" s="1"/>
  <c r="AW44" i="119"/>
  <c r="AV44" i="119"/>
  <c r="AU44" i="119"/>
  <c r="AT44" i="119"/>
  <c r="AS44" i="119"/>
  <c r="AR44" i="119"/>
  <c r="AQ44" i="119"/>
  <c r="AP44" i="119"/>
  <c r="AO44" i="119"/>
  <c r="AN44" i="119"/>
  <c r="AM44" i="119"/>
  <c r="AL44" i="119"/>
  <c r="DY43" i="119"/>
  <c r="DX43" i="119"/>
  <c r="DW43" i="119"/>
  <c r="DV43" i="119"/>
  <c r="DU43" i="119"/>
  <c r="DT43" i="119"/>
  <c r="DS43" i="119"/>
  <c r="DR43" i="119"/>
  <c r="DQ43" i="119"/>
  <c r="DP43" i="119"/>
  <c r="DO43" i="119"/>
  <c r="DN43" i="119"/>
  <c r="DM43" i="119"/>
  <c r="DL43" i="119"/>
  <c r="DK43" i="119"/>
  <c r="DJ43" i="119"/>
  <c r="DI43" i="119"/>
  <c r="DH43" i="119"/>
  <c r="DG43" i="119"/>
  <c r="DF43" i="119"/>
  <c r="DE43" i="119"/>
  <c r="CF41" i="30" s="1"/>
  <c r="DD43" i="119"/>
  <c r="CE41" i="30" s="1"/>
  <c r="DC43" i="119"/>
  <c r="CD41" i="30" s="1"/>
  <c r="DB43" i="119"/>
  <c r="CC41" i="30" s="1"/>
  <c r="DA43" i="119"/>
  <c r="CB41" i="30" s="1"/>
  <c r="CZ43" i="119"/>
  <c r="CA41" i="30" s="1"/>
  <c r="CY43" i="119"/>
  <c r="BZ41" i="30" s="1"/>
  <c r="CX43" i="119"/>
  <c r="BY41" i="30" s="1"/>
  <c r="CW43" i="119"/>
  <c r="BX41" i="30" s="1"/>
  <c r="CV43" i="119"/>
  <c r="BW41" i="30" s="1"/>
  <c r="CU43" i="119"/>
  <c r="BV41" i="30" s="1"/>
  <c r="CT43" i="119"/>
  <c r="BU41" i="30" s="1"/>
  <c r="CS43" i="119"/>
  <c r="BT41" i="30" s="1"/>
  <c r="CR43" i="119"/>
  <c r="BS41" i="30" s="1"/>
  <c r="CQ43" i="119"/>
  <c r="BR41" i="30" s="1"/>
  <c r="CP43" i="119"/>
  <c r="BQ41" i="30" s="1"/>
  <c r="CO43" i="119"/>
  <c r="BP41" i="30" s="1"/>
  <c r="CN43" i="119"/>
  <c r="BO41" i="30" s="1"/>
  <c r="CM43" i="119"/>
  <c r="BN41" i="30" s="1"/>
  <c r="CL43" i="119"/>
  <c r="BM41" i="30" s="1"/>
  <c r="CK43" i="119"/>
  <c r="BL41" i="30" s="1"/>
  <c r="CJ43" i="119"/>
  <c r="BK41" i="30" s="1"/>
  <c r="CI43" i="119"/>
  <c r="BJ41" i="30" s="1"/>
  <c r="CH43" i="119"/>
  <c r="BI41" i="30" s="1"/>
  <c r="CG43" i="119"/>
  <c r="BH41" i="30" s="1"/>
  <c r="CF43" i="119"/>
  <c r="BG41" i="30" s="1"/>
  <c r="CE43" i="119"/>
  <c r="BF41" i="30" s="1"/>
  <c r="CD43" i="119"/>
  <c r="BE41" i="30" s="1"/>
  <c r="CC43" i="119"/>
  <c r="BD41" i="30" s="1"/>
  <c r="CB43" i="119"/>
  <c r="BC41" i="30" s="1"/>
  <c r="CA43" i="119"/>
  <c r="BB41" i="30" s="1"/>
  <c r="BZ43" i="119"/>
  <c r="BA41" i="30" s="1"/>
  <c r="BY43" i="119"/>
  <c r="AZ41" i="30" s="1"/>
  <c r="BX43" i="119"/>
  <c r="AY41" i="30" s="1"/>
  <c r="BW43" i="119"/>
  <c r="AX41" i="30" s="1"/>
  <c r="BV43" i="119"/>
  <c r="AW41" i="30" s="1"/>
  <c r="BU43" i="119"/>
  <c r="AV41" i="30" s="1"/>
  <c r="BT43" i="119"/>
  <c r="AU41" i="30" s="1"/>
  <c r="BS43" i="119"/>
  <c r="AT41" i="30" s="1"/>
  <c r="BR43" i="119"/>
  <c r="AS41" i="30" s="1"/>
  <c r="BQ43" i="119"/>
  <c r="AR41" i="30" s="1"/>
  <c r="BP43" i="119"/>
  <c r="AQ41" i="30" s="1"/>
  <c r="BO43" i="119"/>
  <c r="AP41" i="30" s="1"/>
  <c r="BN43" i="119"/>
  <c r="AO41" i="30" s="1"/>
  <c r="BM43" i="119"/>
  <c r="AN41" i="30" s="1"/>
  <c r="BL43" i="119"/>
  <c r="AM41" i="30" s="1"/>
  <c r="BK43" i="119"/>
  <c r="AL41" i="30" s="1"/>
  <c r="BJ43" i="119"/>
  <c r="AK41" i="30" s="1"/>
  <c r="BI43" i="119"/>
  <c r="AJ41" i="30" s="1"/>
  <c r="BH43" i="119"/>
  <c r="AI41" i="30" s="1"/>
  <c r="BG43" i="119"/>
  <c r="AH41" i="30" s="1"/>
  <c r="BF43" i="119"/>
  <c r="AG41" i="30" s="1"/>
  <c r="BE43" i="119"/>
  <c r="AF41" i="30" s="1"/>
  <c r="BD43" i="119"/>
  <c r="AE41" i="30" s="1"/>
  <c r="BC43" i="119"/>
  <c r="AD41" i="30" s="1"/>
  <c r="BB43" i="119"/>
  <c r="AC41" i="30" s="1"/>
  <c r="BA43" i="119"/>
  <c r="AB41" i="30" s="1"/>
  <c r="AZ43" i="119"/>
  <c r="AA41" i="30" s="1"/>
  <c r="AY43" i="119"/>
  <c r="Z41" i="30" s="1"/>
  <c r="AX43" i="119"/>
  <c r="Y41" i="30" s="1"/>
  <c r="AW43" i="119"/>
  <c r="AV43" i="119"/>
  <c r="AU43" i="119"/>
  <c r="AT43" i="119"/>
  <c r="AS43" i="119"/>
  <c r="AR43" i="119"/>
  <c r="AQ43" i="119"/>
  <c r="AP43" i="119"/>
  <c r="AO43" i="119"/>
  <c r="AN43" i="119"/>
  <c r="AM43" i="119"/>
  <c r="AL43" i="119"/>
  <c r="DY42" i="119"/>
  <c r="DX42" i="119"/>
  <c r="DW42" i="119"/>
  <c r="DV42" i="119"/>
  <c r="DU42" i="119"/>
  <c r="DT42" i="119"/>
  <c r="DS42" i="119"/>
  <c r="DR42" i="119"/>
  <c r="DQ42" i="119"/>
  <c r="DP42" i="119"/>
  <c r="DO42" i="119"/>
  <c r="DN42" i="119"/>
  <c r="DM42" i="119"/>
  <c r="DL42" i="119"/>
  <c r="DK42" i="119"/>
  <c r="DJ42" i="119"/>
  <c r="DI42" i="119"/>
  <c r="DH42" i="119"/>
  <c r="DG42" i="119"/>
  <c r="DF42" i="119"/>
  <c r="DE42" i="119"/>
  <c r="CF40" i="30" s="1"/>
  <c r="DD42" i="119"/>
  <c r="CE40" i="30" s="1"/>
  <c r="DC42" i="119"/>
  <c r="CD40" i="30" s="1"/>
  <c r="DB42" i="119"/>
  <c r="CC40" i="30" s="1"/>
  <c r="DA42" i="119"/>
  <c r="CB40" i="30" s="1"/>
  <c r="CZ42" i="119"/>
  <c r="CA40" i="30" s="1"/>
  <c r="CY42" i="119"/>
  <c r="BZ40" i="30" s="1"/>
  <c r="CX42" i="119"/>
  <c r="BY40" i="30" s="1"/>
  <c r="CW42" i="119"/>
  <c r="BX40" i="30" s="1"/>
  <c r="CV42" i="119"/>
  <c r="BW40" i="30" s="1"/>
  <c r="CU42" i="119"/>
  <c r="BV40" i="30" s="1"/>
  <c r="CT42" i="119"/>
  <c r="BU40" i="30" s="1"/>
  <c r="CS42" i="119"/>
  <c r="BT40" i="30" s="1"/>
  <c r="CR42" i="119"/>
  <c r="BS40" i="30" s="1"/>
  <c r="CQ42" i="119"/>
  <c r="BR40" i="30" s="1"/>
  <c r="CP42" i="119"/>
  <c r="BQ40" i="30" s="1"/>
  <c r="CO42" i="119"/>
  <c r="BP40" i="30" s="1"/>
  <c r="CN42" i="119"/>
  <c r="BO40" i="30" s="1"/>
  <c r="CM42" i="119"/>
  <c r="BN40" i="30" s="1"/>
  <c r="CL42" i="119"/>
  <c r="BM40" i="30" s="1"/>
  <c r="CK42" i="119"/>
  <c r="BL40" i="30" s="1"/>
  <c r="CJ42" i="119"/>
  <c r="BK40" i="30" s="1"/>
  <c r="CI42" i="119"/>
  <c r="BJ40" i="30" s="1"/>
  <c r="CH42" i="119"/>
  <c r="BI40" i="30" s="1"/>
  <c r="CG42" i="119"/>
  <c r="BH40" i="30" s="1"/>
  <c r="CF42" i="119"/>
  <c r="BG40" i="30" s="1"/>
  <c r="CE42" i="119"/>
  <c r="BF40" i="30" s="1"/>
  <c r="CD42" i="119"/>
  <c r="BE40" i="30" s="1"/>
  <c r="CC42" i="119"/>
  <c r="BD40" i="30" s="1"/>
  <c r="CB42" i="119"/>
  <c r="BC40" i="30" s="1"/>
  <c r="CA42" i="119"/>
  <c r="BB40" i="30" s="1"/>
  <c r="BZ42" i="119"/>
  <c r="BA40" i="30" s="1"/>
  <c r="BY42" i="119"/>
  <c r="AZ40" i="30" s="1"/>
  <c r="BX42" i="119"/>
  <c r="AY40" i="30" s="1"/>
  <c r="BW42" i="119"/>
  <c r="AX40" i="30" s="1"/>
  <c r="BV42" i="119"/>
  <c r="AW40" i="30" s="1"/>
  <c r="BU42" i="119"/>
  <c r="AV40" i="30" s="1"/>
  <c r="BT42" i="119"/>
  <c r="AU40" i="30" s="1"/>
  <c r="BS42" i="119"/>
  <c r="AT40" i="30" s="1"/>
  <c r="BR42" i="119"/>
  <c r="AS40" i="30" s="1"/>
  <c r="BQ42" i="119"/>
  <c r="AR40" i="30" s="1"/>
  <c r="BP42" i="119"/>
  <c r="AQ40" i="30" s="1"/>
  <c r="BO42" i="119"/>
  <c r="AP40" i="30" s="1"/>
  <c r="BN42" i="119"/>
  <c r="AO40" i="30" s="1"/>
  <c r="BM42" i="119"/>
  <c r="AN40" i="30" s="1"/>
  <c r="BL42" i="119"/>
  <c r="AM40" i="30" s="1"/>
  <c r="BK42" i="119"/>
  <c r="AL40" i="30" s="1"/>
  <c r="BJ42" i="119"/>
  <c r="AK40" i="30" s="1"/>
  <c r="BI42" i="119"/>
  <c r="AJ40" i="30" s="1"/>
  <c r="BH42" i="119"/>
  <c r="AI40" i="30" s="1"/>
  <c r="BG42" i="119"/>
  <c r="AH40" i="30" s="1"/>
  <c r="BF42" i="119"/>
  <c r="AG40" i="30" s="1"/>
  <c r="BE42" i="119"/>
  <c r="AF40" i="30" s="1"/>
  <c r="BD42" i="119"/>
  <c r="AE40" i="30" s="1"/>
  <c r="BC42" i="119"/>
  <c r="AD40" i="30" s="1"/>
  <c r="BB42" i="119"/>
  <c r="AC40" i="30" s="1"/>
  <c r="BA42" i="119"/>
  <c r="AB40" i="30" s="1"/>
  <c r="AZ42" i="119"/>
  <c r="AA40" i="30" s="1"/>
  <c r="AY42" i="119"/>
  <c r="Z40" i="30" s="1"/>
  <c r="AX42" i="119"/>
  <c r="Y40" i="30" s="1"/>
  <c r="AW42" i="119"/>
  <c r="AV42" i="119"/>
  <c r="AU42" i="119"/>
  <c r="AT42" i="119"/>
  <c r="AS42" i="119"/>
  <c r="AR42" i="119"/>
  <c r="AQ42" i="119"/>
  <c r="AP42" i="119"/>
  <c r="AO42" i="119"/>
  <c r="AN42" i="119"/>
  <c r="AM42" i="119"/>
  <c r="AL42" i="119"/>
  <c r="DY41" i="119"/>
  <c r="DX41" i="119"/>
  <c r="DW41" i="119"/>
  <c r="DV41" i="119"/>
  <c r="DU41" i="119"/>
  <c r="DT41" i="119"/>
  <c r="DS41" i="119"/>
  <c r="DR41" i="119"/>
  <c r="DQ41" i="119"/>
  <c r="DP41" i="119"/>
  <c r="DO41" i="119"/>
  <c r="DN41" i="119"/>
  <c r="DM41" i="119"/>
  <c r="DL41" i="119"/>
  <c r="DK41" i="119"/>
  <c r="DJ41" i="119"/>
  <c r="DI41" i="119"/>
  <c r="DH41" i="119"/>
  <c r="DG41" i="119"/>
  <c r="DF41" i="119"/>
  <c r="DE41" i="119"/>
  <c r="CF39" i="30" s="1"/>
  <c r="DD41" i="119"/>
  <c r="CE39" i="30" s="1"/>
  <c r="DC41" i="119"/>
  <c r="CD39" i="30" s="1"/>
  <c r="DB41" i="119"/>
  <c r="CC39" i="30" s="1"/>
  <c r="DA41" i="119"/>
  <c r="CB39" i="30" s="1"/>
  <c r="CZ41" i="119"/>
  <c r="CA39" i="30" s="1"/>
  <c r="CY41" i="119"/>
  <c r="BZ39" i="30" s="1"/>
  <c r="CX41" i="119"/>
  <c r="BY39" i="30" s="1"/>
  <c r="CW41" i="119"/>
  <c r="BX39" i="30" s="1"/>
  <c r="CV41" i="119"/>
  <c r="BW39" i="30" s="1"/>
  <c r="CU41" i="119"/>
  <c r="BV39" i="30" s="1"/>
  <c r="CT41" i="119"/>
  <c r="BU39" i="30" s="1"/>
  <c r="CS41" i="119"/>
  <c r="BT39" i="30" s="1"/>
  <c r="CR41" i="119"/>
  <c r="BS39" i="30" s="1"/>
  <c r="CQ41" i="119"/>
  <c r="BR39" i="30" s="1"/>
  <c r="CP41" i="119"/>
  <c r="BQ39" i="30" s="1"/>
  <c r="CO41" i="119"/>
  <c r="BP39" i="30" s="1"/>
  <c r="CN41" i="119"/>
  <c r="BO39" i="30" s="1"/>
  <c r="CM41" i="119"/>
  <c r="BN39" i="30" s="1"/>
  <c r="CL41" i="119"/>
  <c r="BM39" i="30" s="1"/>
  <c r="CK41" i="119"/>
  <c r="BL39" i="30" s="1"/>
  <c r="CJ41" i="119"/>
  <c r="BK39" i="30" s="1"/>
  <c r="CI41" i="119"/>
  <c r="BJ39" i="30" s="1"/>
  <c r="CH41" i="119"/>
  <c r="BI39" i="30" s="1"/>
  <c r="CG41" i="119"/>
  <c r="BH39" i="30" s="1"/>
  <c r="CF41" i="119"/>
  <c r="BG39" i="30" s="1"/>
  <c r="CE41" i="119"/>
  <c r="BF39" i="30" s="1"/>
  <c r="CD41" i="119"/>
  <c r="BE39" i="30" s="1"/>
  <c r="CC41" i="119"/>
  <c r="BD39" i="30" s="1"/>
  <c r="CB41" i="119"/>
  <c r="BC39" i="30" s="1"/>
  <c r="CA41" i="119"/>
  <c r="BB39" i="30" s="1"/>
  <c r="BZ41" i="119"/>
  <c r="BA39" i="30" s="1"/>
  <c r="BY41" i="119"/>
  <c r="AZ39" i="30" s="1"/>
  <c r="BX41" i="119"/>
  <c r="AY39" i="30" s="1"/>
  <c r="BW41" i="119"/>
  <c r="AX39" i="30" s="1"/>
  <c r="BV41" i="119"/>
  <c r="AW39" i="30" s="1"/>
  <c r="BU41" i="119"/>
  <c r="AV39" i="30" s="1"/>
  <c r="BT41" i="119"/>
  <c r="AU39" i="30" s="1"/>
  <c r="BS41" i="119"/>
  <c r="AT39" i="30" s="1"/>
  <c r="BR41" i="119"/>
  <c r="AS39" i="30" s="1"/>
  <c r="BQ41" i="119"/>
  <c r="AR39" i="30" s="1"/>
  <c r="BP41" i="119"/>
  <c r="AQ39" i="30" s="1"/>
  <c r="BO41" i="119"/>
  <c r="AP39" i="30" s="1"/>
  <c r="BN41" i="119"/>
  <c r="AO39" i="30" s="1"/>
  <c r="BM41" i="119"/>
  <c r="AN39" i="30" s="1"/>
  <c r="BL41" i="119"/>
  <c r="AM39" i="30" s="1"/>
  <c r="BK41" i="119"/>
  <c r="AL39" i="30" s="1"/>
  <c r="BJ41" i="119"/>
  <c r="AK39" i="30" s="1"/>
  <c r="BI41" i="119"/>
  <c r="AJ39" i="30" s="1"/>
  <c r="BH41" i="119"/>
  <c r="AI39" i="30" s="1"/>
  <c r="BG41" i="119"/>
  <c r="AH39" i="30" s="1"/>
  <c r="BF41" i="119"/>
  <c r="AG39" i="30" s="1"/>
  <c r="BE41" i="119"/>
  <c r="AF39" i="30" s="1"/>
  <c r="BD41" i="119"/>
  <c r="AE39" i="30" s="1"/>
  <c r="BC41" i="119"/>
  <c r="AD39" i="30" s="1"/>
  <c r="BB41" i="119"/>
  <c r="AC39" i="30" s="1"/>
  <c r="BA41" i="119"/>
  <c r="AB39" i="30" s="1"/>
  <c r="AZ41" i="119"/>
  <c r="AA39" i="30" s="1"/>
  <c r="AY41" i="119"/>
  <c r="Z39" i="30" s="1"/>
  <c r="AX41" i="119"/>
  <c r="Y39" i="30" s="1"/>
  <c r="AW41" i="119"/>
  <c r="AV41" i="119"/>
  <c r="AU41" i="119"/>
  <c r="AT41" i="119"/>
  <c r="AS41" i="119"/>
  <c r="AR41" i="119"/>
  <c r="AQ41" i="119"/>
  <c r="AP41" i="119"/>
  <c r="AO41" i="119"/>
  <c r="AN41" i="119"/>
  <c r="AM41" i="119"/>
  <c r="AL41" i="119"/>
  <c r="DX25" i="119"/>
  <c r="DW25" i="119"/>
  <c r="DV25" i="119"/>
  <c r="DT25" i="119"/>
  <c r="DS25" i="119"/>
  <c r="DR25" i="119"/>
  <c r="DP25" i="119"/>
  <c r="DO25" i="119"/>
  <c r="DN25" i="119"/>
  <c r="DL25" i="119"/>
  <c r="DK25" i="119"/>
  <c r="DJ25" i="119"/>
  <c r="DH25" i="119"/>
  <c r="DG25" i="119"/>
  <c r="DF25" i="119"/>
  <c r="DD25" i="119"/>
  <c r="CE25" i="30" s="1"/>
  <c r="DC25" i="119"/>
  <c r="CD25" i="30" s="1"/>
  <c r="DB25" i="119"/>
  <c r="CC25" i="30" s="1"/>
  <c r="CZ25" i="119"/>
  <c r="CA25" i="30" s="1"/>
  <c r="CY25" i="119"/>
  <c r="BZ25" i="30" s="1"/>
  <c r="CX25" i="119"/>
  <c r="BY25" i="30" s="1"/>
  <c r="CV25" i="119"/>
  <c r="BW25" i="30" s="1"/>
  <c r="CU25" i="119"/>
  <c r="BV25" i="30" s="1"/>
  <c r="CT25" i="119"/>
  <c r="BU25" i="30" s="1"/>
  <c r="CR25" i="119"/>
  <c r="BS25" i="30" s="1"/>
  <c r="CQ25" i="119"/>
  <c r="BR25" i="30" s="1"/>
  <c r="CP25" i="119"/>
  <c r="CN25" i="119"/>
  <c r="BO25" i="30" s="1"/>
  <c r="CM25" i="119"/>
  <c r="BN25" i="30" s="1"/>
  <c r="CL25" i="119"/>
  <c r="BM25" i="30" s="1"/>
  <c r="CK25" i="119"/>
  <c r="BL25" i="30" s="1"/>
  <c r="CJ25" i="119"/>
  <c r="BK25" i="30" s="1"/>
  <c r="CI25" i="119"/>
  <c r="BJ25" i="30" s="1"/>
  <c r="CH25" i="119"/>
  <c r="BI25" i="30" s="1"/>
  <c r="CG25" i="119"/>
  <c r="BH25" i="30" s="1"/>
  <c r="CF25" i="119"/>
  <c r="BG25" i="30" s="1"/>
  <c r="CE25" i="119"/>
  <c r="CD25" i="119"/>
  <c r="CC25" i="119"/>
  <c r="BD25" i="30" s="1"/>
  <c r="CB25" i="119"/>
  <c r="BC25" i="30" s="1"/>
  <c r="CA25" i="119"/>
  <c r="BB25" i="30" s="1"/>
  <c r="BZ25" i="119"/>
  <c r="BA25" i="30" s="1"/>
  <c r="BY25" i="119"/>
  <c r="BX25" i="119"/>
  <c r="AY25" i="30" s="1"/>
  <c r="BW25" i="119"/>
  <c r="AX25" i="30" s="1"/>
  <c r="BV25" i="119"/>
  <c r="AW25" i="30" s="1"/>
  <c r="BU25" i="119"/>
  <c r="AV25" i="30" s="1"/>
  <c r="BT25" i="119"/>
  <c r="AU25" i="30" s="1"/>
  <c r="BS25" i="119"/>
  <c r="AT25" i="30" s="1"/>
  <c r="BR25" i="119"/>
  <c r="BQ25" i="119"/>
  <c r="AR25" i="30" s="1"/>
  <c r="BP25" i="119"/>
  <c r="AQ25" i="30" s="1"/>
  <c r="BO25" i="119"/>
  <c r="AP25" i="30" s="1"/>
  <c r="BN25" i="119"/>
  <c r="AO25" i="30" s="1"/>
  <c r="BM25" i="119"/>
  <c r="AN25" i="30" s="1"/>
  <c r="BL25" i="119"/>
  <c r="AM25" i="30" s="1"/>
  <c r="BK25" i="119"/>
  <c r="AL25" i="30" s="1"/>
  <c r="BJ25" i="119"/>
  <c r="AK25" i="30" s="1"/>
  <c r="BI25" i="119"/>
  <c r="AJ25" i="30" s="1"/>
  <c r="BH25" i="119"/>
  <c r="AI25" i="30" s="1"/>
  <c r="BG25" i="119"/>
  <c r="BF25" i="119"/>
  <c r="BE25" i="119"/>
  <c r="AF25" i="30" s="1"/>
  <c r="BD25" i="119"/>
  <c r="AE25" i="30" s="1"/>
  <c r="BC25" i="119"/>
  <c r="AD25" i="30" s="1"/>
  <c r="BB25" i="119"/>
  <c r="AC25" i="30" s="1"/>
  <c r="BA25" i="119"/>
  <c r="AZ25" i="119"/>
  <c r="AA25" i="30" s="1"/>
  <c r="AY25" i="119"/>
  <c r="Z25" i="30" s="1"/>
  <c r="AX25" i="119"/>
  <c r="Y25" i="30" s="1"/>
  <c r="AW25" i="119"/>
  <c r="AV25" i="119"/>
  <c r="AU25" i="119"/>
  <c r="AT25" i="119"/>
  <c r="AS25" i="119"/>
  <c r="AR25" i="119"/>
  <c r="AQ25" i="119"/>
  <c r="AP25" i="119"/>
  <c r="AO25" i="119"/>
  <c r="AN25" i="119"/>
  <c r="AM25" i="119"/>
  <c r="AL25" i="119"/>
  <c r="U25" i="119"/>
  <c r="CK24" i="119"/>
  <c r="BL24" i="30" s="1"/>
  <c r="CG24" i="119"/>
  <c r="CF24" i="119"/>
  <c r="BG24" i="30" s="1"/>
  <c r="CE24" i="119"/>
  <c r="BF24" i="30" s="1"/>
  <c r="CD24" i="119"/>
  <c r="BE24" i="30" s="1"/>
  <c r="CC24" i="119"/>
  <c r="BD24" i="30" s="1"/>
  <c r="CB24" i="119"/>
  <c r="CA24" i="119"/>
  <c r="BZ24" i="119"/>
  <c r="BA24" i="30" s="1"/>
  <c r="BY24" i="119"/>
  <c r="AZ24" i="30" s="1"/>
  <c r="BX24" i="119"/>
  <c r="BW24" i="119"/>
  <c r="BV24" i="119"/>
  <c r="BU24" i="119"/>
  <c r="BT24" i="119"/>
  <c r="AU24" i="30" s="1"/>
  <c r="BS24" i="119"/>
  <c r="AT24" i="30" s="1"/>
  <c r="BR24" i="119"/>
  <c r="AS24" i="30" s="1"/>
  <c r="BQ24" i="119"/>
  <c r="AR24" i="30" s="1"/>
  <c r="BP24" i="119"/>
  <c r="BO24" i="119"/>
  <c r="BN24" i="119"/>
  <c r="AO24" i="30" s="1"/>
  <c r="BM24" i="119"/>
  <c r="AN24" i="30" s="1"/>
  <c r="BL24" i="119"/>
  <c r="BK24" i="119"/>
  <c r="BJ24" i="119"/>
  <c r="BI24" i="119"/>
  <c r="BH24" i="119"/>
  <c r="AI24" i="30" s="1"/>
  <c r="BG24" i="119"/>
  <c r="AH24" i="30" s="1"/>
  <c r="BF24" i="119"/>
  <c r="AG24" i="30" s="1"/>
  <c r="BE24" i="119"/>
  <c r="AF24" i="30" s="1"/>
  <c r="BD24" i="119"/>
  <c r="BC24" i="119"/>
  <c r="BB24" i="119"/>
  <c r="AC24" i="30" s="1"/>
  <c r="BA24" i="119"/>
  <c r="AB24" i="30" s="1"/>
  <c r="AZ24" i="119"/>
  <c r="AY24" i="119"/>
  <c r="AX24" i="119"/>
  <c r="AW24" i="119"/>
  <c r="AV24" i="119"/>
  <c r="AU24" i="119"/>
  <c r="AT24" i="119"/>
  <c r="AS24" i="119"/>
  <c r="AR24" i="119"/>
  <c r="AQ24" i="119"/>
  <c r="AP24" i="119"/>
  <c r="AO24" i="119"/>
  <c r="AN24" i="119"/>
  <c r="AM24" i="119"/>
  <c r="AL24" i="119"/>
  <c r="DY15" i="119"/>
  <c r="DX15" i="119"/>
  <c r="DW15" i="119"/>
  <c r="DV15" i="119"/>
  <c r="DU15" i="119"/>
  <c r="DT15" i="119"/>
  <c r="DS15" i="119"/>
  <c r="DR15" i="119"/>
  <c r="DQ15" i="119"/>
  <c r="DP15" i="119"/>
  <c r="DO15" i="119"/>
  <c r="DN15" i="119"/>
  <c r="DM15" i="119"/>
  <c r="DL15" i="119"/>
  <c r="DK15" i="119"/>
  <c r="DJ15" i="119"/>
  <c r="DI15" i="119"/>
  <c r="DH15" i="119"/>
  <c r="DG15" i="119"/>
  <c r="DF15" i="119"/>
  <c r="DE15" i="119"/>
  <c r="CF15" i="30" s="1"/>
  <c r="DD15" i="119"/>
  <c r="CE15" i="30" s="1"/>
  <c r="DC15" i="119"/>
  <c r="CD15" i="30" s="1"/>
  <c r="DB15" i="119"/>
  <c r="CC15" i="30" s="1"/>
  <c r="DA15" i="119"/>
  <c r="CB15" i="30" s="1"/>
  <c r="CZ15" i="119"/>
  <c r="CA15" i="30" s="1"/>
  <c r="CY15" i="119"/>
  <c r="BZ15" i="30" s="1"/>
  <c r="CX15" i="119"/>
  <c r="BY15" i="30" s="1"/>
  <c r="CW15" i="119"/>
  <c r="BX15" i="30" s="1"/>
  <c r="CV15" i="119"/>
  <c r="BW15" i="30" s="1"/>
  <c r="CU15" i="119"/>
  <c r="BV15" i="30" s="1"/>
  <c r="CT15" i="119"/>
  <c r="BU15" i="30" s="1"/>
  <c r="CS15" i="119"/>
  <c r="BT15" i="30" s="1"/>
  <c r="CR15" i="119"/>
  <c r="BS15" i="30" s="1"/>
  <c r="CQ15" i="119"/>
  <c r="BR15" i="30" s="1"/>
  <c r="CP15" i="119"/>
  <c r="BQ15" i="30" s="1"/>
  <c r="CO15" i="119"/>
  <c r="BP15" i="30" s="1"/>
  <c r="CN15" i="119"/>
  <c r="BO15" i="30" s="1"/>
  <c r="CM15" i="119"/>
  <c r="BN15" i="30" s="1"/>
  <c r="CL15" i="119"/>
  <c r="BM15" i="30" s="1"/>
  <c r="CK15" i="119"/>
  <c r="BL15" i="30" s="1"/>
  <c r="CJ15" i="119"/>
  <c r="BK15" i="30" s="1"/>
  <c r="CI15" i="119"/>
  <c r="BJ15" i="30" s="1"/>
  <c r="CH15" i="119"/>
  <c r="BI15" i="30" s="1"/>
  <c r="CG15" i="119"/>
  <c r="BH15" i="30" s="1"/>
  <c r="CF15" i="119"/>
  <c r="BG15" i="30" s="1"/>
  <c r="CE15" i="119"/>
  <c r="BF15" i="30" s="1"/>
  <c r="CD15" i="119"/>
  <c r="BE15" i="30" s="1"/>
  <c r="CC15" i="119"/>
  <c r="BD15" i="30" s="1"/>
  <c r="CB15" i="119"/>
  <c r="BC15" i="30" s="1"/>
  <c r="CA15" i="119"/>
  <c r="BB15" i="30" s="1"/>
  <c r="BZ15" i="119"/>
  <c r="BA15" i="30" s="1"/>
  <c r="BY15" i="119"/>
  <c r="AZ15" i="30" s="1"/>
  <c r="BX15" i="119"/>
  <c r="AY15" i="30" s="1"/>
  <c r="BW15" i="119"/>
  <c r="AX15" i="30" s="1"/>
  <c r="BV15" i="119"/>
  <c r="AW15" i="30" s="1"/>
  <c r="BU15" i="119"/>
  <c r="AV15" i="30" s="1"/>
  <c r="BT15" i="119"/>
  <c r="AU15" i="30" s="1"/>
  <c r="BS15" i="119"/>
  <c r="AT15" i="30" s="1"/>
  <c r="BR15" i="119"/>
  <c r="AS15" i="30" s="1"/>
  <c r="BQ15" i="119"/>
  <c r="AR15" i="30" s="1"/>
  <c r="BP15" i="119"/>
  <c r="AQ15" i="30" s="1"/>
  <c r="BO15" i="119"/>
  <c r="AP15" i="30" s="1"/>
  <c r="BN15" i="119"/>
  <c r="AO15" i="30" s="1"/>
  <c r="BM15" i="119"/>
  <c r="AN15" i="30" s="1"/>
  <c r="BL15" i="119"/>
  <c r="AM15" i="30" s="1"/>
  <c r="BK15" i="119"/>
  <c r="AL15" i="30" s="1"/>
  <c r="BJ15" i="119"/>
  <c r="AK15" i="30" s="1"/>
  <c r="BI15" i="119"/>
  <c r="AJ15" i="30" s="1"/>
  <c r="BH15" i="119"/>
  <c r="AI15" i="30" s="1"/>
  <c r="BG15" i="119"/>
  <c r="AH15" i="30" s="1"/>
  <c r="BF15" i="119"/>
  <c r="AG15" i="30" s="1"/>
  <c r="BE15" i="119"/>
  <c r="AF15" i="30" s="1"/>
  <c r="BD15" i="119"/>
  <c r="AE15" i="30" s="1"/>
  <c r="BC15" i="119"/>
  <c r="AD15" i="30" s="1"/>
  <c r="BB15" i="119"/>
  <c r="AC15" i="30" s="1"/>
  <c r="BA15" i="119"/>
  <c r="AB15" i="30" s="1"/>
  <c r="AZ15" i="119"/>
  <c r="AA15" i="30" s="1"/>
  <c r="AY15" i="119"/>
  <c r="Z15" i="30" s="1"/>
  <c r="AX15" i="119"/>
  <c r="Y15" i="30" s="1"/>
  <c r="AW15" i="119"/>
  <c r="AV15" i="119"/>
  <c r="AU15" i="119"/>
  <c r="AT15" i="119"/>
  <c r="AS15" i="119"/>
  <c r="AR15" i="119"/>
  <c r="AQ15" i="119"/>
  <c r="AP15" i="119"/>
  <c r="AO15" i="119"/>
  <c r="AN15" i="119"/>
  <c r="AM15" i="119"/>
  <c r="AL15" i="119"/>
  <c r="DY14" i="119"/>
  <c r="DX14" i="119"/>
  <c r="DW14" i="119"/>
  <c r="DV14" i="119"/>
  <c r="DU14" i="119"/>
  <c r="DT14" i="119"/>
  <c r="DS14" i="119"/>
  <c r="DR14" i="119"/>
  <c r="DQ14" i="119"/>
  <c r="DP14" i="119"/>
  <c r="DO14" i="119"/>
  <c r="DN14" i="119"/>
  <c r="DM14" i="119"/>
  <c r="DL14" i="119"/>
  <c r="DK14" i="119"/>
  <c r="DJ14" i="119"/>
  <c r="DI14" i="119"/>
  <c r="DH14" i="119"/>
  <c r="DG14" i="119"/>
  <c r="DF14" i="119"/>
  <c r="DE14" i="119"/>
  <c r="CF14" i="30" s="1"/>
  <c r="DD14" i="119"/>
  <c r="CE14" i="30" s="1"/>
  <c r="DC14" i="119"/>
  <c r="CD14" i="30" s="1"/>
  <c r="DB14" i="119"/>
  <c r="CC14" i="30" s="1"/>
  <c r="DA14" i="119"/>
  <c r="CB14" i="30" s="1"/>
  <c r="CZ14" i="119"/>
  <c r="CA14" i="30" s="1"/>
  <c r="CY14" i="119"/>
  <c r="BZ14" i="30" s="1"/>
  <c r="CX14" i="119"/>
  <c r="BY14" i="30" s="1"/>
  <c r="CW14" i="119"/>
  <c r="BX14" i="30" s="1"/>
  <c r="CV14" i="119"/>
  <c r="BW14" i="30" s="1"/>
  <c r="CU14" i="119"/>
  <c r="BV14" i="30" s="1"/>
  <c r="CT14" i="119"/>
  <c r="BU14" i="30" s="1"/>
  <c r="CS14" i="119"/>
  <c r="BT14" i="30" s="1"/>
  <c r="CR14" i="119"/>
  <c r="BS14" i="30" s="1"/>
  <c r="CQ14" i="119"/>
  <c r="BR14" i="30" s="1"/>
  <c r="CP14" i="119"/>
  <c r="BQ14" i="30" s="1"/>
  <c r="CO14" i="119"/>
  <c r="BP14" i="30" s="1"/>
  <c r="CN14" i="119"/>
  <c r="BO14" i="30" s="1"/>
  <c r="CM14" i="119"/>
  <c r="BN14" i="30" s="1"/>
  <c r="CL14" i="119"/>
  <c r="BM14" i="30" s="1"/>
  <c r="CK14" i="119"/>
  <c r="BL14" i="30" s="1"/>
  <c r="CJ14" i="119"/>
  <c r="BK14" i="30" s="1"/>
  <c r="CI14" i="119"/>
  <c r="BJ14" i="30" s="1"/>
  <c r="CH14" i="119"/>
  <c r="BI14" i="30" s="1"/>
  <c r="CG14" i="119"/>
  <c r="BH14" i="30" s="1"/>
  <c r="CF14" i="119"/>
  <c r="BG14" i="30" s="1"/>
  <c r="CE14" i="119"/>
  <c r="BF14" i="30" s="1"/>
  <c r="CD14" i="119"/>
  <c r="BE14" i="30" s="1"/>
  <c r="CC14" i="119"/>
  <c r="BD14" i="30" s="1"/>
  <c r="CB14" i="119"/>
  <c r="BC14" i="30" s="1"/>
  <c r="CA14" i="119"/>
  <c r="BB14" i="30" s="1"/>
  <c r="BZ14" i="119"/>
  <c r="BA14" i="30" s="1"/>
  <c r="BY14" i="119"/>
  <c r="AZ14" i="30" s="1"/>
  <c r="BX14" i="119"/>
  <c r="AY14" i="30" s="1"/>
  <c r="BW14" i="119"/>
  <c r="AX14" i="30" s="1"/>
  <c r="BV14" i="119"/>
  <c r="AW14" i="30" s="1"/>
  <c r="BU14" i="119"/>
  <c r="AV14" i="30" s="1"/>
  <c r="BT14" i="119"/>
  <c r="AU14" i="30" s="1"/>
  <c r="BS14" i="119"/>
  <c r="AT14" i="30" s="1"/>
  <c r="BR14" i="119"/>
  <c r="AS14" i="30" s="1"/>
  <c r="BQ14" i="119"/>
  <c r="AR14" i="30" s="1"/>
  <c r="BP14" i="119"/>
  <c r="AQ14" i="30" s="1"/>
  <c r="BO14" i="119"/>
  <c r="AP14" i="30" s="1"/>
  <c r="BN14" i="119"/>
  <c r="AO14" i="30" s="1"/>
  <c r="BM14" i="119"/>
  <c r="AN14" i="30" s="1"/>
  <c r="BL14" i="119"/>
  <c r="AM14" i="30" s="1"/>
  <c r="BK14" i="119"/>
  <c r="AL14" i="30" s="1"/>
  <c r="BJ14" i="119"/>
  <c r="AK14" i="30" s="1"/>
  <c r="BI14" i="119"/>
  <c r="AJ14" i="30" s="1"/>
  <c r="BH14" i="119"/>
  <c r="AI14" i="30" s="1"/>
  <c r="BG14" i="119"/>
  <c r="AH14" i="30" s="1"/>
  <c r="BF14" i="119"/>
  <c r="AG14" i="30" s="1"/>
  <c r="BE14" i="119"/>
  <c r="AF14" i="30" s="1"/>
  <c r="BD14" i="119"/>
  <c r="AE14" i="30" s="1"/>
  <c r="BC14" i="119"/>
  <c r="AD14" i="30" s="1"/>
  <c r="BB14" i="119"/>
  <c r="AC14" i="30" s="1"/>
  <c r="BA14" i="119"/>
  <c r="AB14" i="30" s="1"/>
  <c r="AZ14" i="119"/>
  <c r="AA14" i="30" s="1"/>
  <c r="AY14" i="119"/>
  <c r="Z14" i="30" s="1"/>
  <c r="AX14" i="119"/>
  <c r="Y14" i="30" s="1"/>
  <c r="AW14" i="119"/>
  <c r="AV14" i="119"/>
  <c r="AU14" i="119"/>
  <c r="AT14" i="119"/>
  <c r="AS14" i="119"/>
  <c r="AR14" i="119"/>
  <c r="AQ14" i="119"/>
  <c r="AP14" i="119"/>
  <c r="AO14" i="119"/>
  <c r="AN14" i="119"/>
  <c r="AM14" i="119"/>
  <c r="AL14" i="119"/>
  <c r="DY13" i="119"/>
  <c r="DX13" i="119"/>
  <c r="DW13" i="119"/>
  <c r="DV13" i="119"/>
  <c r="DU13" i="119"/>
  <c r="DT13" i="119"/>
  <c r="DS13" i="119"/>
  <c r="DR13" i="119"/>
  <c r="DQ13" i="119"/>
  <c r="DP13" i="119"/>
  <c r="DO13" i="119"/>
  <c r="DN13" i="119"/>
  <c r="DM13" i="119"/>
  <c r="DL13" i="119"/>
  <c r="DK13" i="119"/>
  <c r="DJ13" i="119"/>
  <c r="DI13" i="119"/>
  <c r="DH13" i="119"/>
  <c r="DG13" i="119"/>
  <c r="DF13" i="119"/>
  <c r="DE13" i="119"/>
  <c r="CF13" i="30" s="1"/>
  <c r="DD13" i="119"/>
  <c r="CE13" i="30" s="1"/>
  <c r="DC13" i="119"/>
  <c r="CD13" i="30" s="1"/>
  <c r="DB13" i="119"/>
  <c r="CC13" i="30" s="1"/>
  <c r="DA13" i="119"/>
  <c r="CB13" i="30" s="1"/>
  <c r="CZ13" i="119"/>
  <c r="CA13" i="30" s="1"/>
  <c r="CY13" i="119"/>
  <c r="BZ13" i="30" s="1"/>
  <c r="CX13" i="119"/>
  <c r="BY13" i="30" s="1"/>
  <c r="CW13" i="119"/>
  <c r="BX13" i="30" s="1"/>
  <c r="CV13" i="119"/>
  <c r="BW13" i="30" s="1"/>
  <c r="CU13" i="119"/>
  <c r="BV13" i="30" s="1"/>
  <c r="CT13" i="119"/>
  <c r="BU13" i="30" s="1"/>
  <c r="CS13" i="119"/>
  <c r="BT13" i="30" s="1"/>
  <c r="CR13" i="119"/>
  <c r="BS13" i="30" s="1"/>
  <c r="CQ13" i="119"/>
  <c r="BR13" i="30" s="1"/>
  <c r="CP13" i="119"/>
  <c r="BQ13" i="30" s="1"/>
  <c r="CO13" i="119"/>
  <c r="BP13" i="30" s="1"/>
  <c r="CN13" i="119"/>
  <c r="BO13" i="30" s="1"/>
  <c r="CM13" i="119"/>
  <c r="BN13" i="30" s="1"/>
  <c r="CL13" i="119"/>
  <c r="BM13" i="30" s="1"/>
  <c r="CK13" i="119"/>
  <c r="BL13" i="30" s="1"/>
  <c r="CJ13" i="119"/>
  <c r="BK13" i="30" s="1"/>
  <c r="CI13" i="119"/>
  <c r="BJ13" i="30" s="1"/>
  <c r="CH13" i="119"/>
  <c r="BI13" i="30" s="1"/>
  <c r="CG13" i="119"/>
  <c r="BH13" i="30" s="1"/>
  <c r="CF13" i="119"/>
  <c r="BG13" i="30" s="1"/>
  <c r="CE13" i="119"/>
  <c r="BF13" i="30" s="1"/>
  <c r="CD13" i="119"/>
  <c r="BE13" i="30" s="1"/>
  <c r="CC13" i="119"/>
  <c r="BD13" i="30" s="1"/>
  <c r="CB13" i="119"/>
  <c r="BC13" i="30" s="1"/>
  <c r="CA13" i="119"/>
  <c r="BB13" i="30" s="1"/>
  <c r="BZ13" i="119"/>
  <c r="BA13" i="30" s="1"/>
  <c r="BY13" i="119"/>
  <c r="AZ13" i="30" s="1"/>
  <c r="BX13" i="119"/>
  <c r="AY13" i="30" s="1"/>
  <c r="BW13" i="119"/>
  <c r="AX13" i="30" s="1"/>
  <c r="BV13" i="119"/>
  <c r="AW13" i="30" s="1"/>
  <c r="BU13" i="119"/>
  <c r="AV13" i="30" s="1"/>
  <c r="BT13" i="119"/>
  <c r="AU13" i="30" s="1"/>
  <c r="BS13" i="119"/>
  <c r="AT13" i="30" s="1"/>
  <c r="BR13" i="119"/>
  <c r="AS13" i="30" s="1"/>
  <c r="BQ13" i="119"/>
  <c r="AR13" i="30" s="1"/>
  <c r="BP13" i="119"/>
  <c r="AQ13" i="30" s="1"/>
  <c r="BO13" i="119"/>
  <c r="AP13" i="30" s="1"/>
  <c r="BN13" i="119"/>
  <c r="AO13" i="30" s="1"/>
  <c r="BM13" i="119"/>
  <c r="AN13" i="30" s="1"/>
  <c r="BL13" i="119"/>
  <c r="AM13" i="30" s="1"/>
  <c r="BK13" i="119"/>
  <c r="AL13" i="30" s="1"/>
  <c r="BJ13" i="119"/>
  <c r="AK13" i="30" s="1"/>
  <c r="BI13" i="119"/>
  <c r="AJ13" i="30" s="1"/>
  <c r="BH13" i="119"/>
  <c r="AI13" i="30" s="1"/>
  <c r="BG13" i="119"/>
  <c r="AH13" i="30" s="1"/>
  <c r="BF13" i="119"/>
  <c r="AG13" i="30" s="1"/>
  <c r="BE13" i="119"/>
  <c r="AF13" i="30" s="1"/>
  <c r="BD13" i="119"/>
  <c r="AE13" i="30" s="1"/>
  <c r="BC13" i="119"/>
  <c r="AD13" i="30" s="1"/>
  <c r="BB13" i="119"/>
  <c r="AC13" i="30" s="1"/>
  <c r="BA13" i="119"/>
  <c r="AB13" i="30" s="1"/>
  <c r="AZ13" i="119"/>
  <c r="AA13" i="30" s="1"/>
  <c r="AY13" i="119"/>
  <c r="Z13" i="30" s="1"/>
  <c r="AX13" i="119"/>
  <c r="Y13" i="30" s="1"/>
  <c r="AW13" i="119"/>
  <c r="AV13" i="119"/>
  <c r="AU13" i="119"/>
  <c r="AT13" i="119"/>
  <c r="AS13" i="119"/>
  <c r="AR13" i="119"/>
  <c r="AQ13" i="119"/>
  <c r="AP13" i="119"/>
  <c r="AO13" i="119"/>
  <c r="AN13" i="119"/>
  <c r="AM13" i="119"/>
  <c r="AL13" i="119"/>
  <c r="DY12" i="119"/>
  <c r="DX12" i="119"/>
  <c r="DW12" i="119"/>
  <c r="DV12" i="119"/>
  <c r="DU12" i="119"/>
  <c r="DT12" i="119"/>
  <c r="DS12" i="119"/>
  <c r="DR12" i="119"/>
  <c r="DQ12" i="119"/>
  <c r="DP12" i="119"/>
  <c r="DO12" i="119"/>
  <c r="DN12" i="119"/>
  <c r="DM12" i="119"/>
  <c r="DL12" i="119"/>
  <c r="DK12" i="119"/>
  <c r="DJ12" i="119"/>
  <c r="DI12" i="119"/>
  <c r="DH12" i="119"/>
  <c r="DG12" i="119"/>
  <c r="DF12" i="119"/>
  <c r="DE12" i="119"/>
  <c r="CF12" i="30" s="1"/>
  <c r="DD12" i="119"/>
  <c r="CE12" i="30" s="1"/>
  <c r="DC12" i="119"/>
  <c r="CD12" i="30" s="1"/>
  <c r="DB12" i="119"/>
  <c r="CC12" i="30" s="1"/>
  <c r="DA12" i="119"/>
  <c r="CB12" i="30" s="1"/>
  <c r="CZ12" i="119"/>
  <c r="CA12" i="30" s="1"/>
  <c r="CY12" i="119"/>
  <c r="BZ12" i="30" s="1"/>
  <c r="CX12" i="119"/>
  <c r="BY12" i="30" s="1"/>
  <c r="CW12" i="119"/>
  <c r="BX12" i="30" s="1"/>
  <c r="CV12" i="119"/>
  <c r="BW12" i="30" s="1"/>
  <c r="CU12" i="119"/>
  <c r="BV12" i="30" s="1"/>
  <c r="CT12" i="119"/>
  <c r="BU12" i="30" s="1"/>
  <c r="CS12" i="119"/>
  <c r="BT12" i="30" s="1"/>
  <c r="CR12" i="119"/>
  <c r="BS12" i="30" s="1"/>
  <c r="CQ12" i="119"/>
  <c r="BR12" i="30" s="1"/>
  <c r="CP12" i="119"/>
  <c r="BQ12" i="30" s="1"/>
  <c r="CO12" i="119"/>
  <c r="BP12" i="30" s="1"/>
  <c r="CN12" i="119"/>
  <c r="BO12" i="30" s="1"/>
  <c r="CM12" i="119"/>
  <c r="BN12" i="30" s="1"/>
  <c r="CL12" i="119"/>
  <c r="BM12" i="30" s="1"/>
  <c r="CK12" i="119"/>
  <c r="BL12" i="30" s="1"/>
  <c r="CJ12" i="119"/>
  <c r="BK12" i="30" s="1"/>
  <c r="CI12" i="119"/>
  <c r="BJ12" i="30" s="1"/>
  <c r="CH12" i="119"/>
  <c r="BI12" i="30" s="1"/>
  <c r="CG12" i="119"/>
  <c r="BH12" i="30" s="1"/>
  <c r="CF12" i="119"/>
  <c r="BG12" i="30" s="1"/>
  <c r="CE12" i="119"/>
  <c r="BF12" i="30" s="1"/>
  <c r="CD12" i="119"/>
  <c r="BE12" i="30" s="1"/>
  <c r="CC12" i="119"/>
  <c r="BD12" i="30" s="1"/>
  <c r="CB12" i="119"/>
  <c r="BC12" i="30" s="1"/>
  <c r="CA12" i="119"/>
  <c r="BB12" i="30" s="1"/>
  <c r="BZ12" i="119"/>
  <c r="BA12" i="30" s="1"/>
  <c r="BY12" i="119"/>
  <c r="AZ12" i="30" s="1"/>
  <c r="BX12" i="119"/>
  <c r="AY12" i="30" s="1"/>
  <c r="BW12" i="119"/>
  <c r="AX12" i="30" s="1"/>
  <c r="BV12" i="119"/>
  <c r="AW12" i="30" s="1"/>
  <c r="BU12" i="119"/>
  <c r="AV12" i="30" s="1"/>
  <c r="BT12" i="119"/>
  <c r="AU12" i="30" s="1"/>
  <c r="BS12" i="119"/>
  <c r="AT12" i="30" s="1"/>
  <c r="BR12" i="119"/>
  <c r="AS12" i="30" s="1"/>
  <c r="BQ12" i="119"/>
  <c r="AR12" i="30" s="1"/>
  <c r="BP12" i="119"/>
  <c r="AQ12" i="30" s="1"/>
  <c r="BO12" i="119"/>
  <c r="AP12" i="30" s="1"/>
  <c r="BN12" i="119"/>
  <c r="AO12" i="30" s="1"/>
  <c r="BM12" i="119"/>
  <c r="AN12" i="30" s="1"/>
  <c r="BL12" i="119"/>
  <c r="AM12" i="30" s="1"/>
  <c r="BK12" i="119"/>
  <c r="AL12" i="30" s="1"/>
  <c r="BJ12" i="119"/>
  <c r="AK12" i="30" s="1"/>
  <c r="BI12" i="119"/>
  <c r="AJ12" i="30" s="1"/>
  <c r="BH12" i="119"/>
  <c r="AI12" i="30" s="1"/>
  <c r="BG12" i="119"/>
  <c r="AH12" i="30" s="1"/>
  <c r="BF12" i="119"/>
  <c r="AG12" i="30" s="1"/>
  <c r="BE12" i="119"/>
  <c r="AF12" i="30" s="1"/>
  <c r="BD12" i="119"/>
  <c r="AE12" i="30" s="1"/>
  <c r="BC12" i="119"/>
  <c r="AD12" i="30" s="1"/>
  <c r="BB12" i="119"/>
  <c r="AC12" i="30" s="1"/>
  <c r="BA12" i="119"/>
  <c r="AB12" i="30" s="1"/>
  <c r="AZ12" i="119"/>
  <c r="AA12" i="30" s="1"/>
  <c r="AY12" i="119"/>
  <c r="Z12" i="30" s="1"/>
  <c r="AX12" i="119"/>
  <c r="Y12" i="30" s="1"/>
  <c r="AW12" i="119"/>
  <c r="AV12" i="119"/>
  <c r="AU12" i="119"/>
  <c r="AT12" i="119"/>
  <c r="AS12" i="119"/>
  <c r="AR12" i="119"/>
  <c r="AQ12" i="119"/>
  <c r="AP12" i="119"/>
  <c r="AO12" i="119"/>
  <c r="AN12" i="119"/>
  <c r="AM12" i="119"/>
  <c r="AL12" i="119"/>
  <c r="DY11" i="119"/>
  <c r="DY270" i="119" s="1"/>
  <c r="DE11" i="119"/>
  <c r="DD11" i="119"/>
  <c r="DC11" i="119"/>
  <c r="DB11" i="119"/>
  <c r="DA11" i="119"/>
  <c r="CZ11" i="119"/>
  <c r="CY11" i="119"/>
  <c r="CX11" i="119"/>
  <c r="CW11" i="119"/>
  <c r="CV11" i="119"/>
  <c r="CU11" i="119"/>
  <c r="CT11" i="119"/>
  <c r="CS11" i="119"/>
  <c r="CR11" i="119"/>
  <c r="CQ11" i="119"/>
  <c r="CP11" i="119"/>
  <c r="CO11" i="119"/>
  <c r="CN11" i="119"/>
  <c r="CM11" i="119"/>
  <c r="CL11" i="119"/>
  <c r="CK11" i="119"/>
  <c r="CJ11" i="119"/>
  <c r="CI11" i="119"/>
  <c r="CH11" i="119"/>
  <c r="CG11" i="119"/>
  <c r="CF11" i="119"/>
  <c r="CE11" i="119"/>
  <c r="CD11" i="119"/>
  <c r="CC11" i="119"/>
  <c r="CB11" i="119"/>
  <c r="CA11" i="119"/>
  <c r="BZ11" i="119"/>
  <c r="BY11" i="119"/>
  <c r="BX11" i="119"/>
  <c r="BW11" i="119"/>
  <c r="BV11" i="119"/>
  <c r="BU11" i="119"/>
  <c r="BT11" i="119"/>
  <c r="BS11" i="119"/>
  <c r="BR11" i="119"/>
  <c r="BQ11" i="119"/>
  <c r="BP11" i="119"/>
  <c r="BO11" i="119"/>
  <c r="BN11" i="119"/>
  <c r="BM11" i="119"/>
  <c r="BL11" i="119"/>
  <c r="BK11" i="119"/>
  <c r="BJ11" i="119"/>
  <c r="BI11" i="119"/>
  <c r="BH11" i="119"/>
  <c r="BG11" i="119"/>
  <c r="BF11" i="119"/>
  <c r="BE11" i="119"/>
  <c r="BD11" i="119"/>
  <c r="BC11" i="119"/>
  <c r="BB11" i="119"/>
  <c r="BA11" i="119"/>
  <c r="AZ11" i="119"/>
  <c r="AY11" i="119"/>
  <c r="AX11" i="119"/>
  <c r="AW11" i="119"/>
  <c r="AW270" i="119" s="1"/>
  <c r="AV11" i="119"/>
  <c r="AV270" i="119" s="1"/>
  <c r="AU11" i="119"/>
  <c r="AU270" i="119" s="1"/>
  <c r="AT11" i="119"/>
  <c r="AT270" i="119" s="1"/>
  <c r="AS11" i="119"/>
  <c r="AS270" i="119" s="1"/>
  <c r="AR11" i="119"/>
  <c r="AR270" i="119" s="1"/>
  <c r="AQ11" i="119"/>
  <c r="AQ270" i="119" s="1"/>
  <c r="AP11" i="119"/>
  <c r="AP270" i="119" s="1"/>
  <c r="AO11" i="119"/>
  <c r="AO270" i="119" s="1"/>
  <c r="AN11" i="119"/>
  <c r="AN270" i="119" s="1"/>
  <c r="AM11" i="119"/>
  <c r="AM270" i="119" s="1"/>
  <c r="AL11" i="119"/>
  <c r="AL270" i="119" s="1"/>
  <c r="D11" i="122"/>
  <c r="D12" i="122"/>
  <c r="D13" i="122"/>
  <c r="D14" i="122"/>
  <c r="D15" i="122"/>
  <c r="D16" i="122"/>
  <c r="D17" i="122"/>
  <c r="D18" i="122"/>
  <c r="D19" i="122"/>
  <c r="D20" i="122"/>
  <c r="D21" i="122"/>
  <c r="D22" i="122"/>
  <c r="D23" i="122"/>
  <c r="D24" i="122"/>
  <c r="D25" i="122"/>
  <c r="D26" i="122"/>
  <c r="D27" i="122"/>
  <c r="D28" i="122"/>
  <c r="D29" i="122"/>
  <c r="D30" i="122"/>
  <c r="D32" i="122"/>
  <c r="D33" i="122"/>
  <c r="D34" i="122"/>
  <c r="D35" i="122"/>
  <c r="D36" i="122"/>
  <c r="D37" i="122"/>
  <c r="D38" i="122"/>
  <c r="D41" i="122"/>
  <c r="D42" i="122"/>
  <c r="D43" i="122"/>
  <c r="D44" i="122"/>
  <c r="D45" i="122"/>
  <c r="D46" i="122"/>
  <c r="D47" i="122"/>
  <c r="D48" i="122"/>
  <c r="D49" i="122"/>
  <c r="D50" i="122"/>
  <c r="D51" i="122"/>
  <c r="D52" i="122"/>
  <c r="D53" i="122"/>
  <c r="D54" i="122"/>
  <c r="D55" i="122"/>
  <c r="D56" i="122"/>
  <c r="D57" i="122"/>
  <c r="D58" i="122"/>
  <c r="D59" i="122"/>
  <c r="D60" i="122"/>
  <c r="D61" i="122"/>
  <c r="D62" i="122"/>
  <c r="D63" i="122"/>
  <c r="D64" i="122"/>
  <c r="D65" i="122"/>
  <c r="D66" i="122"/>
  <c r="D67" i="122"/>
  <c r="D68" i="122"/>
  <c r="D69" i="122"/>
  <c r="D70" i="122"/>
  <c r="D76" i="122"/>
  <c r="D77" i="122"/>
  <c r="D78" i="122"/>
  <c r="D79" i="122"/>
  <c r="D80" i="122"/>
  <c r="D81" i="122"/>
  <c r="D83" i="122"/>
  <c r="D84" i="122"/>
  <c r="D85" i="122"/>
  <c r="D86" i="122"/>
  <c r="D87" i="122"/>
  <c r="D89" i="122"/>
  <c r="D90" i="122"/>
  <c r="D92" i="122"/>
  <c r="D93" i="122"/>
  <c r="D94" i="122"/>
  <c r="D95" i="122"/>
  <c r="D96" i="122"/>
  <c r="D97" i="122"/>
  <c r="D98" i="122"/>
  <c r="D99" i="122"/>
  <c r="D100" i="122"/>
  <c r="D101" i="122"/>
  <c r="D102" i="122"/>
  <c r="D103" i="122"/>
  <c r="D104" i="122"/>
  <c r="D105" i="122"/>
  <c r="D106" i="122"/>
  <c r="D107" i="122"/>
  <c r="D108" i="122"/>
  <c r="D110" i="122"/>
  <c r="D111" i="122"/>
  <c r="D112" i="122"/>
  <c r="D113" i="122"/>
  <c r="D114" i="122"/>
  <c r="D115" i="122"/>
  <c r="D116" i="122"/>
  <c r="D117" i="122"/>
  <c r="D118" i="122"/>
  <c r="D119" i="122"/>
  <c r="D120" i="122"/>
  <c r="D121" i="122"/>
  <c r="D122" i="122"/>
  <c r="D249" i="122"/>
  <c r="D251" i="122"/>
  <c r="D252" i="122"/>
  <c r="D256" i="122"/>
  <c r="D257" i="122"/>
  <c r="D258" i="122"/>
  <c r="D259" i="122"/>
  <c r="D260" i="122"/>
  <c r="D262" i="122"/>
  <c r="D263" i="122"/>
  <c r="D264" i="122"/>
  <c r="D265" i="122"/>
  <c r="D266" i="122"/>
  <c r="D267" i="122"/>
  <c r="D268" i="122"/>
  <c r="D269" i="122"/>
  <c r="D270" i="122"/>
  <c r="D271" i="122"/>
  <c r="D273" i="122"/>
  <c r="D274" i="122"/>
  <c r="D275" i="122"/>
  <c r="D276" i="122"/>
  <c r="D277" i="122"/>
  <c r="D278" i="122"/>
  <c r="D279" i="122"/>
  <c r="D280" i="122"/>
  <c r="D281" i="122"/>
  <c r="D282" i="122"/>
  <c r="D283" i="122"/>
  <c r="D284" i="122"/>
  <c r="D285" i="122"/>
  <c r="D292" i="122"/>
  <c r="D293" i="122"/>
  <c r="D294" i="122"/>
  <c r="D295" i="122"/>
  <c r="D298" i="122"/>
  <c r="D300" i="122"/>
  <c r="D301" i="122"/>
  <c r="D302" i="122"/>
  <c r="D303" i="122"/>
  <c r="D305" i="122"/>
  <c r="D305" i="119"/>
  <c r="D300" i="119"/>
  <c r="D301" i="119"/>
  <c r="D302" i="119"/>
  <c r="D303" i="119"/>
  <c r="D298" i="119"/>
  <c r="D292" i="119"/>
  <c r="D293" i="119"/>
  <c r="D294" i="119"/>
  <c r="D295" i="119"/>
  <c r="D273" i="119"/>
  <c r="D274" i="119"/>
  <c r="D275" i="119"/>
  <c r="D276" i="119"/>
  <c r="D277" i="119"/>
  <c r="D278" i="119"/>
  <c r="D279" i="119"/>
  <c r="D280" i="119"/>
  <c r="D281" i="119"/>
  <c r="D282" i="119"/>
  <c r="D283" i="119"/>
  <c r="D284" i="119"/>
  <c r="D285" i="119"/>
  <c r="D256" i="119"/>
  <c r="D257" i="119"/>
  <c r="D258" i="119"/>
  <c r="D259" i="119"/>
  <c r="D260" i="119"/>
  <c r="D261" i="119"/>
  <c r="D262" i="119"/>
  <c r="D263" i="119"/>
  <c r="D264" i="119"/>
  <c r="D265" i="119"/>
  <c r="D266" i="119"/>
  <c r="D267" i="119"/>
  <c r="D268" i="119"/>
  <c r="D269" i="119"/>
  <c r="D270" i="119"/>
  <c r="D271" i="119"/>
  <c r="D249" i="119"/>
  <c r="D251" i="119"/>
  <c r="D252" i="119"/>
  <c r="D231" i="119"/>
  <c r="D232" i="119"/>
  <c r="D233" i="119"/>
  <c r="D234" i="119"/>
  <c r="D110" i="119"/>
  <c r="D111" i="119"/>
  <c r="D112" i="119"/>
  <c r="D113" i="119"/>
  <c r="D114" i="119"/>
  <c r="D115" i="119"/>
  <c r="D116" i="119"/>
  <c r="D117" i="119"/>
  <c r="D118" i="119"/>
  <c r="D119" i="119"/>
  <c r="D120" i="119"/>
  <c r="D121" i="119"/>
  <c r="D122" i="119"/>
  <c r="D92" i="119"/>
  <c r="D93" i="119"/>
  <c r="D94" i="119"/>
  <c r="D95" i="119"/>
  <c r="D96" i="119"/>
  <c r="D97" i="119"/>
  <c r="D98" i="119"/>
  <c r="D99" i="119"/>
  <c r="D100" i="119"/>
  <c r="D101" i="119"/>
  <c r="D102" i="119"/>
  <c r="D103" i="119"/>
  <c r="D104" i="119"/>
  <c r="D105" i="119"/>
  <c r="D106" i="119"/>
  <c r="D107" i="119"/>
  <c r="D108" i="119"/>
  <c r="D76" i="119"/>
  <c r="D77" i="119"/>
  <c r="D78" i="119"/>
  <c r="D79" i="119"/>
  <c r="D80" i="119"/>
  <c r="D81" i="119"/>
  <c r="D83" i="119"/>
  <c r="D84" i="119"/>
  <c r="D85" i="119"/>
  <c r="D86" i="119"/>
  <c r="D87" i="119"/>
  <c r="D89" i="119"/>
  <c r="D90" i="119"/>
  <c r="D41" i="119"/>
  <c r="D42" i="119"/>
  <c r="D43" i="119"/>
  <c r="D44" i="119"/>
  <c r="D45" i="119"/>
  <c r="D46" i="119"/>
  <c r="D47" i="119"/>
  <c r="D48" i="119"/>
  <c r="D49" i="119"/>
  <c r="D50" i="119"/>
  <c r="D51" i="119"/>
  <c r="D52" i="119"/>
  <c r="D53" i="119"/>
  <c r="D54" i="119"/>
  <c r="D55" i="119"/>
  <c r="D56" i="119"/>
  <c r="D57" i="119"/>
  <c r="D58" i="119"/>
  <c r="D59" i="119"/>
  <c r="D60" i="119"/>
  <c r="D61" i="119"/>
  <c r="D62" i="119"/>
  <c r="D63" i="119"/>
  <c r="D64" i="119"/>
  <c r="D65" i="119"/>
  <c r="D66" i="119"/>
  <c r="D67" i="119"/>
  <c r="D68" i="119"/>
  <c r="D69" i="119"/>
  <c r="D70" i="119"/>
  <c r="D32" i="119"/>
  <c r="D33" i="119"/>
  <c r="D34" i="119"/>
  <c r="D35" i="119"/>
  <c r="D36" i="119"/>
  <c r="D37" i="119"/>
  <c r="D38" i="119"/>
  <c r="D11" i="119"/>
  <c r="D12" i="119"/>
  <c r="D13" i="119"/>
  <c r="D14" i="119"/>
  <c r="D15" i="119"/>
  <c r="D16" i="119"/>
  <c r="D17" i="119"/>
  <c r="D18" i="119"/>
  <c r="D19" i="119"/>
  <c r="D20" i="119"/>
  <c r="D21" i="119"/>
  <c r="D22" i="119"/>
  <c r="D23" i="119"/>
  <c r="D24" i="119"/>
  <c r="D25" i="119"/>
  <c r="D26" i="119"/>
  <c r="D27" i="119"/>
  <c r="D28" i="119"/>
  <c r="D29" i="119"/>
  <c r="D30" i="119"/>
  <c r="BA257" i="119" l="1"/>
  <c r="AB190" i="30" s="1"/>
  <c r="BS257" i="119"/>
  <c r="AT190" i="30" s="1"/>
  <c r="CK257" i="119"/>
  <c r="BL190" i="30" s="1"/>
  <c r="CS257" i="119"/>
  <c r="BT190" i="30" s="1"/>
  <c r="DE257" i="119"/>
  <c r="CF190" i="30" s="1"/>
  <c r="E16" i="123"/>
  <c r="F16" i="123" s="1"/>
  <c r="E15" i="123"/>
  <c r="F15" i="123" s="1"/>
  <c r="K7" i="123"/>
  <c r="M6" i="123"/>
  <c r="R6" i="123"/>
  <c r="Q6" i="123"/>
  <c r="N6" i="123"/>
  <c r="DF32" i="1"/>
  <c r="DF31" i="1"/>
  <c r="CM257" i="119"/>
  <c r="BN190" i="30" s="1"/>
  <c r="CY257" i="119"/>
  <c r="BZ190" i="30" s="1"/>
  <c r="CF257" i="119"/>
  <c r="BG190" i="30" s="1"/>
  <c r="AQ26" i="119"/>
  <c r="AW26" i="119"/>
  <c r="K167" i="119"/>
  <c r="AP167" i="119"/>
  <c r="AV167" i="119"/>
  <c r="BB167" i="119"/>
  <c r="BH167" i="119"/>
  <c r="BN167" i="119"/>
  <c r="BT167" i="119"/>
  <c r="BZ167" i="119"/>
  <c r="AL26" i="119"/>
  <c r="AR26" i="119"/>
  <c r="BH257" i="119"/>
  <c r="AI190" i="30" s="1"/>
  <c r="CX257" i="119"/>
  <c r="BY190" i="30" s="1"/>
  <c r="AS167" i="119"/>
  <c r="AY167" i="119"/>
  <c r="BE167" i="119"/>
  <c r="BK167" i="119"/>
  <c r="BQ167" i="119"/>
  <c r="BW167" i="119"/>
  <c r="CC167" i="119"/>
  <c r="AS26" i="119"/>
  <c r="G167" i="119"/>
  <c r="AR167" i="119"/>
  <c r="AX167" i="119"/>
  <c r="BD167" i="119"/>
  <c r="BJ167" i="119"/>
  <c r="BP167" i="119"/>
  <c r="BV167" i="119"/>
  <c r="CB167" i="119"/>
  <c r="BK257" i="119"/>
  <c r="AL190" i="30" s="1"/>
  <c r="BN257" i="119"/>
  <c r="AO190" i="30" s="1"/>
  <c r="CL257" i="119"/>
  <c r="BM190" i="30" s="1"/>
  <c r="DD257" i="119"/>
  <c r="CE190" i="30" s="1"/>
  <c r="BT257" i="119"/>
  <c r="AU190" i="30" s="1"/>
  <c r="CR257" i="119"/>
  <c r="BS190" i="30" s="1"/>
  <c r="BB257" i="119"/>
  <c r="AC190" i="30" s="1"/>
  <c r="BZ257" i="119"/>
  <c r="BA190" i="30" s="1"/>
  <c r="BE257" i="119"/>
  <c r="AF190" i="30" s="1"/>
  <c r="CU257" i="119"/>
  <c r="BV190" i="30" s="1"/>
  <c r="BW257" i="119"/>
  <c r="AX190" i="30" s="1"/>
  <c r="AY257" i="119"/>
  <c r="Z190" i="30" s="1"/>
  <c r="CC257" i="119"/>
  <c r="BD190" i="30" s="1"/>
  <c r="CO257" i="119"/>
  <c r="BP190" i="30" s="1"/>
  <c r="DA257" i="119"/>
  <c r="CB190" i="30" s="1"/>
  <c r="BQ257" i="119"/>
  <c r="AR190" i="30" s="1"/>
  <c r="CI257" i="119"/>
  <c r="BJ190" i="30" s="1"/>
  <c r="CD257" i="119"/>
  <c r="BE190" i="30" s="1"/>
  <c r="AU26" i="119"/>
  <c r="I167" i="119"/>
  <c r="O167" i="119"/>
  <c r="AT167" i="119"/>
  <c r="AZ167" i="119"/>
  <c r="BF167" i="119"/>
  <c r="BL167" i="119"/>
  <c r="BR167" i="119"/>
  <c r="BX167" i="119"/>
  <c r="BM257" i="119"/>
  <c r="AN190" i="30" s="1"/>
  <c r="CE257" i="119"/>
  <c r="BF190" i="30" s="1"/>
  <c r="DB257" i="119"/>
  <c r="CC190" i="30" s="1"/>
  <c r="Z217" i="30"/>
  <c r="AE217" i="30"/>
  <c r="J167" i="119"/>
  <c r="P167" i="119"/>
  <c r="R186" i="119"/>
  <c r="R145" i="30" s="1"/>
  <c r="BF257" i="119"/>
  <c r="AG190" i="30" s="1"/>
  <c r="BX257" i="119"/>
  <c r="AY190" i="30" s="1"/>
  <c r="CV257" i="119"/>
  <c r="BW190" i="30" s="1"/>
  <c r="DC257" i="119"/>
  <c r="CD190" i="30" s="1"/>
  <c r="AM26" i="119"/>
  <c r="BQ26" i="119"/>
  <c r="AR26" i="30" s="1"/>
  <c r="U186" i="119"/>
  <c r="U145" i="30" s="1"/>
  <c r="BG257" i="119"/>
  <c r="AH190" i="30" s="1"/>
  <c r="BY257" i="119"/>
  <c r="AZ190" i="30" s="1"/>
  <c r="CP257" i="119"/>
  <c r="BQ190" i="30" s="1"/>
  <c r="CW257" i="119"/>
  <c r="BX190" i="30" s="1"/>
  <c r="BL257" i="119"/>
  <c r="AM190" i="30" s="1"/>
  <c r="AN26" i="119"/>
  <c r="AZ257" i="119"/>
  <c r="AA190" i="30" s="1"/>
  <c r="BR257" i="119"/>
  <c r="AS190" i="30" s="1"/>
  <c r="CJ257" i="119"/>
  <c r="BK190" i="30" s="1"/>
  <c r="CQ257" i="119"/>
  <c r="BR190" i="30" s="1"/>
  <c r="Y217" i="30"/>
  <c r="U25" i="30"/>
  <c r="AB25" i="30"/>
  <c r="BA26" i="119"/>
  <c r="AB26" i="30" s="1"/>
  <c r="AH25" i="30"/>
  <c r="BG26" i="119"/>
  <c r="AH26" i="30" s="1"/>
  <c r="AZ25" i="30"/>
  <c r="BY26" i="119"/>
  <c r="AZ26" i="30" s="1"/>
  <c r="BF25" i="30"/>
  <c r="CE26" i="119"/>
  <c r="BF26" i="30" s="1"/>
  <c r="AO26" i="119"/>
  <c r="BA270" i="119"/>
  <c r="AB201" i="30" s="1"/>
  <c r="AB11" i="30"/>
  <c r="BG270" i="119"/>
  <c r="AH201" i="30" s="1"/>
  <c r="AH11" i="30"/>
  <c r="BM270" i="119"/>
  <c r="AN201" i="30" s="1"/>
  <c r="AN11" i="30"/>
  <c r="BS270" i="119"/>
  <c r="AT201" i="30" s="1"/>
  <c r="AT11" i="30"/>
  <c r="BY270" i="119"/>
  <c r="AZ201" i="30" s="1"/>
  <c r="AZ11" i="30"/>
  <c r="CE270" i="119"/>
  <c r="BF201" i="30" s="1"/>
  <c r="BF11" i="30"/>
  <c r="CK270" i="119"/>
  <c r="BL201" i="30" s="1"/>
  <c r="BL11" i="30"/>
  <c r="CQ270" i="119"/>
  <c r="BR201" i="30" s="1"/>
  <c r="BR11" i="30"/>
  <c r="CW270" i="119"/>
  <c r="BX201" i="30" s="1"/>
  <c r="BX11" i="30"/>
  <c r="DC270" i="119"/>
  <c r="CD201" i="30" s="1"/>
  <c r="CD11" i="30"/>
  <c r="BB270" i="119"/>
  <c r="AC201" i="30" s="1"/>
  <c r="AC11" i="30"/>
  <c r="BH270" i="119"/>
  <c r="AI201" i="30" s="1"/>
  <c r="AI11" i="30"/>
  <c r="BN270" i="119"/>
  <c r="AO201" i="30" s="1"/>
  <c r="AO11" i="30"/>
  <c r="BT270" i="119"/>
  <c r="AU201" i="30" s="1"/>
  <c r="AU11" i="30"/>
  <c r="BZ270" i="119"/>
  <c r="BA201" i="30" s="1"/>
  <c r="BA11" i="30"/>
  <c r="CF270" i="119"/>
  <c r="BG201" i="30" s="1"/>
  <c r="BG11" i="30"/>
  <c r="CL270" i="119"/>
  <c r="BM201" i="30" s="1"/>
  <c r="BM11" i="30"/>
  <c r="CR270" i="119"/>
  <c r="BS201" i="30" s="1"/>
  <c r="BS11" i="30"/>
  <c r="CX270" i="119"/>
  <c r="BY201" i="30" s="1"/>
  <c r="BY11" i="30"/>
  <c r="DD270" i="119"/>
  <c r="CE201" i="30" s="1"/>
  <c r="CE11" i="30"/>
  <c r="BC26" i="119"/>
  <c r="AD26" i="30" s="1"/>
  <c r="AD24" i="30"/>
  <c r="BI26" i="119"/>
  <c r="AJ26" i="30" s="1"/>
  <c r="AJ24" i="30"/>
  <c r="BO26" i="119"/>
  <c r="AP26" i="30" s="1"/>
  <c r="AP24" i="30"/>
  <c r="BU26" i="119"/>
  <c r="AV26" i="30" s="1"/>
  <c r="AV24" i="30"/>
  <c r="CA26" i="119"/>
  <c r="BB26" i="30" s="1"/>
  <c r="BB24" i="30"/>
  <c r="CG26" i="119"/>
  <c r="BH26" i="30" s="1"/>
  <c r="BH24" i="30"/>
  <c r="BS26" i="119"/>
  <c r="AT26" i="30" s="1"/>
  <c r="BD26" i="119"/>
  <c r="AE26" i="30" s="1"/>
  <c r="AE24" i="30"/>
  <c r="BU270" i="119"/>
  <c r="AV201" i="30" s="1"/>
  <c r="AV11" i="30"/>
  <c r="CM270" i="119"/>
  <c r="BN201" i="30" s="1"/>
  <c r="BN11" i="30"/>
  <c r="DE270" i="119"/>
  <c r="CF201" i="30" s="1"/>
  <c r="CF11" i="30"/>
  <c r="BP26" i="119"/>
  <c r="AQ26" i="30" s="1"/>
  <c r="AQ24" i="30"/>
  <c r="AX270" i="119"/>
  <c r="Y201" i="30" s="1"/>
  <c r="Y11" i="30"/>
  <c r="BP270" i="119"/>
  <c r="AQ201" i="30" s="1"/>
  <c r="AQ11" i="30"/>
  <c r="CN270" i="119"/>
  <c r="BO201" i="30" s="1"/>
  <c r="BO11" i="30"/>
  <c r="Q144" i="30"/>
  <c r="Q186" i="119"/>
  <c r="Q145" i="30" s="1"/>
  <c r="W144" i="30"/>
  <c r="W186" i="119"/>
  <c r="W145" i="30" s="1"/>
  <c r="V189" i="119"/>
  <c r="U147" i="30"/>
  <c r="BC270" i="119"/>
  <c r="AD201" i="30" s="1"/>
  <c r="AD11" i="30"/>
  <c r="BO270" i="119"/>
  <c r="AP201" i="30" s="1"/>
  <c r="AP11" i="30"/>
  <c r="CA270" i="119"/>
  <c r="BB201" i="30" s="1"/>
  <c r="BB11" i="30"/>
  <c r="CS270" i="119"/>
  <c r="BT201" i="30" s="1"/>
  <c r="BT11" i="30"/>
  <c r="CB26" i="119"/>
  <c r="BC26" i="30" s="1"/>
  <c r="BC24" i="30"/>
  <c r="BD270" i="119"/>
  <c r="AE201" i="30" s="1"/>
  <c r="AE11" i="30"/>
  <c r="BV270" i="119"/>
  <c r="AW201" i="30" s="1"/>
  <c r="AW11" i="30"/>
  <c r="CH270" i="119"/>
  <c r="BI201" i="30" s="1"/>
  <c r="BI11" i="30"/>
  <c r="CZ270" i="119"/>
  <c r="CA201" i="30" s="1"/>
  <c r="CA11" i="30"/>
  <c r="AY26" i="119"/>
  <c r="Z26" i="30" s="1"/>
  <c r="Z24" i="30"/>
  <c r="BE26" i="119"/>
  <c r="AF26" i="30" s="1"/>
  <c r="AY270" i="119"/>
  <c r="Z201" i="30" s="1"/>
  <c r="Z11" i="30"/>
  <c r="BE270" i="119"/>
  <c r="AF201" i="30" s="1"/>
  <c r="AF11" i="30"/>
  <c r="BK270" i="119"/>
  <c r="AL201" i="30" s="1"/>
  <c r="AL11" i="30"/>
  <c r="BQ270" i="119"/>
  <c r="AR201" i="30" s="1"/>
  <c r="AR11" i="30"/>
  <c r="BW270" i="119"/>
  <c r="AX201" i="30" s="1"/>
  <c r="AX11" i="30"/>
  <c r="CC270" i="119"/>
  <c r="BD201" i="30" s="1"/>
  <c r="BD11" i="30"/>
  <c r="CI270" i="119"/>
  <c r="BJ201" i="30" s="1"/>
  <c r="BJ11" i="30"/>
  <c r="CO270" i="119"/>
  <c r="BP201" i="30" s="1"/>
  <c r="BP11" i="30"/>
  <c r="CU270" i="119"/>
  <c r="BV201" i="30" s="1"/>
  <c r="BV11" i="30"/>
  <c r="DA270" i="119"/>
  <c r="CB201" i="30" s="1"/>
  <c r="CB11" i="30"/>
  <c r="AZ26" i="119"/>
  <c r="AA26" i="30" s="1"/>
  <c r="AA24" i="30"/>
  <c r="BL26" i="119"/>
  <c r="AM26" i="30" s="1"/>
  <c r="AM24" i="30"/>
  <c r="BX26" i="119"/>
  <c r="AY26" i="30" s="1"/>
  <c r="AY24" i="30"/>
  <c r="BI270" i="119"/>
  <c r="AJ201" i="30" s="1"/>
  <c r="AJ11" i="30"/>
  <c r="CG270" i="119"/>
  <c r="BH201" i="30" s="1"/>
  <c r="BH11" i="30"/>
  <c r="CY270" i="119"/>
  <c r="BZ201" i="30" s="1"/>
  <c r="BZ11" i="30"/>
  <c r="AX26" i="119"/>
  <c r="Y26" i="30" s="1"/>
  <c r="Y24" i="30"/>
  <c r="BJ26" i="119"/>
  <c r="AK26" i="30" s="1"/>
  <c r="AK24" i="30"/>
  <c r="BV26" i="119"/>
  <c r="AW26" i="30" s="1"/>
  <c r="AW24" i="30"/>
  <c r="BJ270" i="119"/>
  <c r="AK201" i="30" s="1"/>
  <c r="AK11" i="30"/>
  <c r="CB270" i="119"/>
  <c r="BC201" i="30" s="1"/>
  <c r="BC11" i="30"/>
  <c r="CT270" i="119"/>
  <c r="BU201" i="30" s="1"/>
  <c r="BU11" i="30"/>
  <c r="BK26" i="119"/>
  <c r="AL26" i="30" s="1"/>
  <c r="AL24" i="30"/>
  <c r="BW26" i="119"/>
  <c r="AX26" i="30" s="1"/>
  <c r="AX24" i="30"/>
  <c r="CC26" i="119"/>
  <c r="BD26" i="30" s="1"/>
  <c r="AZ270" i="119"/>
  <c r="AA201" i="30" s="1"/>
  <c r="AA11" i="30"/>
  <c r="BF270" i="119"/>
  <c r="AG201" i="30" s="1"/>
  <c r="AG11" i="30"/>
  <c r="BL270" i="119"/>
  <c r="AM201" i="30" s="1"/>
  <c r="AM11" i="30"/>
  <c r="BR270" i="119"/>
  <c r="AS201" i="30" s="1"/>
  <c r="AS11" i="30"/>
  <c r="BX270" i="119"/>
  <c r="AY201" i="30" s="1"/>
  <c r="AY11" i="30"/>
  <c r="CD270" i="119"/>
  <c r="BE201" i="30" s="1"/>
  <c r="BE11" i="30"/>
  <c r="CJ270" i="119"/>
  <c r="BK201" i="30" s="1"/>
  <c r="BK11" i="30"/>
  <c r="CP270" i="119"/>
  <c r="BQ201" i="30" s="1"/>
  <c r="BQ11" i="30"/>
  <c r="CV270" i="119"/>
  <c r="BW201" i="30" s="1"/>
  <c r="BW11" i="30"/>
  <c r="DB270" i="119"/>
  <c r="CC201" i="30" s="1"/>
  <c r="CC11" i="30"/>
  <c r="AT26" i="119"/>
  <c r="BF26" i="119"/>
  <c r="AG26" i="30" s="1"/>
  <c r="AG25" i="30"/>
  <c r="BR26" i="119"/>
  <c r="AS26" i="30" s="1"/>
  <c r="AS25" i="30"/>
  <c r="CD26" i="119"/>
  <c r="BE26" i="30" s="1"/>
  <c r="BE25" i="30"/>
  <c r="BQ25" i="30"/>
  <c r="BM26" i="119"/>
  <c r="AN26" i="30" s="1"/>
  <c r="CK26" i="119"/>
  <c r="BL26" i="30" s="1"/>
  <c r="M167" i="119"/>
  <c r="P186" i="119"/>
  <c r="P145" i="30" s="1"/>
  <c r="T186" i="119"/>
  <c r="T145" i="30" s="1"/>
  <c r="T144" i="30"/>
  <c r="AD216" i="30"/>
  <c r="BC257" i="119"/>
  <c r="AD190" i="30" s="1"/>
  <c r="AJ216" i="30"/>
  <c r="BI257" i="119"/>
  <c r="AJ190" i="30" s="1"/>
  <c r="AP216" i="30"/>
  <c r="BO257" i="119"/>
  <c r="AP190" i="30" s="1"/>
  <c r="AV216" i="30"/>
  <c r="BU257" i="119"/>
  <c r="AV190" i="30" s="1"/>
  <c r="BB216" i="30"/>
  <c r="CA257" i="119"/>
  <c r="BB190" i="30" s="1"/>
  <c r="BH216" i="30"/>
  <c r="CG257" i="119"/>
  <c r="BH190" i="30" s="1"/>
  <c r="O144" i="30"/>
  <c r="H167" i="119"/>
  <c r="N167" i="119"/>
  <c r="AU167" i="119"/>
  <c r="BA167" i="119"/>
  <c r="BG167" i="119"/>
  <c r="BM167" i="119"/>
  <c r="BS167" i="119"/>
  <c r="BY167" i="119"/>
  <c r="V144" i="30"/>
  <c r="V186" i="119"/>
  <c r="V145" i="30" s="1"/>
  <c r="Y216" i="30"/>
  <c r="AX257" i="119"/>
  <c r="Y190" i="30" s="1"/>
  <c r="AE216" i="30"/>
  <c r="BD257" i="119"/>
  <c r="AE190" i="30" s="1"/>
  <c r="AK216" i="30"/>
  <c r="BJ257" i="119"/>
  <c r="AK190" i="30" s="1"/>
  <c r="AQ216" i="30"/>
  <c r="BP257" i="119"/>
  <c r="AQ190" i="30" s="1"/>
  <c r="AW216" i="30"/>
  <c r="BV257" i="119"/>
  <c r="AW190" i="30" s="1"/>
  <c r="BC216" i="30"/>
  <c r="CB257" i="119"/>
  <c r="BC190" i="30" s="1"/>
  <c r="BI216" i="30"/>
  <c r="CH257" i="119"/>
  <c r="BI190" i="30" s="1"/>
  <c r="BO216" i="30"/>
  <c r="CN257" i="119"/>
  <c r="BO190" i="30" s="1"/>
  <c r="BU216" i="30"/>
  <c r="CT257" i="119"/>
  <c r="BU190" i="30" s="1"/>
  <c r="CA216" i="30"/>
  <c r="CZ257" i="119"/>
  <c r="CA190" i="30" s="1"/>
  <c r="BA288" i="119"/>
  <c r="AB219" i="30" s="1"/>
  <c r="AB217" i="30"/>
  <c r="BG288" i="119"/>
  <c r="AH219" i="30" s="1"/>
  <c r="AH217" i="30"/>
  <c r="BM288" i="119"/>
  <c r="AN219" i="30" s="1"/>
  <c r="AN217" i="30"/>
  <c r="BS288" i="119"/>
  <c r="AT219" i="30" s="1"/>
  <c r="AT217" i="30"/>
  <c r="BY288" i="119"/>
  <c r="AZ219" i="30" s="1"/>
  <c r="AZ217" i="30"/>
  <c r="CE288" i="119"/>
  <c r="BF219" i="30" s="1"/>
  <c r="BF217" i="30"/>
  <c r="CK288" i="119"/>
  <c r="BL219" i="30" s="1"/>
  <c r="BL217" i="30"/>
  <c r="CQ288" i="119"/>
  <c r="BR219" i="30" s="1"/>
  <c r="BR217" i="30"/>
  <c r="CW288" i="119"/>
  <c r="BX219" i="30" s="1"/>
  <c r="BX217" i="30"/>
  <c r="DC288" i="119"/>
  <c r="CD219" i="30" s="1"/>
  <c r="CD217" i="30"/>
  <c r="L167" i="119"/>
  <c r="AQ167" i="119"/>
  <c r="AW167" i="119"/>
  <c r="BC167" i="119"/>
  <c r="BI167" i="119"/>
  <c r="BO167" i="119"/>
  <c r="BU167" i="119"/>
  <c r="CA167" i="119"/>
  <c r="S186" i="119"/>
  <c r="S145" i="30" s="1"/>
  <c r="S144" i="30"/>
  <c r="V188" i="119"/>
  <c r="U146" i="30"/>
  <c r="AC217" i="30"/>
  <c r="BB288" i="119"/>
  <c r="AC219" i="30" s="1"/>
  <c r="BH288" i="119"/>
  <c r="AI219" i="30" s="1"/>
  <c r="AI217" i="30"/>
  <c r="BN288" i="119"/>
  <c r="AO219" i="30" s="1"/>
  <c r="AO217" i="30"/>
  <c r="BT288" i="119"/>
  <c r="AU219" i="30" s="1"/>
  <c r="AU217" i="30"/>
  <c r="BZ288" i="119"/>
  <c r="BA219" i="30" s="1"/>
  <c r="BA217" i="30"/>
  <c r="CF288" i="119"/>
  <c r="BG219" i="30" s="1"/>
  <c r="BG217" i="30"/>
  <c r="BM217" i="30"/>
  <c r="CL288" i="119"/>
  <c r="BM219" i="30" s="1"/>
  <c r="CR288" i="119"/>
  <c r="BS219" i="30" s="1"/>
  <c r="BS217" i="30"/>
  <c r="CX288" i="119"/>
  <c r="BY219" i="30" s="1"/>
  <c r="BY217" i="30"/>
  <c r="DD288" i="119"/>
  <c r="CE219" i="30" s="1"/>
  <c r="CE217" i="30"/>
  <c r="BI288" i="119"/>
  <c r="AJ219" i="30" s="1"/>
  <c r="AJ217" i="30"/>
  <c r="BO288" i="119"/>
  <c r="AP219" i="30" s="1"/>
  <c r="AP217" i="30"/>
  <c r="BU288" i="119"/>
  <c r="AV219" i="30" s="1"/>
  <c r="AV217" i="30"/>
  <c r="CA288" i="119"/>
  <c r="BB219" i="30" s="1"/>
  <c r="BB217" i="30"/>
  <c r="CG288" i="119"/>
  <c r="BH219" i="30" s="1"/>
  <c r="BH217" i="30"/>
  <c r="CM288" i="119"/>
  <c r="BN219" i="30" s="1"/>
  <c r="BN217" i="30"/>
  <c r="CS288" i="119"/>
  <c r="BT219" i="30" s="1"/>
  <c r="BT217" i="30"/>
  <c r="CY288" i="119"/>
  <c r="BZ219" i="30" s="1"/>
  <c r="BZ217" i="30"/>
  <c r="DE288" i="119"/>
  <c r="CF219" i="30" s="1"/>
  <c r="CF217" i="30"/>
  <c r="BJ288" i="119"/>
  <c r="AK219" i="30" s="1"/>
  <c r="AK217" i="30"/>
  <c r="BP288" i="119"/>
  <c r="AQ219" i="30" s="1"/>
  <c r="AQ217" i="30"/>
  <c r="BV288" i="119"/>
  <c r="AW219" i="30" s="1"/>
  <c r="AW217" i="30"/>
  <c r="CB288" i="119"/>
  <c r="BC219" i="30" s="1"/>
  <c r="BC217" i="30"/>
  <c r="CH288" i="119"/>
  <c r="BI219" i="30" s="1"/>
  <c r="BI217" i="30"/>
  <c r="CN288" i="119"/>
  <c r="BO219" i="30" s="1"/>
  <c r="BO217" i="30"/>
  <c r="CT288" i="119"/>
  <c r="BU219" i="30" s="1"/>
  <c r="BU217" i="30"/>
  <c r="CZ288" i="119"/>
  <c r="CA219" i="30" s="1"/>
  <c r="CA217" i="30"/>
  <c r="BE288" i="119"/>
  <c r="AF219" i="30" s="1"/>
  <c r="AF217" i="30"/>
  <c r="BK288" i="119"/>
  <c r="AL219" i="30" s="1"/>
  <c r="AL217" i="30"/>
  <c r="BQ288" i="119"/>
  <c r="AR219" i="30" s="1"/>
  <c r="AR217" i="30"/>
  <c r="CC288" i="119"/>
  <c r="BD219" i="30" s="1"/>
  <c r="BD217" i="30"/>
  <c r="CI288" i="119"/>
  <c r="BJ219" i="30" s="1"/>
  <c r="BJ217" i="30"/>
  <c r="CO288" i="119"/>
  <c r="BP219" i="30" s="1"/>
  <c r="BP217" i="30"/>
  <c r="CU288" i="119"/>
  <c r="BV219" i="30" s="1"/>
  <c r="BV217" i="30"/>
  <c r="DA288" i="119"/>
  <c r="CB219" i="30" s="1"/>
  <c r="CB217" i="30"/>
  <c r="AZ288" i="119"/>
  <c r="AA219" i="30" s="1"/>
  <c r="AA217" i="30"/>
  <c r="BF288" i="119"/>
  <c r="AG219" i="30" s="1"/>
  <c r="AG217" i="30"/>
  <c r="BL288" i="119"/>
  <c r="AM219" i="30" s="1"/>
  <c r="AM217" i="30"/>
  <c r="BR288" i="119"/>
  <c r="AS219" i="30" s="1"/>
  <c r="AS217" i="30"/>
  <c r="BX288" i="119"/>
  <c r="AY219" i="30" s="1"/>
  <c r="AY217" i="30"/>
  <c r="CD288" i="119"/>
  <c r="BE219" i="30" s="1"/>
  <c r="BE217" i="30"/>
  <c r="CJ288" i="119"/>
  <c r="BK219" i="30" s="1"/>
  <c r="BK217" i="30"/>
  <c r="CP288" i="119"/>
  <c r="BQ219" i="30" s="1"/>
  <c r="BQ217" i="30"/>
  <c r="CV288" i="119"/>
  <c r="BW219" i="30" s="1"/>
  <c r="BW217" i="30"/>
  <c r="DB288" i="119"/>
  <c r="CC219" i="30" s="1"/>
  <c r="CC217" i="30"/>
  <c r="AD217" i="30"/>
  <c r="AX217" i="30"/>
  <c r="DV265" i="119"/>
  <c r="AP265" i="119"/>
  <c r="AV265" i="119"/>
  <c r="BB265" i="119"/>
  <c r="AC55" i="30"/>
  <c r="BH265" i="119"/>
  <c r="AI55" i="30"/>
  <c r="BN265" i="119"/>
  <c r="AO55" i="30"/>
  <c r="BT265" i="119"/>
  <c r="AU55" i="30"/>
  <c r="BZ265" i="119"/>
  <c r="BA55" i="30"/>
  <c r="CF265" i="119"/>
  <c r="BG55" i="30"/>
  <c r="CL265" i="119"/>
  <c r="BM55" i="30"/>
  <c r="CR265" i="119"/>
  <c r="BS55" i="30"/>
  <c r="CX265" i="119"/>
  <c r="BY55" i="30"/>
  <c r="DD265" i="119"/>
  <c r="CE55" i="30"/>
  <c r="DJ265" i="119"/>
  <c r="DP265" i="119"/>
  <c r="AP26" i="119"/>
  <c r="AV26" i="119"/>
  <c r="BB26" i="119"/>
  <c r="AC26" i="30" s="1"/>
  <c r="BH26" i="119"/>
  <c r="AI26" i="30" s="1"/>
  <c r="BN26" i="119"/>
  <c r="AO26" i="30" s="1"/>
  <c r="BT26" i="119"/>
  <c r="AU26" i="30" s="1"/>
  <c r="BZ26" i="119"/>
  <c r="BA26" i="30" s="1"/>
  <c r="CF26" i="119"/>
  <c r="BG26" i="30" s="1"/>
  <c r="AN265" i="119"/>
  <c r="AT265" i="119"/>
  <c r="AZ265" i="119"/>
  <c r="BF265" i="119"/>
  <c r="BL265" i="119"/>
  <c r="BR265" i="119"/>
  <c r="BX265" i="119"/>
  <c r="CD265" i="119"/>
  <c r="CJ265" i="119"/>
  <c r="CP265" i="119"/>
  <c r="CV265" i="119"/>
  <c r="DB265" i="119"/>
  <c r="DH265" i="119"/>
  <c r="DN265" i="119"/>
  <c r="DT265" i="119"/>
  <c r="AO265" i="119"/>
  <c r="AU265" i="119"/>
  <c r="BA265" i="119"/>
  <c r="BG265" i="119"/>
  <c r="BM265" i="119"/>
  <c r="BS265" i="119"/>
  <c r="BY265" i="119"/>
  <c r="CE265" i="119"/>
  <c r="CK265" i="119"/>
  <c r="CQ265" i="119"/>
  <c r="CW265" i="119"/>
  <c r="DC265" i="119"/>
  <c r="DI265" i="119"/>
  <c r="DO265" i="119"/>
  <c r="DU265" i="119"/>
  <c r="AM265" i="119"/>
  <c r="AS265" i="119"/>
  <c r="AY265" i="119"/>
  <c r="BE265" i="119"/>
  <c r="BK265" i="119"/>
  <c r="BQ265" i="119"/>
  <c r="BW265" i="119"/>
  <c r="CC265" i="119"/>
  <c r="CI265" i="119"/>
  <c r="CO265" i="119"/>
  <c r="CU265" i="119"/>
  <c r="DA265" i="119"/>
  <c r="DG265" i="119"/>
  <c r="DM265" i="119"/>
  <c r="AQ265" i="119"/>
  <c r="AW265" i="119"/>
  <c r="BC265" i="119"/>
  <c r="BI265" i="119"/>
  <c r="BO265" i="119"/>
  <c r="BU265" i="119"/>
  <c r="CA265" i="119"/>
  <c r="CG265" i="119"/>
  <c r="CM265" i="119"/>
  <c r="CS265" i="119"/>
  <c r="CY265" i="119"/>
  <c r="DE265" i="119"/>
  <c r="DK265" i="119"/>
  <c r="DQ265" i="119"/>
  <c r="DW265" i="119"/>
  <c r="AL265" i="119"/>
  <c r="AR265" i="119"/>
  <c r="AX265" i="119"/>
  <c r="BD265" i="119"/>
  <c r="BJ265" i="119"/>
  <c r="BP265" i="119"/>
  <c r="BV265" i="119"/>
  <c r="CB265" i="119"/>
  <c r="CH265" i="119"/>
  <c r="CN265" i="119"/>
  <c r="CT265" i="119"/>
  <c r="CZ265" i="119"/>
  <c r="DF265" i="119"/>
  <c r="DL265" i="119"/>
  <c r="DR265" i="119"/>
  <c r="DX265" i="119"/>
  <c r="N7" i="123" l="1"/>
  <c r="M7" i="123"/>
  <c r="R7" i="123"/>
  <c r="Q7" i="123"/>
  <c r="K8" i="123"/>
  <c r="E17" i="123"/>
  <c r="F17" i="123" s="1"/>
  <c r="W188" i="119"/>
  <c r="V146" i="30"/>
  <c r="W189" i="119"/>
  <c r="V147" i="30"/>
  <c r="M8" i="123" l="1"/>
  <c r="R8" i="123"/>
  <c r="Q8" i="123"/>
  <c r="N8" i="123"/>
  <c r="X189" i="119"/>
  <c r="W147" i="30"/>
  <c r="X188" i="119"/>
  <c r="W146" i="30"/>
  <c r="DF18" i="113"/>
  <c r="CP59" i="113"/>
  <c r="CP44" i="113"/>
  <c r="A44" i="113"/>
  <c r="A59" i="113" s="1"/>
  <c r="A30" i="113"/>
  <c r="CP31" i="113"/>
  <c r="A31" i="113"/>
  <c r="GS18" i="113"/>
  <c r="GR18" i="113"/>
  <c r="GQ18" i="113"/>
  <c r="GP18" i="113"/>
  <c r="GO18" i="113"/>
  <c r="FI18" i="113"/>
  <c r="FH18" i="113"/>
  <c r="FG18" i="113"/>
  <c r="FF18" i="113"/>
  <c r="FE18" i="113"/>
  <c r="GS44" i="113" l="1"/>
  <c r="GS31" i="113"/>
  <c r="FI31" i="113"/>
  <c r="FI44" i="113"/>
  <c r="CT44" i="113" l="1"/>
  <c r="CT31" i="113"/>
  <c r="FI92" i="2" l="1"/>
  <c r="W50" i="119" s="1"/>
  <c r="FH92" i="2"/>
  <c r="V50" i="119" s="1"/>
  <c r="V48" i="30" s="1"/>
  <c r="FN88" i="2"/>
  <c r="AB47" i="119" s="1"/>
  <c r="FM88" i="2"/>
  <c r="AA47" i="119" s="1"/>
  <c r="FI88" i="2"/>
  <c r="W47" i="119" s="1"/>
  <c r="W45" i="30" s="1"/>
  <c r="FH88" i="2"/>
  <c r="V47" i="119" s="1"/>
  <c r="FN15" i="2"/>
  <c r="FM15" i="2"/>
  <c r="FL15" i="2"/>
  <c r="FK15" i="2"/>
  <c r="FJ15" i="2"/>
  <c r="FI15" i="2"/>
  <c r="FH15" i="2"/>
  <c r="W48" i="30" l="1"/>
  <c r="V45" i="30"/>
  <c r="CX44" i="113" l="1"/>
  <c r="CX31" i="113"/>
  <c r="U8" i="118"/>
  <c r="U9" i="118" s="1"/>
  <c r="U10" i="118" s="1"/>
  <c r="V4" i="118"/>
  <c r="K12" i="118"/>
  <c r="K84" i="118" s="1"/>
  <c r="J12" i="118"/>
  <c r="J49" i="118" s="1"/>
  <c r="I12" i="118"/>
  <c r="I49" i="118" s="1"/>
  <c r="H12" i="118"/>
  <c r="H49" i="118" s="1"/>
  <c r="G12" i="118"/>
  <c r="G84" i="118" s="1"/>
  <c r="F12" i="118"/>
  <c r="F84" i="118" s="1"/>
  <c r="E12" i="118"/>
  <c r="E49" i="118" s="1"/>
  <c r="D12" i="118"/>
  <c r="D84" i="118" s="1"/>
  <c r="C12" i="118"/>
  <c r="C84" i="118" s="1"/>
  <c r="V15" i="118"/>
  <c r="A101" i="118"/>
  <c r="A100" i="118"/>
  <c r="L84" i="118"/>
  <c r="B84" i="118"/>
  <c r="A66" i="118"/>
  <c r="A65" i="118"/>
  <c r="N15" i="118"/>
  <c r="N14" i="118"/>
  <c r="L49" i="118"/>
  <c r="B49" i="118"/>
  <c r="C1" i="118"/>
  <c r="W15" i="118" l="1"/>
  <c r="U15" i="118"/>
  <c r="J84" i="118"/>
  <c r="D49" i="118"/>
  <c r="G49" i="118"/>
  <c r="K49" i="118"/>
  <c r="E84" i="118"/>
  <c r="H84" i="118"/>
  <c r="F49" i="118"/>
  <c r="I84" i="118"/>
  <c r="C49" i="118"/>
  <c r="DF44" i="113" l="1"/>
  <c r="DB44" i="113"/>
  <c r="DF31" i="113"/>
  <c r="DB31" i="113"/>
  <c r="CK50" i="51" l="1"/>
  <c r="CJ50" i="51"/>
  <c r="CI50" i="51"/>
  <c r="CH50" i="51"/>
  <c r="CG50" i="51"/>
  <c r="CF50" i="51"/>
  <c r="CE50" i="51"/>
  <c r="CD50" i="51"/>
  <c r="CC50" i="51"/>
  <c r="CB50" i="51"/>
  <c r="CA50" i="51"/>
  <c r="BZ50" i="51"/>
  <c r="BY50" i="51"/>
  <c r="BX50" i="51"/>
  <c r="BW50" i="51"/>
  <c r="BV50" i="51"/>
  <c r="BU50" i="51"/>
  <c r="BT50" i="51"/>
  <c r="BS50" i="51"/>
  <c r="BR50" i="51"/>
  <c r="BQ50" i="51"/>
  <c r="BP50" i="51"/>
  <c r="BO50" i="51"/>
  <c r="BN50" i="51"/>
  <c r="BM50" i="51"/>
  <c r="BL50" i="51"/>
  <c r="BK50" i="51"/>
  <c r="BJ50" i="51"/>
  <c r="BI50" i="51"/>
  <c r="BH50" i="51"/>
  <c r="BG50" i="51"/>
  <c r="BF50" i="51"/>
  <c r="BE50" i="51"/>
  <c r="BD50" i="51"/>
  <c r="BC50" i="51"/>
  <c r="BB50" i="51"/>
  <c r="BA50" i="51"/>
  <c r="AZ50" i="51"/>
  <c r="AY50" i="51"/>
  <c r="AX50" i="51"/>
  <c r="AW50" i="51"/>
  <c r="AV50" i="51"/>
  <c r="AU50" i="51"/>
  <c r="AT50" i="51"/>
  <c r="AS50" i="51"/>
  <c r="AR50" i="51"/>
  <c r="AQ50" i="51"/>
  <c r="AP50" i="51"/>
  <c r="AO50" i="51"/>
  <c r="AN50" i="51"/>
  <c r="AM50" i="51"/>
  <c r="AL50" i="51"/>
  <c r="AK50" i="51"/>
  <c r="AJ50" i="51"/>
  <c r="AI50" i="51"/>
  <c r="AH50" i="51"/>
  <c r="AG50" i="51"/>
  <c r="AF50" i="51"/>
  <c r="AE50" i="51"/>
  <c r="AD50" i="51"/>
  <c r="AC50" i="51"/>
  <c r="AB50" i="51"/>
  <c r="AA50" i="51"/>
  <c r="Z50" i="51"/>
  <c r="Y50" i="51"/>
  <c r="X50" i="51"/>
  <c r="W50" i="51"/>
  <c r="V50" i="51"/>
  <c r="U50" i="51"/>
  <c r="T50" i="51"/>
  <c r="S50" i="51"/>
  <c r="R50" i="51"/>
  <c r="Q50" i="51"/>
  <c r="P50" i="51"/>
  <c r="O50" i="51"/>
  <c r="N50" i="51"/>
  <c r="M50" i="51"/>
  <c r="L50" i="51"/>
  <c r="K50" i="51"/>
  <c r="J50" i="51"/>
  <c r="I50" i="51"/>
  <c r="H50" i="51"/>
  <c r="G50" i="51"/>
  <c r="F50" i="51"/>
  <c r="E50" i="51"/>
  <c r="D50" i="51"/>
  <c r="C50" i="51"/>
  <c r="B50" i="51"/>
  <c r="GC9" i="3" l="1"/>
  <c r="GD9" i="3"/>
  <c r="GE9" i="3"/>
  <c r="GF9" i="3"/>
  <c r="GG9" i="3"/>
  <c r="GH9" i="3"/>
  <c r="GI9" i="3"/>
  <c r="GI47" i="3"/>
  <c r="GI46" i="3"/>
  <c r="GI45" i="3"/>
  <c r="GI43" i="3"/>
  <c r="GI42" i="3"/>
  <c r="GI40" i="3"/>
  <c r="GI39" i="3"/>
  <c r="GI38" i="3"/>
  <c r="GI34" i="3"/>
  <c r="GI33" i="3"/>
  <c r="GI31" i="3"/>
  <c r="GI30" i="3"/>
  <c r="GI29" i="3"/>
  <c r="GI28" i="3"/>
  <c r="GI15" i="3"/>
  <c r="GI14" i="3"/>
  <c r="GH47" i="3"/>
  <c r="GH46" i="3"/>
  <c r="GH45" i="3"/>
  <c r="GH43" i="3"/>
  <c r="GH42" i="3"/>
  <c r="GH40" i="3"/>
  <c r="GH39" i="3"/>
  <c r="GH38" i="3"/>
  <c r="GH34" i="3"/>
  <c r="GH33" i="3"/>
  <c r="GH31" i="3"/>
  <c r="GH30" i="3"/>
  <c r="GH29" i="3"/>
  <c r="GH28" i="3"/>
  <c r="GH15" i="3"/>
  <c r="GH14" i="3"/>
  <c r="GG47" i="3"/>
  <c r="GG46" i="3"/>
  <c r="GG45" i="3"/>
  <c r="GG43" i="3"/>
  <c r="GG42" i="3"/>
  <c r="GG40" i="3"/>
  <c r="GG39" i="3"/>
  <c r="GG38" i="3"/>
  <c r="GG34" i="3"/>
  <c r="GG33" i="3"/>
  <c r="GG31" i="3"/>
  <c r="GG30" i="3"/>
  <c r="GG29" i="3"/>
  <c r="GG28" i="3"/>
  <c r="GG15" i="3"/>
  <c r="GG14" i="3"/>
  <c r="GF47" i="3"/>
  <c r="GF46" i="3"/>
  <c r="GF45" i="3"/>
  <c r="GF43" i="3"/>
  <c r="GF42" i="3"/>
  <c r="GF40" i="3"/>
  <c r="GF39" i="3"/>
  <c r="GF38" i="3"/>
  <c r="GF34" i="3"/>
  <c r="GF33" i="3"/>
  <c r="GF31" i="3"/>
  <c r="GF30" i="3"/>
  <c r="GF29" i="3"/>
  <c r="GF28" i="3"/>
  <c r="GF15" i="3"/>
  <c r="GF14" i="3"/>
  <c r="GE47" i="3"/>
  <c r="GE46" i="3"/>
  <c r="GE45" i="3"/>
  <c r="GE43" i="3"/>
  <c r="GE42" i="3"/>
  <c r="GE40" i="3"/>
  <c r="GE39" i="3"/>
  <c r="GE38" i="3"/>
  <c r="GE34" i="3"/>
  <c r="GE33" i="3"/>
  <c r="GE31" i="3"/>
  <c r="GE30" i="3"/>
  <c r="GE29" i="3"/>
  <c r="GE28" i="3"/>
  <c r="GE15" i="3"/>
  <c r="GE14" i="3"/>
  <c r="GD47" i="3"/>
  <c r="GD46" i="3"/>
  <c r="GD45" i="3"/>
  <c r="GD43" i="3"/>
  <c r="GD42" i="3"/>
  <c r="GD40" i="3"/>
  <c r="GD39" i="3"/>
  <c r="GD38" i="3"/>
  <c r="GD34" i="3"/>
  <c r="GD33" i="3"/>
  <c r="GD31" i="3"/>
  <c r="GD30" i="3"/>
  <c r="GD29" i="3"/>
  <c r="GD28" i="3"/>
  <c r="GD15" i="3"/>
  <c r="GD14" i="3"/>
  <c r="GC47" i="3"/>
  <c r="GC46" i="3"/>
  <c r="GC45" i="3"/>
  <c r="GC43" i="3"/>
  <c r="GC42" i="3"/>
  <c r="GC40" i="3"/>
  <c r="GC39" i="3"/>
  <c r="GC38" i="3"/>
  <c r="GC34" i="3"/>
  <c r="GC33" i="3"/>
  <c r="GC31" i="3"/>
  <c r="GC30" i="3"/>
  <c r="GC29" i="3"/>
  <c r="GC28" i="3"/>
  <c r="GC15" i="3"/>
  <c r="GC14" i="3"/>
  <c r="F29" i="117"/>
  <c r="G29" i="117" s="1"/>
  <c r="H29" i="117" s="1"/>
  <c r="I29" i="117" s="1"/>
  <c r="J29" i="117" s="1"/>
  <c r="K29" i="117" s="1"/>
  <c r="L29" i="117" s="1"/>
  <c r="L54" i="117" s="1"/>
  <c r="C16" i="117"/>
  <c r="E54" i="117"/>
  <c r="G49" i="117"/>
  <c r="G42" i="117"/>
  <c r="H42" i="117" s="1"/>
  <c r="I42" i="117" s="1"/>
  <c r="J42" i="117" s="1"/>
  <c r="K42" i="117" s="1"/>
  <c r="L42" i="117" s="1"/>
  <c r="N42" i="117" s="1"/>
  <c r="N40" i="117"/>
  <c r="I54" i="117" l="1"/>
  <c r="J54" i="117"/>
  <c r="G54" i="117"/>
  <c r="K54" i="117"/>
  <c r="H54" i="117"/>
  <c r="F54" i="117"/>
  <c r="S20" i="117" l="1"/>
  <c r="C34" i="114"/>
  <c r="E34" i="114"/>
  <c r="F34" i="114"/>
  <c r="D34" i="114"/>
  <c r="FD161" i="113"/>
  <c r="FC161" i="113"/>
  <c r="FB161" i="113"/>
  <c r="FA161" i="113"/>
  <c r="EZ161" i="113"/>
  <c r="EY161" i="113"/>
  <c r="EX161" i="113"/>
  <c r="EW161" i="113"/>
  <c r="EV161" i="113"/>
  <c r="EU161" i="113"/>
  <c r="ET161" i="113"/>
  <c r="ES161" i="113"/>
  <c r="ER161" i="113"/>
  <c r="EQ161" i="113"/>
  <c r="EP161" i="113"/>
  <c r="EO161" i="113"/>
  <c r="EN161" i="113"/>
  <c r="EM161" i="113"/>
  <c r="FD148" i="113"/>
  <c r="FC148" i="113"/>
  <c r="FB148" i="113"/>
  <c r="FA148" i="113"/>
  <c r="EZ148" i="113"/>
  <c r="EY148" i="113"/>
  <c r="EX148" i="113"/>
  <c r="EW148" i="113"/>
  <c r="EV148" i="113"/>
  <c r="EU148" i="113"/>
  <c r="ET148" i="113"/>
  <c r="ES148" i="113"/>
  <c r="ER148" i="113"/>
  <c r="EQ148" i="113"/>
  <c r="EP148" i="113"/>
  <c r="EO148" i="113"/>
  <c r="EN148" i="113"/>
  <c r="EM148" i="113"/>
  <c r="FD141" i="113"/>
  <c r="FC141" i="113"/>
  <c r="FB141" i="113"/>
  <c r="FA141" i="113"/>
  <c r="EZ141" i="113"/>
  <c r="EY141" i="113"/>
  <c r="EX141" i="113"/>
  <c r="EW141" i="113"/>
  <c r="EV141" i="113"/>
  <c r="EU141" i="113"/>
  <c r="ET141" i="113"/>
  <c r="ES141" i="113"/>
  <c r="ER141" i="113"/>
  <c r="EQ141" i="113"/>
  <c r="EP141" i="113"/>
  <c r="EO141" i="113"/>
  <c r="EN141" i="113"/>
  <c r="EM141" i="113"/>
  <c r="FD135" i="113"/>
  <c r="FC135" i="113"/>
  <c r="FB135" i="113"/>
  <c r="FA135" i="113"/>
  <c r="EZ135" i="113"/>
  <c r="EY135" i="113"/>
  <c r="EX135" i="113"/>
  <c r="EW135" i="113"/>
  <c r="EV135" i="113"/>
  <c r="EU135" i="113"/>
  <c r="ET135" i="113"/>
  <c r="ES135" i="113"/>
  <c r="ER135" i="113"/>
  <c r="EQ135" i="113"/>
  <c r="EP135" i="113"/>
  <c r="EO135" i="113"/>
  <c r="EN135" i="113"/>
  <c r="EM135" i="113"/>
  <c r="FD129" i="113"/>
  <c r="FC129" i="113"/>
  <c r="FB129" i="113"/>
  <c r="FA129" i="113"/>
  <c r="EZ129" i="113"/>
  <c r="EY129" i="113"/>
  <c r="EX129" i="113"/>
  <c r="EW129" i="113"/>
  <c r="EV129" i="113"/>
  <c r="EU129" i="113"/>
  <c r="ET129" i="113"/>
  <c r="ES129" i="113"/>
  <c r="ER129" i="113"/>
  <c r="EQ129" i="113"/>
  <c r="EP129" i="113"/>
  <c r="EO129" i="113"/>
  <c r="EN129" i="113"/>
  <c r="EM129" i="113"/>
  <c r="FD123" i="113"/>
  <c r="FC123" i="113"/>
  <c r="FB123" i="113"/>
  <c r="FA123" i="113"/>
  <c r="EZ123" i="113"/>
  <c r="EY123" i="113"/>
  <c r="EX123" i="113"/>
  <c r="EW123" i="113"/>
  <c r="EV123" i="113"/>
  <c r="EU123" i="113"/>
  <c r="ET123" i="113"/>
  <c r="ES123" i="113"/>
  <c r="ER123" i="113"/>
  <c r="EQ123" i="113"/>
  <c r="EP123" i="113"/>
  <c r="EO123" i="113"/>
  <c r="EN123" i="113"/>
  <c r="EM123" i="113"/>
  <c r="FD117" i="113"/>
  <c r="FC117" i="113"/>
  <c r="FB117" i="113"/>
  <c r="FA117" i="113"/>
  <c r="EZ117" i="113"/>
  <c r="EY117" i="113"/>
  <c r="EX117" i="113"/>
  <c r="EW117" i="113"/>
  <c r="EV117" i="113"/>
  <c r="EU117" i="113"/>
  <c r="ET117" i="113"/>
  <c r="ES117" i="113"/>
  <c r="ER117" i="113"/>
  <c r="EQ117" i="113"/>
  <c r="EP117" i="113"/>
  <c r="EO117" i="113"/>
  <c r="EN117" i="113"/>
  <c r="EM117" i="113"/>
  <c r="FD111" i="113"/>
  <c r="FC111" i="113"/>
  <c r="FB111" i="113"/>
  <c r="FA111" i="113"/>
  <c r="EZ111" i="113"/>
  <c r="EY111" i="113"/>
  <c r="EX111" i="113"/>
  <c r="EW111" i="113"/>
  <c r="EV111" i="113"/>
  <c r="EU111" i="113"/>
  <c r="ET111" i="113"/>
  <c r="ES111" i="113"/>
  <c r="ER111" i="113"/>
  <c r="EQ111" i="113"/>
  <c r="EP111" i="113"/>
  <c r="EO111" i="113"/>
  <c r="EN111" i="113"/>
  <c r="EM111" i="113"/>
  <c r="FD97" i="113"/>
  <c r="FC97" i="113"/>
  <c r="FB97" i="113"/>
  <c r="FA97" i="113"/>
  <c r="EZ97" i="113"/>
  <c r="EY97" i="113"/>
  <c r="EX97" i="113"/>
  <c r="EW97" i="113"/>
  <c r="EV97" i="113"/>
  <c r="EU97" i="113"/>
  <c r="ET97" i="113"/>
  <c r="ES97" i="113"/>
  <c r="ER97" i="113"/>
  <c r="EQ97" i="113"/>
  <c r="EP97" i="113"/>
  <c r="EO97" i="113"/>
  <c r="EN97" i="113"/>
  <c r="EM97" i="113"/>
  <c r="FD88" i="113"/>
  <c r="FC88" i="113"/>
  <c r="FB88" i="113"/>
  <c r="FA88" i="113"/>
  <c r="EZ88" i="113"/>
  <c r="EY88" i="113"/>
  <c r="EX88" i="113"/>
  <c r="EW88" i="113"/>
  <c r="EV88" i="113"/>
  <c r="EU88" i="113"/>
  <c r="ET88" i="113"/>
  <c r="ES88" i="113"/>
  <c r="ER88" i="113"/>
  <c r="EQ88" i="113"/>
  <c r="EP88" i="113"/>
  <c r="EO88" i="113"/>
  <c r="EN88" i="113"/>
  <c r="EM88" i="113"/>
  <c r="FD74" i="113"/>
  <c r="FC74" i="113"/>
  <c r="FB74" i="113"/>
  <c r="FA74" i="113"/>
  <c r="EZ74" i="113"/>
  <c r="EY74" i="113"/>
  <c r="EX74" i="113"/>
  <c r="EW74" i="113"/>
  <c r="EV74" i="113"/>
  <c r="EU74" i="113"/>
  <c r="ET74" i="113"/>
  <c r="ES74" i="113"/>
  <c r="ER74" i="113"/>
  <c r="EQ74" i="113"/>
  <c r="EP74" i="113"/>
  <c r="EO74" i="113"/>
  <c r="EN74" i="113"/>
  <c r="EM74" i="113"/>
  <c r="CS40" i="6" l="1"/>
  <c r="CT40" i="6" s="1"/>
  <c r="CU40" i="6" s="1"/>
  <c r="CV40" i="6" s="1"/>
  <c r="CW40" i="6" s="1"/>
  <c r="CX40" i="6" s="1"/>
  <c r="CY40" i="6" s="1"/>
  <c r="CZ40" i="6" s="1"/>
  <c r="DA40" i="6" s="1"/>
  <c r="DB40" i="6" s="1"/>
  <c r="DC40" i="6" s="1"/>
  <c r="DD40" i="6" s="1"/>
  <c r="DE40" i="6" s="1"/>
  <c r="DF40" i="6" s="1"/>
  <c r="DG40" i="6" s="1"/>
  <c r="DH40" i="6" s="1"/>
  <c r="DI40" i="6" s="1"/>
  <c r="DJ40" i="6" s="1"/>
  <c r="DK40" i="6" s="1"/>
  <c r="DL40" i="6" s="1"/>
  <c r="DM40" i="6" s="1"/>
  <c r="DN40" i="6" s="1"/>
  <c r="DO40" i="6" s="1"/>
  <c r="DP40" i="6" s="1"/>
  <c r="DQ40" i="6" s="1"/>
  <c r="CQ23" i="6"/>
  <c r="CQ24" i="6" s="1"/>
  <c r="FA229" i="112"/>
  <c r="FB229" i="112"/>
  <c r="FC229" i="112"/>
  <c r="FD229" i="112"/>
  <c r="FG99" i="112" l="1"/>
  <c r="FG92" i="112"/>
  <c r="FG93" i="112"/>
  <c r="FG100" i="112"/>
  <c r="BI239" i="112" l="1"/>
  <c r="BH239" i="112"/>
  <c r="BG239" i="112"/>
  <c r="BF239" i="112"/>
  <c r="BE239" i="112"/>
  <c r="BD239" i="112"/>
  <c r="BC239" i="112"/>
  <c r="BB239" i="112"/>
  <c r="BA239" i="112"/>
  <c r="AZ239" i="112"/>
  <c r="AY239" i="112"/>
  <c r="AX239" i="112"/>
  <c r="AW239" i="112"/>
  <c r="AV239" i="112"/>
  <c r="AU239" i="112"/>
  <c r="AT239" i="112"/>
  <c r="BI234" i="112" l="1"/>
  <c r="BH234" i="112"/>
  <c r="BG234" i="112"/>
  <c r="BF234" i="112"/>
  <c r="BE234" i="112"/>
  <c r="BD234" i="112"/>
  <c r="BC234" i="112"/>
  <c r="BB234" i="112"/>
  <c r="BA234" i="112"/>
  <c r="AZ234" i="112"/>
  <c r="AY234" i="112"/>
  <c r="AX234" i="112"/>
  <c r="AW234" i="112"/>
  <c r="AV234" i="112"/>
  <c r="AU234" i="112"/>
  <c r="AT234" i="112"/>
  <c r="CO237" i="112"/>
  <c r="CN237" i="112"/>
  <c r="CM237" i="112"/>
  <c r="DB237" i="112"/>
  <c r="CX237" i="112"/>
  <c r="AW229" i="112"/>
  <c r="AV229" i="112"/>
  <c r="AU229" i="112"/>
  <c r="AT229" i="112"/>
  <c r="BA229" i="112"/>
  <c r="AZ229" i="112"/>
  <c r="AY229" i="112"/>
  <c r="AX229" i="112"/>
  <c r="BE229" i="112"/>
  <c r="BD229" i="112"/>
  <c r="BC229" i="112"/>
  <c r="BB229" i="112"/>
  <c r="BI229" i="112"/>
  <c r="BH229" i="112"/>
  <c r="BG229" i="112"/>
  <c r="BF229" i="112"/>
  <c r="B80" i="51"/>
  <c r="C80" i="51"/>
  <c r="D80" i="51"/>
  <c r="E80" i="51"/>
  <c r="F80" i="51"/>
  <c r="G80" i="51"/>
  <c r="H80" i="51"/>
  <c r="I80" i="51"/>
  <c r="J80" i="51"/>
  <c r="K80" i="51"/>
  <c r="L80" i="51"/>
  <c r="M80" i="51"/>
  <c r="N80" i="51"/>
  <c r="O80" i="51"/>
  <c r="P80" i="51"/>
  <c r="Q80" i="51"/>
  <c r="R80" i="51"/>
  <c r="S80" i="51"/>
  <c r="T80" i="51"/>
  <c r="U80" i="51"/>
  <c r="V80" i="51"/>
  <c r="W80" i="51"/>
  <c r="X80" i="51"/>
  <c r="Y80" i="51"/>
  <c r="Z80" i="51"/>
  <c r="AA80" i="51"/>
  <c r="AB80" i="51"/>
  <c r="AC80" i="51"/>
  <c r="AD80" i="51"/>
  <c r="AE80" i="51"/>
  <c r="AF80" i="51"/>
  <c r="AG80" i="51"/>
  <c r="AH80" i="51"/>
  <c r="AI80" i="51"/>
  <c r="AJ80" i="51"/>
  <c r="AK80" i="51"/>
  <c r="AL80" i="51"/>
  <c r="AM80" i="51"/>
  <c r="AN80" i="51"/>
  <c r="AO80" i="51"/>
  <c r="AP80" i="51"/>
  <c r="AQ80" i="51"/>
  <c r="AR80" i="51"/>
  <c r="AS80" i="51"/>
  <c r="AT80" i="51"/>
  <c r="AU80" i="51"/>
  <c r="AV80" i="51"/>
  <c r="AW80" i="51"/>
  <c r="AX80" i="51"/>
  <c r="AY80" i="51"/>
  <c r="AZ80" i="51"/>
  <c r="BA80" i="51"/>
  <c r="BB80" i="51"/>
  <c r="BC80" i="51"/>
  <c r="BD80" i="51"/>
  <c r="BE80" i="51"/>
  <c r="BF80" i="51"/>
  <c r="BG80" i="51"/>
  <c r="BH80" i="51"/>
  <c r="BI80" i="51"/>
  <c r="BJ80" i="51"/>
  <c r="BK80" i="51"/>
  <c r="BL80" i="51"/>
  <c r="BM80" i="51"/>
  <c r="BN80" i="51"/>
  <c r="BO80" i="51"/>
  <c r="BP80" i="51"/>
  <c r="BQ80" i="51"/>
  <c r="BR80" i="51"/>
  <c r="BS80" i="51"/>
  <c r="BT80" i="51"/>
  <c r="BU80" i="51"/>
  <c r="BV80" i="51"/>
  <c r="BW80" i="51"/>
  <c r="BX80" i="51"/>
  <c r="BY80" i="51"/>
  <c r="BZ80" i="51"/>
  <c r="CA80" i="51"/>
  <c r="CB80" i="51"/>
  <c r="CC80" i="51"/>
  <c r="CD80" i="51"/>
  <c r="CE80" i="51"/>
  <c r="CF80" i="51"/>
  <c r="CG80" i="51"/>
  <c r="CI80" i="51"/>
  <c r="CJ80" i="51"/>
  <c r="CK80" i="51"/>
  <c r="CL80" i="51"/>
  <c r="CM80" i="51"/>
  <c r="CN80" i="51"/>
  <c r="CO80" i="51"/>
  <c r="CT80" i="51"/>
  <c r="CX80" i="51"/>
  <c r="DB80" i="51"/>
  <c r="FG80" i="51"/>
  <c r="FF80" i="51"/>
  <c r="FE80" i="51"/>
  <c r="FD80" i="51"/>
  <c r="FC80" i="51"/>
  <c r="FB80" i="51"/>
  <c r="FA80" i="51"/>
  <c r="EZ80" i="51"/>
  <c r="EY80" i="51"/>
  <c r="EX80" i="51"/>
  <c r="EW80" i="51"/>
  <c r="EV80" i="51"/>
  <c r="EU80" i="51"/>
  <c r="ET80" i="51"/>
  <c r="ES80" i="51"/>
  <c r="ER80" i="51"/>
  <c r="EQ80" i="51"/>
  <c r="EP80" i="51"/>
  <c r="EO80" i="51"/>
  <c r="EN80" i="51"/>
  <c r="EM80" i="51"/>
  <c r="EZ79" i="51"/>
  <c r="EY79" i="51"/>
  <c r="EX79" i="51"/>
  <c r="EW79" i="51"/>
  <c r="EV79" i="51"/>
  <c r="EU79" i="51"/>
  <c r="ET79" i="51"/>
  <c r="ES79" i="51"/>
  <c r="ER79" i="51"/>
  <c r="EQ79" i="51"/>
  <c r="EP79" i="51"/>
  <c r="EO79" i="51"/>
  <c r="EN79" i="51"/>
  <c r="EM79" i="51"/>
  <c r="AU79" i="51"/>
  <c r="AT79" i="51"/>
  <c r="AS79" i="51"/>
  <c r="AR79" i="51"/>
  <c r="AQ79" i="51"/>
  <c r="AP79" i="51"/>
  <c r="AO79" i="51"/>
  <c r="AN79" i="51"/>
  <c r="AM79" i="51"/>
  <c r="AL79" i="51"/>
  <c r="AK79" i="51"/>
  <c r="AJ79" i="51"/>
  <c r="AI79" i="51"/>
  <c r="AH79" i="51"/>
  <c r="AG79" i="51"/>
  <c r="AF79" i="51"/>
  <c r="AE79" i="51"/>
  <c r="AD79" i="51"/>
  <c r="AC79" i="51"/>
  <c r="AB79" i="51"/>
  <c r="AA79" i="51"/>
  <c r="Z79" i="51"/>
  <c r="Y79" i="51"/>
  <c r="X79" i="51"/>
  <c r="W79" i="51"/>
  <c r="V79" i="51"/>
  <c r="U79" i="51"/>
  <c r="T79" i="51"/>
  <c r="S79" i="51"/>
  <c r="R79" i="51"/>
  <c r="Q79" i="51"/>
  <c r="P79" i="51"/>
  <c r="O79" i="51"/>
  <c r="N79" i="51"/>
  <c r="M79" i="51"/>
  <c r="L79" i="51"/>
  <c r="K79" i="51"/>
  <c r="J79" i="51"/>
  <c r="I79" i="51"/>
  <c r="H79" i="51"/>
  <c r="G79" i="51"/>
  <c r="F79" i="51"/>
  <c r="E79" i="51"/>
  <c r="D79" i="51"/>
  <c r="C79" i="51"/>
  <c r="B79" i="51"/>
  <c r="DU150" i="113" l="1"/>
  <c r="DY150" i="113" s="1"/>
  <c r="EC150" i="113" s="1"/>
  <c r="EG150" i="113" s="1"/>
  <c r="EK150" i="113" s="1"/>
  <c r="DT150" i="113"/>
  <c r="DX150" i="113" s="1"/>
  <c r="EB150" i="113" s="1"/>
  <c r="EF150" i="113" s="1"/>
  <c r="EJ150" i="113" s="1"/>
  <c r="DS150" i="113"/>
  <c r="DW150" i="113" s="1"/>
  <c r="EA150" i="113" s="1"/>
  <c r="EE150" i="113" s="1"/>
  <c r="EI150" i="113" s="1"/>
  <c r="DR150" i="113"/>
  <c r="DV150" i="113" s="1"/>
  <c r="DZ150" i="113" s="1"/>
  <c r="ED150" i="113" s="1"/>
  <c r="EH150" i="113" s="1"/>
  <c r="HE9" i="51" l="1"/>
  <c r="HE56" i="51" s="1"/>
  <c r="HD9" i="51"/>
  <c r="HD56" i="51" s="1"/>
  <c r="HC9" i="51"/>
  <c r="HC19" i="51" s="1"/>
  <c r="HB9" i="51"/>
  <c r="HB19" i="51" s="1"/>
  <c r="GR70" i="112"/>
  <c r="GQ70" i="112"/>
  <c r="GP70" i="112"/>
  <c r="GO70" i="112"/>
  <c r="GN70" i="112"/>
  <c r="GM70" i="112"/>
  <c r="GL70" i="112"/>
  <c r="GK70" i="112"/>
  <c r="GJ70" i="112"/>
  <c r="GI70" i="112"/>
  <c r="GH70" i="112"/>
  <c r="GG70" i="112"/>
  <c r="GF70" i="112"/>
  <c r="GE70" i="112"/>
  <c r="GD70" i="112"/>
  <c r="GC70" i="112"/>
  <c r="GB70" i="112"/>
  <c r="GA70" i="112"/>
  <c r="FZ70" i="112"/>
  <c r="GR69" i="112"/>
  <c r="GQ69" i="112"/>
  <c r="GP69" i="112"/>
  <c r="GO69" i="112"/>
  <c r="GN69" i="112"/>
  <c r="GM69" i="112"/>
  <c r="GL69" i="112"/>
  <c r="GK69" i="112"/>
  <c r="GJ69" i="112"/>
  <c r="GI69" i="112"/>
  <c r="GH69" i="112"/>
  <c r="GG69" i="112"/>
  <c r="GF69" i="112"/>
  <c r="GE69" i="112"/>
  <c r="GD69" i="112"/>
  <c r="GC69" i="112"/>
  <c r="GB69" i="112"/>
  <c r="GA69" i="112"/>
  <c r="FZ69" i="112"/>
  <c r="GR68" i="112"/>
  <c r="GQ68" i="112"/>
  <c r="GP68" i="112"/>
  <c r="GO68" i="112"/>
  <c r="GN68" i="112"/>
  <c r="GM68" i="112"/>
  <c r="GL68" i="112"/>
  <c r="GK68" i="112"/>
  <c r="GJ68" i="112"/>
  <c r="GI68" i="112"/>
  <c r="GH68" i="112"/>
  <c r="GG68" i="112"/>
  <c r="GF68" i="112"/>
  <c r="GE68" i="112"/>
  <c r="GD68" i="112"/>
  <c r="GC68" i="112"/>
  <c r="GB68" i="112"/>
  <c r="GA68" i="112"/>
  <c r="FZ68" i="112"/>
  <c r="GR67" i="112"/>
  <c r="GQ67" i="112"/>
  <c r="GP67" i="112"/>
  <c r="GO67" i="112"/>
  <c r="GN67" i="112"/>
  <c r="GM67" i="112"/>
  <c r="GL67" i="112"/>
  <c r="GK67" i="112"/>
  <c r="GJ67" i="112"/>
  <c r="GI67" i="112"/>
  <c r="GH67" i="112"/>
  <c r="GG67" i="112"/>
  <c r="GF67" i="112"/>
  <c r="GE67" i="112"/>
  <c r="GD67" i="112"/>
  <c r="GC67" i="112"/>
  <c r="GB67" i="112"/>
  <c r="GA67" i="112"/>
  <c r="FZ67" i="112"/>
  <c r="HA66" i="112"/>
  <c r="GZ66" i="112"/>
  <c r="GY66" i="112"/>
  <c r="GX66" i="112"/>
  <c r="GW66" i="112"/>
  <c r="GV66" i="112"/>
  <c r="GU66" i="112"/>
  <c r="GT66" i="112"/>
  <c r="GS66" i="112"/>
  <c r="GR66" i="112"/>
  <c r="GQ66" i="112"/>
  <c r="GP66" i="112"/>
  <c r="GO66" i="112"/>
  <c r="GN66" i="112"/>
  <c r="GM66" i="112"/>
  <c r="GL66" i="112"/>
  <c r="GK66" i="112"/>
  <c r="GJ66" i="112"/>
  <c r="GI66" i="112"/>
  <c r="GH66" i="112"/>
  <c r="GG66" i="112"/>
  <c r="GF66" i="112"/>
  <c r="GE66" i="112"/>
  <c r="GD66" i="112"/>
  <c r="GC66" i="112"/>
  <c r="GB66" i="112"/>
  <c r="GA66" i="112"/>
  <c r="FZ66" i="112"/>
  <c r="HA65" i="112"/>
  <c r="GZ65" i="112"/>
  <c r="GY65" i="112"/>
  <c r="GX65" i="112"/>
  <c r="GW65" i="112"/>
  <c r="GV65" i="112"/>
  <c r="GU65" i="112"/>
  <c r="GT65" i="112"/>
  <c r="GS65" i="112"/>
  <c r="GR65" i="112"/>
  <c r="GQ65" i="112"/>
  <c r="GP65" i="112"/>
  <c r="GO65" i="112"/>
  <c r="GN65" i="112"/>
  <c r="GM65" i="112"/>
  <c r="GL65" i="112"/>
  <c r="GK65" i="112"/>
  <c r="GJ65" i="112"/>
  <c r="GI65" i="112"/>
  <c r="GH65" i="112"/>
  <c r="GG65" i="112"/>
  <c r="GF65" i="112"/>
  <c r="GE65" i="112"/>
  <c r="GD65" i="112"/>
  <c r="GC65" i="112"/>
  <c r="GB65" i="112"/>
  <c r="GA65" i="112"/>
  <c r="FZ65" i="112"/>
  <c r="HA64" i="112"/>
  <c r="GZ64" i="112"/>
  <c r="GY64" i="112"/>
  <c r="GX64" i="112"/>
  <c r="GW64" i="112"/>
  <c r="GV64" i="112"/>
  <c r="GU64" i="112"/>
  <c r="GT64" i="112"/>
  <c r="GS64" i="112"/>
  <c r="GR64" i="112"/>
  <c r="GQ64" i="112"/>
  <c r="GP64" i="112"/>
  <c r="GO64" i="112"/>
  <c r="GN64" i="112"/>
  <c r="GM64" i="112"/>
  <c r="GL64" i="112"/>
  <c r="GK64" i="112"/>
  <c r="GJ64" i="112"/>
  <c r="GI64" i="112"/>
  <c r="GH64" i="112"/>
  <c r="GG64" i="112"/>
  <c r="GF64" i="112"/>
  <c r="GE64" i="112"/>
  <c r="GD64" i="112"/>
  <c r="GC64" i="112"/>
  <c r="GB64" i="112"/>
  <c r="GA64" i="112"/>
  <c r="FZ64" i="112"/>
  <c r="HA63" i="112"/>
  <c r="GZ63" i="112"/>
  <c r="GY63" i="112"/>
  <c r="GX63" i="112"/>
  <c r="GW63" i="112"/>
  <c r="GV63" i="112"/>
  <c r="GU63" i="112"/>
  <c r="GT63" i="112"/>
  <c r="GS63" i="112"/>
  <c r="GR63" i="112"/>
  <c r="GQ63" i="112"/>
  <c r="GP63" i="112"/>
  <c r="GO63" i="112"/>
  <c r="GN63" i="112"/>
  <c r="GM63" i="112"/>
  <c r="GL63" i="112"/>
  <c r="GK63" i="112"/>
  <c r="GJ63" i="112"/>
  <c r="GI63" i="112"/>
  <c r="GH63" i="112"/>
  <c r="GG63" i="112"/>
  <c r="GF63" i="112"/>
  <c r="GE63" i="112"/>
  <c r="GD63" i="112"/>
  <c r="GC63" i="112"/>
  <c r="GB63" i="112"/>
  <c r="GA63" i="112"/>
  <c r="FZ63" i="112"/>
  <c r="GR62" i="112"/>
  <c r="GQ62" i="112"/>
  <c r="GP62" i="112"/>
  <c r="GO62" i="112"/>
  <c r="GN62" i="112"/>
  <c r="GM62" i="112"/>
  <c r="GL62" i="112"/>
  <c r="GK62" i="112"/>
  <c r="GJ62" i="112"/>
  <c r="GI62" i="112"/>
  <c r="GH62" i="112"/>
  <c r="GG62" i="112"/>
  <c r="GF62" i="112"/>
  <c r="GE62" i="112"/>
  <c r="GD62" i="112"/>
  <c r="GC62" i="112"/>
  <c r="GB62" i="112"/>
  <c r="GA62" i="112"/>
  <c r="FZ62" i="112"/>
  <c r="GR61" i="112"/>
  <c r="GQ61" i="112"/>
  <c r="GP61" i="112"/>
  <c r="GO61" i="112"/>
  <c r="GN61" i="112"/>
  <c r="GM61" i="112"/>
  <c r="GL61" i="112"/>
  <c r="GK61" i="112"/>
  <c r="GJ61" i="112"/>
  <c r="GI61" i="112"/>
  <c r="GH61" i="112"/>
  <c r="GG61" i="112"/>
  <c r="GF61" i="112"/>
  <c r="GE61" i="112"/>
  <c r="GD61" i="112"/>
  <c r="GC61" i="112"/>
  <c r="GB61" i="112"/>
  <c r="GA61" i="112"/>
  <c r="FZ61" i="112"/>
  <c r="GR60" i="112"/>
  <c r="GQ60" i="112"/>
  <c r="GP60" i="112"/>
  <c r="GO60" i="112"/>
  <c r="GN60" i="112"/>
  <c r="GM60" i="112"/>
  <c r="GL60" i="112"/>
  <c r="GK60" i="112"/>
  <c r="GJ60" i="112"/>
  <c r="GI60" i="112"/>
  <c r="GH60" i="112"/>
  <c r="GG60" i="112"/>
  <c r="GF60" i="112"/>
  <c r="GE60" i="112"/>
  <c r="GD60" i="112"/>
  <c r="GC60" i="112"/>
  <c r="GB60" i="112"/>
  <c r="GA60" i="112"/>
  <c r="FZ60" i="112"/>
  <c r="GR59" i="112"/>
  <c r="GQ59" i="112"/>
  <c r="GP59" i="112"/>
  <c r="GO59" i="112"/>
  <c r="GN59" i="112"/>
  <c r="GM59" i="112"/>
  <c r="GL59" i="112"/>
  <c r="GK59" i="112"/>
  <c r="GJ59" i="112"/>
  <c r="GI59" i="112"/>
  <c r="GH59" i="112"/>
  <c r="GG59" i="112"/>
  <c r="GF59" i="112"/>
  <c r="GE59" i="112"/>
  <c r="GD59" i="112"/>
  <c r="GC59" i="112"/>
  <c r="GB59" i="112"/>
  <c r="GA59" i="112"/>
  <c r="FZ59" i="112"/>
  <c r="GR58" i="112"/>
  <c r="GQ58" i="112"/>
  <c r="GP58" i="112"/>
  <c r="GO58" i="112"/>
  <c r="GN58" i="112"/>
  <c r="GM58" i="112"/>
  <c r="GL58" i="112"/>
  <c r="GK58" i="112"/>
  <c r="GJ58" i="112"/>
  <c r="GI58" i="112"/>
  <c r="GH58" i="112"/>
  <c r="GG58" i="112"/>
  <c r="GF58" i="112"/>
  <c r="GE58" i="112"/>
  <c r="GD58" i="112"/>
  <c r="GC58" i="112"/>
  <c r="GB58" i="112"/>
  <c r="GA58" i="112"/>
  <c r="FZ58" i="112"/>
  <c r="GR57" i="112"/>
  <c r="GQ57" i="112"/>
  <c r="GP57" i="112"/>
  <c r="GO57" i="112"/>
  <c r="GN57" i="112"/>
  <c r="GM57" i="112"/>
  <c r="GL57" i="112"/>
  <c r="GK57" i="112"/>
  <c r="GJ57" i="112"/>
  <c r="GI57" i="112"/>
  <c r="GH57" i="112"/>
  <c r="GG57" i="112"/>
  <c r="GF57" i="112"/>
  <c r="GE57" i="112"/>
  <c r="GD57" i="112"/>
  <c r="GC57" i="112"/>
  <c r="GB57" i="112"/>
  <c r="GA57" i="112"/>
  <c r="FZ57" i="112"/>
  <c r="GR56" i="112"/>
  <c r="GQ56" i="112"/>
  <c r="GP56" i="112"/>
  <c r="GO56" i="112"/>
  <c r="GN56" i="112"/>
  <c r="GM56" i="112"/>
  <c r="GL56" i="112"/>
  <c r="GK56" i="112"/>
  <c r="GJ56" i="112"/>
  <c r="GI56" i="112"/>
  <c r="GH56" i="112"/>
  <c r="GG56" i="112"/>
  <c r="GF56" i="112"/>
  <c r="GE56" i="112"/>
  <c r="GD56" i="112"/>
  <c r="GC56" i="112"/>
  <c r="GB56" i="112"/>
  <c r="GA56" i="112"/>
  <c r="FZ56" i="112"/>
  <c r="GR55" i="112"/>
  <c r="GQ55" i="112"/>
  <c r="GP55" i="112"/>
  <c r="GO55" i="112"/>
  <c r="GN55" i="112"/>
  <c r="GM55" i="112"/>
  <c r="GL55" i="112"/>
  <c r="GK55" i="112"/>
  <c r="GJ55" i="112"/>
  <c r="GI55" i="112"/>
  <c r="GH55" i="112"/>
  <c r="GG55" i="112"/>
  <c r="GF55" i="112"/>
  <c r="GE55" i="112"/>
  <c r="GD55" i="112"/>
  <c r="GC55" i="112"/>
  <c r="GB55" i="112"/>
  <c r="GA55" i="112"/>
  <c r="FZ55" i="112"/>
  <c r="GR54" i="112"/>
  <c r="GQ54" i="112"/>
  <c r="GP54" i="112"/>
  <c r="GO54" i="112"/>
  <c r="GN54" i="112"/>
  <c r="GM54" i="112"/>
  <c r="GL54" i="112"/>
  <c r="GK54" i="112"/>
  <c r="GJ54" i="112"/>
  <c r="GI54" i="112"/>
  <c r="GH54" i="112"/>
  <c r="GG54" i="112"/>
  <c r="GF54" i="112"/>
  <c r="GE54" i="112"/>
  <c r="GD54" i="112"/>
  <c r="GC54" i="112"/>
  <c r="GB54" i="112"/>
  <c r="GA54" i="112"/>
  <c r="FZ54" i="112"/>
  <c r="GR53" i="112"/>
  <c r="GQ53" i="112"/>
  <c r="GP53" i="112"/>
  <c r="GO53" i="112"/>
  <c r="GN53" i="112"/>
  <c r="GM53" i="112"/>
  <c r="GL53" i="112"/>
  <c r="GK53" i="112"/>
  <c r="GJ53" i="112"/>
  <c r="GI53" i="112"/>
  <c r="GH53" i="112"/>
  <c r="GG53" i="112"/>
  <c r="GF53" i="112"/>
  <c r="GE53" i="112"/>
  <c r="GD53" i="112"/>
  <c r="GC53" i="112"/>
  <c r="GB53" i="112"/>
  <c r="GA53" i="112"/>
  <c r="FZ53" i="112"/>
  <c r="GR52" i="112"/>
  <c r="GQ52" i="112"/>
  <c r="GP52" i="112"/>
  <c r="GO52" i="112"/>
  <c r="GN52" i="112"/>
  <c r="GM52" i="112"/>
  <c r="GL52" i="112"/>
  <c r="GK52" i="112"/>
  <c r="GJ52" i="112"/>
  <c r="GI52" i="112"/>
  <c r="GH52" i="112"/>
  <c r="GG52" i="112"/>
  <c r="GF52" i="112"/>
  <c r="GE52" i="112"/>
  <c r="GD52" i="112"/>
  <c r="GC52" i="112"/>
  <c r="GB52" i="112"/>
  <c r="GA52" i="112"/>
  <c r="FZ52" i="112"/>
  <c r="GR51" i="112"/>
  <c r="GQ51" i="112"/>
  <c r="GP51" i="112"/>
  <c r="GO51" i="112"/>
  <c r="GN51" i="112"/>
  <c r="GM51" i="112"/>
  <c r="GL51" i="112"/>
  <c r="GK51" i="112"/>
  <c r="GJ51" i="112"/>
  <c r="GI51" i="112"/>
  <c r="GH51" i="112"/>
  <c r="GG51" i="112"/>
  <c r="GF51" i="112"/>
  <c r="GE51" i="112"/>
  <c r="GD51" i="112"/>
  <c r="GC51" i="112"/>
  <c r="GB51" i="112"/>
  <c r="GA51" i="112"/>
  <c r="FZ51" i="112"/>
  <c r="GR49" i="112"/>
  <c r="GQ49" i="112"/>
  <c r="GP49" i="112"/>
  <c r="GO49" i="112"/>
  <c r="GN49" i="112"/>
  <c r="GM49" i="112"/>
  <c r="GL49" i="112"/>
  <c r="GK49" i="112"/>
  <c r="GJ49" i="112"/>
  <c r="GI49" i="112"/>
  <c r="GH49" i="112"/>
  <c r="GG49" i="112"/>
  <c r="GF49" i="112"/>
  <c r="GE49" i="112"/>
  <c r="GD49" i="112"/>
  <c r="GC49" i="112"/>
  <c r="GB49" i="112"/>
  <c r="GA49" i="112"/>
  <c r="FZ49" i="112"/>
  <c r="GR48" i="112"/>
  <c r="GQ48" i="112"/>
  <c r="GP48" i="112"/>
  <c r="GO48" i="112"/>
  <c r="GN48" i="112"/>
  <c r="GM48" i="112"/>
  <c r="GL48" i="112"/>
  <c r="GK48" i="112"/>
  <c r="GJ48" i="112"/>
  <c r="GI48" i="112"/>
  <c r="GH48" i="112"/>
  <c r="GG48" i="112"/>
  <c r="GF48" i="112"/>
  <c r="GE48" i="112"/>
  <c r="GD48" i="112"/>
  <c r="GC48" i="112"/>
  <c r="GB48" i="112"/>
  <c r="GA48" i="112"/>
  <c r="FZ48" i="112"/>
  <c r="GR47" i="112"/>
  <c r="GQ47" i="112"/>
  <c r="GP47" i="112"/>
  <c r="GO47" i="112"/>
  <c r="GN47" i="112"/>
  <c r="GM47" i="112"/>
  <c r="GL47" i="112"/>
  <c r="GK47" i="112"/>
  <c r="GJ47" i="112"/>
  <c r="GI47" i="112"/>
  <c r="GH47" i="112"/>
  <c r="GG47" i="112"/>
  <c r="GF47" i="112"/>
  <c r="GE47" i="112"/>
  <c r="GD47" i="112"/>
  <c r="GC47" i="112"/>
  <c r="GB47" i="112"/>
  <c r="GA47" i="112"/>
  <c r="FZ47" i="112"/>
  <c r="GR46" i="112"/>
  <c r="GQ46" i="112"/>
  <c r="GP46" i="112"/>
  <c r="GO46" i="112"/>
  <c r="GN46" i="112"/>
  <c r="GM46" i="112"/>
  <c r="GL46" i="112"/>
  <c r="GK46" i="112"/>
  <c r="GJ46" i="112"/>
  <c r="GI46" i="112"/>
  <c r="GH46" i="112"/>
  <c r="GG46" i="112"/>
  <c r="GF46" i="112"/>
  <c r="GE46" i="112"/>
  <c r="GD46" i="112"/>
  <c r="GC46" i="112"/>
  <c r="GB46" i="112"/>
  <c r="GA46" i="112"/>
  <c r="FZ46" i="112"/>
  <c r="GR45" i="112"/>
  <c r="GQ45" i="112"/>
  <c r="GP45" i="112"/>
  <c r="GO45" i="112"/>
  <c r="GN45" i="112"/>
  <c r="GM45" i="112"/>
  <c r="GL45" i="112"/>
  <c r="GK45" i="112"/>
  <c r="GJ45" i="112"/>
  <c r="GI45" i="112"/>
  <c r="GH45" i="112"/>
  <c r="GG45" i="112"/>
  <c r="GF45" i="112"/>
  <c r="GE45" i="112"/>
  <c r="GD45" i="112"/>
  <c r="GC45" i="112"/>
  <c r="GB45" i="112"/>
  <c r="GA45" i="112"/>
  <c r="FZ45" i="112"/>
  <c r="GR44" i="112"/>
  <c r="GQ44" i="112"/>
  <c r="GP44" i="112"/>
  <c r="GO44" i="112"/>
  <c r="GN44" i="112"/>
  <c r="GM44" i="112"/>
  <c r="GL44" i="112"/>
  <c r="GK44" i="112"/>
  <c r="GJ44" i="112"/>
  <c r="GI44" i="112"/>
  <c r="GH44" i="112"/>
  <c r="GG44" i="112"/>
  <c r="GF44" i="112"/>
  <c r="GE44" i="112"/>
  <c r="GD44" i="112"/>
  <c r="GC44" i="112"/>
  <c r="GB44" i="112"/>
  <c r="GA44" i="112"/>
  <c r="FZ44" i="112"/>
  <c r="FH85" i="112"/>
  <c r="FI85" i="112"/>
  <c r="FJ85" i="112"/>
  <c r="FK85" i="112"/>
  <c r="FL85" i="112"/>
  <c r="FM85" i="112"/>
  <c r="FN85" i="112"/>
  <c r="FO85" i="112"/>
  <c r="FP85" i="112"/>
  <c r="FQ85" i="112"/>
  <c r="FS85" i="112"/>
  <c r="FT85" i="112"/>
  <c r="FU85" i="112"/>
  <c r="FH86" i="112"/>
  <c r="FI86" i="112"/>
  <c r="FJ86" i="112"/>
  <c r="FK86" i="112"/>
  <c r="FL86" i="112"/>
  <c r="FM86" i="112"/>
  <c r="FN86" i="112"/>
  <c r="FO86" i="112"/>
  <c r="FP86" i="112"/>
  <c r="FQ86" i="112"/>
  <c r="FR86" i="112"/>
  <c r="FS86" i="112"/>
  <c r="FT86" i="112"/>
  <c r="FU86" i="112"/>
  <c r="FH87" i="112"/>
  <c r="FI87" i="112"/>
  <c r="FJ87" i="112"/>
  <c r="FK87" i="112"/>
  <c r="FL87" i="112"/>
  <c r="FM87" i="112"/>
  <c r="FN87" i="112"/>
  <c r="FO87" i="112"/>
  <c r="FP87" i="112"/>
  <c r="FQ87" i="112"/>
  <c r="FR87" i="112"/>
  <c r="FS87" i="112"/>
  <c r="FT87" i="112"/>
  <c r="FU87" i="112"/>
  <c r="FH88" i="112"/>
  <c r="FI88" i="112"/>
  <c r="FJ88" i="112"/>
  <c r="FK88" i="112"/>
  <c r="FL88" i="112"/>
  <c r="FM88" i="112"/>
  <c r="FN88" i="112"/>
  <c r="FO88" i="112"/>
  <c r="FP88" i="112"/>
  <c r="FQ88" i="112"/>
  <c r="FR88" i="112"/>
  <c r="FS88" i="112"/>
  <c r="FT88" i="112"/>
  <c r="FU88" i="112"/>
  <c r="GU85" i="112"/>
  <c r="GV85" i="112"/>
  <c r="GW85" i="112"/>
  <c r="GX85" i="112"/>
  <c r="GY85" i="112"/>
  <c r="GZ85" i="112"/>
  <c r="HA85" i="112"/>
  <c r="HB85" i="112"/>
  <c r="HC85" i="112"/>
  <c r="HD85" i="112"/>
  <c r="HE85" i="112"/>
  <c r="HF85" i="112"/>
  <c r="GU86" i="112"/>
  <c r="GV86" i="112"/>
  <c r="GW86" i="112"/>
  <c r="GX86" i="112"/>
  <c r="GY86" i="112"/>
  <c r="GZ86" i="112"/>
  <c r="HA86" i="112"/>
  <c r="HB86" i="112"/>
  <c r="HC86" i="112"/>
  <c r="HD86" i="112"/>
  <c r="HE86" i="112"/>
  <c r="HF86" i="112"/>
  <c r="GU87" i="112"/>
  <c r="GV87" i="112"/>
  <c r="GW87" i="112"/>
  <c r="GX87" i="112"/>
  <c r="GY87" i="112"/>
  <c r="GZ87" i="112"/>
  <c r="HA87" i="112"/>
  <c r="HB87" i="112"/>
  <c r="HC87" i="112"/>
  <c r="HD87" i="112"/>
  <c r="HE87" i="112"/>
  <c r="HF87" i="112"/>
  <c r="GU88" i="112"/>
  <c r="GV88" i="112"/>
  <c r="GW88" i="112"/>
  <c r="GX88" i="112"/>
  <c r="GY88" i="112"/>
  <c r="GZ88" i="112"/>
  <c r="HA88" i="112"/>
  <c r="HB88" i="112"/>
  <c r="HC88" i="112"/>
  <c r="HD88" i="112"/>
  <c r="HE88" i="112"/>
  <c r="HF88" i="112"/>
  <c r="HF98" i="112"/>
  <c r="HF97" i="112"/>
  <c r="HF96" i="112"/>
  <c r="HF95" i="112"/>
  <c r="HF94" i="112"/>
  <c r="HF91" i="112"/>
  <c r="HF90" i="112"/>
  <c r="HF89" i="112"/>
  <c r="HF84" i="112"/>
  <c r="HF83" i="112"/>
  <c r="HF82" i="112"/>
  <c r="HF81" i="112"/>
  <c r="HF80" i="112"/>
  <c r="HF79" i="112"/>
  <c r="HF78" i="112"/>
  <c r="HF77" i="112"/>
  <c r="HF76" i="112"/>
  <c r="HF75" i="112"/>
  <c r="HF74" i="112"/>
  <c r="HF73" i="112"/>
  <c r="HE98" i="112"/>
  <c r="HE97" i="112"/>
  <c r="HE96" i="112"/>
  <c r="HE95" i="112"/>
  <c r="HE94" i="112"/>
  <c r="HE91" i="112"/>
  <c r="HE90" i="112"/>
  <c r="HE89" i="112"/>
  <c r="HE84" i="112"/>
  <c r="HE83" i="112"/>
  <c r="HE82" i="112"/>
  <c r="HE81" i="112"/>
  <c r="HE80" i="112"/>
  <c r="HE79" i="112"/>
  <c r="HE78" i="112"/>
  <c r="HE77" i="112"/>
  <c r="HE76" i="112"/>
  <c r="HE75" i="112"/>
  <c r="HE74" i="112"/>
  <c r="HE73" i="112"/>
  <c r="HD98" i="112"/>
  <c r="HD97" i="112"/>
  <c r="HD96" i="112"/>
  <c r="HD95" i="112"/>
  <c r="HD94" i="112"/>
  <c r="HD91" i="112"/>
  <c r="HD90" i="112"/>
  <c r="HD89" i="112"/>
  <c r="HD84" i="112"/>
  <c r="HD83" i="112"/>
  <c r="HD82" i="112"/>
  <c r="HD81" i="112"/>
  <c r="HD80" i="112"/>
  <c r="HD79" i="112"/>
  <c r="HD78" i="112"/>
  <c r="HD77" i="112"/>
  <c r="HD76" i="112"/>
  <c r="HD75" i="112"/>
  <c r="HD74" i="112"/>
  <c r="HD73" i="112"/>
  <c r="HC98" i="112"/>
  <c r="HC97" i="112"/>
  <c r="HC96" i="112"/>
  <c r="HC95" i="112"/>
  <c r="HC94" i="112"/>
  <c r="HC91" i="112"/>
  <c r="HC90" i="112"/>
  <c r="HC89" i="112"/>
  <c r="HC84" i="112"/>
  <c r="HC83" i="112"/>
  <c r="HC82" i="112"/>
  <c r="HC81" i="112"/>
  <c r="HC80" i="112"/>
  <c r="HC79" i="112"/>
  <c r="HC78" i="112"/>
  <c r="HC77" i="112"/>
  <c r="HC76" i="112"/>
  <c r="HC75" i="112"/>
  <c r="HC74" i="112"/>
  <c r="HC73" i="112"/>
  <c r="HF9" i="112"/>
  <c r="HF72" i="112" s="1"/>
  <c r="HE9" i="112"/>
  <c r="HE103" i="112" s="1"/>
  <c r="HD9" i="112"/>
  <c r="HD193" i="112" s="1"/>
  <c r="HC9" i="112"/>
  <c r="HC183" i="112" s="1"/>
  <c r="HD27" i="1"/>
  <c r="HD20" i="1"/>
  <c r="HB27" i="1"/>
  <c r="HB20" i="1"/>
  <c r="HC27" i="1"/>
  <c r="HC20" i="1"/>
  <c r="HA27" i="1"/>
  <c r="HA20" i="1"/>
  <c r="HD38" i="1"/>
  <c r="HD95" i="1" s="1"/>
  <c r="HC38" i="1"/>
  <c r="HC95" i="1" s="1"/>
  <c r="HB38" i="1"/>
  <c r="HB95" i="1" s="1"/>
  <c r="HA38" i="1"/>
  <c r="HA59" i="1" s="1"/>
  <c r="HD154" i="113"/>
  <c r="HD159" i="113" s="1"/>
  <c r="HD82" i="113"/>
  <c r="HD19" i="113"/>
  <c r="HC154" i="113"/>
  <c r="HC159" i="113" s="1"/>
  <c r="HC82" i="113"/>
  <c r="HC19" i="113"/>
  <c r="HB154" i="113"/>
  <c r="HB159" i="113" s="1"/>
  <c r="HB82" i="113"/>
  <c r="HB19" i="113"/>
  <c r="HA154" i="113"/>
  <c r="HA159" i="113" s="1"/>
  <c r="HA82" i="113"/>
  <c r="HA19" i="113"/>
  <c r="HD9" i="113"/>
  <c r="HD10" i="113" s="1"/>
  <c r="HD141" i="113" s="1"/>
  <c r="HC9" i="113"/>
  <c r="HC10" i="113" s="1"/>
  <c r="HC117" i="113" s="1"/>
  <c r="HB9" i="113"/>
  <c r="HB10" i="113" s="1"/>
  <c r="HA9" i="113"/>
  <c r="HA10" i="113" s="1"/>
  <c r="DE83" i="113"/>
  <c r="HF103" i="112" l="1"/>
  <c r="HE19" i="51"/>
  <c r="HD19" i="51"/>
  <c r="HB39" i="51"/>
  <c r="HC39" i="51"/>
  <c r="HC92" i="112"/>
  <c r="HE99" i="112"/>
  <c r="HE183" i="112"/>
  <c r="HE193" i="112"/>
  <c r="HD99" i="112"/>
  <c r="HE92" i="112"/>
  <c r="HF193" i="112"/>
  <c r="HD92" i="112"/>
  <c r="HC99" i="112"/>
  <c r="HF99" i="112"/>
  <c r="HD39" i="51"/>
  <c r="HB56" i="51"/>
  <c r="HE39" i="51"/>
  <c r="HC56" i="51"/>
  <c r="HF92" i="112"/>
  <c r="HC21" i="112"/>
  <c r="HD21" i="112"/>
  <c r="HD117" i="112"/>
  <c r="HD131" i="112"/>
  <c r="HE117" i="112"/>
  <c r="HE131" i="112"/>
  <c r="HF21" i="112"/>
  <c r="HD72" i="112"/>
  <c r="HF117" i="112"/>
  <c r="HF131" i="112"/>
  <c r="HF162" i="112"/>
  <c r="HF183" i="112"/>
  <c r="HC131" i="112"/>
  <c r="HC72" i="112"/>
  <c r="HE72" i="112"/>
  <c r="HC103" i="112"/>
  <c r="HC193" i="112"/>
  <c r="HC117" i="112"/>
  <c r="HC162" i="112"/>
  <c r="HD162" i="112"/>
  <c r="HD183" i="112"/>
  <c r="HE21" i="112"/>
  <c r="HE162" i="112"/>
  <c r="HD103" i="112"/>
  <c r="HD148" i="113"/>
  <c r="HD23" i="113"/>
  <c r="HC88" i="113"/>
  <c r="HC111" i="113"/>
  <c r="HC59" i="1"/>
  <c r="HB59" i="1"/>
  <c r="HB111" i="113"/>
  <c r="HB161" i="113"/>
  <c r="HB129" i="113"/>
  <c r="HB88" i="113"/>
  <c r="HB123" i="113"/>
  <c r="HB117" i="113"/>
  <c r="HB36" i="113"/>
  <c r="HA123" i="113"/>
  <c r="HA129" i="113"/>
  <c r="HA74" i="113"/>
  <c r="HC36" i="113"/>
  <c r="HD59" i="1"/>
  <c r="HD36" i="113"/>
  <c r="HA95" i="1"/>
  <c r="HD97" i="113"/>
  <c r="HD111" i="113"/>
  <c r="HC148" i="113"/>
  <c r="HC141" i="113"/>
  <c r="HC97" i="113"/>
  <c r="HC23" i="113"/>
  <c r="HC135" i="113"/>
  <c r="HC74" i="113"/>
  <c r="HC161" i="113"/>
  <c r="HC129" i="113"/>
  <c r="HC123" i="113"/>
  <c r="HA117" i="113"/>
  <c r="HA88" i="113"/>
  <c r="HA36" i="113"/>
  <c r="HA148" i="113"/>
  <c r="HA97" i="113"/>
  <c r="HA23" i="113"/>
  <c r="HA111" i="113"/>
  <c r="HA141" i="113"/>
  <c r="HA135" i="113"/>
  <c r="HD135" i="113"/>
  <c r="HD74" i="113"/>
  <c r="HD123" i="113"/>
  <c r="HD117" i="113"/>
  <c r="HD161" i="113"/>
  <c r="HD129" i="113"/>
  <c r="HD88" i="113"/>
  <c r="HA161" i="113"/>
  <c r="HB74" i="113"/>
  <c r="HB135" i="113"/>
  <c r="HB23" i="113"/>
  <c r="HB97" i="113"/>
  <c r="HB141" i="113"/>
  <c r="HB148" i="113"/>
  <c r="HD118" i="112" l="1"/>
  <c r="HE118" i="112"/>
  <c r="HF106" i="112"/>
  <c r="HD120" i="112"/>
  <c r="HE104" i="112"/>
  <c r="HE208" i="112" s="1"/>
  <c r="HD104" i="112"/>
  <c r="HD208" i="112" s="1"/>
  <c r="HF120" i="112"/>
  <c r="HF118" i="112"/>
  <c r="HF104" i="112"/>
  <c r="HF208" i="112" s="1"/>
  <c r="HE106" i="112"/>
  <c r="HE120" i="112"/>
  <c r="HD106" i="112"/>
  <c r="EK5" i="1" l="1"/>
  <c r="ER8" i="6"/>
  <c r="FS47" i="3"/>
  <c r="FS46" i="3"/>
  <c r="FS45" i="3"/>
  <c r="FS43" i="3"/>
  <c r="FS42" i="3"/>
  <c r="FS40" i="3"/>
  <c r="FS39" i="3"/>
  <c r="FS38" i="3"/>
  <c r="FS34" i="3"/>
  <c r="FS33" i="3"/>
  <c r="FS31" i="3"/>
  <c r="FS30" i="3"/>
  <c r="FS29" i="3"/>
  <c r="FS28" i="3"/>
  <c r="FS15" i="3"/>
  <c r="FS14" i="3"/>
  <c r="FT47" i="3"/>
  <c r="FT46" i="3"/>
  <c r="FT45" i="3"/>
  <c r="FT43" i="3"/>
  <c r="FT42" i="3"/>
  <c r="FT40" i="3"/>
  <c r="FT39" i="3"/>
  <c r="FT38" i="3"/>
  <c r="FT34" i="3"/>
  <c r="FT33" i="3"/>
  <c r="FT31" i="3"/>
  <c r="FT30" i="3"/>
  <c r="FT29" i="3"/>
  <c r="FT28" i="3"/>
  <c r="FT15" i="3"/>
  <c r="FT14" i="3"/>
  <c r="FU47" i="3"/>
  <c r="FU46" i="3"/>
  <c r="FU45" i="3"/>
  <c r="FU43" i="3"/>
  <c r="FU42" i="3"/>
  <c r="FU40" i="3"/>
  <c r="FU39" i="3"/>
  <c r="FU38" i="3"/>
  <c r="FU34" i="3"/>
  <c r="FU33" i="3"/>
  <c r="FU31" i="3"/>
  <c r="FU30" i="3"/>
  <c r="FU29" i="3"/>
  <c r="FU28" i="3"/>
  <c r="FU15" i="3"/>
  <c r="FU14" i="3"/>
  <c r="FV47" i="3"/>
  <c r="FV46" i="3"/>
  <c r="FV45" i="3"/>
  <c r="FV43" i="3"/>
  <c r="FV42" i="3"/>
  <c r="FV40" i="3"/>
  <c r="FV39" i="3"/>
  <c r="FV38" i="3"/>
  <c r="FV34" i="3"/>
  <c r="FV33" i="3"/>
  <c r="FV31" i="3"/>
  <c r="FV30" i="3"/>
  <c r="FV29" i="3"/>
  <c r="FV28" i="3"/>
  <c r="FV15" i="3"/>
  <c r="FV14" i="3"/>
  <c r="FU27" i="1"/>
  <c r="FT27" i="1"/>
  <c r="FS27" i="1"/>
  <c r="FR27" i="1"/>
  <c r="FT166" i="113"/>
  <c r="FT154" i="113"/>
  <c r="FT139" i="113"/>
  <c r="FT133" i="113"/>
  <c r="FT127" i="113"/>
  <c r="FT121" i="113"/>
  <c r="FT115" i="113"/>
  <c r="FU166" i="113"/>
  <c r="FU154" i="113"/>
  <c r="FU139" i="113"/>
  <c r="FU133" i="113"/>
  <c r="FU127" i="113"/>
  <c r="FU121" i="113"/>
  <c r="FU115" i="113"/>
  <c r="FU82" i="113"/>
  <c r="FU72" i="113"/>
  <c r="FU19" i="113"/>
  <c r="FT82" i="113"/>
  <c r="FT72" i="113"/>
  <c r="FT19" i="113"/>
  <c r="FS166" i="113"/>
  <c r="FS154" i="113"/>
  <c r="FS139" i="113"/>
  <c r="FS133" i="113"/>
  <c r="FS127" i="113"/>
  <c r="FS121" i="113"/>
  <c r="FS115" i="113"/>
  <c r="FS82" i="113"/>
  <c r="FS72" i="113"/>
  <c r="FS19" i="113"/>
  <c r="FR166" i="113"/>
  <c r="FR154" i="113"/>
  <c r="FR139" i="113"/>
  <c r="FR133" i="113"/>
  <c r="FR127" i="113"/>
  <c r="FR121" i="113"/>
  <c r="FR115" i="113"/>
  <c r="FR82" i="113"/>
  <c r="FR72" i="113"/>
  <c r="FR19" i="113"/>
  <c r="FU197" i="112"/>
  <c r="FU196" i="112"/>
  <c r="FU195" i="112"/>
  <c r="FU98" i="112"/>
  <c r="FU97" i="112"/>
  <c r="FU96" i="112"/>
  <c r="FU95" i="112"/>
  <c r="FU94" i="112"/>
  <c r="FU91" i="112"/>
  <c r="FU90" i="112"/>
  <c r="FU89" i="112"/>
  <c r="FU84" i="112"/>
  <c r="FU83" i="112"/>
  <c r="FU82" i="112"/>
  <c r="FU81" i="112"/>
  <c r="FU80" i="112"/>
  <c r="FU79" i="112"/>
  <c r="FU78" i="112"/>
  <c r="FU77" i="112"/>
  <c r="FU76" i="112"/>
  <c r="FU75" i="112"/>
  <c r="FU74" i="112"/>
  <c r="FU73" i="112"/>
  <c r="FT197" i="112"/>
  <c r="FT196" i="112"/>
  <c r="FT195" i="112"/>
  <c r="FT98" i="112"/>
  <c r="FT97" i="112"/>
  <c r="FT96" i="112"/>
  <c r="FT95" i="112"/>
  <c r="FT94" i="112"/>
  <c r="FT91" i="112"/>
  <c r="FT90" i="112"/>
  <c r="FT89" i="112"/>
  <c r="FT84" i="112"/>
  <c r="FT83" i="112"/>
  <c r="FT82" i="112"/>
  <c r="FT81" i="112"/>
  <c r="FT80" i="112"/>
  <c r="FT79" i="112"/>
  <c r="FT78" i="112"/>
  <c r="FT77" i="112"/>
  <c r="FT76" i="112"/>
  <c r="FT75" i="112"/>
  <c r="FT74" i="112"/>
  <c r="FT73" i="112"/>
  <c r="FS197" i="112"/>
  <c r="FS196" i="112"/>
  <c r="FS195" i="112"/>
  <c r="FS98" i="112"/>
  <c r="FS97" i="112"/>
  <c r="FS96" i="112"/>
  <c r="FS95" i="112"/>
  <c r="FS94" i="112"/>
  <c r="FS91" i="112"/>
  <c r="FS90" i="112"/>
  <c r="FS89" i="112"/>
  <c r="FS84" i="112"/>
  <c r="FS83" i="112"/>
  <c r="FS82" i="112"/>
  <c r="FS81" i="112"/>
  <c r="FS80" i="112"/>
  <c r="FS79" i="112"/>
  <c r="FS78" i="112"/>
  <c r="FS77" i="112"/>
  <c r="FS76" i="112"/>
  <c r="FS75" i="112"/>
  <c r="FS74" i="112"/>
  <c r="FS73" i="112"/>
  <c r="FR197" i="112"/>
  <c r="FR196" i="112"/>
  <c r="FR195" i="112"/>
  <c r="FR98" i="112"/>
  <c r="FR97" i="112"/>
  <c r="FR96" i="112"/>
  <c r="FR95" i="112"/>
  <c r="FR94" i="112"/>
  <c r="FR91" i="112"/>
  <c r="FR90" i="112"/>
  <c r="FR89" i="112"/>
  <c r="FR84" i="112"/>
  <c r="FR83" i="112"/>
  <c r="FR82" i="112"/>
  <c r="FR81" i="112"/>
  <c r="FR80" i="112"/>
  <c r="FR79" i="112"/>
  <c r="FR78" i="112"/>
  <c r="FR77" i="112"/>
  <c r="FR76" i="112"/>
  <c r="FR75" i="112"/>
  <c r="FR74" i="112"/>
  <c r="FR73" i="112"/>
  <c r="EV41" i="6"/>
  <c r="EU41" i="6"/>
  <c r="ET41" i="6"/>
  <c r="ES41" i="6"/>
  <c r="ER41" i="6"/>
  <c r="EQ41" i="6"/>
  <c r="EP41" i="6"/>
  <c r="EO41" i="6"/>
  <c r="EV40" i="6"/>
  <c r="EU40" i="6"/>
  <c r="ET40" i="6"/>
  <c r="ES40" i="6"/>
  <c r="ER40" i="6"/>
  <c r="EQ40" i="6"/>
  <c r="EP40" i="6"/>
  <c r="EO40" i="6"/>
  <c r="EV26" i="6"/>
  <c r="EU26" i="6"/>
  <c r="ET26" i="6"/>
  <c r="ES26" i="6"/>
  <c r="ER26" i="6"/>
  <c r="EQ26" i="6"/>
  <c r="EV25" i="6"/>
  <c r="EU25" i="6"/>
  <c r="ET25" i="6"/>
  <c r="ES25" i="6"/>
  <c r="ER25" i="6"/>
  <c r="EQ25" i="6"/>
  <c r="EV24" i="6"/>
  <c r="EU24" i="6"/>
  <c r="ET24" i="6"/>
  <c r="ES24" i="6"/>
  <c r="ER24" i="6"/>
  <c r="EQ24" i="6"/>
  <c r="EV23" i="6"/>
  <c r="EU23" i="6"/>
  <c r="ET23" i="6"/>
  <c r="ES23" i="6"/>
  <c r="ER23" i="6"/>
  <c r="EQ23" i="6"/>
  <c r="EV8" i="6"/>
  <c r="EU8" i="6"/>
  <c r="ET8" i="6"/>
  <c r="ES8" i="6"/>
  <c r="EQ8" i="6"/>
  <c r="EP8" i="6"/>
  <c r="EO8" i="6"/>
  <c r="FV9" i="3"/>
  <c r="FU9" i="3"/>
  <c r="FT9" i="3"/>
  <c r="FS9" i="3"/>
  <c r="FV9" i="2"/>
  <c r="FU9" i="2"/>
  <c r="FT9" i="2"/>
  <c r="FS9" i="2"/>
  <c r="FU38" i="1"/>
  <c r="FU59" i="1" s="1"/>
  <c r="FT38" i="1"/>
  <c r="FS38" i="1"/>
  <c r="FS59" i="1" s="1"/>
  <c r="FR38" i="1"/>
  <c r="FR95" i="1" s="1"/>
  <c r="FU9" i="113"/>
  <c r="FT9" i="113"/>
  <c r="FS9" i="113"/>
  <c r="FS10" i="113" s="1"/>
  <c r="FS36" i="113" s="1"/>
  <c r="FR9" i="113"/>
  <c r="FU9" i="112"/>
  <c r="FT9" i="112"/>
  <c r="FS9" i="112"/>
  <c r="FR9" i="112"/>
  <c r="FU9" i="51"/>
  <c r="FT9" i="51"/>
  <c r="FS9" i="51"/>
  <c r="FS56" i="51" s="1"/>
  <c r="FR9" i="51"/>
  <c r="FR56" i="51" s="1"/>
  <c r="AJ103" i="119" l="1"/>
  <c r="AG103" i="119"/>
  <c r="FR92" i="112"/>
  <c r="FT99" i="112"/>
  <c r="FU99" i="112"/>
  <c r="AI103" i="119"/>
  <c r="FR211" i="112"/>
  <c r="FR239" i="112"/>
  <c r="FR234" i="112"/>
  <c r="FR229" i="112"/>
  <c r="FT211" i="112"/>
  <c r="FT239" i="112"/>
  <c r="FT234" i="112"/>
  <c r="FT229" i="112"/>
  <c r="FU211" i="112"/>
  <c r="FU239" i="112"/>
  <c r="FU229" i="112"/>
  <c r="FU234" i="112"/>
  <c r="AH103" i="119"/>
  <c r="FS239" i="112"/>
  <c r="FS229" i="112"/>
  <c r="FS234" i="112"/>
  <c r="FR159" i="113"/>
  <c r="FU10" i="113"/>
  <c r="FU23" i="113" s="1"/>
  <c r="FU148" i="113"/>
  <c r="FU111" i="113"/>
  <c r="FU161" i="113"/>
  <c r="FU117" i="113"/>
  <c r="FU74" i="113"/>
  <c r="FU135" i="113"/>
  <c r="FU141" i="113"/>
  <c r="FU97" i="113"/>
  <c r="FU123" i="113"/>
  <c r="FU129" i="113"/>
  <c r="FU88" i="113"/>
  <c r="FR10" i="113"/>
  <c r="FR36" i="113" s="1"/>
  <c r="FR129" i="113"/>
  <c r="FR111" i="113"/>
  <c r="FR74" i="113"/>
  <c r="FR123" i="113"/>
  <c r="FR135" i="113"/>
  <c r="FR88" i="113"/>
  <c r="FR141" i="113"/>
  <c r="FR97" i="113"/>
  <c r="FR148" i="113"/>
  <c r="FR161" i="113"/>
  <c r="FR117" i="113"/>
  <c r="FT10" i="113"/>
  <c r="FT23" i="113" s="1"/>
  <c r="FT141" i="113"/>
  <c r="FT97" i="113"/>
  <c r="FT129" i="113"/>
  <c r="FT135" i="113"/>
  <c r="FT88" i="113"/>
  <c r="FT148" i="113"/>
  <c r="FT111" i="113"/>
  <c r="FT161" i="113"/>
  <c r="FT117" i="113"/>
  <c r="FT74" i="113"/>
  <c r="FT123" i="113"/>
  <c r="FS135" i="113"/>
  <c r="FS88" i="113"/>
  <c r="FS74" i="113"/>
  <c r="FS141" i="113"/>
  <c r="FS97" i="113"/>
  <c r="FS161" i="113"/>
  <c r="FS117" i="113"/>
  <c r="FS129" i="113"/>
  <c r="FS148" i="113"/>
  <c r="FS111" i="113"/>
  <c r="FS123" i="113"/>
  <c r="FR99" i="112"/>
  <c r="FS99" i="112"/>
  <c r="FS159" i="113"/>
  <c r="FU159" i="113"/>
  <c r="FT159" i="113"/>
  <c r="FS92" i="112"/>
  <c r="FS95" i="1"/>
  <c r="FR59" i="1"/>
  <c r="FR193" i="112"/>
  <c r="FR117" i="112"/>
  <c r="FT59" i="1"/>
  <c r="FT95" i="1"/>
  <c r="FU56" i="51"/>
  <c r="FU19" i="51"/>
  <c r="FU39" i="51"/>
  <c r="FS211" i="112"/>
  <c r="FS217" i="112"/>
  <c r="FS131" i="112"/>
  <c r="FS193" i="112"/>
  <c r="FS117" i="112"/>
  <c r="FR19" i="51"/>
  <c r="FT103" i="112"/>
  <c r="FT200" i="112"/>
  <c r="FU95" i="1"/>
  <c r="FT21" i="112"/>
  <c r="FS19" i="51"/>
  <c r="FR131" i="112"/>
  <c r="FR217" i="112"/>
  <c r="FS23" i="113"/>
  <c r="FT39" i="51"/>
  <c r="FT19" i="51"/>
  <c r="FU21" i="112"/>
  <c r="FU103" i="112"/>
  <c r="FU200" i="112"/>
  <c r="FT56" i="51"/>
  <c r="FT92" i="112"/>
  <c r="FU92" i="112"/>
  <c r="FT223" i="112"/>
  <c r="FT183" i="112"/>
  <c r="FT162" i="112"/>
  <c r="FT72" i="112"/>
  <c r="FT217" i="112"/>
  <c r="FT193" i="112"/>
  <c r="FT131" i="112"/>
  <c r="FT117" i="112"/>
  <c r="FT207" i="112"/>
  <c r="FU223" i="112"/>
  <c r="FU183" i="112"/>
  <c r="FU162" i="112"/>
  <c r="FU72" i="112"/>
  <c r="FU217" i="112"/>
  <c r="FU193" i="112"/>
  <c r="FU131" i="112"/>
  <c r="FU117" i="112"/>
  <c r="FU207" i="112"/>
  <c r="FR39" i="51"/>
  <c r="FR72" i="112"/>
  <c r="FR162" i="112"/>
  <c r="FR183" i="112"/>
  <c r="FR223" i="112"/>
  <c r="FS39" i="51"/>
  <c r="FS72" i="112"/>
  <c r="FS162" i="112"/>
  <c r="FS183" i="112"/>
  <c r="FS223" i="112"/>
  <c r="FR21" i="112"/>
  <c r="FR103" i="112"/>
  <c r="FR200" i="112"/>
  <c r="FR207" i="112"/>
  <c r="FS21" i="112"/>
  <c r="FS103" i="112"/>
  <c r="FS200" i="112"/>
  <c r="FS207" i="112"/>
  <c r="V41" i="116" l="1"/>
  <c r="X41" i="116" s="1"/>
  <c r="Y41" i="116" s="1"/>
  <c r="V40" i="116"/>
  <c r="X40" i="116" s="1"/>
  <c r="Y40" i="116" s="1"/>
  <c r="FT120" i="112"/>
  <c r="FU120" i="112"/>
  <c r="FS118" i="112"/>
  <c r="FS104" i="112"/>
  <c r="FU106" i="112"/>
  <c r="FT106" i="112"/>
  <c r="FR23" i="113"/>
  <c r="FU36" i="113"/>
  <c r="FT36" i="113"/>
  <c r="FS106" i="112"/>
  <c r="FS120" i="112"/>
  <c r="FT104" i="112"/>
  <c r="FT118" i="112"/>
  <c r="FU104" i="112"/>
  <c r="FU118" i="112"/>
  <c r="AI41" i="116" l="1"/>
  <c r="AI40" i="116"/>
  <c r="EM63" i="112"/>
  <c r="EN63" i="112"/>
  <c r="EO63" i="112"/>
  <c r="EP63" i="112"/>
  <c r="EQ63" i="112"/>
  <c r="ER63" i="112"/>
  <c r="ES63" i="112"/>
  <c r="ET63" i="112"/>
  <c r="EU63" i="112"/>
  <c r="EV63" i="112"/>
  <c r="EW63" i="112"/>
  <c r="EX63" i="112"/>
  <c r="EY63" i="112"/>
  <c r="EZ63" i="112"/>
  <c r="FA63" i="112"/>
  <c r="FB63" i="112"/>
  <c r="FC63" i="112"/>
  <c r="FD63" i="112"/>
  <c r="FE63" i="112"/>
  <c r="FF63" i="112"/>
  <c r="FH63" i="112"/>
  <c r="FI63" i="112"/>
  <c r="FJ63" i="112"/>
  <c r="FK63" i="112"/>
  <c r="FL63" i="112"/>
  <c r="FM63" i="112"/>
  <c r="FN63" i="112"/>
  <c r="FO63" i="112"/>
  <c r="FP63" i="112"/>
  <c r="EM64" i="112"/>
  <c r="EN64" i="112"/>
  <c r="EO64" i="112"/>
  <c r="EP64" i="112"/>
  <c r="EQ64" i="112"/>
  <c r="ER64" i="112"/>
  <c r="ES64" i="112"/>
  <c r="ET64" i="112"/>
  <c r="EU64" i="112"/>
  <c r="EV64" i="112"/>
  <c r="EW64" i="112"/>
  <c r="EX64" i="112"/>
  <c r="EY64" i="112"/>
  <c r="EZ64" i="112"/>
  <c r="FA64" i="112"/>
  <c r="FB64" i="112"/>
  <c r="FC64" i="112"/>
  <c r="FD64" i="112"/>
  <c r="FE64" i="112"/>
  <c r="FF64" i="112"/>
  <c r="FH64" i="112"/>
  <c r="FI64" i="112"/>
  <c r="FJ64" i="112"/>
  <c r="FK64" i="112"/>
  <c r="FL64" i="112"/>
  <c r="FM64" i="112"/>
  <c r="FN64" i="112"/>
  <c r="FO64" i="112"/>
  <c r="FP64" i="112"/>
  <c r="EM65" i="112"/>
  <c r="EN65" i="112"/>
  <c r="EO65" i="112"/>
  <c r="EP65" i="112"/>
  <c r="EQ65" i="112"/>
  <c r="ER65" i="112"/>
  <c r="ES65" i="112"/>
  <c r="ET65" i="112"/>
  <c r="EU65" i="112"/>
  <c r="EV65" i="112"/>
  <c r="EW65" i="112"/>
  <c r="EX65" i="112"/>
  <c r="EY65" i="112"/>
  <c r="EZ65" i="112"/>
  <c r="FA65" i="112"/>
  <c r="FB65" i="112"/>
  <c r="FC65" i="112"/>
  <c r="FD65" i="112"/>
  <c r="FE65" i="112"/>
  <c r="FF65" i="112"/>
  <c r="FH65" i="112"/>
  <c r="FI65" i="112"/>
  <c r="FJ65" i="112"/>
  <c r="FK65" i="112"/>
  <c r="FL65" i="112"/>
  <c r="FM65" i="112"/>
  <c r="FN65" i="112"/>
  <c r="FO65" i="112"/>
  <c r="FP65" i="112"/>
  <c r="EM66" i="112"/>
  <c r="EN66" i="112"/>
  <c r="EO66" i="112"/>
  <c r="EP66" i="112"/>
  <c r="EQ66" i="112"/>
  <c r="ER66" i="112"/>
  <c r="ES66" i="112"/>
  <c r="ET66" i="112"/>
  <c r="EU66" i="112"/>
  <c r="EV66" i="112"/>
  <c r="EW66" i="112"/>
  <c r="EX66" i="112"/>
  <c r="EY66" i="112"/>
  <c r="EZ66" i="112"/>
  <c r="FA66" i="112"/>
  <c r="FB66" i="112"/>
  <c r="FC66" i="112"/>
  <c r="FD66" i="112"/>
  <c r="FE66" i="112"/>
  <c r="FF66" i="112"/>
  <c r="FH66" i="112"/>
  <c r="FI66" i="112"/>
  <c r="FJ66" i="112"/>
  <c r="FK66" i="112"/>
  <c r="FL66" i="112"/>
  <c r="FM66" i="112"/>
  <c r="FN66" i="112"/>
  <c r="FO66" i="112"/>
  <c r="FP66" i="112"/>
  <c r="EK66" i="112"/>
  <c r="EJ66" i="112"/>
  <c r="EI66" i="112"/>
  <c r="EH66" i="112"/>
  <c r="EG66" i="112"/>
  <c r="EF66" i="112"/>
  <c r="EE66" i="112"/>
  <c r="ED66" i="112"/>
  <c r="EC66" i="112"/>
  <c r="EB66" i="112"/>
  <c r="EA66" i="112"/>
  <c r="DZ66" i="112"/>
  <c r="DY66" i="112"/>
  <c r="DX66" i="112"/>
  <c r="DW66" i="112"/>
  <c r="DV66" i="112"/>
  <c r="DU66" i="112"/>
  <c r="DT66" i="112"/>
  <c r="DS66" i="112"/>
  <c r="DR66" i="112"/>
  <c r="HE66" i="112" l="1"/>
  <c r="FR66" i="112"/>
  <c r="FU66" i="112"/>
  <c r="HD66" i="112"/>
  <c r="FT66" i="112"/>
  <c r="FQ66" i="112"/>
  <c r="HB66" i="112"/>
  <c r="HC66" i="112"/>
  <c r="HF66" i="112"/>
  <c r="FS66" i="112"/>
  <c r="EH82" i="92"/>
  <c r="EI82" i="92" s="1"/>
  <c r="EJ82" i="92" s="1"/>
  <c r="EH74" i="92"/>
  <c r="EI74" i="92" s="1"/>
  <c r="EH68" i="92"/>
  <c r="EJ44" i="92"/>
  <c r="EK44" i="92" s="1"/>
  <c r="EH33" i="92"/>
  <c r="EI33" i="92" s="1"/>
  <c r="EH29" i="92"/>
  <c r="EK9" i="92"/>
  <c r="EJ9" i="92"/>
  <c r="EI9" i="92"/>
  <c r="EH9" i="92"/>
  <c r="ED82" i="92"/>
  <c r="EE82" i="92" s="1"/>
  <c r="EF82" i="92" s="1"/>
  <c r="ED74" i="92"/>
  <c r="EE74" i="92" s="1"/>
  <c r="ED68" i="92"/>
  <c r="EF44" i="92"/>
  <c r="EG44" i="92" s="1"/>
  <c r="EH44" i="92" s="1"/>
  <c r="ED33" i="92"/>
  <c r="EE33" i="92" s="1"/>
  <c r="ED29" i="92"/>
  <c r="EG9" i="92"/>
  <c r="EF9" i="92"/>
  <c r="EE9" i="92"/>
  <c r="ED9" i="92"/>
  <c r="DZ82" i="92"/>
  <c r="EA82" i="92" s="1"/>
  <c r="EB82" i="92" s="1"/>
  <c r="DZ74" i="92"/>
  <c r="EA74" i="92" s="1"/>
  <c r="DZ68" i="92"/>
  <c r="EB44" i="92"/>
  <c r="EC44" i="92" s="1"/>
  <c r="ED44" i="92" s="1"/>
  <c r="DZ33" i="92"/>
  <c r="EA33" i="92" s="1"/>
  <c r="DZ29" i="92"/>
  <c r="EC9" i="92"/>
  <c r="EB9" i="92"/>
  <c r="EA9" i="92"/>
  <c r="DZ9" i="92"/>
  <c r="DV82" i="92"/>
  <c r="DW82" i="92" s="1"/>
  <c r="DX82" i="92" s="1"/>
  <c r="DV74" i="92"/>
  <c r="DW74" i="92" s="1"/>
  <c r="DV68" i="92"/>
  <c r="DX44" i="92"/>
  <c r="DY44" i="92" s="1"/>
  <c r="DZ44" i="92" s="1"/>
  <c r="DV33" i="92"/>
  <c r="DW33" i="92" s="1"/>
  <c r="DV29" i="92"/>
  <c r="DY9" i="92"/>
  <c r="DX9" i="92"/>
  <c r="DW9" i="92"/>
  <c r="DV9" i="92"/>
  <c r="EK71" i="3"/>
  <c r="EJ71" i="3"/>
  <c r="EI71" i="3"/>
  <c r="EH71" i="3"/>
  <c r="EK8" i="3"/>
  <c r="EK66" i="3" s="1"/>
  <c r="EJ8" i="3"/>
  <c r="EJ66" i="3" s="1"/>
  <c r="EI8" i="3"/>
  <c r="EI66" i="3" s="1"/>
  <c r="EH8" i="3"/>
  <c r="EH66" i="3" s="1"/>
  <c r="EG71" i="3"/>
  <c r="EF71" i="3"/>
  <c r="EE71" i="3"/>
  <c r="ED71" i="3"/>
  <c r="EG8" i="3"/>
  <c r="EG66" i="3" s="1"/>
  <c r="EF8" i="3"/>
  <c r="EF66" i="3" s="1"/>
  <c r="EE8" i="3"/>
  <c r="EE66" i="3" s="1"/>
  <c r="ED8" i="3"/>
  <c r="ED66" i="3" s="1"/>
  <c r="EC71" i="3"/>
  <c r="EB71" i="3"/>
  <c r="EA71" i="3"/>
  <c r="DZ71" i="3"/>
  <c r="EC8" i="3"/>
  <c r="EC66" i="3" s="1"/>
  <c r="EB8" i="3"/>
  <c r="EB66" i="3" s="1"/>
  <c r="EA8" i="3"/>
  <c r="EA66" i="3" s="1"/>
  <c r="DZ8" i="3"/>
  <c r="DZ66" i="3" s="1"/>
  <c r="DY71" i="3"/>
  <c r="DX71" i="3"/>
  <c r="DW71" i="3"/>
  <c r="DV71" i="3"/>
  <c r="DY8" i="3"/>
  <c r="DY66" i="3" s="1"/>
  <c r="DX8" i="3"/>
  <c r="DX66" i="3" s="1"/>
  <c r="DW8" i="3"/>
  <c r="DW66" i="3" s="1"/>
  <c r="DV8" i="3"/>
  <c r="DV66" i="3" s="1"/>
  <c r="EK8" i="2"/>
  <c r="EJ8" i="2"/>
  <c r="EI8" i="2"/>
  <c r="EH8" i="2"/>
  <c r="EG8" i="2"/>
  <c r="EF8" i="2"/>
  <c r="EE8" i="2"/>
  <c r="ED8" i="2"/>
  <c r="EC8" i="2"/>
  <c r="EB8" i="2"/>
  <c r="EA8" i="2"/>
  <c r="DZ8" i="2"/>
  <c r="DY8" i="2"/>
  <c r="DX8" i="2"/>
  <c r="DW8" i="2"/>
  <c r="DV8" i="2"/>
  <c r="EK37" i="1"/>
  <c r="EK73" i="1" s="1"/>
  <c r="EJ37" i="1"/>
  <c r="EI37" i="1"/>
  <c r="EI94" i="1" s="1"/>
  <c r="EH37" i="1"/>
  <c r="EH94" i="1" s="1"/>
  <c r="EJ5" i="1"/>
  <c r="EI5" i="1"/>
  <c r="EH5" i="1"/>
  <c r="EG37" i="1"/>
  <c r="EG94" i="1" s="1"/>
  <c r="EF37" i="1"/>
  <c r="EE37" i="1"/>
  <c r="EE115" i="1" s="1"/>
  <c r="ED37" i="1"/>
  <c r="ED73" i="1" s="1"/>
  <c r="EG5" i="1"/>
  <c r="EF5" i="1"/>
  <c r="EE5" i="1"/>
  <c r="ED5" i="1"/>
  <c r="EC37" i="1"/>
  <c r="EC94" i="1" s="1"/>
  <c r="EB37" i="1"/>
  <c r="EB73" i="1" s="1"/>
  <c r="EA37" i="1"/>
  <c r="EA94" i="1" s="1"/>
  <c r="DZ37" i="1"/>
  <c r="DZ94" i="1" s="1"/>
  <c r="EC5" i="1"/>
  <c r="EB5" i="1"/>
  <c r="EA5" i="1"/>
  <c r="DZ5" i="1"/>
  <c r="DY37" i="1"/>
  <c r="DX37" i="1"/>
  <c r="DW37" i="1"/>
  <c r="DW94" i="1" s="1"/>
  <c r="DV37" i="1"/>
  <c r="DV94" i="1" s="1"/>
  <c r="DY5" i="1"/>
  <c r="DX5" i="1"/>
  <c r="DW5" i="1"/>
  <c r="DV5" i="1"/>
  <c r="EK159" i="113"/>
  <c r="EJ159" i="113"/>
  <c r="EI159" i="113"/>
  <c r="EH159" i="113"/>
  <c r="EK83" i="113"/>
  <c r="EJ83" i="113"/>
  <c r="EI83" i="113"/>
  <c r="EH83" i="113"/>
  <c r="EK60" i="113"/>
  <c r="EJ60" i="113"/>
  <c r="EI60" i="113"/>
  <c r="EH60" i="113"/>
  <c r="EK45" i="113"/>
  <c r="EJ45" i="113"/>
  <c r="EI45" i="113"/>
  <c r="EH45" i="113"/>
  <c r="EK8" i="113"/>
  <c r="EJ8" i="113"/>
  <c r="EI8" i="113"/>
  <c r="EH8" i="113"/>
  <c r="EK7" i="113"/>
  <c r="EJ7" i="113"/>
  <c r="EI7" i="113"/>
  <c r="EH7" i="113"/>
  <c r="EG159" i="113"/>
  <c r="EF159" i="113"/>
  <c r="EE159" i="113"/>
  <c r="ED159" i="113"/>
  <c r="EG83" i="113"/>
  <c r="EF83" i="113"/>
  <c r="EE83" i="113"/>
  <c r="ED83" i="113"/>
  <c r="EG60" i="113"/>
  <c r="EF60" i="113"/>
  <c r="EE60" i="113"/>
  <c r="ED60" i="113"/>
  <c r="EG45" i="113"/>
  <c r="EF45" i="113"/>
  <c r="EE45" i="113"/>
  <c r="ED45" i="113"/>
  <c r="EG8" i="113"/>
  <c r="EF8" i="113"/>
  <c r="EE8" i="113"/>
  <c r="ED8" i="113"/>
  <c r="EG7" i="113"/>
  <c r="EF7" i="113"/>
  <c r="EE7" i="113"/>
  <c r="ED7" i="113"/>
  <c r="EC159" i="113"/>
  <c r="EB159" i="113"/>
  <c r="EA159" i="113"/>
  <c r="DZ159" i="113"/>
  <c r="EC83" i="113"/>
  <c r="EB83" i="113"/>
  <c r="EA83" i="113"/>
  <c r="DZ83" i="113"/>
  <c r="EC60" i="113"/>
  <c r="EB60" i="113"/>
  <c r="EA60" i="113"/>
  <c r="DZ60" i="113"/>
  <c r="EC45" i="113"/>
  <c r="EB45" i="113"/>
  <c r="EA45" i="113"/>
  <c r="DZ45" i="113"/>
  <c r="EC8" i="113"/>
  <c r="EB8" i="113"/>
  <c r="EA8" i="113"/>
  <c r="DZ8" i="113"/>
  <c r="EC7" i="113"/>
  <c r="EB7" i="113"/>
  <c r="EA7" i="113"/>
  <c r="DZ7" i="113"/>
  <c r="DY159" i="113"/>
  <c r="DX159" i="113"/>
  <c r="DW159" i="113"/>
  <c r="DV159" i="113"/>
  <c r="DY83" i="113"/>
  <c r="DX83" i="113"/>
  <c r="DW83" i="113"/>
  <c r="DV83" i="113"/>
  <c r="DY60" i="113"/>
  <c r="DX60" i="113"/>
  <c r="DW60" i="113"/>
  <c r="DV60" i="113"/>
  <c r="DY45" i="113"/>
  <c r="DX45" i="113"/>
  <c r="DW45" i="113"/>
  <c r="DV45" i="113"/>
  <c r="DY8" i="113"/>
  <c r="DX8" i="113"/>
  <c r="DW8" i="113"/>
  <c r="DV8" i="113"/>
  <c r="DY7" i="113"/>
  <c r="DX7" i="113"/>
  <c r="DW7" i="113"/>
  <c r="DV7" i="113"/>
  <c r="EK184" i="112"/>
  <c r="EK191" i="112" s="1"/>
  <c r="EJ184" i="112"/>
  <c r="EJ191" i="112" s="1"/>
  <c r="EI184" i="112"/>
  <c r="EI188" i="112" s="1"/>
  <c r="EH184" i="112"/>
  <c r="EK180" i="112"/>
  <c r="EJ180" i="112"/>
  <c r="EI180" i="112"/>
  <c r="EH180" i="112"/>
  <c r="EK173" i="112"/>
  <c r="EJ173" i="112"/>
  <c r="EI173" i="112"/>
  <c r="EH173" i="112"/>
  <c r="EK166" i="112"/>
  <c r="EJ166" i="112"/>
  <c r="EI166" i="112"/>
  <c r="EH166" i="112"/>
  <c r="EH154" i="112"/>
  <c r="EI154" i="112" s="1"/>
  <c r="EI45" i="112" s="1"/>
  <c r="EK99" i="112"/>
  <c r="EJ99" i="112"/>
  <c r="EI99" i="112"/>
  <c r="EH99" i="112"/>
  <c r="EK92" i="112"/>
  <c r="EJ92" i="112"/>
  <c r="EI92" i="112"/>
  <c r="EH92" i="112"/>
  <c r="EK69" i="112"/>
  <c r="EJ69" i="112"/>
  <c r="EI69" i="112"/>
  <c r="EH69" i="112"/>
  <c r="EK68" i="112"/>
  <c r="EJ68" i="112"/>
  <c r="EI68" i="112"/>
  <c r="EH68" i="112"/>
  <c r="EK67" i="112"/>
  <c r="EJ67" i="112"/>
  <c r="EI67" i="112"/>
  <c r="EH67" i="112"/>
  <c r="EI65" i="112"/>
  <c r="EK64" i="112"/>
  <c r="EJ64" i="112"/>
  <c r="EI64" i="112"/>
  <c r="EH64" i="112"/>
  <c r="EK63" i="112"/>
  <c r="EJ63" i="112"/>
  <c r="EI63" i="112"/>
  <c r="EH63" i="112"/>
  <c r="EK62" i="112"/>
  <c r="EJ62" i="112"/>
  <c r="EI62" i="112"/>
  <c r="EH62" i="112"/>
  <c r="EK61" i="112"/>
  <c r="EJ61" i="112"/>
  <c r="EI61" i="112"/>
  <c r="EH61" i="112"/>
  <c r="EK60" i="112"/>
  <c r="EJ60" i="112"/>
  <c r="EI60" i="112"/>
  <c r="EH60" i="112"/>
  <c r="EK59" i="112"/>
  <c r="EJ59" i="112"/>
  <c r="EI59" i="112"/>
  <c r="EH59" i="112"/>
  <c r="EK58" i="112"/>
  <c r="EJ58" i="112"/>
  <c r="EI58" i="112"/>
  <c r="EH58" i="112"/>
  <c r="EK57" i="112"/>
  <c r="EJ57" i="112"/>
  <c r="EI57" i="112"/>
  <c r="EH57" i="112"/>
  <c r="EK56" i="112"/>
  <c r="EJ56" i="112"/>
  <c r="EI56" i="112"/>
  <c r="EH56" i="112"/>
  <c r="EK55" i="112"/>
  <c r="EJ55" i="112"/>
  <c r="EI55" i="112"/>
  <c r="EH55" i="112"/>
  <c r="EK54" i="112"/>
  <c r="EJ54" i="112"/>
  <c r="EI54" i="112"/>
  <c r="EH54" i="112"/>
  <c r="EK53" i="112"/>
  <c r="EJ53" i="112"/>
  <c r="EI53" i="112"/>
  <c r="EH53" i="112"/>
  <c r="EK52" i="112"/>
  <c r="EJ52" i="112"/>
  <c r="EI52" i="112"/>
  <c r="EH52" i="112"/>
  <c r="EK51" i="112"/>
  <c r="EJ51" i="112"/>
  <c r="EI51" i="112"/>
  <c r="EH51" i="112"/>
  <c r="EK48" i="112"/>
  <c r="EJ48" i="112"/>
  <c r="EI48" i="112"/>
  <c r="EH48" i="112"/>
  <c r="EK47" i="112"/>
  <c r="EJ47" i="112"/>
  <c r="EI47" i="112"/>
  <c r="EH47" i="112"/>
  <c r="EK46" i="112"/>
  <c r="EJ46" i="112"/>
  <c r="EI46" i="112"/>
  <c r="EH46" i="112"/>
  <c r="EK45" i="112"/>
  <c r="EJ45" i="112"/>
  <c r="EK44" i="112"/>
  <c r="EJ44" i="112"/>
  <c r="EI44" i="112"/>
  <c r="EH44" i="112"/>
  <c r="EK8" i="112"/>
  <c r="EJ8" i="112"/>
  <c r="EI8" i="112"/>
  <c r="EH8" i="112"/>
  <c r="EK7" i="112"/>
  <c r="EJ7" i="112"/>
  <c r="EI7" i="112"/>
  <c r="EH7" i="112"/>
  <c r="EG184" i="112"/>
  <c r="EG188" i="112" s="1"/>
  <c r="EF184" i="112"/>
  <c r="EF191" i="112" s="1"/>
  <c r="EE184" i="112"/>
  <c r="EE191" i="112" s="1"/>
  <c r="ED184" i="112"/>
  <c r="ED191" i="112" s="1"/>
  <c r="EG180" i="112"/>
  <c r="EF180" i="112"/>
  <c r="EE180" i="112"/>
  <c r="ED180" i="112"/>
  <c r="EG173" i="112"/>
  <c r="EF173" i="112"/>
  <c r="EE173" i="112"/>
  <c r="ED173" i="112"/>
  <c r="EG166" i="112"/>
  <c r="EF166" i="112"/>
  <c r="EE166" i="112"/>
  <c r="ED166" i="112"/>
  <c r="ED154" i="112"/>
  <c r="EE154" i="112" s="1"/>
  <c r="EE45" i="112" s="1"/>
  <c r="EG99" i="112"/>
  <c r="EF99" i="112"/>
  <c r="EE99" i="112"/>
  <c r="ED99" i="112"/>
  <c r="EG92" i="112"/>
  <c r="EF92" i="112"/>
  <c r="EE92" i="112"/>
  <c r="ED92" i="112"/>
  <c r="EG69" i="112"/>
  <c r="EF69" i="112"/>
  <c r="EE69" i="112"/>
  <c r="ED69" i="112"/>
  <c r="EG68" i="112"/>
  <c r="EF68" i="112"/>
  <c r="EE68" i="112"/>
  <c r="ED68" i="112"/>
  <c r="EG67" i="112"/>
  <c r="EF67" i="112"/>
  <c r="EE67" i="112"/>
  <c r="ED67" i="112"/>
  <c r="EG65" i="112"/>
  <c r="EF65" i="112"/>
  <c r="EE65" i="112"/>
  <c r="ED65" i="112"/>
  <c r="EE64" i="112"/>
  <c r="EG63" i="112"/>
  <c r="EF63" i="112"/>
  <c r="EE63" i="112"/>
  <c r="ED63" i="112"/>
  <c r="EG62" i="112"/>
  <c r="EF62" i="112"/>
  <c r="EE62" i="112"/>
  <c r="ED62" i="112"/>
  <c r="EG61" i="112"/>
  <c r="EF61" i="112"/>
  <c r="EE61" i="112"/>
  <c r="ED61" i="112"/>
  <c r="EG60" i="112"/>
  <c r="EF60" i="112"/>
  <c r="EE60" i="112"/>
  <c r="ED60" i="112"/>
  <c r="EG59" i="112"/>
  <c r="EF59" i="112"/>
  <c r="EE59" i="112"/>
  <c r="ED59" i="112"/>
  <c r="EG58" i="112"/>
  <c r="EF58" i="112"/>
  <c r="EE58" i="112"/>
  <c r="ED58" i="112"/>
  <c r="EG57" i="112"/>
  <c r="EF57" i="112"/>
  <c r="EE57" i="112"/>
  <c r="ED57" i="112"/>
  <c r="EG56" i="112"/>
  <c r="EF56" i="112"/>
  <c r="EE56" i="112"/>
  <c r="ED56" i="112"/>
  <c r="EG55" i="112"/>
  <c r="EF55" i="112"/>
  <c r="EE55" i="112"/>
  <c r="ED55" i="112"/>
  <c r="EG54" i="112"/>
  <c r="EF54" i="112"/>
  <c r="EE54" i="112"/>
  <c r="ED54" i="112"/>
  <c r="EG53" i="112"/>
  <c r="EF53" i="112"/>
  <c r="EE53" i="112"/>
  <c r="ED53" i="112"/>
  <c r="EG52" i="112"/>
  <c r="EF52" i="112"/>
  <c r="EE52" i="112"/>
  <c r="ED52" i="112"/>
  <c r="EG51" i="112"/>
  <c r="EF51" i="112"/>
  <c r="EE51" i="112"/>
  <c r="ED51" i="112"/>
  <c r="EG48" i="112"/>
  <c r="EF48" i="112"/>
  <c r="EE48" i="112"/>
  <c r="ED48" i="112"/>
  <c r="EG47" i="112"/>
  <c r="EF47" i="112"/>
  <c r="EE47" i="112"/>
  <c r="ED47" i="112"/>
  <c r="EG46" i="112"/>
  <c r="EF46" i="112"/>
  <c r="EE46" i="112"/>
  <c r="ED46" i="112"/>
  <c r="EG45" i="112"/>
  <c r="EF45" i="112"/>
  <c r="EG44" i="112"/>
  <c r="EF44" i="112"/>
  <c r="EE44" i="112"/>
  <c r="ED44" i="112"/>
  <c r="EG8" i="112"/>
  <c r="EF8" i="112"/>
  <c r="EE8" i="112"/>
  <c r="ED8" i="112"/>
  <c r="EG7" i="112"/>
  <c r="EF7" i="112"/>
  <c r="EE7" i="112"/>
  <c r="ED7" i="112"/>
  <c r="EC184" i="112"/>
  <c r="EB184" i="112"/>
  <c r="EB188" i="112" s="1"/>
  <c r="EA184" i="112"/>
  <c r="EA191" i="112" s="1"/>
  <c r="DZ184" i="112"/>
  <c r="DZ191" i="112" s="1"/>
  <c r="EC180" i="112"/>
  <c r="EB180" i="112"/>
  <c r="EA180" i="112"/>
  <c r="DZ180" i="112"/>
  <c r="EC173" i="112"/>
  <c r="EB173" i="112"/>
  <c r="EA173" i="112"/>
  <c r="DZ173" i="112"/>
  <c r="EC166" i="112"/>
  <c r="EB166" i="112"/>
  <c r="EA166" i="112"/>
  <c r="DZ166" i="112"/>
  <c r="DZ154" i="112"/>
  <c r="EA154" i="112" s="1"/>
  <c r="EA45" i="112" s="1"/>
  <c r="EC99" i="112"/>
  <c r="EB99" i="112"/>
  <c r="EA99" i="112"/>
  <c r="DZ99" i="112"/>
  <c r="EC92" i="112"/>
  <c r="EB92" i="112"/>
  <c r="EA92" i="112"/>
  <c r="DZ92" i="112"/>
  <c r="EC69" i="112"/>
  <c r="EB69" i="112"/>
  <c r="EA69" i="112"/>
  <c r="DZ69" i="112"/>
  <c r="EC68" i="112"/>
  <c r="EB68" i="112"/>
  <c r="EA68" i="112"/>
  <c r="DZ68" i="112"/>
  <c r="EC67" i="112"/>
  <c r="EB67" i="112"/>
  <c r="EA67" i="112"/>
  <c r="DZ67" i="112"/>
  <c r="EC65" i="112"/>
  <c r="EB65" i="112"/>
  <c r="EA65" i="112"/>
  <c r="DZ65" i="112"/>
  <c r="EC64" i="112"/>
  <c r="EB64" i="112"/>
  <c r="EA64" i="112"/>
  <c r="DZ64" i="112"/>
  <c r="EA63" i="112"/>
  <c r="EC62" i="112"/>
  <c r="EB62" i="112"/>
  <c r="EA62" i="112"/>
  <c r="DZ62" i="112"/>
  <c r="EC61" i="112"/>
  <c r="EB61" i="112"/>
  <c r="EA61" i="112"/>
  <c r="DZ61" i="112"/>
  <c r="EC60" i="112"/>
  <c r="EB60" i="112"/>
  <c r="EA60" i="112"/>
  <c r="DZ60" i="112"/>
  <c r="EC59" i="112"/>
  <c r="EB59" i="112"/>
  <c r="EA59" i="112"/>
  <c r="DZ59" i="112"/>
  <c r="EC58" i="112"/>
  <c r="EB58" i="112"/>
  <c r="EA58" i="112"/>
  <c r="DZ58" i="112"/>
  <c r="EC57" i="112"/>
  <c r="EB57" i="112"/>
  <c r="EA57" i="112"/>
  <c r="DZ57" i="112"/>
  <c r="EC56" i="112"/>
  <c r="EB56" i="112"/>
  <c r="EA56" i="112"/>
  <c r="DZ56" i="112"/>
  <c r="EC55" i="112"/>
  <c r="EB55" i="112"/>
  <c r="EA55" i="112"/>
  <c r="DZ55" i="112"/>
  <c r="EC54" i="112"/>
  <c r="EB54" i="112"/>
  <c r="EA54" i="112"/>
  <c r="DZ54" i="112"/>
  <c r="EC53" i="112"/>
  <c r="EB53" i="112"/>
  <c r="EA53" i="112"/>
  <c r="DZ53" i="112"/>
  <c r="EC52" i="112"/>
  <c r="EB52" i="112"/>
  <c r="EA52" i="112"/>
  <c r="DZ52" i="112"/>
  <c r="EC51" i="112"/>
  <c r="EB51" i="112"/>
  <c r="EA51" i="112"/>
  <c r="DZ51" i="112"/>
  <c r="EC48" i="112"/>
  <c r="EB48" i="112"/>
  <c r="EA48" i="112"/>
  <c r="DZ48" i="112"/>
  <c r="EC47" i="112"/>
  <c r="EB47" i="112"/>
  <c r="EA47" i="112"/>
  <c r="DZ47" i="112"/>
  <c r="EC46" i="112"/>
  <c r="EB46" i="112"/>
  <c r="EA46" i="112"/>
  <c r="DZ46" i="112"/>
  <c r="EC45" i="112"/>
  <c r="EB45" i="112"/>
  <c r="EC44" i="112"/>
  <c r="EB44" i="112"/>
  <c r="EA44" i="112"/>
  <c r="DZ44" i="112"/>
  <c r="EC8" i="112"/>
  <c r="EB8" i="112"/>
  <c r="EA8" i="112"/>
  <c r="DZ8" i="112"/>
  <c r="EC7" i="112"/>
  <c r="EB7" i="112"/>
  <c r="EA7" i="112"/>
  <c r="DZ7" i="112"/>
  <c r="DY184" i="112"/>
  <c r="DY191" i="112" s="1"/>
  <c r="DX184" i="112"/>
  <c r="DX191" i="112" s="1"/>
  <c r="DW184" i="112"/>
  <c r="DW191" i="112" s="1"/>
  <c r="DV184" i="112"/>
  <c r="DY180" i="112"/>
  <c r="DX180" i="112"/>
  <c r="DW180" i="112"/>
  <c r="DV180" i="112"/>
  <c r="DY173" i="112"/>
  <c r="DX173" i="112"/>
  <c r="DW173" i="112"/>
  <c r="DV173" i="112"/>
  <c r="DY166" i="112"/>
  <c r="DX166" i="112"/>
  <c r="DW166" i="112"/>
  <c r="DV166" i="112"/>
  <c r="DV154" i="112"/>
  <c r="DW154" i="112" s="1"/>
  <c r="DW45" i="112" s="1"/>
  <c r="DY99" i="112"/>
  <c r="DX99" i="112"/>
  <c r="DW99" i="112"/>
  <c r="DV99" i="112"/>
  <c r="DY92" i="112"/>
  <c r="DX92" i="112"/>
  <c r="DW92" i="112"/>
  <c r="DV92" i="112"/>
  <c r="DY69" i="112"/>
  <c r="DX69" i="112"/>
  <c r="DW69" i="112"/>
  <c r="DV69" i="112"/>
  <c r="DY68" i="112"/>
  <c r="DX68" i="112"/>
  <c r="DW68" i="112"/>
  <c r="DV68" i="112"/>
  <c r="DY67" i="112"/>
  <c r="DX67" i="112"/>
  <c r="DW67" i="112"/>
  <c r="DV67" i="112"/>
  <c r="DY65" i="112"/>
  <c r="DX65" i="112"/>
  <c r="DW65" i="112"/>
  <c r="DV65" i="112"/>
  <c r="DY64" i="112"/>
  <c r="DX64" i="112"/>
  <c r="DW64" i="112"/>
  <c r="DV64" i="112"/>
  <c r="DY63" i="112"/>
  <c r="DX63" i="112"/>
  <c r="DW63" i="112"/>
  <c r="DV63" i="112"/>
  <c r="DW62" i="112"/>
  <c r="DY61" i="112"/>
  <c r="DX61" i="112"/>
  <c r="DW61" i="112"/>
  <c r="DV61" i="112"/>
  <c r="DY60" i="112"/>
  <c r="DX60" i="112"/>
  <c r="DW60" i="112"/>
  <c r="DV60" i="112"/>
  <c r="DY59" i="112"/>
  <c r="DX59" i="112"/>
  <c r="DW59" i="112"/>
  <c r="DV59" i="112"/>
  <c r="DY58" i="112"/>
  <c r="DX58" i="112"/>
  <c r="DW58" i="112"/>
  <c r="DV58" i="112"/>
  <c r="DY57" i="112"/>
  <c r="DX57" i="112"/>
  <c r="DW57" i="112"/>
  <c r="DV57" i="112"/>
  <c r="DY56" i="112"/>
  <c r="DX56" i="112"/>
  <c r="DW56" i="112"/>
  <c r="DV56" i="112"/>
  <c r="DY55" i="112"/>
  <c r="DX55" i="112"/>
  <c r="DW55" i="112"/>
  <c r="DV55" i="112"/>
  <c r="DY54" i="112"/>
  <c r="DX54" i="112"/>
  <c r="DW54" i="112"/>
  <c r="DV54" i="112"/>
  <c r="DY53" i="112"/>
  <c r="DX53" i="112"/>
  <c r="DW53" i="112"/>
  <c r="DV53" i="112"/>
  <c r="DY52" i="112"/>
  <c r="DX52" i="112"/>
  <c r="DW52" i="112"/>
  <c r="DV52" i="112"/>
  <c r="DY51" i="112"/>
  <c r="DX51" i="112"/>
  <c r="DW51" i="112"/>
  <c r="DV51" i="112"/>
  <c r="DY48" i="112"/>
  <c r="DX48" i="112"/>
  <c r="DW48" i="112"/>
  <c r="DV48" i="112"/>
  <c r="DY47" i="112"/>
  <c r="DX47" i="112"/>
  <c r="DW47" i="112"/>
  <c r="DV47" i="112"/>
  <c r="DY46" i="112"/>
  <c r="DX46" i="112"/>
  <c r="DW46" i="112"/>
  <c r="DV46" i="112"/>
  <c r="DY45" i="112"/>
  <c r="DX45" i="112"/>
  <c r="DY44" i="112"/>
  <c r="DX44" i="112"/>
  <c r="DW44" i="112"/>
  <c r="DV44" i="112"/>
  <c r="DY8" i="112"/>
  <c r="DX8" i="112"/>
  <c r="DW8" i="112"/>
  <c r="DV8" i="112"/>
  <c r="DY7" i="112"/>
  <c r="DX7" i="112"/>
  <c r="DW7" i="112"/>
  <c r="DV7" i="112"/>
  <c r="EK8" i="51"/>
  <c r="EJ8" i="51"/>
  <c r="EI8" i="51"/>
  <c r="EH8" i="51"/>
  <c r="EK7" i="51"/>
  <c r="EJ7" i="51"/>
  <c r="EI7" i="51"/>
  <c r="EH7" i="51"/>
  <c r="EG8" i="51"/>
  <c r="EF8" i="51"/>
  <c r="EE8" i="51"/>
  <c r="ED8" i="51"/>
  <c r="EG7" i="51"/>
  <c r="EF7" i="51"/>
  <c r="EE7" i="51"/>
  <c r="ED7" i="51"/>
  <c r="EC8" i="51"/>
  <c r="EB8" i="51"/>
  <c r="EA8" i="51"/>
  <c r="DZ8" i="51"/>
  <c r="EC7" i="51"/>
  <c r="EB7" i="51"/>
  <c r="EA7" i="51"/>
  <c r="DZ7" i="51"/>
  <c r="DY8" i="51"/>
  <c r="DX8" i="51"/>
  <c r="DW8" i="51"/>
  <c r="DV8" i="51"/>
  <c r="DY7" i="51"/>
  <c r="DX7" i="51"/>
  <c r="DW7" i="51"/>
  <c r="DV7" i="51"/>
  <c r="DQ7" i="6"/>
  <c r="DP7" i="6"/>
  <c r="DO7" i="6"/>
  <c r="DN7" i="6"/>
  <c r="DQ6" i="6"/>
  <c r="DP6" i="6"/>
  <c r="DO6" i="6"/>
  <c r="DN6" i="6"/>
  <c r="DM7" i="6"/>
  <c r="DL7" i="6"/>
  <c r="DK7" i="6"/>
  <c r="DJ7" i="6"/>
  <c r="DM6" i="6"/>
  <c r="DL6" i="6"/>
  <c r="DK6" i="6"/>
  <c r="DJ6" i="6"/>
  <c r="DI7" i="6"/>
  <c r="DH7" i="6"/>
  <c r="DG7" i="6"/>
  <c r="DF7" i="6"/>
  <c r="DI6" i="6"/>
  <c r="DH6" i="6"/>
  <c r="DG6" i="6"/>
  <c r="DF6" i="6"/>
  <c r="DE7" i="6"/>
  <c r="DD7" i="6"/>
  <c r="DC7" i="6"/>
  <c r="DB7" i="6"/>
  <c r="DE6" i="6"/>
  <c r="DD6" i="6"/>
  <c r="DC6" i="6"/>
  <c r="DB6" i="6"/>
  <c r="DU65" i="112"/>
  <c r="DT65" i="112"/>
  <c r="DS65" i="112"/>
  <c r="DR65" i="112"/>
  <c r="HB65" i="112" s="1"/>
  <c r="DU64" i="112"/>
  <c r="DT64" i="112"/>
  <c r="DS64" i="112"/>
  <c r="DR64" i="112"/>
  <c r="HB64" i="112" s="1"/>
  <c r="DU63" i="112"/>
  <c r="DT63" i="112"/>
  <c r="DS63" i="112"/>
  <c r="DR63" i="112"/>
  <c r="HB63" i="112" s="1"/>
  <c r="EF201" i="112" l="1"/>
  <c r="EB201" i="112"/>
  <c r="EJ201" i="112"/>
  <c r="DW201" i="112"/>
  <c r="EE201" i="112"/>
  <c r="EI201" i="112"/>
  <c r="DZ201" i="112"/>
  <c r="EK201" i="112"/>
  <c r="EK104" i="112"/>
  <c r="EH45" i="112"/>
  <c r="FU45" i="112" s="1"/>
  <c r="FU154" i="112" s="1"/>
  <c r="EH120" i="112"/>
  <c r="FS51" i="112"/>
  <c r="FS132" i="112" s="1"/>
  <c r="FS54" i="112"/>
  <c r="FS135" i="112" s="1"/>
  <c r="FS57" i="112"/>
  <c r="FS138" i="112" s="1"/>
  <c r="FS60" i="112"/>
  <c r="FS141" i="112" s="1"/>
  <c r="FR47" i="112"/>
  <c r="FR156" i="112" s="1"/>
  <c r="FR52" i="112"/>
  <c r="FR133" i="112" s="1"/>
  <c r="FR55" i="112"/>
  <c r="FR136" i="112" s="1"/>
  <c r="FR58" i="112"/>
  <c r="FR139" i="112" s="1"/>
  <c r="FR61" i="112"/>
  <c r="FR142" i="112" s="1"/>
  <c r="FR64" i="112"/>
  <c r="FR68" i="112"/>
  <c r="FR149" i="112" s="1"/>
  <c r="DV111" i="113"/>
  <c r="DV239" i="112"/>
  <c r="DV229" i="112"/>
  <c r="DV234" i="112"/>
  <c r="HC63" i="112"/>
  <c r="DM5" i="6"/>
  <c r="DW131" i="112"/>
  <c r="DW239" i="112"/>
  <c r="DW229" i="112"/>
  <c r="DW234" i="112"/>
  <c r="EG161" i="113"/>
  <c r="EG239" i="112"/>
  <c r="EG229" i="112"/>
  <c r="EG234" i="112"/>
  <c r="EI148" i="113"/>
  <c r="EI239" i="112"/>
  <c r="EI234" i="112"/>
  <c r="EI229" i="112"/>
  <c r="DZ45" i="112"/>
  <c r="DZ49" i="112" s="1"/>
  <c r="FU48" i="112"/>
  <c r="FU157" i="112" s="1"/>
  <c r="FU53" i="112"/>
  <c r="FU134" i="112" s="1"/>
  <c r="FU56" i="112"/>
  <c r="FU137" i="112" s="1"/>
  <c r="FU59" i="112"/>
  <c r="FU140" i="112" s="1"/>
  <c r="FU62" i="112"/>
  <c r="FU143" i="112" s="1"/>
  <c r="FU69" i="112"/>
  <c r="FU150" i="112" s="1"/>
  <c r="EB88" i="113"/>
  <c r="EB239" i="112"/>
  <c r="EB229" i="112"/>
  <c r="EB234" i="112"/>
  <c r="EC161" i="113"/>
  <c r="EC239" i="112"/>
  <c r="EC234" i="112"/>
  <c r="EC229" i="112"/>
  <c r="EH239" i="112"/>
  <c r="EH234" i="112"/>
  <c r="EH229" i="112"/>
  <c r="DX135" i="113"/>
  <c r="DX239" i="112"/>
  <c r="DX234" i="112"/>
  <c r="DX229" i="112"/>
  <c r="DZ148" i="113"/>
  <c r="DZ239" i="112"/>
  <c r="DZ229" i="112"/>
  <c r="DZ234" i="112"/>
  <c r="EJ148" i="113"/>
  <c r="EJ239" i="112"/>
  <c r="EJ234" i="112"/>
  <c r="EJ229" i="112"/>
  <c r="FR48" i="112"/>
  <c r="FR157" i="112" s="1"/>
  <c r="FR53" i="112"/>
  <c r="FR134" i="112" s="1"/>
  <c r="FR56" i="112"/>
  <c r="FR137" i="112" s="1"/>
  <c r="FR59" i="112"/>
  <c r="FR140" i="112" s="1"/>
  <c r="FR65" i="112"/>
  <c r="FR69" i="112"/>
  <c r="FR150" i="112" s="1"/>
  <c r="FS47" i="112"/>
  <c r="FS156" i="112" s="1"/>
  <c r="FS52" i="112"/>
  <c r="FS133" i="112" s="1"/>
  <c r="FS55" i="112"/>
  <c r="FS136" i="112" s="1"/>
  <c r="FS58" i="112"/>
  <c r="FS139" i="112" s="1"/>
  <c r="FS61" i="112"/>
  <c r="FS142" i="112" s="1"/>
  <c r="FS64" i="112"/>
  <c r="FS68" i="112"/>
  <c r="FS149" i="112" s="1"/>
  <c r="ED106" i="112"/>
  <c r="HF44" i="112"/>
  <c r="HF46" i="112"/>
  <c r="HF51" i="112"/>
  <c r="HF54" i="112"/>
  <c r="HF57" i="112"/>
  <c r="HF60" i="112"/>
  <c r="HF63" i="112"/>
  <c r="HF67" i="112"/>
  <c r="ED135" i="113"/>
  <c r="ED239" i="112"/>
  <c r="ED234" i="112"/>
  <c r="ED229" i="112"/>
  <c r="HC64" i="112"/>
  <c r="EE117" i="113"/>
  <c r="EE239" i="112"/>
  <c r="EE234" i="112"/>
  <c r="EE229" i="112"/>
  <c r="EF161" i="113"/>
  <c r="EF239" i="112"/>
  <c r="EF234" i="112"/>
  <c r="EF229" i="112"/>
  <c r="DY123" i="113"/>
  <c r="DY239" i="112"/>
  <c r="DY234" i="112"/>
  <c r="DY229" i="112"/>
  <c r="EA88" i="113"/>
  <c r="EA239" i="112"/>
  <c r="EA229" i="112"/>
  <c r="EA234" i="112"/>
  <c r="EH6" i="51"/>
  <c r="EK161" i="113"/>
  <c r="EK239" i="112"/>
  <c r="EK229" i="112"/>
  <c r="EK234" i="112"/>
  <c r="HD48" i="112"/>
  <c r="HD53" i="112"/>
  <c r="HD56" i="112"/>
  <c r="HD59" i="112"/>
  <c r="HD65" i="112"/>
  <c r="HD69" i="112"/>
  <c r="HE47" i="112"/>
  <c r="HE52" i="112"/>
  <c r="HE55" i="112"/>
  <c r="HE58" i="112"/>
  <c r="HE61" i="112"/>
  <c r="HE68" i="112"/>
  <c r="FT48" i="112"/>
  <c r="FT157" i="112" s="1"/>
  <c r="FT53" i="112"/>
  <c r="FT134" i="112" s="1"/>
  <c r="FT56" i="112"/>
  <c r="FT137" i="112" s="1"/>
  <c r="FT59" i="112"/>
  <c r="FT140" i="112" s="1"/>
  <c r="FT62" i="112"/>
  <c r="FT143" i="112" s="1"/>
  <c r="FT65" i="112"/>
  <c r="FT69" i="112"/>
  <c r="FT150" i="112" s="1"/>
  <c r="FU47" i="112"/>
  <c r="FU156" i="112" s="1"/>
  <c r="FU52" i="112"/>
  <c r="FU133" i="112" s="1"/>
  <c r="FU55" i="112"/>
  <c r="FU136" i="112" s="1"/>
  <c r="FU58" i="112"/>
  <c r="FU139" i="112" s="1"/>
  <c r="FU61" i="112"/>
  <c r="FU142" i="112" s="1"/>
  <c r="FU64" i="112"/>
  <c r="FU68" i="112"/>
  <c r="FU149" i="112" s="1"/>
  <c r="EB190" i="112"/>
  <c r="DW190" i="112"/>
  <c r="EC190" i="112"/>
  <c r="DY190" i="112"/>
  <c r="EK190" i="112"/>
  <c r="FS46" i="112"/>
  <c r="FS155" i="112" s="1"/>
  <c r="FS44" i="112"/>
  <c r="FS153" i="112" s="1"/>
  <c r="HE44" i="112"/>
  <c r="FS67" i="112"/>
  <c r="FS148" i="112" s="1"/>
  <c r="HF53" i="112"/>
  <c r="HF59" i="112"/>
  <c r="HF69" i="112"/>
  <c r="FR44" i="112"/>
  <c r="FR153" i="112" s="1"/>
  <c r="HD47" i="112"/>
  <c r="HD52" i="112"/>
  <c r="HD55" i="112"/>
  <c r="HD58" i="112"/>
  <c r="HD61" i="112"/>
  <c r="HD64" i="112"/>
  <c r="HD68" i="112"/>
  <c r="HE46" i="112"/>
  <c r="HE51" i="112"/>
  <c r="HE54" i="112"/>
  <c r="HE57" i="112"/>
  <c r="HE60" i="112"/>
  <c r="HE67" i="112"/>
  <c r="FT47" i="112"/>
  <c r="FT156" i="112" s="1"/>
  <c r="FT52" i="112"/>
  <c r="FT133" i="112" s="1"/>
  <c r="FT55" i="112"/>
  <c r="FT136" i="112" s="1"/>
  <c r="FT58" i="112"/>
  <c r="FT139" i="112" s="1"/>
  <c r="FT61" i="112"/>
  <c r="FT142" i="112" s="1"/>
  <c r="FT68" i="112"/>
  <c r="FT149" i="112" s="1"/>
  <c r="HF48" i="112"/>
  <c r="HF62" i="112"/>
  <c r="HD44" i="112"/>
  <c r="FR46" i="112"/>
  <c r="FR155" i="112" s="1"/>
  <c r="FR51" i="112"/>
  <c r="FR132" i="112" s="1"/>
  <c r="FR54" i="112"/>
  <c r="FR135" i="112" s="1"/>
  <c r="FR57" i="112"/>
  <c r="FR138" i="112" s="1"/>
  <c r="FR60" i="112"/>
  <c r="FR141" i="112" s="1"/>
  <c r="FR63" i="112"/>
  <c r="FR67" i="112"/>
  <c r="FR148" i="112" s="1"/>
  <c r="FS48" i="112"/>
  <c r="FS157" i="112" s="1"/>
  <c r="FS53" i="112"/>
  <c r="FS134" i="112" s="1"/>
  <c r="FS56" i="112"/>
  <c r="FS137" i="112" s="1"/>
  <c r="FS59" i="112"/>
  <c r="FS140" i="112" s="1"/>
  <c r="FS62" i="112"/>
  <c r="FS143" i="112" s="1"/>
  <c r="FS65" i="112"/>
  <c r="FS69" i="112"/>
  <c r="FS150" i="112" s="1"/>
  <c r="HF47" i="112"/>
  <c r="HF52" i="112"/>
  <c r="HF55" i="112"/>
  <c r="HF58" i="112"/>
  <c r="HF61" i="112"/>
  <c r="HF68" i="112"/>
  <c r="FU46" i="112"/>
  <c r="FU155" i="112" s="1"/>
  <c r="FU51" i="112"/>
  <c r="FU132" i="112" s="1"/>
  <c r="FU54" i="112"/>
  <c r="FU135" i="112" s="1"/>
  <c r="FU57" i="112"/>
  <c r="FU138" i="112" s="1"/>
  <c r="FU60" i="112"/>
  <c r="FU141" i="112" s="1"/>
  <c r="FU63" i="112"/>
  <c r="FU67" i="112"/>
  <c r="FU148" i="112" s="1"/>
  <c r="DV45" i="112"/>
  <c r="FR45" i="112" s="1"/>
  <c r="FR154" i="112" s="1"/>
  <c r="HF56" i="112"/>
  <c r="FU44" i="112"/>
  <c r="FU153" i="112" s="1"/>
  <c r="HC65" i="112"/>
  <c r="HD46" i="112"/>
  <c r="HD51" i="112"/>
  <c r="HD54" i="112"/>
  <c r="HD57" i="112"/>
  <c r="HD60" i="112"/>
  <c r="HD67" i="112"/>
  <c r="HE48" i="112"/>
  <c r="HE53" i="112"/>
  <c r="HE56" i="112"/>
  <c r="HE59" i="112"/>
  <c r="HE62" i="112"/>
  <c r="HE65" i="112"/>
  <c r="HE69" i="112"/>
  <c r="FT44" i="112"/>
  <c r="FT153" i="112" s="1"/>
  <c r="FT46" i="112"/>
  <c r="FT155" i="112" s="1"/>
  <c r="FT51" i="112"/>
  <c r="FT132" i="112" s="1"/>
  <c r="FT54" i="112"/>
  <c r="FT135" i="112" s="1"/>
  <c r="FT57" i="112"/>
  <c r="FT138" i="112" s="1"/>
  <c r="FT60" i="112"/>
  <c r="FT141" i="112" s="1"/>
  <c r="FT63" i="112"/>
  <c r="FT67" i="112"/>
  <c r="FT148" i="112" s="1"/>
  <c r="FR83" i="113"/>
  <c r="FS83" i="113"/>
  <c r="FT83" i="113"/>
  <c r="FU83" i="113"/>
  <c r="HB83" i="113"/>
  <c r="HC83" i="113"/>
  <c r="HD83" i="113"/>
  <c r="DY6" i="113"/>
  <c r="EC6" i="113"/>
  <c r="EK6" i="51"/>
  <c r="EJ6" i="51"/>
  <c r="EI6" i="113"/>
  <c r="EG6" i="113"/>
  <c r="EH6" i="113"/>
  <c r="EH127" i="112"/>
  <c r="DY49" i="112"/>
  <c r="DY13" i="112" s="1"/>
  <c r="DY99" i="113" s="1"/>
  <c r="FQ65" i="112"/>
  <c r="ED45" i="112"/>
  <c r="FT45" i="112" s="1"/>
  <c r="FT154" i="112" s="1"/>
  <c r="DX127" i="112"/>
  <c r="EG127" i="112"/>
  <c r="EI127" i="112"/>
  <c r="FQ64" i="112"/>
  <c r="FQ63" i="112"/>
  <c r="DW6" i="112"/>
  <c r="DQ5" i="6"/>
  <c r="EE6" i="113"/>
  <c r="EJ6" i="113"/>
  <c r="DV58" i="1"/>
  <c r="DO5" i="6"/>
  <c r="DX6" i="113"/>
  <c r="DZ115" i="1"/>
  <c r="EE58" i="1"/>
  <c r="EH115" i="1"/>
  <c r="DW58" i="1"/>
  <c r="EC58" i="1"/>
  <c r="EE73" i="1"/>
  <c r="EC6" i="51"/>
  <c r="DW115" i="1"/>
  <c r="EE94" i="1"/>
  <c r="EC73" i="1"/>
  <c r="ED58" i="1"/>
  <c r="ED115" i="1"/>
  <c r="EE190" i="112"/>
  <c r="EI190" i="112"/>
  <c r="ED190" i="112"/>
  <c r="EA6" i="51"/>
  <c r="EI6" i="51"/>
  <c r="EB191" i="112"/>
  <c r="ED6" i="51"/>
  <c r="EE6" i="51"/>
  <c r="DW110" i="112"/>
  <c r="DW188" i="112"/>
  <c r="EJ190" i="112"/>
  <c r="DX190" i="112"/>
  <c r="EF6" i="51"/>
  <c r="EG19" i="51"/>
  <c r="DW64" i="113"/>
  <c r="EF49" i="112"/>
  <c r="EF13" i="112" s="1"/>
  <c r="EF99" i="113" s="1"/>
  <c r="EK49" i="112"/>
  <c r="EK13" i="112" s="1"/>
  <c r="EK99" i="113" s="1"/>
  <c r="EC120" i="112"/>
  <c r="EI49" i="112"/>
  <c r="EI13" i="112" s="1"/>
  <c r="EI158" i="112" s="1"/>
  <c r="EE113" i="112"/>
  <c r="EJ49" i="112"/>
  <c r="EJ13" i="112" s="1"/>
  <c r="DX113" i="112"/>
  <c r="EC188" i="112"/>
  <c r="EF120" i="112"/>
  <c r="DV190" i="112"/>
  <c r="DY127" i="112"/>
  <c r="EC191" i="112"/>
  <c r="EF188" i="112"/>
  <c r="EB106" i="112"/>
  <c r="DY120" i="112"/>
  <c r="EA111" i="112"/>
  <c r="DW70" i="112"/>
  <c r="DX49" i="112"/>
  <c r="DX13" i="112" s="1"/>
  <c r="DX158" i="112" s="1"/>
  <c r="DY113" i="112"/>
  <c r="DW120" i="112"/>
  <c r="EB113" i="112"/>
  <c r="EC106" i="112"/>
  <c r="EA188" i="112"/>
  <c r="EG49" i="112"/>
  <c r="EG13" i="112" s="1"/>
  <c r="EG99" i="113" s="1"/>
  <c r="EE49" i="112"/>
  <c r="ED104" i="112"/>
  <c r="EG120" i="112"/>
  <c r="EI120" i="112"/>
  <c r="DV127" i="112"/>
  <c r="DX120" i="112"/>
  <c r="DV188" i="112"/>
  <c r="EG191" i="112"/>
  <c r="EJ113" i="112"/>
  <c r="EJ120" i="112"/>
  <c r="DW127" i="112"/>
  <c r="DV191" i="112"/>
  <c r="DX188" i="112"/>
  <c r="EC6" i="112"/>
  <c r="DZ120" i="112"/>
  <c r="DZ190" i="112"/>
  <c r="EG111" i="112"/>
  <c r="EJ127" i="112"/>
  <c r="DW113" i="112"/>
  <c r="DY188" i="112"/>
  <c r="EC49" i="112"/>
  <c r="EC13" i="112" s="1"/>
  <c r="EC99" i="113" s="1"/>
  <c r="EA49" i="112"/>
  <c r="DZ106" i="112"/>
  <c r="EB120" i="112"/>
  <c r="EB127" i="112"/>
  <c r="EA190" i="112"/>
  <c r="EI6" i="112"/>
  <c r="DW49" i="112"/>
  <c r="EB49" i="112"/>
  <c r="EB13" i="112" s="1"/>
  <c r="EB99" i="113" s="1"/>
  <c r="EC113" i="112"/>
  <c r="EG190" i="112"/>
  <c r="EH106" i="112"/>
  <c r="EH125" i="112"/>
  <c r="EG104" i="112"/>
  <c r="ED201" i="112"/>
  <c r="EI104" i="112"/>
  <c r="EA118" i="112"/>
  <c r="DY125" i="112"/>
  <c r="EB118" i="112"/>
  <c r="EI125" i="112"/>
  <c r="EA125" i="112"/>
  <c r="EA201" i="112"/>
  <c r="EJ104" i="112"/>
  <c r="EH201" i="112"/>
  <c r="DY201" i="112"/>
  <c r="DW118" i="112"/>
  <c r="DZ111" i="112"/>
  <c r="DZ118" i="112"/>
  <c r="DW111" i="112"/>
  <c r="DY118" i="112"/>
  <c r="DY111" i="112"/>
  <c r="DV201" i="112"/>
  <c r="DZ104" i="112"/>
  <c r="DX125" i="112"/>
  <c r="DX201" i="112"/>
  <c r="EH58" i="1"/>
  <c r="EG58" i="1"/>
  <c r="EG73" i="1"/>
  <c r="ED94" i="1"/>
  <c r="EG115" i="1"/>
  <c r="DZ58" i="1"/>
  <c r="DZ73" i="1"/>
  <c r="EA58" i="1"/>
  <c r="EA73" i="1"/>
  <c r="EA115" i="1"/>
  <c r="EC115" i="1"/>
  <c r="DW124" i="112"/>
  <c r="DV217" i="112"/>
  <c r="DW36" i="113"/>
  <c r="DY129" i="113"/>
  <c r="DW217" i="112"/>
  <c r="DV124" i="112"/>
  <c r="DW39" i="51"/>
  <c r="DW207" i="112"/>
  <c r="DV117" i="112"/>
  <c r="DV148" i="113"/>
  <c r="DY56" i="51"/>
  <c r="DW169" i="112"/>
  <c r="DW200" i="112"/>
  <c r="DV73" i="1"/>
  <c r="DV115" i="1"/>
  <c r="DY162" i="112"/>
  <c r="DY176" i="112"/>
  <c r="DP5" i="6"/>
  <c r="DZ30" i="51"/>
  <c r="EF19" i="51"/>
  <c r="ED39" i="51"/>
  <c r="EF56" i="51"/>
  <c r="EH148" i="113"/>
  <c r="EH129" i="113"/>
  <c r="EH97" i="113"/>
  <c r="EH36" i="113"/>
  <c r="EH161" i="113"/>
  <c r="EH135" i="113"/>
  <c r="EH123" i="113"/>
  <c r="EH56" i="51"/>
  <c r="EA72" i="112"/>
  <c r="DZ193" i="112"/>
  <c r="ED21" i="112"/>
  <c r="EE32" i="112"/>
  <c r="EE43" i="112" s="1"/>
  <c r="EG103" i="112"/>
  <c r="EG110" i="112"/>
  <c r="EF117" i="112"/>
  <c r="EF124" i="112"/>
  <c r="EG131" i="112"/>
  <c r="EG169" i="112"/>
  <c r="ED176" i="112"/>
  <c r="EG183" i="112"/>
  <c r="EE186" i="112"/>
  <c r="EG193" i="112"/>
  <c r="ED207" i="112"/>
  <c r="EF211" i="112"/>
  <c r="EI21" i="112"/>
  <c r="EK32" i="112"/>
  <c r="EK43" i="112" s="1"/>
  <c r="EJ72" i="112"/>
  <c r="EI117" i="112"/>
  <c r="EI124" i="112"/>
  <c r="EH131" i="112"/>
  <c r="EK162" i="112"/>
  <c r="EI169" i="112"/>
  <c r="EK183" i="112"/>
  <c r="EI186" i="112"/>
  <c r="EI193" i="112"/>
  <c r="EK200" i="112"/>
  <c r="EK207" i="112"/>
  <c r="EH217" i="112"/>
  <c r="EA36" i="113"/>
  <c r="DZ123" i="113"/>
  <c r="EA148" i="113"/>
  <c r="DZ161" i="113"/>
  <c r="EE23" i="113"/>
  <c r="EE36" i="113"/>
  <c r="EG64" i="113"/>
  <c r="EF111" i="113"/>
  <c r="EF117" i="113"/>
  <c r="EE123" i="113"/>
  <c r="EE129" i="113"/>
  <c r="EE135" i="113"/>
  <c r="ED141" i="113"/>
  <c r="EK51" i="113"/>
  <c r="EK117" i="113"/>
  <c r="EA30" i="51"/>
  <c r="EE39" i="51"/>
  <c r="EG56" i="51"/>
  <c r="EI117" i="113"/>
  <c r="EI161" i="113"/>
  <c r="EI135" i="113"/>
  <c r="EI123" i="113"/>
  <c r="EI111" i="113"/>
  <c r="EI88" i="113"/>
  <c r="EH30" i="51"/>
  <c r="EI56" i="51"/>
  <c r="DZ110" i="112"/>
  <c r="DZ162" i="112"/>
  <c r="DZ169" i="112"/>
  <c r="DZ186" i="112"/>
  <c r="EA193" i="112"/>
  <c r="EE21" i="112"/>
  <c r="EF32" i="112"/>
  <c r="EF43" i="112" s="1"/>
  <c r="EG117" i="112"/>
  <c r="EG124" i="112"/>
  <c r="ED162" i="112"/>
  <c r="EE176" i="112"/>
  <c r="EF186" i="112"/>
  <c r="ED200" i="112"/>
  <c r="EE207" i="112"/>
  <c r="EG211" i="112"/>
  <c r="ED223" i="112"/>
  <c r="EJ21" i="112"/>
  <c r="EK72" i="112"/>
  <c r="EH103" i="112"/>
  <c r="EH110" i="112"/>
  <c r="EJ117" i="112"/>
  <c r="EJ124" i="112"/>
  <c r="EI131" i="112"/>
  <c r="EJ169" i="112"/>
  <c r="EH176" i="112"/>
  <c r="EJ186" i="112"/>
  <c r="EJ193" i="112"/>
  <c r="EI217" i="112"/>
  <c r="EA123" i="113"/>
  <c r="EC141" i="113"/>
  <c r="EF23" i="113"/>
  <c r="EF36" i="113"/>
  <c r="ED51" i="113"/>
  <c r="ED88" i="113"/>
  <c r="EG111" i="113"/>
  <c r="EG117" i="113"/>
  <c r="EF123" i="113"/>
  <c r="EF129" i="113"/>
  <c r="EF135" i="113"/>
  <c r="EE141" i="113"/>
  <c r="EH23" i="113"/>
  <c r="EH88" i="113"/>
  <c r="EJ123" i="113"/>
  <c r="EI129" i="113"/>
  <c r="ED30" i="51"/>
  <c r="EF39" i="51"/>
  <c r="EJ161" i="113"/>
  <c r="EJ111" i="113"/>
  <c r="EJ88" i="113"/>
  <c r="EJ74" i="113"/>
  <c r="EJ64" i="113"/>
  <c r="EJ51" i="113"/>
  <c r="EJ141" i="113"/>
  <c r="EH19" i="51"/>
  <c r="EI30" i="51"/>
  <c r="EH39" i="51"/>
  <c r="EJ56" i="51"/>
  <c r="DZ32" i="112"/>
  <c r="DZ43" i="112" s="1"/>
  <c r="EA103" i="112"/>
  <c r="EA110" i="112"/>
  <c r="EA162" i="112"/>
  <c r="EA186" i="112"/>
  <c r="EA200" i="112"/>
  <c r="EA211" i="112"/>
  <c r="EA223" i="112"/>
  <c r="EF21" i="112"/>
  <c r="EG32" i="112"/>
  <c r="EG43" i="112" s="1"/>
  <c r="ED72" i="112"/>
  <c r="EE162" i="112"/>
  <c r="EF176" i="112"/>
  <c r="EG186" i="112"/>
  <c r="EE200" i="112"/>
  <c r="EF207" i="112"/>
  <c r="ED217" i="112"/>
  <c r="EE223" i="112"/>
  <c r="EK21" i="112"/>
  <c r="EI103" i="112"/>
  <c r="EI110" i="112"/>
  <c r="EK117" i="112"/>
  <c r="EK124" i="112"/>
  <c r="EJ131" i="112"/>
  <c r="EK169" i="112"/>
  <c r="EI176" i="112"/>
  <c r="EK186" i="112"/>
  <c r="EK193" i="112"/>
  <c r="EH211" i="112"/>
  <c r="EJ217" i="112"/>
  <c r="EH223" i="112"/>
  <c r="DZ23" i="113"/>
  <c r="DZ117" i="113"/>
  <c r="EG23" i="113"/>
  <c r="EG36" i="113"/>
  <c r="EE51" i="113"/>
  <c r="ED74" i="113"/>
  <c r="EE88" i="113"/>
  <c r="ED97" i="113"/>
  <c r="EG123" i="113"/>
  <c r="EG129" i="113"/>
  <c r="EG135" i="113"/>
  <c r="EF141" i="113"/>
  <c r="ED148" i="113"/>
  <c r="EK6" i="113"/>
  <c r="EI23" i="113"/>
  <c r="EH74" i="113"/>
  <c r="EK88" i="113"/>
  <c r="EJ129" i="113"/>
  <c r="EJ135" i="113"/>
  <c r="DL5" i="6"/>
  <c r="DZ19" i="51"/>
  <c r="DZ39" i="51"/>
  <c r="EE30" i="51"/>
  <c r="EG39" i="51"/>
  <c r="EK135" i="113"/>
  <c r="EK123" i="113"/>
  <c r="EK23" i="113"/>
  <c r="EK141" i="113"/>
  <c r="EK148" i="113"/>
  <c r="EK129" i="113"/>
  <c r="EK97" i="113"/>
  <c r="EI19" i="51"/>
  <c r="EJ30" i="51"/>
  <c r="EI39" i="51"/>
  <c r="EK56" i="51"/>
  <c r="EA32" i="112"/>
  <c r="EA43" i="112" s="1"/>
  <c r="EA117" i="112"/>
  <c r="EA131" i="112"/>
  <c r="EC217" i="112"/>
  <c r="EG21" i="112"/>
  <c r="EE72" i="112"/>
  <c r="ED103" i="112"/>
  <c r="ED110" i="112"/>
  <c r="ED131" i="112"/>
  <c r="EF162" i="112"/>
  <c r="ED169" i="112"/>
  <c r="EG176" i="112"/>
  <c r="ED183" i="112"/>
  <c r="ED193" i="112"/>
  <c r="EF200" i="112"/>
  <c r="EG207" i="112"/>
  <c r="EE217" i="112"/>
  <c r="EF223" i="112"/>
  <c r="EH32" i="112"/>
  <c r="EH43" i="112" s="1"/>
  <c r="EJ103" i="112"/>
  <c r="EJ110" i="112"/>
  <c r="EK131" i="112"/>
  <c r="EH162" i="112"/>
  <c r="EJ176" i="112"/>
  <c r="EH183" i="112"/>
  <c r="EH200" i="112"/>
  <c r="EH207" i="112"/>
  <c r="EI211" i="112"/>
  <c r="EK217" i="112"/>
  <c r="EI223" i="112"/>
  <c r="EA23" i="113"/>
  <c r="DZ97" i="113"/>
  <c r="EA111" i="113"/>
  <c r="EA117" i="113"/>
  <c r="DZ135" i="113"/>
  <c r="EF6" i="113"/>
  <c r="EF51" i="113"/>
  <c r="ED64" i="113"/>
  <c r="EE74" i="113"/>
  <c r="EF88" i="113"/>
  <c r="EE97" i="113"/>
  <c r="EG141" i="113"/>
  <c r="EE148" i="113"/>
  <c r="ED161" i="113"/>
  <c r="EJ23" i="113"/>
  <c r="EI36" i="113"/>
  <c r="EH64" i="113"/>
  <c r="EI74" i="113"/>
  <c r="EI97" i="113"/>
  <c r="EH111" i="113"/>
  <c r="EH141" i="113"/>
  <c r="EF73" i="1"/>
  <c r="EF115" i="1"/>
  <c r="EF94" i="1"/>
  <c r="EF58" i="1"/>
  <c r="DN5" i="6"/>
  <c r="EA19" i="51"/>
  <c r="EA39" i="51"/>
  <c r="ED19" i="51"/>
  <c r="EF30" i="51"/>
  <c r="ED56" i="51"/>
  <c r="EJ19" i="51"/>
  <c r="EK30" i="51"/>
  <c r="EJ39" i="51"/>
  <c r="EB21" i="112"/>
  <c r="EF72" i="112"/>
  <c r="EE103" i="112"/>
  <c r="EE110" i="112"/>
  <c r="ED117" i="112"/>
  <c r="ED124" i="112"/>
  <c r="EE131" i="112"/>
  <c r="EG162" i="112"/>
  <c r="EE169" i="112"/>
  <c r="EE183" i="112"/>
  <c r="EE193" i="112"/>
  <c r="EG200" i="112"/>
  <c r="ED211" i="112"/>
  <c r="EF217" i="112"/>
  <c r="EG223" i="112"/>
  <c r="EI32" i="112"/>
  <c r="EI43" i="112" s="1"/>
  <c r="EH72" i="112"/>
  <c r="EK103" i="112"/>
  <c r="EK110" i="112"/>
  <c r="EI162" i="112"/>
  <c r="EK176" i="112"/>
  <c r="EI183" i="112"/>
  <c r="EI200" i="112"/>
  <c r="EI207" i="112"/>
  <c r="EJ211" i="112"/>
  <c r="EJ223" i="112"/>
  <c r="DZ129" i="113"/>
  <c r="EG51" i="113"/>
  <c r="EE64" i="113"/>
  <c r="EF74" i="113"/>
  <c r="EG88" i="113"/>
  <c r="EF97" i="113"/>
  <c r="ED111" i="113"/>
  <c r="ED117" i="113"/>
  <c r="EF148" i="113"/>
  <c r="EE161" i="113"/>
  <c r="EJ36" i="113"/>
  <c r="EH51" i="113"/>
  <c r="EI64" i="113"/>
  <c r="EK74" i="113"/>
  <c r="EJ97" i="113"/>
  <c r="EK111" i="113"/>
  <c r="EH117" i="113"/>
  <c r="EI141" i="113"/>
  <c r="EC56" i="51"/>
  <c r="EE19" i="51"/>
  <c r="EG30" i="51"/>
  <c r="EE56" i="51"/>
  <c r="EK19" i="51"/>
  <c r="EK39" i="51"/>
  <c r="DZ72" i="112"/>
  <c r="EB124" i="112"/>
  <c r="EC176" i="112"/>
  <c r="EA207" i="112"/>
  <c r="EF6" i="112"/>
  <c r="ED32" i="112"/>
  <c r="ED43" i="112" s="1"/>
  <c r="EG72" i="112"/>
  <c r="EF103" i="112"/>
  <c r="EF110" i="112"/>
  <c r="EE117" i="112"/>
  <c r="EE124" i="112"/>
  <c r="EF131" i="112"/>
  <c r="EF169" i="112"/>
  <c r="EF183" i="112"/>
  <c r="ED186" i="112"/>
  <c r="EF193" i="112"/>
  <c r="EE211" i="112"/>
  <c r="EG217" i="112"/>
  <c r="EH21" i="112"/>
  <c r="EJ32" i="112"/>
  <c r="EJ43" i="112" s="1"/>
  <c r="EI72" i="112"/>
  <c r="EH117" i="112"/>
  <c r="EH124" i="112"/>
  <c r="EJ162" i="112"/>
  <c r="EH169" i="112"/>
  <c r="EJ183" i="112"/>
  <c r="EH186" i="112"/>
  <c r="EH193" i="112"/>
  <c r="EJ200" i="112"/>
  <c r="EJ207" i="112"/>
  <c r="EK211" i="112"/>
  <c r="EK223" i="112"/>
  <c r="DZ36" i="113"/>
  <c r="DZ51" i="113"/>
  <c r="EC74" i="113"/>
  <c r="EA129" i="113"/>
  <c r="ED23" i="113"/>
  <c r="ED36" i="113"/>
  <c r="EF64" i="113"/>
  <c r="EG74" i="113"/>
  <c r="EG97" i="113"/>
  <c r="EE111" i="113"/>
  <c r="ED123" i="113"/>
  <c r="ED129" i="113"/>
  <c r="EG148" i="113"/>
  <c r="EK36" i="113"/>
  <c r="EI51" i="113"/>
  <c r="EK64" i="113"/>
  <c r="EJ117" i="113"/>
  <c r="EB94" i="1"/>
  <c r="EB58" i="1"/>
  <c r="EB115" i="1"/>
  <c r="EJ73" i="1"/>
  <c r="EJ115" i="1"/>
  <c r="EJ58" i="1"/>
  <c r="EJ94" i="1"/>
  <c r="EI58" i="1"/>
  <c r="EK94" i="1"/>
  <c r="EI115" i="1"/>
  <c r="EH73" i="1"/>
  <c r="EK58" i="1"/>
  <c r="EI73" i="1"/>
  <c r="EK115" i="1"/>
  <c r="DX73" i="1"/>
  <c r="DX115" i="1"/>
  <c r="DX58" i="1"/>
  <c r="DW161" i="113"/>
  <c r="DW117" i="113"/>
  <c r="DW148" i="113"/>
  <c r="DW141" i="113"/>
  <c r="DV103" i="112"/>
  <c r="DV183" i="112"/>
  <c r="DY186" i="112"/>
  <c r="DY51" i="113"/>
  <c r="DY73" i="1"/>
  <c r="DY115" i="1"/>
  <c r="DY58" i="1"/>
  <c r="DW30" i="51"/>
  <c r="DW103" i="112"/>
  <c r="DW183" i="112"/>
  <c r="DV193" i="112"/>
  <c r="DV211" i="112"/>
  <c r="DX74" i="113"/>
  <c r="DV141" i="113"/>
  <c r="DV117" i="113"/>
  <c r="DV123" i="113"/>
  <c r="DW19" i="51"/>
  <c r="DV21" i="112"/>
  <c r="DV32" i="112"/>
  <c r="DV43" i="112" s="1"/>
  <c r="DV72" i="112"/>
  <c r="DW193" i="112"/>
  <c r="DW211" i="112"/>
  <c r="DW23" i="113"/>
  <c r="DW97" i="113"/>
  <c r="DW111" i="113"/>
  <c r="DX94" i="1"/>
  <c r="DX6" i="51"/>
  <c r="DX6" i="112"/>
  <c r="DW21" i="112"/>
  <c r="DW32" i="112"/>
  <c r="DW43" i="112" s="1"/>
  <c r="DW72" i="112"/>
  <c r="DV110" i="112"/>
  <c r="DV131" i="112"/>
  <c r="DV169" i="112"/>
  <c r="DV200" i="112"/>
  <c r="DV207" i="112"/>
  <c r="DY88" i="113"/>
  <c r="DY94" i="1"/>
  <c r="DW73" i="1"/>
  <c r="DZ6" i="113"/>
  <c r="DY6" i="112"/>
  <c r="DX129" i="113"/>
  <c r="DX88" i="113"/>
  <c r="DX51" i="113"/>
  <c r="DX186" i="112"/>
  <c r="DX176" i="112"/>
  <c r="DX162" i="112"/>
  <c r="DX56" i="51"/>
  <c r="DX217" i="112"/>
  <c r="DX123" i="113"/>
  <c r="DX117" i="112"/>
  <c r="DX39" i="51"/>
  <c r="DX19" i="51"/>
  <c r="DX97" i="113"/>
  <c r="DX36" i="113"/>
  <c r="DX200" i="112"/>
  <c r="DX169" i="112"/>
  <c r="DX110" i="112"/>
  <c r="DX148" i="113"/>
  <c r="DX117" i="113"/>
  <c r="DX111" i="113"/>
  <c r="DX211" i="112"/>
  <c r="DX207" i="112"/>
  <c r="DX193" i="112"/>
  <c r="DX183" i="112"/>
  <c r="DX32" i="112"/>
  <c r="DX43" i="112" s="1"/>
  <c r="DX30" i="51"/>
  <c r="DX131" i="112"/>
  <c r="DX103" i="112"/>
  <c r="DX64" i="113"/>
  <c r="DX21" i="112"/>
  <c r="DX72" i="112"/>
  <c r="DX141" i="113"/>
  <c r="DX23" i="113"/>
  <c r="DX124" i="112"/>
  <c r="DX223" i="112"/>
  <c r="DX161" i="113"/>
  <c r="EB64" i="113"/>
  <c r="DW6" i="51"/>
  <c r="EB141" i="113"/>
  <c r="EB74" i="113"/>
  <c r="EB217" i="112"/>
  <c r="EB176" i="112"/>
  <c r="EB56" i="51"/>
  <c r="EB111" i="113"/>
  <c r="EB207" i="112"/>
  <c r="EB131" i="112"/>
  <c r="EB117" i="112"/>
  <c r="EB161" i="113"/>
  <c r="EB135" i="113"/>
  <c r="EB97" i="113"/>
  <c r="EB51" i="113"/>
  <c r="EB169" i="112"/>
  <c r="EB36" i="113"/>
  <c r="EB186" i="112"/>
  <c r="EB72" i="112"/>
  <c r="EB30" i="51"/>
  <c r="EB211" i="112"/>
  <c r="EB39" i="51"/>
  <c r="EB129" i="113"/>
  <c r="EB123" i="113"/>
  <c r="EB117" i="113"/>
  <c r="EB23" i="113"/>
  <c r="EB193" i="112"/>
  <c r="EB110" i="112"/>
  <c r="EB19" i="51"/>
  <c r="EB162" i="112"/>
  <c r="EB148" i="113"/>
  <c r="EB200" i="112"/>
  <c r="EB103" i="112"/>
  <c r="EB223" i="112"/>
  <c r="EB32" i="112"/>
  <c r="EB43" i="112" s="1"/>
  <c r="EB183" i="112"/>
  <c r="DY223" i="112"/>
  <c r="EC88" i="113"/>
  <c r="DY124" i="112"/>
  <c r="DY200" i="112"/>
  <c r="EC207" i="112"/>
  <c r="EC124" i="112"/>
  <c r="EC183" i="112"/>
  <c r="DY21" i="112"/>
  <c r="EC32" i="112"/>
  <c r="EC43" i="112" s="1"/>
  <c r="DJ5" i="6"/>
  <c r="DY19" i="51"/>
  <c r="DY39" i="51"/>
  <c r="EC30" i="51"/>
  <c r="DZ56" i="51"/>
  <c r="DY72" i="112"/>
  <c r="DY103" i="112"/>
  <c r="DW117" i="112"/>
  <c r="DY131" i="112"/>
  <c r="DV162" i="112"/>
  <c r="DV176" i="112"/>
  <c r="DV186" i="112"/>
  <c r="DY217" i="112"/>
  <c r="EC72" i="112"/>
  <c r="EC162" i="112"/>
  <c r="EA169" i="112"/>
  <c r="DZ176" i="112"/>
  <c r="EC186" i="112"/>
  <c r="DZ217" i="112"/>
  <c r="DV51" i="113"/>
  <c r="DV88" i="113"/>
  <c r="DW123" i="113"/>
  <c r="DV129" i="113"/>
  <c r="EC36" i="113"/>
  <c r="EA51" i="113"/>
  <c r="DZ74" i="113"/>
  <c r="EA97" i="113"/>
  <c r="EA135" i="113"/>
  <c r="DZ141" i="113"/>
  <c r="EA161" i="113"/>
  <c r="EC21" i="112"/>
  <c r="DY74" i="113"/>
  <c r="DY135" i="113"/>
  <c r="DY161" i="113"/>
  <c r="EC64" i="113"/>
  <c r="DY110" i="112"/>
  <c r="EC103" i="112"/>
  <c r="EC117" i="112"/>
  <c r="EC131" i="112"/>
  <c r="EC200" i="112"/>
  <c r="EC211" i="112"/>
  <c r="EC223" i="112"/>
  <c r="DY23" i="113"/>
  <c r="DY36" i="113"/>
  <c r="DY64" i="113"/>
  <c r="DY97" i="113"/>
  <c r="DY141" i="113"/>
  <c r="EC111" i="113"/>
  <c r="EC148" i="113"/>
  <c r="DY30" i="51"/>
  <c r="DW56" i="51"/>
  <c r="EB6" i="51"/>
  <c r="EC19" i="51"/>
  <c r="EA56" i="51"/>
  <c r="DY32" i="112"/>
  <c r="DY43" i="112" s="1"/>
  <c r="DW162" i="112"/>
  <c r="DW176" i="112"/>
  <c r="DY183" i="112"/>
  <c r="DW186" i="112"/>
  <c r="DY193" i="112"/>
  <c r="DY207" i="112"/>
  <c r="DY211" i="112"/>
  <c r="DV223" i="112"/>
  <c r="EB6" i="112"/>
  <c r="DZ21" i="112"/>
  <c r="EC110" i="112"/>
  <c r="DZ124" i="112"/>
  <c r="EA176" i="112"/>
  <c r="DZ183" i="112"/>
  <c r="EC193" i="112"/>
  <c r="EA217" i="112"/>
  <c r="DW51" i="113"/>
  <c r="DV74" i="113"/>
  <c r="DW88" i="113"/>
  <c r="DY111" i="113"/>
  <c r="DY117" i="113"/>
  <c r="DW129" i="113"/>
  <c r="DV135" i="113"/>
  <c r="DY148" i="113"/>
  <c r="DV161" i="113"/>
  <c r="EB6" i="113"/>
  <c r="EC23" i="113"/>
  <c r="DZ64" i="113"/>
  <c r="EA74" i="113"/>
  <c r="DZ88" i="113"/>
  <c r="EC117" i="113"/>
  <c r="EC123" i="113"/>
  <c r="EC129" i="113"/>
  <c r="EA141" i="113"/>
  <c r="ED6" i="113"/>
  <c r="EC39" i="51"/>
  <c r="DY169" i="112"/>
  <c r="DD5" i="6"/>
  <c r="DY117" i="112"/>
  <c r="DW223" i="112"/>
  <c r="EA21" i="112"/>
  <c r="DZ103" i="112"/>
  <c r="DZ117" i="112"/>
  <c r="EA124" i="112"/>
  <c r="DZ131" i="112"/>
  <c r="EC169" i="112"/>
  <c r="EA183" i="112"/>
  <c r="DZ200" i="112"/>
  <c r="DZ207" i="112"/>
  <c r="DZ211" i="112"/>
  <c r="DZ223" i="112"/>
  <c r="DV23" i="113"/>
  <c r="DV36" i="113"/>
  <c r="DV64" i="113"/>
  <c r="DW74" i="113"/>
  <c r="DV97" i="113"/>
  <c r="DW135" i="113"/>
  <c r="EC51" i="113"/>
  <c r="EA64" i="113"/>
  <c r="EC97" i="113"/>
  <c r="DZ111" i="113"/>
  <c r="EC135" i="113"/>
  <c r="EA6" i="113"/>
  <c r="DW6" i="113"/>
  <c r="EH188" i="112"/>
  <c r="EH191" i="112"/>
  <c r="EA6" i="112"/>
  <c r="DZ6" i="112"/>
  <c r="EA70" i="112"/>
  <c r="DV125" i="112"/>
  <c r="DZ113" i="112"/>
  <c r="EB125" i="112"/>
  <c r="EG6" i="112"/>
  <c r="EE70" i="112"/>
  <c r="EG201" i="112"/>
  <c r="EG125" i="112"/>
  <c r="EG118" i="112"/>
  <c r="EF106" i="112"/>
  <c r="EF113" i="112"/>
  <c r="DW125" i="112"/>
  <c r="DZ125" i="112"/>
  <c r="EA104" i="112"/>
  <c r="EB111" i="112"/>
  <c r="ED6" i="112"/>
  <c r="EG106" i="112"/>
  <c r="EK106" i="112"/>
  <c r="EG113" i="112"/>
  <c r="EH113" i="112"/>
  <c r="DX111" i="112"/>
  <c r="DX118" i="112"/>
  <c r="EC127" i="112"/>
  <c r="EB104" i="112"/>
  <c r="EE6" i="112"/>
  <c r="EF127" i="112"/>
  <c r="ED118" i="112"/>
  <c r="ED111" i="112"/>
  <c r="EC201" i="112"/>
  <c r="EC125" i="112"/>
  <c r="EC118" i="112"/>
  <c r="EC111" i="112"/>
  <c r="EA106" i="112"/>
  <c r="EE106" i="112"/>
  <c r="EA127" i="112"/>
  <c r="EA120" i="112"/>
  <c r="EA113" i="112"/>
  <c r="EC104" i="112"/>
  <c r="DZ127" i="112"/>
  <c r="EJ6" i="112"/>
  <c r="EK6" i="112"/>
  <c r="DZ188" i="112"/>
  <c r="EI113" i="112"/>
  <c r="EH190" i="112"/>
  <c r="EI191" i="112"/>
  <c r="ED127" i="112"/>
  <c r="EF190" i="112"/>
  <c r="EI70" i="112"/>
  <c r="EI11" i="112" s="1"/>
  <c r="EI98" i="113" s="1"/>
  <c r="EI118" i="112"/>
  <c r="EJ125" i="112"/>
  <c r="EE127" i="112"/>
  <c r="EE120" i="112"/>
  <c r="EE188" i="112"/>
  <c r="EH6" i="112"/>
  <c r="EI111" i="112"/>
  <c r="EJ118" i="112"/>
  <c r="EK125" i="112"/>
  <c r="ED125" i="112"/>
  <c r="EI106" i="112"/>
  <c r="EJ111" i="112"/>
  <c r="EK118" i="112"/>
  <c r="EE104" i="112"/>
  <c r="EE111" i="112"/>
  <c r="EE118" i="112"/>
  <c r="EE125" i="112"/>
  <c r="EJ106" i="112"/>
  <c r="EK111" i="112"/>
  <c r="EF104" i="112"/>
  <c r="EF111" i="112"/>
  <c r="ED113" i="112"/>
  <c r="EF118" i="112"/>
  <c r="ED120" i="112"/>
  <c r="EF125" i="112"/>
  <c r="EK127" i="112"/>
  <c r="ED188" i="112"/>
  <c r="EK113" i="112"/>
  <c r="EK120" i="112"/>
  <c r="EJ188" i="112"/>
  <c r="EH104" i="112"/>
  <c r="EH111" i="112"/>
  <c r="EH118" i="112"/>
  <c r="EK188" i="112"/>
  <c r="DZ6" i="51"/>
  <c r="DY6" i="51"/>
  <c r="DV56" i="51"/>
  <c r="DV39" i="51"/>
  <c r="DV19" i="51"/>
  <c r="DV30" i="51"/>
  <c r="EG6" i="51"/>
  <c r="DG5" i="6"/>
  <c r="DK5" i="6"/>
  <c r="DI5" i="6"/>
  <c r="DH5" i="6"/>
  <c r="DF5" i="6"/>
  <c r="DE5" i="6"/>
  <c r="DC5" i="6"/>
  <c r="EK208" i="112" l="1"/>
  <c r="EK209" i="112" s="1"/>
  <c r="EG208" i="112"/>
  <c r="EG209" i="112" s="1"/>
  <c r="EC208" i="112"/>
  <c r="EC209" i="112" s="1"/>
  <c r="EB208" i="112"/>
  <c r="EB209" i="112" s="1"/>
  <c r="EF208" i="112"/>
  <c r="EF209" i="112" s="1"/>
  <c r="EJ208" i="112"/>
  <c r="EJ209" i="112" s="1"/>
  <c r="EE208" i="112"/>
  <c r="EE209" i="112" s="1"/>
  <c r="EA208" i="112"/>
  <c r="EA209" i="112" s="1"/>
  <c r="EI208" i="112"/>
  <c r="EI209" i="112" s="1"/>
  <c r="EH208" i="112"/>
  <c r="EH209" i="112" s="1"/>
  <c r="DZ208" i="112"/>
  <c r="DZ209" i="112" s="1"/>
  <c r="ED208" i="112"/>
  <c r="ED209" i="112" s="1"/>
  <c r="FU201" i="112"/>
  <c r="FS45" i="112"/>
  <c r="FS154" i="112" s="1"/>
  <c r="EH49" i="112"/>
  <c r="EH13" i="112" s="1"/>
  <c r="HF45" i="112"/>
  <c r="HD45" i="112"/>
  <c r="DV49" i="112"/>
  <c r="FR49" i="112" s="1"/>
  <c r="FR158" i="112" s="1"/>
  <c r="EJ35" i="112"/>
  <c r="EB158" i="112"/>
  <c r="EB165" i="112" s="1"/>
  <c r="ED49" i="112"/>
  <c r="FT49" i="112" s="1"/>
  <c r="FT158" i="112" s="1"/>
  <c r="EG35" i="112"/>
  <c r="EK24" i="112"/>
  <c r="EG13" i="51"/>
  <c r="FS201" i="112"/>
  <c r="FR201" i="112"/>
  <c r="EA11" i="112"/>
  <c r="EA151" i="112" s="1"/>
  <c r="EG158" i="112"/>
  <c r="HE45" i="112"/>
  <c r="EE13" i="112"/>
  <c r="EE13" i="51" s="1"/>
  <c r="EG24" i="112"/>
  <c r="EF13" i="51"/>
  <c r="EC13" i="51"/>
  <c r="FT201" i="112"/>
  <c r="DZ13" i="112"/>
  <c r="DZ99" i="113" s="1"/>
  <c r="FS49" i="112"/>
  <c r="FS158" i="112" s="1"/>
  <c r="DW11" i="112"/>
  <c r="EE11" i="112"/>
  <c r="EE11" i="51" s="1"/>
  <c r="EF158" i="112"/>
  <c r="EC158" i="112"/>
  <c r="DW13" i="112"/>
  <c r="HD49" i="112"/>
  <c r="EA13" i="112"/>
  <c r="EB35" i="112" s="1"/>
  <c r="DY13" i="51"/>
  <c r="EF24" i="112"/>
  <c r="EB24" i="112"/>
  <c r="DY35" i="112"/>
  <c r="DY158" i="112"/>
  <c r="EC24" i="112"/>
  <c r="EC35" i="112"/>
  <c r="EB13" i="51"/>
  <c r="EK158" i="112"/>
  <c r="EK13" i="51"/>
  <c r="EK35" i="112"/>
  <c r="EJ158" i="112"/>
  <c r="EJ24" i="112"/>
  <c r="EI99" i="113"/>
  <c r="EI13" i="51"/>
  <c r="EJ99" i="113"/>
  <c r="EJ13" i="51"/>
  <c r="DX13" i="51"/>
  <c r="DX99" i="113"/>
  <c r="EI151" i="112"/>
  <c r="EI11" i="51"/>
  <c r="HF49" i="112" l="1"/>
  <c r="FU49" i="112"/>
  <c r="FU158" i="112" s="1"/>
  <c r="EJ179" i="112"/>
  <c r="DY179" i="112"/>
  <c r="EK165" i="112"/>
  <c r="DZ13" i="51"/>
  <c r="DZ33" i="51" s="1"/>
  <c r="DV13" i="112"/>
  <c r="FR13" i="112" s="1"/>
  <c r="EA22" i="112"/>
  <c r="EC172" i="112"/>
  <c r="HE49" i="112"/>
  <c r="FS208" i="112"/>
  <c r="EF35" i="112"/>
  <c r="ED13" i="112"/>
  <c r="ED99" i="113" s="1"/>
  <c r="EG22" i="51"/>
  <c r="EA11" i="51"/>
  <c r="DY172" i="112"/>
  <c r="EC22" i="51"/>
  <c r="EG165" i="112"/>
  <c r="EE99" i="113"/>
  <c r="EC179" i="112"/>
  <c r="EC165" i="112"/>
  <c r="EK22" i="51"/>
  <c r="EE24" i="112"/>
  <c r="EK179" i="112"/>
  <c r="EG179" i="112"/>
  <c r="EG172" i="112"/>
  <c r="EF165" i="112"/>
  <c r="EG33" i="51"/>
  <c r="FT165" i="112"/>
  <c r="EB189" i="112"/>
  <c r="FS165" i="112"/>
  <c r="EE151" i="112"/>
  <c r="EF33" i="51"/>
  <c r="HD13" i="112"/>
  <c r="DW158" i="112"/>
  <c r="FT208" i="112"/>
  <c r="EF22" i="51"/>
  <c r="DW99" i="113"/>
  <c r="HB99" i="113" s="1"/>
  <c r="DW98" i="113"/>
  <c r="DW151" i="112"/>
  <c r="DW11" i="51"/>
  <c r="FU208" i="112"/>
  <c r="EA98" i="113"/>
  <c r="EE98" i="113"/>
  <c r="HF13" i="112"/>
  <c r="EE158" i="112"/>
  <c r="EH99" i="113"/>
  <c r="FU13" i="112"/>
  <c r="EH13" i="51"/>
  <c r="EH158" i="112"/>
  <c r="EH35" i="112"/>
  <c r="EI35" i="112"/>
  <c r="EC33" i="51"/>
  <c r="DX35" i="112"/>
  <c r="EA99" i="113"/>
  <c r="EA35" i="112"/>
  <c r="EA24" i="112"/>
  <c r="EA158" i="112"/>
  <c r="EA13" i="51"/>
  <c r="EI22" i="112"/>
  <c r="DW13" i="51"/>
  <c r="EI24" i="112"/>
  <c r="EE22" i="112"/>
  <c r="FS13" i="112"/>
  <c r="DZ35" i="112"/>
  <c r="DZ158" i="112"/>
  <c r="EJ165" i="112"/>
  <c r="EK172" i="112"/>
  <c r="EJ172" i="112"/>
  <c r="EI22" i="51"/>
  <c r="EJ33" i="51"/>
  <c r="EK33" i="51"/>
  <c r="EJ22" i="51"/>
  <c r="DY33" i="51"/>
  <c r="EB22" i="51"/>
  <c r="EI20" i="51"/>
  <c r="FU165" i="112" l="1"/>
  <c r="EA163" i="112"/>
  <c r="EA187" i="112" s="1"/>
  <c r="EI163" i="112"/>
  <c r="EE20" i="51"/>
  <c r="EG189" i="112"/>
  <c r="EF189" i="112"/>
  <c r="EK189" i="112"/>
  <c r="EC189" i="112"/>
  <c r="DZ24" i="112"/>
  <c r="DV99" i="113"/>
  <c r="FR99" i="113" s="1"/>
  <c r="FR106" i="113" s="1"/>
  <c r="EE163" i="112"/>
  <c r="ED13" i="51"/>
  <c r="HD13" i="51" s="1"/>
  <c r="DV158" i="112"/>
  <c r="DV13" i="51"/>
  <c r="DZ22" i="51" s="1"/>
  <c r="DW35" i="112"/>
  <c r="EH24" i="112"/>
  <c r="ED158" i="112"/>
  <c r="FT13" i="112"/>
  <c r="FU24" i="112" s="1"/>
  <c r="ED35" i="112"/>
  <c r="FT99" i="113"/>
  <c r="FS24" i="112"/>
  <c r="HE13" i="112"/>
  <c r="HF24" i="112" s="1"/>
  <c r="ED24" i="112"/>
  <c r="HC99" i="113"/>
  <c r="EA20" i="51"/>
  <c r="HD99" i="113"/>
  <c r="EE35" i="112"/>
  <c r="FS99" i="113"/>
  <c r="FS106" i="113" s="1"/>
  <c r="FU99" i="113"/>
  <c r="FU106" i="113" s="1"/>
  <c r="EJ189" i="112"/>
  <c r="HC13" i="51"/>
  <c r="DX33" i="51"/>
  <c r="EF172" i="112"/>
  <c r="EE165" i="112"/>
  <c r="EF179" i="112"/>
  <c r="EI165" i="112"/>
  <c r="HE13" i="51"/>
  <c r="EI33" i="51"/>
  <c r="HF158" i="112"/>
  <c r="EE22" i="51"/>
  <c r="FS13" i="51"/>
  <c r="EA33" i="51"/>
  <c r="DZ172" i="112"/>
  <c r="DZ179" i="112"/>
  <c r="EI179" i="112"/>
  <c r="EH179" i="112"/>
  <c r="EI172" i="112"/>
  <c r="EH172" i="112"/>
  <c r="DX172" i="112"/>
  <c r="DX179" i="112"/>
  <c r="EB33" i="51"/>
  <c r="FU13" i="51"/>
  <c r="EH33" i="51"/>
  <c r="EA172" i="112"/>
  <c r="EA165" i="112"/>
  <c r="EA179" i="112"/>
  <c r="EB179" i="112"/>
  <c r="EB172" i="112"/>
  <c r="EA22" i="51"/>
  <c r="HD158" i="112"/>
  <c r="EI187" i="112" l="1"/>
  <c r="EE187" i="112"/>
  <c r="DW33" i="51"/>
  <c r="EE172" i="112"/>
  <c r="DW172" i="112"/>
  <c r="ED22" i="51"/>
  <c r="DW179" i="112"/>
  <c r="DZ165" i="112"/>
  <c r="FT13" i="51"/>
  <c r="ED33" i="51"/>
  <c r="FR13" i="51"/>
  <c r="EH22" i="51"/>
  <c r="EE33" i="51"/>
  <c r="FT24" i="112"/>
  <c r="HE24" i="112"/>
  <c r="FT106" i="113"/>
  <c r="HE22" i="51"/>
  <c r="EE179" i="112"/>
  <c r="ED172" i="112"/>
  <c r="ED179" i="112"/>
  <c r="EH165" i="112"/>
  <c r="ED165" i="112"/>
  <c r="HE158" i="112"/>
  <c r="HF165" i="112" s="1"/>
  <c r="HD22" i="51"/>
  <c r="EI189" i="112"/>
  <c r="EE189" i="112"/>
  <c r="EA189" i="112"/>
  <c r="V24" i="116" l="1"/>
  <c r="AI56" i="116" s="1"/>
  <c r="EH189" i="112"/>
  <c r="FT22" i="51"/>
  <c r="DZ189" i="112"/>
  <c r="FS22" i="51"/>
  <c r="FU22" i="51"/>
  <c r="ED189" i="112"/>
  <c r="HE165" i="112"/>
  <c r="GQ71" i="113"/>
  <c r="GP71" i="113"/>
  <c r="GV68" i="113"/>
  <c r="GU68" i="113"/>
  <c r="GT68" i="113"/>
  <c r="GS68" i="113"/>
  <c r="GR68" i="113"/>
  <c r="GQ68" i="113"/>
  <c r="GP68" i="113"/>
  <c r="GQ67" i="113"/>
  <c r="GP67" i="113"/>
  <c r="GR93" i="113"/>
  <c r="GR94" i="113" s="1"/>
  <c r="GR90" i="113"/>
  <c r="GZ154" i="113"/>
  <c r="GZ159" i="113" s="1"/>
  <c r="GY154" i="113"/>
  <c r="GY159" i="113" s="1"/>
  <c r="GX154" i="113"/>
  <c r="GX159" i="113" s="1"/>
  <c r="GW154" i="113"/>
  <c r="GW159" i="113" s="1"/>
  <c r="GV154" i="113"/>
  <c r="GV159" i="113" s="1"/>
  <c r="GU154" i="113"/>
  <c r="GU159" i="113" s="1"/>
  <c r="GS153" i="113"/>
  <c r="GR153" i="113"/>
  <c r="GQ153" i="113"/>
  <c r="GP153" i="113"/>
  <c r="GS152" i="113"/>
  <c r="GR152" i="113"/>
  <c r="GQ152" i="113"/>
  <c r="GP152" i="113"/>
  <c r="GR165" i="113"/>
  <c r="GP143" i="113"/>
  <c r="GR113" i="113"/>
  <c r="AI24" i="116" l="1"/>
  <c r="V47" i="116"/>
  <c r="X47" i="116" s="1"/>
  <c r="Y47" i="116" s="1"/>
  <c r="X24" i="116"/>
  <c r="Y24" i="116" s="1"/>
  <c r="GS69" i="113"/>
  <c r="GV69" i="113"/>
  <c r="GT69" i="113"/>
  <c r="GU69" i="113"/>
  <c r="GR95" i="113"/>
  <c r="AI47" i="116" l="1"/>
  <c r="FM68" i="113"/>
  <c r="FL68" i="113"/>
  <c r="FK68" i="113"/>
  <c r="FJ68" i="113"/>
  <c r="FI68" i="113"/>
  <c r="FH68" i="113"/>
  <c r="FI93" i="113"/>
  <c r="FH93" i="113"/>
  <c r="FG93" i="113"/>
  <c r="FF93" i="113"/>
  <c r="FI90" i="113"/>
  <c r="FH90" i="113"/>
  <c r="FQ166" i="113"/>
  <c r="FP166" i="113"/>
  <c r="FO166" i="113"/>
  <c r="FN166" i="113"/>
  <c r="FM166" i="113"/>
  <c r="FL166" i="113"/>
  <c r="FK166" i="113"/>
  <c r="FJ166" i="113"/>
  <c r="FG166" i="113"/>
  <c r="FF166" i="113"/>
  <c r="FE166" i="113"/>
  <c r="FQ139" i="113"/>
  <c r="FP139" i="113"/>
  <c r="FO139" i="113"/>
  <c r="FN139" i="113"/>
  <c r="FM139" i="113"/>
  <c r="FL139" i="113"/>
  <c r="FK139" i="113"/>
  <c r="FJ139" i="113"/>
  <c r="FI139" i="113"/>
  <c r="FH139" i="113"/>
  <c r="FG139" i="113"/>
  <c r="FF139" i="113"/>
  <c r="FE139" i="113"/>
  <c r="FQ133" i="113"/>
  <c r="FP133" i="113"/>
  <c r="FO133" i="113"/>
  <c r="FN133" i="113"/>
  <c r="FM133" i="113"/>
  <c r="FL133" i="113"/>
  <c r="FK133" i="113"/>
  <c r="FJ133" i="113"/>
  <c r="FI133" i="113"/>
  <c r="FH133" i="113"/>
  <c r="FG133" i="113"/>
  <c r="FF133" i="113"/>
  <c r="FE133" i="113"/>
  <c r="FQ127" i="113"/>
  <c r="FP127" i="113"/>
  <c r="FO127" i="113"/>
  <c r="FN127" i="113"/>
  <c r="FM127" i="113"/>
  <c r="FL127" i="113"/>
  <c r="FK127" i="113"/>
  <c r="FJ127" i="113"/>
  <c r="FI127" i="113"/>
  <c r="FH127" i="113"/>
  <c r="FG127" i="113"/>
  <c r="FF127" i="113"/>
  <c r="FE127" i="113"/>
  <c r="FQ121" i="113"/>
  <c r="FP121" i="113"/>
  <c r="FO121" i="113"/>
  <c r="FN121" i="113"/>
  <c r="FM121" i="113"/>
  <c r="FL121" i="113"/>
  <c r="FK121" i="113"/>
  <c r="FJ121" i="113"/>
  <c r="FI121" i="113"/>
  <c r="FH121" i="113"/>
  <c r="FG121" i="113"/>
  <c r="FF121" i="113"/>
  <c r="FE121" i="113"/>
  <c r="FI113" i="113"/>
  <c r="FH113" i="113"/>
  <c r="FG113" i="113"/>
  <c r="FF113" i="113"/>
  <c r="FI119" i="113"/>
  <c r="FH119" i="113"/>
  <c r="FG119" i="113"/>
  <c r="FF119" i="113"/>
  <c r="FI125" i="113"/>
  <c r="FH125" i="113"/>
  <c r="FG125" i="113"/>
  <c r="FF125" i="113"/>
  <c r="FI131" i="113"/>
  <c r="FH131" i="113"/>
  <c r="FG131" i="113"/>
  <c r="FK137" i="113"/>
  <c r="FJ137" i="113"/>
  <c r="FI137" i="113"/>
  <c r="FH137" i="113"/>
  <c r="FG137" i="113"/>
  <c r="FG143" i="113"/>
  <c r="FE153" i="113"/>
  <c r="FE152" i="113"/>
  <c r="FF153" i="113"/>
  <c r="FF152" i="113"/>
  <c r="FG153" i="113"/>
  <c r="FG152" i="113"/>
  <c r="FH165" i="113"/>
  <c r="FI165" i="113"/>
  <c r="FQ72" i="113"/>
  <c r="FP72" i="113"/>
  <c r="FO72" i="113"/>
  <c r="FG92" i="113"/>
  <c r="FF92" i="113"/>
  <c r="FE92" i="113"/>
  <c r="FG94" i="113"/>
  <c r="FF94" i="113"/>
  <c r="FE94" i="113"/>
  <c r="FQ115" i="113"/>
  <c r="FP115" i="113"/>
  <c r="FO115" i="113"/>
  <c r="FN115" i="113"/>
  <c r="FM115" i="113"/>
  <c r="FL115" i="113"/>
  <c r="FK115" i="113"/>
  <c r="FJ115" i="113"/>
  <c r="FF115" i="113"/>
  <c r="FE115" i="113"/>
  <c r="FG145" i="113"/>
  <c r="FF145" i="113"/>
  <c r="FE145" i="113"/>
  <c r="DU92" i="112" l="1"/>
  <c r="FF70" i="112"/>
  <c r="FE70" i="112"/>
  <c r="FD70" i="112"/>
  <c r="FC70" i="112"/>
  <c r="FB70" i="112"/>
  <c r="FA70" i="112"/>
  <c r="EZ70" i="112"/>
  <c r="EY70" i="112"/>
  <c r="EX70" i="112"/>
  <c r="EW70" i="112"/>
  <c r="EV70" i="112"/>
  <c r="EU70" i="112"/>
  <c r="ET70" i="112"/>
  <c r="ES70" i="112"/>
  <c r="ER70" i="112"/>
  <c r="EQ70" i="112"/>
  <c r="EP70" i="112"/>
  <c r="EO70" i="112"/>
  <c r="EN70" i="112"/>
  <c r="EM70" i="112"/>
  <c r="FF69" i="112"/>
  <c r="FE69" i="112"/>
  <c r="FD69" i="112"/>
  <c r="FC69" i="112"/>
  <c r="FB69" i="112"/>
  <c r="FA69" i="112"/>
  <c r="EZ69" i="112"/>
  <c r="EY69" i="112"/>
  <c r="EX69" i="112"/>
  <c r="EW69" i="112"/>
  <c r="EV69" i="112"/>
  <c r="EU69" i="112"/>
  <c r="ET69" i="112"/>
  <c r="ES69" i="112"/>
  <c r="ER69" i="112"/>
  <c r="EQ69" i="112"/>
  <c r="EP69" i="112"/>
  <c r="EO69" i="112"/>
  <c r="EN69" i="112"/>
  <c r="EM69" i="112"/>
  <c r="FF68" i="112"/>
  <c r="FE68" i="112"/>
  <c r="FD68" i="112"/>
  <c r="FC68" i="112"/>
  <c r="FB68" i="112"/>
  <c r="FA68" i="112"/>
  <c r="EZ68" i="112"/>
  <c r="EY68" i="112"/>
  <c r="EX68" i="112"/>
  <c r="EW68" i="112"/>
  <c r="EV68" i="112"/>
  <c r="EU68" i="112"/>
  <c r="ET68" i="112"/>
  <c r="ES68" i="112"/>
  <c r="ER68" i="112"/>
  <c r="EQ68" i="112"/>
  <c r="EP68" i="112"/>
  <c r="EO68" i="112"/>
  <c r="EN68" i="112"/>
  <c r="EM68" i="112"/>
  <c r="FF67" i="112"/>
  <c r="FE67" i="112"/>
  <c r="FD67" i="112"/>
  <c r="FC67" i="112"/>
  <c r="FB67" i="112"/>
  <c r="FA67" i="112"/>
  <c r="EZ67" i="112"/>
  <c r="EY67" i="112"/>
  <c r="EX67" i="112"/>
  <c r="EW67" i="112"/>
  <c r="EV67" i="112"/>
  <c r="EU67" i="112"/>
  <c r="ET67" i="112"/>
  <c r="ES67" i="112"/>
  <c r="ER67" i="112"/>
  <c r="EQ67" i="112"/>
  <c r="EP67" i="112"/>
  <c r="EO67" i="112"/>
  <c r="EN67" i="112"/>
  <c r="EM67" i="112"/>
  <c r="FF62" i="112"/>
  <c r="FE62" i="112"/>
  <c r="FD62" i="112"/>
  <c r="FC62" i="112"/>
  <c r="FB62" i="112"/>
  <c r="FA62" i="112"/>
  <c r="EZ62" i="112"/>
  <c r="EY62" i="112"/>
  <c r="EX62" i="112"/>
  <c r="EW62" i="112"/>
  <c r="EV62" i="112"/>
  <c r="EU62" i="112"/>
  <c r="ET62" i="112"/>
  <c r="ES62" i="112"/>
  <c r="ER62" i="112"/>
  <c r="EQ62" i="112"/>
  <c r="EP62" i="112"/>
  <c r="EO62" i="112"/>
  <c r="EN62" i="112"/>
  <c r="EM62" i="112"/>
  <c r="FF61" i="112"/>
  <c r="FE61" i="112"/>
  <c r="FD61" i="112"/>
  <c r="FC61" i="112"/>
  <c r="FB61" i="112"/>
  <c r="FA61" i="112"/>
  <c r="EZ61" i="112"/>
  <c r="EY61" i="112"/>
  <c r="EX61" i="112"/>
  <c r="EW61" i="112"/>
  <c r="EV61" i="112"/>
  <c r="EU61" i="112"/>
  <c r="ET61" i="112"/>
  <c r="ES61" i="112"/>
  <c r="ER61" i="112"/>
  <c r="EQ61" i="112"/>
  <c r="EP61" i="112"/>
  <c r="EO61" i="112"/>
  <c r="EN61" i="112"/>
  <c r="EM61" i="112"/>
  <c r="FF60" i="112"/>
  <c r="FE60" i="112"/>
  <c r="FD60" i="112"/>
  <c r="FC60" i="112"/>
  <c r="FB60" i="112"/>
  <c r="FA60" i="112"/>
  <c r="EZ60" i="112"/>
  <c r="EY60" i="112"/>
  <c r="EX60" i="112"/>
  <c r="EW60" i="112"/>
  <c r="EV60" i="112"/>
  <c r="EU60" i="112"/>
  <c r="ET60" i="112"/>
  <c r="ES60" i="112"/>
  <c r="ER60" i="112"/>
  <c r="EQ60" i="112"/>
  <c r="EP60" i="112"/>
  <c r="EO60" i="112"/>
  <c r="EN60" i="112"/>
  <c r="EM60" i="112"/>
  <c r="FF59" i="112"/>
  <c r="FE59" i="112"/>
  <c r="FD59" i="112"/>
  <c r="FC59" i="112"/>
  <c r="FB59" i="112"/>
  <c r="FA59" i="112"/>
  <c r="EZ59" i="112"/>
  <c r="EY59" i="112"/>
  <c r="EX59" i="112"/>
  <c r="EW59" i="112"/>
  <c r="EV59" i="112"/>
  <c r="EU59" i="112"/>
  <c r="ET59" i="112"/>
  <c r="ES59" i="112"/>
  <c r="ER59" i="112"/>
  <c r="EQ59" i="112"/>
  <c r="EP59" i="112"/>
  <c r="EO59" i="112"/>
  <c r="EN59" i="112"/>
  <c r="EM59" i="112"/>
  <c r="FF58" i="112"/>
  <c r="FE58" i="112"/>
  <c r="FD58" i="112"/>
  <c r="FC58" i="112"/>
  <c r="FB58" i="112"/>
  <c r="FA58" i="112"/>
  <c r="EZ58" i="112"/>
  <c r="EY58" i="112"/>
  <c r="EX58" i="112"/>
  <c r="EW58" i="112"/>
  <c r="EV58" i="112"/>
  <c r="EU58" i="112"/>
  <c r="ET58" i="112"/>
  <c r="ES58" i="112"/>
  <c r="ER58" i="112"/>
  <c r="EQ58" i="112"/>
  <c r="EP58" i="112"/>
  <c r="EO58" i="112"/>
  <c r="EN58" i="112"/>
  <c r="EM58" i="112"/>
  <c r="FF57" i="112"/>
  <c r="FE57" i="112"/>
  <c r="FD57" i="112"/>
  <c r="FC57" i="112"/>
  <c r="FB57" i="112"/>
  <c r="FA57" i="112"/>
  <c r="EZ57" i="112"/>
  <c r="EY57" i="112"/>
  <c r="EX57" i="112"/>
  <c r="EW57" i="112"/>
  <c r="EV57" i="112"/>
  <c r="EU57" i="112"/>
  <c r="ET57" i="112"/>
  <c r="ES57" i="112"/>
  <c r="ER57" i="112"/>
  <c r="EQ57" i="112"/>
  <c r="EP57" i="112"/>
  <c r="EO57" i="112"/>
  <c r="EN57" i="112"/>
  <c r="EM57" i="112"/>
  <c r="FF56" i="112"/>
  <c r="FE56" i="112"/>
  <c r="FD56" i="112"/>
  <c r="FC56" i="112"/>
  <c r="FB56" i="112"/>
  <c r="FA56" i="112"/>
  <c r="EZ56" i="112"/>
  <c r="EY56" i="112"/>
  <c r="EX56" i="112"/>
  <c r="EW56" i="112"/>
  <c r="EV56" i="112"/>
  <c r="EU56" i="112"/>
  <c r="ET56" i="112"/>
  <c r="ES56" i="112"/>
  <c r="ER56" i="112"/>
  <c r="EQ56" i="112"/>
  <c r="EP56" i="112"/>
  <c r="EO56" i="112"/>
  <c r="EN56" i="112"/>
  <c r="EM56" i="112"/>
  <c r="FF55" i="112"/>
  <c r="FE55" i="112"/>
  <c r="FD55" i="112"/>
  <c r="FC55" i="112"/>
  <c r="FB55" i="112"/>
  <c r="FA55" i="112"/>
  <c r="EZ55" i="112"/>
  <c r="EY55" i="112"/>
  <c r="EX55" i="112"/>
  <c r="EW55" i="112"/>
  <c r="EV55" i="112"/>
  <c r="EU55" i="112"/>
  <c r="ET55" i="112"/>
  <c r="ES55" i="112"/>
  <c r="ER55" i="112"/>
  <c r="EQ55" i="112"/>
  <c r="EP55" i="112"/>
  <c r="EO55" i="112"/>
  <c r="EN55" i="112"/>
  <c r="EM55" i="112"/>
  <c r="FF54" i="112"/>
  <c r="FE54" i="112"/>
  <c r="FD54" i="112"/>
  <c r="FC54" i="112"/>
  <c r="FB54" i="112"/>
  <c r="FA54" i="112"/>
  <c r="EZ54" i="112"/>
  <c r="EY54" i="112"/>
  <c r="EX54" i="112"/>
  <c r="EW54" i="112"/>
  <c r="EV54" i="112"/>
  <c r="EU54" i="112"/>
  <c r="ET54" i="112"/>
  <c r="ES54" i="112"/>
  <c r="ER54" i="112"/>
  <c r="EQ54" i="112"/>
  <c r="EP54" i="112"/>
  <c r="EO54" i="112"/>
  <c r="EN54" i="112"/>
  <c r="EM54" i="112"/>
  <c r="FF53" i="112"/>
  <c r="FE53" i="112"/>
  <c r="FD53" i="112"/>
  <c r="FC53" i="112"/>
  <c r="FB53" i="112"/>
  <c r="FA53" i="112"/>
  <c r="EZ53" i="112"/>
  <c r="EY53" i="112"/>
  <c r="EX53" i="112"/>
  <c r="EW53" i="112"/>
  <c r="EV53" i="112"/>
  <c r="EU53" i="112"/>
  <c r="ET53" i="112"/>
  <c r="ES53" i="112"/>
  <c r="ER53" i="112"/>
  <c r="EQ53" i="112"/>
  <c r="EP53" i="112"/>
  <c r="EO53" i="112"/>
  <c r="EN53" i="112"/>
  <c r="EM53" i="112"/>
  <c r="FF52" i="112"/>
  <c r="FE52" i="112"/>
  <c r="FD52" i="112"/>
  <c r="FC52" i="112"/>
  <c r="FB52" i="112"/>
  <c r="FA52" i="112"/>
  <c r="EZ52" i="112"/>
  <c r="EY52" i="112"/>
  <c r="EX52" i="112"/>
  <c r="EW52" i="112"/>
  <c r="EV52" i="112"/>
  <c r="EU52" i="112"/>
  <c r="ET52" i="112"/>
  <c r="ES52" i="112"/>
  <c r="ER52" i="112"/>
  <c r="EQ52" i="112"/>
  <c r="EP52" i="112"/>
  <c r="EO52" i="112"/>
  <c r="EN52" i="112"/>
  <c r="EM52" i="112"/>
  <c r="FF51" i="112"/>
  <c r="FE51" i="112"/>
  <c r="FD51" i="112"/>
  <c r="FC51" i="112"/>
  <c r="FB51" i="112"/>
  <c r="FA51" i="112"/>
  <c r="EZ51" i="112"/>
  <c r="EY51" i="112"/>
  <c r="EX51" i="112"/>
  <c r="EW51" i="112"/>
  <c r="EV51" i="112"/>
  <c r="EU51" i="112"/>
  <c r="ET51" i="112"/>
  <c r="ES51" i="112"/>
  <c r="ER51" i="112"/>
  <c r="EQ51" i="112"/>
  <c r="EP51" i="112"/>
  <c r="EO51" i="112"/>
  <c r="EN51" i="112"/>
  <c r="EM51" i="112"/>
  <c r="FF49" i="112"/>
  <c r="FE49" i="112"/>
  <c r="FD49" i="112"/>
  <c r="FC49" i="112"/>
  <c r="FB49" i="112"/>
  <c r="FA49" i="112"/>
  <c r="EZ49" i="112"/>
  <c r="EY49" i="112"/>
  <c r="EX49" i="112"/>
  <c r="EW49" i="112"/>
  <c r="EV49" i="112"/>
  <c r="EU49" i="112"/>
  <c r="ET49" i="112"/>
  <c r="ES49" i="112"/>
  <c r="ER49" i="112"/>
  <c r="EQ49" i="112"/>
  <c r="EP49" i="112"/>
  <c r="EO49" i="112"/>
  <c r="EN49" i="112"/>
  <c r="EM49" i="112"/>
  <c r="FF48" i="112"/>
  <c r="FE48" i="112"/>
  <c r="FD48" i="112"/>
  <c r="FC48" i="112"/>
  <c r="FB48" i="112"/>
  <c r="FA48" i="112"/>
  <c r="EZ48" i="112"/>
  <c r="EY48" i="112"/>
  <c r="EX48" i="112"/>
  <c r="EW48" i="112"/>
  <c r="EV48" i="112"/>
  <c r="EU48" i="112"/>
  <c r="ET48" i="112"/>
  <c r="ES48" i="112"/>
  <c r="ER48" i="112"/>
  <c r="EQ48" i="112"/>
  <c r="EP48" i="112"/>
  <c r="EO48" i="112"/>
  <c r="EN48" i="112"/>
  <c r="EM48" i="112"/>
  <c r="FF47" i="112"/>
  <c r="FE47" i="112"/>
  <c r="FD47" i="112"/>
  <c r="FC47" i="112"/>
  <c r="FB47" i="112"/>
  <c r="FA47" i="112"/>
  <c r="EZ47" i="112"/>
  <c r="EY47" i="112"/>
  <c r="EX47" i="112"/>
  <c r="EW47" i="112"/>
  <c r="EV47" i="112"/>
  <c r="EU47" i="112"/>
  <c r="ET47" i="112"/>
  <c r="ES47" i="112"/>
  <c r="ER47" i="112"/>
  <c r="EQ47" i="112"/>
  <c r="EP47" i="112"/>
  <c r="EO47" i="112"/>
  <c r="EN47" i="112"/>
  <c r="EM47" i="112"/>
  <c r="FF46" i="112"/>
  <c r="FE46" i="112"/>
  <c r="FD46" i="112"/>
  <c r="FC46" i="112"/>
  <c r="FB46" i="112"/>
  <c r="FA46" i="112"/>
  <c r="EZ46" i="112"/>
  <c r="EY46" i="112"/>
  <c r="EX46" i="112"/>
  <c r="EW46" i="112"/>
  <c r="EV46" i="112"/>
  <c r="EU46" i="112"/>
  <c r="ET46" i="112"/>
  <c r="ES46" i="112"/>
  <c r="ER46" i="112"/>
  <c r="EQ46" i="112"/>
  <c r="EP46" i="112"/>
  <c r="EO46" i="112"/>
  <c r="EN46" i="112"/>
  <c r="EM46" i="112"/>
  <c r="FF45" i="112"/>
  <c r="FE45" i="112"/>
  <c r="FD45" i="112"/>
  <c r="FC45" i="112"/>
  <c r="FB45" i="112"/>
  <c r="FA45" i="112"/>
  <c r="EZ45" i="112"/>
  <c r="EY45" i="112"/>
  <c r="EX45" i="112"/>
  <c r="EW45" i="112"/>
  <c r="EV45" i="112"/>
  <c r="EU45" i="112"/>
  <c r="ET45" i="112"/>
  <c r="ES45" i="112"/>
  <c r="ER45" i="112"/>
  <c r="EQ45" i="112"/>
  <c r="EP45" i="112"/>
  <c r="EO45" i="112"/>
  <c r="EN45" i="112"/>
  <c r="EM45" i="112"/>
  <c r="FF44" i="112"/>
  <c r="FE44" i="112"/>
  <c r="FD44" i="112"/>
  <c r="FC44" i="112"/>
  <c r="FB44" i="112"/>
  <c r="FA44" i="112"/>
  <c r="EZ44" i="112"/>
  <c r="EY44" i="112"/>
  <c r="EX44" i="112"/>
  <c r="EW44" i="112"/>
  <c r="EV44" i="112"/>
  <c r="EU44" i="112"/>
  <c r="ET44" i="112"/>
  <c r="ES44" i="112"/>
  <c r="ER44" i="112"/>
  <c r="EQ44" i="112"/>
  <c r="EP44" i="112"/>
  <c r="EO44" i="112"/>
  <c r="EN44" i="112"/>
  <c r="EM44" i="112"/>
  <c r="FQ98" i="112"/>
  <c r="FP98" i="112"/>
  <c r="FF98" i="112"/>
  <c r="FE98" i="112"/>
  <c r="FD98" i="112"/>
  <c r="FC98" i="112"/>
  <c r="FB98" i="112"/>
  <c r="FA98" i="112"/>
  <c r="EZ98" i="112"/>
  <c r="EY98" i="112"/>
  <c r="EX98" i="112"/>
  <c r="EW98" i="112"/>
  <c r="EV98" i="112"/>
  <c r="EU98" i="112"/>
  <c r="ET98" i="112"/>
  <c r="ES98" i="112"/>
  <c r="ER98" i="112"/>
  <c r="EQ98" i="112"/>
  <c r="EP98" i="112"/>
  <c r="EO98" i="112"/>
  <c r="EN98" i="112"/>
  <c r="EM98" i="112"/>
  <c r="FQ97" i="112"/>
  <c r="FP97" i="112"/>
  <c r="FO97" i="112"/>
  <c r="FM97" i="112"/>
  <c r="FL97" i="112"/>
  <c r="FK97" i="112"/>
  <c r="FJ97" i="112"/>
  <c r="FI97" i="112"/>
  <c r="FH97" i="112"/>
  <c r="FF97" i="112"/>
  <c r="FE97" i="112"/>
  <c r="FD97" i="112"/>
  <c r="FC97" i="112"/>
  <c r="FB97" i="112"/>
  <c r="FA97" i="112"/>
  <c r="EZ97" i="112"/>
  <c r="EY97" i="112"/>
  <c r="EX97" i="112"/>
  <c r="EW97" i="112"/>
  <c r="EV97" i="112"/>
  <c r="EU97" i="112"/>
  <c r="ET97" i="112"/>
  <c r="ES97" i="112"/>
  <c r="ER97" i="112"/>
  <c r="EQ97" i="112"/>
  <c r="EP97" i="112"/>
  <c r="EO97" i="112"/>
  <c r="EN97" i="112"/>
  <c r="EM97" i="112"/>
  <c r="FQ96" i="112"/>
  <c r="FP96" i="112"/>
  <c r="FO96" i="112"/>
  <c r="FM96" i="112"/>
  <c r="FL96" i="112"/>
  <c r="FK96" i="112"/>
  <c r="FJ96" i="112"/>
  <c r="FI96" i="112"/>
  <c r="FH96" i="112"/>
  <c r="FF96" i="112"/>
  <c r="FE96" i="112"/>
  <c r="FD96" i="112"/>
  <c r="FC96" i="112"/>
  <c r="FB96" i="112"/>
  <c r="FA96" i="112"/>
  <c r="EZ96" i="112"/>
  <c r="EY96" i="112"/>
  <c r="EX96" i="112"/>
  <c r="EW96" i="112"/>
  <c r="EV96" i="112"/>
  <c r="EU96" i="112"/>
  <c r="ET96" i="112"/>
  <c r="ES96" i="112"/>
  <c r="ER96" i="112"/>
  <c r="EQ96" i="112"/>
  <c r="EP96" i="112"/>
  <c r="EO96" i="112"/>
  <c r="EN96" i="112"/>
  <c r="EM96" i="112"/>
  <c r="FQ95" i="112"/>
  <c r="FP95" i="112"/>
  <c r="FO95" i="112"/>
  <c r="FM95" i="112"/>
  <c r="FL95" i="112"/>
  <c r="FK95" i="112"/>
  <c r="FJ95" i="112"/>
  <c r="FI95" i="112"/>
  <c r="FH95" i="112"/>
  <c r="FF95" i="112"/>
  <c r="FE95" i="112"/>
  <c r="FD95" i="112"/>
  <c r="FC95" i="112"/>
  <c r="FB95" i="112"/>
  <c r="FA95" i="112"/>
  <c r="EZ95" i="112"/>
  <c r="EY95" i="112"/>
  <c r="EX95" i="112"/>
  <c r="EW95" i="112"/>
  <c r="EV95" i="112"/>
  <c r="EU95" i="112"/>
  <c r="ET95" i="112"/>
  <c r="ES95" i="112"/>
  <c r="ER95" i="112"/>
  <c r="EQ95" i="112"/>
  <c r="EP95" i="112"/>
  <c r="EO95" i="112"/>
  <c r="EN95" i="112"/>
  <c r="EM95" i="112"/>
  <c r="FQ94" i="112"/>
  <c r="FP94" i="112"/>
  <c r="FM94" i="112"/>
  <c r="FL94" i="112"/>
  <c r="FK94" i="112"/>
  <c r="FJ94" i="112"/>
  <c r="FI94" i="112"/>
  <c r="FH94" i="112"/>
  <c r="FF94" i="112"/>
  <c r="FE94" i="112"/>
  <c r="FD94" i="112"/>
  <c r="FC94" i="112"/>
  <c r="FB94" i="112"/>
  <c r="FA94" i="112"/>
  <c r="EZ94" i="112"/>
  <c r="EY94" i="112"/>
  <c r="EX94" i="112"/>
  <c r="EW94" i="112"/>
  <c r="EV94" i="112"/>
  <c r="EU94" i="112"/>
  <c r="ET94" i="112"/>
  <c r="ES94" i="112"/>
  <c r="ER94" i="112"/>
  <c r="EQ94" i="112"/>
  <c r="EP94" i="112"/>
  <c r="EO94" i="112"/>
  <c r="EN94" i="112"/>
  <c r="EM94" i="112"/>
  <c r="FK93" i="112"/>
  <c r="FJ93" i="112"/>
  <c r="FI93" i="112"/>
  <c r="FH93" i="112"/>
  <c r="FF93" i="112"/>
  <c r="FE93" i="112"/>
  <c r="FD93" i="112"/>
  <c r="FC93" i="112"/>
  <c r="FB93" i="112"/>
  <c r="FA93" i="112"/>
  <c r="EZ93" i="112"/>
  <c r="EY93" i="112"/>
  <c r="EX93" i="112"/>
  <c r="EW93" i="112"/>
  <c r="EV93" i="112"/>
  <c r="EU93" i="112"/>
  <c r="ET93" i="112"/>
  <c r="ES93" i="112"/>
  <c r="ER93" i="112"/>
  <c r="EQ93" i="112"/>
  <c r="EP93" i="112"/>
  <c r="EO93" i="112"/>
  <c r="EN93" i="112"/>
  <c r="EM93" i="112"/>
  <c r="FQ91" i="112"/>
  <c r="FP91" i="112"/>
  <c r="FF91" i="112"/>
  <c r="FE91" i="112"/>
  <c r="FD91" i="112"/>
  <c r="FC91" i="112"/>
  <c r="FB91" i="112"/>
  <c r="FA91" i="112"/>
  <c r="EZ91" i="112"/>
  <c r="EY91" i="112"/>
  <c r="EX91" i="112"/>
  <c r="EW91" i="112"/>
  <c r="EV91" i="112"/>
  <c r="EU91" i="112"/>
  <c r="ET91" i="112"/>
  <c r="ES91" i="112"/>
  <c r="ER91" i="112"/>
  <c r="EQ91" i="112"/>
  <c r="EP91" i="112"/>
  <c r="EO91" i="112"/>
  <c r="EN91" i="112"/>
  <c r="EM91" i="112"/>
  <c r="FQ90" i="112"/>
  <c r="FP90" i="112"/>
  <c r="FO90" i="112"/>
  <c r="FN90" i="112"/>
  <c r="FM90" i="112"/>
  <c r="FL90" i="112"/>
  <c r="FK90" i="112"/>
  <c r="FJ90" i="112"/>
  <c r="FI90" i="112"/>
  <c r="FH90" i="112"/>
  <c r="FF90" i="112"/>
  <c r="FE90" i="112"/>
  <c r="FD90" i="112"/>
  <c r="FC90" i="112"/>
  <c r="FB90" i="112"/>
  <c r="FA90" i="112"/>
  <c r="EZ90" i="112"/>
  <c r="EY90" i="112"/>
  <c r="EX90" i="112"/>
  <c r="EW90" i="112"/>
  <c r="EV90" i="112"/>
  <c r="EU90" i="112"/>
  <c r="ET90" i="112"/>
  <c r="ES90" i="112"/>
  <c r="ER90" i="112"/>
  <c r="EQ90" i="112"/>
  <c r="EP90" i="112"/>
  <c r="EO90" i="112"/>
  <c r="EN90" i="112"/>
  <c r="EM90" i="112"/>
  <c r="FQ89" i="112"/>
  <c r="FP89" i="112"/>
  <c r="FO89" i="112"/>
  <c r="FN89" i="112"/>
  <c r="FM89" i="112"/>
  <c r="FL89" i="112"/>
  <c r="FK89" i="112"/>
  <c r="FJ89" i="112"/>
  <c r="FI89" i="112"/>
  <c r="FH89" i="112"/>
  <c r="FF89" i="112"/>
  <c r="FE89" i="112"/>
  <c r="FD89" i="112"/>
  <c r="FC89" i="112"/>
  <c r="FB89" i="112"/>
  <c r="FA89" i="112"/>
  <c r="EZ89" i="112"/>
  <c r="EY89" i="112"/>
  <c r="EX89" i="112"/>
  <c r="EW89" i="112"/>
  <c r="EV89" i="112"/>
  <c r="EU89" i="112"/>
  <c r="ET89" i="112"/>
  <c r="ES89" i="112"/>
  <c r="ER89" i="112"/>
  <c r="EQ89" i="112"/>
  <c r="EP89" i="112"/>
  <c r="EO89" i="112"/>
  <c r="EN89" i="112"/>
  <c r="EM89" i="112"/>
  <c r="FQ84" i="112"/>
  <c r="FP84" i="112"/>
  <c r="FO84" i="112"/>
  <c r="FN84" i="112"/>
  <c r="FM84" i="112"/>
  <c r="FL84" i="112"/>
  <c r="FK84" i="112"/>
  <c r="FJ84" i="112"/>
  <c r="FI84" i="112"/>
  <c r="FH84" i="112"/>
  <c r="FF84" i="112"/>
  <c r="FE84" i="112"/>
  <c r="FD84" i="112"/>
  <c r="FC84" i="112"/>
  <c r="FB84" i="112"/>
  <c r="FA84" i="112"/>
  <c r="EZ84" i="112"/>
  <c r="EY84" i="112"/>
  <c r="EX84" i="112"/>
  <c r="EW84" i="112"/>
  <c r="EV84" i="112"/>
  <c r="EU84" i="112"/>
  <c r="ET84" i="112"/>
  <c r="ES84" i="112"/>
  <c r="ER84" i="112"/>
  <c r="EQ84" i="112"/>
  <c r="EP84" i="112"/>
  <c r="EO84" i="112"/>
  <c r="EN84" i="112"/>
  <c r="EM84" i="112"/>
  <c r="FQ83" i="112"/>
  <c r="FP83" i="112"/>
  <c r="FO83" i="112"/>
  <c r="FN83" i="112"/>
  <c r="FM83" i="112"/>
  <c r="FL83" i="112"/>
  <c r="FK83" i="112"/>
  <c r="FJ83" i="112"/>
  <c r="FI83" i="112"/>
  <c r="FH83" i="112"/>
  <c r="FF83" i="112"/>
  <c r="FE83" i="112"/>
  <c r="FD83" i="112"/>
  <c r="FC83" i="112"/>
  <c r="FB83" i="112"/>
  <c r="FA83" i="112"/>
  <c r="EZ83" i="112"/>
  <c r="EY83" i="112"/>
  <c r="EX83" i="112"/>
  <c r="EW83" i="112"/>
  <c r="EV83" i="112"/>
  <c r="EU83" i="112"/>
  <c r="ET83" i="112"/>
  <c r="ES83" i="112"/>
  <c r="ER83" i="112"/>
  <c r="EQ83" i="112"/>
  <c r="EP83" i="112"/>
  <c r="EO83" i="112"/>
  <c r="EN83" i="112"/>
  <c r="EM83" i="112"/>
  <c r="FQ82" i="112"/>
  <c r="FP82" i="112"/>
  <c r="FO82" i="112"/>
  <c r="FN82" i="112"/>
  <c r="FM82" i="112"/>
  <c r="FL82" i="112"/>
  <c r="FK82" i="112"/>
  <c r="FJ82" i="112"/>
  <c r="FI82" i="112"/>
  <c r="FH82" i="112"/>
  <c r="FF82" i="112"/>
  <c r="FE82" i="112"/>
  <c r="FD82" i="112"/>
  <c r="FC82" i="112"/>
  <c r="FB82" i="112"/>
  <c r="FA82" i="112"/>
  <c r="EZ82" i="112"/>
  <c r="EY82" i="112"/>
  <c r="EX82" i="112"/>
  <c r="EW82" i="112"/>
  <c r="EV82" i="112"/>
  <c r="EU82" i="112"/>
  <c r="ET82" i="112"/>
  <c r="ES82" i="112"/>
  <c r="ER82" i="112"/>
  <c r="EQ82" i="112"/>
  <c r="EP82" i="112"/>
  <c r="EO82" i="112"/>
  <c r="EN82" i="112"/>
  <c r="EM82" i="112"/>
  <c r="FQ81" i="112"/>
  <c r="FP81" i="112"/>
  <c r="FO81" i="112"/>
  <c r="FN81" i="112"/>
  <c r="FM81" i="112"/>
  <c r="FL81" i="112"/>
  <c r="FK81" i="112"/>
  <c r="FJ81" i="112"/>
  <c r="FI81" i="112"/>
  <c r="FH81" i="112"/>
  <c r="FF81" i="112"/>
  <c r="FE81" i="112"/>
  <c r="FD81" i="112"/>
  <c r="FC81" i="112"/>
  <c r="FB81" i="112"/>
  <c r="FA81" i="112"/>
  <c r="EZ81" i="112"/>
  <c r="EY81" i="112"/>
  <c r="EX81" i="112"/>
  <c r="EW81" i="112"/>
  <c r="EV81" i="112"/>
  <c r="EU81" i="112"/>
  <c r="ET81" i="112"/>
  <c r="ES81" i="112"/>
  <c r="ER81" i="112"/>
  <c r="EQ81" i="112"/>
  <c r="EP81" i="112"/>
  <c r="EO81" i="112"/>
  <c r="EN81" i="112"/>
  <c r="EM81" i="112"/>
  <c r="FQ80" i="112"/>
  <c r="FP80" i="112"/>
  <c r="FN80" i="112"/>
  <c r="FM80" i="112"/>
  <c r="FL80" i="112"/>
  <c r="FK80" i="112"/>
  <c r="FJ80" i="112"/>
  <c r="FI80" i="112"/>
  <c r="FH80" i="112"/>
  <c r="FF80" i="112"/>
  <c r="FE80" i="112"/>
  <c r="FD80" i="112"/>
  <c r="FC80" i="112"/>
  <c r="FB80" i="112"/>
  <c r="FA80" i="112"/>
  <c r="EZ80" i="112"/>
  <c r="EY80" i="112"/>
  <c r="EX80" i="112"/>
  <c r="EW80" i="112"/>
  <c r="EV80" i="112"/>
  <c r="EU80" i="112"/>
  <c r="ET80" i="112"/>
  <c r="ES80" i="112"/>
  <c r="ER80" i="112"/>
  <c r="EQ80" i="112"/>
  <c r="EP80" i="112"/>
  <c r="EO80" i="112"/>
  <c r="EN80" i="112"/>
  <c r="EM80" i="112"/>
  <c r="FQ79" i="112"/>
  <c r="FP79" i="112"/>
  <c r="FO79" i="112"/>
  <c r="FN79" i="112"/>
  <c r="FK79" i="112"/>
  <c r="FJ79" i="112"/>
  <c r="FI79" i="112"/>
  <c r="FH79" i="112"/>
  <c r="FF79" i="112"/>
  <c r="FE79" i="112"/>
  <c r="FD79" i="112"/>
  <c r="FC79" i="112"/>
  <c r="FB79" i="112"/>
  <c r="FA79" i="112"/>
  <c r="EZ79" i="112"/>
  <c r="EY79" i="112"/>
  <c r="EX79" i="112"/>
  <c r="EW79" i="112"/>
  <c r="EV79" i="112"/>
  <c r="EU79" i="112"/>
  <c r="ET79" i="112"/>
  <c r="ES79" i="112"/>
  <c r="ER79" i="112"/>
  <c r="EQ79" i="112"/>
  <c r="EP79" i="112"/>
  <c r="EO79" i="112"/>
  <c r="EN79" i="112"/>
  <c r="EM79" i="112"/>
  <c r="FQ78" i="112"/>
  <c r="FP78" i="112"/>
  <c r="FO78" i="112"/>
  <c r="FN78" i="112"/>
  <c r="FM78" i="112"/>
  <c r="FL78" i="112"/>
  <c r="FI78" i="112"/>
  <c r="FH78" i="112"/>
  <c r="FF78" i="112"/>
  <c r="FE78" i="112"/>
  <c r="FD78" i="112"/>
  <c r="FC78" i="112"/>
  <c r="FB78" i="112"/>
  <c r="FA78" i="112"/>
  <c r="EZ78" i="112"/>
  <c r="EY78" i="112"/>
  <c r="EX78" i="112"/>
  <c r="EW78" i="112"/>
  <c r="EV78" i="112"/>
  <c r="EU78" i="112"/>
  <c r="ET78" i="112"/>
  <c r="ES78" i="112"/>
  <c r="ER78" i="112"/>
  <c r="EQ78" i="112"/>
  <c r="EP78" i="112"/>
  <c r="EO78" i="112"/>
  <c r="EN78" i="112"/>
  <c r="EM78" i="112"/>
  <c r="FQ77" i="112"/>
  <c r="FP77" i="112"/>
  <c r="FO77" i="112"/>
  <c r="FN77" i="112"/>
  <c r="FM77" i="112"/>
  <c r="FH77" i="112"/>
  <c r="FF77" i="112"/>
  <c r="FE77" i="112"/>
  <c r="FD77" i="112"/>
  <c r="FC77" i="112"/>
  <c r="FB77" i="112"/>
  <c r="FA77" i="112"/>
  <c r="EZ77" i="112"/>
  <c r="EY77" i="112"/>
  <c r="EX77" i="112"/>
  <c r="EW77" i="112"/>
  <c r="EV77" i="112"/>
  <c r="EU77" i="112"/>
  <c r="ET77" i="112"/>
  <c r="ES77" i="112"/>
  <c r="ER77" i="112"/>
  <c r="EQ77" i="112"/>
  <c r="EP77" i="112"/>
  <c r="EO77" i="112"/>
  <c r="EN77" i="112"/>
  <c r="EM77" i="112"/>
  <c r="FQ76" i="112"/>
  <c r="FP76" i="112"/>
  <c r="FO76" i="112"/>
  <c r="FN76" i="112"/>
  <c r="FM76" i="112"/>
  <c r="FL76" i="112"/>
  <c r="FK76" i="112"/>
  <c r="FJ76" i="112"/>
  <c r="FI76" i="112"/>
  <c r="FH76" i="112"/>
  <c r="FF76" i="112"/>
  <c r="FE76" i="112"/>
  <c r="FD76" i="112"/>
  <c r="FC76" i="112"/>
  <c r="FB76" i="112"/>
  <c r="FA76" i="112"/>
  <c r="EZ76" i="112"/>
  <c r="EY76" i="112"/>
  <c r="EX76" i="112"/>
  <c r="EW76" i="112"/>
  <c r="EV76" i="112"/>
  <c r="EU76" i="112"/>
  <c r="ET76" i="112"/>
  <c r="ES76" i="112"/>
  <c r="ER76" i="112"/>
  <c r="EQ76" i="112"/>
  <c r="EP76" i="112"/>
  <c r="EO76" i="112"/>
  <c r="EN76" i="112"/>
  <c r="EM76" i="112"/>
  <c r="FQ75" i="112"/>
  <c r="FP75" i="112"/>
  <c r="FO75" i="112"/>
  <c r="FN75" i="112"/>
  <c r="FM75" i="112"/>
  <c r="FL75" i="112"/>
  <c r="FK75" i="112"/>
  <c r="FJ75" i="112"/>
  <c r="FI75" i="112"/>
  <c r="FH75" i="112"/>
  <c r="FF75" i="112"/>
  <c r="FE75" i="112"/>
  <c r="FD75" i="112"/>
  <c r="FC75" i="112"/>
  <c r="FB75" i="112"/>
  <c r="FA75" i="112"/>
  <c r="EZ75" i="112"/>
  <c r="EY75" i="112"/>
  <c r="EX75" i="112"/>
  <c r="EW75" i="112"/>
  <c r="EV75" i="112"/>
  <c r="EU75" i="112"/>
  <c r="ET75" i="112"/>
  <c r="ES75" i="112"/>
  <c r="ER75" i="112"/>
  <c r="EQ75" i="112"/>
  <c r="EP75" i="112"/>
  <c r="EO75" i="112"/>
  <c r="EN75" i="112"/>
  <c r="EM75" i="112"/>
  <c r="FQ74" i="112"/>
  <c r="FP74" i="112"/>
  <c r="FO74" i="112"/>
  <c r="FN74" i="112"/>
  <c r="FM74" i="112"/>
  <c r="FL74" i="112"/>
  <c r="FK74" i="112"/>
  <c r="FJ74" i="112"/>
  <c r="FI74" i="112"/>
  <c r="FH74" i="112"/>
  <c r="FF74" i="112"/>
  <c r="FE74" i="112"/>
  <c r="FD74" i="112"/>
  <c r="FC74" i="112"/>
  <c r="FB74" i="112"/>
  <c r="FA74" i="112"/>
  <c r="EZ74" i="112"/>
  <c r="EY74" i="112"/>
  <c r="EX74" i="112"/>
  <c r="EW74" i="112"/>
  <c r="EV74" i="112"/>
  <c r="EU74" i="112"/>
  <c r="ET74" i="112"/>
  <c r="ES74" i="112"/>
  <c r="ER74" i="112"/>
  <c r="EQ74" i="112"/>
  <c r="EP74" i="112"/>
  <c r="EO74" i="112"/>
  <c r="EN74" i="112"/>
  <c r="EM74" i="112"/>
  <c r="FQ73" i="112"/>
  <c r="FP73" i="112"/>
  <c r="FO73" i="112"/>
  <c r="FN73" i="112"/>
  <c r="FM73" i="112"/>
  <c r="FL73" i="112"/>
  <c r="FK73" i="112"/>
  <c r="FJ73" i="112"/>
  <c r="FI73" i="112"/>
  <c r="FH73" i="112"/>
  <c r="FF73" i="112"/>
  <c r="FE73" i="112"/>
  <c r="FD73" i="112"/>
  <c r="FC73" i="112"/>
  <c r="FB73" i="112"/>
  <c r="FA73" i="112"/>
  <c r="EZ73" i="112"/>
  <c r="EY73" i="112"/>
  <c r="EX73" i="112"/>
  <c r="EW73" i="112"/>
  <c r="EV73" i="112"/>
  <c r="EU73" i="112"/>
  <c r="ET73" i="112"/>
  <c r="ES73" i="112"/>
  <c r="ER73" i="112"/>
  <c r="EQ73" i="112"/>
  <c r="EP73" i="112"/>
  <c r="EO73" i="112"/>
  <c r="EN73" i="112"/>
  <c r="EM73" i="112"/>
  <c r="HB98" i="112"/>
  <c r="GR98" i="112"/>
  <c r="GQ98" i="112"/>
  <c r="GP98" i="112"/>
  <c r="GO98" i="112"/>
  <c r="GN98" i="112"/>
  <c r="GM98" i="112"/>
  <c r="GL98" i="112"/>
  <c r="GK98" i="112"/>
  <c r="GJ98" i="112"/>
  <c r="GI98" i="112"/>
  <c r="GH98" i="112"/>
  <c r="GG98" i="112"/>
  <c r="GF98" i="112"/>
  <c r="GE98" i="112"/>
  <c r="GD98" i="112"/>
  <c r="GC98" i="112"/>
  <c r="GB98" i="112"/>
  <c r="GA98" i="112"/>
  <c r="FZ98" i="112"/>
  <c r="HB97" i="112"/>
  <c r="HA97" i="112"/>
  <c r="GZ97" i="112"/>
  <c r="GX97" i="112"/>
  <c r="GW97" i="112"/>
  <c r="GV97" i="112"/>
  <c r="GU97" i="112"/>
  <c r="GT97" i="112"/>
  <c r="GS97" i="112"/>
  <c r="GR97" i="112"/>
  <c r="GQ97" i="112"/>
  <c r="GP97" i="112"/>
  <c r="GO97" i="112"/>
  <c r="GN97" i="112"/>
  <c r="GM97" i="112"/>
  <c r="GL97" i="112"/>
  <c r="GK97" i="112"/>
  <c r="GJ97" i="112"/>
  <c r="GI97" i="112"/>
  <c r="GH97" i="112"/>
  <c r="GG97" i="112"/>
  <c r="GF97" i="112"/>
  <c r="GE97" i="112"/>
  <c r="GD97" i="112"/>
  <c r="GC97" i="112"/>
  <c r="GB97" i="112"/>
  <c r="GA97" i="112"/>
  <c r="FZ97" i="112"/>
  <c r="HB96" i="112"/>
  <c r="HA96" i="112"/>
  <c r="GZ96" i="112"/>
  <c r="GX96" i="112"/>
  <c r="GW96" i="112"/>
  <c r="GV96" i="112"/>
  <c r="GU96" i="112"/>
  <c r="GT96" i="112"/>
  <c r="GS96" i="112"/>
  <c r="GR96" i="112"/>
  <c r="GQ96" i="112"/>
  <c r="GP96" i="112"/>
  <c r="GO96" i="112"/>
  <c r="GN96" i="112"/>
  <c r="GM96" i="112"/>
  <c r="GL96" i="112"/>
  <c r="GK96" i="112"/>
  <c r="GJ96" i="112"/>
  <c r="GI96" i="112"/>
  <c r="GH96" i="112"/>
  <c r="GG96" i="112"/>
  <c r="GF96" i="112"/>
  <c r="GE96" i="112"/>
  <c r="GD96" i="112"/>
  <c r="GC96" i="112"/>
  <c r="GB96" i="112"/>
  <c r="GA96" i="112"/>
  <c r="FZ96" i="112"/>
  <c r="HB95" i="112"/>
  <c r="HA95" i="112"/>
  <c r="GZ95" i="112"/>
  <c r="GX95" i="112"/>
  <c r="GW95" i="112"/>
  <c r="GV95" i="112"/>
  <c r="GU95" i="112"/>
  <c r="GT95" i="112"/>
  <c r="GS95" i="112"/>
  <c r="GR95" i="112"/>
  <c r="GQ95" i="112"/>
  <c r="GP95" i="112"/>
  <c r="GO95" i="112"/>
  <c r="GN95" i="112"/>
  <c r="GM95" i="112"/>
  <c r="GL95" i="112"/>
  <c r="GK95" i="112"/>
  <c r="GJ95" i="112"/>
  <c r="GI95" i="112"/>
  <c r="GH95" i="112"/>
  <c r="GG95" i="112"/>
  <c r="GF95" i="112"/>
  <c r="GE95" i="112"/>
  <c r="GD95" i="112"/>
  <c r="GC95" i="112"/>
  <c r="GB95" i="112"/>
  <c r="GA95" i="112"/>
  <c r="FZ95" i="112"/>
  <c r="HB94" i="112"/>
  <c r="HA94" i="112"/>
  <c r="GX94" i="112"/>
  <c r="GW94" i="112"/>
  <c r="GV94" i="112"/>
  <c r="GU94" i="112"/>
  <c r="GT94" i="112"/>
  <c r="GS94" i="112"/>
  <c r="GR94" i="112"/>
  <c r="GQ94" i="112"/>
  <c r="GP94" i="112"/>
  <c r="GO94" i="112"/>
  <c r="GN94" i="112"/>
  <c r="GM94" i="112"/>
  <c r="GL94" i="112"/>
  <c r="GK94" i="112"/>
  <c r="GJ94" i="112"/>
  <c r="GI94" i="112"/>
  <c r="GH94" i="112"/>
  <c r="GG94" i="112"/>
  <c r="GF94" i="112"/>
  <c r="GE94" i="112"/>
  <c r="GD94" i="112"/>
  <c r="GC94" i="112"/>
  <c r="GB94" i="112"/>
  <c r="GA94" i="112"/>
  <c r="FZ94" i="112"/>
  <c r="HB91" i="112"/>
  <c r="GR91" i="112"/>
  <c r="GQ91" i="112"/>
  <c r="GP91" i="112"/>
  <c r="GO91" i="112"/>
  <c r="GN91" i="112"/>
  <c r="GM91" i="112"/>
  <c r="GL91" i="112"/>
  <c r="GK91" i="112"/>
  <c r="GJ91" i="112"/>
  <c r="GI91" i="112"/>
  <c r="GH91" i="112"/>
  <c r="GG91" i="112"/>
  <c r="GF91" i="112"/>
  <c r="GE91" i="112"/>
  <c r="GD91" i="112"/>
  <c r="GC91" i="112"/>
  <c r="GB91" i="112"/>
  <c r="GA91" i="112"/>
  <c r="FZ91" i="112"/>
  <c r="FY91" i="112"/>
  <c r="HB90" i="112"/>
  <c r="HA90" i="112"/>
  <c r="GZ90" i="112"/>
  <c r="GY90" i="112"/>
  <c r="GX90" i="112"/>
  <c r="GW90" i="112"/>
  <c r="GV90" i="112"/>
  <c r="GU90" i="112"/>
  <c r="GT90" i="112"/>
  <c r="GS90" i="112"/>
  <c r="GR90" i="112"/>
  <c r="GQ90" i="112"/>
  <c r="GP90" i="112"/>
  <c r="GO90" i="112"/>
  <c r="GN90" i="112"/>
  <c r="GM90" i="112"/>
  <c r="GL90" i="112"/>
  <c r="GK90" i="112"/>
  <c r="GJ90" i="112"/>
  <c r="GI90" i="112"/>
  <c r="GH90" i="112"/>
  <c r="GG90" i="112"/>
  <c r="GF90" i="112"/>
  <c r="GE90" i="112"/>
  <c r="GD90" i="112"/>
  <c r="GC90" i="112"/>
  <c r="GB90" i="112"/>
  <c r="GA90" i="112"/>
  <c r="FZ90" i="112"/>
  <c r="FY90" i="112"/>
  <c r="HB89" i="112"/>
  <c r="HA89" i="112"/>
  <c r="GZ89" i="112"/>
  <c r="GY89" i="112"/>
  <c r="GX89" i="112"/>
  <c r="GW89" i="112"/>
  <c r="GV89" i="112"/>
  <c r="GU89" i="112"/>
  <c r="GT89" i="112"/>
  <c r="GS89" i="112"/>
  <c r="GR89" i="112"/>
  <c r="GQ89" i="112"/>
  <c r="GP89" i="112"/>
  <c r="GO89" i="112"/>
  <c r="GN89" i="112"/>
  <c r="GM89" i="112"/>
  <c r="GL89" i="112"/>
  <c r="GK89" i="112"/>
  <c r="GJ89" i="112"/>
  <c r="GI89" i="112"/>
  <c r="GH89" i="112"/>
  <c r="GG89" i="112"/>
  <c r="GF89" i="112"/>
  <c r="GE89" i="112"/>
  <c r="GD89" i="112"/>
  <c r="GC89" i="112"/>
  <c r="GB89" i="112"/>
  <c r="GA89" i="112"/>
  <c r="FZ89" i="112"/>
  <c r="FY89" i="112"/>
  <c r="HB84" i="112"/>
  <c r="HA84" i="112"/>
  <c r="GZ84" i="112"/>
  <c r="GY84" i="112"/>
  <c r="GX84" i="112"/>
  <c r="GW84" i="112"/>
  <c r="GV84" i="112"/>
  <c r="GU84" i="112"/>
  <c r="GT84" i="112"/>
  <c r="GS84" i="112"/>
  <c r="GR84" i="112"/>
  <c r="GQ84" i="112"/>
  <c r="GP84" i="112"/>
  <c r="GO84" i="112"/>
  <c r="GN84" i="112"/>
  <c r="GM84" i="112"/>
  <c r="GL84" i="112"/>
  <c r="GK84" i="112"/>
  <c r="GJ84" i="112"/>
  <c r="GI84" i="112"/>
  <c r="GH84" i="112"/>
  <c r="GG84" i="112"/>
  <c r="GF84" i="112"/>
  <c r="GE84" i="112"/>
  <c r="GD84" i="112"/>
  <c r="GC84" i="112"/>
  <c r="GB84" i="112"/>
  <c r="GA84" i="112"/>
  <c r="FZ84" i="112"/>
  <c r="FY84" i="112"/>
  <c r="HB83" i="112"/>
  <c r="HA83" i="112"/>
  <c r="GZ83" i="112"/>
  <c r="GY83" i="112"/>
  <c r="GX83" i="112"/>
  <c r="GW83" i="112"/>
  <c r="GV83" i="112"/>
  <c r="GU83" i="112"/>
  <c r="GT83" i="112"/>
  <c r="GS83" i="112"/>
  <c r="GR83" i="112"/>
  <c r="GQ83" i="112"/>
  <c r="GP83" i="112"/>
  <c r="GO83" i="112"/>
  <c r="GN83" i="112"/>
  <c r="GM83" i="112"/>
  <c r="GL83" i="112"/>
  <c r="GK83" i="112"/>
  <c r="GJ83" i="112"/>
  <c r="GI83" i="112"/>
  <c r="GH83" i="112"/>
  <c r="GG83" i="112"/>
  <c r="GF83" i="112"/>
  <c r="GE83" i="112"/>
  <c r="GD83" i="112"/>
  <c r="GC83" i="112"/>
  <c r="GB83" i="112"/>
  <c r="GA83" i="112"/>
  <c r="FZ83" i="112"/>
  <c r="FY83" i="112"/>
  <c r="HB82" i="112"/>
  <c r="HA82" i="112"/>
  <c r="GZ82" i="112"/>
  <c r="GY82" i="112"/>
  <c r="GX82" i="112"/>
  <c r="GW82" i="112"/>
  <c r="GV82" i="112"/>
  <c r="GU82" i="112"/>
  <c r="GT82" i="112"/>
  <c r="GS82" i="112"/>
  <c r="GR82" i="112"/>
  <c r="GQ82" i="112"/>
  <c r="GP82" i="112"/>
  <c r="GO82" i="112"/>
  <c r="GN82" i="112"/>
  <c r="GM82" i="112"/>
  <c r="GL82" i="112"/>
  <c r="GK82" i="112"/>
  <c r="GJ82" i="112"/>
  <c r="GI82" i="112"/>
  <c r="GH82" i="112"/>
  <c r="GG82" i="112"/>
  <c r="GF82" i="112"/>
  <c r="GE82" i="112"/>
  <c r="GD82" i="112"/>
  <c r="GC82" i="112"/>
  <c r="GB82" i="112"/>
  <c r="GA82" i="112"/>
  <c r="FZ82" i="112"/>
  <c r="FY82" i="112"/>
  <c r="HB81" i="112"/>
  <c r="HA81" i="112"/>
  <c r="GZ81" i="112"/>
  <c r="GY81" i="112"/>
  <c r="GX81" i="112"/>
  <c r="GW81" i="112"/>
  <c r="GV81" i="112"/>
  <c r="GU81" i="112"/>
  <c r="GT81" i="112"/>
  <c r="GS81" i="112"/>
  <c r="GR81" i="112"/>
  <c r="GQ81" i="112"/>
  <c r="GP81" i="112"/>
  <c r="GO81" i="112"/>
  <c r="GN81" i="112"/>
  <c r="GM81" i="112"/>
  <c r="GL81" i="112"/>
  <c r="GK81" i="112"/>
  <c r="GJ81" i="112"/>
  <c r="GI81" i="112"/>
  <c r="GH81" i="112"/>
  <c r="GG81" i="112"/>
  <c r="GF81" i="112"/>
  <c r="GE81" i="112"/>
  <c r="GD81" i="112"/>
  <c r="GC81" i="112"/>
  <c r="GB81" i="112"/>
  <c r="GA81" i="112"/>
  <c r="FZ81" i="112"/>
  <c r="FY81" i="112"/>
  <c r="HB80" i="112"/>
  <c r="GZ80" i="112"/>
  <c r="GY80" i="112"/>
  <c r="GX80" i="112"/>
  <c r="GW80" i="112"/>
  <c r="GV80" i="112"/>
  <c r="GU80" i="112"/>
  <c r="GT80" i="112"/>
  <c r="GS80" i="112"/>
  <c r="GR80" i="112"/>
  <c r="GQ80" i="112"/>
  <c r="GP80" i="112"/>
  <c r="GO80" i="112"/>
  <c r="GN80" i="112"/>
  <c r="GM80" i="112"/>
  <c r="GL80" i="112"/>
  <c r="GK80" i="112"/>
  <c r="GJ80" i="112"/>
  <c r="GI80" i="112"/>
  <c r="GH80" i="112"/>
  <c r="GG80" i="112"/>
  <c r="GF80" i="112"/>
  <c r="GE80" i="112"/>
  <c r="GD80" i="112"/>
  <c r="GC80" i="112"/>
  <c r="GB80" i="112"/>
  <c r="GA80" i="112"/>
  <c r="FZ80" i="112"/>
  <c r="FY80" i="112"/>
  <c r="HB79" i="112"/>
  <c r="HA79" i="112"/>
  <c r="GZ79" i="112"/>
  <c r="GW79" i="112"/>
  <c r="GV79" i="112"/>
  <c r="GU79" i="112"/>
  <c r="GT79" i="112"/>
  <c r="GS79" i="112"/>
  <c r="GR79" i="112"/>
  <c r="GQ79" i="112"/>
  <c r="GP79" i="112"/>
  <c r="GO79" i="112"/>
  <c r="GN79" i="112"/>
  <c r="GM79" i="112"/>
  <c r="GL79" i="112"/>
  <c r="GK79" i="112"/>
  <c r="GJ79" i="112"/>
  <c r="GI79" i="112"/>
  <c r="GH79" i="112"/>
  <c r="GG79" i="112"/>
  <c r="GF79" i="112"/>
  <c r="GE79" i="112"/>
  <c r="GD79" i="112"/>
  <c r="GC79" i="112"/>
  <c r="GB79" i="112"/>
  <c r="GA79" i="112"/>
  <c r="FZ79" i="112"/>
  <c r="FY79" i="112"/>
  <c r="HB78" i="112"/>
  <c r="HA78" i="112"/>
  <c r="GZ78" i="112"/>
  <c r="GY78" i="112"/>
  <c r="GX78" i="112"/>
  <c r="GU78" i="112"/>
  <c r="GT78" i="112"/>
  <c r="GS78" i="112"/>
  <c r="GR78" i="112"/>
  <c r="GQ78" i="112"/>
  <c r="GP78" i="112"/>
  <c r="GO78" i="112"/>
  <c r="GN78" i="112"/>
  <c r="GM78" i="112"/>
  <c r="GL78" i="112"/>
  <c r="GK78" i="112"/>
  <c r="GJ78" i="112"/>
  <c r="GI78" i="112"/>
  <c r="GH78" i="112"/>
  <c r="GG78" i="112"/>
  <c r="GF78" i="112"/>
  <c r="GE78" i="112"/>
  <c r="GD78" i="112"/>
  <c r="GC78" i="112"/>
  <c r="GB78" i="112"/>
  <c r="GA78" i="112"/>
  <c r="FZ78" i="112"/>
  <c r="FY78" i="112"/>
  <c r="HB77" i="112"/>
  <c r="HA77" i="112"/>
  <c r="GZ77" i="112"/>
  <c r="GY77" i="112"/>
  <c r="GT77" i="112"/>
  <c r="GS77" i="112"/>
  <c r="GR77" i="112"/>
  <c r="GQ77" i="112"/>
  <c r="GP77" i="112"/>
  <c r="GO77" i="112"/>
  <c r="GN77" i="112"/>
  <c r="GM77" i="112"/>
  <c r="GL77" i="112"/>
  <c r="GK77" i="112"/>
  <c r="GJ77" i="112"/>
  <c r="GI77" i="112"/>
  <c r="GH77" i="112"/>
  <c r="GG77" i="112"/>
  <c r="GF77" i="112"/>
  <c r="GE77" i="112"/>
  <c r="GD77" i="112"/>
  <c r="GC77" i="112"/>
  <c r="GB77" i="112"/>
  <c r="GA77" i="112"/>
  <c r="FZ77" i="112"/>
  <c r="FY77" i="112"/>
  <c r="HB76" i="112"/>
  <c r="HA76" i="112"/>
  <c r="GZ76" i="112"/>
  <c r="GY76" i="112"/>
  <c r="GX76" i="112"/>
  <c r="GW76" i="112"/>
  <c r="GV76" i="112"/>
  <c r="GU76" i="112"/>
  <c r="GT76" i="112"/>
  <c r="GS76" i="112"/>
  <c r="GR76" i="112"/>
  <c r="GQ76" i="112"/>
  <c r="GP76" i="112"/>
  <c r="GO76" i="112"/>
  <c r="GN76" i="112"/>
  <c r="GM76" i="112"/>
  <c r="GL76" i="112"/>
  <c r="GK76" i="112"/>
  <c r="GJ76" i="112"/>
  <c r="GI76" i="112"/>
  <c r="GH76" i="112"/>
  <c r="GG76" i="112"/>
  <c r="GF76" i="112"/>
  <c r="GE76" i="112"/>
  <c r="GD76" i="112"/>
  <c r="GC76" i="112"/>
  <c r="GB76" i="112"/>
  <c r="GA76" i="112"/>
  <c r="FZ76" i="112"/>
  <c r="FY76" i="112"/>
  <c r="HB75" i="112"/>
  <c r="HA75" i="112"/>
  <c r="GZ75" i="112"/>
  <c r="GY75" i="112"/>
  <c r="GX75" i="112"/>
  <c r="GW75" i="112"/>
  <c r="GV75" i="112"/>
  <c r="GU75" i="112"/>
  <c r="GT75" i="112"/>
  <c r="GS75" i="112"/>
  <c r="GR75" i="112"/>
  <c r="GQ75" i="112"/>
  <c r="GP75" i="112"/>
  <c r="GO75" i="112"/>
  <c r="GN75" i="112"/>
  <c r="GM75" i="112"/>
  <c r="GL75" i="112"/>
  <c r="GK75" i="112"/>
  <c r="GJ75" i="112"/>
  <c r="GI75" i="112"/>
  <c r="GH75" i="112"/>
  <c r="GG75" i="112"/>
  <c r="GF75" i="112"/>
  <c r="GE75" i="112"/>
  <c r="GD75" i="112"/>
  <c r="GC75" i="112"/>
  <c r="GB75" i="112"/>
  <c r="GA75" i="112"/>
  <c r="FZ75" i="112"/>
  <c r="FY75" i="112"/>
  <c r="HB74" i="112"/>
  <c r="HA74" i="112"/>
  <c r="GZ74" i="112"/>
  <c r="GY74" i="112"/>
  <c r="GX74" i="112"/>
  <c r="GW74" i="112"/>
  <c r="GV74" i="112"/>
  <c r="GU74" i="112"/>
  <c r="GT74" i="112"/>
  <c r="GS74" i="112"/>
  <c r="GR74" i="112"/>
  <c r="GQ74" i="112"/>
  <c r="GP74" i="112"/>
  <c r="GO74" i="112"/>
  <c r="GN74" i="112"/>
  <c r="GM74" i="112"/>
  <c r="GL74" i="112"/>
  <c r="GK74" i="112"/>
  <c r="GJ74" i="112"/>
  <c r="GI74" i="112"/>
  <c r="GH74" i="112"/>
  <c r="GG74" i="112"/>
  <c r="GF74" i="112"/>
  <c r="GE74" i="112"/>
  <c r="GD74" i="112"/>
  <c r="GC74" i="112"/>
  <c r="GB74" i="112"/>
  <c r="GA74" i="112"/>
  <c r="FZ74" i="112"/>
  <c r="FY74" i="112"/>
  <c r="HB73" i="112"/>
  <c r="HA73" i="112"/>
  <c r="GZ73" i="112"/>
  <c r="GY73" i="112"/>
  <c r="GX73" i="112"/>
  <c r="GW73" i="112"/>
  <c r="GV73" i="112"/>
  <c r="GU73" i="112"/>
  <c r="GT73" i="112"/>
  <c r="GS73" i="112"/>
  <c r="GR73" i="112"/>
  <c r="GQ73" i="112"/>
  <c r="GP73" i="112"/>
  <c r="GO73" i="112"/>
  <c r="GN73" i="112"/>
  <c r="GM73" i="112"/>
  <c r="GL73" i="112"/>
  <c r="GK73" i="112"/>
  <c r="GJ73" i="112"/>
  <c r="GI73" i="112"/>
  <c r="GH73" i="112"/>
  <c r="GG73" i="112"/>
  <c r="GF73" i="112"/>
  <c r="GE73" i="112"/>
  <c r="GD73" i="112"/>
  <c r="GC73" i="112"/>
  <c r="GB73" i="112"/>
  <c r="GA73" i="112"/>
  <c r="FZ73" i="112"/>
  <c r="FY73" i="112"/>
  <c r="FO94" i="112"/>
  <c r="DF97" i="112"/>
  <c r="DF95" i="112"/>
  <c r="DF94" i="112"/>
  <c r="FF226" i="112"/>
  <c r="FF225" i="112"/>
  <c r="FF224" i="112"/>
  <c r="FF215" i="112"/>
  <c r="FF218" i="112" s="1"/>
  <c r="FE215" i="112"/>
  <c r="FD200" i="112"/>
  <c r="FH214" i="112"/>
  <c r="FG214" i="112"/>
  <c r="FG226" i="112" s="1"/>
  <c r="FH213" i="112"/>
  <c r="FG213" i="112"/>
  <c r="FG225" i="112" s="1"/>
  <c r="FH212" i="112"/>
  <c r="FG212" i="112"/>
  <c r="FI214" i="112"/>
  <c r="FI213" i="112"/>
  <c r="FI212" i="112"/>
  <c r="DF98" i="112" l="1"/>
  <c r="FN98" i="112" s="1"/>
  <c r="FI226" i="112"/>
  <c r="FN94" i="112"/>
  <c r="DF44" i="112"/>
  <c r="FN96" i="112"/>
  <c r="DF46" i="112"/>
  <c r="FN95" i="112"/>
  <c r="DF45" i="112"/>
  <c r="GY97" i="112"/>
  <c r="DF47" i="112"/>
  <c r="FF227" i="112"/>
  <c r="DZ15" i="119"/>
  <c r="CL36" i="6"/>
  <c r="FQ99" i="112"/>
  <c r="FI225" i="112"/>
  <c r="DV118" i="112"/>
  <c r="DY104" i="112"/>
  <c r="DV111" i="112"/>
  <c r="FI224" i="112"/>
  <c r="FH225" i="112"/>
  <c r="FH224" i="112"/>
  <c r="GZ94" i="112"/>
  <c r="FF219" i="112"/>
  <c r="FF221" i="112"/>
  <c r="GY95" i="112"/>
  <c r="FF220" i="112"/>
  <c r="GY94" i="112"/>
  <c r="FH226" i="112"/>
  <c r="FG224" i="112"/>
  <c r="FN97" i="112"/>
  <c r="HB99" i="112"/>
  <c r="HB92" i="112"/>
  <c r="GY96" i="112"/>
  <c r="FP92" i="112"/>
  <c r="FQ92" i="112"/>
  <c r="FP99" i="112"/>
  <c r="R41" i="116" l="1"/>
  <c r="AH41" i="116" s="1"/>
  <c r="N41" i="116"/>
  <c r="AG41" i="116" s="1"/>
  <c r="DY208" i="112"/>
  <c r="DY209" i="112" s="1"/>
  <c r="R40" i="116"/>
  <c r="AH40" i="116" s="1"/>
  <c r="N40" i="116"/>
  <c r="AG40" i="116" s="1"/>
  <c r="FR120" i="112"/>
  <c r="FN99" i="112"/>
  <c r="DF48" i="112"/>
  <c r="DF157" i="112" s="1"/>
  <c r="FR106" i="112"/>
  <c r="HC120" i="112"/>
  <c r="HC106" i="112"/>
  <c r="HC104" i="112"/>
  <c r="HC208" i="112" s="1"/>
  <c r="HC118" i="112"/>
  <c r="FR118" i="112"/>
  <c r="FR104" i="112"/>
  <c r="FH232" i="112"/>
  <c r="FI232" i="112"/>
  <c r="P41" i="116" l="1"/>
  <c r="Q41" i="116" s="1"/>
  <c r="T40" i="116"/>
  <c r="U40" i="116" s="1"/>
  <c r="P40" i="116"/>
  <c r="Q40" i="116" s="1"/>
  <c r="F41" i="116"/>
  <c r="H41" i="116" s="1"/>
  <c r="I41" i="116" s="1"/>
  <c r="T41" i="116"/>
  <c r="U41" i="116" s="1"/>
  <c r="DF49" i="112"/>
  <c r="FI80" i="51"/>
  <c r="FI237" i="112"/>
  <c r="FH80" i="51"/>
  <c r="DZ95" i="119" l="1"/>
  <c r="CP114" i="113" l="1"/>
  <c r="CO114" i="113"/>
  <c r="CN114" i="113"/>
  <c r="CM114" i="113"/>
  <c r="CL114" i="113"/>
  <c r="CK114" i="113"/>
  <c r="CJ114" i="113"/>
  <c r="CI114" i="113"/>
  <c r="CH114" i="113"/>
  <c r="CG114" i="113"/>
  <c r="CF114" i="113"/>
  <c r="CE114" i="113"/>
  <c r="CD114" i="113"/>
  <c r="CC114" i="113"/>
  <c r="CL85" i="113"/>
  <c r="CO145" i="113"/>
  <c r="CN145" i="113"/>
  <c r="CM145" i="113"/>
  <c r="CL145" i="113"/>
  <c r="CK145" i="113"/>
  <c r="CJ145" i="113"/>
  <c r="CH232" i="112"/>
  <c r="CR32" i="113"/>
  <c r="CN32" i="113"/>
  <c r="CO32" i="113"/>
  <c r="CK32" i="113"/>
  <c r="CD32" i="113"/>
  <c r="CH32" i="113"/>
  <c r="CH24" i="113"/>
  <c r="CI24" i="113"/>
  <c r="CJ24" i="113"/>
  <c r="CK24" i="113"/>
  <c r="CL24" i="113"/>
  <c r="CM24" i="113"/>
  <c r="CN24" i="113"/>
  <c r="CO24" i="113"/>
  <c r="CP34" i="113"/>
  <c r="CQ34" i="113"/>
  <c r="CR34" i="113"/>
  <c r="CS34" i="113"/>
  <c r="CT34" i="113"/>
  <c r="CU34" i="113"/>
  <c r="CV34" i="113"/>
  <c r="CW34" i="113"/>
  <c r="CX34" i="113"/>
  <c r="CY34" i="113"/>
  <c r="CZ34" i="113"/>
  <c r="DA34" i="113"/>
  <c r="DB34" i="113"/>
  <c r="DC34" i="113"/>
  <c r="DD34" i="113"/>
  <c r="BI23" i="113"/>
  <c r="BH23" i="113"/>
  <c r="BG23" i="113"/>
  <c r="BF23" i="113"/>
  <c r="BE23" i="113"/>
  <c r="BD23" i="113"/>
  <c r="BC23" i="113"/>
  <c r="BB23" i="113"/>
  <c r="BA23" i="113"/>
  <c r="AZ23" i="113"/>
  <c r="AY23" i="113"/>
  <c r="AX23" i="113"/>
  <c r="AW23" i="113"/>
  <c r="AV23" i="113"/>
  <c r="AU23" i="113"/>
  <c r="AT23" i="113"/>
  <c r="AS23" i="113"/>
  <c r="AR23" i="113"/>
  <c r="AQ23" i="113"/>
  <c r="AP23" i="113"/>
  <c r="AO23" i="113"/>
  <c r="AN23" i="113"/>
  <c r="AM23" i="113"/>
  <c r="AL23" i="113"/>
  <c r="AK23" i="113"/>
  <c r="AJ23" i="113"/>
  <c r="AI23" i="113"/>
  <c r="AH23" i="113"/>
  <c r="AG23" i="113"/>
  <c r="AF23" i="113"/>
  <c r="AE23" i="113"/>
  <c r="AD23" i="113"/>
  <c r="AC23" i="113"/>
  <c r="AB23" i="113"/>
  <c r="AA23" i="113"/>
  <c r="Z23" i="113"/>
  <c r="Y23" i="113"/>
  <c r="X23" i="113"/>
  <c r="W23" i="113"/>
  <c r="V23" i="113"/>
  <c r="U23" i="113"/>
  <c r="T23" i="113"/>
  <c r="S23" i="113"/>
  <c r="R23" i="113"/>
  <c r="Q23" i="113"/>
  <c r="P23" i="113"/>
  <c r="O23" i="113"/>
  <c r="N23" i="113"/>
  <c r="M23" i="113"/>
  <c r="L23" i="113"/>
  <c r="K23" i="113"/>
  <c r="J23" i="113"/>
  <c r="I23" i="113"/>
  <c r="H23" i="113"/>
  <c r="G23" i="113"/>
  <c r="F23" i="113"/>
  <c r="E23" i="113"/>
  <c r="D23" i="113"/>
  <c r="C23" i="113"/>
  <c r="B23" i="113"/>
  <c r="CL237" i="112" l="1"/>
  <c r="ED95" i="119"/>
  <c r="C3" i="118"/>
  <c r="O12" i="118" s="1"/>
  <c r="CI145" i="113"/>
  <c r="FH145" i="113" s="1"/>
  <c r="CH80" i="51"/>
  <c r="FI145" i="113"/>
  <c r="BI43" i="112"/>
  <c r="BH43" i="112"/>
  <c r="BG43" i="112"/>
  <c r="BF43" i="112"/>
  <c r="BE43" i="112"/>
  <c r="BD43" i="112"/>
  <c r="BC43" i="112"/>
  <c r="BB43" i="112"/>
  <c r="BA43" i="112"/>
  <c r="AZ43" i="112"/>
  <c r="AY43" i="112"/>
  <c r="AX43" i="112"/>
  <c r="AW43" i="112"/>
  <c r="AV43" i="112"/>
  <c r="AU43" i="112"/>
  <c r="AT43" i="112"/>
  <c r="AS43" i="112"/>
  <c r="AR43" i="112"/>
  <c r="AQ43" i="112"/>
  <c r="AP43" i="112"/>
  <c r="AO43" i="112"/>
  <c r="AN43" i="112"/>
  <c r="AM43" i="112"/>
  <c r="AL43" i="112"/>
  <c r="AK43" i="112"/>
  <c r="AJ43" i="112"/>
  <c r="AI43" i="112"/>
  <c r="AH43" i="112"/>
  <c r="AG43" i="112"/>
  <c r="AF43" i="112"/>
  <c r="AE43" i="112"/>
  <c r="AD43" i="112"/>
  <c r="AC43" i="112"/>
  <c r="AB43" i="112"/>
  <c r="AA43" i="112"/>
  <c r="Z43" i="112"/>
  <c r="Y43" i="112"/>
  <c r="X43" i="112"/>
  <c r="W43" i="112"/>
  <c r="V43" i="112"/>
  <c r="U43" i="112"/>
  <c r="T43" i="112"/>
  <c r="S43" i="112"/>
  <c r="R43" i="112"/>
  <c r="Q43" i="112"/>
  <c r="P43" i="112"/>
  <c r="O43" i="112"/>
  <c r="N43" i="112"/>
  <c r="M43" i="112"/>
  <c r="L43" i="112"/>
  <c r="K43" i="112"/>
  <c r="J43" i="112"/>
  <c r="I43" i="112"/>
  <c r="H43" i="112"/>
  <c r="G43" i="112"/>
  <c r="F43" i="112"/>
  <c r="E43" i="112"/>
  <c r="D43" i="112"/>
  <c r="C43" i="112"/>
  <c r="B43" i="112"/>
  <c r="EH95" i="119" l="1"/>
  <c r="P12" i="118"/>
  <c r="AV230" i="112"/>
  <c r="AW230" i="112" s="1"/>
  <c r="AX230" i="112" s="1"/>
  <c r="AY230" i="112" s="1"/>
  <c r="AZ230" i="112" s="1"/>
  <c r="BA230" i="112" s="1"/>
  <c r="BB230" i="112" s="1"/>
  <c r="CP232" i="112"/>
  <c r="CU232" i="112"/>
  <c r="CY232" i="112"/>
  <c r="CY80" i="51" l="1"/>
  <c r="CY237" i="112"/>
  <c r="CU80" i="51"/>
  <c r="CP80" i="51"/>
  <c r="CP237" i="112"/>
  <c r="CT237" i="112"/>
  <c r="BC230" i="112"/>
  <c r="BC231" i="112" s="1"/>
  <c r="BC244" i="112" s="1"/>
  <c r="BB235" i="112"/>
  <c r="Q12" i="118"/>
  <c r="CZ232" i="112"/>
  <c r="CY145" i="113"/>
  <c r="CV232" i="112"/>
  <c r="CU145" i="113"/>
  <c r="CQ232" i="112"/>
  <c r="CP145" i="113"/>
  <c r="AV231" i="112"/>
  <c r="BA231" i="112"/>
  <c r="BB231" i="112"/>
  <c r="BB244" i="112" s="1"/>
  <c r="AY231" i="112"/>
  <c r="AW231" i="112"/>
  <c r="AX231" i="112"/>
  <c r="AZ231" i="112"/>
  <c r="FD191" i="113"/>
  <c r="FE191" i="113"/>
  <c r="FF191" i="113"/>
  <c r="FG191" i="113"/>
  <c r="GN191" i="113"/>
  <c r="GO191" i="113"/>
  <c r="GP191" i="113"/>
  <c r="GQ191" i="113"/>
  <c r="DC69" i="113"/>
  <c r="DB69" i="113"/>
  <c r="DA69" i="113"/>
  <c r="CZ69" i="113"/>
  <c r="CY69" i="113"/>
  <c r="CX69" i="113"/>
  <c r="CW69" i="113"/>
  <c r="CV69" i="113"/>
  <c r="CU69" i="113"/>
  <c r="CT69" i="113"/>
  <c r="CS69" i="113"/>
  <c r="CR69" i="113"/>
  <c r="CQ69" i="113"/>
  <c r="CP69" i="113"/>
  <c r="CO69" i="113"/>
  <c r="CN69" i="113"/>
  <c r="CM69" i="113"/>
  <c r="CL69" i="113"/>
  <c r="CK69" i="113"/>
  <c r="CJ69" i="113"/>
  <c r="DD68" i="113"/>
  <c r="DC67" i="113"/>
  <c r="DB67" i="113"/>
  <c r="GV67" i="113" s="1"/>
  <c r="DA67" i="113"/>
  <c r="FL67" i="113" s="1"/>
  <c r="CZ67" i="113"/>
  <c r="CY67" i="113"/>
  <c r="CX67" i="113"/>
  <c r="GU67" i="113" s="1"/>
  <c r="CW67" i="113"/>
  <c r="FK67" i="113" s="1"/>
  <c r="CV67" i="113"/>
  <c r="CU67" i="113"/>
  <c r="CT67" i="113"/>
  <c r="GT67" i="113" s="1"/>
  <c r="CS67" i="113"/>
  <c r="FJ67" i="113" s="1"/>
  <c r="CR67" i="113"/>
  <c r="CQ67" i="113"/>
  <c r="CP67" i="113"/>
  <c r="GS67" i="113" s="1"/>
  <c r="CO67" i="113"/>
  <c r="FI67" i="113" s="1"/>
  <c r="CN67" i="113"/>
  <c r="CM67" i="113"/>
  <c r="CL67" i="113"/>
  <c r="GR67" i="113" s="1"/>
  <c r="CO226" i="112"/>
  <c r="CN226" i="112"/>
  <c r="CM226" i="112"/>
  <c r="CL226" i="112"/>
  <c r="CK226" i="112"/>
  <c r="CJ226" i="112"/>
  <c r="CI226" i="112"/>
  <c r="CH226" i="112"/>
  <c r="CO225" i="112"/>
  <c r="CN225" i="112"/>
  <c r="CM225" i="112"/>
  <c r="CL225" i="112"/>
  <c r="CK225" i="112"/>
  <c r="CJ225" i="112"/>
  <c r="CI225" i="112"/>
  <c r="CH225" i="112"/>
  <c r="CO224" i="112"/>
  <c r="CN224" i="112"/>
  <c r="CM224" i="112"/>
  <c r="CL224" i="112"/>
  <c r="CK224" i="112"/>
  <c r="CJ224" i="112"/>
  <c r="CI224" i="112"/>
  <c r="CH224" i="112"/>
  <c r="CO215" i="112"/>
  <c r="CO220" i="112" s="1"/>
  <c r="CN215" i="112"/>
  <c r="CN218" i="112" s="1"/>
  <c r="CR218" i="112" s="1"/>
  <c r="CV218" i="112" s="1"/>
  <c r="CZ218" i="112" s="1"/>
  <c r="DD218" i="112" s="1"/>
  <c r="CM215" i="112"/>
  <c r="CM218" i="112" s="1"/>
  <c r="CQ218" i="112" s="1"/>
  <c r="CU218" i="112" s="1"/>
  <c r="CY218" i="112" s="1"/>
  <c r="DC218" i="112" s="1"/>
  <c r="DG218" i="112" s="1"/>
  <c r="DK218" i="112" s="1"/>
  <c r="CL215" i="112"/>
  <c r="CK215" i="112"/>
  <c r="CJ215" i="112"/>
  <c r="CI215" i="112"/>
  <c r="CI218" i="112" s="1"/>
  <c r="CH215" i="112"/>
  <c r="CG215" i="112"/>
  <c r="CG221" i="112" s="1"/>
  <c r="CF215" i="112"/>
  <c r="CF221" i="112" s="1"/>
  <c r="CE215" i="112"/>
  <c r="CD215" i="112"/>
  <c r="BU201" i="112"/>
  <c r="BU202" i="112" s="1"/>
  <c r="BT201" i="112"/>
  <c r="BT202" i="112" s="1"/>
  <c r="BS201" i="112"/>
  <c r="BS202" i="112" s="1"/>
  <c r="BR201" i="112"/>
  <c r="BY201" i="112"/>
  <c r="BY202" i="112" s="1"/>
  <c r="BX201" i="112"/>
  <c r="BX202" i="112" s="1"/>
  <c r="BW201" i="112"/>
  <c r="BW202" i="112" s="1"/>
  <c r="BV201" i="112"/>
  <c r="CC201" i="112"/>
  <c r="CC202" i="112" s="1"/>
  <c r="CB201" i="112"/>
  <c r="CB202" i="112" s="1"/>
  <c r="CA201" i="112"/>
  <c r="CA202" i="112" s="1"/>
  <c r="BZ201" i="112"/>
  <c r="DD201" i="112"/>
  <c r="DD202" i="112" s="1"/>
  <c r="DD215" i="112" s="1"/>
  <c r="DC201" i="112"/>
  <c r="DC202" i="112" s="1"/>
  <c r="DC215" i="112" s="1"/>
  <c r="DB201" i="112"/>
  <c r="DA201" i="112"/>
  <c r="DA202" i="112" s="1"/>
  <c r="CZ201" i="112"/>
  <c r="CZ202" i="112" s="1"/>
  <c r="CZ215" i="112" s="1"/>
  <c r="CY201" i="112"/>
  <c r="CY202" i="112" s="1"/>
  <c r="CY215" i="112" s="1"/>
  <c r="CX201" i="112"/>
  <c r="CW201" i="112"/>
  <c r="CW202" i="112" s="1"/>
  <c r="CW215" i="112" s="1"/>
  <c r="CV201" i="112"/>
  <c r="CV202" i="112" s="1"/>
  <c r="CV215" i="112" s="1"/>
  <c r="CU201" i="112"/>
  <c r="CU202" i="112" s="1"/>
  <c r="CU215" i="112" s="1"/>
  <c r="CT201" i="112"/>
  <c r="CS201" i="112"/>
  <c r="CR201" i="112"/>
  <c r="CR202" i="112" s="1"/>
  <c r="CR215" i="112" s="1"/>
  <c r="CQ201" i="112"/>
  <c r="CN201" i="112"/>
  <c r="CM201" i="112"/>
  <c r="CL201" i="112"/>
  <c r="CK201" i="112"/>
  <c r="CJ201" i="112"/>
  <c r="CI201" i="112"/>
  <c r="CH201" i="112"/>
  <c r="CG201" i="112"/>
  <c r="CF201" i="112"/>
  <c r="CE201" i="112"/>
  <c r="CD201" i="112"/>
  <c r="CO201" i="112"/>
  <c r="BS204" i="112"/>
  <c r="CO184" i="112"/>
  <c r="CO191" i="112" s="1"/>
  <c r="CN184" i="112"/>
  <c r="CN191" i="112" s="1"/>
  <c r="CM184" i="112"/>
  <c r="CM191" i="112" s="1"/>
  <c r="CL184" i="112"/>
  <c r="CL191" i="112" s="1"/>
  <c r="CK184" i="112"/>
  <c r="CK191" i="112" s="1"/>
  <c r="DO218" i="112" l="1"/>
  <c r="DS218" i="112" s="1"/>
  <c r="DW218" i="112" s="1"/>
  <c r="EA218" i="112" s="1"/>
  <c r="EE218" i="112" s="1"/>
  <c r="EI218" i="112" s="1"/>
  <c r="DD69" i="113"/>
  <c r="DH68" i="113"/>
  <c r="DL218" i="112"/>
  <c r="BC245" i="112"/>
  <c r="AZ79" i="51"/>
  <c r="AZ244" i="112"/>
  <c r="AX79" i="51"/>
  <c r="AX244" i="112"/>
  <c r="AV79" i="51"/>
  <c r="AV244" i="112"/>
  <c r="AV245" i="112" s="1"/>
  <c r="AW79" i="51"/>
  <c r="AW244" i="112"/>
  <c r="BA79" i="51"/>
  <c r="BA244" i="112"/>
  <c r="AY79" i="51"/>
  <c r="AY244" i="112"/>
  <c r="CQ80" i="51"/>
  <c r="CQ237" i="112"/>
  <c r="BC79" i="51"/>
  <c r="BC236" i="112"/>
  <c r="CV80" i="51"/>
  <c r="BB79" i="51"/>
  <c r="BB236" i="112"/>
  <c r="CU237" i="112"/>
  <c r="CZ80" i="51"/>
  <c r="CZ237" i="112"/>
  <c r="BD230" i="112"/>
  <c r="BC235" i="112"/>
  <c r="R12" i="118"/>
  <c r="FG201" i="112"/>
  <c r="FK69" i="113"/>
  <c r="FH69" i="113"/>
  <c r="FJ69" i="113"/>
  <c r="FI69" i="113"/>
  <c r="FL69" i="113"/>
  <c r="BZ202" i="112"/>
  <c r="FF202" i="112" s="1"/>
  <c r="FF201" i="112"/>
  <c r="FG215" i="112"/>
  <c r="CR232" i="112"/>
  <c r="CV237" i="112" s="1"/>
  <c r="CQ145" i="113"/>
  <c r="FI201" i="112"/>
  <c r="BR202" i="112"/>
  <c r="FD202" i="112" s="1"/>
  <c r="FD201" i="112"/>
  <c r="FI215" i="112"/>
  <c r="CW232" i="112"/>
  <c r="CX202" i="112"/>
  <c r="FL201" i="112"/>
  <c r="CT202" i="112"/>
  <c r="FK201" i="112"/>
  <c r="FH201" i="112"/>
  <c r="DB202" i="112"/>
  <c r="BV202" i="112"/>
  <c r="FE202" i="112" s="1"/>
  <c r="FE201" i="112"/>
  <c r="CH218" i="112"/>
  <c r="FH215" i="112"/>
  <c r="DA232" i="112"/>
  <c r="CZ145" i="113"/>
  <c r="CA209" i="112"/>
  <c r="CB209" i="112"/>
  <c r="BD231" i="112"/>
  <c r="CL227" i="112"/>
  <c r="CM227" i="112"/>
  <c r="CL221" i="112"/>
  <c r="CC209" i="112"/>
  <c r="BX209" i="112"/>
  <c r="CF219" i="112"/>
  <c r="BY209" i="112"/>
  <c r="CF202" i="112"/>
  <c r="CF203" i="112" s="1"/>
  <c r="CF220" i="112"/>
  <c r="BW209" i="112"/>
  <c r="CF218" i="112"/>
  <c r="CL220" i="112"/>
  <c r="CY227" i="112"/>
  <c r="DD212" i="112"/>
  <c r="CV212" i="112"/>
  <c r="CV227" i="112"/>
  <c r="CE202" i="112"/>
  <c r="CE203" i="112" s="1"/>
  <c r="CE221" i="112"/>
  <c r="CE220" i="112"/>
  <c r="CE219" i="112"/>
  <c r="CK202" i="112"/>
  <c r="CK203" i="112" s="1"/>
  <c r="CK221" i="112"/>
  <c r="CK220" i="112"/>
  <c r="CK219" i="112"/>
  <c r="CK227" i="112"/>
  <c r="CZ212" i="112"/>
  <c r="DC227" i="112"/>
  <c r="CG218" i="112"/>
  <c r="CG220" i="112"/>
  <c r="CM221" i="112"/>
  <c r="CZ227" i="112"/>
  <c r="BT204" i="112"/>
  <c r="BU204" i="112" s="1"/>
  <c r="FD204" i="112" s="1"/>
  <c r="CH202" i="112"/>
  <c r="CH221" i="112"/>
  <c r="CH220" i="112"/>
  <c r="CH219" i="112"/>
  <c r="CN202" i="112"/>
  <c r="CN203" i="112" s="1"/>
  <c r="CN221" i="112"/>
  <c r="CN220" i="112"/>
  <c r="CN219" i="112"/>
  <c r="CR219" i="112" s="1"/>
  <c r="CG219" i="112"/>
  <c r="CM220" i="112"/>
  <c r="CG202" i="112"/>
  <c r="CG203" i="112" s="1"/>
  <c r="CR227" i="112"/>
  <c r="CR212" i="112"/>
  <c r="CR224" i="112" s="1"/>
  <c r="CI202" i="112"/>
  <c r="CI203" i="112" s="1"/>
  <c r="CI221" i="112"/>
  <c r="CI220" i="112"/>
  <c r="CI219" i="112"/>
  <c r="CI227" i="112"/>
  <c r="CO202" i="112"/>
  <c r="CO203" i="112" s="1"/>
  <c r="CO221" i="112"/>
  <c r="CO219" i="112"/>
  <c r="CS219" i="112" s="1"/>
  <c r="CW219" i="112" s="1"/>
  <c r="DA219" i="112" s="1"/>
  <c r="DE219" i="112" s="1"/>
  <c r="DM219" i="112" s="1"/>
  <c r="DQ219" i="112" s="1"/>
  <c r="DU219" i="112" s="1"/>
  <c r="DY219" i="112" s="1"/>
  <c r="EC219" i="112" s="1"/>
  <c r="EG219" i="112" s="1"/>
  <c r="EK219" i="112" s="1"/>
  <c r="CO218" i="112"/>
  <c r="CS218" i="112" s="1"/>
  <c r="CW218" i="112" s="1"/>
  <c r="DA218" i="112" s="1"/>
  <c r="DE218" i="112" s="1"/>
  <c r="DM218" i="112" s="1"/>
  <c r="CO227" i="112"/>
  <c r="CK218" i="112"/>
  <c r="CL219" i="112"/>
  <c r="CP219" i="112" s="1"/>
  <c r="CT219" i="112" s="1"/>
  <c r="CL202" i="112"/>
  <c r="CH227" i="112"/>
  <c r="DD227" i="112"/>
  <c r="CU212" i="112"/>
  <c r="DE202" i="112"/>
  <c r="DE215" i="112" s="1"/>
  <c r="DA215" i="112"/>
  <c r="CD202" i="112"/>
  <c r="CD221" i="112"/>
  <c r="CD220" i="112"/>
  <c r="CD219" i="112"/>
  <c r="CD218" i="112"/>
  <c r="CJ202" i="112"/>
  <c r="CJ203" i="112" s="1"/>
  <c r="CJ221" i="112"/>
  <c r="CJ220" i="112"/>
  <c r="CJ219" i="112"/>
  <c r="CJ218" i="112"/>
  <c r="CJ227" i="112"/>
  <c r="CE218" i="112"/>
  <c r="CL218" i="112"/>
  <c r="CM219" i="112"/>
  <c r="CQ219" i="112" s="1"/>
  <c r="CU219" i="112" s="1"/>
  <c r="CY219" i="112" s="1"/>
  <c r="DC219" i="112" s="1"/>
  <c r="DK219" i="112" s="1"/>
  <c r="DO219" i="112" s="1"/>
  <c r="DS219" i="112" s="1"/>
  <c r="DW219" i="112" s="1"/>
  <c r="EA219" i="112" s="1"/>
  <c r="EE219" i="112" s="1"/>
  <c r="EI219" i="112" s="1"/>
  <c r="CM202" i="112"/>
  <c r="CM203" i="112" s="1"/>
  <c r="CY212" i="112"/>
  <c r="CN227" i="112"/>
  <c r="DD67" i="113"/>
  <c r="CY209" i="112"/>
  <c r="CV209" i="112"/>
  <c r="CZ209" i="112"/>
  <c r="DD209" i="112"/>
  <c r="DC209" i="112"/>
  <c r="DA209" i="112"/>
  <c r="DP218" i="112" l="1"/>
  <c r="DT218" i="112" s="1"/>
  <c r="DX218" i="112" s="1"/>
  <c r="EB218" i="112" s="1"/>
  <c r="EF218" i="112" s="1"/>
  <c r="EJ218" i="112" s="1"/>
  <c r="DQ218" i="112"/>
  <c r="DU218" i="112" s="1"/>
  <c r="DY218" i="112" s="1"/>
  <c r="BA245" i="112"/>
  <c r="AX245" i="112"/>
  <c r="AY245" i="112"/>
  <c r="BD244" i="112"/>
  <c r="BD245" i="112" s="1"/>
  <c r="AW245" i="112"/>
  <c r="AZ245" i="112"/>
  <c r="BB245" i="112"/>
  <c r="BE230" i="112"/>
  <c r="BD235" i="112"/>
  <c r="BD79" i="51"/>
  <c r="BD236" i="112"/>
  <c r="CW80" i="51"/>
  <c r="CW145" i="113"/>
  <c r="CR80" i="51"/>
  <c r="CR237" i="112"/>
  <c r="DA80" i="51"/>
  <c r="DA237" i="112"/>
  <c r="FD203" i="112"/>
  <c r="DW220" i="112"/>
  <c r="CX209" i="112"/>
  <c r="CY224" i="112"/>
  <c r="DB209" i="112"/>
  <c r="BZ209" i="112"/>
  <c r="BV209" i="112"/>
  <c r="FE203" i="112"/>
  <c r="FE204" i="112" s="1"/>
  <c r="FH227" i="112"/>
  <c r="FH219" i="112"/>
  <c r="FH221" i="112"/>
  <c r="FH220" i="112"/>
  <c r="FH218" i="112"/>
  <c r="FK232" i="112"/>
  <c r="CX145" i="113"/>
  <c r="FI221" i="112"/>
  <c r="FI218" i="112"/>
  <c r="FI227" i="112"/>
  <c r="FI219" i="112"/>
  <c r="FI220" i="112"/>
  <c r="CS232" i="112"/>
  <c r="CR145" i="113"/>
  <c r="CT215" i="112"/>
  <c r="FK215" i="112" s="1"/>
  <c r="FK202" i="112"/>
  <c r="FK203" i="112" s="1"/>
  <c r="FG227" i="112"/>
  <c r="FG219" i="112"/>
  <c r="FG221" i="112"/>
  <c r="FG218" i="112"/>
  <c r="FG220" i="112"/>
  <c r="CD203" i="112"/>
  <c r="FG202" i="112"/>
  <c r="FG203" i="112" s="1"/>
  <c r="CL203" i="112"/>
  <c r="FI202" i="112"/>
  <c r="FI203" i="112" s="1"/>
  <c r="CR213" i="112"/>
  <c r="CR225" i="112" s="1"/>
  <c r="CV219" i="112"/>
  <c r="CZ219" i="112" s="1"/>
  <c r="DD219" i="112" s="1"/>
  <c r="DL219" i="112" s="1"/>
  <c r="DP219" i="112" s="1"/>
  <c r="DT219" i="112" s="1"/>
  <c r="DX219" i="112" s="1"/>
  <c r="EB219" i="112" s="1"/>
  <c r="EF219" i="112" s="1"/>
  <c r="EJ219" i="112" s="1"/>
  <c r="FL208" i="112"/>
  <c r="FF203" i="112"/>
  <c r="FH208" i="112"/>
  <c r="CX215" i="112"/>
  <c r="FL202" i="112"/>
  <c r="FI208" i="112"/>
  <c r="CH203" i="112"/>
  <c r="FH202" i="112"/>
  <c r="FL232" i="112"/>
  <c r="DA145" i="113"/>
  <c r="DB145" i="113"/>
  <c r="DB215" i="112"/>
  <c r="FM202" i="112"/>
  <c r="BE231" i="112"/>
  <c r="CV224" i="112"/>
  <c r="DD224" i="112"/>
  <c r="CW212" i="112"/>
  <c r="CQ203" i="112"/>
  <c r="CS203" i="112"/>
  <c r="DA212" i="112"/>
  <c r="DA227" i="112"/>
  <c r="DE220" i="112"/>
  <c r="DE214" i="112" s="1"/>
  <c r="CR209" i="112"/>
  <c r="CT220" i="112"/>
  <c r="CP220" i="112"/>
  <c r="CS220" i="112"/>
  <c r="CQ220" i="112"/>
  <c r="DE227" i="112"/>
  <c r="DE213" i="112"/>
  <c r="DE212" i="112"/>
  <c r="CR220" i="112"/>
  <c r="CR214" i="112" s="1"/>
  <c r="CR226" i="112" s="1"/>
  <c r="CZ224" i="112"/>
  <c r="BV204" i="112"/>
  <c r="AI3" i="116"/>
  <c r="AH3" i="116"/>
  <c r="AG3" i="116"/>
  <c r="EC218" i="112" l="1"/>
  <c r="EG218" i="112" s="1"/>
  <c r="EK218" i="112" s="1"/>
  <c r="DY220" i="112"/>
  <c r="DV220" i="112"/>
  <c r="BE244" i="112"/>
  <c r="BE245" i="112" s="1"/>
  <c r="FL209" i="112"/>
  <c r="BE79" i="51"/>
  <c r="BE236" i="112"/>
  <c r="FK80" i="51"/>
  <c r="FL80" i="51"/>
  <c r="FL237" i="112"/>
  <c r="CS80" i="51"/>
  <c r="CS237" i="112"/>
  <c r="CW237" i="112"/>
  <c r="BF230" i="112"/>
  <c r="BE235" i="112"/>
  <c r="DX220" i="112"/>
  <c r="DZ220" i="112"/>
  <c r="EA220" i="112"/>
  <c r="CT212" i="112"/>
  <c r="CT214" i="112"/>
  <c r="FH209" i="112"/>
  <c r="FL203" i="112"/>
  <c r="FI209" i="112"/>
  <c r="FJ232" i="112"/>
  <c r="FK237" i="112" s="1"/>
  <c r="CS145" i="113"/>
  <c r="FJ145" i="113" s="1"/>
  <c r="CT145" i="113"/>
  <c r="FF204" i="112"/>
  <c r="FG204" i="112" s="1"/>
  <c r="FL215" i="112"/>
  <c r="CX227" i="112"/>
  <c r="FL145" i="113"/>
  <c r="FM209" i="112"/>
  <c r="FH203" i="112"/>
  <c r="FM215" i="112"/>
  <c r="DB227" i="112"/>
  <c r="FK221" i="112"/>
  <c r="BF231" i="112"/>
  <c r="DA224" i="112"/>
  <c r="CW220" i="112"/>
  <c r="CW214" i="112" s="1"/>
  <c r="CW213" i="112"/>
  <c r="CU213" i="112"/>
  <c r="CU220" i="112"/>
  <c r="CU214" i="112" s="1"/>
  <c r="CS202" i="112"/>
  <c r="CV220" i="112"/>
  <c r="CV214" i="112" s="1"/>
  <c r="CV226" i="112" s="1"/>
  <c r="CV213" i="112"/>
  <c r="CV225" i="112" s="1"/>
  <c r="DC212" i="112"/>
  <c r="DC224" i="112" s="1"/>
  <c r="CQ202" i="112"/>
  <c r="CX212" i="112"/>
  <c r="DE224" i="112"/>
  <c r="DI220" i="112"/>
  <c r="CX220" i="112"/>
  <c r="CX214" i="112" s="1"/>
  <c r="CT213" i="112"/>
  <c r="BW204" i="112"/>
  <c r="EC220" i="112" l="1"/>
  <c r="BF244" i="112"/>
  <c r="BF245" i="112" s="1"/>
  <c r="BG230" i="112"/>
  <c r="BF235" i="112"/>
  <c r="BF79" i="51"/>
  <c r="BF236" i="112"/>
  <c r="FJ80" i="51"/>
  <c r="FJ237" i="112"/>
  <c r="FK212" i="112"/>
  <c r="EI220" i="112"/>
  <c r="EE220" i="112"/>
  <c r="EH220" i="112"/>
  <c r="ED220" i="112"/>
  <c r="EK220" i="112"/>
  <c r="EG220" i="112"/>
  <c r="EB220" i="112"/>
  <c r="FH204" i="112"/>
  <c r="FI204" i="112" s="1"/>
  <c r="FK213" i="112"/>
  <c r="FK219" i="112" s="1"/>
  <c r="FM227" i="112"/>
  <c r="FM221" i="112"/>
  <c r="FL221" i="112"/>
  <c r="FL227" i="112"/>
  <c r="FK214" i="112"/>
  <c r="FK220" i="112" s="1"/>
  <c r="CX226" i="112"/>
  <c r="CX224" i="112"/>
  <c r="FL212" i="112"/>
  <c r="BG231" i="112"/>
  <c r="DM220" i="112"/>
  <c r="CQ209" i="112"/>
  <c r="CQ215" i="112"/>
  <c r="CU209" i="112"/>
  <c r="CZ220" i="112"/>
  <c r="CZ214" i="112" s="1"/>
  <c r="CZ226" i="112" s="1"/>
  <c r="CZ213" i="112"/>
  <c r="CZ225" i="112" s="1"/>
  <c r="CY213" i="112"/>
  <c r="CY225" i="112" s="1"/>
  <c r="CY220" i="112"/>
  <c r="CY214" i="112" s="1"/>
  <c r="CY226" i="112" s="1"/>
  <c r="DB220" i="112"/>
  <c r="DB214" i="112" s="1"/>
  <c r="CX213" i="112"/>
  <c r="DB212" i="112"/>
  <c r="DA220" i="112"/>
  <c r="DA214" i="112" s="1"/>
  <c r="DA213" i="112"/>
  <c r="CW209" i="112"/>
  <c r="CS215" i="112"/>
  <c r="CS209" i="112"/>
  <c r="BX204" i="112"/>
  <c r="BG244" i="112" l="1"/>
  <c r="BG245" i="112" s="1"/>
  <c r="BG79" i="51"/>
  <c r="BG236" i="112"/>
  <c r="BH230" i="112"/>
  <c r="BG235" i="112"/>
  <c r="FK218" i="112"/>
  <c r="EF220" i="112"/>
  <c r="EJ220" i="112"/>
  <c r="CX225" i="112"/>
  <c r="FL213" i="112"/>
  <c r="FL214" i="112"/>
  <c r="FL226" i="112" s="1"/>
  <c r="DB224" i="112"/>
  <c r="FM212" i="112"/>
  <c r="FL224" i="112"/>
  <c r="FL218" i="112"/>
  <c r="DB226" i="112"/>
  <c r="BH231" i="112"/>
  <c r="DA225" i="112"/>
  <c r="DE225" i="112"/>
  <c r="DD220" i="112"/>
  <c r="DD214" i="112" s="1"/>
  <c r="DD226" i="112" s="1"/>
  <c r="DD213" i="112"/>
  <c r="DD225" i="112" s="1"/>
  <c r="DA226" i="112"/>
  <c r="DE226" i="112"/>
  <c r="DF220" i="112"/>
  <c r="DB213" i="112"/>
  <c r="CS227" i="112"/>
  <c r="CS213" i="112"/>
  <c r="CS214" i="112"/>
  <c r="CS212" i="112"/>
  <c r="CW227" i="112"/>
  <c r="DC213" i="112"/>
  <c r="DC225" i="112" s="1"/>
  <c r="DC220" i="112"/>
  <c r="DC214" i="112" s="1"/>
  <c r="DC226" i="112" s="1"/>
  <c r="DU220" i="112"/>
  <c r="DQ220" i="112"/>
  <c r="CQ227" i="112"/>
  <c r="CQ213" i="112"/>
  <c r="CQ214" i="112"/>
  <c r="CQ212" i="112"/>
  <c r="CU227" i="112"/>
  <c r="BY204" i="112"/>
  <c r="BH244" i="112" l="1"/>
  <c r="BH245" i="112" s="1"/>
  <c r="BI230" i="112"/>
  <c r="BH235" i="112"/>
  <c r="BH79" i="51"/>
  <c r="BH236" i="112"/>
  <c r="FL225" i="112"/>
  <c r="FL219" i="112"/>
  <c r="DB225" i="112"/>
  <c r="FM213" i="112"/>
  <c r="FL220" i="112"/>
  <c r="FM214" i="112"/>
  <c r="FM226" i="112" s="1"/>
  <c r="FM218" i="112"/>
  <c r="FM224" i="112"/>
  <c r="BI231" i="112"/>
  <c r="CS225" i="112"/>
  <c r="CW225" i="112"/>
  <c r="CQ224" i="112"/>
  <c r="CU224" i="112"/>
  <c r="DH220" i="112"/>
  <c r="CQ226" i="112"/>
  <c r="CU226" i="112"/>
  <c r="CS224" i="112"/>
  <c r="CW224" i="112"/>
  <c r="CQ225" i="112"/>
  <c r="CU225" i="112"/>
  <c r="CS226" i="112"/>
  <c r="CW226" i="112"/>
  <c r="DG220" i="112"/>
  <c r="BZ204" i="112"/>
  <c r="BI244" i="112" l="1"/>
  <c r="FA244" i="112" s="1"/>
  <c r="FA245" i="112" s="1"/>
  <c r="BI79" i="51"/>
  <c r="FA231" i="112"/>
  <c r="FA79" i="51" s="1"/>
  <c r="BI236" i="112"/>
  <c r="BJ230" i="112"/>
  <c r="FA230" i="112"/>
  <c r="BI235" i="112"/>
  <c r="FM225" i="112"/>
  <c r="FM219" i="112"/>
  <c r="FM220" i="112"/>
  <c r="BJ231" i="112"/>
  <c r="DN220" i="112"/>
  <c r="DL220" i="112"/>
  <c r="DJ220" i="112"/>
  <c r="DK220" i="112"/>
  <c r="CA204" i="112"/>
  <c r="BI245" i="112" l="1"/>
  <c r="BJ244" i="112"/>
  <c r="BJ245" i="112" s="1"/>
  <c r="BK230" i="112"/>
  <c r="BJ235" i="112"/>
  <c r="BJ79" i="51"/>
  <c r="BJ236" i="112"/>
  <c r="BK231" i="112"/>
  <c r="DP220" i="112"/>
  <c r="DT220" i="112"/>
  <c r="DS220" i="112"/>
  <c r="DO220" i="112"/>
  <c r="DR220" i="112"/>
  <c r="CB204" i="112"/>
  <c r="BK244" i="112" l="1"/>
  <c r="BK245" i="112" s="1"/>
  <c r="BK79" i="51"/>
  <c r="BK236" i="112"/>
  <c r="BL230" i="112"/>
  <c r="BK235" i="112"/>
  <c r="BL231" i="112"/>
  <c r="CC204" i="112"/>
  <c r="BL244" i="112" l="1"/>
  <c r="BL245" i="112" s="1"/>
  <c r="BL79" i="51"/>
  <c r="BL236" i="112"/>
  <c r="BM230" i="112"/>
  <c r="BL235" i="112"/>
  <c r="BM231" i="112"/>
  <c r="CD204" i="112"/>
  <c r="BM244" i="112" l="1"/>
  <c r="BM245" i="112" s="1"/>
  <c r="BM79" i="51"/>
  <c r="FB231" i="112"/>
  <c r="FB79" i="51" s="1"/>
  <c r="BM236" i="112"/>
  <c r="BN230" i="112"/>
  <c r="FB230" i="112"/>
  <c r="BM235" i="112"/>
  <c r="BN231" i="112"/>
  <c r="CE204" i="112"/>
  <c r="FB244" i="112" l="1"/>
  <c r="FB245" i="112" s="1"/>
  <c r="BN244" i="112"/>
  <c r="BN245" i="112" s="1"/>
  <c r="BO230" i="112"/>
  <c r="BN235" i="112"/>
  <c r="BN79" i="51"/>
  <c r="BN236" i="112"/>
  <c r="BO231" i="112"/>
  <c r="CF204" i="112"/>
  <c r="BO244" i="112" l="1"/>
  <c r="BO245" i="112" s="1"/>
  <c r="BO79" i="51"/>
  <c r="BO236" i="112"/>
  <c r="BP230" i="112"/>
  <c r="BO235" i="112"/>
  <c r="BP231" i="112"/>
  <c r="CG204" i="112"/>
  <c r="BP244" i="112" l="1"/>
  <c r="BP245" i="112" s="1"/>
  <c r="BP79" i="51"/>
  <c r="BP236" i="112"/>
  <c r="BQ230" i="112"/>
  <c r="BP235" i="112"/>
  <c r="BQ231" i="112"/>
  <c r="CH204" i="112"/>
  <c r="BQ244" i="112" l="1"/>
  <c r="FC244" i="112" s="1"/>
  <c r="FC245" i="112" s="1"/>
  <c r="BQ79" i="51"/>
  <c r="FC231" i="112"/>
  <c r="FC79" i="51" s="1"/>
  <c r="BQ236" i="112"/>
  <c r="BR230" i="112"/>
  <c r="FC230" i="112"/>
  <c r="BQ235" i="112"/>
  <c r="BR231" i="112"/>
  <c r="CI204" i="112"/>
  <c r="BQ245" i="112" l="1"/>
  <c r="BR244" i="112"/>
  <c r="BR245" i="112" s="1"/>
  <c r="BS230" i="112"/>
  <c r="BR235" i="112"/>
  <c r="BR79" i="51"/>
  <c r="BR236" i="112"/>
  <c r="BS231" i="112"/>
  <c r="CJ204" i="112"/>
  <c r="BS244" i="112" l="1"/>
  <c r="BS245" i="112" s="1"/>
  <c r="BS79" i="51"/>
  <c r="BS236" i="112"/>
  <c r="BT230" i="112"/>
  <c r="BS235" i="112"/>
  <c r="BT231" i="112"/>
  <c r="CK204" i="112"/>
  <c r="BT244" i="112" l="1"/>
  <c r="BT245" i="112" s="1"/>
  <c r="BU230" i="112"/>
  <c r="BT235" i="112"/>
  <c r="BT79" i="51"/>
  <c r="BT236" i="112"/>
  <c r="BU231" i="112"/>
  <c r="CL204" i="112"/>
  <c r="BU244" i="112" l="1"/>
  <c r="FD244" i="112" s="1"/>
  <c r="FD245" i="112" s="1"/>
  <c r="BU79" i="51"/>
  <c r="FD231" i="112"/>
  <c r="FD79" i="51" s="1"/>
  <c r="BU236" i="112"/>
  <c r="BV230" i="112"/>
  <c r="FD230" i="112"/>
  <c r="BU235" i="112"/>
  <c r="BV231" i="112"/>
  <c r="CM204" i="112"/>
  <c r="BU245" i="112" l="1"/>
  <c r="BV244" i="112"/>
  <c r="BV245" i="112" s="1"/>
  <c r="BW230" i="112"/>
  <c r="BV235" i="112"/>
  <c r="BV79" i="51"/>
  <c r="BV236" i="112"/>
  <c r="BW231" i="112"/>
  <c r="CN204" i="112"/>
  <c r="FQ154" i="113"/>
  <c r="FP154" i="113"/>
  <c r="FO154" i="113"/>
  <c r="FN154" i="113"/>
  <c r="FM154" i="113"/>
  <c r="FL154" i="113"/>
  <c r="FK154" i="113"/>
  <c r="FJ153" i="113"/>
  <c r="FJ152" i="113"/>
  <c r="FH153" i="113"/>
  <c r="FH152" i="113"/>
  <c r="FI153" i="113"/>
  <c r="FI152" i="113"/>
  <c r="BW244" i="112" l="1"/>
  <c r="BW245" i="112" s="1"/>
  <c r="BW79" i="51"/>
  <c r="BW236" i="112"/>
  <c r="BX230" i="112"/>
  <c r="BW235" i="112"/>
  <c r="FK159" i="113"/>
  <c r="FL159" i="113"/>
  <c r="FM159" i="113"/>
  <c r="FN159" i="113"/>
  <c r="FO159" i="113"/>
  <c r="FP159" i="113"/>
  <c r="FQ159" i="113"/>
  <c r="BX231" i="112"/>
  <c r="CO204" i="112"/>
  <c r="BX244" i="112" l="1"/>
  <c r="BX245" i="112" s="1"/>
  <c r="BY230" i="112"/>
  <c r="BX235" i="112"/>
  <c r="BX79" i="51"/>
  <c r="BX236" i="112"/>
  <c r="BY231" i="112"/>
  <c r="CP204" i="112"/>
  <c r="DF42" i="1"/>
  <c r="BY244" i="112" l="1"/>
  <c r="BY245" i="112" s="1"/>
  <c r="BY79" i="51"/>
  <c r="FE231" i="112"/>
  <c r="FE79" i="51" s="1"/>
  <c r="BY236" i="112"/>
  <c r="EA15" i="119"/>
  <c r="CM36" i="6"/>
  <c r="BZ230" i="112"/>
  <c r="FE230" i="112"/>
  <c r="BY235" i="112"/>
  <c r="BZ231" i="112"/>
  <c r="CQ204" i="112"/>
  <c r="DD104" i="112"/>
  <c r="DD208" i="112" s="1"/>
  <c r="DC104" i="112"/>
  <c r="DC208" i="112" s="1"/>
  <c r="DB104" i="112"/>
  <c r="DB208" i="112" s="1"/>
  <c r="DT92" i="112"/>
  <c r="DS92" i="112"/>
  <c r="DR92" i="112"/>
  <c r="DQ92" i="112"/>
  <c r="DQ201" i="112" s="1"/>
  <c r="DN201" i="112"/>
  <c r="DJ201" i="112"/>
  <c r="DU69" i="112"/>
  <c r="DT69" i="112"/>
  <c r="DS69" i="112"/>
  <c r="DR69" i="112"/>
  <c r="DQ69" i="112"/>
  <c r="DU68" i="112"/>
  <c r="DT68" i="112"/>
  <c r="DS68" i="112"/>
  <c r="DR68" i="112"/>
  <c r="DQ68" i="112"/>
  <c r="DM68" i="112"/>
  <c r="DK68" i="112"/>
  <c r="DI68" i="112"/>
  <c r="DH68" i="112"/>
  <c r="DG68" i="112"/>
  <c r="DF68" i="112"/>
  <c r="DE68" i="112"/>
  <c r="DD68" i="112"/>
  <c r="DC68" i="112"/>
  <c r="DB68" i="112"/>
  <c r="DA68" i="112"/>
  <c r="CZ68" i="112"/>
  <c r="CY68" i="112"/>
  <c r="CX68" i="112"/>
  <c r="CW68" i="112"/>
  <c r="CV68" i="112"/>
  <c r="CU68" i="112"/>
  <c r="CT68" i="112"/>
  <c r="CS68" i="112"/>
  <c r="CR68" i="112"/>
  <c r="CQ68" i="112"/>
  <c r="CP68" i="112"/>
  <c r="CO68" i="112"/>
  <c r="CN68" i="112"/>
  <c r="CM68" i="112"/>
  <c r="CL68" i="112"/>
  <c r="CK68" i="112"/>
  <c r="CJ68" i="112"/>
  <c r="CI68" i="112"/>
  <c r="CH68" i="112"/>
  <c r="GS68" i="112" s="1"/>
  <c r="DU67" i="112"/>
  <c r="DT67" i="112"/>
  <c r="DS67" i="112"/>
  <c r="DR67" i="112"/>
  <c r="DQ67" i="112"/>
  <c r="DM67" i="112"/>
  <c r="DK67" i="112"/>
  <c r="DI67" i="112"/>
  <c r="DH67" i="112"/>
  <c r="DG67" i="112"/>
  <c r="DF67" i="112"/>
  <c r="DE67" i="112"/>
  <c r="DD67" i="112"/>
  <c r="DC67" i="112"/>
  <c r="DB67" i="112"/>
  <c r="DA67" i="112"/>
  <c r="CZ67" i="112"/>
  <c r="CY67" i="112"/>
  <c r="CX67" i="112"/>
  <c r="CW67" i="112"/>
  <c r="CV67" i="112"/>
  <c r="CU67" i="112"/>
  <c r="CT67" i="112"/>
  <c r="CS67" i="112"/>
  <c r="CR67" i="112"/>
  <c r="CQ67" i="112"/>
  <c r="CP67" i="112"/>
  <c r="CO67" i="112"/>
  <c r="CN67" i="112"/>
  <c r="CM67" i="112"/>
  <c r="CL67" i="112"/>
  <c r="CK67" i="112"/>
  <c r="CJ67" i="112"/>
  <c r="CI67" i="112"/>
  <c r="CH67" i="112"/>
  <c r="GS67" i="112" s="1"/>
  <c r="DU62" i="112"/>
  <c r="DT62" i="112"/>
  <c r="DS62" i="112"/>
  <c r="DR62" i="112"/>
  <c r="DQ62" i="112"/>
  <c r="DM62" i="112"/>
  <c r="DL62" i="112"/>
  <c r="DK62" i="112"/>
  <c r="DI62" i="112"/>
  <c r="DH62" i="112"/>
  <c r="DG62" i="112"/>
  <c r="DF62" i="112"/>
  <c r="DE62" i="112"/>
  <c r="DD62" i="112"/>
  <c r="DC62" i="112"/>
  <c r="DB62" i="112"/>
  <c r="DA62" i="112"/>
  <c r="CZ62" i="112"/>
  <c r="CY62" i="112"/>
  <c r="CX62" i="112"/>
  <c r="CW62" i="112"/>
  <c r="CV62" i="112"/>
  <c r="CU62" i="112"/>
  <c r="CT62" i="112"/>
  <c r="CS62" i="112"/>
  <c r="CR62" i="112"/>
  <c r="CQ62" i="112"/>
  <c r="CP62" i="112"/>
  <c r="CO62" i="112"/>
  <c r="CN62" i="112"/>
  <c r="CM62" i="112"/>
  <c r="CL62" i="112"/>
  <c r="CK62" i="112"/>
  <c r="CJ62" i="112"/>
  <c r="CI62" i="112"/>
  <c r="CH62" i="112"/>
  <c r="GS62" i="112" s="1"/>
  <c r="DS61" i="112"/>
  <c r="DQ61" i="112"/>
  <c r="DM61" i="112"/>
  <c r="DL61" i="112"/>
  <c r="DK61" i="112"/>
  <c r="DI61" i="112"/>
  <c r="DH61" i="112"/>
  <c r="DG61" i="112"/>
  <c r="DF61" i="112"/>
  <c r="DE61" i="112"/>
  <c r="DD61" i="112"/>
  <c r="DC61" i="112"/>
  <c r="DB61" i="112"/>
  <c r="DA61" i="112"/>
  <c r="CZ61" i="112"/>
  <c r="CY61" i="112"/>
  <c r="CX61" i="112"/>
  <c r="CW61" i="112"/>
  <c r="CV61" i="112"/>
  <c r="CU61" i="112"/>
  <c r="CT61" i="112"/>
  <c r="CS61" i="112"/>
  <c r="CR61" i="112"/>
  <c r="CQ61" i="112"/>
  <c r="CP61" i="112"/>
  <c r="CO61" i="112"/>
  <c r="CN61" i="112"/>
  <c r="CM61" i="112"/>
  <c r="CL61" i="112"/>
  <c r="CK61" i="112"/>
  <c r="CJ61" i="112"/>
  <c r="CI61" i="112"/>
  <c r="CH61" i="112"/>
  <c r="GS61" i="112" s="1"/>
  <c r="DU60" i="112"/>
  <c r="DT60" i="112"/>
  <c r="DS60" i="112"/>
  <c r="DR60" i="112"/>
  <c r="DH60" i="112"/>
  <c r="DG60" i="112"/>
  <c r="DF60" i="112"/>
  <c r="DE60" i="112"/>
  <c r="DD60" i="112"/>
  <c r="DC60" i="112"/>
  <c r="DB60" i="112"/>
  <c r="DA60" i="112"/>
  <c r="CZ60" i="112"/>
  <c r="CY60" i="112"/>
  <c r="CX60" i="112"/>
  <c r="CW60" i="112"/>
  <c r="CV60" i="112"/>
  <c r="CU60" i="112"/>
  <c r="CT60" i="112"/>
  <c r="CS60" i="112"/>
  <c r="CR60" i="112"/>
  <c r="CQ60" i="112"/>
  <c r="CP60" i="112"/>
  <c r="CO60" i="112"/>
  <c r="CN60" i="112"/>
  <c r="CM60" i="112"/>
  <c r="CL60" i="112"/>
  <c r="CK60" i="112"/>
  <c r="CJ60" i="112"/>
  <c r="CI60" i="112"/>
  <c r="CH60" i="112"/>
  <c r="GS60" i="112" s="1"/>
  <c r="DU59" i="112"/>
  <c r="DT59" i="112"/>
  <c r="DS59" i="112"/>
  <c r="DR59" i="112"/>
  <c r="DQ59" i="112"/>
  <c r="DL59" i="112"/>
  <c r="DK59" i="112"/>
  <c r="DE59" i="112"/>
  <c r="DD59" i="112"/>
  <c r="DC59" i="112"/>
  <c r="DB59" i="112"/>
  <c r="DA59" i="112"/>
  <c r="CZ59" i="112"/>
  <c r="CY59" i="112"/>
  <c r="CX59" i="112"/>
  <c r="CW59" i="112"/>
  <c r="CV59" i="112"/>
  <c r="CU59" i="112"/>
  <c r="CT59" i="112"/>
  <c r="CS59" i="112"/>
  <c r="CR59" i="112"/>
  <c r="CQ59" i="112"/>
  <c r="CP59" i="112"/>
  <c r="CO59" i="112"/>
  <c r="CN59" i="112"/>
  <c r="CM59" i="112"/>
  <c r="CL59" i="112"/>
  <c r="CK59" i="112"/>
  <c r="CJ59" i="112"/>
  <c r="CI59" i="112"/>
  <c r="CH59" i="112"/>
  <c r="GS59" i="112" s="1"/>
  <c r="DU58" i="112"/>
  <c r="DT58" i="112"/>
  <c r="DS58" i="112"/>
  <c r="DR58" i="112"/>
  <c r="DQ58" i="112"/>
  <c r="DI58" i="112"/>
  <c r="DH58" i="112"/>
  <c r="DG58" i="112"/>
  <c r="DE58" i="112"/>
  <c r="DD58" i="112"/>
  <c r="DC58" i="112"/>
  <c r="DB58" i="112"/>
  <c r="DA58" i="112"/>
  <c r="CZ58" i="112"/>
  <c r="CY58" i="112"/>
  <c r="CX58" i="112"/>
  <c r="CW58" i="112"/>
  <c r="CV58" i="112"/>
  <c r="CU58" i="112"/>
  <c r="CT58" i="112"/>
  <c r="CS58" i="112"/>
  <c r="CR58" i="112"/>
  <c r="CQ58" i="112"/>
  <c r="CP58" i="112"/>
  <c r="CO58" i="112"/>
  <c r="CN58" i="112"/>
  <c r="CM58" i="112"/>
  <c r="CL58" i="112"/>
  <c r="CK58" i="112"/>
  <c r="CJ58" i="112"/>
  <c r="CI58" i="112"/>
  <c r="CH58" i="112"/>
  <c r="GS58" i="112" s="1"/>
  <c r="DU57" i="112"/>
  <c r="DT57" i="112"/>
  <c r="DS57" i="112"/>
  <c r="DR57" i="112"/>
  <c r="DQ57" i="112"/>
  <c r="DM57" i="112"/>
  <c r="DL57" i="112"/>
  <c r="DK57" i="112"/>
  <c r="DI57" i="112"/>
  <c r="DH57" i="112"/>
  <c r="DG57" i="112"/>
  <c r="DF57" i="112"/>
  <c r="DA57" i="112"/>
  <c r="CZ57" i="112"/>
  <c r="CX57" i="112"/>
  <c r="CW57" i="112"/>
  <c r="CV57" i="112"/>
  <c r="CU57" i="112"/>
  <c r="CT57" i="112"/>
  <c r="CS57" i="112"/>
  <c r="CR57" i="112"/>
  <c r="CQ57" i="112"/>
  <c r="CP57" i="112"/>
  <c r="CO57" i="112"/>
  <c r="CN57" i="112"/>
  <c r="CM57" i="112"/>
  <c r="CL57" i="112"/>
  <c r="CK57" i="112"/>
  <c r="CJ57" i="112"/>
  <c r="CI57" i="112"/>
  <c r="CH57" i="112"/>
  <c r="GS57" i="112" s="1"/>
  <c r="DU56" i="112"/>
  <c r="DT56" i="112"/>
  <c r="DS56" i="112"/>
  <c r="DR56" i="112"/>
  <c r="DQ56" i="112"/>
  <c r="DM56" i="112"/>
  <c r="DL56" i="112"/>
  <c r="DK56" i="112"/>
  <c r="DI56" i="112"/>
  <c r="DH56" i="112"/>
  <c r="DG56" i="112"/>
  <c r="DF56" i="112"/>
  <c r="DE56" i="112"/>
  <c r="DD56" i="112"/>
  <c r="DC56" i="112"/>
  <c r="DB56" i="112"/>
  <c r="DA56" i="112"/>
  <c r="CZ56" i="112"/>
  <c r="CY56" i="112"/>
  <c r="CV56" i="112"/>
  <c r="CU56" i="112"/>
  <c r="CR56" i="112"/>
  <c r="CQ56" i="112"/>
  <c r="CP56" i="112"/>
  <c r="CO56" i="112"/>
  <c r="CN56" i="112"/>
  <c r="CM56" i="112"/>
  <c r="CL56" i="112"/>
  <c r="CK56" i="112"/>
  <c r="CJ56" i="112"/>
  <c r="CI56" i="112"/>
  <c r="CH56" i="112"/>
  <c r="GS56" i="112" s="1"/>
  <c r="DU55" i="112"/>
  <c r="DT55" i="112"/>
  <c r="DS55" i="112"/>
  <c r="DR55" i="112"/>
  <c r="DQ55" i="112"/>
  <c r="DM55" i="112"/>
  <c r="DL55" i="112"/>
  <c r="DK55" i="112"/>
  <c r="DI55" i="112"/>
  <c r="DH55" i="112"/>
  <c r="DG55" i="112"/>
  <c r="DF55" i="112"/>
  <c r="DE55" i="112"/>
  <c r="DD55" i="112"/>
  <c r="DC55" i="112"/>
  <c r="DB55" i="112"/>
  <c r="DA55" i="112"/>
  <c r="CZ55" i="112"/>
  <c r="CX55" i="112"/>
  <c r="CR55" i="112"/>
  <c r="CQ55" i="112"/>
  <c r="CP55" i="112"/>
  <c r="CN55" i="112"/>
  <c r="CM55" i="112"/>
  <c r="CL55" i="112"/>
  <c r="CK55" i="112"/>
  <c r="CJ55" i="112"/>
  <c r="CI55" i="112"/>
  <c r="CH55" i="112"/>
  <c r="GS55" i="112" s="1"/>
  <c r="DU54" i="112"/>
  <c r="DT54" i="112"/>
  <c r="DS54" i="112"/>
  <c r="DR54" i="112"/>
  <c r="DQ54" i="112"/>
  <c r="DM54" i="112"/>
  <c r="DL54" i="112"/>
  <c r="DK54" i="112"/>
  <c r="DI54" i="112"/>
  <c r="DH54" i="112"/>
  <c r="DG54" i="112"/>
  <c r="DF54" i="112"/>
  <c r="DE54" i="112"/>
  <c r="DD54" i="112"/>
  <c r="DC54" i="112"/>
  <c r="DB54" i="112"/>
  <c r="DA54" i="112"/>
  <c r="CZ54" i="112"/>
  <c r="CY54" i="112"/>
  <c r="CX54" i="112"/>
  <c r="CW54" i="112"/>
  <c r="CT54" i="112"/>
  <c r="CS54" i="112"/>
  <c r="CR54" i="112"/>
  <c r="CQ54" i="112"/>
  <c r="CP54" i="112"/>
  <c r="CO54" i="112"/>
  <c r="CN54" i="112"/>
  <c r="CM54" i="112"/>
  <c r="CL54" i="112"/>
  <c r="CK54" i="112"/>
  <c r="CJ54" i="112"/>
  <c r="CI54" i="112"/>
  <c r="CH54" i="112"/>
  <c r="GS54" i="112" s="1"/>
  <c r="DU53" i="112"/>
  <c r="DT53" i="112"/>
  <c r="DS53" i="112"/>
  <c r="DR53" i="112"/>
  <c r="DQ53" i="112"/>
  <c r="DM53" i="112"/>
  <c r="DL53" i="112"/>
  <c r="DK53" i="112"/>
  <c r="DI53" i="112"/>
  <c r="DH53" i="112"/>
  <c r="DG53" i="112"/>
  <c r="DF53" i="112"/>
  <c r="DE53" i="112"/>
  <c r="DD53" i="112"/>
  <c r="DC53" i="112"/>
  <c r="DB53" i="112"/>
  <c r="DA53" i="112"/>
  <c r="CZ53" i="112"/>
  <c r="CY53" i="112"/>
  <c r="CX53" i="112"/>
  <c r="CW53" i="112"/>
  <c r="CV53" i="112"/>
  <c r="CU53" i="112"/>
  <c r="CT53" i="112"/>
  <c r="CS53" i="112"/>
  <c r="CR53" i="112"/>
  <c r="CQ53" i="112"/>
  <c r="CP53" i="112"/>
  <c r="CO53" i="112"/>
  <c r="CN53" i="112"/>
  <c r="CM53" i="112"/>
  <c r="CL53" i="112"/>
  <c r="CK53" i="112"/>
  <c r="CJ53" i="112"/>
  <c r="CI53" i="112"/>
  <c r="CH53" i="112"/>
  <c r="GS53" i="112" s="1"/>
  <c r="DU52" i="112"/>
  <c r="DT52" i="112"/>
  <c r="DS52" i="112"/>
  <c r="DR52" i="112"/>
  <c r="DQ52" i="112"/>
  <c r="DM52" i="112"/>
  <c r="DL52" i="112"/>
  <c r="DK52" i="112"/>
  <c r="DI52" i="112"/>
  <c r="DH52" i="112"/>
  <c r="DG52" i="112"/>
  <c r="DF52" i="112"/>
  <c r="DE52" i="112"/>
  <c r="DD52" i="112"/>
  <c r="DC52" i="112"/>
  <c r="DB52" i="112"/>
  <c r="DA52" i="112"/>
  <c r="CZ52" i="112"/>
  <c r="CY52" i="112"/>
  <c r="CX52" i="112"/>
  <c r="CW52" i="112"/>
  <c r="CV52" i="112"/>
  <c r="CU52" i="112"/>
  <c r="CT52" i="112"/>
  <c r="CS52" i="112"/>
  <c r="CR52" i="112"/>
  <c r="CQ52" i="112"/>
  <c r="CP52" i="112"/>
  <c r="CO52" i="112"/>
  <c r="CN52" i="112"/>
  <c r="CM52" i="112"/>
  <c r="CL52" i="112"/>
  <c r="CK52" i="112"/>
  <c r="CJ52" i="112"/>
  <c r="CI52" i="112"/>
  <c r="CH52" i="112"/>
  <c r="GS52" i="112" s="1"/>
  <c r="DU51" i="112"/>
  <c r="DT51" i="112"/>
  <c r="DS51" i="112"/>
  <c r="DR51" i="112"/>
  <c r="DQ51" i="112"/>
  <c r="DM51" i="112"/>
  <c r="DL51" i="112"/>
  <c r="DK51" i="112"/>
  <c r="DI51" i="112"/>
  <c r="DH51" i="112"/>
  <c r="DG51" i="112"/>
  <c r="DF51" i="112"/>
  <c r="DE51" i="112"/>
  <c r="DD51" i="112"/>
  <c r="DC51" i="112"/>
  <c r="DB51" i="112"/>
  <c r="DA51" i="112"/>
  <c r="CZ51" i="112"/>
  <c r="CY51" i="112"/>
  <c r="CX51" i="112"/>
  <c r="CW51" i="112"/>
  <c r="CV51" i="112"/>
  <c r="CU51" i="112"/>
  <c r="CT51" i="112"/>
  <c r="CS51" i="112"/>
  <c r="CR51" i="112"/>
  <c r="CQ51" i="112"/>
  <c r="CP51" i="112"/>
  <c r="CO51" i="112"/>
  <c r="CN51" i="112"/>
  <c r="CM51" i="112"/>
  <c r="CL51" i="112"/>
  <c r="CK51" i="112"/>
  <c r="CJ51" i="112"/>
  <c r="CI51" i="112"/>
  <c r="CH51" i="112"/>
  <c r="GS51" i="112" s="1"/>
  <c r="CX56" i="112"/>
  <c r="CU135" i="112"/>
  <c r="CV135" i="112" s="1"/>
  <c r="CV54" i="112" s="1"/>
  <c r="DP201" i="112" l="1"/>
  <c r="DX104" i="112"/>
  <c r="DW104" i="112"/>
  <c r="DV104" i="112"/>
  <c r="DF69" i="112"/>
  <c r="DF150" i="112" s="1"/>
  <c r="FE244" i="112"/>
  <c r="FE245" i="112" s="1"/>
  <c r="DH69" i="112"/>
  <c r="BZ244" i="112"/>
  <c r="BZ245" i="112" s="1"/>
  <c r="GV51" i="112"/>
  <c r="GY51" i="112"/>
  <c r="HB51" i="112"/>
  <c r="GU52" i="112"/>
  <c r="GX52" i="112"/>
  <c r="HA52" i="112"/>
  <c r="GT53" i="112"/>
  <c r="GW53" i="112"/>
  <c r="GZ53" i="112"/>
  <c r="HC53" i="112"/>
  <c r="GV54" i="112"/>
  <c r="GX54" i="112"/>
  <c r="HA54" i="112"/>
  <c r="GT55" i="112"/>
  <c r="HB57" i="112"/>
  <c r="GU58" i="112"/>
  <c r="GT59" i="112"/>
  <c r="GW59" i="112"/>
  <c r="HC59" i="112"/>
  <c r="GV60" i="112"/>
  <c r="GY60" i="112"/>
  <c r="HC68" i="112"/>
  <c r="GT51" i="112"/>
  <c r="GW51" i="112"/>
  <c r="GZ51" i="112"/>
  <c r="HC51" i="112"/>
  <c r="GV52" i="112"/>
  <c r="GY52" i="112"/>
  <c r="HB52" i="112"/>
  <c r="GU53" i="112"/>
  <c r="GX53" i="112"/>
  <c r="HA53" i="112"/>
  <c r="GT54" i="112"/>
  <c r="GY54" i="112"/>
  <c r="HB54" i="112"/>
  <c r="GZ57" i="112"/>
  <c r="HC57" i="112"/>
  <c r="GV58" i="112"/>
  <c r="HB58" i="112"/>
  <c r="GU59" i="112"/>
  <c r="GX59" i="112"/>
  <c r="GT60" i="112"/>
  <c r="GW60" i="112"/>
  <c r="CM75" i="6"/>
  <c r="BZ79" i="51"/>
  <c r="BZ236" i="112"/>
  <c r="GZ55" i="112"/>
  <c r="HC55" i="112"/>
  <c r="GZ56" i="112"/>
  <c r="HC56" i="112"/>
  <c r="GV57" i="112"/>
  <c r="GU61" i="112"/>
  <c r="GX61" i="112"/>
  <c r="HA61" i="112"/>
  <c r="GT62" i="112"/>
  <c r="GW62" i="112"/>
  <c r="GZ62" i="112"/>
  <c r="GV67" i="112"/>
  <c r="GY67" i="112"/>
  <c r="HB67" i="112"/>
  <c r="GU68" i="112"/>
  <c r="GX68" i="112"/>
  <c r="HA68" i="112"/>
  <c r="HC69" i="112"/>
  <c r="CA230" i="112"/>
  <c r="BZ235" i="112"/>
  <c r="GY58" i="112"/>
  <c r="GX58" i="112"/>
  <c r="GY55" i="112"/>
  <c r="HB56" i="112"/>
  <c r="HB62" i="112"/>
  <c r="HB55" i="112"/>
  <c r="GU56" i="112"/>
  <c r="GY56" i="112"/>
  <c r="GU57" i="112"/>
  <c r="GT61" i="112"/>
  <c r="GW61" i="112"/>
  <c r="GZ61" i="112"/>
  <c r="GV62" i="112"/>
  <c r="GY62" i="112"/>
  <c r="GU67" i="112"/>
  <c r="GX67" i="112"/>
  <c r="HA67" i="112"/>
  <c r="GT68" i="112"/>
  <c r="GW68" i="112"/>
  <c r="GZ68" i="112"/>
  <c r="HB69" i="112"/>
  <c r="GU51" i="112"/>
  <c r="GX51" i="112"/>
  <c r="HA51" i="112"/>
  <c r="GT52" i="112"/>
  <c r="GW52" i="112"/>
  <c r="GZ52" i="112"/>
  <c r="HC52" i="112"/>
  <c r="GV53" i="112"/>
  <c r="GY53" i="112"/>
  <c r="HB53" i="112"/>
  <c r="GU54" i="112"/>
  <c r="GZ54" i="112"/>
  <c r="HC54" i="112"/>
  <c r="HA57" i="112"/>
  <c r="GT58" i="112"/>
  <c r="GW58" i="112"/>
  <c r="GZ58" i="112"/>
  <c r="HC58" i="112"/>
  <c r="GV59" i="112"/>
  <c r="GY59" i="112"/>
  <c r="HB59" i="112"/>
  <c r="GU60" i="112"/>
  <c r="GX60" i="112"/>
  <c r="HA55" i="112"/>
  <c r="GT56" i="112"/>
  <c r="GX56" i="112"/>
  <c r="HA56" i="112"/>
  <c r="GT57" i="112"/>
  <c r="GW57" i="112"/>
  <c r="HC60" i="112"/>
  <c r="GV61" i="112"/>
  <c r="GY61" i="112"/>
  <c r="GU62" i="112"/>
  <c r="GX62" i="112"/>
  <c r="HA62" i="112"/>
  <c r="GT67" i="112"/>
  <c r="GW67" i="112"/>
  <c r="GZ67" i="112"/>
  <c r="HC67" i="112"/>
  <c r="GV68" i="112"/>
  <c r="GY68" i="112"/>
  <c r="HB68" i="112"/>
  <c r="FM55" i="112"/>
  <c r="FM136" i="112" s="1"/>
  <c r="FN55" i="112"/>
  <c r="FN136" i="112" s="1"/>
  <c r="FQ55" i="112"/>
  <c r="FQ136" i="112" s="1"/>
  <c r="FN56" i="112"/>
  <c r="FN137" i="112" s="1"/>
  <c r="FQ56" i="112"/>
  <c r="FQ137" i="112" s="1"/>
  <c r="FJ57" i="112"/>
  <c r="FJ138" i="112" s="1"/>
  <c r="FI61" i="112"/>
  <c r="FI142" i="112" s="1"/>
  <c r="FL61" i="112"/>
  <c r="FL142" i="112" s="1"/>
  <c r="FO61" i="112"/>
  <c r="FO142" i="112" s="1"/>
  <c r="FH62" i="112"/>
  <c r="FK62" i="112"/>
  <c r="FK143" i="112" s="1"/>
  <c r="FN62" i="112"/>
  <c r="FN143" i="112" s="1"/>
  <c r="FJ67" i="112"/>
  <c r="FJ148" i="112" s="1"/>
  <c r="FM67" i="112"/>
  <c r="FM148" i="112" s="1"/>
  <c r="FP67" i="112"/>
  <c r="FP148" i="112" s="1"/>
  <c r="FI68" i="112"/>
  <c r="FI149" i="112" s="1"/>
  <c r="FL68" i="112"/>
  <c r="FL149" i="112" s="1"/>
  <c r="FO68" i="112"/>
  <c r="FO149" i="112" s="1"/>
  <c r="FQ69" i="112"/>
  <c r="FQ150" i="112" s="1"/>
  <c r="FP55" i="112"/>
  <c r="FP136" i="112" s="1"/>
  <c r="FI56" i="112"/>
  <c r="FI137" i="112" s="1"/>
  <c r="FM56" i="112"/>
  <c r="FM137" i="112" s="1"/>
  <c r="FP56" i="112"/>
  <c r="FP137" i="112" s="1"/>
  <c r="FI57" i="112"/>
  <c r="FI138" i="112" s="1"/>
  <c r="FH61" i="112"/>
  <c r="FK61" i="112"/>
  <c r="FK142" i="112" s="1"/>
  <c r="FN61" i="112"/>
  <c r="FN142" i="112" s="1"/>
  <c r="FJ62" i="112"/>
  <c r="FJ143" i="112" s="1"/>
  <c r="FM62" i="112"/>
  <c r="FM143" i="112" s="1"/>
  <c r="FP62" i="112"/>
  <c r="FP143" i="112" s="1"/>
  <c r="FI67" i="112"/>
  <c r="FI148" i="112" s="1"/>
  <c r="FL67" i="112"/>
  <c r="FL148" i="112" s="1"/>
  <c r="FO67" i="112"/>
  <c r="FO148" i="112" s="1"/>
  <c r="FH68" i="112"/>
  <c r="FK68" i="112"/>
  <c r="FK149" i="112" s="1"/>
  <c r="FN68" i="112"/>
  <c r="FN149" i="112" s="1"/>
  <c r="DR201" i="112"/>
  <c r="DT201" i="112"/>
  <c r="DS201" i="112"/>
  <c r="FJ51" i="112"/>
  <c r="FJ132" i="112" s="1"/>
  <c r="FM51" i="112"/>
  <c r="FM132" i="112" s="1"/>
  <c r="FP51" i="112"/>
  <c r="FP132" i="112" s="1"/>
  <c r="FI52" i="112"/>
  <c r="FI133" i="112" s="1"/>
  <c r="FL52" i="112"/>
  <c r="FL133" i="112" s="1"/>
  <c r="FO52" i="112"/>
  <c r="FO133" i="112" s="1"/>
  <c r="FH53" i="112"/>
  <c r="FK53" i="112"/>
  <c r="FK134" i="112" s="1"/>
  <c r="FN53" i="112"/>
  <c r="FN134" i="112" s="1"/>
  <c r="FQ53" i="112"/>
  <c r="FQ134" i="112" s="1"/>
  <c r="FJ54" i="112"/>
  <c r="FJ135" i="112" s="1"/>
  <c r="FL54" i="112"/>
  <c r="FL135" i="112" s="1"/>
  <c r="FO54" i="112"/>
  <c r="FO135" i="112" s="1"/>
  <c r="FH55" i="112"/>
  <c r="FP57" i="112"/>
  <c r="FP138" i="112" s="1"/>
  <c r="FI58" i="112"/>
  <c r="FI139" i="112" s="1"/>
  <c r="FL58" i="112"/>
  <c r="FL139" i="112" s="1"/>
  <c r="FH59" i="112"/>
  <c r="FK59" i="112"/>
  <c r="FK140" i="112" s="1"/>
  <c r="FQ59" i="112"/>
  <c r="FQ140" i="112" s="1"/>
  <c r="FJ60" i="112"/>
  <c r="FJ141" i="112" s="1"/>
  <c r="FM60" i="112"/>
  <c r="FM141" i="112" s="1"/>
  <c r="FI51" i="112"/>
  <c r="FI132" i="112" s="1"/>
  <c r="FL51" i="112"/>
  <c r="FL132" i="112" s="1"/>
  <c r="FO51" i="112"/>
  <c r="FO132" i="112" s="1"/>
  <c r="FH52" i="112"/>
  <c r="FK52" i="112"/>
  <c r="FK133" i="112" s="1"/>
  <c r="FN52" i="112"/>
  <c r="FN133" i="112" s="1"/>
  <c r="FQ52" i="112"/>
  <c r="FQ133" i="112" s="1"/>
  <c r="FJ53" i="112"/>
  <c r="FJ134" i="112" s="1"/>
  <c r="FM53" i="112"/>
  <c r="FM134" i="112" s="1"/>
  <c r="FP53" i="112"/>
  <c r="FP134" i="112" s="1"/>
  <c r="FI54" i="112"/>
  <c r="FI135" i="112" s="1"/>
  <c r="FN54" i="112"/>
  <c r="FN135" i="112" s="1"/>
  <c r="FQ54" i="112"/>
  <c r="FQ135" i="112" s="1"/>
  <c r="FO57" i="112"/>
  <c r="FO138" i="112" s="1"/>
  <c r="FH58" i="112"/>
  <c r="FK58" i="112"/>
  <c r="FK139" i="112" s="1"/>
  <c r="FN58" i="112"/>
  <c r="FN139" i="112" s="1"/>
  <c r="FQ58" i="112"/>
  <c r="FQ139" i="112" s="1"/>
  <c r="FJ59" i="112"/>
  <c r="FJ140" i="112" s="1"/>
  <c r="FM59" i="112"/>
  <c r="FM140" i="112" s="1"/>
  <c r="FP59" i="112"/>
  <c r="FP140" i="112" s="1"/>
  <c r="FI60" i="112"/>
  <c r="FI141" i="112" s="1"/>
  <c r="FL60" i="112"/>
  <c r="FL141" i="112" s="1"/>
  <c r="FL56" i="112"/>
  <c r="FL137" i="112" s="1"/>
  <c r="FO55" i="112"/>
  <c r="FO136" i="112" s="1"/>
  <c r="FH56" i="112"/>
  <c r="FO56" i="112"/>
  <c r="FO137" i="112" s="1"/>
  <c r="FH57" i="112"/>
  <c r="FK57" i="112"/>
  <c r="FK138" i="112" s="1"/>
  <c r="FQ60" i="112"/>
  <c r="FQ141" i="112" s="1"/>
  <c r="FJ61" i="112"/>
  <c r="FJ142" i="112" s="1"/>
  <c r="FM61" i="112"/>
  <c r="FM142" i="112" s="1"/>
  <c r="FI62" i="112"/>
  <c r="FI143" i="112" s="1"/>
  <c r="FL62" i="112"/>
  <c r="FL143" i="112" s="1"/>
  <c r="FO62" i="112"/>
  <c r="FO143" i="112" s="1"/>
  <c r="FH67" i="112"/>
  <c r="FK67" i="112"/>
  <c r="FK148" i="112" s="1"/>
  <c r="FQ67" i="112"/>
  <c r="FQ148" i="112" s="1"/>
  <c r="FJ68" i="112"/>
  <c r="FJ149" i="112" s="1"/>
  <c r="FM68" i="112"/>
  <c r="FM149" i="112" s="1"/>
  <c r="FP68" i="112"/>
  <c r="FP149" i="112" s="1"/>
  <c r="FQ62" i="112"/>
  <c r="FQ143" i="112" s="1"/>
  <c r="FH51" i="112"/>
  <c r="FK51" i="112"/>
  <c r="FK132" i="112" s="1"/>
  <c r="FN51" i="112"/>
  <c r="FN132" i="112" s="1"/>
  <c r="FQ51" i="112"/>
  <c r="FQ132" i="112" s="1"/>
  <c r="FJ52" i="112"/>
  <c r="FJ133" i="112" s="1"/>
  <c r="FM52" i="112"/>
  <c r="FM133" i="112" s="1"/>
  <c r="FP52" i="112"/>
  <c r="FP133" i="112" s="1"/>
  <c r="FI53" i="112"/>
  <c r="FI134" i="112" s="1"/>
  <c r="FL53" i="112"/>
  <c r="FL134" i="112" s="1"/>
  <c r="FO53" i="112"/>
  <c r="FO134" i="112" s="1"/>
  <c r="FH54" i="112"/>
  <c r="FM54" i="112"/>
  <c r="FM135" i="112" s="1"/>
  <c r="FP54" i="112"/>
  <c r="FP135" i="112" s="1"/>
  <c r="FN57" i="112"/>
  <c r="FN138" i="112" s="1"/>
  <c r="FQ57" i="112"/>
  <c r="FQ138" i="112" s="1"/>
  <c r="FJ58" i="112"/>
  <c r="FJ139" i="112" s="1"/>
  <c r="FM58" i="112"/>
  <c r="FM139" i="112" s="1"/>
  <c r="FP58" i="112"/>
  <c r="FP139" i="112" s="1"/>
  <c r="FI59" i="112"/>
  <c r="FI140" i="112" s="1"/>
  <c r="FL59" i="112"/>
  <c r="FL140" i="112" s="1"/>
  <c r="FH60" i="112"/>
  <c r="FK60" i="112"/>
  <c r="FK141" i="112" s="1"/>
  <c r="FQ68" i="112"/>
  <c r="FQ149" i="112" s="1"/>
  <c r="FP61" i="112"/>
  <c r="FP142" i="112" s="1"/>
  <c r="FN67" i="112"/>
  <c r="FN148" i="112" s="1"/>
  <c r="CA231" i="112"/>
  <c r="DF104" i="112"/>
  <c r="DF208" i="112" s="1"/>
  <c r="DF201" i="112"/>
  <c r="DG104" i="112"/>
  <c r="DG208" i="112" s="1"/>
  <c r="DG209" i="112" s="1"/>
  <c r="DG201" i="112"/>
  <c r="CR204" i="112"/>
  <c r="DO201" i="112"/>
  <c r="FP201" i="112" s="1"/>
  <c r="DU104" i="112"/>
  <c r="DU201" i="112"/>
  <c r="DT104" i="112"/>
  <c r="DN208" i="112"/>
  <c r="DN209" i="112" s="1"/>
  <c r="DS104" i="112"/>
  <c r="CL69" i="112"/>
  <c r="DA69" i="112"/>
  <c r="CM69" i="112"/>
  <c r="CR69" i="112"/>
  <c r="CN69" i="112"/>
  <c r="CZ69" i="112"/>
  <c r="DJ104" i="112"/>
  <c r="DJ208" i="112" s="1"/>
  <c r="CP69" i="112"/>
  <c r="CU54" i="112"/>
  <c r="DR104" i="112"/>
  <c r="DS70" i="112"/>
  <c r="CX69" i="112"/>
  <c r="CQ69" i="112"/>
  <c r="DU208" i="112" l="1"/>
  <c r="DU209" i="112" s="1"/>
  <c r="DT208" i="112"/>
  <c r="DT209" i="112" s="1"/>
  <c r="DX208" i="112"/>
  <c r="DX209" i="112" s="1"/>
  <c r="DS208" i="112"/>
  <c r="DS209" i="112" s="1"/>
  <c r="DW208" i="112"/>
  <c r="DW209" i="112" s="1"/>
  <c r="DR208" i="112"/>
  <c r="DR209" i="112" s="1"/>
  <c r="DV208" i="112"/>
  <c r="DV209" i="112" s="1"/>
  <c r="DF70" i="112"/>
  <c r="CA244" i="112"/>
  <c r="CA245" i="112" s="1"/>
  <c r="DF209" i="112"/>
  <c r="DF202" i="112" s="1"/>
  <c r="CB230" i="112"/>
  <c r="CA235" i="112"/>
  <c r="CA79" i="51"/>
  <c r="CA236" i="112"/>
  <c r="FK54" i="112"/>
  <c r="FK135" i="112" s="1"/>
  <c r="GW54" i="112"/>
  <c r="DS11" i="112"/>
  <c r="FQ201" i="112"/>
  <c r="CP70" i="112"/>
  <c r="DH202" i="112"/>
  <c r="DG202" i="112"/>
  <c r="CB231" i="112"/>
  <c r="CS204" i="112"/>
  <c r="CX70" i="112"/>
  <c r="CZ70" i="112"/>
  <c r="DA70" i="112"/>
  <c r="CM70" i="112"/>
  <c r="CN70" i="112"/>
  <c r="CL70" i="112"/>
  <c r="CQ70" i="112"/>
  <c r="CR70" i="112"/>
  <c r="DF215" i="112" l="1"/>
  <c r="DF203" i="112"/>
  <c r="DJ202" i="112"/>
  <c r="DJ203" i="112" s="1"/>
  <c r="CB244" i="112"/>
  <c r="CB245" i="112" s="1"/>
  <c r="CB79" i="51"/>
  <c r="CB236" i="112"/>
  <c r="CC230" i="112"/>
  <c r="CB235" i="112"/>
  <c r="DS151" i="112"/>
  <c r="FQ208" i="112"/>
  <c r="FR208" i="112"/>
  <c r="DW22" i="112"/>
  <c r="DH215" i="112"/>
  <c r="DG215" i="112"/>
  <c r="DG203" i="112"/>
  <c r="DF22" i="112"/>
  <c r="CC231" i="112"/>
  <c r="CT204" i="112"/>
  <c r="CW78" i="112"/>
  <c r="CT78" i="112"/>
  <c r="CT77" i="112"/>
  <c r="CS78" i="112"/>
  <c r="DJ215" i="112" l="1"/>
  <c r="DJ214" i="112" s="1"/>
  <c r="DN202" i="112"/>
  <c r="DN203" i="112" s="1"/>
  <c r="DF214" i="112"/>
  <c r="DF226" i="112" s="1"/>
  <c r="DF212" i="112"/>
  <c r="DF224" i="112" s="1"/>
  <c r="DF213" i="112"/>
  <c r="DF225" i="112" s="1"/>
  <c r="DF227" i="112"/>
  <c r="DS163" i="112"/>
  <c r="DW163" i="112"/>
  <c r="CC244" i="112"/>
  <c r="CC245" i="112" s="1"/>
  <c r="CC79" i="51"/>
  <c r="FF231" i="112"/>
  <c r="FF79" i="51" s="1"/>
  <c r="CC236" i="112"/>
  <c r="FF230" i="112"/>
  <c r="CG240" i="112"/>
  <c r="CG241" i="112" s="1"/>
  <c r="CC235" i="112"/>
  <c r="CD230" i="112"/>
  <c r="CW56" i="112"/>
  <c r="GW78" i="112"/>
  <c r="CT56" i="112"/>
  <c r="FK78" i="112"/>
  <c r="CS56" i="112"/>
  <c r="FJ78" i="112"/>
  <c r="GV78" i="112"/>
  <c r="CT55" i="112"/>
  <c r="DH227" i="112"/>
  <c r="DH213" i="112"/>
  <c r="DH225" i="112" s="1"/>
  <c r="DH214" i="112"/>
  <c r="DH226" i="112" s="1"/>
  <c r="DH212" i="112"/>
  <c r="DH224" i="112" s="1"/>
  <c r="DG212" i="112"/>
  <c r="DG224" i="112" s="1"/>
  <c r="DG214" i="112"/>
  <c r="DG226" i="112" s="1"/>
  <c r="DG213" i="112"/>
  <c r="DG225" i="112" s="1"/>
  <c r="DG227" i="112"/>
  <c r="CD231" i="112"/>
  <c r="CU204" i="112"/>
  <c r="CY79" i="112"/>
  <c r="DA91" i="112"/>
  <c r="DA150" i="112" s="1"/>
  <c r="CZ91" i="112"/>
  <c r="CZ150" i="112" s="1"/>
  <c r="CX91" i="112"/>
  <c r="CX150" i="112" s="1"/>
  <c r="CT91" i="112"/>
  <c r="CR91" i="112"/>
  <c r="CR150" i="112" s="1"/>
  <c r="CQ91" i="112"/>
  <c r="CN91" i="112"/>
  <c r="CN150" i="112" s="1"/>
  <c r="CM91" i="112"/>
  <c r="CL91" i="112"/>
  <c r="CK91" i="112"/>
  <c r="CJ91" i="112"/>
  <c r="CI91" i="112"/>
  <c r="CH91" i="112"/>
  <c r="DE79" i="112"/>
  <c r="DE91" i="112" s="1"/>
  <c r="DD79" i="112"/>
  <c r="DC79" i="112"/>
  <c r="DB79" i="112"/>
  <c r="CY77" i="112"/>
  <c r="CW77" i="112"/>
  <c r="CV77" i="112"/>
  <c r="CU77" i="112"/>
  <c r="CS77" i="112"/>
  <c r="CO77" i="112"/>
  <c r="DW187" i="112" l="1"/>
  <c r="DJ227" i="112"/>
  <c r="DJ212" i="112"/>
  <c r="DJ224" i="112" s="1"/>
  <c r="DR202" i="112"/>
  <c r="DV202" i="112" s="1"/>
  <c r="DV203" i="112" s="1"/>
  <c r="DJ213" i="112"/>
  <c r="DJ225" i="112" s="1"/>
  <c r="DN215" i="112"/>
  <c r="DJ226" i="112"/>
  <c r="FF244" i="112"/>
  <c r="FF245" i="112" s="1"/>
  <c r="FK56" i="112"/>
  <c r="FK137" i="112" s="1"/>
  <c r="CD244" i="112"/>
  <c r="CD245" i="112" s="1"/>
  <c r="CD79" i="51"/>
  <c r="CD236" i="112"/>
  <c r="CE230" i="112"/>
  <c r="CH240" i="112"/>
  <c r="CD235" i="112"/>
  <c r="GW56" i="112"/>
  <c r="FJ56" i="112"/>
  <c r="FJ137" i="112" s="1"/>
  <c r="GV56" i="112"/>
  <c r="CT69" i="112"/>
  <c r="CT150" i="112" s="1"/>
  <c r="GW77" i="112"/>
  <c r="CL150" i="112"/>
  <c r="FK77" i="112"/>
  <c r="FH91" i="112"/>
  <c r="FH92" i="112" s="1"/>
  <c r="GS91" i="112"/>
  <c r="GT91" i="112"/>
  <c r="CY57" i="112"/>
  <c r="FL79" i="112"/>
  <c r="GX79" i="112"/>
  <c r="CM150" i="112"/>
  <c r="FL77" i="112"/>
  <c r="GX77" i="112"/>
  <c r="CQ150" i="112"/>
  <c r="FI77" i="112"/>
  <c r="GU77" i="112"/>
  <c r="FM79" i="112"/>
  <c r="FJ77" i="112"/>
  <c r="GV77" i="112"/>
  <c r="GY79" i="112"/>
  <c r="CE231" i="112"/>
  <c r="CV204" i="112"/>
  <c r="DE201" i="112"/>
  <c r="DE57" i="112"/>
  <c r="DD91" i="112"/>
  <c r="DD57" i="112"/>
  <c r="DD69" i="112" s="1"/>
  <c r="CV91" i="112"/>
  <c r="CV55" i="112"/>
  <c r="CY91" i="112"/>
  <c r="CY55" i="112"/>
  <c r="DB91" i="112"/>
  <c r="DB57" i="112"/>
  <c r="CU91" i="112"/>
  <c r="CU55" i="112"/>
  <c r="CW91" i="112"/>
  <c r="CW55" i="112"/>
  <c r="CW69" i="112" s="1"/>
  <c r="CO91" i="112"/>
  <c r="CO55" i="112"/>
  <c r="CS91" i="112"/>
  <c r="GV91" i="112" s="1"/>
  <c r="CS55" i="112"/>
  <c r="GV55" i="112" s="1"/>
  <c r="DC91" i="112"/>
  <c r="DC57" i="112"/>
  <c r="DU99" i="112"/>
  <c r="DT99" i="112"/>
  <c r="DX106" i="112" s="1"/>
  <c r="DS99" i="112"/>
  <c r="DR99" i="112"/>
  <c r="DQ99" i="112"/>
  <c r="DP99" i="112"/>
  <c r="DO158" i="112"/>
  <c r="DN158" i="112"/>
  <c r="DP106" i="112" l="1"/>
  <c r="DP158" i="112"/>
  <c r="DW106" i="112"/>
  <c r="DV106" i="112"/>
  <c r="DR203" i="112"/>
  <c r="DR215" i="112"/>
  <c r="DV215" i="112"/>
  <c r="DZ202" i="112"/>
  <c r="DZ215" i="112" s="1"/>
  <c r="DN213" i="112"/>
  <c r="DN225" i="112" s="1"/>
  <c r="DN212" i="112"/>
  <c r="DN224" i="112" s="1"/>
  <c r="DN227" i="112"/>
  <c r="DN214" i="112"/>
  <c r="DN226" i="112" s="1"/>
  <c r="CE244" i="112"/>
  <c r="CE245" i="112" s="1"/>
  <c r="DD150" i="112"/>
  <c r="CE79" i="51"/>
  <c r="CE236" i="112"/>
  <c r="CF230" i="112"/>
  <c r="CI240" i="112"/>
  <c r="CE235" i="112"/>
  <c r="CH241" i="112"/>
  <c r="FI55" i="112"/>
  <c r="FI136" i="112" s="1"/>
  <c r="GU55" i="112"/>
  <c r="FL57" i="112"/>
  <c r="FL138" i="112" s="1"/>
  <c r="GX57" i="112"/>
  <c r="DC69" i="112"/>
  <c r="DC150" i="112" s="1"/>
  <c r="GY57" i="112"/>
  <c r="FL55" i="112"/>
  <c r="FL136" i="112" s="1"/>
  <c r="GX55" i="112"/>
  <c r="GW55" i="112"/>
  <c r="CT70" i="112"/>
  <c r="DV120" i="112"/>
  <c r="DY106" i="112"/>
  <c r="DV113" i="112"/>
  <c r="FM91" i="112"/>
  <c r="FM92" i="112" s="1"/>
  <c r="FK55" i="112"/>
  <c r="FK136" i="112" s="1"/>
  <c r="GV92" i="112"/>
  <c r="DE203" i="112"/>
  <c r="FM201" i="112"/>
  <c r="GY91" i="112"/>
  <c r="GY92" i="112" s="1"/>
  <c r="CS69" i="112"/>
  <c r="CS70" i="112" s="1"/>
  <c r="FJ55" i="112"/>
  <c r="FJ136" i="112" s="1"/>
  <c r="GW91" i="112"/>
  <c r="GW92" i="112" s="1"/>
  <c r="FI91" i="112"/>
  <c r="FI92" i="112" s="1"/>
  <c r="GX91" i="112"/>
  <c r="GX92" i="112" s="1"/>
  <c r="DB69" i="112"/>
  <c r="FM57" i="112"/>
  <c r="FM138" i="112" s="1"/>
  <c r="FK91" i="112"/>
  <c r="FK92" i="112" s="1"/>
  <c r="FL91" i="112"/>
  <c r="FL92" i="112" s="1"/>
  <c r="CF231" i="112"/>
  <c r="CW204" i="112"/>
  <c r="CO69" i="112"/>
  <c r="GU69" i="112" s="1"/>
  <c r="DD70" i="112"/>
  <c r="CU69" i="112"/>
  <c r="CW70" i="112"/>
  <c r="CW150" i="112"/>
  <c r="CY69" i="112"/>
  <c r="CY150" i="112" s="1"/>
  <c r="CV69" i="112"/>
  <c r="CV150" i="112" s="1"/>
  <c r="DM106" i="112"/>
  <c r="DE104" i="112"/>
  <c r="DE208" i="112" s="1"/>
  <c r="DS106" i="112"/>
  <c r="DT106" i="112"/>
  <c r="DU106" i="112"/>
  <c r="DQ106" i="112"/>
  <c r="DR106" i="112"/>
  <c r="DV213" i="112" l="1"/>
  <c r="DR212" i="112"/>
  <c r="DR227" i="112"/>
  <c r="DR214" i="112"/>
  <c r="DR213" i="112"/>
  <c r="DZ227" i="112"/>
  <c r="DZ203" i="112"/>
  <c r="DZ214" i="112"/>
  <c r="DZ213" i="112"/>
  <c r="DV227" i="112"/>
  <c r="DZ212" i="112"/>
  <c r="DV212" i="112"/>
  <c r="DV214" i="112"/>
  <c r="ED202" i="112"/>
  <c r="EH202" i="112" s="1"/>
  <c r="EH215" i="112" s="1"/>
  <c r="DC70" i="112"/>
  <c r="CF244" i="112"/>
  <c r="CF245" i="112" s="1"/>
  <c r="CF79" i="51"/>
  <c r="CF236" i="112"/>
  <c r="CG230" i="112"/>
  <c r="CJ240" i="112"/>
  <c r="CF235" i="112"/>
  <c r="CI241" i="112"/>
  <c r="GX69" i="112"/>
  <c r="GW69" i="112"/>
  <c r="FJ70" i="112"/>
  <c r="GV70" i="112"/>
  <c r="FJ69" i="112"/>
  <c r="GV69" i="112"/>
  <c r="CS150" i="112"/>
  <c r="FM203" i="112"/>
  <c r="FM208" i="112"/>
  <c r="FL69" i="112"/>
  <c r="FL150" i="112" s="1"/>
  <c r="DB150" i="112"/>
  <c r="CU150" i="112"/>
  <c r="FK69" i="112"/>
  <c r="FK150" i="112" s="1"/>
  <c r="DB70" i="112"/>
  <c r="DI202" i="112"/>
  <c r="CO150" i="112"/>
  <c r="FI69" i="112"/>
  <c r="FI150" i="112" s="1"/>
  <c r="CG231" i="112"/>
  <c r="CO70" i="112"/>
  <c r="CX204" i="112"/>
  <c r="CY70" i="112"/>
  <c r="CV70" i="112"/>
  <c r="CU70" i="112"/>
  <c r="DU47" i="112"/>
  <c r="DT47" i="112"/>
  <c r="DS47" i="112"/>
  <c r="DR47" i="112"/>
  <c r="DU46" i="112"/>
  <c r="DT46" i="112"/>
  <c r="DS46" i="112"/>
  <c r="DR46" i="112"/>
  <c r="DU44" i="112"/>
  <c r="DT44" i="112"/>
  <c r="DS44" i="112"/>
  <c r="DR44" i="112"/>
  <c r="DQ47" i="112"/>
  <c r="DQ46" i="112"/>
  <c r="DQ44" i="112"/>
  <c r="DK47" i="112"/>
  <c r="DK45" i="112"/>
  <c r="DK44" i="112"/>
  <c r="DI47" i="112"/>
  <c r="DH47" i="112"/>
  <c r="DG47" i="112"/>
  <c r="DH46" i="112"/>
  <c r="DG46" i="112"/>
  <c r="DI45" i="112"/>
  <c r="DH45" i="112"/>
  <c r="DE47" i="112"/>
  <c r="DD47" i="112"/>
  <c r="DC47" i="112"/>
  <c r="DB47" i="112"/>
  <c r="DE46" i="112"/>
  <c r="DD46" i="112"/>
  <c r="DC46" i="112"/>
  <c r="DB46" i="112"/>
  <c r="DE45" i="112"/>
  <c r="DD45" i="112"/>
  <c r="DC45" i="112"/>
  <c r="DB45" i="112"/>
  <c r="DE44" i="112"/>
  <c r="DD44" i="112"/>
  <c r="DC44" i="112"/>
  <c r="DB44" i="112"/>
  <c r="DA47" i="112"/>
  <c r="CZ47" i="112"/>
  <c r="CY47" i="112"/>
  <c r="CX47" i="112"/>
  <c r="DA46" i="112"/>
  <c r="CZ46" i="112"/>
  <c r="CY46" i="112"/>
  <c r="CX46" i="112"/>
  <c r="DA45" i="112"/>
  <c r="CZ45" i="112"/>
  <c r="CY45" i="112"/>
  <c r="CX45" i="112"/>
  <c r="DA44" i="112"/>
  <c r="CZ44" i="112"/>
  <c r="CY44" i="112"/>
  <c r="CX44" i="112"/>
  <c r="CW47" i="112"/>
  <c r="CV47" i="112"/>
  <c r="CU47" i="112"/>
  <c r="CT47" i="112"/>
  <c r="CW46" i="112"/>
  <c r="CV46" i="112"/>
  <c r="CU46" i="112"/>
  <c r="CT46" i="112"/>
  <c r="CW45" i="112"/>
  <c r="CV45" i="112"/>
  <c r="CU45" i="112"/>
  <c r="CT45" i="112"/>
  <c r="CW44" i="112"/>
  <c r="CV44" i="112"/>
  <c r="CU44" i="112"/>
  <c r="CT44" i="112"/>
  <c r="CS47" i="112"/>
  <c r="CR47" i="112"/>
  <c r="CQ47" i="112"/>
  <c r="CP47" i="112"/>
  <c r="CS46" i="112"/>
  <c r="CR46" i="112"/>
  <c r="CQ46" i="112"/>
  <c r="CP46" i="112"/>
  <c r="CS45" i="112"/>
  <c r="CR45" i="112"/>
  <c r="CQ45" i="112"/>
  <c r="CP45" i="112"/>
  <c r="CS44" i="112"/>
  <c r="CR44" i="112"/>
  <c r="CQ44" i="112"/>
  <c r="CP44" i="112"/>
  <c r="DR154" i="112"/>
  <c r="CO47" i="112"/>
  <c r="CN47" i="112"/>
  <c r="CM47" i="112"/>
  <c r="CL47" i="112"/>
  <c r="CK47" i="112"/>
  <c r="CO46" i="112"/>
  <c r="CN46" i="112"/>
  <c r="CM46" i="112"/>
  <c r="CL46" i="112"/>
  <c r="CK46" i="112"/>
  <c r="CO45" i="112"/>
  <c r="CN45" i="112"/>
  <c r="CM45" i="112"/>
  <c r="CL45" i="112"/>
  <c r="CK45" i="112"/>
  <c r="CO44" i="112"/>
  <c r="CN44" i="112"/>
  <c r="CM44" i="112"/>
  <c r="CL44" i="112"/>
  <c r="CK44" i="112"/>
  <c r="CJ44" i="112"/>
  <c r="DR224" i="112" l="1"/>
  <c r="DR226" i="112"/>
  <c r="DZ225" i="112"/>
  <c r="DV224" i="112"/>
  <c r="DV225" i="112"/>
  <c r="DK48" i="112"/>
  <c r="DI48" i="112"/>
  <c r="DI157" i="112" s="1"/>
  <c r="DR225" i="112"/>
  <c r="ED203" i="112"/>
  <c r="ED215" i="112"/>
  <c r="DZ226" i="112"/>
  <c r="DZ224" i="112"/>
  <c r="DV226" i="112"/>
  <c r="EH203" i="112"/>
  <c r="DH48" i="112"/>
  <c r="DH157" i="112" s="1"/>
  <c r="DG48" i="112"/>
  <c r="DG157" i="112" s="1"/>
  <c r="CG244" i="112"/>
  <c r="FG244" i="112" s="1"/>
  <c r="FG245" i="112" s="1"/>
  <c r="GU46" i="112"/>
  <c r="GV46" i="112"/>
  <c r="GX44" i="112"/>
  <c r="GX47" i="112"/>
  <c r="GY46" i="112"/>
  <c r="GZ45" i="112"/>
  <c r="GU45" i="112"/>
  <c r="GW45" i="112"/>
  <c r="GU44" i="112"/>
  <c r="HC47" i="112"/>
  <c r="HA46" i="112"/>
  <c r="GW70" i="112"/>
  <c r="CG79" i="51"/>
  <c r="CG236" i="112"/>
  <c r="FG231" i="112"/>
  <c r="FG79" i="51" s="1"/>
  <c r="CJ241" i="112"/>
  <c r="CH230" i="112"/>
  <c r="CK240" i="112"/>
  <c r="FG230" i="112"/>
  <c r="FH240" i="112" s="1"/>
  <c r="FH241" i="112" s="1"/>
  <c r="CG235" i="112"/>
  <c r="GU47" i="112"/>
  <c r="GV44" i="112"/>
  <c r="GV47" i="112"/>
  <c r="GW46" i="112"/>
  <c r="GX45" i="112"/>
  <c r="GY44" i="112"/>
  <c r="GY47" i="112"/>
  <c r="GZ46" i="112"/>
  <c r="HC46" i="112"/>
  <c r="HA47" i="112"/>
  <c r="HA44" i="112"/>
  <c r="FL70" i="112"/>
  <c r="FL151" i="112" s="1"/>
  <c r="GX70" i="112"/>
  <c r="HB47" i="112"/>
  <c r="FI70" i="112"/>
  <c r="FI151" i="112" s="1"/>
  <c r="GU70" i="112"/>
  <c r="HB46" i="112"/>
  <c r="GV45" i="112"/>
  <c r="GW44" i="112"/>
  <c r="GW47" i="112"/>
  <c r="GX46" i="112"/>
  <c r="GY45" i="112"/>
  <c r="GZ44" i="112"/>
  <c r="GZ47" i="112"/>
  <c r="HB44" i="112"/>
  <c r="HC44" i="112"/>
  <c r="EH212" i="112"/>
  <c r="EH214" i="112"/>
  <c r="EH213" i="112"/>
  <c r="FJ45" i="112"/>
  <c r="FJ154" i="112" s="1"/>
  <c r="FK44" i="112"/>
  <c r="FK153" i="112" s="1"/>
  <c r="FM45" i="112"/>
  <c r="FM154" i="112" s="1"/>
  <c r="FN44" i="112"/>
  <c r="FN153" i="112" s="1"/>
  <c r="FN47" i="112"/>
  <c r="FN156" i="112" s="1"/>
  <c r="FK47" i="112"/>
  <c r="FK156" i="112" s="1"/>
  <c r="FL46" i="112"/>
  <c r="FL155" i="112" s="1"/>
  <c r="FK70" i="112"/>
  <c r="FK151" i="112" s="1"/>
  <c r="FP44" i="112"/>
  <c r="FP153" i="112" s="1"/>
  <c r="FQ46" i="112"/>
  <c r="FQ155" i="112" s="1"/>
  <c r="FI45" i="112"/>
  <c r="FI154" i="112" s="1"/>
  <c r="FJ46" i="112"/>
  <c r="FJ155" i="112" s="1"/>
  <c r="FK45" i="112"/>
  <c r="FK154" i="112" s="1"/>
  <c r="FL44" i="112"/>
  <c r="FL153" i="112" s="1"/>
  <c r="FL47" i="112"/>
  <c r="FL156" i="112" s="1"/>
  <c r="FM46" i="112"/>
  <c r="FM155" i="112" s="1"/>
  <c r="FN45" i="112"/>
  <c r="FN154" i="112" s="1"/>
  <c r="FO44" i="112"/>
  <c r="FO153" i="112" s="1"/>
  <c r="FO46" i="112"/>
  <c r="FO155" i="112" s="1"/>
  <c r="FN202" i="112"/>
  <c r="FN209" i="112" s="1"/>
  <c r="DI215" i="112"/>
  <c r="FI44" i="112"/>
  <c r="FI153" i="112" s="1"/>
  <c r="FP46" i="112"/>
  <c r="FP155" i="112" s="1"/>
  <c r="FQ44" i="112"/>
  <c r="FQ153" i="112" s="1"/>
  <c r="FJ44" i="112"/>
  <c r="FJ153" i="112" s="1"/>
  <c r="FJ47" i="112"/>
  <c r="FJ156" i="112" s="1"/>
  <c r="FL45" i="112"/>
  <c r="FL154" i="112" s="1"/>
  <c r="FM44" i="112"/>
  <c r="FM153" i="112" s="1"/>
  <c r="FM47" i="112"/>
  <c r="FM156" i="112" s="1"/>
  <c r="FN46" i="112"/>
  <c r="FN155" i="112" s="1"/>
  <c r="FO47" i="112"/>
  <c r="FO156" i="112" s="1"/>
  <c r="FI47" i="112"/>
  <c r="FI156" i="112" s="1"/>
  <c r="FK46" i="112"/>
  <c r="FK155" i="112" s="1"/>
  <c r="FI46" i="112"/>
  <c r="FI155" i="112" s="1"/>
  <c r="FP47" i="112"/>
  <c r="FP156" i="112" s="1"/>
  <c r="FQ47" i="112"/>
  <c r="FQ156" i="112" s="1"/>
  <c r="CH231" i="112"/>
  <c r="CY204" i="112"/>
  <c r="DQ45" i="112"/>
  <c r="DR45" i="112"/>
  <c r="DS154" i="112"/>
  <c r="CN48" i="112"/>
  <c r="CN49" i="112" s="1"/>
  <c r="DD48" i="112"/>
  <c r="DD49" i="112" s="1"/>
  <c r="DC48" i="112"/>
  <c r="DB48" i="112"/>
  <c r="DA48" i="112"/>
  <c r="DA49" i="112" s="1"/>
  <c r="CZ48" i="112"/>
  <c r="CZ49" i="112" s="1"/>
  <c r="CY48" i="112"/>
  <c r="CX48" i="112"/>
  <c r="CW48" i="112"/>
  <c r="CW49" i="112" s="1"/>
  <c r="CV48" i="112"/>
  <c r="CV49" i="112" s="1"/>
  <c r="CU48" i="112"/>
  <c r="CT48" i="112"/>
  <c r="CS48" i="112"/>
  <c r="CS49" i="112" s="1"/>
  <c r="CR48" i="112"/>
  <c r="CR49" i="112" s="1"/>
  <c r="CQ48" i="112"/>
  <c r="CP48" i="112"/>
  <c r="CM48" i="112"/>
  <c r="CO48" i="112"/>
  <c r="CO49" i="112" s="1"/>
  <c r="CL48" i="112"/>
  <c r="ED227" i="112" l="1"/>
  <c r="EH227" i="112"/>
  <c r="ED213" i="112"/>
  <c r="ED214" i="112"/>
  <c r="ED212" i="112"/>
  <c r="CH244" i="112"/>
  <c r="CH245" i="112" s="1"/>
  <c r="CG245" i="112"/>
  <c r="CI230" i="112"/>
  <c r="CL240" i="112"/>
  <c r="CL241" i="112" s="1"/>
  <c r="CH235" i="112"/>
  <c r="CH79" i="51"/>
  <c r="CH68" i="51" s="1"/>
  <c r="CI231" i="112"/>
  <c r="CH236" i="112"/>
  <c r="CH242" i="112"/>
  <c r="CK241" i="112"/>
  <c r="CM49" i="112"/>
  <c r="GU48" i="112"/>
  <c r="DC49" i="112"/>
  <c r="CU49" i="112"/>
  <c r="GW48" i="112"/>
  <c r="CQ49" i="112"/>
  <c r="GV48" i="112"/>
  <c r="CY49" i="112"/>
  <c r="GX48" i="112"/>
  <c r="CX49" i="112"/>
  <c r="FL48" i="112"/>
  <c r="CP49" i="112"/>
  <c r="FJ48" i="112"/>
  <c r="DB49" i="112"/>
  <c r="CL49" i="112"/>
  <c r="FI48" i="112"/>
  <c r="CT49" i="112"/>
  <c r="FK48" i="112"/>
  <c r="FN215" i="112"/>
  <c r="DI212" i="112"/>
  <c r="DI213" i="112"/>
  <c r="DI214" i="112"/>
  <c r="DI227" i="112"/>
  <c r="CH143" i="113"/>
  <c r="GQ143" i="113" s="1"/>
  <c r="GQ145" i="113" s="1"/>
  <c r="CZ204" i="112"/>
  <c r="DS45" i="112"/>
  <c r="ED224" i="112" l="1"/>
  <c r="ED225" i="112"/>
  <c r="ED226" i="112"/>
  <c r="EH226" i="112"/>
  <c r="EH225" i="112"/>
  <c r="EH224" i="112"/>
  <c r="CI244" i="112"/>
  <c r="CI245" i="112" s="1"/>
  <c r="FI49" i="112"/>
  <c r="GW49" i="112"/>
  <c r="GX49" i="112"/>
  <c r="CI242" i="112"/>
  <c r="CI236" i="112"/>
  <c r="FK49" i="112"/>
  <c r="FJ49" i="112"/>
  <c r="CI79" i="51"/>
  <c r="CI68" i="51" s="1"/>
  <c r="CJ230" i="112"/>
  <c r="CM240" i="112"/>
  <c r="CM241" i="112" s="1"/>
  <c r="CI235" i="112"/>
  <c r="FO45" i="112"/>
  <c r="FO154" i="112" s="1"/>
  <c r="GV49" i="112"/>
  <c r="GU49" i="112"/>
  <c r="FL49" i="112"/>
  <c r="DI225" i="112"/>
  <c r="FN213" i="112"/>
  <c r="DI226" i="112"/>
  <c r="FN214" i="112"/>
  <c r="DI224" i="112"/>
  <c r="FN212" i="112"/>
  <c r="FN221" i="112"/>
  <c r="FN227" i="112"/>
  <c r="CJ231" i="112"/>
  <c r="DA204" i="112"/>
  <c r="DT45" i="112"/>
  <c r="DU45" i="112"/>
  <c r="HA45" i="112"/>
  <c r="DO154" i="112"/>
  <c r="DO45" i="112" l="1"/>
  <c r="HB45" i="112" s="1"/>
  <c r="CJ242" i="112"/>
  <c r="CJ244" i="112"/>
  <c r="CJ245" i="112" s="1"/>
  <c r="CK230" i="112"/>
  <c r="CN240" i="112"/>
  <c r="CN241" i="112" s="1"/>
  <c r="CJ235" i="112"/>
  <c r="HC45" i="112"/>
  <c r="CJ79" i="51"/>
  <c r="CJ68" i="51" s="1"/>
  <c r="CJ236" i="112"/>
  <c r="FQ45" i="112"/>
  <c r="FQ154" i="112" s="1"/>
  <c r="FN226" i="112"/>
  <c r="FN220" i="112"/>
  <c r="FN218" i="112"/>
  <c r="FN224" i="112"/>
  <c r="FN219" i="112"/>
  <c r="FN225" i="112"/>
  <c r="CK231" i="112"/>
  <c r="DB204" i="112"/>
  <c r="CJ47" i="112"/>
  <c r="CJ46" i="112"/>
  <c r="CJ45" i="112"/>
  <c r="CH47" i="112"/>
  <c r="GS47" i="112" s="1"/>
  <c r="CH46" i="112"/>
  <c r="GS46" i="112" s="1"/>
  <c r="CH45" i="112"/>
  <c r="GS45" i="112" s="1"/>
  <c r="CH44" i="112"/>
  <c r="GS44" i="112" s="1"/>
  <c r="CI47" i="112"/>
  <c r="CI46" i="112"/>
  <c r="CI45" i="112"/>
  <c r="CI44" i="112"/>
  <c r="GT44" i="112" s="1"/>
  <c r="FP45" i="112" l="1"/>
  <c r="FP154" i="112" s="1"/>
  <c r="DO48" i="112"/>
  <c r="GT45" i="112"/>
  <c r="CK242" i="112"/>
  <c r="CK244" i="112"/>
  <c r="GT46" i="112"/>
  <c r="GT47" i="112"/>
  <c r="CO240" i="112"/>
  <c r="CO241" i="112" s="1"/>
  <c r="CK235" i="112"/>
  <c r="CL230" i="112"/>
  <c r="FH230" i="112"/>
  <c r="CK79" i="51"/>
  <c r="CK68" i="51" s="1"/>
  <c r="CK236" i="112"/>
  <c r="FH45" i="112"/>
  <c r="FH46" i="112"/>
  <c r="FH47" i="112"/>
  <c r="FH44" i="112"/>
  <c r="FH231" i="112"/>
  <c r="FH242" i="112" s="1"/>
  <c r="CL231" i="112"/>
  <c r="DC204" i="112"/>
  <c r="DA98" i="112"/>
  <c r="DA157" i="112" s="1"/>
  <c r="CY98" i="112"/>
  <c r="CX98" i="112"/>
  <c r="CW98" i="112"/>
  <c r="CW157" i="112" s="1"/>
  <c r="CV98" i="112"/>
  <c r="CV157" i="112" s="1"/>
  <c r="CU98" i="112"/>
  <c r="CT98" i="112"/>
  <c r="CS98" i="112"/>
  <c r="CS157" i="112" s="1"/>
  <c r="CR98" i="112"/>
  <c r="CR157" i="112" s="1"/>
  <c r="CQ98" i="112"/>
  <c r="CO98" i="112"/>
  <c r="CO157" i="112" s="1"/>
  <c r="CN98" i="112"/>
  <c r="CN157" i="112" s="1"/>
  <c r="CM98" i="112"/>
  <c r="CL98" i="112"/>
  <c r="CK98" i="112"/>
  <c r="CJ98" i="112"/>
  <c r="CI98" i="112"/>
  <c r="CH98" i="112"/>
  <c r="DE48" i="113"/>
  <c r="DC48" i="113"/>
  <c r="DB48" i="113"/>
  <c r="CZ48" i="113"/>
  <c r="CY48" i="113"/>
  <c r="CX48" i="113"/>
  <c r="CW48" i="113"/>
  <c r="CV48" i="113"/>
  <c r="CU48" i="113"/>
  <c r="DO49" i="112" l="1"/>
  <c r="DO157" i="112"/>
  <c r="CL242" i="112"/>
  <c r="CL244" i="112"/>
  <c r="CL245" i="112" s="1"/>
  <c r="CK245" i="112"/>
  <c r="FH244" i="112"/>
  <c r="FH245" i="112" s="1"/>
  <c r="CM230" i="112"/>
  <c r="CL235" i="112"/>
  <c r="FH235" i="112"/>
  <c r="FI240" i="112"/>
  <c r="FI241" i="112" s="1"/>
  <c r="CL79" i="51"/>
  <c r="CL236" i="112"/>
  <c r="FH79" i="51"/>
  <c r="FH236" i="112"/>
  <c r="GT98" i="112"/>
  <c r="CM157" i="112"/>
  <c r="CT157" i="112"/>
  <c r="FK98" i="112"/>
  <c r="FH98" i="112"/>
  <c r="FH99" i="112" s="1"/>
  <c r="GS98" i="112"/>
  <c r="CU157" i="112"/>
  <c r="GW98" i="112"/>
  <c r="GW99" i="112" s="1"/>
  <c r="CQ157" i="112"/>
  <c r="GV98" i="112"/>
  <c r="GV99" i="112" s="1"/>
  <c r="CX157" i="112"/>
  <c r="CL157" i="112"/>
  <c r="FI98" i="112"/>
  <c r="CY157" i="112"/>
  <c r="CM231" i="112"/>
  <c r="DD204" i="112"/>
  <c r="CR184" i="112"/>
  <c r="CR191" i="112" s="1"/>
  <c r="CZ184" i="112"/>
  <c r="CZ191" i="112" s="1"/>
  <c r="CY184" i="112"/>
  <c r="CY191" i="112" s="1"/>
  <c r="CX184" i="112"/>
  <c r="CX191" i="112" s="1"/>
  <c r="CW184" i="112"/>
  <c r="CW191" i="112" s="1"/>
  <c r="CV184" i="112"/>
  <c r="CV191" i="112" s="1"/>
  <c r="CU184" i="112"/>
  <c r="CU191" i="112" s="1"/>
  <c r="GP183" i="112"/>
  <c r="GO183" i="112"/>
  <c r="GN183" i="112"/>
  <c r="GM183" i="112"/>
  <c r="GL183" i="112"/>
  <c r="GK183" i="112"/>
  <c r="GJ183" i="112"/>
  <c r="GI183" i="112"/>
  <c r="GH183" i="112"/>
  <c r="GG183" i="112"/>
  <c r="GF183" i="112"/>
  <c r="GE183" i="112"/>
  <c r="GD183" i="112"/>
  <c r="GC183" i="112"/>
  <c r="GB183" i="112"/>
  <c r="GA183" i="112"/>
  <c r="FZ183" i="112"/>
  <c r="FY183" i="112"/>
  <c r="FD183" i="112"/>
  <c r="FC183" i="112"/>
  <c r="FB183" i="112"/>
  <c r="FA183" i="112"/>
  <c r="EZ183" i="112"/>
  <c r="EY183" i="112"/>
  <c r="EX183" i="112"/>
  <c r="EW183" i="112"/>
  <c r="EV183" i="112"/>
  <c r="EU183" i="112"/>
  <c r="ET183" i="112"/>
  <c r="ES183" i="112"/>
  <c r="ER183" i="112"/>
  <c r="EQ183" i="112"/>
  <c r="EP183" i="112"/>
  <c r="EO183" i="112"/>
  <c r="EN183" i="112"/>
  <c r="EM183" i="112"/>
  <c r="BI183" i="112"/>
  <c r="BH183" i="112"/>
  <c r="BG183" i="112"/>
  <c r="BF183" i="112"/>
  <c r="BE183" i="112"/>
  <c r="BD183" i="112"/>
  <c r="BC183" i="112"/>
  <c r="BB183" i="112"/>
  <c r="BA183" i="112"/>
  <c r="AZ183" i="112"/>
  <c r="AY183" i="112"/>
  <c r="AX183" i="112"/>
  <c r="AW183" i="112"/>
  <c r="AV183" i="112"/>
  <c r="AU183" i="112"/>
  <c r="AT183" i="112"/>
  <c r="AS183" i="112"/>
  <c r="AR183" i="112"/>
  <c r="AQ183" i="112"/>
  <c r="AP183" i="112"/>
  <c r="AO183" i="112"/>
  <c r="AN183" i="112"/>
  <c r="AM183" i="112"/>
  <c r="AL183" i="112"/>
  <c r="AK183" i="112"/>
  <c r="AJ183" i="112"/>
  <c r="AI183" i="112"/>
  <c r="AH183" i="112"/>
  <c r="AG183" i="112"/>
  <c r="AF183" i="112"/>
  <c r="AE183" i="112"/>
  <c r="AD183" i="112"/>
  <c r="AC183" i="112"/>
  <c r="AB183" i="112"/>
  <c r="AA183" i="112"/>
  <c r="Z183" i="112"/>
  <c r="Y183" i="112"/>
  <c r="X183" i="112"/>
  <c r="W183" i="112"/>
  <c r="V183" i="112"/>
  <c r="U183" i="112"/>
  <c r="T183" i="112"/>
  <c r="S183" i="112"/>
  <c r="R183" i="112"/>
  <c r="Q183" i="112"/>
  <c r="P183" i="112"/>
  <c r="O183" i="112"/>
  <c r="N183" i="112"/>
  <c r="M183" i="112"/>
  <c r="L183" i="112"/>
  <c r="K183" i="112"/>
  <c r="J183" i="112"/>
  <c r="I183" i="112"/>
  <c r="H183" i="112"/>
  <c r="G183" i="112"/>
  <c r="F183" i="112"/>
  <c r="E183" i="112"/>
  <c r="D183" i="112"/>
  <c r="C183" i="112"/>
  <c r="B183" i="112"/>
  <c r="DE104" i="2"/>
  <c r="DD104" i="2"/>
  <c r="DC104" i="2"/>
  <c r="DB104" i="2"/>
  <c r="DE103" i="2"/>
  <c r="DD103" i="2"/>
  <c r="DC103" i="2"/>
  <c r="DB103" i="2"/>
  <c r="DE111" i="2"/>
  <c r="DU71" i="3"/>
  <c r="DQ71" i="3"/>
  <c r="DM71" i="3"/>
  <c r="DM70" i="3" s="1"/>
  <c r="DE72" i="3"/>
  <c r="DE69" i="3" s="1"/>
  <c r="DB69" i="3"/>
  <c r="DC68" i="3"/>
  <c r="DE74" i="3"/>
  <c r="DF68" i="3" s="1"/>
  <c r="DD74" i="3"/>
  <c r="DC74" i="3"/>
  <c r="DB74" i="3"/>
  <c r="DT71" i="3"/>
  <c r="DS71" i="3"/>
  <c r="DR71" i="3"/>
  <c r="DP71" i="3"/>
  <c r="DN71" i="3"/>
  <c r="DN70" i="3" s="1"/>
  <c r="DL71" i="3"/>
  <c r="DL70" i="3" s="1"/>
  <c r="DI71" i="3"/>
  <c r="DI70" i="3" s="1"/>
  <c r="DH71" i="3"/>
  <c r="DH70" i="3" s="1"/>
  <c r="DB71" i="3"/>
  <c r="DB70" i="3" s="1"/>
  <c r="DC72" i="3"/>
  <c r="DC69" i="3" s="1"/>
  <c r="DE20" i="1"/>
  <c r="DE22" i="1"/>
  <c r="DE19" i="1"/>
  <c r="CK66" i="6"/>
  <c r="CK65" i="6"/>
  <c r="CK64" i="6"/>
  <c r="CK63" i="6"/>
  <c r="CK62" i="6"/>
  <c r="CK25" i="6"/>
  <c r="EP25" i="6" s="1"/>
  <c r="CK23" i="6"/>
  <c r="EP23" i="6" s="1"/>
  <c r="CK29" i="6"/>
  <c r="CK87" i="6" s="1"/>
  <c r="CK33" i="6"/>
  <c r="CK72" i="6" s="1"/>
  <c r="CK32" i="6"/>
  <c r="CK90" i="6" s="1"/>
  <c r="CK31" i="6"/>
  <c r="CK89" i="6" s="1"/>
  <c r="CK30" i="6"/>
  <c r="CK69" i="6" s="1"/>
  <c r="EN58" i="6"/>
  <c r="EN57" i="6"/>
  <c r="EN54" i="6"/>
  <c r="EN53" i="6"/>
  <c r="EN52" i="6"/>
  <c r="EN51" i="6"/>
  <c r="EN50" i="6"/>
  <c r="EN8" i="6"/>
  <c r="EN35" i="6"/>
  <c r="EN13" i="6"/>
  <c r="EN12" i="6"/>
  <c r="EN11" i="6"/>
  <c r="EN10" i="6"/>
  <c r="EN9" i="6"/>
  <c r="DU83" i="113"/>
  <c r="DT83" i="113"/>
  <c r="DS83" i="113"/>
  <c r="DR83" i="113"/>
  <c r="DQ83" i="113"/>
  <c r="DP83" i="113"/>
  <c r="DO83" i="113"/>
  <c r="DM83" i="113"/>
  <c r="DL83" i="113"/>
  <c r="DK83" i="113"/>
  <c r="DJ83" i="113"/>
  <c r="DI83" i="113"/>
  <c r="DH83" i="113"/>
  <c r="DG83" i="113"/>
  <c r="DF83" i="113"/>
  <c r="DD83" i="113"/>
  <c r="DC83" i="113"/>
  <c r="DB83" i="113"/>
  <c r="CH18" i="6" l="1"/>
  <c r="CJ18" i="6"/>
  <c r="CI18" i="6"/>
  <c r="CK18" i="6"/>
  <c r="DQ70" i="3"/>
  <c r="DR70" i="3" s="1"/>
  <c r="DS70" i="3" s="1"/>
  <c r="DT70" i="3" s="1"/>
  <c r="DU70" i="3" s="1"/>
  <c r="DV70" i="3" s="1"/>
  <c r="DW70" i="3" s="1"/>
  <c r="DX70" i="3" s="1"/>
  <c r="DY70" i="3" s="1"/>
  <c r="DZ70" i="3" s="1"/>
  <c r="EA70" i="3" s="1"/>
  <c r="EB70" i="3" s="1"/>
  <c r="EC70" i="3" s="1"/>
  <c r="ED70" i="3" s="1"/>
  <c r="EE70" i="3" s="1"/>
  <c r="EF70" i="3" s="1"/>
  <c r="EG70" i="3" s="1"/>
  <c r="EH70" i="3" s="1"/>
  <c r="EI70" i="3" s="1"/>
  <c r="EJ70" i="3" s="1"/>
  <c r="EK70" i="3" s="1"/>
  <c r="CM242" i="112"/>
  <c r="CM244" i="112"/>
  <c r="CM245" i="112" s="1"/>
  <c r="FH62" i="51"/>
  <c r="FH67" i="51"/>
  <c r="FH63" i="51"/>
  <c r="FH65" i="51"/>
  <c r="FH64" i="51"/>
  <c r="DE208" i="92"/>
  <c r="DY25" i="119"/>
  <c r="CN230" i="112"/>
  <c r="CM235" i="112"/>
  <c r="HA83" i="113"/>
  <c r="CM79" i="51"/>
  <c r="CM236" i="112"/>
  <c r="EN88" i="6"/>
  <c r="EN89" i="6"/>
  <c r="EN90" i="6"/>
  <c r="EN91" i="6"/>
  <c r="FK99" i="112"/>
  <c r="FK158" i="112" s="1"/>
  <c r="FK157" i="112"/>
  <c r="FI99" i="112"/>
  <c r="FI158" i="112" s="1"/>
  <c r="FI157" i="112"/>
  <c r="CN231" i="112"/>
  <c r="DE204" i="112"/>
  <c r="CK91" i="6"/>
  <c r="CK70" i="6"/>
  <c r="DE21" i="1"/>
  <c r="DY24" i="119" s="1"/>
  <c r="CK71" i="6"/>
  <c r="DD72" i="3"/>
  <c r="DD69" i="3" s="1"/>
  <c r="CK68" i="6"/>
  <c r="CK88" i="6"/>
  <c r="CK35" i="6"/>
  <c r="EN19" i="6"/>
  <c r="EN87" i="6"/>
  <c r="CN242" i="112" l="1"/>
  <c r="CN244" i="112"/>
  <c r="CN245" i="112" s="1"/>
  <c r="CO230" i="112"/>
  <c r="CN235" i="112"/>
  <c r="DY26" i="119"/>
  <c r="CN79" i="51"/>
  <c r="CN236" i="112"/>
  <c r="CO231" i="112"/>
  <c r="DF204" i="112"/>
  <c r="DD68" i="3"/>
  <c r="DE68" i="3"/>
  <c r="CO242" i="112" l="1"/>
  <c r="CO244" i="112"/>
  <c r="FI230" i="112"/>
  <c r="FI235" i="112" s="1"/>
  <c r="CO235" i="112"/>
  <c r="CO79" i="51"/>
  <c r="CO236" i="112"/>
  <c r="FI231" i="112"/>
  <c r="FI242" i="112" s="1"/>
  <c r="DG204" i="112"/>
  <c r="FI244" i="112" l="1"/>
  <c r="FI245" i="112" s="1"/>
  <c r="CO245" i="112"/>
  <c r="FI79" i="51"/>
  <c r="FI236" i="112"/>
  <c r="DA27" i="51" l="1"/>
  <c r="DE82" i="2"/>
  <c r="DF78" i="2" s="1"/>
  <c r="DU37" i="1"/>
  <c r="DU115" i="1" s="1"/>
  <c r="DT37" i="1"/>
  <c r="DT115" i="1" s="1"/>
  <c r="DS37" i="1"/>
  <c r="DS94" i="1" s="1"/>
  <c r="DR37" i="1"/>
  <c r="DR94" i="1" s="1"/>
  <c r="DQ37" i="1"/>
  <c r="DQ94" i="1" s="1"/>
  <c r="DP37" i="1"/>
  <c r="DP94" i="1" s="1"/>
  <c r="DO37" i="1"/>
  <c r="DO73" i="1" s="1"/>
  <c r="DN37" i="1"/>
  <c r="DN73" i="1" s="1"/>
  <c r="DM37" i="1"/>
  <c r="DM73" i="1" s="1"/>
  <c r="DL37" i="1"/>
  <c r="DL73" i="1" s="1"/>
  <c r="DK37" i="1"/>
  <c r="DK115" i="1" s="1"/>
  <c r="DJ37" i="1"/>
  <c r="DJ94" i="1" s="1"/>
  <c r="DI37" i="1"/>
  <c r="DI115" i="1" s="1"/>
  <c r="DH37" i="1"/>
  <c r="DH115" i="1" s="1"/>
  <c r="DG37" i="1"/>
  <c r="DG94" i="1" s="1"/>
  <c r="DF37" i="1"/>
  <c r="DF94" i="1" s="1"/>
  <c r="DE37" i="1"/>
  <c r="DE94" i="1" s="1"/>
  <c r="DD37" i="1"/>
  <c r="DD94" i="1" s="1"/>
  <c r="DC37" i="1"/>
  <c r="DC73" i="1" s="1"/>
  <c r="DB37" i="1"/>
  <c r="DB73" i="1" s="1"/>
  <c r="DU9" i="92"/>
  <c r="DT9" i="92"/>
  <c r="DS9" i="92"/>
  <c r="DR9" i="92"/>
  <c r="DQ9" i="92"/>
  <c r="DP9" i="92"/>
  <c r="DO9" i="92"/>
  <c r="DN9" i="92"/>
  <c r="DM9" i="92"/>
  <c r="DL9" i="92"/>
  <c r="DK9" i="92"/>
  <c r="DJ9" i="92"/>
  <c r="DI9" i="92"/>
  <c r="DH9" i="92"/>
  <c r="DG9" i="92"/>
  <c r="DF9" i="92"/>
  <c r="DE9" i="92"/>
  <c r="DD9" i="92"/>
  <c r="DC9" i="92"/>
  <c r="DB9" i="92"/>
  <c r="DU8" i="3"/>
  <c r="DU66" i="3" s="1"/>
  <c r="DT8" i="3"/>
  <c r="DT66" i="3" s="1"/>
  <c r="DS8" i="3"/>
  <c r="DS66" i="3" s="1"/>
  <c r="DR8" i="3"/>
  <c r="DR66" i="3" s="1"/>
  <c r="DQ8" i="3"/>
  <c r="DQ66" i="3" s="1"/>
  <c r="DP8" i="3"/>
  <c r="DP66" i="3" s="1"/>
  <c r="DO8" i="3"/>
  <c r="DO66" i="3" s="1"/>
  <c r="DN8" i="3"/>
  <c r="DN66" i="3" s="1"/>
  <c r="DM8" i="3"/>
  <c r="DM66" i="3" s="1"/>
  <c r="DL8" i="3"/>
  <c r="DL66" i="3" s="1"/>
  <c r="DK8" i="3"/>
  <c r="DK66" i="3" s="1"/>
  <c r="DJ8" i="3"/>
  <c r="DJ66" i="3" s="1"/>
  <c r="DI8" i="3"/>
  <c r="DI66" i="3" s="1"/>
  <c r="DH8" i="3"/>
  <c r="DH66" i="3" s="1"/>
  <c r="DG8" i="3"/>
  <c r="DG66" i="3" s="1"/>
  <c r="DF8" i="3"/>
  <c r="DE8" i="3"/>
  <c r="DE66" i="3" s="1"/>
  <c r="DD8" i="3"/>
  <c r="DD66" i="3" s="1"/>
  <c r="DC8" i="3"/>
  <c r="DC66" i="3" s="1"/>
  <c r="DB8" i="3"/>
  <c r="DB66" i="3" s="1"/>
  <c r="DE65" i="2"/>
  <c r="DQ65" i="2" s="1"/>
  <c r="DU65" i="2" s="1"/>
  <c r="DY65" i="2" s="1"/>
  <c r="EC65" i="2" s="1"/>
  <c r="EG65" i="2" s="1"/>
  <c r="EK65" i="2" s="1"/>
  <c r="DE64" i="2"/>
  <c r="DQ63" i="2"/>
  <c r="DU63" i="2" s="1"/>
  <c r="DY63" i="2" s="1"/>
  <c r="EC63" i="2" s="1"/>
  <c r="EG63" i="2" s="1"/>
  <c r="EK63" i="2" s="1"/>
  <c r="DE62" i="2"/>
  <c r="DQ62" i="2" s="1"/>
  <c r="DU62" i="2" s="1"/>
  <c r="DY62" i="2" s="1"/>
  <c r="EC62" i="2" s="1"/>
  <c r="EG62" i="2" s="1"/>
  <c r="EK62" i="2" s="1"/>
  <c r="DE38" i="2"/>
  <c r="DB37" i="2"/>
  <c r="DC37" i="2"/>
  <c r="DD37" i="2"/>
  <c r="DE35" i="2"/>
  <c r="DY60" i="119" s="1"/>
  <c r="DD35" i="2"/>
  <c r="DX60" i="119" s="1"/>
  <c r="DC35" i="2"/>
  <c r="DW60" i="119" s="1"/>
  <c r="DB35" i="2"/>
  <c r="DV60" i="119" s="1"/>
  <c r="DA35" i="2"/>
  <c r="DU60" i="119" s="1"/>
  <c r="CZ35" i="2"/>
  <c r="DT60" i="119" s="1"/>
  <c r="CX35" i="2"/>
  <c r="DR60" i="119" s="1"/>
  <c r="CW35" i="2"/>
  <c r="DQ60" i="119" s="1"/>
  <c r="CV35" i="2"/>
  <c r="DP60" i="119" s="1"/>
  <c r="CU35" i="2"/>
  <c r="DO60" i="119" s="1"/>
  <c r="CT35" i="2"/>
  <c r="DN60" i="119" s="1"/>
  <c r="CS35" i="2"/>
  <c r="DM60" i="119" s="1"/>
  <c r="CR35" i="2"/>
  <c r="DL60" i="119" s="1"/>
  <c r="CQ35" i="2"/>
  <c r="DK60" i="119" s="1"/>
  <c r="CP35" i="2"/>
  <c r="DJ60" i="119" s="1"/>
  <c r="CO35" i="2"/>
  <c r="DI60" i="119" s="1"/>
  <c r="CN35" i="2"/>
  <c r="DH60" i="119" s="1"/>
  <c r="CM35" i="2"/>
  <c r="DG60" i="119" s="1"/>
  <c r="CL35" i="2"/>
  <c r="DF60" i="119" s="1"/>
  <c r="CK35" i="2"/>
  <c r="DE60" i="119" s="1"/>
  <c r="CF57" i="30" s="1"/>
  <c r="CJ35" i="2"/>
  <c r="DD60" i="119" s="1"/>
  <c r="CE57" i="30" s="1"/>
  <c r="CI35" i="2"/>
  <c r="DC60" i="119" s="1"/>
  <c r="CD57" i="30" s="1"/>
  <c r="CH35" i="2"/>
  <c r="DB60" i="119" s="1"/>
  <c r="CC57" i="30" s="1"/>
  <c r="CG35" i="2"/>
  <c r="DA60" i="119" s="1"/>
  <c r="CB57" i="30" s="1"/>
  <c r="CF35" i="2"/>
  <c r="CZ60" i="119" s="1"/>
  <c r="CA57" i="30" s="1"/>
  <c r="CE35" i="2"/>
  <c r="CY60" i="119" s="1"/>
  <c r="BZ57" i="30" s="1"/>
  <c r="CD35" i="2"/>
  <c r="CX60" i="119" s="1"/>
  <c r="BY57" i="30" s="1"/>
  <c r="CC35" i="2"/>
  <c r="CW60" i="119" s="1"/>
  <c r="BX57" i="30" s="1"/>
  <c r="CB35" i="2"/>
  <c r="CV60" i="119" s="1"/>
  <c r="BW57" i="30" s="1"/>
  <c r="CA35" i="2"/>
  <c r="CU60" i="119" s="1"/>
  <c r="BV57" i="30" s="1"/>
  <c r="BZ35" i="2"/>
  <c r="CT60" i="119" s="1"/>
  <c r="BU57" i="30" s="1"/>
  <c r="BY35" i="2"/>
  <c r="CS60" i="119" s="1"/>
  <c r="BT57" i="30" s="1"/>
  <c r="BX35" i="2"/>
  <c r="CR60" i="119" s="1"/>
  <c r="BS57" i="30" s="1"/>
  <c r="BW35" i="2"/>
  <c r="CQ60" i="119" s="1"/>
  <c r="BR57" i="30" s="1"/>
  <c r="BV35" i="2"/>
  <c r="CP60" i="119" s="1"/>
  <c r="BQ57" i="30" s="1"/>
  <c r="BU35" i="2"/>
  <c r="CO60" i="119" s="1"/>
  <c r="BP57" i="30" s="1"/>
  <c r="BT35" i="2"/>
  <c r="CN60" i="119" s="1"/>
  <c r="BO57" i="30" s="1"/>
  <c r="BS35" i="2"/>
  <c r="CM60" i="119" s="1"/>
  <c r="BN57" i="30" s="1"/>
  <c r="BR35" i="2"/>
  <c r="CL60" i="119" s="1"/>
  <c r="BM57" i="30" s="1"/>
  <c r="BQ35" i="2"/>
  <c r="CK60" i="119" s="1"/>
  <c r="BL57" i="30" s="1"/>
  <c r="BP35" i="2"/>
  <c r="CJ60" i="119" s="1"/>
  <c r="BK57" i="30" s="1"/>
  <c r="BO35" i="2"/>
  <c r="CI60" i="119" s="1"/>
  <c r="BJ57" i="30" s="1"/>
  <c r="BN35" i="2"/>
  <c r="CH60" i="119" s="1"/>
  <c r="BI57" i="30" s="1"/>
  <c r="BM35" i="2"/>
  <c r="CG60" i="119" s="1"/>
  <c r="BH57" i="30" s="1"/>
  <c r="BL35" i="2"/>
  <c r="CF60" i="119" s="1"/>
  <c r="BG57" i="30" s="1"/>
  <c r="BK35" i="2"/>
  <c r="CE60" i="119" s="1"/>
  <c r="BF57" i="30" s="1"/>
  <c r="BJ35" i="2"/>
  <c r="CD60" i="119" s="1"/>
  <c r="BE57" i="30" s="1"/>
  <c r="BI35" i="2"/>
  <c r="CC60" i="119" s="1"/>
  <c r="BD57" i="30" s="1"/>
  <c r="BH35" i="2"/>
  <c r="CB60" i="119" s="1"/>
  <c r="BC57" i="30" s="1"/>
  <c r="BG35" i="2"/>
  <c r="CA60" i="119" s="1"/>
  <c r="BB57" i="30" s="1"/>
  <c r="BF35" i="2"/>
  <c r="BZ60" i="119" s="1"/>
  <c r="BA57" i="30" s="1"/>
  <c r="BE35" i="2"/>
  <c r="BY60" i="119" s="1"/>
  <c r="AZ57" i="30" s="1"/>
  <c r="BD35" i="2"/>
  <c r="BX60" i="119" s="1"/>
  <c r="AY57" i="30" s="1"/>
  <c r="BC35" i="2"/>
  <c r="BW60" i="119" s="1"/>
  <c r="AX57" i="30" s="1"/>
  <c r="BB35" i="2"/>
  <c r="BV60" i="119" s="1"/>
  <c r="AW57" i="30" s="1"/>
  <c r="BA35" i="2"/>
  <c r="BU60" i="119" s="1"/>
  <c r="AV57" i="30" s="1"/>
  <c r="AZ35" i="2"/>
  <c r="BT60" i="119" s="1"/>
  <c r="AU57" i="30" s="1"/>
  <c r="AY35" i="2"/>
  <c r="BS60" i="119" s="1"/>
  <c r="AT57" i="30" s="1"/>
  <c r="AX35" i="2"/>
  <c r="BR60" i="119" s="1"/>
  <c r="AS57" i="30" s="1"/>
  <c r="AW35" i="2"/>
  <c r="BQ60" i="119" s="1"/>
  <c r="AR57" i="30" s="1"/>
  <c r="AV35" i="2"/>
  <c r="BP60" i="119" s="1"/>
  <c r="AQ57" i="30" s="1"/>
  <c r="AU35" i="2"/>
  <c r="BO60" i="119" s="1"/>
  <c r="AP57" i="30" s="1"/>
  <c r="AT35" i="2"/>
  <c r="BN60" i="119" s="1"/>
  <c r="AO57" i="30" s="1"/>
  <c r="AS35" i="2"/>
  <c r="BM60" i="119" s="1"/>
  <c r="AN57" i="30" s="1"/>
  <c r="AR35" i="2"/>
  <c r="BL60" i="119" s="1"/>
  <c r="AM57" i="30" s="1"/>
  <c r="AQ35" i="2"/>
  <c r="BK60" i="119" s="1"/>
  <c r="AL57" i="30" s="1"/>
  <c r="AP35" i="2"/>
  <c r="BJ60" i="119" s="1"/>
  <c r="AK57" i="30" s="1"/>
  <c r="AO35" i="2"/>
  <c r="BI60" i="119" s="1"/>
  <c r="AJ57" i="30" s="1"/>
  <c r="AN35" i="2"/>
  <c r="BH60" i="119" s="1"/>
  <c r="AI57" i="30" s="1"/>
  <c r="AM35" i="2"/>
  <c r="BG60" i="119" s="1"/>
  <c r="AH57" i="30" s="1"/>
  <c r="AL35" i="2"/>
  <c r="BF60" i="119" s="1"/>
  <c r="AG57" i="30" s="1"/>
  <c r="AK35" i="2"/>
  <c r="BE60" i="119" s="1"/>
  <c r="AF57" i="30" s="1"/>
  <c r="AJ35" i="2"/>
  <c r="BD60" i="119" s="1"/>
  <c r="AE57" i="30" s="1"/>
  <c r="AI35" i="2"/>
  <c r="BC60" i="119" s="1"/>
  <c r="AD57" i="30" s="1"/>
  <c r="AH35" i="2"/>
  <c r="BB60" i="119" s="1"/>
  <c r="AC57" i="30" s="1"/>
  <c r="AG35" i="2"/>
  <c r="BA60" i="119" s="1"/>
  <c r="AB57" i="30" s="1"/>
  <c r="AF35" i="2"/>
  <c r="AZ60" i="119" s="1"/>
  <c r="AA57" i="30" s="1"/>
  <c r="AE35" i="2"/>
  <c r="AY60" i="119" s="1"/>
  <c r="Z57" i="30" s="1"/>
  <c r="AD35" i="2"/>
  <c r="AX60" i="119" s="1"/>
  <c r="Y57" i="30" s="1"/>
  <c r="AC35" i="2"/>
  <c r="AW60" i="119" s="1"/>
  <c r="AB35" i="2"/>
  <c r="AV60" i="119" s="1"/>
  <c r="AA35" i="2"/>
  <c r="AU60" i="119" s="1"/>
  <c r="Z35" i="2"/>
  <c r="AT60" i="119" s="1"/>
  <c r="Y35" i="2"/>
  <c r="AS60" i="119" s="1"/>
  <c r="X35" i="2"/>
  <c r="AR60" i="119" s="1"/>
  <c r="W35" i="2"/>
  <c r="AQ60" i="119" s="1"/>
  <c r="V35" i="2"/>
  <c r="AP60" i="119" s="1"/>
  <c r="U35" i="2"/>
  <c r="AO60" i="119" s="1"/>
  <c r="T35" i="2"/>
  <c r="AN60" i="119" s="1"/>
  <c r="S35" i="2"/>
  <c r="AM60" i="119" s="1"/>
  <c r="R35" i="2"/>
  <c r="AL60" i="119" s="1"/>
  <c r="Q35" i="2"/>
  <c r="P35" i="2"/>
  <c r="O35" i="2"/>
  <c r="N35" i="2"/>
  <c r="M35" i="2"/>
  <c r="L35" i="2"/>
  <c r="K35" i="2"/>
  <c r="J35" i="2"/>
  <c r="I35" i="2"/>
  <c r="H35" i="2"/>
  <c r="G35" i="2"/>
  <c r="F35" i="2"/>
  <c r="E35" i="2"/>
  <c r="D35" i="2"/>
  <c r="C35" i="2"/>
  <c r="B35" i="2"/>
  <c r="DU8" i="51"/>
  <c r="DT8" i="51"/>
  <c r="DS8" i="51"/>
  <c r="DR8" i="51"/>
  <c r="DQ8" i="51"/>
  <c r="DP8" i="51"/>
  <c r="DO8" i="51"/>
  <c r="DO56" i="51" s="1"/>
  <c r="DN8" i="51"/>
  <c r="DM8" i="51"/>
  <c r="DL8" i="51"/>
  <c r="DK8" i="51"/>
  <c r="DJ8" i="51"/>
  <c r="DI8" i="51"/>
  <c r="DH8" i="51"/>
  <c r="DG8" i="51"/>
  <c r="DF8" i="51"/>
  <c r="G2" i="125" s="1"/>
  <c r="DU8" i="112"/>
  <c r="DT8" i="112"/>
  <c r="DS8" i="112"/>
  <c r="DR8" i="112"/>
  <c r="DQ8" i="112"/>
  <c r="DP8" i="112"/>
  <c r="DO8" i="112"/>
  <c r="DN8" i="112"/>
  <c r="DM8" i="112"/>
  <c r="DL8" i="112"/>
  <c r="DK8" i="112"/>
  <c r="DJ8" i="112"/>
  <c r="DI8" i="112"/>
  <c r="DH8" i="112"/>
  <c r="DG8" i="112"/>
  <c r="DF8" i="112"/>
  <c r="DU8" i="113"/>
  <c r="DT8" i="113"/>
  <c r="DS8" i="113"/>
  <c r="DR8" i="113"/>
  <c r="DQ8" i="113"/>
  <c r="DP8" i="113"/>
  <c r="DO8" i="113"/>
  <c r="DN8" i="113"/>
  <c r="DM8" i="113"/>
  <c r="DL8" i="113"/>
  <c r="DK8" i="113"/>
  <c r="DJ8" i="113"/>
  <c r="DI8" i="113"/>
  <c r="DH8" i="113"/>
  <c r="DG8" i="113"/>
  <c r="DF8" i="113"/>
  <c r="DU8" i="2"/>
  <c r="DT8" i="2"/>
  <c r="DS8" i="2"/>
  <c r="DR8" i="2"/>
  <c r="DQ8" i="2"/>
  <c r="DP8" i="2"/>
  <c r="DO8" i="2"/>
  <c r="DN8" i="2"/>
  <c r="DM8" i="2"/>
  <c r="DL8" i="2"/>
  <c r="DK8" i="2"/>
  <c r="DJ8" i="2"/>
  <c r="DE8" i="2"/>
  <c r="DE18" i="2"/>
  <c r="CK48" i="6"/>
  <c r="CK47" i="6"/>
  <c r="CK46" i="6"/>
  <c r="CK45" i="6"/>
  <c r="CK44" i="6"/>
  <c r="CK16" i="6"/>
  <c r="DE21" i="113"/>
  <c r="DE34" i="113" s="1"/>
  <c r="DE173" i="112"/>
  <c r="DE14" i="112"/>
  <c r="DE12" i="112"/>
  <c r="DE152" i="112" s="1"/>
  <c r="DE13" i="112"/>
  <c r="DE11" i="112"/>
  <c r="DE58" i="51"/>
  <c r="DA7" i="6"/>
  <c r="DA6" i="6"/>
  <c r="DB5" i="6" s="1"/>
  <c r="CZ7" i="6"/>
  <c r="CY7" i="6"/>
  <c r="CX7" i="6"/>
  <c r="CW7" i="6"/>
  <c r="CV7" i="6"/>
  <c r="CZ6" i="6"/>
  <c r="CY6" i="6"/>
  <c r="CX6" i="6"/>
  <c r="CW6" i="6"/>
  <c r="CV6" i="6"/>
  <c r="CU7" i="6"/>
  <c r="CT7" i="6"/>
  <c r="CS7" i="6"/>
  <c r="CU6" i="6"/>
  <c r="CT6" i="6"/>
  <c r="CS6" i="6"/>
  <c r="CR7" i="6"/>
  <c r="CQ7" i="6"/>
  <c r="CP7" i="6"/>
  <c r="CO7" i="6"/>
  <c r="CN7" i="6"/>
  <c r="CM7" i="6"/>
  <c r="CL7" i="6"/>
  <c r="CK7" i="6"/>
  <c r="CR6" i="6"/>
  <c r="CQ6" i="6"/>
  <c r="CP6" i="6"/>
  <c r="CO6" i="6"/>
  <c r="CN6" i="6"/>
  <c r="CM6" i="6"/>
  <c r="CL6" i="6"/>
  <c r="CK6" i="6"/>
  <c r="DE15" i="51"/>
  <c r="DE121" i="1"/>
  <c r="DE120" i="1"/>
  <c r="DE14" i="1"/>
  <c r="DY18" i="119" s="1"/>
  <c r="DE11" i="1"/>
  <c r="DL56" i="51" l="1"/>
  <c r="G2" i="115"/>
  <c r="DK56" i="51"/>
  <c r="AB5" i="115"/>
  <c r="DN56" i="51"/>
  <c r="DN36" i="113"/>
  <c r="AA5" i="115"/>
  <c r="DH32" i="112"/>
  <c r="G6" i="125"/>
  <c r="G11" i="125"/>
  <c r="G16" i="125"/>
  <c r="G7" i="125"/>
  <c r="H7" i="125" s="1"/>
  <c r="G15" i="125"/>
  <c r="H15" i="125" s="1"/>
  <c r="G9" i="125"/>
  <c r="G18" i="125"/>
  <c r="G13" i="125"/>
  <c r="G10" i="125"/>
  <c r="G8" i="125"/>
  <c r="H8" i="125" s="1"/>
  <c r="G5" i="125"/>
  <c r="H5" i="125" s="1"/>
  <c r="G19" i="125"/>
  <c r="H19" i="125" s="1"/>
  <c r="G12" i="125"/>
  <c r="G4" i="125"/>
  <c r="G17" i="125"/>
  <c r="H17" i="125" s="1"/>
  <c r="DE17" i="51"/>
  <c r="DE52" i="51"/>
  <c r="DE54" i="51" s="1"/>
  <c r="CK85" i="6"/>
  <c r="DY176" i="119" s="1"/>
  <c r="CO49" i="6"/>
  <c r="AR38" i="116"/>
  <c r="AM38" i="116"/>
  <c r="AS38" i="116"/>
  <c r="AN38" i="116"/>
  <c r="AO38" i="116"/>
  <c r="AP38" i="116"/>
  <c r="AQ38" i="116"/>
  <c r="DF84" i="2"/>
  <c r="DF81" i="2"/>
  <c r="DQ23" i="113"/>
  <c r="DQ239" i="112"/>
  <c r="DQ234" i="112"/>
  <c r="DQ229" i="112"/>
  <c r="DR23" i="113"/>
  <c r="DR239" i="112"/>
  <c r="DR234" i="112"/>
  <c r="DR229" i="112"/>
  <c r="DE102" i="92"/>
  <c r="DY61" i="119"/>
  <c r="DY265" i="119" s="1"/>
  <c r="DG23" i="113"/>
  <c r="DG239" i="112"/>
  <c r="DG234" i="112"/>
  <c r="DG229" i="112"/>
  <c r="DG117" i="113"/>
  <c r="DS23" i="113"/>
  <c r="DS239" i="112"/>
  <c r="DS229" i="112"/>
  <c r="DS234" i="112"/>
  <c r="DH23" i="113"/>
  <c r="DH239" i="112"/>
  <c r="DH234" i="112"/>
  <c r="DH229" i="112"/>
  <c r="DN23" i="113"/>
  <c r="DN239" i="112"/>
  <c r="DN229" i="112"/>
  <c r="DN234" i="112"/>
  <c r="DT23" i="113"/>
  <c r="DT239" i="112"/>
  <c r="DT229" i="112"/>
  <c r="DT234" i="112"/>
  <c r="DK23" i="113"/>
  <c r="DK239" i="112"/>
  <c r="DK234" i="112"/>
  <c r="DK229" i="112"/>
  <c r="DM23" i="113"/>
  <c r="DM239" i="112"/>
  <c r="DM234" i="112"/>
  <c r="DM229" i="112"/>
  <c r="DI23" i="113"/>
  <c r="DI239" i="112"/>
  <c r="DI229" i="112"/>
  <c r="DI234" i="112"/>
  <c r="DO23" i="113"/>
  <c r="DO239" i="112"/>
  <c r="DO229" i="112"/>
  <c r="DO234" i="112"/>
  <c r="DU23" i="113"/>
  <c r="DU239" i="112"/>
  <c r="DU229" i="112"/>
  <c r="DU234" i="112"/>
  <c r="DL23" i="113"/>
  <c r="DL239" i="112"/>
  <c r="DL234" i="112"/>
  <c r="DL229" i="112"/>
  <c r="DJ23" i="113"/>
  <c r="DJ239" i="112"/>
  <c r="DJ234" i="112"/>
  <c r="DJ229" i="112"/>
  <c r="DP23" i="113"/>
  <c r="DP239" i="112"/>
  <c r="DP229" i="112"/>
  <c r="DP234" i="112"/>
  <c r="DE61" i="2"/>
  <c r="DY45" i="119"/>
  <c r="CK80" i="6"/>
  <c r="CK93" i="6"/>
  <c r="DF66" i="3"/>
  <c r="DF23" i="113"/>
  <c r="DF239" i="112"/>
  <c r="DF229" i="112"/>
  <c r="DF234" i="112"/>
  <c r="DJ223" i="112"/>
  <c r="DJ217" i="112"/>
  <c r="DJ211" i="112"/>
  <c r="DP223" i="112"/>
  <c r="DP217" i="112"/>
  <c r="DP211" i="112"/>
  <c r="DN223" i="112"/>
  <c r="DN217" i="112"/>
  <c r="DN211" i="112"/>
  <c r="DO223" i="112"/>
  <c r="DO217" i="112"/>
  <c r="DO211" i="112"/>
  <c r="DK223" i="112"/>
  <c r="DK211" i="112"/>
  <c r="DK217" i="112"/>
  <c r="DQ223" i="112"/>
  <c r="DQ211" i="112"/>
  <c r="DQ217" i="112"/>
  <c r="DH223" i="112"/>
  <c r="DH217" i="112"/>
  <c r="DH211" i="112"/>
  <c r="DU223" i="112"/>
  <c r="DU211" i="112"/>
  <c r="DU217" i="112"/>
  <c r="DF223" i="112"/>
  <c r="DF211" i="112"/>
  <c r="DF217" i="112"/>
  <c r="DL211" i="112"/>
  <c r="DL217" i="112"/>
  <c r="DL223" i="112"/>
  <c r="DR211" i="112"/>
  <c r="DR223" i="112"/>
  <c r="DR217" i="112"/>
  <c r="DT223" i="112"/>
  <c r="DT217" i="112"/>
  <c r="DT211" i="112"/>
  <c r="DI223" i="112"/>
  <c r="DI217" i="112"/>
  <c r="DI211" i="112"/>
  <c r="DG223" i="112"/>
  <c r="DG217" i="112"/>
  <c r="DG211" i="112"/>
  <c r="DM223" i="112"/>
  <c r="DM217" i="112"/>
  <c r="DM211" i="112"/>
  <c r="DS223" i="112"/>
  <c r="DS217" i="112"/>
  <c r="DS211" i="112"/>
  <c r="DG207" i="112"/>
  <c r="DG200" i="112"/>
  <c r="DI207" i="112"/>
  <c r="DI200" i="112"/>
  <c r="DO207" i="112"/>
  <c r="DO200" i="112"/>
  <c r="DU207" i="112"/>
  <c r="DU200" i="112"/>
  <c r="DT207" i="112"/>
  <c r="DT200" i="112"/>
  <c r="DJ207" i="112"/>
  <c r="DJ200" i="112"/>
  <c r="DP207" i="112"/>
  <c r="DP200" i="112"/>
  <c r="DS207" i="112"/>
  <c r="DS200" i="112"/>
  <c r="DH207" i="112"/>
  <c r="DH200" i="112"/>
  <c r="DK207" i="112"/>
  <c r="DK200" i="112"/>
  <c r="DQ207" i="112"/>
  <c r="DQ200" i="112"/>
  <c r="DM207" i="112"/>
  <c r="DM200" i="112"/>
  <c r="DN207" i="112"/>
  <c r="DN200" i="112"/>
  <c r="DF207" i="112"/>
  <c r="DF200" i="112"/>
  <c r="DL207" i="112"/>
  <c r="DL200" i="112"/>
  <c r="DR207" i="112"/>
  <c r="DR200" i="112"/>
  <c r="DD73" i="1"/>
  <c r="DE58" i="1"/>
  <c r="DO58" i="1"/>
  <c r="DQ58" i="1"/>
  <c r="DP73" i="1"/>
  <c r="DC58" i="1"/>
  <c r="DG73" i="1"/>
  <c r="DC115" i="1"/>
  <c r="DL115" i="1"/>
  <c r="DG58" i="1"/>
  <c r="DS58" i="1"/>
  <c r="DQ73" i="1"/>
  <c r="DM115" i="1"/>
  <c r="DL58" i="1"/>
  <c r="DR73" i="1"/>
  <c r="DN115" i="1"/>
  <c r="DE15" i="1"/>
  <c r="DM58" i="1"/>
  <c r="DE73" i="1"/>
  <c r="DS73" i="1"/>
  <c r="DO115" i="1"/>
  <c r="DB58" i="1"/>
  <c r="DN58" i="1"/>
  <c r="DF73" i="1"/>
  <c r="DB115" i="1"/>
  <c r="DJ183" i="112"/>
  <c r="DJ186" i="112"/>
  <c r="DT94" i="1"/>
  <c r="DI94" i="1"/>
  <c r="DK94" i="1"/>
  <c r="DU94" i="1"/>
  <c r="DA48" i="113"/>
  <c r="DA184" i="112"/>
  <c r="DA191" i="112" s="1"/>
  <c r="CW5" i="6"/>
  <c r="DL186" i="112"/>
  <c r="DL183" i="112"/>
  <c r="DN186" i="112"/>
  <c r="DN183" i="112"/>
  <c r="DD58" i="1"/>
  <c r="DF58" i="1"/>
  <c r="DP58" i="1"/>
  <c r="DR58" i="1"/>
  <c r="DH73" i="1"/>
  <c r="DJ73" i="1"/>
  <c r="DT73" i="1"/>
  <c r="DB94" i="1"/>
  <c r="DL94" i="1"/>
  <c r="DN94" i="1"/>
  <c r="DD115" i="1"/>
  <c r="DF115" i="1"/>
  <c r="DP115" i="1"/>
  <c r="DR115" i="1"/>
  <c r="DE68" i="2"/>
  <c r="DI73" i="1"/>
  <c r="DK73" i="1"/>
  <c r="DU73" i="1"/>
  <c r="DC94" i="1"/>
  <c r="DM94" i="1"/>
  <c r="DO94" i="1"/>
  <c r="DE115" i="1"/>
  <c r="DG115" i="1"/>
  <c r="DQ115" i="1"/>
  <c r="DS115" i="1"/>
  <c r="DH186" i="112"/>
  <c r="DH183" i="112"/>
  <c r="DT183" i="112"/>
  <c r="DT186" i="112"/>
  <c r="DH94" i="1"/>
  <c r="DK183" i="112"/>
  <c r="DK186" i="112"/>
  <c r="DE151" i="112"/>
  <c r="DE69" i="112"/>
  <c r="DO183" i="112"/>
  <c r="DO186" i="112"/>
  <c r="DF186" i="112"/>
  <c r="DF183" i="112"/>
  <c r="DP183" i="112"/>
  <c r="DP186" i="112"/>
  <c r="DR183" i="112"/>
  <c r="DR186" i="112"/>
  <c r="DH58" i="1"/>
  <c r="DJ58" i="1"/>
  <c r="DT58" i="1"/>
  <c r="DJ115" i="1"/>
  <c r="DI183" i="112"/>
  <c r="DI186" i="112"/>
  <c r="DU183" i="112"/>
  <c r="DU186" i="112"/>
  <c r="DM186" i="112"/>
  <c r="DM183" i="112"/>
  <c r="DG186" i="112"/>
  <c r="DG183" i="112"/>
  <c r="DQ186" i="112"/>
  <c r="DQ183" i="112"/>
  <c r="DS186" i="112"/>
  <c r="DS183" i="112"/>
  <c r="DI58" i="1"/>
  <c r="DK58" i="1"/>
  <c r="DU58" i="1"/>
  <c r="DE48" i="112"/>
  <c r="DE158" i="112"/>
  <c r="DA5" i="6"/>
  <c r="CK17" i="6"/>
  <c r="CK83" i="6"/>
  <c r="CK82" i="6"/>
  <c r="CK81" i="6"/>
  <c r="CK84" i="6"/>
  <c r="CK86" i="6"/>
  <c r="DE57" i="51"/>
  <c r="CX5" i="6"/>
  <c r="CS5" i="6"/>
  <c r="CP5" i="6"/>
  <c r="CM5" i="6"/>
  <c r="CT5" i="6"/>
  <c r="CY5" i="6"/>
  <c r="CU5" i="6"/>
  <c r="CQ5" i="6"/>
  <c r="CZ5" i="6"/>
  <c r="CO5" i="6"/>
  <c r="CV5" i="6"/>
  <c r="CL5" i="6"/>
  <c r="CN5" i="6"/>
  <c r="CR5" i="6"/>
  <c r="P17" i="125" l="1"/>
  <c r="U17" i="125"/>
  <c r="H18" i="125"/>
  <c r="L17" i="125"/>
  <c r="P16" i="125"/>
  <c r="U16" i="125"/>
  <c r="H16" i="125"/>
  <c r="L16" i="125"/>
  <c r="P8" i="125"/>
  <c r="H4" i="125"/>
  <c r="L8" i="125"/>
  <c r="U8" i="125"/>
  <c r="P13" i="125"/>
  <c r="H12" i="125"/>
  <c r="U13" i="125"/>
  <c r="L13" i="125"/>
  <c r="P11" i="125"/>
  <c r="G37" i="125"/>
  <c r="U11" i="125"/>
  <c r="H10" i="125"/>
  <c r="L11" i="125"/>
  <c r="P10" i="125"/>
  <c r="H9" i="125"/>
  <c r="U10" i="125"/>
  <c r="L10" i="125"/>
  <c r="L12" i="125"/>
  <c r="H11" i="125"/>
  <c r="P12" i="125"/>
  <c r="U12" i="125"/>
  <c r="G14" i="125"/>
  <c r="H14" i="125" s="1"/>
  <c r="H13" i="125"/>
  <c r="L9" i="125"/>
  <c r="H6" i="125"/>
  <c r="P9" i="125"/>
  <c r="U9" i="125"/>
  <c r="DY164" i="119"/>
  <c r="DY135" i="119"/>
  <c r="DY129" i="119"/>
  <c r="DY174" i="119"/>
  <c r="DY165" i="119"/>
  <c r="DY170" i="119"/>
  <c r="DY166" i="119"/>
  <c r="DY169" i="119"/>
  <c r="DY163" i="119"/>
  <c r="DY23" i="119"/>
  <c r="DY268" i="119" s="1"/>
  <c r="DY154" i="119"/>
  <c r="DY153" i="119"/>
  <c r="DY149" i="119"/>
  <c r="DY146" i="119"/>
  <c r="DY143" i="119"/>
  <c r="DY140" i="119"/>
  <c r="DY151" i="119"/>
  <c r="DY148" i="119"/>
  <c r="DY145" i="119"/>
  <c r="DY142" i="119"/>
  <c r="DY139" i="119"/>
  <c r="DY147" i="119"/>
  <c r="DY138" i="119"/>
  <c r="DY144" i="119"/>
  <c r="DY150" i="119"/>
  <c r="DY141" i="119"/>
  <c r="FM69" i="112"/>
  <c r="FM150" i="112" s="1"/>
  <c r="GY69" i="112"/>
  <c r="FM48" i="112"/>
  <c r="CK38" i="6"/>
  <c r="CK96" i="6" s="1"/>
  <c r="DE70" i="112"/>
  <c r="DE150" i="112"/>
  <c r="DE157" i="112"/>
  <c r="DE49" i="112"/>
  <c r="P35" i="125" l="1"/>
  <c r="H37" i="125"/>
  <c r="U35" i="125"/>
  <c r="L35" i="125"/>
  <c r="DY167" i="119"/>
  <c r="DY128" i="119"/>
  <c r="DY173" i="119"/>
  <c r="DY152" i="119"/>
  <c r="FM70" i="112"/>
  <c r="FM151" i="112" s="1"/>
  <c r="GY70" i="112"/>
  <c r="FM49" i="112"/>
  <c r="AD35" i="116"/>
  <c r="AC35" i="116"/>
  <c r="AC36" i="116"/>
  <c r="AB34" i="116"/>
  <c r="AB36" i="116"/>
  <c r="AD36" i="116"/>
  <c r="AD34" i="116" l="1"/>
  <c r="AC34" i="116"/>
  <c r="AB35" i="116"/>
  <c r="E36" i="116" l="1"/>
  <c r="E35" i="116"/>
  <c r="E34" i="116"/>
  <c r="R34" i="115" l="1"/>
  <c r="R33" i="115" l="1"/>
  <c r="R32" i="115" l="1"/>
  <c r="M34" i="115" l="1"/>
  <c r="M33" i="115"/>
  <c r="M32" i="115"/>
  <c r="M30" i="115"/>
  <c r="M29" i="115"/>
  <c r="M28" i="115"/>
  <c r="M26" i="115"/>
  <c r="M25" i="115"/>
  <c r="M24" i="115"/>
  <c r="M23" i="115"/>
  <c r="M22" i="115"/>
  <c r="M21" i="115"/>
  <c r="M20" i="115"/>
  <c r="M16" i="115"/>
  <c r="M11" i="115"/>
  <c r="M9" i="115"/>
  <c r="M43" i="115" l="1"/>
  <c r="X43" i="115" s="1"/>
  <c r="M10" i="115"/>
  <c r="M35" i="115" l="1"/>
  <c r="X10" i="115"/>
  <c r="X30" i="115"/>
  <c r="X28" i="115"/>
  <c r="X29" i="115"/>
  <c r="X24" i="115"/>
  <c r="X22" i="115"/>
  <c r="X26" i="115"/>
  <c r="X23" i="115"/>
  <c r="X25" i="115"/>
  <c r="X20" i="115"/>
  <c r="X21" i="115"/>
  <c r="X17" i="115"/>
  <c r="X16" i="115"/>
  <c r="X11" i="115"/>
  <c r="X9" i="115"/>
  <c r="X8" i="115"/>
  <c r="CJ91" i="6" l="1"/>
  <c r="CV91" i="6" s="1"/>
  <c r="CZ91" i="6" s="1"/>
  <c r="DD91" i="6" s="1"/>
  <c r="DH91" i="6" s="1"/>
  <c r="DL91" i="6" s="1"/>
  <c r="DP91" i="6" s="1"/>
  <c r="CI91" i="6"/>
  <c r="CY91" i="6" s="1"/>
  <c r="DC91" i="6" s="1"/>
  <c r="DG91" i="6" s="1"/>
  <c r="DK91" i="6" s="1"/>
  <c r="DO91" i="6" s="1"/>
  <c r="CH91" i="6"/>
  <c r="CX91" i="6" s="1"/>
  <c r="DB91" i="6" s="1"/>
  <c r="DF91" i="6" s="1"/>
  <c r="DJ91" i="6" s="1"/>
  <c r="DN91" i="6" s="1"/>
  <c r="CJ90" i="6"/>
  <c r="CI90" i="6"/>
  <c r="CH90" i="6"/>
  <c r="CJ89" i="6"/>
  <c r="CI89" i="6"/>
  <c r="CH89" i="6"/>
  <c r="CJ88" i="6"/>
  <c r="CI88" i="6"/>
  <c r="CH88" i="6"/>
  <c r="CJ87" i="6"/>
  <c r="CI87" i="6"/>
  <c r="CH87" i="6"/>
  <c r="CJ72" i="6"/>
  <c r="CI72" i="6"/>
  <c r="CJ71" i="6"/>
  <c r="CI71" i="6"/>
  <c r="CJ70" i="6"/>
  <c r="CI70" i="6"/>
  <c r="CJ69" i="6"/>
  <c r="CI69" i="6"/>
  <c r="CJ68" i="6"/>
  <c r="CI68" i="6"/>
  <c r="CJ54" i="6"/>
  <c r="CI54" i="6"/>
  <c r="CH54" i="6"/>
  <c r="CJ53" i="6"/>
  <c r="CI53" i="6"/>
  <c r="CH53" i="6"/>
  <c r="CJ52" i="6"/>
  <c r="CI52" i="6"/>
  <c r="CH52" i="6"/>
  <c r="CJ51" i="6"/>
  <c r="CI51" i="6"/>
  <c r="CH51" i="6"/>
  <c r="CJ50" i="6"/>
  <c r="CI50" i="6"/>
  <c r="CH50" i="6"/>
  <c r="CJ36" i="6"/>
  <c r="CI36" i="6"/>
  <c r="CM57" i="6" s="1"/>
  <c r="CH36" i="6"/>
  <c r="CL57" i="6" s="1"/>
  <c r="CJ35" i="6"/>
  <c r="CK74" i="6" s="1"/>
  <c r="CI35" i="6"/>
  <c r="CH35" i="6"/>
  <c r="CG6" i="6"/>
  <c r="CF6" i="6"/>
  <c r="CE6" i="6"/>
  <c r="CD6" i="6"/>
  <c r="CC6" i="6"/>
  <c r="CB6" i="6"/>
  <c r="CA6" i="6"/>
  <c r="BZ6" i="6"/>
  <c r="BY6" i="6"/>
  <c r="BX6" i="6"/>
  <c r="BW6" i="6"/>
  <c r="BV6" i="6"/>
  <c r="BU6" i="6"/>
  <c r="BT6" i="6"/>
  <c r="BS6" i="6"/>
  <c r="BR6" i="6"/>
  <c r="BQ6" i="6"/>
  <c r="BP6" i="6"/>
  <c r="BO6" i="6"/>
  <c r="BN6" i="6"/>
  <c r="BM6" i="6"/>
  <c r="BL6" i="6"/>
  <c r="BK6" i="6"/>
  <c r="BJ6" i="6"/>
  <c r="BI6" i="6"/>
  <c r="BH6" i="6"/>
  <c r="BG6" i="6"/>
  <c r="BF6" i="6"/>
  <c r="BE6" i="6"/>
  <c r="BD6" i="6"/>
  <c r="BC6" i="6"/>
  <c r="BB6" i="6"/>
  <c r="CJ6" i="6"/>
  <c r="CK5" i="6" s="1"/>
  <c r="CI6" i="6"/>
  <c r="CH6" i="6"/>
  <c r="AI73" i="6"/>
  <c r="AJ73" i="6"/>
  <c r="AM73" i="6"/>
  <c r="AN73" i="6"/>
  <c r="AQ73" i="6"/>
  <c r="AR73" i="6"/>
  <c r="AL55" i="6"/>
  <c r="AM55" i="6"/>
  <c r="AN55" i="6"/>
  <c r="AP55" i="6"/>
  <c r="AQ55" i="6"/>
  <c r="AR55" i="6"/>
  <c r="AJ92" i="6"/>
  <c r="AI92" i="6"/>
  <c r="AH92" i="6"/>
  <c r="AP92" i="6"/>
  <c r="AQ92" i="6"/>
  <c r="AR92" i="6"/>
  <c r="AM92" i="6"/>
  <c r="AN92" i="6"/>
  <c r="AL92" i="6"/>
  <c r="AO34" i="6"/>
  <c r="AO35" i="6" s="1"/>
  <c r="AS34" i="6"/>
  <c r="AS35" i="6" s="1"/>
  <c r="AG35" i="6"/>
  <c r="AK34" i="6"/>
  <c r="AK92" i="6" s="1"/>
  <c r="E35" i="6"/>
  <c r="D35" i="6"/>
  <c r="C35" i="6"/>
  <c r="B35" i="6"/>
  <c r="I35" i="6"/>
  <c r="H35" i="6"/>
  <c r="G35" i="6"/>
  <c r="F35" i="6"/>
  <c r="M35" i="6"/>
  <c r="L35" i="6"/>
  <c r="K35" i="6"/>
  <c r="J35" i="6"/>
  <c r="Q35" i="6"/>
  <c r="P35" i="6"/>
  <c r="O35" i="6"/>
  <c r="N35" i="6"/>
  <c r="U35" i="6"/>
  <c r="T35" i="6"/>
  <c r="S35" i="6"/>
  <c r="R35" i="6"/>
  <c r="Y35" i="6"/>
  <c r="X35" i="6"/>
  <c r="W35" i="6"/>
  <c r="V35" i="6"/>
  <c r="AC35" i="6"/>
  <c r="AB35" i="6"/>
  <c r="AA35" i="6"/>
  <c r="Z35" i="6"/>
  <c r="AF35" i="6"/>
  <c r="AE35" i="6"/>
  <c r="AD35" i="6"/>
  <c r="AJ35" i="6"/>
  <c r="AI35" i="6"/>
  <c r="AH35" i="6"/>
  <c r="AN35" i="6"/>
  <c r="AM35" i="6"/>
  <c r="AL35" i="6"/>
  <c r="AP35" i="6"/>
  <c r="AQ35" i="6"/>
  <c r="AR35" i="6"/>
  <c r="EF21" i="6"/>
  <c r="EE21" i="6"/>
  <c r="CX87" i="6" l="1"/>
  <c r="DB87" i="6" s="1"/>
  <c r="DF87" i="6" s="1"/>
  <c r="DJ87" i="6" s="1"/>
  <c r="DN87" i="6" s="1"/>
  <c r="CY87" i="6"/>
  <c r="DC87" i="6" s="1"/>
  <c r="DG87" i="6" s="1"/>
  <c r="DK87" i="6" s="1"/>
  <c r="DO87" i="6" s="1"/>
  <c r="CV87" i="6"/>
  <c r="CZ87" i="6" s="1"/>
  <c r="DD87" i="6" s="1"/>
  <c r="DH87" i="6" s="1"/>
  <c r="DL87" i="6" s="1"/>
  <c r="DP87" i="6" s="1"/>
  <c r="CX88" i="6"/>
  <c r="DB88" i="6" s="1"/>
  <c r="DF88" i="6" s="1"/>
  <c r="DJ88" i="6" s="1"/>
  <c r="DN88" i="6" s="1"/>
  <c r="CY88" i="6"/>
  <c r="DC88" i="6" s="1"/>
  <c r="DG88" i="6" s="1"/>
  <c r="DK88" i="6" s="1"/>
  <c r="DO88" i="6" s="1"/>
  <c r="CV88" i="6"/>
  <c r="CZ88" i="6" s="1"/>
  <c r="DD88" i="6" s="1"/>
  <c r="DH88" i="6" s="1"/>
  <c r="DL88" i="6" s="1"/>
  <c r="DP88" i="6" s="1"/>
  <c r="CX89" i="6"/>
  <c r="DB89" i="6" s="1"/>
  <c r="DF89" i="6" s="1"/>
  <c r="DJ89" i="6" s="1"/>
  <c r="DN89" i="6" s="1"/>
  <c r="CY89" i="6"/>
  <c r="DC89" i="6" s="1"/>
  <c r="DG89" i="6" s="1"/>
  <c r="DK89" i="6" s="1"/>
  <c r="DO89" i="6" s="1"/>
  <c r="CV89" i="6"/>
  <c r="CZ89" i="6" s="1"/>
  <c r="DD89" i="6" s="1"/>
  <c r="DH89" i="6" s="1"/>
  <c r="DL89" i="6" s="1"/>
  <c r="DP89" i="6" s="1"/>
  <c r="CX90" i="6"/>
  <c r="DB90" i="6" s="1"/>
  <c r="DF90" i="6" s="1"/>
  <c r="DJ90" i="6" s="1"/>
  <c r="DN90" i="6" s="1"/>
  <c r="CY90" i="6"/>
  <c r="DC90" i="6" s="1"/>
  <c r="DG90" i="6" s="1"/>
  <c r="DK90" i="6" s="1"/>
  <c r="DO90" i="6" s="1"/>
  <c r="CV90" i="6"/>
  <c r="CZ90" i="6" s="1"/>
  <c r="DD90" i="6" s="1"/>
  <c r="DH90" i="6" s="1"/>
  <c r="DL90" i="6" s="1"/>
  <c r="DP90" i="6" s="1"/>
  <c r="BC5" i="6"/>
  <c r="BI5" i="6"/>
  <c r="BO5" i="6"/>
  <c r="CK36" i="6"/>
  <c r="BQ5" i="6"/>
  <c r="BT5" i="6"/>
  <c r="BG5" i="6"/>
  <c r="CD5" i="6"/>
  <c r="BN5" i="6"/>
  <c r="CA5" i="6"/>
  <c r="CI74" i="6"/>
  <c r="BU5" i="6"/>
  <c r="BH5" i="6"/>
  <c r="CJ74" i="6"/>
  <c r="CI75" i="6"/>
  <c r="CF5" i="6"/>
  <c r="CJ75" i="6"/>
  <c r="CG5" i="6"/>
  <c r="BD5" i="6"/>
  <c r="BJ5" i="6"/>
  <c r="BV5" i="6"/>
  <c r="CB5" i="6"/>
  <c r="CH5" i="6"/>
  <c r="BK5" i="6"/>
  <c r="BR5" i="6"/>
  <c r="BW5" i="6"/>
  <c r="CI5" i="6"/>
  <c r="BE5" i="6"/>
  <c r="CC5" i="6"/>
  <c r="BL5" i="6"/>
  <c r="CJ5" i="6"/>
  <c r="BP5" i="6"/>
  <c r="BF5" i="6"/>
  <c r="BZ5" i="6"/>
  <c r="BS5" i="6"/>
  <c r="BX5" i="6"/>
  <c r="BM5" i="6"/>
  <c r="BY5" i="6"/>
  <c r="CE5" i="6"/>
  <c r="AO55" i="6"/>
  <c r="AP73" i="6"/>
  <c r="AS55" i="6"/>
  <c r="AO73" i="6"/>
  <c r="AL73" i="6"/>
  <c r="AK73" i="6"/>
  <c r="AS73" i="6"/>
  <c r="AK35" i="6"/>
  <c r="AO92" i="6"/>
  <c r="AS92" i="6"/>
  <c r="E16" i="6"/>
  <c r="D16" i="6"/>
  <c r="D85" i="6" s="1"/>
  <c r="AR176" i="119" s="1"/>
  <c r="C16" i="6"/>
  <c r="C85" i="6" s="1"/>
  <c r="AQ176" i="119" s="1"/>
  <c r="B16" i="6"/>
  <c r="I16" i="6"/>
  <c r="I85" i="6" s="1"/>
  <c r="AW176" i="119" s="1"/>
  <c r="H16" i="6"/>
  <c r="G16" i="6"/>
  <c r="F16" i="6"/>
  <c r="F85" i="6" s="1"/>
  <c r="AT176" i="119" s="1"/>
  <c r="M16" i="6"/>
  <c r="L16" i="6"/>
  <c r="L85" i="6" s="1"/>
  <c r="AZ176" i="119" s="1"/>
  <c r="AA140" i="30" s="1"/>
  <c r="K16" i="6"/>
  <c r="J16" i="6"/>
  <c r="Q16" i="6"/>
  <c r="P16" i="6"/>
  <c r="P85" i="6" s="1"/>
  <c r="BD176" i="119" s="1"/>
  <c r="AE140" i="30" s="1"/>
  <c r="O16" i="6"/>
  <c r="O85" i="6" s="1"/>
  <c r="BC176" i="119" s="1"/>
  <c r="AD140" i="30" s="1"/>
  <c r="N16" i="6"/>
  <c r="U16" i="6"/>
  <c r="U85" i="6" s="1"/>
  <c r="BI176" i="119" s="1"/>
  <c r="AJ140" i="30" s="1"/>
  <c r="T16" i="6"/>
  <c r="S16" i="6"/>
  <c r="R16" i="6"/>
  <c r="R85" i="6" s="1"/>
  <c r="BF176" i="119" s="1"/>
  <c r="AG140" i="30" s="1"/>
  <c r="Y16" i="6"/>
  <c r="X16" i="6"/>
  <c r="X85" i="6" s="1"/>
  <c r="BL176" i="119" s="1"/>
  <c r="AM140" i="30" s="1"/>
  <c r="W16" i="6"/>
  <c r="V16" i="6"/>
  <c r="AC16" i="6"/>
  <c r="AB16" i="6"/>
  <c r="AB85" i="6" s="1"/>
  <c r="BP176" i="119" s="1"/>
  <c r="AQ140" i="30" s="1"/>
  <c r="AA16" i="6"/>
  <c r="AA85" i="6" s="1"/>
  <c r="BO176" i="119" s="1"/>
  <c r="AP140" i="30" s="1"/>
  <c r="Z16" i="6"/>
  <c r="AG16" i="6"/>
  <c r="AG85" i="6" s="1"/>
  <c r="BU176" i="119" s="1"/>
  <c r="AV140" i="30" s="1"/>
  <c r="AF16" i="6"/>
  <c r="AE16" i="6"/>
  <c r="AD16" i="6"/>
  <c r="AD85" i="6" s="1"/>
  <c r="BR176" i="119" s="1"/>
  <c r="AS140" i="30" s="1"/>
  <c r="AK16" i="6"/>
  <c r="AJ16" i="6"/>
  <c r="AJ85" i="6" s="1"/>
  <c r="BX176" i="119" s="1"/>
  <c r="AY140" i="30" s="1"/>
  <c r="AI16" i="6"/>
  <c r="AH16" i="6"/>
  <c r="AH85" i="6" s="1"/>
  <c r="BV176" i="119" s="1"/>
  <c r="AW140" i="30" s="1"/>
  <c r="AO16" i="6"/>
  <c r="AN16" i="6"/>
  <c r="AM16" i="6"/>
  <c r="AM85" i="6" s="1"/>
  <c r="CA176" i="119" s="1"/>
  <c r="BB140" i="30" s="1"/>
  <c r="AL16" i="6"/>
  <c r="AP16" i="6"/>
  <c r="AP85" i="6" s="1"/>
  <c r="CD176" i="119" s="1"/>
  <c r="BE140" i="30" s="1"/>
  <c r="AQ16" i="6"/>
  <c r="AR16" i="6"/>
  <c r="AS16" i="6"/>
  <c r="AS85" i="6" s="1"/>
  <c r="CG176" i="119" s="1"/>
  <c r="BH140" i="30" s="1"/>
  <c r="S84" i="6" l="1"/>
  <c r="S85" i="6"/>
  <c r="BG176" i="119" s="1"/>
  <c r="AH140" i="30" s="1"/>
  <c r="J83" i="6"/>
  <c r="AX164" i="119" s="1"/>
  <c r="Y136" i="30" s="1"/>
  <c r="J85" i="6"/>
  <c r="AX176" i="119" s="1"/>
  <c r="Y140" i="30" s="1"/>
  <c r="AK84" i="6"/>
  <c r="AK85" i="6"/>
  <c r="BY176" i="119" s="1"/>
  <c r="AZ140" i="30" s="1"/>
  <c r="AO93" i="6"/>
  <c r="AO85" i="6"/>
  <c r="CC176" i="119" s="1"/>
  <c r="BD140" i="30" s="1"/>
  <c r="AC81" i="6"/>
  <c r="AC85" i="6"/>
  <c r="BQ176" i="119" s="1"/>
  <c r="AR140" i="30" s="1"/>
  <c r="G84" i="6"/>
  <c r="G85" i="6"/>
  <c r="AU176" i="119" s="1"/>
  <c r="AF81" i="6"/>
  <c r="AF85" i="6"/>
  <c r="BT176" i="119" s="1"/>
  <c r="AU140" i="30" s="1"/>
  <c r="T81" i="6"/>
  <c r="T85" i="6"/>
  <c r="BH176" i="119" s="1"/>
  <c r="AI140" i="30" s="1"/>
  <c r="W93" i="6"/>
  <c r="W85" i="6"/>
  <c r="BK176" i="119" s="1"/>
  <c r="AL140" i="30" s="1"/>
  <c r="K81" i="6"/>
  <c r="K85" i="6"/>
  <c r="AY176" i="119" s="1"/>
  <c r="Z140" i="30" s="1"/>
  <c r="Y84" i="6"/>
  <c r="Y85" i="6"/>
  <c r="BM176" i="119" s="1"/>
  <c r="AN140" i="30" s="1"/>
  <c r="M84" i="6"/>
  <c r="M85" i="6"/>
  <c r="BA176" i="119" s="1"/>
  <c r="AB140" i="30" s="1"/>
  <c r="AN84" i="6"/>
  <c r="AN85" i="6"/>
  <c r="CB176" i="119" s="1"/>
  <c r="BC140" i="30" s="1"/>
  <c r="AR80" i="6"/>
  <c r="AR85" i="6"/>
  <c r="CF176" i="119" s="1"/>
  <c r="BG140" i="30" s="1"/>
  <c r="AE84" i="6"/>
  <c r="AE85" i="6"/>
  <c r="BS176" i="119" s="1"/>
  <c r="AT140" i="30" s="1"/>
  <c r="Q93" i="6"/>
  <c r="Q85" i="6"/>
  <c r="BE176" i="119" s="1"/>
  <c r="AF140" i="30" s="1"/>
  <c r="E93" i="6"/>
  <c r="E85" i="6"/>
  <c r="AS176" i="119" s="1"/>
  <c r="AQ84" i="6"/>
  <c r="AQ85" i="6"/>
  <c r="CE176" i="119" s="1"/>
  <c r="BF140" i="30" s="1"/>
  <c r="V83" i="6"/>
  <c r="BJ164" i="119" s="1"/>
  <c r="AK136" i="30" s="1"/>
  <c r="V85" i="6"/>
  <c r="BJ176" i="119" s="1"/>
  <c r="AK140" i="30" s="1"/>
  <c r="H81" i="6"/>
  <c r="H85" i="6"/>
  <c r="AV176" i="119" s="1"/>
  <c r="AI93" i="6"/>
  <c r="AI85" i="6"/>
  <c r="BW176" i="119" s="1"/>
  <c r="AX140" i="30" s="1"/>
  <c r="AL83" i="6"/>
  <c r="BZ164" i="119" s="1"/>
  <c r="BA136" i="30" s="1"/>
  <c r="AL85" i="6"/>
  <c r="BZ176" i="119" s="1"/>
  <c r="BA140" i="30" s="1"/>
  <c r="Z93" i="6"/>
  <c r="Z85" i="6"/>
  <c r="BN176" i="119" s="1"/>
  <c r="AO140" i="30" s="1"/>
  <c r="N93" i="6"/>
  <c r="N85" i="6"/>
  <c r="BB176" i="119" s="1"/>
  <c r="AC140" i="30" s="1"/>
  <c r="B93" i="6"/>
  <c r="B85" i="6"/>
  <c r="AP176" i="119" s="1"/>
  <c r="CL75" i="6"/>
  <c r="CK94" i="6"/>
  <c r="CK75" i="6"/>
  <c r="AK93" i="6"/>
  <c r="V93" i="6"/>
  <c r="AQ93" i="6"/>
  <c r="K93" i="6"/>
  <c r="H93" i="6"/>
  <c r="T93" i="6"/>
  <c r="M93" i="6"/>
  <c r="G93" i="6"/>
  <c r="AG93" i="6"/>
  <c r="AM93" i="6"/>
  <c r="S93" i="6"/>
  <c r="AF93" i="6"/>
  <c r="J93" i="6"/>
  <c r="X93" i="6"/>
  <c r="L81" i="6"/>
  <c r="L93" i="6"/>
  <c r="AA93" i="6"/>
  <c r="O93" i="6"/>
  <c r="C93" i="6"/>
  <c r="AS93" i="6"/>
  <c r="AD93" i="6"/>
  <c r="R83" i="6"/>
  <c r="BF164" i="119" s="1"/>
  <c r="AG136" i="30" s="1"/>
  <c r="R93" i="6"/>
  <c r="F93" i="6"/>
  <c r="AH83" i="6"/>
  <c r="BV164" i="119" s="1"/>
  <c r="AW136" i="30" s="1"/>
  <c r="AH93" i="6"/>
  <c r="AE93" i="6"/>
  <c r="I93" i="6"/>
  <c r="AN93" i="6"/>
  <c r="AL93" i="6"/>
  <c r="AJ83" i="6"/>
  <c r="BX164" i="119" s="1"/>
  <c r="AY136" i="30" s="1"/>
  <c r="AJ93" i="6"/>
  <c r="Y93" i="6"/>
  <c r="AB84" i="6"/>
  <c r="AB93" i="6"/>
  <c r="P81" i="6"/>
  <c r="P93" i="6"/>
  <c r="D84" i="6"/>
  <c r="D93" i="6"/>
  <c r="AC93" i="6"/>
  <c r="AP82" i="6"/>
  <c r="AP93" i="6"/>
  <c r="AR93" i="6"/>
  <c r="U93" i="6"/>
  <c r="AH80" i="6"/>
  <c r="O80" i="6"/>
  <c r="J81" i="6"/>
  <c r="H83" i="6"/>
  <c r="AV164" i="119" s="1"/>
  <c r="AD81" i="6"/>
  <c r="AS83" i="6"/>
  <c r="CG164" i="119" s="1"/>
  <c r="BH136" i="30" s="1"/>
  <c r="AF80" i="6"/>
  <c r="P80" i="6"/>
  <c r="AS81" i="6"/>
  <c r="G81" i="6"/>
  <c r="AQ83" i="6"/>
  <c r="CE164" i="119" s="1"/>
  <c r="BF136" i="30" s="1"/>
  <c r="F83" i="6"/>
  <c r="AT164" i="119" s="1"/>
  <c r="P84" i="6"/>
  <c r="R80" i="6"/>
  <c r="R84" i="6"/>
  <c r="AS80" i="6"/>
  <c r="AQ81" i="6"/>
  <c r="AB81" i="6"/>
  <c r="F81" i="6"/>
  <c r="AF83" i="6"/>
  <c r="BT164" i="119" s="1"/>
  <c r="AU136" i="30" s="1"/>
  <c r="AS84" i="6"/>
  <c r="J84" i="6"/>
  <c r="F80" i="6"/>
  <c r="AB80" i="6"/>
  <c r="J80" i="6"/>
  <c r="AN81" i="6"/>
  <c r="V81" i="6"/>
  <c r="D81" i="6"/>
  <c r="AE83" i="6"/>
  <c r="BS164" i="119" s="1"/>
  <c r="AT136" i="30" s="1"/>
  <c r="AH84" i="6"/>
  <c r="F84" i="6"/>
  <c r="AD80" i="6"/>
  <c r="AQ80" i="6"/>
  <c r="V80" i="6"/>
  <c r="H80" i="6"/>
  <c r="AK81" i="6"/>
  <c r="R81" i="6"/>
  <c r="AS82" i="6"/>
  <c r="AD83" i="6"/>
  <c r="BR164" i="119" s="1"/>
  <c r="AS136" i="30" s="1"/>
  <c r="AK80" i="6"/>
  <c r="T80" i="6"/>
  <c r="G80" i="6"/>
  <c r="AH81" i="6"/>
  <c r="AQ82" i="6"/>
  <c r="T83" i="6"/>
  <c r="BH164" i="119" s="1"/>
  <c r="AI136" i="30" s="1"/>
  <c r="V84" i="6"/>
  <c r="AI80" i="6"/>
  <c r="AI83" i="6"/>
  <c r="BW164" i="119" s="1"/>
  <c r="AX136" i="30" s="1"/>
  <c r="N81" i="6"/>
  <c r="N84" i="6"/>
  <c r="AR81" i="6"/>
  <c r="AR84" i="6"/>
  <c r="AC80" i="6"/>
  <c r="AC83" i="6"/>
  <c r="BQ164" i="119" s="1"/>
  <c r="AR136" i="30" s="1"/>
  <c r="Q80" i="6"/>
  <c r="Q83" i="6"/>
  <c r="BE164" i="119" s="1"/>
  <c r="AF136" i="30" s="1"/>
  <c r="E80" i="6"/>
  <c r="E83" i="6"/>
  <c r="AS164" i="119" s="1"/>
  <c r="AM80" i="6"/>
  <c r="Y80" i="6"/>
  <c r="C80" i="6"/>
  <c r="AG81" i="6"/>
  <c r="Y81" i="6"/>
  <c r="AG83" i="6"/>
  <c r="BU164" i="119" s="1"/>
  <c r="AV136" i="30" s="1"/>
  <c r="Y83" i="6"/>
  <c r="BM164" i="119" s="1"/>
  <c r="AN136" i="30" s="1"/>
  <c r="O83" i="6"/>
  <c r="BC164" i="119" s="1"/>
  <c r="AD136" i="30" s="1"/>
  <c r="G83" i="6"/>
  <c r="AU164" i="119" s="1"/>
  <c r="AD84" i="6"/>
  <c r="L84" i="6"/>
  <c r="K80" i="6"/>
  <c r="K83" i="6"/>
  <c r="AY164" i="119" s="1"/>
  <c r="Z136" i="30" s="1"/>
  <c r="Z81" i="6"/>
  <c r="Z84" i="6"/>
  <c r="B80" i="6"/>
  <c r="B83" i="6"/>
  <c r="AP164" i="119" s="1"/>
  <c r="AO80" i="6"/>
  <c r="AO83" i="6"/>
  <c r="CC164" i="119" s="1"/>
  <c r="BD136" i="30" s="1"/>
  <c r="AL80" i="6"/>
  <c r="AE80" i="6"/>
  <c r="X80" i="6"/>
  <c r="I80" i="6"/>
  <c r="B81" i="6"/>
  <c r="AM81" i="6"/>
  <c r="AE81" i="6"/>
  <c r="X81" i="6"/>
  <c r="Q81" i="6"/>
  <c r="C81" i="6"/>
  <c r="AP83" i="6"/>
  <c r="CD164" i="119" s="1"/>
  <c r="BE136" i="30" s="1"/>
  <c r="X83" i="6"/>
  <c r="BL164" i="119" s="1"/>
  <c r="AM136" i="30" s="1"/>
  <c r="N83" i="6"/>
  <c r="BB164" i="119" s="1"/>
  <c r="AC136" i="30" s="1"/>
  <c r="AM84" i="6"/>
  <c r="AC84" i="6"/>
  <c r="U84" i="6"/>
  <c r="K84" i="6"/>
  <c r="C84" i="6"/>
  <c r="W80" i="6"/>
  <c r="W83" i="6"/>
  <c r="BK164" i="119" s="1"/>
  <c r="AL136" i="30" s="1"/>
  <c r="I81" i="6"/>
  <c r="AM83" i="6"/>
  <c r="CA164" i="119" s="1"/>
  <c r="BB136" i="30" s="1"/>
  <c r="U83" i="6"/>
  <c r="BI164" i="119" s="1"/>
  <c r="AJ136" i="30" s="1"/>
  <c r="M83" i="6"/>
  <c r="BA164" i="119" s="1"/>
  <c r="AB136" i="30" s="1"/>
  <c r="C83" i="6"/>
  <c r="AQ164" i="119" s="1"/>
  <c r="AJ84" i="6"/>
  <c r="W81" i="6"/>
  <c r="U80" i="6"/>
  <c r="N80" i="6"/>
  <c r="AJ81" i="6"/>
  <c r="O81" i="6"/>
  <c r="AR82" i="6"/>
  <c r="L83" i="6"/>
  <c r="AZ164" i="119" s="1"/>
  <c r="AA136" i="30" s="1"/>
  <c r="B84" i="6"/>
  <c r="AI84" i="6"/>
  <c r="AA84" i="6"/>
  <c r="Q84" i="6"/>
  <c r="I84" i="6"/>
  <c r="AJ80" i="6"/>
  <c r="AA83" i="6"/>
  <c r="BO164" i="119" s="1"/>
  <c r="AP136" i="30" s="1"/>
  <c r="X84" i="6"/>
  <c r="AL81" i="6"/>
  <c r="AL84" i="6"/>
  <c r="AP80" i="6"/>
  <c r="AA80" i="6"/>
  <c r="M80" i="6"/>
  <c r="AP81" i="6"/>
  <c r="AI81" i="6"/>
  <c r="U81" i="6"/>
  <c r="M81" i="6"/>
  <c r="AK83" i="6"/>
  <c r="BY164" i="119" s="1"/>
  <c r="AZ136" i="30" s="1"/>
  <c r="S83" i="6"/>
  <c r="BG164" i="119" s="1"/>
  <c r="AH136" i="30" s="1"/>
  <c r="I83" i="6"/>
  <c r="AW164" i="119" s="1"/>
  <c r="AP84" i="6"/>
  <c r="AN83" i="6"/>
  <c r="CB164" i="119" s="1"/>
  <c r="BC136" i="30" s="1"/>
  <c r="AB83" i="6"/>
  <c r="BP164" i="119" s="1"/>
  <c r="AQ136" i="30" s="1"/>
  <c r="P83" i="6"/>
  <c r="BD164" i="119" s="1"/>
  <c r="AE136" i="30" s="1"/>
  <c r="D83" i="6"/>
  <c r="AR164" i="119" s="1"/>
  <c r="AN80" i="6"/>
  <c r="AG80" i="6"/>
  <c r="Z80" i="6"/>
  <c r="S80" i="6"/>
  <c r="L80" i="6"/>
  <c r="D80" i="6"/>
  <c r="AO81" i="6"/>
  <c r="AA81" i="6"/>
  <c r="S81" i="6"/>
  <c r="E81" i="6"/>
  <c r="AR83" i="6"/>
  <c r="CF164" i="119" s="1"/>
  <c r="BG136" i="30" s="1"/>
  <c r="Z83" i="6"/>
  <c r="BN164" i="119" s="1"/>
  <c r="AO136" i="30" s="1"/>
  <c r="AO84" i="6"/>
  <c r="AG84" i="6"/>
  <c r="W84" i="6"/>
  <c r="O84" i="6"/>
  <c r="E84" i="6"/>
  <c r="AF84" i="6"/>
  <c r="T84" i="6"/>
  <c r="H84" i="6"/>
  <c r="EM57" i="6"/>
  <c r="EL57" i="6"/>
  <c r="EM58" i="6"/>
  <c r="EL58" i="6"/>
  <c r="EI13" i="6"/>
  <c r="AT72" i="6"/>
  <c r="AT71" i="6"/>
  <c r="AT69" i="6"/>
  <c r="AT68" i="6"/>
  <c r="AT66" i="6"/>
  <c r="AT65" i="6"/>
  <c r="AT63" i="6"/>
  <c r="AT62" i="6"/>
  <c r="AW54" i="6"/>
  <c r="AV54" i="6"/>
  <c r="AU54" i="6"/>
  <c r="AT54" i="6"/>
  <c r="AW53" i="6"/>
  <c r="AV53" i="6"/>
  <c r="AU53" i="6"/>
  <c r="AT53" i="6"/>
  <c r="AW51" i="6"/>
  <c r="AV51" i="6"/>
  <c r="AU51" i="6"/>
  <c r="AT51" i="6"/>
  <c r="AW50" i="6"/>
  <c r="AV50" i="6"/>
  <c r="AU50" i="6"/>
  <c r="AT50" i="6"/>
  <c r="AW48" i="6"/>
  <c r="AV48" i="6"/>
  <c r="AU48" i="6"/>
  <c r="AT48" i="6"/>
  <c r="AW47" i="6"/>
  <c r="AV47" i="6"/>
  <c r="AU47" i="6"/>
  <c r="AT47" i="6"/>
  <c r="AW44" i="6"/>
  <c r="AV44" i="6"/>
  <c r="AU44" i="6"/>
  <c r="AT44" i="6"/>
  <c r="AW45" i="6"/>
  <c r="AV45" i="6"/>
  <c r="AU45" i="6"/>
  <c r="AT45" i="6"/>
  <c r="BO135" i="119" l="1"/>
  <c r="AP124" i="30" s="1"/>
  <c r="BO129" i="119"/>
  <c r="AQ118" i="30" s="1"/>
  <c r="BK154" i="119"/>
  <c r="AL133" i="30" s="1"/>
  <c r="BK153" i="119"/>
  <c r="BK149" i="119"/>
  <c r="BK146" i="119"/>
  <c r="BK143" i="119"/>
  <c r="BK140" i="119"/>
  <c r="BK151" i="119"/>
  <c r="AL128" i="30" s="1"/>
  <c r="BK148" i="119"/>
  <c r="BK145" i="119"/>
  <c r="BK142" i="119"/>
  <c r="BK139" i="119"/>
  <c r="BK144" i="119"/>
  <c r="BK150" i="119"/>
  <c r="BK141" i="119"/>
  <c r="BK147" i="119"/>
  <c r="BK138" i="119"/>
  <c r="BQ165" i="119"/>
  <c r="BQ174" i="119"/>
  <c r="BQ166" i="119"/>
  <c r="BQ170" i="119"/>
  <c r="AR138" i="30" s="1"/>
  <c r="BL129" i="119"/>
  <c r="AN118" i="30" s="1"/>
  <c r="BL135" i="119"/>
  <c r="AP135" i="119"/>
  <c r="AP129" i="119"/>
  <c r="BU154" i="119"/>
  <c r="AV133" i="30" s="1"/>
  <c r="BU150" i="119"/>
  <c r="BU147" i="119"/>
  <c r="BU144" i="119"/>
  <c r="BU141" i="119"/>
  <c r="BU138" i="119"/>
  <c r="BU153" i="119"/>
  <c r="BU149" i="119"/>
  <c r="BU146" i="119"/>
  <c r="BU143" i="119"/>
  <c r="BU140" i="119"/>
  <c r="BU148" i="119"/>
  <c r="BU139" i="119"/>
  <c r="BU145" i="119"/>
  <c r="BU142" i="119"/>
  <c r="BU151" i="119"/>
  <c r="AV128" i="30" s="1"/>
  <c r="BB174" i="119"/>
  <c r="BB166" i="119"/>
  <c r="BB165" i="119"/>
  <c r="BB170" i="119"/>
  <c r="AC138" i="30" s="1"/>
  <c r="BR129" i="119"/>
  <c r="AT118" i="30" s="1"/>
  <c r="BR135" i="119"/>
  <c r="BD135" i="119"/>
  <c r="AE124" i="30" s="1"/>
  <c r="BD129" i="119"/>
  <c r="BS129" i="119"/>
  <c r="AU118" i="30" s="1"/>
  <c r="BS135" i="119"/>
  <c r="AT124" i="30" s="1"/>
  <c r="AQ135" i="119"/>
  <c r="AQ129" i="119"/>
  <c r="BV153" i="119"/>
  <c r="BV149" i="119"/>
  <c r="BV146" i="119"/>
  <c r="BV143" i="119"/>
  <c r="BV140" i="119"/>
  <c r="BV151" i="119"/>
  <c r="AW128" i="30" s="1"/>
  <c r="BV148" i="119"/>
  <c r="BV145" i="119"/>
  <c r="BV142" i="119"/>
  <c r="BV139" i="119"/>
  <c r="BV154" i="119"/>
  <c r="AW133" i="30" s="1"/>
  <c r="BV150" i="119"/>
  <c r="BV141" i="119"/>
  <c r="BV144" i="119"/>
  <c r="BV147" i="119"/>
  <c r="BV138" i="119"/>
  <c r="AT151" i="119"/>
  <c r="AT148" i="119"/>
  <c r="AT145" i="119"/>
  <c r="AT142" i="119"/>
  <c r="AT139" i="119"/>
  <c r="AT150" i="119"/>
  <c r="AT147" i="119"/>
  <c r="AT144" i="119"/>
  <c r="AT141" i="119"/>
  <c r="AT138" i="119"/>
  <c r="AT146" i="119"/>
  <c r="AT149" i="119"/>
  <c r="AT140" i="119"/>
  <c r="AT154" i="119"/>
  <c r="AT153" i="119"/>
  <c r="AT143" i="119"/>
  <c r="BA174" i="119"/>
  <c r="BA170" i="119"/>
  <c r="AB138" i="30" s="1"/>
  <c r="BA166" i="119"/>
  <c r="BA165" i="119"/>
  <c r="BY174" i="119"/>
  <c r="BY166" i="119"/>
  <c r="BY170" i="119"/>
  <c r="AZ138" i="30" s="1"/>
  <c r="BY165" i="119"/>
  <c r="BK165" i="119"/>
  <c r="BK170" i="119"/>
  <c r="AL138" i="30" s="1"/>
  <c r="BK166" i="119"/>
  <c r="BK174" i="119"/>
  <c r="BN135" i="119"/>
  <c r="AO124" i="30" s="1"/>
  <c r="BN129" i="119"/>
  <c r="AP118" i="30" s="1"/>
  <c r="BI150" i="119"/>
  <c r="BI147" i="119"/>
  <c r="BI144" i="119"/>
  <c r="BI141" i="119"/>
  <c r="BI138" i="119"/>
  <c r="BI153" i="119"/>
  <c r="BI149" i="119"/>
  <c r="BI146" i="119"/>
  <c r="BI143" i="119"/>
  <c r="BI140" i="119"/>
  <c r="BI145" i="119"/>
  <c r="BI154" i="119"/>
  <c r="AJ133" i="30" s="1"/>
  <c r="BI151" i="119"/>
  <c r="AJ128" i="30" s="1"/>
  <c r="BI142" i="119"/>
  <c r="BI148" i="119"/>
  <c r="BI139" i="119"/>
  <c r="BE165" i="119"/>
  <c r="BE174" i="119"/>
  <c r="BE166" i="119"/>
  <c r="BE170" i="119"/>
  <c r="AF138" i="30" s="1"/>
  <c r="BN154" i="119"/>
  <c r="AO133" i="30" s="1"/>
  <c r="BN150" i="119"/>
  <c r="BN147" i="119"/>
  <c r="BN144" i="119"/>
  <c r="BN141" i="119"/>
  <c r="BN138" i="119"/>
  <c r="BN153" i="119"/>
  <c r="BN149" i="119"/>
  <c r="BN146" i="119"/>
  <c r="BN143" i="119"/>
  <c r="BN140" i="119"/>
  <c r="BN145" i="119"/>
  <c r="BN148" i="119"/>
  <c r="BN139" i="119"/>
  <c r="BN151" i="119"/>
  <c r="AO128" i="30" s="1"/>
  <c r="BN142" i="119"/>
  <c r="BY151" i="119"/>
  <c r="AZ128" i="30" s="1"/>
  <c r="BY148" i="119"/>
  <c r="BY145" i="119"/>
  <c r="BY142" i="119"/>
  <c r="BY139" i="119"/>
  <c r="BY150" i="119"/>
  <c r="BY147" i="119"/>
  <c r="BY144" i="119"/>
  <c r="BY141" i="119"/>
  <c r="BY138" i="119"/>
  <c r="BY154" i="119"/>
  <c r="AZ133" i="30" s="1"/>
  <c r="BY146" i="119"/>
  <c r="BY153" i="119"/>
  <c r="BY143" i="119"/>
  <c r="BY140" i="119"/>
  <c r="BY149" i="119"/>
  <c r="BP135" i="119"/>
  <c r="AQ124" i="30" s="1"/>
  <c r="BP129" i="119"/>
  <c r="BP153" i="119"/>
  <c r="BP149" i="119"/>
  <c r="BP146" i="119"/>
  <c r="BP143" i="119"/>
  <c r="BP140" i="119"/>
  <c r="BP151" i="119"/>
  <c r="AQ128" i="30" s="1"/>
  <c r="BP148" i="119"/>
  <c r="BP145" i="119"/>
  <c r="BP142" i="119"/>
  <c r="BP139" i="119"/>
  <c r="BP144" i="119"/>
  <c r="BP154" i="119"/>
  <c r="AQ133" i="30" s="1"/>
  <c r="BP147" i="119"/>
  <c r="BP138" i="119"/>
  <c r="BP150" i="119"/>
  <c r="BP141" i="119"/>
  <c r="AV174" i="119"/>
  <c r="AV166" i="119"/>
  <c r="AV165" i="119"/>
  <c r="AV170" i="119"/>
  <c r="BU166" i="119"/>
  <c r="BU170" i="119"/>
  <c r="AV138" i="30" s="1"/>
  <c r="BU165" i="119"/>
  <c r="BU174" i="119"/>
  <c r="BO150" i="119"/>
  <c r="BO147" i="119"/>
  <c r="BO144" i="119"/>
  <c r="BO141" i="119"/>
  <c r="BO138" i="119"/>
  <c r="BO153" i="119"/>
  <c r="BO149" i="119"/>
  <c r="BO146" i="119"/>
  <c r="BO143" i="119"/>
  <c r="BO140" i="119"/>
  <c r="BO151" i="119"/>
  <c r="AP128" i="30" s="1"/>
  <c r="BO142" i="119"/>
  <c r="BO154" i="119"/>
  <c r="AP133" i="30" s="1"/>
  <c r="BO148" i="119"/>
  <c r="BO139" i="119"/>
  <c r="BO145" i="119"/>
  <c r="BU135" i="119"/>
  <c r="AV124" i="30" s="1"/>
  <c r="BU129" i="119"/>
  <c r="AW118" i="30" s="1"/>
  <c r="CD166" i="119"/>
  <c r="CD174" i="119"/>
  <c r="CD170" i="119"/>
  <c r="BE138" i="30" s="1"/>
  <c r="CD165" i="119"/>
  <c r="BW154" i="119"/>
  <c r="AX133" i="30" s="1"/>
  <c r="BW153" i="119"/>
  <c r="BW149" i="119"/>
  <c r="BW146" i="119"/>
  <c r="BW143" i="119"/>
  <c r="BW140" i="119"/>
  <c r="BW151" i="119"/>
  <c r="AX128" i="30" s="1"/>
  <c r="BW148" i="119"/>
  <c r="BW145" i="119"/>
  <c r="BW142" i="119"/>
  <c r="BW139" i="119"/>
  <c r="BW147" i="119"/>
  <c r="BW138" i="119"/>
  <c r="BW144" i="119"/>
  <c r="BW141" i="119"/>
  <c r="BW150" i="119"/>
  <c r="BZ150" i="119"/>
  <c r="BZ147" i="119"/>
  <c r="BZ144" i="119"/>
  <c r="BZ141" i="119"/>
  <c r="BZ138" i="119"/>
  <c r="BZ154" i="119"/>
  <c r="BA133" i="30" s="1"/>
  <c r="BZ153" i="119"/>
  <c r="BZ149" i="119"/>
  <c r="BZ146" i="119"/>
  <c r="BZ143" i="119"/>
  <c r="BZ140" i="119"/>
  <c r="BZ148" i="119"/>
  <c r="BZ139" i="119"/>
  <c r="BZ151" i="119"/>
  <c r="BA128" i="30" s="1"/>
  <c r="BZ142" i="119"/>
  <c r="BZ145" i="119"/>
  <c r="BO166" i="119"/>
  <c r="BO170" i="119"/>
  <c r="AP138" i="30" s="1"/>
  <c r="BO174" i="119"/>
  <c r="BO165" i="119"/>
  <c r="BX151" i="119"/>
  <c r="AY128" i="30" s="1"/>
  <c r="BX148" i="119"/>
  <c r="BX145" i="119"/>
  <c r="BX142" i="119"/>
  <c r="BX139" i="119"/>
  <c r="BX150" i="119"/>
  <c r="BX147" i="119"/>
  <c r="BX144" i="119"/>
  <c r="BX141" i="119"/>
  <c r="BX138" i="119"/>
  <c r="BX149" i="119"/>
  <c r="BX140" i="119"/>
  <c r="BX153" i="119"/>
  <c r="BX143" i="119"/>
  <c r="BX146" i="119"/>
  <c r="BX154" i="119"/>
  <c r="AY133" i="30" s="1"/>
  <c r="AQ166" i="119"/>
  <c r="AQ170" i="119"/>
  <c r="AQ174" i="119"/>
  <c r="AQ165" i="119"/>
  <c r="CA150" i="119"/>
  <c r="CA147" i="119"/>
  <c r="CA144" i="119"/>
  <c r="CA141" i="119"/>
  <c r="CA138" i="119"/>
  <c r="CA154" i="119"/>
  <c r="BB133" i="30" s="1"/>
  <c r="CA153" i="119"/>
  <c r="CA149" i="119"/>
  <c r="CA146" i="119"/>
  <c r="CA143" i="119"/>
  <c r="CA140" i="119"/>
  <c r="CA145" i="119"/>
  <c r="CA151" i="119"/>
  <c r="BB128" i="30" s="1"/>
  <c r="CA142" i="119"/>
  <c r="CA139" i="119"/>
  <c r="CA148" i="119"/>
  <c r="CA135" i="119"/>
  <c r="BB124" i="30" s="1"/>
  <c r="CA129" i="119"/>
  <c r="BC118" i="30" s="1"/>
  <c r="BQ135" i="119"/>
  <c r="AR124" i="30" s="1"/>
  <c r="BQ129" i="119"/>
  <c r="BW135" i="119"/>
  <c r="AX124" i="30" s="1"/>
  <c r="BW129" i="119"/>
  <c r="BH135" i="119"/>
  <c r="AI124" i="30" s="1"/>
  <c r="BH129" i="119"/>
  <c r="AJ118" i="30" s="1"/>
  <c r="AV135" i="119"/>
  <c r="AV129" i="119"/>
  <c r="AT129" i="119"/>
  <c r="AT135" i="119"/>
  <c r="CE151" i="119"/>
  <c r="BF128" i="30" s="1"/>
  <c r="CE148" i="119"/>
  <c r="CE145" i="119"/>
  <c r="CE142" i="119"/>
  <c r="CE139" i="119"/>
  <c r="CE150" i="119"/>
  <c r="CE147" i="119"/>
  <c r="CE144" i="119"/>
  <c r="CE141" i="119"/>
  <c r="CE138" i="119"/>
  <c r="CE153" i="119"/>
  <c r="CE143" i="119"/>
  <c r="CE154" i="119"/>
  <c r="BF133" i="30" s="1"/>
  <c r="CE149" i="119"/>
  <c r="CE140" i="119"/>
  <c r="CE146" i="119"/>
  <c r="BR151" i="119"/>
  <c r="AS128" i="30" s="1"/>
  <c r="BR148" i="119"/>
  <c r="BR145" i="119"/>
  <c r="BR142" i="119"/>
  <c r="BR139" i="119"/>
  <c r="BR154" i="119"/>
  <c r="AS133" i="30" s="1"/>
  <c r="BR150" i="119"/>
  <c r="BR147" i="119"/>
  <c r="BR144" i="119"/>
  <c r="BR141" i="119"/>
  <c r="BR138" i="119"/>
  <c r="BR153" i="119"/>
  <c r="BR143" i="119"/>
  <c r="BR146" i="119"/>
  <c r="BR149" i="119"/>
  <c r="BR140" i="119"/>
  <c r="AV150" i="119"/>
  <c r="AV147" i="119"/>
  <c r="AV144" i="119"/>
  <c r="AV141" i="119"/>
  <c r="AV138" i="119"/>
  <c r="AV154" i="119"/>
  <c r="AV153" i="119"/>
  <c r="AV149" i="119"/>
  <c r="AV146" i="119"/>
  <c r="AV143" i="119"/>
  <c r="AV140" i="119"/>
  <c r="AV145" i="119"/>
  <c r="AV148" i="119"/>
  <c r="AV139" i="119"/>
  <c r="AV151" i="119"/>
  <c r="AV142" i="119"/>
  <c r="CF135" i="119"/>
  <c r="BG124" i="30" s="1"/>
  <c r="CF129" i="119"/>
  <c r="BH118" i="30" s="1"/>
  <c r="BM174" i="119"/>
  <c r="BM165" i="119"/>
  <c r="BM170" i="119"/>
  <c r="AN138" i="30" s="1"/>
  <c r="BM166" i="119"/>
  <c r="BH150" i="119"/>
  <c r="BH147" i="119"/>
  <c r="BH144" i="119"/>
  <c r="BH141" i="119"/>
  <c r="BH138" i="119"/>
  <c r="BH153" i="119"/>
  <c r="BH149" i="119"/>
  <c r="BH146" i="119"/>
  <c r="BH143" i="119"/>
  <c r="BH140" i="119"/>
  <c r="BH148" i="119"/>
  <c r="BH139" i="119"/>
  <c r="BH151" i="119"/>
  <c r="AI128" i="30" s="1"/>
  <c r="BH142" i="119"/>
  <c r="BH154" i="119"/>
  <c r="AI133" i="30" s="1"/>
  <c r="BH145" i="119"/>
  <c r="BQ154" i="119"/>
  <c r="AR133" i="30" s="1"/>
  <c r="BQ153" i="119"/>
  <c r="BQ149" i="119"/>
  <c r="BQ146" i="119"/>
  <c r="BQ143" i="119"/>
  <c r="BQ140" i="119"/>
  <c r="BQ151" i="119"/>
  <c r="AR128" i="30" s="1"/>
  <c r="BQ148" i="119"/>
  <c r="BQ145" i="119"/>
  <c r="BQ142" i="119"/>
  <c r="BQ139" i="119"/>
  <c r="BQ150" i="119"/>
  <c r="BQ141" i="119"/>
  <c r="BQ147" i="119"/>
  <c r="BQ138" i="119"/>
  <c r="BQ144" i="119"/>
  <c r="BX129" i="119"/>
  <c r="AZ118" i="30" s="1"/>
  <c r="BX135" i="119"/>
  <c r="AW150" i="119"/>
  <c r="AW147" i="119"/>
  <c r="AW144" i="119"/>
  <c r="AW141" i="119"/>
  <c r="AW138" i="119"/>
  <c r="AW154" i="119"/>
  <c r="AW153" i="119"/>
  <c r="AW149" i="119"/>
  <c r="AW146" i="119"/>
  <c r="AW143" i="119"/>
  <c r="AW140" i="119"/>
  <c r="AW151" i="119"/>
  <c r="AW142" i="119"/>
  <c r="AW148" i="119"/>
  <c r="AW139" i="119"/>
  <c r="AW145" i="119"/>
  <c r="BR166" i="119"/>
  <c r="BR170" i="119"/>
  <c r="AS138" i="30" s="1"/>
  <c r="BR165" i="119"/>
  <c r="BR174" i="119"/>
  <c r="BC135" i="119"/>
  <c r="AD124" i="30" s="1"/>
  <c r="BC129" i="119"/>
  <c r="AE118" i="30" s="1"/>
  <c r="AS154" i="119"/>
  <c r="AS153" i="119"/>
  <c r="AS149" i="119"/>
  <c r="AS146" i="119"/>
  <c r="AS143" i="119"/>
  <c r="AS140" i="119"/>
  <c r="AS151" i="119"/>
  <c r="AS148" i="119"/>
  <c r="AS145" i="119"/>
  <c r="AS142" i="119"/>
  <c r="AS139" i="119"/>
  <c r="AS144" i="119"/>
  <c r="AS150" i="119"/>
  <c r="AS141" i="119"/>
  <c r="AS147" i="119"/>
  <c r="AS138" i="119"/>
  <c r="BA151" i="119"/>
  <c r="AB128" i="30" s="1"/>
  <c r="BA148" i="119"/>
  <c r="BA145" i="119"/>
  <c r="BA142" i="119"/>
  <c r="BA139" i="119"/>
  <c r="BA150" i="119"/>
  <c r="BA147" i="119"/>
  <c r="BA144" i="119"/>
  <c r="BA141" i="119"/>
  <c r="BA138" i="119"/>
  <c r="BA154" i="119"/>
  <c r="AB133" i="30" s="1"/>
  <c r="BA149" i="119"/>
  <c r="BA140" i="119"/>
  <c r="BA146" i="119"/>
  <c r="BA153" i="119"/>
  <c r="BA143" i="119"/>
  <c r="AW166" i="119"/>
  <c r="AW170" i="119"/>
  <c r="AW165" i="119"/>
  <c r="AW174" i="119"/>
  <c r="BX174" i="119"/>
  <c r="BX166" i="119"/>
  <c r="BX170" i="119"/>
  <c r="AY138" i="30" s="1"/>
  <c r="BX165" i="119"/>
  <c r="CA166" i="119"/>
  <c r="CA170" i="119"/>
  <c r="BB138" i="30" s="1"/>
  <c r="CA174" i="119"/>
  <c r="CA165" i="119"/>
  <c r="BN174" i="119"/>
  <c r="BN170" i="119"/>
  <c r="AO138" i="30" s="1"/>
  <c r="BN166" i="119"/>
  <c r="BN165" i="119"/>
  <c r="BB150" i="119"/>
  <c r="BB147" i="119"/>
  <c r="BB144" i="119"/>
  <c r="BB141" i="119"/>
  <c r="BB138" i="119"/>
  <c r="BB153" i="119"/>
  <c r="BB149" i="119"/>
  <c r="BB146" i="119"/>
  <c r="BB143" i="119"/>
  <c r="BB140" i="119"/>
  <c r="BB151" i="119"/>
  <c r="AC128" i="30" s="1"/>
  <c r="BB142" i="119"/>
  <c r="BB145" i="119"/>
  <c r="BB148" i="119"/>
  <c r="BB139" i="119"/>
  <c r="BB154" i="119"/>
  <c r="AC133" i="30" s="1"/>
  <c r="AT166" i="119"/>
  <c r="AT174" i="119"/>
  <c r="AT165" i="119"/>
  <c r="AT170" i="119"/>
  <c r="BD170" i="119"/>
  <c r="AE138" i="30" s="1"/>
  <c r="BD166" i="119"/>
  <c r="BD165" i="119"/>
  <c r="BD174" i="119"/>
  <c r="BV135" i="119"/>
  <c r="AW124" i="30" s="1"/>
  <c r="BV129" i="119"/>
  <c r="CE166" i="119"/>
  <c r="CE174" i="119"/>
  <c r="CE165" i="119"/>
  <c r="CE170" i="119"/>
  <c r="BF138" i="30" s="1"/>
  <c r="AU174" i="119"/>
  <c r="AU166" i="119"/>
  <c r="AU165" i="119"/>
  <c r="AU170" i="119"/>
  <c r="BC150" i="119"/>
  <c r="BC147" i="119"/>
  <c r="BC144" i="119"/>
  <c r="BC141" i="119"/>
  <c r="BC138" i="119"/>
  <c r="BC153" i="119"/>
  <c r="BC149" i="119"/>
  <c r="BC146" i="119"/>
  <c r="BC143" i="119"/>
  <c r="BC140" i="119"/>
  <c r="BC154" i="119"/>
  <c r="AD133" i="30" s="1"/>
  <c r="BC148" i="119"/>
  <c r="BC139" i="119"/>
  <c r="BC145" i="119"/>
  <c r="BC151" i="119"/>
  <c r="AD128" i="30" s="1"/>
  <c r="BC142" i="119"/>
  <c r="BS151" i="119"/>
  <c r="AT128" i="30" s="1"/>
  <c r="BS148" i="119"/>
  <c r="BS145" i="119"/>
  <c r="BS142" i="119"/>
  <c r="BS139" i="119"/>
  <c r="BS154" i="119"/>
  <c r="AT133" i="30" s="1"/>
  <c r="BS150" i="119"/>
  <c r="BS147" i="119"/>
  <c r="BS144" i="119"/>
  <c r="BS141" i="119"/>
  <c r="BS138" i="119"/>
  <c r="BS149" i="119"/>
  <c r="BS140" i="119"/>
  <c r="BS146" i="119"/>
  <c r="BS143" i="119"/>
  <c r="BS153" i="119"/>
  <c r="CC154" i="119"/>
  <c r="BD133" i="30" s="1"/>
  <c r="CC153" i="119"/>
  <c r="CC149" i="119"/>
  <c r="CC146" i="119"/>
  <c r="CC143" i="119"/>
  <c r="CC140" i="119"/>
  <c r="CC151" i="119"/>
  <c r="BD128" i="30" s="1"/>
  <c r="CC148" i="119"/>
  <c r="CC145" i="119"/>
  <c r="CC142" i="119"/>
  <c r="CC139" i="119"/>
  <c r="CC144" i="119"/>
  <c r="CC150" i="119"/>
  <c r="CC141" i="119"/>
  <c r="CC138" i="119"/>
  <c r="CC147" i="119"/>
  <c r="CD151" i="119"/>
  <c r="BE128" i="30" s="1"/>
  <c r="CD148" i="119"/>
  <c r="CD145" i="119"/>
  <c r="CD142" i="119"/>
  <c r="CD139" i="119"/>
  <c r="CD150" i="119"/>
  <c r="CD147" i="119"/>
  <c r="CD144" i="119"/>
  <c r="CD141" i="119"/>
  <c r="CD138" i="119"/>
  <c r="CD146" i="119"/>
  <c r="CD154" i="119"/>
  <c r="BE133" i="30" s="1"/>
  <c r="CD149" i="119"/>
  <c r="CD140" i="119"/>
  <c r="CD153" i="119"/>
  <c r="CD143" i="119"/>
  <c r="BW165" i="119"/>
  <c r="BW174" i="119"/>
  <c r="BW166" i="119"/>
  <c r="BW170" i="119"/>
  <c r="AX138" i="30" s="1"/>
  <c r="BB135" i="119"/>
  <c r="AC124" i="30" s="1"/>
  <c r="BB129" i="119"/>
  <c r="AD118" i="30" s="1"/>
  <c r="AY165" i="119"/>
  <c r="AY174" i="119"/>
  <c r="AY170" i="119"/>
  <c r="Z138" i="30" s="1"/>
  <c r="AY166" i="119"/>
  <c r="AP150" i="119"/>
  <c r="AP147" i="119"/>
  <c r="AP144" i="119"/>
  <c r="AP141" i="119"/>
  <c r="AP138" i="119"/>
  <c r="AP154" i="119"/>
  <c r="AP153" i="119"/>
  <c r="AP149" i="119"/>
  <c r="AP146" i="119"/>
  <c r="AP143" i="119"/>
  <c r="AP140" i="119"/>
  <c r="AP148" i="119"/>
  <c r="AP139" i="119"/>
  <c r="AP151" i="119"/>
  <c r="AP142" i="119"/>
  <c r="AP145" i="119"/>
  <c r="CC135" i="119"/>
  <c r="BD124" i="30" s="1"/>
  <c r="CC129" i="119"/>
  <c r="AY135" i="119"/>
  <c r="Z124" i="30" s="1"/>
  <c r="AY129" i="119"/>
  <c r="CF174" i="119"/>
  <c r="CF166" i="119"/>
  <c r="CF165" i="119"/>
  <c r="CF170" i="119"/>
  <c r="BG138" i="30" s="1"/>
  <c r="BJ170" i="119"/>
  <c r="AK138" i="30" s="1"/>
  <c r="BJ166" i="119"/>
  <c r="BJ165" i="119"/>
  <c r="BJ174" i="119"/>
  <c r="BY129" i="119"/>
  <c r="BA118" i="30" s="1"/>
  <c r="BY135" i="119"/>
  <c r="AZ124" i="30" s="1"/>
  <c r="BJ135" i="119"/>
  <c r="AK124" i="30" s="1"/>
  <c r="BJ129" i="119"/>
  <c r="AR154" i="119"/>
  <c r="AR153" i="119"/>
  <c r="AR149" i="119"/>
  <c r="AR146" i="119"/>
  <c r="AR143" i="119"/>
  <c r="AR140" i="119"/>
  <c r="AR151" i="119"/>
  <c r="AR148" i="119"/>
  <c r="AR145" i="119"/>
  <c r="AR142" i="119"/>
  <c r="AR139" i="119"/>
  <c r="AR147" i="119"/>
  <c r="AR138" i="119"/>
  <c r="AR141" i="119"/>
  <c r="AR150" i="119"/>
  <c r="AR144" i="119"/>
  <c r="AX170" i="119"/>
  <c r="Y138" i="30" s="1"/>
  <c r="AX165" i="119"/>
  <c r="AX174" i="119"/>
  <c r="AX166" i="119"/>
  <c r="CG135" i="119"/>
  <c r="BH124" i="30" s="1"/>
  <c r="CG129" i="119"/>
  <c r="BI118" i="30" s="1"/>
  <c r="AU151" i="119"/>
  <c r="AU148" i="119"/>
  <c r="AU145" i="119"/>
  <c r="AU142" i="119"/>
  <c r="AU139" i="119"/>
  <c r="AU150" i="119"/>
  <c r="AU147" i="119"/>
  <c r="AU144" i="119"/>
  <c r="AU141" i="119"/>
  <c r="AU138" i="119"/>
  <c r="AU154" i="119"/>
  <c r="AU153" i="119"/>
  <c r="AU143" i="119"/>
  <c r="AU149" i="119"/>
  <c r="AU140" i="119"/>
  <c r="AU146" i="119"/>
  <c r="BD153" i="119"/>
  <c r="BD149" i="119"/>
  <c r="BD146" i="119"/>
  <c r="BD143" i="119"/>
  <c r="BD140" i="119"/>
  <c r="BD154" i="119"/>
  <c r="AE133" i="30" s="1"/>
  <c r="BD151" i="119"/>
  <c r="AE128" i="30" s="1"/>
  <c r="BD148" i="119"/>
  <c r="BD145" i="119"/>
  <c r="BD142" i="119"/>
  <c r="BD139" i="119"/>
  <c r="BD150" i="119"/>
  <c r="BD141" i="119"/>
  <c r="BD144" i="119"/>
  <c r="BD147" i="119"/>
  <c r="BD138" i="119"/>
  <c r="AS165" i="119"/>
  <c r="AS170" i="119"/>
  <c r="AS166" i="119"/>
  <c r="AS174" i="119"/>
  <c r="AZ129" i="119"/>
  <c r="AB118" i="30" s="1"/>
  <c r="AZ135" i="119"/>
  <c r="BE154" i="119"/>
  <c r="AF133" i="30" s="1"/>
  <c r="BE153" i="119"/>
  <c r="BE149" i="119"/>
  <c r="BE146" i="119"/>
  <c r="BE143" i="119"/>
  <c r="BE140" i="119"/>
  <c r="BE151" i="119"/>
  <c r="AF128" i="30" s="1"/>
  <c r="BE148" i="119"/>
  <c r="BE145" i="119"/>
  <c r="BE142" i="119"/>
  <c r="BE139" i="119"/>
  <c r="BE147" i="119"/>
  <c r="BE138" i="119"/>
  <c r="BE144" i="119"/>
  <c r="BE150" i="119"/>
  <c r="BE141" i="119"/>
  <c r="CE169" i="119"/>
  <c r="BF137" i="30" s="1"/>
  <c r="CE163" i="119"/>
  <c r="CG163" i="119"/>
  <c r="CG169" i="119"/>
  <c r="BH137" i="30" s="1"/>
  <c r="CB154" i="119"/>
  <c r="BC133" i="30" s="1"/>
  <c r="CB153" i="119"/>
  <c r="CB149" i="119"/>
  <c r="CB146" i="119"/>
  <c r="CB143" i="119"/>
  <c r="CB140" i="119"/>
  <c r="CB151" i="119"/>
  <c r="BC128" i="30" s="1"/>
  <c r="CB148" i="119"/>
  <c r="CB145" i="119"/>
  <c r="CB142" i="119"/>
  <c r="CB139" i="119"/>
  <c r="CB147" i="119"/>
  <c r="CB138" i="119"/>
  <c r="CB150" i="119"/>
  <c r="CB141" i="119"/>
  <c r="CB144" i="119"/>
  <c r="BF129" i="119"/>
  <c r="AH118" i="30" s="1"/>
  <c r="BF135" i="119"/>
  <c r="BP170" i="119"/>
  <c r="AQ138" i="30" s="1"/>
  <c r="BP174" i="119"/>
  <c r="BP166" i="119"/>
  <c r="BP165" i="119"/>
  <c r="BC166" i="119"/>
  <c r="BC170" i="119"/>
  <c r="AD138" i="30" s="1"/>
  <c r="BC165" i="119"/>
  <c r="BC174" i="119"/>
  <c r="BG129" i="119"/>
  <c r="AI118" i="30" s="1"/>
  <c r="BG135" i="119"/>
  <c r="AH124" i="30" s="1"/>
  <c r="CD129" i="119"/>
  <c r="BF118" i="30" s="1"/>
  <c r="CD135" i="119"/>
  <c r="CF163" i="119"/>
  <c r="CF169" i="119"/>
  <c r="BG137" i="30" s="1"/>
  <c r="BL151" i="119"/>
  <c r="AM128" i="30" s="1"/>
  <c r="BL148" i="119"/>
  <c r="BL145" i="119"/>
  <c r="BL142" i="119"/>
  <c r="BL139" i="119"/>
  <c r="BL154" i="119"/>
  <c r="AM133" i="30" s="1"/>
  <c r="BL150" i="119"/>
  <c r="BL147" i="119"/>
  <c r="BL144" i="119"/>
  <c r="BL141" i="119"/>
  <c r="BL138" i="119"/>
  <c r="BL146" i="119"/>
  <c r="BL140" i="119"/>
  <c r="BL149" i="119"/>
  <c r="BL153" i="119"/>
  <c r="BL143" i="119"/>
  <c r="BE135" i="119"/>
  <c r="AF124" i="30" s="1"/>
  <c r="BE129" i="119"/>
  <c r="BF154" i="119"/>
  <c r="AG133" i="30" s="1"/>
  <c r="BF151" i="119"/>
  <c r="AG128" i="30" s="1"/>
  <c r="BF148" i="119"/>
  <c r="BF145" i="119"/>
  <c r="BF142" i="119"/>
  <c r="BF139" i="119"/>
  <c r="BF150" i="119"/>
  <c r="BF147" i="119"/>
  <c r="BF144" i="119"/>
  <c r="BF141" i="119"/>
  <c r="BF138" i="119"/>
  <c r="BF149" i="119"/>
  <c r="BF140" i="119"/>
  <c r="BF153" i="119"/>
  <c r="BF143" i="119"/>
  <c r="BF146" i="119"/>
  <c r="AX135" i="119"/>
  <c r="Y124" i="30" s="1"/>
  <c r="AX129" i="119"/>
  <c r="BT135" i="119"/>
  <c r="AU124" i="30" s="1"/>
  <c r="BT129" i="119"/>
  <c r="AV118" i="30" s="1"/>
  <c r="AZ154" i="119"/>
  <c r="AA133" i="30" s="1"/>
  <c r="AZ151" i="119"/>
  <c r="AA128" i="30" s="1"/>
  <c r="AZ148" i="119"/>
  <c r="AZ145" i="119"/>
  <c r="AZ142" i="119"/>
  <c r="AZ139" i="119"/>
  <c r="AZ150" i="119"/>
  <c r="AZ147" i="119"/>
  <c r="AZ144" i="119"/>
  <c r="AZ141" i="119"/>
  <c r="AZ138" i="119"/>
  <c r="AZ153" i="119"/>
  <c r="AZ143" i="119"/>
  <c r="AZ146" i="119"/>
  <c r="AZ149" i="119"/>
  <c r="AZ140" i="119"/>
  <c r="BS174" i="119"/>
  <c r="BS170" i="119"/>
  <c r="AT138" i="30" s="1"/>
  <c r="BS165" i="119"/>
  <c r="BS166" i="119"/>
  <c r="BG154" i="119"/>
  <c r="AH133" i="30" s="1"/>
  <c r="BG151" i="119"/>
  <c r="AH128" i="30" s="1"/>
  <c r="BG148" i="119"/>
  <c r="BG145" i="119"/>
  <c r="BG142" i="119"/>
  <c r="BG139" i="119"/>
  <c r="BG150" i="119"/>
  <c r="BG147" i="119"/>
  <c r="BG144" i="119"/>
  <c r="BG141" i="119"/>
  <c r="BG138" i="119"/>
  <c r="BG146" i="119"/>
  <c r="BG153" i="119"/>
  <c r="BG143" i="119"/>
  <c r="BG149" i="119"/>
  <c r="BG140" i="119"/>
  <c r="BZ174" i="119"/>
  <c r="BZ170" i="119"/>
  <c r="BA138" i="30" s="1"/>
  <c r="BZ165" i="119"/>
  <c r="BZ166" i="119"/>
  <c r="BK135" i="119"/>
  <c r="AL124" i="30" s="1"/>
  <c r="BK129" i="119"/>
  <c r="BZ135" i="119"/>
  <c r="BA124" i="30" s="1"/>
  <c r="BZ129" i="119"/>
  <c r="BB118" i="30" s="1"/>
  <c r="BM129" i="119"/>
  <c r="AO118" i="30" s="1"/>
  <c r="BM135" i="119"/>
  <c r="AN124" i="30" s="1"/>
  <c r="AU129" i="119"/>
  <c r="AU135" i="119"/>
  <c r="BV170" i="119"/>
  <c r="AW138" i="30" s="1"/>
  <c r="BV174" i="119"/>
  <c r="BV166" i="119"/>
  <c r="BV165" i="119"/>
  <c r="AR170" i="119"/>
  <c r="AR166" i="119"/>
  <c r="AR165" i="119"/>
  <c r="AR174" i="119"/>
  <c r="BH174" i="119"/>
  <c r="BH170" i="119"/>
  <c r="AI138" i="30" s="1"/>
  <c r="BH166" i="119"/>
  <c r="BH165" i="119"/>
  <c r="CC165" i="119"/>
  <c r="CC170" i="119"/>
  <c r="BD138" i="30" s="1"/>
  <c r="CC166" i="119"/>
  <c r="CC174" i="119"/>
  <c r="CB135" i="119"/>
  <c r="BC124" i="30" s="1"/>
  <c r="CB129" i="119"/>
  <c r="BL165" i="119"/>
  <c r="BL174" i="119"/>
  <c r="BL170" i="119"/>
  <c r="AM138" i="30" s="1"/>
  <c r="BL166" i="119"/>
  <c r="BT174" i="119"/>
  <c r="BT165" i="119"/>
  <c r="BT170" i="119"/>
  <c r="AU138" i="30" s="1"/>
  <c r="BT166" i="119"/>
  <c r="AR135" i="119"/>
  <c r="AR129" i="119"/>
  <c r="BA129" i="119"/>
  <c r="AC118" i="30" s="1"/>
  <c r="BA135" i="119"/>
  <c r="AB124" i="30" s="1"/>
  <c r="AP174" i="119"/>
  <c r="AP170" i="119"/>
  <c r="AP165" i="119"/>
  <c r="AP166" i="119"/>
  <c r="BI135" i="119"/>
  <c r="AJ124" i="30" s="1"/>
  <c r="BI129" i="119"/>
  <c r="AK118" i="30" s="1"/>
  <c r="BI166" i="119"/>
  <c r="BI170" i="119"/>
  <c r="AJ138" i="30" s="1"/>
  <c r="BI174" i="119"/>
  <c r="BI165" i="119"/>
  <c r="AQ150" i="119"/>
  <c r="AQ147" i="119"/>
  <c r="AQ144" i="119"/>
  <c r="AQ141" i="119"/>
  <c r="AQ138" i="119"/>
  <c r="AQ154" i="119"/>
  <c r="AQ153" i="119"/>
  <c r="AQ149" i="119"/>
  <c r="AQ146" i="119"/>
  <c r="AQ143" i="119"/>
  <c r="AQ140" i="119"/>
  <c r="AQ145" i="119"/>
  <c r="AQ151" i="119"/>
  <c r="AQ142" i="119"/>
  <c r="AQ148" i="119"/>
  <c r="AQ139" i="119"/>
  <c r="AW135" i="119"/>
  <c r="AW129" i="119"/>
  <c r="Y118" i="30" s="1"/>
  <c r="AZ170" i="119"/>
  <c r="AA138" i="30" s="1"/>
  <c r="AZ166" i="119"/>
  <c r="AZ165" i="119"/>
  <c r="AZ174" i="119"/>
  <c r="BM151" i="119"/>
  <c r="AN128" i="30" s="1"/>
  <c r="BM148" i="119"/>
  <c r="BM145" i="119"/>
  <c r="BM142" i="119"/>
  <c r="BM139" i="119"/>
  <c r="BM154" i="119"/>
  <c r="AN133" i="30" s="1"/>
  <c r="BM150" i="119"/>
  <c r="BM147" i="119"/>
  <c r="BM144" i="119"/>
  <c r="BM141" i="119"/>
  <c r="BM138" i="119"/>
  <c r="BM153" i="119"/>
  <c r="BM143" i="119"/>
  <c r="BM149" i="119"/>
  <c r="BM140" i="119"/>
  <c r="BM146" i="119"/>
  <c r="AS135" i="119"/>
  <c r="AS129" i="119"/>
  <c r="CF150" i="119"/>
  <c r="CF147" i="119"/>
  <c r="CF144" i="119"/>
  <c r="CF141" i="119"/>
  <c r="CF138" i="119"/>
  <c r="CF154" i="119"/>
  <c r="BG133" i="30" s="1"/>
  <c r="CF153" i="119"/>
  <c r="CF149" i="119"/>
  <c r="CF146" i="119"/>
  <c r="CF143" i="119"/>
  <c r="CF140" i="119"/>
  <c r="CF145" i="119"/>
  <c r="CF148" i="119"/>
  <c r="CF139" i="119"/>
  <c r="CF151" i="119"/>
  <c r="BG128" i="30" s="1"/>
  <c r="CF142" i="119"/>
  <c r="CE129" i="119"/>
  <c r="BG118" i="30" s="1"/>
  <c r="CE135" i="119"/>
  <c r="BF124" i="30" s="1"/>
  <c r="BJ153" i="119"/>
  <c r="BJ149" i="119"/>
  <c r="BJ146" i="119"/>
  <c r="BJ143" i="119"/>
  <c r="BJ140" i="119"/>
  <c r="BJ154" i="119"/>
  <c r="AK133" i="30" s="1"/>
  <c r="BJ151" i="119"/>
  <c r="AK128" i="30" s="1"/>
  <c r="BJ148" i="119"/>
  <c r="BJ145" i="119"/>
  <c r="BJ142" i="119"/>
  <c r="BJ139" i="119"/>
  <c r="BJ147" i="119"/>
  <c r="BJ138" i="119"/>
  <c r="BJ150" i="119"/>
  <c r="BJ144" i="119"/>
  <c r="BJ141" i="119"/>
  <c r="CG174" i="119"/>
  <c r="CG166" i="119"/>
  <c r="CG170" i="119"/>
  <c r="BH138" i="30" s="1"/>
  <c r="CG165" i="119"/>
  <c r="BF165" i="119"/>
  <c r="BF174" i="119"/>
  <c r="BF170" i="119"/>
  <c r="AG138" i="30" s="1"/>
  <c r="BF166" i="119"/>
  <c r="CG150" i="119"/>
  <c r="CG147" i="119"/>
  <c r="CG144" i="119"/>
  <c r="CG141" i="119"/>
  <c r="CG138" i="119"/>
  <c r="CG154" i="119"/>
  <c r="BH133" i="30" s="1"/>
  <c r="CG153" i="119"/>
  <c r="CG149" i="119"/>
  <c r="CG146" i="119"/>
  <c r="CG143" i="119"/>
  <c r="CG140" i="119"/>
  <c r="CG151" i="119"/>
  <c r="BH128" i="30" s="1"/>
  <c r="CG142" i="119"/>
  <c r="CG148" i="119"/>
  <c r="CG139" i="119"/>
  <c r="CG145" i="119"/>
  <c r="AX154" i="119"/>
  <c r="Y133" i="30" s="1"/>
  <c r="AX153" i="119"/>
  <c r="AX149" i="119"/>
  <c r="AX146" i="119"/>
  <c r="AX143" i="119"/>
  <c r="AX140" i="119"/>
  <c r="AX151" i="119"/>
  <c r="Y128" i="30" s="1"/>
  <c r="AX148" i="119"/>
  <c r="AX145" i="119"/>
  <c r="AX142" i="119"/>
  <c r="AX139" i="119"/>
  <c r="AX144" i="119"/>
  <c r="AX147" i="119"/>
  <c r="AX138" i="119"/>
  <c r="AX150" i="119"/>
  <c r="AX141" i="119"/>
  <c r="CD169" i="119"/>
  <c r="BE137" i="30" s="1"/>
  <c r="CD163" i="119"/>
  <c r="CB174" i="119"/>
  <c r="CB170" i="119"/>
  <c r="BC138" i="30" s="1"/>
  <c r="CB165" i="119"/>
  <c r="CB166" i="119"/>
  <c r="AY154" i="119"/>
  <c r="Z133" i="30" s="1"/>
  <c r="AY153" i="119"/>
  <c r="AY149" i="119"/>
  <c r="AY146" i="119"/>
  <c r="AY143" i="119"/>
  <c r="AY140" i="119"/>
  <c r="AY151" i="119"/>
  <c r="Z128" i="30" s="1"/>
  <c r="AY148" i="119"/>
  <c r="AY145" i="119"/>
  <c r="AY142" i="119"/>
  <c r="AY139" i="119"/>
  <c r="AY150" i="119"/>
  <c r="AY141" i="119"/>
  <c r="AY147" i="119"/>
  <c r="AY138" i="119"/>
  <c r="AY144" i="119"/>
  <c r="BT154" i="119"/>
  <c r="AU133" i="30" s="1"/>
  <c r="BT150" i="119"/>
  <c r="BT147" i="119"/>
  <c r="BT144" i="119"/>
  <c r="BT141" i="119"/>
  <c r="BT138" i="119"/>
  <c r="BT153" i="119"/>
  <c r="BT149" i="119"/>
  <c r="BT146" i="119"/>
  <c r="BT143" i="119"/>
  <c r="BT140" i="119"/>
  <c r="BT151" i="119"/>
  <c r="AU128" i="30" s="1"/>
  <c r="BT142" i="119"/>
  <c r="BT145" i="119"/>
  <c r="BT148" i="119"/>
  <c r="BT139" i="119"/>
  <c r="BG174" i="119"/>
  <c r="BG170" i="119"/>
  <c r="AH138" i="30" s="1"/>
  <c r="BG166" i="119"/>
  <c r="BG165" i="119"/>
  <c r="CA23" i="6"/>
  <c r="CB23" i="6"/>
  <c r="CC23" i="6"/>
  <c r="CD23" i="6"/>
  <c r="CE23" i="6"/>
  <c r="CF23" i="6"/>
  <c r="CH23" i="6"/>
  <c r="X25" i="6"/>
  <c r="Y25" i="6"/>
  <c r="CB25" i="6"/>
  <c r="CC25" i="6"/>
  <c r="CD25" i="6"/>
  <c r="CE25" i="6"/>
  <c r="CF25" i="6"/>
  <c r="CH25" i="6"/>
  <c r="Z25" i="6"/>
  <c r="AA25" i="6"/>
  <c r="AB25" i="6"/>
  <c r="AC25" i="6"/>
  <c r="AD25" i="6"/>
  <c r="AE25" i="6"/>
  <c r="AF25" i="6"/>
  <c r="AG25" i="6"/>
  <c r="AH25" i="6"/>
  <c r="AI25" i="6"/>
  <c r="AJ25" i="6"/>
  <c r="AK25" i="6"/>
  <c r="AO25" i="6"/>
  <c r="AP25" i="6"/>
  <c r="AQ25" i="6"/>
  <c r="AR25" i="6"/>
  <c r="AS25" i="6"/>
  <c r="AT25" i="6"/>
  <c r="AU25" i="6"/>
  <c r="AV25" i="6"/>
  <c r="AW25" i="6"/>
  <c r="AX25" i="6"/>
  <c r="AY25" i="6"/>
  <c r="AZ25" i="6"/>
  <c r="BA25" i="6"/>
  <c r="BB25" i="6"/>
  <c r="BC25" i="6"/>
  <c r="BD25" i="6"/>
  <c r="BE25" i="6"/>
  <c r="BF25" i="6"/>
  <c r="BG25" i="6"/>
  <c r="BH25" i="6"/>
  <c r="BI25" i="6"/>
  <c r="BJ25" i="6"/>
  <c r="BK25" i="6"/>
  <c r="BL25" i="6"/>
  <c r="BM25" i="6"/>
  <c r="BN25" i="6"/>
  <c r="BO25" i="6"/>
  <c r="BP25" i="6"/>
  <c r="BQ25" i="6"/>
  <c r="BR25" i="6"/>
  <c r="BT25" i="6"/>
  <c r="BU25" i="6"/>
  <c r="BV25" i="6"/>
  <c r="BW25" i="6"/>
  <c r="BX25" i="6"/>
  <c r="BY25" i="6"/>
  <c r="BZ25" i="6"/>
  <c r="CA25" i="6"/>
  <c r="AL25" i="6"/>
  <c r="AM25" i="6"/>
  <c r="AN25" i="6"/>
  <c r="B25" i="6"/>
  <c r="C25" i="6"/>
  <c r="D25" i="6"/>
  <c r="E25" i="6"/>
  <c r="F25" i="6"/>
  <c r="G25" i="6"/>
  <c r="H25" i="6"/>
  <c r="I25" i="6"/>
  <c r="J25" i="6"/>
  <c r="K25" i="6"/>
  <c r="L25" i="6"/>
  <c r="M25" i="6"/>
  <c r="N25" i="6"/>
  <c r="O25" i="6"/>
  <c r="P25" i="6"/>
  <c r="Q25" i="6"/>
  <c r="R25" i="6"/>
  <c r="S25" i="6"/>
  <c r="T25" i="6"/>
  <c r="U25" i="6"/>
  <c r="V25" i="6"/>
  <c r="W25" i="6"/>
  <c r="AP128" i="119" l="1"/>
  <c r="AT128" i="119"/>
  <c r="AR128" i="119"/>
  <c r="AU128" i="119"/>
  <c r="AQ128" i="119"/>
  <c r="BS173" i="119"/>
  <c r="CE167" i="119"/>
  <c r="BB128" i="119"/>
  <c r="AD119" i="30" s="1"/>
  <c r="BW173" i="119"/>
  <c r="CC152" i="119"/>
  <c r="BG128" i="119"/>
  <c r="AI119" i="30" s="1"/>
  <c r="BV173" i="119"/>
  <c r="CA173" i="119"/>
  <c r="AP173" i="119"/>
  <c r="CF167" i="119"/>
  <c r="CD167" i="119"/>
  <c r="BC152" i="119"/>
  <c r="AU173" i="119"/>
  <c r="CF152" i="119"/>
  <c r="BM152" i="119"/>
  <c r="AZ173" i="119"/>
  <c r="AV128" i="119"/>
  <c r="AT152" i="119"/>
  <c r="BS128" i="119"/>
  <c r="AU119" i="30" s="1"/>
  <c r="BG152" i="119"/>
  <c r="BX152" i="119"/>
  <c r="BA128" i="119"/>
  <c r="AC119" i="30" s="1"/>
  <c r="CA128" i="119"/>
  <c r="BC119" i="30" s="1"/>
  <c r="BA173" i="119"/>
  <c r="BG173" i="119"/>
  <c r="CG173" i="119"/>
  <c r="CF128" i="119"/>
  <c r="BH119" i="30" s="1"/>
  <c r="AQ173" i="119"/>
  <c r="BN128" i="119"/>
  <c r="AP119" i="30" s="1"/>
  <c r="BF173" i="119"/>
  <c r="BK128" i="119"/>
  <c r="AM119" i="30" s="1"/>
  <c r="AM118" i="30"/>
  <c r="BC173" i="119"/>
  <c r="BB173" i="119"/>
  <c r="BM128" i="119"/>
  <c r="AO119" i="30" s="1"/>
  <c r="AU152" i="119"/>
  <c r="CG128" i="119"/>
  <c r="BI119" i="30" s="1"/>
  <c r="BY128" i="119"/>
  <c r="BA119" i="30" s="1"/>
  <c r="BX128" i="119"/>
  <c r="AZ119" i="30" s="1"/>
  <c r="AY124" i="30"/>
  <c r="BH128" i="119"/>
  <c r="AJ119" i="30" s="1"/>
  <c r="CB173" i="119"/>
  <c r="BJ152" i="119"/>
  <c r="BL173" i="119"/>
  <c r="CC173" i="119"/>
  <c r="AR173" i="119"/>
  <c r="BT128" i="119"/>
  <c r="AV119" i="30" s="1"/>
  <c r="CG167" i="119"/>
  <c r="BE152" i="119"/>
  <c r="AS173" i="119"/>
  <c r="CF173" i="119"/>
  <c r="AP152" i="119"/>
  <c r="BN173" i="119"/>
  <c r="BC128" i="119"/>
  <c r="AE119" i="30" s="1"/>
  <c r="AW152" i="119"/>
  <c r="CE152" i="119"/>
  <c r="BW128" i="119"/>
  <c r="AY119" i="30" s="1"/>
  <c r="AY118" i="30"/>
  <c r="CA152" i="119"/>
  <c r="BW152" i="119"/>
  <c r="BP128" i="119"/>
  <c r="AR119" i="30" s="1"/>
  <c r="AR118" i="30"/>
  <c r="BK173" i="119"/>
  <c r="AV152" i="119"/>
  <c r="BV128" i="119"/>
  <c r="AX119" i="30" s="1"/>
  <c r="AX118" i="30"/>
  <c r="BA152" i="119"/>
  <c r="BR173" i="119"/>
  <c r="BH152" i="119"/>
  <c r="BZ152" i="119"/>
  <c r="BP152" i="119"/>
  <c r="BN152" i="119"/>
  <c r="BF128" i="119"/>
  <c r="AH119" i="30" s="1"/>
  <c r="AG124" i="30"/>
  <c r="CC128" i="119"/>
  <c r="BE119" i="30" s="1"/>
  <c r="BE118" i="30"/>
  <c r="AV173" i="119"/>
  <c r="BD128" i="119"/>
  <c r="AF119" i="30" s="1"/>
  <c r="AF118" i="30"/>
  <c r="BU152" i="119"/>
  <c r="BT152" i="119"/>
  <c r="AX152" i="119"/>
  <c r="BI173" i="119"/>
  <c r="BI128" i="119"/>
  <c r="AK119" i="30" s="1"/>
  <c r="BT173" i="119"/>
  <c r="CB128" i="119"/>
  <c r="BD119" i="30" s="1"/>
  <c r="BD118" i="30"/>
  <c r="BH173" i="119"/>
  <c r="BZ173" i="119"/>
  <c r="AX128" i="119"/>
  <c r="Z119" i="30" s="1"/>
  <c r="Z118" i="30"/>
  <c r="BE128" i="119"/>
  <c r="AG119" i="30" s="1"/>
  <c r="AG118" i="30"/>
  <c r="BP173" i="119"/>
  <c r="AZ128" i="119"/>
  <c r="AB119" i="30" s="1"/>
  <c r="AA124" i="30"/>
  <c r="BD152" i="119"/>
  <c r="AR152" i="119"/>
  <c r="CE173" i="119"/>
  <c r="BD173" i="119"/>
  <c r="BB152" i="119"/>
  <c r="AW173" i="119"/>
  <c r="BR152" i="119"/>
  <c r="BO173" i="119"/>
  <c r="CD173" i="119"/>
  <c r="BU128" i="119"/>
  <c r="AW119" i="30" s="1"/>
  <c r="BO152" i="119"/>
  <c r="BU173" i="119"/>
  <c r="BE173" i="119"/>
  <c r="BI152" i="119"/>
  <c r="BY173" i="119"/>
  <c r="BV152" i="119"/>
  <c r="BR128" i="119"/>
  <c r="AT119" i="30" s="1"/>
  <c r="AS124" i="30"/>
  <c r="BQ173" i="119"/>
  <c r="BO128" i="119"/>
  <c r="AQ119" i="30" s="1"/>
  <c r="AY128" i="119"/>
  <c r="AA119" i="30" s="1"/>
  <c r="AA118" i="30"/>
  <c r="CD128" i="119"/>
  <c r="BF119" i="30" s="1"/>
  <c r="BE124" i="30"/>
  <c r="CB152" i="119"/>
  <c r="CD152" i="119"/>
  <c r="AZ152" i="119"/>
  <c r="BS152" i="119"/>
  <c r="AT173" i="119"/>
  <c r="BM173" i="119"/>
  <c r="AY152" i="119"/>
  <c r="CG152" i="119"/>
  <c r="CE128" i="119"/>
  <c r="BG119" i="30" s="1"/>
  <c r="AS128" i="119"/>
  <c r="AW128" i="119"/>
  <c r="Y119" i="30" s="1"/>
  <c r="AQ152" i="119"/>
  <c r="BZ128" i="119"/>
  <c r="BB119" i="30" s="1"/>
  <c r="BF152" i="119"/>
  <c r="BL152" i="119"/>
  <c r="AX173" i="119"/>
  <c r="BJ128" i="119"/>
  <c r="AL119" i="30" s="1"/>
  <c r="AL118" i="30"/>
  <c r="BJ173" i="119"/>
  <c r="AY173" i="119"/>
  <c r="BX173" i="119"/>
  <c r="AS152" i="119"/>
  <c r="BQ152" i="119"/>
  <c r="BQ128" i="119"/>
  <c r="AS119" i="30" s="1"/>
  <c r="AS118" i="30"/>
  <c r="BY152" i="119"/>
  <c r="BL128" i="119"/>
  <c r="AN119" i="30" s="1"/>
  <c r="AM124" i="30"/>
  <c r="BK152" i="119"/>
  <c r="CJ25" i="6"/>
  <c r="EO25" i="6" s="1"/>
  <c r="CJ23" i="6"/>
  <c r="EO23" i="6" s="1"/>
  <c r="CG25" i="6"/>
  <c r="FF25" i="6" s="1"/>
  <c r="CK26" i="6"/>
  <c r="EP26" i="6" s="1"/>
  <c r="CG23" i="6"/>
  <c r="EM23" i="6" s="1"/>
  <c r="CK24" i="6"/>
  <c r="EP24" i="6" s="1"/>
  <c r="BV26" i="6"/>
  <c r="CI25" i="6"/>
  <c r="EN41" i="6"/>
  <c r="CI23" i="6"/>
  <c r="EN40" i="6"/>
  <c r="FD25" i="6"/>
  <c r="CF26" i="6"/>
  <c r="CF24" i="6"/>
  <c r="BP26" i="6"/>
  <c r="CE26" i="6"/>
  <c r="CE24" i="6"/>
  <c r="CA26" i="6"/>
  <c r="EL25" i="6"/>
  <c r="FE25" i="6"/>
  <c r="CD26" i="6"/>
  <c r="CD24" i="6"/>
  <c r="CC26" i="6"/>
  <c r="CC24" i="6"/>
  <c r="EY25" i="6"/>
  <c r="CH26" i="6"/>
  <c r="CB26" i="6"/>
  <c r="CH24" i="6"/>
  <c r="CB24" i="6"/>
  <c r="CA24" i="6"/>
  <c r="EL23" i="6"/>
  <c r="FE23" i="6"/>
  <c r="EM41" i="6"/>
  <c r="BI26" i="6"/>
  <c r="AW26" i="6"/>
  <c r="BO26" i="6"/>
  <c r="BH26" i="6"/>
  <c r="AP26" i="6"/>
  <c r="BC26" i="6"/>
  <c r="AQ26" i="6"/>
  <c r="BU26" i="6"/>
  <c r="BN26" i="6"/>
  <c r="BB26" i="6"/>
  <c r="AV26" i="6"/>
  <c r="BY26" i="6"/>
  <c r="BS25" i="6"/>
  <c r="FC41" i="6"/>
  <c r="FE40" i="6"/>
  <c r="FD41" i="6"/>
  <c r="FC40" i="6"/>
  <c r="FF41" i="6"/>
  <c r="EM40" i="6"/>
  <c r="FF40" i="6"/>
  <c r="FE41" i="6"/>
  <c r="EL40" i="6"/>
  <c r="FD40" i="6"/>
  <c r="BM26" i="6"/>
  <c r="AU26" i="6"/>
  <c r="BL26" i="6"/>
  <c r="BF26" i="6"/>
  <c r="AZ26" i="6"/>
  <c r="AT26" i="6"/>
  <c r="AN26" i="6"/>
  <c r="EL41" i="6"/>
  <c r="BA26" i="6"/>
  <c r="BX26" i="6"/>
  <c r="BR26" i="6"/>
  <c r="BK26" i="6"/>
  <c r="BE26" i="6"/>
  <c r="AY26" i="6"/>
  <c r="AS26" i="6"/>
  <c r="AM26" i="6"/>
  <c r="BG26" i="6"/>
  <c r="BW26" i="6"/>
  <c r="AO26" i="6"/>
  <c r="BQ26" i="6"/>
  <c r="BJ26" i="6"/>
  <c r="BD26" i="6"/>
  <c r="AX26" i="6"/>
  <c r="AR26" i="6"/>
  <c r="AL26" i="6"/>
  <c r="BZ26" i="6"/>
  <c r="BT26" i="6"/>
  <c r="CJ24" i="6" l="1"/>
  <c r="EO24" i="6" s="1"/>
  <c r="EN23" i="6"/>
  <c r="CJ26" i="6"/>
  <c r="EO26" i="6" s="1"/>
  <c r="CG24" i="6"/>
  <c r="EM24" i="6" s="1"/>
  <c r="EN25" i="6"/>
  <c r="CG26" i="6"/>
  <c r="FF26" i="6" s="1"/>
  <c r="EM25" i="6"/>
  <c r="FF23" i="6"/>
  <c r="CI26" i="6"/>
  <c r="CI24" i="6"/>
  <c r="BS26" i="6"/>
  <c r="FC26" i="6" s="1"/>
  <c r="FC25" i="6"/>
  <c r="FE26" i="6"/>
  <c r="EL26" i="6"/>
  <c r="FA25" i="6"/>
  <c r="FD26" i="6"/>
  <c r="EY26" i="6"/>
  <c r="FE24" i="6"/>
  <c r="EL24" i="6"/>
  <c r="FB25" i="6"/>
  <c r="EZ25" i="6"/>
  <c r="EY33" i="6"/>
  <c r="EY32" i="6"/>
  <c r="EY29" i="6"/>
  <c r="EY30" i="6"/>
  <c r="FF13" i="6"/>
  <c r="FE13" i="6"/>
  <c r="FD13" i="6"/>
  <c r="FC13" i="6"/>
  <c r="FB13" i="6"/>
  <c r="FA13" i="6"/>
  <c r="EZ13" i="6"/>
  <c r="EY13" i="6"/>
  <c r="FF12" i="6"/>
  <c r="FE12" i="6"/>
  <c r="FD12" i="6"/>
  <c r="FC12" i="6"/>
  <c r="FB12" i="6"/>
  <c r="FA12" i="6"/>
  <c r="EZ12" i="6"/>
  <c r="EY12" i="6"/>
  <c r="FF9" i="6"/>
  <c r="FE9" i="6"/>
  <c r="FD9" i="6"/>
  <c r="FC9" i="6"/>
  <c r="FB9" i="6"/>
  <c r="FA9" i="6"/>
  <c r="EZ9" i="6"/>
  <c r="EY9" i="6"/>
  <c r="FF10" i="6"/>
  <c r="FE10" i="6"/>
  <c r="FD10" i="6"/>
  <c r="FC10" i="6"/>
  <c r="FB10" i="6"/>
  <c r="FA10" i="6"/>
  <c r="EZ10" i="6"/>
  <c r="EY10" i="6"/>
  <c r="FF11" i="6"/>
  <c r="FE11" i="6"/>
  <c r="FD11" i="6"/>
  <c r="EN26" i="6" l="1"/>
  <c r="EN24" i="6"/>
  <c r="FF24" i="6"/>
  <c r="EM26" i="6"/>
  <c r="FB26" i="6"/>
  <c r="EY88" i="6"/>
  <c r="EY87" i="6"/>
  <c r="EY90" i="6"/>
  <c r="FA26" i="6"/>
  <c r="EY91" i="6"/>
  <c r="EZ26" i="6"/>
  <c r="FC45" i="6"/>
  <c r="FE46" i="6"/>
  <c r="FC48" i="6"/>
  <c r="FF46" i="6"/>
  <c r="FE48" i="6"/>
  <c r="FD45" i="6"/>
  <c r="FB44" i="6"/>
  <c r="FD48" i="6"/>
  <c r="FA48" i="6"/>
  <c r="FB45" i="6"/>
  <c r="EZ44" i="6"/>
  <c r="FF44" i="6"/>
  <c r="FD47" i="6"/>
  <c r="FB47" i="6"/>
  <c r="FA44" i="6"/>
  <c r="FE47" i="6"/>
  <c r="FE45" i="6"/>
  <c r="FF45" i="6"/>
  <c r="FF47" i="6"/>
  <c r="EZ48" i="6"/>
  <c r="FA45" i="6"/>
  <c r="FE44" i="6"/>
  <c r="FA47" i="6"/>
  <c r="FC44" i="6"/>
  <c r="EZ45" i="6"/>
  <c r="FD44" i="6"/>
  <c r="EZ47" i="6"/>
  <c r="FF48" i="6"/>
  <c r="FC47" i="6"/>
  <c r="FB48" i="6"/>
  <c r="BX50" i="6"/>
  <c r="BX68" i="6"/>
  <c r="BX87" i="6"/>
  <c r="BX51" i="6"/>
  <c r="BX69" i="6"/>
  <c r="BX88" i="6"/>
  <c r="BW52" i="6"/>
  <c r="BX52" i="6"/>
  <c r="BW70" i="6"/>
  <c r="BX70" i="6"/>
  <c r="BW89" i="6"/>
  <c r="BX89" i="6"/>
  <c r="BW36" i="6"/>
  <c r="BX36" i="6"/>
  <c r="BY36" i="6"/>
  <c r="BW54" i="6"/>
  <c r="BX54" i="6"/>
  <c r="BW72" i="6"/>
  <c r="BX72" i="6"/>
  <c r="BW91" i="6"/>
  <c r="BX91" i="6"/>
  <c r="BW35" i="6"/>
  <c r="BX35" i="6"/>
  <c r="BW53" i="6"/>
  <c r="BX53" i="6"/>
  <c r="BW71" i="6"/>
  <c r="BX71" i="6"/>
  <c r="BW90" i="6"/>
  <c r="BX90" i="6"/>
  <c r="BY33" i="6"/>
  <c r="FD33" i="6" s="1"/>
  <c r="FD91" i="6" s="1"/>
  <c r="BY32" i="6"/>
  <c r="FD32" i="6" s="1"/>
  <c r="FD90" i="6" s="1"/>
  <c r="BY31" i="6"/>
  <c r="FD31" i="6" s="1"/>
  <c r="BY30" i="6"/>
  <c r="BY88" i="6" s="1"/>
  <c r="BY29" i="6"/>
  <c r="FD29" i="6" s="1"/>
  <c r="FD87" i="6" s="1"/>
  <c r="BW51" i="6"/>
  <c r="BW69" i="6"/>
  <c r="BW88" i="6"/>
  <c r="BW50" i="6"/>
  <c r="BW68" i="6"/>
  <c r="BW87" i="6"/>
  <c r="CG36" i="6"/>
  <c r="CC36" i="6"/>
  <c r="CG33" i="6"/>
  <c r="CG32" i="6"/>
  <c r="CG31" i="6"/>
  <c r="CK52" i="6" s="1"/>
  <c r="CG30" i="6"/>
  <c r="CG29" i="6"/>
  <c r="CK50" i="6" s="1"/>
  <c r="CC33" i="6"/>
  <c r="CC32" i="6"/>
  <c r="CC31" i="6"/>
  <c r="CC30" i="6"/>
  <c r="CC69" i="6" s="1"/>
  <c r="CC29" i="6"/>
  <c r="CC68" i="6" s="1"/>
  <c r="CH75" i="6" l="1"/>
  <c r="CK57" i="6"/>
  <c r="CH69" i="6"/>
  <c r="CK51" i="6"/>
  <c r="CH71" i="6"/>
  <c r="CK53" i="6"/>
  <c r="CH72" i="6"/>
  <c r="CK54" i="6"/>
  <c r="CG87" i="6"/>
  <c r="CH68" i="6"/>
  <c r="CG89" i="6"/>
  <c r="CH70" i="6"/>
  <c r="CG57" i="6"/>
  <c r="BX75" i="6"/>
  <c r="CC57" i="6"/>
  <c r="BX74" i="6"/>
  <c r="BY75" i="6"/>
  <c r="CC52" i="6"/>
  <c r="CG51" i="6"/>
  <c r="BY70" i="6"/>
  <c r="BY90" i="6"/>
  <c r="CC70" i="6"/>
  <c r="BY71" i="6"/>
  <c r="CC53" i="6"/>
  <c r="FE32" i="6"/>
  <c r="CG54" i="6"/>
  <c r="FF33" i="6"/>
  <c r="FF91" i="6" s="1"/>
  <c r="CC72" i="6"/>
  <c r="FE33" i="6"/>
  <c r="CG68" i="6"/>
  <c r="FF29" i="6"/>
  <c r="FF87" i="6" s="1"/>
  <c r="CC35" i="6"/>
  <c r="FE29" i="6"/>
  <c r="CG69" i="6"/>
  <c r="FF30" i="6"/>
  <c r="FF88" i="6" s="1"/>
  <c r="BY35" i="6"/>
  <c r="FD30" i="6"/>
  <c r="FD88" i="6" s="1"/>
  <c r="CC51" i="6"/>
  <c r="FE30" i="6"/>
  <c r="FE88" i="6" s="1"/>
  <c r="CG70" i="6"/>
  <c r="FF31" i="6"/>
  <c r="CG52" i="6"/>
  <c r="FD89" i="6"/>
  <c r="CC89" i="6"/>
  <c r="FE31" i="6"/>
  <c r="CG71" i="6"/>
  <c r="FF32" i="6"/>
  <c r="CG90" i="6"/>
  <c r="BY89" i="6"/>
  <c r="BY87" i="6"/>
  <c r="CG53" i="6"/>
  <c r="CG35" i="6"/>
  <c r="CC50" i="6"/>
  <c r="CC91" i="6"/>
  <c r="BY72" i="6"/>
  <c r="CG91" i="6"/>
  <c r="CC88" i="6"/>
  <c r="CC90" i="6"/>
  <c r="BY69" i="6"/>
  <c r="BY68" i="6"/>
  <c r="CC54" i="6"/>
  <c r="CG88" i="6"/>
  <c r="BY91" i="6"/>
  <c r="CG50" i="6"/>
  <c r="CG72" i="6"/>
  <c r="CC71" i="6"/>
  <c r="CC87" i="6"/>
  <c r="CH74" i="6" l="1"/>
  <c r="FE54" i="6"/>
  <c r="FE91" i="6"/>
  <c r="FE50" i="6"/>
  <c r="FE87" i="6"/>
  <c r="FF53" i="6"/>
  <c r="FF90" i="6"/>
  <c r="BY74" i="6"/>
  <c r="FE53" i="6"/>
  <c r="FE90" i="6"/>
  <c r="FE51" i="6"/>
  <c r="FF54" i="6"/>
  <c r="FF51" i="6"/>
  <c r="FF50" i="6"/>
  <c r="FF35" i="6"/>
  <c r="FE35" i="6"/>
  <c r="FE52" i="6"/>
  <c r="FE89" i="6"/>
  <c r="FF52" i="6"/>
  <c r="FF89" i="6"/>
  <c r="FD35" i="6"/>
  <c r="CW34" i="112"/>
  <c r="FE56" i="6" l="1"/>
  <c r="FF56" i="6"/>
  <c r="CP201" i="112" l="1"/>
  <c r="CP91" i="112"/>
  <c r="A2" i="114"/>
  <c r="DQ48" i="2"/>
  <c r="DR48" i="2" s="1"/>
  <c r="DS48" i="2" s="1"/>
  <c r="DT48" i="2" s="1"/>
  <c r="DU48" i="2" s="1"/>
  <c r="DV48" i="2" s="1"/>
  <c r="DW48" i="2" s="1"/>
  <c r="DX48" i="2" s="1"/>
  <c r="DY48" i="2" s="1"/>
  <c r="FS48" i="2" s="1"/>
  <c r="DZ48" i="2" l="1"/>
  <c r="EA48" i="2" s="1"/>
  <c r="EB48" i="2" s="1"/>
  <c r="EC48" i="2" s="1"/>
  <c r="FT48" i="2" s="1"/>
  <c r="CP150" i="112"/>
  <c r="FJ91" i="112"/>
  <c r="GU91" i="112"/>
  <c r="GU92" i="112" s="1"/>
  <c r="CP202" i="112"/>
  <c r="CP209" i="112" s="1"/>
  <c r="FJ201" i="112"/>
  <c r="FR9" i="3"/>
  <c r="FQ9" i="3"/>
  <c r="FR47" i="3"/>
  <c r="FR46" i="3"/>
  <c r="FR45" i="3"/>
  <c r="FR43" i="3"/>
  <c r="FR42" i="3"/>
  <c r="FR40" i="3"/>
  <c r="FR39" i="3"/>
  <c r="FR38" i="3"/>
  <c r="FR33" i="3"/>
  <c r="FR31" i="3"/>
  <c r="FR15" i="3"/>
  <c r="FR14" i="3"/>
  <c r="FR9" i="2"/>
  <c r="FQ9" i="2"/>
  <c r="FQ47" i="3"/>
  <c r="FQ46" i="3"/>
  <c r="FQ45" i="3"/>
  <c r="FQ43" i="3"/>
  <c r="FQ42" i="3"/>
  <c r="FQ40" i="3"/>
  <c r="FQ39" i="3"/>
  <c r="FQ38" i="3"/>
  <c r="FQ33" i="3"/>
  <c r="FQ31" i="3"/>
  <c r="FQ15" i="3"/>
  <c r="FQ14" i="3"/>
  <c r="GZ9" i="113"/>
  <c r="GY9" i="113"/>
  <c r="GZ83" i="113"/>
  <c r="GZ82" i="113"/>
  <c r="GZ19" i="113"/>
  <c r="GY83" i="113"/>
  <c r="GY82" i="113"/>
  <c r="GY19" i="113"/>
  <c r="FQ9" i="113"/>
  <c r="FP9" i="113"/>
  <c r="FQ83" i="113"/>
  <c r="FQ82" i="113"/>
  <c r="FQ19" i="113"/>
  <c r="FP83" i="113"/>
  <c r="FP82" i="113"/>
  <c r="FP19" i="113"/>
  <c r="GN10" i="113"/>
  <c r="GM10" i="113"/>
  <c r="GM23" i="113" s="1"/>
  <c r="GL10" i="113"/>
  <c r="GK10" i="113"/>
  <c r="GK23" i="113" s="1"/>
  <c r="GJ10" i="113"/>
  <c r="GI10" i="113"/>
  <c r="GH10" i="113"/>
  <c r="GG10" i="113"/>
  <c r="GF10" i="113"/>
  <c r="GE10" i="113"/>
  <c r="GE23" i="113" s="1"/>
  <c r="GD10" i="113"/>
  <c r="GC10" i="113"/>
  <c r="GB10" i="113"/>
  <c r="GA10" i="113"/>
  <c r="FZ10" i="113"/>
  <c r="FY10" i="113"/>
  <c r="FX10" i="113"/>
  <c r="FW10" i="113"/>
  <c r="FD10" i="113"/>
  <c r="FC10" i="113"/>
  <c r="FB10" i="113"/>
  <c r="FA10" i="113"/>
  <c r="EZ10" i="113"/>
  <c r="EY10" i="113"/>
  <c r="EX10" i="113"/>
  <c r="EW10" i="113"/>
  <c r="EV10" i="113"/>
  <c r="EU10" i="113"/>
  <c r="ET10" i="113"/>
  <c r="ES10" i="113"/>
  <c r="ER10" i="113"/>
  <c r="EQ10" i="113"/>
  <c r="EP10" i="113"/>
  <c r="EO10" i="113"/>
  <c r="EN10" i="113"/>
  <c r="EM10" i="113"/>
  <c r="FF169" i="113"/>
  <c r="FE169" i="113"/>
  <c r="FF162" i="113"/>
  <c r="FE162" i="113"/>
  <c r="FF149" i="113"/>
  <c r="FE149" i="113"/>
  <c r="FG142" i="113"/>
  <c r="FF142" i="113"/>
  <c r="FE142" i="113"/>
  <c r="GT136" i="113"/>
  <c r="FK136" i="113"/>
  <c r="FJ136" i="113"/>
  <c r="FI136" i="113"/>
  <c r="FH136" i="113"/>
  <c r="FG136" i="113"/>
  <c r="FF136" i="113"/>
  <c r="FE136" i="113"/>
  <c r="FF131" i="113"/>
  <c r="FI130" i="113"/>
  <c r="FH130" i="113"/>
  <c r="FG130" i="113"/>
  <c r="FF130" i="113"/>
  <c r="FE130" i="113"/>
  <c r="FI124" i="113"/>
  <c r="FH124" i="113"/>
  <c r="FG124" i="113"/>
  <c r="FF124" i="113"/>
  <c r="FE124" i="113"/>
  <c r="FI118" i="113"/>
  <c r="FH118" i="113"/>
  <c r="FG118" i="113"/>
  <c r="FF118" i="113"/>
  <c r="FE118" i="113"/>
  <c r="GP113" i="113"/>
  <c r="GP115" i="113" s="1"/>
  <c r="GQ113" i="113"/>
  <c r="FE112" i="113"/>
  <c r="FI101" i="113"/>
  <c r="FI100" i="113"/>
  <c r="FI99" i="113"/>
  <c r="FI98" i="113"/>
  <c r="GX83" i="113"/>
  <c r="GX82" i="113"/>
  <c r="GW82" i="113"/>
  <c r="GV82" i="113"/>
  <c r="GU82" i="113"/>
  <c r="GT82" i="113"/>
  <c r="GS82" i="113"/>
  <c r="GR82" i="113"/>
  <c r="GQ82" i="113"/>
  <c r="GP82" i="113"/>
  <c r="GO82" i="113"/>
  <c r="GN82" i="113"/>
  <c r="GM82" i="113"/>
  <c r="FO83" i="113"/>
  <c r="FN83" i="113"/>
  <c r="FO82" i="113"/>
  <c r="FN82" i="113"/>
  <c r="FM82" i="113"/>
  <c r="FL82" i="113"/>
  <c r="FK82" i="113"/>
  <c r="FJ82" i="113"/>
  <c r="FI82" i="113"/>
  <c r="FH82" i="113"/>
  <c r="FG82" i="113"/>
  <c r="FF82" i="113"/>
  <c r="FE82" i="113"/>
  <c r="FD82" i="113"/>
  <c r="FC82" i="113"/>
  <c r="AE103" i="119" l="1"/>
  <c r="AF103" i="119"/>
  <c r="DZ87" i="119"/>
  <c r="FQ10" i="113"/>
  <c r="FQ36" i="113" s="1"/>
  <c r="FQ123" i="113"/>
  <c r="FQ161" i="113"/>
  <c r="FQ74" i="113"/>
  <c r="FQ129" i="113"/>
  <c r="FQ141" i="113"/>
  <c r="FQ148" i="113"/>
  <c r="FQ117" i="113"/>
  <c r="FQ135" i="113"/>
  <c r="FQ88" i="113"/>
  <c r="FQ97" i="113"/>
  <c r="FQ111" i="113"/>
  <c r="FP10" i="113"/>
  <c r="FP36" i="113" s="1"/>
  <c r="FP161" i="113"/>
  <c r="FP117" i="113"/>
  <c r="FP74" i="113"/>
  <c r="FP141" i="113"/>
  <c r="FP111" i="113"/>
  <c r="FP123" i="113"/>
  <c r="FP135" i="113"/>
  <c r="FP88" i="113"/>
  <c r="FP148" i="113"/>
  <c r="FP129" i="113"/>
  <c r="FP97" i="113"/>
  <c r="ED48" i="2"/>
  <c r="EE48" i="2" s="1"/>
  <c r="EF48" i="2" s="1"/>
  <c r="EG48" i="2" s="1"/>
  <c r="FU48" i="2" s="1"/>
  <c r="GQ115" i="113"/>
  <c r="GR115" i="113"/>
  <c r="CT209" i="112"/>
  <c r="FJ208" i="112"/>
  <c r="FK208" i="112"/>
  <c r="CP215" i="112"/>
  <c r="FJ202" i="112"/>
  <c r="FJ92" i="112"/>
  <c r="FJ151" i="112" s="1"/>
  <c r="FJ150" i="112"/>
  <c r="EQ36" i="113"/>
  <c r="EQ23" i="113"/>
  <c r="EW36" i="113"/>
  <c r="EW23" i="113"/>
  <c r="FC36" i="113"/>
  <c r="FC23" i="113"/>
  <c r="GA161" i="113"/>
  <c r="GA23" i="113"/>
  <c r="GG161" i="113"/>
  <c r="GG23" i="113"/>
  <c r="FB36" i="113"/>
  <c r="FB23" i="113"/>
  <c r="GF135" i="113"/>
  <c r="GF23" i="113"/>
  <c r="ER36" i="113"/>
  <c r="ER23" i="113"/>
  <c r="EX36" i="113"/>
  <c r="EX23" i="113"/>
  <c r="FD36" i="113"/>
  <c r="FD23" i="113"/>
  <c r="GB148" i="113"/>
  <c r="GB23" i="113"/>
  <c r="GH123" i="113"/>
  <c r="GH23" i="113"/>
  <c r="GN135" i="113"/>
  <c r="GN23" i="113"/>
  <c r="FZ97" i="113"/>
  <c r="FZ23" i="113"/>
  <c r="EM36" i="113"/>
  <c r="EM23" i="113"/>
  <c r="ES36" i="113"/>
  <c r="ES23" i="113"/>
  <c r="EY36" i="113"/>
  <c r="EY23" i="113"/>
  <c r="FW141" i="113"/>
  <c r="FW23" i="113"/>
  <c r="GC88" i="113"/>
  <c r="GC23" i="113"/>
  <c r="GI148" i="113"/>
  <c r="GI23" i="113"/>
  <c r="EV36" i="113"/>
  <c r="EV23" i="113"/>
  <c r="GL129" i="113"/>
  <c r="GL23" i="113"/>
  <c r="EN36" i="113"/>
  <c r="EN23" i="113"/>
  <c r="ET36" i="113"/>
  <c r="ET23" i="113"/>
  <c r="EZ36" i="113"/>
  <c r="EZ23" i="113"/>
  <c r="FX97" i="113"/>
  <c r="FX23" i="113"/>
  <c r="GD97" i="113"/>
  <c r="GD23" i="113"/>
  <c r="GJ97" i="113"/>
  <c r="GJ23" i="113"/>
  <c r="EP36" i="113"/>
  <c r="EP23" i="113"/>
  <c r="EO36" i="113"/>
  <c r="EO23" i="113"/>
  <c r="EU36" i="113"/>
  <c r="EU23" i="113"/>
  <c r="FA36" i="113"/>
  <c r="FA23" i="113"/>
  <c r="FY148" i="113"/>
  <c r="FY23" i="113"/>
  <c r="GY10" i="113"/>
  <c r="GY36" i="113" s="1"/>
  <c r="FI8" i="6"/>
  <c r="GZ10" i="113"/>
  <c r="FJ8" i="6"/>
  <c r="C32" i="114"/>
  <c r="C31" i="114"/>
  <c r="GL111" i="113"/>
  <c r="GH135" i="113"/>
  <c r="FZ148" i="113"/>
  <c r="FX36" i="113"/>
  <c r="GJ88" i="113"/>
  <c r="FZ123" i="113"/>
  <c r="GC148" i="113"/>
  <c r="FW117" i="113"/>
  <c r="GF97" i="113"/>
  <c r="GH129" i="113"/>
  <c r="GH161" i="113"/>
  <c r="FW135" i="113"/>
  <c r="FX117" i="113"/>
  <c r="FZ111" i="113"/>
  <c r="GJ129" i="113"/>
  <c r="GI161" i="113"/>
  <c r="GE129" i="113"/>
  <c r="GE141" i="113"/>
  <c r="GE111" i="113"/>
  <c r="GK36" i="113"/>
  <c r="GK111" i="113"/>
  <c r="GK117" i="113"/>
  <c r="GK135" i="113"/>
  <c r="GK123" i="113"/>
  <c r="GM161" i="113"/>
  <c r="GM123" i="113"/>
  <c r="GM141" i="113"/>
  <c r="GM111" i="113"/>
  <c r="GM117" i="113"/>
  <c r="GK141" i="113"/>
  <c r="GE88" i="113"/>
  <c r="GF123" i="113"/>
  <c r="GJ161" i="113"/>
  <c r="FZ36" i="113"/>
  <c r="GF111" i="113"/>
  <c r="GI117" i="113"/>
  <c r="GJ123" i="113"/>
  <c r="GJ135" i="113"/>
  <c r="FX141" i="113"/>
  <c r="GF148" i="113"/>
  <c r="FW161" i="113"/>
  <c r="GC36" i="113"/>
  <c r="GI111" i="113"/>
  <c r="GJ117" i="113"/>
  <c r="FZ141" i="113"/>
  <c r="GJ148" i="113"/>
  <c r="FX161" i="113"/>
  <c r="GJ36" i="113"/>
  <c r="FZ74" i="113"/>
  <c r="FW88" i="113"/>
  <c r="GJ111" i="113"/>
  <c r="GL123" i="113"/>
  <c r="FX129" i="113"/>
  <c r="GB161" i="113"/>
  <c r="GL36" i="113"/>
  <c r="GJ74" i="113"/>
  <c r="FX88" i="113"/>
  <c r="FX111" i="113"/>
  <c r="GL117" i="113"/>
  <c r="FX123" i="113"/>
  <c r="GF129" i="113"/>
  <c r="GJ141" i="113"/>
  <c r="GN97" i="113"/>
  <c r="GN74" i="113"/>
  <c r="GN161" i="113"/>
  <c r="GN129" i="113"/>
  <c r="GN148" i="113"/>
  <c r="GN88" i="113"/>
  <c r="GN141" i="113"/>
  <c r="GN36" i="113"/>
  <c r="GN111" i="113"/>
  <c r="GN117" i="113"/>
  <c r="GN123" i="113"/>
  <c r="GM135" i="113"/>
  <c r="GM36" i="113"/>
  <c r="GM88" i="113"/>
  <c r="GM97" i="113"/>
  <c r="GM129" i="113"/>
  <c r="GM74" i="113"/>
  <c r="GM148" i="113"/>
  <c r="GL88" i="113"/>
  <c r="GL74" i="113"/>
  <c r="GL148" i="113"/>
  <c r="GL97" i="113"/>
  <c r="GL135" i="113"/>
  <c r="GL141" i="113"/>
  <c r="GL161" i="113"/>
  <c r="GK97" i="113"/>
  <c r="GK148" i="113"/>
  <c r="GK129" i="113"/>
  <c r="GK74" i="113"/>
  <c r="GK88" i="113"/>
  <c r="GK161" i="113"/>
  <c r="GI36" i="113"/>
  <c r="GI88" i="113"/>
  <c r="GI123" i="113"/>
  <c r="GI129" i="113"/>
  <c r="GI135" i="113"/>
  <c r="GI141" i="113"/>
  <c r="GI74" i="113"/>
  <c r="GI97" i="113"/>
  <c r="GH111" i="113"/>
  <c r="GH141" i="113"/>
  <c r="GH36" i="113"/>
  <c r="GH74" i="113"/>
  <c r="GH117" i="113"/>
  <c r="GH148" i="113"/>
  <c r="GH88" i="113"/>
  <c r="GH97" i="113"/>
  <c r="GG111" i="113"/>
  <c r="GG88" i="113"/>
  <c r="GG129" i="113"/>
  <c r="GG97" i="113"/>
  <c r="GG117" i="113"/>
  <c r="GG135" i="113"/>
  <c r="GG148" i="113"/>
  <c r="GG36" i="113"/>
  <c r="GG74" i="113"/>
  <c r="GG123" i="113"/>
  <c r="GG141" i="113"/>
  <c r="GF36" i="113"/>
  <c r="GF88" i="113"/>
  <c r="GF141" i="113"/>
  <c r="GF74" i="113"/>
  <c r="GF117" i="113"/>
  <c r="GF161" i="113"/>
  <c r="GE74" i="113"/>
  <c r="GE97" i="113"/>
  <c r="GE123" i="113"/>
  <c r="GE135" i="113"/>
  <c r="GE161" i="113"/>
  <c r="GE117" i="113"/>
  <c r="GE148" i="113"/>
  <c r="GE36" i="113"/>
  <c r="GD129" i="113"/>
  <c r="GD88" i="113"/>
  <c r="GD123" i="113"/>
  <c r="GD148" i="113"/>
  <c r="GD161" i="113"/>
  <c r="GD74" i="113"/>
  <c r="GD117" i="113"/>
  <c r="GD141" i="113"/>
  <c r="GD111" i="113"/>
  <c r="GD135" i="113"/>
  <c r="GD36" i="113"/>
  <c r="GC135" i="113"/>
  <c r="GC141" i="113"/>
  <c r="GC161" i="113"/>
  <c r="GC129" i="113"/>
  <c r="GC97" i="113"/>
  <c r="GC111" i="113"/>
  <c r="GC117" i="113"/>
  <c r="GC123" i="113"/>
  <c r="GC74" i="113"/>
  <c r="GB74" i="113"/>
  <c r="GB97" i="113"/>
  <c r="GB88" i="113"/>
  <c r="GB111" i="113"/>
  <c r="GB36" i="113"/>
  <c r="GB117" i="113"/>
  <c r="GB123" i="113"/>
  <c r="GB129" i="113"/>
  <c r="GB135" i="113"/>
  <c r="GB141" i="113"/>
  <c r="GA36" i="113"/>
  <c r="GA111" i="113"/>
  <c r="GA135" i="113"/>
  <c r="GA74" i="113"/>
  <c r="GA117" i="113"/>
  <c r="GA141" i="113"/>
  <c r="GA88" i="113"/>
  <c r="GA97" i="113"/>
  <c r="GA123" i="113"/>
  <c r="GA148" i="113"/>
  <c r="GA129" i="113"/>
  <c r="FZ129" i="113"/>
  <c r="FZ88" i="113"/>
  <c r="FZ117" i="113"/>
  <c r="FZ135" i="113"/>
  <c r="FZ161" i="113"/>
  <c r="FY36" i="113"/>
  <c r="FY88" i="113"/>
  <c r="FY123" i="113"/>
  <c r="FY135" i="113"/>
  <c r="FY74" i="113"/>
  <c r="FY97" i="113"/>
  <c r="FY117" i="113"/>
  <c r="FY129" i="113"/>
  <c r="FY141" i="113"/>
  <c r="FY161" i="113"/>
  <c r="FY111" i="113"/>
  <c r="FX74" i="113"/>
  <c r="FX135" i="113"/>
  <c r="FX148" i="113"/>
  <c r="FW74" i="113"/>
  <c r="FW111" i="113"/>
  <c r="FW129" i="113"/>
  <c r="FW148" i="113"/>
  <c r="FW36" i="113"/>
  <c r="FW97" i="113"/>
  <c r="FW123" i="113"/>
  <c r="FP23" i="113" l="1"/>
  <c r="FQ23" i="113"/>
  <c r="EA87" i="119"/>
  <c r="AS14" i="114"/>
  <c r="EH48" i="2"/>
  <c r="EI48" i="2" s="1"/>
  <c r="EJ48" i="2" s="1"/>
  <c r="EK48" i="2" s="1"/>
  <c r="FV48" i="2" s="1"/>
  <c r="GY148" i="113"/>
  <c r="GY88" i="113"/>
  <c r="FJ209" i="112"/>
  <c r="FK209" i="112"/>
  <c r="FJ215" i="112"/>
  <c r="CP212" i="112"/>
  <c r="CT227" i="112"/>
  <c r="CP227" i="112"/>
  <c r="CP213" i="112"/>
  <c r="CP214" i="112"/>
  <c r="FJ203" i="112"/>
  <c r="FJ204" i="112" s="1"/>
  <c r="FK204" i="112" s="1"/>
  <c r="FL204" i="112" s="1"/>
  <c r="FM204" i="112" s="1"/>
  <c r="GZ123" i="113"/>
  <c r="GZ23" i="113"/>
  <c r="GY161" i="113"/>
  <c r="GY23" i="113"/>
  <c r="GY97" i="113"/>
  <c r="GY135" i="113"/>
  <c r="GY74" i="113"/>
  <c r="GY123" i="113"/>
  <c r="GY117" i="113"/>
  <c r="GY129" i="113"/>
  <c r="GY141" i="113"/>
  <c r="GZ111" i="113"/>
  <c r="GZ97" i="113"/>
  <c r="GZ117" i="113"/>
  <c r="GZ135" i="113"/>
  <c r="GZ161" i="113"/>
  <c r="GZ129" i="113"/>
  <c r="GZ74" i="113"/>
  <c r="GZ148" i="113"/>
  <c r="GY111" i="113"/>
  <c r="GZ36" i="113"/>
  <c r="GZ141" i="113"/>
  <c r="GZ88" i="113"/>
  <c r="FH19" i="113"/>
  <c r="FH17" i="113"/>
  <c r="FH11" i="113"/>
  <c r="FO19" i="113"/>
  <c r="FN19" i="113"/>
  <c r="FM19" i="113"/>
  <c r="FL19" i="113"/>
  <c r="FK19" i="113"/>
  <c r="FJ19" i="113"/>
  <c r="FI19" i="113"/>
  <c r="FG19" i="113"/>
  <c r="FF19" i="113"/>
  <c r="FE19" i="113"/>
  <c r="FG17" i="113"/>
  <c r="FF17" i="113"/>
  <c r="FE17" i="113"/>
  <c r="FF16" i="113"/>
  <c r="FE16" i="113"/>
  <c r="FE14" i="113"/>
  <c r="FG13" i="113"/>
  <c r="FF13" i="113"/>
  <c r="FE13" i="113"/>
  <c r="FF12" i="113"/>
  <c r="FE12" i="113"/>
  <c r="FI11" i="113"/>
  <c r="FG11" i="113"/>
  <c r="A43" i="113"/>
  <c r="A58" i="113" s="1"/>
  <c r="GX19" i="113"/>
  <c r="GW19" i="113"/>
  <c r="GV19" i="113"/>
  <c r="GU19" i="113"/>
  <c r="GT19" i="113"/>
  <c r="GS19" i="113"/>
  <c r="GR19" i="113"/>
  <c r="GQ19" i="113"/>
  <c r="GP19" i="113"/>
  <c r="GO19" i="113"/>
  <c r="GQ17" i="113"/>
  <c r="GP17" i="113"/>
  <c r="GO17" i="113"/>
  <c r="GO16" i="113"/>
  <c r="GO14" i="113"/>
  <c r="GP13" i="113"/>
  <c r="GO13" i="113"/>
  <c r="GO12" i="113"/>
  <c r="GR11" i="113"/>
  <c r="GQ11" i="113"/>
  <c r="HA9" i="51"/>
  <c r="HA19" i="51" s="1"/>
  <c r="GZ9" i="51"/>
  <c r="GZ39" i="51" s="1"/>
  <c r="FQ9" i="51"/>
  <c r="FQ39" i="51" s="1"/>
  <c r="FP9" i="51"/>
  <c r="FP56" i="51" s="1"/>
  <c r="HB9" i="112"/>
  <c r="HA9" i="112"/>
  <c r="FQ9" i="112"/>
  <c r="FP9" i="112"/>
  <c r="FQ197" i="112"/>
  <c r="FQ196" i="112"/>
  <c r="FQ195" i="112"/>
  <c r="FP197" i="112"/>
  <c r="FP196" i="112"/>
  <c r="FP195" i="112"/>
  <c r="GP193" i="112"/>
  <c r="GO193" i="112"/>
  <c r="GN193" i="112"/>
  <c r="GM193" i="112"/>
  <c r="GL193" i="112"/>
  <c r="GK193" i="112"/>
  <c r="GJ193" i="112"/>
  <c r="GI193" i="112"/>
  <c r="GH193" i="112"/>
  <c r="GG193" i="112"/>
  <c r="GF193" i="112"/>
  <c r="GE193" i="112"/>
  <c r="GD193" i="112"/>
  <c r="GC193" i="112"/>
  <c r="GB193" i="112"/>
  <c r="GA193" i="112"/>
  <c r="FZ193" i="112"/>
  <c r="FY193" i="112"/>
  <c r="FD193" i="112"/>
  <c r="FC193" i="112"/>
  <c r="FB193" i="112"/>
  <c r="FA193" i="112"/>
  <c r="EZ193" i="112"/>
  <c r="EY193" i="112"/>
  <c r="EX193" i="112"/>
  <c r="EW193" i="112"/>
  <c r="EV193" i="112"/>
  <c r="EU193" i="112"/>
  <c r="ET193" i="112"/>
  <c r="ES193" i="112"/>
  <c r="ER193" i="112"/>
  <c r="EQ193" i="112"/>
  <c r="EP193" i="112"/>
  <c r="EO193" i="112"/>
  <c r="EN193" i="112"/>
  <c r="EM193" i="112"/>
  <c r="GP162" i="112"/>
  <c r="GO162" i="112"/>
  <c r="GN162" i="112"/>
  <c r="GM162" i="112"/>
  <c r="GL162" i="112"/>
  <c r="GK162" i="112"/>
  <c r="GJ162" i="112"/>
  <c r="GI162" i="112"/>
  <c r="GH162" i="112"/>
  <c r="GG162" i="112"/>
  <c r="GF162" i="112"/>
  <c r="GE162" i="112"/>
  <c r="GD162" i="112"/>
  <c r="GC162" i="112"/>
  <c r="GB162" i="112"/>
  <c r="GA162" i="112"/>
  <c r="FZ162" i="112"/>
  <c r="FY162" i="112"/>
  <c r="FD162" i="112"/>
  <c r="FC162" i="112"/>
  <c r="FB162" i="112"/>
  <c r="FA162" i="112"/>
  <c r="EZ162" i="112"/>
  <c r="EY162" i="112"/>
  <c r="EX162" i="112"/>
  <c r="EW162" i="112"/>
  <c r="EV162" i="112"/>
  <c r="EU162" i="112"/>
  <c r="ET162" i="112"/>
  <c r="ES162" i="112"/>
  <c r="ER162" i="112"/>
  <c r="EQ162" i="112"/>
  <c r="EP162" i="112"/>
  <c r="EO162" i="112"/>
  <c r="EN162" i="112"/>
  <c r="EM162" i="112"/>
  <c r="GP131" i="112"/>
  <c r="GO131" i="112"/>
  <c r="GN131" i="112"/>
  <c r="GM131" i="112"/>
  <c r="GL131" i="112"/>
  <c r="GK131" i="112"/>
  <c r="GJ131" i="112"/>
  <c r="GI131" i="112"/>
  <c r="GH131" i="112"/>
  <c r="GG131" i="112"/>
  <c r="GF131" i="112"/>
  <c r="GE131" i="112"/>
  <c r="GD131" i="112"/>
  <c r="GC131" i="112"/>
  <c r="GB131" i="112"/>
  <c r="GA131" i="112"/>
  <c r="FZ131" i="112"/>
  <c r="FY131" i="112"/>
  <c r="FD131" i="112"/>
  <c r="FC131" i="112"/>
  <c r="FB131" i="112"/>
  <c r="FA131" i="112"/>
  <c r="EZ131" i="112"/>
  <c r="EY131" i="112"/>
  <c r="EX131" i="112"/>
  <c r="EW131" i="112"/>
  <c r="EV131" i="112"/>
  <c r="EU131" i="112"/>
  <c r="ET131" i="112"/>
  <c r="ES131" i="112"/>
  <c r="ER131" i="112"/>
  <c r="EQ131" i="112"/>
  <c r="EP131" i="112"/>
  <c r="EO131" i="112"/>
  <c r="EN131" i="112"/>
  <c r="EM131" i="112"/>
  <c r="GP117" i="112"/>
  <c r="GO117" i="112"/>
  <c r="GN117" i="112"/>
  <c r="GM117" i="112"/>
  <c r="GL117" i="112"/>
  <c r="GK117" i="112"/>
  <c r="GJ117" i="112"/>
  <c r="GI117" i="112"/>
  <c r="GH117" i="112"/>
  <c r="GG117" i="112"/>
  <c r="GF117" i="112"/>
  <c r="GE117" i="112"/>
  <c r="GD117" i="112"/>
  <c r="GC117" i="112"/>
  <c r="GB117" i="112"/>
  <c r="GA117" i="112"/>
  <c r="FZ117" i="112"/>
  <c r="FY117" i="112"/>
  <c r="FD117" i="112"/>
  <c r="FC117" i="112"/>
  <c r="FB117" i="112"/>
  <c r="FA117" i="112"/>
  <c r="EZ117" i="112"/>
  <c r="EY117" i="112"/>
  <c r="EX117" i="112"/>
  <c r="EW117" i="112"/>
  <c r="EV117" i="112"/>
  <c r="EU117" i="112"/>
  <c r="ET117" i="112"/>
  <c r="ES117" i="112"/>
  <c r="ER117" i="112"/>
  <c r="EQ117" i="112"/>
  <c r="EP117" i="112"/>
  <c r="EO117" i="112"/>
  <c r="EN117" i="112"/>
  <c r="EM117" i="112"/>
  <c r="GP103" i="112"/>
  <c r="GO103" i="112"/>
  <c r="GN103" i="112"/>
  <c r="GM103" i="112"/>
  <c r="GL103" i="112"/>
  <c r="GK103" i="112"/>
  <c r="GJ103" i="112"/>
  <c r="GI103" i="112"/>
  <c r="GH103" i="112"/>
  <c r="GG103" i="112"/>
  <c r="GF103" i="112"/>
  <c r="GE103" i="112"/>
  <c r="GD103" i="112"/>
  <c r="GC103" i="112"/>
  <c r="GB103" i="112"/>
  <c r="GA103" i="112"/>
  <c r="FZ103" i="112"/>
  <c r="FY103" i="112"/>
  <c r="FD103" i="112"/>
  <c r="FC103" i="112"/>
  <c r="FB103" i="112"/>
  <c r="FA103" i="112"/>
  <c r="EZ103" i="112"/>
  <c r="EY103" i="112"/>
  <c r="EX103" i="112"/>
  <c r="EW103" i="112"/>
  <c r="EV103" i="112"/>
  <c r="EU103" i="112"/>
  <c r="ET103" i="112"/>
  <c r="ES103" i="112"/>
  <c r="ER103" i="112"/>
  <c r="EQ103" i="112"/>
  <c r="EP103" i="112"/>
  <c r="EO103" i="112"/>
  <c r="EN103" i="112"/>
  <c r="EM103" i="112"/>
  <c r="GP72" i="112"/>
  <c r="GO72" i="112"/>
  <c r="GN72" i="112"/>
  <c r="GM72" i="112"/>
  <c r="GL72" i="112"/>
  <c r="GK72" i="112"/>
  <c r="GJ72" i="112"/>
  <c r="GI72" i="112"/>
  <c r="GH72" i="112"/>
  <c r="GG72" i="112"/>
  <c r="GF72" i="112"/>
  <c r="GE72" i="112"/>
  <c r="GD72" i="112"/>
  <c r="GC72" i="112"/>
  <c r="GB72" i="112"/>
  <c r="GA72" i="112"/>
  <c r="FZ72" i="112"/>
  <c r="FY72" i="112"/>
  <c r="FD72" i="112"/>
  <c r="FC72" i="112"/>
  <c r="FB72" i="112"/>
  <c r="FA72" i="112"/>
  <c r="EZ72" i="112"/>
  <c r="EY72" i="112"/>
  <c r="EX72" i="112"/>
  <c r="EW72" i="112"/>
  <c r="EV72" i="112"/>
  <c r="EU72" i="112"/>
  <c r="ET72" i="112"/>
  <c r="ES72" i="112"/>
  <c r="ER72" i="112"/>
  <c r="EQ72" i="112"/>
  <c r="EP72" i="112"/>
  <c r="EO72" i="112"/>
  <c r="EN72" i="112"/>
  <c r="EM72" i="112"/>
  <c r="GP21" i="112"/>
  <c r="GO21" i="112"/>
  <c r="GN21" i="112"/>
  <c r="GM21" i="112"/>
  <c r="GL21" i="112"/>
  <c r="GK21" i="112"/>
  <c r="GJ21" i="112"/>
  <c r="GI21" i="112"/>
  <c r="GH21" i="112"/>
  <c r="GG21" i="112"/>
  <c r="GF21" i="112"/>
  <c r="GE21" i="112"/>
  <c r="GD21" i="112"/>
  <c r="GC21" i="112"/>
  <c r="GB21" i="112"/>
  <c r="GA21" i="112"/>
  <c r="FZ21" i="112"/>
  <c r="FY21" i="112"/>
  <c r="FD21" i="112"/>
  <c r="FC21" i="112"/>
  <c r="FB21" i="112"/>
  <c r="FA21" i="112"/>
  <c r="EZ21" i="112"/>
  <c r="EY21" i="112"/>
  <c r="EX21" i="112"/>
  <c r="EW21" i="112"/>
  <c r="EV21" i="112"/>
  <c r="EU21" i="112"/>
  <c r="ET21" i="112"/>
  <c r="ES21" i="112"/>
  <c r="ER21" i="112"/>
  <c r="EQ21" i="112"/>
  <c r="EP21" i="112"/>
  <c r="EO21" i="112"/>
  <c r="EN21" i="112"/>
  <c r="EM21" i="112"/>
  <c r="FY194" i="112"/>
  <c r="FZ194" i="112"/>
  <c r="FJ195" i="112"/>
  <c r="FK195" i="112"/>
  <c r="FL195" i="112"/>
  <c r="FM195" i="112"/>
  <c r="FN195" i="112"/>
  <c r="FO195" i="112"/>
  <c r="FY195" i="112"/>
  <c r="FZ195" i="112"/>
  <c r="FJ196" i="112"/>
  <c r="FK196" i="112"/>
  <c r="FL196" i="112"/>
  <c r="FM196" i="112"/>
  <c r="FN196" i="112"/>
  <c r="FO196" i="112"/>
  <c r="FY196" i="112"/>
  <c r="FZ196" i="112"/>
  <c r="FJ197" i="112"/>
  <c r="FK197" i="112"/>
  <c r="FL197" i="112"/>
  <c r="FM197" i="112"/>
  <c r="FN197" i="112"/>
  <c r="FO197" i="112"/>
  <c r="FY197" i="112"/>
  <c r="FZ197" i="112"/>
  <c r="ER167" i="112"/>
  <c r="EQ167" i="112"/>
  <c r="EP167" i="112"/>
  <c r="FE166" i="112"/>
  <c r="FD166" i="112"/>
  <c r="FC166" i="112"/>
  <c r="FB166" i="112"/>
  <c r="FA166" i="112"/>
  <c r="EZ166" i="112"/>
  <c r="EY166" i="112"/>
  <c r="EX166" i="112"/>
  <c r="EW166" i="112"/>
  <c r="EV166" i="112"/>
  <c r="EU166" i="112"/>
  <c r="ET166" i="112"/>
  <c r="ES166" i="112"/>
  <c r="ER166" i="112"/>
  <c r="EQ166" i="112"/>
  <c r="EP166" i="112"/>
  <c r="EZ165" i="112"/>
  <c r="EY165" i="112"/>
  <c r="EX165" i="112"/>
  <c r="EW165" i="112"/>
  <c r="EV165" i="112"/>
  <c r="EU165" i="112"/>
  <c r="ET165" i="112"/>
  <c r="ES165" i="112"/>
  <c r="ER165" i="112"/>
  <c r="EQ165" i="112"/>
  <c r="EP165" i="112"/>
  <c r="EY163" i="112"/>
  <c r="EX163" i="112"/>
  <c r="EW163" i="112"/>
  <c r="EV163" i="112"/>
  <c r="EU163" i="112"/>
  <c r="ET163" i="112"/>
  <c r="ES163" i="112"/>
  <c r="ER163" i="112"/>
  <c r="EQ163" i="112"/>
  <c r="EP163" i="112"/>
  <c r="GC167" i="112"/>
  <c r="GB167" i="112"/>
  <c r="GA167" i="112"/>
  <c r="GQ166" i="112"/>
  <c r="GP166" i="112"/>
  <c r="GO166" i="112"/>
  <c r="GN166" i="112"/>
  <c r="GM166" i="112"/>
  <c r="GL166" i="112"/>
  <c r="GK166" i="112"/>
  <c r="GJ166" i="112"/>
  <c r="GI166" i="112"/>
  <c r="GH166" i="112"/>
  <c r="GG166" i="112"/>
  <c r="GF166" i="112"/>
  <c r="GE166" i="112"/>
  <c r="GD166" i="112"/>
  <c r="GC166" i="112"/>
  <c r="GB166" i="112"/>
  <c r="GA166" i="112"/>
  <c r="GL165" i="112"/>
  <c r="GK165" i="112"/>
  <c r="GJ165" i="112"/>
  <c r="GI165" i="112"/>
  <c r="GH165" i="112"/>
  <c r="GG165" i="112"/>
  <c r="GF165" i="112"/>
  <c r="GE165" i="112"/>
  <c r="GD165" i="112"/>
  <c r="GC165" i="112"/>
  <c r="GB165" i="112"/>
  <c r="GA165" i="112"/>
  <c r="GJ163" i="112"/>
  <c r="GI163" i="112"/>
  <c r="GH163" i="112"/>
  <c r="GG163" i="112"/>
  <c r="GF163" i="112"/>
  <c r="GE163" i="112"/>
  <c r="GD163" i="112"/>
  <c r="GC163" i="112"/>
  <c r="GB163" i="112"/>
  <c r="GA163" i="112"/>
  <c r="ER122" i="112"/>
  <c r="EQ122" i="112"/>
  <c r="EP122" i="112"/>
  <c r="EO122" i="112"/>
  <c r="FA121" i="112"/>
  <c r="EZ121" i="112"/>
  <c r="EY121" i="112"/>
  <c r="EX121" i="112"/>
  <c r="EW121" i="112"/>
  <c r="EV121" i="112"/>
  <c r="EU121" i="112"/>
  <c r="ET121" i="112"/>
  <c r="ES121" i="112"/>
  <c r="ER121" i="112"/>
  <c r="EQ121" i="112"/>
  <c r="EP121" i="112"/>
  <c r="EO121" i="112"/>
  <c r="EZ120" i="112"/>
  <c r="EY120" i="112"/>
  <c r="EX120" i="112"/>
  <c r="EW120" i="112"/>
  <c r="EV120" i="112"/>
  <c r="EU120" i="112"/>
  <c r="ET120" i="112"/>
  <c r="ES120" i="112"/>
  <c r="ER120" i="112"/>
  <c r="EQ120" i="112"/>
  <c r="EP120" i="112"/>
  <c r="EO120" i="112"/>
  <c r="GC122" i="112"/>
  <c r="GB122" i="112"/>
  <c r="GA122" i="112"/>
  <c r="FZ122" i="112"/>
  <c r="GC121" i="112"/>
  <c r="GB121" i="112"/>
  <c r="GA121" i="112"/>
  <c r="FZ121" i="112"/>
  <c r="GL120" i="112"/>
  <c r="GK120" i="112"/>
  <c r="GJ120" i="112"/>
  <c r="GI120" i="112"/>
  <c r="GH120" i="112"/>
  <c r="GG120" i="112"/>
  <c r="GF120" i="112"/>
  <c r="GE120" i="112"/>
  <c r="GD120" i="112"/>
  <c r="GC120" i="112"/>
  <c r="GB120" i="112"/>
  <c r="GA120" i="112"/>
  <c r="FZ120" i="112"/>
  <c r="GO56" i="51"/>
  <c r="GN56" i="51"/>
  <c r="GM56" i="51"/>
  <c r="GL56" i="51"/>
  <c r="GK56" i="51"/>
  <c r="GJ56" i="51"/>
  <c r="GI56" i="51"/>
  <c r="GH56" i="51"/>
  <c r="GG56" i="51"/>
  <c r="GF56" i="51"/>
  <c r="GE56" i="51"/>
  <c r="GD56" i="51"/>
  <c r="GC56" i="51"/>
  <c r="GB56" i="51"/>
  <c r="GA56" i="51"/>
  <c r="FZ56" i="51"/>
  <c r="FY56" i="51"/>
  <c r="FX56" i="51"/>
  <c r="FD56" i="51"/>
  <c r="FC56" i="51"/>
  <c r="FB56" i="51"/>
  <c r="FA56" i="51"/>
  <c r="EZ56" i="51"/>
  <c r="EY56" i="51"/>
  <c r="EX56" i="51"/>
  <c r="EW56" i="51"/>
  <c r="EV56" i="51"/>
  <c r="EU56" i="51"/>
  <c r="ET56" i="51"/>
  <c r="ES56" i="51"/>
  <c r="ER56" i="51"/>
  <c r="EQ56" i="51"/>
  <c r="EP56" i="51"/>
  <c r="EO56" i="51"/>
  <c r="EN56" i="51"/>
  <c r="EM56" i="51"/>
  <c r="FD39" i="51"/>
  <c r="FC39" i="51"/>
  <c r="FB39" i="51"/>
  <c r="FA39" i="51"/>
  <c r="EZ39" i="51"/>
  <c r="EY39" i="51"/>
  <c r="EX39" i="51"/>
  <c r="EW39" i="51"/>
  <c r="EV39" i="51"/>
  <c r="EU39" i="51"/>
  <c r="ET39" i="51"/>
  <c r="ES39" i="51"/>
  <c r="ER39" i="51"/>
  <c r="EQ39" i="51"/>
  <c r="EP39" i="51"/>
  <c r="EO39" i="51"/>
  <c r="EN39" i="51"/>
  <c r="EM39" i="51"/>
  <c r="GO39" i="51"/>
  <c r="GN39" i="51"/>
  <c r="GM39" i="51"/>
  <c r="GL39" i="51"/>
  <c r="GK39" i="51"/>
  <c r="GJ39" i="51"/>
  <c r="GI39" i="51"/>
  <c r="GH39" i="51"/>
  <c r="GG39" i="51"/>
  <c r="GF39" i="51"/>
  <c r="GE39" i="51"/>
  <c r="GD39" i="51"/>
  <c r="GC39" i="51"/>
  <c r="GB39" i="51"/>
  <c r="GA39" i="51"/>
  <c r="FZ39" i="51"/>
  <c r="FY39" i="51"/>
  <c r="FX39" i="51"/>
  <c r="GO19" i="51"/>
  <c r="GN19" i="51"/>
  <c r="GM19" i="51"/>
  <c r="GL19" i="51"/>
  <c r="GK19" i="51"/>
  <c r="GJ19" i="51"/>
  <c r="GI19" i="51"/>
  <c r="GH19" i="51"/>
  <c r="GG19" i="51"/>
  <c r="GF19" i="51"/>
  <c r="GE19" i="51"/>
  <c r="GD19" i="51"/>
  <c r="GC19" i="51"/>
  <c r="GB19" i="51"/>
  <c r="GA19" i="51"/>
  <c r="FZ19" i="51"/>
  <c r="FY19" i="51"/>
  <c r="FX19" i="51"/>
  <c r="FD19" i="51"/>
  <c r="FC19" i="51"/>
  <c r="FB19" i="51"/>
  <c r="FA19" i="51"/>
  <c r="EZ19" i="51"/>
  <c r="EY19" i="51"/>
  <c r="EX19" i="51"/>
  <c r="EW19" i="51"/>
  <c r="EV19" i="51"/>
  <c r="EU19" i="51"/>
  <c r="ET19" i="51"/>
  <c r="ES19" i="51"/>
  <c r="ER19" i="51"/>
  <c r="EQ19" i="51"/>
  <c r="EP19" i="51"/>
  <c r="EO19" i="51"/>
  <c r="EN19" i="51"/>
  <c r="FE20" i="1"/>
  <c r="FD20" i="1"/>
  <c r="FC20" i="1"/>
  <c r="FB20" i="1"/>
  <c r="FA20" i="1"/>
  <c r="EZ20" i="1"/>
  <c r="EY20" i="1"/>
  <c r="EX20" i="1"/>
  <c r="EW20" i="1"/>
  <c r="EV20" i="1"/>
  <c r="EU20" i="1"/>
  <c r="ET20" i="1"/>
  <c r="ES20" i="1"/>
  <c r="ER20" i="1"/>
  <c r="EQ20" i="1"/>
  <c r="EP20" i="1"/>
  <c r="EO20" i="1"/>
  <c r="EN20" i="1"/>
  <c r="EM20" i="1"/>
  <c r="FE19" i="1"/>
  <c r="FD19" i="1"/>
  <c r="FC19" i="1"/>
  <c r="FB19" i="1"/>
  <c r="FA19" i="1"/>
  <c r="EZ19" i="1"/>
  <c r="EY19" i="1"/>
  <c r="EX19" i="1"/>
  <c r="EW19" i="1"/>
  <c r="EV19" i="1"/>
  <c r="EU19" i="1"/>
  <c r="ET19" i="1"/>
  <c r="ES19" i="1"/>
  <c r="ER19" i="1"/>
  <c r="EQ19" i="1"/>
  <c r="EP19" i="1"/>
  <c r="EO19" i="1"/>
  <c r="EN19" i="1"/>
  <c r="EM19" i="1"/>
  <c r="FF21" i="1"/>
  <c r="U24" i="119" s="1"/>
  <c r="FP239" i="112" l="1"/>
  <c r="FP234" i="112"/>
  <c r="FP229" i="112"/>
  <c r="FQ239" i="112"/>
  <c r="FQ234" i="112"/>
  <c r="FQ229" i="112"/>
  <c r="U24" i="30"/>
  <c r="U26" i="119"/>
  <c r="U26" i="30" s="1"/>
  <c r="EB87" i="119"/>
  <c r="CS240" i="112"/>
  <c r="CS241" i="112" s="1"/>
  <c r="CR240" i="112"/>
  <c r="CR241" i="112" s="1"/>
  <c r="CP240" i="112"/>
  <c r="CP241" i="112" s="1"/>
  <c r="CQ240" i="112"/>
  <c r="CQ241" i="112" s="1"/>
  <c r="FH32" i="113"/>
  <c r="GS32" i="113"/>
  <c r="FJ32" i="113"/>
  <c r="FP207" i="112"/>
  <c r="FP217" i="112"/>
  <c r="FP223" i="112"/>
  <c r="FP211" i="112"/>
  <c r="FP200" i="112"/>
  <c r="FQ211" i="112"/>
  <c r="FQ200" i="112"/>
  <c r="FQ207" i="112"/>
  <c r="FQ223" i="112"/>
  <c r="FQ217" i="112"/>
  <c r="FJ212" i="112"/>
  <c r="FJ240" i="112" s="1"/>
  <c r="FJ241" i="112" s="1"/>
  <c r="CP224" i="112"/>
  <c r="CT224" i="112"/>
  <c r="FJ221" i="112"/>
  <c r="FJ227" i="112"/>
  <c r="FK227" i="112"/>
  <c r="FJ214" i="112"/>
  <c r="CT226" i="112"/>
  <c r="CP226" i="112"/>
  <c r="FJ213" i="112"/>
  <c r="CP230" i="112"/>
  <c r="CP231" i="112"/>
  <c r="CP225" i="112"/>
  <c r="CT225" i="112"/>
  <c r="GT32" i="113"/>
  <c r="FH24" i="113"/>
  <c r="FI24" i="113"/>
  <c r="FI37" i="113"/>
  <c r="GQ32" i="113"/>
  <c r="GR24" i="113"/>
  <c r="GR32" i="113"/>
  <c r="FI32" i="113"/>
  <c r="FI45" i="113"/>
  <c r="FP21" i="112"/>
  <c r="FP183" i="112"/>
  <c r="FQ103" i="112"/>
  <c r="FQ183" i="112"/>
  <c r="HA103" i="112"/>
  <c r="HA183" i="112"/>
  <c r="HB193" i="112"/>
  <c r="HB183" i="112"/>
  <c r="HA39" i="51"/>
  <c r="GZ19" i="51"/>
  <c r="FQ19" i="51"/>
  <c r="HA193" i="112"/>
  <c r="FH45" i="113"/>
  <c r="GS45" i="113"/>
  <c r="GQ45" i="113"/>
  <c r="GR37" i="113"/>
  <c r="GT45" i="113"/>
  <c r="FH37" i="113"/>
  <c r="FJ45" i="113"/>
  <c r="HA56" i="51"/>
  <c r="GZ56" i="51"/>
  <c r="FQ56" i="51"/>
  <c r="FP19" i="51"/>
  <c r="FP39" i="51"/>
  <c r="FP72" i="112"/>
  <c r="FP103" i="112"/>
  <c r="HB72" i="112"/>
  <c r="FP131" i="112"/>
  <c r="HB103" i="112"/>
  <c r="FP162" i="112"/>
  <c r="FP117" i="112"/>
  <c r="FP193" i="112"/>
  <c r="HA72" i="112"/>
  <c r="FQ72" i="112"/>
  <c r="FQ21" i="112"/>
  <c r="FQ117" i="112"/>
  <c r="FQ131" i="112"/>
  <c r="FQ162" i="112"/>
  <c r="FQ193" i="112"/>
  <c r="HB21" i="112"/>
  <c r="HB117" i="112"/>
  <c r="HB131" i="112"/>
  <c r="HB162" i="112"/>
  <c r="HA21" i="112"/>
  <c r="HA117" i="112"/>
  <c r="HA131" i="112"/>
  <c r="HA162" i="112"/>
  <c r="CP242" i="112" l="1"/>
  <c r="CP244" i="112"/>
  <c r="CP245" i="112" s="1"/>
  <c r="EC87" i="119"/>
  <c r="CQ230" i="112"/>
  <c r="CP235" i="112"/>
  <c r="CT240" i="112"/>
  <c r="CT241" i="112" s="1"/>
  <c r="CP79" i="51"/>
  <c r="CP236" i="112"/>
  <c r="FJ226" i="112"/>
  <c r="FJ220" i="112"/>
  <c r="FK226" i="112"/>
  <c r="FJ224" i="112"/>
  <c r="FJ218" i="112"/>
  <c r="FK224" i="112"/>
  <c r="FJ219" i="112"/>
  <c r="FJ225" i="112"/>
  <c r="FK225" i="112"/>
  <c r="CP94" i="113"/>
  <c r="CP92" i="113" s="1"/>
  <c r="CQ231" i="112"/>
  <c r="DD102" i="92"/>
  <c r="DC102" i="92"/>
  <c r="DC103" i="92" s="1"/>
  <c r="DC100" i="92"/>
  <c r="DB102" i="92"/>
  <c r="CW94" i="92"/>
  <c r="CX94" i="92" s="1"/>
  <c r="CT93" i="92"/>
  <c r="CT119" i="92" s="1"/>
  <c r="CS115" i="92"/>
  <c r="CR115" i="92"/>
  <c r="CQ115" i="92"/>
  <c r="CP115" i="92"/>
  <c r="CO115" i="92"/>
  <c r="CN115" i="92"/>
  <c r="CM115" i="92"/>
  <c r="CL115" i="92"/>
  <c r="CL203" i="92"/>
  <c r="CM203" i="92" s="1"/>
  <c r="CN203" i="92" s="1"/>
  <c r="CO203" i="92" s="1"/>
  <c r="CP203" i="92" s="1"/>
  <c r="CQ203" i="92" s="1"/>
  <c r="CR203" i="92" s="1"/>
  <c r="CS203" i="92" s="1"/>
  <c r="CT203" i="92" s="1"/>
  <c r="CU203" i="92" s="1"/>
  <c r="CV203" i="92" s="1"/>
  <c r="CW203" i="92" s="1"/>
  <c r="CX203" i="92" s="1"/>
  <c r="CY203" i="92" s="1"/>
  <c r="CZ203" i="92" s="1"/>
  <c r="DA203" i="92" s="1"/>
  <c r="DB203" i="92" s="1"/>
  <c r="DC203" i="92" s="1"/>
  <c r="DD203" i="92" s="1"/>
  <c r="DE203" i="92" s="1"/>
  <c r="DF203" i="92" s="1"/>
  <c r="DG203" i="92" s="1"/>
  <c r="DH203" i="92" s="1"/>
  <c r="DI203" i="92" s="1"/>
  <c r="DJ203" i="92" s="1"/>
  <c r="DK203" i="92" s="1"/>
  <c r="DL203" i="92" s="1"/>
  <c r="DM203" i="92" s="1"/>
  <c r="DN203" i="92" s="1"/>
  <c r="DO203" i="92" s="1"/>
  <c r="DP203" i="92" s="1"/>
  <c r="DQ203" i="92" s="1"/>
  <c r="DR203" i="92" s="1"/>
  <c r="DS203" i="92" s="1"/>
  <c r="DT203" i="92" s="1"/>
  <c r="DU203" i="92" s="1"/>
  <c r="DV203" i="92" s="1"/>
  <c r="DW203" i="92" s="1"/>
  <c r="DX203" i="92" s="1"/>
  <c r="DY203" i="92" s="1"/>
  <c r="DZ203" i="92" s="1"/>
  <c r="EA203" i="92" s="1"/>
  <c r="EB203" i="92" s="1"/>
  <c r="EC203" i="92" s="1"/>
  <c r="ED203" i="92" s="1"/>
  <c r="EE203" i="92" s="1"/>
  <c r="EF203" i="92" s="1"/>
  <c r="EG203" i="92" s="1"/>
  <c r="EH203" i="92" s="1"/>
  <c r="EI203" i="92" s="1"/>
  <c r="EJ203" i="92" s="1"/>
  <c r="EK203" i="92" s="1"/>
  <c r="CL204" i="92"/>
  <c r="CM204" i="92" s="1"/>
  <c r="CN204" i="92" s="1"/>
  <c r="CO204" i="92" s="1"/>
  <c r="CP204" i="92" s="1"/>
  <c r="CQ204" i="92" s="1"/>
  <c r="CR204" i="92" s="1"/>
  <c r="CS204" i="92" s="1"/>
  <c r="CT204" i="92" s="1"/>
  <c r="CU204" i="92" s="1"/>
  <c r="CV204" i="92" s="1"/>
  <c r="CW204" i="92" s="1"/>
  <c r="CX204" i="92" s="1"/>
  <c r="CY204" i="92" s="1"/>
  <c r="CZ204" i="92" s="1"/>
  <c r="DA204" i="92" s="1"/>
  <c r="DB204" i="92" s="1"/>
  <c r="DC204" i="92" s="1"/>
  <c r="DD204" i="92" s="1"/>
  <c r="DE204" i="92" s="1"/>
  <c r="DF204" i="92" s="1"/>
  <c r="DG204" i="92" s="1"/>
  <c r="DH204" i="92" s="1"/>
  <c r="DI204" i="92" s="1"/>
  <c r="DJ204" i="92" s="1"/>
  <c r="DK204" i="92" s="1"/>
  <c r="DL204" i="92" s="1"/>
  <c r="DM204" i="92" s="1"/>
  <c r="DN204" i="92" s="1"/>
  <c r="DO204" i="92" s="1"/>
  <c r="DP204" i="92" s="1"/>
  <c r="DQ204" i="92" s="1"/>
  <c r="DR204" i="92" s="1"/>
  <c r="DS204" i="92" s="1"/>
  <c r="DT204" i="92" s="1"/>
  <c r="DU204" i="92" s="1"/>
  <c r="DV204" i="92" s="1"/>
  <c r="DW204" i="92" s="1"/>
  <c r="DX204" i="92" s="1"/>
  <c r="DY204" i="92" s="1"/>
  <c r="DZ204" i="92" s="1"/>
  <c r="EA204" i="92" s="1"/>
  <c r="EB204" i="92" s="1"/>
  <c r="EC204" i="92" s="1"/>
  <c r="ED204" i="92" s="1"/>
  <c r="EE204" i="92" s="1"/>
  <c r="EF204" i="92" s="1"/>
  <c r="EG204" i="92" s="1"/>
  <c r="EH204" i="92" s="1"/>
  <c r="EI204" i="92" s="1"/>
  <c r="EJ204" i="92" s="1"/>
  <c r="EK204" i="92" s="1"/>
  <c r="CL205" i="92"/>
  <c r="CM205" i="92" s="1"/>
  <c r="CN205" i="92" s="1"/>
  <c r="CO205" i="92" s="1"/>
  <c r="CP205" i="92" s="1"/>
  <c r="CQ205" i="92" s="1"/>
  <c r="CR205" i="92" s="1"/>
  <c r="CS205" i="92" s="1"/>
  <c r="CT205" i="92" s="1"/>
  <c r="CU205" i="92" s="1"/>
  <c r="CV205" i="92" s="1"/>
  <c r="CW205" i="92" s="1"/>
  <c r="CX205" i="92" s="1"/>
  <c r="CY205" i="92" s="1"/>
  <c r="CZ205" i="92" s="1"/>
  <c r="DA205" i="92" s="1"/>
  <c r="DB205" i="92" s="1"/>
  <c r="DC205" i="92" s="1"/>
  <c r="DD205" i="92" s="1"/>
  <c r="DE205" i="92" s="1"/>
  <c r="DF205" i="92" s="1"/>
  <c r="DG205" i="92" s="1"/>
  <c r="DH205" i="92" s="1"/>
  <c r="DI205" i="92" s="1"/>
  <c r="DJ205" i="92" s="1"/>
  <c r="DK205" i="92" s="1"/>
  <c r="DL205" i="92" s="1"/>
  <c r="DM205" i="92" s="1"/>
  <c r="DN205" i="92" s="1"/>
  <c r="DO205" i="92" s="1"/>
  <c r="DP205" i="92" s="1"/>
  <c r="DQ205" i="92" s="1"/>
  <c r="DR205" i="92" s="1"/>
  <c r="DS205" i="92" s="1"/>
  <c r="DT205" i="92" s="1"/>
  <c r="DU205" i="92" s="1"/>
  <c r="DV205" i="92" s="1"/>
  <c r="DW205" i="92" s="1"/>
  <c r="DX205" i="92" s="1"/>
  <c r="DY205" i="92" s="1"/>
  <c r="DZ205" i="92" s="1"/>
  <c r="EA205" i="92" s="1"/>
  <c r="EB205" i="92" s="1"/>
  <c r="EC205" i="92" s="1"/>
  <c r="ED205" i="92" s="1"/>
  <c r="EE205" i="92" s="1"/>
  <c r="EF205" i="92" s="1"/>
  <c r="EG205" i="92" s="1"/>
  <c r="EH205" i="92" s="1"/>
  <c r="EI205" i="92" s="1"/>
  <c r="EJ205" i="92" s="1"/>
  <c r="EK205" i="92" s="1"/>
  <c r="CL122" i="92"/>
  <c r="CM122" i="92" s="1"/>
  <c r="CN122" i="92" s="1"/>
  <c r="CO122" i="92" s="1"/>
  <c r="CP122" i="92" s="1"/>
  <c r="CQ122" i="92" s="1"/>
  <c r="CR122" i="92" s="1"/>
  <c r="CS122" i="92" s="1"/>
  <c r="CT122" i="92" s="1"/>
  <c r="CU122" i="92" s="1"/>
  <c r="CV122" i="92" s="1"/>
  <c r="CW122" i="92" s="1"/>
  <c r="CX122" i="92" s="1"/>
  <c r="CY122" i="92" s="1"/>
  <c r="CZ122" i="92" s="1"/>
  <c r="DA122" i="92" s="1"/>
  <c r="DB122" i="92" s="1"/>
  <c r="DC122" i="92" s="1"/>
  <c r="DD122" i="92" s="1"/>
  <c r="DE122" i="92" s="1"/>
  <c r="DF122" i="92" s="1"/>
  <c r="DG122" i="92" s="1"/>
  <c r="DH122" i="92" s="1"/>
  <c r="DI122" i="92" s="1"/>
  <c r="DJ122" i="92" s="1"/>
  <c r="DK122" i="92" s="1"/>
  <c r="DL122" i="92" s="1"/>
  <c r="DM122" i="92" s="1"/>
  <c r="DN122" i="92" s="1"/>
  <c r="DO122" i="92" s="1"/>
  <c r="DP122" i="92" s="1"/>
  <c r="DQ122" i="92" s="1"/>
  <c r="DR122" i="92" s="1"/>
  <c r="DS122" i="92" s="1"/>
  <c r="DT122" i="92" s="1"/>
  <c r="DU122" i="92" s="1"/>
  <c r="DV122" i="92" s="1"/>
  <c r="DW122" i="92" s="1"/>
  <c r="DX122" i="92" s="1"/>
  <c r="DY122" i="92" s="1"/>
  <c r="DZ122" i="92" s="1"/>
  <c r="EA122" i="92" s="1"/>
  <c r="EB122" i="92" s="1"/>
  <c r="EC122" i="92" s="1"/>
  <c r="ED122" i="92" s="1"/>
  <c r="EE122" i="92" s="1"/>
  <c r="EF122" i="92" s="1"/>
  <c r="EG122" i="92" s="1"/>
  <c r="EH122" i="92" s="1"/>
  <c r="EI122" i="92" s="1"/>
  <c r="EJ122" i="92" s="1"/>
  <c r="EK122" i="92" s="1"/>
  <c r="CL123" i="92"/>
  <c r="CM123" i="92" s="1"/>
  <c r="CN123" i="92" s="1"/>
  <c r="CO123" i="92" s="1"/>
  <c r="CP123" i="92" s="1"/>
  <c r="CQ123" i="92" s="1"/>
  <c r="CR123" i="92" s="1"/>
  <c r="CS123" i="92" s="1"/>
  <c r="CT123" i="92" s="1"/>
  <c r="CU123" i="92" s="1"/>
  <c r="CV123" i="92" s="1"/>
  <c r="CW123" i="92" s="1"/>
  <c r="CX123" i="92" s="1"/>
  <c r="CY123" i="92" s="1"/>
  <c r="CZ123" i="92" s="1"/>
  <c r="DA123" i="92" s="1"/>
  <c r="DB123" i="92" s="1"/>
  <c r="DC123" i="92" s="1"/>
  <c r="DD123" i="92" s="1"/>
  <c r="DE123" i="92" s="1"/>
  <c r="DF123" i="92" s="1"/>
  <c r="DG123" i="92" s="1"/>
  <c r="DH123" i="92" s="1"/>
  <c r="DI123" i="92" s="1"/>
  <c r="DJ123" i="92" s="1"/>
  <c r="DK123" i="92" s="1"/>
  <c r="DL123" i="92" s="1"/>
  <c r="DM123" i="92" s="1"/>
  <c r="DN123" i="92" s="1"/>
  <c r="DO123" i="92" s="1"/>
  <c r="DP123" i="92" s="1"/>
  <c r="DQ123" i="92" s="1"/>
  <c r="DR123" i="92" s="1"/>
  <c r="DS123" i="92" s="1"/>
  <c r="DT123" i="92" s="1"/>
  <c r="DU123" i="92" s="1"/>
  <c r="DV123" i="92" s="1"/>
  <c r="DW123" i="92" s="1"/>
  <c r="DX123" i="92" s="1"/>
  <c r="DY123" i="92" s="1"/>
  <c r="DZ123" i="92" s="1"/>
  <c r="EA123" i="92" s="1"/>
  <c r="EB123" i="92" s="1"/>
  <c r="EC123" i="92" s="1"/>
  <c r="ED123" i="92" s="1"/>
  <c r="EE123" i="92" s="1"/>
  <c r="EF123" i="92" s="1"/>
  <c r="EG123" i="92" s="1"/>
  <c r="EH123" i="92" s="1"/>
  <c r="EI123" i="92" s="1"/>
  <c r="EJ123" i="92" s="1"/>
  <c r="EK123" i="92" s="1"/>
  <c r="CL124" i="92"/>
  <c r="CM124" i="92" s="1"/>
  <c r="CN124" i="92" s="1"/>
  <c r="CO124" i="92" s="1"/>
  <c r="CP124" i="92" s="1"/>
  <c r="CQ124" i="92" s="1"/>
  <c r="CR124" i="92" s="1"/>
  <c r="CS124" i="92" s="1"/>
  <c r="CT124" i="92" s="1"/>
  <c r="CU124" i="92" s="1"/>
  <c r="CV124" i="92" s="1"/>
  <c r="CW124" i="92" s="1"/>
  <c r="CX124" i="92" s="1"/>
  <c r="CY124" i="92" s="1"/>
  <c r="CZ124" i="92" s="1"/>
  <c r="DA124" i="92" s="1"/>
  <c r="DB124" i="92" s="1"/>
  <c r="DC124" i="92" s="1"/>
  <c r="DD124" i="92" s="1"/>
  <c r="DE124" i="92" s="1"/>
  <c r="DF124" i="92" s="1"/>
  <c r="DG124" i="92" s="1"/>
  <c r="DH124" i="92" s="1"/>
  <c r="DI124" i="92" s="1"/>
  <c r="DJ124" i="92" s="1"/>
  <c r="DK124" i="92" s="1"/>
  <c r="DL124" i="92" s="1"/>
  <c r="DM124" i="92" s="1"/>
  <c r="DN124" i="92" s="1"/>
  <c r="DO124" i="92" s="1"/>
  <c r="DP124" i="92" s="1"/>
  <c r="DQ124" i="92" s="1"/>
  <c r="DR124" i="92" s="1"/>
  <c r="DS124" i="92" s="1"/>
  <c r="DT124" i="92" s="1"/>
  <c r="DU124" i="92" s="1"/>
  <c r="DV124" i="92" s="1"/>
  <c r="DW124" i="92" s="1"/>
  <c r="DX124" i="92" s="1"/>
  <c r="DY124" i="92" s="1"/>
  <c r="DZ124" i="92" s="1"/>
  <c r="EA124" i="92" s="1"/>
  <c r="EB124" i="92" s="1"/>
  <c r="EC124" i="92" s="1"/>
  <c r="ED124" i="92" s="1"/>
  <c r="EE124" i="92" s="1"/>
  <c r="EF124" i="92" s="1"/>
  <c r="EG124" i="92" s="1"/>
  <c r="EH124" i="92" s="1"/>
  <c r="EI124" i="92" s="1"/>
  <c r="EJ124" i="92" s="1"/>
  <c r="EK124" i="92" s="1"/>
  <c r="CL125" i="92"/>
  <c r="CM125" i="92" s="1"/>
  <c r="CN125" i="92" s="1"/>
  <c r="CO125" i="92" s="1"/>
  <c r="CP125" i="92" s="1"/>
  <c r="CQ125" i="92" s="1"/>
  <c r="CR125" i="92" s="1"/>
  <c r="CS125" i="92" s="1"/>
  <c r="CT125" i="92" s="1"/>
  <c r="CU125" i="92" s="1"/>
  <c r="CV125" i="92" s="1"/>
  <c r="CW125" i="92" s="1"/>
  <c r="CX125" i="92" s="1"/>
  <c r="CY125" i="92" s="1"/>
  <c r="CZ125" i="92" s="1"/>
  <c r="DA125" i="92" s="1"/>
  <c r="DB125" i="92" s="1"/>
  <c r="DC125" i="92" s="1"/>
  <c r="DD125" i="92" s="1"/>
  <c r="DE125" i="92" s="1"/>
  <c r="DF125" i="92" s="1"/>
  <c r="DG125" i="92" s="1"/>
  <c r="DH125" i="92" s="1"/>
  <c r="DI125" i="92" s="1"/>
  <c r="DJ125" i="92" s="1"/>
  <c r="DK125" i="92" s="1"/>
  <c r="DL125" i="92" s="1"/>
  <c r="DM125" i="92" s="1"/>
  <c r="DN125" i="92" s="1"/>
  <c r="DO125" i="92" s="1"/>
  <c r="DP125" i="92" s="1"/>
  <c r="DQ125" i="92" s="1"/>
  <c r="DR125" i="92" s="1"/>
  <c r="DS125" i="92" s="1"/>
  <c r="DT125" i="92" s="1"/>
  <c r="DU125" i="92" s="1"/>
  <c r="DV125" i="92" s="1"/>
  <c r="DW125" i="92" s="1"/>
  <c r="DX125" i="92" s="1"/>
  <c r="DY125" i="92" s="1"/>
  <c r="DZ125" i="92" s="1"/>
  <c r="EA125" i="92" s="1"/>
  <c r="EB125" i="92" s="1"/>
  <c r="EC125" i="92" s="1"/>
  <c r="ED125" i="92" s="1"/>
  <c r="EE125" i="92" s="1"/>
  <c r="EF125" i="92" s="1"/>
  <c r="EG125" i="92" s="1"/>
  <c r="EH125" i="92" s="1"/>
  <c r="EI125" i="92" s="1"/>
  <c r="EJ125" i="92" s="1"/>
  <c r="EK125" i="92" s="1"/>
  <c r="CL126" i="92"/>
  <c r="CM126" i="92" s="1"/>
  <c r="CN126" i="92" s="1"/>
  <c r="CO126" i="92" s="1"/>
  <c r="CP126" i="92" s="1"/>
  <c r="CQ126" i="92" s="1"/>
  <c r="CR126" i="92" s="1"/>
  <c r="CS126" i="92" s="1"/>
  <c r="CT126" i="92" s="1"/>
  <c r="CU126" i="92" s="1"/>
  <c r="CV126" i="92" s="1"/>
  <c r="CW126" i="92" s="1"/>
  <c r="CX126" i="92" s="1"/>
  <c r="CY126" i="92" s="1"/>
  <c r="CZ126" i="92" s="1"/>
  <c r="DA126" i="92" s="1"/>
  <c r="DB126" i="92" s="1"/>
  <c r="DC126" i="92" s="1"/>
  <c r="DD126" i="92" s="1"/>
  <c r="DE126" i="92" s="1"/>
  <c r="DF126" i="92" s="1"/>
  <c r="DG126" i="92" s="1"/>
  <c r="DH126" i="92" s="1"/>
  <c r="DI126" i="92" s="1"/>
  <c r="DJ126" i="92" s="1"/>
  <c r="DK126" i="92" s="1"/>
  <c r="DL126" i="92" s="1"/>
  <c r="DM126" i="92" s="1"/>
  <c r="DN126" i="92" s="1"/>
  <c r="DO126" i="92" s="1"/>
  <c r="DP126" i="92" s="1"/>
  <c r="DQ126" i="92" s="1"/>
  <c r="DR126" i="92" s="1"/>
  <c r="DS126" i="92" s="1"/>
  <c r="DT126" i="92" s="1"/>
  <c r="DU126" i="92" s="1"/>
  <c r="DV126" i="92" s="1"/>
  <c r="DW126" i="92" s="1"/>
  <c r="DX126" i="92" s="1"/>
  <c r="DY126" i="92" s="1"/>
  <c r="DZ126" i="92" s="1"/>
  <c r="EA126" i="92" s="1"/>
  <c r="EB126" i="92" s="1"/>
  <c r="EC126" i="92" s="1"/>
  <c r="ED126" i="92" s="1"/>
  <c r="EE126" i="92" s="1"/>
  <c r="EF126" i="92" s="1"/>
  <c r="EG126" i="92" s="1"/>
  <c r="EH126" i="92" s="1"/>
  <c r="EI126" i="92" s="1"/>
  <c r="EJ126" i="92" s="1"/>
  <c r="EK126" i="92" s="1"/>
  <c r="CL127" i="92"/>
  <c r="CM127" i="92" s="1"/>
  <c r="CN127" i="92" s="1"/>
  <c r="CO127" i="92" s="1"/>
  <c r="CP127" i="92" s="1"/>
  <c r="CQ127" i="92" s="1"/>
  <c r="CR127" i="92" s="1"/>
  <c r="CS127" i="92" s="1"/>
  <c r="CT127" i="92" s="1"/>
  <c r="CU127" i="92" s="1"/>
  <c r="CV127" i="92" s="1"/>
  <c r="CW127" i="92" s="1"/>
  <c r="CX127" i="92" s="1"/>
  <c r="CY127" i="92" s="1"/>
  <c r="CZ127" i="92" s="1"/>
  <c r="DA127" i="92" s="1"/>
  <c r="DB127" i="92" s="1"/>
  <c r="DC127" i="92" s="1"/>
  <c r="DD127" i="92" s="1"/>
  <c r="DE127" i="92" s="1"/>
  <c r="DF127" i="92" s="1"/>
  <c r="DG127" i="92" s="1"/>
  <c r="DH127" i="92" s="1"/>
  <c r="DI127" i="92" s="1"/>
  <c r="DJ127" i="92" s="1"/>
  <c r="DK127" i="92" s="1"/>
  <c r="DL127" i="92" s="1"/>
  <c r="DM127" i="92" s="1"/>
  <c r="DN127" i="92" s="1"/>
  <c r="DO127" i="92" s="1"/>
  <c r="DP127" i="92" s="1"/>
  <c r="DQ127" i="92" s="1"/>
  <c r="DR127" i="92" s="1"/>
  <c r="DS127" i="92" s="1"/>
  <c r="DT127" i="92" s="1"/>
  <c r="DU127" i="92" s="1"/>
  <c r="DV127" i="92" s="1"/>
  <c r="DW127" i="92" s="1"/>
  <c r="DX127" i="92" s="1"/>
  <c r="DY127" i="92" s="1"/>
  <c r="DZ127" i="92" s="1"/>
  <c r="EA127" i="92" s="1"/>
  <c r="EB127" i="92" s="1"/>
  <c r="EC127" i="92" s="1"/>
  <c r="ED127" i="92" s="1"/>
  <c r="EE127" i="92" s="1"/>
  <c r="EF127" i="92" s="1"/>
  <c r="EG127" i="92" s="1"/>
  <c r="EH127" i="92" s="1"/>
  <c r="EI127" i="92" s="1"/>
  <c r="EJ127" i="92" s="1"/>
  <c r="EK127" i="92" s="1"/>
  <c r="CL128" i="92"/>
  <c r="CM128" i="92" s="1"/>
  <c r="CN128" i="92" s="1"/>
  <c r="CO128" i="92" s="1"/>
  <c r="CP128" i="92" s="1"/>
  <c r="CQ128" i="92" s="1"/>
  <c r="CR128" i="92" s="1"/>
  <c r="CS128" i="92" s="1"/>
  <c r="CT128" i="92" s="1"/>
  <c r="CU128" i="92" s="1"/>
  <c r="CV128" i="92" s="1"/>
  <c r="CW128" i="92" s="1"/>
  <c r="CX128" i="92" s="1"/>
  <c r="CY128" i="92" s="1"/>
  <c r="CZ128" i="92" s="1"/>
  <c r="DA128" i="92" s="1"/>
  <c r="DB128" i="92" s="1"/>
  <c r="DC128" i="92" s="1"/>
  <c r="DD128" i="92" s="1"/>
  <c r="DE128" i="92" s="1"/>
  <c r="DF128" i="92" s="1"/>
  <c r="DG128" i="92" s="1"/>
  <c r="DH128" i="92" s="1"/>
  <c r="DI128" i="92" s="1"/>
  <c r="DJ128" i="92" s="1"/>
  <c r="DK128" i="92" s="1"/>
  <c r="DL128" i="92" s="1"/>
  <c r="DM128" i="92" s="1"/>
  <c r="DN128" i="92" s="1"/>
  <c r="DO128" i="92" s="1"/>
  <c r="DP128" i="92" s="1"/>
  <c r="DQ128" i="92" s="1"/>
  <c r="DR128" i="92" s="1"/>
  <c r="DS128" i="92" s="1"/>
  <c r="DT128" i="92" s="1"/>
  <c r="DU128" i="92" s="1"/>
  <c r="DV128" i="92" s="1"/>
  <c r="DW128" i="92" s="1"/>
  <c r="DX128" i="92" s="1"/>
  <c r="DY128" i="92" s="1"/>
  <c r="DZ128" i="92" s="1"/>
  <c r="EA128" i="92" s="1"/>
  <c r="EB128" i="92" s="1"/>
  <c r="EC128" i="92" s="1"/>
  <c r="ED128" i="92" s="1"/>
  <c r="EE128" i="92" s="1"/>
  <c r="EF128" i="92" s="1"/>
  <c r="EG128" i="92" s="1"/>
  <c r="EH128" i="92" s="1"/>
  <c r="EI128" i="92" s="1"/>
  <c r="EJ128" i="92" s="1"/>
  <c r="EK128" i="92" s="1"/>
  <c r="CL129" i="92"/>
  <c r="CM129" i="92" s="1"/>
  <c r="CN129" i="92" s="1"/>
  <c r="CO129" i="92" s="1"/>
  <c r="CP129" i="92" s="1"/>
  <c r="CQ129" i="92" s="1"/>
  <c r="CR129" i="92" s="1"/>
  <c r="CS129" i="92" s="1"/>
  <c r="CT129" i="92" s="1"/>
  <c r="CU129" i="92" s="1"/>
  <c r="CV129" i="92" s="1"/>
  <c r="CW129" i="92" s="1"/>
  <c r="CX129" i="92" s="1"/>
  <c r="CY129" i="92" s="1"/>
  <c r="CZ129" i="92" s="1"/>
  <c r="DA129" i="92" s="1"/>
  <c r="DB129" i="92" s="1"/>
  <c r="DC129" i="92" s="1"/>
  <c r="DD129" i="92" s="1"/>
  <c r="DE129" i="92" s="1"/>
  <c r="DF129" i="92" s="1"/>
  <c r="DG129" i="92" s="1"/>
  <c r="DH129" i="92" s="1"/>
  <c r="DI129" i="92" s="1"/>
  <c r="DJ129" i="92" s="1"/>
  <c r="DK129" i="92" s="1"/>
  <c r="DL129" i="92" s="1"/>
  <c r="DM129" i="92" s="1"/>
  <c r="DN129" i="92" s="1"/>
  <c r="DO129" i="92" s="1"/>
  <c r="DP129" i="92" s="1"/>
  <c r="DQ129" i="92" s="1"/>
  <c r="DR129" i="92" s="1"/>
  <c r="DS129" i="92" s="1"/>
  <c r="DT129" i="92" s="1"/>
  <c r="DU129" i="92" s="1"/>
  <c r="DV129" i="92" s="1"/>
  <c r="DW129" i="92" s="1"/>
  <c r="DX129" i="92" s="1"/>
  <c r="DY129" i="92" s="1"/>
  <c r="DZ129" i="92" s="1"/>
  <c r="EA129" i="92" s="1"/>
  <c r="EB129" i="92" s="1"/>
  <c r="EC129" i="92" s="1"/>
  <c r="ED129" i="92" s="1"/>
  <c r="EE129" i="92" s="1"/>
  <c r="EF129" i="92" s="1"/>
  <c r="EG129" i="92" s="1"/>
  <c r="EH129" i="92" s="1"/>
  <c r="EI129" i="92" s="1"/>
  <c r="EJ129" i="92" s="1"/>
  <c r="EK129" i="92" s="1"/>
  <c r="CL130" i="92"/>
  <c r="CM130" i="92" s="1"/>
  <c r="CN130" i="92" s="1"/>
  <c r="CO130" i="92" s="1"/>
  <c r="CP130" i="92" s="1"/>
  <c r="CQ130" i="92" s="1"/>
  <c r="CR130" i="92" s="1"/>
  <c r="CS130" i="92" s="1"/>
  <c r="CT130" i="92" s="1"/>
  <c r="CU130" i="92" s="1"/>
  <c r="CV130" i="92" s="1"/>
  <c r="CW130" i="92" s="1"/>
  <c r="CX130" i="92" s="1"/>
  <c r="CY130" i="92" s="1"/>
  <c r="CZ130" i="92" s="1"/>
  <c r="DA130" i="92" s="1"/>
  <c r="DB130" i="92" s="1"/>
  <c r="DC130" i="92" s="1"/>
  <c r="DD130" i="92" s="1"/>
  <c r="DE130" i="92" s="1"/>
  <c r="DF130" i="92" s="1"/>
  <c r="DG130" i="92" s="1"/>
  <c r="DH130" i="92" s="1"/>
  <c r="DI130" i="92" s="1"/>
  <c r="DJ130" i="92" s="1"/>
  <c r="DK130" i="92" s="1"/>
  <c r="DL130" i="92" s="1"/>
  <c r="DM130" i="92" s="1"/>
  <c r="DN130" i="92" s="1"/>
  <c r="DO130" i="92" s="1"/>
  <c r="DP130" i="92" s="1"/>
  <c r="DQ130" i="92" s="1"/>
  <c r="DR130" i="92" s="1"/>
  <c r="DS130" i="92" s="1"/>
  <c r="DT130" i="92" s="1"/>
  <c r="DU130" i="92" s="1"/>
  <c r="DV130" i="92" s="1"/>
  <c r="DW130" i="92" s="1"/>
  <c r="DX130" i="92" s="1"/>
  <c r="DY130" i="92" s="1"/>
  <c r="DZ130" i="92" s="1"/>
  <c r="EA130" i="92" s="1"/>
  <c r="EB130" i="92" s="1"/>
  <c r="EC130" i="92" s="1"/>
  <c r="ED130" i="92" s="1"/>
  <c r="EE130" i="92" s="1"/>
  <c r="EF130" i="92" s="1"/>
  <c r="EG130" i="92" s="1"/>
  <c r="EH130" i="92" s="1"/>
  <c r="EI130" i="92" s="1"/>
  <c r="EJ130" i="92" s="1"/>
  <c r="EK130" i="92" s="1"/>
  <c r="CL131" i="92"/>
  <c r="CM131" i="92" s="1"/>
  <c r="CN131" i="92" s="1"/>
  <c r="CO131" i="92" s="1"/>
  <c r="CP131" i="92" s="1"/>
  <c r="CQ131" i="92" s="1"/>
  <c r="CR131" i="92" s="1"/>
  <c r="CS131" i="92" s="1"/>
  <c r="CT131" i="92" s="1"/>
  <c r="CU131" i="92" s="1"/>
  <c r="CV131" i="92" s="1"/>
  <c r="CW131" i="92" s="1"/>
  <c r="CX131" i="92" s="1"/>
  <c r="CY131" i="92" s="1"/>
  <c r="CZ131" i="92" s="1"/>
  <c r="DA131" i="92" s="1"/>
  <c r="DB131" i="92" s="1"/>
  <c r="DC131" i="92" s="1"/>
  <c r="DD131" i="92" s="1"/>
  <c r="DE131" i="92" s="1"/>
  <c r="DF131" i="92" s="1"/>
  <c r="DG131" i="92" s="1"/>
  <c r="DH131" i="92" s="1"/>
  <c r="DI131" i="92" s="1"/>
  <c r="DJ131" i="92" s="1"/>
  <c r="DK131" i="92" s="1"/>
  <c r="DL131" i="92" s="1"/>
  <c r="DM131" i="92" s="1"/>
  <c r="DN131" i="92" s="1"/>
  <c r="DO131" i="92" s="1"/>
  <c r="DP131" i="92" s="1"/>
  <c r="DQ131" i="92" s="1"/>
  <c r="DR131" i="92" s="1"/>
  <c r="DS131" i="92" s="1"/>
  <c r="DT131" i="92" s="1"/>
  <c r="DU131" i="92" s="1"/>
  <c r="DV131" i="92" s="1"/>
  <c r="DW131" i="92" s="1"/>
  <c r="DX131" i="92" s="1"/>
  <c r="DY131" i="92" s="1"/>
  <c r="DZ131" i="92" s="1"/>
  <c r="EA131" i="92" s="1"/>
  <c r="EB131" i="92" s="1"/>
  <c r="EC131" i="92" s="1"/>
  <c r="ED131" i="92" s="1"/>
  <c r="EE131" i="92" s="1"/>
  <c r="EF131" i="92" s="1"/>
  <c r="EG131" i="92" s="1"/>
  <c r="EH131" i="92" s="1"/>
  <c r="EI131" i="92" s="1"/>
  <c r="EJ131" i="92" s="1"/>
  <c r="EK131" i="92" s="1"/>
  <c r="CL132" i="92"/>
  <c r="CM132" i="92" s="1"/>
  <c r="CN132" i="92" s="1"/>
  <c r="CO132" i="92" s="1"/>
  <c r="CP132" i="92" s="1"/>
  <c r="CQ132" i="92" s="1"/>
  <c r="CR132" i="92" s="1"/>
  <c r="CS132" i="92" s="1"/>
  <c r="CT132" i="92" s="1"/>
  <c r="CU132" i="92" s="1"/>
  <c r="CV132" i="92" s="1"/>
  <c r="CW132" i="92" s="1"/>
  <c r="CX132" i="92" s="1"/>
  <c r="CY132" i="92" s="1"/>
  <c r="CZ132" i="92" s="1"/>
  <c r="DA132" i="92" s="1"/>
  <c r="DB132" i="92" s="1"/>
  <c r="DC132" i="92" s="1"/>
  <c r="DD132" i="92" s="1"/>
  <c r="DE132" i="92" s="1"/>
  <c r="DF132" i="92" s="1"/>
  <c r="DG132" i="92" s="1"/>
  <c r="DH132" i="92" s="1"/>
  <c r="DI132" i="92" s="1"/>
  <c r="DJ132" i="92" s="1"/>
  <c r="DK132" i="92" s="1"/>
  <c r="DL132" i="92" s="1"/>
  <c r="DM132" i="92" s="1"/>
  <c r="DN132" i="92" s="1"/>
  <c r="DO132" i="92" s="1"/>
  <c r="DP132" i="92" s="1"/>
  <c r="DQ132" i="92" s="1"/>
  <c r="DR132" i="92" s="1"/>
  <c r="DS132" i="92" s="1"/>
  <c r="DT132" i="92" s="1"/>
  <c r="DU132" i="92" s="1"/>
  <c r="DV132" i="92" s="1"/>
  <c r="DW132" i="92" s="1"/>
  <c r="DX132" i="92" s="1"/>
  <c r="DY132" i="92" s="1"/>
  <c r="DZ132" i="92" s="1"/>
  <c r="EA132" i="92" s="1"/>
  <c r="EB132" i="92" s="1"/>
  <c r="EC132" i="92" s="1"/>
  <c r="ED132" i="92" s="1"/>
  <c r="EE132" i="92" s="1"/>
  <c r="EF132" i="92" s="1"/>
  <c r="EG132" i="92" s="1"/>
  <c r="EH132" i="92" s="1"/>
  <c r="EI132" i="92" s="1"/>
  <c r="EJ132" i="92" s="1"/>
  <c r="EK132" i="92" s="1"/>
  <c r="CL133" i="92"/>
  <c r="CM133" i="92" s="1"/>
  <c r="CN133" i="92" s="1"/>
  <c r="CO133" i="92" s="1"/>
  <c r="CP133" i="92" s="1"/>
  <c r="CQ133" i="92" s="1"/>
  <c r="CR133" i="92" s="1"/>
  <c r="CS133" i="92" s="1"/>
  <c r="CT133" i="92" s="1"/>
  <c r="CU133" i="92" s="1"/>
  <c r="CV133" i="92" s="1"/>
  <c r="CW133" i="92" s="1"/>
  <c r="CX133" i="92" s="1"/>
  <c r="CY133" i="92" s="1"/>
  <c r="CZ133" i="92" s="1"/>
  <c r="DA133" i="92" s="1"/>
  <c r="DB133" i="92" s="1"/>
  <c r="DC133" i="92" s="1"/>
  <c r="DD133" i="92" s="1"/>
  <c r="DE133" i="92" s="1"/>
  <c r="DF133" i="92" s="1"/>
  <c r="DG133" i="92" s="1"/>
  <c r="DH133" i="92" s="1"/>
  <c r="DI133" i="92" s="1"/>
  <c r="DJ133" i="92" s="1"/>
  <c r="DK133" i="92" s="1"/>
  <c r="DL133" i="92" s="1"/>
  <c r="DM133" i="92" s="1"/>
  <c r="DN133" i="92" s="1"/>
  <c r="DO133" i="92" s="1"/>
  <c r="DP133" i="92" s="1"/>
  <c r="DQ133" i="92" s="1"/>
  <c r="DR133" i="92" s="1"/>
  <c r="DS133" i="92" s="1"/>
  <c r="DT133" i="92" s="1"/>
  <c r="DU133" i="92" s="1"/>
  <c r="DV133" i="92" s="1"/>
  <c r="DW133" i="92" s="1"/>
  <c r="DX133" i="92" s="1"/>
  <c r="DY133" i="92" s="1"/>
  <c r="DZ133" i="92" s="1"/>
  <c r="EA133" i="92" s="1"/>
  <c r="EB133" i="92" s="1"/>
  <c r="EC133" i="92" s="1"/>
  <c r="ED133" i="92" s="1"/>
  <c r="EE133" i="92" s="1"/>
  <c r="EF133" i="92" s="1"/>
  <c r="EG133" i="92" s="1"/>
  <c r="EH133" i="92" s="1"/>
  <c r="EI133" i="92" s="1"/>
  <c r="EJ133" i="92" s="1"/>
  <c r="EK133" i="92" s="1"/>
  <c r="CL134" i="92"/>
  <c r="CM134" i="92" s="1"/>
  <c r="CN134" i="92" s="1"/>
  <c r="CO134" i="92" s="1"/>
  <c r="CP134" i="92" s="1"/>
  <c r="CQ134" i="92" s="1"/>
  <c r="CR134" i="92" s="1"/>
  <c r="CS134" i="92" s="1"/>
  <c r="CT134" i="92" s="1"/>
  <c r="CU134" i="92" s="1"/>
  <c r="CV134" i="92" s="1"/>
  <c r="CW134" i="92" s="1"/>
  <c r="CX134" i="92" s="1"/>
  <c r="CY134" i="92" s="1"/>
  <c r="CZ134" i="92" s="1"/>
  <c r="DA134" i="92" s="1"/>
  <c r="DB134" i="92" s="1"/>
  <c r="DC134" i="92" s="1"/>
  <c r="DD134" i="92" s="1"/>
  <c r="DE134" i="92" s="1"/>
  <c r="DF134" i="92" s="1"/>
  <c r="DG134" i="92" s="1"/>
  <c r="DH134" i="92" s="1"/>
  <c r="DI134" i="92" s="1"/>
  <c r="DJ134" i="92" s="1"/>
  <c r="DK134" i="92" s="1"/>
  <c r="DL134" i="92" s="1"/>
  <c r="DM134" i="92" s="1"/>
  <c r="DN134" i="92" s="1"/>
  <c r="DO134" i="92" s="1"/>
  <c r="DP134" i="92" s="1"/>
  <c r="DQ134" i="92" s="1"/>
  <c r="DR134" i="92" s="1"/>
  <c r="DS134" i="92" s="1"/>
  <c r="DT134" i="92" s="1"/>
  <c r="DU134" i="92" s="1"/>
  <c r="DV134" i="92" s="1"/>
  <c r="DW134" i="92" s="1"/>
  <c r="DX134" i="92" s="1"/>
  <c r="DY134" i="92" s="1"/>
  <c r="DZ134" i="92" s="1"/>
  <c r="EA134" i="92" s="1"/>
  <c r="EB134" i="92" s="1"/>
  <c r="EC134" i="92" s="1"/>
  <c r="ED134" i="92" s="1"/>
  <c r="EE134" i="92" s="1"/>
  <c r="EF134" i="92" s="1"/>
  <c r="EG134" i="92" s="1"/>
  <c r="EH134" i="92" s="1"/>
  <c r="EI134" i="92" s="1"/>
  <c r="EJ134" i="92" s="1"/>
  <c r="EK134" i="92" s="1"/>
  <c r="CL135" i="92"/>
  <c r="CM135" i="92" s="1"/>
  <c r="CN135" i="92" s="1"/>
  <c r="CO135" i="92" s="1"/>
  <c r="CP135" i="92" s="1"/>
  <c r="CQ135" i="92" s="1"/>
  <c r="CR135" i="92" s="1"/>
  <c r="CS135" i="92" s="1"/>
  <c r="CT135" i="92" s="1"/>
  <c r="CU135" i="92" s="1"/>
  <c r="CV135" i="92" s="1"/>
  <c r="CW135" i="92" s="1"/>
  <c r="CX135" i="92" s="1"/>
  <c r="CY135" i="92" s="1"/>
  <c r="CZ135" i="92" s="1"/>
  <c r="DA135" i="92" s="1"/>
  <c r="DB135" i="92" s="1"/>
  <c r="DC135" i="92" s="1"/>
  <c r="DD135" i="92" s="1"/>
  <c r="DE135" i="92" s="1"/>
  <c r="DF135" i="92" s="1"/>
  <c r="DG135" i="92" s="1"/>
  <c r="DH135" i="92" s="1"/>
  <c r="DI135" i="92" s="1"/>
  <c r="DJ135" i="92" s="1"/>
  <c r="DK135" i="92" s="1"/>
  <c r="DL135" i="92" s="1"/>
  <c r="DM135" i="92" s="1"/>
  <c r="DN135" i="92" s="1"/>
  <c r="DO135" i="92" s="1"/>
  <c r="DP135" i="92" s="1"/>
  <c r="DQ135" i="92" s="1"/>
  <c r="DR135" i="92" s="1"/>
  <c r="DS135" i="92" s="1"/>
  <c r="DT135" i="92" s="1"/>
  <c r="DU135" i="92" s="1"/>
  <c r="DV135" i="92" s="1"/>
  <c r="DW135" i="92" s="1"/>
  <c r="DX135" i="92" s="1"/>
  <c r="DY135" i="92" s="1"/>
  <c r="DZ135" i="92" s="1"/>
  <c r="EA135" i="92" s="1"/>
  <c r="EB135" i="92" s="1"/>
  <c r="EC135" i="92" s="1"/>
  <c r="ED135" i="92" s="1"/>
  <c r="EE135" i="92" s="1"/>
  <c r="EF135" i="92" s="1"/>
  <c r="EG135" i="92" s="1"/>
  <c r="EH135" i="92" s="1"/>
  <c r="EI135" i="92" s="1"/>
  <c r="EJ135" i="92" s="1"/>
  <c r="EK135" i="92" s="1"/>
  <c r="CL136" i="92"/>
  <c r="CM136" i="92" s="1"/>
  <c r="CN136" i="92" s="1"/>
  <c r="CO136" i="92" s="1"/>
  <c r="CP136" i="92" s="1"/>
  <c r="CQ136" i="92" s="1"/>
  <c r="CR136" i="92" s="1"/>
  <c r="CS136" i="92" s="1"/>
  <c r="CT136" i="92" s="1"/>
  <c r="CU136" i="92" s="1"/>
  <c r="CV136" i="92" s="1"/>
  <c r="CW136" i="92" s="1"/>
  <c r="CX136" i="92" s="1"/>
  <c r="CY136" i="92" s="1"/>
  <c r="CZ136" i="92" s="1"/>
  <c r="DA136" i="92" s="1"/>
  <c r="DB136" i="92" s="1"/>
  <c r="DC136" i="92" s="1"/>
  <c r="DD136" i="92" s="1"/>
  <c r="DE136" i="92" s="1"/>
  <c r="DF136" i="92" s="1"/>
  <c r="DG136" i="92" s="1"/>
  <c r="DH136" i="92" s="1"/>
  <c r="DI136" i="92" s="1"/>
  <c r="DJ136" i="92" s="1"/>
  <c r="DK136" i="92" s="1"/>
  <c r="DL136" i="92" s="1"/>
  <c r="DM136" i="92" s="1"/>
  <c r="DN136" i="92" s="1"/>
  <c r="DO136" i="92" s="1"/>
  <c r="DP136" i="92" s="1"/>
  <c r="DQ136" i="92" s="1"/>
  <c r="DR136" i="92" s="1"/>
  <c r="DS136" i="92" s="1"/>
  <c r="DT136" i="92" s="1"/>
  <c r="DU136" i="92" s="1"/>
  <c r="DV136" i="92" s="1"/>
  <c r="DW136" i="92" s="1"/>
  <c r="DX136" i="92" s="1"/>
  <c r="DY136" i="92" s="1"/>
  <c r="DZ136" i="92" s="1"/>
  <c r="EA136" i="92" s="1"/>
  <c r="EB136" i="92" s="1"/>
  <c r="EC136" i="92" s="1"/>
  <c r="ED136" i="92" s="1"/>
  <c r="EE136" i="92" s="1"/>
  <c r="EF136" i="92" s="1"/>
  <c r="EG136" i="92" s="1"/>
  <c r="EH136" i="92" s="1"/>
  <c r="EI136" i="92" s="1"/>
  <c r="EJ136" i="92" s="1"/>
  <c r="EK136" i="92" s="1"/>
  <c r="CL137" i="92"/>
  <c r="CM137" i="92" s="1"/>
  <c r="CN137" i="92" s="1"/>
  <c r="CO137" i="92" s="1"/>
  <c r="CP137" i="92" s="1"/>
  <c r="CQ137" i="92" s="1"/>
  <c r="CR137" i="92" s="1"/>
  <c r="CS137" i="92" s="1"/>
  <c r="CT137" i="92" s="1"/>
  <c r="CU137" i="92" s="1"/>
  <c r="CV137" i="92" s="1"/>
  <c r="CW137" i="92" s="1"/>
  <c r="CX137" i="92" s="1"/>
  <c r="CY137" i="92" s="1"/>
  <c r="CZ137" i="92" s="1"/>
  <c r="DA137" i="92" s="1"/>
  <c r="DB137" i="92" s="1"/>
  <c r="DC137" i="92" s="1"/>
  <c r="DD137" i="92" s="1"/>
  <c r="DE137" i="92" s="1"/>
  <c r="DF137" i="92" s="1"/>
  <c r="DG137" i="92" s="1"/>
  <c r="DH137" i="92" s="1"/>
  <c r="DI137" i="92" s="1"/>
  <c r="DJ137" i="92" s="1"/>
  <c r="DK137" i="92" s="1"/>
  <c r="DL137" i="92" s="1"/>
  <c r="DM137" i="92" s="1"/>
  <c r="DN137" i="92" s="1"/>
  <c r="DO137" i="92" s="1"/>
  <c r="DP137" i="92" s="1"/>
  <c r="DQ137" i="92" s="1"/>
  <c r="DR137" i="92" s="1"/>
  <c r="DS137" i="92" s="1"/>
  <c r="DT137" i="92" s="1"/>
  <c r="DU137" i="92" s="1"/>
  <c r="DV137" i="92" s="1"/>
  <c r="DW137" i="92" s="1"/>
  <c r="DX137" i="92" s="1"/>
  <c r="DY137" i="92" s="1"/>
  <c r="DZ137" i="92" s="1"/>
  <c r="EA137" i="92" s="1"/>
  <c r="EB137" i="92" s="1"/>
  <c r="EC137" i="92" s="1"/>
  <c r="ED137" i="92" s="1"/>
  <c r="EE137" i="92" s="1"/>
  <c r="EF137" i="92" s="1"/>
  <c r="EG137" i="92" s="1"/>
  <c r="EH137" i="92" s="1"/>
  <c r="EI137" i="92" s="1"/>
  <c r="EJ137" i="92" s="1"/>
  <c r="EK137" i="92" s="1"/>
  <c r="CL138" i="92"/>
  <c r="CM138" i="92" s="1"/>
  <c r="CN138" i="92" s="1"/>
  <c r="CO138" i="92" s="1"/>
  <c r="CP138" i="92" s="1"/>
  <c r="CQ138" i="92" s="1"/>
  <c r="CR138" i="92" s="1"/>
  <c r="CS138" i="92" s="1"/>
  <c r="CT138" i="92" s="1"/>
  <c r="CU138" i="92" s="1"/>
  <c r="CV138" i="92" s="1"/>
  <c r="CW138" i="92" s="1"/>
  <c r="CX138" i="92" s="1"/>
  <c r="CY138" i="92" s="1"/>
  <c r="CZ138" i="92" s="1"/>
  <c r="DA138" i="92" s="1"/>
  <c r="DB138" i="92" s="1"/>
  <c r="DC138" i="92" s="1"/>
  <c r="DD138" i="92" s="1"/>
  <c r="DE138" i="92" s="1"/>
  <c r="DF138" i="92" s="1"/>
  <c r="DG138" i="92" s="1"/>
  <c r="DH138" i="92" s="1"/>
  <c r="DI138" i="92" s="1"/>
  <c r="DJ138" i="92" s="1"/>
  <c r="DK138" i="92" s="1"/>
  <c r="DL138" i="92" s="1"/>
  <c r="DM138" i="92" s="1"/>
  <c r="DN138" i="92" s="1"/>
  <c r="DO138" i="92" s="1"/>
  <c r="DP138" i="92" s="1"/>
  <c r="DQ138" i="92" s="1"/>
  <c r="DR138" i="92" s="1"/>
  <c r="DS138" i="92" s="1"/>
  <c r="DT138" i="92" s="1"/>
  <c r="DU138" i="92" s="1"/>
  <c r="DV138" i="92" s="1"/>
  <c r="DW138" i="92" s="1"/>
  <c r="DX138" i="92" s="1"/>
  <c r="DY138" i="92" s="1"/>
  <c r="DZ138" i="92" s="1"/>
  <c r="EA138" i="92" s="1"/>
  <c r="EB138" i="92" s="1"/>
  <c r="EC138" i="92" s="1"/>
  <c r="ED138" i="92" s="1"/>
  <c r="EE138" i="92" s="1"/>
  <c r="EF138" i="92" s="1"/>
  <c r="EG138" i="92" s="1"/>
  <c r="EH138" i="92" s="1"/>
  <c r="EI138" i="92" s="1"/>
  <c r="EJ138" i="92" s="1"/>
  <c r="EK138" i="92" s="1"/>
  <c r="CL139" i="92"/>
  <c r="CM139" i="92" s="1"/>
  <c r="CN139" i="92" s="1"/>
  <c r="CO139" i="92" s="1"/>
  <c r="CP139" i="92" s="1"/>
  <c r="CQ139" i="92" s="1"/>
  <c r="CR139" i="92" s="1"/>
  <c r="CS139" i="92" s="1"/>
  <c r="CT139" i="92" s="1"/>
  <c r="CU139" i="92" s="1"/>
  <c r="CV139" i="92" s="1"/>
  <c r="CW139" i="92" s="1"/>
  <c r="CX139" i="92" s="1"/>
  <c r="CY139" i="92" s="1"/>
  <c r="CZ139" i="92" s="1"/>
  <c r="DA139" i="92" s="1"/>
  <c r="DB139" i="92" s="1"/>
  <c r="DC139" i="92" s="1"/>
  <c r="DD139" i="92" s="1"/>
  <c r="DE139" i="92" s="1"/>
  <c r="DF139" i="92" s="1"/>
  <c r="DG139" i="92" s="1"/>
  <c r="DH139" i="92" s="1"/>
  <c r="DI139" i="92" s="1"/>
  <c r="DJ139" i="92" s="1"/>
  <c r="DK139" i="92" s="1"/>
  <c r="DL139" i="92" s="1"/>
  <c r="DM139" i="92" s="1"/>
  <c r="DN139" i="92" s="1"/>
  <c r="DO139" i="92" s="1"/>
  <c r="DP139" i="92" s="1"/>
  <c r="DQ139" i="92" s="1"/>
  <c r="DR139" i="92" s="1"/>
  <c r="DS139" i="92" s="1"/>
  <c r="DT139" i="92" s="1"/>
  <c r="DU139" i="92" s="1"/>
  <c r="DV139" i="92" s="1"/>
  <c r="DW139" i="92" s="1"/>
  <c r="DX139" i="92" s="1"/>
  <c r="DY139" i="92" s="1"/>
  <c r="DZ139" i="92" s="1"/>
  <c r="EA139" i="92" s="1"/>
  <c r="EB139" i="92" s="1"/>
  <c r="EC139" i="92" s="1"/>
  <c r="ED139" i="92" s="1"/>
  <c r="EE139" i="92" s="1"/>
  <c r="EF139" i="92" s="1"/>
  <c r="EG139" i="92" s="1"/>
  <c r="EH139" i="92" s="1"/>
  <c r="EI139" i="92" s="1"/>
  <c r="EJ139" i="92" s="1"/>
  <c r="EK139" i="92" s="1"/>
  <c r="CL140" i="92"/>
  <c r="CM140" i="92" s="1"/>
  <c r="CN140" i="92" s="1"/>
  <c r="CO140" i="92" s="1"/>
  <c r="CP140" i="92" s="1"/>
  <c r="CQ140" i="92" s="1"/>
  <c r="CR140" i="92" s="1"/>
  <c r="CS140" i="92" s="1"/>
  <c r="CT140" i="92" s="1"/>
  <c r="CU140" i="92" s="1"/>
  <c r="CV140" i="92" s="1"/>
  <c r="CW140" i="92" s="1"/>
  <c r="CX140" i="92" s="1"/>
  <c r="CY140" i="92" s="1"/>
  <c r="CZ140" i="92" s="1"/>
  <c r="DA140" i="92" s="1"/>
  <c r="DB140" i="92" s="1"/>
  <c r="DC140" i="92" s="1"/>
  <c r="DD140" i="92" s="1"/>
  <c r="DE140" i="92" s="1"/>
  <c r="DF140" i="92" s="1"/>
  <c r="DG140" i="92" s="1"/>
  <c r="DH140" i="92" s="1"/>
  <c r="DI140" i="92" s="1"/>
  <c r="DJ140" i="92" s="1"/>
  <c r="DK140" i="92" s="1"/>
  <c r="DL140" i="92" s="1"/>
  <c r="DM140" i="92" s="1"/>
  <c r="DN140" i="92" s="1"/>
  <c r="DO140" i="92" s="1"/>
  <c r="DP140" i="92" s="1"/>
  <c r="DQ140" i="92" s="1"/>
  <c r="DR140" i="92" s="1"/>
  <c r="DS140" i="92" s="1"/>
  <c r="DT140" i="92" s="1"/>
  <c r="DU140" i="92" s="1"/>
  <c r="DV140" i="92" s="1"/>
  <c r="DW140" i="92" s="1"/>
  <c r="DX140" i="92" s="1"/>
  <c r="DY140" i="92" s="1"/>
  <c r="DZ140" i="92" s="1"/>
  <c r="EA140" i="92" s="1"/>
  <c r="EB140" i="92" s="1"/>
  <c r="EC140" i="92" s="1"/>
  <c r="ED140" i="92" s="1"/>
  <c r="EE140" i="92" s="1"/>
  <c r="EF140" i="92" s="1"/>
  <c r="EG140" i="92" s="1"/>
  <c r="EH140" i="92" s="1"/>
  <c r="EI140" i="92" s="1"/>
  <c r="EJ140" i="92" s="1"/>
  <c r="EK140" i="92" s="1"/>
  <c r="CL141" i="92"/>
  <c r="CM141" i="92" s="1"/>
  <c r="CN141" i="92" s="1"/>
  <c r="CO141" i="92" s="1"/>
  <c r="CP141" i="92" s="1"/>
  <c r="CQ141" i="92" s="1"/>
  <c r="CR141" i="92" s="1"/>
  <c r="CS141" i="92" s="1"/>
  <c r="CT141" i="92" s="1"/>
  <c r="CU141" i="92" s="1"/>
  <c r="CV141" i="92" s="1"/>
  <c r="CW141" i="92" s="1"/>
  <c r="CX141" i="92" s="1"/>
  <c r="CY141" i="92" s="1"/>
  <c r="CZ141" i="92" s="1"/>
  <c r="DA141" i="92" s="1"/>
  <c r="DB141" i="92" s="1"/>
  <c r="DC141" i="92" s="1"/>
  <c r="DD141" i="92" s="1"/>
  <c r="DE141" i="92" s="1"/>
  <c r="DF141" i="92" s="1"/>
  <c r="DG141" i="92" s="1"/>
  <c r="DH141" i="92" s="1"/>
  <c r="DI141" i="92" s="1"/>
  <c r="DJ141" i="92" s="1"/>
  <c r="DK141" i="92" s="1"/>
  <c r="DL141" i="92" s="1"/>
  <c r="DM141" i="92" s="1"/>
  <c r="DN141" i="92" s="1"/>
  <c r="DO141" i="92" s="1"/>
  <c r="DP141" i="92" s="1"/>
  <c r="DQ141" i="92" s="1"/>
  <c r="DR141" i="92" s="1"/>
  <c r="DS141" i="92" s="1"/>
  <c r="DT141" i="92" s="1"/>
  <c r="DU141" i="92" s="1"/>
  <c r="DV141" i="92" s="1"/>
  <c r="DW141" i="92" s="1"/>
  <c r="DX141" i="92" s="1"/>
  <c r="DY141" i="92" s="1"/>
  <c r="DZ141" i="92" s="1"/>
  <c r="EA141" i="92" s="1"/>
  <c r="EB141" i="92" s="1"/>
  <c r="EC141" i="92" s="1"/>
  <c r="ED141" i="92" s="1"/>
  <c r="EE141" i="92" s="1"/>
  <c r="EF141" i="92" s="1"/>
  <c r="EG141" i="92" s="1"/>
  <c r="EH141" i="92" s="1"/>
  <c r="EI141" i="92" s="1"/>
  <c r="EJ141" i="92" s="1"/>
  <c r="EK141" i="92" s="1"/>
  <c r="CL142" i="92"/>
  <c r="CM142" i="92" s="1"/>
  <c r="CN142" i="92" s="1"/>
  <c r="CO142" i="92" s="1"/>
  <c r="CP142" i="92" s="1"/>
  <c r="CQ142" i="92" s="1"/>
  <c r="CR142" i="92" s="1"/>
  <c r="CS142" i="92" s="1"/>
  <c r="CT142" i="92" s="1"/>
  <c r="CU142" i="92" s="1"/>
  <c r="CV142" i="92" s="1"/>
  <c r="CW142" i="92" s="1"/>
  <c r="CX142" i="92" s="1"/>
  <c r="CY142" i="92" s="1"/>
  <c r="CZ142" i="92" s="1"/>
  <c r="DA142" i="92" s="1"/>
  <c r="DB142" i="92" s="1"/>
  <c r="DC142" i="92" s="1"/>
  <c r="DD142" i="92" s="1"/>
  <c r="DE142" i="92" s="1"/>
  <c r="DF142" i="92" s="1"/>
  <c r="DG142" i="92" s="1"/>
  <c r="DH142" i="92" s="1"/>
  <c r="DI142" i="92" s="1"/>
  <c r="DJ142" i="92" s="1"/>
  <c r="DK142" i="92" s="1"/>
  <c r="DL142" i="92" s="1"/>
  <c r="DM142" i="92" s="1"/>
  <c r="DN142" i="92" s="1"/>
  <c r="DO142" i="92" s="1"/>
  <c r="DP142" i="92" s="1"/>
  <c r="DQ142" i="92" s="1"/>
  <c r="DR142" i="92" s="1"/>
  <c r="DS142" i="92" s="1"/>
  <c r="DT142" i="92" s="1"/>
  <c r="DU142" i="92" s="1"/>
  <c r="DV142" i="92" s="1"/>
  <c r="DW142" i="92" s="1"/>
  <c r="DX142" i="92" s="1"/>
  <c r="DY142" i="92" s="1"/>
  <c r="DZ142" i="92" s="1"/>
  <c r="EA142" i="92" s="1"/>
  <c r="EB142" i="92" s="1"/>
  <c r="EC142" i="92" s="1"/>
  <c r="ED142" i="92" s="1"/>
  <c r="EE142" i="92" s="1"/>
  <c r="EF142" i="92" s="1"/>
  <c r="EG142" i="92" s="1"/>
  <c r="EH142" i="92" s="1"/>
  <c r="EI142" i="92" s="1"/>
  <c r="EJ142" i="92" s="1"/>
  <c r="EK142" i="92" s="1"/>
  <c r="CL143" i="92"/>
  <c r="CM143" i="92" s="1"/>
  <c r="CN143" i="92" s="1"/>
  <c r="CO143" i="92" s="1"/>
  <c r="CP143" i="92" s="1"/>
  <c r="CQ143" i="92" s="1"/>
  <c r="CR143" i="92" s="1"/>
  <c r="CS143" i="92" s="1"/>
  <c r="CT143" i="92" s="1"/>
  <c r="CU143" i="92" s="1"/>
  <c r="CV143" i="92" s="1"/>
  <c r="CW143" i="92" s="1"/>
  <c r="CX143" i="92" s="1"/>
  <c r="CY143" i="92" s="1"/>
  <c r="CZ143" i="92" s="1"/>
  <c r="DA143" i="92" s="1"/>
  <c r="DB143" i="92" s="1"/>
  <c r="DC143" i="92" s="1"/>
  <c r="DD143" i="92" s="1"/>
  <c r="DE143" i="92" s="1"/>
  <c r="DF143" i="92" s="1"/>
  <c r="DG143" i="92" s="1"/>
  <c r="DH143" i="92" s="1"/>
  <c r="DI143" i="92" s="1"/>
  <c r="DJ143" i="92" s="1"/>
  <c r="DK143" i="92" s="1"/>
  <c r="DL143" i="92" s="1"/>
  <c r="DM143" i="92" s="1"/>
  <c r="DN143" i="92" s="1"/>
  <c r="DO143" i="92" s="1"/>
  <c r="DP143" i="92" s="1"/>
  <c r="DQ143" i="92" s="1"/>
  <c r="DR143" i="92" s="1"/>
  <c r="DS143" i="92" s="1"/>
  <c r="DT143" i="92" s="1"/>
  <c r="DU143" i="92" s="1"/>
  <c r="DV143" i="92" s="1"/>
  <c r="DW143" i="92" s="1"/>
  <c r="DX143" i="92" s="1"/>
  <c r="DY143" i="92" s="1"/>
  <c r="DZ143" i="92" s="1"/>
  <c r="EA143" i="92" s="1"/>
  <c r="EB143" i="92" s="1"/>
  <c r="EC143" i="92" s="1"/>
  <c r="ED143" i="92" s="1"/>
  <c r="EE143" i="92" s="1"/>
  <c r="EF143" i="92" s="1"/>
  <c r="EG143" i="92" s="1"/>
  <c r="EH143" i="92" s="1"/>
  <c r="EI143" i="92" s="1"/>
  <c r="EJ143" i="92" s="1"/>
  <c r="EK143" i="92" s="1"/>
  <c r="CL144" i="92"/>
  <c r="CM144" i="92" s="1"/>
  <c r="CN144" i="92" s="1"/>
  <c r="CO144" i="92" s="1"/>
  <c r="CP144" i="92" s="1"/>
  <c r="CQ144" i="92" s="1"/>
  <c r="CR144" i="92" s="1"/>
  <c r="CS144" i="92" s="1"/>
  <c r="CT144" i="92" s="1"/>
  <c r="CU144" i="92" s="1"/>
  <c r="CV144" i="92" s="1"/>
  <c r="CW144" i="92" s="1"/>
  <c r="CX144" i="92" s="1"/>
  <c r="CY144" i="92" s="1"/>
  <c r="CZ144" i="92" s="1"/>
  <c r="DA144" i="92" s="1"/>
  <c r="DB144" i="92" s="1"/>
  <c r="DC144" i="92" s="1"/>
  <c r="DD144" i="92" s="1"/>
  <c r="DE144" i="92" s="1"/>
  <c r="DF144" i="92" s="1"/>
  <c r="DG144" i="92" s="1"/>
  <c r="DH144" i="92" s="1"/>
  <c r="DI144" i="92" s="1"/>
  <c r="DJ144" i="92" s="1"/>
  <c r="DK144" i="92" s="1"/>
  <c r="DL144" i="92" s="1"/>
  <c r="DM144" i="92" s="1"/>
  <c r="DN144" i="92" s="1"/>
  <c r="DO144" i="92" s="1"/>
  <c r="DP144" i="92" s="1"/>
  <c r="DQ144" i="92" s="1"/>
  <c r="DR144" i="92" s="1"/>
  <c r="DS144" i="92" s="1"/>
  <c r="DT144" i="92" s="1"/>
  <c r="DU144" i="92" s="1"/>
  <c r="DV144" i="92" s="1"/>
  <c r="DW144" i="92" s="1"/>
  <c r="DX144" i="92" s="1"/>
  <c r="DY144" i="92" s="1"/>
  <c r="DZ144" i="92" s="1"/>
  <c r="EA144" i="92" s="1"/>
  <c r="EB144" i="92" s="1"/>
  <c r="EC144" i="92" s="1"/>
  <c r="ED144" i="92" s="1"/>
  <c r="EE144" i="92" s="1"/>
  <c r="EF144" i="92" s="1"/>
  <c r="EG144" i="92" s="1"/>
  <c r="EH144" i="92" s="1"/>
  <c r="EI144" i="92" s="1"/>
  <c r="EJ144" i="92" s="1"/>
  <c r="EK144" i="92" s="1"/>
  <c r="CL145" i="92"/>
  <c r="CM145" i="92" s="1"/>
  <c r="CN145" i="92" s="1"/>
  <c r="CO145" i="92" s="1"/>
  <c r="CP145" i="92" s="1"/>
  <c r="CQ145" i="92" s="1"/>
  <c r="CR145" i="92" s="1"/>
  <c r="CS145" i="92" s="1"/>
  <c r="CT145" i="92" s="1"/>
  <c r="CU145" i="92" s="1"/>
  <c r="CV145" i="92" s="1"/>
  <c r="CW145" i="92" s="1"/>
  <c r="CX145" i="92" s="1"/>
  <c r="CY145" i="92" s="1"/>
  <c r="CZ145" i="92" s="1"/>
  <c r="DA145" i="92" s="1"/>
  <c r="DB145" i="92" s="1"/>
  <c r="DC145" i="92" s="1"/>
  <c r="DD145" i="92" s="1"/>
  <c r="DE145" i="92" s="1"/>
  <c r="DF145" i="92" s="1"/>
  <c r="DG145" i="92" s="1"/>
  <c r="DH145" i="92" s="1"/>
  <c r="DI145" i="92" s="1"/>
  <c r="DJ145" i="92" s="1"/>
  <c r="DK145" i="92" s="1"/>
  <c r="DL145" i="92" s="1"/>
  <c r="DM145" i="92" s="1"/>
  <c r="DN145" i="92" s="1"/>
  <c r="DO145" i="92" s="1"/>
  <c r="DP145" i="92" s="1"/>
  <c r="DQ145" i="92" s="1"/>
  <c r="DR145" i="92" s="1"/>
  <c r="DS145" i="92" s="1"/>
  <c r="DT145" i="92" s="1"/>
  <c r="DU145" i="92" s="1"/>
  <c r="DV145" i="92" s="1"/>
  <c r="DW145" i="92" s="1"/>
  <c r="DX145" i="92" s="1"/>
  <c r="DY145" i="92" s="1"/>
  <c r="DZ145" i="92" s="1"/>
  <c r="EA145" i="92" s="1"/>
  <c r="EB145" i="92" s="1"/>
  <c r="EC145" i="92" s="1"/>
  <c r="ED145" i="92" s="1"/>
  <c r="EE145" i="92" s="1"/>
  <c r="EF145" i="92" s="1"/>
  <c r="EG145" i="92" s="1"/>
  <c r="EH145" i="92" s="1"/>
  <c r="EI145" i="92" s="1"/>
  <c r="EJ145" i="92" s="1"/>
  <c r="EK145" i="92" s="1"/>
  <c r="CL146" i="92"/>
  <c r="CM146" i="92" s="1"/>
  <c r="CN146" i="92" s="1"/>
  <c r="CO146" i="92" s="1"/>
  <c r="CP146" i="92" s="1"/>
  <c r="CQ146" i="92" s="1"/>
  <c r="CR146" i="92" s="1"/>
  <c r="CS146" i="92" s="1"/>
  <c r="CT146" i="92" s="1"/>
  <c r="CU146" i="92" s="1"/>
  <c r="CV146" i="92" s="1"/>
  <c r="CW146" i="92" s="1"/>
  <c r="CX146" i="92" s="1"/>
  <c r="CY146" i="92" s="1"/>
  <c r="CZ146" i="92" s="1"/>
  <c r="DA146" i="92" s="1"/>
  <c r="DB146" i="92" s="1"/>
  <c r="DC146" i="92" s="1"/>
  <c r="DD146" i="92" s="1"/>
  <c r="DE146" i="92" s="1"/>
  <c r="DF146" i="92" s="1"/>
  <c r="DG146" i="92" s="1"/>
  <c r="DH146" i="92" s="1"/>
  <c r="DI146" i="92" s="1"/>
  <c r="DJ146" i="92" s="1"/>
  <c r="DK146" i="92" s="1"/>
  <c r="DL146" i="92" s="1"/>
  <c r="DM146" i="92" s="1"/>
  <c r="DN146" i="92" s="1"/>
  <c r="DO146" i="92" s="1"/>
  <c r="DP146" i="92" s="1"/>
  <c r="DQ146" i="92" s="1"/>
  <c r="DR146" i="92" s="1"/>
  <c r="DS146" i="92" s="1"/>
  <c r="DT146" i="92" s="1"/>
  <c r="DU146" i="92" s="1"/>
  <c r="DV146" i="92" s="1"/>
  <c r="DW146" i="92" s="1"/>
  <c r="DX146" i="92" s="1"/>
  <c r="DY146" i="92" s="1"/>
  <c r="DZ146" i="92" s="1"/>
  <c r="EA146" i="92" s="1"/>
  <c r="EB146" i="92" s="1"/>
  <c r="EC146" i="92" s="1"/>
  <c r="ED146" i="92" s="1"/>
  <c r="EE146" i="92" s="1"/>
  <c r="EF146" i="92" s="1"/>
  <c r="EG146" i="92" s="1"/>
  <c r="EH146" i="92" s="1"/>
  <c r="EI146" i="92" s="1"/>
  <c r="EJ146" i="92" s="1"/>
  <c r="EK146" i="92" s="1"/>
  <c r="CL147" i="92"/>
  <c r="CM147" i="92" s="1"/>
  <c r="CN147" i="92" s="1"/>
  <c r="CO147" i="92" s="1"/>
  <c r="CP147" i="92" s="1"/>
  <c r="CQ147" i="92" s="1"/>
  <c r="CR147" i="92" s="1"/>
  <c r="CS147" i="92" s="1"/>
  <c r="CT147" i="92" s="1"/>
  <c r="CU147" i="92" s="1"/>
  <c r="CV147" i="92" s="1"/>
  <c r="CW147" i="92" s="1"/>
  <c r="CX147" i="92" s="1"/>
  <c r="CY147" i="92" s="1"/>
  <c r="CZ147" i="92" s="1"/>
  <c r="DA147" i="92" s="1"/>
  <c r="DB147" i="92" s="1"/>
  <c r="DC147" i="92" s="1"/>
  <c r="DD147" i="92" s="1"/>
  <c r="DE147" i="92" s="1"/>
  <c r="DF147" i="92" s="1"/>
  <c r="DG147" i="92" s="1"/>
  <c r="DH147" i="92" s="1"/>
  <c r="DI147" i="92" s="1"/>
  <c r="DJ147" i="92" s="1"/>
  <c r="DK147" i="92" s="1"/>
  <c r="DL147" i="92" s="1"/>
  <c r="DM147" i="92" s="1"/>
  <c r="DN147" i="92" s="1"/>
  <c r="DO147" i="92" s="1"/>
  <c r="DP147" i="92" s="1"/>
  <c r="DQ147" i="92" s="1"/>
  <c r="DR147" i="92" s="1"/>
  <c r="DS147" i="92" s="1"/>
  <c r="DT147" i="92" s="1"/>
  <c r="DU147" i="92" s="1"/>
  <c r="DV147" i="92" s="1"/>
  <c r="DW147" i="92" s="1"/>
  <c r="DX147" i="92" s="1"/>
  <c r="DY147" i="92" s="1"/>
  <c r="DZ147" i="92" s="1"/>
  <c r="EA147" i="92" s="1"/>
  <c r="EB147" i="92" s="1"/>
  <c r="EC147" i="92" s="1"/>
  <c r="ED147" i="92" s="1"/>
  <c r="EE147" i="92" s="1"/>
  <c r="EF147" i="92" s="1"/>
  <c r="EG147" i="92" s="1"/>
  <c r="EH147" i="92" s="1"/>
  <c r="EI147" i="92" s="1"/>
  <c r="EJ147" i="92" s="1"/>
  <c r="EK147" i="92" s="1"/>
  <c r="CL148" i="92"/>
  <c r="CM148" i="92" s="1"/>
  <c r="CN148" i="92" s="1"/>
  <c r="CO148" i="92" s="1"/>
  <c r="CP148" i="92" s="1"/>
  <c r="CQ148" i="92" s="1"/>
  <c r="CR148" i="92" s="1"/>
  <c r="CS148" i="92" s="1"/>
  <c r="CT148" i="92" s="1"/>
  <c r="CU148" i="92" s="1"/>
  <c r="CV148" i="92" s="1"/>
  <c r="CW148" i="92" s="1"/>
  <c r="CX148" i="92" s="1"/>
  <c r="CY148" i="92" s="1"/>
  <c r="CZ148" i="92" s="1"/>
  <c r="DA148" i="92" s="1"/>
  <c r="DB148" i="92" s="1"/>
  <c r="DC148" i="92" s="1"/>
  <c r="DD148" i="92" s="1"/>
  <c r="DE148" i="92" s="1"/>
  <c r="DF148" i="92" s="1"/>
  <c r="DG148" i="92" s="1"/>
  <c r="DH148" i="92" s="1"/>
  <c r="DI148" i="92" s="1"/>
  <c r="DJ148" i="92" s="1"/>
  <c r="DK148" i="92" s="1"/>
  <c r="DL148" i="92" s="1"/>
  <c r="DM148" i="92" s="1"/>
  <c r="DN148" i="92" s="1"/>
  <c r="DO148" i="92" s="1"/>
  <c r="DP148" i="92" s="1"/>
  <c r="DQ148" i="92" s="1"/>
  <c r="DR148" i="92" s="1"/>
  <c r="DS148" i="92" s="1"/>
  <c r="DT148" i="92" s="1"/>
  <c r="DU148" i="92" s="1"/>
  <c r="DV148" i="92" s="1"/>
  <c r="DW148" i="92" s="1"/>
  <c r="DX148" i="92" s="1"/>
  <c r="DY148" i="92" s="1"/>
  <c r="DZ148" i="92" s="1"/>
  <c r="EA148" i="92" s="1"/>
  <c r="EB148" i="92" s="1"/>
  <c r="EC148" i="92" s="1"/>
  <c r="ED148" i="92" s="1"/>
  <c r="EE148" i="92" s="1"/>
  <c r="EF148" i="92" s="1"/>
  <c r="EG148" i="92" s="1"/>
  <c r="EH148" i="92" s="1"/>
  <c r="EI148" i="92" s="1"/>
  <c r="EJ148" i="92" s="1"/>
  <c r="EK148" i="92" s="1"/>
  <c r="CL149" i="92"/>
  <c r="CM149" i="92" s="1"/>
  <c r="CN149" i="92" s="1"/>
  <c r="CO149" i="92" s="1"/>
  <c r="CP149" i="92" s="1"/>
  <c r="CQ149" i="92" s="1"/>
  <c r="CR149" i="92" s="1"/>
  <c r="CS149" i="92" s="1"/>
  <c r="CT149" i="92" s="1"/>
  <c r="CU149" i="92" s="1"/>
  <c r="CV149" i="92" s="1"/>
  <c r="CW149" i="92" s="1"/>
  <c r="CX149" i="92" s="1"/>
  <c r="CY149" i="92" s="1"/>
  <c r="CZ149" i="92" s="1"/>
  <c r="DA149" i="92" s="1"/>
  <c r="DB149" i="92" s="1"/>
  <c r="DC149" i="92" s="1"/>
  <c r="DD149" i="92" s="1"/>
  <c r="DE149" i="92" s="1"/>
  <c r="DF149" i="92" s="1"/>
  <c r="DG149" i="92" s="1"/>
  <c r="DH149" i="92" s="1"/>
  <c r="DI149" i="92" s="1"/>
  <c r="DJ149" i="92" s="1"/>
  <c r="DK149" i="92" s="1"/>
  <c r="DL149" i="92" s="1"/>
  <c r="DM149" i="92" s="1"/>
  <c r="DN149" i="92" s="1"/>
  <c r="DO149" i="92" s="1"/>
  <c r="DP149" i="92" s="1"/>
  <c r="DQ149" i="92" s="1"/>
  <c r="DR149" i="92" s="1"/>
  <c r="DS149" i="92" s="1"/>
  <c r="DT149" i="92" s="1"/>
  <c r="DU149" i="92" s="1"/>
  <c r="DV149" i="92" s="1"/>
  <c r="DW149" i="92" s="1"/>
  <c r="DX149" i="92" s="1"/>
  <c r="DY149" i="92" s="1"/>
  <c r="DZ149" i="92" s="1"/>
  <c r="EA149" i="92" s="1"/>
  <c r="EB149" i="92" s="1"/>
  <c r="EC149" i="92" s="1"/>
  <c r="ED149" i="92" s="1"/>
  <c r="EE149" i="92" s="1"/>
  <c r="EF149" i="92" s="1"/>
  <c r="EG149" i="92" s="1"/>
  <c r="EH149" i="92" s="1"/>
  <c r="EI149" i="92" s="1"/>
  <c r="EJ149" i="92" s="1"/>
  <c r="EK149" i="92" s="1"/>
  <c r="CL150" i="92"/>
  <c r="CM150" i="92" s="1"/>
  <c r="CN150" i="92" s="1"/>
  <c r="CO150" i="92" s="1"/>
  <c r="CP150" i="92" s="1"/>
  <c r="CQ150" i="92" s="1"/>
  <c r="CR150" i="92" s="1"/>
  <c r="CS150" i="92" s="1"/>
  <c r="CT150" i="92" s="1"/>
  <c r="CU150" i="92" s="1"/>
  <c r="CV150" i="92" s="1"/>
  <c r="CW150" i="92" s="1"/>
  <c r="CX150" i="92" s="1"/>
  <c r="CY150" i="92" s="1"/>
  <c r="CZ150" i="92" s="1"/>
  <c r="DA150" i="92" s="1"/>
  <c r="DB150" i="92" s="1"/>
  <c r="DC150" i="92" s="1"/>
  <c r="DD150" i="92" s="1"/>
  <c r="DE150" i="92" s="1"/>
  <c r="DF150" i="92" s="1"/>
  <c r="DG150" i="92" s="1"/>
  <c r="DH150" i="92" s="1"/>
  <c r="DI150" i="92" s="1"/>
  <c r="DJ150" i="92" s="1"/>
  <c r="DK150" i="92" s="1"/>
  <c r="DL150" i="92" s="1"/>
  <c r="DM150" i="92" s="1"/>
  <c r="DN150" i="92" s="1"/>
  <c r="DO150" i="92" s="1"/>
  <c r="DP150" i="92" s="1"/>
  <c r="DQ150" i="92" s="1"/>
  <c r="DR150" i="92" s="1"/>
  <c r="DS150" i="92" s="1"/>
  <c r="DT150" i="92" s="1"/>
  <c r="DU150" i="92" s="1"/>
  <c r="DV150" i="92" s="1"/>
  <c r="DW150" i="92" s="1"/>
  <c r="DX150" i="92" s="1"/>
  <c r="DY150" i="92" s="1"/>
  <c r="DZ150" i="92" s="1"/>
  <c r="EA150" i="92" s="1"/>
  <c r="EB150" i="92" s="1"/>
  <c r="EC150" i="92" s="1"/>
  <c r="ED150" i="92" s="1"/>
  <c r="EE150" i="92" s="1"/>
  <c r="EF150" i="92" s="1"/>
  <c r="EG150" i="92" s="1"/>
  <c r="EH150" i="92" s="1"/>
  <c r="EI150" i="92" s="1"/>
  <c r="EJ150" i="92" s="1"/>
  <c r="EK150" i="92" s="1"/>
  <c r="CL151" i="92"/>
  <c r="CM151" i="92" s="1"/>
  <c r="CN151" i="92" s="1"/>
  <c r="CO151" i="92" s="1"/>
  <c r="CP151" i="92" s="1"/>
  <c r="CQ151" i="92" s="1"/>
  <c r="CR151" i="92" s="1"/>
  <c r="CS151" i="92" s="1"/>
  <c r="CT151" i="92" s="1"/>
  <c r="CU151" i="92" s="1"/>
  <c r="CV151" i="92" s="1"/>
  <c r="CW151" i="92" s="1"/>
  <c r="CX151" i="92" s="1"/>
  <c r="CY151" i="92" s="1"/>
  <c r="CZ151" i="92" s="1"/>
  <c r="DA151" i="92" s="1"/>
  <c r="DB151" i="92" s="1"/>
  <c r="DC151" i="92" s="1"/>
  <c r="DD151" i="92" s="1"/>
  <c r="DE151" i="92" s="1"/>
  <c r="DF151" i="92" s="1"/>
  <c r="DG151" i="92" s="1"/>
  <c r="DH151" i="92" s="1"/>
  <c r="DI151" i="92" s="1"/>
  <c r="DJ151" i="92" s="1"/>
  <c r="DK151" i="92" s="1"/>
  <c r="DL151" i="92" s="1"/>
  <c r="DM151" i="92" s="1"/>
  <c r="DN151" i="92" s="1"/>
  <c r="DO151" i="92" s="1"/>
  <c r="DP151" i="92" s="1"/>
  <c r="DQ151" i="92" s="1"/>
  <c r="DR151" i="92" s="1"/>
  <c r="DS151" i="92" s="1"/>
  <c r="DT151" i="92" s="1"/>
  <c r="DU151" i="92" s="1"/>
  <c r="DV151" i="92" s="1"/>
  <c r="DW151" i="92" s="1"/>
  <c r="DX151" i="92" s="1"/>
  <c r="DY151" i="92" s="1"/>
  <c r="DZ151" i="92" s="1"/>
  <c r="EA151" i="92" s="1"/>
  <c r="EB151" i="92" s="1"/>
  <c r="EC151" i="92" s="1"/>
  <c r="ED151" i="92" s="1"/>
  <c r="EE151" i="92" s="1"/>
  <c r="EF151" i="92" s="1"/>
  <c r="EG151" i="92" s="1"/>
  <c r="EH151" i="92" s="1"/>
  <c r="EI151" i="92" s="1"/>
  <c r="EJ151" i="92" s="1"/>
  <c r="EK151" i="92" s="1"/>
  <c r="CL152" i="92"/>
  <c r="CM152" i="92" s="1"/>
  <c r="CN152" i="92" s="1"/>
  <c r="CO152" i="92" s="1"/>
  <c r="CP152" i="92" s="1"/>
  <c r="CQ152" i="92" s="1"/>
  <c r="CR152" i="92" s="1"/>
  <c r="CS152" i="92" s="1"/>
  <c r="CT152" i="92" s="1"/>
  <c r="CU152" i="92" s="1"/>
  <c r="CV152" i="92" s="1"/>
  <c r="CW152" i="92" s="1"/>
  <c r="CX152" i="92" s="1"/>
  <c r="CY152" i="92" s="1"/>
  <c r="CZ152" i="92" s="1"/>
  <c r="DA152" i="92" s="1"/>
  <c r="DB152" i="92" s="1"/>
  <c r="DC152" i="92" s="1"/>
  <c r="DD152" i="92" s="1"/>
  <c r="DE152" i="92" s="1"/>
  <c r="DF152" i="92" s="1"/>
  <c r="DG152" i="92" s="1"/>
  <c r="DH152" i="92" s="1"/>
  <c r="DI152" i="92" s="1"/>
  <c r="DJ152" i="92" s="1"/>
  <c r="DK152" i="92" s="1"/>
  <c r="DL152" i="92" s="1"/>
  <c r="DM152" i="92" s="1"/>
  <c r="DN152" i="92" s="1"/>
  <c r="DO152" i="92" s="1"/>
  <c r="DP152" i="92" s="1"/>
  <c r="DQ152" i="92" s="1"/>
  <c r="DR152" i="92" s="1"/>
  <c r="DS152" i="92" s="1"/>
  <c r="DT152" i="92" s="1"/>
  <c r="DU152" i="92" s="1"/>
  <c r="DV152" i="92" s="1"/>
  <c r="DW152" i="92" s="1"/>
  <c r="DX152" i="92" s="1"/>
  <c r="DY152" i="92" s="1"/>
  <c r="DZ152" i="92" s="1"/>
  <c r="EA152" i="92" s="1"/>
  <c r="EB152" i="92" s="1"/>
  <c r="EC152" i="92" s="1"/>
  <c r="ED152" i="92" s="1"/>
  <c r="EE152" i="92" s="1"/>
  <c r="EF152" i="92" s="1"/>
  <c r="EG152" i="92" s="1"/>
  <c r="EH152" i="92" s="1"/>
  <c r="EI152" i="92" s="1"/>
  <c r="EJ152" i="92" s="1"/>
  <c r="EK152" i="92" s="1"/>
  <c r="CL153" i="92"/>
  <c r="CM153" i="92" s="1"/>
  <c r="CN153" i="92" s="1"/>
  <c r="CO153" i="92" s="1"/>
  <c r="CP153" i="92" s="1"/>
  <c r="CQ153" i="92" s="1"/>
  <c r="CR153" i="92" s="1"/>
  <c r="CS153" i="92" s="1"/>
  <c r="CT153" i="92" s="1"/>
  <c r="CU153" i="92" s="1"/>
  <c r="CV153" i="92" s="1"/>
  <c r="CW153" i="92" s="1"/>
  <c r="CX153" i="92" s="1"/>
  <c r="CY153" i="92" s="1"/>
  <c r="CZ153" i="92" s="1"/>
  <c r="DA153" i="92" s="1"/>
  <c r="DB153" i="92" s="1"/>
  <c r="DC153" i="92" s="1"/>
  <c r="DD153" i="92" s="1"/>
  <c r="DE153" i="92" s="1"/>
  <c r="DF153" i="92" s="1"/>
  <c r="DG153" i="92" s="1"/>
  <c r="DH153" i="92" s="1"/>
  <c r="DI153" i="92" s="1"/>
  <c r="DJ153" i="92" s="1"/>
  <c r="DK153" i="92" s="1"/>
  <c r="DL153" i="92" s="1"/>
  <c r="DM153" i="92" s="1"/>
  <c r="DN153" i="92" s="1"/>
  <c r="DO153" i="92" s="1"/>
  <c r="DP153" i="92" s="1"/>
  <c r="DQ153" i="92" s="1"/>
  <c r="DR153" i="92" s="1"/>
  <c r="DS153" i="92" s="1"/>
  <c r="DT153" i="92" s="1"/>
  <c r="DU153" i="92" s="1"/>
  <c r="DV153" i="92" s="1"/>
  <c r="DW153" i="92" s="1"/>
  <c r="DX153" i="92" s="1"/>
  <c r="DY153" i="92" s="1"/>
  <c r="DZ153" i="92" s="1"/>
  <c r="EA153" i="92" s="1"/>
  <c r="EB153" i="92" s="1"/>
  <c r="EC153" i="92" s="1"/>
  <c r="ED153" i="92" s="1"/>
  <c r="EE153" i="92" s="1"/>
  <c r="EF153" i="92" s="1"/>
  <c r="EG153" i="92" s="1"/>
  <c r="EH153" i="92" s="1"/>
  <c r="EI153" i="92" s="1"/>
  <c r="EJ153" i="92" s="1"/>
  <c r="EK153" i="92" s="1"/>
  <c r="CL154" i="92"/>
  <c r="CM154" i="92" s="1"/>
  <c r="CN154" i="92" s="1"/>
  <c r="CO154" i="92" s="1"/>
  <c r="CP154" i="92" s="1"/>
  <c r="CQ154" i="92" s="1"/>
  <c r="CR154" i="92" s="1"/>
  <c r="CS154" i="92" s="1"/>
  <c r="CT154" i="92" s="1"/>
  <c r="CU154" i="92" s="1"/>
  <c r="CV154" i="92" s="1"/>
  <c r="CW154" i="92" s="1"/>
  <c r="CX154" i="92" s="1"/>
  <c r="CY154" i="92" s="1"/>
  <c r="CZ154" i="92" s="1"/>
  <c r="DA154" i="92" s="1"/>
  <c r="DB154" i="92" s="1"/>
  <c r="DC154" i="92" s="1"/>
  <c r="DD154" i="92" s="1"/>
  <c r="DE154" i="92" s="1"/>
  <c r="DF154" i="92" s="1"/>
  <c r="DG154" i="92" s="1"/>
  <c r="DH154" i="92" s="1"/>
  <c r="DI154" i="92" s="1"/>
  <c r="DJ154" i="92" s="1"/>
  <c r="DK154" i="92" s="1"/>
  <c r="DL154" i="92" s="1"/>
  <c r="DM154" i="92" s="1"/>
  <c r="DN154" i="92" s="1"/>
  <c r="DO154" i="92" s="1"/>
  <c r="DP154" i="92" s="1"/>
  <c r="DQ154" i="92" s="1"/>
  <c r="DR154" i="92" s="1"/>
  <c r="DS154" i="92" s="1"/>
  <c r="DT154" i="92" s="1"/>
  <c r="DU154" i="92" s="1"/>
  <c r="DV154" i="92" s="1"/>
  <c r="DW154" i="92" s="1"/>
  <c r="DX154" i="92" s="1"/>
  <c r="DY154" i="92" s="1"/>
  <c r="DZ154" i="92" s="1"/>
  <c r="EA154" i="92" s="1"/>
  <c r="EB154" i="92" s="1"/>
  <c r="EC154" i="92" s="1"/>
  <c r="ED154" i="92" s="1"/>
  <c r="EE154" i="92" s="1"/>
  <c r="EF154" i="92" s="1"/>
  <c r="EG154" i="92" s="1"/>
  <c r="EH154" i="92" s="1"/>
  <c r="EI154" i="92" s="1"/>
  <c r="EJ154" i="92" s="1"/>
  <c r="EK154" i="92" s="1"/>
  <c r="CL155" i="92"/>
  <c r="CM155" i="92" s="1"/>
  <c r="CN155" i="92" s="1"/>
  <c r="CO155" i="92" s="1"/>
  <c r="CP155" i="92" s="1"/>
  <c r="CQ155" i="92" s="1"/>
  <c r="CR155" i="92" s="1"/>
  <c r="CS155" i="92" s="1"/>
  <c r="CT155" i="92" s="1"/>
  <c r="CU155" i="92" s="1"/>
  <c r="CV155" i="92" s="1"/>
  <c r="CW155" i="92" s="1"/>
  <c r="CX155" i="92" s="1"/>
  <c r="CY155" i="92" s="1"/>
  <c r="CZ155" i="92" s="1"/>
  <c r="DA155" i="92" s="1"/>
  <c r="DB155" i="92" s="1"/>
  <c r="DC155" i="92" s="1"/>
  <c r="DD155" i="92" s="1"/>
  <c r="DE155" i="92" s="1"/>
  <c r="DF155" i="92" s="1"/>
  <c r="DG155" i="92" s="1"/>
  <c r="DH155" i="92" s="1"/>
  <c r="DI155" i="92" s="1"/>
  <c r="DJ155" i="92" s="1"/>
  <c r="DK155" i="92" s="1"/>
  <c r="DL155" i="92" s="1"/>
  <c r="DM155" i="92" s="1"/>
  <c r="DN155" i="92" s="1"/>
  <c r="DO155" i="92" s="1"/>
  <c r="DP155" i="92" s="1"/>
  <c r="DQ155" i="92" s="1"/>
  <c r="DR155" i="92" s="1"/>
  <c r="DS155" i="92" s="1"/>
  <c r="DT155" i="92" s="1"/>
  <c r="DU155" i="92" s="1"/>
  <c r="DV155" i="92" s="1"/>
  <c r="DW155" i="92" s="1"/>
  <c r="DX155" i="92" s="1"/>
  <c r="DY155" i="92" s="1"/>
  <c r="DZ155" i="92" s="1"/>
  <c r="EA155" i="92" s="1"/>
  <c r="EB155" i="92" s="1"/>
  <c r="EC155" i="92" s="1"/>
  <c r="ED155" i="92" s="1"/>
  <c r="EE155" i="92" s="1"/>
  <c r="EF155" i="92" s="1"/>
  <c r="EG155" i="92" s="1"/>
  <c r="EH155" i="92" s="1"/>
  <c r="EI155" i="92" s="1"/>
  <c r="EJ155" i="92" s="1"/>
  <c r="EK155" i="92" s="1"/>
  <c r="CL156" i="92"/>
  <c r="CM156" i="92" s="1"/>
  <c r="CN156" i="92" s="1"/>
  <c r="CO156" i="92" s="1"/>
  <c r="CP156" i="92" s="1"/>
  <c r="CQ156" i="92" s="1"/>
  <c r="CR156" i="92" s="1"/>
  <c r="CS156" i="92" s="1"/>
  <c r="CT156" i="92" s="1"/>
  <c r="CU156" i="92" s="1"/>
  <c r="CV156" i="92" s="1"/>
  <c r="CW156" i="92" s="1"/>
  <c r="CX156" i="92" s="1"/>
  <c r="CY156" i="92" s="1"/>
  <c r="CZ156" i="92" s="1"/>
  <c r="DA156" i="92" s="1"/>
  <c r="DB156" i="92" s="1"/>
  <c r="DC156" i="92" s="1"/>
  <c r="DD156" i="92" s="1"/>
  <c r="DE156" i="92" s="1"/>
  <c r="DF156" i="92" s="1"/>
  <c r="DG156" i="92" s="1"/>
  <c r="DH156" i="92" s="1"/>
  <c r="DI156" i="92" s="1"/>
  <c r="DJ156" i="92" s="1"/>
  <c r="DK156" i="92" s="1"/>
  <c r="DL156" i="92" s="1"/>
  <c r="DM156" i="92" s="1"/>
  <c r="DN156" i="92" s="1"/>
  <c r="DO156" i="92" s="1"/>
  <c r="DP156" i="92" s="1"/>
  <c r="DQ156" i="92" s="1"/>
  <c r="DR156" i="92" s="1"/>
  <c r="DS156" i="92" s="1"/>
  <c r="DT156" i="92" s="1"/>
  <c r="DU156" i="92" s="1"/>
  <c r="DV156" i="92" s="1"/>
  <c r="DW156" i="92" s="1"/>
  <c r="DX156" i="92" s="1"/>
  <c r="DY156" i="92" s="1"/>
  <c r="DZ156" i="92" s="1"/>
  <c r="EA156" i="92" s="1"/>
  <c r="EB156" i="92" s="1"/>
  <c r="EC156" i="92" s="1"/>
  <c r="ED156" i="92" s="1"/>
  <c r="EE156" i="92" s="1"/>
  <c r="EF156" i="92" s="1"/>
  <c r="EG156" i="92" s="1"/>
  <c r="EH156" i="92" s="1"/>
  <c r="EI156" i="92" s="1"/>
  <c r="EJ156" i="92" s="1"/>
  <c r="EK156" i="92" s="1"/>
  <c r="CL157" i="92"/>
  <c r="CM157" i="92" s="1"/>
  <c r="CN157" i="92" s="1"/>
  <c r="CO157" i="92" s="1"/>
  <c r="CP157" i="92" s="1"/>
  <c r="CQ157" i="92" s="1"/>
  <c r="CR157" i="92" s="1"/>
  <c r="CS157" i="92" s="1"/>
  <c r="CT157" i="92" s="1"/>
  <c r="CU157" i="92" s="1"/>
  <c r="CV157" i="92" s="1"/>
  <c r="CW157" i="92" s="1"/>
  <c r="CX157" i="92" s="1"/>
  <c r="CY157" i="92" s="1"/>
  <c r="CZ157" i="92" s="1"/>
  <c r="DA157" i="92" s="1"/>
  <c r="DB157" i="92" s="1"/>
  <c r="DC157" i="92" s="1"/>
  <c r="DD157" i="92" s="1"/>
  <c r="DE157" i="92" s="1"/>
  <c r="DF157" i="92" s="1"/>
  <c r="DG157" i="92" s="1"/>
  <c r="DH157" i="92" s="1"/>
  <c r="DI157" i="92" s="1"/>
  <c r="DJ157" i="92" s="1"/>
  <c r="DK157" i="92" s="1"/>
  <c r="DL157" i="92" s="1"/>
  <c r="DM157" i="92" s="1"/>
  <c r="DN157" i="92" s="1"/>
  <c r="DO157" i="92" s="1"/>
  <c r="DP157" i="92" s="1"/>
  <c r="DQ157" i="92" s="1"/>
  <c r="DR157" i="92" s="1"/>
  <c r="DS157" i="92" s="1"/>
  <c r="DT157" i="92" s="1"/>
  <c r="DU157" i="92" s="1"/>
  <c r="DV157" i="92" s="1"/>
  <c r="DW157" i="92" s="1"/>
  <c r="DX157" i="92" s="1"/>
  <c r="DY157" i="92" s="1"/>
  <c r="DZ157" i="92" s="1"/>
  <c r="EA157" i="92" s="1"/>
  <c r="EB157" i="92" s="1"/>
  <c r="EC157" i="92" s="1"/>
  <c r="ED157" i="92" s="1"/>
  <c r="EE157" i="92" s="1"/>
  <c r="EF157" i="92" s="1"/>
  <c r="EG157" i="92" s="1"/>
  <c r="EH157" i="92" s="1"/>
  <c r="EI157" i="92" s="1"/>
  <c r="EJ157" i="92" s="1"/>
  <c r="EK157" i="92" s="1"/>
  <c r="CL158" i="92"/>
  <c r="CM158" i="92" s="1"/>
  <c r="CN158" i="92" s="1"/>
  <c r="CO158" i="92" s="1"/>
  <c r="CP158" i="92" s="1"/>
  <c r="CQ158" i="92" s="1"/>
  <c r="CR158" i="92" s="1"/>
  <c r="CS158" i="92" s="1"/>
  <c r="CT158" i="92" s="1"/>
  <c r="CU158" i="92" s="1"/>
  <c r="CV158" i="92" s="1"/>
  <c r="CW158" i="92" s="1"/>
  <c r="CX158" i="92" s="1"/>
  <c r="CY158" i="92" s="1"/>
  <c r="CZ158" i="92" s="1"/>
  <c r="DA158" i="92" s="1"/>
  <c r="DB158" i="92" s="1"/>
  <c r="DC158" i="92" s="1"/>
  <c r="DD158" i="92" s="1"/>
  <c r="DE158" i="92" s="1"/>
  <c r="DF158" i="92" s="1"/>
  <c r="DG158" i="92" s="1"/>
  <c r="DH158" i="92" s="1"/>
  <c r="DI158" i="92" s="1"/>
  <c r="DJ158" i="92" s="1"/>
  <c r="DK158" i="92" s="1"/>
  <c r="DL158" i="92" s="1"/>
  <c r="DM158" i="92" s="1"/>
  <c r="DN158" i="92" s="1"/>
  <c r="DO158" i="92" s="1"/>
  <c r="DP158" i="92" s="1"/>
  <c r="DQ158" i="92" s="1"/>
  <c r="DR158" i="92" s="1"/>
  <c r="DS158" i="92" s="1"/>
  <c r="DT158" i="92" s="1"/>
  <c r="DU158" i="92" s="1"/>
  <c r="DV158" i="92" s="1"/>
  <c r="DW158" i="92" s="1"/>
  <c r="DX158" i="92" s="1"/>
  <c r="DY158" i="92" s="1"/>
  <c r="DZ158" i="92" s="1"/>
  <c r="EA158" i="92" s="1"/>
  <c r="EB158" i="92" s="1"/>
  <c r="EC158" i="92" s="1"/>
  <c r="ED158" i="92" s="1"/>
  <c r="EE158" i="92" s="1"/>
  <c r="EF158" i="92" s="1"/>
  <c r="EG158" i="92" s="1"/>
  <c r="EH158" i="92" s="1"/>
  <c r="EI158" i="92" s="1"/>
  <c r="EJ158" i="92" s="1"/>
  <c r="EK158" i="92" s="1"/>
  <c r="CL159" i="92"/>
  <c r="CM159" i="92" s="1"/>
  <c r="CN159" i="92" s="1"/>
  <c r="CO159" i="92" s="1"/>
  <c r="CP159" i="92" s="1"/>
  <c r="CQ159" i="92" s="1"/>
  <c r="CR159" i="92" s="1"/>
  <c r="CS159" i="92" s="1"/>
  <c r="CT159" i="92" s="1"/>
  <c r="CU159" i="92" s="1"/>
  <c r="CV159" i="92" s="1"/>
  <c r="CW159" i="92" s="1"/>
  <c r="CX159" i="92" s="1"/>
  <c r="CY159" i="92" s="1"/>
  <c r="CZ159" i="92" s="1"/>
  <c r="DA159" i="92" s="1"/>
  <c r="DB159" i="92" s="1"/>
  <c r="DC159" i="92" s="1"/>
  <c r="DD159" i="92" s="1"/>
  <c r="DE159" i="92" s="1"/>
  <c r="DF159" i="92" s="1"/>
  <c r="DG159" i="92" s="1"/>
  <c r="DH159" i="92" s="1"/>
  <c r="DI159" i="92" s="1"/>
  <c r="DJ159" i="92" s="1"/>
  <c r="DK159" i="92" s="1"/>
  <c r="DL159" i="92" s="1"/>
  <c r="DM159" i="92" s="1"/>
  <c r="DN159" i="92" s="1"/>
  <c r="DO159" i="92" s="1"/>
  <c r="DP159" i="92" s="1"/>
  <c r="DQ159" i="92" s="1"/>
  <c r="DR159" i="92" s="1"/>
  <c r="DS159" i="92" s="1"/>
  <c r="DT159" i="92" s="1"/>
  <c r="DU159" i="92" s="1"/>
  <c r="DV159" i="92" s="1"/>
  <c r="DW159" i="92" s="1"/>
  <c r="DX159" i="92" s="1"/>
  <c r="DY159" i="92" s="1"/>
  <c r="DZ159" i="92" s="1"/>
  <c r="EA159" i="92" s="1"/>
  <c r="EB159" i="92" s="1"/>
  <c r="EC159" i="92" s="1"/>
  <c r="ED159" i="92" s="1"/>
  <c r="EE159" i="92" s="1"/>
  <c r="EF159" i="92" s="1"/>
  <c r="EG159" i="92" s="1"/>
  <c r="EH159" i="92" s="1"/>
  <c r="EI159" i="92" s="1"/>
  <c r="EJ159" i="92" s="1"/>
  <c r="EK159" i="92" s="1"/>
  <c r="CL160" i="92"/>
  <c r="CM160" i="92" s="1"/>
  <c r="CN160" i="92" s="1"/>
  <c r="CO160" i="92" s="1"/>
  <c r="CP160" i="92" s="1"/>
  <c r="CQ160" i="92" s="1"/>
  <c r="CR160" i="92" s="1"/>
  <c r="CS160" i="92" s="1"/>
  <c r="CT160" i="92" s="1"/>
  <c r="CU160" i="92" s="1"/>
  <c r="CV160" i="92" s="1"/>
  <c r="CW160" i="92" s="1"/>
  <c r="CX160" i="92" s="1"/>
  <c r="CY160" i="92" s="1"/>
  <c r="CZ160" i="92" s="1"/>
  <c r="DA160" i="92" s="1"/>
  <c r="DB160" i="92" s="1"/>
  <c r="DC160" i="92" s="1"/>
  <c r="DD160" i="92" s="1"/>
  <c r="DE160" i="92" s="1"/>
  <c r="DF160" i="92" s="1"/>
  <c r="DG160" i="92" s="1"/>
  <c r="DH160" i="92" s="1"/>
  <c r="DI160" i="92" s="1"/>
  <c r="DJ160" i="92" s="1"/>
  <c r="DK160" i="92" s="1"/>
  <c r="DL160" i="92" s="1"/>
  <c r="DM160" i="92" s="1"/>
  <c r="DN160" i="92" s="1"/>
  <c r="DO160" i="92" s="1"/>
  <c r="DP160" i="92" s="1"/>
  <c r="DQ160" i="92" s="1"/>
  <c r="DR160" i="92" s="1"/>
  <c r="DS160" i="92" s="1"/>
  <c r="DT160" i="92" s="1"/>
  <c r="DU160" i="92" s="1"/>
  <c r="DV160" i="92" s="1"/>
  <c r="DW160" i="92" s="1"/>
  <c r="DX160" i="92" s="1"/>
  <c r="DY160" i="92" s="1"/>
  <c r="DZ160" i="92" s="1"/>
  <c r="EA160" i="92" s="1"/>
  <c r="EB160" i="92" s="1"/>
  <c r="EC160" i="92" s="1"/>
  <c r="ED160" i="92" s="1"/>
  <c r="EE160" i="92" s="1"/>
  <c r="EF160" i="92" s="1"/>
  <c r="EG160" i="92" s="1"/>
  <c r="EH160" i="92" s="1"/>
  <c r="EI160" i="92" s="1"/>
  <c r="EJ160" i="92" s="1"/>
  <c r="EK160" i="92" s="1"/>
  <c r="CL161" i="92"/>
  <c r="CM161" i="92" s="1"/>
  <c r="CN161" i="92" s="1"/>
  <c r="CO161" i="92" s="1"/>
  <c r="CP161" i="92" s="1"/>
  <c r="CQ161" i="92" s="1"/>
  <c r="CR161" i="92" s="1"/>
  <c r="CS161" i="92" s="1"/>
  <c r="CT161" i="92" s="1"/>
  <c r="CU161" i="92" s="1"/>
  <c r="CV161" i="92" s="1"/>
  <c r="CW161" i="92" s="1"/>
  <c r="CX161" i="92" s="1"/>
  <c r="CY161" i="92" s="1"/>
  <c r="CZ161" i="92" s="1"/>
  <c r="DA161" i="92" s="1"/>
  <c r="DB161" i="92" s="1"/>
  <c r="DC161" i="92" s="1"/>
  <c r="DD161" i="92" s="1"/>
  <c r="DE161" i="92" s="1"/>
  <c r="DF161" i="92" s="1"/>
  <c r="DG161" i="92" s="1"/>
  <c r="DH161" i="92" s="1"/>
  <c r="DI161" i="92" s="1"/>
  <c r="DJ161" i="92" s="1"/>
  <c r="DK161" i="92" s="1"/>
  <c r="DL161" i="92" s="1"/>
  <c r="DM161" i="92" s="1"/>
  <c r="DN161" i="92" s="1"/>
  <c r="DO161" i="92" s="1"/>
  <c r="DP161" i="92" s="1"/>
  <c r="DQ161" i="92" s="1"/>
  <c r="DR161" i="92" s="1"/>
  <c r="DS161" i="92" s="1"/>
  <c r="DT161" i="92" s="1"/>
  <c r="DU161" i="92" s="1"/>
  <c r="DV161" i="92" s="1"/>
  <c r="DW161" i="92" s="1"/>
  <c r="DX161" i="92" s="1"/>
  <c r="DY161" i="92" s="1"/>
  <c r="DZ161" i="92" s="1"/>
  <c r="EA161" i="92" s="1"/>
  <c r="EB161" i="92" s="1"/>
  <c r="EC161" i="92" s="1"/>
  <c r="ED161" i="92" s="1"/>
  <c r="EE161" i="92" s="1"/>
  <c r="EF161" i="92" s="1"/>
  <c r="EG161" i="92" s="1"/>
  <c r="EH161" i="92" s="1"/>
  <c r="EI161" i="92" s="1"/>
  <c r="EJ161" i="92" s="1"/>
  <c r="EK161" i="92" s="1"/>
  <c r="CL162" i="92"/>
  <c r="CM162" i="92" s="1"/>
  <c r="CN162" i="92" s="1"/>
  <c r="CO162" i="92" s="1"/>
  <c r="CP162" i="92" s="1"/>
  <c r="CQ162" i="92" s="1"/>
  <c r="CR162" i="92" s="1"/>
  <c r="CS162" i="92" s="1"/>
  <c r="CT162" i="92" s="1"/>
  <c r="CU162" i="92" s="1"/>
  <c r="CV162" i="92" s="1"/>
  <c r="CW162" i="92" s="1"/>
  <c r="CX162" i="92" s="1"/>
  <c r="CY162" i="92" s="1"/>
  <c r="CZ162" i="92" s="1"/>
  <c r="DA162" i="92" s="1"/>
  <c r="DB162" i="92" s="1"/>
  <c r="DC162" i="92" s="1"/>
  <c r="DD162" i="92" s="1"/>
  <c r="DE162" i="92" s="1"/>
  <c r="DF162" i="92" s="1"/>
  <c r="DG162" i="92" s="1"/>
  <c r="DH162" i="92" s="1"/>
  <c r="DI162" i="92" s="1"/>
  <c r="DJ162" i="92" s="1"/>
  <c r="DK162" i="92" s="1"/>
  <c r="DL162" i="92" s="1"/>
  <c r="DM162" i="92" s="1"/>
  <c r="DN162" i="92" s="1"/>
  <c r="DO162" i="92" s="1"/>
  <c r="DP162" i="92" s="1"/>
  <c r="DQ162" i="92" s="1"/>
  <c r="DR162" i="92" s="1"/>
  <c r="DS162" i="92" s="1"/>
  <c r="DT162" i="92" s="1"/>
  <c r="DU162" i="92" s="1"/>
  <c r="DV162" i="92" s="1"/>
  <c r="DW162" i="92" s="1"/>
  <c r="DX162" i="92" s="1"/>
  <c r="DY162" i="92" s="1"/>
  <c r="DZ162" i="92" s="1"/>
  <c r="EA162" i="92" s="1"/>
  <c r="EB162" i="92" s="1"/>
  <c r="EC162" i="92" s="1"/>
  <c r="ED162" i="92" s="1"/>
  <c r="EE162" i="92" s="1"/>
  <c r="EF162" i="92" s="1"/>
  <c r="EG162" i="92" s="1"/>
  <c r="EH162" i="92" s="1"/>
  <c r="EI162" i="92" s="1"/>
  <c r="EJ162" i="92" s="1"/>
  <c r="EK162" i="92" s="1"/>
  <c r="CL163" i="92"/>
  <c r="CM163" i="92" s="1"/>
  <c r="CN163" i="92" s="1"/>
  <c r="CO163" i="92" s="1"/>
  <c r="CP163" i="92" s="1"/>
  <c r="CQ163" i="92" s="1"/>
  <c r="CR163" i="92" s="1"/>
  <c r="CS163" i="92" s="1"/>
  <c r="CT163" i="92" s="1"/>
  <c r="CU163" i="92" s="1"/>
  <c r="CV163" i="92" s="1"/>
  <c r="CW163" i="92" s="1"/>
  <c r="CX163" i="92" s="1"/>
  <c r="CY163" i="92" s="1"/>
  <c r="CZ163" i="92" s="1"/>
  <c r="DA163" i="92" s="1"/>
  <c r="DB163" i="92" s="1"/>
  <c r="DC163" i="92" s="1"/>
  <c r="DD163" i="92" s="1"/>
  <c r="DE163" i="92" s="1"/>
  <c r="DF163" i="92" s="1"/>
  <c r="DG163" i="92" s="1"/>
  <c r="DH163" i="92" s="1"/>
  <c r="DI163" i="92" s="1"/>
  <c r="DJ163" i="92" s="1"/>
  <c r="DK163" i="92" s="1"/>
  <c r="DL163" i="92" s="1"/>
  <c r="DM163" i="92" s="1"/>
  <c r="DN163" i="92" s="1"/>
  <c r="DO163" i="92" s="1"/>
  <c r="DP163" i="92" s="1"/>
  <c r="DQ163" i="92" s="1"/>
  <c r="DR163" i="92" s="1"/>
  <c r="DS163" i="92" s="1"/>
  <c r="DT163" i="92" s="1"/>
  <c r="DU163" i="92" s="1"/>
  <c r="DV163" i="92" s="1"/>
  <c r="DW163" i="92" s="1"/>
  <c r="DX163" i="92" s="1"/>
  <c r="DY163" i="92" s="1"/>
  <c r="DZ163" i="92" s="1"/>
  <c r="EA163" i="92" s="1"/>
  <c r="EB163" i="92" s="1"/>
  <c r="EC163" i="92" s="1"/>
  <c r="ED163" i="92" s="1"/>
  <c r="EE163" i="92" s="1"/>
  <c r="EF163" i="92" s="1"/>
  <c r="EG163" i="92" s="1"/>
  <c r="EH163" i="92" s="1"/>
  <c r="EI163" i="92" s="1"/>
  <c r="EJ163" i="92" s="1"/>
  <c r="EK163" i="92" s="1"/>
  <c r="CL164" i="92"/>
  <c r="CM164" i="92" s="1"/>
  <c r="CN164" i="92" s="1"/>
  <c r="CO164" i="92" s="1"/>
  <c r="CP164" i="92" s="1"/>
  <c r="CQ164" i="92" s="1"/>
  <c r="CR164" i="92" s="1"/>
  <c r="CS164" i="92" s="1"/>
  <c r="CT164" i="92" s="1"/>
  <c r="CU164" i="92" s="1"/>
  <c r="CV164" i="92" s="1"/>
  <c r="CW164" i="92" s="1"/>
  <c r="CX164" i="92" s="1"/>
  <c r="CY164" i="92" s="1"/>
  <c r="CZ164" i="92" s="1"/>
  <c r="DA164" i="92" s="1"/>
  <c r="DB164" i="92" s="1"/>
  <c r="DC164" i="92" s="1"/>
  <c r="DD164" i="92" s="1"/>
  <c r="DE164" i="92" s="1"/>
  <c r="DF164" i="92" s="1"/>
  <c r="DG164" i="92" s="1"/>
  <c r="DH164" i="92" s="1"/>
  <c r="DI164" i="92" s="1"/>
  <c r="DJ164" i="92" s="1"/>
  <c r="DK164" i="92" s="1"/>
  <c r="DL164" i="92" s="1"/>
  <c r="DM164" i="92" s="1"/>
  <c r="DN164" i="92" s="1"/>
  <c r="DO164" i="92" s="1"/>
  <c r="DP164" i="92" s="1"/>
  <c r="DQ164" i="92" s="1"/>
  <c r="DR164" i="92" s="1"/>
  <c r="DS164" i="92" s="1"/>
  <c r="DT164" i="92" s="1"/>
  <c r="DU164" i="92" s="1"/>
  <c r="DV164" i="92" s="1"/>
  <c r="DW164" i="92" s="1"/>
  <c r="DX164" i="92" s="1"/>
  <c r="DY164" i="92" s="1"/>
  <c r="DZ164" i="92" s="1"/>
  <c r="EA164" i="92" s="1"/>
  <c r="EB164" i="92" s="1"/>
  <c r="EC164" i="92" s="1"/>
  <c r="ED164" i="92" s="1"/>
  <c r="EE164" i="92" s="1"/>
  <c r="EF164" i="92" s="1"/>
  <c r="EG164" i="92" s="1"/>
  <c r="EH164" i="92" s="1"/>
  <c r="EI164" i="92" s="1"/>
  <c r="EJ164" i="92" s="1"/>
  <c r="EK164" i="92" s="1"/>
  <c r="CL165" i="92"/>
  <c r="CM165" i="92" s="1"/>
  <c r="CN165" i="92" s="1"/>
  <c r="CO165" i="92" s="1"/>
  <c r="CP165" i="92" s="1"/>
  <c r="CQ165" i="92" s="1"/>
  <c r="CR165" i="92" s="1"/>
  <c r="CS165" i="92" s="1"/>
  <c r="CT165" i="92" s="1"/>
  <c r="CU165" i="92" s="1"/>
  <c r="CV165" i="92" s="1"/>
  <c r="CW165" i="92" s="1"/>
  <c r="CX165" i="92" s="1"/>
  <c r="CY165" i="92" s="1"/>
  <c r="CZ165" i="92" s="1"/>
  <c r="DA165" i="92" s="1"/>
  <c r="DB165" i="92" s="1"/>
  <c r="DC165" i="92" s="1"/>
  <c r="DD165" i="92" s="1"/>
  <c r="DE165" i="92" s="1"/>
  <c r="DF165" i="92" s="1"/>
  <c r="DG165" i="92" s="1"/>
  <c r="DH165" i="92" s="1"/>
  <c r="DI165" i="92" s="1"/>
  <c r="DJ165" i="92" s="1"/>
  <c r="DK165" i="92" s="1"/>
  <c r="DL165" i="92" s="1"/>
  <c r="DM165" i="92" s="1"/>
  <c r="DN165" i="92" s="1"/>
  <c r="DO165" i="92" s="1"/>
  <c r="DP165" i="92" s="1"/>
  <c r="DQ165" i="92" s="1"/>
  <c r="DR165" i="92" s="1"/>
  <c r="DS165" i="92" s="1"/>
  <c r="DT165" i="92" s="1"/>
  <c r="DU165" i="92" s="1"/>
  <c r="DV165" i="92" s="1"/>
  <c r="DW165" i="92" s="1"/>
  <c r="DX165" i="92" s="1"/>
  <c r="DY165" i="92" s="1"/>
  <c r="DZ165" i="92" s="1"/>
  <c r="EA165" i="92" s="1"/>
  <c r="EB165" i="92" s="1"/>
  <c r="EC165" i="92" s="1"/>
  <c r="ED165" i="92" s="1"/>
  <c r="EE165" i="92" s="1"/>
  <c r="EF165" i="92" s="1"/>
  <c r="EG165" i="92" s="1"/>
  <c r="EH165" i="92" s="1"/>
  <c r="EI165" i="92" s="1"/>
  <c r="EJ165" i="92" s="1"/>
  <c r="EK165" i="92" s="1"/>
  <c r="CL166" i="92"/>
  <c r="CM166" i="92" s="1"/>
  <c r="CN166" i="92" s="1"/>
  <c r="CO166" i="92" s="1"/>
  <c r="CP166" i="92" s="1"/>
  <c r="CQ166" i="92" s="1"/>
  <c r="CR166" i="92" s="1"/>
  <c r="CS166" i="92" s="1"/>
  <c r="CT166" i="92" s="1"/>
  <c r="CU166" i="92" s="1"/>
  <c r="CV166" i="92" s="1"/>
  <c r="CW166" i="92" s="1"/>
  <c r="CX166" i="92" s="1"/>
  <c r="CY166" i="92" s="1"/>
  <c r="CZ166" i="92" s="1"/>
  <c r="DA166" i="92" s="1"/>
  <c r="DB166" i="92" s="1"/>
  <c r="DC166" i="92" s="1"/>
  <c r="DD166" i="92" s="1"/>
  <c r="DE166" i="92" s="1"/>
  <c r="DF166" i="92" s="1"/>
  <c r="DG166" i="92" s="1"/>
  <c r="DH166" i="92" s="1"/>
  <c r="DI166" i="92" s="1"/>
  <c r="DJ166" i="92" s="1"/>
  <c r="DK166" i="92" s="1"/>
  <c r="DL166" i="92" s="1"/>
  <c r="DM166" i="92" s="1"/>
  <c r="DN166" i="92" s="1"/>
  <c r="DO166" i="92" s="1"/>
  <c r="DP166" i="92" s="1"/>
  <c r="DQ166" i="92" s="1"/>
  <c r="DR166" i="92" s="1"/>
  <c r="DS166" i="92" s="1"/>
  <c r="DT166" i="92" s="1"/>
  <c r="DU166" i="92" s="1"/>
  <c r="DV166" i="92" s="1"/>
  <c r="DW166" i="92" s="1"/>
  <c r="DX166" i="92" s="1"/>
  <c r="DY166" i="92" s="1"/>
  <c r="DZ166" i="92" s="1"/>
  <c r="EA166" i="92" s="1"/>
  <c r="EB166" i="92" s="1"/>
  <c r="EC166" i="92" s="1"/>
  <c r="ED166" i="92" s="1"/>
  <c r="EE166" i="92" s="1"/>
  <c r="EF166" i="92" s="1"/>
  <c r="EG166" i="92" s="1"/>
  <c r="EH166" i="92" s="1"/>
  <c r="EI166" i="92" s="1"/>
  <c r="EJ166" i="92" s="1"/>
  <c r="EK166" i="92" s="1"/>
  <c r="CL167" i="92"/>
  <c r="CM167" i="92" s="1"/>
  <c r="CN167" i="92" s="1"/>
  <c r="CO167" i="92" s="1"/>
  <c r="CP167" i="92" s="1"/>
  <c r="CQ167" i="92" s="1"/>
  <c r="CR167" i="92" s="1"/>
  <c r="CS167" i="92" s="1"/>
  <c r="CT167" i="92" s="1"/>
  <c r="CU167" i="92" s="1"/>
  <c r="CV167" i="92" s="1"/>
  <c r="CW167" i="92" s="1"/>
  <c r="CX167" i="92" s="1"/>
  <c r="CY167" i="92" s="1"/>
  <c r="CZ167" i="92" s="1"/>
  <c r="DA167" i="92" s="1"/>
  <c r="DB167" i="92" s="1"/>
  <c r="DC167" i="92" s="1"/>
  <c r="DD167" i="92" s="1"/>
  <c r="DE167" i="92" s="1"/>
  <c r="DF167" i="92" s="1"/>
  <c r="DG167" i="92" s="1"/>
  <c r="DH167" i="92" s="1"/>
  <c r="DI167" i="92" s="1"/>
  <c r="DJ167" i="92" s="1"/>
  <c r="DK167" i="92" s="1"/>
  <c r="DL167" i="92" s="1"/>
  <c r="DM167" i="92" s="1"/>
  <c r="DN167" i="92" s="1"/>
  <c r="DO167" i="92" s="1"/>
  <c r="DP167" i="92" s="1"/>
  <c r="DQ167" i="92" s="1"/>
  <c r="DR167" i="92" s="1"/>
  <c r="DS167" i="92" s="1"/>
  <c r="DT167" i="92" s="1"/>
  <c r="DU167" i="92" s="1"/>
  <c r="DV167" i="92" s="1"/>
  <c r="DW167" i="92" s="1"/>
  <c r="DX167" i="92" s="1"/>
  <c r="DY167" i="92" s="1"/>
  <c r="DZ167" i="92" s="1"/>
  <c r="EA167" i="92" s="1"/>
  <c r="EB167" i="92" s="1"/>
  <c r="EC167" i="92" s="1"/>
  <c r="ED167" i="92" s="1"/>
  <c r="EE167" i="92" s="1"/>
  <c r="EF167" i="92" s="1"/>
  <c r="EG167" i="92" s="1"/>
  <c r="EH167" i="92" s="1"/>
  <c r="EI167" i="92" s="1"/>
  <c r="EJ167" i="92" s="1"/>
  <c r="EK167" i="92" s="1"/>
  <c r="CL168" i="92"/>
  <c r="CM168" i="92" s="1"/>
  <c r="CN168" i="92" s="1"/>
  <c r="CO168" i="92" s="1"/>
  <c r="CP168" i="92" s="1"/>
  <c r="CQ168" i="92" s="1"/>
  <c r="CR168" i="92" s="1"/>
  <c r="CS168" i="92" s="1"/>
  <c r="CT168" i="92" s="1"/>
  <c r="CU168" i="92" s="1"/>
  <c r="CV168" i="92" s="1"/>
  <c r="CW168" i="92" s="1"/>
  <c r="CX168" i="92" s="1"/>
  <c r="CY168" i="92" s="1"/>
  <c r="CZ168" i="92" s="1"/>
  <c r="DA168" i="92" s="1"/>
  <c r="DB168" i="92" s="1"/>
  <c r="DC168" i="92" s="1"/>
  <c r="DD168" i="92" s="1"/>
  <c r="DE168" i="92" s="1"/>
  <c r="DF168" i="92" s="1"/>
  <c r="DG168" i="92" s="1"/>
  <c r="DH168" i="92" s="1"/>
  <c r="DI168" i="92" s="1"/>
  <c r="DJ168" i="92" s="1"/>
  <c r="DK168" i="92" s="1"/>
  <c r="DL168" i="92" s="1"/>
  <c r="DM168" i="92" s="1"/>
  <c r="DN168" i="92" s="1"/>
  <c r="DO168" i="92" s="1"/>
  <c r="DP168" i="92" s="1"/>
  <c r="DQ168" i="92" s="1"/>
  <c r="DR168" i="92" s="1"/>
  <c r="DS168" i="92" s="1"/>
  <c r="DT168" i="92" s="1"/>
  <c r="DU168" i="92" s="1"/>
  <c r="DV168" i="92" s="1"/>
  <c r="DW168" i="92" s="1"/>
  <c r="DX168" i="92" s="1"/>
  <c r="DY168" i="92" s="1"/>
  <c r="DZ168" i="92" s="1"/>
  <c r="EA168" i="92" s="1"/>
  <c r="EB168" i="92" s="1"/>
  <c r="EC168" i="92" s="1"/>
  <c r="ED168" i="92" s="1"/>
  <c r="EE168" i="92" s="1"/>
  <c r="EF168" i="92" s="1"/>
  <c r="EG168" i="92" s="1"/>
  <c r="EH168" i="92" s="1"/>
  <c r="EI168" i="92" s="1"/>
  <c r="EJ168" i="92" s="1"/>
  <c r="EK168" i="92" s="1"/>
  <c r="CL169" i="92"/>
  <c r="CM169" i="92" s="1"/>
  <c r="CN169" i="92" s="1"/>
  <c r="CO169" i="92" s="1"/>
  <c r="CP169" i="92" s="1"/>
  <c r="CQ169" i="92" s="1"/>
  <c r="CR169" i="92" s="1"/>
  <c r="CS169" i="92" s="1"/>
  <c r="CT169" i="92" s="1"/>
  <c r="CU169" i="92" s="1"/>
  <c r="CV169" i="92" s="1"/>
  <c r="CW169" i="92" s="1"/>
  <c r="CX169" i="92" s="1"/>
  <c r="CY169" i="92" s="1"/>
  <c r="CZ169" i="92" s="1"/>
  <c r="DA169" i="92" s="1"/>
  <c r="DB169" i="92" s="1"/>
  <c r="DC169" i="92" s="1"/>
  <c r="DD169" i="92" s="1"/>
  <c r="DE169" i="92" s="1"/>
  <c r="DF169" i="92" s="1"/>
  <c r="DG169" i="92" s="1"/>
  <c r="DH169" i="92" s="1"/>
  <c r="DI169" i="92" s="1"/>
  <c r="DJ169" i="92" s="1"/>
  <c r="DK169" i="92" s="1"/>
  <c r="DL169" i="92" s="1"/>
  <c r="DM169" i="92" s="1"/>
  <c r="DN169" i="92" s="1"/>
  <c r="DO169" i="92" s="1"/>
  <c r="DP169" i="92" s="1"/>
  <c r="DQ169" i="92" s="1"/>
  <c r="DR169" i="92" s="1"/>
  <c r="DS169" i="92" s="1"/>
  <c r="DT169" i="92" s="1"/>
  <c r="DU169" i="92" s="1"/>
  <c r="DV169" i="92" s="1"/>
  <c r="DW169" i="92" s="1"/>
  <c r="DX169" i="92" s="1"/>
  <c r="DY169" i="92" s="1"/>
  <c r="DZ169" i="92" s="1"/>
  <c r="EA169" i="92" s="1"/>
  <c r="EB169" i="92" s="1"/>
  <c r="EC169" i="92" s="1"/>
  <c r="ED169" i="92" s="1"/>
  <c r="EE169" i="92" s="1"/>
  <c r="EF169" i="92" s="1"/>
  <c r="EG169" i="92" s="1"/>
  <c r="EH169" i="92" s="1"/>
  <c r="EI169" i="92" s="1"/>
  <c r="EJ169" i="92" s="1"/>
  <c r="EK169" i="92" s="1"/>
  <c r="CL170" i="92"/>
  <c r="CM170" i="92" s="1"/>
  <c r="CN170" i="92" s="1"/>
  <c r="CO170" i="92" s="1"/>
  <c r="CP170" i="92" s="1"/>
  <c r="CQ170" i="92" s="1"/>
  <c r="CR170" i="92" s="1"/>
  <c r="CS170" i="92" s="1"/>
  <c r="CT170" i="92" s="1"/>
  <c r="CU170" i="92" s="1"/>
  <c r="CV170" i="92" s="1"/>
  <c r="CW170" i="92" s="1"/>
  <c r="CX170" i="92" s="1"/>
  <c r="CY170" i="92" s="1"/>
  <c r="CZ170" i="92" s="1"/>
  <c r="DA170" i="92" s="1"/>
  <c r="DB170" i="92" s="1"/>
  <c r="DC170" i="92" s="1"/>
  <c r="DD170" i="92" s="1"/>
  <c r="DE170" i="92" s="1"/>
  <c r="DF170" i="92" s="1"/>
  <c r="DG170" i="92" s="1"/>
  <c r="DH170" i="92" s="1"/>
  <c r="DI170" i="92" s="1"/>
  <c r="DJ170" i="92" s="1"/>
  <c r="DK170" i="92" s="1"/>
  <c r="DL170" i="92" s="1"/>
  <c r="DM170" i="92" s="1"/>
  <c r="DN170" i="92" s="1"/>
  <c r="DO170" i="92" s="1"/>
  <c r="DP170" i="92" s="1"/>
  <c r="DQ170" i="92" s="1"/>
  <c r="DR170" i="92" s="1"/>
  <c r="DS170" i="92" s="1"/>
  <c r="DT170" i="92" s="1"/>
  <c r="DU170" i="92" s="1"/>
  <c r="DV170" i="92" s="1"/>
  <c r="DW170" i="92" s="1"/>
  <c r="DX170" i="92" s="1"/>
  <c r="DY170" i="92" s="1"/>
  <c r="DZ170" i="92" s="1"/>
  <c r="EA170" i="92" s="1"/>
  <c r="EB170" i="92" s="1"/>
  <c r="EC170" i="92" s="1"/>
  <c r="ED170" i="92" s="1"/>
  <c r="EE170" i="92" s="1"/>
  <c r="EF170" i="92" s="1"/>
  <c r="EG170" i="92" s="1"/>
  <c r="EH170" i="92" s="1"/>
  <c r="EI170" i="92" s="1"/>
  <c r="EJ170" i="92" s="1"/>
  <c r="EK170" i="92" s="1"/>
  <c r="CL171" i="92"/>
  <c r="CM171" i="92" s="1"/>
  <c r="CN171" i="92" s="1"/>
  <c r="CO171" i="92" s="1"/>
  <c r="CP171" i="92" s="1"/>
  <c r="CQ171" i="92" s="1"/>
  <c r="CR171" i="92" s="1"/>
  <c r="CS171" i="92" s="1"/>
  <c r="CT171" i="92" s="1"/>
  <c r="CU171" i="92" s="1"/>
  <c r="CV171" i="92" s="1"/>
  <c r="CW171" i="92" s="1"/>
  <c r="CX171" i="92" s="1"/>
  <c r="CY171" i="92" s="1"/>
  <c r="CZ171" i="92" s="1"/>
  <c r="DA171" i="92" s="1"/>
  <c r="DB171" i="92" s="1"/>
  <c r="DC171" i="92" s="1"/>
  <c r="DD171" i="92" s="1"/>
  <c r="DE171" i="92" s="1"/>
  <c r="DF171" i="92" s="1"/>
  <c r="DG171" i="92" s="1"/>
  <c r="DH171" i="92" s="1"/>
  <c r="DI171" i="92" s="1"/>
  <c r="DJ171" i="92" s="1"/>
  <c r="DK171" i="92" s="1"/>
  <c r="DL171" i="92" s="1"/>
  <c r="DM171" i="92" s="1"/>
  <c r="DN171" i="92" s="1"/>
  <c r="DO171" i="92" s="1"/>
  <c r="DP171" i="92" s="1"/>
  <c r="DQ171" i="92" s="1"/>
  <c r="DR171" i="92" s="1"/>
  <c r="DS171" i="92" s="1"/>
  <c r="DT171" i="92" s="1"/>
  <c r="DU171" i="92" s="1"/>
  <c r="DV171" i="92" s="1"/>
  <c r="DW171" i="92" s="1"/>
  <c r="DX171" i="92" s="1"/>
  <c r="DY171" i="92" s="1"/>
  <c r="DZ171" i="92" s="1"/>
  <c r="EA171" i="92" s="1"/>
  <c r="EB171" i="92" s="1"/>
  <c r="EC171" i="92" s="1"/>
  <c r="ED171" i="92" s="1"/>
  <c r="EE171" i="92" s="1"/>
  <c r="EF171" i="92" s="1"/>
  <c r="EG171" i="92" s="1"/>
  <c r="EH171" i="92" s="1"/>
  <c r="EI171" i="92" s="1"/>
  <c r="EJ171" i="92" s="1"/>
  <c r="EK171" i="92" s="1"/>
  <c r="CL172" i="92"/>
  <c r="CM172" i="92" s="1"/>
  <c r="CN172" i="92" s="1"/>
  <c r="CO172" i="92" s="1"/>
  <c r="CP172" i="92" s="1"/>
  <c r="CQ172" i="92" s="1"/>
  <c r="CR172" i="92" s="1"/>
  <c r="CS172" i="92" s="1"/>
  <c r="CT172" i="92" s="1"/>
  <c r="CU172" i="92" s="1"/>
  <c r="CV172" i="92" s="1"/>
  <c r="CW172" i="92" s="1"/>
  <c r="CX172" i="92" s="1"/>
  <c r="CY172" i="92" s="1"/>
  <c r="CZ172" i="92" s="1"/>
  <c r="DA172" i="92" s="1"/>
  <c r="DB172" i="92" s="1"/>
  <c r="DC172" i="92" s="1"/>
  <c r="DD172" i="92" s="1"/>
  <c r="DE172" i="92" s="1"/>
  <c r="DF172" i="92" s="1"/>
  <c r="DG172" i="92" s="1"/>
  <c r="DH172" i="92" s="1"/>
  <c r="DI172" i="92" s="1"/>
  <c r="DJ172" i="92" s="1"/>
  <c r="DK172" i="92" s="1"/>
  <c r="DL172" i="92" s="1"/>
  <c r="DM172" i="92" s="1"/>
  <c r="DN172" i="92" s="1"/>
  <c r="DO172" i="92" s="1"/>
  <c r="DP172" i="92" s="1"/>
  <c r="DQ172" i="92" s="1"/>
  <c r="DR172" i="92" s="1"/>
  <c r="DS172" i="92" s="1"/>
  <c r="DT172" i="92" s="1"/>
  <c r="DU172" i="92" s="1"/>
  <c r="DV172" i="92" s="1"/>
  <c r="DW172" i="92" s="1"/>
  <c r="DX172" i="92" s="1"/>
  <c r="DY172" i="92" s="1"/>
  <c r="DZ172" i="92" s="1"/>
  <c r="EA172" i="92" s="1"/>
  <c r="EB172" i="92" s="1"/>
  <c r="EC172" i="92" s="1"/>
  <c r="ED172" i="92" s="1"/>
  <c r="EE172" i="92" s="1"/>
  <c r="EF172" i="92" s="1"/>
  <c r="EG172" i="92" s="1"/>
  <c r="EH172" i="92" s="1"/>
  <c r="EI172" i="92" s="1"/>
  <c r="EJ172" i="92" s="1"/>
  <c r="EK172" i="92" s="1"/>
  <c r="CL173" i="92"/>
  <c r="CM173" i="92" s="1"/>
  <c r="CN173" i="92" s="1"/>
  <c r="CO173" i="92" s="1"/>
  <c r="CP173" i="92" s="1"/>
  <c r="CQ173" i="92" s="1"/>
  <c r="CR173" i="92" s="1"/>
  <c r="CS173" i="92" s="1"/>
  <c r="CT173" i="92" s="1"/>
  <c r="CU173" i="92" s="1"/>
  <c r="CV173" i="92" s="1"/>
  <c r="CW173" i="92" s="1"/>
  <c r="CX173" i="92" s="1"/>
  <c r="CY173" i="92" s="1"/>
  <c r="CZ173" i="92" s="1"/>
  <c r="DA173" i="92" s="1"/>
  <c r="DB173" i="92" s="1"/>
  <c r="DC173" i="92" s="1"/>
  <c r="DD173" i="92" s="1"/>
  <c r="DE173" i="92" s="1"/>
  <c r="DF173" i="92" s="1"/>
  <c r="DG173" i="92" s="1"/>
  <c r="DH173" i="92" s="1"/>
  <c r="DI173" i="92" s="1"/>
  <c r="DJ173" i="92" s="1"/>
  <c r="DK173" i="92" s="1"/>
  <c r="DL173" i="92" s="1"/>
  <c r="DM173" i="92" s="1"/>
  <c r="DN173" i="92" s="1"/>
  <c r="DO173" i="92" s="1"/>
  <c r="DP173" i="92" s="1"/>
  <c r="DQ173" i="92" s="1"/>
  <c r="DR173" i="92" s="1"/>
  <c r="DS173" i="92" s="1"/>
  <c r="DT173" i="92" s="1"/>
  <c r="DU173" i="92" s="1"/>
  <c r="DV173" i="92" s="1"/>
  <c r="DW173" i="92" s="1"/>
  <c r="DX173" i="92" s="1"/>
  <c r="DY173" i="92" s="1"/>
  <c r="DZ173" i="92" s="1"/>
  <c r="EA173" i="92" s="1"/>
  <c r="EB173" i="92" s="1"/>
  <c r="EC173" i="92" s="1"/>
  <c r="ED173" i="92" s="1"/>
  <c r="EE173" i="92" s="1"/>
  <c r="EF173" i="92" s="1"/>
  <c r="EG173" i="92" s="1"/>
  <c r="EH173" i="92" s="1"/>
  <c r="EI173" i="92" s="1"/>
  <c r="EJ173" i="92" s="1"/>
  <c r="EK173" i="92" s="1"/>
  <c r="CL174" i="92"/>
  <c r="CM174" i="92" s="1"/>
  <c r="CN174" i="92" s="1"/>
  <c r="CO174" i="92" s="1"/>
  <c r="CP174" i="92" s="1"/>
  <c r="CQ174" i="92" s="1"/>
  <c r="CR174" i="92" s="1"/>
  <c r="CS174" i="92" s="1"/>
  <c r="CT174" i="92" s="1"/>
  <c r="CU174" i="92" s="1"/>
  <c r="CV174" i="92" s="1"/>
  <c r="CW174" i="92" s="1"/>
  <c r="CX174" i="92" s="1"/>
  <c r="CY174" i="92" s="1"/>
  <c r="CZ174" i="92" s="1"/>
  <c r="DA174" i="92" s="1"/>
  <c r="DB174" i="92" s="1"/>
  <c r="DC174" i="92" s="1"/>
  <c r="DD174" i="92" s="1"/>
  <c r="DE174" i="92" s="1"/>
  <c r="DF174" i="92" s="1"/>
  <c r="DG174" i="92" s="1"/>
  <c r="DH174" i="92" s="1"/>
  <c r="DI174" i="92" s="1"/>
  <c r="DJ174" i="92" s="1"/>
  <c r="DK174" i="92" s="1"/>
  <c r="DL174" i="92" s="1"/>
  <c r="DM174" i="92" s="1"/>
  <c r="DN174" i="92" s="1"/>
  <c r="DO174" i="92" s="1"/>
  <c r="DP174" i="92" s="1"/>
  <c r="DQ174" i="92" s="1"/>
  <c r="DR174" i="92" s="1"/>
  <c r="DS174" i="92" s="1"/>
  <c r="DT174" i="92" s="1"/>
  <c r="DU174" i="92" s="1"/>
  <c r="DV174" i="92" s="1"/>
  <c r="DW174" i="92" s="1"/>
  <c r="DX174" i="92" s="1"/>
  <c r="DY174" i="92" s="1"/>
  <c r="DZ174" i="92" s="1"/>
  <c r="EA174" i="92" s="1"/>
  <c r="EB174" i="92" s="1"/>
  <c r="EC174" i="92" s="1"/>
  <c r="ED174" i="92" s="1"/>
  <c r="EE174" i="92" s="1"/>
  <c r="EF174" i="92" s="1"/>
  <c r="EG174" i="92" s="1"/>
  <c r="EH174" i="92" s="1"/>
  <c r="EI174" i="92" s="1"/>
  <c r="EJ174" i="92" s="1"/>
  <c r="EK174" i="92" s="1"/>
  <c r="CL175" i="92"/>
  <c r="CM175" i="92" s="1"/>
  <c r="CN175" i="92" s="1"/>
  <c r="CO175" i="92" s="1"/>
  <c r="CP175" i="92" s="1"/>
  <c r="CQ175" i="92" s="1"/>
  <c r="CR175" i="92" s="1"/>
  <c r="CS175" i="92" s="1"/>
  <c r="CT175" i="92" s="1"/>
  <c r="CU175" i="92" s="1"/>
  <c r="CV175" i="92" s="1"/>
  <c r="CW175" i="92" s="1"/>
  <c r="CX175" i="92" s="1"/>
  <c r="CY175" i="92" s="1"/>
  <c r="CZ175" i="92" s="1"/>
  <c r="DA175" i="92" s="1"/>
  <c r="DB175" i="92" s="1"/>
  <c r="DC175" i="92" s="1"/>
  <c r="DD175" i="92" s="1"/>
  <c r="DE175" i="92" s="1"/>
  <c r="DF175" i="92" s="1"/>
  <c r="DG175" i="92" s="1"/>
  <c r="DH175" i="92" s="1"/>
  <c r="DI175" i="92" s="1"/>
  <c r="DJ175" i="92" s="1"/>
  <c r="DK175" i="92" s="1"/>
  <c r="DL175" i="92" s="1"/>
  <c r="DM175" i="92" s="1"/>
  <c r="DN175" i="92" s="1"/>
  <c r="DO175" i="92" s="1"/>
  <c r="DP175" i="92" s="1"/>
  <c r="DQ175" i="92" s="1"/>
  <c r="DR175" i="92" s="1"/>
  <c r="DS175" i="92" s="1"/>
  <c r="DT175" i="92" s="1"/>
  <c r="DU175" i="92" s="1"/>
  <c r="DV175" i="92" s="1"/>
  <c r="DW175" i="92" s="1"/>
  <c r="DX175" i="92" s="1"/>
  <c r="DY175" i="92" s="1"/>
  <c r="DZ175" i="92" s="1"/>
  <c r="EA175" i="92" s="1"/>
  <c r="EB175" i="92" s="1"/>
  <c r="EC175" i="92" s="1"/>
  <c r="ED175" i="92" s="1"/>
  <c r="EE175" i="92" s="1"/>
  <c r="EF175" i="92" s="1"/>
  <c r="EG175" i="92" s="1"/>
  <c r="EH175" i="92" s="1"/>
  <c r="EI175" i="92" s="1"/>
  <c r="EJ175" i="92" s="1"/>
  <c r="EK175" i="92" s="1"/>
  <c r="CL176" i="92"/>
  <c r="CM176" i="92" s="1"/>
  <c r="CN176" i="92" s="1"/>
  <c r="CO176" i="92" s="1"/>
  <c r="CP176" i="92" s="1"/>
  <c r="CQ176" i="92" s="1"/>
  <c r="CR176" i="92" s="1"/>
  <c r="CS176" i="92" s="1"/>
  <c r="CT176" i="92" s="1"/>
  <c r="CU176" i="92" s="1"/>
  <c r="CV176" i="92" s="1"/>
  <c r="CW176" i="92" s="1"/>
  <c r="CX176" i="92" s="1"/>
  <c r="CY176" i="92" s="1"/>
  <c r="CZ176" i="92" s="1"/>
  <c r="DA176" i="92" s="1"/>
  <c r="DB176" i="92" s="1"/>
  <c r="DC176" i="92" s="1"/>
  <c r="DD176" i="92" s="1"/>
  <c r="DE176" i="92" s="1"/>
  <c r="DF176" i="92" s="1"/>
  <c r="DG176" i="92" s="1"/>
  <c r="DH176" i="92" s="1"/>
  <c r="DI176" i="92" s="1"/>
  <c r="DJ176" i="92" s="1"/>
  <c r="DK176" i="92" s="1"/>
  <c r="DL176" i="92" s="1"/>
  <c r="DM176" i="92" s="1"/>
  <c r="DN176" i="92" s="1"/>
  <c r="DO176" i="92" s="1"/>
  <c r="DP176" i="92" s="1"/>
  <c r="DQ176" i="92" s="1"/>
  <c r="DR176" i="92" s="1"/>
  <c r="DS176" i="92" s="1"/>
  <c r="DT176" i="92" s="1"/>
  <c r="DU176" i="92" s="1"/>
  <c r="DV176" i="92" s="1"/>
  <c r="DW176" i="92" s="1"/>
  <c r="DX176" i="92" s="1"/>
  <c r="DY176" i="92" s="1"/>
  <c r="DZ176" i="92" s="1"/>
  <c r="EA176" i="92" s="1"/>
  <c r="EB176" i="92" s="1"/>
  <c r="EC176" i="92" s="1"/>
  <c r="ED176" i="92" s="1"/>
  <c r="EE176" i="92" s="1"/>
  <c r="EF176" i="92" s="1"/>
  <c r="EG176" i="92" s="1"/>
  <c r="EH176" i="92" s="1"/>
  <c r="EI176" i="92" s="1"/>
  <c r="EJ176" i="92" s="1"/>
  <c r="EK176" i="92" s="1"/>
  <c r="CL177" i="92"/>
  <c r="CM177" i="92" s="1"/>
  <c r="CN177" i="92" s="1"/>
  <c r="CO177" i="92" s="1"/>
  <c r="CP177" i="92" s="1"/>
  <c r="CQ177" i="92" s="1"/>
  <c r="CR177" i="92" s="1"/>
  <c r="CS177" i="92" s="1"/>
  <c r="CT177" i="92" s="1"/>
  <c r="CU177" i="92" s="1"/>
  <c r="CV177" i="92" s="1"/>
  <c r="CW177" i="92" s="1"/>
  <c r="CX177" i="92" s="1"/>
  <c r="CY177" i="92" s="1"/>
  <c r="CZ177" i="92" s="1"/>
  <c r="DA177" i="92" s="1"/>
  <c r="DB177" i="92" s="1"/>
  <c r="DC177" i="92" s="1"/>
  <c r="DD177" i="92" s="1"/>
  <c r="DE177" i="92" s="1"/>
  <c r="DF177" i="92" s="1"/>
  <c r="DG177" i="92" s="1"/>
  <c r="DH177" i="92" s="1"/>
  <c r="DI177" i="92" s="1"/>
  <c r="DJ177" i="92" s="1"/>
  <c r="DK177" i="92" s="1"/>
  <c r="DL177" i="92" s="1"/>
  <c r="DM177" i="92" s="1"/>
  <c r="DN177" i="92" s="1"/>
  <c r="DO177" i="92" s="1"/>
  <c r="DP177" i="92" s="1"/>
  <c r="DQ177" i="92" s="1"/>
  <c r="DR177" i="92" s="1"/>
  <c r="DS177" i="92" s="1"/>
  <c r="DT177" i="92" s="1"/>
  <c r="DU177" i="92" s="1"/>
  <c r="DV177" i="92" s="1"/>
  <c r="DW177" i="92" s="1"/>
  <c r="DX177" i="92" s="1"/>
  <c r="DY177" i="92" s="1"/>
  <c r="DZ177" i="92" s="1"/>
  <c r="EA177" i="92" s="1"/>
  <c r="EB177" i="92" s="1"/>
  <c r="EC177" i="92" s="1"/>
  <c r="ED177" i="92" s="1"/>
  <c r="EE177" i="92" s="1"/>
  <c r="EF177" i="92" s="1"/>
  <c r="EG177" i="92" s="1"/>
  <c r="EH177" i="92" s="1"/>
  <c r="EI177" i="92" s="1"/>
  <c r="EJ177" i="92" s="1"/>
  <c r="EK177" i="92" s="1"/>
  <c r="CL178" i="92"/>
  <c r="CM178" i="92" s="1"/>
  <c r="CN178" i="92" s="1"/>
  <c r="CO178" i="92" s="1"/>
  <c r="CP178" i="92" s="1"/>
  <c r="CQ178" i="92" s="1"/>
  <c r="CR178" i="92" s="1"/>
  <c r="CS178" i="92" s="1"/>
  <c r="CT178" i="92" s="1"/>
  <c r="CU178" i="92" s="1"/>
  <c r="CV178" i="92" s="1"/>
  <c r="CW178" i="92" s="1"/>
  <c r="CX178" i="92" s="1"/>
  <c r="CY178" i="92" s="1"/>
  <c r="CZ178" i="92" s="1"/>
  <c r="DA178" i="92" s="1"/>
  <c r="DB178" i="92" s="1"/>
  <c r="DC178" i="92" s="1"/>
  <c r="DD178" i="92" s="1"/>
  <c r="DE178" i="92" s="1"/>
  <c r="DF178" i="92" s="1"/>
  <c r="DG178" i="92" s="1"/>
  <c r="DH178" i="92" s="1"/>
  <c r="DI178" i="92" s="1"/>
  <c r="DJ178" i="92" s="1"/>
  <c r="DK178" i="92" s="1"/>
  <c r="DL178" i="92" s="1"/>
  <c r="DM178" i="92" s="1"/>
  <c r="DN178" i="92" s="1"/>
  <c r="DO178" i="92" s="1"/>
  <c r="DP178" i="92" s="1"/>
  <c r="DQ178" i="92" s="1"/>
  <c r="DR178" i="92" s="1"/>
  <c r="DS178" i="92" s="1"/>
  <c r="DT178" i="92" s="1"/>
  <c r="DU178" i="92" s="1"/>
  <c r="DV178" i="92" s="1"/>
  <c r="DW178" i="92" s="1"/>
  <c r="DX178" i="92" s="1"/>
  <c r="DY178" i="92" s="1"/>
  <c r="DZ178" i="92" s="1"/>
  <c r="EA178" i="92" s="1"/>
  <c r="EB178" i="92" s="1"/>
  <c r="EC178" i="92" s="1"/>
  <c r="ED178" i="92" s="1"/>
  <c r="EE178" i="92" s="1"/>
  <c r="EF178" i="92" s="1"/>
  <c r="EG178" i="92" s="1"/>
  <c r="EH178" i="92" s="1"/>
  <c r="EI178" i="92" s="1"/>
  <c r="EJ178" i="92" s="1"/>
  <c r="EK178" i="92" s="1"/>
  <c r="CL179" i="92"/>
  <c r="CM179" i="92" s="1"/>
  <c r="CN179" i="92" s="1"/>
  <c r="CO179" i="92" s="1"/>
  <c r="CP179" i="92" s="1"/>
  <c r="CQ179" i="92" s="1"/>
  <c r="CR179" i="92" s="1"/>
  <c r="CS179" i="92" s="1"/>
  <c r="CT179" i="92" s="1"/>
  <c r="CU179" i="92" s="1"/>
  <c r="CV179" i="92" s="1"/>
  <c r="CW179" i="92" s="1"/>
  <c r="CX179" i="92" s="1"/>
  <c r="CY179" i="92" s="1"/>
  <c r="CZ179" i="92" s="1"/>
  <c r="DA179" i="92" s="1"/>
  <c r="DB179" i="92" s="1"/>
  <c r="DC179" i="92" s="1"/>
  <c r="DD179" i="92" s="1"/>
  <c r="DE179" i="92" s="1"/>
  <c r="DF179" i="92" s="1"/>
  <c r="DG179" i="92" s="1"/>
  <c r="DH179" i="92" s="1"/>
  <c r="DI179" i="92" s="1"/>
  <c r="DJ179" i="92" s="1"/>
  <c r="DK179" i="92" s="1"/>
  <c r="DL179" i="92" s="1"/>
  <c r="DM179" i="92" s="1"/>
  <c r="DN179" i="92" s="1"/>
  <c r="DO179" i="92" s="1"/>
  <c r="DP179" i="92" s="1"/>
  <c r="DQ179" i="92" s="1"/>
  <c r="DR179" i="92" s="1"/>
  <c r="DS179" i="92" s="1"/>
  <c r="DT179" i="92" s="1"/>
  <c r="DU179" i="92" s="1"/>
  <c r="DV179" i="92" s="1"/>
  <c r="DW179" i="92" s="1"/>
  <c r="DX179" i="92" s="1"/>
  <c r="DY179" i="92" s="1"/>
  <c r="DZ179" i="92" s="1"/>
  <c r="EA179" i="92" s="1"/>
  <c r="EB179" i="92" s="1"/>
  <c r="EC179" i="92" s="1"/>
  <c r="ED179" i="92" s="1"/>
  <c r="EE179" i="92" s="1"/>
  <c r="EF179" i="92" s="1"/>
  <c r="EG179" i="92" s="1"/>
  <c r="EH179" i="92" s="1"/>
  <c r="EI179" i="92" s="1"/>
  <c r="EJ179" i="92" s="1"/>
  <c r="EK179" i="92" s="1"/>
  <c r="CL180" i="92"/>
  <c r="CM180" i="92" s="1"/>
  <c r="CN180" i="92" s="1"/>
  <c r="CO180" i="92" s="1"/>
  <c r="CP180" i="92" s="1"/>
  <c r="CQ180" i="92" s="1"/>
  <c r="CR180" i="92" s="1"/>
  <c r="CS180" i="92" s="1"/>
  <c r="CT180" i="92" s="1"/>
  <c r="CU180" i="92" s="1"/>
  <c r="CV180" i="92" s="1"/>
  <c r="CW180" i="92" s="1"/>
  <c r="CX180" i="92" s="1"/>
  <c r="CY180" i="92" s="1"/>
  <c r="CZ180" i="92" s="1"/>
  <c r="DA180" i="92" s="1"/>
  <c r="DB180" i="92" s="1"/>
  <c r="DC180" i="92" s="1"/>
  <c r="DD180" i="92" s="1"/>
  <c r="DE180" i="92" s="1"/>
  <c r="DF180" i="92" s="1"/>
  <c r="DG180" i="92" s="1"/>
  <c r="DH180" i="92" s="1"/>
  <c r="DI180" i="92" s="1"/>
  <c r="DJ180" i="92" s="1"/>
  <c r="DK180" i="92" s="1"/>
  <c r="DL180" i="92" s="1"/>
  <c r="DM180" i="92" s="1"/>
  <c r="DN180" i="92" s="1"/>
  <c r="DO180" i="92" s="1"/>
  <c r="DP180" i="92" s="1"/>
  <c r="DQ180" i="92" s="1"/>
  <c r="DR180" i="92" s="1"/>
  <c r="DS180" i="92" s="1"/>
  <c r="DT180" i="92" s="1"/>
  <c r="DU180" i="92" s="1"/>
  <c r="DV180" i="92" s="1"/>
  <c r="DW180" i="92" s="1"/>
  <c r="DX180" i="92" s="1"/>
  <c r="DY180" i="92" s="1"/>
  <c r="DZ180" i="92" s="1"/>
  <c r="EA180" i="92" s="1"/>
  <c r="EB180" i="92" s="1"/>
  <c r="EC180" i="92" s="1"/>
  <c r="ED180" i="92" s="1"/>
  <c r="EE180" i="92" s="1"/>
  <c r="EF180" i="92" s="1"/>
  <c r="EG180" i="92" s="1"/>
  <c r="EH180" i="92" s="1"/>
  <c r="EI180" i="92" s="1"/>
  <c r="EJ180" i="92" s="1"/>
  <c r="EK180" i="92" s="1"/>
  <c r="CL181" i="92"/>
  <c r="CM181" i="92" s="1"/>
  <c r="CN181" i="92" s="1"/>
  <c r="CO181" i="92" s="1"/>
  <c r="CP181" i="92" s="1"/>
  <c r="CQ181" i="92" s="1"/>
  <c r="CR181" i="92" s="1"/>
  <c r="CS181" i="92" s="1"/>
  <c r="CT181" i="92" s="1"/>
  <c r="CU181" i="92" s="1"/>
  <c r="CV181" i="92" s="1"/>
  <c r="CW181" i="92" s="1"/>
  <c r="CX181" i="92" s="1"/>
  <c r="CY181" i="92" s="1"/>
  <c r="CZ181" i="92" s="1"/>
  <c r="DA181" i="92" s="1"/>
  <c r="DB181" i="92" s="1"/>
  <c r="DC181" i="92" s="1"/>
  <c r="DD181" i="92" s="1"/>
  <c r="DE181" i="92" s="1"/>
  <c r="DF181" i="92" s="1"/>
  <c r="DG181" i="92" s="1"/>
  <c r="DH181" i="92" s="1"/>
  <c r="DI181" i="92" s="1"/>
  <c r="DJ181" i="92" s="1"/>
  <c r="DK181" i="92" s="1"/>
  <c r="DL181" i="92" s="1"/>
  <c r="DM181" i="92" s="1"/>
  <c r="DN181" i="92" s="1"/>
  <c r="DO181" i="92" s="1"/>
  <c r="DP181" i="92" s="1"/>
  <c r="DQ181" i="92" s="1"/>
  <c r="DR181" i="92" s="1"/>
  <c r="DS181" i="92" s="1"/>
  <c r="DT181" i="92" s="1"/>
  <c r="DU181" i="92" s="1"/>
  <c r="DV181" i="92" s="1"/>
  <c r="DW181" i="92" s="1"/>
  <c r="DX181" i="92" s="1"/>
  <c r="DY181" i="92" s="1"/>
  <c r="DZ181" i="92" s="1"/>
  <c r="EA181" i="92" s="1"/>
  <c r="EB181" i="92" s="1"/>
  <c r="EC181" i="92" s="1"/>
  <c r="ED181" i="92" s="1"/>
  <c r="EE181" i="92" s="1"/>
  <c r="EF181" i="92" s="1"/>
  <c r="EG181" i="92" s="1"/>
  <c r="EH181" i="92" s="1"/>
  <c r="EI181" i="92" s="1"/>
  <c r="EJ181" i="92" s="1"/>
  <c r="EK181" i="92" s="1"/>
  <c r="CL182" i="92"/>
  <c r="CM182" i="92" s="1"/>
  <c r="CN182" i="92" s="1"/>
  <c r="CO182" i="92" s="1"/>
  <c r="CP182" i="92" s="1"/>
  <c r="CQ182" i="92" s="1"/>
  <c r="CR182" i="92" s="1"/>
  <c r="CS182" i="92" s="1"/>
  <c r="CT182" i="92" s="1"/>
  <c r="CU182" i="92" s="1"/>
  <c r="CV182" i="92" s="1"/>
  <c r="CW182" i="92" s="1"/>
  <c r="CX182" i="92" s="1"/>
  <c r="CY182" i="92" s="1"/>
  <c r="CZ182" i="92" s="1"/>
  <c r="DA182" i="92" s="1"/>
  <c r="DB182" i="92" s="1"/>
  <c r="DC182" i="92" s="1"/>
  <c r="DD182" i="92" s="1"/>
  <c r="DE182" i="92" s="1"/>
  <c r="DF182" i="92" s="1"/>
  <c r="DG182" i="92" s="1"/>
  <c r="DH182" i="92" s="1"/>
  <c r="DI182" i="92" s="1"/>
  <c r="DJ182" i="92" s="1"/>
  <c r="DK182" i="92" s="1"/>
  <c r="DL182" i="92" s="1"/>
  <c r="DM182" i="92" s="1"/>
  <c r="DN182" i="92" s="1"/>
  <c r="DO182" i="92" s="1"/>
  <c r="DP182" i="92" s="1"/>
  <c r="DQ182" i="92" s="1"/>
  <c r="DR182" i="92" s="1"/>
  <c r="DS182" i="92" s="1"/>
  <c r="DT182" i="92" s="1"/>
  <c r="DU182" i="92" s="1"/>
  <c r="DV182" i="92" s="1"/>
  <c r="DW182" i="92" s="1"/>
  <c r="DX182" i="92" s="1"/>
  <c r="DY182" i="92" s="1"/>
  <c r="DZ182" i="92" s="1"/>
  <c r="EA182" i="92" s="1"/>
  <c r="EB182" i="92" s="1"/>
  <c r="EC182" i="92" s="1"/>
  <c r="ED182" i="92" s="1"/>
  <c r="EE182" i="92" s="1"/>
  <c r="EF182" i="92" s="1"/>
  <c r="EG182" i="92" s="1"/>
  <c r="EH182" i="92" s="1"/>
  <c r="EI182" i="92" s="1"/>
  <c r="EJ182" i="92" s="1"/>
  <c r="EK182" i="92" s="1"/>
  <c r="CL183" i="92"/>
  <c r="CM183" i="92" s="1"/>
  <c r="CN183" i="92" s="1"/>
  <c r="CO183" i="92" s="1"/>
  <c r="CP183" i="92" s="1"/>
  <c r="CQ183" i="92" s="1"/>
  <c r="CR183" i="92" s="1"/>
  <c r="CS183" i="92" s="1"/>
  <c r="CT183" i="92" s="1"/>
  <c r="CU183" i="92" s="1"/>
  <c r="CV183" i="92" s="1"/>
  <c r="CW183" i="92" s="1"/>
  <c r="CX183" i="92" s="1"/>
  <c r="CY183" i="92" s="1"/>
  <c r="CZ183" i="92" s="1"/>
  <c r="DA183" i="92" s="1"/>
  <c r="DB183" i="92" s="1"/>
  <c r="DC183" i="92" s="1"/>
  <c r="DD183" i="92" s="1"/>
  <c r="DE183" i="92" s="1"/>
  <c r="DF183" i="92" s="1"/>
  <c r="DG183" i="92" s="1"/>
  <c r="DH183" i="92" s="1"/>
  <c r="DI183" i="92" s="1"/>
  <c r="DJ183" i="92" s="1"/>
  <c r="DK183" i="92" s="1"/>
  <c r="DL183" i="92" s="1"/>
  <c r="DM183" i="92" s="1"/>
  <c r="DN183" i="92" s="1"/>
  <c r="DO183" i="92" s="1"/>
  <c r="DP183" i="92" s="1"/>
  <c r="DQ183" i="92" s="1"/>
  <c r="DR183" i="92" s="1"/>
  <c r="DS183" i="92" s="1"/>
  <c r="DT183" i="92" s="1"/>
  <c r="DU183" i="92" s="1"/>
  <c r="DV183" i="92" s="1"/>
  <c r="DW183" i="92" s="1"/>
  <c r="DX183" i="92" s="1"/>
  <c r="DY183" i="92" s="1"/>
  <c r="DZ183" i="92" s="1"/>
  <c r="EA183" i="92" s="1"/>
  <c r="EB183" i="92" s="1"/>
  <c r="EC183" i="92" s="1"/>
  <c r="ED183" i="92" s="1"/>
  <c r="EE183" i="92" s="1"/>
  <c r="EF183" i="92" s="1"/>
  <c r="EG183" i="92" s="1"/>
  <c r="EH183" i="92" s="1"/>
  <c r="EI183" i="92" s="1"/>
  <c r="EJ183" i="92" s="1"/>
  <c r="EK183" i="92" s="1"/>
  <c r="CL184" i="92"/>
  <c r="CM184" i="92" s="1"/>
  <c r="CN184" i="92" s="1"/>
  <c r="CO184" i="92" s="1"/>
  <c r="CP184" i="92" s="1"/>
  <c r="CQ184" i="92" s="1"/>
  <c r="CR184" i="92" s="1"/>
  <c r="CS184" i="92" s="1"/>
  <c r="CT184" i="92" s="1"/>
  <c r="CU184" i="92" s="1"/>
  <c r="CV184" i="92" s="1"/>
  <c r="CW184" i="92" s="1"/>
  <c r="CX184" i="92" s="1"/>
  <c r="CY184" i="92" s="1"/>
  <c r="CZ184" i="92" s="1"/>
  <c r="DA184" i="92" s="1"/>
  <c r="DB184" i="92" s="1"/>
  <c r="DC184" i="92" s="1"/>
  <c r="DD184" i="92" s="1"/>
  <c r="DE184" i="92" s="1"/>
  <c r="DF184" i="92" s="1"/>
  <c r="DG184" i="92" s="1"/>
  <c r="DH184" i="92" s="1"/>
  <c r="DI184" i="92" s="1"/>
  <c r="DJ184" i="92" s="1"/>
  <c r="DK184" i="92" s="1"/>
  <c r="DL184" i="92" s="1"/>
  <c r="DM184" i="92" s="1"/>
  <c r="DN184" i="92" s="1"/>
  <c r="DO184" i="92" s="1"/>
  <c r="DP184" i="92" s="1"/>
  <c r="DQ184" i="92" s="1"/>
  <c r="DR184" i="92" s="1"/>
  <c r="DS184" i="92" s="1"/>
  <c r="DT184" i="92" s="1"/>
  <c r="DU184" i="92" s="1"/>
  <c r="DV184" i="92" s="1"/>
  <c r="DW184" i="92" s="1"/>
  <c r="DX184" i="92" s="1"/>
  <c r="DY184" i="92" s="1"/>
  <c r="DZ184" i="92" s="1"/>
  <c r="EA184" i="92" s="1"/>
  <c r="EB184" i="92" s="1"/>
  <c r="EC184" i="92" s="1"/>
  <c r="ED184" i="92" s="1"/>
  <c r="EE184" i="92" s="1"/>
  <c r="EF184" i="92" s="1"/>
  <c r="EG184" i="92" s="1"/>
  <c r="EH184" i="92" s="1"/>
  <c r="EI184" i="92" s="1"/>
  <c r="EJ184" i="92" s="1"/>
  <c r="EK184" i="92" s="1"/>
  <c r="CL185" i="92"/>
  <c r="CM185" i="92" s="1"/>
  <c r="CN185" i="92" s="1"/>
  <c r="CO185" i="92" s="1"/>
  <c r="CP185" i="92" s="1"/>
  <c r="CQ185" i="92" s="1"/>
  <c r="CR185" i="92" s="1"/>
  <c r="CS185" i="92" s="1"/>
  <c r="CT185" i="92" s="1"/>
  <c r="CU185" i="92" s="1"/>
  <c r="CV185" i="92" s="1"/>
  <c r="CW185" i="92" s="1"/>
  <c r="CX185" i="92" s="1"/>
  <c r="CY185" i="92" s="1"/>
  <c r="CZ185" i="92" s="1"/>
  <c r="DA185" i="92" s="1"/>
  <c r="DB185" i="92" s="1"/>
  <c r="DC185" i="92" s="1"/>
  <c r="DD185" i="92" s="1"/>
  <c r="DE185" i="92" s="1"/>
  <c r="DF185" i="92" s="1"/>
  <c r="DG185" i="92" s="1"/>
  <c r="DH185" i="92" s="1"/>
  <c r="DI185" i="92" s="1"/>
  <c r="DJ185" i="92" s="1"/>
  <c r="DK185" i="92" s="1"/>
  <c r="DL185" i="92" s="1"/>
  <c r="DM185" i="92" s="1"/>
  <c r="DN185" i="92" s="1"/>
  <c r="DO185" i="92" s="1"/>
  <c r="DP185" i="92" s="1"/>
  <c r="DQ185" i="92" s="1"/>
  <c r="DR185" i="92" s="1"/>
  <c r="DS185" i="92" s="1"/>
  <c r="DT185" i="92" s="1"/>
  <c r="DU185" i="92" s="1"/>
  <c r="DV185" i="92" s="1"/>
  <c r="DW185" i="92" s="1"/>
  <c r="DX185" i="92" s="1"/>
  <c r="DY185" i="92" s="1"/>
  <c r="DZ185" i="92" s="1"/>
  <c r="EA185" i="92" s="1"/>
  <c r="EB185" i="92" s="1"/>
  <c r="EC185" i="92" s="1"/>
  <c r="ED185" i="92" s="1"/>
  <c r="EE185" i="92" s="1"/>
  <c r="EF185" i="92" s="1"/>
  <c r="EG185" i="92" s="1"/>
  <c r="EH185" i="92" s="1"/>
  <c r="EI185" i="92" s="1"/>
  <c r="EJ185" i="92" s="1"/>
  <c r="EK185" i="92" s="1"/>
  <c r="CL186" i="92"/>
  <c r="CM186" i="92" s="1"/>
  <c r="CN186" i="92" s="1"/>
  <c r="CO186" i="92" s="1"/>
  <c r="CP186" i="92" s="1"/>
  <c r="CQ186" i="92" s="1"/>
  <c r="CR186" i="92" s="1"/>
  <c r="CS186" i="92" s="1"/>
  <c r="CT186" i="92" s="1"/>
  <c r="CU186" i="92" s="1"/>
  <c r="CV186" i="92" s="1"/>
  <c r="CW186" i="92" s="1"/>
  <c r="CX186" i="92" s="1"/>
  <c r="CY186" i="92" s="1"/>
  <c r="CZ186" i="92" s="1"/>
  <c r="DA186" i="92" s="1"/>
  <c r="DB186" i="92" s="1"/>
  <c r="DC186" i="92" s="1"/>
  <c r="DD186" i="92" s="1"/>
  <c r="DE186" i="92" s="1"/>
  <c r="DF186" i="92" s="1"/>
  <c r="DG186" i="92" s="1"/>
  <c r="DH186" i="92" s="1"/>
  <c r="DI186" i="92" s="1"/>
  <c r="DJ186" i="92" s="1"/>
  <c r="DK186" i="92" s="1"/>
  <c r="DL186" i="92" s="1"/>
  <c r="DM186" i="92" s="1"/>
  <c r="DN186" i="92" s="1"/>
  <c r="DO186" i="92" s="1"/>
  <c r="DP186" i="92" s="1"/>
  <c r="DQ186" i="92" s="1"/>
  <c r="DR186" i="92" s="1"/>
  <c r="DS186" i="92" s="1"/>
  <c r="DT186" i="92" s="1"/>
  <c r="DU186" i="92" s="1"/>
  <c r="DV186" i="92" s="1"/>
  <c r="DW186" i="92" s="1"/>
  <c r="DX186" i="92" s="1"/>
  <c r="DY186" i="92" s="1"/>
  <c r="DZ186" i="92" s="1"/>
  <c r="EA186" i="92" s="1"/>
  <c r="EB186" i="92" s="1"/>
  <c r="EC186" i="92" s="1"/>
  <c r="ED186" i="92" s="1"/>
  <c r="EE186" i="92" s="1"/>
  <c r="EF186" i="92" s="1"/>
  <c r="EG186" i="92" s="1"/>
  <c r="EH186" i="92" s="1"/>
  <c r="EI186" i="92" s="1"/>
  <c r="EJ186" i="92" s="1"/>
  <c r="EK186" i="92" s="1"/>
  <c r="CL187" i="92"/>
  <c r="CM187" i="92" s="1"/>
  <c r="CN187" i="92" s="1"/>
  <c r="CO187" i="92" s="1"/>
  <c r="CP187" i="92" s="1"/>
  <c r="CQ187" i="92" s="1"/>
  <c r="CR187" i="92" s="1"/>
  <c r="CS187" i="92" s="1"/>
  <c r="CT187" i="92" s="1"/>
  <c r="CU187" i="92" s="1"/>
  <c r="CV187" i="92" s="1"/>
  <c r="CW187" i="92" s="1"/>
  <c r="CX187" i="92" s="1"/>
  <c r="CY187" i="92" s="1"/>
  <c r="CZ187" i="92" s="1"/>
  <c r="DA187" i="92" s="1"/>
  <c r="DB187" i="92" s="1"/>
  <c r="DC187" i="92" s="1"/>
  <c r="DD187" i="92" s="1"/>
  <c r="DE187" i="92" s="1"/>
  <c r="DF187" i="92" s="1"/>
  <c r="DG187" i="92" s="1"/>
  <c r="DH187" i="92" s="1"/>
  <c r="DI187" i="92" s="1"/>
  <c r="DJ187" i="92" s="1"/>
  <c r="DK187" i="92" s="1"/>
  <c r="DL187" i="92" s="1"/>
  <c r="DM187" i="92" s="1"/>
  <c r="DN187" i="92" s="1"/>
  <c r="DO187" i="92" s="1"/>
  <c r="DP187" i="92" s="1"/>
  <c r="DQ187" i="92" s="1"/>
  <c r="DR187" i="92" s="1"/>
  <c r="DS187" i="92" s="1"/>
  <c r="DT187" i="92" s="1"/>
  <c r="DU187" i="92" s="1"/>
  <c r="DV187" i="92" s="1"/>
  <c r="DW187" i="92" s="1"/>
  <c r="DX187" i="92" s="1"/>
  <c r="DY187" i="92" s="1"/>
  <c r="DZ187" i="92" s="1"/>
  <c r="EA187" i="92" s="1"/>
  <c r="EB187" i="92" s="1"/>
  <c r="EC187" i="92" s="1"/>
  <c r="ED187" i="92" s="1"/>
  <c r="EE187" i="92" s="1"/>
  <c r="EF187" i="92" s="1"/>
  <c r="EG187" i="92" s="1"/>
  <c r="EH187" i="92" s="1"/>
  <c r="EI187" i="92" s="1"/>
  <c r="EJ187" i="92" s="1"/>
  <c r="EK187" i="92" s="1"/>
  <c r="CL188" i="92"/>
  <c r="CM188" i="92" s="1"/>
  <c r="CN188" i="92" s="1"/>
  <c r="CO188" i="92" s="1"/>
  <c r="CP188" i="92" s="1"/>
  <c r="CQ188" i="92" s="1"/>
  <c r="CR188" i="92" s="1"/>
  <c r="CS188" i="92" s="1"/>
  <c r="CT188" i="92" s="1"/>
  <c r="CU188" i="92" s="1"/>
  <c r="CV188" i="92" s="1"/>
  <c r="CW188" i="92" s="1"/>
  <c r="CX188" i="92" s="1"/>
  <c r="CY188" i="92" s="1"/>
  <c r="CZ188" i="92" s="1"/>
  <c r="DA188" i="92" s="1"/>
  <c r="DB188" i="92" s="1"/>
  <c r="DC188" i="92" s="1"/>
  <c r="DD188" i="92" s="1"/>
  <c r="DE188" i="92" s="1"/>
  <c r="DF188" i="92" s="1"/>
  <c r="DG188" i="92" s="1"/>
  <c r="DH188" i="92" s="1"/>
  <c r="DI188" i="92" s="1"/>
  <c r="DJ188" i="92" s="1"/>
  <c r="DK188" i="92" s="1"/>
  <c r="DL188" i="92" s="1"/>
  <c r="DM188" i="92" s="1"/>
  <c r="DN188" i="92" s="1"/>
  <c r="DO188" i="92" s="1"/>
  <c r="DP188" i="92" s="1"/>
  <c r="DQ188" i="92" s="1"/>
  <c r="DR188" i="92" s="1"/>
  <c r="DS188" i="92" s="1"/>
  <c r="DT188" i="92" s="1"/>
  <c r="DU188" i="92" s="1"/>
  <c r="DV188" i="92" s="1"/>
  <c r="DW188" i="92" s="1"/>
  <c r="DX188" i="92" s="1"/>
  <c r="DY188" i="92" s="1"/>
  <c r="DZ188" i="92" s="1"/>
  <c r="EA188" i="92" s="1"/>
  <c r="EB188" i="92" s="1"/>
  <c r="EC188" i="92" s="1"/>
  <c r="ED188" i="92" s="1"/>
  <c r="EE188" i="92" s="1"/>
  <c r="EF188" i="92" s="1"/>
  <c r="EG188" i="92" s="1"/>
  <c r="EH188" i="92" s="1"/>
  <c r="EI188" i="92" s="1"/>
  <c r="EJ188" i="92" s="1"/>
  <c r="EK188" i="92" s="1"/>
  <c r="CL189" i="92"/>
  <c r="CM189" i="92" s="1"/>
  <c r="CN189" i="92" s="1"/>
  <c r="CO189" i="92" s="1"/>
  <c r="CP189" i="92" s="1"/>
  <c r="CQ189" i="92" s="1"/>
  <c r="CR189" i="92" s="1"/>
  <c r="CS189" i="92" s="1"/>
  <c r="CT189" i="92" s="1"/>
  <c r="CU189" i="92" s="1"/>
  <c r="CV189" i="92" s="1"/>
  <c r="CW189" i="92" s="1"/>
  <c r="CX189" i="92" s="1"/>
  <c r="CY189" i="92" s="1"/>
  <c r="CZ189" i="92" s="1"/>
  <c r="DA189" i="92" s="1"/>
  <c r="DB189" i="92" s="1"/>
  <c r="DC189" i="92" s="1"/>
  <c r="DD189" i="92" s="1"/>
  <c r="DE189" i="92" s="1"/>
  <c r="DF189" i="92" s="1"/>
  <c r="DG189" i="92" s="1"/>
  <c r="DH189" i="92" s="1"/>
  <c r="DI189" i="92" s="1"/>
  <c r="DJ189" i="92" s="1"/>
  <c r="DK189" i="92" s="1"/>
  <c r="DL189" i="92" s="1"/>
  <c r="DM189" i="92" s="1"/>
  <c r="DN189" i="92" s="1"/>
  <c r="DO189" i="92" s="1"/>
  <c r="DP189" i="92" s="1"/>
  <c r="DQ189" i="92" s="1"/>
  <c r="DR189" i="92" s="1"/>
  <c r="DS189" i="92" s="1"/>
  <c r="DT189" i="92" s="1"/>
  <c r="DU189" i="92" s="1"/>
  <c r="DV189" i="92" s="1"/>
  <c r="DW189" i="92" s="1"/>
  <c r="DX189" i="92" s="1"/>
  <c r="DY189" i="92" s="1"/>
  <c r="DZ189" i="92" s="1"/>
  <c r="EA189" i="92" s="1"/>
  <c r="EB189" i="92" s="1"/>
  <c r="EC189" i="92" s="1"/>
  <c r="ED189" i="92" s="1"/>
  <c r="EE189" i="92" s="1"/>
  <c r="EF189" i="92" s="1"/>
  <c r="EG189" i="92" s="1"/>
  <c r="EH189" i="92" s="1"/>
  <c r="EI189" i="92" s="1"/>
  <c r="EJ189" i="92" s="1"/>
  <c r="EK189" i="92" s="1"/>
  <c r="CL190" i="92"/>
  <c r="CM190" i="92" s="1"/>
  <c r="CN190" i="92" s="1"/>
  <c r="CO190" i="92" s="1"/>
  <c r="CP190" i="92" s="1"/>
  <c r="CQ190" i="92" s="1"/>
  <c r="CR190" i="92" s="1"/>
  <c r="CS190" i="92" s="1"/>
  <c r="CT190" i="92" s="1"/>
  <c r="CU190" i="92" s="1"/>
  <c r="CV190" i="92" s="1"/>
  <c r="CW190" i="92" s="1"/>
  <c r="CX190" i="92" s="1"/>
  <c r="CY190" i="92" s="1"/>
  <c r="CZ190" i="92" s="1"/>
  <c r="DA190" i="92" s="1"/>
  <c r="DB190" i="92" s="1"/>
  <c r="DC190" i="92" s="1"/>
  <c r="DD190" i="92" s="1"/>
  <c r="DE190" i="92" s="1"/>
  <c r="DF190" i="92" s="1"/>
  <c r="DG190" i="92" s="1"/>
  <c r="DH190" i="92" s="1"/>
  <c r="DI190" i="92" s="1"/>
  <c r="DJ190" i="92" s="1"/>
  <c r="DK190" i="92" s="1"/>
  <c r="DL190" i="92" s="1"/>
  <c r="DM190" i="92" s="1"/>
  <c r="DN190" i="92" s="1"/>
  <c r="DO190" i="92" s="1"/>
  <c r="DP190" i="92" s="1"/>
  <c r="DQ190" i="92" s="1"/>
  <c r="DR190" i="92" s="1"/>
  <c r="DS190" i="92" s="1"/>
  <c r="DT190" i="92" s="1"/>
  <c r="DU190" i="92" s="1"/>
  <c r="DV190" i="92" s="1"/>
  <c r="DW190" i="92" s="1"/>
  <c r="DX190" i="92" s="1"/>
  <c r="DY190" i="92" s="1"/>
  <c r="DZ190" i="92" s="1"/>
  <c r="EA190" i="92" s="1"/>
  <c r="EB190" i="92" s="1"/>
  <c r="EC190" i="92" s="1"/>
  <c r="ED190" i="92" s="1"/>
  <c r="EE190" i="92" s="1"/>
  <c r="EF190" i="92" s="1"/>
  <c r="EG190" i="92" s="1"/>
  <c r="EH190" i="92" s="1"/>
  <c r="EI190" i="92" s="1"/>
  <c r="EJ190" i="92" s="1"/>
  <c r="EK190" i="92" s="1"/>
  <c r="CL191" i="92"/>
  <c r="CM191" i="92" s="1"/>
  <c r="CN191" i="92" s="1"/>
  <c r="CO191" i="92" s="1"/>
  <c r="CP191" i="92" s="1"/>
  <c r="CQ191" i="92" s="1"/>
  <c r="CR191" i="92" s="1"/>
  <c r="CS191" i="92" s="1"/>
  <c r="CT191" i="92" s="1"/>
  <c r="CU191" i="92" s="1"/>
  <c r="CV191" i="92" s="1"/>
  <c r="CW191" i="92" s="1"/>
  <c r="CX191" i="92" s="1"/>
  <c r="CY191" i="92" s="1"/>
  <c r="CZ191" i="92" s="1"/>
  <c r="DA191" i="92" s="1"/>
  <c r="DB191" i="92" s="1"/>
  <c r="DC191" i="92" s="1"/>
  <c r="DD191" i="92" s="1"/>
  <c r="DE191" i="92" s="1"/>
  <c r="DF191" i="92" s="1"/>
  <c r="DG191" i="92" s="1"/>
  <c r="DH191" i="92" s="1"/>
  <c r="DI191" i="92" s="1"/>
  <c r="DJ191" i="92" s="1"/>
  <c r="DK191" i="92" s="1"/>
  <c r="DL191" i="92" s="1"/>
  <c r="DM191" i="92" s="1"/>
  <c r="DN191" i="92" s="1"/>
  <c r="DO191" i="92" s="1"/>
  <c r="DP191" i="92" s="1"/>
  <c r="DQ191" i="92" s="1"/>
  <c r="DR191" i="92" s="1"/>
  <c r="DS191" i="92" s="1"/>
  <c r="DT191" i="92" s="1"/>
  <c r="DU191" i="92" s="1"/>
  <c r="DV191" i="92" s="1"/>
  <c r="DW191" i="92" s="1"/>
  <c r="DX191" i="92" s="1"/>
  <c r="DY191" i="92" s="1"/>
  <c r="DZ191" i="92" s="1"/>
  <c r="EA191" i="92" s="1"/>
  <c r="EB191" i="92" s="1"/>
  <c r="EC191" i="92" s="1"/>
  <c r="ED191" i="92" s="1"/>
  <c r="EE191" i="92" s="1"/>
  <c r="EF191" i="92" s="1"/>
  <c r="EG191" i="92" s="1"/>
  <c r="EH191" i="92" s="1"/>
  <c r="EI191" i="92" s="1"/>
  <c r="EJ191" i="92" s="1"/>
  <c r="EK191" i="92" s="1"/>
  <c r="CL192" i="92"/>
  <c r="CM192" i="92" s="1"/>
  <c r="CN192" i="92" s="1"/>
  <c r="CO192" i="92" s="1"/>
  <c r="CP192" i="92" s="1"/>
  <c r="CQ192" i="92" s="1"/>
  <c r="CR192" i="92" s="1"/>
  <c r="CS192" i="92" s="1"/>
  <c r="CT192" i="92" s="1"/>
  <c r="CU192" i="92" s="1"/>
  <c r="CV192" i="92" s="1"/>
  <c r="CW192" i="92" s="1"/>
  <c r="CX192" i="92" s="1"/>
  <c r="CY192" i="92" s="1"/>
  <c r="CZ192" i="92" s="1"/>
  <c r="DA192" i="92" s="1"/>
  <c r="DB192" i="92" s="1"/>
  <c r="DC192" i="92" s="1"/>
  <c r="DD192" i="92" s="1"/>
  <c r="DE192" i="92" s="1"/>
  <c r="DF192" i="92" s="1"/>
  <c r="DG192" i="92" s="1"/>
  <c r="DH192" i="92" s="1"/>
  <c r="DI192" i="92" s="1"/>
  <c r="DJ192" i="92" s="1"/>
  <c r="DK192" i="92" s="1"/>
  <c r="DL192" i="92" s="1"/>
  <c r="DM192" i="92" s="1"/>
  <c r="DN192" i="92" s="1"/>
  <c r="DO192" i="92" s="1"/>
  <c r="DP192" i="92" s="1"/>
  <c r="DQ192" i="92" s="1"/>
  <c r="DR192" i="92" s="1"/>
  <c r="DS192" i="92" s="1"/>
  <c r="DT192" i="92" s="1"/>
  <c r="DU192" i="92" s="1"/>
  <c r="DV192" i="92" s="1"/>
  <c r="DW192" i="92" s="1"/>
  <c r="DX192" i="92" s="1"/>
  <c r="DY192" i="92" s="1"/>
  <c r="DZ192" i="92" s="1"/>
  <c r="EA192" i="92" s="1"/>
  <c r="EB192" i="92" s="1"/>
  <c r="EC192" i="92" s="1"/>
  <c r="ED192" i="92" s="1"/>
  <c r="EE192" i="92" s="1"/>
  <c r="EF192" i="92" s="1"/>
  <c r="EG192" i="92" s="1"/>
  <c r="EH192" i="92" s="1"/>
  <c r="EI192" i="92" s="1"/>
  <c r="EJ192" i="92" s="1"/>
  <c r="EK192" i="92" s="1"/>
  <c r="CL193" i="92"/>
  <c r="CM193" i="92" s="1"/>
  <c r="CN193" i="92" s="1"/>
  <c r="CO193" i="92" s="1"/>
  <c r="CP193" i="92" s="1"/>
  <c r="CQ193" i="92" s="1"/>
  <c r="CR193" i="92" s="1"/>
  <c r="CS193" i="92" s="1"/>
  <c r="CT193" i="92" s="1"/>
  <c r="CU193" i="92" s="1"/>
  <c r="CV193" i="92" s="1"/>
  <c r="CW193" i="92" s="1"/>
  <c r="CX193" i="92" s="1"/>
  <c r="CY193" i="92" s="1"/>
  <c r="CZ193" i="92" s="1"/>
  <c r="DA193" i="92" s="1"/>
  <c r="DB193" i="92" s="1"/>
  <c r="DC193" i="92" s="1"/>
  <c r="DD193" i="92" s="1"/>
  <c r="DE193" i="92" s="1"/>
  <c r="DF193" i="92" s="1"/>
  <c r="DG193" i="92" s="1"/>
  <c r="DH193" i="92" s="1"/>
  <c r="DI193" i="92" s="1"/>
  <c r="DJ193" i="92" s="1"/>
  <c r="DK193" i="92" s="1"/>
  <c r="DL193" i="92" s="1"/>
  <c r="DM193" i="92" s="1"/>
  <c r="DN193" i="92" s="1"/>
  <c r="DO193" i="92" s="1"/>
  <c r="DP193" i="92" s="1"/>
  <c r="DQ193" i="92" s="1"/>
  <c r="DR193" i="92" s="1"/>
  <c r="DS193" i="92" s="1"/>
  <c r="DT193" i="92" s="1"/>
  <c r="DU193" i="92" s="1"/>
  <c r="DV193" i="92" s="1"/>
  <c r="DW193" i="92" s="1"/>
  <c r="DX193" i="92" s="1"/>
  <c r="DY193" i="92" s="1"/>
  <c r="DZ193" i="92" s="1"/>
  <c r="EA193" i="92" s="1"/>
  <c r="EB193" i="92" s="1"/>
  <c r="EC193" i="92" s="1"/>
  <c r="ED193" i="92" s="1"/>
  <c r="EE193" i="92" s="1"/>
  <c r="EF193" i="92" s="1"/>
  <c r="EG193" i="92" s="1"/>
  <c r="EH193" i="92" s="1"/>
  <c r="EI193" i="92" s="1"/>
  <c r="EJ193" i="92" s="1"/>
  <c r="EK193" i="92" s="1"/>
  <c r="CL194" i="92"/>
  <c r="CM194" i="92" s="1"/>
  <c r="CN194" i="92" s="1"/>
  <c r="CO194" i="92" s="1"/>
  <c r="CP194" i="92" s="1"/>
  <c r="CQ194" i="92" s="1"/>
  <c r="CR194" i="92" s="1"/>
  <c r="CS194" i="92" s="1"/>
  <c r="CT194" i="92" s="1"/>
  <c r="CU194" i="92" s="1"/>
  <c r="CV194" i="92" s="1"/>
  <c r="CW194" i="92" s="1"/>
  <c r="CX194" i="92" s="1"/>
  <c r="CY194" i="92" s="1"/>
  <c r="CZ194" i="92" s="1"/>
  <c r="DA194" i="92" s="1"/>
  <c r="DB194" i="92" s="1"/>
  <c r="DC194" i="92" s="1"/>
  <c r="DD194" i="92" s="1"/>
  <c r="DE194" i="92" s="1"/>
  <c r="DF194" i="92" s="1"/>
  <c r="DG194" i="92" s="1"/>
  <c r="DH194" i="92" s="1"/>
  <c r="DI194" i="92" s="1"/>
  <c r="DJ194" i="92" s="1"/>
  <c r="DK194" i="92" s="1"/>
  <c r="DL194" i="92" s="1"/>
  <c r="DM194" i="92" s="1"/>
  <c r="DN194" i="92" s="1"/>
  <c r="DO194" i="92" s="1"/>
  <c r="DP194" i="92" s="1"/>
  <c r="DQ194" i="92" s="1"/>
  <c r="DR194" i="92" s="1"/>
  <c r="DS194" i="92" s="1"/>
  <c r="DT194" i="92" s="1"/>
  <c r="DU194" i="92" s="1"/>
  <c r="DV194" i="92" s="1"/>
  <c r="DW194" i="92" s="1"/>
  <c r="DX194" i="92" s="1"/>
  <c r="DY194" i="92" s="1"/>
  <c r="DZ194" i="92" s="1"/>
  <c r="EA194" i="92" s="1"/>
  <c r="EB194" i="92" s="1"/>
  <c r="EC194" i="92" s="1"/>
  <c r="ED194" i="92" s="1"/>
  <c r="EE194" i="92" s="1"/>
  <c r="EF194" i="92" s="1"/>
  <c r="EG194" i="92" s="1"/>
  <c r="EH194" i="92" s="1"/>
  <c r="EI194" i="92" s="1"/>
  <c r="EJ194" i="92" s="1"/>
  <c r="EK194" i="92" s="1"/>
  <c r="CL195" i="92"/>
  <c r="CM195" i="92" s="1"/>
  <c r="CN195" i="92" s="1"/>
  <c r="CO195" i="92" s="1"/>
  <c r="CP195" i="92" s="1"/>
  <c r="CQ195" i="92" s="1"/>
  <c r="CR195" i="92" s="1"/>
  <c r="CS195" i="92" s="1"/>
  <c r="CT195" i="92" s="1"/>
  <c r="CU195" i="92" s="1"/>
  <c r="CV195" i="92" s="1"/>
  <c r="CW195" i="92" s="1"/>
  <c r="CX195" i="92" s="1"/>
  <c r="CY195" i="92" s="1"/>
  <c r="CZ195" i="92" s="1"/>
  <c r="DA195" i="92" s="1"/>
  <c r="DB195" i="92" s="1"/>
  <c r="DC195" i="92" s="1"/>
  <c r="DD195" i="92" s="1"/>
  <c r="DE195" i="92" s="1"/>
  <c r="DF195" i="92" s="1"/>
  <c r="DG195" i="92" s="1"/>
  <c r="DH195" i="92" s="1"/>
  <c r="DI195" i="92" s="1"/>
  <c r="DJ195" i="92" s="1"/>
  <c r="DK195" i="92" s="1"/>
  <c r="DL195" i="92" s="1"/>
  <c r="DM195" i="92" s="1"/>
  <c r="DN195" i="92" s="1"/>
  <c r="DO195" i="92" s="1"/>
  <c r="DP195" i="92" s="1"/>
  <c r="DQ195" i="92" s="1"/>
  <c r="DR195" i="92" s="1"/>
  <c r="DS195" i="92" s="1"/>
  <c r="DT195" i="92" s="1"/>
  <c r="DU195" i="92" s="1"/>
  <c r="DV195" i="92" s="1"/>
  <c r="DW195" i="92" s="1"/>
  <c r="DX195" i="92" s="1"/>
  <c r="DY195" i="92" s="1"/>
  <c r="DZ195" i="92" s="1"/>
  <c r="EA195" i="92" s="1"/>
  <c r="EB195" i="92" s="1"/>
  <c r="EC195" i="92" s="1"/>
  <c r="ED195" i="92" s="1"/>
  <c r="EE195" i="92" s="1"/>
  <c r="EF195" i="92" s="1"/>
  <c r="EG195" i="92" s="1"/>
  <c r="EH195" i="92" s="1"/>
  <c r="EI195" i="92" s="1"/>
  <c r="EJ195" i="92" s="1"/>
  <c r="EK195" i="92" s="1"/>
  <c r="CL196" i="92"/>
  <c r="CM196" i="92" s="1"/>
  <c r="CN196" i="92" s="1"/>
  <c r="CO196" i="92" s="1"/>
  <c r="CP196" i="92" s="1"/>
  <c r="CQ196" i="92" s="1"/>
  <c r="CR196" i="92" s="1"/>
  <c r="CS196" i="92" s="1"/>
  <c r="CT196" i="92" s="1"/>
  <c r="CU196" i="92" s="1"/>
  <c r="CV196" i="92" s="1"/>
  <c r="CW196" i="92" s="1"/>
  <c r="CX196" i="92" s="1"/>
  <c r="CY196" i="92" s="1"/>
  <c r="CZ196" i="92" s="1"/>
  <c r="DA196" i="92" s="1"/>
  <c r="DB196" i="92" s="1"/>
  <c r="DC196" i="92" s="1"/>
  <c r="DD196" i="92" s="1"/>
  <c r="DE196" i="92" s="1"/>
  <c r="DF196" i="92" s="1"/>
  <c r="DG196" i="92" s="1"/>
  <c r="DH196" i="92" s="1"/>
  <c r="DI196" i="92" s="1"/>
  <c r="DJ196" i="92" s="1"/>
  <c r="DK196" i="92" s="1"/>
  <c r="DL196" i="92" s="1"/>
  <c r="DM196" i="92" s="1"/>
  <c r="DN196" i="92" s="1"/>
  <c r="DO196" i="92" s="1"/>
  <c r="DP196" i="92" s="1"/>
  <c r="DQ196" i="92" s="1"/>
  <c r="DR196" i="92" s="1"/>
  <c r="DS196" i="92" s="1"/>
  <c r="DT196" i="92" s="1"/>
  <c r="DU196" i="92" s="1"/>
  <c r="DV196" i="92" s="1"/>
  <c r="DW196" i="92" s="1"/>
  <c r="DX196" i="92" s="1"/>
  <c r="DY196" i="92" s="1"/>
  <c r="DZ196" i="92" s="1"/>
  <c r="EA196" i="92" s="1"/>
  <c r="EB196" i="92" s="1"/>
  <c r="EC196" i="92" s="1"/>
  <c r="ED196" i="92" s="1"/>
  <c r="EE196" i="92" s="1"/>
  <c r="EF196" i="92" s="1"/>
  <c r="EG196" i="92" s="1"/>
  <c r="EH196" i="92" s="1"/>
  <c r="EI196" i="92" s="1"/>
  <c r="EJ196" i="92" s="1"/>
  <c r="EK196" i="92" s="1"/>
  <c r="CL197" i="92"/>
  <c r="CM197" i="92" s="1"/>
  <c r="CN197" i="92" s="1"/>
  <c r="CO197" i="92" s="1"/>
  <c r="CP197" i="92" s="1"/>
  <c r="CQ197" i="92" s="1"/>
  <c r="CR197" i="92" s="1"/>
  <c r="CS197" i="92" s="1"/>
  <c r="CT197" i="92" s="1"/>
  <c r="CU197" i="92" s="1"/>
  <c r="CV197" i="92" s="1"/>
  <c r="CW197" i="92" s="1"/>
  <c r="CX197" i="92" s="1"/>
  <c r="CY197" i="92" s="1"/>
  <c r="CZ197" i="92" s="1"/>
  <c r="DA197" i="92" s="1"/>
  <c r="DB197" i="92" s="1"/>
  <c r="DC197" i="92" s="1"/>
  <c r="DD197" i="92" s="1"/>
  <c r="DE197" i="92" s="1"/>
  <c r="DF197" i="92" s="1"/>
  <c r="DG197" i="92" s="1"/>
  <c r="DH197" i="92" s="1"/>
  <c r="DI197" i="92" s="1"/>
  <c r="DJ197" i="92" s="1"/>
  <c r="DK197" i="92" s="1"/>
  <c r="DL197" i="92" s="1"/>
  <c r="DM197" i="92" s="1"/>
  <c r="DN197" i="92" s="1"/>
  <c r="DO197" i="92" s="1"/>
  <c r="DP197" i="92" s="1"/>
  <c r="DQ197" i="92" s="1"/>
  <c r="DR197" i="92" s="1"/>
  <c r="DS197" i="92" s="1"/>
  <c r="DT197" i="92" s="1"/>
  <c r="DU197" i="92" s="1"/>
  <c r="DV197" i="92" s="1"/>
  <c r="DW197" i="92" s="1"/>
  <c r="DX197" i="92" s="1"/>
  <c r="DY197" i="92" s="1"/>
  <c r="DZ197" i="92" s="1"/>
  <c r="EA197" i="92" s="1"/>
  <c r="EB197" i="92" s="1"/>
  <c r="EC197" i="92" s="1"/>
  <c r="ED197" i="92" s="1"/>
  <c r="EE197" i="92" s="1"/>
  <c r="EF197" i="92" s="1"/>
  <c r="EG197" i="92" s="1"/>
  <c r="EH197" i="92" s="1"/>
  <c r="EI197" i="92" s="1"/>
  <c r="EJ197" i="92" s="1"/>
  <c r="EK197" i="92" s="1"/>
  <c r="CL198" i="92"/>
  <c r="CM198" i="92" s="1"/>
  <c r="CN198" i="92" s="1"/>
  <c r="CO198" i="92" s="1"/>
  <c r="CP198" i="92" s="1"/>
  <c r="CQ198" i="92" s="1"/>
  <c r="CR198" i="92" s="1"/>
  <c r="CS198" i="92" s="1"/>
  <c r="CT198" i="92" s="1"/>
  <c r="CU198" i="92" s="1"/>
  <c r="CV198" i="92" s="1"/>
  <c r="CW198" i="92" s="1"/>
  <c r="CX198" i="92" s="1"/>
  <c r="CY198" i="92" s="1"/>
  <c r="CZ198" i="92" s="1"/>
  <c r="DA198" i="92" s="1"/>
  <c r="DB198" i="92" s="1"/>
  <c r="DC198" i="92" s="1"/>
  <c r="DD198" i="92" s="1"/>
  <c r="DE198" i="92" s="1"/>
  <c r="DF198" i="92" s="1"/>
  <c r="DG198" i="92" s="1"/>
  <c r="DH198" i="92" s="1"/>
  <c r="DI198" i="92" s="1"/>
  <c r="DJ198" i="92" s="1"/>
  <c r="DK198" i="92" s="1"/>
  <c r="DL198" i="92" s="1"/>
  <c r="DM198" i="92" s="1"/>
  <c r="DN198" i="92" s="1"/>
  <c r="DO198" i="92" s="1"/>
  <c r="DP198" i="92" s="1"/>
  <c r="DQ198" i="92" s="1"/>
  <c r="DR198" i="92" s="1"/>
  <c r="DS198" i="92" s="1"/>
  <c r="DT198" i="92" s="1"/>
  <c r="DU198" i="92" s="1"/>
  <c r="DV198" i="92" s="1"/>
  <c r="DW198" i="92" s="1"/>
  <c r="DX198" i="92" s="1"/>
  <c r="DY198" i="92" s="1"/>
  <c r="DZ198" i="92" s="1"/>
  <c r="EA198" i="92" s="1"/>
  <c r="EB198" i="92" s="1"/>
  <c r="EC198" i="92" s="1"/>
  <c r="ED198" i="92" s="1"/>
  <c r="EE198" i="92" s="1"/>
  <c r="EF198" i="92" s="1"/>
  <c r="EG198" i="92" s="1"/>
  <c r="EH198" i="92" s="1"/>
  <c r="EI198" i="92" s="1"/>
  <c r="EJ198" i="92" s="1"/>
  <c r="EK198" i="92" s="1"/>
  <c r="CL199" i="92"/>
  <c r="CM199" i="92" s="1"/>
  <c r="CN199" i="92" s="1"/>
  <c r="CO199" i="92" s="1"/>
  <c r="CP199" i="92" s="1"/>
  <c r="CQ199" i="92" s="1"/>
  <c r="CR199" i="92" s="1"/>
  <c r="CS199" i="92" s="1"/>
  <c r="CT199" i="92" s="1"/>
  <c r="CU199" i="92" s="1"/>
  <c r="CV199" i="92" s="1"/>
  <c r="CW199" i="92" s="1"/>
  <c r="CX199" i="92" s="1"/>
  <c r="CY199" i="92" s="1"/>
  <c r="CZ199" i="92" s="1"/>
  <c r="DA199" i="92" s="1"/>
  <c r="DB199" i="92" s="1"/>
  <c r="DC199" i="92" s="1"/>
  <c r="DD199" i="92" s="1"/>
  <c r="DE199" i="92" s="1"/>
  <c r="DF199" i="92" s="1"/>
  <c r="DG199" i="92" s="1"/>
  <c r="DH199" i="92" s="1"/>
  <c r="DI199" i="92" s="1"/>
  <c r="DJ199" i="92" s="1"/>
  <c r="DK199" i="92" s="1"/>
  <c r="DL199" i="92" s="1"/>
  <c r="DM199" i="92" s="1"/>
  <c r="DN199" i="92" s="1"/>
  <c r="DO199" i="92" s="1"/>
  <c r="DP199" i="92" s="1"/>
  <c r="DQ199" i="92" s="1"/>
  <c r="DR199" i="92" s="1"/>
  <c r="DS199" i="92" s="1"/>
  <c r="DT199" i="92" s="1"/>
  <c r="DU199" i="92" s="1"/>
  <c r="DV199" i="92" s="1"/>
  <c r="DW199" i="92" s="1"/>
  <c r="DX199" i="92" s="1"/>
  <c r="DY199" i="92" s="1"/>
  <c r="DZ199" i="92" s="1"/>
  <c r="EA199" i="92" s="1"/>
  <c r="EB199" i="92" s="1"/>
  <c r="EC199" i="92" s="1"/>
  <c r="ED199" i="92" s="1"/>
  <c r="EE199" i="92" s="1"/>
  <c r="EF199" i="92" s="1"/>
  <c r="EG199" i="92" s="1"/>
  <c r="EH199" i="92" s="1"/>
  <c r="EI199" i="92" s="1"/>
  <c r="EJ199" i="92" s="1"/>
  <c r="EK199" i="92" s="1"/>
  <c r="CL200" i="92"/>
  <c r="CM200" i="92" s="1"/>
  <c r="CN200" i="92" s="1"/>
  <c r="CO200" i="92" s="1"/>
  <c r="CP200" i="92" s="1"/>
  <c r="CQ200" i="92" s="1"/>
  <c r="CR200" i="92" s="1"/>
  <c r="CS200" i="92" s="1"/>
  <c r="CT200" i="92" s="1"/>
  <c r="CU200" i="92" s="1"/>
  <c r="CV200" i="92" s="1"/>
  <c r="CW200" i="92" s="1"/>
  <c r="CX200" i="92" s="1"/>
  <c r="CY200" i="92" s="1"/>
  <c r="CZ200" i="92" s="1"/>
  <c r="DA200" i="92" s="1"/>
  <c r="DB200" i="92" s="1"/>
  <c r="DC200" i="92" s="1"/>
  <c r="DD200" i="92" s="1"/>
  <c r="DE200" i="92" s="1"/>
  <c r="DF200" i="92" s="1"/>
  <c r="DG200" i="92" s="1"/>
  <c r="DH200" i="92" s="1"/>
  <c r="DI200" i="92" s="1"/>
  <c r="DJ200" i="92" s="1"/>
  <c r="DK200" i="92" s="1"/>
  <c r="DL200" i="92" s="1"/>
  <c r="DM200" i="92" s="1"/>
  <c r="DN200" i="92" s="1"/>
  <c r="DO200" i="92" s="1"/>
  <c r="DP200" i="92" s="1"/>
  <c r="DQ200" i="92" s="1"/>
  <c r="DR200" i="92" s="1"/>
  <c r="DS200" i="92" s="1"/>
  <c r="DT200" i="92" s="1"/>
  <c r="DU200" i="92" s="1"/>
  <c r="DV200" i="92" s="1"/>
  <c r="DW200" i="92" s="1"/>
  <c r="DX200" i="92" s="1"/>
  <c r="DY200" i="92" s="1"/>
  <c r="DZ200" i="92" s="1"/>
  <c r="EA200" i="92" s="1"/>
  <c r="EB200" i="92" s="1"/>
  <c r="EC200" i="92" s="1"/>
  <c r="ED200" i="92" s="1"/>
  <c r="EE200" i="92" s="1"/>
  <c r="EF200" i="92" s="1"/>
  <c r="EG200" i="92" s="1"/>
  <c r="EH200" i="92" s="1"/>
  <c r="EI200" i="92" s="1"/>
  <c r="EJ200" i="92" s="1"/>
  <c r="EK200" i="92" s="1"/>
  <c r="CL201" i="92"/>
  <c r="CM201" i="92" s="1"/>
  <c r="CN201" i="92" s="1"/>
  <c r="CO201" i="92" s="1"/>
  <c r="CP201" i="92" s="1"/>
  <c r="CQ201" i="92" s="1"/>
  <c r="CR201" i="92" s="1"/>
  <c r="CS201" i="92" s="1"/>
  <c r="CT201" i="92" s="1"/>
  <c r="CU201" i="92" s="1"/>
  <c r="CV201" i="92" s="1"/>
  <c r="CW201" i="92" s="1"/>
  <c r="CX201" i="92" s="1"/>
  <c r="CY201" i="92" s="1"/>
  <c r="CZ201" i="92" s="1"/>
  <c r="DA201" i="92" s="1"/>
  <c r="DB201" i="92" s="1"/>
  <c r="DC201" i="92" s="1"/>
  <c r="DD201" i="92" s="1"/>
  <c r="DE201" i="92" s="1"/>
  <c r="DF201" i="92" s="1"/>
  <c r="DG201" i="92" s="1"/>
  <c r="DH201" i="92" s="1"/>
  <c r="DI201" i="92" s="1"/>
  <c r="DJ201" i="92" s="1"/>
  <c r="DK201" i="92" s="1"/>
  <c r="DL201" i="92" s="1"/>
  <c r="DM201" i="92" s="1"/>
  <c r="DN201" i="92" s="1"/>
  <c r="DO201" i="92" s="1"/>
  <c r="DP201" i="92" s="1"/>
  <c r="DQ201" i="92" s="1"/>
  <c r="DR201" i="92" s="1"/>
  <c r="DS201" i="92" s="1"/>
  <c r="DT201" i="92" s="1"/>
  <c r="DU201" i="92" s="1"/>
  <c r="DV201" i="92" s="1"/>
  <c r="DW201" i="92" s="1"/>
  <c r="DX201" i="92" s="1"/>
  <c r="DY201" i="92" s="1"/>
  <c r="DZ201" i="92" s="1"/>
  <c r="EA201" i="92" s="1"/>
  <c r="EB201" i="92" s="1"/>
  <c r="EC201" i="92" s="1"/>
  <c r="ED201" i="92" s="1"/>
  <c r="EE201" i="92" s="1"/>
  <c r="EF201" i="92" s="1"/>
  <c r="EG201" i="92" s="1"/>
  <c r="EH201" i="92" s="1"/>
  <c r="EI201" i="92" s="1"/>
  <c r="EJ201" i="92" s="1"/>
  <c r="EK201" i="92" s="1"/>
  <c r="CL121" i="92"/>
  <c r="A204" i="92"/>
  <c r="A205" i="92"/>
  <c r="A122" i="92"/>
  <c r="A123" i="92"/>
  <c r="A124" i="92"/>
  <c r="A125" i="92"/>
  <c r="A126" i="92"/>
  <c r="A127" i="92"/>
  <c r="A128" i="92"/>
  <c r="A129" i="92"/>
  <c r="A130" i="92"/>
  <c r="A131" i="92"/>
  <c r="A132" i="92"/>
  <c r="A133" i="92"/>
  <c r="A134" i="92"/>
  <c r="A135" i="92"/>
  <c r="A136" i="92"/>
  <c r="A137" i="92"/>
  <c r="A138" i="92"/>
  <c r="A139" i="92"/>
  <c r="A140" i="92"/>
  <c r="A141" i="92"/>
  <c r="A142" i="92"/>
  <c r="A143" i="92"/>
  <c r="A144" i="92"/>
  <c r="A145" i="92"/>
  <c r="A146" i="92"/>
  <c r="A147" i="92"/>
  <c r="A148" i="92"/>
  <c r="A149" i="92"/>
  <c r="A150" i="92"/>
  <c r="A151" i="92"/>
  <c r="A152" i="92"/>
  <c r="A153" i="92"/>
  <c r="A154" i="92"/>
  <c r="A155" i="92"/>
  <c r="A156" i="92"/>
  <c r="A157" i="92"/>
  <c r="A158" i="92"/>
  <c r="A159" i="92"/>
  <c r="A160" i="92"/>
  <c r="A161" i="92"/>
  <c r="A162" i="92"/>
  <c r="A163" i="92"/>
  <c r="A164" i="92"/>
  <c r="A165" i="92"/>
  <c r="A166" i="92"/>
  <c r="A167" i="92"/>
  <c r="A168" i="92"/>
  <c r="A169" i="92"/>
  <c r="A170" i="92"/>
  <c r="A171" i="92"/>
  <c r="A172" i="92"/>
  <c r="A173" i="92"/>
  <c r="A174" i="92"/>
  <c r="A175" i="92"/>
  <c r="A176" i="92"/>
  <c r="A177" i="92"/>
  <c r="A178" i="92"/>
  <c r="A179" i="92"/>
  <c r="A180" i="92"/>
  <c r="A181" i="92"/>
  <c r="A182" i="92"/>
  <c r="A183" i="92"/>
  <c r="A184" i="92"/>
  <c r="A185" i="92"/>
  <c r="A186" i="92"/>
  <c r="A187" i="92"/>
  <c r="A188" i="92"/>
  <c r="A189" i="92"/>
  <c r="A190" i="92"/>
  <c r="A191" i="92"/>
  <c r="A192" i="92"/>
  <c r="A193" i="92"/>
  <c r="A194" i="92"/>
  <c r="A195" i="92"/>
  <c r="A196" i="92"/>
  <c r="A197" i="92"/>
  <c r="A198" i="92"/>
  <c r="A199" i="92"/>
  <c r="A200" i="92"/>
  <c r="A201" i="92"/>
  <c r="A202" i="92"/>
  <c r="A203" i="92"/>
  <c r="A121" i="92"/>
  <c r="CR106" i="92"/>
  <c r="CL114" i="92"/>
  <c r="CL113" i="92"/>
  <c r="CL112" i="92"/>
  <c r="CL111" i="92"/>
  <c r="CL110" i="92"/>
  <c r="CL109" i="92"/>
  <c r="CL108" i="92"/>
  <c r="CL107" i="92"/>
  <c r="CL106" i="92"/>
  <c r="CL105" i="92"/>
  <c r="CM61" i="92"/>
  <c r="CN61" i="92" s="1"/>
  <c r="CR61" i="92"/>
  <c r="CS61" i="92" s="1"/>
  <c r="CT61" i="92" s="1"/>
  <c r="CM62" i="92"/>
  <c r="CN62" i="92" s="1"/>
  <c r="CO62" i="92" s="1"/>
  <c r="CP62" i="92" s="1"/>
  <c r="CQ62" i="92" s="1"/>
  <c r="CW62" i="92"/>
  <c r="CX62" i="92" s="1"/>
  <c r="CY62" i="92" s="1"/>
  <c r="CZ62" i="92" s="1"/>
  <c r="DA62" i="92" s="1"/>
  <c r="DB62" i="92" s="1"/>
  <c r="DC62" i="92" s="1"/>
  <c r="DD62" i="92" s="1"/>
  <c r="DE62" i="92" s="1"/>
  <c r="DF62" i="92" s="1"/>
  <c r="DG62" i="92" s="1"/>
  <c r="DH62" i="92" s="1"/>
  <c r="DI62" i="92" s="1"/>
  <c r="DJ62" i="92" s="1"/>
  <c r="DK62" i="92" s="1"/>
  <c r="DL62" i="92" s="1"/>
  <c r="DM62" i="92" s="1"/>
  <c r="DN62" i="92" s="1"/>
  <c r="DO62" i="92" s="1"/>
  <c r="DP62" i="92" s="1"/>
  <c r="DQ62" i="92" s="1"/>
  <c r="DR62" i="92" s="1"/>
  <c r="DS62" i="92" s="1"/>
  <c r="DT62" i="92" s="1"/>
  <c r="DU62" i="92" s="1"/>
  <c r="DV62" i="92" s="1"/>
  <c r="DW62" i="92" s="1"/>
  <c r="DX62" i="92" s="1"/>
  <c r="DY62" i="92" s="1"/>
  <c r="DZ62" i="92" s="1"/>
  <c r="EA62" i="92" s="1"/>
  <c r="EB62" i="92" s="1"/>
  <c r="EC62" i="92" s="1"/>
  <c r="ED62" i="92" s="1"/>
  <c r="EE62" i="92" s="1"/>
  <c r="EF62" i="92" s="1"/>
  <c r="EG62" i="92" s="1"/>
  <c r="EH62" i="92" s="1"/>
  <c r="EI62" i="92" s="1"/>
  <c r="EJ62" i="92" s="1"/>
  <c r="EK62" i="92" s="1"/>
  <c r="CM63" i="92"/>
  <c r="CN63" i="92" s="1"/>
  <c r="CO63" i="92" s="1"/>
  <c r="CP63" i="92" s="1"/>
  <c r="CQ63" i="92" s="1"/>
  <c r="CR63" i="92" s="1"/>
  <c r="CS63" i="92" s="1"/>
  <c r="CT63" i="92" s="1"/>
  <c r="CU63" i="92" s="1"/>
  <c r="CV63" i="92" s="1"/>
  <c r="CW63" i="92" s="1"/>
  <c r="CX63" i="92" s="1"/>
  <c r="CY63" i="92" s="1"/>
  <c r="CZ63" i="92" s="1"/>
  <c r="DA63" i="92" s="1"/>
  <c r="DB63" i="92" s="1"/>
  <c r="DD63" i="92" s="1"/>
  <c r="DE63" i="92" s="1"/>
  <c r="DF63" i="92" s="1"/>
  <c r="DG63" i="92" s="1"/>
  <c r="DH63" i="92" s="1"/>
  <c r="DI63" i="92" s="1"/>
  <c r="DJ63" i="92" s="1"/>
  <c r="DK63" i="92" s="1"/>
  <c r="DL63" i="92" s="1"/>
  <c r="DM63" i="92" s="1"/>
  <c r="DN63" i="92" s="1"/>
  <c r="DO63" i="92" s="1"/>
  <c r="DP63" i="92" s="1"/>
  <c r="DQ63" i="92" s="1"/>
  <c r="DR63" i="92" s="1"/>
  <c r="DS63" i="92" s="1"/>
  <c r="DT63" i="92" s="1"/>
  <c r="DU63" i="92" s="1"/>
  <c r="DV63" i="92" s="1"/>
  <c r="DW63" i="92" s="1"/>
  <c r="DX63" i="92" s="1"/>
  <c r="DY63" i="92" s="1"/>
  <c r="DZ63" i="92" s="1"/>
  <c r="EA63" i="92" s="1"/>
  <c r="EB63" i="92" s="1"/>
  <c r="EC63" i="92" s="1"/>
  <c r="ED63" i="92" s="1"/>
  <c r="EE63" i="92" s="1"/>
  <c r="EF63" i="92" s="1"/>
  <c r="EG63" i="92" s="1"/>
  <c r="EH63" i="92" s="1"/>
  <c r="EI63" i="92" s="1"/>
  <c r="EJ63" i="92" s="1"/>
  <c r="EK63" i="92" s="1"/>
  <c r="CM64" i="92"/>
  <c r="CN64" i="92" s="1"/>
  <c r="CO64" i="92" s="1"/>
  <c r="CP64" i="92" s="1"/>
  <c r="CQ64" i="92" s="1"/>
  <c r="CR64" i="92" s="1"/>
  <c r="CS64" i="92" s="1"/>
  <c r="CT64" i="92" s="1"/>
  <c r="CU64" i="92" s="1"/>
  <c r="CW64" i="92"/>
  <c r="CX64" i="92" s="1"/>
  <c r="CY64" i="92" s="1"/>
  <c r="DA64" i="92" s="1"/>
  <c r="DB64" i="92" s="1"/>
  <c r="DC64" i="92" s="1"/>
  <c r="DD64" i="92" s="1"/>
  <c r="DE64" i="92" s="1"/>
  <c r="DF64" i="92" s="1"/>
  <c r="DG64" i="92" s="1"/>
  <c r="DH64" i="92" s="1"/>
  <c r="DI64" i="92" s="1"/>
  <c r="DJ64" i="92" s="1"/>
  <c r="DK64" i="92" s="1"/>
  <c r="DL64" i="92" s="1"/>
  <c r="DM64" i="92" s="1"/>
  <c r="DN64" i="92" s="1"/>
  <c r="DO64" i="92" s="1"/>
  <c r="DP64" i="92" s="1"/>
  <c r="DQ64" i="92" s="1"/>
  <c r="DR64" i="92" s="1"/>
  <c r="DS64" i="92" s="1"/>
  <c r="DT64" i="92" s="1"/>
  <c r="DU64" i="92" s="1"/>
  <c r="DV64" i="92" s="1"/>
  <c r="DW64" i="92" s="1"/>
  <c r="DX64" i="92" s="1"/>
  <c r="DY64" i="92" s="1"/>
  <c r="DZ64" i="92" s="1"/>
  <c r="EA64" i="92" s="1"/>
  <c r="EB64" i="92" s="1"/>
  <c r="EC64" i="92" s="1"/>
  <c r="ED64" i="92" s="1"/>
  <c r="EE64" i="92" s="1"/>
  <c r="EF64" i="92" s="1"/>
  <c r="EG64" i="92" s="1"/>
  <c r="EH64" i="92" s="1"/>
  <c r="EI64" i="92" s="1"/>
  <c r="EJ64" i="92" s="1"/>
  <c r="EK64" i="92" s="1"/>
  <c r="CM65" i="92"/>
  <c r="CN65" i="92" s="1"/>
  <c r="CO65" i="92" s="1"/>
  <c r="CP65" i="92" s="1"/>
  <c r="CQ65" i="92" s="1"/>
  <c r="CR65" i="92" s="1"/>
  <c r="CS65" i="92" s="1"/>
  <c r="CT65" i="92" s="1"/>
  <c r="CU65" i="92" s="1"/>
  <c r="CV65" i="92" s="1"/>
  <c r="CW65" i="92" s="1"/>
  <c r="CX65" i="92" s="1"/>
  <c r="CY65" i="92" s="1"/>
  <c r="CZ65" i="92" s="1"/>
  <c r="DA65" i="92" s="1"/>
  <c r="DB65" i="92" s="1"/>
  <c r="DC65" i="92" s="1"/>
  <c r="DD65" i="92" s="1"/>
  <c r="DE65" i="92" s="1"/>
  <c r="DF65" i="92" s="1"/>
  <c r="DG65" i="92" s="1"/>
  <c r="DH65" i="92" s="1"/>
  <c r="DI65" i="92" s="1"/>
  <c r="DJ65" i="92" s="1"/>
  <c r="DK65" i="92" s="1"/>
  <c r="DL65" i="92" s="1"/>
  <c r="DM65" i="92" s="1"/>
  <c r="DN65" i="92" s="1"/>
  <c r="DO65" i="92" s="1"/>
  <c r="DP65" i="92" s="1"/>
  <c r="DQ65" i="92" s="1"/>
  <c r="DR65" i="92" s="1"/>
  <c r="DS65" i="92" s="1"/>
  <c r="DT65" i="92" s="1"/>
  <c r="DU65" i="92" s="1"/>
  <c r="DV65" i="92" s="1"/>
  <c r="DW65" i="92" s="1"/>
  <c r="DX65" i="92" s="1"/>
  <c r="DY65" i="92" s="1"/>
  <c r="DZ65" i="92" s="1"/>
  <c r="EA65" i="92" s="1"/>
  <c r="EB65" i="92" s="1"/>
  <c r="EC65" i="92" s="1"/>
  <c r="ED65" i="92" s="1"/>
  <c r="EE65" i="92" s="1"/>
  <c r="EF65" i="92" s="1"/>
  <c r="EG65" i="92" s="1"/>
  <c r="EH65" i="92" s="1"/>
  <c r="EI65" i="92" s="1"/>
  <c r="EJ65" i="92" s="1"/>
  <c r="EK65" i="92" s="1"/>
  <c r="CM66" i="92"/>
  <c r="CN66" i="92" s="1"/>
  <c r="CO66" i="92" s="1"/>
  <c r="CP66" i="92" s="1"/>
  <c r="CR66" i="92"/>
  <c r="CS66" i="92" s="1"/>
  <c r="CM67" i="92"/>
  <c r="CN67" i="92" s="1"/>
  <c r="CO67" i="92" s="1"/>
  <c r="CP67" i="92" s="1"/>
  <c r="CQ67" i="92" s="1"/>
  <c r="CR67" i="92" s="1"/>
  <c r="CS67" i="92" s="1"/>
  <c r="CT67" i="92" s="1"/>
  <c r="CM68" i="92"/>
  <c r="CN68" i="92" s="1"/>
  <c r="CO68" i="92" s="1"/>
  <c r="CP68" i="92" s="1"/>
  <c r="CQ68" i="92" s="1"/>
  <c r="CR68" i="92" s="1"/>
  <c r="CS68" i="92" s="1"/>
  <c r="CT68" i="92" s="1"/>
  <c r="CU68" i="92" s="1"/>
  <c r="CV68" i="92" s="1"/>
  <c r="CW68" i="92" s="1"/>
  <c r="CX68" i="92" s="1"/>
  <c r="CY68" i="92" s="1"/>
  <c r="CZ68" i="92" s="1"/>
  <c r="DA68" i="92" s="1"/>
  <c r="DB68" i="92" s="1"/>
  <c r="DF68" i="92"/>
  <c r="DJ68" i="92"/>
  <c r="DN68" i="92"/>
  <c r="DR68" i="92"/>
  <c r="CM69" i="92"/>
  <c r="CN69" i="92" s="1"/>
  <c r="CO69" i="92" s="1"/>
  <c r="CP69" i="92" s="1"/>
  <c r="CQ69" i="92" s="1"/>
  <c r="CR69" i="92" s="1"/>
  <c r="CS69" i="92" s="1"/>
  <c r="CT69" i="92" s="1"/>
  <c r="CU69" i="92" s="1"/>
  <c r="CV69" i="92" s="1"/>
  <c r="CW69" i="92" s="1"/>
  <c r="CX69" i="92" s="1"/>
  <c r="CY69" i="92" s="1"/>
  <c r="CZ69" i="92" s="1"/>
  <c r="DA69" i="92" s="1"/>
  <c r="DB69" i="92" s="1"/>
  <c r="DC69" i="92" s="1"/>
  <c r="DD69" i="92" s="1"/>
  <c r="DE69" i="92" s="1"/>
  <c r="DF69" i="92" s="1"/>
  <c r="DG69" i="92" s="1"/>
  <c r="DH69" i="92" s="1"/>
  <c r="DI69" i="92" s="1"/>
  <c r="DJ69" i="92" s="1"/>
  <c r="DK69" i="92" s="1"/>
  <c r="DL69" i="92" s="1"/>
  <c r="CM70" i="92"/>
  <c r="CN70" i="92" s="1"/>
  <c r="CO70" i="92" s="1"/>
  <c r="CP70" i="92" s="1"/>
  <c r="CQ70" i="92" s="1"/>
  <c r="CR70" i="92" s="1"/>
  <c r="CS70" i="92" s="1"/>
  <c r="CT70" i="92" s="1"/>
  <c r="CU70" i="92" s="1"/>
  <c r="CV70" i="92" s="1"/>
  <c r="CW70" i="92" s="1"/>
  <c r="CX70" i="92" s="1"/>
  <c r="CY70" i="92" s="1"/>
  <c r="CZ70" i="92" s="1"/>
  <c r="DA70" i="92" s="1"/>
  <c r="DB70" i="92" s="1"/>
  <c r="DC70" i="92" s="1"/>
  <c r="DD70" i="92" s="1"/>
  <c r="DE70" i="92" s="1"/>
  <c r="DF70" i="92" s="1"/>
  <c r="DG70" i="92" s="1"/>
  <c r="DH70" i="92" s="1"/>
  <c r="DI70" i="92" s="1"/>
  <c r="DJ70" i="92" s="1"/>
  <c r="DK70" i="92" s="1"/>
  <c r="DL70" i="92" s="1"/>
  <c r="DM70" i="92" s="1"/>
  <c r="DN70" i="92" s="1"/>
  <c r="DO70" i="92" s="1"/>
  <c r="DP70" i="92" s="1"/>
  <c r="DQ70" i="92" s="1"/>
  <c r="DR70" i="92" s="1"/>
  <c r="DS70" i="92" s="1"/>
  <c r="DT70" i="92" s="1"/>
  <c r="DU70" i="92" s="1"/>
  <c r="DV70" i="92" s="1"/>
  <c r="DW70" i="92" s="1"/>
  <c r="DX70" i="92" s="1"/>
  <c r="DY70" i="92" s="1"/>
  <c r="DZ70" i="92" s="1"/>
  <c r="EA70" i="92" s="1"/>
  <c r="EB70" i="92" s="1"/>
  <c r="EC70" i="92" s="1"/>
  <c r="ED70" i="92" s="1"/>
  <c r="EE70" i="92" s="1"/>
  <c r="EF70" i="92" s="1"/>
  <c r="EG70" i="92" s="1"/>
  <c r="EH70" i="92" s="1"/>
  <c r="EI70" i="92" s="1"/>
  <c r="EJ70" i="92" s="1"/>
  <c r="EK70" i="92" s="1"/>
  <c r="CM71" i="92"/>
  <c r="CN71" i="92" s="1"/>
  <c r="CO71" i="92" s="1"/>
  <c r="CP71" i="92" s="1"/>
  <c r="CQ71" i="92" s="1"/>
  <c r="CR71" i="92" s="1"/>
  <c r="CS71" i="92" s="1"/>
  <c r="CT71" i="92" s="1"/>
  <c r="CU71" i="92" s="1"/>
  <c r="CV71" i="92" s="1"/>
  <c r="CW71" i="92" s="1"/>
  <c r="CX71" i="92" s="1"/>
  <c r="CY71" i="92" s="1"/>
  <c r="CZ71" i="92" s="1"/>
  <c r="DA71" i="92" s="1"/>
  <c r="DB71" i="92" s="1"/>
  <c r="DC71" i="92" s="1"/>
  <c r="DD71" i="92" s="1"/>
  <c r="DE71" i="92" s="1"/>
  <c r="DF71" i="92" s="1"/>
  <c r="DG71" i="92" s="1"/>
  <c r="DH71" i="92" s="1"/>
  <c r="DI71" i="92" s="1"/>
  <c r="DJ71" i="92" s="1"/>
  <c r="DK71" i="92" s="1"/>
  <c r="DL71" i="92" s="1"/>
  <c r="DM71" i="92" s="1"/>
  <c r="DN71" i="92" s="1"/>
  <c r="DO71" i="92" s="1"/>
  <c r="DP71" i="92" s="1"/>
  <c r="DQ71" i="92" s="1"/>
  <c r="DR71" i="92" s="1"/>
  <c r="DS71" i="92" s="1"/>
  <c r="DT71" i="92" s="1"/>
  <c r="DU71" i="92" s="1"/>
  <c r="DV71" i="92" s="1"/>
  <c r="DW71" i="92" s="1"/>
  <c r="DX71" i="92" s="1"/>
  <c r="DY71" i="92" s="1"/>
  <c r="DZ71" i="92" s="1"/>
  <c r="EA71" i="92" s="1"/>
  <c r="EB71" i="92" s="1"/>
  <c r="EC71" i="92" s="1"/>
  <c r="ED71" i="92" s="1"/>
  <c r="EE71" i="92" s="1"/>
  <c r="EF71" i="92" s="1"/>
  <c r="EG71" i="92" s="1"/>
  <c r="EH71" i="92" s="1"/>
  <c r="EI71" i="92" s="1"/>
  <c r="EJ71" i="92" s="1"/>
  <c r="EK71" i="92" s="1"/>
  <c r="CM72" i="92"/>
  <c r="CN72" i="92" s="1"/>
  <c r="CO72" i="92" s="1"/>
  <c r="CP72" i="92" s="1"/>
  <c r="CQ72" i="92" s="1"/>
  <c r="CR72" i="92" s="1"/>
  <c r="CS72" i="92" s="1"/>
  <c r="CT72" i="92" s="1"/>
  <c r="CU72" i="92" s="1"/>
  <c r="CV72" i="92" s="1"/>
  <c r="CW72" i="92" s="1"/>
  <c r="CX72" i="92" s="1"/>
  <c r="CY72" i="92" s="1"/>
  <c r="CZ72" i="92" s="1"/>
  <c r="DA72" i="92" s="1"/>
  <c r="DB72" i="92" s="1"/>
  <c r="DC72" i="92" s="1"/>
  <c r="DD72" i="92" s="1"/>
  <c r="DE72" i="92" s="1"/>
  <c r="DF72" i="92" s="1"/>
  <c r="DG72" i="92" s="1"/>
  <c r="DH72" i="92" s="1"/>
  <c r="DI72" i="92" s="1"/>
  <c r="DJ72" i="92" s="1"/>
  <c r="DK72" i="92" s="1"/>
  <c r="DL72" i="92" s="1"/>
  <c r="DM72" i="92" s="1"/>
  <c r="DN72" i="92" s="1"/>
  <c r="DO72" i="92" s="1"/>
  <c r="DP72" i="92" s="1"/>
  <c r="DQ72" i="92" s="1"/>
  <c r="DR72" i="92" s="1"/>
  <c r="DS72" i="92" s="1"/>
  <c r="DT72" i="92" s="1"/>
  <c r="DU72" i="92" s="1"/>
  <c r="DV72" i="92" s="1"/>
  <c r="DW72" i="92" s="1"/>
  <c r="DX72" i="92" s="1"/>
  <c r="DY72" i="92" s="1"/>
  <c r="DZ72" i="92" s="1"/>
  <c r="EA72" i="92" s="1"/>
  <c r="EB72" i="92" s="1"/>
  <c r="EC72" i="92" s="1"/>
  <c r="ED72" i="92" s="1"/>
  <c r="EE72" i="92" s="1"/>
  <c r="EF72" i="92" s="1"/>
  <c r="EG72" i="92" s="1"/>
  <c r="EH72" i="92" s="1"/>
  <c r="EI72" i="92" s="1"/>
  <c r="EJ72" i="92" s="1"/>
  <c r="EK72" i="92" s="1"/>
  <c r="CM73" i="92"/>
  <c r="CN73" i="92" s="1"/>
  <c r="CO73" i="92" s="1"/>
  <c r="CP73" i="92" s="1"/>
  <c r="CQ73" i="92" s="1"/>
  <c r="CR73" i="92" s="1"/>
  <c r="CS73" i="92" s="1"/>
  <c r="CT73" i="92" s="1"/>
  <c r="CU73" i="92" s="1"/>
  <c r="CM74" i="92"/>
  <c r="CN74" i="92" s="1"/>
  <c r="CO74" i="92" s="1"/>
  <c r="CP74" i="92" s="1"/>
  <c r="CQ74" i="92" s="1"/>
  <c r="CR74" i="92" s="1"/>
  <c r="CS74" i="92" s="1"/>
  <c r="CT74" i="92" s="1"/>
  <c r="CU74" i="92" s="1"/>
  <c r="CV74" i="92" s="1"/>
  <c r="CW74" i="92" s="1"/>
  <c r="CX74" i="92" s="1"/>
  <c r="CY74" i="92" s="1"/>
  <c r="CZ74" i="92" s="1"/>
  <c r="DA74" i="92" s="1"/>
  <c r="DB74" i="92" s="1"/>
  <c r="DC74" i="92" s="1"/>
  <c r="DF74" i="92"/>
  <c r="DG74" i="92" s="1"/>
  <c r="DJ74" i="92"/>
  <c r="DK74" i="92" s="1"/>
  <c r="DN74" i="92"/>
  <c r="DO74" i="92" s="1"/>
  <c r="DR74" i="92"/>
  <c r="DS74" i="92" s="1"/>
  <c r="CM75" i="92"/>
  <c r="CN75" i="92" s="1"/>
  <c r="CO75" i="92" s="1"/>
  <c r="CP75" i="92" s="1"/>
  <c r="CQ75" i="92" s="1"/>
  <c r="CR75" i="92" s="1"/>
  <c r="CS75" i="92" s="1"/>
  <c r="CT75" i="92" s="1"/>
  <c r="CU75" i="92" s="1"/>
  <c r="CV75" i="92" s="1"/>
  <c r="CW75" i="92" s="1"/>
  <c r="CX75" i="92" s="1"/>
  <c r="CY75" i="92" s="1"/>
  <c r="CZ75" i="92" s="1"/>
  <c r="DA75" i="92" s="1"/>
  <c r="DB75" i="92" s="1"/>
  <c r="DC75" i="92" s="1"/>
  <c r="DD75" i="92" s="1"/>
  <c r="DE75" i="92" s="1"/>
  <c r="DF75" i="92" s="1"/>
  <c r="DG75" i="92" s="1"/>
  <c r="DH75" i="92" s="1"/>
  <c r="DI75" i="92" s="1"/>
  <c r="DJ75" i="92" s="1"/>
  <c r="DK75" i="92" s="1"/>
  <c r="DL75" i="92" s="1"/>
  <c r="DM75" i="92" s="1"/>
  <c r="DN75" i="92" s="1"/>
  <c r="DO75" i="92" s="1"/>
  <c r="DP75" i="92" s="1"/>
  <c r="DQ75" i="92" s="1"/>
  <c r="DR75" i="92" s="1"/>
  <c r="DS75" i="92" s="1"/>
  <c r="DT75" i="92" s="1"/>
  <c r="DU75" i="92" s="1"/>
  <c r="DV75" i="92" s="1"/>
  <c r="DW75" i="92" s="1"/>
  <c r="DX75" i="92" s="1"/>
  <c r="DY75" i="92" s="1"/>
  <c r="DZ75" i="92" s="1"/>
  <c r="EA75" i="92" s="1"/>
  <c r="EB75" i="92" s="1"/>
  <c r="EC75" i="92" s="1"/>
  <c r="ED75" i="92" s="1"/>
  <c r="EE75" i="92" s="1"/>
  <c r="EF75" i="92" s="1"/>
  <c r="EG75" i="92" s="1"/>
  <c r="EH75" i="92" s="1"/>
  <c r="EI75" i="92" s="1"/>
  <c r="EJ75" i="92" s="1"/>
  <c r="EK75" i="92" s="1"/>
  <c r="CM76" i="92"/>
  <c r="CN76" i="92" s="1"/>
  <c r="CO76" i="92" s="1"/>
  <c r="CP76" i="92" s="1"/>
  <c r="CQ76" i="92" s="1"/>
  <c r="CR76" i="92" s="1"/>
  <c r="CS76" i="92" s="1"/>
  <c r="CT76" i="92" s="1"/>
  <c r="CU76" i="92" s="1"/>
  <c r="CV76" i="92" s="1"/>
  <c r="CW76" i="92" s="1"/>
  <c r="CX76" i="92" s="1"/>
  <c r="CY76" i="92" s="1"/>
  <c r="CZ76" i="92" s="1"/>
  <c r="DA76" i="92" s="1"/>
  <c r="DB76" i="92" s="1"/>
  <c r="DC76" i="92" s="1"/>
  <c r="DD76" i="92" s="1"/>
  <c r="DE76" i="92" s="1"/>
  <c r="DF76" i="92" s="1"/>
  <c r="DG76" i="92" s="1"/>
  <c r="DH76" i="92" s="1"/>
  <c r="DI76" i="92" s="1"/>
  <c r="DJ76" i="92" s="1"/>
  <c r="DK76" i="92" s="1"/>
  <c r="DL76" i="92" s="1"/>
  <c r="DM76" i="92" s="1"/>
  <c r="DN76" i="92" s="1"/>
  <c r="DO76" i="92" s="1"/>
  <c r="DP76" i="92" s="1"/>
  <c r="DQ76" i="92" s="1"/>
  <c r="DR76" i="92" s="1"/>
  <c r="DS76" i="92" s="1"/>
  <c r="DT76" i="92" s="1"/>
  <c r="DU76" i="92" s="1"/>
  <c r="DV76" i="92" s="1"/>
  <c r="DW76" i="92" s="1"/>
  <c r="DX76" i="92" s="1"/>
  <c r="DY76" i="92" s="1"/>
  <c r="DZ76" i="92" s="1"/>
  <c r="EA76" i="92" s="1"/>
  <c r="EB76" i="92" s="1"/>
  <c r="EC76" i="92" s="1"/>
  <c r="ED76" i="92" s="1"/>
  <c r="EE76" i="92" s="1"/>
  <c r="EF76" i="92" s="1"/>
  <c r="EG76" i="92" s="1"/>
  <c r="EH76" i="92" s="1"/>
  <c r="EI76" i="92" s="1"/>
  <c r="EJ76" i="92" s="1"/>
  <c r="EK76" i="92" s="1"/>
  <c r="CM79" i="92"/>
  <c r="CN79" i="92" s="1"/>
  <c r="CO79" i="92" s="1"/>
  <c r="CP79" i="92" s="1"/>
  <c r="CQ79" i="92" s="1"/>
  <c r="CR79" i="92" s="1"/>
  <c r="CS79" i="92" s="1"/>
  <c r="CT79" i="92" s="1"/>
  <c r="CU79" i="92" s="1"/>
  <c r="CV79" i="92" s="1"/>
  <c r="CW79" i="92" s="1"/>
  <c r="CX79" i="92" s="1"/>
  <c r="CY79" i="92" s="1"/>
  <c r="CZ79" i="92" s="1"/>
  <c r="DA79" i="92" s="1"/>
  <c r="DB79" i="92" s="1"/>
  <c r="DC79" i="92" s="1"/>
  <c r="DD79" i="92" s="1"/>
  <c r="DE79" i="92" s="1"/>
  <c r="DF79" i="92" s="1"/>
  <c r="DG79" i="92" s="1"/>
  <c r="DH79" i="92" s="1"/>
  <c r="DI79" i="92" s="1"/>
  <c r="DJ79" i="92" s="1"/>
  <c r="DK79" i="92" s="1"/>
  <c r="DL79" i="92" s="1"/>
  <c r="DM79" i="92" s="1"/>
  <c r="DN79" i="92" s="1"/>
  <c r="DO79" i="92" s="1"/>
  <c r="DP79" i="92" s="1"/>
  <c r="DQ79" i="92" s="1"/>
  <c r="DR79" i="92" s="1"/>
  <c r="DS79" i="92" s="1"/>
  <c r="DT79" i="92" s="1"/>
  <c r="DU79" i="92" s="1"/>
  <c r="DV79" i="92" s="1"/>
  <c r="DW79" i="92" s="1"/>
  <c r="DX79" i="92" s="1"/>
  <c r="DY79" i="92" s="1"/>
  <c r="DZ79" i="92" s="1"/>
  <c r="EA79" i="92" s="1"/>
  <c r="EB79" i="92" s="1"/>
  <c r="EC79" i="92" s="1"/>
  <c r="ED79" i="92" s="1"/>
  <c r="EE79" i="92" s="1"/>
  <c r="EF79" i="92" s="1"/>
  <c r="EG79" i="92" s="1"/>
  <c r="EH79" i="92" s="1"/>
  <c r="EI79" i="92" s="1"/>
  <c r="EJ79" i="92" s="1"/>
  <c r="EK79" i="92" s="1"/>
  <c r="CM81" i="92"/>
  <c r="CN81" i="92" s="1"/>
  <c r="CO81" i="92" s="1"/>
  <c r="CP81" i="92" s="1"/>
  <c r="CQ81" i="92" s="1"/>
  <c r="CR81" i="92" s="1"/>
  <c r="CM82" i="92"/>
  <c r="CN82" i="92" s="1"/>
  <c r="CO82" i="92" s="1"/>
  <c r="CP82" i="92" s="1"/>
  <c r="CQ82" i="92" s="1"/>
  <c r="CR82" i="92" s="1"/>
  <c r="CS82" i="92" s="1"/>
  <c r="CT82" i="92" s="1"/>
  <c r="CU82" i="92" s="1"/>
  <c r="CV82" i="92" s="1"/>
  <c r="CW82" i="92" s="1"/>
  <c r="CX82" i="92" s="1"/>
  <c r="CY82" i="92" s="1"/>
  <c r="CZ82" i="92" s="1"/>
  <c r="DA82" i="92" s="1"/>
  <c r="DB82" i="92" s="1"/>
  <c r="DC82" i="92" s="1"/>
  <c r="DD82" i="92" s="1"/>
  <c r="DF82" i="92"/>
  <c r="DG82" i="92" s="1"/>
  <c r="DH82" i="92" s="1"/>
  <c r="DJ82" i="92"/>
  <c r="DK82" i="92" s="1"/>
  <c r="DL82" i="92" s="1"/>
  <c r="DN82" i="92"/>
  <c r="DO82" i="92" s="1"/>
  <c r="DP82" i="92" s="1"/>
  <c r="DR82" i="92"/>
  <c r="DS82" i="92" s="1"/>
  <c r="DT82" i="92" s="1"/>
  <c r="CM83" i="92"/>
  <c r="CN83" i="92" s="1"/>
  <c r="CO83" i="92" s="1"/>
  <c r="CP83" i="92" s="1"/>
  <c r="CQ83" i="92" s="1"/>
  <c r="CR83" i="92" s="1"/>
  <c r="CS83" i="92" s="1"/>
  <c r="CT83" i="92" s="1"/>
  <c r="CU83" i="92" s="1"/>
  <c r="CV83" i="92" s="1"/>
  <c r="CW83" i="92" s="1"/>
  <c r="CX83" i="92" s="1"/>
  <c r="CY83" i="92" s="1"/>
  <c r="CZ83" i="92" s="1"/>
  <c r="DA83" i="92" s="1"/>
  <c r="DB83" i="92" s="1"/>
  <c r="DC83" i="92" s="1"/>
  <c r="DD83" i="92" s="1"/>
  <c r="DE83" i="92" s="1"/>
  <c r="DF83" i="92" s="1"/>
  <c r="DG83" i="92" s="1"/>
  <c r="DH83" i="92" s="1"/>
  <c r="DI83" i="92" s="1"/>
  <c r="DJ83" i="92" s="1"/>
  <c r="DK83" i="92" s="1"/>
  <c r="DL83" i="92" s="1"/>
  <c r="DM83" i="92" s="1"/>
  <c r="DN83" i="92" s="1"/>
  <c r="DO83" i="92" s="1"/>
  <c r="DP83" i="92" s="1"/>
  <c r="DQ83" i="92" s="1"/>
  <c r="DR83" i="92" s="1"/>
  <c r="DS83" i="92" s="1"/>
  <c r="DT83" i="92" s="1"/>
  <c r="DU83" i="92" s="1"/>
  <c r="DV83" i="92" s="1"/>
  <c r="DW83" i="92" s="1"/>
  <c r="DX83" i="92" s="1"/>
  <c r="DY83" i="92" s="1"/>
  <c r="DZ83" i="92" s="1"/>
  <c r="EA83" i="92" s="1"/>
  <c r="EB83" i="92" s="1"/>
  <c r="EC83" i="92" s="1"/>
  <c r="ED83" i="92" s="1"/>
  <c r="EE83" i="92" s="1"/>
  <c r="EF83" i="92" s="1"/>
  <c r="EG83" i="92" s="1"/>
  <c r="EH83" i="92" s="1"/>
  <c r="EI83" i="92" s="1"/>
  <c r="EJ83" i="92" s="1"/>
  <c r="EK83" i="92" s="1"/>
  <c r="CM84" i="92"/>
  <c r="CN84" i="92" s="1"/>
  <c r="CO84" i="92" s="1"/>
  <c r="CM85" i="92"/>
  <c r="CN85" i="92" s="1"/>
  <c r="CO85" i="92" s="1"/>
  <c r="CP85" i="92" s="1"/>
  <c r="CQ85" i="92" s="1"/>
  <c r="CR85" i="92" s="1"/>
  <c r="CS85" i="92" s="1"/>
  <c r="CM86" i="92"/>
  <c r="CN86" i="92" s="1"/>
  <c r="CO86" i="92" s="1"/>
  <c r="CP86" i="92" s="1"/>
  <c r="CQ86" i="92" s="1"/>
  <c r="CR86" i="92" s="1"/>
  <c r="CS86" i="92" s="1"/>
  <c r="CT86" i="92" s="1"/>
  <c r="CU86" i="92" s="1"/>
  <c r="CV86" i="92" s="1"/>
  <c r="CW86" i="92" s="1"/>
  <c r="CM87" i="92"/>
  <c r="CN87" i="92" s="1"/>
  <c r="CO87" i="92" s="1"/>
  <c r="CP87" i="92" s="1"/>
  <c r="CQ87" i="92" s="1"/>
  <c r="CR87" i="92" s="1"/>
  <c r="CS87" i="92" s="1"/>
  <c r="CT87" i="92" s="1"/>
  <c r="CU87" i="92" s="1"/>
  <c r="CV87" i="92" s="1"/>
  <c r="CW87" i="92" s="1"/>
  <c r="CX87" i="92" s="1"/>
  <c r="CY87" i="92" s="1"/>
  <c r="CZ87" i="92" s="1"/>
  <c r="DA87" i="92" s="1"/>
  <c r="DB87" i="92" s="1"/>
  <c r="DC87" i="92" s="1"/>
  <c r="DD87" i="92" s="1"/>
  <c r="DE87" i="92" s="1"/>
  <c r="DF87" i="92" s="1"/>
  <c r="DG87" i="92" s="1"/>
  <c r="DH87" i="92" s="1"/>
  <c r="DI87" i="92" s="1"/>
  <c r="DJ87" i="92" s="1"/>
  <c r="DK87" i="92" s="1"/>
  <c r="DL87" i="92" s="1"/>
  <c r="CM88" i="92"/>
  <c r="CN88" i="92" s="1"/>
  <c r="CO88" i="92" s="1"/>
  <c r="CP88" i="92" s="1"/>
  <c r="CQ88" i="92" s="1"/>
  <c r="CR88" i="92" s="1"/>
  <c r="CS88" i="92" s="1"/>
  <c r="CT88" i="92" s="1"/>
  <c r="CU88" i="92" s="1"/>
  <c r="CV88" i="92" s="1"/>
  <c r="CW88" i="92" s="1"/>
  <c r="CX88" i="92" s="1"/>
  <c r="CY88" i="92" s="1"/>
  <c r="CZ88" i="92" s="1"/>
  <c r="DA88" i="92" s="1"/>
  <c r="DB88" i="92" s="1"/>
  <c r="DC88" i="92" s="1"/>
  <c r="DD88" i="92" s="1"/>
  <c r="DE88" i="92" s="1"/>
  <c r="DF88" i="92" s="1"/>
  <c r="DG88" i="92" s="1"/>
  <c r="DH88" i="92" s="1"/>
  <c r="DI88" i="92" s="1"/>
  <c r="DJ88" i="92" s="1"/>
  <c r="DK88" i="92" s="1"/>
  <c r="DL88" i="92" s="1"/>
  <c r="DM88" i="92" s="1"/>
  <c r="DN88" i="92" s="1"/>
  <c r="DO88" i="92" s="1"/>
  <c r="DP88" i="92" s="1"/>
  <c r="DQ88" i="92" s="1"/>
  <c r="DR88" i="92" s="1"/>
  <c r="DS88" i="92" s="1"/>
  <c r="DT88" i="92" s="1"/>
  <c r="DU88" i="92" s="1"/>
  <c r="DV88" i="92" s="1"/>
  <c r="DW88" i="92" s="1"/>
  <c r="DX88" i="92" s="1"/>
  <c r="DY88" i="92" s="1"/>
  <c r="DZ88" i="92" s="1"/>
  <c r="EA88" i="92" s="1"/>
  <c r="EB88" i="92" s="1"/>
  <c r="EC88" i="92" s="1"/>
  <c r="ED88" i="92" s="1"/>
  <c r="EE88" i="92" s="1"/>
  <c r="EF88" i="92" s="1"/>
  <c r="EG88" i="92" s="1"/>
  <c r="EH88" i="92" s="1"/>
  <c r="EI88" i="92" s="1"/>
  <c r="EJ88" i="92" s="1"/>
  <c r="EK88" i="92" s="1"/>
  <c r="CM89" i="92"/>
  <c r="CN89" i="92" s="1"/>
  <c r="CO89" i="92" s="1"/>
  <c r="CP89" i="92" s="1"/>
  <c r="CQ89" i="92" s="1"/>
  <c r="CR89" i="92" s="1"/>
  <c r="CS89" i="92" s="1"/>
  <c r="CT89" i="92" s="1"/>
  <c r="CU89" i="92" s="1"/>
  <c r="CV89" i="92" s="1"/>
  <c r="CW89" i="92" s="1"/>
  <c r="CX89" i="92" s="1"/>
  <c r="CY89" i="92" s="1"/>
  <c r="CZ89" i="92" s="1"/>
  <c r="DA89" i="92" s="1"/>
  <c r="DB89" i="92" s="1"/>
  <c r="DC89" i="92" s="1"/>
  <c r="DD89" i="92" s="1"/>
  <c r="DE89" i="92" s="1"/>
  <c r="DF89" i="92" s="1"/>
  <c r="DG89" i="92" s="1"/>
  <c r="DH89" i="92" s="1"/>
  <c r="DI89" i="92" s="1"/>
  <c r="DJ89" i="92" s="1"/>
  <c r="DK89" i="92" s="1"/>
  <c r="DL89" i="92" s="1"/>
  <c r="DM89" i="92" s="1"/>
  <c r="DN89" i="92" s="1"/>
  <c r="DO89" i="92" s="1"/>
  <c r="DP89" i="92" s="1"/>
  <c r="DQ89" i="92" s="1"/>
  <c r="DR89" i="92" s="1"/>
  <c r="DS89" i="92" s="1"/>
  <c r="DT89" i="92" s="1"/>
  <c r="DU89" i="92" s="1"/>
  <c r="DV89" i="92" s="1"/>
  <c r="DW89" i="92" s="1"/>
  <c r="DX89" i="92" s="1"/>
  <c r="DY89" i="92" s="1"/>
  <c r="DZ89" i="92" s="1"/>
  <c r="EA89" i="92" s="1"/>
  <c r="EB89" i="92" s="1"/>
  <c r="EC89" i="92" s="1"/>
  <c r="ED89" i="92" s="1"/>
  <c r="EE89" i="92" s="1"/>
  <c r="EF89" i="92" s="1"/>
  <c r="EG89" i="92" s="1"/>
  <c r="EH89" i="92" s="1"/>
  <c r="EI89" i="92" s="1"/>
  <c r="EJ89" i="92" s="1"/>
  <c r="EK89" i="92" s="1"/>
  <c r="CM90" i="92"/>
  <c r="CN90" i="92" s="1"/>
  <c r="CO90" i="92" s="1"/>
  <c r="CP90" i="92" s="1"/>
  <c r="CQ90" i="92" s="1"/>
  <c r="CR90" i="92" s="1"/>
  <c r="CS90" i="92" s="1"/>
  <c r="CT90" i="92" s="1"/>
  <c r="CU90" i="92" s="1"/>
  <c r="CV90" i="92" s="1"/>
  <c r="CW90" i="92" s="1"/>
  <c r="CX90" i="92" s="1"/>
  <c r="CY90" i="92" s="1"/>
  <c r="CZ90" i="92" s="1"/>
  <c r="DA90" i="92" s="1"/>
  <c r="DB90" i="92" s="1"/>
  <c r="DC90" i="92" s="1"/>
  <c r="DD90" i="92" s="1"/>
  <c r="DE90" i="92" s="1"/>
  <c r="DF90" i="92" s="1"/>
  <c r="DG90" i="92" s="1"/>
  <c r="DH90" i="92" s="1"/>
  <c r="DI90" i="92" s="1"/>
  <c r="DJ90" i="92" s="1"/>
  <c r="DK90" i="92" s="1"/>
  <c r="DL90" i="92" s="1"/>
  <c r="DM90" i="92" s="1"/>
  <c r="DN90" i="92" s="1"/>
  <c r="DO90" i="92" s="1"/>
  <c r="DP90" i="92" s="1"/>
  <c r="DQ90" i="92" s="1"/>
  <c r="DR90" i="92" s="1"/>
  <c r="DS90" i="92" s="1"/>
  <c r="DT90" i="92" s="1"/>
  <c r="DU90" i="92" s="1"/>
  <c r="DV90" i="92" s="1"/>
  <c r="DW90" i="92" s="1"/>
  <c r="DX90" i="92" s="1"/>
  <c r="DY90" i="92" s="1"/>
  <c r="DZ90" i="92" s="1"/>
  <c r="EA90" i="92" s="1"/>
  <c r="EB90" i="92" s="1"/>
  <c r="EC90" i="92" s="1"/>
  <c r="ED90" i="92" s="1"/>
  <c r="EE90" i="92" s="1"/>
  <c r="EF90" i="92" s="1"/>
  <c r="EG90" i="92" s="1"/>
  <c r="EH90" i="92" s="1"/>
  <c r="EI90" i="92" s="1"/>
  <c r="EJ90" i="92" s="1"/>
  <c r="EK90" i="92" s="1"/>
  <c r="CL91" i="92"/>
  <c r="CL97" i="92" s="1"/>
  <c r="CM91" i="92"/>
  <c r="CN91" i="92"/>
  <c r="CO91" i="92"/>
  <c r="CP91" i="92"/>
  <c r="CQ91" i="92"/>
  <c r="CR91" i="92"/>
  <c r="CS91" i="92"/>
  <c r="CT91" i="92"/>
  <c r="CU91" i="92"/>
  <c r="CV91" i="92"/>
  <c r="CW91" i="92"/>
  <c r="CX91" i="92"/>
  <c r="CZ91" i="92"/>
  <c r="DA91" i="92"/>
  <c r="DB91" i="92"/>
  <c r="DC91" i="92"/>
  <c r="DC101" i="92" s="1"/>
  <c r="DD91" i="92"/>
  <c r="CN13" i="92"/>
  <c r="CO13" i="92" s="1"/>
  <c r="CP13" i="92" s="1"/>
  <c r="CQ13" i="92" s="1"/>
  <c r="CR13" i="92" s="1"/>
  <c r="CS13" i="92" s="1"/>
  <c r="DB95" i="92"/>
  <c r="DC95" i="92" s="1"/>
  <c r="DD95" i="92" s="1"/>
  <c r="DE95" i="92" s="1"/>
  <c r="DF95" i="92" s="1"/>
  <c r="DG95" i="92" s="1"/>
  <c r="DH95" i="92" s="1"/>
  <c r="DI95" i="92" s="1"/>
  <c r="DJ95" i="92" s="1"/>
  <c r="DK95" i="92" s="1"/>
  <c r="DL95" i="92" s="1"/>
  <c r="DM95" i="92" s="1"/>
  <c r="DN95" i="92" s="1"/>
  <c r="DO95" i="92" s="1"/>
  <c r="DP95" i="92" s="1"/>
  <c r="DQ95" i="92" s="1"/>
  <c r="DR95" i="92" s="1"/>
  <c r="DS95" i="92" s="1"/>
  <c r="DT95" i="92" s="1"/>
  <c r="DU95" i="92" s="1"/>
  <c r="DV95" i="92" s="1"/>
  <c r="DW95" i="92" s="1"/>
  <c r="DX95" i="92" s="1"/>
  <c r="DY95" i="92" s="1"/>
  <c r="DZ95" i="92" s="1"/>
  <c r="EA95" i="92" s="1"/>
  <c r="EB95" i="92" s="1"/>
  <c r="EC95" i="92" s="1"/>
  <c r="ED95" i="92" s="1"/>
  <c r="EE95" i="92" s="1"/>
  <c r="EF95" i="92" s="1"/>
  <c r="EG95" i="92" s="1"/>
  <c r="EH95" i="92" s="1"/>
  <c r="EI95" i="92" s="1"/>
  <c r="EJ95" i="92" s="1"/>
  <c r="EK95" i="92" s="1"/>
  <c r="DM87" i="92" l="1"/>
  <c r="DN87" i="92" s="1"/>
  <c r="DO87" i="92" s="1"/>
  <c r="DP87" i="92" s="1"/>
  <c r="DQ87" i="92" s="1"/>
  <c r="DR87" i="92" s="1"/>
  <c r="DS87" i="92" s="1"/>
  <c r="DT87" i="92" s="1"/>
  <c r="DU87" i="92" s="1"/>
  <c r="DV87" i="92" s="1"/>
  <c r="DV114" i="92" s="1"/>
  <c r="DL114" i="92"/>
  <c r="DM69" i="92"/>
  <c r="DN69" i="92" s="1"/>
  <c r="DO69" i="92" s="1"/>
  <c r="DP69" i="92" s="1"/>
  <c r="DQ69" i="92" s="1"/>
  <c r="DR69" i="92" s="1"/>
  <c r="DS69" i="92" s="1"/>
  <c r="DT69" i="92" s="1"/>
  <c r="DU69" i="92" s="1"/>
  <c r="DV69" i="92" s="1"/>
  <c r="DW69" i="92" s="1"/>
  <c r="CQ242" i="112"/>
  <c r="CQ244" i="112"/>
  <c r="CQ245" i="112" s="1"/>
  <c r="ED87" i="119"/>
  <c r="CR230" i="112"/>
  <c r="CQ235" i="112"/>
  <c r="CU240" i="112"/>
  <c r="CU241" i="112" s="1"/>
  <c r="CQ79" i="51"/>
  <c r="CQ236" i="112"/>
  <c r="CQ94" i="113"/>
  <c r="CQ92" i="113" s="1"/>
  <c r="CR231" i="112"/>
  <c r="CU93" i="92"/>
  <c r="CV93" i="92" s="1"/>
  <c r="CW93" i="92" s="1"/>
  <c r="CX93" i="92" s="1"/>
  <c r="CY93" i="92" s="1"/>
  <c r="CZ93" i="92" s="1"/>
  <c r="DA93" i="92" s="1"/>
  <c r="DB93" i="92" s="1"/>
  <c r="DC93" i="92" s="1"/>
  <c r="DD93" i="92" s="1"/>
  <c r="DE93" i="92" s="1"/>
  <c r="DF93" i="92" s="1"/>
  <c r="DG93" i="92" s="1"/>
  <c r="DH93" i="92" s="1"/>
  <c r="DI93" i="92" s="1"/>
  <c r="DJ93" i="92" s="1"/>
  <c r="DK93" i="92" s="1"/>
  <c r="DL93" i="92" s="1"/>
  <c r="CL116" i="92"/>
  <c r="CT115" i="92"/>
  <c r="CY94" i="92"/>
  <c r="CZ94" i="92" s="1"/>
  <c r="CL207" i="92"/>
  <c r="CX114" i="92"/>
  <c r="CY114" i="92"/>
  <c r="CM121" i="92"/>
  <c r="CN112" i="92"/>
  <c r="DG114" i="92"/>
  <c r="CP114" i="92"/>
  <c r="CV114" i="92"/>
  <c r="DB114" i="92"/>
  <c r="DH114" i="92"/>
  <c r="DA114" i="92"/>
  <c r="CM113" i="92"/>
  <c r="CQ114" i="92"/>
  <c r="CW114" i="92"/>
  <c r="DC114" i="92"/>
  <c r="DI114" i="92"/>
  <c r="CN113" i="92"/>
  <c r="CR114" i="92"/>
  <c r="DD114" i="92"/>
  <c r="DJ114" i="92"/>
  <c r="CS114" i="92"/>
  <c r="DE114" i="92"/>
  <c r="DK114" i="92"/>
  <c r="CN114" i="92"/>
  <c r="CU114" i="92"/>
  <c r="CM112" i="92"/>
  <c r="CM114" i="92"/>
  <c r="CQ112" i="92"/>
  <c r="CT114" i="92"/>
  <c r="CZ114" i="92"/>
  <c r="DF114" i="92"/>
  <c r="CP84" i="92"/>
  <c r="CQ84" i="92" s="1"/>
  <c r="CR84" i="92" s="1"/>
  <c r="CS84" i="92" s="1"/>
  <c r="CT84" i="92" s="1"/>
  <c r="CU84" i="92" s="1"/>
  <c r="CV84" i="92" s="1"/>
  <c r="CW84" i="92" s="1"/>
  <c r="CX84" i="92" s="1"/>
  <c r="CY84" i="92" s="1"/>
  <c r="CZ84" i="92" s="1"/>
  <c r="DA84" i="92" s="1"/>
  <c r="DB84" i="92" s="1"/>
  <c r="DC84" i="92" s="1"/>
  <c r="DD84" i="92" s="1"/>
  <c r="DE84" i="92" s="1"/>
  <c r="DF84" i="92" s="1"/>
  <c r="DG84" i="92" s="1"/>
  <c r="DH84" i="92" s="1"/>
  <c r="DI84" i="92" s="1"/>
  <c r="DJ84" i="92" s="1"/>
  <c r="DK84" i="92" s="1"/>
  <c r="DL84" i="92" s="1"/>
  <c r="DM84" i="92" s="1"/>
  <c r="DN84" i="92" s="1"/>
  <c r="DO84" i="92" s="1"/>
  <c r="DP84" i="92" s="1"/>
  <c r="DQ84" i="92" s="1"/>
  <c r="DR84" i="92" s="1"/>
  <c r="DS84" i="92" s="1"/>
  <c r="DT84" i="92" s="1"/>
  <c r="DU84" i="92" s="1"/>
  <c r="DV84" i="92" s="1"/>
  <c r="DW84" i="92" s="1"/>
  <c r="DX84" i="92" s="1"/>
  <c r="DY84" i="92" s="1"/>
  <c r="DZ84" i="92" s="1"/>
  <c r="EA84" i="92" s="1"/>
  <c r="EB84" i="92" s="1"/>
  <c r="EC84" i="92" s="1"/>
  <c r="ED84" i="92" s="1"/>
  <c r="EE84" i="92" s="1"/>
  <c r="EF84" i="92" s="1"/>
  <c r="EG84" i="92" s="1"/>
  <c r="EH84" i="92" s="1"/>
  <c r="EI84" i="92" s="1"/>
  <c r="EJ84" i="92" s="1"/>
  <c r="EK84" i="92" s="1"/>
  <c r="CO80" i="92"/>
  <c r="CR62" i="92"/>
  <c r="CR112" i="92" s="1"/>
  <c r="CU61" i="92"/>
  <c r="CU112" i="92" s="1"/>
  <c r="CO61" i="92"/>
  <c r="DT114" i="92" l="1"/>
  <c r="DN114" i="92"/>
  <c r="DW87" i="92"/>
  <c r="DW114" i="92" s="1"/>
  <c r="DR114" i="92"/>
  <c r="DQ114" i="92"/>
  <c r="DU114" i="92"/>
  <c r="DS114" i="92"/>
  <c r="DM114" i="92"/>
  <c r="DP114" i="92"/>
  <c r="DO114" i="92"/>
  <c r="DM93" i="92"/>
  <c r="DN93" i="92" s="1"/>
  <c r="DO93" i="92" s="1"/>
  <c r="DP93" i="92" s="1"/>
  <c r="DQ93" i="92" s="1"/>
  <c r="DR93" i="92" s="1"/>
  <c r="DS93" i="92" s="1"/>
  <c r="DT93" i="92" s="1"/>
  <c r="DU93" i="92" s="1"/>
  <c r="DV93" i="92" s="1"/>
  <c r="DW93" i="92" s="1"/>
  <c r="CV115" i="92"/>
  <c r="CR242" i="112"/>
  <c r="CR244" i="112"/>
  <c r="CR245" i="112" s="1"/>
  <c r="CW115" i="92"/>
  <c r="CX115" i="92"/>
  <c r="CV119" i="92"/>
  <c r="CW119" i="92"/>
  <c r="CU119" i="92"/>
  <c r="DX69" i="92"/>
  <c r="EE87" i="119"/>
  <c r="CS230" i="112"/>
  <c r="CR235" i="112"/>
  <c r="CV240" i="112"/>
  <c r="CV241" i="112" s="1"/>
  <c r="CR79" i="51"/>
  <c r="CR236" i="112"/>
  <c r="CU115" i="92"/>
  <c r="CX119" i="92"/>
  <c r="CR94" i="113"/>
  <c r="CS231" i="112"/>
  <c r="DA94" i="92"/>
  <c r="CZ119" i="92"/>
  <c r="CY115" i="92"/>
  <c r="CY119" i="92"/>
  <c r="CN121" i="92"/>
  <c r="CQ80" i="92"/>
  <c r="CR80" i="92"/>
  <c r="CP113" i="92"/>
  <c r="CP61" i="92"/>
  <c r="CS62" i="92"/>
  <c r="CS112" i="92" s="1"/>
  <c r="CV61" i="92"/>
  <c r="CV112" i="92" s="1"/>
  <c r="DX87" i="92" l="1"/>
  <c r="DY87" i="92" s="1"/>
  <c r="CS242" i="112"/>
  <c r="CS244" i="112"/>
  <c r="DX93" i="92"/>
  <c r="DY69" i="92"/>
  <c r="EF87" i="119"/>
  <c r="CS235" i="112"/>
  <c r="CW240" i="112"/>
  <c r="CW241" i="112" s="1"/>
  <c r="CT230" i="112"/>
  <c r="FJ230" i="112"/>
  <c r="CS79" i="51"/>
  <c r="CS236" i="112"/>
  <c r="CS94" i="113"/>
  <c r="CS92" i="113" s="1"/>
  <c r="CT231" i="112"/>
  <c r="FJ231" i="112"/>
  <c r="FJ242" i="112" s="1"/>
  <c r="CR92" i="113"/>
  <c r="DB94" i="92"/>
  <c r="DA119" i="92"/>
  <c r="CO121" i="92"/>
  <c r="CS80" i="92"/>
  <c r="CP112" i="92"/>
  <c r="CW61" i="92"/>
  <c r="CW112" i="92" s="1"/>
  <c r="CT62" i="92"/>
  <c r="DX114" i="92" l="1"/>
  <c r="CT242" i="112"/>
  <c r="CT244" i="112"/>
  <c r="CT245" i="112" s="1"/>
  <c r="FJ244" i="112"/>
  <c r="FJ245" i="112" s="1"/>
  <c r="CS245" i="112"/>
  <c r="DY93" i="92"/>
  <c r="DZ87" i="92"/>
  <c r="DY114" i="92"/>
  <c r="DZ69" i="92"/>
  <c r="EG87" i="119"/>
  <c r="FJ235" i="112"/>
  <c r="FK240" i="112"/>
  <c r="FK241" i="112" s="1"/>
  <c r="CU230" i="112"/>
  <c r="CT235" i="112"/>
  <c r="CX240" i="112"/>
  <c r="CX241" i="112" s="1"/>
  <c r="FJ79" i="51"/>
  <c r="FJ236" i="112"/>
  <c r="CT79" i="51"/>
  <c r="CT236" i="112"/>
  <c r="FJ92" i="113"/>
  <c r="FJ94" i="113"/>
  <c r="CT94" i="113"/>
  <c r="CT92" i="113" s="1"/>
  <c r="CU231" i="112"/>
  <c r="DC94" i="92"/>
  <c r="DB119" i="92"/>
  <c r="CP121" i="92"/>
  <c r="CT80" i="92"/>
  <c r="CS113" i="92"/>
  <c r="CT112" i="92"/>
  <c r="CX61" i="92"/>
  <c r="CX112" i="92" s="1"/>
  <c r="CU242" i="112" l="1"/>
  <c r="CU244" i="112"/>
  <c r="CU245" i="112" s="1"/>
  <c r="DZ114" i="92"/>
  <c r="EA87" i="92"/>
  <c r="DZ93" i="92"/>
  <c r="EA69" i="92"/>
  <c r="EH87" i="119"/>
  <c r="CV230" i="112"/>
  <c r="CU235" i="112"/>
  <c r="CY240" i="112"/>
  <c r="CY241" i="112" s="1"/>
  <c r="CU79" i="51"/>
  <c r="CU236" i="112"/>
  <c r="CU94" i="113"/>
  <c r="CU92" i="113" s="1"/>
  <c r="CV231" i="112"/>
  <c r="DD94" i="92"/>
  <c r="DC119" i="92"/>
  <c r="CQ121" i="92"/>
  <c r="CT113" i="92"/>
  <c r="CU80" i="92"/>
  <c r="CY61" i="92"/>
  <c r="CY112" i="92" s="1"/>
  <c r="CV242" i="112" l="1"/>
  <c r="CV244" i="112"/>
  <c r="CV245" i="112" s="1"/>
  <c r="EB69" i="92"/>
  <c r="EA93" i="92"/>
  <c r="EB87" i="92"/>
  <c r="EA114" i="92"/>
  <c r="EI87" i="119"/>
  <c r="CW230" i="112"/>
  <c r="CV235" i="112"/>
  <c r="CZ240" i="112"/>
  <c r="CZ241" i="112" s="1"/>
  <c r="CV79" i="51"/>
  <c r="CV236" i="112"/>
  <c r="CV94" i="113"/>
  <c r="CV92" i="113" s="1"/>
  <c r="CW231" i="112"/>
  <c r="DE94" i="92"/>
  <c r="DD119" i="92"/>
  <c r="CR121" i="92"/>
  <c r="CU113" i="92"/>
  <c r="CV80" i="92"/>
  <c r="CZ61" i="92"/>
  <c r="CZ112" i="92" s="1"/>
  <c r="CW242" i="112" l="1"/>
  <c r="CW244" i="112"/>
  <c r="EB114" i="92"/>
  <c r="EC87" i="92"/>
  <c r="EB93" i="92"/>
  <c r="EC69" i="92"/>
  <c r="EJ87" i="119"/>
  <c r="CW235" i="112"/>
  <c r="DA240" i="112"/>
  <c r="DA241" i="112" s="1"/>
  <c r="CX230" i="112"/>
  <c r="FK230" i="112"/>
  <c r="CW79" i="51"/>
  <c r="CW236" i="112"/>
  <c r="CW94" i="113"/>
  <c r="CX231" i="112"/>
  <c r="FK231" i="112"/>
  <c r="FK242" i="112" s="1"/>
  <c r="DF94" i="92"/>
  <c r="DE119" i="92"/>
  <c r="CS121" i="92"/>
  <c r="CW80" i="92"/>
  <c r="CV113" i="92"/>
  <c r="DA61" i="92"/>
  <c r="DA112" i="92" s="1"/>
  <c r="CX242" i="112" l="1"/>
  <c r="CX244" i="112"/>
  <c r="CX245" i="112" s="1"/>
  <c r="CW245" i="112"/>
  <c r="FK244" i="112"/>
  <c r="FK245" i="112" s="1"/>
  <c r="ED69" i="92"/>
  <c r="EC93" i="92"/>
  <c r="ED87" i="92"/>
  <c r="EC114" i="92"/>
  <c r="EK87" i="119"/>
  <c r="FK235" i="112"/>
  <c r="FL240" i="112"/>
  <c r="FL241" i="112" s="1"/>
  <c r="CY230" i="112"/>
  <c r="CX235" i="112"/>
  <c r="DB240" i="112"/>
  <c r="DB241" i="112" s="1"/>
  <c r="FK79" i="51"/>
  <c r="FK236" i="112"/>
  <c r="CX79" i="51"/>
  <c r="CX236" i="112"/>
  <c r="CX94" i="113"/>
  <c r="CX92" i="113" s="1"/>
  <c r="CY231" i="112"/>
  <c r="CW92" i="113"/>
  <c r="FK92" i="113" s="1"/>
  <c r="FK94" i="113"/>
  <c r="DG94" i="92"/>
  <c r="DF119" i="92"/>
  <c r="CT121" i="92"/>
  <c r="CX80" i="92"/>
  <c r="CX113" i="92" s="1"/>
  <c r="CW113" i="92"/>
  <c r="DB61" i="92"/>
  <c r="DB112" i="92" s="1"/>
  <c r="CY242" i="112" l="1"/>
  <c r="CY244" i="112"/>
  <c r="CY245" i="112" s="1"/>
  <c r="EE87" i="92"/>
  <c r="ED114" i="92"/>
  <c r="ED93" i="92"/>
  <c r="EE69" i="92"/>
  <c r="FS12" i="2"/>
  <c r="CZ230" i="112"/>
  <c r="CY235" i="112"/>
  <c r="DC240" i="112"/>
  <c r="DC241" i="112" s="1"/>
  <c r="CY79" i="51"/>
  <c r="CY236" i="112"/>
  <c r="CY94" i="113"/>
  <c r="CY92" i="113" s="1"/>
  <c r="CZ231" i="112"/>
  <c r="DH94" i="92"/>
  <c r="DG119" i="92"/>
  <c r="CU121" i="92"/>
  <c r="CY80" i="92"/>
  <c r="CY113" i="92" s="1"/>
  <c r="DC61" i="92"/>
  <c r="DC112" i="92" s="1"/>
  <c r="CZ242" i="112" l="1"/>
  <c r="CZ244" i="112"/>
  <c r="CZ245" i="112" s="1"/>
  <c r="EE93" i="92"/>
  <c r="EF69" i="92"/>
  <c r="EE114" i="92"/>
  <c r="EF87" i="92"/>
  <c r="FT12" i="2"/>
  <c r="AG87" i="119"/>
  <c r="DA230" i="112"/>
  <c r="CZ235" i="112"/>
  <c r="DD240" i="112"/>
  <c r="DD241" i="112" s="1"/>
  <c r="CZ79" i="51"/>
  <c r="CZ236" i="112"/>
  <c r="CZ94" i="113"/>
  <c r="CZ92" i="113" s="1"/>
  <c r="DA231" i="112"/>
  <c r="DI94" i="92"/>
  <c r="DH119" i="92"/>
  <c r="CV121" i="92"/>
  <c r="CZ80" i="92"/>
  <c r="DD61" i="92"/>
  <c r="DD112" i="92" s="1"/>
  <c r="DA242" i="112" l="1"/>
  <c r="DA244" i="112"/>
  <c r="EG69" i="92"/>
  <c r="EF114" i="92"/>
  <c r="EG87" i="92"/>
  <c r="EF93" i="92"/>
  <c r="FU12" i="2"/>
  <c r="FV12" i="2"/>
  <c r="AH87" i="119"/>
  <c r="DA235" i="112"/>
  <c r="DE240" i="112"/>
  <c r="DE241" i="112" s="1"/>
  <c r="DB230" i="112"/>
  <c r="FL230" i="112"/>
  <c r="DA79" i="51"/>
  <c r="DA236" i="112"/>
  <c r="DA94" i="113"/>
  <c r="FL231" i="112"/>
  <c r="FL242" i="112" s="1"/>
  <c r="DB231" i="112"/>
  <c r="DJ94" i="92"/>
  <c r="DI119" i="92"/>
  <c r="CW121" i="92"/>
  <c r="CZ113" i="92"/>
  <c r="DA80" i="92"/>
  <c r="DE61" i="92"/>
  <c r="DE112" i="92" s="1"/>
  <c r="DA245" i="112" l="1"/>
  <c r="FL244" i="112"/>
  <c r="FL245" i="112" s="1"/>
  <c r="DB242" i="112"/>
  <c r="DB244" i="112"/>
  <c r="DB245" i="112" s="1"/>
  <c r="EG93" i="92"/>
  <c r="EG114" i="92"/>
  <c r="EH87" i="92"/>
  <c r="EH69" i="92"/>
  <c r="AJ87" i="119"/>
  <c r="AI87" i="119"/>
  <c r="FL235" i="112"/>
  <c r="FM240" i="112"/>
  <c r="FM241" i="112" s="1"/>
  <c r="DC230" i="112"/>
  <c r="DB235" i="112"/>
  <c r="DF240" i="112"/>
  <c r="DF241" i="112" s="1"/>
  <c r="DB79" i="51"/>
  <c r="DB236" i="112"/>
  <c r="FL79" i="51"/>
  <c r="FL236" i="112"/>
  <c r="DB94" i="113"/>
  <c r="DB92" i="113" s="1"/>
  <c r="DC231" i="112"/>
  <c r="DA92" i="113"/>
  <c r="FL92" i="113" s="1"/>
  <c r="FL94" i="113"/>
  <c r="DK94" i="92"/>
  <c r="DJ119" i="92"/>
  <c r="CX121" i="92"/>
  <c r="DA113" i="92"/>
  <c r="DB80" i="92"/>
  <c r="DF61" i="92"/>
  <c r="DF112" i="92" s="1"/>
  <c r="DC244" i="112" l="1"/>
  <c r="DC245" i="112" s="1"/>
  <c r="EI69" i="92"/>
  <c r="EH114" i="92"/>
  <c r="EI87" i="92"/>
  <c r="EH93" i="92"/>
  <c r="DD230" i="112"/>
  <c r="DC235" i="112"/>
  <c r="DG240" i="112"/>
  <c r="DG241" i="112" s="1"/>
  <c r="DC79" i="51"/>
  <c r="DC236" i="112"/>
  <c r="DC94" i="113"/>
  <c r="DC92" i="113" s="1"/>
  <c r="DD231" i="112"/>
  <c r="DL94" i="92"/>
  <c r="DK119" i="92"/>
  <c r="CY121" i="92"/>
  <c r="DC80" i="92"/>
  <c r="DB113" i="92"/>
  <c r="DG61" i="92"/>
  <c r="DG112" i="92" s="1"/>
  <c r="DD244" i="112" l="1"/>
  <c r="DD245" i="112" s="1"/>
  <c r="EI93" i="92"/>
  <c r="EI114" i="92"/>
  <c r="EJ87" i="92"/>
  <c r="EJ69" i="92"/>
  <c r="DE230" i="112"/>
  <c r="DD235" i="112"/>
  <c r="DH240" i="112"/>
  <c r="DH241" i="112" s="1"/>
  <c r="DD79" i="51"/>
  <c r="DD236" i="112"/>
  <c r="DD94" i="113"/>
  <c r="DE231" i="112"/>
  <c r="DM94" i="92"/>
  <c r="DL119" i="92"/>
  <c r="CZ121" i="92"/>
  <c r="DD80" i="92"/>
  <c r="DC113" i="92"/>
  <c r="DH61" i="92"/>
  <c r="DH112" i="92" s="1"/>
  <c r="DE244" i="112" l="1"/>
  <c r="FM244" i="112" s="1"/>
  <c r="FM245" i="112" s="1"/>
  <c r="EJ93" i="92"/>
  <c r="EJ114" i="92"/>
  <c r="EK87" i="92"/>
  <c r="EK114" i="92" s="1"/>
  <c r="EK69" i="92"/>
  <c r="DF230" i="112"/>
  <c r="DE235" i="112"/>
  <c r="DI240" i="112"/>
  <c r="DI241" i="112" s="1"/>
  <c r="FM230" i="112"/>
  <c r="DE79" i="51"/>
  <c r="DE236" i="112"/>
  <c r="DF231" i="112"/>
  <c r="DE94" i="113"/>
  <c r="DE92" i="113" s="1"/>
  <c r="FM231" i="112"/>
  <c r="DD92" i="113"/>
  <c r="DN94" i="92"/>
  <c r="DM119" i="92"/>
  <c r="DA121" i="92"/>
  <c r="DE80" i="92"/>
  <c r="DD113" i="92"/>
  <c r="DI61" i="92"/>
  <c r="DI112" i="92" s="1"/>
  <c r="DE245" i="112" l="1"/>
  <c r="DF236" i="112"/>
  <c r="DF244" i="112"/>
  <c r="DF245" i="112" s="1"/>
  <c r="EK93" i="92"/>
  <c r="DE66" i="51"/>
  <c r="DE67" i="51"/>
  <c r="DE64" i="51"/>
  <c r="DE65" i="51"/>
  <c r="DE68" i="51"/>
  <c r="DE62" i="51"/>
  <c r="DE63" i="51"/>
  <c r="FM235" i="112"/>
  <c r="FN240" i="112"/>
  <c r="FN241" i="112" s="1"/>
  <c r="DG230" i="112"/>
  <c r="DJ240" i="112"/>
  <c r="DJ241" i="112" s="1"/>
  <c r="DF235" i="112"/>
  <c r="FM79" i="51"/>
  <c r="FM236" i="112"/>
  <c r="DF79" i="51"/>
  <c r="FM94" i="113"/>
  <c r="FM92" i="113"/>
  <c r="DF94" i="113"/>
  <c r="DF92" i="113" s="1"/>
  <c r="DG231" i="112"/>
  <c r="DO94" i="92"/>
  <c r="DN119" i="92"/>
  <c r="DB121" i="92"/>
  <c r="DE113" i="92"/>
  <c r="DF80" i="92"/>
  <c r="DJ61" i="92"/>
  <c r="DJ112" i="92" s="1"/>
  <c r="DG244" i="112" l="1"/>
  <c r="DG245" i="112" s="1"/>
  <c r="DH230" i="112"/>
  <c r="DG235" i="112"/>
  <c r="DG79" i="51"/>
  <c r="DG236" i="112"/>
  <c r="DG94" i="113"/>
  <c r="DG92" i="113" s="1"/>
  <c r="DH231" i="112"/>
  <c r="DP94" i="92"/>
  <c r="DO119" i="92"/>
  <c r="DC121" i="92"/>
  <c r="DG80" i="92"/>
  <c r="DF113" i="92"/>
  <c r="DK61" i="92"/>
  <c r="DK112" i="92" s="1"/>
  <c r="DH244" i="112" l="1"/>
  <c r="DH245" i="112" s="1"/>
  <c r="DI230" i="112"/>
  <c r="DH235" i="112"/>
  <c r="DH79" i="51"/>
  <c r="DH236" i="112"/>
  <c r="DH94" i="113"/>
  <c r="DH92" i="113" s="1"/>
  <c r="DI231" i="112"/>
  <c r="DQ94" i="92"/>
  <c r="DP119" i="92"/>
  <c r="DD121" i="92"/>
  <c r="DG113" i="92"/>
  <c r="DH80" i="92"/>
  <c r="DL61" i="92"/>
  <c r="DL112" i="92" s="1"/>
  <c r="DI244" i="112" l="1"/>
  <c r="FN244" i="112" s="1"/>
  <c r="FN245" i="112" s="1"/>
  <c r="DJ230" i="112"/>
  <c r="DI235" i="112"/>
  <c r="FN230" i="112"/>
  <c r="DI79" i="51"/>
  <c r="DI236" i="112"/>
  <c r="DI94" i="113"/>
  <c r="DJ231" i="112"/>
  <c r="FN231" i="112"/>
  <c r="DR94" i="92"/>
  <c r="DQ119" i="92"/>
  <c r="DE121" i="92"/>
  <c r="DI80" i="92"/>
  <c r="DH113" i="92"/>
  <c r="DM61" i="92"/>
  <c r="DM112" i="92" s="1"/>
  <c r="DJ244" i="112" l="1"/>
  <c r="DJ245" i="112" s="1"/>
  <c r="DI245" i="112"/>
  <c r="DJ236" i="112"/>
  <c r="FN235" i="112"/>
  <c r="DJ235" i="112"/>
  <c r="FN79" i="51"/>
  <c r="FN236" i="112"/>
  <c r="DJ79" i="51"/>
  <c r="DJ92" i="113"/>
  <c r="DI92" i="113"/>
  <c r="FN92" i="113" s="1"/>
  <c r="FN94" i="113"/>
  <c r="DS94" i="92"/>
  <c r="DR119" i="92"/>
  <c r="DF121" i="92"/>
  <c r="DI113" i="92"/>
  <c r="DJ80" i="92"/>
  <c r="DN61" i="92"/>
  <c r="DN112" i="92" s="1"/>
  <c r="DT94" i="92" l="1"/>
  <c r="DS119" i="92"/>
  <c r="DG121" i="92"/>
  <c r="DK80" i="92"/>
  <c r="DJ113" i="92"/>
  <c r="DO61" i="92"/>
  <c r="DO112" i="92" s="1"/>
  <c r="DU94" i="92" l="1"/>
  <c r="DV94" i="92" s="1"/>
  <c r="DT119" i="92"/>
  <c r="DH121" i="92"/>
  <c r="DK113" i="92"/>
  <c r="DL80" i="92"/>
  <c r="DL113" i="92" s="1"/>
  <c r="DP61" i="92"/>
  <c r="DP112" i="92" s="1"/>
  <c r="DW94" i="92" l="1"/>
  <c r="DV119" i="92"/>
  <c r="DU119" i="92"/>
  <c r="DI121" i="92"/>
  <c r="DM80" i="92"/>
  <c r="DQ61" i="92"/>
  <c r="DQ112" i="92" s="1"/>
  <c r="DX94" i="92" l="1"/>
  <c r="DW119" i="92"/>
  <c r="DJ121" i="92"/>
  <c r="DM113" i="92"/>
  <c r="DN80" i="92"/>
  <c r="DR61" i="92"/>
  <c r="DR112" i="92" s="1"/>
  <c r="DY94" i="92" l="1"/>
  <c r="DX119" i="92"/>
  <c r="DK121" i="92"/>
  <c r="DO80" i="92"/>
  <c r="DN113" i="92"/>
  <c r="DS61" i="92"/>
  <c r="DS112" i="92" s="1"/>
  <c r="DZ94" i="92" l="1"/>
  <c r="DY119" i="92"/>
  <c r="DL121" i="92"/>
  <c r="DO113" i="92"/>
  <c r="DP80" i="92"/>
  <c r="DT61" i="92"/>
  <c r="DT112" i="92" s="1"/>
  <c r="EA94" i="92" l="1"/>
  <c r="DZ119" i="92"/>
  <c r="DM121" i="92"/>
  <c r="DP113" i="92"/>
  <c r="DQ80" i="92"/>
  <c r="DU61" i="92"/>
  <c r="DV61" i="92" s="1"/>
  <c r="DV112" i="92" l="1"/>
  <c r="DW61" i="92"/>
  <c r="EB94" i="92"/>
  <c r="EA119" i="92"/>
  <c r="DN121" i="92"/>
  <c r="DQ113" i="92"/>
  <c r="DR80" i="92"/>
  <c r="DU112" i="92"/>
  <c r="DX61" i="92" l="1"/>
  <c r="DW112" i="92"/>
  <c r="EC94" i="92"/>
  <c r="EB119" i="92"/>
  <c r="DO121" i="92"/>
  <c r="DS80" i="92"/>
  <c r="DR113" i="92"/>
  <c r="ED94" i="92" l="1"/>
  <c r="EC119" i="92"/>
  <c r="DX112" i="92"/>
  <c r="DY61" i="92"/>
  <c r="DP121" i="92"/>
  <c r="DS113" i="92"/>
  <c r="DT80" i="92"/>
  <c r="DZ61" i="92" l="1"/>
  <c r="DY112" i="92"/>
  <c r="EE94" i="92"/>
  <c r="ED119" i="92"/>
  <c r="DQ121" i="92"/>
  <c r="DU80" i="92"/>
  <c r="DV80" i="92" s="1"/>
  <c r="DT113" i="92"/>
  <c r="DW80" i="92" l="1"/>
  <c r="DV113" i="92"/>
  <c r="EF94" i="92"/>
  <c r="EE119" i="92"/>
  <c r="DZ112" i="92"/>
  <c r="EA61" i="92"/>
  <c r="DU113" i="92"/>
  <c r="DR121" i="92"/>
  <c r="EG94" i="92" l="1"/>
  <c r="EF119" i="92"/>
  <c r="EB61" i="92"/>
  <c r="EA112" i="92"/>
  <c r="DX80" i="92"/>
  <c r="DW113" i="92"/>
  <c r="DS121" i="92"/>
  <c r="EC61" i="92" l="1"/>
  <c r="EB112" i="92"/>
  <c r="DY80" i="92"/>
  <c r="DX113" i="92"/>
  <c r="EH94" i="92"/>
  <c r="EG119" i="92"/>
  <c r="DT121" i="92"/>
  <c r="DZ80" i="92" l="1"/>
  <c r="DY113" i="92"/>
  <c r="EI94" i="92"/>
  <c r="EH119" i="92"/>
  <c r="ED61" i="92"/>
  <c r="EC112" i="92"/>
  <c r="DU121" i="92"/>
  <c r="DV121" i="92" s="1"/>
  <c r="DW121" i="92" s="1"/>
  <c r="DX121" i="92" s="1"/>
  <c r="DY121" i="92" s="1"/>
  <c r="DZ121" i="92" s="1"/>
  <c r="EA121" i="92" s="1"/>
  <c r="EB121" i="92" s="1"/>
  <c r="EC121" i="92" s="1"/>
  <c r="ED121" i="92" s="1"/>
  <c r="EE121" i="92" s="1"/>
  <c r="EF121" i="92" s="1"/>
  <c r="EG121" i="92" s="1"/>
  <c r="EH121" i="92" s="1"/>
  <c r="EI121" i="92" s="1"/>
  <c r="EJ121" i="92" s="1"/>
  <c r="EK121" i="92" s="1"/>
  <c r="EJ94" i="92" l="1"/>
  <c r="EI119" i="92"/>
  <c r="ED112" i="92"/>
  <c r="EE61" i="92"/>
  <c r="EA80" i="92"/>
  <c r="DZ113" i="92"/>
  <c r="CQ55" i="92"/>
  <c r="CR55" i="92" s="1"/>
  <c r="CQ54" i="92"/>
  <c r="CR54" i="92" s="1"/>
  <c r="CS54" i="92" s="1"/>
  <c r="CR27" i="92"/>
  <c r="CS27" i="92" s="1"/>
  <c r="CT27" i="92" s="1"/>
  <c r="CU27" i="92" s="1"/>
  <c r="CV27" i="92" s="1"/>
  <c r="CW27" i="92" s="1"/>
  <c r="CX27" i="92" s="1"/>
  <c r="CY27" i="92" s="1"/>
  <c r="CZ27" i="92" s="1"/>
  <c r="DA27" i="92" s="1"/>
  <c r="DB27" i="92" s="1"/>
  <c r="DC27" i="92" s="1"/>
  <c r="DD27" i="92" s="1"/>
  <c r="DE27" i="92" s="1"/>
  <c r="DF27" i="92" s="1"/>
  <c r="DG27" i="92" s="1"/>
  <c r="DH27" i="92" s="1"/>
  <c r="DI27" i="92" s="1"/>
  <c r="DJ27" i="92" s="1"/>
  <c r="DK27" i="92" s="1"/>
  <c r="DL27" i="92" s="1"/>
  <c r="DM27" i="92" s="1"/>
  <c r="DN27" i="92" s="1"/>
  <c r="DO27" i="92" s="1"/>
  <c r="DP27" i="92" s="1"/>
  <c r="DQ27" i="92" s="1"/>
  <c r="DR27" i="92" s="1"/>
  <c r="DS27" i="92" s="1"/>
  <c r="DT27" i="92" s="1"/>
  <c r="DU27" i="92" s="1"/>
  <c r="DV27" i="92" s="1"/>
  <c r="DW27" i="92" s="1"/>
  <c r="DX27" i="92" s="1"/>
  <c r="DY27" i="92" s="1"/>
  <c r="DZ27" i="92" s="1"/>
  <c r="EA27" i="92" s="1"/>
  <c r="EB27" i="92" s="1"/>
  <c r="EC27" i="92" s="1"/>
  <c r="ED27" i="92" s="1"/>
  <c r="EE27" i="92" s="1"/>
  <c r="EF27" i="92" s="1"/>
  <c r="EG27" i="92" s="1"/>
  <c r="EH27" i="92" s="1"/>
  <c r="EI27" i="92" s="1"/>
  <c r="EJ27" i="92" s="1"/>
  <c r="EK27" i="92" s="1"/>
  <c r="CR26" i="92"/>
  <c r="DR33" i="92"/>
  <c r="DS33" i="92" s="1"/>
  <c r="DR29" i="92"/>
  <c r="DT44" i="92"/>
  <c r="DU44" i="92" s="1"/>
  <c r="DV44" i="92" s="1"/>
  <c r="DN33" i="92"/>
  <c r="DO33" i="92" s="1"/>
  <c r="DN29" i="92"/>
  <c r="DP44" i="92"/>
  <c r="DQ44" i="92" s="1"/>
  <c r="DR44" i="92" s="1"/>
  <c r="DJ33" i="92"/>
  <c r="DK33" i="92" s="1"/>
  <c r="DJ29" i="92"/>
  <c r="DL44" i="92"/>
  <c r="DM44" i="92" s="1"/>
  <c r="DN44" i="92" s="1"/>
  <c r="DC208" i="92"/>
  <c r="DB208" i="92"/>
  <c r="CZ208" i="92"/>
  <c r="CY208" i="92"/>
  <c r="CX208" i="92"/>
  <c r="CV208" i="92"/>
  <c r="CU208" i="92"/>
  <c r="CT208" i="92"/>
  <c r="CR208" i="92"/>
  <c r="CQ208" i="92"/>
  <c r="CP208" i="92"/>
  <c r="CN208" i="92"/>
  <c r="CM208" i="92"/>
  <c r="CL208" i="92"/>
  <c r="DD208" i="92"/>
  <c r="DA20" i="1"/>
  <c r="DA19" i="1"/>
  <c r="DA22" i="1"/>
  <c r="DB21" i="1"/>
  <c r="DV24" i="119" s="1"/>
  <c r="DV26" i="119" s="1"/>
  <c r="DD21" i="1"/>
  <c r="DX24" i="119" s="1"/>
  <c r="DX26" i="119" s="1"/>
  <c r="DD116" i="2"/>
  <c r="DC116" i="2"/>
  <c r="CZ116" i="2"/>
  <c r="CY116" i="2"/>
  <c r="CX116" i="2"/>
  <c r="CV116" i="2"/>
  <c r="CU116" i="2"/>
  <c r="CT116" i="2"/>
  <c r="CR116" i="2"/>
  <c r="CQ116" i="2"/>
  <c r="CP116" i="2"/>
  <c r="CN116" i="2"/>
  <c r="CM116" i="2"/>
  <c r="CZ21" i="1"/>
  <c r="DT24" i="119" s="1"/>
  <c r="DT26" i="119" s="1"/>
  <c r="DA9" i="3"/>
  <c r="DA67" i="3" s="1"/>
  <c r="CW9" i="3"/>
  <c r="CW67" i="3" s="1"/>
  <c r="CO9" i="3"/>
  <c r="CO67" i="3" s="1"/>
  <c r="CM9" i="3"/>
  <c r="CM67" i="3" s="1"/>
  <c r="CL9" i="3"/>
  <c r="CL67" i="3" s="1"/>
  <c r="CK9" i="3"/>
  <c r="CJ9" i="3"/>
  <c r="CI9" i="3"/>
  <c r="CH9" i="3"/>
  <c r="CG9" i="3"/>
  <c r="CF9" i="3"/>
  <c r="CE9" i="3"/>
  <c r="CD9" i="3"/>
  <c r="CC9" i="3"/>
  <c r="CB9" i="3"/>
  <c r="CA9" i="3"/>
  <c r="BZ9" i="3"/>
  <c r="BY9" i="3"/>
  <c r="BX9" i="3"/>
  <c r="BW9" i="3"/>
  <c r="BV9" i="3"/>
  <c r="BU9" i="3"/>
  <c r="BT9" i="3"/>
  <c r="BS9" i="3"/>
  <c r="BR9" i="3"/>
  <c r="BQ9" i="3"/>
  <c r="BP9" i="3"/>
  <c r="BO9" i="3"/>
  <c r="BN9" i="3"/>
  <c r="BM9" i="3"/>
  <c r="BL9" i="3"/>
  <c r="BK9" i="3"/>
  <c r="BJ9" i="3"/>
  <c r="BI9" i="3"/>
  <c r="BH9" i="3"/>
  <c r="BG9" i="3"/>
  <c r="BF9" i="3"/>
  <c r="BE9" i="3"/>
  <c r="BD9" i="3"/>
  <c r="BC9" i="3"/>
  <c r="BB9" i="3"/>
  <c r="BA9" i="3"/>
  <c r="AZ9" i="3"/>
  <c r="AY9" i="3"/>
  <c r="AX9" i="3"/>
  <c r="AW9" i="3"/>
  <c r="AV9" i="3"/>
  <c r="AU9" i="3"/>
  <c r="AT9" i="3"/>
  <c r="AS9" i="3"/>
  <c r="AR9" i="3"/>
  <c r="AQ9" i="3"/>
  <c r="AP9" i="3"/>
  <c r="AO9" i="3"/>
  <c r="AN9" i="3"/>
  <c r="AM9" i="3"/>
  <c r="AL9" i="3"/>
  <c r="AK9" i="3"/>
  <c r="AJ9" i="3"/>
  <c r="AI9" i="3"/>
  <c r="AH9" i="3"/>
  <c r="AG9" i="3"/>
  <c r="AF9" i="3"/>
  <c r="AE9" i="3"/>
  <c r="AD9" i="3"/>
  <c r="AC9" i="3"/>
  <c r="AB9" i="3"/>
  <c r="AA9" i="3"/>
  <c r="Z9" i="3"/>
  <c r="Y9" i="3"/>
  <c r="X9" i="3"/>
  <c r="W9" i="3"/>
  <c r="V9" i="3"/>
  <c r="U9" i="3"/>
  <c r="T9" i="3"/>
  <c r="S9" i="3"/>
  <c r="R9" i="3"/>
  <c r="Q9" i="3"/>
  <c r="P9" i="3"/>
  <c r="O9" i="3"/>
  <c r="N9" i="3"/>
  <c r="M9" i="3"/>
  <c r="L9" i="3"/>
  <c r="K9" i="3"/>
  <c r="J9" i="3"/>
  <c r="I9" i="3"/>
  <c r="H9" i="3"/>
  <c r="G9" i="3"/>
  <c r="F9" i="3"/>
  <c r="E9" i="3"/>
  <c r="D9" i="3"/>
  <c r="C9" i="3"/>
  <c r="B9" i="3"/>
  <c r="DF168" i="113"/>
  <c r="DG168" i="113" s="1"/>
  <c r="CZ168" i="113"/>
  <c r="CH165" i="113"/>
  <c r="CO168" i="113"/>
  <c r="CN168" i="113" s="1"/>
  <c r="CQ168" i="113"/>
  <c r="CR168" i="113" s="1"/>
  <c r="CS168" i="113" s="1"/>
  <c r="CT168" i="113" s="1"/>
  <c r="CP165" i="113"/>
  <c r="CO166" i="113"/>
  <c r="CN166" i="113"/>
  <c r="CM166" i="113"/>
  <c r="CL166" i="113"/>
  <c r="CK166" i="113"/>
  <c r="CJ166" i="113"/>
  <c r="EE112" i="92" l="1"/>
  <c r="EF61" i="92"/>
  <c r="DA208" i="92"/>
  <c r="DU25" i="119"/>
  <c r="EB80" i="92"/>
  <c r="EA113" i="92"/>
  <c r="EK94" i="92"/>
  <c r="EJ119" i="92"/>
  <c r="FI166" i="113"/>
  <c r="FH166" i="113"/>
  <c r="CQ165" i="113"/>
  <c r="CR165" i="113" s="1"/>
  <c r="CS165" i="113" s="1"/>
  <c r="GS165" i="113"/>
  <c r="GS166" i="113" s="1"/>
  <c r="CG165" i="113"/>
  <c r="GQ165" i="113"/>
  <c r="CP169" i="113"/>
  <c r="CS26" i="92"/>
  <c r="CT54" i="92"/>
  <c r="CS55" i="92"/>
  <c r="CT55" i="92" s="1"/>
  <c r="CU55" i="92" s="1"/>
  <c r="CM168" i="113"/>
  <c r="CN169" i="113"/>
  <c r="CN162" i="113" s="1"/>
  <c r="CN17" i="113" s="1"/>
  <c r="CO169" i="113"/>
  <c r="CO162" i="113" s="1"/>
  <c r="CO17" i="113" s="1"/>
  <c r="BI161" i="113"/>
  <c r="BH161" i="113"/>
  <c r="BG161" i="113"/>
  <c r="BF161" i="113"/>
  <c r="BE161" i="113"/>
  <c r="BD161" i="113"/>
  <c r="BC161" i="113"/>
  <c r="BB161" i="113"/>
  <c r="BA161" i="113"/>
  <c r="AZ161" i="113"/>
  <c r="AY161" i="113"/>
  <c r="AX161" i="113"/>
  <c r="AW161" i="113"/>
  <c r="AV161" i="113"/>
  <c r="AU161" i="113"/>
  <c r="AT161" i="113"/>
  <c r="AS161" i="113"/>
  <c r="AR161" i="113"/>
  <c r="AQ161" i="113"/>
  <c r="AP161" i="113"/>
  <c r="AO161" i="113"/>
  <c r="AN161" i="113"/>
  <c r="AM161" i="113"/>
  <c r="AL161" i="113"/>
  <c r="AK161" i="113"/>
  <c r="AJ161" i="113"/>
  <c r="AI161" i="113"/>
  <c r="AH161" i="113"/>
  <c r="AG161" i="113"/>
  <c r="AF161" i="113"/>
  <c r="AE161" i="113"/>
  <c r="AD161" i="113"/>
  <c r="AC161" i="113"/>
  <c r="AB161" i="113"/>
  <c r="AA161" i="113"/>
  <c r="Z161" i="113"/>
  <c r="Y161" i="113"/>
  <c r="X161" i="113"/>
  <c r="W161" i="113"/>
  <c r="V161" i="113"/>
  <c r="U161" i="113"/>
  <c r="T161" i="113"/>
  <c r="S161" i="113"/>
  <c r="R161" i="113"/>
  <c r="Q161" i="113"/>
  <c r="P161" i="113"/>
  <c r="O161" i="113"/>
  <c r="N161" i="113"/>
  <c r="M161" i="113"/>
  <c r="L161" i="113"/>
  <c r="K161" i="113"/>
  <c r="J161" i="113"/>
  <c r="I161" i="113"/>
  <c r="H161" i="113"/>
  <c r="G161" i="113"/>
  <c r="F161" i="113"/>
  <c r="E161" i="113"/>
  <c r="D161" i="113"/>
  <c r="C161" i="113"/>
  <c r="B161" i="113"/>
  <c r="EK119" i="92" l="1"/>
  <c r="EF112" i="92"/>
  <c r="EG61" i="92"/>
  <c r="EC80" i="92"/>
  <c r="EB113" i="92"/>
  <c r="CQ169" i="113"/>
  <c r="CQ162" i="113" s="1"/>
  <c r="GR166" i="113"/>
  <c r="CF165" i="113"/>
  <c r="CE165" i="113" s="1"/>
  <c r="CD165" i="113" s="1"/>
  <c r="GP165" i="113" s="1"/>
  <c r="GP166" i="113" s="1"/>
  <c r="FG165" i="113"/>
  <c r="CT165" i="113"/>
  <c r="FJ165" i="113"/>
  <c r="CP162" i="113"/>
  <c r="CV55" i="92"/>
  <c r="CW55" i="92" s="1"/>
  <c r="CX55" i="92" s="1"/>
  <c r="CY55" i="92" s="1"/>
  <c r="CZ55" i="92" s="1"/>
  <c r="DA55" i="92" s="1"/>
  <c r="DB55" i="92" s="1"/>
  <c r="DC55" i="92" s="1"/>
  <c r="DD55" i="92" s="1"/>
  <c r="DE55" i="92" s="1"/>
  <c r="DF55" i="92" s="1"/>
  <c r="DG55" i="92" s="1"/>
  <c r="DH55" i="92" s="1"/>
  <c r="DI55" i="92" s="1"/>
  <c r="DJ55" i="92" s="1"/>
  <c r="DK55" i="92" s="1"/>
  <c r="DL55" i="92" s="1"/>
  <c r="DM55" i="92" s="1"/>
  <c r="DN55" i="92" s="1"/>
  <c r="DO55" i="92" s="1"/>
  <c r="DP55" i="92" s="1"/>
  <c r="DQ55" i="92" s="1"/>
  <c r="DR55" i="92" s="1"/>
  <c r="DS55" i="92" s="1"/>
  <c r="DT55" i="92" s="1"/>
  <c r="DU55" i="92" s="1"/>
  <c r="DV55" i="92" s="1"/>
  <c r="DW55" i="92" s="1"/>
  <c r="DX55" i="92" s="1"/>
  <c r="DY55" i="92" s="1"/>
  <c r="DZ55" i="92" s="1"/>
  <c r="EA55" i="92" s="1"/>
  <c r="EB55" i="92" s="1"/>
  <c r="EC55" i="92" s="1"/>
  <c r="ED55" i="92" s="1"/>
  <c r="EE55" i="92" s="1"/>
  <c r="EF55" i="92" s="1"/>
  <c r="EG55" i="92" s="1"/>
  <c r="EH55" i="92" s="1"/>
  <c r="EI55" i="92" s="1"/>
  <c r="EJ55" i="92" s="1"/>
  <c r="EK55" i="92" s="1"/>
  <c r="CT26" i="92"/>
  <c r="CU26" i="92" s="1"/>
  <c r="CU54" i="92"/>
  <c r="CL168" i="113"/>
  <c r="CM169" i="113"/>
  <c r="CS169" i="113"/>
  <c r="CS162" i="113" s="1"/>
  <c r="CS17" i="113" s="1"/>
  <c r="CR169" i="113"/>
  <c r="CR162" i="113" s="1"/>
  <c r="CR17" i="113" s="1"/>
  <c r="EH61" i="92" l="1"/>
  <c r="EG112" i="92"/>
  <c r="ED80" i="92"/>
  <c r="EC113" i="92"/>
  <c r="CR30" i="113"/>
  <c r="CR43" i="113"/>
  <c r="CS30" i="113"/>
  <c r="CS43" i="113"/>
  <c r="CU165" i="113"/>
  <c r="GT165" i="113"/>
  <c r="GT166" i="113" s="1"/>
  <c r="CT169" i="113"/>
  <c r="CT162" i="113" s="1"/>
  <c r="GT162" i="113" s="1"/>
  <c r="GQ166" i="113"/>
  <c r="FJ169" i="113"/>
  <c r="FJ168" i="113" s="1"/>
  <c r="CM162" i="113"/>
  <c r="GS169" i="113"/>
  <c r="GS168" i="113" s="1"/>
  <c r="CP17" i="113"/>
  <c r="FJ162" i="113"/>
  <c r="CQ17" i="113"/>
  <c r="CV54" i="92"/>
  <c r="CL169" i="113"/>
  <c r="CK168" i="113"/>
  <c r="CW168" i="113"/>
  <c r="CX168" i="113" s="1"/>
  <c r="EE80" i="92" l="1"/>
  <c r="ED113" i="92"/>
  <c r="EI61" i="92"/>
  <c r="EH112" i="92"/>
  <c r="GT169" i="113"/>
  <c r="GT168" i="113" s="1"/>
  <c r="FJ163" i="113"/>
  <c r="CT17" i="113"/>
  <c r="CV165" i="113"/>
  <c r="CU169" i="113"/>
  <c r="CU162" i="113" s="1"/>
  <c r="CU17" i="113" s="1"/>
  <c r="CL162" i="113"/>
  <c r="FI169" i="113"/>
  <c r="FI168" i="113" s="1"/>
  <c r="CM17" i="113"/>
  <c r="GS17" i="113" s="1"/>
  <c r="GS162" i="113"/>
  <c r="GS163" i="113" s="1"/>
  <c r="FJ17" i="113"/>
  <c r="CW54" i="92"/>
  <c r="CK169" i="113"/>
  <c r="CK162" i="113" s="1"/>
  <c r="CJ168" i="113"/>
  <c r="CQ43" i="113" l="1"/>
  <c r="EF80" i="92"/>
  <c r="EE113" i="92"/>
  <c r="GT17" i="113"/>
  <c r="GT43" i="113" s="1"/>
  <c r="CT43" i="113"/>
  <c r="EI112" i="92"/>
  <c r="EJ61" i="92"/>
  <c r="CU30" i="113"/>
  <c r="CU43" i="113"/>
  <c r="GT163" i="113"/>
  <c r="CT30" i="113"/>
  <c r="CW165" i="113"/>
  <c r="CV169" i="113"/>
  <c r="CV162" i="113" s="1"/>
  <c r="CV17" i="113" s="1"/>
  <c r="CQ30" i="113"/>
  <c r="CL17" i="113"/>
  <c r="FI162" i="113"/>
  <c r="FI163" i="113" s="1"/>
  <c r="CX54" i="92"/>
  <c r="CI168" i="113"/>
  <c r="CJ169" i="113"/>
  <c r="CJ162" i="113" s="1"/>
  <c r="GT30" i="113" l="1"/>
  <c r="CV30" i="113"/>
  <c r="CV43" i="113"/>
  <c r="EG80" i="92"/>
  <c r="EF113" i="92"/>
  <c r="CP30" i="113"/>
  <c r="CP43" i="113"/>
  <c r="EK61" i="92"/>
  <c r="EK112" i="92" s="1"/>
  <c r="EJ112" i="92"/>
  <c r="CX165" i="113"/>
  <c r="FK165" i="113"/>
  <c r="CW169" i="113"/>
  <c r="FI17" i="113"/>
  <c r="GR17" i="113"/>
  <c r="CY54" i="92"/>
  <c r="CI169" i="113"/>
  <c r="CH168" i="113"/>
  <c r="EH80" i="92" l="1"/>
  <c r="EG113" i="92"/>
  <c r="CW162" i="113"/>
  <c r="FK169" i="113"/>
  <c r="FK168" i="113" s="1"/>
  <c r="CY165" i="113"/>
  <c r="GU165" i="113"/>
  <c r="GU166" i="113" s="1"/>
  <c r="CX169" i="113"/>
  <c r="FJ43" i="113"/>
  <c r="FJ30" i="113"/>
  <c r="GS43" i="113"/>
  <c r="GS30" i="113"/>
  <c r="CI162" i="113"/>
  <c r="GR162" i="113" s="1"/>
  <c r="GR169" i="113"/>
  <c r="GR168" i="113" s="1"/>
  <c r="CZ54" i="92"/>
  <c r="CH169" i="113"/>
  <c r="CG168" i="113"/>
  <c r="DA168" i="113"/>
  <c r="EI80" i="92" l="1"/>
  <c r="EH113" i="92"/>
  <c r="GU169" i="113"/>
  <c r="GU168" i="113" s="1"/>
  <c r="CX162" i="113"/>
  <c r="GR163" i="113"/>
  <c r="CZ165" i="113"/>
  <c r="CY169" i="113"/>
  <c r="CY162" i="113" s="1"/>
  <c r="CY17" i="113" s="1"/>
  <c r="CW17" i="113"/>
  <c r="CW43" i="113" s="1"/>
  <c r="FK162" i="113"/>
  <c r="FK163" i="113" s="1"/>
  <c r="CH162" i="113"/>
  <c r="FH162" i="113" s="1"/>
  <c r="FH169" i="113"/>
  <c r="FH168" i="113" s="1"/>
  <c r="DA54" i="92"/>
  <c r="DB168" i="113"/>
  <c r="CG169" i="113"/>
  <c r="CG162" i="113" s="1"/>
  <c r="CF168" i="113"/>
  <c r="DD62" i="113"/>
  <c r="DC62" i="113"/>
  <c r="DB62" i="113"/>
  <c r="DA62" i="113"/>
  <c r="CZ62" i="113"/>
  <c r="CY62" i="113"/>
  <c r="CX62" i="113"/>
  <c r="CW62" i="113"/>
  <c r="CV62" i="113"/>
  <c r="CU62" i="113"/>
  <c r="CT62" i="113"/>
  <c r="CS62" i="113"/>
  <c r="CR62" i="113"/>
  <c r="CQ62" i="113"/>
  <c r="CP62" i="113"/>
  <c r="CO62" i="113"/>
  <c r="CN62" i="113"/>
  <c r="CM62" i="113"/>
  <c r="DU60" i="113"/>
  <c r="DT60" i="113"/>
  <c r="DS60" i="113"/>
  <c r="DR60" i="113"/>
  <c r="DQ60" i="113"/>
  <c r="DP60" i="113"/>
  <c r="DO60" i="113"/>
  <c r="DN60" i="113"/>
  <c r="DM60" i="113"/>
  <c r="DL60" i="113"/>
  <c r="DK60" i="113"/>
  <c r="DJ60" i="113"/>
  <c r="DI60" i="113"/>
  <c r="DH60" i="113"/>
  <c r="DG60" i="113"/>
  <c r="DF60" i="113"/>
  <c r="DE60" i="113"/>
  <c r="DD60" i="113"/>
  <c r="DC60" i="113"/>
  <c r="DB60" i="113"/>
  <c r="DA60" i="113"/>
  <c r="CZ60" i="113"/>
  <c r="CY60" i="113"/>
  <c r="CX60" i="113"/>
  <c r="CW60" i="113"/>
  <c r="CV60" i="113"/>
  <c r="CU60" i="113"/>
  <c r="CT60" i="113"/>
  <c r="CS60" i="113"/>
  <c r="CR60" i="113"/>
  <c r="CQ60" i="113"/>
  <c r="CP60" i="113"/>
  <c r="CO60" i="113"/>
  <c r="CN60" i="113"/>
  <c r="CM60" i="113"/>
  <c r="CL60" i="113"/>
  <c r="CK60" i="113"/>
  <c r="CJ60" i="113"/>
  <c r="CI60" i="113"/>
  <c r="CH60" i="113"/>
  <c r="CG60" i="113"/>
  <c r="CF60" i="113"/>
  <c r="CE60" i="113"/>
  <c r="CD60" i="113"/>
  <c r="CC60" i="113"/>
  <c r="CB60" i="113"/>
  <c r="CA60" i="113"/>
  <c r="BZ60" i="113"/>
  <c r="BY60" i="113"/>
  <c r="BX60" i="113"/>
  <c r="BW60" i="113"/>
  <c r="BV60" i="113"/>
  <c r="CC57" i="113"/>
  <c r="CB57" i="113"/>
  <c r="CA57" i="113"/>
  <c r="BZ57" i="113"/>
  <c r="BY57" i="113"/>
  <c r="BX57" i="113"/>
  <c r="BW57" i="113"/>
  <c r="BV57" i="113"/>
  <c r="CB55" i="113"/>
  <c r="CA55" i="113"/>
  <c r="BZ55" i="113"/>
  <c r="BY55" i="113"/>
  <c r="BX55" i="113"/>
  <c r="BW55" i="113"/>
  <c r="BV55" i="113"/>
  <c r="CG54" i="113"/>
  <c r="CF54" i="113"/>
  <c r="CE54" i="113"/>
  <c r="CD54" i="113"/>
  <c r="CC54" i="113"/>
  <c r="CB54" i="113"/>
  <c r="CA54" i="113"/>
  <c r="BZ54" i="113"/>
  <c r="BY54" i="113"/>
  <c r="BX54" i="113"/>
  <c r="BW54" i="113"/>
  <c r="BV54" i="113"/>
  <c r="CC53" i="113"/>
  <c r="CB53" i="113"/>
  <c r="CA53" i="113"/>
  <c r="BZ53" i="113"/>
  <c r="BY53" i="113"/>
  <c r="BX53" i="113"/>
  <c r="BW53" i="113"/>
  <c r="BV53" i="113"/>
  <c r="CO52" i="113"/>
  <c r="CN52" i="113"/>
  <c r="CM52" i="113"/>
  <c r="CL52" i="113"/>
  <c r="CK52" i="113"/>
  <c r="CJ52" i="113"/>
  <c r="CI52" i="113"/>
  <c r="CH52" i="113"/>
  <c r="CG52" i="113"/>
  <c r="CF52" i="113"/>
  <c r="CE52" i="113"/>
  <c r="CO45" i="113"/>
  <c r="CN45" i="113"/>
  <c r="CM45" i="113"/>
  <c r="CL45" i="113"/>
  <c r="CK45" i="113"/>
  <c r="CJ45" i="113"/>
  <c r="CI45" i="113"/>
  <c r="CH45" i="113"/>
  <c r="CG45" i="113"/>
  <c r="CF45" i="113"/>
  <c r="CE45" i="113"/>
  <c r="CD45" i="113"/>
  <c r="CC45" i="113"/>
  <c r="CB45" i="113"/>
  <c r="CA45" i="113"/>
  <c r="BZ45" i="113"/>
  <c r="CC42" i="113"/>
  <c r="CB42" i="113"/>
  <c r="CA42" i="113"/>
  <c r="BZ42" i="113"/>
  <c r="CB40" i="113"/>
  <c r="CA40" i="113"/>
  <c r="BZ40" i="113"/>
  <c r="CG39" i="113"/>
  <c r="CF39" i="113"/>
  <c r="CE39" i="113"/>
  <c r="CD39" i="113"/>
  <c r="CC39" i="113"/>
  <c r="CB39" i="113"/>
  <c r="CA39" i="113"/>
  <c r="BZ39" i="113"/>
  <c r="CC38" i="113"/>
  <c r="CB38" i="113"/>
  <c r="CA38" i="113"/>
  <c r="BZ38" i="113"/>
  <c r="DD47" i="113"/>
  <c r="DD49" i="113" s="1"/>
  <c r="DC47" i="113"/>
  <c r="DC49" i="113" s="1"/>
  <c r="DB47" i="113"/>
  <c r="DB49" i="113" s="1"/>
  <c r="DA47" i="113"/>
  <c r="DA49" i="113" s="1"/>
  <c r="CZ47" i="113"/>
  <c r="CZ49" i="113" s="1"/>
  <c r="CY47" i="113"/>
  <c r="CY49" i="113" s="1"/>
  <c r="CX47" i="113"/>
  <c r="CX49" i="113" s="1"/>
  <c r="CW47" i="113"/>
  <c r="CW49" i="113" s="1"/>
  <c r="CV47" i="113"/>
  <c r="CV49" i="113" s="1"/>
  <c r="CU47" i="113"/>
  <c r="CU49" i="113" s="1"/>
  <c r="CT47" i="113"/>
  <c r="CS47" i="113"/>
  <c r="CR47" i="113"/>
  <c r="CQ47" i="113"/>
  <c r="CP47" i="113"/>
  <c r="DU45" i="113"/>
  <c r="DT45" i="113"/>
  <c r="DS45" i="113"/>
  <c r="DR45" i="113"/>
  <c r="DQ45" i="113"/>
  <c r="DI45" i="113"/>
  <c r="DH45" i="113"/>
  <c r="DF45" i="113"/>
  <c r="DE45" i="113"/>
  <c r="DD45" i="113"/>
  <c r="DC45" i="113"/>
  <c r="DB45" i="113"/>
  <c r="DA45" i="113"/>
  <c r="CZ45" i="113"/>
  <c r="CY45" i="113"/>
  <c r="CX45" i="113"/>
  <c r="CW45" i="113"/>
  <c r="CV45" i="113"/>
  <c r="CU45" i="113"/>
  <c r="CT45" i="113"/>
  <c r="CS45" i="113"/>
  <c r="CR45" i="113"/>
  <c r="CQ45" i="113"/>
  <c r="CP45" i="113"/>
  <c r="CY30" i="113" l="1"/>
  <c r="CY43" i="113"/>
  <c r="EJ80" i="92"/>
  <c r="EI113" i="92"/>
  <c r="CW30" i="113"/>
  <c r="FK17" i="113"/>
  <c r="DA165" i="113"/>
  <c r="CZ169" i="113"/>
  <c r="CZ162" i="113" s="1"/>
  <c r="CZ17" i="113" s="1"/>
  <c r="FH163" i="113"/>
  <c r="CX17" i="113"/>
  <c r="GU162" i="113"/>
  <c r="GU163" i="113" s="1"/>
  <c r="DB54" i="92"/>
  <c r="CE168" i="113"/>
  <c r="CF169" i="113"/>
  <c r="CF162" i="113" s="1"/>
  <c r="EK80" i="92" l="1"/>
  <c r="EK113" i="92" s="1"/>
  <c r="EJ113" i="92"/>
  <c r="CX30" i="113"/>
  <c r="CX43" i="113"/>
  <c r="CZ30" i="113"/>
  <c r="CZ43" i="113"/>
  <c r="GU17" i="113"/>
  <c r="GU43" i="113" s="1"/>
  <c r="DB165" i="113"/>
  <c r="FL165" i="113"/>
  <c r="DA169" i="113"/>
  <c r="FK43" i="113"/>
  <c r="FK30" i="113"/>
  <c r="DC54" i="92"/>
  <c r="CD168" i="113"/>
  <c r="CD169" i="113" s="1"/>
  <c r="CE169" i="113"/>
  <c r="GU30" i="113" l="1"/>
  <c r="DA162" i="113"/>
  <c r="FL169" i="113"/>
  <c r="FL168" i="113" s="1"/>
  <c r="DC165" i="113"/>
  <c r="GV165" i="113"/>
  <c r="GV166" i="113" s="1"/>
  <c r="DB169" i="113"/>
  <c r="DB162" i="113" s="1"/>
  <c r="DB17" i="113" s="1"/>
  <c r="CE162" i="113"/>
  <c r="GQ162" i="113" s="1"/>
  <c r="GQ169" i="113"/>
  <c r="GQ168" i="113" s="1"/>
  <c r="CD162" i="113"/>
  <c r="FG169" i="113"/>
  <c r="FG168" i="113" s="1"/>
  <c r="GP169" i="113"/>
  <c r="GP168" i="113" s="1"/>
  <c r="DD54" i="92"/>
  <c r="DB30" i="113" l="1"/>
  <c r="DB43" i="113"/>
  <c r="DD165" i="113"/>
  <c r="DC169" i="113"/>
  <c r="DC162" i="113" s="1"/>
  <c r="DC17" i="113" s="1"/>
  <c r="GV169" i="113"/>
  <c r="GV168" i="113" s="1"/>
  <c r="GV162" i="113"/>
  <c r="GQ163" i="113"/>
  <c r="DA17" i="113"/>
  <c r="DA43" i="113" s="1"/>
  <c r="FL162" i="113"/>
  <c r="FL163" i="113" s="1"/>
  <c r="FG162" i="113"/>
  <c r="FG163" i="113" s="1"/>
  <c r="GP162" i="113"/>
  <c r="GP163" i="113" s="1"/>
  <c r="DE54" i="92"/>
  <c r="CG149" i="113"/>
  <c r="CG16" i="113" s="1"/>
  <c r="CF149" i="113"/>
  <c r="CF16" i="113" s="1"/>
  <c r="CE149" i="113"/>
  <c r="CD149" i="113"/>
  <c r="CK149" i="113"/>
  <c r="CK16" i="113" s="1"/>
  <c r="CJ149" i="113"/>
  <c r="CJ16" i="113" s="1"/>
  <c r="CI149" i="113"/>
  <c r="CH149" i="113"/>
  <c r="CP149" i="113"/>
  <c r="CO149" i="113"/>
  <c r="CO16" i="113" s="1"/>
  <c r="CN149" i="113"/>
  <c r="CN16" i="113" s="1"/>
  <c r="CM149" i="113"/>
  <c r="CL149" i="113"/>
  <c r="DU159" i="113"/>
  <c r="DT159" i="113"/>
  <c r="DS159" i="113"/>
  <c r="DR159" i="113"/>
  <c r="DQ159" i="113"/>
  <c r="DP159" i="113"/>
  <c r="DO159" i="113"/>
  <c r="DN159" i="113"/>
  <c r="DM159" i="113"/>
  <c r="DL159" i="113"/>
  <c r="DK159" i="113"/>
  <c r="DJ159" i="113"/>
  <c r="DI159" i="113"/>
  <c r="DH159" i="113"/>
  <c r="DG159" i="113"/>
  <c r="DF159" i="113"/>
  <c r="DE159" i="113"/>
  <c r="DD159" i="113"/>
  <c r="DC159" i="113"/>
  <c r="DB159" i="113"/>
  <c r="DA159" i="113"/>
  <c r="CZ159" i="113"/>
  <c r="CY159" i="113"/>
  <c r="CX159" i="113"/>
  <c r="CW159" i="113"/>
  <c r="CV159" i="113"/>
  <c r="CU159" i="113"/>
  <c r="CT159" i="113"/>
  <c r="CR154" i="113"/>
  <c r="CR158" i="113" s="1"/>
  <c r="CQ154" i="113"/>
  <c r="CP154" i="113"/>
  <c r="CO154" i="113"/>
  <c r="CO159" i="113" s="1"/>
  <c r="CN154" i="113"/>
  <c r="CN159" i="113" s="1"/>
  <c r="CM154" i="113"/>
  <c r="CL154" i="113"/>
  <c r="CK154" i="113"/>
  <c r="CK158" i="113" s="1"/>
  <c r="CJ154" i="113"/>
  <c r="CJ158" i="113" s="1"/>
  <c r="CI154" i="113"/>
  <c r="CH154" i="113"/>
  <c r="CG154" i="113"/>
  <c r="CG159" i="113" s="1"/>
  <c r="CF154" i="113"/>
  <c r="CF158" i="113" s="1"/>
  <c r="CE154" i="113"/>
  <c r="CD154" i="113"/>
  <c r="CC154" i="113"/>
  <c r="CC159" i="113" s="1"/>
  <c r="CB154" i="113"/>
  <c r="CB159" i="113" s="1"/>
  <c r="CA154" i="113"/>
  <c r="BZ154" i="113"/>
  <c r="BY154" i="113"/>
  <c r="BY159" i="113" s="1"/>
  <c r="BX154" i="113"/>
  <c r="BX157" i="113" s="1"/>
  <c r="BW154" i="113"/>
  <c r="BW159" i="113" s="1"/>
  <c r="BV154" i="113"/>
  <c r="BU154" i="113"/>
  <c r="BU159" i="113" s="1"/>
  <c r="BT154" i="113"/>
  <c r="BT158" i="113" s="1"/>
  <c r="BS154" i="113"/>
  <c r="BS157" i="113" s="1"/>
  <c r="BR154" i="113"/>
  <c r="BR159" i="113" s="1"/>
  <c r="BQ154" i="113"/>
  <c r="BQ159" i="113" s="1"/>
  <c r="BP154" i="113"/>
  <c r="BP159" i="113" s="1"/>
  <c r="BO154" i="113"/>
  <c r="BO159" i="113" s="1"/>
  <c r="BN154" i="113"/>
  <c r="BN158" i="113" s="1"/>
  <c r="BM154" i="113"/>
  <c r="BM158" i="113" s="1"/>
  <c r="BL154" i="113"/>
  <c r="BL157" i="113" s="1"/>
  <c r="BK154" i="113"/>
  <c r="BK159" i="113" s="1"/>
  <c r="BJ154" i="113"/>
  <c r="BJ159" i="113" s="1"/>
  <c r="BI154" i="113"/>
  <c r="BI159" i="113" s="1"/>
  <c r="BH154" i="113"/>
  <c r="BH158" i="113" s="1"/>
  <c r="BG154" i="113"/>
  <c r="BG158" i="113" s="1"/>
  <c r="CS154" i="113"/>
  <c r="CS158" i="113" s="1"/>
  <c r="GV163" i="113" l="1"/>
  <c r="DC30" i="113"/>
  <c r="DC43" i="113"/>
  <c r="CN29" i="113"/>
  <c r="DA30" i="113"/>
  <c r="FL17" i="113"/>
  <c r="CI159" i="113"/>
  <c r="GR154" i="113"/>
  <c r="CD159" i="113"/>
  <c r="FG154" i="113"/>
  <c r="CE158" i="113"/>
  <c r="GQ154" i="113"/>
  <c r="CQ158" i="113"/>
  <c r="GT154" i="113"/>
  <c r="GT159" i="113" s="1"/>
  <c r="BV159" i="113"/>
  <c r="FE154" i="113"/>
  <c r="BZ158" i="113"/>
  <c r="FF154" i="113"/>
  <c r="GV17" i="113"/>
  <c r="GV43" i="113" s="1"/>
  <c r="CA159" i="113"/>
  <c r="GP154" i="113"/>
  <c r="CM159" i="113"/>
  <c r="GS154" i="113"/>
  <c r="DE165" i="113"/>
  <c r="DD169" i="113"/>
  <c r="DD162" i="113" s="1"/>
  <c r="DD17" i="113" s="1"/>
  <c r="CO29" i="113"/>
  <c r="CK29" i="113"/>
  <c r="CJ29" i="113"/>
  <c r="CL158" i="113"/>
  <c r="FI154" i="113"/>
  <c r="CH159" i="113"/>
  <c r="FH154" i="113"/>
  <c r="CP158" i="113"/>
  <c r="FJ154" i="113"/>
  <c r="CP16" i="113"/>
  <c r="CH16" i="113"/>
  <c r="FH149" i="113"/>
  <c r="FH150" i="113" s="1"/>
  <c r="CM16" i="113"/>
  <c r="GS149" i="113"/>
  <c r="GS150" i="113" s="1"/>
  <c r="CI16" i="113"/>
  <c r="GR149" i="113"/>
  <c r="GR150" i="113" s="1"/>
  <c r="CD16" i="113"/>
  <c r="CD57" i="113" s="1"/>
  <c r="GP149" i="113"/>
  <c r="GP150" i="113" s="1"/>
  <c r="FG149" i="113"/>
  <c r="FG150" i="113" s="1"/>
  <c r="CE16" i="113"/>
  <c r="CE42" i="113" s="1"/>
  <c r="GQ149" i="113"/>
  <c r="GQ150" i="113" s="1"/>
  <c r="CL16" i="113"/>
  <c r="FI149" i="113"/>
  <c r="FI150" i="113" s="1"/>
  <c r="DF54" i="92"/>
  <c r="CJ42" i="113"/>
  <c r="CO57" i="113"/>
  <c r="CK42" i="113"/>
  <c r="CK57" i="113"/>
  <c r="CF42" i="113"/>
  <c r="CG42" i="113"/>
  <c r="CG57" i="113"/>
  <c r="CO42" i="113"/>
  <c r="CN42" i="113"/>
  <c r="CN158" i="113"/>
  <c r="CM158" i="113"/>
  <c r="CS149" i="113"/>
  <c r="CS16" i="113" s="1"/>
  <c r="CS29" i="113" s="1"/>
  <c r="CR149" i="113"/>
  <c r="CR16" i="113" s="1"/>
  <c r="CR29" i="113" s="1"/>
  <c r="CQ149" i="113"/>
  <c r="BO158" i="113"/>
  <c r="BU158" i="113"/>
  <c r="BV158" i="113"/>
  <c r="CG158" i="113"/>
  <c r="BI158" i="113"/>
  <c r="CA158" i="113"/>
  <c r="BJ158" i="113"/>
  <c r="CB158" i="113"/>
  <c r="BP158" i="113"/>
  <c r="CH158" i="113"/>
  <c r="CJ157" i="113"/>
  <c r="BX159" i="113"/>
  <c r="CP159" i="113"/>
  <c r="BG157" i="113"/>
  <c r="CE157" i="113"/>
  <c r="BS159" i="113"/>
  <c r="CQ159" i="113"/>
  <c r="BH157" i="113"/>
  <c r="BN157" i="113"/>
  <c r="BT157" i="113"/>
  <c r="BZ157" i="113"/>
  <c r="CF157" i="113"/>
  <c r="CL157" i="113"/>
  <c r="CR157" i="113"/>
  <c r="BK158" i="113"/>
  <c r="BQ158" i="113"/>
  <c r="BW158" i="113"/>
  <c r="CC158" i="113"/>
  <c r="CI158" i="113"/>
  <c r="CO158" i="113"/>
  <c r="BH159" i="113"/>
  <c r="BN159" i="113"/>
  <c r="BT159" i="113"/>
  <c r="BZ159" i="113"/>
  <c r="CF159" i="113"/>
  <c r="CL159" i="113"/>
  <c r="CR159" i="113"/>
  <c r="BR157" i="113"/>
  <c r="CP157" i="113"/>
  <c r="BL159" i="113"/>
  <c r="CJ159" i="113"/>
  <c r="BY157" i="113"/>
  <c r="CQ157" i="113"/>
  <c r="BG159" i="113"/>
  <c r="CE159" i="113"/>
  <c r="BI157" i="113"/>
  <c r="BO157" i="113"/>
  <c r="BU157" i="113"/>
  <c r="CA157" i="113"/>
  <c r="CG157" i="113"/>
  <c r="CM157" i="113"/>
  <c r="CS157" i="113"/>
  <c r="CT157" i="113" s="1"/>
  <c r="BL158" i="113"/>
  <c r="BR158" i="113"/>
  <c r="BX158" i="113"/>
  <c r="CD158" i="113"/>
  <c r="CS159" i="113"/>
  <c r="CD157" i="113"/>
  <c r="BM157" i="113"/>
  <c r="CK157" i="113"/>
  <c r="BM159" i="113"/>
  <c r="CK159" i="113"/>
  <c r="BJ157" i="113"/>
  <c r="BP157" i="113"/>
  <c r="BV157" i="113"/>
  <c r="CB157" i="113"/>
  <c r="CH157" i="113"/>
  <c r="CN157" i="113"/>
  <c r="BS158" i="113"/>
  <c r="BY158" i="113"/>
  <c r="BK157" i="113"/>
  <c r="BQ157" i="113"/>
  <c r="BW157" i="113"/>
  <c r="CC157" i="113"/>
  <c r="CI157" i="113"/>
  <c r="CO157" i="113"/>
  <c r="DD30" i="113" l="1"/>
  <c r="DD43" i="113"/>
  <c r="GV30" i="113"/>
  <c r="FH159" i="113"/>
  <c r="FH157" i="113"/>
  <c r="FH158" i="113"/>
  <c r="FE159" i="113"/>
  <c r="FE157" i="113"/>
  <c r="FE158" i="113"/>
  <c r="FI159" i="113"/>
  <c r="FI157" i="113"/>
  <c r="FI158" i="113"/>
  <c r="GR159" i="113"/>
  <c r="GR158" i="113"/>
  <c r="GR157" i="113"/>
  <c r="CP29" i="113"/>
  <c r="FG159" i="113"/>
  <c r="FG157" i="113"/>
  <c r="FG158" i="113"/>
  <c r="GP158" i="113"/>
  <c r="GP157" i="113"/>
  <c r="GP159" i="113"/>
  <c r="FJ159" i="113"/>
  <c r="FJ158" i="113"/>
  <c r="FJ157" i="113"/>
  <c r="DF165" i="113"/>
  <c r="FM165" i="113"/>
  <c r="DE169" i="113"/>
  <c r="FF159" i="113"/>
  <c r="FF157" i="113"/>
  <c r="FF158" i="113"/>
  <c r="GQ159" i="113"/>
  <c r="GQ158" i="113"/>
  <c r="GQ157" i="113"/>
  <c r="FL43" i="113"/>
  <c r="FL30" i="113"/>
  <c r="GS157" i="113"/>
  <c r="GS159" i="113"/>
  <c r="GS158" i="113"/>
  <c r="CP57" i="113"/>
  <c r="CL29" i="113"/>
  <c r="CI29" i="113"/>
  <c r="CN57" i="113"/>
  <c r="CM29" i="113"/>
  <c r="CH57" i="113"/>
  <c r="CH29" i="113"/>
  <c r="GS16" i="113"/>
  <c r="CL42" i="113"/>
  <c r="CI42" i="113"/>
  <c r="CI57" i="113"/>
  <c r="GQ16" i="113"/>
  <c r="CF57" i="113"/>
  <c r="FJ149" i="113"/>
  <c r="FJ150" i="113" s="1"/>
  <c r="CJ57" i="113"/>
  <c r="FG16" i="113"/>
  <c r="CH42" i="113"/>
  <c r="CD42" i="113"/>
  <c r="FI16" i="113"/>
  <c r="GP16" i="113"/>
  <c r="CM42" i="113"/>
  <c r="CP42" i="113"/>
  <c r="GR16" i="113"/>
  <c r="CQ16" i="113"/>
  <c r="CM57" i="113"/>
  <c r="CL57" i="113"/>
  <c r="CE57" i="113"/>
  <c r="FH16" i="113"/>
  <c r="DG54" i="92"/>
  <c r="DH168" i="113"/>
  <c r="CR42" i="113"/>
  <c r="CS42" i="113"/>
  <c r="CS57" i="113"/>
  <c r="CU157" i="113"/>
  <c r="CV157" i="113" s="1"/>
  <c r="CT152" i="113"/>
  <c r="GT152" i="113" s="1"/>
  <c r="GT157" i="113" s="1"/>
  <c r="GQ29" i="113" l="1"/>
  <c r="DG165" i="113"/>
  <c r="GW165" i="113"/>
  <c r="GW166" i="113" s="1"/>
  <c r="DF169" i="113"/>
  <c r="FM169" i="113"/>
  <c r="FM168" i="113" s="1"/>
  <c r="DE162" i="113"/>
  <c r="GR29" i="113"/>
  <c r="FH29" i="113"/>
  <c r="GS29" i="113"/>
  <c r="FI29" i="113"/>
  <c r="FI42" i="113"/>
  <c r="CR57" i="113"/>
  <c r="CQ29" i="113"/>
  <c r="CT153" i="113"/>
  <c r="GT153" i="113" s="1"/>
  <c r="GT158" i="113" s="1"/>
  <c r="GR42" i="113"/>
  <c r="GQ42" i="113"/>
  <c r="FH42" i="113"/>
  <c r="CQ57" i="113"/>
  <c r="CQ42" i="113"/>
  <c r="FJ16" i="113"/>
  <c r="GS42" i="113"/>
  <c r="DH54" i="92"/>
  <c r="DI168" i="113"/>
  <c r="DJ168" i="113" s="1"/>
  <c r="DK168" i="113" s="1"/>
  <c r="DL168" i="113" s="1"/>
  <c r="DM168" i="113" s="1"/>
  <c r="DN168" i="113" s="1"/>
  <c r="DO168" i="113" s="1"/>
  <c r="DP168" i="113" s="1"/>
  <c r="DQ168" i="113" s="1"/>
  <c r="DR168" i="113" s="1"/>
  <c r="DS168" i="113" s="1"/>
  <c r="DT168" i="113" s="1"/>
  <c r="DU168" i="113" s="1"/>
  <c r="DV168" i="113" s="1"/>
  <c r="DW168" i="113" s="1"/>
  <c r="DX168" i="113" s="1"/>
  <c r="DY168" i="113" s="1"/>
  <c r="DZ168" i="113" s="1"/>
  <c r="EA168" i="113" s="1"/>
  <c r="EB168" i="113" s="1"/>
  <c r="EC168" i="113" s="1"/>
  <c r="ED168" i="113" s="1"/>
  <c r="EE168" i="113" s="1"/>
  <c r="EF168" i="113" s="1"/>
  <c r="EG168" i="113" s="1"/>
  <c r="EH168" i="113" s="1"/>
  <c r="EI168" i="113" s="1"/>
  <c r="EJ168" i="113" s="1"/>
  <c r="EK168" i="113" s="1"/>
  <c r="CT149" i="113"/>
  <c r="CU152" i="113"/>
  <c r="GW169" i="113" l="1"/>
  <c r="GW168" i="113" s="1"/>
  <c r="DF162" i="113"/>
  <c r="CU153" i="113"/>
  <c r="DE17" i="113"/>
  <c r="DE43" i="113" s="1"/>
  <c r="FM162" i="113"/>
  <c r="FM163" i="113" s="1"/>
  <c r="DH165" i="113"/>
  <c r="DG169" i="113"/>
  <c r="DG162" i="113" s="1"/>
  <c r="DG17" i="113" s="1"/>
  <c r="FJ42" i="113"/>
  <c r="FJ29" i="113"/>
  <c r="CT158" i="113"/>
  <c r="CT16" i="113"/>
  <c r="CT42" i="113" s="1"/>
  <c r="GT149" i="113"/>
  <c r="GT150" i="113" s="1"/>
  <c r="DI54" i="92"/>
  <c r="CU149" i="113"/>
  <c r="CW157" i="113"/>
  <c r="CV152" i="113"/>
  <c r="CV153" i="113" s="1"/>
  <c r="CV158" i="113" s="1"/>
  <c r="DG30" i="113" l="1"/>
  <c r="DG43" i="113"/>
  <c r="DE30" i="113"/>
  <c r="FM17" i="113"/>
  <c r="CU158" i="113"/>
  <c r="GW162" i="113"/>
  <c r="GW163" i="113" s="1"/>
  <c r="DF17" i="113"/>
  <c r="DI165" i="113"/>
  <c r="DH169" i="113"/>
  <c r="DH162" i="113" s="1"/>
  <c r="DH17" i="113" s="1"/>
  <c r="CT57" i="113"/>
  <c r="CT29" i="113"/>
  <c r="GT16" i="113"/>
  <c r="CU16" i="113"/>
  <c r="DJ54" i="92"/>
  <c r="CV149" i="113"/>
  <c r="CV16" i="113" s="1"/>
  <c r="CV29" i="113" s="1"/>
  <c r="CW152" i="113"/>
  <c r="CX157" i="113"/>
  <c r="DH30" i="113" l="1"/>
  <c r="DH43" i="113"/>
  <c r="DF30" i="113"/>
  <c r="DF43" i="113"/>
  <c r="GW17" i="113"/>
  <c r="GW30" i="113" s="1"/>
  <c r="CW153" i="113"/>
  <c r="FK153" i="113" s="1"/>
  <c r="FK158" i="113" s="1"/>
  <c r="DJ165" i="113"/>
  <c r="FN165" i="113"/>
  <c r="DI169" i="113"/>
  <c r="FM30" i="113"/>
  <c r="FM43" i="113"/>
  <c r="GT42" i="113"/>
  <c r="GT29" i="113"/>
  <c r="CU42" i="113"/>
  <c r="CU29" i="113"/>
  <c r="FK152" i="113"/>
  <c r="FK157" i="113" s="1"/>
  <c r="CU57" i="113"/>
  <c r="DK54" i="92"/>
  <c r="CV42" i="113"/>
  <c r="CV57" i="113"/>
  <c r="CW149" i="113"/>
  <c r="CW16" i="113" s="1"/>
  <c r="CY157" i="113"/>
  <c r="CX152" i="113"/>
  <c r="GU152" i="113" s="1"/>
  <c r="GU157" i="113" s="1"/>
  <c r="GW43" i="113" l="1"/>
  <c r="DK165" i="113"/>
  <c r="GX165" i="113"/>
  <c r="GX166" i="113" s="1"/>
  <c r="DJ169" i="113"/>
  <c r="DJ162" i="113" s="1"/>
  <c r="DJ17" i="113" s="1"/>
  <c r="DJ43" i="113" s="1"/>
  <c r="DI162" i="113"/>
  <c r="FN169" i="113"/>
  <c r="FN168" i="113" s="1"/>
  <c r="CW158" i="113"/>
  <c r="FK16" i="113"/>
  <c r="CW29" i="113"/>
  <c r="CX153" i="113"/>
  <c r="GU153" i="113" s="1"/>
  <c r="GU158" i="113" s="1"/>
  <c r="FK149" i="113"/>
  <c r="FK150" i="113" s="1"/>
  <c r="DL54" i="92"/>
  <c r="CW42" i="113"/>
  <c r="CW57" i="113"/>
  <c r="CX149" i="113"/>
  <c r="GU149" i="113" s="1"/>
  <c r="GU150" i="113" s="1"/>
  <c r="CZ157" i="113"/>
  <c r="CY152" i="113"/>
  <c r="GX162" i="113" l="1"/>
  <c r="DI17" i="113"/>
  <c r="DI43" i="113" s="1"/>
  <c r="FN162" i="113"/>
  <c r="FN163" i="113" s="1"/>
  <c r="CY153" i="113"/>
  <c r="GX169" i="113"/>
  <c r="GX168" i="113" s="1"/>
  <c r="DL165" i="113"/>
  <c r="DK169" i="113"/>
  <c r="DK162" i="113" s="1"/>
  <c r="DK17" i="113" s="1"/>
  <c r="DK43" i="113" s="1"/>
  <c r="DJ30" i="113"/>
  <c r="FK42" i="113"/>
  <c r="FK29" i="113"/>
  <c r="CX158" i="113"/>
  <c r="CX16" i="113"/>
  <c r="DM54" i="92"/>
  <c r="CY149" i="113"/>
  <c r="DA157" i="113"/>
  <c r="CZ152" i="113"/>
  <c r="CZ153" i="113" s="1"/>
  <c r="CZ158" i="113" s="1"/>
  <c r="GX17" i="113" l="1"/>
  <c r="GX30" i="113" s="1"/>
  <c r="CY158" i="113"/>
  <c r="FN17" i="113"/>
  <c r="DI30" i="113"/>
  <c r="DM165" i="113"/>
  <c r="DL169" i="113"/>
  <c r="DL162" i="113" s="1"/>
  <c r="DL17" i="113" s="1"/>
  <c r="DL43" i="113" s="1"/>
  <c r="GX163" i="113"/>
  <c r="DK30" i="113"/>
  <c r="GU16" i="113"/>
  <c r="CX29" i="113"/>
  <c r="CX57" i="113"/>
  <c r="CX42" i="113"/>
  <c r="CY16" i="113"/>
  <c r="DN54" i="92"/>
  <c r="CZ149" i="113"/>
  <c r="CZ16" i="113" s="1"/>
  <c r="DA152" i="113"/>
  <c r="DB157" i="113"/>
  <c r="GX43" i="113" l="1"/>
  <c r="DL30" i="113"/>
  <c r="CZ29" i="113"/>
  <c r="DA153" i="113"/>
  <c r="FL153" i="113" s="1"/>
  <c r="FL158" i="113" s="1"/>
  <c r="FN30" i="113"/>
  <c r="FN43" i="113"/>
  <c r="DN165" i="113"/>
  <c r="FO165" i="113"/>
  <c r="DM169" i="113"/>
  <c r="DM162" i="113" s="1"/>
  <c r="GU42" i="113"/>
  <c r="GU29" i="113"/>
  <c r="CY42" i="113"/>
  <c r="CY29" i="113"/>
  <c r="CY57" i="113"/>
  <c r="FL152" i="113"/>
  <c r="FL157" i="113" s="1"/>
  <c r="DO54" i="92"/>
  <c r="CZ42" i="113"/>
  <c r="CZ57" i="113"/>
  <c r="DA149" i="113"/>
  <c r="DA16" i="113" s="1"/>
  <c r="DC157" i="113"/>
  <c r="DB152" i="113"/>
  <c r="GV152" i="113" s="1"/>
  <c r="GV157" i="113" s="1"/>
  <c r="FO169" i="113" l="1"/>
  <c r="FO168" i="113" s="1"/>
  <c r="FO162" i="113"/>
  <c r="DM17" i="113"/>
  <c r="DM43" i="113" s="1"/>
  <c r="DO165" i="113"/>
  <c r="GY165" i="113"/>
  <c r="GY166" i="113" s="1"/>
  <c r="DN169" i="113"/>
  <c r="DA158" i="113"/>
  <c r="FL16" i="113"/>
  <c r="DA29" i="113"/>
  <c r="DB153" i="113"/>
  <c r="GV153" i="113" s="1"/>
  <c r="GV158" i="113" s="1"/>
  <c r="FL149" i="113"/>
  <c r="FL150" i="113" s="1"/>
  <c r="DP54" i="92"/>
  <c r="DA42" i="113"/>
  <c r="DA57" i="113"/>
  <c r="DB149" i="113"/>
  <c r="GV149" i="113" s="1"/>
  <c r="GV150" i="113" s="1"/>
  <c r="DD157" i="113"/>
  <c r="DC152" i="113"/>
  <c r="FO163" i="113" l="1"/>
  <c r="DP165" i="113"/>
  <c r="DO169" i="113"/>
  <c r="DO162" i="113" s="1"/>
  <c r="DO17" i="113" s="1"/>
  <c r="DO43" i="113" s="1"/>
  <c r="FO17" i="113"/>
  <c r="DM30" i="113"/>
  <c r="DC153" i="113"/>
  <c r="GY169" i="113"/>
  <c r="GY168" i="113" s="1"/>
  <c r="DN162" i="113"/>
  <c r="FL42" i="113"/>
  <c r="FL29" i="113"/>
  <c r="DB158" i="113"/>
  <c r="DB16" i="113"/>
  <c r="DQ54" i="92"/>
  <c r="DC149" i="113"/>
  <c r="DE157" i="113"/>
  <c r="DD152" i="113"/>
  <c r="DD153" i="113" s="1"/>
  <c r="DD158" i="113" s="1"/>
  <c r="GV16" i="113" l="1"/>
  <c r="GV42" i="113" s="1"/>
  <c r="GY162" i="113"/>
  <c r="GY163" i="113" s="1"/>
  <c r="DN17" i="113"/>
  <c r="DN43" i="113" s="1"/>
  <c r="DC158" i="113"/>
  <c r="FO43" i="113"/>
  <c r="FO30" i="113"/>
  <c r="DQ165" i="113"/>
  <c r="DP169" i="113"/>
  <c r="DP162" i="113" s="1"/>
  <c r="DP17" i="113" s="1"/>
  <c r="DP43" i="113" s="1"/>
  <c r="DO30" i="113"/>
  <c r="DB42" i="113"/>
  <c r="DB29" i="113"/>
  <c r="DB57" i="113"/>
  <c r="DC16" i="113"/>
  <c r="DR54" i="92"/>
  <c r="DD149" i="113"/>
  <c r="DD16" i="113" s="1"/>
  <c r="DE152" i="113"/>
  <c r="DF157" i="113"/>
  <c r="DF152" i="113" s="1"/>
  <c r="DF153" i="113" s="1"/>
  <c r="GV29" i="113" l="1"/>
  <c r="DP30" i="113"/>
  <c r="DC29" i="113"/>
  <c r="DD29" i="113"/>
  <c r="DN30" i="113"/>
  <c r="GY17" i="113"/>
  <c r="DE153" i="113"/>
  <c r="DR165" i="113"/>
  <c r="FP165" i="113"/>
  <c r="DQ169" i="113"/>
  <c r="DQ162" i="113" s="1"/>
  <c r="DC57" i="113"/>
  <c r="FM152" i="113"/>
  <c r="FM157" i="113" s="1"/>
  <c r="DC42" i="113"/>
  <c r="DS54" i="92"/>
  <c r="DD42" i="113"/>
  <c r="DD57" i="113"/>
  <c r="DE149" i="113"/>
  <c r="DE16" i="113" s="1"/>
  <c r="DG157" i="113"/>
  <c r="FP169" i="113" l="1"/>
  <c r="FP168" i="113" s="1"/>
  <c r="GW152" i="113"/>
  <c r="GW157" i="113" s="1"/>
  <c r="DS165" i="113"/>
  <c r="HA165" i="113" s="1"/>
  <c r="GZ165" i="113"/>
  <c r="GZ166" i="113" s="1"/>
  <c r="DR169" i="113"/>
  <c r="FM153" i="113"/>
  <c r="FM158" i="113" s="1"/>
  <c r="DQ17" i="113"/>
  <c r="DQ43" i="113" s="1"/>
  <c r="FP162" i="113"/>
  <c r="GY43" i="113"/>
  <c r="GY30" i="113"/>
  <c r="DE158" i="113"/>
  <c r="DF149" i="113"/>
  <c r="GW149" i="113" s="1"/>
  <c r="FM16" i="113"/>
  <c r="DE29" i="113"/>
  <c r="FM149" i="113"/>
  <c r="FM150" i="113" s="1"/>
  <c r="DT54" i="92"/>
  <c r="DE42" i="113"/>
  <c r="DE57" i="113"/>
  <c r="DH157" i="113"/>
  <c r="DG152" i="113"/>
  <c r="FP163" i="113" l="1"/>
  <c r="GW150" i="113"/>
  <c r="GW153" i="113"/>
  <c r="GW158" i="113" s="1"/>
  <c r="HA166" i="113"/>
  <c r="GZ169" i="113"/>
  <c r="GZ168" i="113" s="1"/>
  <c r="DR162" i="113"/>
  <c r="FP17" i="113"/>
  <c r="DQ30" i="113"/>
  <c r="DT165" i="113"/>
  <c r="DS169" i="113"/>
  <c r="DG153" i="113"/>
  <c r="FM42" i="113"/>
  <c r="FM29" i="113"/>
  <c r="DF158" i="113"/>
  <c r="DF16" i="113"/>
  <c r="DU54" i="92"/>
  <c r="DV54" i="92" s="1"/>
  <c r="DW54" i="92" s="1"/>
  <c r="DX54" i="92" s="1"/>
  <c r="DY54" i="92" s="1"/>
  <c r="DZ54" i="92" s="1"/>
  <c r="EA54" i="92" s="1"/>
  <c r="EB54" i="92" s="1"/>
  <c r="EC54" i="92" s="1"/>
  <c r="ED54" i="92" s="1"/>
  <c r="EE54" i="92" s="1"/>
  <c r="EF54" i="92" s="1"/>
  <c r="EG54" i="92" s="1"/>
  <c r="EH54" i="92" s="1"/>
  <c r="EI54" i="92" s="1"/>
  <c r="EJ54" i="92" s="1"/>
  <c r="EK54" i="92" s="1"/>
  <c r="DG149" i="113"/>
  <c r="DI157" i="113"/>
  <c r="DH152" i="113"/>
  <c r="DS162" i="113" l="1"/>
  <c r="DU165" i="113"/>
  <c r="DT169" i="113"/>
  <c r="FP43" i="113"/>
  <c r="FP30" i="113"/>
  <c r="GZ162" i="113"/>
  <c r="GZ163" i="113" s="1"/>
  <c r="DR17" i="113"/>
  <c r="DR43" i="113" s="1"/>
  <c r="DG158" i="113"/>
  <c r="DH153" i="113"/>
  <c r="GW16" i="113"/>
  <c r="DF29" i="113"/>
  <c r="DF42" i="113"/>
  <c r="DF57" i="113"/>
  <c r="DG16" i="113"/>
  <c r="DH149" i="113"/>
  <c r="DH16" i="113" s="1"/>
  <c r="DI152" i="113"/>
  <c r="DJ157" i="113"/>
  <c r="DV165" i="113" l="1"/>
  <c r="DV169" i="113" s="1"/>
  <c r="HC165" i="113"/>
  <c r="DS17" i="113"/>
  <c r="DS43" i="113" s="1"/>
  <c r="DT162" i="113"/>
  <c r="FQ165" i="113"/>
  <c r="DU169" i="113"/>
  <c r="DR30" i="113"/>
  <c r="GZ17" i="113"/>
  <c r="DH29" i="113"/>
  <c r="DI153" i="113"/>
  <c r="DH158" i="113"/>
  <c r="DG42" i="113"/>
  <c r="DG29" i="113"/>
  <c r="GW42" i="113"/>
  <c r="GW29" i="113"/>
  <c r="FN152" i="113"/>
  <c r="DG57" i="113"/>
  <c r="DH42" i="113"/>
  <c r="DH57" i="113"/>
  <c r="DI149" i="113"/>
  <c r="DI16" i="113" s="1"/>
  <c r="DK157" i="113"/>
  <c r="DJ152" i="113"/>
  <c r="DW165" i="113" l="1"/>
  <c r="DX165" i="113" s="1"/>
  <c r="HA169" i="113"/>
  <c r="HA168" i="113" s="1"/>
  <c r="FN157" i="113"/>
  <c r="FN153" i="113"/>
  <c r="GX152" i="113"/>
  <c r="GX157" i="113" s="1"/>
  <c r="DU162" i="113"/>
  <c r="DV162" i="113"/>
  <c r="DS30" i="113"/>
  <c r="FQ169" i="113"/>
  <c r="FQ168" i="113" s="1"/>
  <c r="DI158" i="113"/>
  <c r="GZ43" i="113"/>
  <c r="GZ30" i="113"/>
  <c r="DT17" i="113"/>
  <c r="DT43" i="113" s="1"/>
  <c r="FN16" i="113"/>
  <c r="DI29" i="113"/>
  <c r="DJ153" i="113"/>
  <c r="FN149" i="113"/>
  <c r="FN150" i="113" s="1"/>
  <c r="DI42" i="113"/>
  <c r="DI57" i="113"/>
  <c r="DJ149" i="113"/>
  <c r="GX149" i="113" s="1"/>
  <c r="DL157" i="113"/>
  <c r="DK152" i="113"/>
  <c r="DW169" i="113" l="1"/>
  <c r="DW162" i="113" s="1"/>
  <c r="GX150" i="113"/>
  <c r="HA162" i="113"/>
  <c r="HA163" i="113" s="1"/>
  <c r="FQ162" i="113"/>
  <c r="FQ163" i="113" s="1"/>
  <c r="FN158" i="113"/>
  <c r="GX153" i="113"/>
  <c r="GX158" i="113" s="1"/>
  <c r="DV17" i="113"/>
  <c r="DV43" i="113" s="1"/>
  <c r="DU17" i="113"/>
  <c r="DU43" i="113" s="1"/>
  <c r="DX169" i="113"/>
  <c r="DX162" i="113" s="1"/>
  <c r="DX17" i="113" s="1"/>
  <c r="DY165" i="113"/>
  <c r="FR165" i="113" s="1"/>
  <c r="DT30" i="113"/>
  <c r="DK153" i="113"/>
  <c r="FN42" i="113"/>
  <c r="FN29" i="113"/>
  <c r="DJ158" i="113"/>
  <c r="DJ16" i="113"/>
  <c r="DJ42" i="113" s="1"/>
  <c r="DK149" i="113"/>
  <c r="DM157" i="113"/>
  <c r="DL152" i="113"/>
  <c r="FQ17" i="113" l="1"/>
  <c r="FQ43" i="113" s="1"/>
  <c r="DX30" i="113"/>
  <c r="DX43" i="113"/>
  <c r="GX16" i="113"/>
  <c r="GX29" i="113" s="1"/>
  <c r="HA17" i="113"/>
  <c r="DW17" i="113"/>
  <c r="DW43" i="113" s="1"/>
  <c r="DV30" i="113"/>
  <c r="DU30" i="113"/>
  <c r="DY169" i="113"/>
  <c r="FR169" i="113" s="1"/>
  <c r="FR168" i="113" s="1"/>
  <c r="DZ165" i="113"/>
  <c r="HB165" i="113" s="1"/>
  <c r="DL153" i="113"/>
  <c r="DK158" i="113"/>
  <c r="DJ57" i="113"/>
  <c r="DJ29" i="113"/>
  <c r="DK16" i="113"/>
  <c r="DK42" i="113" s="1"/>
  <c r="DL149" i="113"/>
  <c r="DL16" i="113" s="1"/>
  <c r="DL42" i="113" s="1"/>
  <c r="DM152" i="113"/>
  <c r="DN157" i="113"/>
  <c r="FQ30" i="113" l="1"/>
  <c r="GX42" i="113"/>
  <c r="HA43" i="113"/>
  <c r="HA30" i="113"/>
  <c r="HB166" i="113"/>
  <c r="HC166" i="113"/>
  <c r="DW30" i="113"/>
  <c r="DY162" i="113"/>
  <c r="DZ169" i="113"/>
  <c r="EA165" i="113"/>
  <c r="DM153" i="113"/>
  <c r="DL29" i="113"/>
  <c r="DL158" i="113"/>
  <c r="DK29" i="113"/>
  <c r="DK57" i="113"/>
  <c r="FO152" i="113"/>
  <c r="DL57" i="113"/>
  <c r="DM149" i="113"/>
  <c r="DM16" i="113" s="1"/>
  <c r="DM42" i="113" s="1"/>
  <c r="DO157" i="113"/>
  <c r="DN152" i="113"/>
  <c r="FO157" i="113" l="1"/>
  <c r="FO153" i="113"/>
  <c r="GY152" i="113"/>
  <c r="GY157" i="113" s="1"/>
  <c r="DZ162" i="113"/>
  <c r="HB162" i="113" s="1"/>
  <c r="FR162" i="113"/>
  <c r="FR163" i="113" s="1"/>
  <c r="HB169" i="113"/>
  <c r="HB168" i="113" s="1"/>
  <c r="DY17" i="113"/>
  <c r="DY43" i="113" s="1"/>
  <c r="EB165" i="113"/>
  <c r="EA169" i="113"/>
  <c r="DM158" i="113"/>
  <c r="FO16" i="113"/>
  <c r="DM29" i="113"/>
  <c r="DN153" i="113"/>
  <c r="FO149" i="113"/>
  <c r="FO150" i="113" s="1"/>
  <c r="DM57" i="113"/>
  <c r="DN149" i="113"/>
  <c r="GY149" i="113" s="1"/>
  <c r="DP157" i="113"/>
  <c r="DO152" i="113"/>
  <c r="GY150" i="113" l="1"/>
  <c r="FO158" i="113"/>
  <c r="GY153" i="113"/>
  <c r="GY158" i="113" s="1"/>
  <c r="HB163" i="113"/>
  <c r="FR17" i="113"/>
  <c r="DZ17" i="113"/>
  <c r="DZ43" i="113" s="1"/>
  <c r="EA162" i="113"/>
  <c r="DY30" i="113"/>
  <c r="EC165" i="113"/>
  <c r="FS165" i="113" s="1"/>
  <c r="EB169" i="113"/>
  <c r="EB162" i="113" s="1"/>
  <c r="EB17" i="113" s="1"/>
  <c r="DO153" i="113"/>
  <c r="FO42" i="113"/>
  <c r="FO29" i="113"/>
  <c r="DN158" i="113"/>
  <c r="DN16" i="113"/>
  <c r="DN42" i="113" s="1"/>
  <c r="DO149" i="113"/>
  <c r="DQ157" i="113"/>
  <c r="DP152" i="113"/>
  <c r="EB30" i="113" l="1"/>
  <c r="EB43" i="113"/>
  <c r="FR30" i="113"/>
  <c r="FR43" i="113"/>
  <c r="DZ30" i="113"/>
  <c r="HB17" i="113"/>
  <c r="EA17" i="113"/>
  <c r="EA43" i="113" s="1"/>
  <c r="EC169" i="113"/>
  <c r="EC162" i="113" s="1"/>
  <c r="EC17" i="113" s="1"/>
  <c r="ED165" i="113"/>
  <c r="DO158" i="113"/>
  <c r="DP153" i="113"/>
  <c r="DN57" i="113"/>
  <c r="DN29" i="113"/>
  <c r="DO16" i="113"/>
  <c r="DO42" i="113" s="1"/>
  <c r="GY16" i="113"/>
  <c r="DP149" i="113"/>
  <c r="DP16" i="113" s="1"/>
  <c r="DP42" i="113" s="1"/>
  <c r="DQ152" i="113"/>
  <c r="DR157" i="113"/>
  <c r="EC30" i="113" l="1"/>
  <c r="EC43" i="113"/>
  <c r="HB30" i="113"/>
  <c r="HB43" i="113"/>
  <c r="FS169" i="113"/>
  <c r="FS168" i="113" s="1"/>
  <c r="FS17" i="113"/>
  <c r="FS162" i="113"/>
  <c r="EA30" i="113"/>
  <c r="ED169" i="113"/>
  <c r="HC169" i="113" s="1"/>
  <c r="HC168" i="113" s="1"/>
  <c r="EE165" i="113"/>
  <c r="DQ153" i="113"/>
  <c r="DP29" i="113"/>
  <c r="DO57" i="113"/>
  <c r="DP158" i="113"/>
  <c r="DO29" i="113"/>
  <c r="GY42" i="113"/>
  <c r="GY29" i="113"/>
  <c r="FP152" i="113"/>
  <c r="DP57" i="113"/>
  <c r="DQ149" i="113"/>
  <c r="DS157" i="113"/>
  <c r="DR152" i="113"/>
  <c r="FS163" i="113" l="1"/>
  <c r="FP157" i="113"/>
  <c r="GZ152" i="113"/>
  <c r="GZ157" i="113" s="1"/>
  <c r="DQ158" i="113"/>
  <c r="FS30" i="113"/>
  <c r="FS43" i="113"/>
  <c r="ED162" i="113"/>
  <c r="FP153" i="113"/>
  <c r="EE169" i="113"/>
  <c r="EF165" i="113"/>
  <c r="DR153" i="113"/>
  <c r="DQ16" i="113"/>
  <c r="FP149" i="113"/>
  <c r="FP150" i="113" s="1"/>
  <c r="DR149" i="113"/>
  <c r="GZ149" i="113" s="1"/>
  <c r="DT157" i="113"/>
  <c r="DS152" i="113"/>
  <c r="GZ150" i="113" l="1"/>
  <c r="FP158" i="113"/>
  <c r="GZ153" i="113"/>
  <c r="GZ158" i="113" s="1"/>
  <c r="ED17" i="113"/>
  <c r="ED43" i="113" s="1"/>
  <c r="HC162" i="113"/>
  <c r="HC163" i="113" s="1"/>
  <c r="EE162" i="113"/>
  <c r="EF169" i="113"/>
  <c r="EG165" i="113"/>
  <c r="FT165" i="113" s="1"/>
  <c r="DQ29" i="113"/>
  <c r="DQ57" i="113"/>
  <c r="DS153" i="113"/>
  <c r="DQ42" i="113"/>
  <c r="DR158" i="113"/>
  <c r="FP16" i="113"/>
  <c r="DR16" i="113"/>
  <c r="DS149" i="113"/>
  <c r="DU157" i="113"/>
  <c r="DV157" i="113" s="1"/>
  <c r="DT152" i="113"/>
  <c r="ED30" i="113" l="1"/>
  <c r="HC17" i="113"/>
  <c r="EF162" i="113"/>
  <c r="EF17" i="113" s="1"/>
  <c r="EE17" i="113"/>
  <c r="EE43" i="113" s="1"/>
  <c r="DW157" i="113"/>
  <c r="DV152" i="113"/>
  <c r="DS16" i="113"/>
  <c r="EG169" i="113"/>
  <c r="EH165" i="113"/>
  <c r="HD165" i="113" s="1"/>
  <c r="HD166" i="113" s="1"/>
  <c r="DU152" i="113"/>
  <c r="DS158" i="113"/>
  <c r="DT153" i="113"/>
  <c r="FP42" i="113"/>
  <c r="FP29" i="113"/>
  <c r="GZ16" i="113"/>
  <c r="DR29" i="113"/>
  <c r="DR57" i="113"/>
  <c r="DR42" i="113"/>
  <c r="DT149" i="113"/>
  <c r="EF30" i="113" l="1"/>
  <c r="EF43" i="113"/>
  <c r="HA152" i="113"/>
  <c r="HA157" i="113" s="1"/>
  <c r="EG162" i="113"/>
  <c r="FT162" i="113" s="1"/>
  <c r="FT169" i="113"/>
  <c r="FT168" i="113" s="1"/>
  <c r="HC30" i="113"/>
  <c r="HC43" i="113"/>
  <c r="EE30" i="113"/>
  <c r="FQ152" i="113"/>
  <c r="DT16" i="113"/>
  <c r="DT29" i="113" s="1"/>
  <c r="DS29" i="113"/>
  <c r="DS57" i="113"/>
  <c r="DW152" i="113"/>
  <c r="DX157" i="113"/>
  <c r="DV153" i="113"/>
  <c r="DV149" i="113"/>
  <c r="EH169" i="113"/>
  <c r="EI165" i="113"/>
  <c r="DS42" i="113"/>
  <c r="DU153" i="113"/>
  <c r="DU149" i="113"/>
  <c r="DT158" i="113"/>
  <c r="GZ42" i="113"/>
  <c r="GZ29" i="113"/>
  <c r="FT163" i="113" l="1"/>
  <c r="FQ157" i="113"/>
  <c r="HA149" i="113"/>
  <c r="HA150" i="113" s="1"/>
  <c r="DT42" i="113"/>
  <c r="DT57" i="113"/>
  <c r="EH162" i="113"/>
  <c r="HD162" i="113" s="1"/>
  <c r="HD169" i="113"/>
  <c r="HD168" i="113" s="1"/>
  <c r="EG17" i="113"/>
  <c r="EG43" i="113" s="1"/>
  <c r="HA153" i="113"/>
  <c r="HA158" i="113" s="1"/>
  <c r="FQ153" i="113"/>
  <c r="DV16" i="113"/>
  <c r="FQ149" i="113"/>
  <c r="FQ150" i="113" s="1"/>
  <c r="DV158" i="113"/>
  <c r="DY157" i="113"/>
  <c r="DX152" i="113"/>
  <c r="DW153" i="113"/>
  <c r="DW149" i="113"/>
  <c r="EI169" i="113"/>
  <c r="EI162" i="113" s="1"/>
  <c r="EI17" i="113" s="1"/>
  <c r="EJ165" i="113"/>
  <c r="DU16" i="113"/>
  <c r="DU158" i="113"/>
  <c r="BI148" i="113"/>
  <c r="BH148" i="113"/>
  <c r="BG148" i="113"/>
  <c r="BF148" i="113"/>
  <c r="BE148" i="113"/>
  <c r="BD148" i="113"/>
  <c r="BC148" i="113"/>
  <c r="BB148" i="113"/>
  <c r="BA148" i="113"/>
  <c r="AZ148" i="113"/>
  <c r="AY148" i="113"/>
  <c r="AX148" i="113"/>
  <c r="AW148" i="113"/>
  <c r="AV148" i="113"/>
  <c r="AU148" i="113"/>
  <c r="AT148" i="113"/>
  <c r="AS148" i="113"/>
  <c r="AR148" i="113"/>
  <c r="AQ148" i="113"/>
  <c r="AP148" i="113"/>
  <c r="AO148" i="113"/>
  <c r="AN148" i="113"/>
  <c r="AM148" i="113"/>
  <c r="AL148" i="113"/>
  <c r="AK148" i="113"/>
  <c r="AJ148" i="113"/>
  <c r="AI148" i="113"/>
  <c r="AH148" i="113"/>
  <c r="AG148" i="113"/>
  <c r="AF148" i="113"/>
  <c r="AE148" i="113"/>
  <c r="AD148" i="113"/>
  <c r="AC148" i="113"/>
  <c r="AB148" i="113"/>
  <c r="AA148" i="113"/>
  <c r="Z148" i="113"/>
  <c r="Y148" i="113"/>
  <c r="X148" i="113"/>
  <c r="W148" i="113"/>
  <c r="V148" i="113"/>
  <c r="U148" i="113"/>
  <c r="T148" i="113"/>
  <c r="S148" i="113"/>
  <c r="R148" i="113"/>
  <c r="Q148" i="113"/>
  <c r="P148" i="113"/>
  <c r="O148" i="113"/>
  <c r="N148" i="113"/>
  <c r="M148" i="113"/>
  <c r="L148" i="113"/>
  <c r="K148" i="113"/>
  <c r="J148" i="113"/>
  <c r="I148" i="113"/>
  <c r="H148" i="113"/>
  <c r="G148" i="113"/>
  <c r="F148" i="113"/>
  <c r="E148" i="113"/>
  <c r="D148" i="113"/>
  <c r="C148" i="113"/>
  <c r="B148" i="113"/>
  <c r="BI141" i="113"/>
  <c r="BH141" i="113"/>
  <c r="BG141" i="113"/>
  <c r="BF141" i="113"/>
  <c r="BE141" i="113"/>
  <c r="BD141" i="113"/>
  <c r="BC141" i="113"/>
  <c r="BB141" i="113"/>
  <c r="BA141" i="113"/>
  <c r="AZ141" i="113"/>
  <c r="AY141" i="113"/>
  <c r="AX141" i="113"/>
  <c r="AW141" i="113"/>
  <c r="AV141" i="113"/>
  <c r="AU141" i="113"/>
  <c r="AT141" i="113"/>
  <c r="AS141" i="113"/>
  <c r="AR141" i="113"/>
  <c r="AQ141" i="113"/>
  <c r="AP141" i="113"/>
  <c r="AO141" i="113"/>
  <c r="AN141" i="113"/>
  <c r="AM141" i="113"/>
  <c r="AL141" i="113"/>
  <c r="AK141" i="113"/>
  <c r="AJ141" i="113"/>
  <c r="AI141" i="113"/>
  <c r="AH141" i="113"/>
  <c r="AG141" i="113"/>
  <c r="AF141" i="113"/>
  <c r="AE141" i="113"/>
  <c r="AD141" i="113"/>
  <c r="AC141" i="113"/>
  <c r="AB141" i="113"/>
  <c r="AA141" i="113"/>
  <c r="Z141" i="113"/>
  <c r="Y141" i="113"/>
  <c r="X141" i="113"/>
  <c r="W141" i="113"/>
  <c r="V141" i="113"/>
  <c r="U141" i="113"/>
  <c r="T141" i="113"/>
  <c r="S141" i="113"/>
  <c r="R141" i="113"/>
  <c r="Q141" i="113"/>
  <c r="P141" i="113"/>
  <c r="O141" i="113"/>
  <c r="N141" i="113"/>
  <c r="M141" i="113"/>
  <c r="L141" i="113"/>
  <c r="K141" i="113"/>
  <c r="J141" i="113"/>
  <c r="I141" i="113"/>
  <c r="H141" i="113"/>
  <c r="G141" i="113"/>
  <c r="F141" i="113"/>
  <c r="E141" i="113"/>
  <c r="D141" i="113"/>
  <c r="C141" i="113"/>
  <c r="B141" i="113"/>
  <c r="CY138" i="113"/>
  <c r="CZ138" i="113" s="1"/>
  <c r="DA138" i="113" s="1"/>
  <c r="DB138" i="113" s="1"/>
  <c r="DC138" i="113" s="1"/>
  <c r="DD138" i="113" s="1"/>
  <c r="DE138" i="113" s="1"/>
  <c r="CW126" i="113"/>
  <c r="CX126" i="113" s="1"/>
  <c r="CY126" i="113" s="1"/>
  <c r="CZ126" i="113" s="1"/>
  <c r="DA126" i="113" s="1"/>
  <c r="DB126" i="113" s="1"/>
  <c r="DC126" i="113" s="1"/>
  <c r="DD126" i="113" s="1"/>
  <c r="DE126" i="113" s="1"/>
  <c r="CW132" i="113"/>
  <c r="CX132" i="113" s="1"/>
  <c r="CY132" i="113" s="1"/>
  <c r="CZ132" i="113" s="1"/>
  <c r="DA132" i="113" s="1"/>
  <c r="DB132" i="113" s="1"/>
  <c r="DC132" i="113" s="1"/>
  <c r="DD132" i="113" s="1"/>
  <c r="DE132" i="113" s="1"/>
  <c r="DV57" i="113" l="1"/>
  <c r="EI30" i="113"/>
  <c r="EI43" i="113"/>
  <c r="FQ158" i="113"/>
  <c r="DV29" i="113"/>
  <c r="DV42" i="113"/>
  <c r="HA16" i="113"/>
  <c r="HA42" i="113" s="1"/>
  <c r="EG30" i="113"/>
  <c r="FT17" i="113"/>
  <c r="EH17" i="113"/>
  <c r="EH43" i="113" s="1"/>
  <c r="HD163" i="113"/>
  <c r="DW16" i="113"/>
  <c r="DW42" i="113" s="1"/>
  <c r="DW158" i="113"/>
  <c r="EJ169" i="113"/>
  <c r="EJ162" i="113" s="1"/>
  <c r="EJ17" i="113" s="1"/>
  <c r="EK165" i="113"/>
  <c r="DX153" i="113"/>
  <c r="DX158" i="113" s="1"/>
  <c r="DX149" i="113"/>
  <c r="FQ16" i="113"/>
  <c r="DU29" i="113"/>
  <c r="DU42" i="113"/>
  <c r="DU57" i="113"/>
  <c r="DY152" i="113"/>
  <c r="FR152" i="113" s="1"/>
  <c r="FR157" i="113" s="1"/>
  <c r="DZ157" i="113"/>
  <c r="DF132" i="113"/>
  <c r="DG132" i="113" s="1"/>
  <c r="DH132" i="113" s="1"/>
  <c r="DI132" i="113" s="1"/>
  <c r="DJ132" i="113" s="1"/>
  <c r="DK132" i="113" s="1"/>
  <c r="DF126" i="113"/>
  <c r="DG126" i="113" s="1"/>
  <c r="DH126" i="113" s="1"/>
  <c r="DI126" i="113" s="1"/>
  <c r="DJ126" i="113" s="1"/>
  <c r="DK126" i="113" s="1"/>
  <c r="DF138" i="113"/>
  <c r="DG138" i="113" s="1"/>
  <c r="DH138" i="113" s="1"/>
  <c r="DI138" i="113" s="1"/>
  <c r="DJ138" i="113" s="1"/>
  <c r="DK138" i="113" s="1"/>
  <c r="DL138" i="113" s="1"/>
  <c r="DM138" i="113" s="1"/>
  <c r="DN138" i="113" s="1"/>
  <c r="DO138" i="113" s="1"/>
  <c r="DP138" i="113" s="1"/>
  <c r="DQ138" i="113" s="1"/>
  <c r="DR138" i="113" s="1"/>
  <c r="DS138" i="113" s="1"/>
  <c r="DT138" i="113" s="1"/>
  <c r="DU138" i="113" s="1"/>
  <c r="DV138" i="113" s="1"/>
  <c r="DW138" i="113" s="1"/>
  <c r="DX138" i="113" s="1"/>
  <c r="DY138" i="113" s="1"/>
  <c r="DL132" i="113" l="1"/>
  <c r="DM132" i="113" s="1"/>
  <c r="DN132" i="113" s="1"/>
  <c r="DO132" i="113" s="1"/>
  <c r="DP132" i="113" s="1"/>
  <c r="DQ132" i="113" s="1"/>
  <c r="DR132" i="113" s="1"/>
  <c r="DS132" i="113" s="1"/>
  <c r="DT132" i="113" s="1"/>
  <c r="DU132" i="113" s="1"/>
  <c r="DV132" i="113" s="1"/>
  <c r="DW132" i="113" s="1"/>
  <c r="DX132" i="113" s="1"/>
  <c r="DY132" i="113" s="1"/>
  <c r="DZ132" i="113" s="1"/>
  <c r="EA132" i="113" s="1"/>
  <c r="EB132" i="113" s="1"/>
  <c r="EC132" i="113" s="1"/>
  <c r="DL126" i="113"/>
  <c r="DM126" i="113" s="1"/>
  <c r="DN126" i="113" s="1"/>
  <c r="DO126" i="113" s="1"/>
  <c r="DP126" i="113" s="1"/>
  <c r="DQ126" i="113" s="1"/>
  <c r="DR126" i="113" s="1"/>
  <c r="DS126" i="113" s="1"/>
  <c r="DT126" i="113" s="1"/>
  <c r="DU126" i="113" s="1"/>
  <c r="DV126" i="113" s="1"/>
  <c r="DW126" i="113" s="1"/>
  <c r="DX126" i="113" s="1"/>
  <c r="DY126" i="113" s="1"/>
  <c r="EJ30" i="113"/>
  <c r="EJ43" i="113"/>
  <c r="HA29" i="113"/>
  <c r="DW57" i="113"/>
  <c r="DW29" i="113"/>
  <c r="EH30" i="113"/>
  <c r="HD17" i="113"/>
  <c r="FT43" i="113"/>
  <c r="FT30" i="113"/>
  <c r="EK169" i="113"/>
  <c r="EK162" i="113" s="1"/>
  <c r="FU165" i="113"/>
  <c r="DX16" i="113"/>
  <c r="DZ138" i="113"/>
  <c r="EA138" i="113" s="1"/>
  <c r="EB138" i="113" s="1"/>
  <c r="EC138" i="113" s="1"/>
  <c r="FQ42" i="113"/>
  <c r="FQ29" i="113"/>
  <c r="EA157" i="113"/>
  <c r="DZ152" i="113"/>
  <c r="DY153" i="113"/>
  <c r="DY158" i="113" s="1"/>
  <c r="DY149" i="113"/>
  <c r="DY16" i="113" s="1"/>
  <c r="CQ114" i="113"/>
  <c r="CR114" i="113" s="1"/>
  <c r="CS114" i="113" s="1"/>
  <c r="CT114" i="113" s="1"/>
  <c r="CU114" i="113" s="1"/>
  <c r="CV114" i="113" s="1"/>
  <c r="CW114" i="113" s="1"/>
  <c r="CX114" i="113" s="1"/>
  <c r="CY114" i="113" s="1"/>
  <c r="CZ114" i="113" s="1"/>
  <c r="DA114" i="113" s="1"/>
  <c r="DB114" i="113" s="1"/>
  <c r="DC114" i="113" s="1"/>
  <c r="DD114" i="113" s="1"/>
  <c r="DE114" i="113" s="1"/>
  <c r="DF114" i="113" s="1"/>
  <c r="DG114" i="113" s="1"/>
  <c r="CT120" i="113"/>
  <c r="CU120" i="113" s="1"/>
  <c r="CV120" i="113" s="1"/>
  <c r="CW120" i="113" s="1"/>
  <c r="CX120" i="113" s="1"/>
  <c r="CY120" i="113" s="1"/>
  <c r="CZ120" i="113" s="1"/>
  <c r="DA120" i="113" s="1"/>
  <c r="DB120" i="113" s="1"/>
  <c r="DC120" i="113" s="1"/>
  <c r="DD120" i="113" s="1"/>
  <c r="DE120" i="113" s="1"/>
  <c r="DF120" i="113" s="1"/>
  <c r="DG120" i="113" s="1"/>
  <c r="BI135" i="113"/>
  <c r="BH135" i="113"/>
  <c r="BG135" i="113"/>
  <c r="BF135" i="113"/>
  <c r="BE135" i="113"/>
  <c r="BD135" i="113"/>
  <c r="BC135" i="113"/>
  <c r="BB135" i="113"/>
  <c r="BA135" i="113"/>
  <c r="AZ135" i="113"/>
  <c r="AY135" i="113"/>
  <c r="AX135" i="113"/>
  <c r="AW135" i="113"/>
  <c r="AV135" i="113"/>
  <c r="AU135" i="113"/>
  <c r="AT135" i="113"/>
  <c r="AS135" i="113"/>
  <c r="AR135" i="113"/>
  <c r="AQ135" i="113"/>
  <c r="AP135" i="113"/>
  <c r="AO135" i="113"/>
  <c r="AN135" i="113"/>
  <c r="AM135" i="113"/>
  <c r="AL135" i="113"/>
  <c r="AK135" i="113"/>
  <c r="AJ135" i="113"/>
  <c r="AI135" i="113"/>
  <c r="AH135" i="113"/>
  <c r="AG135" i="113"/>
  <c r="AF135" i="113"/>
  <c r="AE135" i="113"/>
  <c r="AD135" i="113"/>
  <c r="AC135" i="113"/>
  <c r="AB135" i="113"/>
  <c r="AA135" i="113"/>
  <c r="Z135" i="113"/>
  <c r="Y135" i="113"/>
  <c r="X135" i="113"/>
  <c r="W135" i="113"/>
  <c r="V135" i="113"/>
  <c r="U135" i="113"/>
  <c r="T135" i="113"/>
  <c r="S135" i="113"/>
  <c r="R135" i="113"/>
  <c r="Q135" i="113"/>
  <c r="P135" i="113"/>
  <c r="O135" i="113"/>
  <c r="N135" i="113"/>
  <c r="M135" i="113"/>
  <c r="L135" i="113"/>
  <c r="K135" i="113"/>
  <c r="J135" i="113"/>
  <c r="I135" i="113"/>
  <c r="H135" i="113"/>
  <c r="G135" i="113"/>
  <c r="F135" i="113"/>
  <c r="E135" i="113"/>
  <c r="D135" i="113"/>
  <c r="C135" i="113"/>
  <c r="B135" i="113"/>
  <c r="CQ131" i="113"/>
  <c r="BI129" i="113"/>
  <c r="BH129" i="113"/>
  <c r="BG129" i="113"/>
  <c r="BF129" i="113"/>
  <c r="BE129" i="113"/>
  <c r="BD129" i="113"/>
  <c r="BC129" i="113"/>
  <c r="BB129" i="113"/>
  <c r="BA129" i="113"/>
  <c r="AZ129" i="113"/>
  <c r="AY129" i="113"/>
  <c r="AX129" i="113"/>
  <c r="AW129" i="113"/>
  <c r="AV129" i="113"/>
  <c r="AU129" i="113"/>
  <c r="AT129" i="113"/>
  <c r="AS129" i="113"/>
  <c r="AR129" i="113"/>
  <c r="AQ129" i="113"/>
  <c r="AP129" i="113"/>
  <c r="AO129" i="113"/>
  <c r="AN129" i="113"/>
  <c r="AM129" i="113"/>
  <c r="AL129" i="113"/>
  <c r="AK129" i="113"/>
  <c r="AJ129" i="113"/>
  <c r="AI129" i="113"/>
  <c r="AH129" i="113"/>
  <c r="AG129" i="113"/>
  <c r="AF129" i="113"/>
  <c r="AE129" i="113"/>
  <c r="AD129" i="113"/>
  <c r="AC129" i="113"/>
  <c r="AB129" i="113"/>
  <c r="AA129" i="113"/>
  <c r="Z129" i="113"/>
  <c r="Y129" i="113"/>
  <c r="X129" i="113"/>
  <c r="W129" i="113"/>
  <c r="V129" i="113"/>
  <c r="U129" i="113"/>
  <c r="T129" i="113"/>
  <c r="S129" i="113"/>
  <c r="R129" i="113"/>
  <c r="Q129" i="113"/>
  <c r="P129" i="113"/>
  <c r="O129" i="113"/>
  <c r="N129" i="113"/>
  <c r="M129" i="113"/>
  <c r="L129" i="113"/>
  <c r="K129" i="113"/>
  <c r="J129" i="113"/>
  <c r="I129" i="113"/>
  <c r="H129" i="113"/>
  <c r="G129" i="113"/>
  <c r="F129" i="113"/>
  <c r="E129" i="113"/>
  <c r="D129" i="113"/>
  <c r="C129" i="113"/>
  <c r="B129" i="113"/>
  <c r="CP125" i="113"/>
  <c r="BI123" i="113"/>
  <c r="BH123" i="113"/>
  <c r="BG123" i="113"/>
  <c r="BF123" i="113"/>
  <c r="BE123" i="113"/>
  <c r="BD123" i="113"/>
  <c r="BC123" i="113"/>
  <c r="BB123" i="113"/>
  <c r="BA123" i="113"/>
  <c r="AZ123" i="113"/>
  <c r="AY123" i="113"/>
  <c r="AX123" i="113"/>
  <c r="AW123" i="113"/>
  <c r="AV123" i="113"/>
  <c r="AU123" i="113"/>
  <c r="AT123" i="113"/>
  <c r="AS123" i="113"/>
  <c r="AR123" i="113"/>
  <c r="AQ123" i="113"/>
  <c r="AP123" i="113"/>
  <c r="AO123" i="113"/>
  <c r="AN123" i="113"/>
  <c r="AM123" i="113"/>
  <c r="AL123" i="113"/>
  <c r="AK123" i="113"/>
  <c r="AJ123" i="113"/>
  <c r="AI123" i="113"/>
  <c r="AH123" i="113"/>
  <c r="AG123" i="113"/>
  <c r="AF123" i="113"/>
  <c r="AE123" i="113"/>
  <c r="AD123" i="113"/>
  <c r="AC123" i="113"/>
  <c r="AB123" i="113"/>
  <c r="AA123" i="113"/>
  <c r="Z123" i="113"/>
  <c r="Y123" i="113"/>
  <c r="X123" i="113"/>
  <c r="W123" i="113"/>
  <c r="V123" i="113"/>
  <c r="U123" i="113"/>
  <c r="T123" i="113"/>
  <c r="S123" i="113"/>
  <c r="R123" i="113"/>
  <c r="Q123" i="113"/>
  <c r="P123" i="113"/>
  <c r="O123" i="113"/>
  <c r="N123" i="113"/>
  <c r="M123" i="113"/>
  <c r="L123" i="113"/>
  <c r="K123" i="113"/>
  <c r="J123" i="113"/>
  <c r="I123" i="113"/>
  <c r="H123" i="113"/>
  <c r="G123" i="113"/>
  <c r="F123" i="113"/>
  <c r="E123" i="113"/>
  <c r="D123" i="113"/>
  <c r="C123" i="113"/>
  <c r="B123" i="113"/>
  <c r="BI117" i="113"/>
  <c r="BH117" i="113"/>
  <c r="BG117" i="113"/>
  <c r="BF117" i="113"/>
  <c r="BE117" i="113"/>
  <c r="BD117" i="113"/>
  <c r="BC117" i="113"/>
  <c r="BB117" i="113"/>
  <c r="BA117" i="113"/>
  <c r="AZ117" i="113"/>
  <c r="AY117" i="113"/>
  <c r="AX117" i="113"/>
  <c r="AW117" i="113"/>
  <c r="AV117" i="113"/>
  <c r="AU117" i="113"/>
  <c r="AT117" i="113"/>
  <c r="AS117" i="113"/>
  <c r="AR117" i="113"/>
  <c r="AQ117" i="113"/>
  <c r="AP117" i="113"/>
  <c r="AO117" i="113"/>
  <c r="AN117" i="113"/>
  <c r="AM117" i="113"/>
  <c r="AL117" i="113"/>
  <c r="AK117" i="113"/>
  <c r="AJ117" i="113"/>
  <c r="AI117" i="113"/>
  <c r="AH117" i="113"/>
  <c r="AG117" i="113"/>
  <c r="AF117" i="113"/>
  <c r="AE117" i="113"/>
  <c r="AD117" i="113"/>
  <c r="AC117" i="113"/>
  <c r="AB117" i="113"/>
  <c r="AA117" i="113"/>
  <c r="Z117" i="113"/>
  <c r="Y117" i="113"/>
  <c r="X117" i="113"/>
  <c r="W117" i="113"/>
  <c r="V117" i="113"/>
  <c r="U117" i="113"/>
  <c r="T117" i="113"/>
  <c r="S117" i="113"/>
  <c r="R117" i="113"/>
  <c r="Q117" i="113"/>
  <c r="P117" i="113"/>
  <c r="O117" i="113"/>
  <c r="N117" i="113"/>
  <c r="M117" i="113"/>
  <c r="L117" i="113"/>
  <c r="K117" i="113"/>
  <c r="J117" i="113"/>
  <c r="I117" i="113"/>
  <c r="H117" i="113"/>
  <c r="G117" i="113"/>
  <c r="F117" i="113"/>
  <c r="E117" i="113"/>
  <c r="D117" i="113"/>
  <c r="C117" i="113"/>
  <c r="B117" i="113"/>
  <c r="DD101" i="113"/>
  <c r="DC101" i="113"/>
  <c r="DB101" i="113"/>
  <c r="DD100" i="113"/>
  <c r="DC100" i="113"/>
  <c r="DB100" i="113"/>
  <c r="DD99" i="113"/>
  <c r="DC99" i="113"/>
  <c r="DB99" i="113"/>
  <c r="DD98" i="113"/>
  <c r="DC98" i="113"/>
  <c r="DB98" i="113"/>
  <c r="DA101" i="113"/>
  <c r="CZ101" i="113"/>
  <c r="CY101" i="113"/>
  <c r="CX101" i="113"/>
  <c r="DA100" i="113"/>
  <c r="CZ100" i="113"/>
  <c r="CY100" i="113"/>
  <c r="CX100" i="113"/>
  <c r="DA99" i="113"/>
  <c r="CZ99" i="113"/>
  <c r="CY99" i="113"/>
  <c r="CX99" i="113"/>
  <c r="DA98" i="113"/>
  <c r="CZ98" i="113"/>
  <c r="CY98" i="113"/>
  <c r="CX98" i="113"/>
  <c r="CW101" i="113"/>
  <c r="CV101" i="113"/>
  <c r="CU101" i="113"/>
  <c r="CT101" i="113"/>
  <c r="CW100" i="113"/>
  <c r="CV100" i="113"/>
  <c r="CU100" i="113"/>
  <c r="CT100" i="113"/>
  <c r="CW99" i="113"/>
  <c r="CV99" i="113"/>
  <c r="CU99" i="113"/>
  <c r="CT99" i="113"/>
  <c r="CW98" i="113"/>
  <c r="CV98" i="113"/>
  <c r="CU98" i="113"/>
  <c r="CT98" i="113"/>
  <c r="CS101" i="113"/>
  <c r="CR101" i="113"/>
  <c r="CQ101" i="113"/>
  <c r="CS100" i="113"/>
  <c r="CR100" i="113"/>
  <c r="CQ100" i="113"/>
  <c r="CS99" i="113"/>
  <c r="CR99" i="113"/>
  <c r="CQ99" i="113"/>
  <c r="CS98" i="113"/>
  <c r="CR98" i="113"/>
  <c r="CQ98" i="113"/>
  <c r="CP101" i="113"/>
  <c r="CP100" i="113"/>
  <c r="CP99" i="113"/>
  <c r="CP98" i="113"/>
  <c r="CL102" i="113"/>
  <c r="CO108" i="113"/>
  <c r="CN108" i="113"/>
  <c r="CM108" i="113"/>
  <c r="CL108" i="113"/>
  <c r="CO107" i="113"/>
  <c r="CN107" i="113"/>
  <c r="CM107" i="113"/>
  <c r="CL107" i="113"/>
  <c r="CO106" i="113"/>
  <c r="CN106" i="113"/>
  <c r="CM106" i="113"/>
  <c r="CL106" i="113"/>
  <c r="CN105" i="113"/>
  <c r="CM105" i="113"/>
  <c r="CL105" i="113"/>
  <c r="CO105" i="113"/>
  <c r="CO102" i="113"/>
  <c r="CN102" i="113"/>
  <c r="CM102" i="113"/>
  <c r="BI97" i="113"/>
  <c r="BH97" i="113"/>
  <c r="BG97" i="113"/>
  <c r="BF97" i="113"/>
  <c r="BE97" i="113"/>
  <c r="BD97" i="113"/>
  <c r="BC97" i="113"/>
  <c r="BB97" i="113"/>
  <c r="BA97" i="113"/>
  <c r="AZ97" i="113"/>
  <c r="AY97" i="113"/>
  <c r="AX97" i="113"/>
  <c r="AW97" i="113"/>
  <c r="AV97" i="113"/>
  <c r="AU97" i="113"/>
  <c r="AT97" i="113"/>
  <c r="AS97" i="113"/>
  <c r="AR97" i="113"/>
  <c r="AQ97" i="113"/>
  <c r="AP97" i="113"/>
  <c r="AO97" i="113"/>
  <c r="AN97" i="113"/>
  <c r="AM97" i="113"/>
  <c r="AL97" i="113"/>
  <c r="AK97" i="113"/>
  <c r="AJ97" i="113"/>
  <c r="AI97" i="113"/>
  <c r="AH97" i="113"/>
  <c r="AG97" i="113"/>
  <c r="AF97" i="113"/>
  <c r="AE97" i="113"/>
  <c r="AD97" i="113"/>
  <c r="AC97" i="113"/>
  <c r="AB97" i="113"/>
  <c r="AA97" i="113"/>
  <c r="Z97" i="113"/>
  <c r="Y97" i="113"/>
  <c r="X97" i="113"/>
  <c r="W97" i="113"/>
  <c r="V97" i="113"/>
  <c r="U97" i="113"/>
  <c r="T97" i="113"/>
  <c r="S97" i="113"/>
  <c r="R97" i="113"/>
  <c r="Q97" i="113"/>
  <c r="P97" i="113"/>
  <c r="O97" i="113"/>
  <c r="N97" i="113"/>
  <c r="M97" i="113"/>
  <c r="L97" i="113"/>
  <c r="K97" i="113"/>
  <c r="J97" i="113"/>
  <c r="I97" i="113"/>
  <c r="H97" i="113"/>
  <c r="G97" i="113"/>
  <c r="F97" i="113"/>
  <c r="E97" i="113"/>
  <c r="D97" i="113"/>
  <c r="C97" i="113"/>
  <c r="B97" i="113"/>
  <c r="CH90" i="113"/>
  <c r="FU169" i="113" l="1"/>
  <c r="FU168" i="113" s="1"/>
  <c r="FR153" i="113"/>
  <c r="FR158" i="113" s="1"/>
  <c r="FR16" i="113"/>
  <c r="FR29" i="113" s="1"/>
  <c r="FR149" i="113"/>
  <c r="FR150" i="113" s="1"/>
  <c r="DX42" i="113"/>
  <c r="DX29" i="113"/>
  <c r="HD30" i="113"/>
  <c r="HD43" i="113"/>
  <c r="HB152" i="113"/>
  <c r="HB157" i="113" s="1"/>
  <c r="DX57" i="113"/>
  <c r="EK17" i="113"/>
  <c r="EK43" i="113" s="1"/>
  <c r="FU162" i="113"/>
  <c r="DZ153" i="113"/>
  <c r="HB153" i="113" s="1"/>
  <c r="HB158" i="113" s="1"/>
  <c r="DZ149" i="113"/>
  <c r="EA152" i="113"/>
  <c r="EB157" i="113"/>
  <c r="DZ126" i="113"/>
  <c r="EA126" i="113" s="1"/>
  <c r="EB126" i="113" s="1"/>
  <c r="EC126" i="113" s="1"/>
  <c r="ED132" i="113"/>
  <c r="EE132" i="113" s="1"/>
  <c r="EF132" i="113" s="1"/>
  <c r="EG132" i="113" s="1"/>
  <c r="DY29" i="113"/>
  <c r="DY57" i="113"/>
  <c r="DY42" i="113"/>
  <c r="ED138" i="113"/>
  <c r="EE138" i="113" s="1"/>
  <c r="EF138" i="113" s="1"/>
  <c r="EG138" i="113" s="1"/>
  <c r="CG90" i="113"/>
  <c r="FG90" i="113" s="1"/>
  <c r="GQ90" i="113"/>
  <c r="GV101" i="113"/>
  <c r="FK100" i="113"/>
  <c r="FL99" i="113"/>
  <c r="GT99" i="113"/>
  <c r="GT101" i="113"/>
  <c r="GU100" i="113"/>
  <c r="GV99" i="113"/>
  <c r="FK99" i="113"/>
  <c r="FL98" i="113"/>
  <c r="FL101" i="113"/>
  <c r="FJ98" i="113"/>
  <c r="GS98" i="113"/>
  <c r="GS99" i="113"/>
  <c r="FJ99" i="113"/>
  <c r="GS100" i="113"/>
  <c r="FJ100" i="113"/>
  <c r="FJ101" i="113"/>
  <c r="GS101" i="113"/>
  <c r="GU99" i="113"/>
  <c r="GV98" i="113"/>
  <c r="GT98" i="113"/>
  <c r="GT100" i="113"/>
  <c r="FK98" i="113"/>
  <c r="FK101" i="113"/>
  <c r="FL100" i="113"/>
  <c r="CL15" i="113"/>
  <c r="FI102" i="113"/>
  <c r="GU98" i="113"/>
  <c r="GU101" i="113"/>
  <c r="GV100" i="113"/>
  <c r="DH120" i="113"/>
  <c r="DI120" i="113" s="1"/>
  <c r="DJ120" i="113" s="1"/>
  <c r="DK120" i="113" s="1"/>
  <c r="DH114" i="113"/>
  <c r="DI114" i="113" s="1"/>
  <c r="DJ114" i="113" s="1"/>
  <c r="DK114" i="113" s="1"/>
  <c r="DL114" i="113" s="1"/>
  <c r="DM114" i="113" s="1"/>
  <c r="DN114" i="113" s="1"/>
  <c r="DO114" i="113" s="1"/>
  <c r="DP114" i="113" s="1"/>
  <c r="DQ114" i="113" s="1"/>
  <c r="DR114" i="113" s="1"/>
  <c r="DS114" i="113" s="1"/>
  <c r="DT114" i="113" s="1"/>
  <c r="DU114" i="113" s="1"/>
  <c r="DV114" i="113" s="1"/>
  <c r="DW114" i="113" s="1"/>
  <c r="DX114" i="113" s="1"/>
  <c r="DY114" i="113" s="1"/>
  <c r="DZ114" i="113" s="1"/>
  <c r="EA114" i="113" s="1"/>
  <c r="EB114" i="113" s="1"/>
  <c r="EC114" i="113" s="1"/>
  <c r="CQ125" i="113"/>
  <c r="CQ124" i="113" s="1"/>
  <c r="CR131" i="113"/>
  <c r="CQ130" i="113"/>
  <c r="CR102" i="113"/>
  <c r="CP124" i="113"/>
  <c r="CP102" i="113"/>
  <c r="GS102" i="113" s="1"/>
  <c r="CS102" i="113"/>
  <c r="CM15" i="113"/>
  <c r="CN15" i="113"/>
  <c r="CO15" i="113"/>
  <c r="CQ102" i="113"/>
  <c r="CZ102" i="113"/>
  <c r="DB102" i="113"/>
  <c r="DA102" i="113"/>
  <c r="DC102" i="113"/>
  <c r="CV102" i="113"/>
  <c r="CW102" i="113"/>
  <c r="CY102" i="113"/>
  <c r="CT102" i="113"/>
  <c r="DD102" i="113"/>
  <c r="CX102" i="113"/>
  <c r="CU102" i="113"/>
  <c r="FU163" i="113" l="1"/>
  <c r="DL120" i="113"/>
  <c r="DM120" i="113" s="1"/>
  <c r="DN120" i="113" s="1"/>
  <c r="DO120" i="113" s="1"/>
  <c r="DP120" i="113" s="1"/>
  <c r="DQ120" i="113" s="1"/>
  <c r="DR120" i="113" s="1"/>
  <c r="DS120" i="113" s="1"/>
  <c r="DT120" i="113" s="1"/>
  <c r="DU120" i="113" s="1"/>
  <c r="DV120" i="113" s="1"/>
  <c r="DW120" i="113" s="1"/>
  <c r="DX120" i="113" s="1"/>
  <c r="DY120" i="113" s="1"/>
  <c r="DZ120" i="113" s="1"/>
  <c r="EA120" i="113" s="1"/>
  <c r="EB120" i="113" s="1"/>
  <c r="EC120" i="113" s="1"/>
  <c r="ED120" i="113" s="1"/>
  <c r="EE120" i="113" s="1"/>
  <c r="EF120" i="113" s="1"/>
  <c r="EG120" i="113" s="1"/>
  <c r="FR42" i="113"/>
  <c r="DZ16" i="113"/>
  <c r="DZ57" i="113" s="1"/>
  <c r="EK30" i="113"/>
  <c r="FU17" i="113"/>
  <c r="DZ158" i="113"/>
  <c r="HB149" i="113"/>
  <c r="HB150" i="113" s="1"/>
  <c r="ED126" i="113"/>
  <c r="ED114" i="113"/>
  <c r="EE114" i="113" s="1"/>
  <c r="EF114" i="113" s="1"/>
  <c r="EG114" i="113" s="1"/>
  <c r="EB152" i="113"/>
  <c r="EC157" i="113"/>
  <c r="EA153" i="113"/>
  <c r="EA149" i="113"/>
  <c r="EH132" i="113"/>
  <c r="EI132" i="113" s="1"/>
  <c r="EJ132" i="113" s="1"/>
  <c r="EK132" i="113" s="1"/>
  <c r="EH138" i="113"/>
  <c r="EI138" i="113" s="1"/>
  <c r="EJ138" i="113" s="1"/>
  <c r="EK138" i="113" s="1"/>
  <c r="GR92" i="113"/>
  <c r="GU102" i="113"/>
  <c r="FL102" i="113"/>
  <c r="FK102" i="113"/>
  <c r="GT102" i="113"/>
  <c r="GV102" i="113"/>
  <c r="FJ102" i="113"/>
  <c r="FI15" i="113"/>
  <c r="CR125" i="113"/>
  <c r="CR124" i="113" s="1"/>
  <c r="CM56" i="113"/>
  <c r="CN56" i="113"/>
  <c r="CO56" i="113"/>
  <c r="CR15" i="113"/>
  <c r="CZ15" i="113"/>
  <c r="DA15" i="113"/>
  <c r="CP15" i="113"/>
  <c r="DB15" i="113"/>
  <c r="CS131" i="113"/>
  <c r="FJ131" i="113" s="1"/>
  <c r="CR130" i="113"/>
  <c r="CS15" i="113"/>
  <c r="DC15" i="113"/>
  <c r="CQ15" i="113"/>
  <c r="CW15" i="113"/>
  <c r="CU15" i="113"/>
  <c r="CY15" i="113"/>
  <c r="CT15" i="113"/>
  <c r="DD15" i="113"/>
  <c r="CX15" i="113"/>
  <c r="CV15" i="113"/>
  <c r="CS119" i="113"/>
  <c r="FJ119" i="113" s="1"/>
  <c r="DZ29" i="113" l="1"/>
  <c r="DZ42" i="113"/>
  <c r="FU30" i="113"/>
  <c r="FU43" i="113"/>
  <c r="HB16" i="113"/>
  <c r="EA16" i="113"/>
  <c r="EA42" i="113" s="1"/>
  <c r="EA158" i="113"/>
  <c r="EC152" i="113"/>
  <c r="FS152" i="113" s="1"/>
  <c r="ED157" i="113"/>
  <c r="EB153" i="113"/>
  <c r="EB158" i="113" s="1"/>
  <c r="EB149" i="113"/>
  <c r="EB16" i="113" s="1"/>
  <c r="EH120" i="113"/>
  <c r="EI120" i="113" s="1"/>
  <c r="EJ120" i="113" s="1"/>
  <c r="EK120" i="113" s="1"/>
  <c r="EE126" i="113"/>
  <c r="EF126" i="113" s="1"/>
  <c r="EG126" i="113" s="1"/>
  <c r="EH114" i="113"/>
  <c r="EI114" i="113" s="1"/>
  <c r="EJ114" i="113" s="1"/>
  <c r="EK114" i="113" s="1"/>
  <c r="DD28" i="113"/>
  <c r="CY28" i="113"/>
  <c r="CR28" i="113"/>
  <c r="CU28" i="113"/>
  <c r="CQ28" i="113"/>
  <c r="CP28" i="113"/>
  <c r="CS28" i="113"/>
  <c r="DC28" i="113"/>
  <c r="DA28" i="113"/>
  <c r="CT28" i="113"/>
  <c r="CZ28" i="113"/>
  <c r="CV28" i="113"/>
  <c r="CW28" i="113"/>
  <c r="DB28" i="113"/>
  <c r="CX28" i="113"/>
  <c r="CS125" i="113"/>
  <c r="FK15" i="113"/>
  <c r="FJ15" i="113"/>
  <c r="FL15" i="113"/>
  <c r="GT15" i="113"/>
  <c r="GV15" i="113"/>
  <c r="GS15" i="113"/>
  <c r="GU15" i="113"/>
  <c r="DD56" i="113"/>
  <c r="DC56" i="113"/>
  <c r="DB56" i="113"/>
  <c r="CU41" i="113"/>
  <c r="CU56" i="113"/>
  <c r="CQ41" i="113"/>
  <c r="CQ56" i="113"/>
  <c r="CP41" i="113"/>
  <c r="CP56" i="113"/>
  <c r="CZ56" i="113"/>
  <c r="CR41" i="113"/>
  <c r="CR56" i="113"/>
  <c r="CS41" i="113"/>
  <c r="CS56" i="113"/>
  <c r="CV56" i="113"/>
  <c r="CX41" i="113"/>
  <c r="CX56" i="113"/>
  <c r="CY56" i="113"/>
  <c r="CW56" i="113"/>
  <c r="CT56" i="113"/>
  <c r="DA56" i="113"/>
  <c r="CV41" i="113"/>
  <c r="CW41" i="113"/>
  <c r="CZ41" i="113"/>
  <c r="DD41" i="113"/>
  <c r="DC41" i="113"/>
  <c r="CY41" i="113"/>
  <c r="CT41" i="113"/>
  <c r="DB41" i="113"/>
  <c r="DA41" i="113"/>
  <c r="CS130" i="113"/>
  <c r="FJ130" i="113" s="1"/>
  <c r="CT131" i="113"/>
  <c r="GT131" i="113" s="1"/>
  <c r="GT133" i="113" s="1"/>
  <c r="CS118" i="113"/>
  <c r="CT119" i="113"/>
  <c r="GT119" i="113" s="1"/>
  <c r="EA29" i="113" l="1"/>
  <c r="EA57" i="113"/>
  <c r="FS157" i="113"/>
  <c r="HB29" i="113"/>
  <c r="HB42" i="113"/>
  <c r="EH126" i="113"/>
  <c r="EI126" i="113" s="1"/>
  <c r="EJ126" i="113" s="1"/>
  <c r="EK126" i="113" s="1"/>
  <c r="EB42" i="113"/>
  <c r="EB57" i="113"/>
  <c r="EB29" i="113"/>
  <c r="EE157" i="113"/>
  <c r="ED152" i="113"/>
  <c r="EC153" i="113"/>
  <c r="FS153" i="113" s="1"/>
  <c r="EC149" i="113"/>
  <c r="EC16" i="113" s="1"/>
  <c r="FS16" i="113" s="1"/>
  <c r="CT125" i="113"/>
  <c r="GT125" i="113" s="1"/>
  <c r="GT127" i="113" s="1"/>
  <c r="FJ125" i="113"/>
  <c r="GT121" i="113"/>
  <c r="FL28" i="113"/>
  <c r="GV28" i="113"/>
  <c r="GT28" i="113"/>
  <c r="FJ41" i="113"/>
  <c r="FJ28" i="113"/>
  <c r="GU28" i="113"/>
  <c r="FK28" i="113"/>
  <c r="CS124" i="113"/>
  <c r="FJ124" i="113" s="1"/>
  <c r="FL41" i="113"/>
  <c r="GT41" i="113"/>
  <c r="FK41" i="113"/>
  <c r="GU41" i="113"/>
  <c r="FJ118" i="113"/>
  <c r="GV41" i="113"/>
  <c r="CT130" i="113"/>
  <c r="GT130" i="113" s="1"/>
  <c r="GT132" i="113" s="1"/>
  <c r="CU131" i="113"/>
  <c r="CT118" i="113"/>
  <c r="CU119" i="113"/>
  <c r="FS158" i="113" l="1"/>
  <c r="FS42" i="113"/>
  <c r="FS29" i="113"/>
  <c r="EC158" i="113"/>
  <c r="FS149" i="113"/>
  <c r="FS150" i="113" s="1"/>
  <c r="HC152" i="113"/>
  <c r="HC157" i="113" s="1"/>
  <c r="EF157" i="113"/>
  <c r="EE152" i="113"/>
  <c r="EC29" i="113"/>
  <c r="EC42" i="113"/>
  <c r="EC57" i="113"/>
  <c r="ED153" i="113"/>
  <c r="HC153" i="113" s="1"/>
  <c r="HC158" i="113" s="1"/>
  <c r="ED149" i="113"/>
  <c r="FJ126" i="113"/>
  <c r="FJ120" i="113"/>
  <c r="CU125" i="113"/>
  <c r="CU124" i="113" s="1"/>
  <c r="CT124" i="113"/>
  <c r="GT124" i="113" s="1"/>
  <c r="GT126" i="113" s="1"/>
  <c r="GT118" i="113"/>
  <c r="CU130" i="113"/>
  <c r="CV131" i="113"/>
  <c r="CU118" i="113"/>
  <c r="CV119" i="113"/>
  <c r="ED16" i="113" l="1"/>
  <c r="ED29" i="113" s="1"/>
  <c r="ED158" i="113"/>
  <c r="HC149" i="113"/>
  <c r="HC150" i="113" s="1"/>
  <c r="CV125" i="113"/>
  <c r="CV124" i="113" s="1"/>
  <c r="EE153" i="113"/>
  <c r="EE149" i="113"/>
  <c r="EF152" i="113"/>
  <c r="EG157" i="113"/>
  <c r="GT120" i="113"/>
  <c r="CX137" i="113"/>
  <c r="GU137" i="113" s="1"/>
  <c r="CV130" i="113"/>
  <c r="CW131" i="113"/>
  <c r="FK131" i="113" s="1"/>
  <c r="CV118" i="113"/>
  <c r="CW119" i="113"/>
  <c r="FK119" i="113" s="1"/>
  <c r="CW125" i="113" l="1"/>
  <c r="FK125" i="113" s="1"/>
  <c r="ED57" i="113"/>
  <c r="ED42" i="113"/>
  <c r="HC16" i="113"/>
  <c r="EE16" i="113"/>
  <c r="EE158" i="113"/>
  <c r="EG152" i="113"/>
  <c r="EH157" i="113"/>
  <c r="EF153" i="113"/>
  <c r="EF149" i="113"/>
  <c r="EF16" i="113" s="1"/>
  <c r="GU139" i="113"/>
  <c r="CY137" i="113"/>
  <c r="CX136" i="113"/>
  <c r="CX131" i="113"/>
  <c r="GU131" i="113" s="1"/>
  <c r="CW130" i="113"/>
  <c r="FK130" i="113" s="1"/>
  <c r="CX119" i="113"/>
  <c r="GU119" i="113" s="1"/>
  <c r="CW118" i="113"/>
  <c r="FK118" i="113" s="1"/>
  <c r="CW124" i="113" l="1"/>
  <c r="FK124" i="113" s="1"/>
  <c r="FK126" i="113" s="1"/>
  <c r="CX125" i="113"/>
  <c r="GU125" i="113" s="1"/>
  <c r="GU127" i="113" s="1"/>
  <c r="HC29" i="113"/>
  <c r="HC42" i="113"/>
  <c r="EE29" i="113"/>
  <c r="EE42" i="113"/>
  <c r="FT152" i="113"/>
  <c r="EE57" i="113"/>
  <c r="EF158" i="113"/>
  <c r="EH152" i="113"/>
  <c r="EI157" i="113"/>
  <c r="EG153" i="113"/>
  <c r="EG158" i="113" s="1"/>
  <c r="EG149" i="113"/>
  <c r="EF42" i="113"/>
  <c r="EF57" i="113"/>
  <c r="EF29" i="113"/>
  <c r="FK120" i="113"/>
  <c r="GU121" i="113"/>
  <c r="GU133" i="113"/>
  <c r="GU136" i="113"/>
  <c r="GU138" i="113" s="1"/>
  <c r="CY136" i="113"/>
  <c r="CZ137" i="113"/>
  <c r="CY131" i="113"/>
  <c r="CX130" i="113"/>
  <c r="CY119" i="113"/>
  <c r="CX118" i="113"/>
  <c r="CY125" i="113" l="1"/>
  <c r="CZ125" i="113" s="1"/>
  <c r="CX124" i="113"/>
  <c r="GU124" i="113" s="1"/>
  <c r="GU126" i="113" s="1"/>
  <c r="FT157" i="113"/>
  <c r="HD152" i="113"/>
  <c r="HD157" i="113" s="1"/>
  <c r="FT153" i="113"/>
  <c r="EG16" i="113"/>
  <c r="EG29" i="113" s="1"/>
  <c r="FT149" i="113"/>
  <c r="FT150" i="113" s="1"/>
  <c r="EJ157" i="113"/>
  <c r="EI152" i="113"/>
  <c r="EH153" i="113"/>
  <c r="EH149" i="113"/>
  <c r="HD149" i="113" s="1"/>
  <c r="GU130" i="113"/>
  <c r="GU132" i="113" s="1"/>
  <c r="GU118" i="113"/>
  <c r="CZ136" i="113"/>
  <c r="DA137" i="113"/>
  <c r="FL137" i="113" s="1"/>
  <c r="CY130" i="113"/>
  <c r="CZ131" i="113"/>
  <c r="CY118" i="113"/>
  <c r="CZ119" i="113"/>
  <c r="CY124" i="113" l="1"/>
  <c r="HD150" i="113"/>
  <c r="FT158" i="113"/>
  <c r="EG42" i="113"/>
  <c r="EH16" i="113"/>
  <c r="HD16" i="113" s="1"/>
  <c r="FT16" i="113"/>
  <c r="EG57" i="113"/>
  <c r="EH158" i="113"/>
  <c r="HD153" i="113"/>
  <c r="HD158" i="113" s="1"/>
  <c r="EI153" i="113"/>
  <c r="EI158" i="113" s="1"/>
  <c r="EI149" i="113"/>
  <c r="EI16" i="113" s="1"/>
  <c r="EJ152" i="113"/>
  <c r="EK157" i="113"/>
  <c r="EK152" i="113" s="1"/>
  <c r="GU120" i="113"/>
  <c r="DA136" i="113"/>
  <c r="DB137" i="113"/>
  <c r="GV137" i="113" s="1"/>
  <c r="CZ130" i="113"/>
  <c r="DA131" i="113"/>
  <c r="FL131" i="113" s="1"/>
  <c r="CZ124" i="113"/>
  <c r="DA125" i="113"/>
  <c r="FL125" i="113" s="1"/>
  <c r="CZ118" i="113"/>
  <c r="DA119" i="113"/>
  <c r="FL119" i="113" s="1"/>
  <c r="FU152" i="113" l="1"/>
  <c r="FU157" i="113" s="1"/>
  <c r="EH42" i="113"/>
  <c r="EH29" i="113"/>
  <c r="FT29" i="113"/>
  <c r="FT42" i="113"/>
  <c r="HD29" i="113"/>
  <c r="HD42" i="113"/>
  <c r="EH57" i="113"/>
  <c r="EJ153" i="113"/>
  <c r="EJ158" i="113" s="1"/>
  <c r="EJ149" i="113"/>
  <c r="EJ16" i="113" s="1"/>
  <c r="EI57" i="113"/>
  <c r="EI29" i="113"/>
  <c r="EI42" i="113"/>
  <c r="EK153" i="113"/>
  <c r="EK158" i="113" s="1"/>
  <c r="EK149" i="113"/>
  <c r="EK16" i="113" s="1"/>
  <c r="GV139" i="113"/>
  <c r="FL136" i="113"/>
  <c r="FL138" i="113" s="1"/>
  <c r="DC137" i="113"/>
  <c r="DB136" i="113"/>
  <c r="GV136" i="113" s="1"/>
  <c r="GV138" i="113" s="1"/>
  <c r="DA130" i="113"/>
  <c r="FL130" i="113" s="1"/>
  <c r="FL132" i="113" s="1"/>
  <c r="DB131" i="113"/>
  <c r="GV131" i="113" s="1"/>
  <c r="DA124" i="113"/>
  <c r="DB125" i="113"/>
  <c r="GV125" i="113" s="1"/>
  <c r="GV127" i="113" s="1"/>
  <c r="DA118" i="113"/>
  <c r="FL118" i="113" s="1"/>
  <c r="DB119" i="113"/>
  <c r="GV119" i="113" s="1"/>
  <c r="FU16" i="113" l="1"/>
  <c r="FU29" i="113" s="1"/>
  <c r="FU153" i="113"/>
  <c r="FU158" i="113" s="1"/>
  <c r="FU149" i="113"/>
  <c r="FU150" i="113" s="1"/>
  <c r="EJ42" i="113"/>
  <c r="EJ29" i="113"/>
  <c r="EJ57" i="113"/>
  <c r="EK29" i="113"/>
  <c r="EK42" i="113"/>
  <c r="EK57" i="113"/>
  <c r="GV121" i="113"/>
  <c r="FL120" i="113"/>
  <c r="GV133" i="113"/>
  <c r="FL124" i="113"/>
  <c r="FL126" i="113" s="1"/>
  <c r="DD137" i="113"/>
  <c r="DC136" i="113"/>
  <c r="DC131" i="113"/>
  <c r="DB130" i="113"/>
  <c r="DB124" i="113"/>
  <c r="GV124" i="113" s="1"/>
  <c r="GV126" i="113" s="1"/>
  <c r="DC125" i="113"/>
  <c r="DC119" i="113"/>
  <c r="DB118" i="113"/>
  <c r="GV118" i="113" s="1"/>
  <c r="FU42" i="113" l="1"/>
  <c r="GV120" i="113"/>
  <c r="GV130" i="113"/>
  <c r="GV132" i="113" s="1"/>
  <c r="DE137" i="113"/>
  <c r="FM137" i="113" s="1"/>
  <c r="DD136" i="113"/>
  <c r="DD131" i="113"/>
  <c r="DC130" i="113"/>
  <c r="DD125" i="113"/>
  <c r="DC124" i="113"/>
  <c r="DD119" i="113"/>
  <c r="DC118" i="113"/>
  <c r="DE136" i="113" l="1"/>
  <c r="FM136" i="113" s="1"/>
  <c r="DF137" i="113"/>
  <c r="DE131" i="113"/>
  <c r="FM131" i="113" s="1"/>
  <c r="DD130" i="113"/>
  <c r="DE125" i="113"/>
  <c r="FM125" i="113" s="1"/>
  <c r="DD124" i="113"/>
  <c r="DE119" i="113"/>
  <c r="FM119" i="113" s="1"/>
  <c r="DD118" i="113"/>
  <c r="GW137" i="113" l="1"/>
  <c r="FM138" i="113"/>
  <c r="DF136" i="113"/>
  <c r="GW136" i="113" s="1"/>
  <c r="DG137" i="113"/>
  <c r="DF131" i="113"/>
  <c r="DE130" i="113"/>
  <c r="FM130" i="113" s="1"/>
  <c r="DF125" i="113"/>
  <c r="DE124" i="113"/>
  <c r="FM124" i="113" s="1"/>
  <c r="DE118" i="113"/>
  <c r="FM118" i="113" s="1"/>
  <c r="DF119" i="113"/>
  <c r="GW119" i="113" l="1"/>
  <c r="GW139" i="113"/>
  <c r="FM126" i="113"/>
  <c r="FM132" i="113"/>
  <c r="GW131" i="113"/>
  <c r="FM120" i="113"/>
  <c r="GW138" i="113"/>
  <c r="GW125" i="113"/>
  <c r="DG136" i="113"/>
  <c r="DH137" i="113"/>
  <c r="DF130" i="113"/>
  <c r="DG131" i="113"/>
  <c r="DF124" i="113"/>
  <c r="DG125" i="113"/>
  <c r="DF118" i="113"/>
  <c r="DG119" i="113"/>
  <c r="GW133" i="113" l="1"/>
  <c r="GW121" i="113"/>
  <c r="GW127" i="113"/>
  <c r="GW130" i="113"/>
  <c r="GW132" i="113" s="1"/>
  <c r="GW118" i="113"/>
  <c r="GW124" i="113"/>
  <c r="GW126" i="113" s="1"/>
  <c r="DH136" i="113"/>
  <c r="DI137" i="113"/>
  <c r="FN137" i="113" s="1"/>
  <c r="DG130" i="113"/>
  <c r="DH131" i="113"/>
  <c r="DG124" i="113"/>
  <c r="DH125" i="113"/>
  <c r="DG118" i="113"/>
  <c r="DH119" i="113"/>
  <c r="GW120" i="113" l="1"/>
  <c r="DJ137" i="113"/>
  <c r="GX137" i="113" s="1"/>
  <c r="DI136" i="113"/>
  <c r="DH130" i="113"/>
  <c r="DI131" i="113"/>
  <c r="FN131" i="113" s="1"/>
  <c r="DI125" i="113"/>
  <c r="FN125" i="113" s="1"/>
  <c r="DH124" i="113"/>
  <c r="DH118" i="113"/>
  <c r="DI119" i="113"/>
  <c r="FN119" i="113" s="1"/>
  <c r="GX139" i="113" l="1"/>
  <c r="FN136" i="113"/>
  <c r="FN138" i="113" s="1"/>
  <c r="DK137" i="113"/>
  <c r="DJ136" i="113"/>
  <c r="GX136" i="113" s="1"/>
  <c r="GX138" i="113" s="1"/>
  <c r="DJ131" i="113"/>
  <c r="GX131" i="113" s="1"/>
  <c r="DI130" i="113"/>
  <c r="FN130" i="113" s="1"/>
  <c r="FN132" i="113" s="1"/>
  <c r="DJ125" i="113"/>
  <c r="GX125" i="113" s="1"/>
  <c r="DI124" i="113"/>
  <c r="FN124" i="113" s="1"/>
  <c r="DJ119" i="113"/>
  <c r="GX119" i="113" s="1"/>
  <c r="DI118" i="113"/>
  <c r="GX121" i="113" l="1"/>
  <c r="GX133" i="113"/>
  <c r="GX127" i="113"/>
  <c r="FN126" i="113"/>
  <c r="FN118" i="113"/>
  <c r="FN120" i="113" s="1"/>
  <c r="DK136" i="113"/>
  <c r="DL137" i="113"/>
  <c r="DK131" i="113"/>
  <c r="DJ130" i="113"/>
  <c r="GX130" i="113" s="1"/>
  <c r="GX132" i="113" s="1"/>
  <c r="DK125" i="113"/>
  <c r="DJ124" i="113"/>
  <c r="GX124" i="113" s="1"/>
  <c r="GX126" i="113" s="1"/>
  <c r="DK119" i="113"/>
  <c r="DJ118" i="113"/>
  <c r="GX118" i="113" l="1"/>
  <c r="DL136" i="113"/>
  <c r="DM137" i="113"/>
  <c r="FO137" i="113" s="1"/>
  <c r="DL131" i="113"/>
  <c r="DK130" i="113"/>
  <c r="DK124" i="113"/>
  <c r="DL125" i="113"/>
  <c r="DK118" i="113"/>
  <c r="DL119" i="113"/>
  <c r="GX120" i="113" l="1"/>
  <c r="DM136" i="113"/>
  <c r="FO136" i="113" s="1"/>
  <c r="FO138" i="113" s="1"/>
  <c r="DN137" i="113"/>
  <c r="GY137" i="113" s="1"/>
  <c r="GY139" i="113" s="1"/>
  <c r="DL130" i="113"/>
  <c r="DM131" i="113"/>
  <c r="FO131" i="113" s="1"/>
  <c r="DM125" i="113"/>
  <c r="FO125" i="113" s="1"/>
  <c r="DL124" i="113"/>
  <c r="DL118" i="113"/>
  <c r="DM119" i="113"/>
  <c r="FO119" i="113" s="1"/>
  <c r="DO137" i="113" l="1"/>
  <c r="DN136" i="113"/>
  <c r="GY136" i="113" s="1"/>
  <c r="GY138" i="113" s="1"/>
  <c r="DM130" i="113"/>
  <c r="DN131" i="113"/>
  <c r="GY131" i="113" s="1"/>
  <c r="DM124" i="113"/>
  <c r="FO124" i="113" s="1"/>
  <c r="DN125" i="113"/>
  <c r="GY125" i="113" s="1"/>
  <c r="GY127" i="113" s="1"/>
  <c r="DM118" i="113"/>
  <c r="FO118" i="113" s="1"/>
  <c r="FO120" i="113" s="1"/>
  <c r="DN119" i="113"/>
  <c r="GY119" i="113" s="1"/>
  <c r="GY121" i="113" l="1"/>
  <c r="GY133" i="113"/>
  <c r="FO126" i="113"/>
  <c r="FO130" i="113"/>
  <c r="FO132" i="113" s="1"/>
  <c r="DP137" i="113"/>
  <c r="DO136" i="113"/>
  <c r="DN130" i="113"/>
  <c r="GY130" i="113" s="1"/>
  <c r="GY132" i="113" s="1"/>
  <c r="DO131" i="113"/>
  <c r="DO125" i="113"/>
  <c r="DN124" i="113"/>
  <c r="GY124" i="113" s="1"/>
  <c r="GY126" i="113" s="1"/>
  <c r="DO119" i="113"/>
  <c r="DN118" i="113"/>
  <c r="GY118" i="113" s="1"/>
  <c r="GY120" i="113" l="1"/>
  <c r="DQ137" i="113"/>
  <c r="FP137" i="113" s="1"/>
  <c r="DP136" i="113"/>
  <c r="DP131" i="113"/>
  <c r="DO130" i="113"/>
  <c r="DP125" i="113"/>
  <c r="DO124" i="113"/>
  <c r="DP119" i="113"/>
  <c r="DO118" i="113"/>
  <c r="DR137" i="113" l="1"/>
  <c r="GZ137" i="113" s="1"/>
  <c r="GZ139" i="113" s="1"/>
  <c r="DQ136" i="113"/>
  <c r="FP136" i="113" s="1"/>
  <c r="FP138" i="113" s="1"/>
  <c r="DQ131" i="113"/>
  <c r="FP131" i="113" s="1"/>
  <c r="DP130" i="113"/>
  <c r="DQ125" i="113"/>
  <c r="FP125" i="113" s="1"/>
  <c r="DP124" i="113"/>
  <c r="DQ119" i="113"/>
  <c r="FP119" i="113" s="1"/>
  <c r="DP118" i="113"/>
  <c r="DR136" i="113" l="1"/>
  <c r="GZ136" i="113" s="1"/>
  <c r="GZ138" i="113" s="1"/>
  <c r="DS137" i="113"/>
  <c r="HA137" i="113" s="1"/>
  <c r="HA139" i="113" s="1"/>
  <c r="DQ130" i="113"/>
  <c r="FP130" i="113" s="1"/>
  <c r="FP132" i="113" s="1"/>
  <c r="DR131" i="113"/>
  <c r="GZ131" i="113" s="1"/>
  <c r="GZ133" i="113" s="1"/>
  <c r="DQ124" i="113"/>
  <c r="FP124" i="113" s="1"/>
  <c r="DR125" i="113"/>
  <c r="GZ125" i="113" s="1"/>
  <c r="GZ127" i="113" s="1"/>
  <c r="DQ118" i="113"/>
  <c r="FP118" i="113" s="1"/>
  <c r="FP120" i="113" s="1"/>
  <c r="DR119" i="113"/>
  <c r="GZ119" i="113" s="1"/>
  <c r="GZ121" i="113" l="1"/>
  <c r="FP126" i="113"/>
  <c r="DS136" i="113"/>
  <c r="DT137" i="113"/>
  <c r="DR130" i="113"/>
  <c r="GZ130" i="113" s="1"/>
  <c r="GZ132" i="113" s="1"/>
  <c r="DS131" i="113"/>
  <c r="HA131" i="113" s="1"/>
  <c r="HA133" i="113" s="1"/>
  <c r="DR124" i="113"/>
  <c r="GZ124" i="113" s="1"/>
  <c r="GZ126" i="113" s="1"/>
  <c r="DS125" i="113"/>
  <c r="HA125" i="113" s="1"/>
  <c r="HA127" i="113" s="1"/>
  <c r="DR118" i="113"/>
  <c r="GZ118" i="113" s="1"/>
  <c r="DS119" i="113"/>
  <c r="HA119" i="113" s="1"/>
  <c r="HA121" i="113" s="1"/>
  <c r="GZ120" i="113" l="1"/>
  <c r="DT136" i="113"/>
  <c r="DU137" i="113"/>
  <c r="DS130" i="113"/>
  <c r="DT131" i="113"/>
  <c r="DS124" i="113"/>
  <c r="DT125" i="113"/>
  <c r="DS118" i="113"/>
  <c r="DT119" i="113"/>
  <c r="DV137" i="113" l="1"/>
  <c r="HC137" i="113"/>
  <c r="FQ137" i="113"/>
  <c r="DU136" i="113"/>
  <c r="DU131" i="113"/>
  <c r="DT130" i="113"/>
  <c r="DT124" i="113"/>
  <c r="DU125" i="113"/>
  <c r="DU119" i="113"/>
  <c r="DT118" i="113"/>
  <c r="DV136" i="113" l="1"/>
  <c r="DW137" i="113"/>
  <c r="DX137" i="113" s="1"/>
  <c r="DV119" i="113"/>
  <c r="DW119" i="113" s="1"/>
  <c r="HC119" i="113"/>
  <c r="DV125" i="113"/>
  <c r="DV124" i="113" s="1"/>
  <c r="HC125" i="113"/>
  <c r="DV131" i="113"/>
  <c r="HC131" i="113"/>
  <c r="FQ136" i="113"/>
  <c r="DU130" i="113"/>
  <c r="FQ130" i="113" s="1"/>
  <c r="FQ131" i="113"/>
  <c r="DU118" i="113"/>
  <c r="FQ119" i="113"/>
  <c r="DU124" i="113"/>
  <c r="FQ125" i="113"/>
  <c r="CP93" i="113"/>
  <c r="CO94" i="113"/>
  <c r="CN94" i="113"/>
  <c r="CM94" i="113"/>
  <c r="CL94" i="113"/>
  <c r="CK94" i="113"/>
  <c r="CJ94" i="113"/>
  <c r="CN95" i="113"/>
  <c r="CM95" i="113"/>
  <c r="CL95" i="113"/>
  <c r="CK95" i="113"/>
  <c r="CJ95" i="113"/>
  <c r="CI95" i="113"/>
  <c r="CO95" i="113"/>
  <c r="CD91" i="113"/>
  <c r="CO92" i="113"/>
  <c r="CN92" i="113"/>
  <c r="CM92" i="113"/>
  <c r="CL92" i="113"/>
  <c r="CK92" i="113"/>
  <c r="CJ92" i="113"/>
  <c r="CI92" i="113"/>
  <c r="CP90" i="113"/>
  <c r="GS90" i="113" s="1"/>
  <c r="BI88" i="113"/>
  <c r="BH88" i="113"/>
  <c r="BG88" i="113"/>
  <c r="BF88" i="113"/>
  <c r="BE88" i="113"/>
  <c r="BD88" i="113"/>
  <c r="BC88" i="113"/>
  <c r="BB88" i="113"/>
  <c r="BA88" i="113"/>
  <c r="AZ88" i="113"/>
  <c r="AY88" i="113"/>
  <c r="AX88" i="113"/>
  <c r="AW88" i="113"/>
  <c r="AV88" i="113"/>
  <c r="AU88" i="113"/>
  <c r="AT88" i="113"/>
  <c r="AS88" i="113"/>
  <c r="AR88" i="113"/>
  <c r="AQ88" i="113"/>
  <c r="AP88" i="113"/>
  <c r="AO88" i="113"/>
  <c r="AN88" i="113"/>
  <c r="AM88" i="113"/>
  <c r="AL88" i="113"/>
  <c r="AK88" i="113"/>
  <c r="AJ88" i="113"/>
  <c r="AI88" i="113"/>
  <c r="AH88" i="113"/>
  <c r="AG88" i="113"/>
  <c r="AF88" i="113"/>
  <c r="AE88" i="113"/>
  <c r="AD88" i="113"/>
  <c r="AC88" i="113"/>
  <c r="AB88" i="113"/>
  <c r="AA88" i="113"/>
  <c r="Z88" i="113"/>
  <c r="Y88" i="113"/>
  <c r="X88" i="113"/>
  <c r="W88" i="113"/>
  <c r="V88" i="113"/>
  <c r="U88" i="113"/>
  <c r="T88" i="113"/>
  <c r="S88" i="113"/>
  <c r="R88" i="113"/>
  <c r="Q88" i="113"/>
  <c r="P88" i="113"/>
  <c r="O88" i="113"/>
  <c r="N88" i="113"/>
  <c r="M88" i="113"/>
  <c r="L88" i="113"/>
  <c r="K88" i="113"/>
  <c r="J88" i="113"/>
  <c r="I88" i="113"/>
  <c r="H88" i="113"/>
  <c r="G88" i="113"/>
  <c r="F88" i="113"/>
  <c r="E88" i="113"/>
  <c r="D88" i="113"/>
  <c r="C88" i="113"/>
  <c r="B88" i="113"/>
  <c r="CP113" i="113"/>
  <c r="GS113" i="113" s="1"/>
  <c r="GS115" i="113" s="1"/>
  <c r="DV118" i="113" l="1"/>
  <c r="HA118" i="113" s="1"/>
  <c r="HA120" i="113" s="1"/>
  <c r="FQ138" i="113"/>
  <c r="DW136" i="113"/>
  <c r="DW125" i="113"/>
  <c r="DX125" i="113" s="1"/>
  <c r="HA124" i="113"/>
  <c r="HA126" i="113" s="1"/>
  <c r="DW131" i="113"/>
  <c r="DX131" i="113" s="1"/>
  <c r="HA136" i="113"/>
  <c r="HA138" i="113" s="1"/>
  <c r="DV130" i="113"/>
  <c r="HA130" i="113" s="1"/>
  <c r="HA132" i="113" s="1"/>
  <c r="FQ118" i="113"/>
  <c r="FI94" i="113"/>
  <c r="FQ124" i="113"/>
  <c r="DY137" i="113"/>
  <c r="FR137" i="113" s="1"/>
  <c r="DX136" i="113"/>
  <c r="DX119" i="113"/>
  <c r="DW118" i="113"/>
  <c r="FH92" i="113"/>
  <c r="FQ132" i="113"/>
  <c r="FI92" i="113"/>
  <c r="FH94" i="113"/>
  <c r="CQ93" i="113"/>
  <c r="CR93" i="113" s="1"/>
  <c r="CS93" i="113" s="1"/>
  <c r="FJ93" i="113" s="1"/>
  <c r="GS93" i="113"/>
  <c r="GS94" i="113" s="1"/>
  <c r="GS92" i="113"/>
  <c r="CQ113" i="113"/>
  <c r="CE91" i="113"/>
  <c r="CQ90" i="113"/>
  <c r="CO115" i="113"/>
  <c r="CN115" i="113"/>
  <c r="CM115" i="113"/>
  <c r="CL115" i="113"/>
  <c r="CK115" i="113"/>
  <c r="CJ115" i="113"/>
  <c r="CI115" i="113"/>
  <c r="CH115" i="113"/>
  <c r="CG115" i="113"/>
  <c r="CF115" i="113"/>
  <c r="DW124" i="113" l="1"/>
  <c r="DW130" i="113"/>
  <c r="FQ120" i="113"/>
  <c r="FQ126" i="113"/>
  <c r="DY131" i="113"/>
  <c r="FR131" i="113" s="1"/>
  <c r="DX130" i="113"/>
  <c r="DY119" i="113"/>
  <c r="FR119" i="113" s="1"/>
  <c r="DX118" i="113"/>
  <c r="DY125" i="113"/>
  <c r="FR125" i="113" s="1"/>
  <c r="DX124" i="113"/>
  <c r="DZ137" i="113"/>
  <c r="HB137" i="113" s="1"/>
  <c r="DY136" i="113"/>
  <c r="FR136" i="113" s="1"/>
  <c r="FR138" i="113" s="1"/>
  <c r="FH115" i="113"/>
  <c r="FG115" i="113"/>
  <c r="FI115" i="113"/>
  <c r="CT93" i="113"/>
  <c r="GT93" i="113" s="1"/>
  <c r="GT94" i="113" s="1"/>
  <c r="GS95" i="113"/>
  <c r="CQ95" i="113"/>
  <c r="CR113" i="113"/>
  <c r="CF91" i="113"/>
  <c r="CG91" i="113" s="1"/>
  <c r="CP91" i="113" s="1"/>
  <c r="CR90" i="113"/>
  <c r="HB139" i="113" l="1"/>
  <c r="HC139" i="113"/>
  <c r="DZ125" i="113"/>
  <c r="HB125" i="113" s="1"/>
  <c r="DY124" i="113"/>
  <c r="FR124" i="113" s="1"/>
  <c r="FR126" i="113" s="1"/>
  <c r="DZ119" i="113"/>
  <c r="HB119" i="113" s="1"/>
  <c r="DY118" i="113"/>
  <c r="EA137" i="113"/>
  <c r="DZ136" i="113"/>
  <c r="DZ131" i="113"/>
  <c r="HB131" i="113" s="1"/>
  <c r="DY130" i="113"/>
  <c r="FR130" i="113" s="1"/>
  <c r="FR132" i="113" s="1"/>
  <c r="CU93" i="113"/>
  <c r="CV93" i="113" s="1"/>
  <c r="CR95" i="113"/>
  <c r="CS113" i="113"/>
  <c r="FJ113" i="113" s="1"/>
  <c r="CQ91" i="113"/>
  <c r="CP89" i="113"/>
  <c r="CS90" i="113"/>
  <c r="FJ90" i="113" s="1"/>
  <c r="HB121" i="113" l="1"/>
  <c r="HC121" i="113"/>
  <c r="FR118" i="113"/>
  <c r="HB133" i="113"/>
  <c r="HC133" i="113"/>
  <c r="HB127" i="113"/>
  <c r="HC127" i="113"/>
  <c r="HB136" i="113"/>
  <c r="HB138" i="113" s="1"/>
  <c r="EA125" i="113"/>
  <c r="DZ124" i="113"/>
  <c r="EB137" i="113"/>
  <c r="EA136" i="113"/>
  <c r="EA119" i="113"/>
  <c r="DZ118" i="113"/>
  <c r="EA131" i="113"/>
  <c r="DZ130" i="113"/>
  <c r="HB130" i="113" s="1"/>
  <c r="HB132" i="113" s="1"/>
  <c r="CS95" i="113"/>
  <c r="CP12" i="113"/>
  <c r="CT113" i="113"/>
  <c r="GT113" i="113" s="1"/>
  <c r="GT115" i="113" s="1"/>
  <c r="CW93" i="113"/>
  <c r="FK93" i="113" s="1"/>
  <c r="CR91" i="113"/>
  <c r="CQ89" i="113"/>
  <c r="CT90" i="113"/>
  <c r="GT90" i="113" s="1"/>
  <c r="HB118" i="113" l="1"/>
  <c r="HB120" i="113" s="1"/>
  <c r="FR120" i="113"/>
  <c r="HB124" i="113"/>
  <c r="HB126" i="113" s="1"/>
  <c r="EB119" i="113"/>
  <c r="EA118" i="113"/>
  <c r="EB131" i="113"/>
  <c r="EA130" i="113"/>
  <c r="EC137" i="113"/>
  <c r="FS137" i="113" s="1"/>
  <c r="EB136" i="113"/>
  <c r="EB125" i="113"/>
  <c r="EA124" i="113"/>
  <c r="GT92" i="113"/>
  <c r="GT95" i="113"/>
  <c r="CT95" i="113"/>
  <c r="CQ12" i="113"/>
  <c r="CU113" i="113"/>
  <c r="CX93" i="113"/>
  <c r="GU93" i="113" s="1"/>
  <c r="GU94" i="113" s="1"/>
  <c r="CS91" i="113"/>
  <c r="CR89" i="113"/>
  <c r="CI89" i="113"/>
  <c r="CU90" i="113"/>
  <c r="EC131" i="113" l="1"/>
  <c r="FS131" i="113" s="1"/>
  <c r="EB130" i="113"/>
  <c r="EC125" i="113"/>
  <c r="FS125" i="113" s="1"/>
  <c r="EB124" i="113"/>
  <c r="ED137" i="113"/>
  <c r="EC136" i="113"/>
  <c r="FS136" i="113" s="1"/>
  <c r="FS138" i="113" s="1"/>
  <c r="EC119" i="113"/>
  <c r="FS119" i="113" s="1"/>
  <c r="EB118" i="113"/>
  <c r="CQ53" i="113"/>
  <c r="CU95" i="113"/>
  <c r="CI12" i="113"/>
  <c r="CR12" i="113"/>
  <c r="CV113" i="113"/>
  <c r="CY93" i="113"/>
  <c r="CT91" i="113"/>
  <c r="CS89" i="113"/>
  <c r="CS12" i="113" s="1"/>
  <c r="CJ89" i="113"/>
  <c r="CJ12" i="113" s="1"/>
  <c r="CV90" i="113"/>
  <c r="ED119" i="113" l="1"/>
  <c r="EC118" i="113"/>
  <c r="EE137" i="113"/>
  <c r="ED136" i="113"/>
  <c r="HC136" i="113" s="1"/>
  <c r="HC138" i="113" s="1"/>
  <c r="ED125" i="113"/>
  <c r="EC124" i="113"/>
  <c r="ED131" i="113"/>
  <c r="EC130" i="113"/>
  <c r="CV95" i="113"/>
  <c r="CJ53" i="113"/>
  <c r="FJ89" i="113"/>
  <c r="FJ91" i="113" s="1"/>
  <c r="CR53" i="113"/>
  <c r="FJ12" i="113"/>
  <c r="CS53" i="113"/>
  <c r="CW113" i="113"/>
  <c r="FK113" i="113" s="1"/>
  <c r="CZ93" i="113"/>
  <c r="CU91" i="113"/>
  <c r="CT89" i="113"/>
  <c r="CK89" i="113"/>
  <c r="CK12" i="113" s="1"/>
  <c r="CW90" i="113"/>
  <c r="FK90" i="113" s="1"/>
  <c r="FS118" i="113" l="1"/>
  <c r="FS130" i="113"/>
  <c r="FS132" i="113" s="1"/>
  <c r="FS124" i="113"/>
  <c r="FS126" i="113" s="1"/>
  <c r="EE125" i="113"/>
  <c r="ED124" i="113"/>
  <c r="ED130" i="113"/>
  <c r="HC130" i="113" s="1"/>
  <c r="HC132" i="113" s="1"/>
  <c r="EE131" i="113"/>
  <c r="EE119" i="113"/>
  <c r="ED118" i="113"/>
  <c r="HC118" i="113" s="1"/>
  <c r="HC120" i="113" s="1"/>
  <c r="EF137" i="113"/>
  <c r="EE136" i="113"/>
  <c r="CK53" i="113"/>
  <c r="CW95" i="113"/>
  <c r="CT12" i="113"/>
  <c r="GT89" i="113"/>
  <c r="GT91" i="113" s="1"/>
  <c r="CX113" i="113"/>
  <c r="GU113" i="113" s="1"/>
  <c r="GU115" i="113" s="1"/>
  <c r="DA93" i="113"/>
  <c r="FL93" i="113" s="1"/>
  <c r="CV91" i="113"/>
  <c r="CU89" i="113"/>
  <c r="CL89" i="113"/>
  <c r="GR89" i="113" s="1"/>
  <c r="GR91" i="113" s="1"/>
  <c r="CX90" i="113"/>
  <c r="GU90" i="113" s="1"/>
  <c r="FS120" i="113" l="1"/>
  <c r="HC124" i="113"/>
  <c r="HC126" i="113" s="1"/>
  <c r="EF119" i="113"/>
  <c r="EE118" i="113"/>
  <c r="EF131" i="113"/>
  <c r="EE130" i="113"/>
  <c r="EG137" i="113"/>
  <c r="FT137" i="113" s="1"/>
  <c r="EF136" i="113"/>
  <c r="EF125" i="113"/>
  <c r="EE124" i="113"/>
  <c r="GU95" i="113"/>
  <c r="GU92" i="113"/>
  <c r="CT38" i="113"/>
  <c r="CT25" i="113"/>
  <c r="GT12" i="113"/>
  <c r="CT53" i="113"/>
  <c r="CX95" i="113"/>
  <c r="CL12" i="113"/>
  <c r="CU12" i="113"/>
  <c r="CY113" i="113"/>
  <c r="DB93" i="113"/>
  <c r="GV93" i="113" s="1"/>
  <c r="GV94" i="113" s="1"/>
  <c r="CW91" i="113"/>
  <c r="CX91" i="113" s="1"/>
  <c r="CY91" i="113" s="1"/>
  <c r="CZ91" i="113" s="1"/>
  <c r="DA91" i="113" s="1"/>
  <c r="CV89" i="113"/>
  <c r="CV12" i="113" s="1"/>
  <c r="CM89" i="113"/>
  <c r="CY90" i="113"/>
  <c r="EH137" i="113" l="1"/>
  <c r="HD137" i="113" s="1"/>
  <c r="HD139" i="113" s="1"/>
  <c r="EG136" i="113"/>
  <c r="FT136" i="113" s="1"/>
  <c r="FT138" i="113" s="1"/>
  <c r="EG131" i="113"/>
  <c r="FT131" i="113" s="1"/>
  <c r="EF130" i="113"/>
  <c r="EG125" i="113"/>
  <c r="FT125" i="113" s="1"/>
  <c r="EF124" i="113"/>
  <c r="EG119" i="113"/>
  <c r="FT119" i="113" s="1"/>
  <c r="EF118" i="113"/>
  <c r="CV25" i="113"/>
  <c r="CL53" i="113"/>
  <c r="CP25" i="113"/>
  <c r="GR12" i="113"/>
  <c r="CU53" i="113"/>
  <c r="CU25" i="113"/>
  <c r="CP38" i="113"/>
  <c r="CY95" i="113"/>
  <c r="DB91" i="113"/>
  <c r="DC91" i="113" s="1"/>
  <c r="DD91" i="113" s="1"/>
  <c r="DE91" i="113" s="1"/>
  <c r="DF91" i="113" s="1"/>
  <c r="DG91" i="113" s="1"/>
  <c r="DH91" i="113" s="1"/>
  <c r="DI91" i="113" s="1"/>
  <c r="DL91" i="113" s="1"/>
  <c r="DM91" i="113" s="1"/>
  <c r="DN91" i="113" s="1"/>
  <c r="DO91" i="113" s="1"/>
  <c r="CM12" i="113"/>
  <c r="CU38" i="113"/>
  <c r="CV38" i="113"/>
  <c r="CV53" i="113"/>
  <c r="CZ113" i="113"/>
  <c r="DC93" i="113"/>
  <c r="CW89" i="113"/>
  <c r="FK89" i="113" s="1"/>
  <c r="FK91" i="113" s="1"/>
  <c r="CO89" i="113"/>
  <c r="CO12" i="113" s="1"/>
  <c r="CN89" i="113"/>
  <c r="CN12" i="113" s="1"/>
  <c r="CZ90" i="113"/>
  <c r="DP91" i="113" l="1"/>
  <c r="DQ91" i="113" s="1"/>
  <c r="DR91" i="113" s="1"/>
  <c r="DS91" i="113" s="1"/>
  <c r="DT91" i="113" s="1"/>
  <c r="DU91" i="113" s="1"/>
  <c r="DV91" i="113" s="1"/>
  <c r="DW91" i="113" s="1"/>
  <c r="DX91" i="113" s="1"/>
  <c r="DY91" i="113" s="1"/>
  <c r="DZ91" i="113" s="1"/>
  <c r="EA91" i="113" s="1"/>
  <c r="EB91" i="113" s="1"/>
  <c r="EC91" i="113" s="1"/>
  <c r="ED91" i="113" s="1"/>
  <c r="EE91" i="113" s="1"/>
  <c r="EF91" i="113" s="1"/>
  <c r="EG91" i="113" s="1"/>
  <c r="EH91" i="113" s="1"/>
  <c r="EI91" i="113" s="1"/>
  <c r="EJ91" i="113" s="1"/>
  <c r="EK91" i="113" s="1"/>
  <c r="EH125" i="113"/>
  <c r="HD125" i="113" s="1"/>
  <c r="HD127" i="113" s="1"/>
  <c r="EG124" i="113"/>
  <c r="FT124" i="113" s="1"/>
  <c r="FT126" i="113" s="1"/>
  <c r="EH131" i="113"/>
  <c r="HD131" i="113" s="1"/>
  <c r="EG130" i="113"/>
  <c r="FT130" i="113" s="1"/>
  <c r="FT132" i="113" s="1"/>
  <c r="EH119" i="113"/>
  <c r="HD119" i="113" s="1"/>
  <c r="HD121" i="113" s="1"/>
  <c r="EG118" i="113"/>
  <c r="EI137" i="113"/>
  <c r="EH136" i="113"/>
  <c r="HD136" i="113" s="1"/>
  <c r="HD138" i="113" s="1"/>
  <c r="CN25" i="113"/>
  <c r="CR25" i="113"/>
  <c r="CQ38" i="113"/>
  <c r="CM25" i="113"/>
  <c r="CQ25" i="113"/>
  <c r="CO25" i="113"/>
  <c r="CS25" i="113"/>
  <c r="CM53" i="113"/>
  <c r="CZ95" i="113"/>
  <c r="CM38" i="113"/>
  <c r="FI12" i="113"/>
  <c r="GS89" i="113"/>
  <c r="GS91" i="113" s="1"/>
  <c r="GS12" i="113"/>
  <c r="CW12" i="113"/>
  <c r="FI89" i="113"/>
  <c r="FI91" i="113" s="1"/>
  <c r="CN53" i="113"/>
  <c r="CO53" i="113"/>
  <c r="CP53" i="113"/>
  <c r="CN38" i="113"/>
  <c r="CR38" i="113"/>
  <c r="CO38" i="113"/>
  <c r="CS38" i="113"/>
  <c r="DA113" i="113"/>
  <c r="FL113" i="113" s="1"/>
  <c r="DD93" i="113"/>
  <c r="CX89" i="113"/>
  <c r="DA90" i="113"/>
  <c r="FL90" i="113" s="1"/>
  <c r="FT118" i="113" l="1"/>
  <c r="HD133" i="113"/>
  <c r="EI119" i="113"/>
  <c r="EH118" i="113"/>
  <c r="EI131" i="113"/>
  <c r="EH130" i="113"/>
  <c r="HD130" i="113" s="1"/>
  <c r="HD132" i="113" s="1"/>
  <c r="EJ137" i="113"/>
  <c r="EI136" i="113"/>
  <c r="EI125" i="113"/>
  <c r="EH124" i="113"/>
  <c r="HD124" i="113" s="1"/>
  <c r="HD126" i="113" s="1"/>
  <c r="FJ38" i="113"/>
  <c r="FJ25" i="113"/>
  <c r="FK12" i="113"/>
  <c r="CW25" i="113"/>
  <c r="GS25" i="113"/>
  <c r="GT25" i="113"/>
  <c r="DA95" i="113"/>
  <c r="CW53" i="113"/>
  <c r="CW38" i="113"/>
  <c r="CX12" i="113"/>
  <c r="GU89" i="113"/>
  <c r="GU91" i="113" s="1"/>
  <c r="GS38" i="113"/>
  <c r="GT38" i="113"/>
  <c r="DB113" i="113"/>
  <c r="GV113" i="113" s="1"/>
  <c r="GV115" i="113" s="1"/>
  <c r="DE93" i="113"/>
  <c r="FM93" i="113" s="1"/>
  <c r="CY89" i="113"/>
  <c r="DB90" i="113"/>
  <c r="GV90" i="113" s="1"/>
  <c r="FT120" i="113" l="1"/>
  <c r="HD118" i="113"/>
  <c r="HD120" i="113" s="1"/>
  <c r="EJ136" i="113"/>
  <c r="EK137" i="113"/>
  <c r="EI130" i="113"/>
  <c r="EJ131" i="113"/>
  <c r="EI124" i="113"/>
  <c r="EJ125" i="113"/>
  <c r="EJ119" i="113"/>
  <c r="EI118" i="113"/>
  <c r="GV92" i="113"/>
  <c r="GV95" i="113"/>
  <c r="FK25" i="113"/>
  <c r="FK38" i="113"/>
  <c r="CX38" i="113"/>
  <c r="CX25" i="113"/>
  <c r="DB95" i="113"/>
  <c r="CX53" i="113"/>
  <c r="CY12" i="113"/>
  <c r="GU12" i="113"/>
  <c r="DC113" i="113"/>
  <c r="DF93" i="113"/>
  <c r="GW93" i="113" s="1"/>
  <c r="GW94" i="113" s="1"/>
  <c r="CZ89" i="113"/>
  <c r="DC90" i="113"/>
  <c r="EK136" i="113" l="1"/>
  <c r="FU136" i="113" s="1"/>
  <c r="FU137" i="113"/>
  <c r="EJ130" i="113"/>
  <c r="EK131" i="113"/>
  <c r="EJ118" i="113"/>
  <c r="EK119" i="113"/>
  <c r="EJ124" i="113"/>
  <c r="EK125" i="113"/>
  <c r="CY38" i="113"/>
  <c r="CY25" i="113"/>
  <c r="GU38" i="113"/>
  <c r="GU25" i="113"/>
  <c r="CY53" i="113"/>
  <c r="DC95" i="113"/>
  <c r="CZ12" i="113"/>
  <c r="DD113" i="113"/>
  <c r="DG93" i="113"/>
  <c r="DA89" i="113"/>
  <c r="DA12" i="113" s="1"/>
  <c r="DD90" i="113"/>
  <c r="FU138" i="113" l="1"/>
  <c r="EK124" i="113"/>
  <c r="FU124" i="113" s="1"/>
  <c r="FU125" i="113"/>
  <c r="EK118" i="113"/>
  <c r="FU118" i="113" s="1"/>
  <c r="FU119" i="113"/>
  <c r="EK130" i="113"/>
  <c r="FU130" i="113" s="1"/>
  <c r="FU131" i="113"/>
  <c r="DA25" i="113"/>
  <c r="CZ53" i="113"/>
  <c r="CZ25" i="113"/>
  <c r="CZ38" i="113"/>
  <c r="DD95" i="113"/>
  <c r="FL89" i="113"/>
  <c r="FL91" i="113" s="1"/>
  <c r="FL12" i="113"/>
  <c r="DA38" i="113"/>
  <c r="DA53" i="113"/>
  <c r="DE113" i="113"/>
  <c r="FM113" i="113" s="1"/>
  <c r="DH93" i="113"/>
  <c r="DB89" i="113"/>
  <c r="DE90" i="113"/>
  <c r="FM90" i="113" s="1"/>
  <c r="FU132" i="113" l="1"/>
  <c r="FU126" i="113"/>
  <c r="FU120" i="113"/>
  <c r="FL38" i="113"/>
  <c r="FL25" i="113"/>
  <c r="DE95" i="113"/>
  <c r="DB12" i="113"/>
  <c r="GV89" i="113"/>
  <c r="GV91" i="113" s="1"/>
  <c r="DF113" i="113"/>
  <c r="DI93" i="113"/>
  <c r="FN93" i="113" s="1"/>
  <c r="DC89" i="113"/>
  <c r="DF90" i="113"/>
  <c r="GV12" i="113" l="1"/>
  <c r="GV38" i="113" s="1"/>
  <c r="GW113" i="113"/>
  <c r="GW90" i="113"/>
  <c r="DF95" i="113"/>
  <c r="DB25" i="113"/>
  <c r="DB53" i="113"/>
  <c r="DB38" i="113"/>
  <c r="DC12" i="113"/>
  <c r="DG113" i="113"/>
  <c r="DJ93" i="113"/>
  <c r="GX93" i="113" s="1"/>
  <c r="GX94" i="113" s="1"/>
  <c r="DD89" i="113"/>
  <c r="DD12" i="113" s="1"/>
  <c r="DG90" i="113"/>
  <c r="DG95" i="113" s="1"/>
  <c r="GV25" i="113" l="1"/>
  <c r="GW115" i="113"/>
  <c r="GW95" i="113"/>
  <c r="GW92" i="113"/>
  <c r="DD25" i="113"/>
  <c r="DC38" i="113"/>
  <c r="DC25" i="113"/>
  <c r="DC53" i="113"/>
  <c r="DD38" i="113"/>
  <c r="DD53" i="113"/>
  <c r="DH113" i="113"/>
  <c r="DE89" i="113"/>
  <c r="DE12" i="113" s="1"/>
  <c r="DH90" i="113"/>
  <c r="DH95" i="113" l="1"/>
  <c r="FM12" i="113"/>
  <c r="DE25" i="113"/>
  <c r="FM89" i="113"/>
  <c r="FM91" i="113" s="1"/>
  <c r="DE38" i="113"/>
  <c r="DE53" i="113"/>
  <c r="DI113" i="113"/>
  <c r="FN113" i="113" s="1"/>
  <c r="DF89" i="113"/>
  <c r="DI90" i="113"/>
  <c r="DI95" i="113" l="1"/>
  <c r="FN90" i="113"/>
  <c r="FM38" i="113"/>
  <c r="FM25" i="113"/>
  <c r="DF12" i="113"/>
  <c r="GW89" i="113"/>
  <c r="GW91" i="113" s="1"/>
  <c r="DJ113" i="113"/>
  <c r="GX113" i="113" s="1"/>
  <c r="DG89" i="113"/>
  <c r="DJ90" i="113"/>
  <c r="GX115" i="113" l="1"/>
  <c r="DJ95" i="113"/>
  <c r="GX90" i="113"/>
  <c r="DF38" i="113"/>
  <c r="DF25" i="113"/>
  <c r="GW12" i="113"/>
  <c r="DF53" i="113"/>
  <c r="DG12" i="113"/>
  <c r="DK113" i="113"/>
  <c r="DH89" i="113"/>
  <c r="DH12" i="113" s="1"/>
  <c r="GX95" i="113" l="1"/>
  <c r="GX92" i="113"/>
  <c r="DH25" i="113"/>
  <c r="DG38" i="113"/>
  <c r="DG25" i="113"/>
  <c r="GW38" i="113"/>
  <c r="GW25" i="113"/>
  <c r="DG53" i="113"/>
  <c r="DH38" i="113"/>
  <c r="DH53" i="113"/>
  <c r="DL113" i="113"/>
  <c r="DI89" i="113"/>
  <c r="DI12" i="113" s="1"/>
  <c r="FN12" i="113" l="1"/>
  <c r="DI25" i="113"/>
  <c r="FN89" i="113"/>
  <c r="FN91" i="113" s="1"/>
  <c r="DI38" i="113"/>
  <c r="DI53" i="113"/>
  <c r="DM113" i="113"/>
  <c r="FO113" i="113" s="1"/>
  <c r="DJ89" i="113"/>
  <c r="FN38" i="113" l="1"/>
  <c r="FN25" i="113"/>
  <c r="DJ12" i="113"/>
  <c r="DJ38" i="113" s="1"/>
  <c r="GX89" i="113"/>
  <c r="GX91" i="113" s="1"/>
  <c r="DN113" i="113"/>
  <c r="GY113" i="113" s="1"/>
  <c r="GY115" i="113" l="1"/>
  <c r="DJ25" i="113"/>
  <c r="DJ53" i="113"/>
  <c r="GX12" i="113"/>
  <c r="DO113" i="113"/>
  <c r="GX38" i="113" l="1"/>
  <c r="GX25" i="113"/>
  <c r="DP113" i="113"/>
  <c r="DQ113" i="113" l="1"/>
  <c r="FP113" i="113" s="1"/>
  <c r="DR113" i="113" l="1"/>
  <c r="GZ113" i="113" s="1"/>
  <c r="GZ115" i="113" l="1"/>
  <c r="DS113" i="113"/>
  <c r="HA113" i="113" s="1"/>
  <c r="HA115" i="113" s="1"/>
  <c r="DT113" i="113" l="1"/>
  <c r="DU113" i="113" l="1"/>
  <c r="DV113" i="113" l="1"/>
  <c r="HC113" i="113"/>
  <c r="FQ113" i="113"/>
  <c r="DV112" i="113" l="1"/>
  <c r="DV14" i="113" s="1"/>
  <c r="DW113" i="113"/>
  <c r="DX113" i="113" s="1"/>
  <c r="DW112" i="113" l="1"/>
  <c r="DW14" i="113" s="1"/>
  <c r="DW55" i="113" s="1"/>
  <c r="DY113" i="113"/>
  <c r="FR113" i="113" s="1"/>
  <c r="DX112" i="113"/>
  <c r="DU112" i="113"/>
  <c r="DT112" i="113"/>
  <c r="DS112" i="113"/>
  <c r="DR112" i="113"/>
  <c r="DQ112" i="113"/>
  <c r="DQ14" i="113" s="1"/>
  <c r="DP112" i="113"/>
  <c r="DP14" i="113" s="1"/>
  <c r="DO112" i="113"/>
  <c r="DN112" i="113"/>
  <c r="DM112" i="113"/>
  <c r="DM14" i="113" s="1"/>
  <c r="DL112" i="113"/>
  <c r="DL14" i="113" s="1"/>
  <c r="DK112" i="113"/>
  <c r="DK14" i="113" s="1"/>
  <c r="DJ112" i="113"/>
  <c r="DJ14" i="113" s="1"/>
  <c r="DI112" i="113"/>
  <c r="DI14" i="113" s="1"/>
  <c r="DH112" i="113"/>
  <c r="DH14" i="113" s="1"/>
  <c r="DG112" i="113"/>
  <c r="DG14" i="113" s="1"/>
  <c r="DF112" i="113"/>
  <c r="DF14" i="113" s="1"/>
  <c r="DE112" i="113"/>
  <c r="DE14" i="113" s="1"/>
  <c r="DD112" i="113"/>
  <c r="DD14" i="113" s="1"/>
  <c r="DC112" i="113"/>
  <c r="DB112" i="113"/>
  <c r="DA112" i="113"/>
  <c r="DA14" i="113" s="1"/>
  <c r="CZ112" i="113"/>
  <c r="CZ14" i="113" s="1"/>
  <c r="CY112" i="113"/>
  <c r="CX112" i="113"/>
  <c r="CW112" i="113"/>
  <c r="CW14" i="113" s="1"/>
  <c r="CV112" i="113"/>
  <c r="CU112" i="113"/>
  <c r="CT112" i="113"/>
  <c r="CS112" i="113"/>
  <c r="CS14" i="113" s="1"/>
  <c r="CR112" i="113"/>
  <c r="CR14" i="113" s="1"/>
  <c r="CQ112" i="113"/>
  <c r="CP112" i="113"/>
  <c r="CO112" i="113"/>
  <c r="CO14" i="113" s="1"/>
  <c r="CN112" i="113"/>
  <c r="CN14" i="113" s="1"/>
  <c r="CM112" i="113"/>
  <c r="CM14" i="113" s="1"/>
  <c r="CL112" i="113"/>
  <c r="CL14" i="113" s="1"/>
  <c r="BI111" i="113"/>
  <c r="BH111" i="113"/>
  <c r="BG111" i="113"/>
  <c r="BF111" i="113"/>
  <c r="BE111" i="113"/>
  <c r="BD111" i="113"/>
  <c r="BC111" i="113"/>
  <c r="BB111" i="113"/>
  <c r="BA111" i="113"/>
  <c r="AZ111" i="113"/>
  <c r="AY111" i="113"/>
  <c r="AX111" i="113"/>
  <c r="AW111" i="113"/>
  <c r="AV111" i="113"/>
  <c r="AU111" i="113"/>
  <c r="AT111" i="113"/>
  <c r="AS111" i="113"/>
  <c r="AR111" i="113"/>
  <c r="AQ111" i="113"/>
  <c r="AP111" i="113"/>
  <c r="AO111" i="113"/>
  <c r="AN111" i="113"/>
  <c r="AM111" i="113"/>
  <c r="AL111" i="113"/>
  <c r="AK111" i="113"/>
  <c r="AJ111" i="113"/>
  <c r="AI111" i="113"/>
  <c r="AH111" i="113"/>
  <c r="AG111" i="113"/>
  <c r="AF111" i="113"/>
  <c r="AE111" i="113"/>
  <c r="AD111" i="113"/>
  <c r="AC111" i="113"/>
  <c r="AB111" i="113"/>
  <c r="AA111" i="113"/>
  <c r="Z111" i="113"/>
  <c r="Y111" i="113"/>
  <c r="X111" i="113"/>
  <c r="W111" i="113"/>
  <c r="V111" i="113"/>
  <c r="U111" i="113"/>
  <c r="T111" i="113"/>
  <c r="S111" i="113"/>
  <c r="R111" i="113"/>
  <c r="Q111" i="113"/>
  <c r="P111" i="113"/>
  <c r="O111" i="113"/>
  <c r="N111" i="113"/>
  <c r="M111" i="113"/>
  <c r="L111" i="113"/>
  <c r="K111" i="113"/>
  <c r="J111" i="113"/>
  <c r="I111" i="113"/>
  <c r="H111" i="113"/>
  <c r="G111" i="113"/>
  <c r="F111" i="113"/>
  <c r="E111" i="113"/>
  <c r="D111" i="113"/>
  <c r="C111" i="113"/>
  <c r="B111" i="113"/>
  <c r="DA83" i="113"/>
  <c r="CZ83" i="113"/>
  <c r="CY83" i="113"/>
  <c r="CX83" i="113"/>
  <c r="CW83" i="113"/>
  <c r="CV83" i="113"/>
  <c r="CU83" i="113"/>
  <c r="CT83" i="113"/>
  <c r="CS83" i="113"/>
  <c r="CR83" i="113"/>
  <c r="CQ83" i="113"/>
  <c r="CP83" i="113"/>
  <c r="CO83" i="113"/>
  <c r="CN83" i="113"/>
  <c r="CM83" i="113"/>
  <c r="CL83" i="113"/>
  <c r="CK83" i="113"/>
  <c r="CJ83" i="113"/>
  <c r="CI83" i="113"/>
  <c r="CH83" i="113"/>
  <c r="CG83" i="113"/>
  <c r="CF83" i="113"/>
  <c r="CE83" i="113"/>
  <c r="CD83" i="113"/>
  <c r="CC83" i="113"/>
  <c r="CB83" i="113"/>
  <c r="CA83" i="113"/>
  <c r="BZ83" i="113"/>
  <c r="BY83" i="113"/>
  <c r="BX83" i="113"/>
  <c r="BW83" i="113"/>
  <c r="BV83" i="113"/>
  <c r="BU83" i="113"/>
  <c r="BT83" i="113"/>
  <c r="BS83" i="113"/>
  <c r="BR83" i="113"/>
  <c r="BQ83" i="113"/>
  <c r="BP83" i="113"/>
  <c r="BO83" i="113"/>
  <c r="CO85" i="113"/>
  <c r="CO77" i="113" s="1"/>
  <c r="CN85" i="113"/>
  <c r="CN77" i="113" s="1"/>
  <c r="CM85" i="113"/>
  <c r="CK85" i="113"/>
  <c r="CK77" i="113" s="1"/>
  <c r="CJ85" i="113"/>
  <c r="CJ77" i="113" s="1"/>
  <c r="CI85" i="113"/>
  <c r="CH85" i="113"/>
  <c r="CG85" i="113"/>
  <c r="CF85" i="113"/>
  <c r="CF77" i="113" s="1"/>
  <c r="CE85" i="113"/>
  <c r="CD85" i="113"/>
  <c r="BR85" i="113"/>
  <c r="BQ85" i="113"/>
  <c r="BQ180" i="113" s="1"/>
  <c r="BP85" i="113"/>
  <c r="CO75" i="113"/>
  <c r="CN75" i="113"/>
  <c r="CM75" i="113"/>
  <c r="CL75" i="113"/>
  <c r="CK75" i="113"/>
  <c r="CJ75" i="113"/>
  <c r="CI75" i="113"/>
  <c r="CH75" i="113"/>
  <c r="CG75" i="113"/>
  <c r="CF75" i="113"/>
  <c r="CE75" i="113"/>
  <c r="CD75" i="113"/>
  <c r="BR75" i="113"/>
  <c r="BQ75" i="113"/>
  <c r="BP75" i="113"/>
  <c r="BI74" i="113"/>
  <c r="BH74" i="113"/>
  <c r="BG74" i="113"/>
  <c r="BF74" i="113"/>
  <c r="BE74" i="113"/>
  <c r="BD74" i="113"/>
  <c r="BC74" i="113"/>
  <c r="BB74" i="113"/>
  <c r="BA74" i="113"/>
  <c r="AZ74" i="113"/>
  <c r="AY74" i="113"/>
  <c r="AX74" i="113"/>
  <c r="AW74" i="113"/>
  <c r="AV74" i="113"/>
  <c r="AU74" i="113"/>
  <c r="AT74" i="113"/>
  <c r="AS74" i="113"/>
  <c r="AR74" i="113"/>
  <c r="AQ74" i="113"/>
  <c r="AP74" i="113"/>
  <c r="AO74" i="113"/>
  <c r="AN74" i="113"/>
  <c r="AM74" i="113"/>
  <c r="AL74" i="113"/>
  <c r="AK74" i="113"/>
  <c r="AJ74" i="113"/>
  <c r="AI74" i="113"/>
  <c r="AH74" i="113"/>
  <c r="AG74" i="113"/>
  <c r="AF74" i="113"/>
  <c r="AE74" i="113"/>
  <c r="AD74" i="113"/>
  <c r="AC74" i="113"/>
  <c r="AB74" i="113"/>
  <c r="AA74" i="113"/>
  <c r="Z74" i="113"/>
  <c r="Y74" i="113"/>
  <c r="X74" i="113"/>
  <c r="W74" i="113"/>
  <c r="V74" i="113"/>
  <c r="U74" i="113"/>
  <c r="T74" i="113"/>
  <c r="S74" i="113"/>
  <c r="R74" i="113"/>
  <c r="Q74" i="113"/>
  <c r="P74" i="113"/>
  <c r="O74" i="113"/>
  <c r="N74" i="113"/>
  <c r="M74" i="113"/>
  <c r="L74" i="113"/>
  <c r="K74" i="113"/>
  <c r="J74" i="113"/>
  <c r="I74" i="113"/>
  <c r="H74" i="113"/>
  <c r="G74" i="113"/>
  <c r="F74" i="113"/>
  <c r="E74" i="113"/>
  <c r="D74" i="113"/>
  <c r="C74" i="113"/>
  <c r="B74" i="113"/>
  <c r="BI64" i="113"/>
  <c r="BH64" i="113"/>
  <c r="BG64" i="113"/>
  <c r="BF64" i="113"/>
  <c r="BE64" i="113"/>
  <c r="BD64" i="113"/>
  <c r="BC64" i="113"/>
  <c r="BB64" i="113"/>
  <c r="BA64" i="113"/>
  <c r="AZ64" i="113"/>
  <c r="AY64" i="113"/>
  <c r="AX64" i="113"/>
  <c r="AW64" i="113"/>
  <c r="AV64" i="113"/>
  <c r="AU64" i="113"/>
  <c r="AT64" i="113"/>
  <c r="AS64" i="113"/>
  <c r="AR64" i="113"/>
  <c r="AQ64" i="113"/>
  <c r="AP64" i="113"/>
  <c r="AO64" i="113"/>
  <c r="AN64" i="113"/>
  <c r="AM64" i="113"/>
  <c r="AL64" i="113"/>
  <c r="AK64" i="113"/>
  <c r="AJ64" i="113"/>
  <c r="AI64" i="113"/>
  <c r="AH64" i="113"/>
  <c r="AG64" i="113"/>
  <c r="AF64" i="113"/>
  <c r="AE64" i="113"/>
  <c r="AD64" i="113"/>
  <c r="AC64" i="113"/>
  <c r="AB64" i="113"/>
  <c r="AA64" i="113"/>
  <c r="Z64" i="113"/>
  <c r="Y64" i="113"/>
  <c r="X64" i="113"/>
  <c r="W64" i="113"/>
  <c r="V64" i="113"/>
  <c r="U64" i="113"/>
  <c r="T64" i="113"/>
  <c r="S64" i="113"/>
  <c r="R64" i="113"/>
  <c r="Q64" i="113"/>
  <c r="P64" i="113"/>
  <c r="O64" i="113"/>
  <c r="N64" i="113"/>
  <c r="M64" i="113"/>
  <c r="L64" i="113"/>
  <c r="K64" i="113"/>
  <c r="J64" i="113"/>
  <c r="I64" i="113"/>
  <c r="H64" i="113"/>
  <c r="G64" i="113"/>
  <c r="F64" i="113"/>
  <c r="E64" i="113"/>
  <c r="D64" i="113"/>
  <c r="C64" i="113"/>
  <c r="B64" i="113"/>
  <c r="BI51" i="113"/>
  <c r="BH51" i="113"/>
  <c r="BG51" i="113"/>
  <c r="BF51" i="113"/>
  <c r="BE51" i="113"/>
  <c r="BD51" i="113"/>
  <c r="BC51" i="113"/>
  <c r="BB51" i="113"/>
  <c r="BA51" i="113"/>
  <c r="AZ51" i="113"/>
  <c r="AY51" i="113"/>
  <c r="AX51" i="113"/>
  <c r="AW51" i="113"/>
  <c r="AV51" i="113"/>
  <c r="AU51" i="113"/>
  <c r="AT51" i="113"/>
  <c r="AS51" i="113"/>
  <c r="AR51" i="113"/>
  <c r="AQ51" i="113"/>
  <c r="AP51" i="113"/>
  <c r="AO51" i="113"/>
  <c r="AN51" i="113"/>
  <c r="AM51" i="113"/>
  <c r="AL51" i="113"/>
  <c r="AK51" i="113"/>
  <c r="AJ51" i="113"/>
  <c r="AI51" i="113"/>
  <c r="AH51" i="113"/>
  <c r="AG51" i="113"/>
  <c r="AF51" i="113"/>
  <c r="AE51" i="113"/>
  <c r="AD51" i="113"/>
  <c r="AC51" i="113"/>
  <c r="AB51" i="113"/>
  <c r="AA51" i="113"/>
  <c r="Z51" i="113"/>
  <c r="Y51" i="113"/>
  <c r="X51" i="113"/>
  <c r="W51" i="113"/>
  <c r="V51" i="113"/>
  <c r="U51" i="113"/>
  <c r="T51" i="113"/>
  <c r="S51" i="113"/>
  <c r="R51" i="113"/>
  <c r="Q51" i="113"/>
  <c r="P51" i="113"/>
  <c r="O51" i="113"/>
  <c r="N51" i="113"/>
  <c r="M51" i="113"/>
  <c r="L51" i="113"/>
  <c r="K51" i="113"/>
  <c r="J51" i="113"/>
  <c r="I51" i="113"/>
  <c r="H51" i="113"/>
  <c r="G51" i="113"/>
  <c r="F51" i="113"/>
  <c r="E51" i="113"/>
  <c r="D51" i="113"/>
  <c r="C51" i="113"/>
  <c r="B51" i="113"/>
  <c r="BI36" i="113"/>
  <c r="BH36" i="113"/>
  <c r="BG36" i="113"/>
  <c r="BF36" i="113"/>
  <c r="BE36" i="113"/>
  <c r="BD36" i="113"/>
  <c r="BC36" i="113"/>
  <c r="BB36" i="113"/>
  <c r="BA36" i="113"/>
  <c r="AZ36" i="113"/>
  <c r="AY36" i="113"/>
  <c r="AX36" i="113"/>
  <c r="AW36" i="113"/>
  <c r="AV36" i="113"/>
  <c r="AU36" i="113"/>
  <c r="AT36" i="113"/>
  <c r="AS36" i="113"/>
  <c r="AR36" i="113"/>
  <c r="AQ36" i="113"/>
  <c r="AP36" i="113"/>
  <c r="AO36" i="113"/>
  <c r="AN36" i="113"/>
  <c r="AM36" i="113"/>
  <c r="AL36" i="113"/>
  <c r="AK36" i="113"/>
  <c r="AJ36" i="113"/>
  <c r="AI36" i="113"/>
  <c r="AH36" i="113"/>
  <c r="AG36" i="113"/>
  <c r="AF36" i="113"/>
  <c r="AE36" i="113"/>
  <c r="AD36" i="113"/>
  <c r="AC36" i="113"/>
  <c r="AB36" i="113"/>
  <c r="AA36" i="113"/>
  <c r="Z36" i="113"/>
  <c r="Y36" i="113"/>
  <c r="X36" i="113"/>
  <c r="W36" i="113"/>
  <c r="V36" i="113"/>
  <c r="U36" i="113"/>
  <c r="T36" i="113"/>
  <c r="S36" i="113"/>
  <c r="R36" i="113"/>
  <c r="Q36" i="113"/>
  <c r="P36" i="113"/>
  <c r="O36" i="113"/>
  <c r="N36" i="113"/>
  <c r="M36" i="113"/>
  <c r="L36" i="113"/>
  <c r="K36" i="113"/>
  <c r="J36" i="113"/>
  <c r="I36" i="113"/>
  <c r="H36" i="113"/>
  <c r="G36" i="113"/>
  <c r="F36" i="113"/>
  <c r="E36" i="113"/>
  <c r="D36" i="113"/>
  <c r="C36" i="113"/>
  <c r="B36" i="113"/>
  <c r="BI10" i="113"/>
  <c r="BH10" i="113"/>
  <c r="BG10" i="113"/>
  <c r="BF10" i="113"/>
  <c r="BE10" i="113"/>
  <c r="BD10" i="113"/>
  <c r="BC10" i="113"/>
  <c r="BB10" i="113"/>
  <c r="BA10" i="113"/>
  <c r="AZ10" i="113"/>
  <c r="AY10" i="113"/>
  <c r="AX10" i="113"/>
  <c r="AW10" i="113"/>
  <c r="AV10" i="113"/>
  <c r="AU10" i="113"/>
  <c r="AT10" i="113"/>
  <c r="AS10" i="113"/>
  <c r="AR10" i="113"/>
  <c r="AQ10" i="113"/>
  <c r="AP10" i="113"/>
  <c r="AO10" i="113"/>
  <c r="AN10" i="113"/>
  <c r="AM10" i="113"/>
  <c r="AL10" i="113"/>
  <c r="AK10" i="113"/>
  <c r="AJ10" i="113"/>
  <c r="AI10" i="113"/>
  <c r="AH10" i="113"/>
  <c r="AG10" i="113"/>
  <c r="AF10" i="113"/>
  <c r="AE10" i="113"/>
  <c r="AD10" i="113"/>
  <c r="AC10" i="113"/>
  <c r="AB10" i="113"/>
  <c r="AA10" i="113"/>
  <c r="Z10" i="113"/>
  <c r="Y10" i="113"/>
  <c r="X10" i="113"/>
  <c r="W10" i="113"/>
  <c r="V10" i="113"/>
  <c r="U10" i="113"/>
  <c r="T10" i="113"/>
  <c r="S10" i="113"/>
  <c r="R10" i="113"/>
  <c r="Q10" i="113"/>
  <c r="P10" i="113"/>
  <c r="O10" i="113"/>
  <c r="N10" i="113"/>
  <c r="M10" i="113"/>
  <c r="L10" i="113"/>
  <c r="K10" i="113"/>
  <c r="J10" i="113"/>
  <c r="I10" i="113"/>
  <c r="H10" i="113"/>
  <c r="G10" i="113"/>
  <c r="F10" i="113"/>
  <c r="E10" i="113"/>
  <c r="D10" i="113"/>
  <c r="C10" i="113"/>
  <c r="B10" i="113"/>
  <c r="GQ184" i="113"/>
  <c r="GP184" i="113"/>
  <c r="GO184" i="113"/>
  <c r="FG184" i="113"/>
  <c r="FF184" i="113"/>
  <c r="FE184" i="113"/>
  <c r="CK112" i="113"/>
  <c r="CK14" i="113" s="1"/>
  <c r="CJ112" i="113"/>
  <c r="CJ14" i="113" s="1"/>
  <c r="CI112" i="113"/>
  <c r="CH112" i="113"/>
  <c r="CG112" i="113"/>
  <c r="CG14" i="113" s="1"/>
  <c r="CF112" i="113"/>
  <c r="CF14" i="113" s="1"/>
  <c r="CE112" i="113"/>
  <c r="CD112" i="113"/>
  <c r="CC112" i="113"/>
  <c r="BZ183" i="113"/>
  <c r="FE182" i="113"/>
  <c r="BY179" i="113"/>
  <c r="FE179" i="113" s="1"/>
  <c r="BU179" i="113"/>
  <c r="BQ179" i="113"/>
  <c r="BM179" i="113"/>
  <c r="BF179" i="113"/>
  <c r="CF173" i="113"/>
  <c r="CE173" i="113"/>
  <c r="CD173" i="113"/>
  <c r="CB173" i="113"/>
  <c r="CA173" i="113"/>
  <c r="BZ173" i="113"/>
  <c r="CC172" i="113"/>
  <c r="CC171" i="113"/>
  <c r="GQ65" i="113"/>
  <c r="GP65" i="113"/>
  <c r="GO65" i="113"/>
  <c r="GN65" i="113"/>
  <c r="GM65" i="113"/>
  <c r="GL65" i="113"/>
  <c r="GG65" i="113"/>
  <c r="GF65" i="113"/>
  <c r="GE65" i="113"/>
  <c r="GD65" i="113"/>
  <c r="GC65" i="113"/>
  <c r="GB65" i="113"/>
  <c r="GA65" i="113"/>
  <c r="FZ65" i="113"/>
  <c r="FY65" i="113"/>
  <c r="FX65" i="113"/>
  <c r="FW65" i="113"/>
  <c r="FI65" i="113"/>
  <c r="FG65" i="113"/>
  <c r="FF65" i="113"/>
  <c r="FE65" i="113"/>
  <c r="FD65" i="113"/>
  <c r="FC65" i="113"/>
  <c r="FB65" i="113"/>
  <c r="EW65" i="113"/>
  <c r="EV65" i="113"/>
  <c r="EU65" i="113"/>
  <c r="ET65" i="113"/>
  <c r="CK65" i="113"/>
  <c r="BH65" i="113"/>
  <c r="BG65" i="113"/>
  <c r="BF65" i="113"/>
  <c r="BD65" i="113"/>
  <c r="BC65" i="113"/>
  <c r="BB65" i="113"/>
  <c r="AZ65" i="113"/>
  <c r="EY65" i="113" s="1"/>
  <c r="AV65" i="113"/>
  <c r="GV21" i="113"/>
  <c r="GU21" i="113"/>
  <c r="GT21" i="113"/>
  <c r="GS21" i="113"/>
  <c r="FL21" i="113"/>
  <c r="FK21" i="113"/>
  <c r="FJ21" i="113"/>
  <c r="FI21" i="113"/>
  <c r="GX9" i="113"/>
  <c r="GW9" i="113"/>
  <c r="GV9" i="113"/>
  <c r="GU9" i="113"/>
  <c r="GT9" i="113"/>
  <c r="GS9" i="113"/>
  <c r="GR9" i="113"/>
  <c r="GQ9" i="113"/>
  <c r="GP9" i="113"/>
  <c r="GO9" i="113"/>
  <c r="FO9" i="113"/>
  <c r="FN9" i="113"/>
  <c r="FM9" i="113"/>
  <c r="FL9" i="113"/>
  <c r="FK9" i="113"/>
  <c r="FJ9" i="113"/>
  <c r="FI9" i="113"/>
  <c r="FH9" i="113"/>
  <c r="FG9" i="113"/>
  <c r="FF9" i="113"/>
  <c r="FE9" i="113"/>
  <c r="DA9" i="113"/>
  <c r="CW9" i="113"/>
  <c r="CO9" i="113"/>
  <c r="CM9" i="113"/>
  <c r="CL9" i="113"/>
  <c r="CK9" i="113"/>
  <c r="CJ9" i="113"/>
  <c r="CI9" i="113"/>
  <c r="CH9" i="113"/>
  <c r="CG9" i="113"/>
  <c r="CF9" i="113"/>
  <c r="CE9" i="113"/>
  <c r="CD9" i="113"/>
  <c r="CC9" i="113"/>
  <c r="CB9" i="113"/>
  <c r="CA9" i="113"/>
  <c r="BZ9" i="113"/>
  <c r="DE8" i="113"/>
  <c r="DD8" i="113"/>
  <c r="DC8" i="113"/>
  <c r="DB8" i="113"/>
  <c r="DA8" i="113"/>
  <c r="CZ8" i="113"/>
  <c r="CY8" i="113"/>
  <c r="CX8" i="113"/>
  <c r="CW8" i="113"/>
  <c r="CV8" i="113"/>
  <c r="CU8" i="113"/>
  <c r="CT8" i="113"/>
  <c r="CS8" i="113"/>
  <c r="CR8" i="113"/>
  <c r="CQ8" i="113"/>
  <c r="CP8" i="113"/>
  <c r="CO8" i="113"/>
  <c r="CN8" i="113"/>
  <c r="CM8" i="113"/>
  <c r="CL8" i="113"/>
  <c r="CK8" i="113"/>
  <c r="CJ8" i="113"/>
  <c r="CI8" i="113"/>
  <c r="CH8" i="113"/>
  <c r="CG8" i="113"/>
  <c r="CF8" i="113"/>
  <c r="CE8" i="113"/>
  <c r="CD8" i="113"/>
  <c r="CC8" i="113"/>
  <c r="CB8" i="113"/>
  <c r="CA8" i="113"/>
  <c r="BZ8" i="113"/>
  <c r="BY8" i="113"/>
  <c r="BX8" i="113"/>
  <c r="BW8" i="113"/>
  <c r="BV8" i="113"/>
  <c r="BU8" i="113"/>
  <c r="BT8" i="113"/>
  <c r="BS8" i="113"/>
  <c r="BR8" i="113"/>
  <c r="BQ8" i="113"/>
  <c r="BP8" i="113"/>
  <c r="BO8" i="113"/>
  <c r="BN8" i="113"/>
  <c r="BM8" i="113"/>
  <c r="BL8" i="113"/>
  <c r="BK8" i="113"/>
  <c r="BJ8" i="113"/>
  <c r="DU7" i="113"/>
  <c r="DV6" i="113" s="1"/>
  <c r="DT7" i="113"/>
  <c r="DS7" i="113"/>
  <c r="DR7" i="113"/>
  <c r="DQ7" i="113"/>
  <c r="DP7" i="113"/>
  <c r="DO7" i="113"/>
  <c r="DN7" i="113"/>
  <c r="DM7" i="113"/>
  <c r="DL7" i="113"/>
  <c r="DK7" i="113"/>
  <c r="DJ7" i="113"/>
  <c r="DI7" i="113"/>
  <c r="DH7" i="113"/>
  <c r="DG7" i="113"/>
  <c r="DF7" i="113"/>
  <c r="DE7" i="113"/>
  <c r="DD7" i="113"/>
  <c r="DC7" i="113"/>
  <c r="DB7" i="113"/>
  <c r="DA7" i="113"/>
  <c r="CZ7" i="113"/>
  <c r="CY7" i="113"/>
  <c r="CX7" i="113"/>
  <c r="CW7" i="113"/>
  <c r="CV7" i="113"/>
  <c r="CU7" i="113"/>
  <c r="CT7" i="113"/>
  <c r="CS7" i="113"/>
  <c r="CR7" i="113"/>
  <c r="CQ7" i="113"/>
  <c r="CP7" i="113"/>
  <c r="CO7" i="113"/>
  <c r="CN7" i="113"/>
  <c r="CM7" i="113"/>
  <c r="CL7" i="113"/>
  <c r="CK7" i="113"/>
  <c r="CJ7" i="113"/>
  <c r="CI7" i="113"/>
  <c r="CH7" i="113"/>
  <c r="CG7" i="113"/>
  <c r="CF7" i="113"/>
  <c r="CE7" i="113"/>
  <c r="CD7" i="113"/>
  <c r="CD6" i="113" s="1"/>
  <c r="CC6" i="113"/>
  <c r="CB6" i="113"/>
  <c r="CA6" i="113"/>
  <c r="BZ6" i="113"/>
  <c r="BY6" i="113"/>
  <c r="BX6" i="113"/>
  <c r="BW6" i="113"/>
  <c r="DU180" i="112"/>
  <c r="DT180" i="112"/>
  <c r="DS180" i="112"/>
  <c r="DR180" i="112"/>
  <c r="DQ180" i="112"/>
  <c r="DP180" i="112"/>
  <c r="DO180" i="112"/>
  <c r="DN180" i="112"/>
  <c r="DM180" i="112"/>
  <c r="DL180" i="112"/>
  <c r="DK180" i="112"/>
  <c r="DJ180" i="112"/>
  <c r="DI180" i="112"/>
  <c r="DH180" i="112"/>
  <c r="DG180" i="112"/>
  <c r="DF180" i="112"/>
  <c r="DE180" i="112"/>
  <c r="DD180" i="112"/>
  <c r="DC180" i="112"/>
  <c r="DB180" i="112"/>
  <c r="DA180" i="112"/>
  <c r="CZ180" i="112"/>
  <c r="CY180" i="112"/>
  <c r="CX180" i="112"/>
  <c r="CW180" i="112"/>
  <c r="CV180" i="112"/>
  <c r="CU180" i="112"/>
  <c r="CT180" i="112"/>
  <c r="CS180" i="112"/>
  <c r="CR180" i="112"/>
  <c r="CQ180" i="112"/>
  <c r="CP180" i="112"/>
  <c r="CO180" i="112"/>
  <c r="CN180" i="112"/>
  <c r="CM180" i="112"/>
  <c r="CK180" i="112"/>
  <c r="CJ180" i="112"/>
  <c r="CI180" i="112"/>
  <c r="CH180" i="112"/>
  <c r="CG180" i="112"/>
  <c r="CF180" i="112"/>
  <c r="CE180" i="112"/>
  <c r="CD180" i="112"/>
  <c r="CC180" i="112"/>
  <c r="CB180" i="112"/>
  <c r="CA180" i="112"/>
  <c r="BZ180" i="112"/>
  <c r="BY180" i="112"/>
  <c r="BX180" i="112"/>
  <c r="BW180" i="112"/>
  <c r="BV180" i="112"/>
  <c r="BU180" i="112"/>
  <c r="BT180" i="112"/>
  <c r="BS180" i="112"/>
  <c r="BR180" i="112"/>
  <c r="BQ180" i="112"/>
  <c r="BP180" i="112"/>
  <c r="BO180" i="112"/>
  <c r="BN180" i="112"/>
  <c r="BM180" i="112"/>
  <c r="BL180" i="112"/>
  <c r="BK180" i="112"/>
  <c r="BJ180" i="112"/>
  <c r="BI180" i="112"/>
  <c r="BH180" i="112"/>
  <c r="BG180" i="112"/>
  <c r="BF180" i="112"/>
  <c r="BE180" i="112"/>
  <c r="BD180" i="112"/>
  <c r="BC180" i="112"/>
  <c r="BB180" i="112"/>
  <c r="BA180" i="112"/>
  <c r="AZ180" i="112"/>
  <c r="AY180" i="112"/>
  <c r="AX180" i="112"/>
  <c r="BU179" i="112"/>
  <c r="BT179" i="112"/>
  <c r="BS179" i="112"/>
  <c r="BR179" i="112"/>
  <c r="BQ179" i="112"/>
  <c r="BP179" i="112"/>
  <c r="BO179" i="112"/>
  <c r="BN179" i="112"/>
  <c r="BM179" i="112"/>
  <c r="BL179" i="112"/>
  <c r="BK179" i="112"/>
  <c r="BJ179" i="112"/>
  <c r="BI179" i="112"/>
  <c r="BH179" i="112"/>
  <c r="BG179" i="112"/>
  <c r="BF179" i="112"/>
  <c r="BE179" i="112"/>
  <c r="BD179" i="112"/>
  <c r="BC179" i="112"/>
  <c r="BB179" i="112"/>
  <c r="BA179" i="112"/>
  <c r="AZ179" i="112"/>
  <c r="AY179" i="112"/>
  <c r="AX179" i="112"/>
  <c r="BI176" i="112"/>
  <c r="BH176" i="112"/>
  <c r="BG176" i="112"/>
  <c r="BF176" i="112"/>
  <c r="BE176" i="112"/>
  <c r="BD176" i="112"/>
  <c r="BC176" i="112"/>
  <c r="BB176" i="112"/>
  <c r="BA176" i="112"/>
  <c r="AZ176" i="112"/>
  <c r="AY176" i="112"/>
  <c r="AX176" i="112"/>
  <c r="AW176" i="112"/>
  <c r="AV176" i="112"/>
  <c r="AU176" i="112"/>
  <c r="AT176" i="112"/>
  <c r="AS176" i="112"/>
  <c r="AR176" i="112"/>
  <c r="AQ176" i="112"/>
  <c r="AP176" i="112"/>
  <c r="AO176" i="112"/>
  <c r="AN176" i="112"/>
  <c r="AM176" i="112"/>
  <c r="AL176" i="112"/>
  <c r="AK176" i="112"/>
  <c r="AJ176" i="112"/>
  <c r="AI176" i="112"/>
  <c r="AH176" i="112"/>
  <c r="AG176" i="112"/>
  <c r="AF176" i="112"/>
  <c r="AE176" i="112"/>
  <c r="AD176" i="112"/>
  <c r="AC176" i="112"/>
  <c r="AB176" i="112"/>
  <c r="AA176" i="112"/>
  <c r="Z176" i="112"/>
  <c r="Y176" i="112"/>
  <c r="X176" i="112"/>
  <c r="W176" i="112"/>
  <c r="V176" i="112"/>
  <c r="U176" i="112"/>
  <c r="T176" i="112"/>
  <c r="S176" i="112"/>
  <c r="R176" i="112"/>
  <c r="Q176" i="112"/>
  <c r="P176" i="112"/>
  <c r="O176" i="112"/>
  <c r="N176" i="112"/>
  <c r="M176" i="112"/>
  <c r="L176" i="112"/>
  <c r="K176" i="112"/>
  <c r="J176" i="112"/>
  <c r="I176" i="112"/>
  <c r="H176" i="112"/>
  <c r="G176" i="112"/>
  <c r="F176" i="112"/>
  <c r="E176" i="112"/>
  <c r="D176" i="112"/>
  <c r="C176" i="112"/>
  <c r="B176" i="112"/>
  <c r="DU173" i="112"/>
  <c r="DT173" i="112"/>
  <c r="DS173" i="112"/>
  <c r="DR173" i="112"/>
  <c r="DQ173" i="112"/>
  <c r="DP173" i="112"/>
  <c r="DO173" i="112"/>
  <c r="DN173" i="112"/>
  <c r="DM173" i="112"/>
  <c r="DL173" i="112"/>
  <c r="DK173" i="112"/>
  <c r="DJ173" i="112"/>
  <c r="DI173" i="112"/>
  <c r="DH173" i="112"/>
  <c r="DG173" i="112"/>
  <c r="DF173" i="112"/>
  <c r="DD173" i="112"/>
  <c r="DC173" i="112"/>
  <c r="DB173" i="112"/>
  <c r="DA173" i="112"/>
  <c r="CZ173" i="112"/>
  <c r="CY173" i="112"/>
  <c r="CX173" i="112"/>
  <c r="CW173" i="112"/>
  <c r="CV173" i="112"/>
  <c r="CU173" i="112"/>
  <c r="CT173" i="112"/>
  <c r="CS173" i="112"/>
  <c r="CR173" i="112"/>
  <c r="CQ173" i="112"/>
  <c r="CP173" i="112"/>
  <c r="CO173" i="112"/>
  <c r="CN173" i="112"/>
  <c r="CM173" i="112"/>
  <c r="CL173" i="112"/>
  <c r="CK173" i="112"/>
  <c r="CJ173" i="112"/>
  <c r="CI173" i="112"/>
  <c r="CH173" i="112"/>
  <c r="CG173" i="112"/>
  <c r="CF173" i="112"/>
  <c r="CE173" i="112"/>
  <c r="CD173" i="112"/>
  <c r="CC173" i="112"/>
  <c r="BI169" i="112"/>
  <c r="BH169" i="112"/>
  <c r="BG169" i="112"/>
  <c r="BF169" i="112"/>
  <c r="BE169" i="112"/>
  <c r="BD169" i="112"/>
  <c r="BC169" i="112"/>
  <c r="BB169" i="112"/>
  <c r="BA169" i="112"/>
  <c r="AZ169" i="112"/>
  <c r="AY169" i="112"/>
  <c r="AX169" i="112"/>
  <c r="AW169" i="112"/>
  <c r="AV169" i="112"/>
  <c r="AU169" i="112"/>
  <c r="AT169" i="112"/>
  <c r="AS169" i="112"/>
  <c r="AR169" i="112"/>
  <c r="AQ169" i="112"/>
  <c r="AP169" i="112"/>
  <c r="AO169" i="112"/>
  <c r="AN169" i="112"/>
  <c r="AM169" i="112"/>
  <c r="AL169" i="112"/>
  <c r="AK169" i="112"/>
  <c r="AJ169" i="112"/>
  <c r="AI169" i="112"/>
  <c r="AH169" i="112"/>
  <c r="AG169" i="112"/>
  <c r="AF169" i="112"/>
  <c r="AE169" i="112"/>
  <c r="AD169" i="112"/>
  <c r="AC169" i="112"/>
  <c r="AB169" i="112"/>
  <c r="AA169" i="112"/>
  <c r="Z169" i="112"/>
  <c r="Y169" i="112"/>
  <c r="X169" i="112"/>
  <c r="W169" i="112"/>
  <c r="V169" i="112"/>
  <c r="U169" i="112"/>
  <c r="T169" i="112"/>
  <c r="S169" i="112"/>
  <c r="R169" i="112"/>
  <c r="Q169" i="112"/>
  <c r="P169" i="112"/>
  <c r="O169" i="112"/>
  <c r="N169" i="112"/>
  <c r="M169" i="112"/>
  <c r="L169" i="112"/>
  <c r="K169" i="112"/>
  <c r="J169" i="112"/>
  <c r="I169" i="112"/>
  <c r="H169" i="112"/>
  <c r="G169" i="112"/>
  <c r="F169" i="112"/>
  <c r="E169" i="112"/>
  <c r="D169" i="112"/>
  <c r="C169" i="112"/>
  <c r="B169" i="112"/>
  <c r="DU166" i="112"/>
  <c r="DT166" i="112"/>
  <c r="DS166" i="112"/>
  <c r="DR166" i="112"/>
  <c r="DQ166" i="112"/>
  <c r="DN166" i="112"/>
  <c r="DK166" i="112"/>
  <c r="DJ166" i="112"/>
  <c r="DI166" i="112"/>
  <c r="DH166" i="112"/>
  <c r="DG166" i="112"/>
  <c r="DF166" i="112"/>
  <c r="DE166" i="112"/>
  <c r="DD166" i="112"/>
  <c r="DC166" i="112"/>
  <c r="DB166" i="112"/>
  <c r="DA166" i="112"/>
  <c r="CZ166" i="112"/>
  <c r="CY166" i="112"/>
  <c r="CX166" i="112"/>
  <c r="CW166" i="112"/>
  <c r="CV166" i="112"/>
  <c r="CU166" i="112"/>
  <c r="CT166" i="112"/>
  <c r="CS166" i="112"/>
  <c r="CR166" i="112"/>
  <c r="CQ166" i="112"/>
  <c r="CP166" i="112"/>
  <c r="CO166" i="112"/>
  <c r="CO190" i="112" s="1"/>
  <c r="CN166" i="112"/>
  <c r="CN190" i="112" s="1"/>
  <c r="CM166" i="112"/>
  <c r="CM190" i="112" s="1"/>
  <c r="CL166" i="112"/>
  <c r="CL190" i="112" s="1"/>
  <c r="CK166" i="112"/>
  <c r="CK190" i="112" s="1"/>
  <c r="CJ166" i="112"/>
  <c r="CI166" i="112"/>
  <c r="CH166" i="112"/>
  <c r="CG166" i="112"/>
  <c r="CF166" i="112"/>
  <c r="BI162" i="112"/>
  <c r="BH162" i="112"/>
  <c r="BG162" i="112"/>
  <c r="BF162" i="112"/>
  <c r="BE162" i="112"/>
  <c r="BD162" i="112"/>
  <c r="BC162" i="112"/>
  <c r="BB162" i="112"/>
  <c r="BA162" i="112"/>
  <c r="AZ162" i="112"/>
  <c r="AY162" i="112"/>
  <c r="AX162" i="112"/>
  <c r="AW162" i="112"/>
  <c r="AV162" i="112"/>
  <c r="AU162" i="112"/>
  <c r="AT162" i="112"/>
  <c r="AS162" i="112"/>
  <c r="AR162" i="112"/>
  <c r="AQ162" i="112"/>
  <c r="AP162" i="112"/>
  <c r="AO162" i="112"/>
  <c r="AN162" i="112"/>
  <c r="AM162" i="112"/>
  <c r="AL162" i="112"/>
  <c r="AK162" i="112"/>
  <c r="AJ162" i="112"/>
  <c r="AI162" i="112"/>
  <c r="AH162" i="112"/>
  <c r="AG162" i="112"/>
  <c r="AF162" i="112"/>
  <c r="AE162" i="112"/>
  <c r="AD162" i="112"/>
  <c r="AC162" i="112"/>
  <c r="AB162" i="112"/>
  <c r="AA162" i="112"/>
  <c r="Z162" i="112"/>
  <c r="Y162" i="112"/>
  <c r="X162" i="112"/>
  <c r="W162" i="112"/>
  <c r="V162" i="112"/>
  <c r="U162" i="112"/>
  <c r="T162" i="112"/>
  <c r="S162" i="112"/>
  <c r="R162" i="112"/>
  <c r="Q162" i="112"/>
  <c r="P162" i="112"/>
  <c r="O162" i="112"/>
  <c r="N162" i="112"/>
  <c r="M162" i="112"/>
  <c r="L162" i="112"/>
  <c r="K162" i="112"/>
  <c r="J162" i="112"/>
  <c r="I162" i="112"/>
  <c r="H162" i="112"/>
  <c r="G162" i="112"/>
  <c r="F162" i="112"/>
  <c r="E162" i="112"/>
  <c r="D162" i="112"/>
  <c r="C162" i="112"/>
  <c r="B162" i="112"/>
  <c r="BY129" i="112"/>
  <c r="BX129" i="112"/>
  <c r="BW129" i="112"/>
  <c r="BV129" i="112"/>
  <c r="BU129" i="112"/>
  <c r="BT129" i="112"/>
  <c r="BS129" i="112"/>
  <c r="BR129" i="112"/>
  <c r="BQ129" i="112"/>
  <c r="BP129" i="112"/>
  <c r="BO129" i="112"/>
  <c r="BN129" i="112"/>
  <c r="BM129" i="112"/>
  <c r="BL129" i="112"/>
  <c r="BK129" i="112"/>
  <c r="BJ129" i="112"/>
  <c r="BI129" i="112"/>
  <c r="BH129" i="112"/>
  <c r="BG129" i="112"/>
  <c r="BF129" i="112"/>
  <c r="BE129" i="112"/>
  <c r="BD129" i="112"/>
  <c r="BC129" i="112"/>
  <c r="BB129" i="112"/>
  <c r="BA129" i="112"/>
  <c r="AZ129" i="112"/>
  <c r="AY129" i="112"/>
  <c r="AX129" i="112"/>
  <c r="CG128" i="112"/>
  <c r="CF128" i="112"/>
  <c r="CE128" i="112"/>
  <c r="CD128" i="112"/>
  <c r="CC128" i="112"/>
  <c r="CB128" i="112"/>
  <c r="CA128" i="112"/>
  <c r="BZ128" i="112"/>
  <c r="CW126" i="112"/>
  <c r="CV126" i="112"/>
  <c r="CU126" i="112"/>
  <c r="CT126" i="112"/>
  <c r="CS126" i="112"/>
  <c r="CR126" i="112"/>
  <c r="CQ126" i="112"/>
  <c r="CP126" i="112"/>
  <c r="CO126" i="112"/>
  <c r="CN126" i="112"/>
  <c r="CM126" i="112"/>
  <c r="CL126" i="112"/>
  <c r="CK126" i="112"/>
  <c r="CJ126" i="112"/>
  <c r="CI126" i="112"/>
  <c r="CH126" i="112"/>
  <c r="CG126" i="112"/>
  <c r="CF126" i="112"/>
  <c r="CE126" i="112"/>
  <c r="CD126" i="112"/>
  <c r="CC126" i="112"/>
  <c r="CB126" i="112"/>
  <c r="CA126" i="112"/>
  <c r="BZ126" i="112"/>
  <c r="BY126" i="112"/>
  <c r="BX126" i="112"/>
  <c r="BW126" i="112"/>
  <c r="BV126" i="112"/>
  <c r="BU126" i="112"/>
  <c r="BT126" i="112"/>
  <c r="BS126" i="112"/>
  <c r="BR126" i="112"/>
  <c r="BQ126" i="112"/>
  <c r="BP126" i="112"/>
  <c r="BO126" i="112"/>
  <c r="BN126" i="112"/>
  <c r="BM126" i="112"/>
  <c r="BL126" i="112"/>
  <c r="BK126" i="112"/>
  <c r="BJ126" i="112"/>
  <c r="BI126" i="112"/>
  <c r="BH126" i="112"/>
  <c r="BG126" i="112"/>
  <c r="BF126" i="112"/>
  <c r="BE126" i="112"/>
  <c r="BD126" i="112"/>
  <c r="BC126" i="112"/>
  <c r="BB126" i="112"/>
  <c r="BA126" i="112"/>
  <c r="AZ126" i="112"/>
  <c r="AY126" i="112"/>
  <c r="AX126" i="112"/>
  <c r="CW127" i="112"/>
  <c r="CV127" i="112"/>
  <c r="CU127" i="112"/>
  <c r="CT127" i="112"/>
  <c r="CO127" i="112"/>
  <c r="CN127" i="112"/>
  <c r="CM127" i="112"/>
  <c r="CL127" i="112"/>
  <c r="CK127" i="112"/>
  <c r="CJ127" i="112"/>
  <c r="CI127" i="112"/>
  <c r="CH127" i="112"/>
  <c r="CG127" i="112"/>
  <c r="CF127" i="112"/>
  <c r="CE127" i="112"/>
  <c r="CD127" i="112"/>
  <c r="CC127" i="112"/>
  <c r="CB127" i="112"/>
  <c r="CA127" i="112"/>
  <c r="BZ127" i="112"/>
  <c r="BY127" i="112"/>
  <c r="BX127" i="112"/>
  <c r="BW127" i="112"/>
  <c r="BV127" i="112"/>
  <c r="BU127" i="112"/>
  <c r="BT127" i="112"/>
  <c r="BS127" i="112"/>
  <c r="BR127" i="112"/>
  <c r="BQ127" i="112"/>
  <c r="BP127" i="112"/>
  <c r="BO127" i="112"/>
  <c r="BN127" i="112"/>
  <c r="BM127" i="112"/>
  <c r="BL127" i="112"/>
  <c r="BK127" i="112"/>
  <c r="BJ127" i="112"/>
  <c r="BI127" i="112"/>
  <c r="BH127" i="112"/>
  <c r="BG127" i="112"/>
  <c r="BF127" i="112"/>
  <c r="BE127" i="112"/>
  <c r="BD127" i="112"/>
  <c r="BC127" i="112"/>
  <c r="BB127" i="112"/>
  <c r="BA127" i="112"/>
  <c r="AZ127" i="112"/>
  <c r="AY127" i="112"/>
  <c r="AX127" i="112"/>
  <c r="DA125" i="112"/>
  <c r="CZ125" i="112"/>
  <c r="CY125" i="112"/>
  <c r="CX125" i="112"/>
  <c r="CW125" i="112"/>
  <c r="CV125" i="112"/>
  <c r="CU125" i="112"/>
  <c r="CT125" i="112"/>
  <c r="CS125" i="112"/>
  <c r="CR125" i="112"/>
  <c r="CQ125" i="112"/>
  <c r="CP125" i="112"/>
  <c r="CO125" i="112"/>
  <c r="CN125" i="112"/>
  <c r="CM125" i="112"/>
  <c r="CL125" i="112"/>
  <c r="CK125" i="112"/>
  <c r="CJ125" i="112"/>
  <c r="CI125" i="112"/>
  <c r="CH125" i="112"/>
  <c r="CG125" i="112"/>
  <c r="CF125" i="112"/>
  <c r="CE125" i="112"/>
  <c r="CD125" i="112"/>
  <c r="CC125" i="112"/>
  <c r="CB125" i="112"/>
  <c r="CA125" i="112"/>
  <c r="BZ125" i="112"/>
  <c r="BY125" i="112"/>
  <c r="BX125" i="112"/>
  <c r="BW125" i="112"/>
  <c r="BV125" i="112"/>
  <c r="BU125" i="112"/>
  <c r="BT125" i="112"/>
  <c r="BS125" i="112"/>
  <c r="BR125" i="112"/>
  <c r="BQ125" i="112"/>
  <c r="BP125" i="112"/>
  <c r="BO125" i="112"/>
  <c r="BN125" i="112"/>
  <c r="BM125" i="112"/>
  <c r="BL125" i="112"/>
  <c r="BK125" i="112"/>
  <c r="BJ125" i="112"/>
  <c r="BI125" i="112"/>
  <c r="BH125" i="112"/>
  <c r="BG125" i="112"/>
  <c r="BF125" i="112"/>
  <c r="BE125" i="112"/>
  <c r="BD125" i="112"/>
  <c r="BC125" i="112"/>
  <c r="BB125" i="112"/>
  <c r="BA125" i="112"/>
  <c r="AZ125" i="112"/>
  <c r="AY125" i="112"/>
  <c r="AX125" i="112"/>
  <c r="BI124" i="112"/>
  <c r="BH124" i="112"/>
  <c r="BG124" i="112"/>
  <c r="BF124" i="112"/>
  <c r="BE124" i="112"/>
  <c r="BD124" i="112"/>
  <c r="BC124" i="112"/>
  <c r="BB124" i="112"/>
  <c r="BA124" i="112"/>
  <c r="AZ124" i="112"/>
  <c r="AY124" i="112"/>
  <c r="AX124" i="112"/>
  <c r="AW124" i="112"/>
  <c r="AV124" i="112"/>
  <c r="AU124" i="112"/>
  <c r="AT124" i="112"/>
  <c r="AS124" i="112"/>
  <c r="AR124" i="112"/>
  <c r="AQ124" i="112"/>
  <c r="AP124" i="112"/>
  <c r="AO124" i="112"/>
  <c r="AN124" i="112"/>
  <c r="AM124" i="112"/>
  <c r="AL124" i="112"/>
  <c r="AK124" i="112"/>
  <c r="AJ124" i="112"/>
  <c r="AI124" i="112"/>
  <c r="AH124" i="112"/>
  <c r="AG124" i="112"/>
  <c r="AF124" i="112"/>
  <c r="AE124" i="112"/>
  <c r="AD124" i="112"/>
  <c r="AC124" i="112"/>
  <c r="AB124" i="112"/>
  <c r="AA124" i="112"/>
  <c r="Z124" i="112"/>
  <c r="Y124" i="112"/>
  <c r="X124" i="112"/>
  <c r="W124" i="112"/>
  <c r="V124" i="112"/>
  <c r="U124" i="112"/>
  <c r="T124" i="112"/>
  <c r="S124" i="112"/>
  <c r="R124" i="112"/>
  <c r="Q124" i="112"/>
  <c r="P124" i="112"/>
  <c r="O124" i="112"/>
  <c r="N124" i="112"/>
  <c r="M124" i="112"/>
  <c r="L124" i="112"/>
  <c r="K124" i="112"/>
  <c r="J124" i="112"/>
  <c r="I124" i="112"/>
  <c r="H124" i="112"/>
  <c r="G124" i="112"/>
  <c r="F124" i="112"/>
  <c r="E124" i="112"/>
  <c r="D124" i="112"/>
  <c r="C124" i="112"/>
  <c r="B124" i="112"/>
  <c r="BY122" i="112"/>
  <c r="BX122" i="112"/>
  <c r="BW122" i="112"/>
  <c r="BV122" i="112"/>
  <c r="BU122" i="112"/>
  <c r="BT122" i="112"/>
  <c r="BS122" i="112"/>
  <c r="BR122" i="112"/>
  <c r="BQ122" i="112"/>
  <c r="BP122" i="112"/>
  <c r="BO122" i="112"/>
  <c r="BN122" i="112"/>
  <c r="BM122" i="112"/>
  <c r="BL122" i="112"/>
  <c r="BK122" i="112"/>
  <c r="BJ122" i="112"/>
  <c r="BI122" i="112"/>
  <c r="BH122" i="112"/>
  <c r="BG122" i="112"/>
  <c r="BF122" i="112"/>
  <c r="BE122" i="112"/>
  <c r="BD122" i="112"/>
  <c r="BC122" i="112"/>
  <c r="BB122" i="112"/>
  <c r="BA122" i="112"/>
  <c r="AZ122" i="112"/>
  <c r="AY122" i="112"/>
  <c r="AX122" i="112"/>
  <c r="AW122" i="112"/>
  <c r="AV122" i="112"/>
  <c r="AU122" i="112"/>
  <c r="AT122" i="112"/>
  <c r="AS122" i="112"/>
  <c r="AR122" i="112"/>
  <c r="AQ122" i="112"/>
  <c r="AP122" i="112"/>
  <c r="CG121" i="112"/>
  <c r="CF121" i="112"/>
  <c r="CE121" i="112"/>
  <c r="CD121" i="112"/>
  <c r="CC121" i="112"/>
  <c r="CB121" i="112"/>
  <c r="CA121" i="112"/>
  <c r="BZ121" i="112"/>
  <c r="BY121" i="112"/>
  <c r="BX121" i="112"/>
  <c r="BW121" i="112"/>
  <c r="BV121" i="112"/>
  <c r="BU121" i="112"/>
  <c r="BT121" i="112"/>
  <c r="BS121" i="112"/>
  <c r="BR121" i="112"/>
  <c r="BQ121" i="112"/>
  <c r="BP121" i="112"/>
  <c r="BO121" i="112"/>
  <c r="BN121" i="112"/>
  <c r="BM121" i="112"/>
  <c r="BL121" i="112"/>
  <c r="BK121" i="112"/>
  <c r="BJ121" i="112"/>
  <c r="BI121" i="112"/>
  <c r="BH121" i="112"/>
  <c r="BG121" i="112"/>
  <c r="BF121" i="112"/>
  <c r="BE121" i="112"/>
  <c r="BD121" i="112"/>
  <c r="BC121" i="112"/>
  <c r="BB121" i="112"/>
  <c r="BA121" i="112"/>
  <c r="AZ121" i="112"/>
  <c r="AY121" i="112"/>
  <c r="AX121" i="112"/>
  <c r="AW121" i="112"/>
  <c r="AV121" i="112"/>
  <c r="AU121" i="112"/>
  <c r="AT121" i="112"/>
  <c r="AS121" i="112"/>
  <c r="AR121" i="112"/>
  <c r="AQ121" i="112"/>
  <c r="AP121" i="112"/>
  <c r="CY119" i="112"/>
  <c r="CX119" i="112"/>
  <c r="CW119" i="112"/>
  <c r="CV119" i="112"/>
  <c r="CU119" i="112"/>
  <c r="CT119" i="112"/>
  <c r="CS119" i="112"/>
  <c r="CR119" i="112"/>
  <c r="CQ119" i="112"/>
  <c r="CP119" i="112"/>
  <c r="CO119" i="112"/>
  <c r="CN119" i="112"/>
  <c r="CM119" i="112"/>
  <c r="CL119" i="112"/>
  <c r="CK119" i="112"/>
  <c r="CJ119" i="112"/>
  <c r="CI119" i="112"/>
  <c r="CH119" i="112"/>
  <c r="CG119" i="112"/>
  <c r="CF119" i="112"/>
  <c r="CE119" i="112"/>
  <c r="CD119" i="112"/>
  <c r="CC119" i="112"/>
  <c r="CB119" i="112"/>
  <c r="CA119" i="112"/>
  <c r="BZ119" i="112"/>
  <c r="BY119" i="112"/>
  <c r="BX119" i="112"/>
  <c r="BW119" i="112"/>
  <c r="BV119" i="112"/>
  <c r="BU119" i="112"/>
  <c r="BT119" i="112"/>
  <c r="BS119" i="112"/>
  <c r="BR119" i="112"/>
  <c r="BQ119" i="112"/>
  <c r="BP119" i="112"/>
  <c r="BO119" i="112"/>
  <c r="BN119" i="112"/>
  <c r="BM119" i="112"/>
  <c r="BL119" i="112"/>
  <c r="BK119" i="112"/>
  <c r="BJ119" i="112"/>
  <c r="BI119" i="112"/>
  <c r="BH119" i="112"/>
  <c r="BG119" i="112"/>
  <c r="BF119" i="112"/>
  <c r="BE119" i="112"/>
  <c r="BD119" i="112"/>
  <c r="BC119" i="112"/>
  <c r="BB119" i="112"/>
  <c r="BA119" i="112"/>
  <c r="AZ119" i="112"/>
  <c r="AY119" i="112"/>
  <c r="AX119" i="112"/>
  <c r="AW119" i="112"/>
  <c r="AV119" i="112"/>
  <c r="AU119" i="112"/>
  <c r="AT119" i="112"/>
  <c r="AS119" i="112"/>
  <c r="AR119" i="112"/>
  <c r="AQ119" i="112"/>
  <c r="AP119" i="112"/>
  <c r="CY120" i="112"/>
  <c r="CX120" i="112"/>
  <c r="CW120" i="112"/>
  <c r="CV120" i="112"/>
  <c r="CU120" i="112"/>
  <c r="CT120" i="112"/>
  <c r="CS120" i="112"/>
  <c r="CR120" i="112"/>
  <c r="CO120" i="112"/>
  <c r="CN120" i="112"/>
  <c r="CM120" i="112"/>
  <c r="CL120" i="112"/>
  <c r="CK120" i="112"/>
  <c r="CJ120" i="112"/>
  <c r="CI120" i="112"/>
  <c r="CH120" i="112"/>
  <c r="CG120" i="112"/>
  <c r="CF120" i="112"/>
  <c r="CE120" i="112"/>
  <c r="CD120" i="112"/>
  <c r="CC120" i="112"/>
  <c r="CB120" i="112"/>
  <c r="CA120" i="112"/>
  <c r="BZ120" i="112"/>
  <c r="BY120" i="112"/>
  <c r="BX120" i="112"/>
  <c r="BW120" i="112"/>
  <c r="BV120" i="112"/>
  <c r="BU120" i="112"/>
  <c r="BT120" i="112"/>
  <c r="BS120" i="112"/>
  <c r="BR120" i="112"/>
  <c r="BQ120" i="112"/>
  <c r="BP120" i="112"/>
  <c r="BO120" i="112"/>
  <c r="BN120" i="112"/>
  <c r="BM120" i="112"/>
  <c r="BL120" i="112"/>
  <c r="BK120" i="112"/>
  <c r="BJ120" i="112"/>
  <c r="BI120" i="112"/>
  <c r="BH120" i="112"/>
  <c r="BG120" i="112"/>
  <c r="BF120" i="112"/>
  <c r="BE120" i="112"/>
  <c r="BD120" i="112"/>
  <c r="BC120" i="112"/>
  <c r="BB120" i="112"/>
  <c r="BA120" i="112"/>
  <c r="AZ120" i="112"/>
  <c r="AY120" i="112"/>
  <c r="AX120" i="112"/>
  <c r="AW120" i="112"/>
  <c r="AV120" i="112"/>
  <c r="AU120" i="112"/>
  <c r="AT120" i="112"/>
  <c r="AS120" i="112"/>
  <c r="AR120" i="112"/>
  <c r="AQ120" i="112"/>
  <c r="AP120" i="112"/>
  <c r="DD118" i="112"/>
  <c r="DC118" i="112"/>
  <c r="DB118" i="112"/>
  <c r="DA118" i="112"/>
  <c r="CZ118" i="112"/>
  <c r="CY118" i="112"/>
  <c r="CX118" i="112"/>
  <c r="CW118" i="112"/>
  <c r="CV118" i="112"/>
  <c r="CU118" i="112"/>
  <c r="CT118" i="112"/>
  <c r="CS118" i="112"/>
  <c r="CR118" i="112"/>
  <c r="CQ118" i="112"/>
  <c r="CP118" i="112"/>
  <c r="CO118" i="112"/>
  <c r="CN118" i="112"/>
  <c r="CM118" i="112"/>
  <c r="CL118" i="112"/>
  <c r="CK118" i="112"/>
  <c r="CJ118" i="112"/>
  <c r="CI118" i="112"/>
  <c r="CH118" i="112"/>
  <c r="CG118" i="112"/>
  <c r="CF118" i="112"/>
  <c r="CE118" i="112"/>
  <c r="CD118" i="112"/>
  <c r="CC118" i="112"/>
  <c r="CB118" i="112"/>
  <c r="CA118" i="112"/>
  <c r="BZ118" i="112"/>
  <c r="BY118" i="112"/>
  <c r="BX118" i="112"/>
  <c r="BW118" i="112"/>
  <c r="BV118" i="112"/>
  <c r="BU118" i="112"/>
  <c r="BT118" i="112"/>
  <c r="BS118" i="112"/>
  <c r="BR118" i="112"/>
  <c r="BQ118" i="112"/>
  <c r="BP118" i="112"/>
  <c r="BO118" i="112"/>
  <c r="BN118" i="112"/>
  <c r="BM118" i="112"/>
  <c r="BL118" i="112"/>
  <c r="BK118" i="112"/>
  <c r="BJ118" i="112"/>
  <c r="BI118" i="112"/>
  <c r="BH118" i="112"/>
  <c r="BG118" i="112"/>
  <c r="BF118" i="112"/>
  <c r="BE118" i="112"/>
  <c r="BD118" i="112"/>
  <c r="BC118" i="112"/>
  <c r="BB118" i="112"/>
  <c r="BA118" i="112"/>
  <c r="AZ118" i="112"/>
  <c r="AY118" i="112"/>
  <c r="AX118" i="112"/>
  <c r="AW118" i="112"/>
  <c r="AV118" i="112"/>
  <c r="AU118" i="112"/>
  <c r="AT118" i="112"/>
  <c r="AS118" i="112"/>
  <c r="AR118" i="112"/>
  <c r="AQ118" i="112"/>
  <c r="AP118" i="112"/>
  <c r="BI117" i="112"/>
  <c r="BH117" i="112"/>
  <c r="BG117" i="112"/>
  <c r="BF117" i="112"/>
  <c r="BE117" i="112"/>
  <c r="BD117" i="112"/>
  <c r="BC117" i="112"/>
  <c r="BB117" i="112"/>
  <c r="BA117" i="112"/>
  <c r="AZ117" i="112"/>
  <c r="AY117" i="112"/>
  <c r="AX117" i="112"/>
  <c r="AW117" i="112"/>
  <c r="AV117" i="112"/>
  <c r="AU117" i="112"/>
  <c r="AT117" i="112"/>
  <c r="AS117" i="112"/>
  <c r="AR117" i="112"/>
  <c r="AQ117" i="112"/>
  <c r="AP117" i="112"/>
  <c r="AO117" i="112"/>
  <c r="AN117" i="112"/>
  <c r="AM117" i="112"/>
  <c r="AL117" i="112"/>
  <c r="AK117" i="112"/>
  <c r="AJ117" i="112"/>
  <c r="AI117" i="112"/>
  <c r="AH117" i="112"/>
  <c r="AG117" i="112"/>
  <c r="AF117" i="112"/>
  <c r="AE117" i="112"/>
  <c r="AD117" i="112"/>
  <c r="AC117" i="112"/>
  <c r="AB117" i="112"/>
  <c r="AA117" i="112"/>
  <c r="Z117" i="112"/>
  <c r="Y117" i="112"/>
  <c r="X117" i="112"/>
  <c r="W117" i="112"/>
  <c r="V117" i="112"/>
  <c r="U117" i="112"/>
  <c r="T117" i="112"/>
  <c r="S117" i="112"/>
  <c r="R117" i="112"/>
  <c r="Q117" i="112"/>
  <c r="P117" i="112"/>
  <c r="O117" i="112"/>
  <c r="N117" i="112"/>
  <c r="M117" i="112"/>
  <c r="L117" i="112"/>
  <c r="K117" i="112"/>
  <c r="J117" i="112"/>
  <c r="I117" i="112"/>
  <c r="H117" i="112"/>
  <c r="G117" i="112"/>
  <c r="F117" i="112"/>
  <c r="E117" i="112"/>
  <c r="D117" i="112"/>
  <c r="C117" i="112"/>
  <c r="B117" i="112"/>
  <c r="BY115" i="112"/>
  <c r="BX115" i="112"/>
  <c r="BW115" i="112"/>
  <c r="BV115" i="112"/>
  <c r="BU115" i="112"/>
  <c r="BT115" i="112"/>
  <c r="BS115" i="112"/>
  <c r="BR115" i="112"/>
  <c r="BQ115" i="112"/>
  <c r="BP115" i="112"/>
  <c r="BO115" i="112"/>
  <c r="BN115" i="112"/>
  <c r="BM115" i="112"/>
  <c r="BL115" i="112"/>
  <c r="BK115" i="112"/>
  <c r="BJ115" i="112"/>
  <c r="BI115" i="112"/>
  <c r="BH115" i="112"/>
  <c r="BG115" i="112"/>
  <c r="BF115" i="112"/>
  <c r="BE115" i="112"/>
  <c r="BD115" i="112"/>
  <c r="BC115" i="112"/>
  <c r="BB115" i="112"/>
  <c r="BA115" i="112"/>
  <c r="AZ115" i="112"/>
  <c r="AY115" i="112"/>
  <c r="AX115" i="112"/>
  <c r="AW115" i="112"/>
  <c r="AV115" i="112"/>
  <c r="AU115" i="112"/>
  <c r="AT115" i="112"/>
  <c r="AS115" i="112"/>
  <c r="AR115" i="112"/>
  <c r="AQ115" i="112"/>
  <c r="AP115" i="112"/>
  <c r="AO115" i="112"/>
  <c r="AN115" i="112"/>
  <c r="AM115" i="112"/>
  <c r="AL115" i="112"/>
  <c r="AK115" i="112"/>
  <c r="AJ115" i="112"/>
  <c r="AI115" i="112"/>
  <c r="AH115" i="112"/>
  <c r="AG115" i="112"/>
  <c r="AF115" i="112"/>
  <c r="AE115" i="112"/>
  <c r="AD115" i="112"/>
  <c r="AC115" i="112"/>
  <c r="AB115" i="112"/>
  <c r="AA115" i="112"/>
  <c r="CG114" i="112"/>
  <c r="CF114" i="112"/>
  <c r="CE114" i="112"/>
  <c r="CD114" i="112"/>
  <c r="CC114" i="112"/>
  <c r="CY112" i="112"/>
  <c r="CX112" i="112"/>
  <c r="CW112" i="112"/>
  <c r="CV112" i="112"/>
  <c r="CU112" i="112"/>
  <c r="CT112" i="112"/>
  <c r="CS112" i="112"/>
  <c r="CR112" i="112"/>
  <c r="CQ112" i="112"/>
  <c r="CP112" i="112"/>
  <c r="CO112" i="112"/>
  <c r="CN112" i="112"/>
  <c r="CM112" i="112"/>
  <c r="CL112" i="112"/>
  <c r="CK112" i="112"/>
  <c r="CJ112" i="112"/>
  <c r="CI112" i="112"/>
  <c r="CH112" i="112"/>
  <c r="CG112" i="112"/>
  <c r="CF112" i="112"/>
  <c r="CE112" i="112"/>
  <c r="CD112" i="112"/>
  <c r="CC112" i="112"/>
  <c r="CB112" i="112"/>
  <c r="CA112" i="112"/>
  <c r="BZ112" i="112"/>
  <c r="BY112" i="112"/>
  <c r="BX112" i="112"/>
  <c r="BW112" i="112"/>
  <c r="BV112" i="112"/>
  <c r="BU112" i="112"/>
  <c r="BT112" i="112"/>
  <c r="BS112" i="112"/>
  <c r="BR112" i="112"/>
  <c r="BQ112" i="112"/>
  <c r="BP112" i="112"/>
  <c r="BO112" i="112"/>
  <c r="BN112" i="112"/>
  <c r="BM112" i="112"/>
  <c r="BL112" i="112"/>
  <c r="BK112" i="112"/>
  <c r="BJ112" i="112"/>
  <c r="BI112" i="112"/>
  <c r="BH112" i="112"/>
  <c r="BG112" i="112"/>
  <c r="BF112" i="112"/>
  <c r="BE112" i="112"/>
  <c r="BD112" i="112"/>
  <c r="BC112" i="112"/>
  <c r="BB112" i="112"/>
  <c r="BA112" i="112"/>
  <c r="AZ112" i="112"/>
  <c r="AY112" i="112"/>
  <c r="AX112" i="112"/>
  <c r="AW112" i="112"/>
  <c r="AV112" i="112"/>
  <c r="AU112" i="112"/>
  <c r="AT112" i="112"/>
  <c r="AS112" i="112"/>
  <c r="AR112" i="112"/>
  <c r="AQ112" i="112"/>
  <c r="AP112" i="112"/>
  <c r="AO112" i="112"/>
  <c r="AN112" i="112"/>
  <c r="AM112" i="112"/>
  <c r="AL112" i="112"/>
  <c r="AK112" i="112"/>
  <c r="AJ112" i="112"/>
  <c r="AI112" i="112"/>
  <c r="AH112" i="112"/>
  <c r="AG112" i="112"/>
  <c r="AF112" i="112"/>
  <c r="AE112" i="112"/>
  <c r="AD112" i="112"/>
  <c r="AC112" i="112"/>
  <c r="AB112" i="112"/>
  <c r="AA112" i="112"/>
  <c r="Z112" i="112"/>
  <c r="Y112" i="112"/>
  <c r="X112" i="112"/>
  <c r="W112" i="112"/>
  <c r="V112" i="112"/>
  <c r="U112" i="112"/>
  <c r="T112" i="112"/>
  <c r="S112" i="112"/>
  <c r="R112" i="112"/>
  <c r="Q112" i="112"/>
  <c r="P112" i="112"/>
  <c r="O112" i="112"/>
  <c r="N112" i="112"/>
  <c r="M112" i="112"/>
  <c r="L112" i="112"/>
  <c r="K112" i="112"/>
  <c r="CY113" i="112"/>
  <c r="CX113" i="112"/>
  <c r="CW113" i="112"/>
  <c r="CV113" i="112"/>
  <c r="CU113" i="112"/>
  <c r="CT113" i="112"/>
  <c r="CS113" i="112"/>
  <c r="CR113" i="112"/>
  <c r="CO113" i="112"/>
  <c r="CN113" i="112"/>
  <c r="CM113" i="112"/>
  <c r="CL113" i="112"/>
  <c r="CK113" i="112"/>
  <c r="CJ113" i="112"/>
  <c r="CI113" i="112"/>
  <c r="CH113" i="112"/>
  <c r="CG113" i="112"/>
  <c r="CF113" i="112"/>
  <c r="CE113" i="112"/>
  <c r="CD113" i="112"/>
  <c r="CC113" i="112"/>
  <c r="CB113" i="112"/>
  <c r="CA113" i="112"/>
  <c r="BZ113" i="112"/>
  <c r="BY113" i="112"/>
  <c r="BX113" i="112"/>
  <c r="BW113" i="112"/>
  <c r="BV113" i="112"/>
  <c r="BU113" i="112"/>
  <c r="BT113" i="112"/>
  <c r="BS113" i="112"/>
  <c r="BR113" i="112"/>
  <c r="BQ113" i="112"/>
  <c r="BP113" i="112"/>
  <c r="BO113" i="112"/>
  <c r="BN113" i="112"/>
  <c r="BM113" i="112"/>
  <c r="BL113" i="112"/>
  <c r="BK113" i="112"/>
  <c r="BJ113" i="112"/>
  <c r="BI113" i="112"/>
  <c r="DD111" i="112"/>
  <c r="DC111" i="112"/>
  <c r="DB111" i="112"/>
  <c r="DA111" i="112"/>
  <c r="CZ111" i="112"/>
  <c r="CY111" i="112"/>
  <c r="CX111" i="112"/>
  <c r="CW111" i="112"/>
  <c r="CV111" i="112"/>
  <c r="CU111" i="112"/>
  <c r="CT111" i="112"/>
  <c r="CS111" i="112"/>
  <c r="CR111" i="112"/>
  <c r="CQ111" i="112"/>
  <c r="CP111" i="112"/>
  <c r="CO111" i="112"/>
  <c r="CN111" i="112"/>
  <c r="CM111" i="112"/>
  <c r="CL111" i="112"/>
  <c r="CK111" i="112"/>
  <c r="CJ111" i="112"/>
  <c r="CI111" i="112"/>
  <c r="CH111" i="112"/>
  <c r="CG111" i="112"/>
  <c r="CF111" i="112"/>
  <c r="CE111" i="112"/>
  <c r="CD111" i="112"/>
  <c r="CC111" i="112"/>
  <c r="CB111" i="112"/>
  <c r="CA111" i="112"/>
  <c r="BZ111" i="112"/>
  <c r="BY111" i="112"/>
  <c r="BX111" i="112"/>
  <c r="BW111" i="112"/>
  <c r="BV111" i="112"/>
  <c r="BU111" i="112"/>
  <c r="BT111" i="112"/>
  <c r="BS111" i="112"/>
  <c r="BR111" i="112"/>
  <c r="BQ111" i="112"/>
  <c r="BP111" i="112"/>
  <c r="BO111" i="112"/>
  <c r="BN111" i="112"/>
  <c r="BM111" i="112"/>
  <c r="BL111" i="112"/>
  <c r="BK111" i="112"/>
  <c r="BJ111" i="112"/>
  <c r="BI111" i="112"/>
  <c r="BH111" i="112"/>
  <c r="BG111" i="112"/>
  <c r="BF111" i="112"/>
  <c r="BE111" i="112"/>
  <c r="BD111" i="112"/>
  <c r="BC111" i="112"/>
  <c r="BB111" i="112"/>
  <c r="BA111" i="112"/>
  <c r="AZ111" i="112"/>
  <c r="AY111" i="112"/>
  <c r="AX111" i="112"/>
  <c r="AW111" i="112"/>
  <c r="BI110" i="112"/>
  <c r="BH110" i="112"/>
  <c r="BG110" i="112"/>
  <c r="BF110" i="112"/>
  <c r="BE110" i="112"/>
  <c r="BD110" i="112"/>
  <c r="BC110" i="112"/>
  <c r="BB110" i="112"/>
  <c r="BA110" i="112"/>
  <c r="AZ110" i="112"/>
  <c r="AY110" i="112"/>
  <c r="AX110" i="112"/>
  <c r="AW110" i="112"/>
  <c r="AV110" i="112"/>
  <c r="AU110" i="112"/>
  <c r="AT110" i="112"/>
  <c r="AS110" i="112"/>
  <c r="AR110" i="112"/>
  <c r="AQ110" i="112"/>
  <c r="AP110" i="112"/>
  <c r="AO110" i="112"/>
  <c r="AN110" i="112"/>
  <c r="AM110" i="112"/>
  <c r="AL110" i="112"/>
  <c r="AK110" i="112"/>
  <c r="AJ110" i="112"/>
  <c r="AI110" i="112"/>
  <c r="AH110" i="112"/>
  <c r="AG110" i="112"/>
  <c r="AF110" i="112"/>
  <c r="AE110" i="112"/>
  <c r="AD110" i="112"/>
  <c r="AC110" i="112"/>
  <c r="AB110" i="112"/>
  <c r="AA110" i="112"/>
  <c r="Z110" i="112"/>
  <c r="Y110" i="112"/>
  <c r="X110" i="112"/>
  <c r="W110" i="112"/>
  <c r="V110" i="112"/>
  <c r="U110" i="112"/>
  <c r="T110" i="112"/>
  <c r="S110" i="112"/>
  <c r="R110" i="112"/>
  <c r="Q110" i="112"/>
  <c r="P110" i="112"/>
  <c r="O110" i="112"/>
  <c r="N110" i="112"/>
  <c r="M110" i="112"/>
  <c r="L110" i="112"/>
  <c r="K110" i="112"/>
  <c r="J110" i="112"/>
  <c r="I110" i="112"/>
  <c r="H110" i="112"/>
  <c r="G110" i="112"/>
  <c r="F110" i="112"/>
  <c r="E110" i="112"/>
  <c r="D110" i="112"/>
  <c r="C110" i="112"/>
  <c r="B110" i="112"/>
  <c r="CA108" i="112"/>
  <c r="BY108" i="112"/>
  <c r="BX108" i="112"/>
  <c r="BW108" i="112"/>
  <c r="BV108" i="112"/>
  <c r="BU108" i="112"/>
  <c r="BT108" i="112"/>
  <c r="BS108" i="112"/>
  <c r="BR108" i="112"/>
  <c r="BQ108" i="112"/>
  <c r="BP108" i="112"/>
  <c r="BO108" i="112"/>
  <c r="BN108" i="112"/>
  <c r="BM108" i="112"/>
  <c r="BL108" i="112"/>
  <c r="BK108" i="112"/>
  <c r="BJ108" i="112"/>
  <c r="BI108" i="112"/>
  <c r="BH108" i="112"/>
  <c r="BG108" i="112"/>
  <c r="BF108" i="112"/>
  <c r="BE108" i="112"/>
  <c r="BD108" i="112"/>
  <c r="BC108" i="112"/>
  <c r="BB108" i="112"/>
  <c r="BA108" i="112"/>
  <c r="AZ108" i="112"/>
  <c r="AY108" i="112"/>
  <c r="AX108" i="112"/>
  <c r="AW108" i="112"/>
  <c r="AV108" i="112"/>
  <c r="AU108" i="112"/>
  <c r="AT108" i="112"/>
  <c r="AS108" i="112"/>
  <c r="AR108" i="112"/>
  <c r="AQ108" i="112"/>
  <c r="AP108" i="112"/>
  <c r="AO108" i="112"/>
  <c r="AN108" i="112"/>
  <c r="AM108" i="112"/>
  <c r="AL108" i="112"/>
  <c r="AK108" i="112"/>
  <c r="AJ108" i="112"/>
  <c r="AI108" i="112"/>
  <c r="AH108" i="112"/>
  <c r="AG108" i="112"/>
  <c r="AF108" i="112"/>
  <c r="AE108" i="112"/>
  <c r="AD108" i="112"/>
  <c r="CG107" i="112"/>
  <c r="CF107" i="112"/>
  <c r="DA105" i="112"/>
  <c r="CY105" i="112"/>
  <c r="CX105" i="112"/>
  <c r="CW105" i="112"/>
  <c r="CV105" i="112"/>
  <c r="CU105" i="112"/>
  <c r="CT105" i="112"/>
  <c r="CS105" i="112"/>
  <c r="CR105" i="112"/>
  <c r="CQ105" i="112"/>
  <c r="CP105" i="112"/>
  <c r="CO105" i="112"/>
  <c r="CN105" i="112"/>
  <c r="CM105" i="112"/>
  <c r="CL105" i="112"/>
  <c r="CK105" i="112"/>
  <c r="CJ105" i="112"/>
  <c r="CI105" i="112"/>
  <c r="CH105" i="112"/>
  <c r="CG105" i="112"/>
  <c r="CF105" i="112"/>
  <c r="CE105" i="112"/>
  <c r="CD105" i="112"/>
  <c r="CC105" i="112"/>
  <c r="CB105" i="112"/>
  <c r="CA105" i="112"/>
  <c r="BZ105" i="112"/>
  <c r="BY105" i="112"/>
  <c r="BX105" i="112"/>
  <c r="BW105" i="112"/>
  <c r="BV105" i="112"/>
  <c r="BU105" i="112"/>
  <c r="BT105" i="112"/>
  <c r="BS105" i="112"/>
  <c r="BR105" i="112"/>
  <c r="BQ105" i="112"/>
  <c r="BP105" i="112"/>
  <c r="BO105" i="112"/>
  <c r="BN105" i="112"/>
  <c r="BM105" i="112"/>
  <c r="BL105" i="112"/>
  <c r="BK105" i="112"/>
  <c r="BJ105" i="112"/>
  <c r="BI105" i="112"/>
  <c r="BH105" i="112"/>
  <c r="BG105" i="112"/>
  <c r="BF105" i="112"/>
  <c r="BE105" i="112"/>
  <c r="BD105" i="112"/>
  <c r="BC105" i="112"/>
  <c r="BB105" i="112"/>
  <c r="BA105" i="112"/>
  <c r="AZ105" i="112"/>
  <c r="AY105" i="112"/>
  <c r="AX105" i="112"/>
  <c r="AW105" i="112"/>
  <c r="AV105" i="112"/>
  <c r="AU105" i="112"/>
  <c r="AT105" i="112"/>
  <c r="AS105" i="112"/>
  <c r="AR105" i="112"/>
  <c r="AQ105" i="112"/>
  <c r="AP105" i="112"/>
  <c r="AO105" i="112"/>
  <c r="AN105" i="112"/>
  <c r="AM105" i="112"/>
  <c r="AL105" i="112"/>
  <c r="AK105" i="112"/>
  <c r="AJ105" i="112"/>
  <c r="AI105" i="112"/>
  <c r="AH105" i="112"/>
  <c r="AG105" i="112"/>
  <c r="AF105" i="112"/>
  <c r="AE105" i="112"/>
  <c r="AD105" i="112"/>
  <c r="AC105" i="112"/>
  <c r="AB105" i="112"/>
  <c r="AA105" i="112"/>
  <c r="Z105" i="112"/>
  <c r="Y105" i="112"/>
  <c r="X105" i="112"/>
  <c r="W105" i="112"/>
  <c r="V105" i="112"/>
  <c r="U105" i="112"/>
  <c r="T105" i="112"/>
  <c r="S105" i="112"/>
  <c r="R105" i="112"/>
  <c r="Q105" i="112"/>
  <c r="P105" i="112"/>
  <c r="O105" i="112"/>
  <c r="N105" i="112"/>
  <c r="DA106" i="112"/>
  <c r="CY106" i="112"/>
  <c r="CX106" i="112"/>
  <c r="CW106" i="112"/>
  <c r="CV106" i="112"/>
  <c r="CU106" i="112"/>
  <c r="CS106" i="112"/>
  <c r="CR106" i="112"/>
  <c r="CQ106" i="112"/>
  <c r="CO106" i="112"/>
  <c r="CN106" i="112"/>
  <c r="CM106" i="112"/>
  <c r="CL106" i="112"/>
  <c r="CK106" i="112"/>
  <c r="CJ106" i="112"/>
  <c r="CI106" i="112"/>
  <c r="CH106" i="112"/>
  <c r="CG106" i="112"/>
  <c r="CF106" i="112"/>
  <c r="CE106" i="112"/>
  <c r="CD106" i="112"/>
  <c r="CC106" i="112"/>
  <c r="CB106" i="112"/>
  <c r="CA106" i="112"/>
  <c r="BZ106" i="112"/>
  <c r="BY106" i="112"/>
  <c r="BX106" i="112"/>
  <c r="BW106" i="112"/>
  <c r="BV106" i="112"/>
  <c r="BU106" i="112"/>
  <c r="BT106" i="112"/>
  <c r="BS106" i="112"/>
  <c r="BR106" i="112"/>
  <c r="BQ106" i="112"/>
  <c r="BP106" i="112"/>
  <c r="BO106" i="112"/>
  <c r="BN106" i="112"/>
  <c r="BM106" i="112"/>
  <c r="BL106" i="112"/>
  <c r="DA104" i="112"/>
  <c r="DA208" i="112" s="1"/>
  <c r="CZ104" i="112"/>
  <c r="CZ208" i="112" s="1"/>
  <c r="CY104" i="112"/>
  <c r="CY208" i="112" s="1"/>
  <c r="CX104" i="112"/>
  <c r="CX208" i="112" s="1"/>
  <c r="CW104" i="112"/>
  <c r="CW208" i="112" s="1"/>
  <c r="CV104" i="112"/>
  <c r="CV208" i="112" s="1"/>
  <c r="CU104" i="112"/>
  <c r="CU208" i="112" s="1"/>
  <c r="CT104" i="112"/>
  <c r="CT208" i="112" s="1"/>
  <c r="CS104" i="112"/>
  <c r="CS208" i="112" s="1"/>
  <c r="CR104" i="112"/>
  <c r="CR208" i="112" s="1"/>
  <c r="CQ104" i="112"/>
  <c r="CQ208" i="112" s="1"/>
  <c r="CP104" i="112"/>
  <c r="CP208" i="112" s="1"/>
  <c r="CO104" i="112"/>
  <c r="CO208" i="112" s="1"/>
  <c r="CN104" i="112"/>
  <c r="CN208" i="112" s="1"/>
  <c r="CM104" i="112"/>
  <c r="CM208" i="112" s="1"/>
  <c r="CL104" i="112"/>
  <c r="CL208" i="112" s="1"/>
  <c r="CK104" i="112"/>
  <c r="CK208" i="112" s="1"/>
  <c r="CJ104" i="112"/>
  <c r="CJ208" i="112" s="1"/>
  <c r="CI104" i="112"/>
  <c r="CI208" i="112" s="1"/>
  <c r="CH104" i="112"/>
  <c r="CH208" i="112" s="1"/>
  <c r="CG104" i="112"/>
  <c r="CG208" i="112" s="1"/>
  <c r="CF104" i="112"/>
  <c r="CF208" i="112" s="1"/>
  <c r="CE104" i="112"/>
  <c r="CE208" i="112" s="1"/>
  <c r="CD104" i="112"/>
  <c r="CD208" i="112" s="1"/>
  <c r="CC104" i="112"/>
  <c r="CC208" i="112" s="1"/>
  <c r="CB104" i="112"/>
  <c r="CB208" i="112" s="1"/>
  <c r="CA104" i="112"/>
  <c r="CA208" i="112" s="1"/>
  <c r="BZ104" i="112"/>
  <c r="BZ208" i="112" s="1"/>
  <c r="BY104" i="112"/>
  <c r="BY208" i="112" s="1"/>
  <c r="BX104" i="112"/>
  <c r="BX208" i="112" s="1"/>
  <c r="BW104" i="112"/>
  <c r="BW208" i="112" s="1"/>
  <c r="BV104" i="112"/>
  <c r="BV208" i="112" s="1"/>
  <c r="BU104" i="112"/>
  <c r="BU208" i="112" s="1"/>
  <c r="BT104" i="112"/>
  <c r="BT208" i="112" s="1"/>
  <c r="BS104" i="112"/>
  <c r="BS208" i="112" s="1"/>
  <c r="BR104" i="112"/>
  <c r="BR208" i="112" s="1"/>
  <c r="BQ104" i="112"/>
  <c r="BP104" i="112"/>
  <c r="BO104" i="112"/>
  <c r="BN104" i="112"/>
  <c r="BM104" i="112"/>
  <c r="BL104" i="112"/>
  <c r="BK104" i="112"/>
  <c r="BJ104" i="112"/>
  <c r="BI104" i="112"/>
  <c r="BH104" i="112"/>
  <c r="BG104" i="112"/>
  <c r="BF104" i="112"/>
  <c r="BE104" i="112"/>
  <c r="BD104" i="112"/>
  <c r="BC104" i="112"/>
  <c r="BB104" i="112"/>
  <c r="BA104" i="112"/>
  <c r="AZ104" i="112"/>
  <c r="BI103" i="112"/>
  <c r="BH103" i="112"/>
  <c r="BG103" i="112"/>
  <c r="BF103" i="112"/>
  <c r="BE103" i="112"/>
  <c r="BD103" i="112"/>
  <c r="BC103" i="112"/>
  <c r="BB103" i="112"/>
  <c r="BA103" i="112"/>
  <c r="AZ103" i="112"/>
  <c r="AY103" i="112"/>
  <c r="AX103" i="112"/>
  <c r="AW103" i="112"/>
  <c r="AV103" i="112"/>
  <c r="AU103" i="112"/>
  <c r="AT103" i="112"/>
  <c r="AS103" i="112"/>
  <c r="AR103" i="112"/>
  <c r="AQ103" i="112"/>
  <c r="AP103" i="112"/>
  <c r="AO103" i="112"/>
  <c r="AN103" i="112"/>
  <c r="AM103" i="112"/>
  <c r="AL103" i="112"/>
  <c r="AK103" i="112"/>
  <c r="AJ103" i="112"/>
  <c r="AI103" i="112"/>
  <c r="AH103" i="112"/>
  <c r="AG103" i="112"/>
  <c r="AF103" i="112"/>
  <c r="AE103" i="112"/>
  <c r="AD103" i="112"/>
  <c r="AC103" i="112"/>
  <c r="AB103" i="112"/>
  <c r="AA103" i="112"/>
  <c r="Z103" i="112"/>
  <c r="Y103" i="112"/>
  <c r="X103" i="112"/>
  <c r="W103" i="112"/>
  <c r="V103" i="112"/>
  <c r="U103" i="112"/>
  <c r="T103" i="112"/>
  <c r="S103" i="112"/>
  <c r="R103" i="112"/>
  <c r="Q103" i="112"/>
  <c r="P103" i="112"/>
  <c r="O103" i="112"/>
  <c r="N103" i="112"/>
  <c r="M103" i="112"/>
  <c r="L103" i="112"/>
  <c r="K103" i="112"/>
  <c r="J103" i="112"/>
  <c r="I103" i="112"/>
  <c r="H103" i="112"/>
  <c r="G103" i="112"/>
  <c r="F103" i="112"/>
  <c r="E103" i="112"/>
  <c r="D103" i="112"/>
  <c r="C103" i="112"/>
  <c r="B103" i="112"/>
  <c r="GU197" i="112"/>
  <c r="GT197" i="112"/>
  <c r="GS197" i="112"/>
  <c r="GR197" i="112"/>
  <c r="GQ197" i="112"/>
  <c r="GP197" i="112"/>
  <c r="GO197" i="112"/>
  <c r="GN197" i="112"/>
  <c r="GJ197" i="112"/>
  <c r="GI197" i="112"/>
  <c r="GH197" i="112"/>
  <c r="GG197" i="112"/>
  <c r="GF197" i="112"/>
  <c r="GE197" i="112"/>
  <c r="GD197" i="112"/>
  <c r="GC197" i="112"/>
  <c r="GB197" i="112"/>
  <c r="GA197" i="112"/>
  <c r="FI197" i="112"/>
  <c r="FH197" i="112"/>
  <c r="FG197" i="112"/>
  <c r="FF197" i="112"/>
  <c r="FE197" i="112"/>
  <c r="FD197" i="112"/>
  <c r="FC197" i="112"/>
  <c r="FB197" i="112"/>
  <c r="EY197" i="112"/>
  <c r="EX197" i="112"/>
  <c r="EW197" i="112"/>
  <c r="EV197" i="112"/>
  <c r="EU197" i="112"/>
  <c r="ET197" i="112"/>
  <c r="ES197" i="112"/>
  <c r="BH197" i="112"/>
  <c r="BH14" i="112" s="1"/>
  <c r="BG197" i="112"/>
  <c r="BG14" i="112" s="1"/>
  <c r="BF197" i="112"/>
  <c r="BF14" i="112" s="1"/>
  <c r="BD197" i="112"/>
  <c r="BD14" i="112" s="1"/>
  <c r="BC197" i="112"/>
  <c r="BC14" i="112" s="1"/>
  <c r="BB197" i="112"/>
  <c r="GK197" i="112" s="1"/>
  <c r="GU196" i="112"/>
  <c r="GT196" i="112"/>
  <c r="GS196" i="112"/>
  <c r="GR196" i="112"/>
  <c r="GQ196" i="112"/>
  <c r="GP196" i="112"/>
  <c r="GO196" i="112"/>
  <c r="GN196" i="112"/>
  <c r="GM196" i="112"/>
  <c r="GL196" i="112"/>
  <c r="GK196" i="112"/>
  <c r="GJ196" i="112"/>
  <c r="GI196" i="112"/>
  <c r="GH196" i="112"/>
  <c r="GG196" i="112"/>
  <c r="GF196" i="112"/>
  <c r="GE196" i="112"/>
  <c r="GD196" i="112"/>
  <c r="GC196" i="112"/>
  <c r="GB196" i="112"/>
  <c r="GA196" i="112"/>
  <c r="FI196" i="112"/>
  <c r="FH196" i="112"/>
  <c r="FG196" i="112"/>
  <c r="FF196" i="112"/>
  <c r="FE196" i="112"/>
  <c r="FD196" i="112"/>
  <c r="FC196" i="112"/>
  <c r="FB196" i="112"/>
  <c r="FA196" i="112"/>
  <c r="EZ196" i="112"/>
  <c r="EY196" i="112"/>
  <c r="EX196" i="112"/>
  <c r="EW196" i="112"/>
  <c r="EV196" i="112"/>
  <c r="EU196" i="112"/>
  <c r="ET196" i="112"/>
  <c r="ES196" i="112"/>
  <c r="ER196" i="112"/>
  <c r="EQ196" i="112"/>
  <c r="EP196" i="112"/>
  <c r="EO196" i="112"/>
  <c r="EN196" i="112"/>
  <c r="EM196" i="112"/>
  <c r="GU195" i="112"/>
  <c r="GT195" i="112"/>
  <c r="GS195" i="112"/>
  <c r="GR195" i="112"/>
  <c r="GQ195" i="112"/>
  <c r="GP195" i="112"/>
  <c r="GO195" i="112"/>
  <c r="GN195" i="112"/>
  <c r="GL195" i="112"/>
  <c r="GK195" i="112"/>
  <c r="GJ195" i="112"/>
  <c r="GI195" i="112"/>
  <c r="GH195" i="112"/>
  <c r="GG195" i="112"/>
  <c r="GF195" i="112"/>
  <c r="GE195" i="112"/>
  <c r="GD195" i="112"/>
  <c r="GC195" i="112"/>
  <c r="GB195" i="112"/>
  <c r="GA195" i="112"/>
  <c r="FI195" i="112"/>
  <c r="FH195" i="112"/>
  <c r="FG195" i="112"/>
  <c r="FF195" i="112"/>
  <c r="FE195" i="112"/>
  <c r="FD195" i="112"/>
  <c r="FC195" i="112"/>
  <c r="FB195" i="112"/>
  <c r="EZ195" i="112"/>
  <c r="EY195" i="112"/>
  <c r="EX195" i="112"/>
  <c r="EW195" i="112"/>
  <c r="EV195" i="112"/>
  <c r="EU195" i="112"/>
  <c r="ET195" i="112"/>
  <c r="ES195" i="112"/>
  <c r="ER195" i="112"/>
  <c r="EQ195" i="112"/>
  <c r="EP195" i="112"/>
  <c r="EO195" i="112"/>
  <c r="EN195" i="112"/>
  <c r="EM195" i="112"/>
  <c r="BI195" i="112"/>
  <c r="GM195" i="112" s="1"/>
  <c r="GU194" i="112"/>
  <c r="GT194" i="112"/>
  <c r="GS194" i="112"/>
  <c r="GR194" i="112"/>
  <c r="GQ194" i="112"/>
  <c r="GP194" i="112"/>
  <c r="GO194" i="112"/>
  <c r="GN194" i="112"/>
  <c r="GK194" i="112"/>
  <c r="GJ194" i="112"/>
  <c r="GI194" i="112"/>
  <c r="GH194" i="112"/>
  <c r="GG194" i="112"/>
  <c r="GF194" i="112"/>
  <c r="GE194" i="112"/>
  <c r="GD194" i="112"/>
  <c r="GC194" i="112"/>
  <c r="GB194" i="112"/>
  <c r="GA194" i="112"/>
  <c r="FI194" i="112"/>
  <c r="FH194" i="112"/>
  <c r="FG194" i="112"/>
  <c r="FF194" i="112"/>
  <c r="FE194" i="112"/>
  <c r="FD194" i="112"/>
  <c r="FC194" i="112"/>
  <c r="FB194" i="112"/>
  <c r="EY194" i="112"/>
  <c r="EX194" i="112"/>
  <c r="EW194" i="112"/>
  <c r="EV194" i="112"/>
  <c r="EU194" i="112"/>
  <c r="ET194" i="112"/>
  <c r="ES194" i="112"/>
  <c r="ER194" i="112"/>
  <c r="EQ194" i="112"/>
  <c r="EP194" i="112"/>
  <c r="EO194" i="112"/>
  <c r="EN194" i="112"/>
  <c r="EM194" i="112"/>
  <c r="BI194" i="112"/>
  <c r="GM194" i="112" s="1"/>
  <c r="BE194" i="112"/>
  <c r="GL194" i="112" s="1"/>
  <c r="BI193" i="112"/>
  <c r="BH193" i="112"/>
  <c r="BG193" i="112"/>
  <c r="BF193" i="112"/>
  <c r="BE193" i="112"/>
  <c r="BD193" i="112"/>
  <c r="BC193" i="112"/>
  <c r="BB193" i="112"/>
  <c r="BA193" i="112"/>
  <c r="AZ193" i="112"/>
  <c r="AY193" i="112"/>
  <c r="AX193" i="112"/>
  <c r="AW193" i="112"/>
  <c r="AV193" i="112"/>
  <c r="AU193" i="112"/>
  <c r="AT193" i="112"/>
  <c r="AS193" i="112"/>
  <c r="AR193" i="112"/>
  <c r="AQ193" i="112"/>
  <c r="AP193" i="112"/>
  <c r="AO193" i="112"/>
  <c r="AN193" i="112"/>
  <c r="AM193" i="112"/>
  <c r="AL193" i="112"/>
  <c r="AK193" i="112"/>
  <c r="AJ193" i="112"/>
  <c r="AI193" i="112"/>
  <c r="AH193" i="112"/>
  <c r="AG193" i="112"/>
  <c r="AF193" i="112"/>
  <c r="AE193" i="112"/>
  <c r="AD193" i="112"/>
  <c r="AC193" i="112"/>
  <c r="AB193" i="112"/>
  <c r="AA193" i="112"/>
  <c r="Z193" i="112"/>
  <c r="Y193" i="112"/>
  <c r="X193" i="112"/>
  <c r="W193" i="112"/>
  <c r="V193" i="112"/>
  <c r="U193" i="112"/>
  <c r="T193" i="112"/>
  <c r="S193" i="112"/>
  <c r="R193" i="112"/>
  <c r="Q193" i="112"/>
  <c r="P193" i="112"/>
  <c r="O193" i="112"/>
  <c r="N193" i="112"/>
  <c r="M193" i="112"/>
  <c r="L193" i="112"/>
  <c r="K193" i="112"/>
  <c r="J193" i="112"/>
  <c r="I193" i="112"/>
  <c r="H193" i="112"/>
  <c r="G193" i="112"/>
  <c r="F193" i="112"/>
  <c r="E193" i="112"/>
  <c r="D193" i="112"/>
  <c r="C193" i="112"/>
  <c r="B193" i="112"/>
  <c r="CA40" i="112"/>
  <c r="BZ40" i="112"/>
  <c r="BY40" i="112"/>
  <c r="BX40" i="112"/>
  <c r="BW40" i="112"/>
  <c r="BV40" i="112"/>
  <c r="BU40" i="112"/>
  <c r="BT40" i="112"/>
  <c r="BS40" i="112"/>
  <c r="BR40" i="112"/>
  <c r="BQ40" i="112"/>
  <c r="BP40" i="112"/>
  <c r="BO40" i="112"/>
  <c r="BN40" i="112"/>
  <c r="BM40" i="112"/>
  <c r="BL40" i="112"/>
  <c r="BK40" i="112"/>
  <c r="BJ40" i="112"/>
  <c r="BI40" i="112"/>
  <c r="BH40" i="112"/>
  <c r="BG40" i="112"/>
  <c r="BF40" i="112"/>
  <c r="BE40" i="112"/>
  <c r="BD40" i="112"/>
  <c r="BC40" i="112"/>
  <c r="BB40" i="112"/>
  <c r="BA40" i="112"/>
  <c r="AZ40" i="112"/>
  <c r="AY40" i="112"/>
  <c r="AX40" i="112"/>
  <c r="AW40" i="112"/>
  <c r="AV40" i="112"/>
  <c r="AU40" i="112"/>
  <c r="AT40" i="112"/>
  <c r="BT38" i="112"/>
  <c r="BS38" i="112"/>
  <c r="BP38" i="112"/>
  <c r="BH38" i="112"/>
  <c r="BG38" i="112"/>
  <c r="BD38" i="112"/>
  <c r="BC38" i="112"/>
  <c r="CA37" i="112"/>
  <c r="BZ37" i="112"/>
  <c r="BY37" i="112"/>
  <c r="BX37" i="112"/>
  <c r="BW37" i="112"/>
  <c r="BV37" i="112"/>
  <c r="BU37" i="112"/>
  <c r="BT37" i="112"/>
  <c r="BS37" i="112"/>
  <c r="BR37" i="112"/>
  <c r="BQ37" i="112"/>
  <c r="BP37" i="112"/>
  <c r="BO37" i="112"/>
  <c r="BN37" i="112"/>
  <c r="BM37" i="112"/>
  <c r="BL37" i="112"/>
  <c r="BK37" i="112"/>
  <c r="BJ37" i="112"/>
  <c r="BI37" i="112"/>
  <c r="BH37" i="112"/>
  <c r="BG37" i="112"/>
  <c r="BF37" i="112"/>
  <c r="BE37" i="112"/>
  <c r="BD37" i="112"/>
  <c r="BC37" i="112"/>
  <c r="DD36" i="112"/>
  <c r="DC36" i="112"/>
  <c r="DB36" i="112"/>
  <c r="DA36" i="112"/>
  <c r="CZ36" i="112"/>
  <c r="CY36" i="112"/>
  <c r="CX36" i="112"/>
  <c r="CW36" i="112"/>
  <c r="CV36" i="112"/>
  <c r="CU36" i="112"/>
  <c r="CT36" i="112"/>
  <c r="CS36" i="112"/>
  <c r="CR36" i="112"/>
  <c r="CQ36" i="112"/>
  <c r="CP36" i="112"/>
  <c r="CO36" i="112"/>
  <c r="CN36" i="112"/>
  <c r="CM36" i="112"/>
  <c r="DD34" i="112"/>
  <c r="DC34" i="112"/>
  <c r="DB34" i="112"/>
  <c r="DA34" i="112"/>
  <c r="CZ34" i="112"/>
  <c r="CY34" i="112"/>
  <c r="CX34" i="112"/>
  <c r="CV34" i="112"/>
  <c r="CU34" i="112"/>
  <c r="CT34" i="112"/>
  <c r="CS34" i="112"/>
  <c r="CR34" i="112"/>
  <c r="CQ34" i="112"/>
  <c r="CP34" i="112"/>
  <c r="CO34" i="112"/>
  <c r="CN34" i="112"/>
  <c r="CM34" i="112"/>
  <c r="DD35" i="112"/>
  <c r="DC35" i="112"/>
  <c r="DB35" i="112"/>
  <c r="DA35" i="112"/>
  <c r="CZ35" i="112"/>
  <c r="CY35" i="112"/>
  <c r="CX35" i="112"/>
  <c r="CW35" i="112"/>
  <c r="CV35" i="112"/>
  <c r="CU35" i="112"/>
  <c r="CT35" i="112"/>
  <c r="CS35" i="112"/>
  <c r="CR35" i="112"/>
  <c r="CQ35" i="112"/>
  <c r="CP35" i="112"/>
  <c r="CO35" i="112"/>
  <c r="CN35" i="112"/>
  <c r="CM35" i="112"/>
  <c r="BG35" i="112"/>
  <c r="BF35" i="112"/>
  <c r="BE35" i="112"/>
  <c r="BD35" i="112"/>
  <c r="DD33" i="112"/>
  <c r="DC33" i="112"/>
  <c r="DB33" i="112"/>
  <c r="DA33" i="112"/>
  <c r="CZ33" i="112"/>
  <c r="CY33" i="112"/>
  <c r="CX33" i="112"/>
  <c r="CW33" i="112"/>
  <c r="CV33" i="112"/>
  <c r="CU33" i="112"/>
  <c r="CT33" i="112"/>
  <c r="CS33" i="112"/>
  <c r="CR33" i="112"/>
  <c r="CQ33" i="112"/>
  <c r="CP33" i="112"/>
  <c r="CO33" i="112"/>
  <c r="CN33" i="112"/>
  <c r="CM33" i="112"/>
  <c r="BI32" i="112"/>
  <c r="BH32" i="112"/>
  <c r="BG32" i="112"/>
  <c r="BF32" i="112"/>
  <c r="BE32" i="112"/>
  <c r="BD32" i="112"/>
  <c r="BC32" i="112"/>
  <c r="BB32" i="112"/>
  <c r="BA32" i="112"/>
  <c r="AZ32" i="112"/>
  <c r="AY32" i="112"/>
  <c r="AX32" i="112"/>
  <c r="AW32" i="112"/>
  <c r="AV32" i="112"/>
  <c r="AU32" i="112"/>
  <c r="AT32" i="112"/>
  <c r="AS32" i="112"/>
  <c r="AR32" i="112"/>
  <c r="AQ32" i="112"/>
  <c r="AP32" i="112"/>
  <c r="AO32" i="112"/>
  <c r="AN32" i="112"/>
  <c r="AM32" i="112"/>
  <c r="AL32" i="112"/>
  <c r="AK32" i="112"/>
  <c r="AJ32" i="112"/>
  <c r="AI32" i="112"/>
  <c r="AH32" i="112"/>
  <c r="AG32" i="112"/>
  <c r="AF32" i="112"/>
  <c r="AE32" i="112"/>
  <c r="AD32" i="112"/>
  <c r="AC32" i="112"/>
  <c r="AB32" i="112"/>
  <c r="AA32" i="112"/>
  <c r="Z32" i="112"/>
  <c r="Y32" i="112"/>
  <c r="X32" i="112"/>
  <c r="W32" i="112"/>
  <c r="V32" i="112"/>
  <c r="U32" i="112"/>
  <c r="T32" i="112"/>
  <c r="S32" i="112"/>
  <c r="R32" i="112"/>
  <c r="Q32" i="112"/>
  <c r="P32" i="112"/>
  <c r="O32" i="112"/>
  <c r="N32" i="112"/>
  <c r="M32" i="112"/>
  <c r="L32" i="112"/>
  <c r="K32" i="112"/>
  <c r="J32" i="112"/>
  <c r="I32" i="112"/>
  <c r="H32" i="112"/>
  <c r="G32" i="112"/>
  <c r="F32" i="112"/>
  <c r="E32" i="112"/>
  <c r="D32" i="112"/>
  <c r="C32" i="112"/>
  <c r="B32" i="112"/>
  <c r="CA29" i="112"/>
  <c r="BZ29" i="112"/>
  <c r="BY29" i="112"/>
  <c r="BX29" i="112"/>
  <c r="BW29" i="112"/>
  <c r="BV29" i="112"/>
  <c r="BU29" i="112"/>
  <c r="BT29" i="112"/>
  <c r="BS29" i="112"/>
  <c r="BR29" i="112"/>
  <c r="BQ29" i="112"/>
  <c r="BP29" i="112"/>
  <c r="BO29" i="112"/>
  <c r="BN29" i="112"/>
  <c r="BM29" i="112"/>
  <c r="BL29" i="112"/>
  <c r="BK29" i="112"/>
  <c r="BJ29" i="112"/>
  <c r="BI29" i="112"/>
  <c r="BH29" i="112"/>
  <c r="BG29" i="112"/>
  <c r="BF29" i="112"/>
  <c r="BE29" i="112"/>
  <c r="BD29" i="112"/>
  <c r="BC29" i="112"/>
  <c r="BB29" i="112"/>
  <c r="BA29" i="112"/>
  <c r="AZ29" i="112"/>
  <c r="AY29" i="112"/>
  <c r="AX29" i="112"/>
  <c r="AW29" i="112"/>
  <c r="AV29" i="112"/>
  <c r="AU29" i="112"/>
  <c r="AT29" i="112"/>
  <c r="BT27" i="112"/>
  <c r="BS27" i="112"/>
  <c r="DD25" i="112"/>
  <c r="DC25" i="112"/>
  <c r="DB25" i="112"/>
  <c r="DA25" i="112"/>
  <c r="CZ25" i="112"/>
  <c r="CY25" i="112"/>
  <c r="CX25" i="112"/>
  <c r="CW25" i="112"/>
  <c r="CV25" i="112"/>
  <c r="CU25" i="112"/>
  <c r="CT25" i="112"/>
  <c r="CS25" i="112"/>
  <c r="CR25" i="112"/>
  <c r="CQ25" i="112"/>
  <c r="CP25" i="112"/>
  <c r="DD23" i="112"/>
  <c r="DC23" i="112"/>
  <c r="DB23" i="112"/>
  <c r="DA23" i="112"/>
  <c r="CZ23" i="112"/>
  <c r="CY23" i="112"/>
  <c r="CX23" i="112"/>
  <c r="CW23" i="112"/>
  <c r="CV23" i="112"/>
  <c r="CU23" i="112"/>
  <c r="CT23" i="112"/>
  <c r="CS23" i="112"/>
  <c r="CR23" i="112"/>
  <c r="CQ23" i="112"/>
  <c r="CP23" i="112"/>
  <c r="DD24" i="112"/>
  <c r="DC24" i="112"/>
  <c r="DB24" i="112"/>
  <c r="DA24" i="112"/>
  <c r="CZ24" i="112"/>
  <c r="CY24" i="112"/>
  <c r="CX24" i="112"/>
  <c r="CW24" i="112"/>
  <c r="CV24" i="112"/>
  <c r="CU24" i="112"/>
  <c r="CT24" i="112"/>
  <c r="CS24" i="112"/>
  <c r="CR24" i="112"/>
  <c r="CQ24" i="112"/>
  <c r="CP24" i="112"/>
  <c r="DD22" i="112"/>
  <c r="DC22" i="112"/>
  <c r="DB22" i="112"/>
  <c r="DA22" i="112"/>
  <c r="CZ22" i="112"/>
  <c r="CY22" i="112"/>
  <c r="CX22" i="112"/>
  <c r="CW22" i="112"/>
  <c r="CV22" i="112"/>
  <c r="CU22" i="112"/>
  <c r="CT22" i="112"/>
  <c r="CS22" i="112"/>
  <c r="CR22" i="112"/>
  <c r="CQ22" i="112"/>
  <c r="CP22" i="112"/>
  <c r="BI21" i="112"/>
  <c r="BH21" i="112"/>
  <c r="BG21" i="112"/>
  <c r="BF21" i="112"/>
  <c r="BE21" i="112"/>
  <c r="BD21" i="112"/>
  <c r="BC21" i="112"/>
  <c r="BB21" i="112"/>
  <c r="BA21" i="112"/>
  <c r="AZ21" i="112"/>
  <c r="AY21" i="112"/>
  <c r="AX21" i="112"/>
  <c r="AW21" i="112"/>
  <c r="AV21" i="112"/>
  <c r="AU21" i="112"/>
  <c r="AT21" i="112"/>
  <c r="AS21" i="112"/>
  <c r="AR21" i="112"/>
  <c r="AQ21" i="112"/>
  <c r="AP21" i="112"/>
  <c r="AO21" i="112"/>
  <c r="AN21" i="112"/>
  <c r="AM21" i="112"/>
  <c r="AL21" i="112"/>
  <c r="AK21" i="112"/>
  <c r="AJ21" i="112"/>
  <c r="AI21" i="112"/>
  <c r="AH21" i="112"/>
  <c r="AG21" i="112"/>
  <c r="AF21" i="112"/>
  <c r="AE21" i="112"/>
  <c r="AD21" i="112"/>
  <c r="AC21" i="112"/>
  <c r="AB21" i="112"/>
  <c r="AA21" i="112"/>
  <c r="Z21" i="112"/>
  <c r="Y21" i="112"/>
  <c r="X21" i="112"/>
  <c r="W21" i="112"/>
  <c r="V21" i="112"/>
  <c r="U21" i="112"/>
  <c r="T21" i="112"/>
  <c r="S21" i="112"/>
  <c r="R21" i="112"/>
  <c r="Q21" i="112"/>
  <c r="P21" i="112"/>
  <c r="O21" i="112"/>
  <c r="N21" i="112"/>
  <c r="M21" i="112"/>
  <c r="L21" i="112"/>
  <c r="K21" i="112"/>
  <c r="J21" i="112"/>
  <c r="I21" i="112"/>
  <c r="H21" i="112"/>
  <c r="G21" i="112"/>
  <c r="F21" i="112"/>
  <c r="E21" i="112"/>
  <c r="D21" i="112"/>
  <c r="C21" i="112"/>
  <c r="B21" i="112"/>
  <c r="DD19" i="112"/>
  <c r="DC19" i="112"/>
  <c r="DB19" i="112"/>
  <c r="DA19" i="112"/>
  <c r="CZ19" i="112"/>
  <c r="CY19" i="112"/>
  <c r="CX19" i="112"/>
  <c r="CW19" i="112"/>
  <c r="CV19" i="112"/>
  <c r="CU19" i="112"/>
  <c r="CT19" i="112"/>
  <c r="CS19" i="112"/>
  <c r="CR19" i="112"/>
  <c r="CQ19" i="112"/>
  <c r="CP19" i="112"/>
  <c r="CO19" i="112"/>
  <c r="CN19" i="112"/>
  <c r="CM19" i="112"/>
  <c r="CL19" i="112"/>
  <c r="GQ18" i="112"/>
  <c r="GP18" i="112"/>
  <c r="GO18" i="112"/>
  <c r="GN18" i="112"/>
  <c r="GM18" i="112"/>
  <c r="GL18" i="112"/>
  <c r="GK18" i="112"/>
  <c r="GJ18" i="112"/>
  <c r="GI18" i="112"/>
  <c r="GH18" i="112"/>
  <c r="GG18" i="112"/>
  <c r="GF18" i="112"/>
  <c r="GE18" i="112"/>
  <c r="GD18" i="112"/>
  <c r="FE18" i="112"/>
  <c r="FD18" i="112"/>
  <c r="FC18" i="112"/>
  <c r="FB18" i="112"/>
  <c r="FA18" i="112"/>
  <c r="EZ18" i="112"/>
  <c r="EY18" i="112"/>
  <c r="EX18" i="112"/>
  <c r="EW18" i="112"/>
  <c r="EV18" i="112"/>
  <c r="EU18" i="112"/>
  <c r="ET18" i="112"/>
  <c r="ES18" i="112"/>
  <c r="BU16" i="112"/>
  <c r="BQ16" i="112"/>
  <c r="BN16" i="112"/>
  <c r="BM16" i="112"/>
  <c r="BL16" i="112"/>
  <c r="BP27" i="112" s="1"/>
  <c r="BK16" i="112"/>
  <c r="BO27" i="112" s="1"/>
  <c r="BJ16" i="112"/>
  <c r="BI16" i="112"/>
  <c r="BE16" i="112"/>
  <c r="BF38" i="112" s="1"/>
  <c r="GQ15" i="112"/>
  <c r="GP15" i="112"/>
  <c r="GO15" i="112"/>
  <c r="GN15" i="112"/>
  <c r="GM15" i="112"/>
  <c r="GL15" i="112"/>
  <c r="GK15" i="112"/>
  <c r="GJ15" i="112"/>
  <c r="GI15" i="112"/>
  <c r="GH15" i="112"/>
  <c r="GG15" i="112"/>
  <c r="GF15" i="112"/>
  <c r="GE15" i="112"/>
  <c r="GD15" i="112"/>
  <c r="CG15" i="112"/>
  <c r="CF15" i="112"/>
  <c r="CE15" i="112"/>
  <c r="CD15" i="112"/>
  <c r="CC15" i="112"/>
  <c r="CB15" i="112"/>
  <c r="CB37" i="112" s="1"/>
  <c r="GX14" i="112"/>
  <c r="GW14" i="112"/>
  <c r="GV14" i="112"/>
  <c r="GU14" i="112"/>
  <c r="GC14" i="112"/>
  <c r="GB14" i="112"/>
  <c r="GA14" i="112"/>
  <c r="FZ14" i="112"/>
  <c r="FL14" i="112"/>
  <c r="FL108" i="113" s="1"/>
  <c r="FK14" i="112"/>
  <c r="FJ14" i="112"/>
  <c r="FJ108" i="113" s="1"/>
  <c r="FI14" i="112"/>
  <c r="FI108" i="113" s="1"/>
  <c r="FH14" i="112"/>
  <c r="CK14" i="112"/>
  <c r="CK101" i="113" s="1"/>
  <c r="CJ14" i="112"/>
  <c r="CI14" i="112"/>
  <c r="CH14" i="112"/>
  <c r="BU14" i="112"/>
  <c r="BT14" i="112"/>
  <c r="BS14" i="112"/>
  <c r="BR14" i="112"/>
  <c r="BQ14" i="112"/>
  <c r="BP14" i="112"/>
  <c r="BO14" i="112"/>
  <c r="BN14" i="112"/>
  <c r="BM14" i="112"/>
  <c r="BL14" i="112"/>
  <c r="BK14" i="112"/>
  <c r="BJ14" i="112"/>
  <c r="BA14" i="112"/>
  <c r="AZ14" i="112"/>
  <c r="AY14" i="112"/>
  <c r="AX14" i="112"/>
  <c r="AW14" i="112"/>
  <c r="AV14" i="112"/>
  <c r="AU14" i="112"/>
  <c r="AT14" i="112"/>
  <c r="AS14" i="112"/>
  <c r="AR14" i="112"/>
  <c r="AQ14" i="112"/>
  <c r="AP14" i="112"/>
  <c r="AO14" i="112"/>
  <c r="AN14" i="112"/>
  <c r="AM14" i="112"/>
  <c r="AL14" i="112"/>
  <c r="AK14" i="112"/>
  <c r="AJ14" i="112"/>
  <c r="AI14" i="112"/>
  <c r="AH14" i="112"/>
  <c r="AG14" i="112"/>
  <c r="AF14" i="112"/>
  <c r="AE14" i="112"/>
  <c r="AD14" i="112"/>
  <c r="AC14" i="112"/>
  <c r="AB14" i="112"/>
  <c r="AA14" i="112"/>
  <c r="Z14" i="112"/>
  <c r="GD14" i="112" s="1"/>
  <c r="GX12" i="112"/>
  <c r="GW12" i="112"/>
  <c r="GV12" i="112"/>
  <c r="GU12" i="112"/>
  <c r="FL12" i="112"/>
  <c r="FL107" i="113" s="1"/>
  <c r="FK12" i="112"/>
  <c r="FK107" i="113" s="1"/>
  <c r="FJ12" i="112"/>
  <c r="FJ107" i="113" s="1"/>
  <c r="FI12" i="112"/>
  <c r="FI107" i="113" s="1"/>
  <c r="FH12" i="112"/>
  <c r="CK12" i="112"/>
  <c r="CK100" i="113" s="1"/>
  <c r="CJ12" i="112"/>
  <c r="CI12" i="112"/>
  <c r="CH12" i="112"/>
  <c r="BU12" i="112"/>
  <c r="BT12" i="112"/>
  <c r="BS12" i="112"/>
  <c r="BR12" i="112"/>
  <c r="BQ12" i="112"/>
  <c r="BP12" i="112"/>
  <c r="BO12" i="112"/>
  <c r="BN12" i="112"/>
  <c r="BM12" i="112"/>
  <c r="BL12" i="112"/>
  <c r="BK12" i="112"/>
  <c r="BJ12" i="112"/>
  <c r="BI12" i="112"/>
  <c r="BH12" i="112"/>
  <c r="BG12" i="112"/>
  <c r="BF12" i="112"/>
  <c r="BE12" i="112"/>
  <c r="BD12" i="112"/>
  <c r="BC12" i="112"/>
  <c r="BB12" i="112"/>
  <c r="BA12" i="112"/>
  <c r="AZ12" i="112"/>
  <c r="AY12" i="112"/>
  <c r="AX12" i="112"/>
  <c r="AW12" i="112"/>
  <c r="AV12" i="112"/>
  <c r="AU12" i="112"/>
  <c r="AT12" i="112"/>
  <c r="AS12" i="112"/>
  <c r="AR12" i="112"/>
  <c r="AQ12" i="112"/>
  <c r="AP12" i="112"/>
  <c r="AO12" i="112"/>
  <c r="AN12" i="112"/>
  <c r="AM12" i="112"/>
  <c r="AL12" i="112"/>
  <c r="AK12" i="112"/>
  <c r="AJ12" i="112"/>
  <c r="AI12" i="112"/>
  <c r="AH12" i="112"/>
  <c r="AG12" i="112"/>
  <c r="AF12" i="112"/>
  <c r="AE12" i="112"/>
  <c r="AD12" i="112"/>
  <c r="AC12" i="112"/>
  <c r="AB12" i="112"/>
  <c r="AA12" i="112"/>
  <c r="Z12" i="112"/>
  <c r="GX13" i="112"/>
  <c r="GW13" i="112"/>
  <c r="GV13" i="112"/>
  <c r="GU13" i="112"/>
  <c r="GL13" i="112"/>
  <c r="GK13" i="112"/>
  <c r="GJ13" i="112"/>
  <c r="GI13" i="112"/>
  <c r="GH13" i="112"/>
  <c r="GG13" i="112"/>
  <c r="GF13" i="112"/>
  <c r="GE13" i="112"/>
  <c r="GD13" i="112"/>
  <c r="GC13" i="112"/>
  <c r="GB13" i="112"/>
  <c r="GA13" i="112"/>
  <c r="FZ13" i="112"/>
  <c r="FL13" i="112"/>
  <c r="FL106" i="113" s="1"/>
  <c r="FK13" i="112"/>
  <c r="FK106" i="113" s="1"/>
  <c r="FJ13" i="112"/>
  <c r="FJ106" i="113" s="1"/>
  <c r="FI13" i="112"/>
  <c r="FI106" i="113" s="1"/>
  <c r="FH13" i="112"/>
  <c r="FH158" i="112" s="1"/>
  <c r="EZ13" i="112"/>
  <c r="EY13" i="112"/>
  <c r="EX13" i="112"/>
  <c r="EW13" i="112"/>
  <c r="EV13" i="112"/>
  <c r="EU13" i="112"/>
  <c r="ET13" i="112"/>
  <c r="ES13" i="112"/>
  <c r="ER13" i="112"/>
  <c r="EQ13" i="112"/>
  <c r="EP13" i="112"/>
  <c r="EO13" i="112"/>
  <c r="CK13" i="112"/>
  <c r="CK48" i="112" s="1"/>
  <c r="CJ13" i="112"/>
  <c r="CI13" i="112"/>
  <c r="CH13" i="112"/>
  <c r="BU13" i="112"/>
  <c r="BT13" i="112"/>
  <c r="BS13" i="112"/>
  <c r="BR13" i="112"/>
  <c r="BQ13" i="112"/>
  <c r="BP13" i="112"/>
  <c r="BO13" i="112"/>
  <c r="BN13" i="112"/>
  <c r="BM13" i="112"/>
  <c r="BL13" i="112"/>
  <c r="BK13" i="112"/>
  <c r="BJ13" i="112"/>
  <c r="BH13" i="112"/>
  <c r="BH35" i="112" s="1"/>
  <c r="GX11" i="112"/>
  <c r="GW11" i="112"/>
  <c r="GV11" i="112"/>
  <c r="GU11" i="112"/>
  <c r="GJ11" i="112"/>
  <c r="GI11" i="112"/>
  <c r="GH11" i="112"/>
  <c r="GG11" i="112"/>
  <c r="GF11" i="112"/>
  <c r="GE11" i="112"/>
  <c r="GD11" i="112"/>
  <c r="GC11" i="112"/>
  <c r="GB11" i="112"/>
  <c r="GA11" i="112"/>
  <c r="FZ11" i="112"/>
  <c r="FL11" i="112"/>
  <c r="FL105" i="113" s="1"/>
  <c r="FK11" i="112"/>
  <c r="FK105" i="113" s="1"/>
  <c r="FJ11" i="112"/>
  <c r="FJ105" i="113" s="1"/>
  <c r="FI11" i="112"/>
  <c r="FI105" i="113" s="1"/>
  <c r="FH11" i="112"/>
  <c r="EY11" i="112"/>
  <c r="EX11" i="112"/>
  <c r="EW11" i="112"/>
  <c r="EV11" i="112"/>
  <c r="EU11" i="112"/>
  <c r="ET11" i="112"/>
  <c r="ES11" i="112"/>
  <c r="ER11" i="112"/>
  <c r="EQ11" i="112"/>
  <c r="EP11" i="112"/>
  <c r="EO11" i="112"/>
  <c r="CK11" i="112"/>
  <c r="CJ11" i="112"/>
  <c r="CI11" i="112"/>
  <c r="CI69" i="112" s="1"/>
  <c r="CH11" i="112"/>
  <c r="CH69" i="112" s="1"/>
  <c r="GS69" i="112" s="1"/>
  <c r="BU11" i="112"/>
  <c r="BT11" i="112"/>
  <c r="BS11" i="112"/>
  <c r="BR11" i="112"/>
  <c r="BQ11" i="112"/>
  <c r="BP11" i="112"/>
  <c r="BO11" i="112"/>
  <c r="BN11" i="112"/>
  <c r="BM11" i="112"/>
  <c r="BL11" i="112"/>
  <c r="BK11" i="112"/>
  <c r="BJ11" i="112"/>
  <c r="BH11" i="112"/>
  <c r="BG11" i="112"/>
  <c r="BF11" i="112"/>
  <c r="BD11" i="112"/>
  <c r="BC11" i="112"/>
  <c r="BB11" i="112"/>
  <c r="BI10" i="112"/>
  <c r="BH10" i="112"/>
  <c r="BG10" i="112"/>
  <c r="BF10" i="112"/>
  <c r="BE10" i="112"/>
  <c r="BD10" i="112"/>
  <c r="BC10" i="112"/>
  <c r="BB10" i="112"/>
  <c r="BA10" i="112"/>
  <c r="AZ10" i="112"/>
  <c r="AY10" i="112"/>
  <c r="AX10" i="112"/>
  <c r="AW10" i="112"/>
  <c r="AV10" i="112"/>
  <c r="AU10" i="112"/>
  <c r="AT10" i="112"/>
  <c r="AS10" i="112"/>
  <c r="AR10" i="112"/>
  <c r="AQ10" i="112"/>
  <c r="AP10" i="112"/>
  <c r="AO10" i="112"/>
  <c r="AN10" i="112"/>
  <c r="AM10" i="112"/>
  <c r="AL10" i="112"/>
  <c r="AK10" i="112"/>
  <c r="AJ10" i="112"/>
  <c r="AI10" i="112"/>
  <c r="AH10" i="112"/>
  <c r="AG10" i="112"/>
  <c r="AF10" i="112"/>
  <c r="AE10" i="112"/>
  <c r="AD10" i="112"/>
  <c r="AC10" i="112"/>
  <c r="AB10" i="112"/>
  <c r="AA10" i="112"/>
  <c r="Z10" i="112"/>
  <c r="Y10" i="112"/>
  <c r="X10" i="112"/>
  <c r="W10" i="112"/>
  <c r="V10" i="112"/>
  <c r="U10" i="112"/>
  <c r="T10" i="112"/>
  <c r="S10" i="112"/>
  <c r="R10" i="112"/>
  <c r="Q10" i="112"/>
  <c r="P10" i="112"/>
  <c r="O10" i="112"/>
  <c r="N10" i="112"/>
  <c r="M10" i="112"/>
  <c r="L10" i="112"/>
  <c r="K10" i="112"/>
  <c r="J10" i="112"/>
  <c r="I10" i="112"/>
  <c r="H10" i="112"/>
  <c r="G10" i="112"/>
  <c r="F10" i="112"/>
  <c r="E10" i="112"/>
  <c r="D10" i="112"/>
  <c r="C10" i="112"/>
  <c r="B10" i="112"/>
  <c r="CA160" i="112"/>
  <c r="CE160" i="112" s="1"/>
  <c r="BY160" i="112"/>
  <c r="BX160" i="112"/>
  <c r="CB160" i="112" s="1"/>
  <c r="CF160" i="112" s="1"/>
  <c r="BW160" i="112"/>
  <c r="BV160" i="112"/>
  <c r="BU160" i="112"/>
  <c r="BT160" i="112"/>
  <c r="BS160" i="112"/>
  <c r="BR160" i="112"/>
  <c r="BQ160" i="112"/>
  <c r="BP160" i="112"/>
  <c r="BO160" i="112"/>
  <c r="BN160" i="112"/>
  <c r="BM160" i="112"/>
  <c r="BL160" i="112"/>
  <c r="BK160" i="112"/>
  <c r="BJ160" i="112"/>
  <c r="BI160" i="112"/>
  <c r="BH160" i="112"/>
  <c r="BG160" i="112"/>
  <c r="BF160" i="112"/>
  <c r="BE160" i="112"/>
  <c r="BD160" i="112"/>
  <c r="BC160" i="112"/>
  <c r="BB160" i="112"/>
  <c r="BA160" i="112"/>
  <c r="AZ160" i="112"/>
  <c r="AY160" i="112"/>
  <c r="AX160" i="112"/>
  <c r="AW160" i="112"/>
  <c r="AV160" i="112"/>
  <c r="AU160" i="112"/>
  <c r="AT160" i="112"/>
  <c r="AS160" i="112"/>
  <c r="AR160" i="112"/>
  <c r="AQ160" i="112"/>
  <c r="AP160" i="112"/>
  <c r="AO160" i="112"/>
  <c r="AN160" i="112"/>
  <c r="AM160" i="112"/>
  <c r="AL160" i="112"/>
  <c r="AK160" i="112"/>
  <c r="AJ160" i="112"/>
  <c r="AI160" i="112"/>
  <c r="AH160" i="112"/>
  <c r="AG160" i="112"/>
  <c r="AF160" i="112"/>
  <c r="AE160" i="112"/>
  <c r="AD160" i="112"/>
  <c r="AC160" i="112"/>
  <c r="AB160" i="112"/>
  <c r="AA160" i="112"/>
  <c r="Z160" i="112"/>
  <c r="DA152" i="112"/>
  <c r="DE164" i="112" s="1"/>
  <c r="CY152" i="112"/>
  <c r="CX152" i="112"/>
  <c r="CW152" i="112"/>
  <c r="CV152" i="112"/>
  <c r="CU152" i="112"/>
  <c r="CT152" i="112"/>
  <c r="CS152" i="112"/>
  <c r="CR152" i="112"/>
  <c r="CQ152" i="112"/>
  <c r="CP152" i="112"/>
  <c r="CO152" i="112"/>
  <c r="CN152" i="112"/>
  <c r="CM152" i="112"/>
  <c r="CL152" i="112"/>
  <c r="CK152" i="112"/>
  <c r="CJ152" i="112"/>
  <c r="CI152" i="112"/>
  <c r="CH152" i="112"/>
  <c r="CG152" i="112"/>
  <c r="CF152" i="112"/>
  <c r="CE152" i="112"/>
  <c r="CD152" i="112"/>
  <c r="CC152" i="112"/>
  <c r="CB152" i="112"/>
  <c r="CA152" i="112"/>
  <c r="BZ152" i="112"/>
  <c r="BY152" i="112"/>
  <c r="BX152" i="112"/>
  <c r="BW152" i="112"/>
  <c r="BV152" i="112"/>
  <c r="BU152" i="112"/>
  <c r="BT152" i="112"/>
  <c r="BS152" i="112"/>
  <c r="BR152" i="112"/>
  <c r="BQ152" i="112"/>
  <c r="BP152" i="112"/>
  <c r="BO152" i="112"/>
  <c r="BN152" i="112"/>
  <c r="BM152" i="112"/>
  <c r="BL152" i="112"/>
  <c r="BK152" i="112"/>
  <c r="BJ152" i="112"/>
  <c r="BI152" i="112"/>
  <c r="BH152" i="112"/>
  <c r="BG152" i="112"/>
  <c r="BF152" i="112"/>
  <c r="BE152" i="112"/>
  <c r="BD152" i="112"/>
  <c r="BC152" i="112"/>
  <c r="BB152" i="112"/>
  <c r="BA152" i="112"/>
  <c r="AZ152" i="112"/>
  <c r="AY152" i="112"/>
  <c r="AX152" i="112"/>
  <c r="AW152" i="112"/>
  <c r="AV152" i="112"/>
  <c r="AU152" i="112"/>
  <c r="AT152" i="112"/>
  <c r="AS152" i="112"/>
  <c r="AR152" i="112"/>
  <c r="AQ152" i="112"/>
  <c r="AP152" i="112"/>
  <c r="AO152" i="112"/>
  <c r="AN152" i="112"/>
  <c r="AM152" i="112"/>
  <c r="AL152" i="112"/>
  <c r="AK152" i="112"/>
  <c r="AJ152" i="112"/>
  <c r="AI152" i="112"/>
  <c r="AH152" i="112"/>
  <c r="AG152" i="112"/>
  <c r="AF152" i="112"/>
  <c r="AE152" i="112"/>
  <c r="AD152" i="112"/>
  <c r="AC152" i="112"/>
  <c r="AB152" i="112"/>
  <c r="AA152" i="112"/>
  <c r="Z152" i="112"/>
  <c r="Y152" i="112"/>
  <c r="X152" i="112"/>
  <c r="W152" i="112"/>
  <c r="V152" i="112"/>
  <c r="U152" i="112"/>
  <c r="T152" i="112"/>
  <c r="S152" i="112"/>
  <c r="R152" i="112"/>
  <c r="Q152" i="112"/>
  <c r="P152" i="112"/>
  <c r="O152" i="112"/>
  <c r="N152" i="112"/>
  <c r="M152" i="112"/>
  <c r="L152" i="112"/>
  <c r="K152" i="112"/>
  <c r="J152" i="112"/>
  <c r="DA158" i="112"/>
  <c r="DE165" i="112" s="1"/>
  <c r="CY158" i="112"/>
  <c r="CX158" i="112"/>
  <c r="CW158" i="112"/>
  <c r="CV158" i="112"/>
  <c r="CU158" i="112"/>
  <c r="CT158" i="112"/>
  <c r="CS158" i="112"/>
  <c r="CR158" i="112"/>
  <c r="CQ158" i="112"/>
  <c r="CO158" i="112"/>
  <c r="CN158" i="112"/>
  <c r="CM158" i="112"/>
  <c r="CL158" i="112"/>
  <c r="CK158" i="112"/>
  <c r="CJ158" i="112"/>
  <c r="CI158" i="112"/>
  <c r="CH158" i="112"/>
  <c r="CG158" i="112"/>
  <c r="CF158" i="112"/>
  <c r="CE158" i="112"/>
  <c r="CD158" i="112"/>
  <c r="CC158" i="112"/>
  <c r="CB158" i="112"/>
  <c r="CA158" i="112"/>
  <c r="BZ158" i="112"/>
  <c r="BY158" i="112"/>
  <c r="BX158" i="112"/>
  <c r="BW158" i="112"/>
  <c r="BV158" i="112"/>
  <c r="BV179" i="112" s="1"/>
  <c r="DD151" i="112"/>
  <c r="DC151" i="112"/>
  <c r="DB151" i="112"/>
  <c r="DF163" i="112" s="1"/>
  <c r="DA151" i="112"/>
  <c r="DE163" i="112" s="1"/>
  <c r="CZ151" i="112"/>
  <c r="CY151" i="112"/>
  <c r="CW151" i="112"/>
  <c r="CV151" i="112"/>
  <c r="CU151" i="112"/>
  <c r="CT151" i="112"/>
  <c r="CS151" i="112"/>
  <c r="CR151" i="112"/>
  <c r="CQ151" i="112"/>
  <c r="CO151" i="112"/>
  <c r="CN151" i="112"/>
  <c r="CM151" i="112"/>
  <c r="CK151" i="112"/>
  <c r="CJ151" i="112"/>
  <c r="CI151" i="112"/>
  <c r="CH151" i="112"/>
  <c r="CG151" i="112"/>
  <c r="CF151" i="112"/>
  <c r="CE151" i="112"/>
  <c r="CD151" i="112"/>
  <c r="CC151" i="112"/>
  <c r="CB151" i="112"/>
  <c r="CA151" i="112"/>
  <c r="BZ151" i="112"/>
  <c r="BY151" i="112"/>
  <c r="BX151" i="112"/>
  <c r="BW151" i="112"/>
  <c r="BV151" i="112"/>
  <c r="BU151" i="112"/>
  <c r="BT151" i="112"/>
  <c r="BS151" i="112"/>
  <c r="BR151" i="112"/>
  <c r="BQ151" i="112"/>
  <c r="BP151" i="112"/>
  <c r="BO151" i="112"/>
  <c r="BN151" i="112"/>
  <c r="BM151" i="112"/>
  <c r="BL151" i="112"/>
  <c r="BK151" i="112"/>
  <c r="BJ151" i="112"/>
  <c r="BH151" i="112"/>
  <c r="BG151" i="112"/>
  <c r="BF151" i="112"/>
  <c r="BD151" i="112"/>
  <c r="BC151" i="112"/>
  <c r="BB151" i="112"/>
  <c r="BA151" i="112"/>
  <c r="AZ151" i="112"/>
  <c r="AY151" i="112"/>
  <c r="AX151" i="112"/>
  <c r="AW151" i="112"/>
  <c r="AV151" i="112"/>
  <c r="BI131" i="112"/>
  <c r="BH131" i="112"/>
  <c r="BG131" i="112"/>
  <c r="BF131" i="112"/>
  <c r="BE131" i="112"/>
  <c r="BD131" i="112"/>
  <c r="BC131" i="112"/>
  <c r="BB131" i="112"/>
  <c r="BA131" i="112"/>
  <c r="AZ131" i="112"/>
  <c r="AY131" i="112"/>
  <c r="AX131" i="112"/>
  <c r="AW131" i="112"/>
  <c r="AV131" i="112"/>
  <c r="AU131" i="112"/>
  <c r="AT131" i="112"/>
  <c r="AS131" i="112"/>
  <c r="AR131" i="112"/>
  <c r="AQ131" i="112"/>
  <c r="AP131" i="112"/>
  <c r="AO131" i="112"/>
  <c r="AN131" i="112"/>
  <c r="AM131" i="112"/>
  <c r="AL131" i="112"/>
  <c r="AK131" i="112"/>
  <c r="AJ131" i="112"/>
  <c r="AI131" i="112"/>
  <c r="AH131" i="112"/>
  <c r="AG131" i="112"/>
  <c r="AF131" i="112"/>
  <c r="AE131" i="112"/>
  <c r="AD131" i="112"/>
  <c r="AC131" i="112"/>
  <c r="AB131" i="112"/>
  <c r="AA131" i="112"/>
  <c r="Z131" i="112"/>
  <c r="Y131" i="112"/>
  <c r="X131" i="112"/>
  <c r="W131" i="112"/>
  <c r="V131" i="112"/>
  <c r="U131" i="112"/>
  <c r="T131" i="112"/>
  <c r="S131" i="112"/>
  <c r="R131" i="112"/>
  <c r="Q131" i="112"/>
  <c r="P131" i="112"/>
  <c r="O131" i="112"/>
  <c r="N131" i="112"/>
  <c r="M131" i="112"/>
  <c r="L131" i="112"/>
  <c r="K131" i="112"/>
  <c r="J131" i="112"/>
  <c r="I131" i="112"/>
  <c r="H131" i="112"/>
  <c r="G131" i="112"/>
  <c r="F131" i="112"/>
  <c r="E131" i="112"/>
  <c r="D131" i="112"/>
  <c r="C131" i="112"/>
  <c r="B131" i="112"/>
  <c r="GP101" i="112"/>
  <c r="GO101" i="112"/>
  <c r="GN101" i="112"/>
  <c r="GM101" i="112"/>
  <c r="GL101" i="112"/>
  <c r="GK101" i="112"/>
  <c r="GJ101" i="112"/>
  <c r="GI101" i="112"/>
  <c r="GH101" i="112"/>
  <c r="GG101" i="112"/>
  <c r="GF101" i="112"/>
  <c r="GE101" i="112"/>
  <c r="GD101" i="112"/>
  <c r="GD122" i="112" s="1"/>
  <c r="FE101" i="112"/>
  <c r="FD101" i="112"/>
  <c r="FC101" i="112"/>
  <c r="FB101" i="112"/>
  <c r="FA101" i="112"/>
  <c r="EZ101" i="112"/>
  <c r="EY101" i="112"/>
  <c r="EX101" i="112"/>
  <c r="EW101" i="112"/>
  <c r="EV101" i="112"/>
  <c r="EU101" i="112"/>
  <c r="ET101" i="112"/>
  <c r="ES101" i="112"/>
  <c r="ES122" i="112" s="1"/>
  <c r="CE101" i="112"/>
  <c r="CC101" i="112"/>
  <c r="CG101" i="112" s="1"/>
  <c r="CB101" i="112"/>
  <c r="CF101" i="112" s="1"/>
  <c r="CJ101" i="112" s="1"/>
  <c r="BZ101" i="112"/>
  <c r="BZ160" i="112" s="1"/>
  <c r="GR100" i="112"/>
  <c r="GQ100" i="112"/>
  <c r="GP100" i="112"/>
  <c r="GO100" i="112"/>
  <c r="GN100" i="112"/>
  <c r="GM100" i="112"/>
  <c r="GL100" i="112"/>
  <c r="GK100" i="112"/>
  <c r="GJ100" i="112"/>
  <c r="GI100" i="112"/>
  <c r="GH100" i="112"/>
  <c r="GG100" i="112"/>
  <c r="GF100" i="112"/>
  <c r="GE100" i="112"/>
  <c r="GD100" i="112"/>
  <c r="GD121" i="112" s="1"/>
  <c r="FF100" i="112"/>
  <c r="FE100" i="112"/>
  <c r="FD100" i="112"/>
  <c r="FC100" i="112"/>
  <c r="FB100" i="112"/>
  <c r="FB121" i="112" s="1"/>
  <c r="CK100" i="112"/>
  <c r="CO107" i="112" s="1"/>
  <c r="CJ100" i="112"/>
  <c r="CI100" i="112"/>
  <c r="CM100" i="112" s="1"/>
  <c r="CH100" i="112"/>
  <c r="GW93" i="112"/>
  <c r="GV93" i="112"/>
  <c r="GU93" i="112"/>
  <c r="GT93" i="112"/>
  <c r="GS93" i="112"/>
  <c r="GR93" i="112"/>
  <c r="GQ93" i="112"/>
  <c r="GP93" i="112"/>
  <c r="GO93" i="112"/>
  <c r="GN93" i="112"/>
  <c r="GM93" i="112"/>
  <c r="GL93" i="112"/>
  <c r="GK93" i="112"/>
  <c r="GJ93" i="112"/>
  <c r="GI93" i="112"/>
  <c r="GH93" i="112"/>
  <c r="GG93" i="112"/>
  <c r="GF93" i="112"/>
  <c r="GE93" i="112"/>
  <c r="GD93" i="112"/>
  <c r="GC93" i="112"/>
  <c r="GB93" i="112"/>
  <c r="GA93" i="112"/>
  <c r="FZ93" i="112"/>
  <c r="FZ119" i="112" s="1"/>
  <c r="EO119" i="112"/>
  <c r="FL93" i="112"/>
  <c r="GT99" i="112"/>
  <c r="GS99" i="112"/>
  <c r="GR99" i="112"/>
  <c r="GQ99" i="112"/>
  <c r="GP99" i="112"/>
  <c r="GO99" i="112"/>
  <c r="GN99" i="112"/>
  <c r="GM99" i="112"/>
  <c r="GM120" i="112" s="1"/>
  <c r="FF99" i="112"/>
  <c r="FE99" i="112"/>
  <c r="FD99" i="112"/>
  <c r="FC99" i="112"/>
  <c r="FB99" i="112"/>
  <c r="FA99" i="112"/>
  <c r="FA120" i="112" s="1"/>
  <c r="DG106" i="112"/>
  <c r="DB99" i="112"/>
  <c r="DF106" i="112" s="1"/>
  <c r="CZ99" i="112"/>
  <c r="DD106" i="112" s="1"/>
  <c r="CP99" i="112"/>
  <c r="GT92" i="112"/>
  <c r="GS92" i="112"/>
  <c r="GR92" i="112"/>
  <c r="GQ92" i="112"/>
  <c r="GP92" i="112"/>
  <c r="GO92" i="112"/>
  <c r="GN92" i="112"/>
  <c r="GM92" i="112"/>
  <c r="GL92" i="112"/>
  <c r="GK92" i="112"/>
  <c r="GJ92" i="112"/>
  <c r="GI92" i="112"/>
  <c r="GH92" i="112"/>
  <c r="GG92" i="112"/>
  <c r="GF92" i="112"/>
  <c r="GE92" i="112"/>
  <c r="GD92" i="112"/>
  <c r="GC92" i="112"/>
  <c r="GB92" i="112"/>
  <c r="GA92" i="112"/>
  <c r="FZ92" i="112"/>
  <c r="FY92" i="112"/>
  <c r="FF92" i="112"/>
  <c r="FE92" i="112"/>
  <c r="FD92" i="112"/>
  <c r="FC92" i="112"/>
  <c r="FB92" i="112"/>
  <c r="FA92" i="112"/>
  <c r="EZ92" i="112"/>
  <c r="EY92" i="112"/>
  <c r="EX92" i="112"/>
  <c r="EW92" i="112"/>
  <c r="EV92" i="112"/>
  <c r="EU92" i="112"/>
  <c r="ET92" i="112"/>
  <c r="ES92" i="112"/>
  <c r="ER92" i="112"/>
  <c r="EQ92" i="112"/>
  <c r="EP92" i="112"/>
  <c r="EO92" i="112"/>
  <c r="EN92" i="112"/>
  <c r="EM92" i="112"/>
  <c r="BI72" i="112"/>
  <c r="BH72" i="112"/>
  <c r="BG72" i="112"/>
  <c r="BF72" i="112"/>
  <c r="BE72" i="112"/>
  <c r="BD72" i="112"/>
  <c r="BC72" i="112"/>
  <c r="BB72" i="112"/>
  <c r="BA72" i="112"/>
  <c r="AZ72" i="112"/>
  <c r="AY72" i="112"/>
  <c r="AX72" i="112"/>
  <c r="AW72" i="112"/>
  <c r="AV72" i="112"/>
  <c r="AU72" i="112"/>
  <c r="AT72" i="112"/>
  <c r="AS72" i="112"/>
  <c r="AR72" i="112"/>
  <c r="AQ72" i="112"/>
  <c r="AP72" i="112"/>
  <c r="AO72" i="112"/>
  <c r="AN72" i="112"/>
  <c r="AM72" i="112"/>
  <c r="AL72" i="112"/>
  <c r="AK72" i="112"/>
  <c r="AJ72" i="112"/>
  <c r="AI72" i="112"/>
  <c r="AH72" i="112"/>
  <c r="AG72" i="112"/>
  <c r="AF72" i="112"/>
  <c r="AE72" i="112"/>
  <c r="AD72" i="112"/>
  <c r="AC72" i="112"/>
  <c r="AB72" i="112"/>
  <c r="AA72" i="112"/>
  <c r="Z72" i="112"/>
  <c r="Y72" i="112"/>
  <c r="X72" i="112"/>
  <c r="W72" i="112"/>
  <c r="V72" i="112"/>
  <c r="U72" i="112"/>
  <c r="T72" i="112"/>
  <c r="S72" i="112"/>
  <c r="R72" i="112"/>
  <c r="Q72" i="112"/>
  <c r="P72" i="112"/>
  <c r="O72" i="112"/>
  <c r="N72" i="112"/>
  <c r="M72" i="112"/>
  <c r="L72" i="112"/>
  <c r="K72" i="112"/>
  <c r="J72" i="112"/>
  <c r="I72" i="112"/>
  <c r="H72" i="112"/>
  <c r="G72" i="112"/>
  <c r="F72" i="112"/>
  <c r="E72" i="112"/>
  <c r="D72" i="112"/>
  <c r="C72" i="112"/>
  <c r="B72" i="112"/>
  <c r="GZ9" i="112"/>
  <c r="GZ183" i="112" s="1"/>
  <c r="GY9" i="112"/>
  <c r="GY183" i="112" s="1"/>
  <c r="GX9" i="112"/>
  <c r="GX183" i="112" s="1"/>
  <c r="GW9" i="112"/>
  <c r="GW183" i="112" s="1"/>
  <c r="GV9" i="112"/>
  <c r="GV183" i="112" s="1"/>
  <c r="GU9" i="112"/>
  <c r="GU183" i="112" s="1"/>
  <c r="GT9" i="112"/>
  <c r="GT183" i="112" s="1"/>
  <c r="GS9" i="112"/>
  <c r="GS183" i="112" s="1"/>
  <c r="GR9" i="112"/>
  <c r="GR183" i="112" s="1"/>
  <c r="GQ9" i="112"/>
  <c r="GQ183" i="112" s="1"/>
  <c r="FO9" i="112"/>
  <c r="FN9" i="112"/>
  <c r="FM9" i="112"/>
  <c r="FL9" i="112"/>
  <c r="FK9" i="112"/>
  <c r="FJ9" i="112"/>
  <c r="FI9" i="112"/>
  <c r="FH9" i="112"/>
  <c r="FG9" i="112"/>
  <c r="FF9" i="112"/>
  <c r="FE9" i="112"/>
  <c r="FE229" i="112" s="1"/>
  <c r="DA9" i="112"/>
  <c r="CW9" i="112"/>
  <c r="CO9" i="112"/>
  <c r="CM9" i="112"/>
  <c r="CL9" i="112"/>
  <c r="CK9" i="112"/>
  <c r="CJ9" i="112"/>
  <c r="CI9" i="112"/>
  <c r="CH9" i="112"/>
  <c r="CG9" i="112"/>
  <c r="CF9" i="112"/>
  <c r="CE9" i="112"/>
  <c r="CD9" i="112"/>
  <c r="CC9" i="112"/>
  <c r="CB9" i="112"/>
  <c r="CA9" i="112"/>
  <c r="BZ9" i="112"/>
  <c r="DE8" i="112"/>
  <c r="DD8" i="112"/>
  <c r="DC8" i="112"/>
  <c r="DB8" i="112"/>
  <c r="DA8" i="112"/>
  <c r="CZ8" i="112"/>
  <c r="CY8" i="112"/>
  <c r="CX8" i="112"/>
  <c r="CW8" i="112"/>
  <c r="CV8" i="112"/>
  <c r="CU8" i="112"/>
  <c r="CT8" i="112"/>
  <c r="CS8" i="112"/>
  <c r="CR8" i="112"/>
  <c r="CQ8" i="112"/>
  <c r="CP8" i="112"/>
  <c r="CO8" i="112"/>
  <c r="CN8" i="112"/>
  <c r="CM8" i="112"/>
  <c r="CL8" i="112"/>
  <c r="CK8" i="112"/>
  <c r="CJ8" i="112"/>
  <c r="CI8" i="112"/>
  <c r="CH8" i="112"/>
  <c r="CG8" i="112"/>
  <c r="CF8" i="112"/>
  <c r="CE8" i="112"/>
  <c r="CD8" i="112"/>
  <c r="CC8" i="112"/>
  <c r="CB8" i="112"/>
  <c r="CA8" i="112"/>
  <c r="BZ8" i="112"/>
  <c r="BY8" i="112"/>
  <c r="BX8" i="112"/>
  <c r="BW8" i="112"/>
  <c r="BV8" i="112"/>
  <c r="BU8" i="112"/>
  <c r="BT8" i="112"/>
  <c r="BS8" i="112"/>
  <c r="BR8" i="112"/>
  <c r="BQ8" i="112"/>
  <c r="BP8" i="112"/>
  <c r="BO8" i="112"/>
  <c r="BN8" i="112"/>
  <c r="BM8" i="112"/>
  <c r="BL8" i="112"/>
  <c r="BK8" i="112"/>
  <c r="BJ8" i="112"/>
  <c r="DV6" i="112"/>
  <c r="DT7" i="112"/>
  <c r="DS7" i="112"/>
  <c r="DR7" i="112"/>
  <c r="DQ7" i="112"/>
  <c r="DP7" i="112"/>
  <c r="DO7" i="112"/>
  <c r="DN7" i="112"/>
  <c r="DM7" i="112"/>
  <c r="DL7" i="112"/>
  <c r="DK7" i="112"/>
  <c r="DJ7" i="112"/>
  <c r="DI7" i="112"/>
  <c r="DH7" i="112"/>
  <c r="DG7" i="112"/>
  <c r="DF7" i="112"/>
  <c r="DE7" i="112"/>
  <c r="DD7" i="112"/>
  <c r="DC7" i="112"/>
  <c r="DB7" i="112"/>
  <c r="DA7" i="112"/>
  <c r="CZ7" i="112"/>
  <c r="CY7" i="112"/>
  <c r="CX7" i="112"/>
  <c r="CW7" i="112"/>
  <c r="CV7" i="112"/>
  <c r="CU7" i="112"/>
  <c r="CT7" i="112"/>
  <c r="CS7" i="112"/>
  <c r="CR7" i="112"/>
  <c r="CQ7" i="112"/>
  <c r="CP7" i="112"/>
  <c r="CO7" i="112"/>
  <c r="CN7" i="112"/>
  <c r="CM7" i="112"/>
  <c r="CL7" i="112"/>
  <c r="CK7" i="112"/>
  <c r="CJ7" i="112"/>
  <c r="CI7" i="112"/>
  <c r="CH7" i="112"/>
  <c r="CG7" i="112"/>
  <c r="CF7" i="112"/>
  <c r="CE7" i="112"/>
  <c r="CD7" i="112"/>
  <c r="CC6" i="112"/>
  <c r="CC205" i="112" s="1"/>
  <c r="CB6" i="112"/>
  <c r="CB205" i="112" s="1"/>
  <c r="CA6" i="112"/>
  <c r="CA205" i="112" s="1"/>
  <c r="BZ6" i="112"/>
  <c r="BZ205" i="112" s="1"/>
  <c r="BY6" i="112"/>
  <c r="BY205" i="112" s="1"/>
  <c r="BX6" i="112"/>
  <c r="BX205" i="112" s="1"/>
  <c r="BW6" i="112"/>
  <c r="BW205" i="112" s="1"/>
  <c r="DP40" i="113" l="1"/>
  <c r="N119" i="115"/>
  <c r="N121" i="115"/>
  <c r="N120" i="115"/>
  <c r="G50" i="115"/>
  <c r="DM40" i="113"/>
  <c r="DL40" i="113"/>
  <c r="DK40" i="113"/>
  <c r="C50" i="125"/>
  <c r="C52" i="125"/>
  <c r="G50" i="125"/>
  <c r="G51" i="125"/>
  <c r="G52" i="125"/>
  <c r="G53" i="125"/>
  <c r="DJ40" i="113"/>
  <c r="AE19" i="112"/>
  <c r="AK19" i="112"/>
  <c r="AQ19" i="112"/>
  <c r="AD19" i="112"/>
  <c r="AJ19" i="112"/>
  <c r="AP19" i="112"/>
  <c r="AH19" i="112"/>
  <c r="AN19" i="112"/>
  <c r="AI19" i="112"/>
  <c r="AO19" i="112"/>
  <c r="AF19" i="112"/>
  <c r="AL19" i="112"/>
  <c r="AR19" i="112"/>
  <c r="AG19" i="112"/>
  <c r="AM19" i="112"/>
  <c r="AS19" i="112"/>
  <c r="V12" i="112"/>
  <c r="Z19" i="112"/>
  <c r="W12" i="112"/>
  <c r="W19" i="112" s="1"/>
  <c r="AA19" i="112"/>
  <c r="X12" i="112"/>
  <c r="AB19" i="112"/>
  <c r="Y12" i="112"/>
  <c r="AC19" i="112"/>
  <c r="M120" i="115"/>
  <c r="AP41" i="116"/>
  <c r="AP42" i="116" s="1"/>
  <c r="AM41" i="116"/>
  <c r="AM42" i="116" s="1"/>
  <c r="FF239" i="112"/>
  <c r="FF229" i="112"/>
  <c r="FF234" i="112"/>
  <c r="FL239" i="112"/>
  <c r="FL229" i="112"/>
  <c r="FL234" i="112"/>
  <c r="FN239" i="112"/>
  <c r="FN229" i="112"/>
  <c r="FN234" i="112"/>
  <c r="FI239" i="112"/>
  <c r="FI229" i="112"/>
  <c r="FI234" i="112"/>
  <c r="FO239" i="112"/>
  <c r="FO234" i="112"/>
  <c r="FO229" i="112"/>
  <c r="FG239" i="112"/>
  <c r="FG229" i="112"/>
  <c r="FG234" i="112"/>
  <c r="FM239" i="112"/>
  <c r="FM229" i="112"/>
  <c r="FM234" i="112"/>
  <c r="FH239" i="112"/>
  <c r="FH229" i="112"/>
  <c r="FH234" i="112"/>
  <c r="FJ239" i="112"/>
  <c r="FJ234" i="112"/>
  <c r="FJ229" i="112"/>
  <c r="FK239" i="112"/>
  <c r="FK234" i="112"/>
  <c r="FK229" i="112"/>
  <c r="DA190" i="112"/>
  <c r="CY190" i="112"/>
  <c r="CZ190" i="112"/>
  <c r="CX190" i="112"/>
  <c r="CV190" i="112"/>
  <c r="CW190" i="112"/>
  <c r="CR190" i="112"/>
  <c r="CU190" i="112"/>
  <c r="FI10" i="113"/>
  <c r="FI23" i="113" s="1"/>
  <c r="FI148" i="113"/>
  <c r="FI111" i="113"/>
  <c r="FI135" i="113"/>
  <c r="FI141" i="113"/>
  <c r="FI161" i="113"/>
  <c r="FI117" i="113"/>
  <c r="FI74" i="113"/>
  <c r="FI129" i="113"/>
  <c r="FI97" i="113"/>
  <c r="FI123" i="113"/>
  <c r="FI88" i="113"/>
  <c r="FE10" i="113"/>
  <c r="FE36" i="113" s="1"/>
  <c r="FE123" i="113"/>
  <c r="FE74" i="113"/>
  <c r="FE97" i="113"/>
  <c r="FE148" i="113"/>
  <c r="FE111" i="113"/>
  <c r="FE129" i="113"/>
  <c r="FE141" i="113"/>
  <c r="FE161" i="113"/>
  <c r="FE117" i="113"/>
  <c r="FE135" i="113"/>
  <c r="FE88" i="113"/>
  <c r="FK10" i="113"/>
  <c r="FK36" i="113" s="1"/>
  <c r="FK123" i="113"/>
  <c r="FK117" i="113"/>
  <c r="FK129" i="113"/>
  <c r="FK97" i="113"/>
  <c r="FK111" i="113"/>
  <c r="FK161" i="113"/>
  <c r="FK74" i="113"/>
  <c r="FK135" i="113"/>
  <c r="FK88" i="113"/>
  <c r="FK141" i="113"/>
  <c r="FK148" i="113"/>
  <c r="FH10" i="113"/>
  <c r="FH23" i="113" s="1"/>
  <c r="FH141" i="113"/>
  <c r="FH97" i="113"/>
  <c r="FH74" i="113"/>
  <c r="FH135" i="113"/>
  <c r="FH148" i="113"/>
  <c r="FH111" i="113"/>
  <c r="FH123" i="113"/>
  <c r="FH129" i="113"/>
  <c r="FH88" i="113"/>
  <c r="FH161" i="113"/>
  <c r="FH117" i="113"/>
  <c r="FO10" i="113"/>
  <c r="FO23" i="113" s="1"/>
  <c r="FO148" i="113"/>
  <c r="FO111" i="113"/>
  <c r="FO97" i="113"/>
  <c r="FO161" i="113"/>
  <c r="FO117" i="113"/>
  <c r="FO74" i="113"/>
  <c r="FO129" i="113"/>
  <c r="FO88" i="113"/>
  <c r="FO141" i="113"/>
  <c r="FO123" i="113"/>
  <c r="FO135" i="113"/>
  <c r="FF10" i="113"/>
  <c r="FF36" i="113" s="1"/>
  <c r="FF129" i="113"/>
  <c r="FF111" i="113"/>
  <c r="FF117" i="113"/>
  <c r="FF123" i="113"/>
  <c r="FF135" i="113"/>
  <c r="FF88" i="113"/>
  <c r="FF161" i="113"/>
  <c r="FF74" i="113"/>
  <c r="FF141" i="113"/>
  <c r="FF97" i="113"/>
  <c r="FF148" i="113"/>
  <c r="FL10" i="113"/>
  <c r="FL36" i="113" s="1"/>
  <c r="FL129" i="113"/>
  <c r="FL117" i="113"/>
  <c r="FL135" i="113"/>
  <c r="FL88" i="113"/>
  <c r="FL148" i="113"/>
  <c r="FL111" i="113"/>
  <c r="FL161" i="113"/>
  <c r="FL123" i="113"/>
  <c r="FL141" i="113"/>
  <c r="FL97" i="113"/>
  <c r="FL74" i="113"/>
  <c r="FN10" i="113"/>
  <c r="FN36" i="113" s="1"/>
  <c r="FN141" i="113"/>
  <c r="FN97" i="113"/>
  <c r="FN123" i="113"/>
  <c r="FN88" i="113"/>
  <c r="FN148" i="113"/>
  <c r="FN111" i="113"/>
  <c r="FN135" i="113"/>
  <c r="FN161" i="113"/>
  <c r="FN117" i="113"/>
  <c r="FN74" i="113"/>
  <c r="FN129" i="113"/>
  <c r="FJ10" i="113"/>
  <c r="FJ36" i="113" s="1"/>
  <c r="FJ161" i="113"/>
  <c r="FJ117" i="113"/>
  <c r="FJ74" i="113"/>
  <c r="FJ97" i="113"/>
  <c r="FJ123" i="113"/>
  <c r="FJ148" i="113"/>
  <c r="FJ111" i="113"/>
  <c r="FJ129" i="113"/>
  <c r="FJ135" i="113"/>
  <c r="FJ88" i="113"/>
  <c r="FJ141" i="113"/>
  <c r="FG10" i="113"/>
  <c r="FG23" i="113" s="1"/>
  <c r="FG135" i="113"/>
  <c r="FG88" i="113"/>
  <c r="FG123" i="113"/>
  <c r="FG74" i="113"/>
  <c r="FG129" i="113"/>
  <c r="FG141" i="113"/>
  <c r="FG97" i="113"/>
  <c r="FG161" i="113"/>
  <c r="FG148" i="113"/>
  <c r="FG111" i="113"/>
  <c r="FG117" i="113"/>
  <c r="FM10" i="113"/>
  <c r="FM135" i="113"/>
  <c r="FM88" i="113"/>
  <c r="FM117" i="113"/>
  <c r="FM129" i="113"/>
  <c r="FM141" i="113"/>
  <c r="FM97" i="113"/>
  <c r="FM123" i="113"/>
  <c r="FM148" i="113"/>
  <c r="FM111" i="113"/>
  <c r="FM161" i="113"/>
  <c r="FM74" i="113"/>
  <c r="HA112" i="113"/>
  <c r="HA114" i="113" s="1"/>
  <c r="DT14" i="113"/>
  <c r="DX14" i="113"/>
  <c r="DU14" i="113"/>
  <c r="DZ113" i="113"/>
  <c r="DY112" i="113"/>
  <c r="DY14" i="113" s="1"/>
  <c r="DA27" i="113"/>
  <c r="DS14" i="113"/>
  <c r="CW27" i="113"/>
  <c r="CV14" i="113"/>
  <c r="GT34" i="113"/>
  <c r="FN183" i="112"/>
  <c r="FN200" i="112"/>
  <c r="FN217" i="112"/>
  <c r="FN207" i="112"/>
  <c r="FN223" i="112"/>
  <c r="FN211" i="112"/>
  <c r="FI183" i="112"/>
  <c r="FI223" i="112"/>
  <c r="FI217" i="112"/>
  <c r="FI211" i="112"/>
  <c r="FI200" i="112"/>
  <c r="FI207" i="112"/>
  <c r="FO183" i="112"/>
  <c r="FO223" i="112"/>
  <c r="FO217" i="112"/>
  <c r="FO211" i="112"/>
  <c r="FO207" i="112"/>
  <c r="FO200" i="112"/>
  <c r="GV152" i="112"/>
  <c r="FE183" i="112"/>
  <c r="FE200" i="112"/>
  <c r="FE211" i="112"/>
  <c r="FK183" i="112"/>
  <c r="FK211" i="112"/>
  <c r="FK207" i="112"/>
  <c r="FK200" i="112"/>
  <c r="FK223" i="112"/>
  <c r="FK217" i="112"/>
  <c r="FJ183" i="112"/>
  <c r="FJ207" i="112"/>
  <c r="FJ211" i="112"/>
  <c r="FJ223" i="112"/>
  <c r="FJ200" i="112"/>
  <c r="FJ217" i="112"/>
  <c r="FF183" i="112"/>
  <c r="FF223" i="112"/>
  <c r="FF200" i="112"/>
  <c r="FF217" i="112"/>
  <c r="FF211" i="112"/>
  <c r="FL183" i="112"/>
  <c r="FL211" i="112"/>
  <c r="FL223" i="112"/>
  <c r="FL207" i="112"/>
  <c r="FL217" i="112"/>
  <c r="FL200" i="112"/>
  <c r="FH183" i="112"/>
  <c r="FH200" i="112"/>
  <c r="FH223" i="112"/>
  <c r="FH211" i="112"/>
  <c r="FH207" i="112"/>
  <c r="FH217" i="112"/>
  <c r="FG183" i="112"/>
  <c r="FG207" i="112"/>
  <c r="FG217" i="112"/>
  <c r="FG200" i="112"/>
  <c r="FG223" i="112"/>
  <c r="FG211" i="112"/>
  <c r="FM183" i="112"/>
  <c r="FM207" i="112"/>
  <c r="FM200" i="112"/>
  <c r="FM211" i="112"/>
  <c r="FM223" i="112"/>
  <c r="FM217" i="112"/>
  <c r="DI27" i="113"/>
  <c r="DM27" i="113"/>
  <c r="DH27" i="113"/>
  <c r="CJ27" i="113"/>
  <c r="GU34" i="113"/>
  <c r="CN27" i="113"/>
  <c r="DL27" i="113"/>
  <c r="CO27" i="113"/>
  <c r="FJ34" i="113"/>
  <c r="GV34" i="113"/>
  <c r="FK34" i="113"/>
  <c r="FL34" i="113"/>
  <c r="CK27" i="113"/>
  <c r="CR27" i="113"/>
  <c r="DD27" i="113"/>
  <c r="DP27" i="113"/>
  <c r="CS27" i="113"/>
  <c r="DE27" i="113"/>
  <c r="DQ27" i="113"/>
  <c r="DC152" i="112"/>
  <c r="BV173" i="113"/>
  <c r="BW173" i="113"/>
  <c r="CG77" i="113"/>
  <c r="CG79" i="113" s="1"/>
  <c r="CG172" i="113"/>
  <c r="BV6" i="112"/>
  <c r="BV205" i="112" s="1"/>
  <c r="CK98" i="113"/>
  <c r="CK69" i="112"/>
  <c r="CJ98" i="113"/>
  <c r="CJ69" i="112"/>
  <c r="CI150" i="112"/>
  <c r="CI70" i="112"/>
  <c r="CH150" i="112"/>
  <c r="CH70" i="112"/>
  <c r="GS70" i="112" s="1"/>
  <c r="CK157" i="112"/>
  <c r="CK49" i="112"/>
  <c r="CH99" i="113"/>
  <c r="CH48" i="112"/>
  <c r="GS48" i="112" s="1"/>
  <c r="CJ99" i="113"/>
  <c r="CJ48" i="112"/>
  <c r="DB98" i="112"/>
  <c r="CI99" i="113"/>
  <c r="CI48" i="112"/>
  <c r="CP98" i="112"/>
  <c r="DC158" i="112"/>
  <c r="CZ158" i="112"/>
  <c r="CZ98" i="112"/>
  <c r="CK171" i="112"/>
  <c r="DE170" i="112"/>
  <c r="BE11" i="112"/>
  <c r="EZ11" i="112" s="1"/>
  <c r="CM165" i="112"/>
  <c r="CO163" i="112"/>
  <c r="CM164" i="112"/>
  <c r="CL165" i="112"/>
  <c r="CN164" i="112"/>
  <c r="CO164" i="112"/>
  <c r="CL163" i="112"/>
  <c r="CN165" i="112"/>
  <c r="CM163" i="112"/>
  <c r="CO165" i="112"/>
  <c r="FK25" i="112"/>
  <c r="FK108" i="113"/>
  <c r="CN163" i="112"/>
  <c r="CL164" i="112"/>
  <c r="GW10" i="113"/>
  <c r="FG8" i="6"/>
  <c r="GR10" i="113"/>
  <c r="FB8" i="6"/>
  <c r="GX10" i="113"/>
  <c r="FH8" i="6"/>
  <c r="GV10" i="113"/>
  <c r="FF8" i="6"/>
  <c r="GQ10" i="113"/>
  <c r="FA8" i="6"/>
  <c r="GS10" i="113"/>
  <c r="FC8" i="6"/>
  <c r="GT10" i="113"/>
  <c r="FD8" i="6"/>
  <c r="GP10" i="113"/>
  <c r="EZ8" i="6"/>
  <c r="GO10" i="113"/>
  <c r="EY8" i="6"/>
  <c r="GU10" i="113"/>
  <c r="FE8" i="6"/>
  <c r="GY112" i="113"/>
  <c r="GY114" i="113" s="1"/>
  <c r="DO14" i="113"/>
  <c r="GZ112" i="113"/>
  <c r="GZ114" i="113" s="1"/>
  <c r="FJ47" i="113"/>
  <c r="GV47" i="113"/>
  <c r="DR14" i="113"/>
  <c r="FQ112" i="113"/>
  <c r="FI75" i="113"/>
  <c r="GN83" i="113"/>
  <c r="GQ83" i="113"/>
  <c r="GW83" i="113"/>
  <c r="GT83" i="113"/>
  <c r="FC83" i="113"/>
  <c r="FF83" i="113"/>
  <c r="FI83" i="113"/>
  <c r="FL83" i="113"/>
  <c r="GT47" i="113"/>
  <c r="FH75" i="113"/>
  <c r="GM83" i="113"/>
  <c r="GP83" i="113"/>
  <c r="GS83" i="113"/>
  <c r="GV83" i="113"/>
  <c r="DN14" i="113"/>
  <c r="FP112" i="113"/>
  <c r="BR77" i="113"/>
  <c r="BR76" i="113" s="1"/>
  <c r="CI77" i="113"/>
  <c r="CI76" i="113" s="1"/>
  <c r="GR85" i="113"/>
  <c r="CP14" i="113"/>
  <c r="FJ112" i="113"/>
  <c r="DB14" i="113"/>
  <c r="FM112" i="113"/>
  <c r="GM75" i="113"/>
  <c r="FC75" i="113"/>
  <c r="CD77" i="113"/>
  <c r="CD76" i="113" s="1"/>
  <c r="FG85" i="113"/>
  <c r="CQ14" i="113"/>
  <c r="GT112" i="113"/>
  <c r="GT114" i="113" s="1"/>
  <c r="DC14" i="113"/>
  <c r="GW112" i="113"/>
  <c r="GW114" i="113" s="1"/>
  <c r="CH14" i="113"/>
  <c r="FH112" i="113"/>
  <c r="CE77" i="113"/>
  <c r="CE76" i="113" s="1"/>
  <c r="GQ85" i="113"/>
  <c r="FI112" i="113"/>
  <c r="FI14" i="113" s="1"/>
  <c r="CX14" i="113"/>
  <c r="FL112" i="113"/>
  <c r="FO112" i="113"/>
  <c r="CC14" i="113"/>
  <c r="FF14" i="113" s="1"/>
  <c r="FF112" i="113"/>
  <c r="GP112" i="113"/>
  <c r="GP114" i="113" s="1"/>
  <c r="CI14" i="113"/>
  <c r="GR112" i="113"/>
  <c r="GR114" i="113" s="1"/>
  <c r="GR75" i="113"/>
  <c r="CL77" i="113"/>
  <c r="CL79" i="113" s="1"/>
  <c r="FI85" i="113"/>
  <c r="FE83" i="113"/>
  <c r="FH83" i="113"/>
  <c r="FK83" i="113"/>
  <c r="GS112" i="113"/>
  <c r="GS114" i="113" s="1"/>
  <c r="CY14" i="113"/>
  <c r="GV112" i="113"/>
  <c r="GV114" i="113" s="1"/>
  <c r="CD14" i="113"/>
  <c r="CD40" i="113" s="1"/>
  <c r="FG112" i="113"/>
  <c r="FG75" i="113"/>
  <c r="BP180" i="113"/>
  <c r="BP183" i="113" s="1"/>
  <c r="GM85" i="113"/>
  <c r="GM86" i="113" s="1"/>
  <c r="FC85" i="113"/>
  <c r="FC86" i="113" s="1"/>
  <c r="CM77" i="113"/>
  <c r="GO83" i="113"/>
  <c r="GR83" i="113"/>
  <c r="GU83" i="113"/>
  <c r="CT14" i="113"/>
  <c r="FK112" i="113"/>
  <c r="DF55" i="113"/>
  <c r="FN112" i="113"/>
  <c r="CE14" i="113"/>
  <c r="CF55" i="113" s="1"/>
  <c r="GQ112" i="113"/>
  <c r="GQ114" i="113" s="1"/>
  <c r="GQ75" i="113"/>
  <c r="CH77" i="113"/>
  <c r="FH85" i="113"/>
  <c r="FD83" i="113"/>
  <c r="FG83" i="113"/>
  <c r="FJ83" i="113"/>
  <c r="FM83" i="113"/>
  <c r="CU14" i="113"/>
  <c r="GU112" i="113"/>
  <c r="GU114" i="113" s="1"/>
  <c r="GX112" i="113"/>
  <c r="GX114" i="113" s="1"/>
  <c r="FL47" i="113"/>
  <c r="FK47" i="113"/>
  <c r="GU47" i="113"/>
  <c r="ES118" i="112"/>
  <c r="GI118" i="112"/>
  <c r="GJ119" i="112"/>
  <c r="GJ121" i="112"/>
  <c r="GD119" i="112"/>
  <c r="GH122" i="112"/>
  <c r="GC118" i="112"/>
  <c r="GP121" i="112"/>
  <c r="BI11" i="112"/>
  <c r="FA11" i="112" s="1"/>
  <c r="EU118" i="112"/>
  <c r="GF119" i="112"/>
  <c r="GL121" i="112"/>
  <c r="ES160" i="112"/>
  <c r="ES167" i="112" s="1"/>
  <c r="FD121" i="112"/>
  <c r="GJ122" i="112"/>
  <c r="EO118" i="112"/>
  <c r="GE118" i="112"/>
  <c r="GF121" i="112"/>
  <c r="GR121" i="112"/>
  <c r="FI131" i="112"/>
  <c r="FI117" i="112"/>
  <c r="FI193" i="112"/>
  <c r="FI162" i="112"/>
  <c r="FI21" i="112"/>
  <c r="FI103" i="112"/>
  <c r="FI72" i="112"/>
  <c r="GV21" i="112"/>
  <c r="GV103" i="112"/>
  <c r="GV72" i="112"/>
  <c r="GV131" i="112"/>
  <c r="GV117" i="112"/>
  <c r="GV193" i="112"/>
  <c r="GV162" i="112"/>
  <c r="FG104" i="112"/>
  <c r="FG118" i="112"/>
  <c r="GK118" i="112"/>
  <c r="GK104" i="112"/>
  <c r="GN120" i="112"/>
  <c r="GN106" i="112"/>
  <c r="ET108" i="112"/>
  <c r="ET122" i="112"/>
  <c r="GP108" i="112"/>
  <c r="GP122" i="112"/>
  <c r="GV158" i="112"/>
  <c r="GV24" i="112"/>
  <c r="GU152" i="112"/>
  <c r="GF29" i="112"/>
  <c r="GF160" i="112"/>
  <c r="CX109" i="113"/>
  <c r="FJ193" i="112"/>
  <c r="FJ162" i="112"/>
  <c r="FJ21" i="112"/>
  <c r="FJ103" i="112"/>
  <c r="FJ72" i="112"/>
  <c r="FJ131" i="112"/>
  <c r="FJ117" i="112"/>
  <c r="FZ118" i="112"/>
  <c r="FA105" i="112"/>
  <c r="FA119" i="112"/>
  <c r="GS105" i="112"/>
  <c r="GS119" i="112"/>
  <c r="GE122" i="112"/>
  <c r="GR193" i="112"/>
  <c r="GR131" i="112"/>
  <c r="GR103" i="112"/>
  <c r="GR21" i="112"/>
  <c r="GR162" i="112"/>
  <c r="GR72" i="112"/>
  <c r="GR117" i="112"/>
  <c r="EQ118" i="112"/>
  <c r="GA118" i="112"/>
  <c r="GP106" i="112"/>
  <c r="GP120" i="112"/>
  <c r="EP119" i="112"/>
  <c r="EP105" i="112"/>
  <c r="FH105" i="112"/>
  <c r="FH119" i="112"/>
  <c r="GH119" i="112"/>
  <c r="GT119" i="112"/>
  <c r="GT105" i="112"/>
  <c r="GN121" i="112"/>
  <c r="EV122" i="112"/>
  <c r="EV108" i="112"/>
  <c r="GL122" i="112"/>
  <c r="GL108" i="112"/>
  <c r="FK24" i="112"/>
  <c r="GX24" i="112"/>
  <c r="FI23" i="112"/>
  <c r="FI152" i="112"/>
  <c r="GW25" i="112"/>
  <c r="EX160" i="112"/>
  <c r="EX29" i="112"/>
  <c r="GH160" i="112"/>
  <c r="GH29" i="112"/>
  <c r="CN109" i="113"/>
  <c r="CZ109" i="113"/>
  <c r="FF72" i="112"/>
  <c r="FF21" i="112"/>
  <c r="FF162" i="112"/>
  <c r="FF131" i="112"/>
  <c r="FF193" i="112"/>
  <c r="FF103" i="112"/>
  <c r="FF117" i="112"/>
  <c r="FL117" i="112"/>
  <c r="FL103" i="112"/>
  <c r="FL162" i="112"/>
  <c r="FL131" i="112"/>
  <c r="FL193" i="112"/>
  <c r="FL21" i="112"/>
  <c r="FL72" i="112"/>
  <c r="GS193" i="112"/>
  <c r="GS72" i="112"/>
  <c r="GS21" i="112"/>
  <c r="GS117" i="112"/>
  <c r="GS103" i="112"/>
  <c r="GS131" i="112"/>
  <c r="GS162" i="112"/>
  <c r="GY162" i="112"/>
  <c r="GY131" i="112"/>
  <c r="GY193" i="112"/>
  <c r="GY117" i="112"/>
  <c r="GY103" i="112"/>
  <c r="GY72" i="112"/>
  <c r="GY21" i="112"/>
  <c r="ER118" i="112"/>
  <c r="EX118" i="112"/>
  <c r="FD118" i="112"/>
  <c r="FD104" i="112"/>
  <c r="FJ118" i="112"/>
  <c r="FJ104" i="112"/>
  <c r="GB118" i="112"/>
  <c r="GH118" i="112"/>
  <c r="GN104" i="112"/>
  <c r="GN118" i="112"/>
  <c r="GT118" i="112"/>
  <c r="GT104" i="112"/>
  <c r="FC120" i="112"/>
  <c r="FC106" i="112"/>
  <c r="FI120" i="112"/>
  <c r="FI106" i="112"/>
  <c r="GQ106" i="112"/>
  <c r="GQ120" i="112"/>
  <c r="EQ119" i="112"/>
  <c r="EQ105" i="112"/>
  <c r="EW119" i="112"/>
  <c r="EW105" i="112"/>
  <c r="FC105" i="112"/>
  <c r="FC119" i="112"/>
  <c r="FI105" i="112"/>
  <c r="FI119" i="112"/>
  <c r="GC119" i="112"/>
  <c r="GI119" i="112"/>
  <c r="GO105" i="112"/>
  <c r="GO119" i="112"/>
  <c r="GU105" i="112"/>
  <c r="GU119" i="112"/>
  <c r="FG121" i="112"/>
  <c r="FG107" i="112"/>
  <c r="GI121" i="112"/>
  <c r="GO121" i="112"/>
  <c r="EW122" i="112"/>
  <c r="EW108" i="112"/>
  <c r="FC122" i="112"/>
  <c r="FC108" i="112"/>
  <c r="GG122" i="112"/>
  <c r="GM108" i="112"/>
  <c r="GM122" i="112"/>
  <c r="GV151" i="112"/>
  <c r="GV22" i="112"/>
  <c r="GV19" i="112"/>
  <c r="FL24" i="112"/>
  <c r="CL23" i="112"/>
  <c r="CH100" i="113"/>
  <c r="FJ152" i="112"/>
  <c r="FJ23" i="112"/>
  <c r="GX23" i="112"/>
  <c r="GX25" i="112"/>
  <c r="EY160" i="112"/>
  <c r="EY29" i="112"/>
  <c r="FE160" i="112"/>
  <c r="FE29" i="112"/>
  <c r="GI160" i="112"/>
  <c r="GI29" i="112"/>
  <c r="GO160" i="112"/>
  <c r="GO29" i="112"/>
  <c r="CO109" i="113"/>
  <c r="CU109" i="113"/>
  <c r="DA109" i="113"/>
  <c r="GW118" i="112"/>
  <c r="GW104" i="112"/>
  <c r="GW208" i="112" s="1"/>
  <c r="EZ105" i="112"/>
  <c r="EZ119" i="112"/>
  <c r="EZ108" i="112"/>
  <c r="EZ122" i="112"/>
  <c r="CL109" i="113"/>
  <c r="GQ131" i="112"/>
  <c r="GQ117" i="112"/>
  <c r="GQ193" i="112"/>
  <c r="GQ162" i="112"/>
  <c r="GQ21" i="112"/>
  <c r="GQ103" i="112"/>
  <c r="GQ72" i="112"/>
  <c r="EV118" i="112"/>
  <c r="GL118" i="112"/>
  <c r="GL104" i="112"/>
  <c r="GO120" i="112"/>
  <c r="GO106" i="112"/>
  <c r="FG119" i="112"/>
  <c r="FG105" i="112"/>
  <c r="FE121" i="112"/>
  <c r="FA122" i="112"/>
  <c r="FA108" i="112"/>
  <c r="FK193" i="112"/>
  <c r="FK131" i="112"/>
  <c r="FK103" i="112"/>
  <c r="FK21" i="112"/>
  <c r="FK72" i="112"/>
  <c r="FK117" i="112"/>
  <c r="FK162" i="112"/>
  <c r="FC118" i="112"/>
  <c r="FC104" i="112"/>
  <c r="GM104" i="112"/>
  <c r="GM118" i="112"/>
  <c r="FH106" i="112"/>
  <c r="FH120" i="112"/>
  <c r="FB105" i="112"/>
  <c r="FB119" i="112"/>
  <c r="GN119" i="112"/>
  <c r="GN105" i="112"/>
  <c r="GH121" i="112"/>
  <c r="FB108" i="112"/>
  <c r="FB122" i="112"/>
  <c r="FL22" i="112"/>
  <c r="FL19" i="112"/>
  <c r="FL109" i="113" s="1"/>
  <c r="GW152" i="112"/>
  <c r="GW23" i="112"/>
  <c r="GN160" i="112"/>
  <c r="GN29" i="112"/>
  <c r="GT72" i="112"/>
  <c r="GT21" i="112"/>
  <c r="GT117" i="112"/>
  <c r="GT103" i="112"/>
  <c r="GT162" i="112"/>
  <c r="GT131" i="112"/>
  <c r="GT193" i="112"/>
  <c r="FH151" i="112"/>
  <c r="FH19" i="112"/>
  <c r="GW19" i="112"/>
  <c r="GW22" i="112"/>
  <c r="GW151" i="112"/>
  <c r="CG13" i="112"/>
  <c r="CG99" i="113" s="1"/>
  <c r="CK99" i="113"/>
  <c r="CE12" i="112"/>
  <c r="CE100" i="113" s="1"/>
  <c r="CI100" i="113"/>
  <c r="FK23" i="112"/>
  <c r="FK152" i="112"/>
  <c r="FI25" i="112"/>
  <c r="ET29" i="112"/>
  <c r="ET160" i="112"/>
  <c r="EZ29" i="112"/>
  <c r="EZ160" i="112"/>
  <c r="GD160" i="112"/>
  <c r="GD167" i="112" s="1"/>
  <c r="GJ160" i="112"/>
  <c r="GJ29" i="112"/>
  <c r="GP160" i="112"/>
  <c r="GP29" i="112"/>
  <c r="CP109" i="113"/>
  <c r="CV109" i="113"/>
  <c r="DB109" i="113"/>
  <c r="FO103" i="112"/>
  <c r="FO72" i="112"/>
  <c r="FO131" i="112"/>
  <c r="FO117" i="112"/>
  <c r="FO21" i="112"/>
  <c r="FO193" i="112"/>
  <c r="FO162" i="112"/>
  <c r="FA118" i="112"/>
  <c r="FA104" i="112"/>
  <c r="GQ118" i="112"/>
  <c r="GQ104" i="112"/>
  <c r="FF106" i="112"/>
  <c r="FF120" i="112"/>
  <c r="GT120" i="112"/>
  <c r="GT106" i="112"/>
  <c r="ET105" i="112"/>
  <c r="ET119" i="112"/>
  <c r="FF119" i="112"/>
  <c r="FF105" i="112"/>
  <c r="GL119" i="112"/>
  <c r="GL105" i="112"/>
  <c r="GR119" i="112"/>
  <c r="GR105" i="112"/>
  <c r="FJ19" i="112"/>
  <c r="FJ109" i="113" s="1"/>
  <c r="FJ22" i="112"/>
  <c r="FI24" i="112"/>
  <c r="CE14" i="112"/>
  <c r="CE101" i="113" s="1"/>
  <c r="CI101" i="113"/>
  <c r="EV29" i="112"/>
  <c r="EV160" i="112"/>
  <c r="FB29" i="112"/>
  <c r="FB160" i="112"/>
  <c r="GL29" i="112"/>
  <c r="GL160" i="112"/>
  <c r="CR109" i="113"/>
  <c r="DD109" i="113"/>
  <c r="GW103" i="112"/>
  <c r="GW72" i="112"/>
  <c r="GW131" i="112"/>
  <c r="GW117" i="112"/>
  <c r="GW21" i="112"/>
  <c r="GW193" i="112"/>
  <c r="GW162" i="112"/>
  <c r="EP118" i="112"/>
  <c r="FB104" i="112"/>
  <c r="FB118" i="112"/>
  <c r="FH104" i="112"/>
  <c r="FH118" i="112"/>
  <c r="GF118" i="112"/>
  <c r="GR118" i="112"/>
  <c r="GR104" i="112"/>
  <c r="GX118" i="112"/>
  <c r="GX104" i="112"/>
  <c r="GX208" i="112" s="1"/>
  <c r="FG120" i="112"/>
  <c r="FG106" i="112"/>
  <c r="EU105" i="112"/>
  <c r="EU119" i="112"/>
  <c r="GA119" i="112"/>
  <c r="GG119" i="112"/>
  <c r="GM105" i="112"/>
  <c r="GM119" i="112"/>
  <c r="GG121" i="112"/>
  <c r="GM121" i="112"/>
  <c r="EU122" i="112"/>
  <c r="EU108" i="112"/>
  <c r="GK108" i="112"/>
  <c r="GK122" i="112"/>
  <c r="BI151" i="112"/>
  <c r="BI177" i="112" s="1"/>
  <c r="CH98" i="113"/>
  <c r="FK19" i="112"/>
  <c r="FK109" i="113" s="1"/>
  <c r="FK22" i="112"/>
  <c r="FJ24" i="112"/>
  <c r="GW24" i="112"/>
  <c r="GW158" i="112"/>
  <c r="FH152" i="112"/>
  <c r="GV23" i="112"/>
  <c r="CF14" i="112"/>
  <c r="CF101" i="113" s="1"/>
  <c r="CJ101" i="113"/>
  <c r="FL25" i="112"/>
  <c r="GV25" i="112"/>
  <c r="EW160" i="112"/>
  <c r="EW29" i="112"/>
  <c r="FC29" i="112"/>
  <c r="FC160" i="112"/>
  <c r="GG160" i="112"/>
  <c r="GG29" i="112"/>
  <c r="GM160" i="112"/>
  <c r="GM29" i="112"/>
  <c r="CM109" i="113"/>
  <c r="CS109" i="113"/>
  <c r="CY109" i="113"/>
  <c r="FE193" i="112"/>
  <c r="FE131" i="112"/>
  <c r="FE103" i="112"/>
  <c r="FE21" i="112"/>
  <c r="FE117" i="112"/>
  <c r="FE162" i="112"/>
  <c r="FE72" i="112"/>
  <c r="GX193" i="112"/>
  <c r="GX131" i="112"/>
  <c r="GX103" i="112"/>
  <c r="GX21" i="112"/>
  <c r="GX117" i="112"/>
  <c r="GX162" i="112"/>
  <c r="GX72" i="112"/>
  <c r="EW118" i="112"/>
  <c r="FI104" i="112"/>
  <c r="FI118" i="112"/>
  <c r="GG118" i="112"/>
  <c r="GS104" i="112"/>
  <c r="GS118" i="112"/>
  <c r="FB106" i="112"/>
  <c r="FB120" i="112"/>
  <c r="GW106" i="112"/>
  <c r="GW120" i="112"/>
  <c r="EV119" i="112"/>
  <c r="EV105" i="112"/>
  <c r="GB119" i="112"/>
  <c r="FF121" i="112"/>
  <c r="GF122" i="112"/>
  <c r="CI98" i="113"/>
  <c r="GU19" i="112"/>
  <c r="GU151" i="112"/>
  <c r="FD160" i="112"/>
  <c r="FD29" i="112"/>
  <c r="CT109" i="113"/>
  <c r="FG72" i="112"/>
  <c r="FG21" i="112"/>
  <c r="FG117" i="112"/>
  <c r="FG103" i="112"/>
  <c r="FG193" i="112"/>
  <c r="FG131" i="112"/>
  <c r="FG162" i="112"/>
  <c r="FM72" i="112"/>
  <c r="FM21" i="112"/>
  <c r="FM162" i="112"/>
  <c r="FM131" i="112"/>
  <c r="FM193" i="112"/>
  <c r="FM103" i="112"/>
  <c r="FM117" i="112"/>
  <c r="GZ193" i="112"/>
  <c r="GZ162" i="112"/>
  <c r="GZ131" i="112"/>
  <c r="GZ72" i="112"/>
  <c r="GZ21" i="112"/>
  <c r="GZ117" i="112"/>
  <c r="GZ103" i="112"/>
  <c r="EY104" i="112"/>
  <c r="EY118" i="112"/>
  <c r="FE118" i="112"/>
  <c r="FE104" i="112"/>
  <c r="FK118" i="112"/>
  <c r="FK104" i="112"/>
  <c r="GO104" i="112"/>
  <c r="GO118" i="112"/>
  <c r="GU104" i="112"/>
  <c r="GU208" i="112" s="1"/>
  <c r="GU118" i="112"/>
  <c r="FD120" i="112"/>
  <c r="FD106" i="112"/>
  <c r="GR120" i="112"/>
  <c r="GR106" i="112"/>
  <c r="ER119" i="112"/>
  <c r="ER105" i="112"/>
  <c r="EX119" i="112"/>
  <c r="EX105" i="112"/>
  <c r="FD119" i="112"/>
  <c r="FD105" i="112"/>
  <c r="FJ119" i="112"/>
  <c r="FJ105" i="112"/>
  <c r="GP105" i="112"/>
  <c r="GP119" i="112"/>
  <c r="GV105" i="112"/>
  <c r="GV119" i="112"/>
  <c r="EX122" i="112"/>
  <c r="EX108" i="112"/>
  <c r="FD122" i="112"/>
  <c r="FD108" i="112"/>
  <c r="GN122" i="112"/>
  <c r="GN108" i="112"/>
  <c r="FH162" i="112"/>
  <c r="FH117" i="112"/>
  <c r="FH72" i="112"/>
  <c r="FH103" i="112"/>
  <c r="FH131" i="112"/>
  <c r="FH21" i="112"/>
  <c r="FH193" i="112"/>
  <c r="FN162" i="112"/>
  <c r="FN117" i="112"/>
  <c r="FN72" i="112"/>
  <c r="FN21" i="112"/>
  <c r="FN103" i="112"/>
  <c r="FN193" i="112"/>
  <c r="FN131" i="112"/>
  <c r="GU162" i="112"/>
  <c r="GU117" i="112"/>
  <c r="GU72" i="112"/>
  <c r="GU21" i="112"/>
  <c r="GU103" i="112"/>
  <c r="GU131" i="112"/>
  <c r="GU193" i="112"/>
  <c r="ET118" i="112"/>
  <c r="EZ104" i="112"/>
  <c r="EZ118" i="112"/>
  <c r="FF118" i="112"/>
  <c r="FF104" i="112"/>
  <c r="FL118" i="112"/>
  <c r="FL104" i="112"/>
  <c r="GD118" i="112"/>
  <c r="GJ118" i="112"/>
  <c r="GP118" i="112"/>
  <c r="GP104" i="112"/>
  <c r="GV104" i="112"/>
  <c r="GV208" i="112" s="1"/>
  <c r="GV118" i="112"/>
  <c r="FE106" i="112"/>
  <c r="FE120" i="112"/>
  <c r="GS106" i="112"/>
  <c r="GS120" i="112"/>
  <c r="ES105" i="112"/>
  <c r="ES119" i="112"/>
  <c r="EY105" i="112"/>
  <c r="EY119" i="112"/>
  <c r="FE105" i="112"/>
  <c r="FE119" i="112"/>
  <c r="FK105" i="112"/>
  <c r="FK119" i="112"/>
  <c r="GE119" i="112"/>
  <c r="GK119" i="112"/>
  <c r="GK105" i="112"/>
  <c r="GQ119" i="112"/>
  <c r="GQ105" i="112"/>
  <c r="GW105" i="112"/>
  <c r="GW119" i="112"/>
  <c r="FC121" i="112"/>
  <c r="GE121" i="112"/>
  <c r="GK121" i="112"/>
  <c r="GQ121" i="112"/>
  <c r="EY108" i="112"/>
  <c r="EY122" i="112"/>
  <c r="FE122" i="112"/>
  <c r="FE108" i="112"/>
  <c r="GI122" i="112"/>
  <c r="GO108" i="112"/>
  <c r="GO122" i="112"/>
  <c r="FI22" i="112"/>
  <c r="FI19" i="112"/>
  <c r="FI109" i="113" s="1"/>
  <c r="GX22" i="112"/>
  <c r="GX151" i="112"/>
  <c r="GX19" i="112"/>
  <c r="CF12" i="112"/>
  <c r="CF100" i="113" s="1"/>
  <c r="CJ100" i="113"/>
  <c r="FL23" i="112"/>
  <c r="CD14" i="112"/>
  <c r="CH25" i="112" s="1"/>
  <c r="CH101" i="113"/>
  <c r="FJ25" i="112"/>
  <c r="EU160" i="112"/>
  <c r="EU29" i="112"/>
  <c r="FA160" i="112"/>
  <c r="FA29" i="112"/>
  <c r="GE29" i="112"/>
  <c r="GE160" i="112"/>
  <c r="GK160" i="112"/>
  <c r="GK29" i="112"/>
  <c r="GQ29" i="112"/>
  <c r="CQ109" i="113"/>
  <c r="CW109" i="113"/>
  <c r="DC109" i="113"/>
  <c r="DG6" i="112"/>
  <c r="DG205" i="112" s="1"/>
  <c r="CF40" i="113"/>
  <c r="CG55" i="113"/>
  <c r="CK55" i="113"/>
  <c r="CS40" i="113"/>
  <c r="CS55" i="113"/>
  <c r="DE40" i="113"/>
  <c r="DE55" i="113"/>
  <c r="DQ40" i="113"/>
  <c r="DQ55" i="113"/>
  <c r="DI55" i="113"/>
  <c r="CO55" i="113"/>
  <c r="DA40" i="113"/>
  <c r="DA55" i="113"/>
  <c r="DM55" i="113"/>
  <c r="BR180" i="113"/>
  <c r="BR183" i="113" s="1"/>
  <c r="CR40" i="113"/>
  <c r="DD40" i="113"/>
  <c r="CK40" i="113"/>
  <c r="CN40" i="113"/>
  <c r="CO40" i="113"/>
  <c r="DH40" i="113"/>
  <c r="CJ40" i="113"/>
  <c r="CW40" i="113"/>
  <c r="DI40" i="113"/>
  <c r="CN78" i="113"/>
  <c r="CJ78" i="113"/>
  <c r="CK79" i="113"/>
  <c r="CO78" i="113"/>
  <c r="CK76" i="113"/>
  <c r="CF76" i="113"/>
  <c r="CO79" i="113"/>
  <c r="CJ76" i="113"/>
  <c r="CN76" i="113"/>
  <c r="CO76" i="113"/>
  <c r="CP76" i="113" s="1"/>
  <c r="CQ76" i="113" s="1"/>
  <c r="BP77" i="113"/>
  <c r="BQ77" i="113"/>
  <c r="BE65" i="113"/>
  <c r="GJ65" i="113" s="1"/>
  <c r="CC173" i="113"/>
  <c r="DT6" i="113"/>
  <c r="GI65" i="113"/>
  <c r="GR65" i="113"/>
  <c r="CL6" i="113"/>
  <c r="CR6" i="113"/>
  <c r="FH65" i="113"/>
  <c r="CB175" i="113"/>
  <c r="BX173" i="113"/>
  <c r="GH65" i="113"/>
  <c r="EX65" i="113"/>
  <c r="BI65" i="113"/>
  <c r="FA65" i="113" s="1"/>
  <c r="GP171" i="113"/>
  <c r="FF171" i="113"/>
  <c r="BE151" i="112"/>
  <c r="BF177" i="112" s="1"/>
  <c r="CE6" i="113"/>
  <c r="CK6" i="113"/>
  <c r="CQ6" i="113"/>
  <c r="CW6" i="113"/>
  <c r="DI6" i="113"/>
  <c r="DU6" i="113"/>
  <c r="CG6" i="113"/>
  <c r="CM6" i="113"/>
  <c r="CS6" i="113"/>
  <c r="CY6" i="113"/>
  <c r="DE6" i="113"/>
  <c r="DK6" i="113"/>
  <c r="DQ6" i="113"/>
  <c r="GP172" i="113"/>
  <c r="CE175" i="113"/>
  <c r="GO179" i="113"/>
  <c r="CF175" i="113"/>
  <c r="FF172" i="113"/>
  <c r="BI179" i="113"/>
  <c r="CA175" i="113"/>
  <c r="BQ183" i="113"/>
  <c r="AW34" i="112"/>
  <c r="EZ12" i="112"/>
  <c r="BN23" i="112"/>
  <c r="AX25" i="112"/>
  <c r="CP6" i="113"/>
  <c r="CV6" i="113"/>
  <c r="DB6" i="113"/>
  <c r="DN6" i="113"/>
  <c r="DD6" i="113"/>
  <c r="DJ6" i="113"/>
  <c r="DP6" i="113"/>
  <c r="CF6" i="113"/>
  <c r="CX6" i="113"/>
  <c r="CJ6" i="113"/>
  <c r="DC6" i="113"/>
  <c r="DO6" i="113"/>
  <c r="CH6" i="113"/>
  <c r="CN6" i="113"/>
  <c r="CT6" i="113"/>
  <c r="CZ6" i="113"/>
  <c r="DF6" i="113"/>
  <c r="DL6" i="113"/>
  <c r="DR6" i="113"/>
  <c r="DG6" i="113"/>
  <c r="CI6" i="113"/>
  <c r="DA6" i="113"/>
  <c r="DS6" i="113"/>
  <c r="DH6" i="113"/>
  <c r="CO6" i="113"/>
  <c r="CU6" i="113"/>
  <c r="DM6" i="113"/>
  <c r="CI6" i="112"/>
  <c r="CI205" i="112" s="1"/>
  <c r="GC105" i="112"/>
  <c r="GI105" i="112"/>
  <c r="CV6" i="112"/>
  <c r="CV205" i="112" s="1"/>
  <c r="BP33" i="112"/>
  <c r="BD33" i="112"/>
  <c r="DS6" i="112"/>
  <c r="BP36" i="112"/>
  <c r="BO35" i="112"/>
  <c r="BU35" i="112"/>
  <c r="CF6" i="112"/>
  <c r="CF205" i="112" s="1"/>
  <c r="CL6" i="112"/>
  <c r="CL205" i="112" s="1"/>
  <c r="CR6" i="112"/>
  <c r="CR205" i="112" s="1"/>
  <c r="CX6" i="112"/>
  <c r="CX205" i="112" s="1"/>
  <c r="DD6" i="112"/>
  <c r="DD205" i="112" s="1"/>
  <c r="DJ6" i="112"/>
  <c r="DP6" i="112"/>
  <c r="CD101" i="112"/>
  <c r="CO41" i="112"/>
  <c r="DA41" i="112"/>
  <c r="BK36" i="112"/>
  <c r="BQ36" i="112"/>
  <c r="GM12" i="112"/>
  <c r="GF14" i="112"/>
  <c r="GI14" i="112"/>
  <c r="FD14" i="112"/>
  <c r="CQ30" i="112"/>
  <c r="FA194" i="112"/>
  <c r="FD12" i="112"/>
  <c r="GI12" i="112"/>
  <c r="BC23" i="112"/>
  <c r="BI23" i="112"/>
  <c r="GO12" i="112"/>
  <c r="CC37" i="112"/>
  <c r="GG108" i="112"/>
  <c r="FH100" i="112"/>
  <c r="EY12" i="112"/>
  <c r="BJ25" i="112"/>
  <c r="FC16" i="112"/>
  <c r="DC6" i="112"/>
  <c r="DC205" i="112" s="1"/>
  <c r="CO6" i="112"/>
  <c r="CO205" i="112" s="1"/>
  <c r="FI205" i="112" s="1"/>
  <c r="CU6" i="112"/>
  <c r="CU205" i="112" s="1"/>
  <c r="DA6" i="112"/>
  <c r="DA205" i="112" s="1"/>
  <c r="FL205" i="112" s="1"/>
  <c r="DM6" i="112"/>
  <c r="GQ101" i="112"/>
  <c r="GQ160" i="112" s="1"/>
  <c r="AZ23" i="112"/>
  <c r="CF26" i="112"/>
  <c r="CZ30" i="112"/>
  <c r="AC174" i="112"/>
  <c r="BU34" i="112"/>
  <c r="GR15" i="112"/>
  <c r="GR159" i="112" s="1"/>
  <c r="GR166" i="112" s="1"/>
  <c r="CP41" i="112"/>
  <c r="CV41" i="112"/>
  <c r="DI6" i="112"/>
  <c r="CG6" i="112"/>
  <c r="CG205" i="112" s="1"/>
  <c r="CM6" i="112"/>
  <c r="CM205" i="112" s="1"/>
  <c r="CS6" i="112"/>
  <c r="CS205" i="112" s="1"/>
  <c r="FJ205" i="112" s="1"/>
  <c r="CY6" i="112"/>
  <c r="CY205" i="112" s="1"/>
  <c r="DE6" i="112"/>
  <c r="DE205" i="112" s="1"/>
  <c r="FM205" i="112" s="1"/>
  <c r="DK6" i="112"/>
  <c r="DQ6" i="112"/>
  <c r="L171" i="112"/>
  <c r="BH22" i="112"/>
  <c r="CJ33" i="112"/>
  <c r="BN35" i="112"/>
  <c r="BT35" i="112"/>
  <c r="EV12" i="112"/>
  <c r="BD34" i="112"/>
  <c r="CD12" i="112"/>
  <c r="AY36" i="112"/>
  <c r="BM36" i="112"/>
  <c r="CQ41" i="112"/>
  <c r="BD36" i="112"/>
  <c r="BM38" i="112"/>
  <c r="DO6" i="112"/>
  <c r="GS100" i="112"/>
  <c r="BU22" i="112"/>
  <c r="BI13" i="112"/>
  <c r="BI35" i="112" s="1"/>
  <c r="ET12" i="112"/>
  <c r="GH12" i="112"/>
  <c r="AT36" i="112"/>
  <c r="BT25" i="112"/>
  <c r="GE108" i="112"/>
  <c r="GG14" i="112"/>
  <c r="CG26" i="112"/>
  <c r="FA195" i="112"/>
  <c r="CL100" i="112"/>
  <c r="CE6" i="112"/>
  <c r="CE205" i="112" s="1"/>
  <c r="CJ6" i="112"/>
  <c r="CJ205" i="112" s="1"/>
  <c r="CP6" i="112"/>
  <c r="CP205" i="112" s="1"/>
  <c r="CW6" i="112"/>
  <c r="CW205" i="112" s="1"/>
  <c r="FK205" i="112" s="1"/>
  <c r="DB6" i="112"/>
  <c r="DB205" i="112" s="1"/>
  <c r="DH6" i="112"/>
  <c r="DN6" i="112"/>
  <c r="DT6" i="112"/>
  <c r="GE105" i="112"/>
  <c r="AA174" i="112"/>
  <c r="CD11" i="112"/>
  <c r="BQ35" i="112"/>
  <c r="GG12" i="112"/>
  <c r="BG34" i="112"/>
  <c r="ET14" i="112"/>
  <c r="EW14" i="112"/>
  <c r="BB14" i="112"/>
  <c r="BF25" i="112" s="1"/>
  <c r="BP25" i="112"/>
  <c r="FF15" i="112"/>
  <c r="FF159" i="112" s="1"/>
  <c r="FF166" i="112" s="1"/>
  <c r="CT30" i="112"/>
  <c r="EZ194" i="112"/>
  <c r="BY179" i="112"/>
  <c r="BY172" i="112"/>
  <c r="CE179" i="112"/>
  <c r="CE165" i="112"/>
  <c r="CE172" i="112"/>
  <c r="CK179" i="112"/>
  <c r="CK165" i="112"/>
  <c r="CK172" i="112"/>
  <c r="P171" i="112"/>
  <c r="P164" i="112"/>
  <c r="AB171" i="112"/>
  <c r="AB164" i="112"/>
  <c r="AN171" i="112"/>
  <c r="AN164" i="112"/>
  <c r="BR178" i="112"/>
  <c r="BR171" i="112"/>
  <c r="BR164" i="112"/>
  <c r="GJ14" i="112"/>
  <c r="AU36" i="112"/>
  <c r="EX14" i="112"/>
  <c r="CD6" i="112"/>
  <c r="CD205" i="112" s="1"/>
  <c r="CQ6" i="112"/>
  <c r="CQ205" i="112" s="1"/>
  <c r="DC120" i="112"/>
  <c r="DC113" i="112"/>
  <c r="DB112" i="112"/>
  <c r="DB119" i="112"/>
  <c r="GF105" i="112"/>
  <c r="CI160" i="112"/>
  <c r="BF22" i="112"/>
  <c r="BL33" i="112"/>
  <c r="BL22" i="112"/>
  <c r="BR33" i="112"/>
  <c r="BR22" i="112"/>
  <c r="BJ38" i="112"/>
  <c r="FB16" i="112"/>
  <c r="BU38" i="112"/>
  <c r="BU27" i="112"/>
  <c r="FD16" i="112"/>
  <c r="DU6" i="112"/>
  <c r="GA105" i="112"/>
  <c r="GG105" i="112"/>
  <c r="CL34" i="112"/>
  <c r="CK34" i="112"/>
  <c r="CO23" i="112"/>
  <c r="CG12" i="112"/>
  <c r="CZ126" i="112"/>
  <c r="CY126" i="112"/>
  <c r="DA112" i="112"/>
  <c r="CX126" i="112"/>
  <c r="DA119" i="112"/>
  <c r="CZ119" i="112"/>
  <c r="DA126" i="112"/>
  <c r="CZ112" i="112"/>
  <c r="CZ152" i="112"/>
  <c r="FL152" i="112"/>
  <c r="GX93" i="112"/>
  <c r="GX152" i="112" s="1"/>
  <c r="GE14" i="112"/>
  <c r="GE25" i="112" s="1"/>
  <c r="ES14" i="112"/>
  <c r="BH36" i="112"/>
  <c r="BH25" i="112"/>
  <c r="CM15" i="112"/>
  <c r="CQ100" i="112"/>
  <c r="CF122" i="112"/>
  <c r="CF115" i="112"/>
  <c r="AI174" i="112"/>
  <c r="AI167" i="112"/>
  <c r="AO174" i="112"/>
  <c r="AO167" i="112"/>
  <c r="AU174" i="112"/>
  <c r="AU167" i="112"/>
  <c r="BA174" i="112"/>
  <c r="BA181" i="112"/>
  <c r="BA167" i="112"/>
  <c r="BG174" i="112"/>
  <c r="BG181" i="112"/>
  <c r="BG167" i="112"/>
  <c r="BM174" i="112"/>
  <c r="BM181" i="112"/>
  <c r="BM167" i="112"/>
  <c r="BS174" i="112"/>
  <c r="BS181" i="112"/>
  <c r="BS167" i="112"/>
  <c r="BY174" i="112"/>
  <c r="BY181" i="112"/>
  <c r="BY167" i="112"/>
  <c r="CC160" i="112"/>
  <c r="CC18" i="112" s="1"/>
  <c r="FD11" i="112"/>
  <c r="CF18" i="112"/>
  <c r="CG115" i="112"/>
  <c r="CG122" i="112"/>
  <c r="CK101" i="112"/>
  <c r="GI108" i="112"/>
  <c r="V171" i="112"/>
  <c r="V164" i="112"/>
  <c r="AH171" i="112"/>
  <c r="AH164" i="112"/>
  <c r="AT171" i="112"/>
  <c r="AT164" i="112"/>
  <c r="AZ178" i="112"/>
  <c r="AZ171" i="112"/>
  <c r="AZ164" i="112"/>
  <c r="BF178" i="112"/>
  <c r="BF171" i="112"/>
  <c r="BF164" i="112"/>
  <c r="BL178" i="112"/>
  <c r="BL171" i="112"/>
  <c r="BL164" i="112"/>
  <c r="BX178" i="112"/>
  <c r="BX171" i="112"/>
  <c r="BX164" i="112"/>
  <c r="CD178" i="112"/>
  <c r="CD171" i="112"/>
  <c r="CD164" i="112"/>
  <c r="CJ178" i="112"/>
  <c r="CJ171" i="112"/>
  <c r="CJ164" i="112"/>
  <c r="CP178" i="112"/>
  <c r="CP171" i="112"/>
  <c r="CP164" i="112"/>
  <c r="CV178" i="112"/>
  <c r="CV171" i="112"/>
  <c r="CV164" i="112"/>
  <c r="BA36" i="112"/>
  <c r="BA25" i="112"/>
  <c r="EY14" i="112"/>
  <c r="CJ121" i="112"/>
  <c r="CJ114" i="112"/>
  <c r="CJ128" i="112"/>
  <c r="CJ15" i="112"/>
  <c r="CN100" i="112"/>
  <c r="CN101" i="112"/>
  <c r="AY25" i="112"/>
  <c r="DB113" i="112"/>
  <c r="DB120" i="112"/>
  <c r="DB158" i="112"/>
  <c r="CD37" i="112"/>
  <c r="FG15" i="112"/>
  <c r="CK6" i="112"/>
  <c r="CK205" i="112" s="1"/>
  <c r="FH205" i="112" s="1"/>
  <c r="AX177" i="112"/>
  <c r="AX170" i="112"/>
  <c r="BD177" i="112"/>
  <c r="BD170" i="112"/>
  <c r="BD163" i="112"/>
  <c r="BJ163" i="112"/>
  <c r="BP177" i="112"/>
  <c r="BP170" i="112"/>
  <c r="BP163" i="112"/>
  <c r="BV177" i="112"/>
  <c r="BV170" i="112"/>
  <c r="BV163" i="112"/>
  <c r="CB177" i="112"/>
  <c r="CB170" i="112"/>
  <c r="CB163" i="112"/>
  <c r="CH177" i="112"/>
  <c r="CH170" i="112"/>
  <c r="CH163" i="112"/>
  <c r="CN170" i="112"/>
  <c r="CN177" i="112"/>
  <c r="CT170" i="112"/>
  <c r="CT163" i="112"/>
  <c r="CT177" i="112"/>
  <c r="CZ170" i="112"/>
  <c r="CZ163" i="112"/>
  <c r="CZ177" i="112"/>
  <c r="CQ165" i="112"/>
  <c r="CW172" i="112"/>
  <c r="CW179" i="112"/>
  <c r="CW165" i="112"/>
  <c r="DB152" i="112"/>
  <c r="BK35" i="112"/>
  <c r="GN13" i="112"/>
  <c r="FB13" i="112"/>
  <c r="FB158" i="112" s="1"/>
  <c r="CK121" i="112"/>
  <c r="CK128" i="112"/>
  <c r="GJ108" i="112"/>
  <c r="AY177" i="112"/>
  <c r="AY170" i="112"/>
  <c r="BK177" i="112"/>
  <c r="BK170" i="112"/>
  <c r="BK163" i="112"/>
  <c r="BQ177" i="112"/>
  <c r="BQ170" i="112"/>
  <c r="BQ163" i="112"/>
  <c r="BW177" i="112"/>
  <c r="BW163" i="112"/>
  <c r="BW170" i="112"/>
  <c r="CC177" i="112"/>
  <c r="CC170" i="112"/>
  <c r="CC163" i="112"/>
  <c r="CI177" i="112"/>
  <c r="CI170" i="112"/>
  <c r="CI163" i="112"/>
  <c r="CO177" i="112"/>
  <c r="CO170" i="112"/>
  <c r="CU177" i="112"/>
  <c r="CU170" i="112"/>
  <c r="CU163" i="112"/>
  <c r="DA177" i="112"/>
  <c r="DA170" i="112"/>
  <c r="DA163" i="112"/>
  <c r="BZ179" i="112"/>
  <c r="BZ165" i="112"/>
  <c r="BZ172" i="112"/>
  <c r="CF179" i="112"/>
  <c r="CF172" i="112"/>
  <c r="CF165" i="112"/>
  <c r="CR179" i="112"/>
  <c r="CR172" i="112"/>
  <c r="CR165" i="112"/>
  <c r="CX179" i="112"/>
  <c r="CX172" i="112"/>
  <c r="CX165" i="112"/>
  <c r="K171" i="112"/>
  <c r="Q171" i="112"/>
  <c r="Q164" i="112"/>
  <c r="W171" i="112"/>
  <c r="W164" i="112"/>
  <c r="AC171" i="112"/>
  <c r="AC164" i="112"/>
  <c r="AI164" i="112"/>
  <c r="AI171" i="112"/>
  <c r="AO171" i="112"/>
  <c r="AO164" i="112"/>
  <c r="AU171" i="112"/>
  <c r="AU164" i="112"/>
  <c r="BA171" i="112"/>
  <c r="BA178" i="112"/>
  <c r="BA164" i="112"/>
  <c r="BG171" i="112"/>
  <c r="BG178" i="112"/>
  <c r="BG164" i="112"/>
  <c r="BM171" i="112"/>
  <c r="BM178" i="112"/>
  <c r="BM164" i="112"/>
  <c r="BS171" i="112"/>
  <c r="BS164" i="112"/>
  <c r="BS178" i="112"/>
  <c r="BY171" i="112"/>
  <c r="BY178" i="112"/>
  <c r="BY164" i="112"/>
  <c r="CE171" i="112"/>
  <c r="CE178" i="112"/>
  <c r="CE164" i="112"/>
  <c r="CK178" i="112"/>
  <c r="CK164" i="112"/>
  <c r="CQ178" i="112"/>
  <c r="CQ171" i="112"/>
  <c r="CQ164" i="112"/>
  <c r="CW178" i="112"/>
  <c r="CW171" i="112"/>
  <c r="CW164" i="112"/>
  <c r="AD174" i="112"/>
  <c r="AD167" i="112"/>
  <c r="AJ174" i="112"/>
  <c r="AJ167" i="112"/>
  <c r="AP174" i="112"/>
  <c r="AP167" i="112"/>
  <c r="AV174" i="112"/>
  <c r="AV167" i="112"/>
  <c r="BB174" i="112"/>
  <c r="BB181" i="112"/>
  <c r="BB167" i="112"/>
  <c r="BH174" i="112"/>
  <c r="BH181" i="112"/>
  <c r="BH167" i="112"/>
  <c r="BN174" i="112"/>
  <c r="BN181" i="112"/>
  <c r="BN167" i="112"/>
  <c r="BT174" i="112"/>
  <c r="BT181" i="112"/>
  <c r="BT167" i="112"/>
  <c r="BZ174" i="112"/>
  <c r="BZ181" i="112"/>
  <c r="BZ167" i="112"/>
  <c r="CF174" i="112"/>
  <c r="CF181" i="112"/>
  <c r="BG33" i="112"/>
  <c r="BM33" i="112"/>
  <c r="BS33" i="112"/>
  <c r="CI33" i="112"/>
  <c r="CI19" i="112"/>
  <c r="GT11" i="112"/>
  <c r="GV105" i="113" s="1"/>
  <c r="CM22" i="112"/>
  <c r="BL35" i="112"/>
  <c r="BR35" i="112"/>
  <c r="GE12" i="112"/>
  <c r="AV36" i="112"/>
  <c r="CE37" i="112"/>
  <c r="BK38" i="112"/>
  <c r="BG23" i="112"/>
  <c r="BM35" i="112"/>
  <c r="AZ177" i="112"/>
  <c r="AZ163" i="112"/>
  <c r="AZ170" i="112"/>
  <c r="BF163" i="112"/>
  <c r="BL177" i="112"/>
  <c r="BL163" i="112"/>
  <c r="BL170" i="112"/>
  <c r="BR177" i="112"/>
  <c r="BR163" i="112"/>
  <c r="BR170" i="112"/>
  <c r="BX177" i="112"/>
  <c r="BX163" i="112"/>
  <c r="BX170" i="112"/>
  <c r="CD177" i="112"/>
  <c r="CD163" i="112"/>
  <c r="CD170" i="112"/>
  <c r="CJ177" i="112"/>
  <c r="CJ163" i="112"/>
  <c r="CJ170" i="112"/>
  <c r="CP177" i="112"/>
  <c r="CP163" i="112"/>
  <c r="CP170" i="112"/>
  <c r="CV177" i="112"/>
  <c r="CV170" i="112"/>
  <c r="CV163" i="112"/>
  <c r="DB177" i="112"/>
  <c r="DB170" i="112"/>
  <c r="DB163" i="112"/>
  <c r="CA179" i="112"/>
  <c r="CA172" i="112"/>
  <c r="CA165" i="112"/>
  <c r="CG179" i="112"/>
  <c r="CG165" i="112"/>
  <c r="CG172" i="112"/>
  <c r="CM179" i="112"/>
  <c r="CM172" i="112"/>
  <c r="CS179" i="112"/>
  <c r="CS172" i="112"/>
  <c r="CS165" i="112"/>
  <c r="CY179" i="112"/>
  <c r="CY172" i="112"/>
  <c r="CY165" i="112"/>
  <c r="R171" i="112"/>
  <c r="R164" i="112"/>
  <c r="X164" i="112"/>
  <c r="X171" i="112"/>
  <c r="AD171" i="112"/>
  <c r="AD164" i="112"/>
  <c r="AJ164" i="112"/>
  <c r="AJ171" i="112"/>
  <c r="AP171" i="112"/>
  <c r="AP164" i="112"/>
  <c r="AV164" i="112"/>
  <c r="AV171" i="112"/>
  <c r="BB178" i="112"/>
  <c r="BB171" i="112"/>
  <c r="BB164" i="112"/>
  <c r="BH171" i="112"/>
  <c r="BH178" i="112"/>
  <c r="BH164" i="112"/>
  <c r="BN178" i="112"/>
  <c r="BN171" i="112"/>
  <c r="BN164" i="112"/>
  <c r="BT171" i="112"/>
  <c r="BT178" i="112"/>
  <c r="BT164" i="112"/>
  <c r="BZ171" i="112"/>
  <c r="BZ178" i="112"/>
  <c r="BZ164" i="112"/>
  <c r="CF171" i="112"/>
  <c r="CF178" i="112"/>
  <c r="CF164" i="112"/>
  <c r="CR171" i="112"/>
  <c r="CR164" i="112"/>
  <c r="CR178" i="112"/>
  <c r="CX171" i="112"/>
  <c r="CX178" i="112"/>
  <c r="CX164" i="112"/>
  <c r="AE174" i="112"/>
  <c r="AE167" i="112"/>
  <c r="AK167" i="112"/>
  <c r="AK174" i="112"/>
  <c r="AQ174" i="112"/>
  <c r="AQ167" i="112"/>
  <c r="AW174" i="112"/>
  <c r="AW167" i="112"/>
  <c r="BC181" i="112"/>
  <c r="BC174" i="112"/>
  <c r="BC167" i="112"/>
  <c r="BI174" i="112"/>
  <c r="BI181" i="112"/>
  <c r="BI167" i="112"/>
  <c r="BO181" i="112"/>
  <c r="BO167" i="112"/>
  <c r="BO174" i="112"/>
  <c r="BU181" i="112"/>
  <c r="BU167" i="112"/>
  <c r="BU174" i="112"/>
  <c r="CA174" i="112"/>
  <c r="CA167" i="112"/>
  <c r="CA181" i="112"/>
  <c r="BN33" i="112"/>
  <c r="BN22" i="112"/>
  <c r="BT33" i="112"/>
  <c r="BT22" i="112"/>
  <c r="CJ19" i="112"/>
  <c r="CN22" i="112"/>
  <c r="BS35" i="112"/>
  <c r="CI35" i="112"/>
  <c r="CE13" i="112"/>
  <c r="CM24" i="112"/>
  <c r="GT13" i="112"/>
  <c r="AY34" i="112"/>
  <c r="AY23" i="112"/>
  <c r="BE23" i="112"/>
  <c r="BE34" i="112"/>
  <c r="BK34" i="112"/>
  <c r="BK23" i="112"/>
  <c r="GN12" i="112"/>
  <c r="BQ34" i="112"/>
  <c r="BQ23" i="112"/>
  <c r="GF12" i="112"/>
  <c r="CF37" i="112"/>
  <c r="CK114" i="112"/>
  <c r="DC119" i="112"/>
  <c r="DC112" i="112"/>
  <c r="GB105" i="112"/>
  <c r="GH105" i="112"/>
  <c r="CA129" i="112"/>
  <c r="BZ129" i="112"/>
  <c r="CA115" i="112"/>
  <c r="BZ115" i="112"/>
  <c r="CA122" i="112"/>
  <c r="BZ122" i="112"/>
  <c r="BZ108" i="112"/>
  <c r="FF101" i="112"/>
  <c r="GF108" i="112"/>
  <c r="BA170" i="112"/>
  <c r="BA177" i="112"/>
  <c r="BA163" i="112"/>
  <c r="BG170" i="112"/>
  <c r="BG177" i="112"/>
  <c r="BG163" i="112"/>
  <c r="BM177" i="112"/>
  <c r="BM170" i="112"/>
  <c r="BS170" i="112"/>
  <c r="BS177" i="112"/>
  <c r="BS163" i="112"/>
  <c r="BY170" i="112"/>
  <c r="BY177" i="112"/>
  <c r="BY163" i="112"/>
  <c r="CE177" i="112"/>
  <c r="CE170" i="112"/>
  <c r="CE163" i="112"/>
  <c r="CK170" i="112"/>
  <c r="CK163" i="112"/>
  <c r="CK177" i="112"/>
  <c r="CQ177" i="112"/>
  <c r="CQ170" i="112"/>
  <c r="CQ163" i="112"/>
  <c r="CW177" i="112"/>
  <c r="CW170" i="112"/>
  <c r="CW163" i="112"/>
  <c r="DC177" i="112"/>
  <c r="DC170" i="112"/>
  <c r="DC163" i="112"/>
  <c r="CB172" i="112"/>
  <c r="CB179" i="112"/>
  <c r="CB165" i="112"/>
  <c r="CH179" i="112"/>
  <c r="CH172" i="112"/>
  <c r="CH165" i="112"/>
  <c r="CN179" i="112"/>
  <c r="CN172" i="112"/>
  <c r="CT179" i="112"/>
  <c r="CT172" i="112"/>
  <c r="M171" i="112"/>
  <c r="S171" i="112"/>
  <c r="S164" i="112"/>
  <c r="Y171" i="112"/>
  <c r="Y164" i="112"/>
  <c r="AE171" i="112"/>
  <c r="AE164" i="112"/>
  <c r="AK171" i="112"/>
  <c r="AK164" i="112"/>
  <c r="AQ171" i="112"/>
  <c r="AQ164" i="112"/>
  <c r="AW171" i="112"/>
  <c r="AW164" i="112"/>
  <c r="BC178" i="112"/>
  <c r="BC171" i="112"/>
  <c r="BC164" i="112"/>
  <c r="BI178" i="112"/>
  <c r="BI164" i="112"/>
  <c r="BI171" i="112"/>
  <c r="BO171" i="112"/>
  <c r="BO178" i="112"/>
  <c r="BO164" i="112"/>
  <c r="BU178" i="112"/>
  <c r="BU171" i="112"/>
  <c r="BU164" i="112"/>
  <c r="CA171" i="112"/>
  <c r="CA178" i="112"/>
  <c r="CA164" i="112"/>
  <c r="CG171" i="112"/>
  <c r="CG178" i="112"/>
  <c r="CG164" i="112"/>
  <c r="CM171" i="112"/>
  <c r="CM178" i="112"/>
  <c r="CS171" i="112"/>
  <c r="CS178" i="112"/>
  <c r="CS164" i="112"/>
  <c r="CY171" i="112"/>
  <c r="CY178" i="112"/>
  <c r="CY164" i="112"/>
  <c r="AF174" i="112"/>
  <c r="AF167" i="112"/>
  <c r="AL174" i="112"/>
  <c r="AL167" i="112"/>
  <c r="AR174" i="112"/>
  <c r="AR167" i="112"/>
  <c r="AX181" i="112"/>
  <c r="AX174" i="112"/>
  <c r="AX167" i="112"/>
  <c r="BD181" i="112"/>
  <c r="BD174" i="112"/>
  <c r="BD167" i="112"/>
  <c r="BJ174" i="112"/>
  <c r="BJ181" i="112"/>
  <c r="BJ167" i="112"/>
  <c r="BP181" i="112"/>
  <c r="BP174" i="112"/>
  <c r="BP167" i="112"/>
  <c r="BV181" i="112"/>
  <c r="BV174" i="112"/>
  <c r="BV167" i="112"/>
  <c r="CB174" i="112"/>
  <c r="CB181" i="112"/>
  <c r="GO11" i="112"/>
  <c r="CK33" i="112"/>
  <c r="CO22" i="112"/>
  <c r="CG11" i="112"/>
  <c r="CL33" i="112"/>
  <c r="GK11" i="112"/>
  <c r="CJ35" i="112"/>
  <c r="CF13" i="112"/>
  <c r="CN24" i="112"/>
  <c r="FC13" i="112"/>
  <c r="FC158" i="112" s="1"/>
  <c r="EU12" i="112"/>
  <c r="AT34" i="112"/>
  <c r="AZ34" i="112"/>
  <c r="BF34" i="112"/>
  <c r="BF23" i="112"/>
  <c r="FA12" i="112"/>
  <c r="BL34" i="112"/>
  <c r="BL23" i="112"/>
  <c r="BR34" i="112"/>
  <c r="BR23" i="112"/>
  <c r="ES12" i="112"/>
  <c r="EV14" i="112"/>
  <c r="BL36" i="112"/>
  <c r="BL25" i="112"/>
  <c r="BR36" i="112"/>
  <c r="BR25" i="112"/>
  <c r="CJ36" i="112"/>
  <c r="CN25" i="112"/>
  <c r="CK19" i="112"/>
  <c r="CW41" i="112"/>
  <c r="CW30" i="112"/>
  <c r="DA30" i="112"/>
  <c r="DC41" i="112"/>
  <c r="DC30" i="112"/>
  <c r="BG22" i="112"/>
  <c r="BU23" i="112"/>
  <c r="CH128" i="112"/>
  <c r="CH121" i="112"/>
  <c r="CH114" i="112"/>
  <c r="CH15" i="112"/>
  <c r="CB129" i="112"/>
  <c r="CB122" i="112"/>
  <c r="CB115" i="112"/>
  <c r="CB18" i="112"/>
  <c r="BB177" i="112"/>
  <c r="BB170" i="112"/>
  <c r="BB163" i="112"/>
  <c r="BH177" i="112"/>
  <c r="BH170" i="112"/>
  <c r="BH163" i="112"/>
  <c r="BN177" i="112"/>
  <c r="BN170" i="112"/>
  <c r="BN163" i="112"/>
  <c r="BT177" i="112"/>
  <c r="BT170" i="112"/>
  <c r="BT163" i="112"/>
  <c r="BZ177" i="112"/>
  <c r="BZ170" i="112"/>
  <c r="BZ163" i="112"/>
  <c r="CF177" i="112"/>
  <c r="CF170" i="112"/>
  <c r="CF163" i="112"/>
  <c r="CR170" i="112"/>
  <c r="CR177" i="112"/>
  <c r="CR163" i="112"/>
  <c r="CX177" i="112"/>
  <c r="CX170" i="112"/>
  <c r="CX163" i="112"/>
  <c r="DD170" i="112"/>
  <c r="DD177" i="112"/>
  <c r="DD163" i="112"/>
  <c r="BW179" i="112"/>
  <c r="BW172" i="112"/>
  <c r="CC179" i="112"/>
  <c r="CC172" i="112"/>
  <c r="CC165" i="112"/>
  <c r="CI179" i="112"/>
  <c r="CI172" i="112"/>
  <c r="CI165" i="112"/>
  <c r="CO172" i="112"/>
  <c r="CO179" i="112"/>
  <c r="CU172" i="112"/>
  <c r="CU165" i="112"/>
  <c r="CU179" i="112"/>
  <c r="DA165" i="112"/>
  <c r="N171" i="112"/>
  <c r="N164" i="112"/>
  <c r="T171" i="112"/>
  <c r="T164" i="112"/>
  <c r="Z171" i="112"/>
  <c r="Z164" i="112"/>
  <c r="AF171" i="112"/>
  <c r="AF164" i="112"/>
  <c r="AL171" i="112"/>
  <c r="AL164" i="112"/>
  <c r="AR171" i="112"/>
  <c r="AR164" i="112"/>
  <c r="AX171" i="112"/>
  <c r="AX178" i="112"/>
  <c r="AX164" i="112"/>
  <c r="BD178" i="112"/>
  <c r="BD171" i="112"/>
  <c r="BD164" i="112"/>
  <c r="BJ178" i="112"/>
  <c r="BJ164" i="112"/>
  <c r="BJ171" i="112"/>
  <c r="BP178" i="112"/>
  <c r="BP164" i="112"/>
  <c r="BP171" i="112"/>
  <c r="BV178" i="112"/>
  <c r="BV171" i="112"/>
  <c r="BV164" i="112"/>
  <c r="CB178" i="112"/>
  <c r="CB164" i="112"/>
  <c r="CB171" i="112"/>
  <c r="CH178" i="112"/>
  <c r="CH164" i="112"/>
  <c r="CH171" i="112"/>
  <c r="CN178" i="112"/>
  <c r="CN171" i="112"/>
  <c r="CT171" i="112"/>
  <c r="CT164" i="112"/>
  <c r="CT178" i="112"/>
  <c r="AG174" i="112"/>
  <c r="AG167" i="112"/>
  <c r="AM167" i="112"/>
  <c r="AM174" i="112"/>
  <c r="AS167" i="112"/>
  <c r="AS174" i="112"/>
  <c r="AY181" i="112"/>
  <c r="AY174" i="112"/>
  <c r="AY167" i="112"/>
  <c r="BE181" i="112"/>
  <c r="BE174" i="112"/>
  <c r="BE167" i="112"/>
  <c r="BK181" i="112"/>
  <c r="BK167" i="112"/>
  <c r="BK174" i="112"/>
  <c r="BQ181" i="112"/>
  <c r="BQ174" i="112"/>
  <c r="BQ167" i="112"/>
  <c r="BW181" i="112"/>
  <c r="BW167" i="112"/>
  <c r="BW174" i="112"/>
  <c r="FB11" i="112"/>
  <c r="CE11" i="112"/>
  <c r="FD13" i="112"/>
  <c r="FD158" i="112" s="1"/>
  <c r="AU34" i="112"/>
  <c r="GJ12" i="112"/>
  <c r="BA34" i="112"/>
  <c r="BA23" i="112"/>
  <c r="BM34" i="112"/>
  <c r="BM23" i="112"/>
  <c r="BS34" i="112"/>
  <c r="BS23" i="112"/>
  <c r="CI34" i="112"/>
  <c r="CM23" i="112"/>
  <c r="GT12" i="112"/>
  <c r="GK12" i="112"/>
  <c r="GH14" i="112"/>
  <c r="BS36" i="112"/>
  <c r="BS25" i="112"/>
  <c r="CL36" i="112"/>
  <c r="CK36" i="112"/>
  <c r="CO25" i="112"/>
  <c r="CG14" i="112"/>
  <c r="CG101" i="113" s="1"/>
  <c r="GN16" i="112"/>
  <c r="BL38" i="112"/>
  <c r="DG111" i="112"/>
  <c r="DG118" i="112"/>
  <c r="CQ127" i="112"/>
  <c r="CQ120" i="112"/>
  <c r="CP113" i="112"/>
  <c r="CP127" i="112"/>
  <c r="CT106" i="112"/>
  <c r="CR127" i="112"/>
  <c r="CP120" i="112"/>
  <c r="CP106" i="112"/>
  <c r="CS127" i="112"/>
  <c r="CQ113" i="112"/>
  <c r="CH6" i="112"/>
  <c r="CH205" i="112" s="1"/>
  <c r="CN6" i="112"/>
  <c r="CN205" i="112" s="1"/>
  <c r="CT6" i="112"/>
  <c r="CT205" i="112" s="1"/>
  <c r="CZ6" i="112"/>
  <c r="CZ205" i="112" s="1"/>
  <c r="DF6" i="112"/>
  <c r="DF205" i="112" s="1"/>
  <c r="DL6" i="112"/>
  <c r="DR6" i="112"/>
  <c r="DA127" i="112"/>
  <c r="DA120" i="112"/>
  <c r="CZ113" i="112"/>
  <c r="CZ127" i="112"/>
  <c r="CX127" i="112"/>
  <c r="DA113" i="112"/>
  <c r="CZ120" i="112"/>
  <c r="CY127" i="112"/>
  <c r="GD105" i="112"/>
  <c r="GJ105" i="112"/>
  <c r="CI128" i="112"/>
  <c r="CI121" i="112"/>
  <c r="CI114" i="112"/>
  <c r="CI15" i="112"/>
  <c r="CC129" i="112"/>
  <c r="CC115" i="112"/>
  <c r="CC122" i="112"/>
  <c r="CI101" i="112"/>
  <c r="CJ122" i="112" s="1"/>
  <c r="GH108" i="112"/>
  <c r="AW170" i="112"/>
  <c r="BC170" i="112"/>
  <c r="BC177" i="112"/>
  <c r="BC163" i="112"/>
  <c r="BO170" i="112"/>
  <c r="BO177" i="112"/>
  <c r="BO163" i="112"/>
  <c r="BU170" i="112"/>
  <c r="BU177" i="112"/>
  <c r="BU163" i="112"/>
  <c r="CA170" i="112"/>
  <c r="CA177" i="112"/>
  <c r="CA163" i="112"/>
  <c r="CG170" i="112"/>
  <c r="CG177" i="112"/>
  <c r="CG163" i="112"/>
  <c r="CM177" i="112"/>
  <c r="CM170" i="112"/>
  <c r="CS177" i="112"/>
  <c r="CS170" i="112"/>
  <c r="CS163" i="112"/>
  <c r="CY177" i="112"/>
  <c r="CY170" i="112"/>
  <c r="CY163" i="112"/>
  <c r="BX172" i="112"/>
  <c r="BX179" i="112"/>
  <c r="CD172" i="112"/>
  <c r="CD179" i="112"/>
  <c r="CD165" i="112"/>
  <c r="CJ172" i="112"/>
  <c r="CJ179" i="112"/>
  <c r="CJ165" i="112"/>
  <c r="CP158" i="112"/>
  <c r="CV172" i="112"/>
  <c r="CV179" i="112"/>
  <c r="CV165" i="112"/>
  <c r="O171" i="112"/>
  <c r="O164" i="112"/>
  <c r="U171" i="112"/>
  <c r="U164" i="112"/>
  <c r="AA171" i="112"/>
  <c r="AA164" i="112"/>
  <c r="AG171" i="112"/>
  <c r="AG164" i="112"/>
  <c r="AM171" i="112"/>
  <c r="AM164" i="112"/>
  <c r="AS171" i="112"/>
  <c r="AS164" i="112"/>
  <c r="AY178" i="112"/>
  <c r="AY171" i="112"/>
  <c r="AY164" i="112"/>
  <c r="BE178" i="112"/>
  <c r="BE171" i="112"/>
  <c r="BE164" i="112"/>
  <c r="BK178" i="112"/>
  <c r="BK171" i="112"/>
  <c r="BK164" i="112"/>
  <c r="BQ178" i="112"/>
  <c r="BQ171" i="112"/>
  <c r="BQ164" i="112"/>
  <c r="BW178" i="112"/>
  <c r="BW171" i="112"/>
  <c r="BW164" i="112"/>
  <c r="CC178" i="112"/>
  <c r="CC171" i="112"/>
  <c r="CC164" i="112"/>
  <c r="CI178" i="112"/>
  <c r="CI171" i="112"/>
  <c r="CI164" i="112"/>
  <c r="CO178" i="112"/>
  <c r="CO171" i="112"/>
  <c r="CU178" i="112"/>
  <c r="CU171" i="112"/>
  <c r="CU164" i="112"/>
  <c r="DA164" i="112"/>
  <c r="AB174" i="112"/>
  <c r="AH174" i="112"/>
  <c r="AH167" i="112"/>
  <c r="AN174" i="112"/>
  <c r="AN167" i="112"/>
  <c r="AT174" i="112"/>
  <c r="AT167" i="112"/>
  <c r="AZ181" i="112"/>
  <c r="AZ174" i="112"/>
  <c r="AZ167" i="112"/>
  <c r="BF181" i="112"/>
  <c r="BF174" i="112"/>
  <c r="BF167" i="112"/>
  <c r="BL181" i="112"/>
  <c r="BL174" i="112"/>
  <c r="BL167" i="112"/>
  <c r="BR181" i="112"/>
  <c r="BR174" i="112"/>
  <c r="BR167" i="112"/>
  <c r="BX181" i="112"/>
  <c r="BX174" i="112"/>
  <c r="BX167" i="112"/>
  <c r="CD160" i="112"/>
  <c r="CE174" i="112" s="1"/>
  <c r="CJ160" i="112"/>
  <c r="CJ18" i="112" s="1"/>
  <c r="BK33" i="112"/>
  <c r="BK22" i="112"/>
  <c r="GN11" i="112"/>
  <c r="BQ33" i="112"/>
  <c r="BQ22" i="112"/>
  <c r="CF11" i="112"/>
  <c r="CF98" i="113" s="1"/>
  <c r="FC11" i="112"/>
  <c r="BP35" i="112"/>
  <c r="CD13" i="112"/>
  <c r="CD99" i="113" s="1"/>
  <c r="GO13" i="112"/>
  <c r="EW12" i="112"/>
  <c r="AV34" i="112"/>
  <c r="BB34" i="112"/>
  <c r="BB23" i="112"/>
  <c r="BH34" i="112"/>
  <c r="BH23" i="112"/>
  <c r="BN34" i="112"/>
  <c r="FC12" i="112"/>
  <c r="BT34" i="112"/>
  <c r="BT23" i="112"/>
  <c r="CJ34" i="112"/>
  <c r="CN23" i="112"/>
  <c r="EX12" i="112"/>
  <c r="GL12" i="112"/>
  <c r="EU14" i="112"/>
  <c r="AZ36" i="112"/>
  <c r="AZ25" i="112"/>
  <c r="BG36" i="112"/>
  <c r="BG25" i="112"/>
  <c r="BN36" i="112"/>
  <c r="FC14" i="112"/>
  <c r="BN25" i="112"/>
  <c r="BT36" i="112"/>
  <c r="CK15" i="112"/>
  <c r="BI197" i="112"/>
  <c r="GM197" i="112" s="1"/>
  <c r="BI38" i="112"/>
  <c r="BR38" i="112"/>
  <c r="BQ38" i="112"/>
  <c r="GO16" i="112"/>
  <c r="BQ27" i="112"/>
  <c r="CE18" i="112"/>
  <c r="BS22" i="112"/>
  <c r="CL24" i="112"/>
  <c r="BH33" i="112"/>
  <c r="BO34" i="112"/>
  <c r="CR41" i="112"/>
  <c r="CX41" i="112"/>
  <c r="DD41" i="112"/>
  <c r="CL22" i="112"/>
  <c r="BO23" i="112"/>
  <c r="CR30" i="112"/>
  <c r="BC34" i="112"/>
  <c r="CM41" i="112"/>
  <c r="CS41" i="112"/>
  <c r="CS30" i="112"/>
  <c r="CY41" i="112"/>
  <c r="CY30" i="112"/>
  <c r="BO22" i="112"/>
  <c r="AX36" i="112"/>
  <c r="BE197" i="112"/>
  <c r="BE14" i="112" s="1"/>
  <c r="BF36" i="112" s="1"/>
  <c r="BU33" i="112"/>
  <c r="CK35" i="112"/>
  <c r="CO24" i="112"/>
  <c r="CL35" i="112"/>
  <c r="BI34" i="112"/>
  <c r="AW36" i="112"/>
  <c r="BC25" i="112"/>
  <c r="BO36" i="112"/>
  <c r="BO25" i="112"/>
  <c r="BU36" i="112"/>
  <c r="BU25" i="112"/>
  <c r="GN14" i="112"/>
  <c r="GT14" i="112"/>
  <c r="CG37" i="112"/>
  <c r="CH19" i="112"/>
  <c r="CN41" i="112"/>
  <c r="CT41" i="112"/>
  <c r="CZ41" i="112"/>
  <c r="BJ22" i="112"/>
  <c r="BP22" i="112"/>
  <c r="BQ25" i="112"/>
  <c r="CL25" i="112"/>
  <c r="CV30" i="112"/>
  <c r="DD30" i="112"/>
  <c r="BO33" i="112"/>
  <c r="BE38" i="112"/>
  <c r="AX23" i="112"/>
  <c r="AX34" i="112"/>
  <c r="BD23" i="112"/>
  <c r="BJ34" i="112"/>
  <c r="BJ23" i="112"/>
  <c r="BP23" i="112"/>
  <c r="BP34" i="112"/>
  <c r="FB12" i="112"/>
  <c r="FB14" i="112"/>
  <c r="GO14" i="112"/>
  <c r="CU30" i="112"/>
  <c r="CU41" i="112"/>
  <c r="BD25" i="112"/>
  <c r="BK25" i="112"/>
  <c r="CM25" i="112"/>
  <c r="CI36" i="112"/>
  <c r="BO38" i="112"/>
  <c r="BN38" i="112"/>
  <c r="BR27" i="112"/>
  <c r="DB41" i="112"/>
  <c r="DB30" i="112"/>
  <c r="BN27" i="112"/>
  <c r="CP30" i="112"/>
  <c r="CX30" i="112"/>
  <c r="DO40" i="113" l="1"/>
  <c r="O120" i="115"/>
  <c r="DN40" i="113"/>
  <c r="K76" i="125"/>
  <c r="H52" i="125"/>
  <c r="E52" i="125"/>
  <c r="F52" i="125" s="1"/>
  <c r="E50" i="125"/>
  <c r="F50" i="125" s="1"/>
  <c r="K74" i="125"/>
  <c r="H50" i="125"/>
  <c r="GD12" i="112"/>
  <c r="GD19" i="112" s="1"/>
  <c r="S12" i="112"/>
  <c r="S19" i="112" s="1"/>
  <c r="ER12" i="112"/>
  <c r="ER152" i="112" s="1"/>
  <c r="T12" i="112"/>
  <c r="X19" i="112"/>
  <c r="U12" i="112"/>
  <c r="Y19" i="112"/>
  <c r="R12" i="112"/>
  <c r="V19" i="112"/>
  <c r="DA187" i="112"/>
  <c r="CO188" i="112"/>
  <c r="CL189" i="112"/>
  <c r="X120" i="115"/>
  <c r="CW189" i="112"/>
  <c r="CM188" i="112"/>
  <c r="CR188" i="112"/>
  <c r="CR187" i="112"/>
  <c r="DV55" i="113"/>
  <c r="CW188" i="112"/>
  <c r="CU187" i="112"/>
  <c r="DA178" i="112"/>
  <c r="CZ187" i="112"/>
  <c r="CM189" i="112"/>
  <c r="CX188" i="112"/>
  <c r="DG164" i="112"/>
  <c r="CV27" i="113"/>
  <c r="CN188" i="112"/>
  <c r="CP27" i="113"/>
  <c r="CQ179" i="112"/>
  <c r="CY189" i="112"/>
  <c r="CN189" i="112"/>
  <c r="CL187" i="112"/>
  <c r="DF164" i="112"/>
  <c r="CV189" i="112"/>
  <c r="CY187" i="112"/>
  <c r="CK189" i="112"/>
  <c r="CX189" i="112"/>
  <c r="CV188" i="112"/>
  <c r="CW187" i="112"/>
  <c r="CK188" i="112"/>
  <c r="CR189" i="112"/>
  <c r="CO189" i="112"/>
  <c r="CX187" i="112"/>
  <c r="CK187" i="112"/>
  <c r="CV187" i="112"/>
  <c r="CM187" i="112"/>
  <c r="CU188" i="112"/>
  <c r="CN187" i="112"/>
  <c r="CU189" i="112"/>
  <c r="CL114" i="112"/>
  <c r="DA188" i="112"/>
  <c r="DA189" i="112"/>
  <c r="CY188" i="112"/>
  <c r="CL188" i="112"/>
  <c r="CO187" i="112"/>
  <c r="CZ165" i="112"/>
  <c r="FM36" i="113"/>
  <c r="CZ40" i="113"/>
  <c r="FG36" i="113"/>
  <c r="CV40" i="113"/>
  <c r="FO36" i="113"/>
  <c r="CW55" i="113"/>
  <c r="FH36" i="113"/>
  <c r="GT48" i="112"/>
  <c r="GT69" i="112"/>
  <c r="BW175" i="113"/>
  <c r="FJ23" i="113"/>
  <c r="DU27" i="113"/>
  <c r="CH101" i="112"/>
  <c r="GS101" i="112" s="1"/>
  <c r="FG101" i="112"/>
  <c r="FK23" i="113"/>
  <c r="FI36" i="113"/>
  <c r="FF23" i="113"/>
  <c r="FN23" i="113"/>
  <c r="FM23" i="113"/>
  <c r="FE23" i="113"/>
  <c r="DU40" i="113"/>
  <c r="FL23" i="113"/>
  <c r="DT55" i="113"/>
  <c r="DU55" i="113"/>
  <c r="DT27" i="113"/>
  <c r="FG208" i="112"/>
  <c r="HB113" i="113"/>
  <c r="DX40" i="113"/>
  <c r="DX55" i="113"/>
  <c r="DX27" i="113"/>
  <c r="CZ27" i="113"/>
  <c r="HA14" i="113"/>
  <c r="DT40" i="113"/>
  <c r="FR112" i="113"/>
  <c r="DV27" i="113"/>
  <c r="DV40" i="113"/>
  <c r="DY55" i="113"/>
  <c r="DY40" i="113"/>
  <c r="DY27" i="113"/>
  <c r="EA113" i="113"/>
  <c r="DZ112" i="113"/>
  <c r="HB112" i="113" s="1"/>
  <c r="DW40" i="113"/>
  <c r="DW27" i="113"/>
  <c r="GX163" i="112"/>
  <c r="DC164" i="112"/>
  <c r="FL114" i="113"/>
  <c r="FL14" i="113"/>
  <c r="FK114" i="113"/>
  <c r="FK14" i="113"/>
  <c r="FM114" i="113"/>
  <c r="FM14" i="113"/>
  <c r="FN114" i="113"/>
  <c r="FN14" i="113"/>
  <c r="FO114" i="113"/>
  <c r="FO14" i="113"/>
  <c r="FP114" i="113"/>
  <c r="FP14" i="113"/>
  <c r="FQ114" i="113"/>
  <c r="FQ14" i="113"/>
  <c r="FJ114" i="113"/>
  <c r="FJ14" i="113"/>
  <c r="FH69" i="112"/>
  <c r="CP157" i="112"/>
  <c r="FJ98" i="112"/>
  <c r="GU98" i="112"/>
  <c r="GU99" i="112" s="1"/>
  <c r="GV106" i="112" s="1"/>
  <c r="CH157" i="112"/>
  <c r="FH48" i="112"/>
  <c r="CZ157" i="112"/>
  <c r="GX98" i="112"/>
  <c r="GX99" i="112" s="1"/>
  <c r="GX158" i="112" s="1"/>
  <c r="GX165" i="112" s="1"/>
  <c r="FL98" i="112"/>
  <c r="DS27" i="113"/>
  <c r="CY27" i="113"/>
  <c r="CT27" i="113"/>
  <c r="DG27" i="113"/>
  <c r="CI27" i="113"/>
  <c r="DN27" i="113"/>
  <c r="DJ55" i="113"/>
  <c r="DJ27" i="113"/>
  <c r="CR55" i="113"/>
  <c r="CQ27" i="113"/>
  <c r="DF40" i="113"/>
  <c r="DB27" i="113"/>
  <c r="DR27" i="113"/>
  <c r="DL55" i="113"/>
  <c r="DK27" i="113"/>
  <c r="CV55" i="113"/>
  <c r="CU27" i="113"/>
  <c r="CX55" i="113"/>
  <c r="CX27" i="113"/>
  <c r="CH27" i="113"/>
  <c r="DF27" i="113"/>
  <c r="CL27" i="113"/>
  <c r="DD55" i="113"/>
  <c r="DC27" i="113"/>
  <c r="CM27" i="113"/>
  <c r="DP55" i="113"/>
  <c r="DO27" i="113"/>
  <c r="CG27" i="113"/>
  <c r="GX129" i="113"/>
  <c r="GX23" i="113"/>
  <c r="GS117" i="113"/>
  <c r="GS23" i="113"/>
  <c r="CG80" i="113"/>
  <c r="GP141" i="113"/>
  <c r="GP23" i="113"/>
  <c r="GQ88" i="113"/>
  <c r="GQ23" i="113"/>
  <c r="GR141" i="113"/>
  <c r="GR23" i="113"/>
  <c r="GO111" i="113"/>
  <c r="GO23" i="113"/>
  <c r="GU148" i="113"/>
  <c r="GU23" i="113"/>
  <c r="GT74" i="113"/>
  <c r="GT23" i="113"/>
  <c r="GV148" i="113"/>
  <c r="GV23" i="113"/>
  <c r="GW129" i="113"/>
  <c r="GW23" i="113"/>
  <c r="GP111" i="113"/>
  <c r="CG98" i="113"/>
  <c r="CG192" i="113"/>
  <c r="CG76" i="113"/>
  <c r="CK78" i="113"/>
  <c r="CK102" i="113"/>
  <c r="CK109" i="113" s="1"/>
  <c r="CC175" i="113"/>
  <c r="GQ141" i="113"/>
  <c r="GR36" i="113"/>
  <c r="GR88" i="113"/>
  <c r="GP129" i="113"/>
  <c r="GQ135" i="113"/>
  <c r="GP161" i="113"/>
  <c r="GR129" i="113"/>
  <c r="GQ36" i="113"/>
  <c r="GR135" i="113"/>
  <c r="GR161" i="113"/>
  <c r="GQ74" i="113"/>
  <c r="GR111" i="113"/>
  <c r="GR148" i="113"/>
  <c r="GQ129" i="113"/>
  <c r="GP36" i="113"/>
  <c r="GQ117" i="113"/>
  <c r="GP135" i="113"/>
  <c r="GR74" i="113"/>
  <c r="GQ111" i="113"/>
  <c r="CC40" i="113"/>
  <c r="CF79" i="113"/>
  <c r="GR97" i="113"/>
  <c r="GQ123" i="113"/>
  <c r="GQ161" i="113"/>
  <c r="GP74" i="113"/>
  <c r="GP148" i="113"/>
  <c r="GR117" i="113"/>
  <c r="GQ97" i="113"/>
  <c r="GP97" i="113"/>
  <c r="FH77" i="113"/>
  <c r="GR123" i="113"/>
  <c r="GQ148" i="113"/>
  <c r="GP117" i="113"/>
  <c r="GP88" i="113"/>
  <c r="CG40" i="113"/>
  <c r="BQ181" i="113"/>
  <c r="CL76" i="113"/>
  <c r="BU6" i="112"/>
  <c r="BU205" i="112" s="1"/>
  <c r="CI78" i="113"/>
  <c r="CJ70" i="112"/>
  <c r="CJ150" i="112"/>
  <c r="CJ79" i="113"/>
  <c r="CK70" i="112"/>
  <c r="CK150" i="112"/>
  <c r="BI33" i="112"/>
  <c r="GO25" i="112"/>
  <c r="CJ102" i="113"/>
  <c r="CJ15" i="113" s="1"/>
  <c r="CJ157" i="112"/>
  <c r="CJ49" i="112"/>
  <c r="CH49" i="112"/>
  <c r="GS49" i="112" s="1"/>
  <c r="CI157" i="112"/>
  <c r="CI49" i="112"/>
  <c r="DD98" i="112"/>
  <c r="DD157" i="112" s="1"/>
  <c r="DH106" i="112"/>
  <c r="DC157" i="112"/>
  <c r="DB157" i="112"/>
  <c r="CZ179" i="112"/>
  <c r="DA172" i="112"/>
  <c r="CZ172" i="112"/>
  <c r="DA179" i="112"/>
  <c r="GG19" i="112"/>
  <c r="BI22" i="112"/>
  <c r="DC178" i="112"/>
  <c r="DB171" i="112"/>
  <c r="GL11" i="112"/>
  <c r="GL22" i="112" s="1"/>
  <c r="BE33" i="112"/>
  <c r="DC171" i="112"/>
  <c r="GW123" i="113"/>
  <c r="GU123" i="113"/>
  <c r="GX14" i="113"/>
  <c r="GW141" i="113"/>
  <c r="GU111" i="113"/>
  <c r="GW97" i="113"/>
  <c r="GW161" i="113"/>
  <c r="GV74" i="113"/>
  <c r="GV129" i="113"/>
  <c r="GU36" i="113"/>
  <c r="GU129" i="113"/>
  <c r="GT97" i="113"/>
  <c r="GT161" i="113"/>
  <c r="GV36" i="113"/>
  <c r="GT123" i="113"/>
  <c r="GW135" i="113"/>
  <c r="GW117" i="113"/>
  <c r="GV123" i="113"/>
  <c r="GV141" i="113"/>
  <c r="GU74" i="113"/>
  <c r="GU141" i="113"/>
  <c r="GT117" i="113"/>
  <c r="GT135" i="113"/>
  <c r="GT141" i="113"/>
  <c r="GW148" i="113"/>
  <c r="GW88" i="113"/>
  <c r="GV97" i="113"/>
  <c r="GV161" i="113"/>
  <c r="GU97" i="113"/>
  <c r="GU161" i="113"/>
  <c r="GT88" i="113"/>
  <c r="GT148" i="113"/>
  <c r="GV111" i="113"/>
  <c r="GW36" i="113"/>
  <c r="GW111" i="113"/>
  <c r="GV117" i="113"/>
  <c r="GV135" i="113"/>
  <c r="GU117" i="113"/>
  <c r="GU135" i="113"/>
  <c r="GT111" i="113"/>
  <c r="GT36" i="113"/>
  <c r="GW74" i="113"/>
  <c r="GV88" i="113"/>
  <c r="GU88" i="113"/>
  <c r="GT129" i="113"/>
  <c r="BF33" i="112"/>
  <c r="CC13" i="112"/>
  <c r="CC99" i="113" s="1"/>
  <c r="GF19" i="112"/>
  <c r="FD27" i="112"/>
  <c r="CH35" i="112"/>
  <c r="FL164" i="112"/>
  <c r="GE167" i="112"/>
  <c r="GP167" i="112"/>
  <c r="ET167" i="112"/>
  <c r="GU25" i="112"/>
  <c r="GV108" i="113"/>
  <c r="CJ25" i="112"/>
  <c r="GM167" i="112"/>
  <c r="GU23" i="112"/>
  <c r="GV107" i="113"/>
  <c r="GM11" i="112"/>
  <c r="CD122" i="112"/>
  <c r="BJ33" i="112"/>
  <c r="BI170" i="112"/>
  <c r="BM22" i="112"/>
  <c r="BM163" i="112"/>
  <c r="GU24" i="112"/>
  <c r="GV106" i="113"/>
  <c r="BJ170" i="112"/>
  <c r="EY25" i="112"/>
  <c r="EZ167" i="112"/>
  <c r="GS111" i="113"/>
  <c r="GX123" i="113"/>
  <c r="GO74" i="113"/>
  <c r="GO36" i="113"/>
  <c r="DB55" i="113"/>
  <c r="GS88" i="113"/>
  <c r="GX97" i="113"/>
  <c r="GO129" i="113"/>
  <c r="CQ40" i="113"/>
  <c r="CM55" i="113"/>
  <c r="CL55" i="113"/>
  <c r="GS148" i="113"/>
  <c r="GX141" i="113"/>
  <c r="GO141" i="113"/>
  <c r="CC55" i="113"/>
  <c r="GS36" i="113"/>
  <c r="GX161" i="113"/>
  <c r="GS129" i="113"/>
  <c r="GS74" i="113"/>
  <c r="GX135" i="113"/>
  <c r="GX117" i="113"/>
  <c r="GO97" i="113"/>
  <c r="GO161" i="113"/>
  <c r="GS141" i="113"/>
  <c r="GS123" i="113"/>
  <c r="GX148" i="113"/>
  <c r="GX88" i="113"/>
  <c r="GO117" i="113"/>
  <c r="GO135" i="113"/>
  <c r="GS161" i="113"/>
  <c r="GS97" i="113"/>
  <c r="GX36" i="113"/>
  <c r="GX111" i="113"/>
  <c r="GO88" i="113"/>
  <c r="GO148" i="113"/>
  <c r="GS135" i="113"/>
  <c r="GX74" i="113"/>
  <c r="GP123" i="113"/>
  <c r="GO123" i="113"/>
  <c r="DR40" i="113"/>
  <c r="DG40" i="113"/>
  <c r="DR55" i="113"/>
  <c r="DK55" i="113"/>
  <c r="DS55" i="113"/>
  <c r="GZ14" i="113"/>
  <c r="CE40" i="113"/>
  <c r="BR181" i="113"/>
  <c r="DS40" i="113"/>
  <c r="CN55" i="113"/>
  <c r="FK163" i="112"/>
  <c r="GY14" i="113"/>
  <c r="CL40" i="113"/>
  <c r="CP40" i="113"/>
  <c r="CM79" i="113"/>
  <c r="GR14" i="113"/>
  <c r="CH55" i="113"/>
  <c r="GW14" i="113"/>
  <c r="CH80" i="113"/>
  <c r="CE79" i="113"/>
  <c r="CT40" i="113"/>
  <c r="CY40" i="113"/>
  <c r="GS14" i="113"/>
  <c r="CX40" i="113"/>
  <c r="CU55" i="113"/>
  <c r="DO55" i="113"/>
  <c r="CH76" i="113"/>
  <c r="CL78" i="113"/>
  <c r="CI79" i="113"/>
  <c r="DC40" i="113"/>
  <c r="CZ55" i="113"/>
  <c r="CP55" i="113"/>
  <c r="CH79" i="113"/>
  <c r="CY55" i="113"/>
  <c r="FH101" i="113"/>
  <c r="FH108" i="113" s="1"/>
  <c r="GQ14" i="113"/>
  <c r="CH78" i="113"/>
  <c r="CT55" i="113"/>
  <c r="DN55" i="113"/>
  <c r="GU14" i="113"/>
  <c r="CE55" i="113"/>
  <c r="CM78" i="113"/>
  <c r="CI55" i="113"/>
  <c r="GT14" i="113"/>
  <c r="CN79" i="113"/>
  <c r="CI40" i="113"/>
  <c r="DC55" i="113"/>
  <c r="CQ55" i="113"/>
  <c r="GV14" i="113"/>
  <c r="CP77" i="113"/>
  <c r="GS77" i="113" s="1"/>
  <c r="CM76" i="113"/>
  <c r="CM40" i="113"/>
  <c r="FI77" i="113"/>
  <c r="CU40" i="113"/>
  <c r="GP14" i="113"/>
  <c r="DB40" i="113"/>
  <c r="CH40" i="113"/>
  <c r="DG55" i="113"/>
  <c r="CD55" i="113"/>
  <c r="FH100" i="113"/>
  <c r="FH107" i="113" s="1"/>
  <c r="FH99" i="113"/>
  <c r="FH106" i="113" s="1"/>
  <c r="GQ77" i="113"/>
  <c r="GQ76" i="113" s="1"/>
  <c r="BP76" i="113"/>
  <c r="FC77" i="113"/>
  <c r="FC76" i="113" s="1"/>
  <c r="GM77" i="113"/>
  <c r="GM76" i="113" s="1"/>
  <c r="GR99" i="113"/>
  <c r="DH55" i="113"/>
  <c r="FH98" i="113"/>
  <c r="FH105" i="113" s="1"/>
  <c r="GR77" i="113"/>
  <c r="GR76" i="113" s="1"/>
  <c r="CJ55" i="113"/>
  <c r="FH14" i="113"/>
  <c r="FG77" i="113"/>
  <c r="CI102" i="113"/>
  <c r="GR98" i="113"/>
  <c r="GR101" i="113"/>
  <c r="GR100" i="113"/>
  <c r="GQ101" i="113"/>
  <c r="GQ108" i="113" s="1"/>
  <c r="FG14" i="113"/>
  <c r="GI167" i="112"/>
  <c r="BJ177" i="112"/>
  <c r="FC25" i="112"/>
  <c r="GX30" i="112"/>
  <c r="FK30" i="112"/>
  <c r="FI165" i="112"/>
  <c r="GX164" i="112"/>
  <c r="GJ25" i="112"/>
  <c r="GF25" i="112"/>
  <c r="GG167" i="112"/>
  <c r="GW163" i="112"/>
  <c r="GH25" i="112"/>
  <c r="EX19" i="112"/>
  <c r="CE122" i="112"/>
  <c r="FI163" i="112"/>
  <c r="EV167" i="112"/>
  <c r="FL30" i="112"/>
  <c r="GJ19" i="112"/>
  <c r="GW165" i="112"/>
  <c r="CE115" i="112"/>
  <c r="FC167" i="112"/>
  <c r="CK24" i="112"/>
  <c r="CA14" i="112"/>
  <c r="BW14" i="112" s="1"/>
  <c r="BW101" i="113" s="1"/>
  <c r="CI25" i="112"/>
  <c r="CE36" i="112"/>
  <c r="EU19" i="112"/>
  <c r="CE129" i="112"/>
  <c r="DD158" i="112"/>
  <c r="FI30" i="112"/>
  <c r="CE16" i="112"/>
  <c r="EU25" i="112"/>
  <c r="CD129" i="112"/>
  <c r="GR101" i="112"/>
  <c r="GR122" i="112" s="1"/>
  <c r="CG129" i="112"/>
  <c r="GG25" i="112"/>
  <c r="GQ167" i="112"/>
  <c r="FI164" i="112"/>
  <c r="GO27" i="112"/>
  <c r="CF36" i="112"/>
  <c r="DD113" i="112"/>
  <c r="CD115" i="112"/>
  <c r="EW25" i="112"/>
  <c r="EY19" i="112"/>
  <c r="EW167" i="112"/>
  <c r="FJ30" i="112"/>
  <c r="GO167" i="112"/>
  <c r="EY167" i="112"/>
  <c r="FA22" i="112"/>
  <c r="FA151" i="112"/>
  <c r="GS121" i="112"/>
  <c r="GS107" i="112"/>
  <c r="CH102" i="113"/>
  <c r="ES152" i="112"/>
  <c r="FC151" i="112"/>
  <c r="FC19" i="112"/>
  <c r="FC22" i="112"/>
  <c r="FB152" i="112"/>
  <c r="FB23" i="112"/>
  <c r="CJ23" i="112"/>
  <c r="EW23" i="112"/>
  <c r="EW152" i="112"/>
  <c r="GO151" i="112"/>
  <c r="GO22" i="112"/>
  <c r="GO19" i="112"/>
  <c r="GF152" i="112"/>
  <c r="GF23" i="112"/>
  <c r="GE152" i="112"/>
  <c r="GT151" i="112"/>
  <c r="GU163" i="112" s="1"/>
  <c r="GT19" i="112"/>
  <c r="BE170" i="112"/>
  <c r="GN158" i="112"/>
  <c r="FG159" i="112"/>
  <c r="FG26" i="112"/>
  <c r="ET25" i="112"/>
  <c r="GH152" i="112"/>
  <c r="GH23" i="112"/>
  <c r="FH107" i="112"/>
  <c r="FH121" i="112"/>
  <c r="GI23" i="112"/>
  <c r="GI152" i="112"/>
  <c r="EZ152" i="112"/>
  <c r="EZ23" i="112"/>
  <c r="BZ14" i="112"/>
  <c r="CD101" i="113"/>
  <c r="FG101" i="113" s="1"/>
  <c r="GH19" i="112"/>
  <c r="GU22" i="112"/>
  <c r="GJ167" i="112"/>
  <c r="FL163" i="112"/>
  <c r="FE167" i="112"/>
  <c r="GK14" i="112"/>
  <c r="GK25" i="112" s="1"/>
  <c r="GL152" i="112"/>
  <c r="GL23" i="112"/>
  <c r="GJ152" i="112"/>
  <c r="GJ23" i="112"/>
  <c r="GN152" i="112"/>
  <c r="GN23" i="112"/>
  <c r="BE163" i="112"/>
  <c r="DT111" i="112"/>
  <c r="EY152" i="112"/>
  <c r="EY23" i="112"/>
  <c r="GI25" i="112"/>
  <c r="EX23" i="112"/>
  <c r="EX152" i="112"/>
  <c r="GK152" i="112"/>
  <c r="GK23" i="112"/>
  <c r="GO158" i="112"/>
  <c r="GO24" i="112"/>
  <c r="BI163" i="112"/>
  <c r="GT152" i="112"/>
  <c r="FD24" i="112"/>
  <c r="CL41" i="112"/>
  <c r="GK151" i="112"/>
  <c r="GK163" i="112" s="1"/>
  <c r="CB12" i="112"/>
  <c r="GT158" i="112"/>
  <c r="CN30" i="112"/>
  <c r="BF170" i="112"/>
  <c r="CA12" i="112"/>
  <c r="CM30" i="112"/>
  <c r="BE177" i="112"/>
  <c r="ET152" i="112"/>
  <c r="ET23" i="112"/>
  <c r="CH23" i="112"/>
  <c r="CD100" i="113"/>
  <c r="FD152" i="112"/>
  <c r="FD23" i="112"/>
  <c r="GM152" i="112"/>
  <c r="GM23" i="112"/>
  <c r="FA167" i="112"/>
  <c r="GE19" i="112"/>
  <c r="GL167" i="112"/>
  <c r="FJ163" i="112"/>
  <c r="FK164" i="112"/>
  <c r="GN167" i="112"/>
  <c r="GV30" i="112"/>
  <c r="ES19" i="112"/>
  <c r="GH167" i="112"/>
  <c r="CJ24" i="112"/>
  <c r="CF99" i="113"/>
  <c r="CF102" i="113" s="1"/>
  <c r="CI22" i="112"/>
  <c r="CE98" i="113"/>
  <c r="FD19" i="112"/>
  <c r="FD22" i="112"/>
  <c r="FD151" i="112"/>
  <c r="GX119" i="112"/>
  <c r="GX105" i="112"/>
  <c r="DP111" i="112"/>
  <c r="GG152" i="112"/>
  <c r="GG23" i="112"/>
  <c r="EZ151" i="112"/>
  <c r="EZ163" i="112" s="1"/>
  <c r="GQ122" i="112"/>
  <c r="GQ108" i="112"/>
  <c r="FJ164" i="112"/>
  <c r="GF167" i="112"/>
  <c r="GI19" i="112"/>
  <c r="BZ11" i="112"/>
  <c r="CD22" i="112" s="1"/>
  <c r="CD98" i="113"/>
  <c r="FD25" i="112"/>
  <c r="FC152" i="112"/>
  <c r="FC23" i="112"/>
  <c r="EU152" i="112"/>
  <c r="EU23" i="112"/>
  <c r="FF108" i="112"/>
  <c r="FF122" i="112"/>
  <c r="CF34" i="112"/>
  <c r="GN151" i="112"/>
  <c r="GN19" i="112"/>
  <c r="CI23" i="112"/>
  <c r="FB22" i="112"/>
  <c r="FB151" i="112"/>
  <c r="FB19" i="112"/>
  <c r="EV25" i="112"/>
  <c r="FA152" i="112"/>
  <c r="FA23" i="112"/>
  <c r="FC24" i="112"/>
  <c r="CI24" i="112"/>
  <c r="CE99" i="113"/>
  <c r="CB14" i="112"/>
  <c r="CB101" i="113" s="1"/>
  <c r="CF129" i="112"/>
  <c r="FL119" i="112"/>
  <c r="FL105" i="112"/>
  <c r="CH34" i="112"/>
  <c r="CG100" i="113"/>
  <c r="DP118" i="112"/>
  <c r="EX25" i="112"/>
  <c r="EV152" i="112"/>
  <c r="EV23" i="112"/>
  <c r="FC27" i="112"/>
  <c r="GO23" i="112"/>
  <c r="GO152" i="112"/>
  <c r="GK167" i="112"/>
  <c r="EU167" i="112"/>
  <c r="FD167" i="112"/>
  <c r="GV164" i="112"/>
  <c r="EW19" i="112"/>
  <c r="FB167" i="112"/>
  <c r="EV19" i="112"/>
  <c r="GW30" i="112"/>
  <c r="ET19" i="112"/>
  <c r="GW164" i="112"/>
  <c r="GV163" i="112"/>
  <c r="EX167" i="112"/>
  <c r="CF80" i="113"/>
  <c r="BR79" i="113"/>
  <c r="BQ76" i="113"/>
  <c r="BQ79" i="113"/>
  <c r="CR76" i="113"/>
  <c r="CS76" i="113" s="1"/>
  <c r="CW76" i="113" s="1"/>
  <c r="EZ65" i="113"/>
  <c r="FF173" i="113"/>
  <c r="GP173" i="113"/>
  <c r="BY173" i="113"/>
  <c r="GO173" i="113" s="1"/>
  <c r="CD175" i="113"/>
  <c r="GK65" i="113"/>
  <c r="BX175" i="113"/>
  <c r="CD182" i="113"/>
  <c r="BB36" i="112"/>
  <c r="CH33" i="112"/>
  <c r="GT100" i="112"/>
  <c r="DA171" i="112"/>
  <c r="DD120" i="112"/>
  <c r="GL197" i="112"/>
  <c r="CO30" i="112"/>
  <c r="BC36" i="112"/>
  <c r="BB25" i="112"/>
  <c r="CH22" i="112"/>
  <c r="CP100" i="112"/>
  <c r="CE34" i="112"/>
  <c r="EZ14" i="112"/>
  <c r="EZ25" i="112" s="1"/>
  <c r="CL15" i="112"/>
  <c r="GT15" i="112" s="1"/>
  <c r="FI100" i="112"/>
  <c r="CM114" i="112"/>
  <c r="BZ12" i="112"/>
  <c r="CL121" i="112"/>
  <c r="FA13" i="112"/>
  <c r="EZ197" i="112"/>
  <c r="GM13" i="112"/>
  <c r="GM158" i="112" s="1"/>
  <c r="GM165" i="112" s="1"/>
  <c r="BJ35" i="112"/>
  <c r="CM121" i="112"/>
  <c r="CE181" i="112"/>
  <c r="CG36" i="112"/>
  <c r="CC14" i="112"/>
  <c r="CH37" i="112"/>
  <c r="FH15" i="112"/>
  <c r="CH26" i="112"/>
  <c r="CJ29" i="112"/>
  <c r="BZ13" i="112"/>
  <c r="FG13" i="112"/>
  <c r="FG158" i="112" s="1"/>
  <c r="CF33" i="112"/>
  <c r="CB11" i="112"/>
  <c r="CF19" i="112"/>
  <c r="CJ181" i="112"/>
  <c r="CJ174" i="112"/>
  <c r="CN160" i="112"/>
  <c r="CN18" i="112" s="1"/>
  <c r="DE177" i="112"/>
  <c r="DG119" i="112"/>
  <c r="CJ115" i="112"/>
  <c r="CF40" i="112"/>
  <c r="CF29" i="112"/>
  <c r="DC172" i="112"/>
  <c r="DC179" i="112"/>
  <c r="DC165" i="112"/>
  <c r="CK37" i="112"/>
  <c r="CK26" i="112"/>
  <c r="CU100" i="112"/>
  <c r="CQ15" i="112"/>
  <c r="CC12" i="112"/>
  <c r="CG34" i="112"/>
  <c r="FG12" i="112"/>
  <c r="CD181" i="112"/>
  <c r="CD174" i="112"/>
  <c r="CH160" i="112"/>
  <c r="CI174" i="112" s="1"/>
  <c r="CO128" i="112"/>
  <c r="CO121" i="112"/>
  <c r="CO114" i="112"/>
  <c r="CO15" i="112"/>
  <c r="CS100" i="112"/>
  <c r="CB40" i="112"/>
  <c r="CB29" i="112"/>
  <c r="FF18" i="112"/>
  <c r="CJ16" i="112"/>
  <c r="CT165" i="112"/>
  <c r="CH24" i="112"/>
  <c r="CI41" i="112"/>
  <c r="CK122" i="112"/>
  <c r="CK115" i="112"/>
  <c r="CO101" i="112"/>
  <c r="GS14" i="112"/>
  <c r="CM16" i="112"/>
  <c r="CM26" i="112"/>
  <c r="FG14" i="112"/>
  <c r="CF35" i="112"/>
  <c r="CB13" i="112"/>
  <c r="CB99" i="113" s="1"/>
  <c r="CL30" i="112"/>
  <c r="CI18" i="112"/>
  <c r="CM101" i="112"/>
  <c r="CN122" i="112" s="1"/>
  <c r="CI37" i="112"/>
  <c r="CI26" i="112"/>
  <c r="FG11" i="112"/>
  <c r="GS15" i="112"/>
  <c r="DG112" i="112"/>
  <c r="DB179" i="112"/>
  <c r="DB172" i="112"/>
  <c r="DB165" i="112"/>
  <c r="CF16" i="112"/>
  <c r="CC181" i="112"/>
  <c r="CC174" i="112"/>
  <c r="CG160" i="112"/>
  <c r="DE98" i="113"/>
  <c r="CE33" i="112"/>
  <c r="CA11" i="112"/>
  <c r="CA98" i="113" s="1"/>
  <c r="GS11" i="112"/>
  <c r="CE19" i="112"/>
  <c r="CI30" i="112" s="1"/>
  <c r="CE35" i="112"/>
  <c r="GS13" i="112"/>
  <c r="GU106" i="113" s="1"/>
  <c r="CA13" i="112"/>
  <c r="CA99" i="113" s="1"/>
  <c r="CJ41" i="112"/>
  <c r="CG35" i="112"/>
  <c r="CN128" i="112"/>
  <c r="CN121" i="112"/>
  <c r="CN114" i="112"/>
  <c r="CN15" i="112"/>
  <c r="CR100" i="112"/>
  <c r="DD119" i="112"/>
  <c r="DD112" i="112"/>
  <c r="DD152" i="112"/>
  <c r="DO111" i="112"/>
  <c r="CG33" i="112"/>
  <c r="CG19" i="112"/>
  <c r="CK30" i="112" s="1"/>
  <c r="CK22" i="112"/>
  <c r="CC11" i="112"/>
  <c r="CC98" i="113" s="1"/>
  <c r="CH36" i="112"/>
  <c r="BE25" i="112"/>
  <c r="BE36" i="112"/>
  <c r="GL14" i="112"/>
  <c r="CP179" i="112"/>
  <c r="CP172" i="112"/>
  <c r="CP165" i="112"/>
  <c r="CC40" i="112"/>
  <c r="CC29" i="112"/>
  <c r="GS12" i="112"/>
  <c r="CE29" i="112"/>
  <c r="FA197" i="112"/>
  <c r="BI14" i="112"/>
  <c r="CK25" i="112"/>
  <c r="CK41" i="112"/>
  <c r="CD19" i="112"/>
  <c r="CJ22" i="112"/>
  <c r="DB178" i="112"/>
  <c r="DB164" i="112"/>
  <c r="CQ172" i="112"/>
  <c r="CR101" i="112"/>
  <c r="CJ37" i="112"/>
  <c r="CJ26" i="112"/>
  <c r="CM128" i="112"/>
  <c r="CZ171" i="112"/>
  <c r="CZ178" i="112"/>
  <c r="CZ164" i="112"/>
  <c r="CK23" i="112"/>
  <c r="CM160" i="112"/>
  <c r="CD18" i="112"/>
  <c r="DG120" i="112"/>
  <c r="DG113" i="112"/>
  <c r="CL128" i="112"/>
  <c r="DO118" i="112"/>
  <c r="M121" i="125" l="1"/>
  <c r="Y121" i="125" s="1"/>
  <c r="GD152" i="112"/>
  <c r="GE164" i="112" s="1"/>
  <c r="GE30" i="112"/>
  <c r="O74" i="125"/>
  <c r="N74" i="125"/>
  <c r="S74" i="125"/>
  <c r="T74" i="125"/>
  <c r="S76" i="125"/>
  <c r="O76" i="125"/>
  <c r="N76" i="125"/>
  <c r="T76" i="125"/>
  <c r="GE23" i="112"/>
  <c r="ES23" i="112"/>
  <c r="ER19" i="112"/>
  <c r="ES30" i="112" s="1"/>
  <c r="O12" i="112"/>
  <c r="K12" i="112" s="1"/>
  <c r="GC12" i="112"/>
  <c r="GC19" i="112" s="1"/>
  <c r="Q12" i="112"/>
  <c r="M12" i="112" s="1"/>
  <c r="U19" i="112"/>
  <c r="EQ12" i="112"/>
  <c r="R19" i="112"/>
  <c r="N12" i="112"/>
  <c r="J12" i="112" s="1"/>
  <c r="FZ12" i="112" s="1"/>
  <c r="P12" i="112"/>
  <c r="L12" i="112" s="1"/>
  <c r="T19" i="112"/>
  <c r="CY107" i="112"/>
  <c r="DH164" i="112"/>
  <c r="CA100" i="113"/>
  <c r="FH101" i="112"/>
  <c r="FH122" i="112" s="1"/>
  <c r="CI129" i="112"/>
  <c r="CK129" i="112"/>
  <c r="CZ189" i="112"/>
  <c r="HB114" i="113"/>
  <c r="CH115" i="112"/>
  <c r="CH122" i="112"/>
  <c r="CI122" i="112"/>
  <c r="CH129" i="112"/>
  <c r="CL101" i="112"/>
  <c r="CL122" i="112" s="1"/>
  <c r="CJ129" i="112"/>
  <c r="CI115" i="112"/>
  <c r="GT70" i="112"/>
  <c r="DK119" i="112"/>
  <c r="GT49" i="112"/>
  <c r="CZ188" i="112"/>
  <c r="CT100" i="112"/>
  <c r="HA40" i="113"/>
  <c r="FG166" i="112"/>
  <c r="GX106" i="112"/>
  <c r="FR114" i="113"/>
  <c r="FR14" i="113"/>
  <c r="FR27" i="113" s="1"/>
  <c r="HA27" i="113"/>
  <c r="HB115" i="113"/>
  <c r="HC115" i="113"/>
  <c r="DZ14" i="113"/>
  <c r="EB113" i="113"/>
  <c r="EA112" i="113"/>
  <c r="GU158" i="112"/>
  <c r="GV165" i="112" s="1"/>
  <c r="GU120" i="112"/>
  <c r="FH27" i="113"/>
  <c r="CP85" i="113"/>
  <c r="GS85" i="113" s="1"/>
  <c r="GS27" i="113"/>
  <c r="CK15" i="113"/>
  <c r="FI76" i="113"/>
  <c r="FI78" i="113"/>
  <c r="GS78" i="113"/>
  <c r="FG76" i="113"/>
  <c r="FH76" i="113"/>
  <c r="FH78" i="113"/>
  <c r="GQ98" i="113"/>
  <c r="GQ105" i="113" s="1"/>
  <c r="GU106" i="112"/>
  <c r="GV120" i="112"/>
  <c r="FM98" i="112"/>
  <c r="FM99" i="112" s="1"/>
  <c r="FH70" i="112"/>
  <c r="FL99" i="112"/>
  <c r="FL157" i="112"/>
  <c r="GY98" i="112"/>
  <c r="GY99" i="112" s="1"/>
  <c r="FA158" i="112"/>
  <c r="FA165" i="112" s="1"/>
  <c r="FH49" i="112"/>
  <c r="GX120" i="112"/>
  <c r="FJ99" i="112"/>
  <c r="FJ157" i="112"/>
  <c r="DG171" i="112"/>
  <c r="GZ27" i="113"/>
  <c r="FN27" i="113"/>
  <c r="GV27" i="113"/>
  <c r="GR27" i="113"/>
  <c r="GY27" i="113"/>
  <c r="FP27" i="113"/>
  <c r="CG102" i="113"/>
  <c r="CG15" i="113" s="1"/>
  <c r="FJ27" i="113"/>
  <c r="GQ27" i="113"/>
  <c r="FI27" i="113"/>
  <c r="FI40" i="113"/>
  <c r="GU27" i="113"/>
  <c r="GW27" i="113"/>
  <c r="CN28" i="113"/>
  <c r="GT40" i="113"/>
  <c r="GT27" i="113"/>
  <c r="FG40" i="113"/>
  <c r="FG27" i="113"/>
  <c r="FK27" i="113"/>
  <c r="FL27" i="113"/>
  <c r="FM27" i="113"/>
  <c r="FO27" i="113"/>
  <c r="GX27" i="113"/>
  <c r="FQ27" i="113"/>
  <c r="GX40" i="113"/>
  <c r="GY40" i="113"/>
  <c r="CJ109" i="113"/>
  <c r="FP40" i="113"/>
  <c r="BT6" i="112"/>
  <c r="BT205" i="112" s="1"/>
  <c r="GR102" i="113"/>
  <c r="GG30" i="112"/>
  <c r="GY48" i="112"/>
  <c r="DH49" i="112"/>
  <c r="GH30" i="112"/>
  <c r="GM22" i="112"/>
  <c r="CG24" i="112"/>
  <c r="DH120" i="112"/>
  <c r="DH113" i="112"/>
  <c r="BY13" i="112"/>
  <c r="BZ35" i="112" s="1"/>
  <c r="CD35" i="112"/>
  <c r="GM151" i="112"/>
  <c r="GN163" i="112" s="1"/>
  <c r="CA16" i="112"/>
  <c r="CE27" i="112" s="1"/>
  <c r="DD171" i="112"/>
  <c r="GL151" i="112"/>
  <c r="GL163" i="112" s="1"/>
  <c r="CP75" i="113"/>
  <c r="CP11" i="113" s="1"/>
  <c r="CP79" i="113"/>
  <c r="CQ77" i="113"/>
  <c r="CQ85" i="113" s="1"/>
  <c r="CP78" i="113"/>
  <c r="EX30" i="112"/>
  <c r="GI30" i="112"/>
  <c r="DE111" i="112"/>
  <c r="DD125" i="112"/>
  <c r="DF111" i="112"/>
  <c r="DC125" i="112"/>
  <c r="DF118" i="112"/>
  <c r="DE118" i="112"/>
  <c r="DB125" i="112"/>
  <c r="DE125" i="112"/>
  <c r="ET164" i="112"/>
  <c r="GM164" i="112"/>
  <c r="CB34" i="112"/>
  <c r="CE23" i="112"/>
  <c r="BW12" i="112"/>
  <c r="GN22" i="112"/>
  <c r="GT25" i="112"/>
  <c r="GU108" i="113"/>
  <c r="CB36" i="112"/>
  <c r="ET30" i="112"/>
  <c r="EX164" i="112"/>
  <c r="GT23" i="112"/>
  <c r="GU107" i="113"/>
  <c r="EV164" i="112"/>
  <c r="GG164" i="112"/>
  <c r="CF25" i="112"/>
  <c r="EV30" i="112"/>
  <c r="CA101" i="113"/>
  <c r="FG108" i="113"/>
  <c r="DD179" i="112"/>
  <c r="GU30" i="112"/>
  <c r="GV109" i="113"/>
  <c r="GT22" i="112"/>
  <c r="GU105" i="113"/>
  <c r="GO164" i="112"/>
  <c r="EY30" i="112"/>
  <c r="CI109" i="113"/>
  <c r="CI15" i="113"/>
  <c r="GS40" i="113"/>
  <c r="GZ40" i="113"/>
  <c r="GQ99" i="113"/>
  <c r="GQ106" i="113" s="1"/>
  <c r="FH102" i="113"/>
  <c r="FH109" i="113" s="1"/>
  <c r="FQ40" i="113"/>
  <c r="GQ40" i="113"/>
  <c r="FN40" i="113"/>
  <c r="FK40" i="113"/>
  <c r="GW40" i="113"/>
  <c r="GR40" i="113"/>
  <c r="GP99" i="113"/>
  <c r="GP106" i="113" s="1"/>
  <c r="GV40" i="113"/>
  <c r="FL40" i="113"/>
  <c r="FO40" i="113"/>
  <c r="GU40" i="113"/>
  <c r="FM98" i="113"/>
  <c r="FH40" i="113"/>
  <c r="FG98" i="113"/>
  <c r="FG105" i="113" s="1"/>
  <c r="FG100" i="113"/>
  <c r="FG107" i="113" s="1"/>
  <c r="FM40" i="113"/>
  <c r="GQ100" i="113"/>
  <c r="GQ107" i="113" s="1"/>
  <c r="FG99" i="113"/>
  <c r="FG106" i="113" s="1"/>
  <c r="FJ40" i="113"/>
  <c r="DD172" i="112"/>
  <c r="GS122" i="112"/>
  <c r="GR108" i="112"/>
  <c r="EU30" i="112"/>
  <c r="EZ164" i="112"/>
  <c r="DD165" i="112"/>
  <c r="GS108" i="112"/>
  <c r="GF30" i="112"/>
  <c r="CE25" i="112"/>
  <c r="FC163" i="112"/>
  <c r="FD165" i="112"/>
  <c r="GN24" i="112"/>
  <c r="GO163" i="112"/>
  <c r="FA163" i="112"/>
  <c r="DT118" i="112"/>
  <c r="BX14" i="112"/>
  <c r="BX16" i="112" s="1"/>
  <c r="BX12" i="112"/>
  <c r="FD30" i="112"/>
  <c r="GK164" i="112"/>
  <c r="GH164" i="112"/>
  <c r="GN165" i="112"/>
  <c r="GL25" i="112"/>
  <c r="CB16" i="112"/>
  <c r="FA164" i="112"/>
  <c r="GK19" i="112"/>
  <c r="GK30" i="112" s="1"/>
  <c r="DS118" i="112"/>
  <c r="CF109" i="113"/>
  <c r="CF15" i="113"/>
  <c r="CF22" i="112"/>
  <c r="CB98" i="113"/>
  <c r="GP98" i="113" s="1"/>
  <c r="GP105" i="113" s="1"/>
  <c r="FF29" i="112"/>
  <c r="FF160" i="112"/>
  <c r="FF167" i="112" s="1"/>
  <c r="BZ101" i="113"/>
  <c r="CD25" i="112"/>
  <c r="BZ16" i="112"/>
  <c r="BV14" i="112"/>
  <c r="BW36" i="112" s="1"/>
  <c r="FG151" i="112"/>
  <c r="FG19" i="112"/>
  <c r="FG146" i="113" s="1"/>
  <c r="FH22" i="112"/>
  <c r="FH25" i="112"/>
  <c r="GI164" i="112"/>
  <c r="FI121" i="112"/>
  <c r="FI107" i="112"/>
  <c r="FC164" i="112"/>
  <c r="GS158" i="112"/>
  <c r="GT165" i="112" s="1"/>
  <c r="CD24" i="112"/>
  <c r="BZ99" i="113"/>
  <c r="FF99" i="113" s="1"/>
  <c r="GR14" i="112"/>
  <c r="CC101" i="113"/>
  <c r="GT159" i="112"/>
  <c r="GT26" i="112"/>
  <c r="EW30" i="112"/>
  <c r="FD164" i="112"/>
  <c r="GT24" i="112"/>
  <c r="EY164" i="112"/>
  <c r="GN164" i="112"/>
  <c r="GL164" i="112"/>
  <c r="GF164" i="112"/>
  <c r="EW164" i="112"/>
  <c r="GL19" i="112"/>
  <c r="ES164" i="112"/>
  <c r="FB24" i="112"/>
  <c r="CN41" i="113"/>
  <c r="FG152" i="112"/>
  <c r="FH23" i="112"/>
  <c r="FH159" i="112"/>
  <c r="FH166" i="112" s="1"/>
  <c r="FH26" i="112"/>
  <c r="FB164" i="112"/>
  <c r="CH15" i="113"/>
  <c r="CH109" i="113"/>
  <c r="GR12" i="112"/>
  <c r="GT107" i="113" s="1"/>
  <c r="CC100" i="113"/>
  <c r="FG108" i="112"/>
  <c r="FG122" i="112"/>
  <c r="CA36" i="112"/>
  <c r="FB163" i="112"/>
  <c r="CD102" i="113"/>
  <c r="EZ19" i="112"/>
  <c r="EZ30" i="112" s="1"/>
  <c r="GU164" i="112"/>
  <c r="GS151" i="112"/>
  <c r="GT163" i="112" s="1"/>
  <c r="GS19" i="112"/>
  <c r="CA34" i="112"/>
  <c r="BZ100" i="113"/>
  <c r="GT121" i="112"/>
  <c r="GT107" i="112"/>
  <c r="FD163" i="112"/>
  <c r="FH24" i="112"/>
  <c r="GS152" i="112"/>
  <c r="GT164" i="112" s="1"/>
  <c r="GS159" i="112"/>
  <c r="GS166" i="112" s="1"/>
  <c r="GS26" i="112"/>
  <c r="FC165" i="112"/>
  <c r="EU164" i="112"/>
  <c r="BV11" i="112"/>
  <c r="BZ98" i="113"/>
  <c r="CE102" i="113"/>
  <c r="CF23" i="112"/>
  <c r="CB100" i="113"/>
  <c r="GO165" i="112"/>
  <c r="GJ164" i="112"/>
  <c r="GO30" i="112"/>
  <c r="FC30" i="112"/>
  <c r="GJ30" i="112"/>
  <c r="GP174" i="113"/>
  <c r="BY175" i="113"/>
  <c r="FE173" i="113"/>
  <c r="FF174" i="113" s="1"/>
  <c r="BZ175" i="113"/>
  <c r="BV12" i="112"/>
  <c r="CD23" i="112"/>
  <c r="CH18" i="112"/>
  <c r="CH29" i="112" s="1"/>
  <c r="CI181" i="112"/>
  <c r="CQ114" i="112"/>
  <c r="CP114" i="112"/>
  <c r="CP121" i="112"/>
  <c r="CQ121" i="112"/>
  <c r="GU100" i="112"/>
  <c r="CP15" i="112"/>
  <c r="CP26" i="112" s="1"/>
  <c r="CG23" i="112"/>
  <c r="FI15" i="112"/>
  <c r="CL16" i="112"/>
  <c r="CM38" i="112" s="1"/>
  <c r="FF12" i="112"/>
  <c r="FG23" i="112" s="1"/>
  <c r="CL26" i="112"/>
  <c r="DS111" i="112"/>
  <c r="CL37" i="112"/>
  <c r="CM37" i="112"/>
  <c r="CN115" i="112"/>
  <c r="CP128" i="112"/>
  <c r="CH41" i="112"/>
  <c r="CA33" i="112"/>
  <c r="CA19" i="112"/>
  <c r="BW11" i="112"/>
  <c r="GR11" i="112"/>
  <c r="FF11" i="112"/>
  <c r="FG22" i="112" s="1"/>
  <c r="CF38" i="112"/>
  <c r="BW16" i="112"/>
  <c r="BW25" i="112"/>
  <c r="DK112" i="112"/>
  <c r="CC19" i="112"/>
  <c r="CG30" i="112" s="1"/>
  <c r="CC33" i="112"/>
  <c r="BY11" i="112"/>
  <c r="BY98" i="113" s="1"/>
  <c r="CD33" i="112"/>
  <c r="GR13" i="112"/>
  <c r="GT106" i="113" s="1"/>
  <c r="CA35" i="112"/>
  <c r="BW13" i="112"/>
  <c r="CG181" i="112"/>
  <c r="CG174" i="112"/>
  <c r="CK160" i="112"/>
  <c r="CG18" i="112"/>
  <c r="FG18" i="112" s="1"/>
  <c r="CA25" i="112"/>
  <c r="CJ27" i="112"/>
  <c r="CO37" i="112"/>
  <c r="CO16" i="112"/>
  <c r="CO26" i="112"/>
  <c r="CQ16" i="112"/>
  <c r="CQ26" i="112"/>
  <c r="CF41" i="112"/>
  <c r="CD40" i="112"/>
  <c r="CD29" i="112"/>
  <c r="CD16" i="112"/>
  <c r="BI36" i="112"/>
  <c r="BI25" i="112"/>
  <c r="BJ36" i="112"/>
  <c r="FA14" i="112"/>
  <c r="BM25" i="112"/>
  <c r="GM14" i="112"/>
  <c r="GM19" i="112" s="1"/>
  <c r="DH112" i="112"/>
  <c r="DH119" i="112"/>
  <c r="CR114" i="112"/>
  <c r="CR121" i="112"/>
  <c r="CR128" i="112"/>
  <c r="CR15" i="112"/>
  <c r="CV100" i="112"/>
  <c r="CE24" i="112"/>
  <c r="CB33" i="112"/>
  <c r="CB19" i="112"/>
  <c r="CF30" i="112" s="1"/>
  <c r="BX11" i="112"/>
  <c r="BX98" i="113" s="1"/>
  <c r="CS128" i="112"/>
  <c r="CS121" i="112"/>
  <c r="CS114" i="112"/>
  <c r="CS15" i="112"/>
  <c r="CW100" i="112"/>
  <c r="CQ128" i="112"/>
  <c r="CG41" i="112"/>
  <c r="CN37" i="112"/>
  <c r="CN26" i="112"/>
  <c r="CN16" i="112"/>
  <c r="CE22" i="112"/>
  <c r="FM11" i="112"/>
  <c r="DE33" i="112"/>
  <c r="DE22" i="112"/>
  <c r="CM18" i="112"/>
  <c r="CQ101" i="112"/>
  <c r="CR115" i="112" s="1"/>
  <c r="CO115" i="112"/>
  <c r="CO122" i="112"/>
  <c r="CS101" i="112"/>
  <c r="GR18" i="112"/>
  <c r="CU15" i="112"/>
  <c r="CN181" i="112"/>
  <c r="CN174" i="112"/>
  <c r="CR160" i="112"/>
  <c r="CR18" i="112" s="1"/>
  <c r="CQ160" i="112"/>
  <c r="CV101" i="112"/>
  <c r="CG22" i="112"/>
  <c r="FJ100" i="112"/>
  <c r="DE99" i="113"/>
  <c r="DD164" i="112"/>
  <c r="DD178" i="112"/>
  <c r="CE41" i="112"/>
  <c r="CB35" i="112"/>
  <c r="BX13" i="112"/>
  <c r="BX99" i="113" s="1"/>
  <c r="CC36" i="112"/>
  <c r="CC16" i="112"/>
  <c r="BY14" i="112"/>
  <c r="CD36" i="112"/>
  <c r="CN29" i="112"/>
  <c r="CE40" i="112"/>
  <c r="CJ30" i="112"/>
  <c r="CI29" i="112"/>
  <c r="CI16" i="112"/>
  <c r="CJ38" i="112" s="1"/>
  <c r="CF24" i="112"/>
  <c r="CC35" i="112"/>
  <c r="CH181" i="112"/>
  <c r="CH174" i="112"/>
  <c r="CL160" i="112"/>
  <c r="CC34" i="112"/>
  <c r="BY12" i="112"/>
  <c r="CD34" i="112"/>
  <c r="CH30" i="112"/>
  <c r="FF13" i="112"/>
  <c r="BV13" i="112"/>
  <c r="BV99" i="113" s="1"/>
  <c r="BZ19" i="112"/>
  <c r="CD30" i="112" s="1"/>
  <c r="CJ40" i="112"/>
  <c r="CG25" i="112"/>
  <c r="FF14" i="112"/>
  <c r="HA93" i="112" l="1"/>
  <c r="X121" i="125"/>
  <c r="GC152" i="112"/>
  <c r="GD164" i="112" s="1"/>
  <c r="GD23" i="112"/>
  <c r="GB12" i="112"/>
  <c r="GC23" i="112" s="1"/>
  <c r="EP12" i="112"/>
  <c r="EQ23" i="112" s="1"/>
  <c r="GA12" i="112"/>
  <c r="GA152" i="112" s="1"/>
  <c r="EQ19" i="112"/>
  <c r="ER30" i="112" s="1"/>
  <c r="ER23" i="112"/>
  <c r="EQ152" i="112"/>
  <c r="ER164" i="112" s="1"/>
  <c r="CA102" i="113"/>
  <c r="CA15" i="113" s="1"/>
  <c r="CZ107" i="112"/>
  <c r="DA107" i="112"/>
  <c r="BW100" i="113"/>
  <c r="CB23" i="112"/>
  <c r="FM158" i="112"/>
  <c r="FH108" i="112"/>
  <c r="DZ55" i="113"/>
  <c r="GV100" i="112"/>
  <c r="GV107" i="112" s="1"/>
  <c r="CT15" i="112"/>
  <c r="CT37" i="112" s="1"/>
  <c r="FI101" i="112"/>
  <c r="FI122" i="112" s="1"/>
  <c r="DS93" i="112"/>
  <c r="CU114" i="112"/>
  <c r="CT114" i="112"/>
  <c r="CU121" i="112"/>
  <c r="CP101" i="112"/>
  <c r="CQ115" i="112" s="1"/>
  <c r="CL115" i="112"/>
  <c r="GT101" i="112"/>
  <c r="GT122" i="112" s="1"/>
  <c r="CM115" i="112"/>
  <c r="CM122" i="112"/>
  <c r="CT121" i="112"/>
  <c r="CX100" i="112"/>
  <c r="GU165" i="112"/>
  <c r="FR40" i="113"/>
  <c r="DH165" i="112"/>
  <c r="HB14" i="113"/>
  <c r="HB40" i="113" s="1"/>
  <c r="FB165" i="112"/>
  <c r="DZ40" i="113"/>
  <c r="DZ27" i="113"/>
  <c r="EA14" i="113"/>
  <c r="EC113" i="113"/>
  <c r="FS113" i="113" s="1"/>
  <c r="EB112" i="113"/>
  <c r="FM157" i="112"/>
  <c r="CO28" i="113"/>
  <c r="CK56" i="113"/>
  <c r="CL56" i="113"/>
  <c r="CO41" i="113"/>
  <c r="FL158" i="112"/>
  <c r="FL165" i="112" s="1"/>
  <c r="FL106" i="112"/>
  <c r="FL120" i="112"/>
  <c r="DG49" i="112"/>
  <c r="GY49" i="112"/>
  <c r="FJ158" i="112"/>
  <c r="FK120" i="112"/>
  <c r="FJ106" i="112"/>
  <c r="FK106" i="112"/>
  <c r="FJ120" i="112"/>
  <c r="FG24" i="112"/>
  <c r="FF158" i="112"/>
  <c r="CG109" i="113"/>
  <c r="GQ102" i="113"/>
  <c r="GQ109" i="113" s="1"/>
  <c r="CQ79" i="113"/>
  <c r="CP24" i="113"/>
  <c r="CQ78" i="113"/>
  <c r="CK41" i="113"/>
  <c r="CJ56" i="113"/>
  <c r="CM28" i="113"/>
  <c r="CL28" i="113"/>
  <c r="CK28" i="113"/>
  <c r="CJ28" i="113"/>
  <c r="CQ75" i="113"/>
  <c r="CQ11" i="113" s="1"/>
  <c r="CR77" i="113"/>
  <c r="CR79" i="113" s="1"/>
  <c r="BS6" i="112"/>
  <c r="BS205" i="112" s="1"/>
  <c r="GS75" i="113"/>
  <c r="GS76" i="113" s="1"/>
  <c r="CA38" i="112"/>
  <c r="DP120" i="112"/>
  <c r="CC24" i="112"/>
  <c r="BY99" i="113"/>
  <c r="CB38" i="112"/>
  <c r="GM163" i="112"/>
  <c r="BX36" i="112"/>
  <c r="DK171" i="112"/>
  <c r="DH171" i="112"/>
  <c r="GY118" i="112"/>
  <c r="GY104" i="112"/>
  <c r="GY208" i="112" s="1"/>
  <c r="FM104" i="112"/>
  <c r="FM118" i="112"/>
  <c r="CM41" i="113"/>
  <c r="FH15" i="113"/>
  <c r="GR15" i="113"/>
  <c r="CB25" i="112"/>
  <c r="BW23" i="112"/>
  <c r="BW34" i="112"/>
  <c r="CA23" i="112"/>
  <c r="CQ37" i="112"/>
  <c r="GS22" i="112"/>
  <c r="GT105" i="113"/>
  <c r="GP101" i="113"/>
  <c r="GP108" i="113" s="1"/>
  <c r="GS25" i="112"/>
  <c r="GT108" i="113"/>
  <c r="GT30" i="112"/>
  <c r="GU109" i="113"/>
  <c r="FF106" i="113"/>
  <c r="BX101" i="113"/>
  <c r="FM105" i="113"/>
  <c r="CC102" i="113"/>
  <c r="CC15" i="113" s="1"/>
  <c r="GP100" i="113"/>
  <c r="GP107" i="113" s="1"/>
  <c r="GS11" i="113"/>
  <c r="CP52" i="113"/>
  <c r="FM99" i="113"/>
  <c r="FF100" i="113"/>
  <c r="FF107" i="113" s="1"/>
  <c r="CP37" i="113"/>
  <c r="FF98" i="113"/>
  <c r="FF105" i="113" s="1"/>
  <c r="GN99" i="113"/>
  <c r="FG102" i="113"/>
  <c r="FG109" i="113" s="1"/>
  <c r="FF101" i="113"/>
  <c r="FF108" i="113" s="1"/>
  <c r="BZ25" i="112"/>
  <c r="BX23" i="112"/>
  <c r="BX25" i="112"/>
  <c r="BV34" i="112"/>
  <c r="BX100" i="113"/>
  <c r="BX34" i="112"/>
  <c r="CF27" i="112"/>
  <c r="BZ23" i="112"/>
  <c r="CB102" i="113"/>
  <c r="CB15" i="113" s="1"/>
  <c r="GL30" i="112"/>
  <c r="BV98" i="113"/>
  <c r="BZ22" i="112"/>
  <c r="BV22" i="112"/>
  <c r="GP11" i="112"/>
  <c r="GR105" i="113" s="1"/>
  <c r="BV33" i="112"/>
  <c r="CE109" i="113"/>
  <c r="CE15" i="113"/>
  <c r="CL41" i="113"/>
  <c r="FZ152" i="112"/>
  <c r="FZ19" i="112"/>
  <c r="CA22" i="112"/>
  <c r="BW98" i="113"/>
  <c r="GO98" i="113" s="1"/>
  <c r="GO105" i="113" s="1"/>
  <c r="FF152" i="112"/>
  <c r="GU121" i="112"/>
  <c r="GU107" i="112"/>
  <c r="GM30" i="112"/>
  <c r="FH165" i="112"/>
  <c r="GR152" i="112"/>
  <c r="GS164" i="112" s="1"/>
  <c r="GT166" i="112"/>
  <c r="FH163" i="112"/>
  <c r="FH164" i="112"/>
  <c r="DP113" i="112"/>
  <c r="FJ121" i="112"/>
  <c r="FJ107" i="112"/>
  <c r="GR29" i="112"/>
  <c r="GR160" i="112"/>
  <c r="GR167" i="112" s="1"/>
  <c r="FF151" i="112"/>
  <c r="FF19" i="112"/>
  <c r="GD30" i="112"/>
  <c r="GR158" i="112"/>
  <c r="GS165" i="112" s="1"/>
  <c r="CI56" i="113"/>
  <c r="FE12" i="112"/>
  <c r="FF23" i="112" s="1"/>
  <c r="BY100" i="113"/>
  <c r="CP37" i="112"/>
  <c r="GS23" i="112"/>
  <c r="GN30" i="112"/>
  <c r="GS24" i="112"/>
  <c r="CA24" i="112"/>
  <c r="BW99" i="113"/>
  <c r="FA25" i="112"/>
  <c r="FB25" i="112"/>
  <c r="FH30" i="112"/>
  <c r="FG160" i="112"/>
  <c r="FG167" i="112" s="1"/>
  <c r="FG29" i="112"/>
  <c r="GR151" i="112"/>
  <c r="GS163" i="112" s="1"/>
  <c r="GR19" i="112"/>
  <c r="FA19" i="112"/>
  <c r="CC25" i="112"/>
  <c r="BY101" i="113"/>
  <c r="FM22" i="112"/>
  <c r="FM163" i="112"/>
  <c r="GM25" i="112"/>
  <c r="GN25" i="112"/>
  <c r="FI159" i="112"/>
  <c r="FI166" i="112" s="1"/>
  <c r="FI26" i="112"/>
  <c r="GP12" i="112"/>
  <c r="GR107" i="113" s="1"/>
  <c r="BV100" i="113"/>
  <c r="BZ102" i="113"/>
  <c r="CD15" i="113"/>
  <c r="CD109" i="113"/>
  <c r="CJ41" i="113"/>
  <c r="FG25" i="112"/>
  <c r="GP14" i="112"/>
  <c r="BV101" i="113"/>
  <c r="BV36" i="112"/>
  <c r="BV25" i="112"/>
  <c r="BV16" i="112"/>
  <c r="BW38" i="112" s="1"/>
  <c r="CH56" i="113"/>
  <c r="CG56" i="113"/>
  <c r="BV23" i="112"/>
  <c r="CI40" i="112"/>
  <c r="CE182" i="113"/>
  <c r="CH16" i="112"/>
  <c r="CI38" i="112" s="1"/>
  <c r="GU15" i="112"/>
  <c r="CC23" i="112"/>
  <c r="CH40" i="112"/>
  <c r="CP16" i="112"/>
  <c r="GU16" i="112" s="1"/>
  <c r="FI16" i="112"/>
  <c r="BX35" i="112"/>
  <c r="CD41" i="112"/>
  <c r="GR16" i="112"/>
  <c r="CM27" i="112"/>
  <c r="BX27" i="112"/>
  <c r="BX38" i="112"/>
  <c r="CR29" i="112"/>
  <c r="CV121" i="112"/>
  <c r="CV114" i="112"/>
  <c r="CV128" i="112"/>
  <c r="CV15" i="112"/>
  <c r="CK174" i="112"/>
  <c r="CK181" i="112"/>
  <c r="CO160" i="112"/>
  <c r="CK18" i="112"/>
  <c r="CA41" i="112"/>
  <c r="CB24" i="112"/>
  <c r="CM29" i="112"/>
  <c r="BX22" i="112"/>
  <c r="BX19" i="112"/>
  <c r="CB30" i="112" s="1"/>
  <c r="BX33" i="112"/>
  <c r="CR37" i="112"/>
  <c r="CR26" i="112"/>
  <c r="CR16" i="112"/>
  <c r="FJ15" i="112"/>
  <c r="CL174" i="112"/>
  <c r="CP160" i="112"/>
  <c r="CQ181" i="112" s="1"/>
  <c r="BY36" i="112"/>
  <c r="BY16" i="112"/>
  <c r="BY25" i="112"/>
  <c r="BZ36" i="112"/>
  <c r="FE14" i="112"/>
  <c r="FE25" i="112" s="1"/>
  <c r="DO112" i="112"/>
  <c r="CY15" i="112"/>
  <c r="CT128" i="112"/>
  <c r="CB41" i="112"/>
  <c r="DL119" i="112"/>
  <c r="DL112" i="112"/>
  <c r="CQ27" i="112"/>
  <c r="BY33" i="112"/>
  <c r="BY19" i="112"/>
  <c r="BZ41" i="112" s="1"/>
  <c r="BY22" i="112"/>
  <c r="BZ33" i="112"/>
  <c r="CQ18" i="112"/>
  <c r="CR40" i="112" s="1"/>
  <c r="CU101" i="112"/>
  <c r="CV115" i="112" s="1"/>
  <c r="CU128" i="112"/>
  <c r="CE30" i="112"/>
  <c r="CU160" i="112"/>
  <c r="CB22" i="112"/>
  <c r="BW35" i="112"/>
  <c r="GQ13" i="112"/>
  <c r="GQ14" i="112"/>
  <c r="DR93" i="112"/>
  <c r="CC38" i="112"/>
  <c r="DE100" i="113"/>
  <c r="CM174" i="112"/>
  <c r="CC41" i="112"/>
  <c r="DO120" i="112"/>
  <c r="DO113" i="112"/>
  <c r="DE35" i="112"/>
  <c r="FM13" i="112"/>
  <c r="DE24" i="112"/>
  <c r="CR174" i="112"/>
  <c r="CR181" i="112"/>
  <c r="CV160" i="112"/>
  <c r="CV18" i="112" s="1"/>
  <c r="CW121" i="112"/>
  <c r="CW128" i="112"/>
  <c r="CW114" i="112"/>
  <c r="CW15" i="112"/>
  <c r="BW27" i="112"/>
  <c r="CI27" i="112"/>
  <c r="CR122" i="112"/>
  <c r="CS37" i="112"/>
  <c r="CS26" i="112"/>
  <c r="CS16" i="112"/>
  <c r="CD38" i="112"/>
  <c r="CD27" i="112"/>
  <c r="CE38" i="112"/>
  <c r="BV35" i="112"/>
  <c r="FE13" i="112"/>
  <c r="FE158" i="112" s="1"/>
  <c r="GP13" i="112"/>
  <c r="GR106" i="113" s="1"/>
  <c r="BV19" i="112"/>
  <c r="BY35" i="112"/>
  <c r="DO119" i="112"/>
  <c r="CU16" i="112"/>
  <c r="CU26" i="112"/>
  <c r="FK100" i="112"/>
  <c r="CB27" i="112"/>
  <c r="BZ24" i="112"/>
  <c r="BY34" i="112"/>
  <c r="BY23" i="112"/>
  <c r="BZ34" i="112"/>
  <c r="CA27" i="112"/>
  <c r="CN40" i="112"/>
  <c r="FF16" i="112"/>
  <c r="CL18" i="112"/>
  <c r="CZ101" i="112"/>
  <c r="CM181" i="112"/>
  <c r="CS115" i="112"/>
  <c r="CS122" i="112"/>
  <c r="CW101" i="112"/>
  <c r="CN38" i="112"/>
  <c r="CN27" i="112"/>
  <c r="GQ12" i="112"/>
  <c r="EO12" i="112"/>
  <c r="CO38" i="112"/>
  <c r="CG40" i="112"/>
  <c r="CG29" i="112"/>
  <c r="GS18" i="112"/>
  <c r="CG16" i="112"/>
  <c r="CC22" i="112"/>
  <c r="BW22" i="112"/>
  <c r="BW19" i="112"/>
  <c r="CA30" i="112" s="1"/>
  <c r="BW33" i="112"/>
  <c r="GQ11" i="112"/>
  <c r="GS105" i="113" s="1"/>
  <c r="FE11" i="112"/>
  <c r="GB152" i="112" l="1"/>
  <c r="GB164" i="112" s="1"/>
  <c r="GA19" i="112"/>
  <c r="GA30" i="112" s="1"/>
  <c r="GB23" i="112"/>
  <c r="GB19" i="112"/>
  <c r="GC30" i="112" s="1"/>
  <c r="GA23" i="112"/>
  <c r="EP152" i="112"/>
  <c r="EQ164" i="112" s="1"/>
  <c r="EP19" i="112"/>
  <c r="EQ30" i="112" s="1"/>
  <c r="CA109" i="113"/>
  <c r="DB107" i="112"/>
  <c r="GV121" i="112"/>
  <c r="DS152" i="112"/>
  <c r="CP115" i="112"/>
  <c r="CU37" i="112"/>
  <c r="GV15" i="112"/>
  <c r="GV159" i="112" s="1"/>
  <c r="CT16" i="112"/>
  <c r="GV16" i="112" s="1"/>
  <c r="GV27" i="112" s="1"/>
  <c r="CT26" i="112"/>
  <c r="FJ101" i="112"/>
  <c r="FJ122" i="112" s="1"/>
  <c r="FI108" i="112"/>
  <c r="CT101" i="112"/>
  <c r="GV101" i="112" s="1"/>
  <c r="DW93" i="112"/>
  <c r="HB27" i="113"/>
  <c r="GU101" i="112"/>
  <c r="GU108" i="112" s="1"/>
  <c r="CQ122" i="112"/>
  <c r="GT108" i="112"/>
  <c r="CP122" i="112"/>
  <c r="CY121" i="112"/>
  <c r="CX121" i="112"/>
  <c r="CY114" i="112"/>
  <c r="CX114" i="112"/>
  <c r="GW100" i="112"/>
  <c r="GW107" i="112" s="1"/>
  <c r="CX15" i="112"/>
  <c r="GW15" i="112" s="1"/>
  <c r="EA55" i="113"/>
  <c r="EA40" i="113"/>
  <c r="EA27" i="113"/>
  <c r="DV93" i="112"/>
  <c r="EB14" i="113"/>
  <c r="ED113" i="113"/>
  <c r="EC112" i="113"/>
  <c r="EC14" i="113" s="1"/>
  <c r="FG30" i="112"/>
  <c r="FF146" i="113"/>
  <c r="FK165" i="112"/>
  <c r="FJ165" i="112"/>
  <c r="GO99" i="113"/>
  <c r="GO106" i="113" s="1"/>
  <c r="CR85" i="113"/>
  <c r="CS77" i="113"/>
  <c r="CS85" i="113" s="1"/>
  <c r="CQ24" i="113"/>
  <c r="CR75" i="113"/>
  <c r="CR11" i="113" s="1"/>
  <c r="CR78" i="113"/>
  <c r="CE28" i="113"/>
  <c r="FI28" i="113"/>
  <c r="FI41" i="113"/>
  <c r="CH28" i="113"/>
  <c r="CG41" i="113"/>
  <c r="CI28" i="113"/>
  <c r="CF41" i="113"/>
  <c r="CF28" i="113"/>
  <c r="CG28" i="113"/>
  <c r="GS37" i="113"/>
  <c r="GS24" i="113"/>
  <c r="GS41" i="113"/>
  <c r="GS28" i="113"/>
  <c r="BR6" i="112"/>
  <c r="BR205" i="112" s="1"/>
  <c r="GZ48" i="112"/>
  <c r="DR48" i="112"/>
  <c r="DS48" i="112"/>
  <c r="DT48" i="112"/>
  <c r="GO101" i="113"/>
  <c r="GO108" i="113" s="1"/>
  <c r="BX102" i="113"/>
  <c r="BX109" i="113" s="1"/>
  <c r="GR25" i="112"/>
  <c r="GS108" i="113"/>
  <c r="GS30" i="112"/>
  <c r="GT109" i="113"/>
  <c r="GR24" i="112"/>
  <c r="GS106" i="113"/>
  <c r="GP25" i="112"/>
  <c r="GR108" i="113"/>
  <c r="GO100" i="113"/>
  <c r="GO107" i="113" s="1"/>
  <c r="GR23" i="112"/>
  <c r="GS107" i="113"/>
  <c r="CC109" i="113"/>
  <c r="GP102" i="113"/>
  <c r="GP109" i="113" s="1"/>
  <c r="FM106" i="113"/>
  <c r="FG15" i="113"/>
  <c r="FH28" i="113" s="1"/>
  <c r="CQ37" i="113"/>
  <c r="GN98" i="113"/>
  <c r="GN105" i="113" s="1"/>
  <c r="FE98" i="113"/>
  <c r="FE105" i="113" s="1"/>
  <c r="GN101" i="113"/>
  <c r="GN108" i="113" s="1"/>
  <c r="FE101" i="113"/>
  <c r="FE108" i="113" s="1"/>
  <c r="FF102" i="113"/>
  <c r="FF109" i="113" s="1"/>
  <c r="FM100" i="113"/>
  <c r="GN100" i="113"/>
  <c r="GN107" i="113" s="1"/>
  <c r="FE100" i="113"/>
  <c r="FE107" i="113" s="1"/>
  <c r="CQ52" i="113"/>
  <c r="CQ18" i="113" s="1"/>
  <c r="FE99" i="113"/>
  <c r="FE106" i="113" s="1"/>
  <c r="CB109" i="113"/>
  <c r="CF56" i="113"/>
  <c r="GQ15" i="113"/>
  <c r="GR28" i="113" s="1"/>
  <c r="GP15" i="113"/>
  <c r="FE16" i="112"/>
  <c r="FE27" i="112" s="1"/>
  <c r="GQ25" i="112"/>
  <c r="BY102" i="113"/>
  <c r="BY109" i="113" s="1"/>
  <c r="DS112" i="112"/>
  <c r="FE23" i="112"/>
  <c r="FE152" i="112"/>
  <c r="FE164" i="112" s="1"/>
  <c r="FG165" i="112"/>
  <c r="CE56" i="113"/>
  <c r="CE41" i="113"/>
  <c r="CI41" i="113"/>
  <c r="GP158" i="112"/>
  <c r="GP165" i="112" s="1"/>
  <c r="GP24" i="112"/>
  <c r="CD56" i="113"/>
  <c r="GP152" i="112"/>
  <c r="GP164" i="112" s="1"/>
  <c r="GP23" i="112"/>
  <c r="GQ19" i="112"/>
  <c r="GS109" i="113" s="1"/>
  <c r="GQ151" i="112"/>
  <c r="GR163" i="112" s="1"/>
  <c r="GQ22" i="112"/>
  <c r="FJ26" i="112"/>
  <c r="FJ159" i="112"/>
  <c r="GR22" i="112"/>
  <c r="FM24" i="112"/>
  <c r="GU26" i="112"/>
  <c r="GU159" i="112"/>
  <c r="GU166" i="112" s="1"/>
  <c r="BZ109" i="113"/>
  <c r="BZ15" i="113"/>
  <c r="BW102" i="113"/>
  <c r="GA164" i="112"/>
  <c r="CC56" i="113"/>
  <c r="FE151" i="112"/>
  <c r="FE163" i="112" s="1"/>
  <c r="FE22" i="112"/>
  <c r="FE19" i="112"/>
  <c r="GQ152" i="112"/>
  <c r="GR164" i="112" s="1"/>
  <c r="GQ23" i="112"/>
  <c r="FF22" i="112"/>
  <c r="GS160" i="112"/>
  <c r="GS167" i="112" s="1"/>
  <c r="GS29" i="112"/>
  <c r="FE24" i="112"/>
  <c r="FE165" i="112"/>
  <c r="BZ27" i="112"/>
  <c r="BV38" i="112"/>
  <c r="GP16" i="112"/>
  <c r="GP27" i="112" s="1"/>
  <c r="BV27" i="112"/>
  <c r="GP151" i="112"/>
  <c r="GP163" i="112" s="1"/>
  <c r="GP19" i="112"/>
  <c r="GP22" i="112"/>
  <c r="GQ24" i="112"/>
  <c r="GQ158" i="112"/>
  <c r="EO152" i="112"/>
  <c r="EO19" i="112"/>
  <c r="EP23" i="112"/>
  <c r="FK121" i="112"/>
  <c r="FK107" i="112"/>
  <c r="FF25" i="112"/>
  <c r="FF24" i="112"/>
  <c r="FA30" i="112"/>
  <c r="FB30" i="112"/>
  <c r="FG164" i="112"/>
  <c r="FG163" i="112"/>
  <c r="CH41" i="113"/>
  <c r="CB56" i="113"/>
  <c r="BV102" i="113"/>
  <c r="FG172" i="113"/>
  <c r="GQ172" i="113"/>
  <c r="CL27" i="112"/>
  <c r="CH27" i="112"/>
  <c r="CP27" i="112"/>
  <c r="CP18" i="112"/>
  <c r="CQ40" i="112" s="1"/>
  <c r="GQ16" i="112"/>
  <c r="CQ174" i="112"/>
  <c r="CP38" i="112"/>
  <c r="FL100" i="112"/>
  <c r="CQ38" i="112"/>
  <c r="CC30" i="112"/>
  <c r="FJ16" i="112"/>
  <c r="FJ27" i="112" s="1"/>
  <c r="CV29" i="112"/>
  <c r="CU27" i="112"/>
  <c r="DS119" i="112"/>
  <c r="CQ29" i="112"/>
  <c r="BX41" i="112"/>
  <c r="CZ128" i="112"/>
  <c r="CZ121" i="112"/>
  <c r="CZ114" i="112"/>
  <c r="CZ15" i="112"/>
  <c r="CU18" i="112"/>
  <c r="CV40" i="112" s="1"/>
  <c r="CY101" i="112"/>
  <c r="CZ122" i="112" s="1"/>
  <c r="CV122" i="112"/>
  <c r="BZ30" i="112"/>
  <c r="CY128" i="112"/>
  <c r="CP181" i="112"/>
  <c r="CP174" i="112"/>
  <c r="CT160" i="112"/>
  <c r="CU174" i="112" s="1"/>
  <c r="CV37" i="112"/>
  <c r="CV26" i="112"/>
  <c r="CV16" i="112"/>
  <c r="CG38" i="112"/>
  <c r="CG27" i="112"/>
  <c r="GS16" i="112"/>
  <c r="GS27" i="112" s="1"/>
  <c r="BY38" i="112"/>
  <c r="BY27" i="112"/>
  <c r="BZ38" i="112"/>
  <c r="CC27" i="112"/>
  <c r="CL40" i="112"/>
  <c r="CL29" i="112"/>
  <c r="FK15" i="112"/>
  <c r="CV181" i="112"/>
  <c r="CV174" i="112"/>
  <c r="CZ160" i="112"/>
  <c r="DE34" i="112"/>
  <c r="FM12" i="112"/>
  <c r="DE23" i="112"/>
  <c r="BY41" i="112"/>
  <c r="CR38" i="112"/>
  <c r="CR27" i="112"/>
  <c r="CM40" i="112"/>
  <c r="CK29" i="112"/>
  <c r="CK40" i="112"/>
  <c r="CK16" i="112"/>
  <c r="GT18" i="112"/>
  <c r="FH18" i="112"/>
  <c r="CW37" i="112"/>
  <c r="CW16" i="112"/>
  <c r="CW26" i="112"/>
  <c r="DS120" i="112"/>
  <c r="DS113" i="112"/>
  <c r="CY26" i="112"/>
  <c r="CY16" i="112"/>
  <c r="CH38" i="112"/>
  <c r="CS38" i="112"/>
  <c r="CS27" i="112"/>
  <c r="BW41" i="112"/>
  <c r="CW122" i="112"/>
  <c r="CW115" i="112"/>
  <c r="DA101" i="112"/>
  <c r="DD101" i="112"/>
  <c r="FG16" i="112"/>
  <c r="FG27" i="112" s="1"/>
  <c r="DA128" i="112"/>
  <c r="DA121" i="112"/>
  <c r="DA114" i="112"/>
  <c r="DA15" i="112"/>
  <c r="CX128" i="112"/>
  <c r="CY160" i="112"/>
  <c r="DT120" i="112"/>
  <c r="DC15" i="112"/>
  <c r="CO181" i="112"/>
  <c r="CO174" i="112"/>
  <c r="CS160" i="112"/>
  <c r="CO18" i="112"/>
  <c r="FI18" i="112" s="1"/>
  <c r="GC164" i="112" l="1"/>
  <c r="G61" i="115"/>
  <c r="G61" i="125"/>
  <c r="G59" i="125" s="1"/>
  <c r="GB30" i="112"/>
  <c r="EP30" i="112"/>
  <c r="EP164" i="112"/>
  <c r="DW152" i="112"/>
  <c r="DG15" i="112"/>
  <c r="GU122" i="112"/>
  <c r="CU122" i="112"/>
  <c r="FK101" i="112"/>
  <c r="FK122" i="112" s="1"/>
  <c r="CT115" i="112"/>
  <c r="CU115" i="112"/>
  <c r="CT122" i="112"/>
  <c r="CT38" i="112"/>
  <c r="EA93" i="112"/>
  <c r="CX101" i="112"/>
  <c r="GW101" i="112" s="1"/>
  <c r="GW122" i="112" s="1"/>
  <c r="CR37" i="113"/>
  <c r="CU38" i="112"/>
  <c r="GV26" i="112"/>
  <c r="CT27" i="112"/>
  <c r="GV122" i="112"/>
  <c r="DB15" i="112"/>
  <c r="GX15" i="112" s="1"/>
  <c r="GX100" i="112"/>
  <c r="GX121" i="112" s="1"/>
  <c r="DB121" i="112"/>
  <c r="DC121" i="112"/>
  <c r="DB114" i="112"/>
  <c r="DC114" i="112"/>
  <c r="GW121" i="112"/>
  <c r="CX26" i="112"/>
  <c r="CX16" i="112"/>
  <c r="CY38" i="112" s="1"/>
  <c r="CX37" i="112"/>
  <c r="CY37" i="112"/>
  <c r="DF165" i="112"/>
  <c r="CQ31" i="113"/>
  <c r="CQ59" i="113"/>
  <c r="CQ44" i="113"/>
  <c r="EB55" i="113"/>
  <c r="DW119" i="112"/>
  <c r="FJ85" i="113"/>
  <c r="FJ166" i="112"/>
  <c r="DE15" i="112"/>
  <c r="DZ93" i="112"/>
  <c r="FS112" i="113"/>
  <c r="FS114" i="113" s="1"/>
  <c r="EB27" i="113"/>
  <c r="DW112" i="112"/>
  <c r="DG165" i="112"/>
  <c r="DH172" i="112"/>
  <c r="EB40" i="113"/>
  <c r="CR52" i="113"/>
  <c r="CR18" i="113" s="1"/>
  <c r="ED112" i="113"/>
  <c r="EE113" i="113"/>
  <c r="EC27" i="113"/>
  <c r="EC55" i="113"/>
  <c r="EC40" i="113"/>
  <c r="DT49" i="112"/>
  <c r="DS49" i="112"/>
  <c r="CT77" i="113"/>
  <c r="CU77" i="113" s="1"/>
  <c r="CS75" i="113"/>
  <c r="CS11" i="113" s="1"/>
  <c r="CS78" i="113"/>
  <c r="FJ77" i="113"/>
  <c r="FJ78" i="113" s="1"/>
  <c r="CS79" i="113"/>
  <c r="FE30" i="112"/>
  <c r="FE146" i="113"/>
  <c r="DR49" i="112"/>
  <c r="DR13" i="112" s="1"/>
  <c r="DV24" i="112" s="1"/>
  <c r="DI49" i="112"/>
  <c r="GZ49" i="112" s="1"/>
  <c r="FN48" i="112"/>
  <c r="FN157" i="112" s="1"/>
  <c r="DG172" i="112"/>
  <c r="CR24" i="113"/>
  <c r="FF15" i="113"/>
  <c r="FG28" i="113" s="1"/>
  <c r="GQ28" i="113"/>
  <c r="FH41" i="113"/>
  <c r="CD28" i="113"/>
  <c r="FF27" i="112"/>
  <c r="DT113" i="112"/>
  <c r="BX15" i="113"/>
  <c r="DQ125" i="112"/>
  <c r="DN125" i="112"/>
  <c r="DQ111" i="112"/>
  <c r="DR111" i="112"/>
  <c r="DO125" i="112"/>
  <c r="DP125" i="112"/>
  <c r="DQ118" i="112"/>
  <c r="DR118" i="112"/>
  <c r="FF164" i="112"/>
  <c r="GP30" i="112"/>
  <c r="GR109" i="113"/>
  <c r="FM107" i="113"/>
  <c r="GN102" i="113"/>
  <c r="GN109" i="113" s="1"/>
  <c r="FE102" i="113"/>
  <c r="FE109" i="113" s="1"/>
  <c r="GQ41" i="113"/>
  <c r="GR41" i="113"/>
  <c r="GO102" i="113"/>
  <c r="GO109" i="113" s="1"/>
  <c r="BY15" i="113"/>
  <c r="GQ165" i="112"/>
  <c r="FF163" i="112"/>
  <c r="GV166" i="112"/>
  <c r="GQ163" i="112"/>
  <c r="GQ27" i="112"/>
  <c r="CA56" i="113"/>
  <c r="BV15" i="113"/>
  <c r="BZ28" i="113" s="1"/>
  <c r="BV109" i="113"/>
  <c r="FF30" i="112"/>
  <c r="GQ30" i="112"/>
  <c r="CD41" i="113"/>
  <c r="FF165" i="112"/>
  <c r="BW109" i="113"/>
  <c r="BW15" i="113"/>
  <c r="CA28" i="113" s="1"/>
  <c r="FM23" i="112"/>
  <c r="FL121" i="112"/>
  <c r="FL107" i="112"/>
  <c r="GR27" i="112"/>
  <c r="FI29" i="112"/>
  <c r="FI160" i="112"/>
  <c r="GR30" i="112"/>
  <c r="GR165" i="112"/>
  <c r="FK159" i="112"/>
  <c r="FK26" i="112"/>
  <c r="CP29" i="112"/>
  <c r="FH160" i="112"/>
  <c r="FH167" i="112" s="1"/>
  <c r="FH29" i="112"/>
  <c r="GW159" i="112"/>
  <c r="GW166" i="112" s="1"/>
  <c r="GW26" i="112"/>
  <c r="GT29" i="112"/>
  <c r="GT160" i="112"/>
  <c r="GT167" i="112" s="1"/>
  <c r="GQ164" i="112"/>
  <c r="DC76" i="113"/>
  <c r="DD76" i="113" s="1"/>
  <c r="CF182" i="113"/>
  <c r="FM100" i="112"/>
  <c r="CP40" i="112"/>
  <c r="DB128" i="112"/>
  <c r="CK38" i="112"/>
  <c r="CK27" i="112"/>
  <c r="CL38" i="112"/>
  <c r="FH16" i="112"/>
  <c r="CO27" i="112"/>
  <c r="GT16" i="112"/>
  <c r="DE128" i="112"/>
  <c r="DE121" i="112"/>
  <c r="DE114" i="112"/>
  <c r="CW38" i="112"/>
  <c r="CW27" i="112"/>
  <c r="DC128" i="112"/>
  <c r="CY27" i="112"/>
  <c r="DC160" i="112"/>
  <c r="DD114" i="112"/>
  <c r="DD128" i="112"/>
  <c r="DD121" i="112"/>
  <c r="DD15" i="112"/>
  <c r="DH15" i="112"/>
  <c r="DL26" i="112" s="1"/>
  <c r="CZ181" i="112"/>
  <c r="CZ174" i="112"/>
  <c r="DD160" i="112"/>
  <c r="DD18" i="112" s="1"/>
  <c r="DA37" i="112"/>
  <c r="DA16" i="112"/>
  <c r="DA26" i="112"/>
  <c r="DA115" i="112"/>
  <c r="DA122" i="112"/>
  <c r="DE101" i="112"/>
  <c r="DC26" i="112"/>
  <c r="CT174" i="112"/>
  <c r="CT181" i="112"/>
  <c r="CX160" i="112"/>
  <c r="CY181" i="112" s="1"/>
  <c r="CY18" i="112"/>
  <c r="DC101" i="112"/>
  <c r="CZ37" i="112"/>
  <c r="CZ26" i="112"/>
  <c r="CZ16" i="112"/>
  <c r="FK16" i="112"/>
  <c r="FK27" i="112" s="1"/>
  <c r="DH101" i="112"/>
  <c r="FL15" i="112"/>
  <c r="CO40" i="112"/>
  <c r="CO29" i="112"/>
  <c r="GU18" i="112"/>
  <c r="CZ18" i="112"/>
  <c r="CS181" i="112"/>
  <c r="CS174" i="112"/>
  <c r="CW160" i="112"/>
  <c r="CS18" i="112"/>
  <c r="CU181" i="112"/>
  <c r="CT18" i="112"/>
  <c r="CZ115" i="112"/>
  <c r="CV27" i="112"/>
  <c r="CV38" i="112"/>
  <c r="CU29" i="112"/>
  <c r="DK26" i="112" l="1"/>
  <c r="M122" i="125"/>
  <c r="Y122" i="125" s="1"/>
  <c r="EA152" i="112"/>
  <c r="DW12" i="112"/>
  <c r="EE93" i="112"/>
  <c r="DB101" i="112"/>
  <c r="GX101" i="112" s="1"/>
  <c r="GX122" i="112" s="1"/>
  <c r="GX107" i="112"/>
  <c r="FL101" i="112"/>
  <c r="FL122" i="112" s="1"/>
  <c r="CX115" i="112"/>
  <c r="CX122" i="112"/>
  <c r="CY122" i="112"/>
  <c r="CY115" i="112"/>
  <c r="DC37" i="112"/>
  <c r="DB26" i="112"/>
  <c r="DF15" i="112"/>
  <c r="DF26" i="112" s="1"/>
  <c r="CX38" i="112"/>
  <c r="DB37" i="112"/>
  <c r="DF114" i="112"/>
  <c r="GW16" i="112"/>
  <c r="GW27" i="112" s="1"/>
  <c r="DG121" i="112"/>
  <c r="DF121" i="112"/>
  <c r="FM15" i="112"/>
  <c r="GY100" i="112"/>
  <c r="GY107" i="112" s="1"/>
  <c r="DG114" i="112"/>
  <c r="CX27" i="112"/>
  <c r="ED93" i="112"/>
  <c r="EA119" i="112"/>
  <c r="EA112" i="112"/>
  <c r="CR31" i="113"/>
  <c r="CR44" i="113"/>
  <c r="CR59" i="113"/>
  <c r="FS14" i="113"/>
  <c r="FS40" i="113" s="1"/>
  <c r="FK166" i="112"/>
  <c r="DI15" i="112"/>
  <c r="DO165" i="112"/>
  <c r="ED14" i="113"/>
  <c r="HC112" i="113"/>
  <c r="HC114" i="113" s="1"/>
  <c r="CT79" i="113"/>
  <c r="GT77" i="113"/>
  <c r="GT78" i="113" s="1"/>
  <c r="CT78" i="113"/>
  <c r="CS52" i="113"/>
  <c r="CS18" i="113" s="1"/>
  <c r="CT80" i="113"/>
  <c r="CT75" i="113"/>
  <c r="CT11" i="113" s="1"/>
  <c r="CT85" i="113"/>
  <c r="GT85" i="113" s="1"/>
  <c r="EF113" i="113"/>
  <c r="EE112" i="113"/>
  <c r="DT13" i="112"/>
  <c r="DS13" i="112"/>
  <c r="CS37" i="113"/>
  <c r="FJ11" i="113"/>
  <c r="CS24" i="113"/>
  <c r="FJ75" i="113"/>
  <c r="FJ76" i="113" s="1"/>
  <c r="DR158" i="112"/>
  <c r="FG41" i="113"/>
  <c r="FN49" i="112"/>
  <c r="FN158" i="112" s="1"/>
  <c r="CB41" i="113"/>
  <c r="CB28" i="113"/>
  <c r="CC41" i="113"/>
  <c r="CC28" i="113"/>
  <c r="DD115" i="112"/>
  <c r="DC232" i="112"/>
  <c r="DQ48" i="112"/>
  <c r="HB48" i="112" s="1"/>
  <c r="DU48" i="112"/>
  <c r="HC48" i="112" s="1"/>
  <c r="BX56" i="113"/>
  <c r="DU111" i="112"/>
  <c r="DU125" i="112"/>
  <c r="DT125" i="112"/>
  <c r="DR125" i="112"/>
  <c r="DS125" i="112"/>
  <c r="DU118" i="112"/>
  <c r="FE15" i="113"/>
  <c r="FF41" i="113" s="1"/>
  <c r="CU80" i="113"/>
  <c r="BZ56" i="113"/>
  <c r="BY56" i="113"/>
  <c r="GO15" i="113"/>
  <c r="BV56" i="113"/>
  <c r="FI167" i="112"/>
  <c r="GU160" i="112"/>
  <c r="GU167" i="112" s="1"/>
  <c r="GU29" i="112"/>
  <c r="FH27" i="112"/>
  <c r="FI27" i="112"/>
  <c r="BW56" i="113"/>
  <c r="CA41" i="113"/>
  <c r="GT27" i="112"/>
  <c r="GU27" i="112"/>
  <c r="BZ41" i="113"/>
  <c r="GX159" i="112"/>
  <c r="GX166" i="112" s="1"/>
  <c r="GX26" i="112"/>
  <c r="FL159" i="112"/>
  <c r="FL26" i="112"/>
  <c r="FM121" i="112"/>
  <c r="FM107" i="112"/>
  <c r="CV77" i="113"/>
  <c r="CV80" i="113" s="1"/>
  <c r="CU79" i="113"/>
  <c r="CU78" i="113"/>
  <c r="CU85" i="113"/>
  <c r="CU75" i="113"/>
  <c r="FG182" i="113"/>
  <c r="GQ182" i="113"/>
  <c r="DD122" i="112"/>
  <c r="DG128" i="112"/>
  <c r="FN100" i="112"/>
  <c r="CZ38" i="112"/>
  <c r="CZ27" i="112"/>
  <c r="CZ40" i="112"/>
  <c r="CZ29" i="112"/>
  <c r="CX174" i="112"/>
  <c r="CX181" i="112"/>
  <c r="DB160" i="112"/>
  <c r="DC18" i="112"/>
  <c r="DG101" i="112"/>
  <c r="DA38" i="112"/>
  <c r="DA27" i="112"/>
  <c r="DE101" i="113"/>
  <c r="DE37" i="112"/>
  <c r="DE26" i="112"/>
  <c r="DL101" i="112"/>
  <c r="DD29" i="112"/>
  <c r="DE115" i="112"/>
  <c r="DE122" i="112"/>
  <c r="DI101" i="112"/>
  <c r="DH128" i="112"/>
  <c r="DH121" i="112"/>
  <c r="DH114" i="112"/>
  <c r="DG160" i="112"/>
  <c r="CS40" i="112"/>
  <c r="CS29" i="112"/>
  <c r="GV18" i="112"/>
  <c r="GV160" i="112" s="1"/>
  <c r="FJ18" i="112"/>
  <c r="DI128" i="112"/>
  <c r="DI121" i="112"/>
  <c r="DI114" i="112"/>
  <c r="DM100" i="112"/>
  <c r="CT40" i="112"/>
  <c r="CT29" i="112"/>
  <c r="M116" i="125"/>
  <c r="CW181" i="112"/>
  <c r="CW174" i="112"/>
  <c r="DA160" i="112"/>
  <c r="CW18" i="112"/>
  <c r="FK18" i="112" s="1"/>
  <c r="CU40" i="112"/>
  <c r="DG26" i="112"/>
  <c r="CX18" i="112"/>
  <c r="DF128" i="112"/>
  <c r="CY29" i="112"/>
  <c r="DD174" i="112"/>
  <c r="DD181" i="112"/>
  <c r="DH160" i="112"/>
  <c r="DH18" i="112" s="1"/>
  <c r="DH16" i="112" s="1"/>
  <c r="DD37" i="112"/>
  <c r="DD26" i="112"/>
  <c r="DD16" i="112"/>
  <c r="CY174" i="112"/>
  <c r="FL16" i="112"/>
  <c r="FL27" i="112" s="1"/>
  <c r="N122" i="115" l="1"/>
  <c r="DW12" i="51"/>
  <c r="DM15" i="112"/>
  <c r="DP107" i="112"/>
  <c r="X122" i="125"/>
  <c r="EE152" i="112"/>
  <c r="DJ15" i="112"/>
  <c r="C61" i="125" s="1"/>
  <c r="C53" i="125"/>
  <c r="Y116" i="125"/>
  <c r="X116" i="125"/>
  <c r="M128" i="125"/>
  <c r="EA12" i="112"/>
  <c r="DO100" i="112"/>
  <c r="DW100" i="113"/>
  <c r="DI158" i="112"/>
  <c r="DH27" i="112"/>
  <c r="EI93" i="112"/>
  <c r="DC122" i="112"/>
  <c r="DF101" i="112"/>
  <c r="DG115" i="112" s="1"/>
  <c r="DB122" i="112"/>
  <c r="DB18" i="112"/>
  <c r="DB29" i="112" s="1"/>
  <c r="F43" i="116"/>
  <c r="FM159" i="112"/>
  <c r="FM166" i="112" s="1"/>
  <c r="DC115" i="112"/>
  <c r="DB115" i="112"/>
  <c r="FM101" i="112"/>
  <c r="FM122" i="112" s="1"/>
  <c r="DH122" i="112"/>
  <c r="DG18" i="112"/>
  <c r="DG16" i="112" s="1"/>
  <c r="FJ37" i="113"/>
  <c r="DF37" i="112"/>
  <c r="ED40" i="113"/>
  <c r="GY15" i="112"/>
  <c r="GY159" i="112" s="1"/>
  <c r="GY166" i="112" s="1"/>
  <c r="DN100" i="112"/>
  <c r="DG37" i="112"/>
  <c r="DJ121" i="112"/>
  <c r="FM26" i="112"/>
  <c r="GY121" i="112"/>
  <c r="DJ114" i="112"/>
  <c r="DK121" i="112"/>
  <c r="DK114" i="112"/>
  <c r="GZ100" i="112"/>
  <c r="GZ121" i="112" s="1"/>
  <c r="EH93" i="112"/>
  <c r="EE112" i="112"/>
  <c r="EE119" i="112"/>
  <c r="CS59" i="113"/>
  <c r="CS44" i="113"/>
  <c r="CS31" i="113"/>
  <c r="CT59" i="113"/>
  <c r="FJ18" i="113"/>
  <c r="GT18" i="113"/>
  <c r="HC14" i="113"/>
  <c r="HC27" i="113" s="1"/>
  <c r="FS27" i="113"/>
  <c r="FL166" i="112"/>
  <c r="DC242" i="112"/>
  <c r="DC237" i="112"/>
  <c r="DC80" i="51"/>
  <c r="DP172" i="112"/>
  <c r="DO172" i="112"/>
  <c r="ED55" i="113"/>
  <c r="ED27" i="113"/>
  <c r="EE14" i="113"/>
  <c r="GT75" i="113"/>
  <c r="GT76" i="113" s="1"/>
  <c r="FJ24" i="113"/>
  <c r="DT158" i="112"/>
  <c r="EG113" i="113"/>
  <c r="FT113" i="113" s="1"/>
  <c r="EF112" i="113"/>
  <c r="EF14" i="113" s="1"/>
  <c r="DX24" i="112"/>
  <c r="DW24" i="112"/>
  <c r="DS158" i="112"/>
  <c r="DV165" i="112"/>
  <c r="DR165" i="112"/>
  <c r="DU49" i="112"/>
  <c r="HC49" i="112" s="1"/>
  <c r="FQ48" i="112"/>
  <c r="FQ157" i="112" s="1"/>
  <c r="DQ49" i="112"/>
  <c r="HB49" i="112" s="1"/>
  <c r="FP48" i="112"/>
  <c r="FP157" i="112" s="1"/>
  <c r="DM158" i="112"/>
  <c r="DD232" i="112"/>
  <c r="DC145" i="113"/>
  <c r="CT52" i="113"/>
  <c r="CT24" i="113"/>
  <c r="GP41" i="113"/>
  <c r="GP28" i="113"/>
  <c r="FF28" i="113"/>
  <c r="FQ104" i="112"/>
  <c r="FQ118" i="112"/>
  <c r="GV167" i="112"/>
  <c r="CT37" i="113"/>
  <c r="CU11" i="113"/>
  <c r="DE102" i="113"/>
  <c r="DE15" i="113" s="1"/>
  <c r="FM101" i="113"/>
  <c r="GT11" i="113"/>
  <c r="FJ160" i="112"/>
  <c r="FJ167" i="112" s="1"/>
  <c r="FK160" i="112"/>
  <c r="FN107" i="112"/>
  <c r="FN121" i="112"/>
  <c r="CW77" i="113"/>
  <c r="CW80" i="113" s="1"/>
  <c r="CV75" i="113"/>
  <c r="CV11" i="113" s="1"/>
  <c r="CV85" i="113"/>
  <c r="CV79" i="113"/>
  <c r="CV78" i="113"/>
  <c r="DH115" i="112"/>
  <c r="DC174" i="112"/>
  <c r="DC181" i="112"/>
  <c r="FN15" i="112"/>
  <c r="F51" i="116" s="1"/>
  <c r="FO100" i="112"/>
  <c r="DE36" i="112"/>
  <c r="DE25" i="112"/>
  <c r="FM14" i="112"/>
  <c r="DE19" i="112"/>
  <c r="DI184" i="112" s="1"/>
  <c r="DH29" i="112"/>
  <c r="DK128" i="112"/>
  <c r="DH37" i="112"/>
  <c r="DH26" i="112"/>
  <c r="DH181" i="112"/>
  <c r="DH174" i="112"/>
  <c r="DL160" i="112"/>
  <c r="DL18" i="112" s="1"/>
  <c r="DL29" i="112" s="1"/>
  <c r="DM128" i="112"/>
  <c r="DM121" i="112"/>
  <c r="DM114" i="112"/>
  <c r="DQ100" i="112"/>
  <c r="CX40" i="112"/>
  <c r="CX29" i="112"/>
  <c r="DI122" i="112"/>
  <c r="DI115" i="112"/>
  <c r="DM101" i="112"/>
  <c r="DC29" i="112"/>
  <c r="DC16" i="112"/>
  <c r="DA181" i="112"/>
  <c r="DA174" i="112"/>
  <c r="DE160" i="112"/>
  <c r="DE174" i="112" s="1"/>
  <c r="DA18" i="112"/>
  <c r="FL18" i="112" s="1"/>
  <c r="DI37" i="112"/>
  <c r="DI26" i="112"/>
  <c r="DL128" i="112"/>
  <c r="DL121" i="112"/>
  <c r="DL114" i="112"/>
  <c r="DD27" i="112"/>
  <c r="DK160" i="112"/>
  <c r="DD40" i="112"/>
  <c r="CW29" i="112"/>
  <c r="CW40" i="112"/>
  <c r="GW18" i="112"/>
  <c r="GW160" i="112" s="1"/>
  <c r="GW167" i="112" s="1"/>
  <c r="CY40" i="112"/>
  <c r="DP101" i="112"/>
  <c r="DK101" i="112"/>
  <c r="DB181" i="112"/>
  <c r="DB174" i="112"/>
  <c r="DF160" i="112"/>
  <c r="DJ128" i="112"/>
  <c r="DQ15" i="112" l="1"/>
  <c r="DO15" i="112"/>
  <c r="DO26" i="112" s="1"/>
  <c r="DM26" i="112"/>
  <c r="N116" i="115"/>
  <c r="N128" i="115" s="1"/>
  <c r="EA12" i="51"/>
  <c r="EA21" i="51" s="1"/>
  <c r="DM165" i="112"/>
  <c r="DN15" i="112"/>
  <c r="DN26" i="112" s="1"/>
  <c r="EE12" i="112"/>
  <c r="DJ26" i="112"/>
  <c r="DP100" i="112"/>
  <c r="DP15" i="112" s="1"/>
  <c r="EI152" i="112"/>
  <c r="DS100" i="112"/>
  <c r="EA100" i="113"/>
  <c r="EA23" i="112"/>
  <c r="Y128" i="125"/>
  <c r="X128" i="125"/>
  <c r="E53" i="125"/>
  <c r="F53" i="125" s="1"/>
  <c r="K77" i="125"/>
  <c r="H53" i="125"/>
  <c r="C59" i="125"/>
  <c r="H61" i="125"/>
  <c r="K71" i="125"/>
  <c r="E61" i="125"/>
  <c r="F61" i="125" s="1"/>
  <c r="DI172" i="112"/>
  <c r="DC40" i="112"/>
  <c r="DJ101" i="112"/>
  <c r="DF18" i="112"/>
  <c r="DF16" i="112" s="1"/>
  <c r="FN101" i="112"/>
  <c r="FN122" i="112" s="1"/>
  <c r="GY101" i="112"/>
  <c r="GY122" i="112" s="1"/>
  <c r="DF115" i="112"/>
  <c r="DG122" i="112"/>
  <c r="DF122" i="112"/>
  <c r="DB16" i="112"/>
  <c r="DB38" i="112" s="1"/>
  <c r="H43" i="116"/>
  <c r="I43" i="116" s="1"/>
  <c r="DO114" i="112"/>
  <c r="J43" i="116"/>
  <c r="HA100" i="112"/>
  <c r="HA107" i="112" s="1"/>
  <c r="DN121" i="112"/>
  <c r="DG27" i="112"/>
  <c r="H51" i="116"/>
  <c r="I51" i="116" s="1"/>
  <c r="F49" i="116"/>
  <c r="DO121" i="112"/>
  <c r="DR100" i="112"/>
  <c r="DN114" i="112"/>
  <c r="GY26" i="112"/>
  <c r="GZ15" i="112"/>
  <c r="GZ26" i="112" s="1"/>
  <c r="EI119" i="112"/>
  <c r="DJ37" i="112"/>
  <c r="DK37" i="112"/>
  <c r="EI112" i="112"/>
  <c r="GZ107" i="112"/>
  <c r="DH40" i="112"/>
  <c r="DG29" i="112"/>
  <c r="HC40" i="113"/>
  <c r="EE55" i="113"/>
  <c r="FJ31" i="113"/>
  <c r="FJ44" i="113"/>
  <c r="GT44" i="113"/>
  <c r="GT31" i="113"/>
  <c r="DD242" i="112"/>
  <c r="EE27" i="113"/>
  <c r="EE40" i="113"/>
  <c r="DV189" i="112"/>
  <c r="DS172" i="112"/>
  <c r="DD237" i="112"/>
  <c r="DD80" i="51"/>
  <c r="DX165" i="112"/>
  <c r="DT165" i="112"/>
  <c r="EF55" i="113"/>
  <c r="EF27" i="113"/>
  <c r="EF40" i="113"/>
  <c r="EH113" i="113"/>
  <c r="HD113" i="113" s="1"/>
  <c r="HD115" i="113" s="1"/>
  <c r="EG112" i="113"/>
  <c r="EG14" i="113" s="1"/>
  <c r="DU13" i="112"/>
  <c r="HC13" i="112" s="1"/>
  <c r="DW165" i="112"/>
  <c r="DT172" i="112"/>
  <c r="DS165" i="112"/>
  <c r="FQ49" i="112"/>
  <c r="DQ13" i="112"/>
  <c r="DQ158" i="112" s="1"/>
  <c r="FP49" i="112"/>
  <c r="DN172" i="112"/>
  <c r="DD145" i="113"/>
  <c r="CV24" i="113"/>
  <c r="GT37" i="113"/>
  <c r="GT24" i="113"/>
  <c r="FM15" i="113"/>
  <c r="DE28" i="113"/>
  <c r="CU52" i="113"/>
  <c r="CU18" i="113" s="1"/>
  <c r="CU24" i="113"/>
  <c r="CU37" i="113"/>
  <c r="FM108" i="113"/>
  <c r="FK77" i="113"/>
  <c r="FK78" i="113" s="1"/>
  <c r="FM102" i="113"/>
  <c r="CW78" i="113"/>
  <c r="CX77" i="113"/>
  <c r="GU77" i="113" s="1"/>
  <c r="GU78" i="113" s="1"/>
  <c r="CW79" i="113"/>
  <c r="CV52" i="113"/>
  <c r="CW75" i="113"/>
  <c r="CW85" i="113"/>
  <c r="DE41" i="113"/>
  <c r="DE56" i="113"/>
  <c r="FO107" i="112"/>
  <c r="FO121" i="112"/>
  <c r="DE109" i="113"/>
  <c r="DL115" i="112"/>
  <c r="FN159" i="112"/>
  <c r="FN26" i="112"/>
  <c r="FK167" i="112"/>
  <c r="FM25" i="112"/>
  <c r="FM19" i="112"/>
  <c r="FM30" i="112" s="1"/>
  <c r="FL160" i="112"/>
  <c r="FL167" i="112" s="1"/>
  <c r="CV37" i="113"/>
  <c r="FO15" i="112"/>
  <c r="J51" i="116" s="1"/>
  <c r="DE41" i="112"/>
  <c r="DE30" i="112"/>
  <c r="DT101" i="112"/>
  <c r="DM37" i="112"/>
  <c r="DK18" i="112"/>
  <c r="DK16" i="112" s="1"/>
  <c r="DO101" i="112"/>
  <c r="DC27" i="112"/>
  <c r="DH38" i="112"/>
  <c r="DE181" i="112"/>
  <c r="DI160" i="112"/>
  <c r="DE18" i="112"/>
  <c r="DE16" i="112" s="1"/>
  <c r="DU100" i="112"/>
  <c r="DH101" i="113"/>
  <c r="DL122" i="112"/>
  <c r="DO160" i="112"/>
  <c r="DF181" i="112"/>
  <c r="DF174" i="112"/>
  <c r="DJ160" i="112"/>
  <c r="DG174" i="112"/>
  <c r="DD38" i="112"/>
  <c r="DM115" i="112"/>
  <c r="DM122" i="112"/>
  <c r="DQ101" i="112"/>
  <c r="DG181" i="112"/>
  <c r="DL37" i="112"/>
  <c r="DA40" i="112"/>
  <c r="DA29" i="112"/>
  <c r="GX18" i="112"/>
  <c r="GX160" i="112" s="1"/>
  <c r="GX167" i="112" s="1"/>
  <c r="DL174" i="112"/>
  <c r="DL181" i="112"/>
  <c r="DP160" i="112"/>
  <c r="DP18" i="112" s="1"/>
  <c r="DP16" i="112" s="1"/>
  <c r="DB40" i="112"/>
  <c r="C53" i="115" l="1"/>
  <c r="K77" i="115" s="1"/>
  <c r="T77" i="115" s="1"/>
  <c r="EE100" i="113"/>
  <c r="M122" i="115"/>
  <c r="O122" i="115" s="1"/>
  <c r="EE12" i="51"/>
  <c r="EE23" i="112"/>
  <c r="DW100" i="112"/>
  <c r="DQ121" i="112"/>
  <c r="EI12" i="112"/>
  <c r="DK29" i="112"/>
  <c r="DK27" i="112"/>
  <c r="FP15" i="112"/>
  <c r="DS15" i="112"/>
  <c r="DS26" i="112" s="1"/>
  <c r="DN128" i="112"/>
  <c r="DP128" i="112"/>
  <c r="DO128" i="112"/>
  <c r="DP114" i="112"/>
  <c r="DP121" i="112"/>
  <c r="DQ114" i="112"/>
  <c r="FP100" i="112"/>
  <c r="DQ128" i="112"/>
  <c r="DT100" i="112"/>
  <c r="E59" i="125"/>
  <c r="F59" i="125" s="1"/>
  <c r="H59" i="125"/>
  <c r="K83" i="125"/>
  <c r="S77" i="125"/>
  <c r="O77" i="125"/>
  <c r="N77" i="125"/>
  <c r="T77" i="125"/>
  <c r="T71" i="125"/>
  <c r="S71" i="125"/>
  <c r="GZ101" i="112"/>
  <c r="GZ122" i="112" s="1"/>
  <c r="DJ18" i="112"/>
  <c r="DN37" i="112"/>
  <c r="L43" i="116"/>
  <c r="M43" i="116" s="1"/>
  <c r="FO101" i="112"/>
  <c r="FO122" i="112" s="1"/>
  <c r="DJ122" i="112"/>
  <c r="DJ115" i="112"/>
  <c r="DK122" i="112"/>
  <c r="DK115" i="112"/>
  <c r="DN101" i="112"/>
  <c r="DR101" i="112" s="1"/>
  <c r="DV101" i="112" s="1"/>
  <c r="DS114" i="112"/>
  <c r="DR114" i="112"/>
  <c r="DR121" i="112"/>
  <c r="HB100" i="112"/>
  <c r="HB107" i="112" s="1"/>
  <c r="DF27" i="112"/>
  <c r="DG40" i="112"/>
  <c r="DF29" i="112"/>
  <c r="FM16" i="112"/>
  <c r="FM27" i="112" s="1"/>
  <c r="GX16" i="112"/>
  <c r="GX27" i="112" s="1"/>
  <c r="DC38" i="112"/>
  <c r="DB27" i="112"/>
  <c r="DS121" i="112"/>
  <c r="DR15" i="112"/>
  <c r="HA121" i="112"/>
  <c r="DO37" i="112"/>
  <c r="DV100" i="112"/>
  <c r="H49" i="116"/>
  <c r="I49" i="116" s="1"/>
  <c r="HA15" i="112"/>
  <c r="HA26" i="112" s="1"/>
  <c r="J49" i="116"/>
  <c r="L51" i="116"/>
  <c r="M51" i="116" s="1"/>
  <c r="GZ159" i="112"/>
  <c r="GZ166" i="112" s="1"/>
  <c r="CU31" i="113"/>
  <c r="CV18" i="113"/>
  <c r="CU44" i="113"/>
  <c r="CU59" i="113"/>
  <c r="FN166" i="112"/>
  <c r="DV35" i="112"/>
  <c r="DY24" i="112"/>
  <c r="DX189" i="112"/>
  <c r="DW189" i="112"/>
  <c r="HC158" i="112"/>
  <c r="HD165" i="112" s="1"/>
  <c r="HD24" i="112"/>
  <c r="FT112" i="113"/>
  <c r="EI113" i="113"/>
  <c r="EH112" i="113"/>
  <c r="HD112" i="113" s="1"/>
  <c r="HD114" i="113" s="1"/>
  <c r="DY100" i="112"/>
  <c r="DU158" i="112"/>
  <c r="EG40" i="113"/>
  <c r="EG27" i="113"/>
  <c r="EG55" i="113"/>
  <c r="DX101" i="112"/>
  <c r="EB101" i="112" s="1"/>
  <c r="DQ165" i="112"/>
  <c r="DR172" i="112"/>
  <c r="DQ172" i="112"/>
  <c r="FM41" i="113"/>
  <c r="FM28" i="113"/>
  <c r="GY16" i="112"/>
  <c r="DE27" i="112"/>
  <c r="DE38" i="112"/>
  <c r="CX85" i="113"/>
  <c r="GU85" i="113" s="1"/>
  <c r="CX75" i="113"/>
  <c r="CX11" i="113" s="1"/>
  <c r="FM109" i="113"/>
  <c r="CX80" i="113"/>
  <c r="CW11" i="113"/>
  <c r="FK75" i="113"/>
  <c r="FK76" i="113" s="1"/>
  <c r="CX79" i="113"/>
  <c r="CX78" i="113"/>
  <c r="FK85" i="113"/>
  <c r="CY77" i="113"/>
  <c r="CY75" i="113" s="1"/>
  <c r="DP122" i="112"/>
  <c r="FO26" i="112"/>
  <c r="FO159" i="112"/>
  <c r="DK181" i="112"/>
  <c r="DP29" i="112"/>
  <c r="DE40" i="112"/>
  <c r="DE29" i="112"/>
  <c r="GY18" i="112"/>
  <c r="GY160" i="112" s="1"/>
  <c r="GY167" i="112" s="1"/>
  <c r="FM18" i="112"/>
  <c r="DQ115" i="112"/>
  <c r="DQ122" i="112"/>
  <c r="DU101" i="112"/>
  <c r="DU15" i="112"/>
  <c r="DI181" i="112"/>
  <c r="DI174" i="112"/>
  <c r="DM160" i="112"/>
  <c r="DI18" i="112"/>
  <c r="DI16" i="112" s="1"/>
  <c r="DI27" i="112" s="1"/>
  <c r="DG38" i="112"/>
  <c r="DP115" i="112"/>
  <c r="DP174" i="112"/>
  <c r="DP181" i="112"/>
  <c r="DT160" i="112"/>
  <c r="DX160" i="112" s="1"/>
  <c r="DQ26" i="112"/>
  <c r="DJ174" i="112"/>
  <c r="DJ181" i="112"/>
  <c r="DN160" i="112"/>
  <c r="DO181" i="112" s="1"/>
  <c r="DS160" i="112"/>
  <c r="DW160" i="112" s="1"/>
  <c r="DF38" i="112"/>
  <c r="DF101" i="113"/>
  <c r="DF40" i="112"/>
  <c r="DK174" i="112"/>
  <c r="DL40" i="112"/>
  <c r="DH25" i="112"/>
  <c r="DO18" i="112"/>
  <c r="DS101" i="112"/>
  <c r="S77" i="115" l="1"/>
  <c r="N77" i="115"/>
  <c r="W77" i="115"/>
  <c r="E53" i="115"/>
  <c r="F53" i="115" s="1"/>
  <c r="O77" i="115"/>
  <c r="C61" i="115"/>
  <c r="H61" i="115" s="1"/>
  <c r="DO16" i="112"/>
  <c r="DO27" i="112" s="1"/>
  <c r="DO29" i="112"/>
  <c r="X122" i="115"/>
  <c r="EI100" i="113"/>
  <c r="DW15" i="112"/>
  <c r="DW26" i="112" s="1"/>
  <c r="M116" i="115"/>
  <c r="M128" i="115" s="1"/>
  <c r="X128" i="115" s="1"/>
  <c r="EE21" i="51"/>
  <c r="EA100" i="112"/>
  <c r="N43" i="116"/>
  <c r="EI23" i="112"/>
  <c r="EI12" i="51"/>
  <c r="DP26" i="112"/>
  <c r="DQ37" i="112"/>
  <c r="DP37" i="112"/>
  <c r="FP107" i="112"/>
  <c r="DT15" i="112"/>
  <c r="DU37" i="112" s="1"/>
  <c r="DX100" i="112"/>
  <c r="DT128" i="112"/>
  <c r="DT121" i="112"/>
  <c r="FP121" i="112"/>
  <c r="DS128" i="112"/>
  <c r="FQ100" i="112"/>
  <c r="DR128" i="112"/>
  <c r="DU114" i="112"/>
  <c r="DU128" i="112"/>
  <c r="DT114" i="112"/>
  <c r="DU121" i="112"/>
  <c r="O83" i="125"/>
  <c r="N83" i="125"/>
  <c r="T83" i="125"/>
  <c r="S83" i="125"/>
  <c r="DJ29" i="112"/>
  <c r="DJ16" i="112"/>
  <c r="DJ27" i="112" s="1"/>
  <c r="HB15" i="112"/>
  <c r="HB26" i="112" s="1"/>
  <c r="FN16" i="112"/>
  <c r="FN27" i="112" s="1"/>
  <c r="DK40" i="112"/>
  <c r="DN115" i="112"/>
  <c r="HA101" i="112"/>
  <c r="HA122" i="112" s="1"/>
  <c r="DO115" i="112"/>
  <c r="DN122" i="112"/>
  <c r="DO122" i="112"/>
  <c r="HB121" i="112"/>
  <c r="FP101" i="112"/>
  <c r="FP122" i="112" s="1"/>
  <c r="GY27" i="112"/>
  <c r="DS37" i="112"/>
  <c r="DR26" i="112"/>
  <c r="DR37" i="112"/>
  <c r="DV114" i="112"/>
  <c r="DV121" i="112"/>
  <c r="DW121" i="112"/>
  <c r="DW114" i="112"/>
  <c r="HC100" i="112"/>
  <c r="HC121" i="112" s="1"/>
  <c r="DZ100" i="112"/>
  <c r="DV15" i="112"/>
  <c r="HA159" i="112"/>
  <c r="HA166" i="112" s="1"/>
  <c r="L49" i="116"/>
  <c r="M49" i="116" s="1"/>
  <c r="FP26" i="112"/>
  <c r="N51" i="116"/>
  <c r="AG59" i="116" s="1"/>
  <c r="CV31" i="113"/>
  <c r="CV59" i="113"/>
  <c r="CV44" i="113"/>
  <c r="EC100" i="112"/>
  <c r="DY15" i="112"/>
  <c r="FO166" i="112"/>
  <c r="DV179" i="112"/>
  <c r="DU165" i="112"/>
  <c r="DU172" i="112"/>
  <c r="DV172" i="112"/>
  <c r="HC101" i="112"/>
  <c r="FT114" i="113"/>
  <c r="FT14" i="113"/>
  <c r="EH14" i="113"/>
  <c r="DY165" i="112"/>
  <c r="EI112" i="113"/>
  <c r="EI14" i="113" s="1"/>
  <c r="EJ113" i="113"/>
  <c r="DY101" i="112"/>
  <c r="DY115" i="112" s="1"/>
  <c r="DX18" i="112"/>
  <c r="DW101" i="112"/>
  <c r="EA160" i="112"/>
  <c r="EB160" i="112"/>
  <c r="EB18" i="112" s="1"/>
  <c r="DX181" i="112"/>
  <c r="DX174" i="112"/>
  <c r="DV115" i="112"/>
  <c r="DZ101" i="112"/>
  <c r="DV122" i="112"/>
  <c r="EF101" i="112"/>
  <c r="DT122" i="112"/>
  <c r="HB101" i="112"/>
  <c r="CW24" i="113"/>
  <c r="CX24" i="113"/>
  <c r="GU75" i="113"/>
  <c r="GU76" i="113" s="1"/>
  <c r="FN14" i="112"/>
  <c r="DI38" i="112"/>
  <c r="CX37" i="113"/>
  <c r="GU11" i="113"/>
  <c r="CY85" i="113"/>
  <c r="CY78" i="113"/>
  <c r="CY79" i="113"/>
  <c r="CX52" i="113"/>
  <c r="CY11" i="113"/>
  <c r="CY80" i="113"/>
  <c r="FK11" i="113"/>
  <c r="CW37" i="113"/>
  <c r="CW52" i="113"/>
  <c r="CW18" i="113" s="1"/>
  <c r="GW101" i="113"/>
  <c r="GW108" i="113" s="1"/>
  <c r="CZ77" i="113"/>
  <c r="DA77" i="113" s="1"/>
  <c r="FQ101" i="112"/>
  <c r="FM160" i="112"/>
  <c r="FM167" i="112" s="1"/>
  <c r="DH36" i="112"/>
  <c r="DG101" i="113"/>
  <c r="FP159" i="112"/>
  <c r="DT181" i="112"/>
  <c r="DT174" i="112"/>
  <c r="DU26" i="112"/>
  <c r="DI29" i="112"/>
  <c r="DI40" i="112"/>
  <c r="FN18" i="112"/>
  <c r="GZ18" i="112"/>
  <c r="GZ160" i="112" s="1"/>
  <c r="GZ167" i="112" s="1"/>
  <c r="DS115" i="112"/>
  <c r="DS122" i="112"/>
  <c r="DS18" i="112"/>
  <c r="DG36" i="112"/>
  <c r="DG25" i="112"/>
  <c r="DM181" i="112"/>
  <c r="DM174" i="112"/>
  <c r="DQ160" i="112"/>
  <c r="DM18" i="112"/>
  <c r="DM16" i="112" s="1"/>
  <c r="DJ40" i="112"/>
  <c r="DR122" i="112"/>
  <c r="DR115" i="112"/>
  <c r="DN181" i="112"/>
  <c r="DN174" i="112"/>
  <c r="DR160" i="112"/>
  <c r="DV160" i="112" s="1"/>
  <c r="DW181" i="112" s="1"/>
  <c r="DO174" i="112"/>
  <c r="DT18" i="112"/>
  <c r="DU122" i="112"/>
  <c r="DU115" i="112"/>
  <c r="DN18" i="112"/>
  <c r="DN29" i="112" s="1"/>
  <c r="DF36" i="112"/>
  <c r="DF25" i="112"/>
  <c r="GY14" i="112"/>
  <c r="DT115" i="112"/>
  <c r="DP40" i="112"/>
  <c r="E61" i="115" l="1"/>
  <c r="F61" i="115" s="1"/>
  <c r="K71" i="115"/>
  <c r="S71" i="115" s="1"/>
  <c r="C59" i="115"/>
  <c r="K83" i="115" s="1"/>
  <c r="W83" i="115" s="1"/>
  <c r="X116" i="115"/>
  <c r="O116" i="115"/>
  <c r="EI21" i="51"/>
  <c r="P43" i="116"/>
  <c r="Q43" i="116" s="1"/>
  <c r="AG43" i="116"/>
  <c r="DM29" i="112"/>
  <c r="DM27" i="112"/>
  <c r="EE100" i="112"/>
  <c r="EA15" i="112"/>
  <c r="EA26" i="112" s="1"/>
  <c r="R43" i="116"/>
  <c r="AH43" i="116" s="1"/>
  <c r="EB100" i="112"/>
  <c r="FR100" i="112"/>
  <c r="DX114" i="112"/>
  <c r="DX121" i="112"/>
  <c r="DX128" i="112"/>
  <c r="DX15" i="112"/>
  <c r="DY37" i="112" s="1"/>
  <c r="DT26" i="112"/>
  <c r="DT37" i="112"/>
  <c r="FQ15" i="112"/>
  <c r="DY121" i="112"/>
  <c r="DY114" i="112"/>
  <c r="DV128" i="112"/>
  <c r="DW128" i="112"/>
  <c r="DY128" i="112"/>
  <c r="FQ121" i="112"/>
  <c r="FQ107" i="112"/>
  <c r="DJ38" i="112"/>
  <c r="DK38" i="112"/>
  <c r="GZ16" i="112"/>
  <c r="GZ27" i="112" s="1"/>
  <c r="HB159" i="112"/>
  <c r="HB166" i="112" s="1"/>
  <c r="DY26" i="112"/>
  <c r="DV26" i="112"/>
  <c r="HB122" i="112"/>
  <c r="FQ122" i="112"/>
  <c r="DZ15" i="112"/>
  <c r="DV37" i="112"/>
  <c r="DZ121" i="112"/>
  <c r="DZ114" i="112"/>
  <c r="HD100" i="112"/>
  <c r="HD121" i="112" s="1"/>
  <c r="HC15" i="112"/>
  <c r="HC159" i="112" s="1"/>
  <c r="EA114" i="112"/>
  <c r="HC107" i="112"/>
  <c r="ED100" i="112"/>
  <c r="EA121" i="112"/>
  <c r="DW37" i="112"/>
  <c r="P51" i="116"/>
  <c r="Q51" i="116" s="1"/>
  <c r="N49" i="116"/>
  <c r="AG49" i="116" s="1"/>
  <c r="FR101" i="112"/>
  <c r="FR122" i="112" s="1"/>
  <c r="DY122" i="112"/>
  <c r="CW31" i="113"/>
  <c r="CW44" i="113"/>
  <c r="CW59" i="113"/>
  <c r="CX59" i="113"/>
  <c r="FK18" i="113"/>
  <c r="GU18" i="113"/>
  <c r="HD14" i="113"/>
  <c r="HD40" i="113" s="1"/>
  <c r="EC15" i="112"/>
  <c r="EC101" i="112"/>
  <c r="EG101" i="112" s="1"/>
  <c r="EH27" i="113"/>
  <c r="EG100" i="112"/>
  <c r="FP166" i="112"/>
  <c r="EH40" i="113"/>
  <c r="EH55" i="113"/>
  <c r="DY189" i="112"/>
  <c r="HC122" i="112"/>
  <c r="DX122" i="112"/>
  <c r="HD101" i="112"/>
  <c r="HD122" i="112" s="1"/>
  <c r="FT27" i="113"/>
  <c r="FT40" i="113"/>
  <c r="EK113" i="113"/>
  <c r="EJ112" i="113"/>
  <c r="EJ14" i="113" s="1"/>
  <c r="EI55" i="113"/>
  <c r="EI40" i="113"/>
  <c r="EI27" i="113"/>
  <c r="DW122" i="112"/>
  <c r="EA101" i="112"/>
  <c r="EA18" i="112" s="1"/>
  <c r="DW18" i="112"/>
  <c r="DX29" i="112"/>
  <c r="DW115" i="112"/>
  <c r="DX115" i="112"/>
  <c r="DV18" i="112"/>
  <c r="DW174" i="112"/>
  <c r="DZ160" i="112"/>
  <c r="EA181" i="112" s="1"/>
  <c r="EJ101" i="112"/>
  <c r="EB29" i="112"/>
  <c r="DZ115" i="112"/>
  <c r="DZ122" i="112"/>
  <c r="ED101" i="112"/>
  <c r="EB181" i="112"/>
  <c r="EB174" i="112"/>
  <c r="EF160" i="112"/>
  <c r="EF18" i="112" s="1"/>
  <c r="EE160" i="112"/>
  <c r="DA80" i="113"/>
  <c r="FK37" i="113"/>
  <c r="FK24" i="113"/>
  <c r="CY52" i="113"/>
  <c r="CY18" i="113" s="1"/>
  <c r="CY24" i="113"/>
  <c r="GU37" i="113"/>
  <c r="GU24" i="113"/>
  <c r="DI101" i="113"/>
  <c r="FN101" i="113" s="1"/>
  <c r="FN108" i="113" s="1"/>
  <c r="DI36" i="112"/>
  <c r="DI25" i="112"/>
  <c r="CY37" i="113"/>
  <c r="CZ75" i="113"/>
  <c r="CZ11" i="113" s="1"/>
  <c r="CZ80" i="113"/>
  <c r="FL77" i="113"/>
  <c r="FL78" i="113" s="1"/>
  <c r="CZ79" i="113"/>
  <c r="CZ78" i="113"/>
  <c r="CZ85" i="113"/>
  <c r="GY25" i="112"/>
  <c r="FN160" i="112"/>
  <c r="FN167" i="112" s="1"/>
  <c r="FN25" i="112"/>
  <c r="GZ14" i="112"/>
  <c r="DJ101" i="113"/>
  <c r="DK101" i="113"/>
  <c r="HA18" i="112"/>
  <c r="HA160" i="112" s="1"/>
  <c r="HA167" i="112" s="1"/>
  <c r="DA79" i="113"/>
  <c r="DA78" i="113"/>
  <c r="DB77" i="113"/>
  <c r="DA85" i="113"/>
  <c r="DA75" i="113"/>
  <c r="DA11" i="113" s="1"/>
  <c r="DN40" i="112"/>
  <c r="DS16" i="112"/>
  <c r="DS14" i="112" s="1"/>
  <c r="DR181" i="112"/>
  <c r="DR174" i="112"/>
  <c r="DJ36" i="112"/>
  <c r="DK36" i="112"/>
  <c r="DM40" i="112"/>
  <c r="FO18" i="112"/>
  <c r="DT40" i="112"/>
  <c r="DT29" i="112"/>
  <c r="DO40" i="112"/>
  <c r="DQ181" i="112"/>
  <c r="DQ174" i="112"/>
  <c r="DU160" i="112"/>
  <c r="DY160" i="112" s="1"/>
  <c r="DY18" i="112" s="1"/>
  <c r="DY40" i="112" s="1"/>
  <c r="DQ18" i="112"/>
  <c r="DS29" i="112"/>
  <c r="DS174" i="112"/>
  <c r="DR18" i="112"/>
  <c r="DS181" i="112"/>
  <c r="O83" i="115" l="1"/>
  <c r="T71" i="115"/>
  <c r="W71" i="115"/>
  <c r="N83" i="115"/>
  <c r="T83" i="115"/>
  <c r="S83" i="115"/>
  <c r="EI100" i="112"/>
  <c r="DQ16" i="112"/>
  <c r="DQ14" i="112" s="1"/>
  <c r="FR121" i="112"/>
  <c r="V43" i="116"/>
  <c r="EE15" i="112"/>
  <c r="EE26" i="112" s="1"/>
  <c r="EB15" i="112"/>
  <c r="EB26" i="112" s="1"/>
  <c r="EC121" i="112"/>
  <c r="FS100" i="112"/>
  <c r="FS121" i="112" s="1"/>
  <c r="EC114" i="112"/>
  <c r="DZ128" i="112"/>
  <c r="EB114" i="112"/>
  <c r="EC128" i="112"/>
  <c r="R51" i="116"/>
  <c r="EB128" i="112"/>
  <c r="EA128" i="112"/>
  <c r="EB121" i="112"/>
  <c r="EF100" i="112"/>
  <c r="FR107" i="112"/>
  <c r="DX26" i="112"/>
  <c r="DX37" i="112"/>
  <c r="FR15" i="112"/>
  <c r="FQ26" i="112"/>
  <c r="FQ159" i="112"/>
  <c r="FQ166" i="112" s="1"/>
  <c r="T43" i="116"/>
  <c r="U43" i="116" s="1"/>
  <c r="HC166" i="112"/>
  <c r="DZ26" i="112"/>
  <c r="EC26" i="112"/>
  <c r="HD15" i="112"/>
  <c r="HD159" i="112" s="1"/>
  <c r="HD166" i="112" s="1"/>
  <c r="DZ37" i="112"/>
  <c r="EA37" i="112"/>
  <c r="HD107" i="112"/>
  <c r="HC26" i="112"/>
  <c r="ED114" i="112"/>
  <c r="HE100" i="112"/>
  <c r="HE121" i="112" s="1"/>
  <c r="EE114" i="112"/>
  <c r="ED121" i="112"/>
  <c r="EH100" i="112"/>
  <c r="EE121" i="112"/>
  <c r="ED15" i="112"/>
  <c r="P49" i="116"/>
  <c r="Q49" i="116" s="1"/>
  <c r="EA122" i="112"/>
  <c r="EA115" i="112"/>
  <c r="HD27" i="113"/>
  <c r="DW40" i="112"/>
  <c r="EK100" i="112"/>
  <c r="FS101" i="112"/>
  <c r="FS122" i="112" s="1"/>
  <c r="FK31" i="113"/>
  <c r="FK44" i="113"/>
  <c r="EC115" i="112"/>
  <c r="FR18" i="112"/>
  <c r="FR160" i="112" s="1"/>
  <c r="CY31" i="113"/>
  <c r="CY59" i="113"/>
  <c r="CY44" i="113"/>
  <c r="EC122" i="112"/>
  <c r="EG15" i="112"/>
  <c r="GU31" i="113"/>
  <c r="GU44" i="113"/>
  <c r="DX40" i="112"/>
  <c r="EB40" i="112"/>
  <c r="EB115" i="112"/>
  <c r="HE101" i="112"/>
  <c r="HE122" i="112" s="1"/>
  <c r="DV29" i="112"/>
  <c r="EK112" i="113"/>
  <c r="FU113" i="113"/>
  <c r="EJ55" i="113"/>
  <c r="EJ27" i="113"/>
  <c r="EJ40" i="113"/>
  <c r="DW29" i="112"/>
  <c r="EB122" i="112"/>
  <c r="EE101" i="112"/>
  <c r="DW16" i="112"/>
  <c r="DZ18" i="112"/>
  <c r="HD18" i="112" s="1"/>
  <c r="HD160" i="112" s="1"/>
  <c r="DV181" i="112"/>
  <c r="EA174" i="112"/>
  <c r="DV174" i="112"/>
  <c r="EC160" i="112"/>
  <c r="EC18" i="112" s="1"/>
  <c r="EC29" i="112" s="1"/>
  <c r="DY181" i="112"/>
  <c r="DY174" i="112"/>
  <c r="EA29" i="112"/>
  <c r="EI160" i="112"/>
  <c r="EJ160" i="112"/>
  <c r="EJ18" i="112" s="1"/>
  <c r="EF181" i="112"/>
  <c r="EF174" i="112"/>
  <c r="EH101" i="112"/>
  <c r="ED122" i="112"/>
  <c r="ED115" i="112"/>
  <c r="EG115" i="112"/>
  <c r="EK101" i="112"/>
  <c r="EG122" i="112"/>
  <c r="EF29" i="112"/>
  <c r="ED160" i="112"/>
  <c r="EE174" i="112" s="1"/>
  <c r="DZ181" i="112"/>
  <c r="DZ174" i="112"/>
  <c r="DA24" i="113"/>
  <c r="CZ52" i="113"/>
  <c r="CZ18" i="113" s="1"/>
  <c r="CZ24" i="113"/>
  <c r="GV77" i="113"/>
  <c r="GV78" i="113" s="1"/>
  <c r="DM101" i="113"/>
  <c r="FL11" i="113"/>
  <c r="CZ37" i="113"/>
  <c r="FL75" i="113"/>
  <c r="FL76" i="113" s="1"/>
  <c r="FL85" i="113"/>
  <c r="GX101" i="113"/>
  <c r="GX108" i="113" s="1"/>
  <c r="DB80" i="113"/>
  <c r="DA52" i="113"/>
  <c r="DO101" i="113"/>
  <c r="FO160" i="112"/>
  <c r="FO167" i="112" s="1"/>
  <c r="HB18" i="112"/>
  <c r="HB160" i="112" s="1"/>
  <c r="FP18" i="112"/>
  <c r="GZ25" i="112"/>
  <c r="DA37" i="113"/>
  <c r="DB85" i="113"/>
  <c r="DB79" i="113"/>
  <c r="DB78" i="113"/>
  <c r="DC77" i="113"/>
  <c r="DB75" i="113"/>
  <c r="GV75" i="113" s="1"/>
  <c r="DU181" i="112"/>
  <c r="DU174" i="112"/>
  <c r="DU18" i="112"/>
  <c r="HC18" i="112" s="1"/>
  <c r="HC160" i="112" s="1"/>
  <c r="DR40" i="112"/>
  <c r="DR29" i="112"/>
  <c r="DS40" i="112"/>
  <c r="DQ40" i="112"/>
  <c r="DQ29" i="112"/>
  <c r="EI15" i="112" l="1"/>
  <c r="DU16" i="112"/>
  <c r="DU14" i="112" s="1"/>
  <c r="X43" i="116"/>
  <c r="Y43" i="116" s="1"/>
  <c r="AI43" i="116"/>
  <c r="R49" i="116"/>
  <c r="AH49" i="116" s="1"/>
  <c r="AH59" i="116"/>
  <c r="FR26" i="112"/>
  <c r="V51" i="116"/>
  <c r="AI59" i="116" s="1"/>
  <c r="FS15" i="112"/>
  <c r="FS26" i="112" s="1"/>
  <c r="EC37" i="112"/>
  <c r="EF128" i="112"/>
  <c r="EB37" i="112"/>
  <c r="FS107" i="112"/>
  <c r="ED128" i="112"/>
  <c r="EF121" i="112"/>
  <c r="FT100" i="112"/>
  <c r="FT107" i="112" s="1"/>
  <c r="EJ100" i="112"/>
  <c r="EG128" i="112"/>
  <c r="T51" i="116"/>
  <c r="U51" i="116" s="1"/>
  <c r="EG114" i="112"/>
  <c r="EE128" i="112"/>
  <c r="EF15" i="112"/>
  <c r="EF37" i="112" s="1"/>
  <c r="EF114" i="112"/>
  <c r="EG121" i="112"/>
  <c r="FR159" i="112"/>
  <c r="FR166" i="112" s="1"/>
  <c r="EA16" i="112"/>
  <c r="EA14" i="112" s="1"/>
  <c r="EA19" i="112" s="1"/>
  <c r="DW14" i="112"/>
  <c r="ED26" i="112"/>
  <c r="HD26" i="112"/>
  <c r="HE15" i="112"/>
  <c r="HE26" i="112" s="1"/>
  <c r="HE107" i="112"/>
  <c r="EI114" i="112"/>
  <c r="EE37" i="112"/>
  <c r="EH121" i="112"/>
  <c r="HF100" i="112"/>
  <c r="HF107" i="112" s="1"/>
  <c r="EH15" i="112"/>
  <c r="EI121" i="112"/>
  <c r="EH114" i="112"/>
  <c r="ED37" i="112"/>
  <c r="EI26" i="112"/>
  <c r="GV76" i="113"/>
  <c r="EG26" i="112"/>
  <c r="EK15" i="112"/>
  <c r="DA18" i="113"/>
  <c r="CZ31" i="113"/>
  <c r="CZ59" i="113"/>
  <c r="CZ44" i="113"/>
  <c r="EF122" i="112"/>
  <c r="HF101" i="112"/>
  <c r="HF122" i="112" s="1"/>
  <c r="FT101" i="112"/>
  <c r="FT122" i="112" s="1"/>
  <c r="EI101" i="112"/>
  <c r="EJ122" i="112" s="1"/>
  <c r="DZ40" i="112"/>
  <c r="EE18" i="112"/>
  <c r="EE29" i="112" s="1"/>
  <c r="DZ29" i="112"/>
  <c r="EE115" i="112"/>
  <c r="EE122" i="112"/>
  <c r="EA40" i="112"/>
  <c r="FS18" i="112"/>
  <c r="FS160" i="112" s="1"/>
  <c r="FS167" i="112" s="1"/>
  <c r="HD167" i="112"/>
  <c r="EF115" i="112"/>
  <c r="HB167" i="112"/>
  <c r="HC167" i="112"/>
  <c r="EK14" i="113"/>
  <c r="FU112" i="113"/>
  <c r="DS101" i="113"/>
  <c r="EE181" i="112"/>
  <c r="EC40" i="112"/>
  <c r="FQ18" i="112"/>
  <c r="FQ160" i="112" s="1"/>
  <c r="DV40" i="112"/>
  <c r="DY29" i="112"/>
  <c r="ED18" i="112"/>
  <c r="ED174" i="112"/>
  <c r="EH160" i="112"/>
  <c r="EI174" i="112" s="1"/>
  <c r="ED181" i="112"/>
  <c r="EJ29" i="112"/>
  <c r="EK115" i="112"/>
  <c r="EK122" i="112"/>
  <c r="EH122" i="112"/>
  <c r="EH115" i="112"/>
  <c r="EJ174" i="112"/>
  <c r="EJ181" i="112"/>
  <c r="EG160" i="112"/>
  <c r="EG18" i="112" s="1"/>
  <c r="EG29" i="112" s="1"/>
  <c r="EC174" i="112"/>
  <c r="EC181" i="112"/>
  <c r="FL37" i="113"/>
  <c r="FL24" i="113"/>
  <c r="DQ101" i="113"/>
  <c r="DQ25" i="112"/>
  <c r="GV85" i="113"/>
  <c r="DB11" i="113"/>
  <c r="DC80" i="113"/>
  <c r="FP160" i="112"/>
  <c r="FP167" i="112" s="1"/>
  <c r="DC75" i="113"/>
  <c r="DC79" i="113"/>
  <c r="DC78" i="113"/>
  <c r="DC85" i="113"/>
  <c r="DD77" i="113"/>
  <c r="DS25" i="112"/>
  <c r="DU29" i="112"/>
  <c r="DU40" i="112"/>
  <c r="FS159" i="112" l="1"/>
  <c r="FS166" i="112" s="1"/>
  <c r="DY16" i="112"/>
  <c r="EC16" i="112" s="1"/>
  <c r="T49" i="116"/>
  <c r="U49" i="116" s="1"/>
  <c r="X51" i="116"/>
  <c r="Y51" i="116" s="1"/>
  <c r="V49" i="116"/>
  <c r="FU100" i="112"/>
  <c r="FU121" i="112" s="1"/>
  <c r="EK128" i="112"/>
  <c r="FT15" i="112"/>
  <c r="FT159" i="112" s="1"/>
  <c r="EJ121" i="112"/>
  <c r="EJ15" i="112"/>
  <c r="EJ26" i="112" s="1"/>
  <c r="EI128" i="112"/>
  <c r="EK121" i="112"/>
  <c r="EF26" i="112"/>
  <c r="EJ114" i="112"/>
  <c r="EJ128" i="112"/>
  <c r="FT121" i="112"/>
  <c r="EH128" i="112"/>
  <c r="EK114" i="112"/>
  <c r="EG37" i="112"/>
  <c r="EE16" i="112"/>
  <c r="EE14" i="112" s="1"/>
  <c r="EE25" i="112" s="1"/>
  <c r="HE159" i="112"/>
  <c r="HE166" i="112" s="1"/>
  <c r="EK26" i="112"/>
  <c r="EI37" i="112"/>
  <c r="HF15" i="112"/>
  <c r="HF159" i="112" s="1"/>
  <c r="HF121" i="112"/>
  <c r="EH37" i="112"/>
  <c r="EH26" i="112"/>
  <c r="DE77" i="113"/>
  <c r="FL18" i="113"/>
  <c r="FL44" i="113" s="1"/>
  <c r="EI115" i="112"/>
  <c r="GV18" i="113"/>
  <c r="GV31" i="113" s="1"/>
  <c r="FQ167" i="112"/>
  <c r="EI122" i="112"/>
  <c r="EJ115" i="112"/>
  <c r="FR167" i="112"/>
  <c r="EI18" i="112"/>
  <c r="EJ40" i="112" s="1"/>
  <c r="FU101" i="112"/>
  <c r="FU122" i="112" s="1"/>
  <c r="DA44" i="113"/>
  <c r="DA59" i="113"/>
  <c r="DA31" i="113"/>
  <c r="DB59" i="113"/>
  <c r="EA101" i="113"/>
  <c r="EA102" i="113" s="1"/>
  <c r="EA15" i="113" s="1"/>
  <c r="EA14" i="51"/>
  <c r="EA25" i="112"/>
  <c r="EF40" i="112"/>
  <c r="ED40" i="112"/>
  <c r="FT18" i="112"/>
  <c r="FT160" i="112" s="1"/>
  <c r="FT167" i="112" s="1"/>
  <c r="HE18" i="112"/>
  <c r="HE160" i="112" s="1"/>
  <c r="HE167" i="112" s="1"/>
  <c r="DW14" i="51"/>
  <c r="DW19" i="112"/>
  <c r="EA30" i="112" s="1"/>
  <c r="DW101" i="113"/>
  <c r="DW102" i="113" s="1"/>
  <c r="EE40" i="112"/>
  <c r="DW25" i="112"/>
  <c r="FU114" i="113"/>
  <c r="FU14" i="113"/>
  <c r="EK40" i="113"/>
  <c r="EK27" i="113"/>
  <c r="EK55" i="113"/>
  <c r="ED29" i="112"/>
  <c r="EH18" i="112"/>
  <c r="EH29" i="112" s="1"/>
  <c r="EI181" i="112"/>
  <c r="EG40" i="112"/>
  <c r="EG174" i="112"/>
  <c r="EG181" i="112"/>
  <c r="EK160" i="112"/>
  <c r="EK18" i="112" s="1"/>
  <c r="EK40" i="112" s="1"/>
  <c r="EH174" i="112"/>
  <c r="EH181" i="112"/>
  <c r="DB52" i="113"/>
  <c r="DB24" i="113"/>
  <c r="DU101" i="113"/>
  <c r="DU25" i="112"/>
  <c r="DD80" i="113"/>
  <c r="DC11" i="113"/>
  <c r="GV11" i="113"/>
  <c r="DB37" i="113"/>
  <c r="DE47" i="113"/>
  <c r="DE49" i="113" s="1"/>
  <c r="DE62" i="113"/>
  <c r="FM21" i="113"/>
  <c r="DD78" i="113"/>
  <c r="DD79" i="113"/>
  <c r="DD75" i="113"/>
  <c r="DD11" i="113" s="1"/>
  <c r="DD85" i="113"/>
  <c r="DY14" i="112" l="1"/>
  <c r="DY14" i="51" s="1"/>
  <c r="FT166" i="112"/>
  <c r="X49" i="116"/>
  <c r="Y49" i="116" s="1"/>
  <c r="AI49" i="116"/>
  <c r="FU107" i="112"/>
  <c r="EJ37" i="112"/>
  <c r="FT26" i="112"/>
  <c r="EK37" i="112"/>
  <c r="FU15" i="112"/>
  <c r="FU159" i="112" s="1"/>
  <c r="FU166" i="112" s="1"/>
  <c r="EI16" i="112"/>
  <c r="EI14" i="112" s="1"/>
  <c r="HF166" i="112"/>
  <c r="EG16" i="112"/>
  <c r="EG14" i="112" s="1"/>
  <c r="EC14" i="112"/>
  <c r="DF77" i="113"/>
  <c r="DE75" i="113"/>
  <c r="DE11" i="113" s="1"/>
  <c r="DE85" i="113"/>
  <c r="FM85" i="113" s="1"/>
  <c r="DE79" i="113"/>
  <c r="DE80" i="113"/>
  <c r="FM77" i="113"/>
  <c r="FM78" i="113" s="1"/>
  <c r="DE78" i="113"/>
  <c r="HF26" i="112"/>
  <c r="FL31" i="113"/>
  <c r="GV44" i="113"/>
  <c r="EA15" i="51"/>
  <c r="EI40" i="112"/>
  <c r="EI29" i="112"/>
  <c r="EH40" i="112"/>
  <c r="EK29" i="112"/>
  <c r="EE101" i="113"/>
  <c r="EE102" i="113" s="1"/>
  <c r="EE19" i="112"/>
  <c r="EE30" i="112" s="1"/>
  <c r="EA23" i="51"/>
  <c r="EE14" i="51"/>
  <c r="EA109" i="113"/>
  <c r="DW15" i="51"/>
  <c r="FU18" i="112"/>
  <c r="FU160" i="112" s="1"/>
  <c r="FU167" i="112" s="1"/>
  <c r="HF18" i="112"/>
  <c r="HF160" i="112" s="1"/>
  <c r="HF167" i="112" s="1"/>
  <c r="DY25" i="112"/>
  <c r="DW15" i="113"/>
  <c r="DW109" i="113"/>
  <c r="FU40" i="113"/>
  <c r="FU27" i="113"/>
  <c r="DY101" i="113"/>
  <c r="EK174" i="112"/>
  <c r="EK181" i="112"/>
  <c r="DD24" i="113"/>
  <c r="GV37" i="113"/>
  <c r="GV24" i="113"/>
  <c r="DC52" i="113"/>
  <c r="DC18" i="113" s="1"/>
  <c r="DC24" i="113"/>
  <c r="FM47" i="113"/>
  <c r="FM34" i="113"/>
  <c r="DC37" i="113"/>
  <c r="DD52" i="113"/>
  <c r="DD37" i="113"/>
  <c r="FU26" i="112" l="1"/>
  <c r="EG101" i="113"/>
  <c r="EK16" i="112"/>
  <c r="EK14" i="112" s="1"/>
  <c r="EG14" i="51"/>
  <c r="DG77" i="113"/>
  <c r="DF75" i="113"/>
  <c r="DF11" i="113" s="1"/>
  <c r="DF79" i="113"/>
  <c r="DE37" i="113"/>
  <c r="DF78" i="113"/>
  <c r="DE52" i="113"/>
  <c r="DE24" i="113"/>
  <c r="FM75" i="113"/>
  <c r="FM76" i="113" s="1"/>
  <c r="DF85" i="113"/>
  <c r="GW85" i="113" s="1"/>
  <c r="GW77" i="113"/>
  <c r="GW78" i="113" s="1"/>
  <c r="FM11" i="113"/>
  <c r="FM37" i="113" s="1"/>
  <c r="DF80" i="113"/>
  <c r="DD18" i="113"/>
  <c r="DC59" i="113"/>
  <c r="DC31" i="113"/>
  <c r="DC44" i="113"/>
  <c r="EE109" i="113"/>
  <c r="EE23" i="51"/>
  <c r="EE15" i="51"/>
  <c r="EA24" i="51"/>
  <c r="EA28" i="113"/>
  <c r="EC101" i="113"/>
  <c r="EC25" i="112"/>
  <c r="EC14" i="51"/>
  <c r="EG25" i="112"/>
  <c r="EA41" i="113"/>
  <c r="EE15" i="113"/>
  <c r="EI19" i="112"/>
  <c r="EI25" i="112"/>
  <c r="EI101" i="113"/>
  <c r="EI102" i="113" s="1"/>
  <c r="EI14" i="51"/>
  <c r="DG78" i="113" l="1"/>
  <c r="DG80" i="113"/>
  <c r="DG85" i="113"/>
  <c r="DG75" i="113"/>
  <c r="DG11" i="113" s="1"/>
  <c r="DH77" i="113"/>
  <c r="DG79" i="113"/>
  <c r="FM24" i="113"/>
  <c r="DF24" i="113"/>
  <c r="DF52" i="113"/>
  <c r="GW11" i="113"/>
  <c r="GW37" i="113" s="1"/>
  <c r="GW75" i="113"/>
  <c r="GW76" i="113" s="1"/>
  <c r="DF37" i="113"/>
  <c r="DH44" i="113"/>
  <c r="EE24" i="51"/>
  <c r="EE28" i="113"/>
  <c r="DE18" i="113"/>
  <c r="DD59" i="113"/>
  <c r="DD31" i="113"/>
  <c r="DD44" i="113"/>
  <c r="EE41" i="113"/>
  <c r="EC23" i="51"/>
  <c r="EG23" i="51"/>
  <c r="EI15" i="51"/>
  <c r="EI23" i="51"/>
  <c r="EK101" i="113"/>
  <c r="EK14" i="51"/>
  <c r="EK25" i="112"/>
  <c r="EI15" i="113"/>
  <c r="EI109" i="113"/>
  <c r="EI30" i="112"/>
  <c r="DI77" i="113" l="1"/>
  <c r="DH80" i="113"/>
  <c r="DH78" i="113"/>
  <c r="DG37" i="113"/>
  <c r="DG52" i="113"/>
  <c r="DH75" i="113"/>
  <c r="DH11" i="113" s="1"/>
  <c r="DG24" i="113"/>
  <c r="DH85" i="113"/>
  <c r="DH79" i="113"/>
  <c r="DI44" i="113"/>
  <c r="GW24" i="113"/>
  <c r="DE44" i="113"/>
  <c r="DE59" i="113"/>
  <c r="DE31" i="113"/>
  <c r="DF59" i="113"/>
  <c r="DH31" i="113"/>
  <c r="GW18" i="113"/>
  <c r="FM18" i="113"/>
  <c r="EI24" i="51"/>
  <c r="EI28" i="113"/>
  <c r="EI41" i="113"/>
  <c r="EK23" i="51"/>
  <c r="DI79" i="113" l="1"/>
  <c r="DJ77" i="113"/>
  <c r="DI80" i="113"/>
  <c r="DI78" i="113"/>
  <c r="FN77" i="113"/>
  <c r="FN78" i="113" s="1"/>
  <c r="DI75" i="113"/>
  <c r="DI11" i="113" s="1"/>
  <c r="DI85" i="113"/>
  <c r="FN85" i="113" s="1"/>
  <c r="DH37" i="113"/>
  <c r="DH52" i="113"/>
  <c r="DH24" i="113"/>
  <c r="FM31" i="113"/>
  <c r="FM44" i="113"/>
  <c r="DL31" i="113"/>
  <c r="DI59" i="113"/>
  <c r="DI31" i="113"/>
  <c r="GW31" i="113"/>
  <c r="GW44" i="113"/>
  <c r="DI24" i="113" l="1"/>
  <c r="DJ80" i="113"/>
  <c r="DJ85" i="113"/>
  <c r="GX85" i="113" s="1"/>
  <c r="DJ78" i="113"/>
  <c r="GX77" i="113"/>
  <c r="GX78" i="113" s="1"/>
  <c r="DJ79" i="113"/>
  <c r="DJ75" i="113"/>
  <c r="DJ11" i="113" s="1"/>
  <c r="DK77" i="113"/>
  <c r="DI37" i="113"/>
  <c r="FN75" i="113"/>
  <c r="FN76" i="113" s="1"/>
  <c r="DI52" i="113"/>
  <c r="FN11" i="113"/>
  <c r="FN37" i="113" s="1"/>
  <c r="DQ18" i="113"/>
  <c r="DM59" i="113"/>
  <c r="DM31" i="113"/>
  <c r="DP31" i="113"/>
  <c r="DT18" i="113"/>
  <c r="DL77" i="113" l="1"/>
  <c r="GX75" i="113"/>
  <c r="GX76" i="113" s="1"/>
  <c r="DJ52" i="113"/>
  <c r="GX11" i="113"/>
  <c r="GX24" i="113" s="1"/>
  <c r="DJ24" i="113"/>
  <c r="DK79" i="113"/>
  <c r="DJ37" i="113"/>
  <c r="DK80" i="113"/>
  <c r="DK78" i="113"/>
  <c r="DK75" i="113"/>
  <c r="DK11" i="113" s="1"/>
  <c r="DK85" i="113"/>
  <c r="FN24" i="113"/>
  <c r="DX18" i="113"/>
  <c r="DQ31" i="113"/>
  <c r="DU18" i="113"/>
  <c r="DQ59" i="113"/>
  <c r="DL85" i="113" l="1"/>
  <c r="DL75" i="113"/>
  <c r="DL11" i="113" s="1"/>
  <c r="DL78" i="113"/>
  <c r="DL79" i="113"/>
  <c r="DL80" i="113"/>
  <c r="DM77" i="113"/>
  <c r="FO77" i="113" s="1"/>
  <c r="FO78" i="113" s="1"/>
  <c r="GX37" i="113"/>
  <c r="DK37" i="113"/>
  <c r="DK24" i="113"/>
  <c r="DK52" i="113"/>
  <c r="DY18" i="113"/>
  <c r="EB18" i="113"/>
  <c r="M17" i="51"/>
  <c r="L17" i="51"/>
  <c r="K17" i="51"/>
  <c r="J17" i="51"/>
  <c r="Q17" i="51"/>
  <c r="P17" i="51"/>
  <c r="O17" i="51"/>
  <c r="N17" i="51"/>
  <c r="U17" i="51"/>
  <c r="T17" i="51"/>
  <c r="S17" i="51"/>
  <c r="R17" i="51"/>
  <c r="Y17" i="51"/>
  <c r="X17" i="51"/>
  <c r="W17" i="51"/>
  <c r="V17" i="51"/>
  <c r="AC17" i="51"/>
  <c r="AB17" i="51"/>
  <c r="AA17" i="51"/>
  <c r="Z17" i="51"/>
  <c r="AG17" i="51"/>
  <c r="AF17" i="51"/>
  <c r="AE17" i="51"/>
  <c r="AD17" i="51"/>
  <c r="AK17" i="51"/>
  <c r="AJ17" i="51"/>
  <c r="AI17" i="51"/>
  <c r="AH17" i="51"/>
  <c r="AO17" i="51"/>
  <c r="AN17" i="51"/>
  <c r="AM17" i="51"/>
  <c r="AL17" i="51"/>
  <c r="AS17" i="51"/>
  <c r="AR17" i="51"/>
  <c r="AQ17" i="51"/>
  <c r="AP17" i="51"/>
  <c r="AW17" i="51"/>
  <c r="AV17" i="51"/>
  <c r="AU17" i="51"/>
  <c r="AT17" i="51"/>
  <c r="BA17" i="51"/>
  <c r="BA68" i="51" s="1"/>
  <c r="AZ17" i="51"/>
  <c r="AZ68" i="51" s="1"/>
  <c r="AY17" i="51"/>
  <c r="AY68" i="51" s="1"/>
  <c r="AX17" i="51"/>
  <c r="AX68" i="51" s="1"/>
  <c r="BE17" i="51"/>
  <c r="BE68" i="51" s="1"/>
  <c r="BD17" i="51"/>
  <c r="BD68" i="51" s="1"/>
  <c r="BC17" i="51"/>
  <c r="BC68" i="51" s="1"/>
  <c r="BB17" i="51"/>
  <c r="BB68" i="51" s="1"/>
  <c r="BI17" i="51"/>
  <c r="BI68" i="51" s="1"/>
  <c r="BH17" i="51"/>
  <c r="BH68" i="51" s="1"/>
  <c r="BG17" i="51"/>
  <c r="BG68" i="51" s="1"/>
  <c r="BF17" i="51"/>
  <c r="BF68" i="51" s="1"/>
  <c r="BM17" i="51"/>
  <c r="BM68" i="51" s="1"/>
  <c r="BL17" i="51"/>
  <c r="BL68" i="51" s="1"/>
  <c r="BK17" i="51"/>
  <c r="BK68" i="51" s="1"/>
  <c r="BJ17" i="51"/>
  <c r="BJ68" i="51" s="1"/>
  <c r="BQ17" i="51"/>
  <c r="BQ68" i="51" s="1"/>
  <c r="BP17" i="51"/>
  <c r="BP68" i="51" s="1"/>
  <c r="BO17" i="51"/>
  <c r="BO68" i="51" s="1"/>
  <c r="BN17" i="51"/>
  <c r="BN68" i="51" s="1"/>
  <c r="BU17" i="51"/>
  <c r="BU68" i="51" s="1"/>
  <c r="BT17" i="51"/>
  <c r="BT68" i="51" s="1"/>
  <c r="BS17" i="51"/>
  <c r="BS68" i="51" s="1"/>
  <c r="BR17" i="51"/>
  <c r="BR68" i="51" s="1"/>
  <c r="BY17" i="51"/>
  <c r="BY68" i="51" s="1"/>
  <c r="BX17" i="51"/>
  <c r="BX68" i="51" s="1"/>
  <c r="BW17" i="51"/>
  <c r="BW68" i="51" s="1"/>
  <c r="BV17" i="51"/>
  <c r="BV68" i="51" s="1"/>
  <c r="CC17" i="51"/>
  <c r="CC68" i="51" s="1"/>
  <c r="CB17" i="51"/>
  <c r="CB68" i="51" s="1"/>
  <c r="CA17" i="51"/>
  <c r="CA68" i="51" s="1"/>
  <c r="BZ17" i="51"/>
  <c r="BZ68" i="51" s="1"/>
  <c r="CD17" i="51"/>
  <c r="CD68" i="51" s="1"/>
  <c r="CE17" i="51"/>
  <c r="CE68" i="51" s="1"/>
  <c r="CF17" i="51"/>
  <c r="CF68" i="51" s="1"/>
  <c r="CG17" i="51"/>
  <c r="CG68" i="51" s="1"/>
  <c r="DL37" i="113" l="1"/>
  <c r="DL52" i="113"/>
  <c r="DL24" i="113"/>
  <c r="DQ77" i="113"/>
  <c r="DQ75" i="113" s="1"/>
  <c r="DQ11" i="113" s="1"/>
  <c r="DM85" i="113"/>
  <c r="FO85" i="113" s="1"/>
  <c r="DM75" i="113"/>
  <c r="DM11" i="113" s="1"/>
  <c r="DM80" i="113"/>
  <c r="DM78" i="113"/>
  <c r="DM79" i="113"/>
  <c r="DN77" i="113"/>
  <c r="GY77" i="113" s="1"/>
  <c r="GY78" i="113" s="1"/>
  <c r="EF18" i="113"/>
  <c r="EC18" i="113"/>
  <c r="EU17" i="51"/>
  <c r="EX17" i="51"/>
  <c r="EX46" i="51" s="1"/>
  <c r="EW17" i="51"/>
  <c r="EV17" i="51"/>
  <c r="AV13" i="51"/>
  <c r="AW13" i="51"/>
  <c r="AX13" i="51"/>
  <c r="AX63" i="51" s="1"/>
  <c r="AY13" i="51"/>
  <c r="AY63" i="51" s="1"/>
  <c r="AZ13" i="51"/>
  <c r="AZ63" i="51" s="1"/>
  <c r="BA13" i="51"/>
  <c r="BA63" i="51" s="1"/>
  <c r="BB13" i="51"/>
  <c r="BB63" i="51" s="1"/>
  <c r="BC13" i="51"/>
  <c r="BC63" i="51" s="1"/>
  <c r="BD13" i="51"/>
  <c r="BD63" i="51" s="1"/>
  <c r="BE13" i="51"/>
  <c r="BE63" i="51" s="1"/>
  <c r="BF13" i="51"/>
  <c r="BF63" i="51" s="1"/>
  <c r="BG13" i="51"/>
  <c r="BG63" i="51" s="1"/>
  <c r="BH13" i="51"/>
  <c r="BH63" i="51" s="1"/>
  <c r="BI13" i="51"/>
  <c r="BI63" i="51" s="1"/>
  <c r="BJ13" i="51"/>
  <c r="BJ63" i="51" s="1"/>
  <c r="BK13" i="51"/>
  <c r="BK63" i="51" s="1"/>
  <c r="BL13" i="51"/>
  <c r="BL63" i="51" s="1"/>
  <c r="BM13" i="51"/>
  <c r="BM63" i="51" s="1"/>
  <c r="BN13" i="51"/>
  <c r="BN63" i="51" s="1"/>
  <c r="BO13" i="51"/>
  <c r="BO63" i="51" s="1"/>
  <c r="BP13" i="51"/>
  <c r="BP63" i="51" s="1"/>
  <c r="BQ13" i="51"/>
  <c r="BQ63" i="51" s="1"/>
  <c r="BR13" i="51"/>
  <c r="BR63" i="51" s="1"/>
  <c r="BS13" i="51"/>
  <c r="BS63" i="51" s="1"/>
  <c r="BT13" i="51"/>
  <c r="BT63" i="51" s="1"/>
  <c r="BU13" i="51"/>
  <c r="BU63" i="51" s="1"/>
  <c r="DU7" i="51"/>
  <c r="DV6" i="51" s="1"/>
  <c r="DT7" i="51"/>
  <c r="DS7" i="51"/>
  <c r="DR7" i="51"/>
  <c r="DQ7" i="51"/>
  <c r="DP7" i="51"/>
  <c r="DO7" i="51"/>
  <c r="DN7" i="51"/>
  <c r="BI56" i="51"/>
  <c r="BH56" i="51"/>
  <c r="BG56" i="51"/>
  <c r="BF56" i="51"/>
  <c r="BE56" i="51"/>
  <c r="BD56" i="51"/>
  <c r="BC56" i="51"/>
  <c r="BB56" i="51"/>
  <c r="BA56" i="51"/>
  <c r="AZ56" i="51"/>
  <c r="AY56" i="51"/>
  <c r="AX56" i="51"/>
  <c r="AW56" i="51"/>
  <c r="AV56" i="51"/>
  <c r="AU56" i="51"/>
  <c r="AT56" i="51"/>
  <c r="AS56" i="51"/>
  <c r="AR56" i="51"/>
  <c r="AQ56" i="51"/>
  <c r="AP56" i="51"/>
  <c r="AO56" i="51"/>
  <c r="AN56" i="51"/>
  <c r="AM56" i="51"/>
  <c r="AL56" i="51"/>
  <c r="AK56" i="51"/>
  <c r="AJ56" i="51"/>
  <c r="AI56" i="51"/>
  <c r="AH56" i="51"/>
  <c r="AG56" i="51"/>
  <c r="AF56" i="51"/>
  <c r="AE56" i="51"/>
  <c r="AD56" i="51"/>
  <c r="AC56" i="51"/>
  <c r="AB56" i="51"/>
  <c r="AA56" i="51"/>
  <c r="Z56" i="51"/>
  <c r="Y56" i="51"/>
  <c r="X56" i="51"/>
  <c r="W56" i="51"/>
  <c r="V56" i="51"/>
  <c r="U56" i="51"/>
  <c r="T56" i="51"/>
  <c r="S56" i="51"/>
  <c r="R56" i="51"/>
  <c r="Q56" i="51"/>
  <c r="P56" i="51"/>
  <c r="O56" i="51"/>
  <c r="N56" i="51"/>
  <c r="M56" i="51"/>
  <c r="L56" i="51"/>
  <c r="K56" i="51"/>
  <c r="J56" i="51"/>
  <c r="I56" i="51"/>
  <c r="H56" i="51"/>
  <c r="G56" i="51"/>
  <c r="F56" i="51"/>
  <c r="E56" i="51"/>
  <c r="D56" i="51"/>
  <c r="C56" i="51"/>
  <c r="B56" i="51"/>
  <c r="BI39" i="51"/>
  <c r="BH39" i="51"/>
  <c r="BG39" i="51"/>
  <c r="BF39" i="51"/>
  <c r="BE39" i="51"/>
  <c r="BD39" i="51"/>
  <c r="BC39" i="51"/>
  <c r="BB39" i="51"/>
  <c r="BA39" i="51"/>
  <c r="AZ39" i="51"/>
  <c r="AY39" i="51"/>
  <c r="AX39" i="51"/>
  <c r="AW39" i="51"/>
  <c r="AV39" i="51"/>
  <c r="AU39" i="51"/>
  <c r="AT39" i="51"/>
  <c r="AS39" i="51"/>
  <c r="AR39" i="51"/>
  <c r="AQ39" i="51"/>
  <c r="AP39" i="51"/>
  <c r="AO39" i="51"/>
  <c r="AN39" i="51"/>
  <c r="AM39" i="51"/>
  <c r="AL39" i="51"/>
  <c r="AK39" i="51"/>
  <c r="AJ39" i="51"/>
  <c r="AI39" i="51"/>
  <c r="AH39" i="51"/>
  <c r="AG39" i="51"/>
  <c r="AF39" i="51"/>
  <c r="AE39" i="51"/>
  <c r="AD39" i="51"/>
  <c r="AC39" i="51"/>
  <c r="AB39" i="51"/>
  <c r="AA39" i="51"/>
  <c r="Z39" i="51"/>
  <c r="Y39" i="51"/>
  <c r="X39" i="51"/>
  <c r="W39" i="51"/>
  <c r="V39" i="51"/>
  <c r="U39" i="51"/>
  <c r="T39" i="51"/>
  <c r="S39" i="51"/>
  <c r="R39" i="51"/>
  <c r="Q39" i="51"/>
  <c r="P39" i="51"/>
  <c r="O39" i="51"/>
  <c r="N39" i="51"/>
  <c r="M39" i="51"/>
  <c r="L39" i="51"/>
  <c r="K39" i="51"/>
  <c r="J39" i="51"/>
  <c r="I39" i="51"/>
  <c r="H39" i="51"/>
  <c r="G39" i="51"/>
  <c r="F39" i="51"/>
  <c r="E39" i="51"/>
  <c r="D39" i="51"/>
  <c r="C39" i="51"/>
  <c r="B39" i="51"/>
  <c r="BI30" i="51"/>
  <c r="BH30" i="51"/>
  <c r="BG30" i="51"/>
  <c r="BF30" i="51"/>
  <c r="BE30" i="51"/>
  <c r="BD30" i="51"/>
  <c r="BC30" i="51"/>
  <c r="BB30" i="51"/>
  <c r="BA30" i="51"/>
  <c r="AZ30" i="51"/>
  <c r="AY30" i="51"/>
  <c r="AX30" i="51"/>
  <c r="AW30" i="51"/>
  <c r="AV30" i="51"/>
  <c r="AU30" i="51"/>
  <c r="AT30" i="51"/>
  <c r="AS30" i="51"/>
  <c r="AR30" i="51"/>
  <c r="AQ30" i="51"/>
  <c r="AP30" i="51"/>
  <c r="AO30" i="51"/>
  <c r="AN30" i="51"/>
  <c r="AM30" i="51"/>
  <c r="AL30" i="51"/>
  <c r="AK30" i="51"/>
  <c r="AJ30" i="51"/>
  <c r="AI30" i="51"/>
  <c r="AH30" i="51"/>
  <c r="AG30" i="51"/>
  <c r="AF30" i="51"/>
  <c r="AE30" i="51"/>
  <c r="AD30" i="51"/>
  <c r="AC30" i="51"/>
  <c r="AB30" i="51"/>
  <c r="AA30" i="51"/>
  <c r="Z30" i="51"/>
  <c r="Y30" i="51"/>
  <c r="X30" i="51"/>
  <c r="W30" i="51"/>
  <c r="V30" i="51"/>
  <c r="U30" i="51"/>
  <c r="T30" i="51"/>
  <c r="S30" i="51"/>
  <c r="R30" i="51"/>
  <c r="Q30" i="51"/>
  <c r="P30" i="51"/>
  <c r="O30" i="51"/>
  <c r="N30" i="51"/>
  <c r="M30" i="51"/>
  <c r="L30" i="51"/>
  <c r="K30" i="51"/>
  <c r="J30" i="51"/>
  <c r="I30" i="51"/>
  <c r="H30" i="51"/>
  <c r="G30" i="51"/>
  <c r="F30" i="51"/>
  <c r="E30" i="51"/>
  <c r="D30" i="51"/>
  <c r="C30" i="51"/>
  <c r="B30" i="51"/>
  <c r="BI19" i="51"/>
  <c r="BH19" i="51"/>
  <c r="BG19" i="51"/>
  <c r="BF19" i="51"/>
  <c r="BE19" i="51"/>
  <c r="BD19" i="51"/>
  <c r="BC19" i="51"/>
  <c r="BB19" i="51"/>
  <c r="BA19" i="51"/>
  <c r="AZ19" i="51"/>
  <c r="AY19" i="51"/>
  <c r="AX19" i="51"/>
  <c r="AW19" i="51"/>
  <c r="AV19" i="51"/>
  <c r="AU19" i="51"/>
  <c r="AT19" i="51"/>
  <c r="AS19" i="51"/>
  <c r="AR19" i="51"/>
  <c r="AQ19" i="51"/>
  <c r="AP19" i="51"/>
  <c r="AO19" i="51"/>
  <c r="AN19" i="51"/>
  <c r="AM19" i="51"/>
  <c r="AL19" i="51"/>
  <c r="AK19" i="51"/>
  <c r="AJ19" i="51"/>
  <c r="AI19" i="51"/>
  <c r="AH19" i="51"/>
  <c r="AG19" i="51"/>
  <c r="AF19" i="51"/>
  <c r="AE19" i="51"/>
  <c r="AD19" i="51"/>
  <c r="AC19" i="51"/>
  <c r="AB19" i="51"/>
  <c r="AA19" i="51"/>
  <c r="Z19" i="51"/>
  <c r="Y19" i="51"/>
  <c r="X19" i="51"/>
  <c r="W19" i="51"/>
  <c r="V19" i="51"/>
  <c r="U19" i="51"/>
  <c r="T19" i="51"/>
  <c r="S19" i="51"/>
  <c r="R19" i="51"/>
  <c r="Q19" i="51"/>
  <c r="P19" i="51"/>
  <c r="O19" i="51"/>
  <c r="N19" i="51"/>
  <c r="M19" i="51"/>
  <c r="L19" i="51"/>
  <c r="K19" i="51"/>
  <c r="J19" i="51"/>
  <c r="I19" i="51"/>
  <c r="H19" i="51"/>
  <c r="G19" i="51"/>
  <c r="F19" i="51"/>
  <c r="E19" i="51"/>
  <c r="D19" i="51"/>
  <c r="C19" i="51"/>
  <c r="B19" i="51"/>
  <c r="GZ38" i="1"/>
  <c r="GZ95" i="1" s="1"/>
  <c r="GZ27" i="1"/>
  <c r="GZ20" i="1"/>
  <c r="GY38" i="1"/>
  <c r="GY95" i="1" s="1"/>
  <c r="GY27" i="1"/>
  <c r="FQ38" i="1"/>
  <c r="FQ95" i="1" s="1"/>
  <c r="FQ27" i="1"/>
  <c r="FP38" i="1"/>
  <c r="FP95" i="1" s="1"/>
  <c r="FP27" i="1"/>
  <c r="DU5" i="1"/>
  <c r="DT5" i="1"/>
  <c r="DS5" i="1"/>
  <c r="DR5" i="1"/>
  <c r="DQ5" i="1"/>
  <c r="DP5" i="1"/>
  <c r="DO5" i="1"/>
  <c r="DN5" i="1"/>
  <c r="DQ85" i="113" l="1"/>
  <c r="DU77" i="113"/>
  <c r="DQ80" i="113"/>
  <c r="DN78" i="113"/>
  <c r="DO77" i="113"/>
  <c r="DP77" i="113" s="1"/>
  <c r="DM37" i="113"/>
  <c r="DM24" i="113"/>
  <c r="FO75" i="113"/>
  <c r="FO76" i="113" s="1"/>
  <c r="FO11" i="113"/>
  <c r="FO37" i="113" s="1"/>
  <c r="DM52" i="113"/>
  <c r="DN85" i="113"/>
  <c r="GY85" i="113" s="1"/>
  <c r="DR77" i="113"/>
  <c r="DV77" i="113" s="1"/>
  <c r="DN80" i="113"/>
  <c r="DN79" i="113"/>
  <c r="DN75" i="113"/>
  <c r="DN11" i="113" s="1"/>
  <c r="DQ24" i="113"/>
  <c r="DQ37" i="113"/>
  <c r="EG18" i="113"/>
  <c r="EJ18" i="113"/>
  <c r="DQ161" i="113"/>
  <c r="DQ141" i="113"/>
  <c r="DQ148" i="113"/>
  <c r="DQ129" i="113"/>
  <c r="DQ123" i="113"/>
  <c r="DQ135" i="113"/>
  <c r="DQ97" i="113"/>
  <c r="DQ117" i="113"/>
  <c r="DQ88" i="113"/>
  <c r="DR161" i="113"/>
  <c r="DR141" i="113"/>
  <c r="DR148" i="113"/>
  <c r="DR123" i="113"/>
  <c r="DR135" i="113"/>
  <c r="DR97" i="113"/>
  <c r="DR129" i="113"/>
  <c r="DR117" i="113"/>
  <c r="DR88" i="113"/>
  <c r="DP161" i="113"/>
  <c r="DP141" i="113"/>
  <c r="DP148" i="113"/>
  <c r="DP135" i="113"/>
  <c r="DP117" i="113"/>
  <c r="DP97" i="113"/>
  <c r="DP129" i="113"/>
  <c r="DP123" i="113"/>
  <c r="DP88" i="113"/>
  <c r="DS161" i="113"/>
  <c r="DS141" i="113"/>
  <c r="DS148" i="113"/>
  <c r="DS123" i="113"/>
  <c r="DS97" i="113"/>
  <c r="DS135" i="113"/>
  <c r="DS129" i="113"/>
  <c r="DS117" i="113"/>
  <c r="DS88" i="113"/>
  <c r="DN161" i="113"/>
  <c r="DN148" i="113"/>
  <c r="DN141" i="113"/>
  <c r="DN135" i="113"/>
  <c r="DN117" i="113"/>
  <c r="DN97" i="113"/>
  <c r="DN123" i="113"/>
  <c r="DN129" i="113"/>
  <c r="DN88" i="113"/>
  <c r="DT161" i="113"/>
  <c r="DT148" i="113"/>
  <c r="DT141" i="113"/>
  <c r="DT97" i="113"/>
  <c r="DT135" i="113"/>
  <c r="DT117" i="113"/>
  <c r="DT129" i="113"/>
  <c r="DT123" i="113"/>
  <c r="DT88" i="113"/>
  <c r="DO161" i="113"/>
  <c r="DO148" i="113"/>
  <c r="DO141" i="113"/>
  <c r="DO123" i="113"/>
  <c r="DO135" i="113"/>
  <c r="DO117" i="113"/>
  <c r="DO97" i="113"/>
  <c r="DO129" i="113"/>
  <c r="DO88" i="113"/>
  <c r="DU161" i="113"/>
  <c r="DU148" i="113"/>
  <c r="DU141" i="113"/>
  <c r="DU129" i="113"/>
  <c r="DU135" i="113"/>
  <c r="DU117" i="113"/>
  <c r="DU97" i="113"/>
  <c r="DU123" i="113"/>
  <c r="DU88" i="113"/>
  <c r="DN51" i="113"/>
  <c r="DN111" i="113"/>
  <c r="DN64" i="113"/>
  <c r="DN74" i="113"/>
  <c r="DT51" i="113"/>
  <c r="DT74" i="113"/>
  <c r="DT111" i="113"/>
  <c r="DT64" i="113"/>
  <c r="DT36" i="113"/>
  <c r="DO111" i="113"/>
  <c r="DO64" i="113"/>
  <c r="DO51" i="113"/>
  <c r="DO36" i="113"/>
  <c r="DO74" i="113"/>
  <c r="DU111" i="113"/>
  <c r="DU64" i="113"/>
  <c r="DU51" i="113"/>
  <c r="DU36" i="113"/>
  <c r="DU74" i="113"/>
  <c r="DP111" i="113"/>
  <c r="DP64" i="113"/>
  <c r="DP36" i="113"/>
  <c r="DP74" i="113"/>
  <c r="DP51" i="113"/>
  <c r="DQ36" i="113"/>
  <c r="DQ111" i="113"/>
  <c r="DQ74" i="113"/>
  <c r="DQ51" i="113"/>
  <c r="DQ64" i="113"/>
  <c r="DR36" i="113"/>
  <c r="DR74" i="113"/>
  <c r="DR51" i="113"/>
  <c r="DR111" i="113"/>
  <c r="DR64" i="113"/>
  <c r="DS74" i="113"/>
  <c r="DS51" i="113"/>
  <c r="DS36" i="113"/>
  <c r="DS111" i="113"/>
  <c r="DS64" i="113"/>
  <c r="DP169" i="112"/>
  <c r="DP176" i="112"/>
  <c r="DP162" i="112"/>
  <c r="DP124" i="112"/>
  <c r="DP110" i="112"/>
  <c r="DP193" i="112"/>
  <c r="DP117" i="112"/>
  <c r="DP32" i="112"/>
  <c r="DP43" i="112" s="1"/>
  <c r="DP103" i="112"/>
  <c r="DP21" i="112"/>
  <c r="DP131" i="112"/>
  <c r="DP72" i="112"/>
  <c r="DQ176" i="112"/>
  <c r="DQ169" i="112"/>
  <c r="DQ162" i="112"/>
  <c r="DQ124" i="112"/>
  <c r="DQ117" i="112"/>
  <c r="DQ32" i="112"/>
  <c r="DQ43" i="112" s="1"/>
  <c r="DQ110" i="112"/>
  <c r="DQ103" i="112"/>
  <c r="DQ193" i="112"/>
  <c r="DQ131" i="112"/>
  <c r="DQ72" i="112"/>
  <c r="DQ21" i="112"/>
  <c r="DR176" i="112"/>
  <c r="DR169" i="112"/>
  <c r="DR110" i="112"/>
  <c r="DR162" i="112"/>
  <c r="DR193" i="112"/>
  <c r="DR117" i="112"/>
  <c r="DR124" i="112"/>
  <c r="DR103" i="112"/>
  <c r="DR32" i="112"/>
  <c r="DR43" i="112" s="1"/>
  <c r="DR21" i="112"/>
  <c r="DR72" i="112"/>
  <c r="DR131" i="112"/>
  <c r="DS176" i="112"/>
  <c r="DS169" i="112"/>
  <c r="DS162" i="112"/>
  <c r="DS117" i="112"/>
  <c r="DS124" i="112"/>
  <c r="DS103" i="112"/>
  <c r="DS32" i="112"/>
  <c r="DS43" i="112" s="1"/>
  <c r="DS110" i="112"/>
  <c r="DS193" i="112"/>
  <c r="DS21" i="112"/>
  <c r="DS72" i="112"/>
  <c r="DS131" i="112"/>
  <c r="DN169" i="112"/>
  <c r="DN176" i="112"/>
  <c r="DN162" i="112"/>
  <c r="DN103" i="112"/>
  <c r="DN124" i="112"/>
  <c r="DN110" i="112"/>
  <c r="DN193" i="112"/>
  <c r="DN117" i="112"/>
  <c r="DN21" i="112"/>
  <c r="DN32" i="112"/>
  <c r="DN43" i="112" s="1"/>
  <c r="DN131" i="112"/>
  <c r="DN72" i="112"/>
  <c r="DT176" i="112"/>
  <c r="DT169" i="112"/>
  <c r="DT162" i="112"/>
  <c r="DT103" i="112"/>
  <c r="DT124" i="112"/>
  <c r="DT110" i="112"/>
  <c r="DT193" i="112"/>
  <c r="DT32" i="112"/>
  <c r="DT43" i="112" s="1"/>
  <c r="DT117" i="112"/>
  <c r="DT21" i="112"/>
  <c r="DT131" i="112"/>
  <c r="DT72" i="112"/>
  <c r="DO176" i="112"/>
  <c r="DO169" i="112"/>
  <c r="DO162" i="112"/>
  <c r="DO117" i="112"/>
  <c r="DO124" i="112"/>
  <c r="DO103" i="112"/>
  <c r="DO193" i="112"/>
  <c r="DO110" i="112"/>
  <c r="DO32" i="112"/>
  <c r="DO43" i="112" s="1"/>
  <c r="DO21" i="112"/>
  <c r="DO131" i="112"/>
  <c r="DO72" i="112"/>
  <c r="DU176" i="112"/>
  <c r="DU162" i="112"/>
  <c r="DU117" i="112"/>
  <c r="DU124" i="112"/>
  <c r="DU110" i="112"/>
  <c r="DU103" i="112"/>
  <c r="DU169" i="112"/>
  <c r="DU193" i="112"/>
  <c r="DU32" i="112"/>
  <c r="DU43" i="112" s="1"/>
  <c r="DU21" i="112"/>
  <c r="DU131" i="112"/>
  <c r="DU72" i="112"/>
  <c r="DR19" i="51"/>
  <c r="DO19" i="51"/>
  <c r="DS56" i="51"/>
  <c r="DT30" i="51"/>
  <c r="DQ19" i="51"/>
  <c r="DU39" i="51"/>
  <c r="DU6" i="51"/>
  <c r="DS39" i="51"/>
  <c r="DS6" i="51"/>
  <c r="DS30" i="51"/>
  <c r="DP6" i="51"/>
  <c r="DT19" i="51"/>
  <c r="DQ6" i="51"/>
  <c r="DS19" i="51"/>
  <c r="DT6" i="51"/>
  <c r="DR30" i="51"/>
  <c r="DR56" i="51"/>
  <c r="DU30" i="51"/>
  <c r="DR6" i="51"/>
  <c r="DU19" i="51"/>
  <c r="DU56" i="51"/>
  <c r="DT56" i="51"/>
  <c r="DT39" i="51"/>
  <c r="DR39" i="51"/>
  <c r="DP30" i="51"/>
  <c r="DP56" i="51"/>
  <c r="DP39" i="51"/>
  <c r="DO6" i="51"/>
  <c r="DN39" i="51"/>
  <c r="DN30" i="51"/>
  <c r="DN19" i="51"/>
  <c r="DP19" i="51"/>
  <c r="DO30" i="51"/>
  <c r="DO39" i="51"/>
  <c r="DQ56" i="51"/>
  <c r="DQ39" i="51"/>
  <c r="DQ30" i="51"/>
  <c r="GZ59" i="1"/>
  <c r="GY59" i="1"/>
  <c r="FQ59" i="1"/>
  <c r="FP59" i="1"/>
  <c r="GV35" i="1"/>
  <c r="GU35" i="1"/>
  <c r="GT35" i="1"/>
  <c r="GS35" i="1"/>
  <c r="GR35" i="1"/>
  <c r="GQ35" i="1"/>
  <c r="GP35" i="1"/>
  <c r="GO35" i="1"/>
  <c r="GN35" i="1"/>
  <c r="GM35" i="1"/>
  <c r="GL35" i="1"/>
  <c r="GK35" i="1"/>
  <c r="GJ35" i="1"/>
  <c r="GI35" i="1"/>
  <c r="GH35" i="1"/>
  <c r="GG35" i="1"/>
  <c r="GF35" i="1"/>
  <c r="GE35" i="1"/>
  <c r="GD35" i="1"/>
  <c r="GC35" i="1"/>
  <c r="GB35" i="1"/>
  <c r="GA35" i="1"/>
  <c r="FZ35" i="1"/>
  <c r="FY35" i="1"/>
  <c r="FX35" i="1"/>
  <c r="FW35" i="1"/>
  <c r="FL35" i="1"/>
  <c r="AA285" i="119" s="1"/>
  <c r="AA257" i="119" s="1"/>
  <c r="FK35" i="1"/>
  <c r="Z285" i="119" s="1"/>
  <c r="Z257" i="119" s="1"/>
  <c r="FJ35" i="1"/>
  <c r="Y285" i="119" s="1"/>
  <c r="Y257" i="119" s="1"/>
  <c r="FI35" i="1"/>
  <c r="X285" i="119" s="1"/>
  <c r="X257" i="119" s="1"/>
  <c r="FH35" i="1"/>
  <c r="W285" i="119" s="1"/>
  <c r="FG35" i="1"/>
  <c r="V285" i="119" s="1"/>
  <c r="FF35" i="1"/>
  <c r="U285" i="119" s="1"/>
  <c r="FE35" i="1"/>
  <c r="T285" i="119" s="1"/>
  <c r="FD35" i="1"/>
  <c r="S285" i="119" s="1"/>
  <c r="FC35" i="1"/>
  <c r="R285" i="119" s="1"/>
  <c r="FB35" i="1"/>
  <c r="Q285" i="119" s="1"/>
  <c r="FA35" i="1"/>
  <c r="P285" i="119" s="1"/>
  <c r="EZ35" i="1"/>
  <c r="O285" i="119" s="1"/>
  <c r="EY35" i="1"/>
  <c r="N285" i="119" s="1"/>
  <c r="EX35" i="1"/>
  <c r="M285" i="119" s="1"/>
  <c r="EW35" i="1"/>
  <c r="L285" i="119" s="1"/>
  <c r="EV35" i="1"/>
  <c r="K285" i="119" s="1"/>
  <c r="EU35" i="1"/>
  <c r="J285" i="119" s="1"/>
  <c r="ET35" i="1"/>
  <c r="I285" i="119" s="1"/>
  <c r="ES35" i="1"/>
  <c r="H285" i="119" s="1"/>
  <c r="ER35" i="1"/>
  <c r="G285" i="119" s="1"/>
  <c r="EQ35" i="1"/>
  <c r="F285" i="119" s="1"/>
  <c r="EP35" i="1"/>
  <c r="EO35" i="1"/>
  <c r="EN35" i="1"/>
  <c r="EM35" i="1"/>
  <c r="DD134" i="1"/>
  <c r="DC134" i="1"/>
  <c r="DB134" i="1"/>
  <c r="DA134" i="1"/>
  <c r="CZ134" i="1"/>
  <c r="CY134" i="1"/>
  <c r="CX134" i="1"/>
  <c r="DD133" i="1"/>
  <c r="DC133" i="1"/>
  <c r="DB133" i="1"/>
  <c r="DA133" i="1"/>
  <c r="CZ133" i="1"/>
  <c r="CY133" i="1"/>
  <c r="CX133" i="1"/>
  <c r="CC121" i="1"/>
  <c r="CB121" i="1"/>
  <c r="CA121" i="1"/>
  <c r="BZ121" i="1"/>
  <c r="BY121" i="1"/>
  <c r="BX121" i="1"/>
  <c r="BW121" i="1"/>
  <c r="BV121" i="1"/>
  <c r="BU121" i="1"/>
  <c r="BT121" i="1"/>
  <c r="BS121" i="1"/>
  <c r="BR121" i="1"/>
  <c r="BQ121" i="1"/>
  <c r="BP121" i="1"/>
  <c r="BO121" i="1"/>
  <c r="BN121" i="1"/>
  <c r="BM121" i="1"/>
  <c r="BL121" i="1"/>
  <c r="BK121" i="1"/>
  <c r="BJ121" i="1"/>
  <c r="BI121" i="1"/>
  <c r="BH121" i="1"/>
  <c r="BG121" i="1"/>
  <c r="BF121" i="1"/>
  <c r="BE121" i="1"/>
  <c r="BD121" i="1"/>
  <c r="BC121" i="1"/>
  <c r="BB121" i="1"/>
  <c r="BA121" i="1"/>
  <c r="AZ121" i="1"/>
  <c r="AY121" i="1"/>
  <c r="AX121" i="1"/>
  <c r="AW121" i="1"/>
  <c r="AV121" i="1"/>
  <c r="AU121" i="1"/>
  <c r="AT121" i="1"/>
  <c r="AS121" i="1"/>
  <c r="AR121" i="1"/>
  <c r="AQ121" i="1"/>
  <c r="AP121" i="1"/>
  <c r="AO121" i="1"/>
  <c r="AN121" i="1"/>
  <c r="AM121" i="1"/>
  <c r="AL121" i="1"/>
  <c r="AK121" i="1"/>
  <c r="AJ121" i="1"/>
  <c r="AI121" i="1"/>
  <c r="AH121" i="1"/>
  <c r="AG121" i="1"/>
  <c r="AF121" i="1"/>
  <c r="AE121" i="1"/>
  <c r="AD121" i="1"/>
  <c r="AC121" i="1"/>
  <c r="AB121" i="1"/>
  <c r="AA121" i="1"/>
  <c r="Z121" i="1"/>
  <c r="Y121" i="1"/>
  <c r="X121" i="1"/>
  <c r="W121" i="1"/>
  <c r="V121" i="1"/>
  <c r="U121" i="1"/>
  <c r="T121" i="1"/>
  <c r="S121" i="1"/>
  <c r="R121" i="1"/>
  <c r="Q121" i="1"/>
  <c r="P121" i="1"/>
  <c r="O121" i="1"/>
  <c r="N121" i="1"/>
  <c r="M121" i="1"/>
  <c r="L121" i="1"/>
  <c r="K121" i="1"/>
  <c r="J121" i="1"/>
  <c r="I121" i="1"/>
  <c r="H121" i="1"/>
  <c r="G121" i="1"/>
  <c r="F121" i="1"/>
  <c r="E121" i="1"/>
  <c r="D121" i="1"/>
  <c r="C121" i="1"/>
  <c r="CC120" i="1"/>
  <c r="CB120" i="1"/>
  <c r="CA120" i="1"/>
  <c r="BZ120" i="1"/>
  <c r="BY120" i="1"/>
  <c r="BX120" i="1"/>
  <c r="BW120" i="1"/>
  <c r="BV120" i="1"/>
  <c r="BU120" i="1"/>
  <c r="BT120" i="1"/>
  <c r="BS120" i="1"/>
  <c r="BR120" i="1"/>
  <c r="BQ120" i="1"/>
  <c r="BP120" i="1"/>
  <c r="BO120" i="1"/>
  <c r="BN120" i="1"/>
  <c r="BM120" i="1"/>
  <c r="BL120" i="1"/>
  <c r="BK120" i="1"/>
  <c r="BJ120" i="1"/>
  <c r="BI120" i="1"/>
  <c r="BH120" i="1"/>
  <c r="BG120" i="1"/>
  <c r="BF120" i="1"/>
  <c r="BE120" i="1"/>
  <c r="BD120" i="1"/>
  <c r="BC120" i="1"/>
  <c r="BB120" i="1"/>
  <c r="BA120" i="1"/>
  <c r="AZ120" i="1"/>
  <c r="AY120" i="1"/>
  <c r="AX120" i="1"/>
  <c r="AW120" i="1"/>
  <c r="AV120" i="1"/>
  <c r="AU120" i="1"/>
  <c r="AT120" i="1"/>
  <c r="AS120" i="1"/>
  <c r="AR120" i="1"/>
  <c r="AQ120" i="1"/>
  <c r="AP120" i="1"/>
  <c r="AO120" i="1"/>
  <c r="AN120" i="1"/>
  <c r="AM120" i="1"/>
  <c r="AL120" i="1"/>
  <c r="AK120" i="1"/>
  <c r="AJ120" i="1"/>
  <c r="AI120" i="1"/>
  <c r="AH120" i="1"/>
  <c r="AG120" i="1"/>
  <c r="AF120" i="1"/>
  <c r="AE120" i="1"/>
  <c r="AD120" i="1"/>
  <c r="AC120" i="1"/>
  <c r="AB120" i="1"/>
  <c r="AA120" i="1"/>
  <c r="Z120" i="1"/>
  <c r="Y120" i="1"/>
  <c r="X120" i="1"/>
  <c r="W120" i="1"/>
  <c r="V120" i="1"/>
  <c r="U120" i="1"/>
  <c r="T120" i="1"/>
  <c r="S120" i="1"/>
  <c r="R120" i="1"/>
  <c r="Q120" i="1"/>
  <c r="P120" i="1"/>
  <c r="O120" i="1"/>
  <c r="N120" i="1"/>
  <c r="M120" i="1"/>
  <c r="L120" i="1"/>
  <c r="K120" i="1"/>
  <c r="J120" i="1"/>
  <c r="I120" i="1"/>
  <c r="H120" i="1"/>
  <c r="G120" i="1"/>
  <c r="F120" i="1"/>
  <c r="E120" i="1"/>
  <c r="D120" i="1"/>
  <c r="C120" i="1"/>
  <c r="DD118" i="1"/>
  <c r="DC118" i="1"/>
  <c r="DB118" i="1"/>
  <c r="DA118" i="1"/>
  <c r="CZ118" i="1"/>
  <c r="CY118" i="1"/>
  <c r="CX118" i="1"/>
  <c r="CW118" i="1"/>
  <c r="CV118" i="1"/>
  <c r="CU118" i="1"/>
  <c r="CT118" i="1"/>
  <c r="CS118" i="1"/>
  <c r="CR118" i="1"/>
  <c r="CQ118" i="1"/>
  <c r="CP118" i="1"/>
  <c r="CO118" i="1"/>
  <c r="CN118" i="1"/>
  <c r="CM118" i="1"/>
  <c r="CL118" i="1"/>
  <c r="CK118" i="1"/>
  <c r="CJ118" i="1"/>
  <c r="CI118" i="1"/>
  <c r="CH118" i="1"/>
  <c r="CG118" i="1"/>
  <c r="CF118" i="1"/>
  <c r="CE118" i="1"/>
  <c r="CD118" i="1"/>
  <c r="CC118" i="1"/>
  <c r="CB118" i="1"/>
  <c r="CA118" i="1"/>
  <c r="BZ118" i="1"/>
  <c r="BY118" i="1"/>
  <c r="BX118" i="1"/>
  <c r="BW118" i="1"/>
  <c r="BV118" i="1"/>
  <c r="BU118" i="1"/>
  <c r="BT118" i="1"/>
  <c r="BS118" i="1"/>
  <c r="BR118" i="1"/>
  <c r="BQ118" i="1"/>
  <c r="BP118" i="1"/>
  <c r="BO118" i="1"/>
  <c r="BN118" i="1"/>
  <c r="BM118" i="1"/>
  <c r="BL118" i="1"/>
  <c r="BK118" i="1"/>
  <c r="BJ118" i="1"/>
  <c r="BI118" i="1"/>
  <c r="BH118" i="1"/>
  <c r="BG118" i="1"/>
  <c r="BF118" i="1"/>
  <c r="BE118" i="1"/>
  <c r="BD118" i="1"/>
  <c r="BC118" i="1"/>
  <c r="BB118" i="1"/>
  <c r="BA118" i="1"/>
  <c r="AZ118" i="1"/>
  <c r="AY118" i="1"/>
  <c r="AX118" i="1"/>
  <c r="AW118" i="1"/>
  <c r="AV118" i="1"/>
  <c r="AU118" i="1"/>
  <c r="AT118" i="1"/>
  <c r="AS118" i="1"/>
  <c r="AR118" i="1"/>
  <c r="AQ118" i="1"/>
  <c r="AP118" i="1"/>
  <c r="AO118" i="1"/>
  <c r="AN118" i="1"/>
  <c r="AM118" i="1"/>
  <c r="AL118" i="1"/>
  <c r="AK118" i="1"/>
  <c r="AJ118" i="1"/>
  <c r="AI118" i="1"/>
  <c r="AH118" i="1"/>
  <c r="AG118" i="1"/>
  <c r="AF118" i="1"/>
  <c r="AE118" i="1"/>
  <c r="AD118" i="1"/>
  <c r="AC118" i="1"/>
  <c r="AB118" i="1"/>
  <c r="AA118" i="1"/>
  <c r="Z118" i="1"/>
  <c r="Y118" i="1"/>
  <c r="X118" i="1"/>
  <c r="W118" i="1"/>
  <c r="V118" i="1"/>
  <c r="U118" i="1"/>
  <c r="T118" i="1"/>
  <c r="S118" i="1"/>
  <c r="R118" i="1"/>
  <c r="Q118" i="1"/>
  <c r="P118" i="1"/>
  <c r="O118" i="1"/>
  <c r="N118" i="1"/>
  <c r="M118" i="1"/>
  <c r="L118" i="1"/>
  <c r="K118" i="1"/>
  <c r="J118" i="1"/>
  <c r="I118" i="1"/>
  <c r="H118" i="1"/>
  <c r="G118" i="1"/>
  <c r="F118" i="1"/>
  <c r="E118" i="1"/>
  <c r="D118" i="1"/>
  <c r="C118" i="1"/>
  <c r="CK117" i="1"/>
  <c r="CJ117" i="1"/>
  <c r="CI117" i="1"/>
  <c r="CH117" i="1"/>
  <c r="CG117" i="1"/>
  <c r="CF117" i="1"/>
  <c r="CE117" i="1"/>
  <c r="CD117" i="1"/>
  <c r="CC117" i="1"/>
  <c r="CB117" i="1"/>
  <c r="CA117" i="1"/>
  <c r="BZ117" i="1"/>
  <c r="BY117" i="1"/>
  <c r="BX117" i="1"/>
  <c r="BW117" i="1"/>
  <c r="BV117" i="1"/>
  <c r="BU117" i="1"/>
  <c r="BT117" i="1"/>
  <c r="BS117" i="1"/>
  <c r="BR117" i="1"/>
  <c r="BQ117" i="1"/>
  <c r="BP117" i="1"/>
  <c r="BO117" i="1"/>
  <c r="BN117" i="1"/>
  <c r="BM117" i="1"/>
  <c r="BL117" i="1"/>
  <c r="BK117" i="1"/>
  <c r="BJ117" i="1"/>
  <c r="BI117" i="1"/>
  <c r="BH117" i="1"/>
  <c r="BG117" i="1"/>
  <c r="BF117" i="1"/>
  <c r="BE117" i="1"/>
  <c r="BD117" i="1"/>
  <c r="BC117" i="1"/>
  <c r="BB117" i="1"/>
  <c r="BA117" i="1"/>
  <c r="AZ117" i="1"/>
  <c r="AY117" i="1"/>
  <c r="AX117" i="1"/>
  <c r="AW117" i="1"/>
  <c r="AV117" i="1"/>
  <c r="AU117" i="1"/>
  <c r="AT117" i="1"/>
  <c r="AS117" i="1"/>
  <c r="AR117" i="1"/>
  <c r="AQ117" i="1"/>
  <c r="AP117" i="1"/>
  <c r="AO117" i="1"/>
  <c r="AN117" i="1"/>
  <c r="AM117" i="1"/>
  <c r="AL117" i="1"/>
  <c r="AK117" i="1"/>
  <c r="AJ117" i="1"/>
  <c r="AI117" i="1"/>
  <c r="AH117" i="1"/>
  <c r="AG117" i="1"/>
  <c r="AF117" i="1"/>
  <c r="AE117" i="1"/>
  <c r="AD117" i="1"/>
  <c r="AC117" i="1"/>
  <c r="AB117" i="1"/>
  <c r="AA117" i="1"/>
  <c r="Z117" i="1"/>
  <c r="Y117" i="1"/>
  <c r="X117" i="1"/>
  <c r="W117" i="1"/>
  <c r="V117" i="1"/>
  <c r="U117" i="1"/>
  <c r="T117" i="1"/>
  <c r="S117" i="1"/>
  <c r="R117" i="1"/>
  <c r="Q117" i="1"/>
  <c r="P117" i="1"/>
  <c r="O117" i="1"/>
  <c r="N117" i="1"/>
  <c r="M117" i="1"/>
  <c r="L117" i="1"/>
  <c r="K117" i="1"/>
  <c r="J117" i="1"/>
  <c r="I117" i="1"/>
  <c r="H117" i="1"/>
  <c r="G117" i="1"/>
  <c r="F117" i="1"/>
  <c r="E117" i="1"/>
  <c r="D117" i="1"/>
  <c r="C117" i="1"/>
  <c r="A134" i="1"/>
  <c r="A133" i="1"/>
  <c r="A132" i="1"/>
  <c r="A131" i="1"/>
  <c r="A130" i="1"/>
  <c r="A129" i="1"/>
  <c r="A128" i="1"/>
  <c r="A127" i="1"/>
  <c r="A126" i="1"/>
  <c r="A125" i="1"/>
  <c r="A124" i="1"/>
  <c r="A123" i="1"/>
  <c r="A122" i="1"/>
  <c r="A121" i="1"/>
  <c r="A120" i="1"/>
  <c r="A119" i="1"/>
  <c r="A118" i="1"/>
  <c r="A117" i="1"/>
  <c r="DD113" i="1"/>
  <c r="DC113" i="1"/>
  <c r="DB113" i="1"/>
  <c r="DA113" i="1"/>
  <c r="DD112" i="1"/>
  <c r="DC112" i="1"/>
  <c r="DB112" i="1"/>
  <c r="DA112" i="1"/>
  <c r="DD100" i="1"/>
  <c r="DC100" i="1"/>
  <c r="DB100" i="1"/>
  <c r="DA100" i="1"/>
  <c r="CZ100" i="1"/>
  <c r="CY100" i="1"/>
  <c r="CX100" i="1"/>
  <c r="CW100" i="1"/>
  <c r="CV100" i="1"/>
  <c r="CU100" i="1"/>
  <c r="CT100" i="1"/>
  <c r="CS100" i="1"/>
  <c r="CR100" i="1"/>
  <c r="CQ100" i="1"/>
  <c r="CP100" i="1"/>
  <c r="CO100" i="1"/>
  <c r="CN100" i="1"/>
  <c r="CM100" i="1"/>
  <c r="CL100" i="1"/>
  <c r="CK100" i="1"/>
  <c r="CJ100" i="1"/>
  <c r="CI100" i="1"/>
  <c r="CH100" i="1"/>
  <c r="CG100" i="1"/>
  <c r="CF100" i="1"/>
  <c r="CE100" i="1"/>
  <c r="CD100" i="1"/>
  <c r="CC100" i="1"/>
  <c r="CB100" i="1"/>
  <c r="CA100" i="1"/>
  <c r="BZ100" i="1"/>
  <c r="BY100" i="1"/>
  <c r="BX100" i="1"/>
  <c r="BW100" i="1"/>
  <c r="BV100" i="1"/>
  <c r="BU100" i="1"/>
  <c r="BT100" i="1"/>
  <c r="BS100" i="1"/>
  <c r="BR100" i="1"/>
  <c r="BQ100" i="1"/>
  <c r="BP100" i="1"/>
  <c r="BO100" i="1"/>
  <c r="BN100" i="1"/>
  <c r="BM100" i="1"/>
  <c r="BL100" i="1"/>
  <c r="BK100" i="1"/>
  <c r="BJ100" i="1"/>
  <c r="BI100" i="1"/>
  <c r="BH100" i="1"/>
  <c r="BG100" i="1"/>
  <c r="BF100" i="1"/>
  <c r="BE100" i="1"/>
  <c r="BD100" i="1"/>
  <c r="BC100" i="1"/>
  <c r="BB100" i="1"/>
  <c r="BA100" i="1"/>
  <c r="AZ100" i="1"/>
  <c r="AY100" i="1"/>
  <c r="AX100" i="1"/>
  <c r="AW100" i="1"/>
  <c r="AV100" i="1"/>
  <c r="AU100" i="1"/>
  <c r="AT100" i="1"/>
  <c r="AS100" i="1"/>
  <c r="AR100" i="1"/>
  <c r="AQ100" i="1"/>
  <c r="AP100" i="1"/>
  <c r="AO100" i="1"/>
  <c r="AN100" i="1"/>
  <c r="AM100" i="1"/>
  <c r="AL100" i="1"/>
  <c r="AK100" i="1"/>
  <c r="AJ100" i="1"/>
  <c r="AI100" i="1"/>
  <c r="AH100" i="1"/>
  <c r="AG100" i="1"/>
  <c r="AF100" i="1"/>
  <c r="AE100" i="1"/>
  <c r="AD100" i="1"/>
  <c r="AC100" i="1"/>
  <c r="AB100" i="1"/>
  <c r="AA100" i="1"/>
  <c r="Z100" i="1"/>
  <c r="Y100" i="1"/>
  <c r="X100" i="1"/>
  <c r="W100" i="1"/>
  <c r="V100" i="1"/>
  <c r="U100" i="1"/>
  <c r="T100" i="1"/>
  <c r="S100" i="1"/>
  <c r="R100" i="1"/>
  <c r="Q100" i="1"/>
  <c r="P100" i="1"/>
  <c r="O100" i="1"/>
  <c r="N100" i="1"/>
  <c r="M100" i="1"/>
  <c r="L100" i="1"/>
  <c r="K100" i="1"/>
  <c r="J100" i="1"/>
  <c r="I100" i="1"/>
  <c r="H100" i="1"/>
  <c r="G100" i="1"/>
  <c r="F100" i="1"/>
  <c r="DD99" i="1"/>
  <c r="DC99" i="1"/>
  <c r="DB99" i="1"/>
  <c r="DA99" i="1"/>
  <c r="CZ99" i="1"/>
  <c r="CY99" i="1"/>
  <c r="CX99" i="1"/>
  <c r="CW99" i="1"/>
  <c r="CV99" i="1"/>
  <c r="CU99" i="1"/>
  <c r="CT99" i="1"/>
  <c r="CS99" i="1"/>
  <c r="CR99" i="1"/>
  <c r="CQ99" i="1"/>
  <c r="CP99" i="1"/>
  <c r="CO99" i="1"/>
  <c r="CN99" i="1"/>
  <c r="CM99" i="1"/>
  <c r="CL99" i="1"/>
  <c r="CK99" i="1"/>
  <c r="CJ99" i="1"/>
  <c r="CI99" i="1"/>
  <c r="CH99" i="1"/>
  <c r="CG99" i="1"/>
  <c r="CF99" i="1"/>
  <c r="CE99" i="1"/>
  <c r="CD99" i="1"/>
  <c r="CC99" i="1"/>
  <c r="CB99" i="1"/>
  <c r="CA99" i="1"/>
  <c r="BZ99" i="1"/>
  <c r="BY99" i="1"/>
  <c r="BX99" i="1"/>
  <c r="BW99" i="1"/>
  <c r="BV99" i="1"/>
  <c r="BU99" i="1"/>
  <c r="BT99" i="1"/>
  <c r="BS99" i="1"/>
  <c r="BR99" i="1"/>
  <c r="BQ99" i="1"/>
  <c r="BP99" i="1"/>
  <c r="BO99" i="1"/>
  <c r="BN99" i="1"/>
  <c r="BM99" i="1"/>
  <c r="BL99" i="1"/>
  <c r="BK99" i="1"/>
  <c r="BJ99" i="1"/>
  <c r="BI99" i="1"/>
  <c r="BH99" i="1"/>
  <c r="BG99" i="1"/>
  <c r="BF99" i="1"/>
  <c r="BE99" i="1"/>
  <c r="BD99" i="1"/>
  <c r="BC99" i="1"/>
  <c r="BB99" i="1"/>
  <c r="BA99" i="1"/>
  <c r="AZ99" i="1"/>
  <c r="AY99" i="1"/>
  <c r="AX99" i="1"/>
  <c r="AW99" i="1"/>
  <c r="AV99" i="1"/>
  <c r="AU99" i="1"/>
  <c r="AT99" i="1"/>
  <c r="AS99" i="1"/>
  <c r="AR99" i="1"/>
  <c r="AQ99" i="1"/>
  <c r="AP99" i="1"/>
  <c r="AO99" i="1"/>
  <c r="AN99" i="1"/>
  <c r="AM99" i="1"/>
  <c r="AL99" i="1"/>
  <c r="AK99" i="1"/>
  <c r="AJ99" i="1"/>
  <c r="AI99" i="1"/>
  <c r="AH99" i="1"/>
  <c r="AG99" i="1"/>
  <c r="AF99" i="1"/>
  <c r="AE99" i="1"/>
  <c r="AD99" i="1"/>
  <c r="AC99" i="1"/>
  <c r="AB99" i="1"/>
  <c r="AA99" i="1"/>
  <c r="Z99" i="1"/>
  <c r="Y99" i="1"/>
  <c r="X99" i="1"/>
  <c r="W99" i="1"/>
  <c r="V99" i="1"/>
  <c r="U99" i="1"/>
  <c r="T99" i="1"/>
  <c r="S99" i="1"/>
  <c r="R99" i="1"/>
  <c r="Q99" i="1"/>
  <c r="P99" i="1"/>
  <c r="O99" i="1"/>
  <c r="N99" i="1"/>
  <c r="M99" i="1"/>
  <c r="L99" i="1"/>
  <c r="K99" i="1"/>
  <c r="J99" i="1"/>
  <c r="I99" i="1"/>
  <c r="H99" i="1"/>
  <c r="G99" i="1"/>
  <c r="F99" i="1"/>
  <c r="DD97" i="1"/>
  <c r="DC97" i="1"/>
  <c r="DB97" i="1"/>
  <c r="DA97" i="1"/>
  <c r="CZ97" i="1"/>
  <c r="CY97" i="1"/>
  <c r="CX97" i="1"/>
  <c r="CW97" i="1"/>
  <c r="CV97" i="1"/>
  <c r="CU97" i="1"/>
  <c r="CT97" i="1"/>
  <c r="CS97" i="1"/>
  <c r="CR97" i="1"/>
  <c r="CQ97" i="1"/>
  <c r="CP97" i="1"/>
  <c r="CO97" i="1"/>
  <c r="CN97" i="1"/>
  <c r="CM97" i="1"/>
  <c r="CL97" i="1"/>
  <c r="CK97" i="1"/>
  <c r="CJ97" i="1"/>
  <c r="CI97" i="1"/>
  <c r="CH97" i="1"/>
  <c r="CG97" i="1"/>
  <c r="CF97" i="1"/>
  <c r="CE97" i="1"/>
  <c r="CD97" i="1"/>
  <c r="CC97" i="1"/>
  <c r="CB97" i="1"/>
  <c r="CA97" i="1"/>
  <c r="BZ97" i="1"/>
  <c r="BY97" i="1"/>
  <c r="BX97" i="1"/>
  <c r="BW97" i="1"/>
  <c r="BV97" i="1"/>
  <c r="BU97" i="1"/>
  <c r="BT97" i="1"/>
  <c r="BS97" i="1"/>
  <c r="BR97" i="1"/>
  <c r="BQ97" i="1"/>
  <c r="BP97" i="1"/>
  <c r="BO97" i="1"/>
  <c r="BN97" i="1"/>
  <c r="BM97" i="1"/>
  <c r="BL97" i="1"/>
  <c r="BK97" i="1"/>
  <c r="BJ97" i="1"/>
  <c r="BI97" i="1"/>
  <c r="BH97" i="1"/>
  <c r="BG97" i="1"/>
  <c r="BF97" i="1"/>
  <c r="BE97" i="1"/>
  <c r="BD97" i="1"/>
  <c r="BC97" i="1"/>
  <c r="BB97" i="1"/>
  <c r="BA97" i="1"/>
  <c r="AZ97" i="1"/>
  <c r="AY97" i="1"/>
  <c r="AX97" i="1"/>
  <c r="AW97" i="1"/>
  <c r="AV97" i="1"/>
  <c r="AU97" i="1"/>
  <c r="AT97" i="1"/>
  <c r="AS97" i="1"/>
  <c r="AR97" i="1"/>
  <c r="AQ97" i="1"/>
  <c r="AP97" i="1"/>
  <c r="AO97" i="1"/>
  <c r="AN97" i="1"/>
  <c r="AM97" i="1"/>
  <c r="AL97" i="1"/>
  <c r="AK97" i="1"/>
  <c r="AJ97" i="1"/>
  <c r="AI97" i="1"/>
  <c r="AH97" i="1"/>
  <c r="AG97" i="1"/>
  <c r="AF97" i="1"/>
  <c r="AE97" i="1"/>
  <c r="AD97" i="1"/>
  <c r="AC97" i="1"/>
  <c r="AB97" i="1"/>
  <c r="AA97" i="1"/>
  <c r="Z97" i="1"/>
  <c r="Y97" i="1"/>
  <c r="X97" i="1"/>
  <c r="W97" i="1"/>
  <c r="V97" i="1"/>
  <c r="U97" i="1"/>
  <c r="T97" i="1"/>
  <c r="S97" i="1"/>
  <c r="R97" i="1"/>
  <c r="Q97" i="1"/>
  <c r="P97" i="1"/>
  <c r="O97" i="1"/>
  <c r="N97" i="1"/>
  <c r="M97" i="1"/>
  <c r="L97" i="1"/>
  <c r="K97" i="1"/>
  <c r="J97" i="1"/>
  <c r="I97" i="1"/>
  <c r="H97" i="1"/>
  <c r="G97" i="1"/>
  <c r="F97" i="1"/>
  <c r="CK96" i="1"/>
  <c r="CJ96" i="1"/>
  <c r="CI96" i="1"/>
  <c r="CH96" i="1"/>
  <c r="CG96" i="1"/>
  <c r="CF96" i="1"/>
  <c r="CE96" i="1"/>
  <c r="CD96" i="1"/>
  <c r="CC96" i="1"/>
  <c r="CB96" i="1"/>
  <c r="CA96" i="1"/>
  <c r="BZ96" i="1"/>
  <c r="BY96" i="1"/>
  <c r="BX96" i="1"/>
  <c r="BW96" i="1"/>
  <c r="BV96" i="1"/>
  <c r="BU96" i="1"/>
  <c r="BT96" i="1"/>
  <c r="BS96" i="1"/>
  <c r="BR96" i="1"/>
  <c r="BQ96" i="1"/>
  <c r="BP96" i="1"/>
  <c r="BO96" i="1"/>
  <c r="BN96" i="1"/>
  <c r="BM96" i="1"/>
  <c r="BL96" i="1"/>
  <c r="BK96" i="1"/>
  <c r="BJ96" i="1"/>
  <c r="BI96" i="1"/>
  <c r="BH96" i="1"/>
  <c r="BG96" i="1"/>
  <c r="BF96" i="1"/>
  <c r="BE96" i="1"/>
  <c r="BD96" i="1"/>
  <c r="BC96" i="1"/>
  <c r="BB96" i="1"/>
  <c r="BA96" i="1"/>
  <c r="AZ96" i="1"/>
  <c r="AY96" i="1"/>
  <c r="AX96" i="1"/>
  <c r="AW96" i="1"/>
  <c r="AV96" i="1"/>
  <c r="AU96" i="1"/>
  <c r="AT96" i="1"/>
  <c r="AS96" i="1"/>
  <c r="AR96" i="1"/>
  <c r="AQ96" i="1"/>
  <c r="AP96" i="1"/>
  <c r="AO96" i="1"/>
  <c r="AN96" i="1"/>
  <c r="AM96" i="1"/>
  <c r="AL96" i="1"/>
  <c r="AK96" i="1"/>
  <c r="AJ96" i="1"/>
  <c r="AI96" i="1"/>
  <c r="AH96" i="1"/>
  <c r="AG96" i="1"/>
  <c r="AF96" i="1"/>
  <c r="AE96" i="1"/>
  <c r="AD96" i="1"/>
  <c r="AC96" i="1"/>
  <c r="AB96" i="1"/>
  <c r="AA96" i="1"/>
  <c r="Z96" i="1"/>
  <c r="Y96" i="1"/>
  <c r="X96" i="1"/>
  <c r="W96" i="1"/>
  <c r="V96" i="1"/>
  <c r="U96" i="1"/>
  <c r="T96" i="1"/>
  <c r="S96" i="1"/>
  <c r="R96" i="1"/>
  <c r="Q96" i="1"/>
  <c r="P96" i="1"/>
  <c r="O96" i="1"/>
  <c r="N96" i="1"/>
  <c r="M96" i="1"/>
  <c r="L96" i="1"/>
  <c r="K96" i="1"/>
  <c r="J96" i="1"/>
  <c r="I96" i="1"/>
  <c r="H96" i="1"/>
  <c r="G96" i="1"/>
  <c r="F96" i="1"/>
  <c r="A97" i="1"/>
  <c r="A98" i="1"/>
  <c r="A99" i="1"/>
  <c r="A100" i="1"/>
  <c r="A101" i="1"/>
  <c r="A102" i="1"/>
  <c r="A103" i="1"/>
  <c r="A104" i="1"/>
  <c r="A105" i="1"/>
  <c r="A106" i="1"/>
  <c r="A107" i="1"/>
  <c r="A108" i="1"/>
  <c r="A109" i="1"/>
  <c r="A110" i="1"/>
  <c r="A111" i="1"/>
  <c r="A112" i="1"/>
  <c r="A113" i="1"/>
  <c r="A96" i="1"/>
  <c r="DD92" i="1"/>
  <c r="DC92" i="1"/>
  <c r="DB92" i="1"/>
  <c r="DA92" i="1"/>
  <c r="CZ92" i="1"/>
  <c r="CY92" i="1"/>
  <c r="CX92" i="1"/>
  <c r="DD91" i="1"/>
  <c r="DC91" i="1"/>
  <c r="DB91" i="1"/>
  <c r="DA91" i="1"/>
  <c r="CZ91" i="1"/>
  <c r="CY91" i="1"/>
  <c r="CX91" i="1"/>
  <c r="DD79" i="1"/>
  <c r="DC79" i="1"/>
  <c r="DB79" i="1"/>
  <c r="DA79" i="1"/>
  <c r="CZ79" i="1"/>
  <c r="CY79" i="1"/>
  <c r="CX79" i="1"/>
  <c r="CW79" i="1"/>
  <c r="CV79" i="1"/>
  <c r="CU79" i="1"/>
  <c r="CT79" i="1"/>
  <c r="CS79" i="1"/>
  <c r="CR79" i="1"/>
  <c r="CQ79" i="1"/>
  <c r="CP79" i="1"/>
  <c r="CO79" i="1"/>
  <c r="CN79" i="1"/>
  <c r="CM79" i="1"/>
  <c r="CL79" i="1"/>
  <c r="CK79" i="1"/>
  <c r="CJ79" i="1"/>
  <c r="CI79" i="1"/>
  <c r="CH79" i="1"/>
  <c r="CG79" i="1"/>
  <c r="CF79" i="1"/>
  <c r="CE79" i="1"/>
  <c r="CD79" i="1"/>
  <c r="CC79" i="1"/>
  <c r="CB79" i="1"/>
  <c r="CA79" i="1"/>
  <c r="BZ79" i="1"/>
  <c r="BY79" i="1"/>
  <c r="BX79" i="1"/>
  <c r="BW79" i="1"/>
  <c r="BV79" i="1"/>
  <c r="BU79" i="1"/>
  <c r="BT79" i="1"/>
  <c r="BS79" i="1"/>
  <c r="BR79" i="1"/>
  <c r="BQ79" i="1"/>
  <c r="BP79" i="1"/>
  <c r="BO79" i="1"/>
  <c r="BN79" i="1"/>
  <c r="BM79" i="1"/>
  <c r="BL79" i="1"/>
  <c r="BK79" i="1"/>
  <c r="BJ79" i="1"/>
  <c r="BI79" i="1"/>
  <c r="BH79" i="1"/>
  <c r="BG79" i="1"/>
  <c r="BF79" i="1"/>
  <c r="BE79" i="1"/>
  <c r="BD79" i="1"/>
  <c r="BC79" i="1"/>
  <c r="BB79" i="1"/>
  <c r="BA79" i="1"/>
  <c r="AZ79" i="1"/>
  <c r="AY79" i="1"/>
  <c r="AX79" i="1"/>
  <c r="AW79" i="1"/>
  <c r="AV79" i="1"/>
  <c r="AU79" i="1"/>
  <c r="AT79" i="1"/>
  <c r="AS79" i="1"/>
  <c r="AR79" i="1"/>
  <c r="AQ79" i="1"/>
  <c r="AP79" i="1"/>
  <c r="AO79" i="1"/>
  <c r="AN79" i="1"/>
  <c r="AM79" i="1"/>
  <c r="AL79" i="1"/>
  <c r="AK79" i="1"/>
  <c r="AJ79" i="1"/>
  <c r="AI79" i="1"/>
  <c r="AH79" i="1"/>
  <c r="AG79" i="1"/>
  <c r="AF79" i="1"/>
  <c r="AE79" i="1"/>
  <c r="AD79" i="1"/>
  <c r="AC79" i="1"/>
  <c r="AB79" i="1"/>
  <c r="AA79" i="1"/>
  <c r="Z79" i="1"/>
  <c r="Y79" i="1"/>
  <c r="X79" i="1"/>
  <c r="W79" i="1"/>
  <c r="V79" i="1"/>
  <c r="U79" i="1"/>
  <c r="T79" i="1"/>
  <c r="S79" i="1"/>
  <c r="R79" i="1"/>
  <c r="Q79" i="1"/>
  <c r="P79" i="1"/>
  <c r="O79" i="1"/>
  <c r="N79" i="1"/>
  <c r="M79" i="1"/>
  <c r="L79" i="1"/>
  <c r="K79" i="1"/>
  <c r="J79" i="1"/>
  <c r="I79" i="1"/>
  <c r="H79" i="1"/>
  <c r="G79" i="1"/>
  <c r="F79" i="1"/>
  <c r="E79" i="1"/>
  <c r="D79" i="1"/>
  <c r="C79" i="1"/>
  <c r="DD78" i="1"/>
  <c r="DC78" i="1"/>
  <c r="DB78" i="1"/>
  <c r="DA78" i="1"/>
  <c r="CZ78" i="1"/>
  <c r="CY78" i="1"/>
  <c r="CX78" i="1"/>
  <c r="CW78" i="1"/>
  <c r="CV78" i="1"/>
  <c r="CU78" i="1"/>
  <c r="CT78" i="1"/>
  <c r="CS78" i="1"/>
  <c r="CR78" i="1"/>
  <c r="CQ78" i="1"/>
  <c r="CP78" i="1"/>
  <c r="CO78" i="1"/>
  <c r="CN78" i="1"/>
  <c r="CM78" i="1"/>
  <c r="CL78" i="1"/>
  <c r="CK78" i="1"/>
  <c r="CJ78" i="1"/>
  <c r="CI78" i="1"/>
  <c r="CH78" i="1"/>
  <c r="CG78" i="1"/>
  <c r="CF78" i="1"/>
  <c r="CE78" i="1"/>
  <c r="CD78" i="1"/>
  <c r="CC78" i="1"/>
  <c r="CB78" i="1"/>
  <c r="CA78" i="1"/>
  <c r="BZ78" i="1"/>
  <c r="BY78" i="1"/>
  <c r="BX78" i="1"/>
  <c r="BW78" i="1"/>
  <c r="BV78" i="1"/>
  <c r="BU78" i="1"/>
  <c r="BT78" i="1"/>
  <c r="BS78" i="1"/>
  <c r="BR78" i="1"/>
  <c r="BQ78" i="1"/>
  <c r="BP78" i="1"/>
  <c r="BO78" i="1"/>
  <c r="BN78" i="1"/>
  <c r="BM78" i="1"/>
  <c r="BL78" i="1"/>
  <c r="BK78" i="1"/>
  <c r="BJ78" i="1"/>
  <c r="BI78" i="1"/>
  <c r="BH78" i="1"/>
  <c r="BG78" i="1"/>
  <c r="BF78" i="1"/>
  <c r="BE78" i="1"/>
  <c r="BD78" i="1"/>
  <c r="BC78" i="1"/>
  <c r="BB78" i="1"/>
  <c r="BA78" i="1"/>
  <c r="AZ78" i="1"/>
  <c r="AY78" i="1"/>
  <c r="AX78" i="1"/>
  <c r="AW78" i="1"/>
  <c r="AV78" i="1"/>
  <c r="AU78" i="1"/>
  <c r="AT78" i="1"/>
  <c r="AS78" i="1"/>
  <c r="AR78" i="1"/>
  <c r="AQ78" i="1"/>
  <c r="AP78" i="1"/>
  <c r="AO78" i="1"/>
  <c r="AN78" i="1"/>
  <c r="AM78" i="1"/>
  <c r="AL78" i="1"/>
  <c r="AK78" i="1"/>
  <c r="AJ78" i="1"/>
  <c r="AI78" i="1"/>
  <c r="AH78" i="1"/>
  <c r="AG78" i="1"/>
  <c r="AF78" i="1"/>
  <c r="AE78" i="1"/>
  <c r="AD78" i="1"/>
  <c r="AC78" i="1"/>
  <c r="AB78" i="1"/>
  <c r="AA78" i="1"/>
  <c r="Z78" i="1"/>
  <c r="Y78" i="1"/>
  <c r="X78" i="1"/>
  <c r="W78" i="1"/>
  <c r="V78" i="1"/>
  <c r="U78" i="1"/>
  <c r="T78" i="1"/>
  <c r="S78" i="1"/>
  <c r="R78" i="1"/>
  <c r="Q78" i="1"/>
  <c r="P78" i="1"/>
  <c r="O78" i="1"/>
  <c r="N78" i="1"/>
  <c r="M78" i="1"/>
  <c r="L78" i="1"/>
  <c r="K78" i="1"/>
  <c r="J78" i="1"/>
  <c r="I78" i="1"/>
  <c r="H78" i="1"/>
  <c r="G78" i="1"/>
  <c r="F78" i="1"/>
  <c r="E78" i="1"/>
  <c r="D78" i="1"/>
  <c r="C78" i="1"/>
  <c r="DD76" i="1"/>
  <c r="DC76" i="1"/>
  <c r="DB76" i="1"/>
  <c r="DA76" i="1"/>
  <c r="CZ76" i="1"/>
  <c r="CY76" i="1"/>
  <c r="CX76" i="1"/>
  <c r="CW76" i="1"/>
  <c r="CV76" i="1"/>
  <c r="CU76" i="1"/>
  <c r="CT76" i="1"/>
  <c r="CS76" i="1"/>
  <c r="CR76" i="1"/>
  <c r="CQ76" i="1"/>
  <c r="CP76" i="1"/>
  <c r="CO76" i="1"/>
  <c r="CN76" i="1"/>
  <c r="CM76" i="1"/>
  <c r="CL76" i="1"/>
  <c r="CK76" i="1"/>
  <c r="CJ76" i="1"/>
  <c r="CI76" i="1"/>
  <c r="CH76" i="1"/>
  <c r="CG76" i="1"/>
  <c r="CF76" i="1"/>
  <c r="CE76" i="1"/>
  <c r="CD76" i="1"/>
  <c r="CC76" i="1"/>
  <c r="CB76" i="1"/>
  <c r="CA76" i="1"/>
  <c r="BZ76" i="1"/>
  <c r="BY76" i="1"/>
  <c r="BX76" i="1"/>
  <c r="BW76" i="1"/>
  <c r="BV76" i="1"/>
  <c r="BU76" i="1"/>
  <c r="BT76" i="1"/>
  <c r="BS76" i="1"/>
  <c r="BR76" i="1"/>
  <c r="BQ76" i="1"/>
  <c r="BP76" i="1"/>
  <c r="BO76" i="1"/>
  <c r="BN76" i="1"/>
  <c r="BM76" i="1"/>
  <c r="BL76" i="1"/>
  <c r="BK76" i="1"/>
  <c r="BJ76" i="1"/>
  <c r="BI76" i="1"/>
  <c r="BH76" i="1"/>
  <c r="BG76" i="1"/>
  <c r="BF76" i="1"/>
  <c r="BE76" i="1"/>
  <c r="BD76" i="1"/>
  <c r="BC76" i="1"/>
  <c r="BB76" i="1"/>
  <c r="BA76" i="1"/>
  <c r="AZ76" i="1"/>
  <c r="AY76" i="1"/>
  <c r="AX76" i="1"/>
  <c r="AW76" i="1"/>
  <c r="AV76" i="1"/>
  <c r="AU76" i="1"/>
  <c r="AT76" i="1"/>
  <c r="AS76" i="1"/>
  <c r="AR76" i="1"/>
  <c r="AQ76" i="1"/>
  <c r="AP76" i="1"/>
  <c r="AO76" i="1"/>
  <c r="AN76" i="1"/>
  <c r="AM76" i="1"/>
  <c r="AL76" i="1"/>
  <c r="AK76" i="1"/>
  <c r="AJ76" i="1"/>
  <c r="AI76" i="1"/>
  <c r="AH76" i="1"/>
  <c r="AG76" i="1"/>
  <c r="AF76" i="1"/>
  <c r="AE76" i="1"/>
  <c r="AD76" i="1"/>
  <c r="AC76" i="1"/>
  <c r="AB76" i="1"/>
  <c r="AA76" i="1"/>
  <c r="Z76" i="1"/>
  <c r="Y76" i="1"/>
  <c r="X76" i="1"/>
  <c r="W76" i="1"/>
  <c r="V76" i="1"/>
  <c r="U76" i="1"/>
  <c r="T76" i="1"/>
  <c r="S76" i="1"/>
  <c r="R76" i="1"/>
  <c r="Q76" i="1"/>
  <c r="P76" i="1"/>
  <c r="O76" i="1"/>
  <c r="N76" i="1"/>
  <c r="M76" i="1"/>
  <c r="L76" i="1"/>
  <c r="K76" i="1"/>
  <c r="J76" i="1"/>
  <c r="I76" i="1"/>
  <c r="H76" i="1"/>
  <c r="G76" i="1"/>
  <c r="F76" i="1"/>
  <c r="E76" i="1"/>
  <c r="D76" i="1"/>
  <c r="C76" i="1"/>
  <c r="CK75" i="1"/>
  <c r="CJ75" i="1"/>
  <c r="CI75" i="1"/>
  <c r="CH75" i="1"/>
  <c r="CG75" i="1"/>
  <c r="CF75" i="1"/>
  <c r="CE75" i="1"/>
  <c r="CD75" i="1"/>
  <c r="CC75" i="1"/>
  <c r="CB75" i="1"/>
  <c r="CA75" i="1"/>
  <c r="BZ75" i="1"/>
  <c r="BY75" i="1"/>
  <c r="BX75" i="1"/>
  <c r="BW75" i="1"/>
  <c r="BV75" i="1"/>
  <c r="BU75" i="1"/>
  <c r="BT75" i="1"/>
  <c r="BS75" i="1"/>
  <c r="BR75" i="1"/>
  <c r="BQ75" i="1"/>
  <c r="BP75" i="1"/>
  <c r="BO75" i="1"/>
  <c r="BN75" i="1"/>
  <c r="BM75" i="1"/>
  <c r="BL75" i="1"/>
  <c r="BK75" i="1"/>
  <c r="BJ75" i="1"/>
  <c r="BI75" i="1"/>
  <c r="BH75" i="1"/>
  <c r="BG75" i="1"/>
  <c r="BF75" i="1"/>
  <c r="BE75" i="1"/>
  <c r="BD75" i="1"/>
  <c r="BC75" i="1"/>
  <c r="BB75" i="1"/>
  <c r="BA75" i="1"/>
  <c r="AZ75" i="1"/>
  <c r="AY75" i="1"/>
  <c r="AX75" i="1"/>
  <c r="AW75" i="1"/>
  <c r="AV75" i="1"/>
  <c r="AU75" i="1"/>
  <c r="AT75" i="1"/>
  <c r="AS75" i="1"/>
  <c r="AR75" i="1"/>
  <c r="AQ75" i="1"/>
  <c r="AP75" i="1"/>
  <c r="AO75" i="1"/>
  <c r="AN75" i="1"/>
  <c r="AM75" i="1"/>
  <c r="AL75" i="1"/>
  <c r="AK75" i="1"/>
  <c r="AJ75" i="1"/>
  <c r="AI75" i="1"/>
  <c r="AH75" i="1"/>
  <c r="AG75" i="1"/>
  <c r="AF75" i="1"/>
  <c r="AE75" i="1"/>
  <c r="AD75" i="1"/>
  <c r="AC75" i="1"/>
  <c r="AB75" i="1"/>
  <c r="AA75" i="1"/>
  <c r="Z75" i="1"/>
  <c r="Y75" i="1"/>
  <c r="X75" i="1"/>
  <c r="W75" i="1"/>
  <c r="V75" i="1"/>
  <c r="U75" i="1"/>
  <c r="T75" i="1"/>
  <c r="S75" i="1"/>
  <c r="R75" i="1"/>
  <c r="Q75" i="1"/>
  <c r="P75" i="1"/>
  <c r="O75" i="1"/>
  <c r="N75" i="1"/>
  <c r="M75" i="1"/>
  <c r="L75" i="1"/>
  <c r="K75" i="1"/>
  <c r="J75" i="1"/>
  <c r="I75" i="1"/>
  <c r="H75" i="1"/>
  <c r="G75" i="1"/>
  <c r="F75" i="1"/>
  <c r="E75" i="1"/>
  <c r="D75" i="1"/>
  <c r="C75" i="1"/>
  <c r="A92" i="1"/>
  <c r="A91" i="1"/>
  <c r="A90" i="1"/>
  <c r="A89" i="1"/>
  <c r="A88" i="1"/>
  <c r="A87" i="1"/>
  <c r="A86" i="1"/>
  <c r="A85" i="1"/>
  <c r="A84" i="1"/>
  <c r="A83" i="1"/>
  <c r="A82" i="1"/>
  <c r="A81" i="1"/>
  <c r="A80" i="1"/>
  <c r="A79" i="1"/>
  <c r="A78" i="1"/>
  <c r="A77" i="1"/>
  <c r="A76" i="1"/>
  <c r="A75" i="1"/>
  <c r="CK64" i="1"/>
  <c r="CJ64" i="1"/>
  <c r="CI64" i="1"/>
  <c r="CH64" i="1"/>
  <c r="CG64" i="1"/>
  <c r="CF64" i="1"/>
  <c r="CE64" i="1"/>
  <c r="CD64" i="1"/>
  <c r="CC64" i="1"/>
  <c r="CB64" i="1"/>
  <c r="CA64" i="1"/>
  <c r="BZ64" i="1"/>
  <c r="BY64" i="1"/>
  <c r="BX64" i="1"/>
  <c r="BW64" i="1"/>
  <c r="BV64" i="1"/>
  <c r="BU64" i="1"/>
  <c r="BT64" i="1"/>
  <c r="BS64" i="1"/>
  <c r="BR64" i="1"/>
  <c r="BQ64" i="1"/>
  <c r="BP64" i="1"/>
  <c r="BO64" i="1"/>
  <c r="BN64" i="1"/>
  <c r="BM64" i="1"/>
  <c r="BL64" i="1"/>
  <c r="BK64" i="1"/>
  <c r="BJ64" i="1"/>
  <c r="BI64" i="1"/>
  <c r="BH64" i="1"/>
  <c r="BG64" i="1"/>
  <c r="BF64" i="1"/>
  <c r="BE64" i="1"/>
  <c r="BD64" i="1"/>
  <c r="BC64" i="1"/>
  <c r="BB64" i="1"/>
  <c r="BA64" i="1"/>
  <c r="AZ64" i="1"/>
  <c r="AY64" i="1"/>
  <c r="AX64" i="1"/>
  <c r="AW64" i="1"/>
  <c r="AV64" i="1"/>
  <c r="AU64" i="1"/>
  <c r="AT64" i="1"/>
  <c r="AS64" i="1"/>
  <c r="AR64" i="1"/>
  <c r="AQ64" i="1"/>
  <c r="AP64" i="1"/>
  <c r="AO64" i="1"/>
  <c r="AN64" i="1"/>
  <c r="AM64" i="1"/>
  <c r="AL64" i="1"/>
  <c r="AK64" i="1"/>
  <c r="AJ64" i="1"/>
  <c r="AI64" i="1"/>
  <c r="AH64" i="1"/>
  <c r="AG64" i="1"/>
  <c r="AF64" i="1"/>
  <c r="AE64" i="1"/>
  <c r="AD64" i="1"/>
  <c r="AC64" i="1"/>
  <c r="AB64" i="1"/>
  <c r="AA64" i="1"/>
  <c r="Z64" i="1"/>
  <c r="Y64" i="1"/>
  <c r="X64" i="1"/>
  <c r="W64" i="1"/>
  <c r="V64" i="1"/>
  <c r="U64" i="1"/>
  <c r="T64" i="1"/>
  <c r="S64" i="1"/>
  <c r="R64" i="1"/>
  <c r="Q64" i="1"/>
  <c r="P64" i="1"/>
  <c r="O64" i="1"/>
  <c r="N64" i="1"/>
  <c r="M64" i="1"/>
  <c r="L64" i="1"/>
  <c r="K64" i="1"/>
  <c r="J64" i="1"/>
  <c r="I64" i="1"/>
  <c r="H64" i="1"/>
  <c r="G64" i="1"/>
  <c r="F64" i="1"/>
  <c r="E64" i="1"/>
  <c r="D64" i="1"/>
  <c r="C64" i="1"/>
  <c r="B64" i="1"/>
  <c r="CK63" i="1"/>
  <c r="CJ63" i="1"/>
  <c r="CI63" i="1"/>
  <c r="CH63" i="1"/>
  <c r="CG63" i="1"/>
  <c r="CF63" i="1"/>
  <c r="CE63" i="1"/>
  <c r="CD63" i="1"/>
  <c r="CC63" i="1"/>
  <c r="CB63" i="1"/>
  <c r="CA63" i="1"/>
  <c r="BZ63" i="1"/>
  <c r="BY63" i="1"/>
  <c r="BX63" i="1"/>
  <c r="BW63" i="1"/>
  <c r="BV63" i="1"/>
  <c r="BU63" i="1"/>
  <c r="BT63" i="1"/>
  <c r="BS63" i="1"/>
  <c r="BR63" i="1"/>
  <c r="BQ63" i="1"/>
  <c r="BP63" i="1"/>
  <c r="BO63" i="1"/>
  <c r="BN63" i="1"/>
  <c r="BM63" i="1"/>
  <c r="BL63" i="1"/>
  <c r="BK63" i="1"/>
  <c r="BJ63" i="1"/>
  <c r="BI63" i="1"/>
  <c r="BH63" i="1"/>
  <c r="BG63" i="1"/>
  <c r="BF63" i="1"/>
  <c r="BE63" i="1"/>
  <c r="BD63" i="1"/>
  <c r="BC63" i="1"/>
  <c r="BB63" i="1"/>
  <c r="BA63" i="1"/>
  <c r="AZ63" i="1"/>
  <c r="AY63" i="1"/>
  <c r="AX63" i="1"/>
  <c r="AW63" i="1"/>
  <c r="AV63" i="1"/>
  <c r="AU63" i="1"/>
  <c r="AT63" i="1"/>
  <c r="AS63" i="1"/>
  <c r="AR63" i="1"/>
  <c r="AQ63" i="1"/>
  <c r="AP63" i="1"/>
  <c r="AO63" i="1"/>
  <c r="AN63" i="1"/>
  <c r="AM63" i="1"/>
  <c r="AL63" i="1"/>
  <c r="AK63" i="1"/>
  <c r="AJ63" i="1"/>
  <c r="AI63" i="1"/>
  <c r="AH63" i="1"/>
  <c r="AG63" i="1"/>
  <c r="AF63" i="1"/>
  <c r="AE63" i="1"/>
  <c r="AD63" i="1"/>
  <c r="AC63" i="1"/>
  <c r="AB63" i="1"/>
  <c r="AA63" i="1"/>
  <c r="Z63" i="1"/>
  <c r="Y63" i="1"/>
  <c r="X63" i="1"/>
  <c r="W63" i="1"/>
  <c r="V63" i="1"/>
  <c r="U63" i="1"/>
  <c r="T63" i="1"/>
  <c r="S63" i="1"/>
  <c r="R63" i="1"/>
  <c r="Q63" i="1"/>
  <c r="P63" i="1"/>
  <c r="O63" i="1"/>
  <c r="N63" i="1"/>
  <c r="M63" i="1"/>
  <c r="L63" i="1"/>
  <c r="K63" i="1"/>
  <c r="J63" i="1"/>
  <c r="I63" i="1"/>
  <c r="H63" i="1"/>
  <c r="G63" i="1"/>
  <c r="F63" i="1"/>
  <c r="E63" i="1"/>
  <c r="D63" i="1"/>
  <c r="C63" i="1"/>
  <c r="B63" i="1"/>
  <c r="CK61" i="1"/>
  <c r="CJ61" i="1"/>
  <c r="CI61" i="1"/>
  <c r="CH61" i="1"/>
  <c r="CG61" i="1"/>
  <c r="CF61" i="1"/>
  <c r="CE61" i="1"/>
  <c r="CD61" i="1"/>
  <c r="CC61" i="1"/>
  <c r="CB61" i="1"/>
  <c r="CA61" i="1"/>
  <c r="BZ61" i="1"/>
  <c r="BY61" i="1"/>
  <c r="BX61" i="1"/>
  <c r="BW61" i="1"/>
  <c r="BV61" i="1"/>
  <c r="BU61" i="1"/>
  <c r="BT61" i="1"/>
  <c r="BS61" i="1"/>
  <c r="BR61" i="1"/>
  <c r="BQ61" i="1"/>
  <c r="BP61" i="1"/>
  <c r="BO61" i="1"/>
  <c r="BN61" i="1"/>
  <c r="BM61" i="1"/>
  <c r="BL61" i="1"/>
  <c r="BK61" i="1"/>
  <c r="BJ61" i="1"/>
  <c r="BI61" i="1"/>
  <c r="BH61" i="1"/>
  <c r="BG61" i="1"/>
  <c r="BF61" i="1"/>
  <c r="BE61" i="1"/>
  <c r="BD61" i="1"/>
  <c r="BC61" i="1"/>
  <c r="BB61" i="1"/>
  <c r="BA61" i="1"/>
  <c r="AZ61" i="1"/>
  <c r="AY61" i="1"/>
  <c r="AX61" i="1"/>
  <c r="AW61" i="1"/>
  <c r="AV61" i="1"/>
  <c r="AU61" i="1"/>
  <c r="AT61" i="1"/>
  <c r="AS61" i="1"/>
  <c r="AR61" i="1"/>
  <c r="AQ61" i="1"/>
  <c r="AP61" i="1"/>
  <c r="AO61" i="1"/>
  <c r="AN61" i="1"/>
  <c r="AM61" i="1"/>
  <c r="AL61" i="1"/>
  <c r="AK61" i="1"/>
  <c r="AJ61" i="1"/>
  <c r="AI61" i="1"/>
  <c r="AH61" i="1"/>
  <c r="AG61" i="1"/>
  <c r="AF61" i="1"/>
  <c r="AE61" i="1"/>
  <c r="AD61" i="1"/>
  <c r="AC61" i="1"/>
  <c r="AB61" i="1"/>
  <c r="AA61" i="1"/>
  <c r="Z61" i="1"/>
  <c r="Y61" i="1"/>
  <c r="X61" i="1"/>
  <c r="W61" i="1"/>
  <c r="V61" i="1"/>
  <c r="U61" i="1"/>
  <c r="T61" i="1"/>
  <c r="S61" i="1"/>
  <c r="R61" i="1"/>
  <c r="Q61" i="1"/>
  <c r="P61" i="1"/>
  <c r="O61" i="1"/>
  <c r="N61" i="1"/>
  <c r="M61" i="1"/>
  <c r="L61" i="1"/>
  <c r="K61" i="1"/>
  <c r="J61" i="1"/>
  <c r="I61" i="1"/>
  <c r="H61" i="1"/>
  <c r="G61" i="1"/>
  <c r="F61" i="1"/>
  <c r="E61" i="1"/>
  <c r="D61" i="1"/>
  <c r="C61" i="1"/>
  <c r="B61" i="1"/>
  <c r="CK60" i="1"/>
  <c r="CJ60" i="1"/>
  <c r="CI60" i="1"/>
  <c r="CH60" i="1"/>
  <c r="CG60" i="1"/>
  <c r="CF60" i="1"/>
  <c r="CE60" i="1"/>
  <c r="CD60" i="1"/>
  <c r="CC60" i="1"/>
  <c r="CB60" i="1"/>
  <c r="CA60" i="1"/>
  <c r="BZ60" i="1"/>
  <c r="BY60" i="1"/>
  <c r="BX60" i="1"/>
  <c r="BW60" i="1"/>
  <c r="BV60" i="1"/>
  <c r="BU60" i="1"/>
  <c r="BT60" i="1"/>
  <c r="BS60" i="1"/>
  <c r="BR60" i="1"/>
  <c r="BQ60" i="1"/>
  <c r="BP60" i="1"/>
  <c r="BO60" i="1"/>
  <c r="BN60" i="1"/>
  <c r="BM60" i="1"/>
  <c r="BL60" i="1"/>
  <c r="BK60" i="1"/>
  <c r="BJ60" i="1"/>
  <c r="BI60" i="1"/>
  <c r="BH60" i="1"/>
  <c r="BG60" i="1"/>
  <c r="BF60" i="1"/>
  <c r="BE60" i="1"/>
  <c r="BD60" i="1"/>
  <c r="BC60" i="1"/>
  <c r="BB60" i="1"/>
  <c r="BA60" i="1"/>
  <c r="AZ60" i="1"/>
  <c r="AY60" i="1"/>
  <c r="AX60" i="1"/>
  <c r="AW60" i="1"/>
  <c r="AV60" i="1"/>
  <c r="AU60" i="1"/>
  <c r="AT60" i="1"/>
  <c r="AS60" i="1"/>
  <c r="AR60" i="1"/>
  <c r="AQ60" i="1"/>
  <c r="AP60" i="1"/>
  <c r="AO60" i="1"/>
  <c r="AN60" i="1"/>
  <c r="AM60" i="1"/>
  <c r="AL60" i="1"/>
  <c r="AK60" i="1"/>
  <c r="AJ60" i="1"/>
  <c r="AI60" i="1"/>
  <c r="AH60" i="1"/>
  <c r="AG60" i="1"/>
  <c r="AF60" i="1"/>
  <c r="AE60" i="1"/>
  <c r="AD60" i="1"/>
  <c r="AC60" i="1"/>
  <c r="AB60" i="1"/>
  <c r="AA60" i="1"/>
  <c r="Z60" i="1"/>
  <c r="Y60" i="1"/>
  <c r="X60" i="1"/>
  <c r="W60" i="1"/>
  <c r="V60" i="1"/>
  <c r="U60" i="1"/>
  <c r="T60" i="1"/>
  <c r="S60" i="1"/>
  <c r="R60" i="1"/>
  <c r="Q60" i="1"/>
  <c r="P60" i="1"/>
  <c r="O60" i="1"/>
  <c r="N60" i="1"/>
  <c r="M60" i="1"/>
  <c r="L60" i="1"/>
  <c r="K60" i="1"/>
  <c r="J60" i="1"/>
  <c r="I60" i="1"/>
  <c r="H60" i="1"/>
  <c r="G60" i="1"/>
  <c r="F60" i="1"/>
  <c r="E60" i="1"/>
  <c r="D60" i="1"/>
  <c r="C60" i="1"/>
  <c r="B60" i="1"/>
  <c r="A60" i="1"/>
  <c r="A71" i="1"/>
  <c r="A70" i="1"/>
  <c r="A69" i="1"/>
  <c r="A68" i="1"/>
  <c r="A67" i="1"/>
  <c r="A66" i="1"/>
  <c r="A65" i="1"/>
  <c r="A64" i="1"/>
  <c r="A63" i="1"/>
  <c r="A62" i="1"/>
  <c r="A61" i="1"/>
  <c r="DA37" i="1"/>
  <c r="DA94" i="1" s="1"/>
  <c r="CZ37" i="1"/>
  <c r="CZ94" i="1" s="1"/>
  <c r="CY37" i="1"/>
  <c r="CY94" i="1" s="1"/>
  <c r="CX37" i="1"/>
  <c r="CX58" i="1" s="1"/>
  <c r="CW37" i="1"/>
  <c r="CW115" i="1" s="1"/>
  <c r="CV37" i="1"/>
  <c r="CV58" i="1" s="1"/>
  <c r="CU37" i="1"/>
  <c r="CU94" i="1" s="1"/>
  <c r="CT37" i="1"/>
  <c r="CT94" i="1" s="1"/>
  <c r="CS37" i="1"/>
  <c r="CS94" i="1" s="1"/>
  <c r="CR37" i="1"/>
  <c r="CR115" i="1" s="1"/>
  <c r="CQ37" i="1"/>
  <c r="CQ115" i="1" s="1"/>
  <c r="CP37" i="1"/>
  <c r="CP58" i="1" s="1"/>
  <c r="CO37" i="1"/>
  <c r="CO94" i="1" s="1"/>
  <c r="CN37" i="1"/>
  <c r="CN94" i="1" s="1"/>
  <c r="CM37" i="1"/>
  <c r="CM94" i="1" s="1"/>
  <c r="CL37" i="1"/>
  <c r="CL58" i="1" s="1"/>
  <c r="CK37" i="1"/>
  <c r="CK115" i="1" s="1"/>
  <c r="CJ37" i="1"/>
  <c r="CJ58" i="1" s="1"/>
  <c r="CI37" i="1"/>
  <c r="CI94" i="1" s="1"/>
  <c r="CH37" i="1"/>
  <c r="CH94" i="1" s="1"/>
  <c r="CG37" i="1"/>
  <c r="CG94" i="1" s="1"/>
  <c r="CF37" i="1"/>
  <c r="CF94" i="1" s="1"/>
  <c r="CE37" i="1"/>
  <c r="CE115" i="1" s="1"/>
  <c r="CD37" i="1"/>
  <c r="CD58" i="1" s="1"/>
  <c r="CC37" i="1"/>
  <c r="CC94" i="1" s="1"/>
  <c r="CB37" i="1"/>
  <c r="CB94" i="1" s="1"/>
  <c r="CA37" i="1"/>
  <c r="CA94" i="1" s="1"/>
  <c r="BZ37" i="1"/>
  <c r="BZ58" i="1" s="1"/>
  <c r="BY37" i="1"/>
  <c r="BY115" i="1" s="1"/>
  <c r="BX37" i="1"/>
  <c r="BX58" i="1" s="1"/>
  <c r="BW37" i="1"/>
  <c r="BW94" i="1" s="1"/>
  <c r="BV37" i="1"/>
  <c r="BV94" i="1" s="1"/>
  <c r="BU37" i="1"/>
  <c r="BU94" i="1" s="1"/>
  <c r="BT37" i="1"/>
  <c r="BT58" i="1" s="1"/>
  <c r="BS37" i="1"/>
  <c r="BS115" i="1" s="1"/>
  <c r="BR37" i="1"/>
  <c r="BR58" i="1" s="1"/>
  <c r="BQ37" i="1"/>
  <c r="BQ94" i="1" s="1"/>
  <c r="BP37" i="1"/>
  <c r="BP94" i="1" s="1"/>
  <c r="BO37" i="1"/>
  <c r="BO94" i="1" s="1"/>
  <c r="BN37" i="1"/>
  <c r="BN58" i="1" s="1"/>
  <c r="BM37" i="1"/>
  <c r="BM115" i="1" s="1"/>
  <c r="BL37" i="1"/>
  <c r="BL58" i="1" s="1"/>
  <c r="BK37" i="1"/>
  <c r="BK94" i="1" s="1"/>
  <c r="BJ37" i="1"/>
  <c r="BJ94" i="1" s="1"/>
  <c r="BI37" i="1"/>
  <c r="BI94" i="1" s="1"/>
  <c r="BH37" i="1"/>
  <c r="BH58" i="1" s="1"/>
  <c r="BG37" i="1"/>
  <c r="BG115" i="1" s="1"/>
  <c r="BF37" i="1"/>
  <c r="BF58" i="1" s="1"/>
  <c r="BE37" i="1"/>
  <c r="BE94" i="1" s="1"/>
  <c r="BD37" i="1"/>
  <c r="BD94" i="1" s="1"/>
  <c r="BC37" i="1"/>
  <c r="BC94" i="1" s="1"/>
  <c r="BB37" i="1"/>
  <c r="BB58" i="1" s="1"/>
  <c r="BA37" i="1"/>
  <c r="BA115" i="1" s="1"/>
  <c r="AZ37" i="1"/>
  <c r="AZ58" i="1" s="1"/>
  <c r="AY37" i="1"/>
  <c r="AY94" i="1" s="1"/>
  <c r="AX37" i="1"/>
  <c r="AX94" i="1" s="1"/>
  <c r="AW37" i="1"/>
  <c r="AW94" i="1" s="1"/>
  <c r="AV37" i="1"/>
  <c r="AV58" i="1" s="1"/>
  <c r="AU37" i="1"/>
  <c r="AU115" i="1" s="1"/>
  <c r="AT37" i="1"/>
  <c r="AT58" i="1" s="1"/>
  <c r="AS37" i="1"/>
  <c r="AS94" i="1" s="1"/>
  <c r="AR37" i="1"/>
  <c r="AR94" i="1" s="1"/>
  <c r="AQ37" i="1"/>
  <c r="AQ94" i="1" s="1"/>
  <c r="AP37" i="1"/>
  <c r="AP58" i="1" s="1"/>
  <c r="AO37" i="1"/>
  <c r="AO115" i="1" s="1"/>
  <c r="AN37" i="1"/>
  <c r="AN58" i="1" s="1"/>
  <c r="AM37" i="1"/>
  <c r="AM94" i="1" s="1"/>
  <c r="AL37" i="1"/>
  <c r="AL94" i="1" s="1"/>
  <c r="AK37" i="1"/>
  <c r="AK94" i="1" s="1"/>
  <c r="AJ37" i="1"/>
  <c r="AJ94" i="1" s="1"/>
  <c r="AI37" i="1"/>
  <c r="AI115" i="1" s="1"/>
  <c r="AH37" i="1"/>
  <c r="AH58" i="1" s="1"/>
  <c r="AG37" i="1"/>
  <c r="AG94" i="1" s="1"/>
  <c r="AF37" i="1"/>
  <c r="AF94" i="1" s="1"/>
  <c r="AE37" i="1"/>
  <c r="AE94" i="1" s="1"/>
  <c r="AD37" i="1"/>
  <c r="AD58" i="1" s="1"/>
  <c r="AC37" i="1"/>
  <c r="AC115" i="1" s="1"/>
  <c r="AB37" i="1"/>
  <c r="AB58" i="1" s="1"/>
  <c r="AA37" i="1"/>
  <c r="AA94" i="1" s="1"/>
  <c r="Z37" i="1"/>
  <c r="Z94" i="1" s="1"/>
  <c r="Y37" i="1"/>
  <c r="Y94" i="1" s="1"/>
  <c r="X37" i="1"/>
  <c r="X94" i="1" s="1"/>
  <c r="W37" i="1"/>
  <c r="W115" i="1" s="1"/>
  <c r="V37" i="1"/>
  <c r="V58" i="1" s="1"/>
  <c r="U37" i="1"/>
  <c r="U94" i="1" s="1"/>
  <c r="T37" i="1"/>
  <c r="T94" i="1" s="1"/>
  <c r="S37" i="1"/>
  <c r="S94" i="1" s="1"/>
  <c r="R37" i="1"/>
  <c r="R58" i="1" s="1"/>
  <c r="Q37" i="1"/>
  <c r="Q115" i="1" s="1"/>
  <c r="P37" i="1"/>
  <c r="P58" i="1" s="1"/>
  <c r="O37" i="1"/>
  <c r="O94" i="1" s="1"/>
  <c r="N37" i="1"/>
  <c r="N94" i="1" s="1"/>
  <c r="M37" i="1"/>
  <c r="M94" i="1" s="1"/>
  <c r="L37" i="1"/>
  <c r="L94" i="1" s="1"/>
  <c r="K37" i="1"/>
  <c r="K115" i="1" s="1"/>
  <c r="J37" i="1"/>
  <c r="J58" i="1" s="1"/>
  <c r="I37" i="1"/>
  <c r="I94" i="1" s="1"/>
  <c r="H37" i="1"/>
  <c r="H94" i="1" s="1"/>
  <c r="G37" i="1"/>
  <c r="G94" i="1" s="1"/>
  <c r="F37" i="1"/>
  <c r="F58" i="1" s="1"/>
  <c r="E37" i="1"/>
  <c r="E115" i="1" s="1"/>
  <c r="D37" i="1"/>
  <c r="D58" i="1" s="1"/>
  <c r="C37" i="1"/>
  <c r="C94" i="1" s="1"/>
  <c r="B37" i="1"/>
  <c r="B94" i="1" s="1"/>
  <c r="DA38" i="1"/>
  <c r="DA74" i="1" s="1"/>
  <c r="CW38" i="1"/>
  <c r="CW116" i="1" s="1"/>
  <c r="CO38" i="1"/>
  <c r="CO116" i="1" s="1"/>
  <c r="CM38" i="1"/>
  <c r="CM74" i="1" s="1"/>
  <c r="CL38" i="1"/>
  <c r="CL74" i="1" s="1"/>
  <c r="CK38" i="1"/>
  <c r="CK74" i="1" s="1"/>
  <c r="CJ38" i="1"/>
  <c r="CJ74" i="1" s="1"/>
  <c r="CI38" i="1"/>
  <c r="CI116" i="1" s="1"/>
  <c r="CH38" i="1"/>
  <c r="CH116" i="1" s="1"/>
  <c r="CG38" i="1"/>
  <c r="CG74" i="1" s="1"/>
  <c r="CF38" i="1"/>
  <c r="CF74" i="1" s="1"/>
  <c r="CE38" i="1"/>
  <c r="CE74" i="1" s="1"/>
  <c r="CD38" i="1"/>
  <c r="CD74" i="1" s="1"/>
  <c r="CC38" i="1"/>
  <c r="CC116" i="1" s="1"/>
  <c r="CB38" i="1"/>
  <c r="CB116" i="1" s="1"/>
  <c r="CA38" i="1"/>
  <c r="CA74" i="1" s="1"/>
  <c r="BZ38" i="1"/>
  <c r="BZ74" i="1" s="1"/>
  <c r="BY38" i="1"/>
  <c r="BY74" i="1" s="1"/>
  <c r="BX38" i="1"/>
  <c r="BX74" i="1" s="1"/>
  <c r="BW38" i="1"/>
  <c r="BW116" i="1" s="1"/>
  <c r="BV38" i="1"/>
  <c r="BV116" i="1" s="1"/>
  <c r="BU38" i="1"/>
  <c r="BU74" i="1" s="1"/>
  <c r="BT38" i="1"/>
  <c r="BT74" i="1" s="1"/>
  <c r="BS38" i="1"/>
  <c r="BS74" i="1" s="1"/>
  <c r="BR38" i="1"/>
  <c r="BR74" i="1" s="1"/>
  <c r="BQ38" i="1"/>
  <c r="BQ116" i="1" s="1"/>
  <c r="BP38" i="1"/>
  <c r="BP116" i="1" s="1"/>
  <c r="BO38" i="1"/>
  <c r="BO74" i="1" s="1"/>
  <c r="BN38" i="1"/>
  <c r="BN74" i="1" s="1"/>
  <c r="BM38" i="1"/>
  <c r="BM74" i="1" s="1"/>
  <c r="BL38" i="1"/>
  <c r="BL74" i="1" s="1"/>
  <c r="BK38" i="1"/>
  <c r="BK116" i="1" s="1"/>
  <c r="BJ38" i="1"/>
  <c r="BJ116" i="1" s="1"/>
  <c r="BI38" i="1"/>
  <c r="BI74" i="1" s="1"/>
  <c r="BH38" i="1"/>
  <c r="BH74" i="1" s="1"/>
  <c r="BG38" i="1"/>
  <c r="BG74" i="1" s="1"/>
  <c r="BF38" i="1"/>
  <c r="BF74" i="1" s="1"/>
  <c r="BE38" i="1"/>
  <c r="BE116" i="1" s="1"/>
  <c r="BD38" i="1"/>
  <c r="BD116" i="1" s="1"/>
  <c r="BC38" i="1"/>
  <c r="BC74" i="1" s="1"/>
  <c r="BB38" i="1"/>
  <c r="BB74" i="1" s="1"/>
  <c r="BA38" i="1"/>
  <c r="BA74" i="1" s="1"/>
  <c r="AZ38" i="1"/>
  <c r="AZ74" i="1" s="1"/>
  <c r="AY38" i="1"/>
  <c r="AY116" i="1" s="1"/>
  <c r="AX38" i="1"/>
  <c r="AX116" i="1" s="1"/>
  <c r="AW38" i="1"/>
  <c r="AW74" i="1" s="1"/>
  <c r="AV38" i="1"/>
  <c r="AV74" i="1" s="1"/>
  <c r="AU38" i="1"/>
  <c r="AU74" i="1" s="1"/>
  <c r="AT38" i="1"/>
  <c r="AT74" i="1" s="1"/>
  <c r="AS38" i="1"/>
  <c r="AS116" i="1" s="1"/>
  <c r="AR38" i="1"/>
  <c r="AR95" i="1" s="1"/>
  <c r="AQ38" i="1"/>
  <c r="AQ74" i="1" s="1"/>
  <c r="AP38" i="1"/>
  <c r="AP74" i="1" s="1"/>
  <c r="AO38" i="1"/>
  <c r="AO74" i="1" s="1"/>
  <c r="AN38" i="1"/>
  <c r="AN74" i="1" s="1"/>
  <c r="AM38" i="1"/>
  <c r="AM116" i="1" s="1"/>
  <c r="AL38" i="1"/>
  <c r="AL116" i="1" s="1"/>
  <c r="AK38" i="1"/>
  <c r="AK74" i="1" s="1"/>
  <c r="AJ38" i="1"/>
  <c r="AJ74" i="1" s="1"/>
  <c r="AI38" i="1"/>
  <c r="AI74" i="1" s="1"/>
  <c r="AH38" i="1"/>
  <c r="AH74" i="1" s="1"/>
  <c r="AG38" i="1"/>
  <c r="AG116" i="1" s="1"/>
  <c r="AF38" i="1"/>
  <c r="AF116" i="1" s="1"/>
  <c r="AE38" i="1"/>
  <c r="AE74" i="1" s="1"/>
  <c r="AD38" i="1"/>
  <c r="AD74" i="1" s="1"/>
  <c r="AC38" i="1"/>
  <c r="AC74" i="1" s="1"/>
  <c r="AB38" i="1"/>
  <c r="AB74" i="1" s="1"/>
  <c r="AA38" i="1"/>
  <c r="AA116" i="1" s="1"/>
  <c r="Z38" i="1"/>
  <c r="Z116" i="1" s="1"/>
  <c r="Y38" i="1"/>
  <c r="Y74" i="1" s="1"/>
  <c r="X38" i="1"/>
  <c r="X74" i="1" s="1"/>
  <c r="W38" i="1"/>
  <c r="W74" i="1" s="1"/>
  <c r="V38" i="1"/>
  <c r="V74" i="1" s="1"/>
  <c r="U38" i="1"/>
  <c r="U116" i="1" s="1"/>
  <c r="T38" i="1"/>
  <c r="T116" i="1" s="1"/>
  <c r="S38" i="1"/>
  <c r="S74" i="1" s="1"/>
  <c r="R38" i="1"/>
  <c r="R74" i="1" s="1"/>
  <c r="Q38" i="1"/>
  <c r="Q74" i="1" s="1"/>
  <c r="P38" i="1"/>
  <c r="P95" i="1" s="1"/>
  <c r="O38" i="1"/>
  <c r="O116" i="1" s="1"/>
  <c r="N38" i="1"/>
  <c r="N116" i="1" s="1"/>
  <c r="M38" i="1"/>
  <c r="M74" i="1" s="1"/>
  <c r="L38" i="1"/>
  <c r="L74" i="1" s="1"/>
  <c r="K38" i="1"/>
  <c r="K74" i="1" s="1"/>
  <c r="J38" i="1"/>
  <c r="J74" i="1" s="1"/>
  <c r="I38" i="1"/>
  <c r="I116" i="1" s="1"/>
  <c r="H38" i="1"/>
  <c r="H116" i="1" s="1"/>
  <c r="G38" i="1"/>
  <c r="G74" i="1" s="1"/>
  <c r="F38" i="1"/>
  <c r="F74" i="1" s="1"/>
  <c r="E38" i="1"/>
  <c r="E95" i="1" s="1"/>
  <c r="D38" i="1"/>
  <c r="D59" i="1" s="1"/>
  <c r="C38" i="1"/>
  <c r="C116" i="1" s="1"/>
  <c r="B38" i="1"/>
  <c r="B116" i="1" s="1"/>
  <c r="FO38" i="1"/>
  <c r="FO59" i="1" s="1"/>
  <c r="FN38" i="1"/>
  <c r="FN59" i="1" s="1"/>
  <c r="FM38" i="1"/>
  <c r="FM95" i="1" s="1"/>
  <c r="FL38" i="1"/>
  <c r="FL95" i="1" s="1"/>
  <c r="FK38" i="1"/>
  <c r="FK95" i="1" s="1"/>
  <c r="FJ38" i="1"/>
  <c r="FJ59" i="1" s="1"/>
  <c r="FI38" i="1"/>
  <c r="FI59" i="1" s="1"/>
  <c r="FH38" i="1"/>
  <c r="FG38" i="1"/>
  <c r="FG95" i="1" s="1"/>
  <c r="FF38" i="1"/>
  <c r="FF95" i="1" s="1"/>
  <c r="FE38" i="1"/>
  <c r="FE95" i="1" s="1"/>
  <c r="FD38" i="1"/>
  <c r="FD59" i="1" s="1"/>
  <c r="FC38" i="1"/>
  <c r="FC59" i="1" s="1"/>
  <c r="FB38" i="1"/>
  <c r="FA38" i="1"/>
  <c r="FA95" i="1" s="1"/>
  <c r="EZ38" i="1"/>
  <c r="EZ95" i="1" s="1"/>
  <c r="EY38" i="1"/>
  <c r="EY95" i="1" s="1"/>
  <c r="EX38" i="1"/>
  <c r="EX59" i="1" s="1"/>
  <c r="EW38" i="1"/>
  <c r="EW59" i="1" s="1"/>
  <c r="EV38" i="1"/>
  <c r="EU38" i="1"/>
  <c r="EU95" i="1" s="1"/>
  <c r="ET38" i="1"/>
  <c r="ET95" i="1" s="1"/>
  <c r="ES38" i="1"/>
  <c r="ES95" i="1" s="1"/>
  <c r="ER38" i="1"/>
  <c r="EQ38" i="1"/>
  <c r="EQ59" i="1" s="1"/>
  <c r="EP38" i="1"/>
  <c r="EO38" i="1"/>
  <c r="EO95" i="1" s="1"/>
  <c r="EN38" i="1"/>
  <c r="EN95" i="1" s="1"/>
  <c r="EM38" i="1"/>
  <c r="EM95" i="1" s="1"/>
  <c r="GW38" i="1"/>
  <c r="GW59" i="1" s="1"/>
  <c r="GV38" i="1"/>
  <c r="GV59" i="1" s="1"/>
  <c r="GU38" i="1"/>
  <c r="GU59" i="1" s="1"/>
  <c r="GT38" i="1"/>
  <c r="GT95" i="1" s="1"/>
  <c r="GS38" i="1"/>
  <c r="GS95" i="1" s="1"/>
  <c r="GR38" i="1"/>
  <c r="GR95" i="1" s="1"/>
  <c r="GQ38" i="1"/>
  <c r="GX38" i="1"/>
  <c r="GX95" i="1" s="1"/>
  <c r="A53" i="1"/>
  <c r="A54" i="1"/>
  <c r="DD56" i="1"/>
  <c r="DC56" i="1"/>
  <c r="DB56" i="1"/>
  <c r="DA56" i="1"/>
  <c r="DD55" i="1"/>
  <c r="DC55" i="1"/>
  <c r="DB55" i="1"/>
  <c r="DA55" i="1"/>
  <c r="DD43" i="1"/>
  <c r="DC43" i="1"/>
  <c r="DB43" i="1"/>
  <c r="DA43" i="1"/>
  <c r="CZ43" i="1"/>
  <c r="CY43" i="1"/>
  <c r="CX43" i="1"/>
  <c r="CW43" i="1"/>
  <c r="CV43" i="1"/>
  <c r="CU43" i="1"/>
  <c r="CT43" i="1"/>
  <c r="CS43" i="1"/>
  <c r="CR43" i="1"/>
  <c r="CQ43" i="1"/>
  <c r="CP43" i="1"/>
  <c r="CO43" i="1"/>
  <c r="CN43" i="1"/>
  <c r="CM43" i="1"/>
  <c r="CL43" i="1"/>
  <c r="CK43" i="1"/>
  <c r="CJ43" i="1"/>
  <c r="CI43" i="1"/>
  <c r="CH43" i="1"/>
  <c r="CG43" i="1"/>
  <c r="CF43" i="1"/>
  <c r="CE43" i="1"/>
  <c r="CD43" i="1"/>
  <c r="CC43" i="1"/>
  <c r="CB43" i="1"/>
  <c r="CA43" i="1"/>
  <c r="BZ43" i="1"/>
  <c r="BY43" i="1"/>
  <c r="BX43" i="1"/>
  <c r="BW43" i="1"/>
  <c r="BV43" i="1"/>
  <c r="BU43" i="1"/>
  <c r="BT43" i="1"/>
  <c r="BS43" i="1"/>
  <c r="BR43" i="1"/>
  <c r="BQ43" i="1"/>
  <c r="BP43" i="1"/>
  <c r="BO43" i="1"/>
  <c r="BN43" i="1"/>
  <c r="BM43" i="1"/>
  <c r="BL43" i="1"/>
  <c r="BK43" i="1"/>
  <c r="BJ43" i="1"/>
  <c r="BI43" i="1"/>
  <c r="BH43" i="1"/>
  <c r="BG43" i="1"/>
  <c r="BF43" i="1"/>
  <c r="BE43" i="1"/>
  <c r="BD43" i="1"/>
  <c r="BC43" i="1"/>
  <c r="BB43" i="1"/>
  <c r="BA43" i="1"/>
  <c r="AZ43" i="1"/>
  <c r="AY43" i="1"/>
  <c r="AX43" i="1"/>
  <c r="AW43" i="1"/>
  <c r="AV43" i="1"/>
  <c r="AU43" i="1"/>
  <c r="AT43" i="1"/>
  <c r="AS43" i="1"/>
  <c r="AR43" i="1"/>
  <c r="AQ43" i="1"/>
  <c r="AP43" i="1"/>
  <c r="AO43" i="1"/>
  <c r="AN43" i="1"/>
  <c r="AM43" i="1"/>
  <c r="AL43" i="1"/>
  <c r="AK43" i="1"/>
  <c r="AJ43" i="1"/>
  <c r="AI43" i="1"/>
  <c r="AH43" i="1"/>
  <c r="AG43" i="1"/>
  <c r="AF43" i="1"/>
  <c r="AE43" i="1"/>
  <c r="AD43" i="1"/>
  <c r="AC43" i="1"/>
  <c r="AB43" i="1"/>
  <c r="AA43" i="1"/>
  <c r="Z43" i="1"/>
  <c r="Y43" i="1"/>
  <c r="X43" i="1"/>
  <c r="W43" i="1"/>
  <c r="V43" i="1"/>
  <c r="U43" i="1"/>
  <c r="T43" i="1"/>
  <c r="S43" i="1"/>
  <c r="R43" i="1"/>
  <c r="Q43" i="1"/>
  <c r="P43" i="1"/>
  <c r="O43" i="1"/>
  <c r="N43" i="1"/>
  <c r="M43" i="1"/>
  <c r="L43" i="1"/>
  <c r="K43" i="1"/>
  <c r="J43" i="1"/>
  <c r="I43" i="1"/>
  <c r="H43" i="1"/>
  <c r="G43" i="1"/>
  <c r="F43" i="1"/>
  <c r="DD42" i="1"/>
  <c r="DC42" i="1"/>
  <c r="DB42" i="1"/>
  <c r="DA42" i="1"/>
  <c r="CZ42" i="1"/>
  <c r="CY42" i="1"/>
  <c r="CX42" i="1"/>
  <c r="CW42" i="1"/>
  <c r="CV42" i="1"/>
  <c r="CU42" i="1"/>
  <c r="CT42" i="1"/>
  <c r="CS42" i="1"/>
  <c r="CR42" i="1"/>
  <c r="CQ42" i="1"/>
  <c r="CP42" i="1"/>
  <c r="CO42" i="1"/>
  <c r="CN42" i="1"/>
  <c r="CM42" i="1"/>
  <c r="CL42" i="1"/>
  <c r="CK42" i="1"/>
  <c r="CJ42" i="1"/>
  <c r="CI42" i="1"/>
  <c r="CH42" i="1"/>
  <c r="CG42" i="1"/>
  <c r="CF42" i="1"/>
  <c r="CE42" i="1"/>
  <c r="CD42" i="1"/>
  <c r="CC42" i="1"/>
  <c r="CB42" i="1"/>
  <c r="CA42" i="1"/>
  <c r="BZ42" i="1"/>
  <c r="BY42" i="1"/>
  <c r="BX42" i="1"/>
  <c r="BW42" i="1"/>
  <c r="BV42" i="1"/>
  <c r="BU42" i="1"/>
  <c r="BT42" i="1"/>
  <c r="BS42" i="1"/>
  <c r="BR42" i="1"/>
  <c r="BQ42" i="1"/>
  <c r="BP42" i="1"/>
  <c r="BO42" i="1"/>
  <c r="BN42" i="1"/>
  <c r="BM42" i="1"/>
  <c r="BL42" i="1"/>
  <c r="BK42" i="1"/>
  <c r="BJ42" i="1"/>
  <c r="BI42" i="1"/>
  <c r="BH42" i="1"/>
  <c r="BG42" i="1"/>
  <c r="BF42" i="1"/>
  <c r="BE42" i="1"/>
  <c r="BD42" i="1"/>
  <c r="BC42" i="1"/>
  <c r="BB42" i="1"/>
  <c r="BA42" i="1"/>
  <c r="AZ42" i="1"/>
  <c r="AY42" i="1"/>
  <c r="AX42" i="1"/>
  <c r="AW42" i="1"/>
  <c r="AV42" i="1"/>
  <c r="AU42" i="1"/>
  <c r="AT42" i="1"/>
  <c r="AS42" i="1"/>
  <c r="AR42" i="1"/>
  <c r="AQ42" i="1"/>
  <c r="AP42" i="1"/>
  <c r="AO42" i="1"/>
  <c r="AN42" i="1"/>
  <c r="AM42" i="1"/>
  <c r="AL42" i="1"/>
  <c r="AK42" i="1"/>
  <c r="AJ42" i="1"/>
  <c r="AI42" i="1"/>
  <c r="AH42" i="1"/>
  <c r="AG42" i="1"/>
  <c r="AF42" i="1"/>
  <c r="AE42" i="1"/>
  <c r="AD42" i="1"/>
  <c r="AC42" i="1"/>
  <c r="AB42" i="1"/>
  <c r="AA42" i="1"/>
  <c r="Z42" i="1"/>
  <c r="Y42" i="1"/>
  <c r="X42" i="1"/>
  <c r="W42" i="1"/>
  <c r="V42" i="1"/>
  <c r="U42" i="1"/>
  <c r="T42" i="1"/>
  <c r="S42" i="1"/>
  <c r="R42" i="1"/>
  <c r="Q42" i="1"/>
  <c r="P42" i="1"/>
  <c r="O42" i="1"/>
  <c r="N42" i="1"/>
  <c r="M42" i="1"/>
  <c r="L42" i="1"/>
  <c r="K42" i="1"/>
  <c r="J42" i="1"/>
  <c r="I42" i="1"/>
  <c r="H42" i="1"/>
  <c r="G42" i="1"/>
  <c r="F42" i="1"/>
  <c r="DD40" i="1"/>
  <c r="DC40" i="1"/>
  <c r="DB40" i="1"/>
  <c r="DA40" i="1"/>
  <c r="CZ40" i="1"/>
  <c r="CY40" i="1"/>
  <c r="CX40" i="1"/>
  <c r="CW40" i="1"/>
  <c r="CV40" i="1"/>
  <c r="CU40" i="1"/>
  <c r="CT40" i="1"/>
  <c r="CS40" i="1"/>
  <c r="CR40" i="1"/>
  <c r="CQ40" i="1"/>
  <c r="CP40" i="1"/>
  <c r="CO40" i="1"/>
  <c r="CN40" i="1"/>
  <c r="CM40" i="1"/>
  <c r="CL40" i="1"/>
  <c r="CK40" i="1"/>
  <c r="CJ40" i="1"/>
  <c r="CI40" i="1"/>
  <c r="CH40" i="1"/>
  <c r="CG40" i="1"/>
  <c r="CF40" i="1"/>
  <c r="CE40" i="1"/>
  <c r="CD40" i="1"/>
  <c r="CC40" i="1"/>
  <c r="CB40" i="1"/>
  <c r="CA40" i="1"/>
  <c r="BZ40" i="1"/>
  <c r="BY40" i="1"/>
  <c r="BX40" i="1"/>
  <c r="BW40" i="1"/>
  <c r="BV40" i="1"/>
  <c r="BU40" i="1"/>
  <c r="BT40" i="1"/>
  <c r="BS40" i="1"/>
  <c r="BR40" i="1"/>
  <c r="BQ40" i="1"/>
  <c r="BP40" i="1"/>
  <c r="BO40" i="1"/>
  <c r="BN40" i="1"/>
  <c r="BM40" i="1"/>
  <c r="BL40" i="1"/>
  <c r="BK40" i="1"/>
  <c r="BJ40" i="1"/>
  <c r="BI40" i="1"/>
  <c r="BH40" i="1"/>
  <c r="BG40" i="1"/>
  <c r="BF40" i="1"/>
  <c r="BE40" i="1"/>
  <c r="BD40" i="1"/>
  <c r="BC40" i="1"/>
  <c r="BB40" i="1"/>
  <c r="BA40" i="1"/>
  <c r="AZ40" i="1"/>
  <c r="AY40" i="1"/>
  <c r="AX40" i="1"/>
  <c r="AW40" i="1"/>
  <c r="AV40" i="1"/>
  <c r="AU40" i="1"/>
  <c r="AT40" i="1"/>
  <c r="AS40" i="1"/>
  <c r="AR40" i="1"/>
  <c r="AQ40" i="1"/>
  <c r="AP40" i="1"/>
  <c r="AO40" i="1"/>
  <c r="AN40" i="1"/>
  <c r="AM40" i="1"/>
  <c r="AL40" i="1"/>
  <c r="AK40" i="1"/>
  <c r="AJ40" i="1"/>
  <c r="AI40" i="1"/>
  <c r="AH40" i="1"/>
  <c r="AG40" i="1"/>
  <c r="AF40" i="1"/>
  <c r="AE40" i="1"/>
  <c r="AD40" i="1"/>
  <c r="AC40" i="1"/>
  <c r="AB40" i="1"/>
  <c r="AA40" i="1"/>
  <c r="Z40" i="1"/>
  <c r="Y40" i="1"/>
  <c r="X40" i="1"/>
  <c r="W40" i="1"/>
  <c r="V40" i="1"/>
  <c r="U40" i="1"/>
  <c r="T40" i="1"/>
  <c r="S40" i="1"/>
  <c r="R40" i="1"/>
  <c r="Q40" i="1"/>
  <c r="P40" i="1"/>
  <c r="O40" i="1"/>
  <c r="N40" i="1"/>
  <c r="M40" i="1"/>
  <c r="L40" i="1"/>
  <c r="K40" i="1"/>
  <c r="J40" i="1"/>
  <c r="I40" i="1"/>
  <c r="H40" i="1"/>
  <c r="G40" i="1"/>
  <c r="F40" i="1"/>
  <c r="CK39" i="1"/>
  <c r="CJ39" i="1"/>
  <c r="CI39" i="1"/>
  <c r="CH39" i="1"/>
  <c r="CG39" i="1"/>
  <c r="CF39" i="1"/>
  <c r="CE39" i="1"/>
  <c r="CD39" i="1"/>
  <c r="CC39" i="1"/>
  <c r="CB39" i="1"/>
  <c r="CA39" i="1"/>
  <c r="BZ39" i="1"/>
  <c r="BY39" i="1"/>
  <c r="BX39" i="1"/>
  <c r="BW39" i="1"/>
  <c r="BV39" i="1"/>
  <c r="BU39" i="1"/>
  <c r="BT39" i="1"/>
  <c r="BS39" i="1"/>
  <c r="BR39" i="1"/>
  <c r="BQ39" i="1"/>
  <c r="BP39" i="1"/>
  <c r="BO39" i="1"/>
  <c r="BN39" i="1"/>
  <c r="BM39" i="1"/>
  <c r="BL39" i="1"/>
  <c r="BK39" i="1"/>
  <c r="BJ39" i="1"/>
  <c r="BI39" i="1"/>
  <c r="BH39" i="1"/>
  <c r="BG39" i="1"/>
  <c r="BF39" i="1"/>
  <c r="BE39" i="1"/>
  <c r="BD39" i="1"/>
  <c r="BC39" i="1"/>
  <c r="BB39" i="1"/>
  <c r="BA39" i="1"/>
  <c r="AZ39" i="1"/>
  <c r="AY39" i="1"/>
  <c r="AX39" i="1"/>
  <c r="AW39" i="1"/>
  <c r="AV39" i="1"/>
  <c r="AU39" i="1"/>
  <c r="AT39" i="1"/>
  <c r="AS39" i="1"/>
  <c r="AR39" i="1"/>
  <c r="AQ39" i="1"/>
  <c r="AP39" i="1"/>
  <c r="AO39" i="1"/>
  <c r="AN39" i="1"/>
  <c r="AM39" i="1"/>
  <c r="AL39" i="1"/>
  <c r="AK39" i="1"/>
  <c r="AJ39" i="1"/>
  <c r="AI39" i="1"/>
  <c r="AH39" i="1"/>
  <c r="AG39" i="1"/>
  <c r="AF39" i="1"/>
  <c r="AE39" i="1"/>
  <c r="AD39" i="1"/>
  <c r="AC39" i="1"/>
  <c r="AB39" i="1"/>
  <c r="AA39" i="1"/>
  <c r="Z39" i="1"/>
  <c r="Y39" i="1"/>
  <c r="X39" i="1"/>
  <c r="W39" i="1"/>
  <c r="V39" i="1"/>
  <c r="U39" i="1"/>
  <c r="T39" i="1"/>
  <c r="S39" i="1"/>
  <c r="R39" i="1"/>
  <c r="Q39" i="1"/>
  <c r="P39" i="1"/>
  <c r="O39" i="1"/>
  <c r="N39" i="1"/>
  <c r="M39" i="1"/>
  <c r="L39" i="1"/>
  <c r="K39" i="1"/>
  <c r="J39" i="1"/>
  <c r="I39" i="1"/>
  <c r="H39" i="1"/>
  <c r="G39" i="1"/>
  <c r="F39" i="1"/>
  <c r="A56" i="1"/>
  <c r="A55" i="1"/>
  <c r="A52" i="1"/>
  <c r="A48" i="1"/>
  <c r="A49" i="1"/>
  <c r="A50" i="1"/>
  <c r="A51" i="1"/>
  <c r="A47" i="1"/>
  <c r="A46" i="1"/>
  <c r="A45" i="1"/>
  <c r="A44" i="1"/>
  <c r="A43" i="1"/>
  <c r="A42" i="1"/>
  <c r="A41" i="1"/>
  <c r="A40" i="1"/>
  <c r="A39" i="1"/>
  <c r="FN131" i="1" l="1"/>
  <c r="FP131" i="1"/>
  <c r="DP80" i="113"/>
  <c r="DP79" i="113"/>
  <c r="DP78" i="113"/>
  <c r="DP75" i="113"/>
  <c r="DP11" i="113" s="1"/>
  <c r="DP37" i="113" s="1"/>
  <c r="DT77" i="113"/>
  <c r="DP85" i="113"/>
  <c r="DQ79" i="113"/>
  <c r="DY77" i="113"/>
  <c r="DY75" i="113" s="1"/>
  <c r="DU85" i="113"/>
  <c r="DU75" i="113"/>
  <c r="DU11" i="113" s="1"/>
  <c r="DU80" i="113"/>
  <c r="GY75" i="113"/>
  <c r="GY76" i="113" s="1"/>
  <c r="GY11" i="113"/>
  <c r="GY37" i="113" s="1"/>
  <c r="DN24" i="113"/>
  <c r="FO24" i="113"/>
  <c r="DR79" i="113"/>
  <c r="DR80" i="113"/>
  <c r="DR85" i="113"/>
  <c r="DR75" i="113"/>
  <c r="DR11" i="113" s="1"/>
  <c r="DN37" i="113"/>
  <c r="DN52" i="113"/>
  <c r="DZ77" i="113"/>
  <c r="DV75" i="113"/>
  <c r="DV11" i="113" s="1"/>
  <c r="DV80" i="113"/>
  <c r="DV85" i="113"/>
  <c r="DV79" i="113"/>
  <c r="FO130" i="1"/>
  <c r="S216" i="30"/>
  <c r="S257" i="119"/>
  <c r="S190" i="30" s="1"/>
  <c r="N216" i="30"/>
  <c r="N257" i="119"/>
  <c r="N190" i="30" s="1"/>
  <c r="J216" i="30"/>
  <c r="J257" i="119"/>
  <c r="J190" i="30" s="1"/>
  <c r="P216" i="30"/>
  <c r="P257" i="119"/>
  <c r="P190" i="30" s="1"/>
  <c r="V216" i="30"/>
  <c r="V257" i="119"/>
  <c r="V190" i="30" s="1"/>
  <c r="G216" i="30"/>
  <c r="G257" i="119"/>
  <c r="G190" i="30" s="1"/>
  <c r="T216" i="30"/>
  <c r="T257" i="119"/>
  <c r="T190" i="30" s="1"/>
  <c r="I216" i="30"/>
  <c r="I257" i="119"/>
  <c r="I190" i="30" s="1"/>
  <c r="U216" i="30"/>
  <c r="U257" i="119"/>
  <c r="U190" i="30" s="1"/>
  <c r="K216" i="30"/>
  <c r="K257" i="119"/>
  <c r="K190" i="30" s="1"/>
  <c r="Q216" i="30"/>
  <c r="Q257" i="119"/>
  <c r="Q190" i="30" s="1"/>
  <c r="W216" i="30"/>
  <c r="W257" i="119"/>
  <c r="W190" i="30" s="1"/>
  <c r="M216" i="30"/>
  <c r="M257" i="119"/>
  <c r="M190" i="30" s="1"/>
  <c r="EK18" i="113"/>
  <c r="H216" i="30"/>
  <c r="H257" i="119"/>
  <c r="H190" i="30" s="1"/>
  <c r="O216" i="30"/>
  <c r="O257" i="119"/>
  <c r="O190" i="30" s="1"/>
  <c r="F216" i="30"/>
  <c r="F257" i="119"/>
  <c r="F190" i="30" s="1"/>
  <c r="L216" i="30"/>
  <c r="L257" i="119"/>
  <c r="L190" i="30" s="1"/>
  <c r="R216" i="30"/>
  <c r="R257" i="119"/>
  <c r="R190" i="30" s="1"/>
  <c r="BF116" i="1"/>
  <c r="BX116" i="1"/>
  <c r="DA116" i="1"/>
  <c r="BI115" i="1"/>
  <c r="BT115" i="1"/>
  <c r="BU115" i="1"/>
  <c r="Y115" i="1"/>
  <c r="CS115" i="1"/>
  <c r="AJ115" i="1"/>
  <c r="AK115" i="1"/>
  <c r="AV94" i="1"/>
  <c r="L115" i="1"/>
  <c r="AV115" i="1"/>
  <c r="CF115" i="1"/>
  <c r="D116" i="1"/>
  <c r="M115" i="1"/>
  <c r="AW115" i="1"/>
  <c r="CG115" i="1"/>
  <c r="V116" i="1"/>
  <c r="X115" i="1"/>
  <c r="BH115" i="1"/>
  <c r="AN116" i="1"/>
  <c r="BB95" i="1"/>
  <c r="C115" i="1"/>
  <c r="O115" i="1"/>
  <c r="AA115" i="1"/>
  <c r="AM115" i="1"/>
  <c r="AY115" i="1"/>
  <c r="BK115" i="1"/>
  <c r="BW115" i="1"/>
  <c r="CI115" i="1"/>
  <c r="CU115" i="1"/>
  <c r="J116" i="1"/>
  <c r="AB116" i="1"/>
  <c r="AT116" i="1"/>
  <c r="BL116" i="1"/>
  <c r="CD116" i="1"/>
  <c r="Y116" i="1"/>
  <c r="AQ116" i="1"/>
  <c r="BI116" i="1"/>
  <c r="CA116" i="1"/>
  <c r="F115" i="1"/>
  <c r="R115" i="1"/>
  <c r="AD115" i="1"/>
  <c r="AP115" i="1"/>
  <c r="BB115" i="1"/>
  <c r="BN115" i="1"/>
  <c r="BZ115" i="1"/>
  <c r="CL115" i="1"/>
  <c r="CX115" i="1"/>
  <c r="M116" i="1"/>
  <c r="AE116" i="1"/>
  <c r="AW116" i="1"/>
  <c r="BO116" i="1"/>
  <c r="CG116" i="1"/>
  <c r="G115" i="1"/>
  <c r="S115" i="1"/>
  <c r="AE115" i="1"/>
  <c r="AQ115" i="1"/>
  <c r="BC115" i="1"/>
  <c r="BO115" i="1"/>
  <c r="CA115" i="1"/>
  <c r="CM115" i="1"/>
  <c r="CY115" i="1"/>
  <c r="P116" i="1"/>
  <c r="AH116" i="1"/>
  <c r="AZ116" i="1"/>
  <c r="BR116" i="1"/>
  <c r="CJ116" i="1"/>
  <c r="CV94" i="1"/>
  <c r="G116" i="1"/>
  <c r="BT73" i="1"/>
  <c r="D94" i="1"/>
  <c r="I115" i="1"/>
  <c r="U115" i="1"/>
  <c r="AG115" i="1"/>
  <c r="AS115" i="1"/>
  <c r="BE115" i="1"/>
  <c r="BQ115" i="1"/>
  <c r="CC115" i="1"/>
  <c r="CO115" i="1"/>
  <c r="DA115" i="1"/>
  <c r="S116" i="1"/>
  <c r="AK116" i="1"/>
  <c r="BC116" i="1"/>
  <c r="BU116" i="1"/>
  <c r="CM116" i="1"/>
  <c r="P94" i="1"/>
  <c r="CX94" i="1"/>
  <c r="CK95" i="1"/>
  <c r="E116" i="1"/>
  <c r="K116" i="1"/>
  <c r="Q116" i="1"/>
  <c r="W116" i="1"/>
  <c r="AC116" i="1"/>
  <c r="AI116" i="1"/>
  <c r="AO116" i="1"/>
  <c r="AU116" i="1"/>
  <c r="BA116" i="1"/>
  <c r="BG116" i="1"/>
  <c r="BM116" i="1"/>
  <c r="BS116" i="1"/>
  <c r="BY116" i="1"/>
  <c r="CE116" i="1"/>
  <c r="CK116" i="1"/>
  <c r="AT94" i="1"/>
  <c r="CL95" i="1"/>
  <c r="B115" i="1"/>
  <c r="H115" i="1"/>
  <c r="N115" i="1"/>
  <c r="T115" i="1"/>
  <c r="Z115" i="1"/>
  <c r="AF115" i="1"/>
  <c r="AL115" i="1"/>
  <c r="AR115" i="1"/>
  <c r="AX115" i="1"/>
  <c r="BD115" i="1"/>
  <c r="BJ115" i="1"/>
  <c r="BP115" i="1"/>
  <c r="BV115" i="1"/>
  <c r="CB115" i="1"/>
  <c r="CH115" i="1"/>
  <c r="CN115" i="1"/>
  <c r="CT115" i="1"/>
  <c r="CZ115" i="1"/>
  <c r="F116" i="1"/>
  <c r="L116" i="1"/>
  <c r="R116" i="1"/>
  <c r="X116" i="1"/>
  <c r="AD116" i="1"/>
  <c r="AJ116" i="1"/>
  <c r="AP116" i="1"/>
  <c r="AV116" i="1"/>
  <c r="BB116" i="1"/>
  <c r="BH116" i="1"/>
  <c r="BN116" i="1"/>
  <c r="BT116" i="1"/>
  <c r="BZ116" i="1"/>
  <c r="CF116" i="1"/>
  <c r="CL116" i="1"/>
  <c r="BF94" i="1"/>
  <c r="R95" i="1"/>
  <c r="D115" i="1"/>
  <c r="J115" i="1"/>
  <c r="P115" i="1"/>
  <c r="V115" i="1"/>
  <c r="AB115" i="1"/>
  <c r="AH115" i="1"/>
  <c r="AN115" i="1"/>
  <c r="AT115" i="1"/>
  <c r="AZ115" i="1"/>
  <c r="BF115" i="1"/>
  <c r="BL115" i="1"/>
  <c r="BR115" i="1"/>
  <c r="BX115" i="1"/>
  <c r="CD115" i="1"/>
  <c r="CJ115" i="1"/>
  <c r="CP115" i="1"/>
  <c r="CV115" i="1"/>
  <c r="AR116" i="1"/>
  <c r="Q95" i="1"/>
  <c r="BR94" i="1"/>
  <c r="BA95" i="1"/>
  <c r="BR95" i="1"/>
  <c r="BS95" i="1"/>
  <c r="J94" i="1"/>
  <c r="V94" i="1"/>
  <c r="AH94" i="1"/>
  <c r="BL94" i="1"/>
  <c r="BX94" i="1"/>
  <c r="CJ94" i="1"/>
  <c r="V95" i="1"/>
  <c r="AO95" i="1"/>
  <c r="BF95" i="1"/>
  <c r="BY95" i="1"/>
  <c r="DA95" i="1"/>
  <c r="GV95" i="1"/>
  <c r="P74" i="1"/>
  <c r="BN94" i="1"/>
  <c r="F95" i="1"/>
  <c r="W95" i="1"/>
  <c r="AP95" i="1"/>
  <c r="BG95" i="1"/>
  <c r="BZ95" i="1"/>
  <c r="AB94" i="1"/>
  <c r="AN94" i="1"/>
  <c r="AZ94" i="1"/>
  <c r="CD94" i="1"/>
  <c r="CP94" i="1"/>
  <c r="J95" i="1"/>
  <c r="AC95" i="1"/>
  <c r="AT95" i="1"/>
  <c r="BM95" i="1"/>
  <c r="CD95" i="1"/>
  <c r="AH95" i="1"/>
  <c r="AI95" i="1"/>
  <c r="AD94" i="1"/>
  <c r="K95" i="1"/>
  <c r="AD95" i="1"/>
  <c r="AU95" i="1"/>
  <c r="BN95" i="1"/>
  <c r="CE95" i="1"/>
  <c r="GQ59" i="1"/>
  <c r="GQ95" i="1"/>
  <c r="ER59" i="1"/>
  <c r="B59" i="1"/>
  <c r="B95" i="1"/>
  <c r="H74" i="1"/>
  <c r="H95" i="1"/>
  <c r="N74" i="1"/>
  <c r="N95" i="1"/>
  <c r="T74" i="1"/>
  <c r="T95" i="1"/>
  <c r="Z74" i="1"/>
  <c r="Z95" i="1"/>
  <c r="AF74" i="1"/>
  <c r="AF95" i="1"/>
  <c r="AL74" i="1"/>
  <c r="AL95" i="1"/>
  <c r="AX74" i="1"/>
  <c r="AX95" i="1"/>
  <c r="BD74" i="1"/>
  <c r="BD95" i="1"/>
  <c r="BJ74" i="1"/>
  <c r="BJ95" i="1"/>
  <c r="BP74" i="1"/>
  <c r="BP95" i="1"/>
  <c r="BV74" i="1"/>
  <c r="BV95" i="1"/>
  <c r="CB74" i="1"/>
  <c r="CB95" i="1"/>
  <c r="CH74" i="1"/>
  <c r="CH95" i="1"/>
  <c r="CO74" i="1"/>
  <c r="CO95" i="1"/>
  <c r="E58" i="1"/>
  <c r="E94" i="1"/>
  <c r="K58" i="1"/>
  <c r="K94" i="1"/>
  <c r="Q58" i="1"/>
  <c r="Q94" i="1"/>
  <c r="W58" i="1"/>
  <c r="W94" i="1"/>
  <c r="AC58" i="1"/>
  <c r="AC94" i="1"/>
  <c r="AI58" i="1"/>
  <c r="AI94" i="1"/>
  <c r="AO58" i="1"/>
  <c r="AO94" i="1"/>
  <c r="AU58" i="1"/>
  <c r="AU94" i="1"/>
  <c r="BA58" i="1"/>
  <c r="BA94" i="1"/>
  <c r="BG58" i="1"/>
  <c r="BG94" i="1"/>
  <c r="BM58" i="1"/>
  <c r="BM94" i="1"/>
  <c r="BS58" i="1"/>
  <c r="BS94" i="1"/>
  <c r="BY58" i="1"/>
  <c r="BY94" i="1"/>
  <c r="CE58" i="1"/>
  <c r="CE94" i="1"/>
  <c r="CK58" i="1"/>
  <c r="CK94" i="1"/>
  <c r="CQ58" i="1"/>
  <c r="CQ94" i="1"/>
  <c r="CW58" i="1"/>
  <c r="CW94" i="1"/>
  <c r="GW95" i="1"/>
  <c r="I74" i="1"/>
  <c r="I95" i="1"/>
  <c r="U74" i="1"/>
  <c r="U95" i="1"/>
  <c r="AA74" i="1"/>
  <c r="AA95" i="1"/>
  <c r="AM74" i="1"/>
  <c r="AM95" i="1"/>
  <c r="BE74" i="1"/>
  <c r="BE95" i="1"/>
  <c r="BW74" i="1"/>
  <c r="BW95" i="1"/>
  <c r="CI74" i="1"/>
  <c r="CI95" i="1"/>
  <c r="CW74" i="1"/>
  <c r="CW95" i="1"/>
  <c r="CF58" i="1"/>
  <c r="CF73" i="1"/>
  <c r="CR58" i="1"/>
  <c r="CR73" i="1"/>
  <c r="F94" i="1"/>
  <c r="AP94" i="1"/>
  <c r="BH94" i="1"/>
  <c r="BZ94" i="1"/>
  <c r="CR94" i="1"/>
  <c r="EX95" i="1"/>
  <c r="FJ95" i="1"/>
  <c r="AR74" i="1"/>
  <c r="R94" i="1"/>
  <c r="BB94" i="1"/>
  <c r="BT94" i="1"/>
  <c r="CL94" i="1"/>
  <c r="L95" i="1"/>
  <c r="X95" i="1"/>
  <c r="AJ95" i="1"/>
  <c r="AV95" i="1"/>
  <c r="BH95" i="1"/>
  <c r="BT95" i="1"/>
  <c r="CF95" i="1"/>
  <c r="FN95" i="1"/>
  <c r="C59" i="1"/>
  <c r="C95" i="1"/>
  <c r="O74" i="1"/>
  <c r="O95" i="1"/>
  <c r="AG74" i="1"/>
  <c r="AG95" i="1"/>
  <c r="AS95" i="1"/>
  <c r="AS74" i="1"/>
  <c r="AY74" i="1"/>
  <c r="AY95" i="1"/>
  <c r="BK74" i="1"/>
  <c r="BK95" i="1"/>
  <c r="BQ95" i="1"/>
  <c r="BQ74" i="1"/>
  <c r="CC74" i="1"/>
  <c r="CC95" i="1"/>
  <c r="L58" i="1"/>
  <c r="L73" i="1"/>
  <c r="X58" i="1"/>
  <c r="X73" i="1"/>
  <c r="AJ58" i="1"/>
  <c r="AJ73" i="1"/>
  <c r="AV73" i="1"/>
  <c r="EP59" i="1"/>
  <c r="EP95" i="1"/>
  <c r="EV59" i="1"/>
  <c r="EV95" i="1"/>
  <c r="FB59" i="1"/>
  <c r="FB95" i="1"/>
  <c r="FH59" i="1"/>
  <c r="FH95" i="1"/>
  <c r="BH73" i="1"/>
  <c r="D95" i="1"/>
  <c r="AB95" i="1"/>
  <c r="AN95" i="1"/>
  <c r="AZ95" i="1"/>
  <c r="BL95" i="1"/>
  <c r="BX95" i="1"/>
  <c r="CJ95" i="1"/>
  <c r="ER95" i="1"/>
  <c r="FD95" i="1"/>
  <c r="GU95" i="1"/>
  <c r="G95" i="1"/>
  <c r="M95" i="1"/>
  <c r="S95" i="1"/>
  <c r="Y95" i="1"/>
  <c r="AE95" i="1"/>
  <c r="AK95" i="1"/>
  <c r="AQ95" i="1"/>
  <c r="AW95" i="1"/>
  <c r="BC95" i="1"/>
  <c r="BI95" i="1"/>
  <c r="BO95" i="1"/>
  <c r="BU95" i="1"/>
  <c r="CA95" i="1"/>
  <c r="CG95" i="1"/>
  <c r="CM95" i="1"/>
  <c r="FO95" i="1"/>
  <c r="EQ95" i="1"/>
  <c r="EW95" i="1"/>
  <c r="FC95" i="1"/>
  <c r="FI95" i="1"/>
  <c r="P73" i="1"/>
  <c r="AN73" i="1"/>
  <c r="BL73" i="1"/>
  <c r="CJ73" i="1"/>
  <c r="Q73" i="1"/>
  <c r="AO73" i="1"/>
  <c r="BM73" i="1"/>
  <c r="CK73" i="1"/>
  <c r="D73" i="1"/>
  <c r="AB73" i="1"/>
  <c r="AZ73" i="1"/>
  <c r="BX73" i="1"/>
  <c r="CV73" i="1"/>
  <c r="E73" i="1"/>
  <c r="AC73" i="1"/>
  <c r="BA73" i="1"/>
  <c r="BY73" i="1"/>
  <c r="CW73" i="1"/>
  <c r="GS59" i="1"/>
  <c r="EN59" i="1"/>
  <c r="EZ59" i="1"/>
  <c r="FL59" i="1"/>
  <c r="M58" i="1"/>
  <c r="M73" i="1"/>
  <c r="Y58" i="1"/>
  <c r="Y73" i="1"/>
  <c r="AK58" i="1"/>
  <c r="AK73" i="1"/>
  <c r="AW58" i="1"/>
  <c r="AW73" i="1"/>
  <c r="BI58" i="1"/>
  <c r="BI73" i="1"/>
  <c r="BU58" i="1"/>
  <c r="BU73" i="1"/>
  <c r="CG58" i="1"/>
  <c r="CG73" i="1"/>
  <c r="CS58" i="1"/>
  <c r="CS73" i="1"/>
  <c r="ET59" i="1"/>
  <c r="FF59" i="1"/>
  <c r="G58" i="1"/>
  <c r="G73" i="1"/>
  <c r="S58" i="1"/>
  <c r="S73" i="1"/>
  <c r="AE58" i="1"/>
  <c r="AE73" i="1"/>
  <c r="AQ58" i="1"/>
  <c r="AQ73" i="1"/>
  <c r="BC58" i="1"/>
  <c r="BC73" i="1"/>
  <c r="BO58" i="1"/>
  <c r="BO73" i="1"/>
  <c r="CA58" i="1"/>
  <c r="CA73" i="1"/>
  <c r="CM58" i="1"/>
  <c r="CM73" i="1"/>
  <c r="CY58" i="1"/>
  <c r="CY73" i="1"/>
  <c r="D74" i="1"/>
  <c r="FG59" i="1"/>
  <c r="H58" i="1"/>
  <c r="H73" i="1"/>
  <c r="AL58" i="1"/>
  <c r="AL73" i="1"/>
  <c r="BP58" i="1"/>
  <c r="BP73" i="1"/>
  <c r="CH58" i="1"/>
  <c r="CH73" i="1"/>
  <c r="C58" i="1"/>
  <c r="C73" i="1"/>
  <c r="AG58" i="1"/>
  <c r="AG73" i="1"/>
  <c r="BQ58" i="1"/>
  <c r="BQ73" i="1"/>
  <c r="GT59" i="1"/>
  <c r="EU59" i="1"/>
  <c r="FM59" i="1"/>
  <c r="E59" i="1"/>
  <c r="E74" i="1"/>
  <c r="N58" i="1"/>
  <c r="N73" i="1"/>
  <c r="T58" i="1"/>
  <c r="T73" i="1"/>
  <c r="AR58" i="1"/>
  <c r="AR73" i="1"/>
  <c r="AX58" i="1"/>
  <c r="AX73" i="1"/>
  <c r="BJ58" i="1"/>
  <c r="BJ73" i="1"/>
  <c r="BV58" i="1"/>
  <c r="BV73" i="1"/>
  <c r="CT58" i="1"/>
  <c r="CT73" i="1"/>
  <c r="CZ58" i="1"/>
  <c r="CZ73" i="1"/>
  <c r="I58" i="1"/>
  <c r="I73" i="1"/>
  <c r="AA58" i="1"/>
  <c r="AA73" i="1"/>
  <c r="AS58" i="1"/>
  <c r="AS73" i="1"/>
  <c r="BE58" i="1"/>
  <c r="BE73" i="1"/>
  <c r="CC58" i="1"/>
  <c r="CC73" i="1"/>
  <c r="CO58" i="1"/>
  <c r="CO73" i="1"/>
  <c r="DA58" i="1"/>
  <c r="DA73" i="1"/>
  <c r="GX59" i="1"/>
  <c r="F73" i="1"/>
  <c r="R73" i="1"/>
  <c r="AD73" i="1"/>
  <c r="AP73" i="1"/>
  <c r="BB73" i="1"/>
  <c r="BN73" i="1"/>
  <c r="BZ73" i="1"/>
  <c r="CL73" i="1"/>
  <c r="CX73" i="1"/>
  <c r="EO59" i="1"/>
  <c r="B58" i="1"/>
  <c r="B73" i="1"/>
  <c r="AF58" i="1"/>
  <c r="AF73" i="1"/>
  <c r="CB58" i="1"/>
  <c r="CB73" i="1"/>
  <c r="U58" i="1"/>
  <c r="U73" i="1"/>
  <c r="AY58" i="1"/>
  <c r="AY73" i="1"/>
  <c r="BW58" i="1"/>
  <c r="BW73" i="1"/>
  <c r="CU58" i="1"/>
  <c r="CU73" i="1"/>
  <c r="J73" i="1"/>
  <c r="V73" i="1"/>
  <c r="AH73" i="1"/>
  <c r="AT73" i="1"/>
  <c r="BF73" i="1"/>
  <c r="BR73" i="1"/>
  <c r="CD73" i="1"/>
  <c r="CP73" i="1"/>
  <c r="B74" i="1"/>
  <c r="FA59" i="1"/>
  <c r="Z58" i="1"/>
  <c r="Z73" i="1"/>
  <c r="BD58" i="1"/>
  <c r="BD73" i="1"/>
  <c r="CN58" i="1"/>
  <c r="CN73" i="1"/>
  <c r="O58" i="1"/>
  <c r="O73" i="1"/>
  <c r="AM58" i="1"/>
  <c r="AM73" i="1"/>
  <c r="BK58" i="1"/>
  <c r="BK73" i="1"/>
  <c r="CI58" i="1"/>
  <c r="CI73" i="1"/>
  <c r="GR59" i="1"/>
  <c r="EM59" i="1"/>
  <c r="ES59" i="1"/>
  <c r="EY59" i="1"/>
  <c r="FE59" i="1"/>
  <c r="FK59" i="1"/>
  <c r="K73" i="1"/>
  <c r="W73" i="1"/>
  <c r="AI73" i="1"/>
  <c r="AU73" i="1"/>
  <c r="BG73" i="1"/>
  <c r="BS73" i="1"/>
  <c r="CE73" i="1"/>
  <c r="CQ73" i="1"/>
  <c r="C74" i="1"/>
  <c r="J59" i="1"/>
  <c r="P59" i="1"/>
  <c r="V59" i="1"/>
  <c r="AB59" i="1"/>
  <c r="AH59" i="1"/>
  <c r="AN59" i="1"/>
  <c r="AT59" i="1"/>
  <c r="AZ59" i="1"/>
  <c r="BF59" i="1"/>
  <c r="BL59" i="1"/>
  <c r="BR59" i="1"/>
  <c r="BX59" i="1"/>
  <c r="CD59" i="1"/>
  <c r="CJ59" i="1"/>
  <c r="DA59" i="1"/>
  <c r="K59" i="1"/>
  <c r="Q59" i="1"/>
  <c r="W59" i="1"/>
  <c r="AC59" i="1"/>
  <c r="AI59" i="1"/>
  <c r="AO59" i="1"/>
  <c r="AU59" i="1"/>
  <c r="BA59" i="1"/>
  <c r="BG59" i="1"/>
  <c r="BM59" i="1"/>
  <c r="BS59" i="1"/>
  <c r="BY59" i="1"/>
  <c r="CE59" i="1"/>
  <c r="CK59" i="1"/>
  <c r="F59" i="1"/>
  <c r="L59" i="1"/>
  <c r="R59" i="1"/>
  <c r="X59" i="1"/>
  <c r="AD59" i="1"/>
  <c r="AJ59" i="1"/>
  <c r="AP59" i="1"/>
  <c r="AV59" i="1"/>
  <c r="BB59" i="1"/>
  <c r="BH59" i="1"/>
  <c r="BN59" i="1"/>
  <c r="BT59" i="1"/>
  <c r="BZ59" i="1"/>
  <c r="CF59" i="1"/>
  <c r="CL59" i="1"/>
  <c r="G59" i="1"/>
  <c r="M59" i="1"/>
  <c r="S59" i="1"/>
  <c r="Y59" i="1"/>
  <c r="AE59" i="1"/>
  <c r="AK59" i="1"/>
  <c r="AQ59" i="1"/>
  <c r="AW59" i="1"/>
  <c r="BC59" i="1"/>
  <c r="BI59" i="1"/>
  <c r="BO59" i="1"/>
  <c r="BU59" i="1"/>
  <c r="CA59" i="1"/>
  <c r="CG59" i="1"/>
  <c r="CM59" i="1"/>
  <c r="H59" i="1"/>
  <c r="N59" i="1"/>
  <c r="T59" i="1"/>
  <c r="Z59" i="1"/>
  <c r="AF59" i="1"/>
  <c r="AL59" i="1"/>
  <c r="AR59" i="1"/>
  <c r="AX59" i="1"/>
  <c r="BD59" i="1"/>
  <c r="BJ59" i="1"/>
  <c r="BP59" i="1"/>
  <c r="BV59" i="1"/>
  <c r="CB59" i="1"/>
  <c r="CH59" i="1"/>
  <c r="CO59" i="1"/>
  <c r="I59" i="1"/>
  <c r="O59" i="1"/>
  <c r="U59" i="1"/>
  <c r="AA59" i="1"/>
  <c r="AG59" i="1"/>
  <c r="AM59" i="1"/>
  <c r="AS59" i="1"/>
  <c r="AY59" i="1"/>
  <c r="BE59" i="1"/>
  <c r="BK59" i="1"/>
  <c r="BQ59" i="1"/>
  <c r="BW59" i="1"/>
  <c r="CC59" i="1"/>
  <c r="CI59" i="1"/>
  <c r="CW59" i="1"/>
  <c r="DY80" i="113" l="1"/>
  <c r="DT80" i="113"/>
  <c r="DT85" i="113"/>
  <c r="DT75" i="113"/>
  <c r="DT11" i="113" s="1"/>
  <c r="DX77" i="113"/>
  <c r="DY79" i="113" s="1"/>
  <c r="DP24" i="113"/>
  <c r="DQ52" i="113"/>
  <c r="DU79" i="113"/>
  <c r="DY85" i="113"/>
  <c r="EC77" i="113"/>
  <c r="DZ79" i="113"/>
  <c r="DU24" i="113"/>
  <c r="DU37" i="113"/>
  <c r="GY24" i="113"/>
  <c r="DR37" i="113"/>
  <c r="DR24" i="113"/>
  <c r="DR52" i="113"/>
  <c r="DZ75" i="113"/>
  <c r="DZ11" i="113" s="1"/>
  <c r="DZ85" i="113"/>
  <c r="DV52" i="113"/>
  <c r="DV24" i="113"/>
  <c r="DV37" i="113"/>
  <c r="ED77" i="113"/>
  <c r="DZ80" i="113"/>
  <c r="DY11" i="113"/>
  <c r="DU52" i="113" l="1"/>
  <c r="DX85" i="113"/>
  <c r="DX75" i="113"/>
  <c r="DX11" i="113" s="1"/>
  <c r="EB77" i="113"/>
  <c r="EC79" i="113" s="1"/>
  <c r="DX80" i="113"/>
  <c r="DT24" i="113"/>
  <c r="DT37" i="113"/>
  <c r="EC80" i="113"/>
  <c r="EG77" i="113"/>
  <c r="EG80" i="113" s="1"/>
  <c r="DY24" i="113"/>
  <c r="DY37" i="113"/>
  <c r="EH77" i="113"/>
  <c r="ED80" i="113"/>
  <c r="ED79" i="113"/>
  <c r="DZ37" i="113"/>
  <c r="DZ52" i="113"/>
  <c r="DZ24" i="113"/>
  <c r="DY52" i="113" l="1"/>
  <c r="EK77" i="113"/>
  <c r="EK80" i="113" s="1"/>
  <c r="EB85" i="113"/>
  <c r="EB75" i="113"/>
  <c r="EB11" i="113" s="1"/>
  <c r="EB24" i="113" s="1"/>
  <c r="EB80" i="113"/>
  <c r="EF77" i="113"/>
  <c r="EG79" i="113" s="1"/>
  <c r="DX37" i="113"/>
  <c r="DX24" i="113"/>
  <c r="EH79" i="113"/>
  <c r="EH80" i="113"/>
  <c r="EC75" i="113"/>
  <c r="EC11" i="113" s="1"/>
  <c r="EC85" i="113"/>
  <c r="DE79" i="1"/>
  <c r="DE100" i="1"/>
  <c r="DE78" i="1"/>
  <c r="DE99" i="1"/>
  <c r="DE43" i="1"/>
  <c r="DE42" i="1"/>
  <c r="EB37" i="113" l="1"/>
  <c r="EF80" i="113"/>
  <c r="EJ77" i="113"/>
  <c r="DZ13" i="119"/>
  <c r="EC52" i="113"/>
  <c r="EC24" i="113"/>
  <c r="EC37" i="113"/>
  <c r="ED85" i="113"/>
  <c r="ED75" i="113"/>
  <c r="DF79" i="1"/>
  <c r="DF100" i="1"/>
  <c r="DF78" i="1"/>
  <c r="DF99" i="1"/>
  <c r="DF43" i="1"/>
  <c r="DD50" i="51"/>
  <c r="DD82" i="51" s="1"/>
  <c r="EJ80" i="113" l="1"/>
  <c r="EK79" i="113"/>
  <c r="EA13" i="119"/>
  <c r="ED11" i="113"/>
  <c r="DG78" i="1"/>
  <c r="DG99" i="1"/>
  <c r="DG79" i="1"/>
  <c r="DG100" i="1"/>
  <c r="DG43" i="1"/>
  <c r="DG42" i="1"/>
  <c r="CJ16" i="6"/>
  <c r="CJ85" i="6" s="1"/>
  <c r="CJ66" i="6"/>
  <c r="CJ48" i="6"/>
  <c r="CJ65" i="6"/>
  <c r="CJ47" i="6"/>
  <c r="CJ64" i="6"/>
  <c r="CJ46" i="6"/>
  <c r="CJ63" i="6"/>
  <c r="CJ45" i="6"/>
  <c r="CJ62" i="6"/>
  <c r="CJ44" i="6"/>
  <c r="CJ7" i="6"/>
  <c r="DD39" i="3"/>
  <c r="DD56" i="2"/>
  <c r="DD57" i="2"/>
  <c r="DD82" i="2"/>
  <c r="DD49" i="2"/>
  <c r="DD39" i="2"/>
  <c r="DD64" i="2"/>
  <c r="DD65" i="2"/>
  <c r="DT65" i="2" s="1"/>
  <c r="DX65" i="2" s="1"/>
  <c r="EB65" i="2" s="1"/>
  <c r="EF65" i="2" s="1"/>
  <c r="EJ65" i="2" s="1"/>
  <c r="DD18" i="2"/>
  <c r="DX45" i="119" s="1"/>
  <c r="DT63" i="2"/>
  <c r="DX63" i="2" s="1"/>
  <c r="EB63" i="2" s="1"/>
  <c r="EF63" i="2" s="1"/>
  <c r="EJ63" i="2" s="1"/>
  <c r="DD8" i="2"/>
  <c r="DD14" i="1"/>
  <c r="DX18" i="119" s="1"/>
  <c r="DD121" i="1"/>
  <c r="DD120" i="1"/>
  <c r="DD16" i="51"/>
  <c r="DD14" i="51"/>
  <c r="DD65" i="51" s="1"/>
  <c r="DD12" i="51"/>
  <c r="DD64" i="51" s="1"/>
  <c r="DD13" i="51"/>
  <c r="DD63" i="51" s="1"/>
  <c r="DD11" i="51"/>
  <c r="DD62" i="51" s="1"/>
  <c r="DD8" i="51"/>
  <c r="DD67" i="51" l="1"/>
  <c r="DD53" i="51"/>
  <c r="DX176" i="119"/>
  <c r="EB15" i="119"/>
  <c r="CN36" i="6"/>
  <c r="ED24" i="113"/>
  <c r="DD23" i="113"/>
  <c r="DD239" i="112"/>
  <c r="DD229" i="112"/>
  <c r="DD234" i="112"/>
  <c r="ED37" i="113"/>
  <c r="EB13" i="119"/>
  <c r="ED52" i="113"/>
  <c r="DX67" i="119"/>
  <c r="DX298" i="119" s="1"/>
  <c r="DX256" i="119" s="1"/>
  <c r="DX69" i="119"/>
  <c r="DX271" i="119" s="1"/>
  <c r="DX63" i="119"/>
  <c r="DX64" i="119"/>
  <c r="EF75" i="113"/>
  <c r="EF11" i="113" s="1"/>
  <c r="EF85" i="113"/>
  <c r="CK67" i="6"/>
  <c r="DD223" i="112"/>
  <c r="DD217" i="112"/>
  <c r="DD211" i="112"/>
  <c r="DD207" i="112"/>
  <c r="DD200" i="112"/>
  <c r="DD183" i="112"/>
  <c r="DD186" i="112"/>
  <c r="CJ94" i="6"/>
  <c r="CJ93" i="6"/>
  <c r="CJ83" i="6"/>
  <c r="CJ82" i="6"/>
  <c r="CJ84" i="6"/>
  <c r="CJ81" i="6"/>
  <c r="CJ80" i="6"/>
  <c r="DD161" i="113"/>
  <c r="DD141" i="113"/>
  <c r="DD148" i="113"/>
  <c r="DD135" i="113"/>
  <c r="DD117" i="113"/>
  <c r="DD97" i="113"/>
  <c r="DD129" i="113"/>
  <c r="DD123" i="113"/>
  <c r="DD88" i="113"/>
  <c r="DD61" i="2"/>
  <c r="DD111" i="113"/>
  <c r="DD64" i="113"/>
  <c r="DD36" i="113"/>
  <c r="DD74" i="113"/>
  <c r="DD51" i="113"/>
  <c r="DD169" i="112"/>
  <c r="DD176" i="112"/>
  <c r="DD162" i="112"/>
  <c r="DD124" i="112"/>
  <c r="DD110" i="112"/>
  <c r="DD103" i="112"/>
  <c r="DD117" i="112"/>
  <c r="DD193" i="112"/>
  <c r="DD21" i="112"/>
  <c r="DD32" i="112"/>
  <c r="DD43" i="112" s="1"/>
  <c r="DD131" i="112"/>
  <c r="DD72" i="112"/>
  <c r="DD39" i="51"/>
  <c r="DD56" i="51"/>
  <c r="DD30" i="51"/>
  <c r="DD19" i="51"/>
  <c r="DH79" i="1"/>
  <c r="DH100" i="1"/>
  <c r="DH78" i="1"/>
  <c r="DH99" i="1"/>
  <c r="DH42" i="1"/>
  <c r="DH43" i="1"/>
  <c r="DD58" i="51"/>
  <c r="DD58" i="2"/>
  <c r="DD114" i="2"/>
  <c r="DD44" i="2"/>
  <c r="DD15" i="51"/>
  <c r="DE61" i="51" l="1"/>
  <c r="DD66" i="51"/>
  <c r="DD52" i="51"/>
  <c r="DD54" i="51" s="1"/>
  <c r="DX164" i="119"/>
  <c r="CN75" i="6"/>
  <c r="CN57" i="6"/>
  <c r="DX163" i="119"/>
  <c r="DX169" i="119"/>
  <c r="EC15" i="119"/>
  <c r="CO36" i="6"/>
  <c r="DX153" i="119"/>
  <c r="DX149" i="119"/>
  <c r="DX146" i="119"/>
  <c r="DX143" i="119"/>
  <c r="DX140" i="119"/>
  <c r="DX154" i="119"/>
  <c r="DX151" i="119"/>
  <c r="DX148" i="119"/>
  <c r="DX145" i="119"/>
  <c r="DX142" i="119"/>
  <c r="DX139" i="119"/>
  <c r="DX150" i="119"/>
  <c r="DX141" i="119"/>
  <c r="DX144" i="119"/>
  <c r="DX147" i="119"/>
  <c r="DX138" i="119"/>
  <c r="EC13" i="119"/>
  <c r="DX135" i="119"/>
  <c r="DX129" i="119"/>
  <c r="DX174" i="119"/>
  <c r="DX170" i="119"/>
  <c r="DX166" i="119"/>
  <c r="DX165" i="119"/>
  <c r="DD51" i="2"/>
  <c r="DX70" i="119" s="1"/>
  <c r="DX65" i="119"/>
  <c r="DD59" i="2"/>
  <c r="DX76" i="119"/>
  <c r="DX264" i="119" s="1"/>
  <c r="EG75" i="113"/>
  <c r="EG11" i="113" s="1"/>
  <c r="EG85" i="113"/>
  <c r="EF37" i="113"/>
  <c r="EF24" i="113"/>
  <c r="DD115" i="2"/>
  <c r="DI78" i="1"/>
  <c r="DI99" i="1"/>
  <c r="DI79" i="1"/>
  <c r="DI100" i="1"/>
  <c r="DI42" i="1"/>
  <c r="DI43" i="1"/>
  <c r="DD17" i="51"/>
  <c r="DH184" i="112" s="1"/>
  <c r="DD57" i="51"/>
  <c r="DE60" i="51" l="1"/>
  <c r="DD68" i="51"/>
  <c r="DX167" i="119"/>
  <c r="DX128" i="119"/>
  <c r="DX152" i="119"/>
  <c r="ED13" i="119"/>
  <c r="DX173" i="119"/>
  <c r="ED15" i="119"/>
  <c r="CP36" i="6"/>
  <c r="CO75" i="6"/>
  <c r="CO57" i="6"/>
  <c r="EO57" i="6"/>
  <c r="EG52" i="113"/>
  <c r="EG24" i="113"/>
  <c r="EG37" i="113"/>
  <c r="EH75" i="113"/>
  <c r="EH85" i="113"/>
  <c r="DJ78" i="1"/>
  <c r="DJ99" i="1"/>
  <c r="DJ79" i="1"/>
  <c r="DJ100" i="1"/>
  <c r="DJ43" i="1"/>
  <c r="DJ42" i="1"/>
  <c r="DD9" i="1"/>
  <c r="EE15" i="119" l="1"/>
  <c r="CQ36" i="6"/>
  <c r="CQ57" i="6" s="1"/>
  <c r="CP57" i="6"/>
  <c r="CP75" i="6"/>
  <c r="EE13" i="119"/>
  <c r="DX11" i="119"/>
  <c r="DX270" i="119" s="1"/>
  <c r="EH11" i="113"/>
  <c r="CJ86" i="6"/>
  <c r="DK79" i="1"/>
  <c r="DK100" i="1"/>
  <c r="DK78" i="1"/>
  <c r="DK99" i="1"/>
  <c r="DD64" i="1"/>
  <c r="DD61" i="1"/>
  <c r="DD60" i="1"/>
  <c r="DD63" i="1"/>
  <c r="DD65" i="1"/>
  <c r="DK42" i="1"/>
  <c r="DK43" i="1"/>
  <c r="DD11" i="1"/>
  <c r="DD62" i="2"/>
  <c r="DT62" i="2" s="1"/>
  <c r="DX62" i="2" s="1"/>
  <c r="EB62" i="2" s="1"/>
  <c r="EF62" i="2" s="1"/>
  <c r="EJ62" i="2" s="1"/>
  <c r="CJ17" i="6"/>
  <c r="EH24" i="113" l="1"/>
  <c r="EH37" i="113"/>
  <c r="EH52" i="113"/>
  <c r="EF13" i="119"/>
  <c r="CQ75" i="6"/>
  <c r="EF15" i="119"/>
  <c r="CR36" i="6"/>
  <c r="EJ75" i="113"/>
  <c r="EJ11" i="113" s="1"/>
  <c r="EJ85" i="113"/>
  <c r="DL78" i="1"/>
  <c r="DL99" i="1"/>
  <c r="DL79" i="1"/>
  <c r="DL100" i="1"/>
  <c r="DD62" i="1"/>
  <c r="DD59" i="51" s="1"/>
  <c r="DL43" i="1"/>
  <c r="DL42" i="1"/>
  <c r="DD15" i="1"/>
  <c r="EG15" i="119" l="1"/>
  <c r="CS36" i="6"/>
  <c r="EP57" i="6" s="1"/>
  <c r="EG13" i="119"/>
  <c r="CR75" i="6"/>
  <c r="CR57" i="6"/>
  <c r="DX23" i="119"/>
  <c r="DX268" i="119" s="1"/>
  <c r="EK75" i="113"/>
  <c r="EK11" i="113" s="1"/>
  <c r="EK85" i="113"/>
  <c r="EJ24" i="113"/>
  <c r="EJ37" i="113"/>
  <c r="CJ38" i="6"/>
  <c r="CK77" i="6" s="1"/>
  <c r="DM78" i="1"/>
  <c r="DM99" i="1"/>
  <c r="DM79" i="1"/>
  <c r="DM100" i="1"/>
  <c r="DD66" i="1"/>
  <c r="DM42" i="1"/>
  <c r="DM43" i="1"/>
  <c r="DD23" i="1"/>
  <c r="DX30" i="119" s="1"/>
  <c r="DX269" i="119" s="1"/>
  <c r="DN100" i="1" l="1"/>
  <c r="GY13" i="1"/>
  <c r="DN79" i="1"/>
  <c r="EH15" i="119"/>
  <c r="CT36" i="6"/>
  <c r="CS75" i="6"/>
  <c r="CS57" i="6"/>
  <c r="EH13" i="119"/>
  <c r="DN43" i="1"/>
  <c r="EK37" i="113"/>
  <c r="EK52" i="113"/>
  <c r="EK24" i="113"/>
  <c r="DN78" i="1"/>
  <c r="DN42" i="1"/>
  <c r="DN99" i="1"/>
  <c r="GY12" i="1"/>
  <c r="CJ96" i="6"/>
  <c r="CJ37" i="6"/>
  <c r="CJ39" i="6" s="1"/>
  <c r="DD69" i="1"/>
  <c r="DD26" i="1"/>
  <c r="DD25" i="1"/>
  <c r="DX290" i="119" s="1"/>
  <c r="DO99" i="1" l="1"/>
  <c r="DO100" i="1"/>
  <c r="DO42" i="1"/>
  <c r="DO43" i="1"/>
  <c r="DO78" i="1"/>
  <c r="DX275" i="119"/>
  <c r="DX277" i="119"/>
  <c r="EI15" i="119"/>
  <c r="CU36" i="6"/>
  <c r="CT57" i="6"/>
  <c r="CT75" i="6"/>
  <c r="EI13" i="119"/>
  <c r="DO79" i="1"/>
  <c r="CJ95" i="6"/>
  <c r="DD70" i="1"/>
  <c r="DD29" i="1"/>
  <c r="DD30" i="1"/>
  <c r="DX281" i="119" s="1"/>
  <c r="DX260" i="119" s="1"/>
  <c r="DD28" i="1"/>
  <c r="C7" i="115" l="1"/>
  <c r="E7" i="115" s="1"/>
  <c r="F7" i="115" s="1"/>
  <c r="C8" i="115"/>
  <c r="K56" i="115" s="1"/>
  <c r="DO122" i="1"/>
  <c r="FO131" i="1" s="1"/>
  <c r="EJ15" i="119"/>
  <c r="DP78" i="1"/>
  <c r="DP79" i="1"/>
  <c r="CV36" i="6"/>
  <c r="CV57" i="6" s="1"/>
  <c r="DO80" i="1"/>
  <c r="DP99" i="1"/>
  <c r="DP42" i="1"/>
  <c r="DQ12" i="1"/>
  <c r="DX279" i="119"/>
  <c r="EJ13" i="119"/>
  <c r="DP100" i="1"/>
  <c r="DQ13" i="1"/>
  <c r="DX267" i="119"/>
  <c r="DX280" i="119"/>
  <c r="DP43" i="1"/>
  <c r="CU57" i="6"/>
  <c r="CU75" i="6"/>
  <c r="DD71" i="1"/>
  <c r="DD32" i="1"/>
  <c r="DD31" i="1"/>
  <c r="DC82" i="2"/>
  <c r="DC57" i="2"/>
  <c r="DC56" i="2"/>
  <c r="DC62" i="3"/>
  <c r="DD62" i="3" s="1"/>
  <c r="DE62" i="3" s="1"/>
  <c r="DC61" i="3"/>
  <c r="DD61" i="3" s="1"/>
  <c r="DE61" i="3" s="1"/>
  <c r="DC47" i="3"/>
  <c r="DD47" i="3" s="1"/>
  <c r="DE47" i="3" s="1"/>
  <c r="DC46" i="3"/>
  <c r="DC45" i="3"/>
  <c r="DD45" i="3" s="1"/>
  <c r="DE45" i="3" s="1"/>
  <c r="DC44" i="3"/>
  <c r="DD44" i="3" s="1"/>
  <c r="DE44" i="3" s="1"/>
  <c r="DC43" i="3"/>
  <c r="DC42" i="3"/>
  <c r="DC41" i="3"/>
  <c r="DC40" i="3"/>
  <c r="DD40" i="3" s="1"/>
  <c r="DE40" i="3" s="1"/>
  <c r="DC38" i="3"/>
  <c r="DC32" i="3"/>
  <c r="DW97" i="119" s="1"/>
  <c r="DC31" i="3"/>
  <c r="DC30" i="3"/>
  <c r="DD30" i="3" s="1"/>
  <c r="DE30" i="3" s="1"/>
  <c r="DC29" i="3"/>
  <c r="DC28" i="3"/>
  <c r="DC23" i="3"/>
  <c r="DD23" i="3" s="1"/>
  <c r="DE23" i="3" s="1"/>
  <c r="DC22" i="3"/>
  <c r="DD22" i="3" s="1"/>
  <c r="DE22" i="3" s="1"/>
  <c r="DC21" i="3"/>
  <c r="DC20" i="3"/>
  <c r="DD20" i="3" s="1"/>
  <c r="DE20" i="3" s="1"/>
  <c r="DC19" i="3"/>
  <c r="DD19" i="3" s="1"/>
  <c r="DE19" i="3" s="1"/>
  <c r="DC18" i="3"/>
  <c r="DD18" i="3" s="1"/>
  <c r="DE18" i="3" s="1"/>
  <c r="DC17" i="3"/>
  <c r="DD17" i="3" s="1"/>
  <c r="DE17" i="3" s="1"/>
  <c r="DC15" i="3"/>
  <c r="DD15" i="3" s="1"/>
  <c r="DE15" i="3" s="1"/>
  <c r="DC14" i="3"/>
  <c r="DD14" i="3" s="1"/>
  <c r="DE14" i="3" s="1"/>
  <c r="DC13" i="3"/>
  <c r="DC12" i="3"/>
  <c r="DC11" i="3"/>
  <c r="DC49" i="2"/>
  <c r="DC64" i="2"/>
  <c r="DC65" i="2"/>
  <c r="DS65" i="2" s="1"/>
  <c r="DW65" i="2" s="1"/>
  <c r="EA65" i="2" s="1"/>
  <c r="EE65" i="2" s="1"/>
  <c r="EI65" i="2" s="1"/>
  <c r="DC18" i="2"/>
  <c r="DW45" i="119" s="1"/>
  <c r="DS63" i="2"/>
  <c r="DW63" i="2" s="1"/>
  <c r="EA63" i="2" s="1"/>
  <c r="EE63" i="2" s="1"/>
  <c r="EI63" i="2" s="1"/>
  <c r="DC8" i="2"/>
  <c r="K55" i="115" l="1"/>
  <c r="W55" i="115" s="1"/>
  <c r="E8" i="115"/>
  <c r="F8" i="115" s="1"/>
  <c r="M100" i="115"/>
  <c r="X100" i="115" s="1"/>
  <c r="M99" i="115"/>
  <c r="X99" i="115" s="1"/>
  <c r="C9" i="115"/>
  <c r="N56" i="115"/>
  <c r="T56" i="115"/>
  <c r="S56" i="115"/>
  <c r="W56" i="115"/>
  <c r="O56" i="115"/>
  <c r="DC64" i="3"/>
  <c r="CV75" i="6"/>
  <c r="FP12" i="1"/>
  <c r="N7" i="116" s="1"/>
  <c r="AG68" i="116" s="1"/>
  <c r="DQ43" i="1"/>
  <c r="DR12" i="1"/>
  <c r="DQ42" i="1"/>
  <c r="DQ99" i="1"/>
  <c r="CW36" i="6"/>
  <c r="EQ36" i="6" s="1"/>
  <c r="EQ57" i="6" s="1"/>
  <c r="EK15" i="119"/>
  <c r="DQ78" i="1"/>
  <c r="DW95" i="119"/>
  <c r="FP13" i="1"/>
  <c r="N8" i="116" s="1"/>
  <c r="AG69" i="116" s="1"/>
  <c r="DP80" i="1"/>
  <c r="DQ79" i="1"/>
  <c r="DR13" i="1"/>
  <c r="DQ14" i="1"/>
  <c r="FP14" i="1" s="1"/>
  <c r="N9" i="116" s="1"/>
  <c r="P9" i="116" s="1"/>
  <c r="Q9" i="116" s="1"/>
  <c r="DQ100" i="1"/>
  <c r="DD38" i="3"/>
  <c r="DW103" i="119"/>
  <c r="DD12" i="3"/>
  <c r="DW93" i="119"/>
  <c r="DD11" i="3"/>
  <c r="DW305" i="119"/>
  <c r="DD28" i="3"/>
  <c r="DD41" i="3"/>
  <c r="DW284" i="119"/>
  <c r="DW102" i="119"/>
  <c r="DX283" i="119"/>
  <c r="DX282" i="119"/>
  <c r="DD31" i="3"/>
  <c r="DW98" i="119"/>
  <c r="DD43" i="3"/>
  <c r="DW104" i="119"/>
  <c r="EK13" i="119"/>
  <c r="DD66" i="2"/>
  <c r="DW67" i="119"/>
  <c r="DW298" i="119" s="1"/>
  <c r="DW256" i="119" s="1"/>
  <c r="DW69" i="119"/>
  <c r="DW271" i="119" s="1"/>
  <c r="DD13" i="3"/>
  <c r="DX95" i="119" s="1"/>
  <c r="EA95" i="119"/>
  <c r="DD42" i="3"/>
  <c r="DC71" i="3"/>
  <c r="DC70" i="3" s="1"/>
  <c r="DD21" i="3"/>
  <c r="DD24" i="3" s="1"/>
  <c r="DX94" i="119" s="1"/>
  <c r="DC61" i="2"/>
  <c r="DC79" i="2"/>
  <c r="DD32" i="3"/>
  <c r="DC58" i="2"/>
  <c r="DC114" i="2"/>
  <c r="DD29" i="3"/>
  <c r="DE29" i="3" s="1"/>
  <c r="DC80" i="2"/>
  <c r="DC39" i="2"/>
  <c r="DD78" i="2"/>
  <c r="DC48" i="3"/>
  <c r="DC24" i="3"/>
  <c r="DW94" i="119" s="1"/>
  <c r="T55" i="115" l="1"/>
  <c r="N55" i="115"/>
  <c r="S55" i="115"/>
  <c r="O55" i="115"/>
  <c r="O100" i="115"/>
  <c r="O99" i="115"/>
  <c r="M101" i="115"/>
  <c r="X101" i="115" s="1"/>
  <c r="EL13" i="119"/>
  <c r="EL15" i="119"/>
  <c r="DD64" i="3"/>
  <c r="AE15" i="119"/>
  <c r="GZ12" i="1"/>
  <c r="GZ99" i="1" s="1"/>
  <c r="P7" i="116"/>
  <c r="Q7" i="116" s="1"/>
  <c r="P8" i="116"/>
  <c r="Q8" i="116" s="1"/>
  <c r="DS12" i="1"/>
  <c r="DR78" i="1"/>
  <c r="DR42" i="1"/>
  <c r="DR99" i="1"/>
  <c r="CX36" i="6"/>
  <c r="CX75" i="6" s="1"/>
  <c r="CW75" i="6"/>
  <c r="CW57" i="6"/>
  <c r="AE13" i="119"/>
  <c r="DR14" i="1"/>
  <c r="DR101" i="1" s="1"/>
  <c r="GZ13" i="1"/>
  <c r="GZ100" i="1" s="1"/>
  <c r="DQ80" i="1"/>
  <c r="DR100" i="1"/>
  <c r="DQ122" i="1"/>
  <c r="FQ131" i="1" s="1"/>
  <c r="DS13" i="1"/>
  <c r="DR43" i="1"/>
  <c r="DR79" i="1"/>
  <c r="DE12" i="3"/>
  <c r="DX93" i="119"/>
  <c r="DE31" i="3"/>
  <c r="DY98" i="119" s="1"/>
  <c r="DX98" i="119"/>
  <c r="DE41" i="3"/>
  <c r="DX284" i="119"/>
  <c r="DX102" i="119"/>
  <c r="DE32" i="3"/>
  <c r="DX97" i="119"/>
  <c r="DE43" i="3"/>
  <c r="DY104" i="119" s="1"/>
  <c r="DX104" i="119"/>
  <c r="DE11" i="3"/>
  <c r="DY305" i="119" s="1"/>
  <c r="DX305" i="119"/>
  <c r="DD48" i="3"/>
  <c r="DE28" i="3"/>
  <c r="DX103" i="119"/>
  <c r="DW64" i="119"/>
  <c r="DW63" i="119"/>
  <c r="DC59" i="2"/>
  <c r="DW76" i="119"/>
  <c r="DW264" i="119" s="1"/>
  <c r="EE95" i="119"/>
  <c r="DE13" i="3"/>
  <c r="DE21" i="3"/>
  <c r="DE24" i="3" s="1"/>
  <c r="DE42" i="3"/>
  <c r="DD71" i="3"/>
  <c r="DC25" i="3"/>
  <c r="DD25" i="3"/>
  <c r="DX96" i="119" s="1"/>
  <c r="DC44" i="2"/>
  <c r="O101" i="115" l="1"/>
  <c r="EM13" i="119"/>
  <c r="EM15" i="119"/>
  <c r="DE64" i="3"/>
  <c r="GZ42" i="1"/>
  <c r="DS99" i="1"/>
  <c r="DS14" i="1"/>
  <c r="DS44" i="1" s="1"/>
  <c r="CY36" i="6"/>
  <c r="CY57" i="6" s="1"/>
  <c r="DT12" i="1"/>
  <c r="DS78" i="1"/>
  <c r="DS42" i="1"/>
  <c r="CX57" i="6"/>
  <c r="DS79" i="1"/>
  <c r="DR80" i="1"/>
  <c r="DR44" i="1"/>
  <c r="DR122" i="1"/>
  <c r="FN132" i="1" s="1"/>
  <c r="GZ43" i="1"/>
  <c r="GZ14" i="1"/>
  <c r="DT13" i="1"/>
  <c r="DS100" i="1"/>
  <c r="DS43" i="1"/>
  <c r="DC54" i="3"/>
  <c r="DW96" i="119"/>
  <c r="DE80" i="2"/>
  <c r="DY97" i="119"/>
  <c r="EB95" i="119"/>
  <c r="EC95" i="119"/>
  <c r="DY95" i="119"/>
  <c r="DY284" i="119"/>
  <c r="DY102" i="119"/>
  <c r="DE79" i="2"/>
  <c r="DY93" i="119"/>
  <c r="DE71" i="3"/>
  <c r="DE70" i="3" s="1"/>
  <c r="DY103" i="119"/>
  <c r="DE25" i="3"/>
  <c r="DY96" i="119" s="1"/>
  <c r="DY94" i="119"/>
  <c r="DC51" i="2"/>
  <c r="DW70" i="119" s="1"/>
  <c r="DW65" i="119"/>
  <c r="EI95" i="119"/>
  <c r="DD70" i="3"/>
  <c r="DD54" i="3"/>
  <c r="DD65" i="3" s="1"/>
  <c r="EN13" i="119" l="1"/>
  <c r="EN15" i="119"/>
  <c r="DC55" i="3"/>
  <c r="DC65" i="3"/>
  <c r="DT99" i="1"/>
  <c r="DS101" i="1"/>
  <c r="DS122" i="1"/>
  <c r="FO132" i="1" s="1"/>
  <c r="DT42" i="1"/>
  <c r="DS80" i="1"/>
  <c r="CY75" i="6"/>
  <c r="CZ36" i="6"/>
  <c r="CZ75" i="6" s="1"/>
  <c r="DU12" i="1"/>
  <c r="DT78" i="1"/>
  <c r="DT43" i="1"/>
  <c r="DT100" i="1"/>
  <c r="DT79" i="1"/>
  <c r="DU13" i="1"/>
  <c r="DT14" i="1"/>
  <c r="DT101" i="1" s="1"/>
  <c r="EF95" i="119"/>
  <c r="EG95" i="119"/>
  <c r="GC13" i="3"/>
  <c r="DD55" i="3"/>
  <c r="DC50" i="51"/>
  <c r="DC82" i="51" s="1"/>
  <c r="DC16" i="51"/>
  <c r="DC14" i="51"/>
  <c r="DC12" i="51"/>
  <c r="DC13" i="51"/>
  <c r="DC11" i="51"/>
  <c r="DC8" i="51"/>
  <c r="DC115" i="2"/>
  <c r="DC21" i="1"/>
  <c r="DW24" i="119" s="1"/>
  <c r="DW26" i="119" s="1"/>
  <c r="DC16" i="1"/>
  <c r="DW21" i="119" s="1"/>
  <c r="DC14" i="1"/>
  <c r="DC121" i="1"/>
  <c r="DC120" i="1"/>
  <c r="CI16" i="6"/>
  <c r="CI85" i="6" s="1"/>
  <c r="CI66" i="6"/>
  <c r="CI48" i="6"/>
  <c r="CI65" i="6"/>
  <c r="CI47" i="6"/>
  <c r="CI64" i="6"/>
  <c r="CI46" i="6"/>
  <c r="CI63" i="6"/>
  <c r="CI45" i="6"/>
  <c r="CI62" i="6"/>
  <c r="CI44" i="6"/>
  <c r="CI7" i="6"/>
  <c r="EO13" i="119" l="1"/>
  <c r="EO15" i="119"/>
  <c r="CZ57" i="6"/>
  <c r="DV12" i="1"/>
  <c r="DU99" i="1"/>
  <c r="FQ12" i="1"/>
  <c r="DU42" i="1"/>
  <c r="DU78" i="1"/>
  <c r="DA36" i="6"/>
  <c r="ER36" i="6" s="1"/>
  <c r="ER57" i="6" s="1"/>
  <c r="DU43" i="1"/>
  <c r="DU79" i="1"/>
  <c r="DC62" i="51"/>
  <c r="DW18" i="119"/>
  <c r="DW19" i="119" s="1"/>
  <c r="DC63" i="51"/>
  <c r="DC64" i="51"/>
  <c r="DC65" i="51"/>
  <c r="DC67" i="51"/>
  <c r="DV13" i="1"/>
  <c r="DU100" i="1"/>
  <c r="FQ13" i="1"/>
  <c r="DU14" i="1"/>
  <c r="DU44" i="1" s="1"/>
  <c r="DW176" i="119"/>
  <c r="DT122" i="1"/>
  <c r="FP132" i="1" s="1"/>
  <c r="DT80" i="1"/>
  <c r="DT44" i="1"/>
  <c r="EJ95" i="119"/>
  <c r="EK95" i="119"/>
  <c r="DC23" i="113"/>
  <c r="DC239" i="112"/>
  <c r="DC229" i="112"/>
  <c r="DC234" i="112"/>
  <c r="GD13" i="3"/>
  <c r="DC223" i="112"/>
  <c r="DC211" i="112"/>
  <c r="DC217" i="112"/>
  <c r="DC207" i="112"/>
  <c r="DC200" i="112"/>
  <c r="DC183" i="112"/>
  <c r="DC186" i="112"/>
  <c r="CI93" i="6"/>
  <c r="CI94" i="6"/>
  <c r="CI84" i="6"/>
  <c r="CI80" i="6"/>
  <c r="CI81" i="6"/>
  <c r="CI83" i="6"/>
  <c r="CI82" i="6"/>
  <c r="CJ67" i="6"/>
  <c r="DC161" i="113"/>
  <c r="DC148" i="113"/>
  <c r="DC141" i="113"/>
  <c r="DC129" i="113"/>
  <c r="DC123" i="113"/>
  <c r="DC135" i="113"/>
  <c r="DC117" i="113"/>
  <c r="DC97" i="113"/>
  <c r="DC88" i="113"/>
  <c r="DC51" i="113"/>
  <c r="DC111" i="113"/>
  <c r="DC64" i="113"/>
  <c r="DC36" i="113"/>
  <c r="DC74" i="113"/>
  <c r="DC176" i="112"/>
  <c r="DC169" i="112"/>
  <c r="DC117" i="112"/>
  <c r="DC124" i="112"/>
  <c r="DC110" i="112"/>
  <c r="DC162" i="112"/>
  <c r="DC103" i="112"/>
  <c r="DC32" i="112"/>
  <c r="DC43" i="112" s="1"/>
  <c r="DC193" i="112"/>
  <c r="DC21" i="112"/>
  <c r="DC131" i="112"/>
  <c r="DC72" i="112"/>
  <c r="DC39" i="51"/>
  <c r="DC56" i="51"/>
  <c r="DC19" i="51"/>
  <c r="DC30" i="51"/>
  <c r="DD122" i="1"/>
  <c r="FP128" i="1" s="1"/>
  <c r="DD80" i="1"/>
  <c r="DC58" i="51"/>
  <c r="DC15" i="51"/>
  <c r="DC53" i="51"/>
  <c r="DD61" i="51" l="1"/>
  <c r="AF13" i="119"/>
  <c r="R8" i="116"/>
  <c r="AH69" i="116" s="1"/>
  <c r="AF15" i="119"/>
  <c r="R7" i="116"/>
  <c r="AH68" i="116" s="1"/>
  <c r="EP15" i="119"/>
  <c r="EP13" i="119"/>
  <c r="DV99" i="1"/>
  <c r="DB36" i="6"/>
  <c r="DB75" i="6" s="1"/>
  <c r="DV78" i="1"/>
  <c r="DV42" i="1"/>
  <c r="DA75" i="6"/>
  <c r="DW12" i="1"/>
  <c r="HA12" i="1"/>
  <c r="HA42" i="1" s="1"/>
  <c r="FQ99" i="1"/>
  <c r="FQ42" i="1"/>
  <c r="DA57" i="6"/>
  <c r="HA13" i="1"/>
  <c r="HA100" i="1" s="1"/>
  <c r="FQ14" i="1"/>
  <c r="DW13" i="1"/>
  <c r="DV43" i="1"/>
  <c r="DV79" i="1"/>
  <c r="DV100" i="1"/>
  <c r="DV14" i="1"/>
  <c r="DV122" i="1" s="1"/>
  <c r="FN133" i="1" s="1"/>
  <c r="FQ100" i="1"/>
  <c r="DC66" i="51"/>
  <c r="DU122" i="1"/>
  <c r="FQ132" i="1" s="1"/>
  <c r="FQ43" i="1"/>
  <c r="DU101" i="1"/>
  <c r="DU80" i="1"/>
  <c r="DW164" i="119"/>
  <c r="GE13" i="3"/>
  <c r="DW150" i="119"/>
  <c r="DW147" i="119"/>
  <c r="DW144" i="119"/>
  <c r="DW141" i="119"/>
  <c r="DW138" i="119"/>
  <c r="DW153" i="119"/>
  <c r="DW149" i="119"/>
  <c r="DW146" i="119"/>
  <c r="DW143" i="119"/>
  <c r="DW140" i="119"/>
  <c r="DW154" i="119"/>
  <c r="DW148" i="119"/>
  <c r="DW139" i="119"/>
  <c r="DW145" i="119"/>
  <c r="DW151" i="119"/>
  <c r="DW142" i="119"/>
  <c r="DW135" i="119"/>
  <c r="DW129" i="119"/>
  <c r="DW166" i="119"/>
  <c r="DW174" i="119"/>
  <c r="DW170" i="119"/>
  <c r="DW165" i="119"/>
  <c r="DW163" i="119"/>
  <c r="DW169" i="119"/>
  <c r="DC17" i="51"/>
  <c r="DG184" i="112" s="1"/>
  <c r="DC52" i="51"/>
  <c r="DC57" i="51"/>
  <c r="DD60" i="51" l="1"/>
  <c r="FQ101" i="1"/>
  <c r="R9" i="116"/>
  <c r="T9" i="116" s="1"/>
  <c r="U9" i="116" s="1"/>
  <c r="EQ13" i="119"/>
  <c r="EQ15" i="119"/>
  <c r="T7" i="116"/>
  <c r="U7" i="116" s="1"/>
  <c r="DW78" i="1"/>
  <c r="DW42" i="1"/>
  <c r="DB57" i="6"/>
  <c r="DW99" i="1"/>
  <c r="DX12" i="1"/>
  <c r="DC36" i="6"/>
  <c r="DC57" i="6" s="1"/>
  <c r="HA99" i="1"/>
  <c r="HA43" i="1"/>
  <c r="DW43" i="1"/>
  <c r="FQ44" i="1"/>
  <c r="T8" i="116"/>
  <c r="U8" i="116" s="1"/>
  <c r="DV44" i="1"/>
  <c r="DW100" i="1"/>
  <c r="DW14" i="1"/>
  <c r="DW80" i="1" s="1"/>
  <c r="DX13" i="1"/>
  <c r="DW79" i="1"/>
  <c r="DV101" i="1"/>
  <c r="HA14" i="1"/>
  <c r="HA101" i="1" s="1"/>
  <c r="DV80" i="1"/>
  <c r="DC68" i="51"/>
  <c r="GF13" i="3"/>
  <c r="DW173" i="119"/>
  <c r="DW128" i="119"/>
  <c r="DW167" i="119"/>
  <c r="DW152" i="119"/>
  <c r="FS13" i="3"/>
  <c r="AG95" i="119" s="1"/>
  <c r="GG13" i="3"/>
  <c r="GH13" i="3"/>
  <c r="FT13" i="3"/>
  <c r="AH95" i="119" s="1"/>
  <c r="DC54" i="51"/>
  <c r="DC46" i="51"/>
  <c r="DC45" i="51"/>
  <c r="DC9" i="1"/>
  <c r="DC40" i="51"/>
  <c r="DC43" i="51"/>
  <c r="DC42" i="51"/>
  <c r="DC41" i="51"/>
  <c r="DC44" i="51"/>
  <c r="ER15" i="119" l="1"/>
  <c r="ER13" i="119"/>
  <c r="DX99" i="1"/>
  <c r="DY12" i="1"/>
  <c r="DC75" i="6"/>
  <c r="DX42" i="1"/>
  <c r="DX78" i="1"/>
  <c r="DD36" i="6"/>
  <c r="DD75" i="6" s="1"/>
  <c r="DX79" i="1"/>
  <c r="DW122" i="1"/>
  <c r="FO133" i="1" s="1"/>
  <c r="DW101" i="1"/>
  <c r="DY13" i="1"/>
  <c r="DX43" i="1"/>
  <c r="DX14" i="1"/>
  <c r="DX122" i="1" s="1"/>
  <c r="FP133" i="1" s="1"/>
  <c r="DW44" i="1"/>
  <c r="DX100" i="1"/>
  <c r="HA44" i="1"/>
  <c r="DW11" i="119"/>
  <c r="DW270" i="119" s="1"/>
  <c r="FV13" i="3"/>
  <c r="AJ95" i="119" s="1"/>
  <c r="GI13" i="3"/>
  <c r="FU13" i="3"/>
  <c r="AI95" i="119" s="1"/>
  <c r="CI86" i="6"/>
  <c r="DD117" i="1"/>
  <c r="DD75" i="1"/>
  <c r="DC64" i="1"/>
  <c r="DC61" i="1"/>
  <c r="DC60" i="1"/>
  <c r="DC63" i="1"/>
  <c r="DC65" i="1"/>
  <c r="DC67" i="1"/>
  <c r="DC62" i="2"/>
  <c r="DS62" i="2" s="1"/>
  <c r="DW62" i="2" s="1"/>
  <c r="EA62" i="2" s="1"/>
  <c r="EE62" i="2" s="1"/>
  <c r="EI62" i="2" s="1"/>
  <c r="DC11" i="1"/>
  <c r="R19" i="118" l="1"/>
  <c r="ES13" i="119"/>
  <c r="ES15" i="119"/>
  <c r="DE36" i="6"/>
  <c r="DE57" i="6" s="1"/>
  <c r="DY99" i="1"/>
  <c r="DZ12" i="1"/>
  <c r="DY78" i="1"/>
  <c r="DY42" i="1"/>
  <c r="DD57" i="6"/>
  <c r="FR12" i="1"/>
  <c r="DY14" i="1"/>
  <c r="DY101" i="1" s="1"/>
  <c r="DZ13" i="1"/>
  <c r="DY43" i="1"/>
  <c r="FR13" i="1"/>
  <c r="DY100" i="1"/>
  <c r="DX101" i="1"/>
  <c r="DY79" i="1"/>
  <c r="DX44" i="1"/>
  <c r="DX80" i="1"/>
  <c r="DD119" i="1"/>
  <c r="DC62" i="1"/>
  <c r="DC59" i="51" s="1"/>
  <c r="DD77" i="1"/>
  <c r="DC15" i="1"/>
  <c r="AG15" i="119" l="1"/>
  <c r="V7" i="116"/>
  <c r="AG13" i="119"/>
  <c r="V8" i="116"/>
  <c r="ET13" i="119"/>
  <c r="ET15" i="119"/>
  <c r="ES36" i="6"/>
  <c r="ES57" i="6" s="1"/>
  <c r="DE75" i="6"/>
  <c r="DF36" i="6"/>
  <c r="DF57" i="6" s="1"/>
  <c r="HB12" i="1"/>
  <c r="HB99" i="1" s="1"/>
  <c r="DZ78" i="1"/>
  <c r="DZ42" i="1"/>
  <c r="EA12" i="1"/>
  <c r="DZ99" i="1"/>
  <c r="FR99" i="1"/>
  <c r="FR42" i="1"/>
  <c r="HB13" i="1"/>
  <c r="HB100" i="1" s="1"/>
  <c r="DZ43" i="1"/>
  <c r="DZ100" i="1"/>
  <c r="DY80" i="1"/>
  <c r="FR43" i="1"/>
  <c r="FR14" i="1"/>
  <c r="DZ79" i="1"/>
  <c r="EA13" i="1"/>
  <c r="DY122" i="1"/>
  <c r="FQ133" i="1" s="1"/>
  <c r="DZ14" i="1"/>
  <c r="HB14" i="1" s="1"/>
  <c r="HB44" i="1" s="1"/>
  <c r="DY44" i="1"/>
  <c r="FR100" i="1"/>
  <c r="DW23" i="119"/>
  <c r="DW268" i="119" s="1"/>
  <c r="CI38" i="6"/>
  <c r="CJ77" i="6" s="1"/>
  <c r="DD123" i="1"/>
  <c r="DC66" i="1"/>
  <c r="DD81" i="1"/>
  <c r="DC17" i="1"/>
  <c r="DC23" i="1"/>
  <c r="X8" i="116" l="1"/>
  <c r="Y8" i="116" s="1"/>
  <c r="AI69" i="116"/>
  <c r="X7" i="116"/>
  <c r="Y7" i="116" s="1"/>
  <c r="AI68" i="116"/>
  <c r="FR44" i="1"/>
  <c r="V9" i="116"/>
  <c r="X9" i="116" s="1"/>
  <c r="Y9" i="116" s="1"/>
  <c r="EU13" i="119"/>
  <c r="EU15" i="119"/>
  <c r="DF75" i="6"/>
  <c r="EA99" i="1"/>
  <c r="EB12" i="1"/>
  <c r="HB42" i="1"/>
  <c r="EA42" i="1"/>
  <c r="DG36" i="6"/>
  <c r="DG75" i="6" s="1"/>
  <c r="EA78" i="1"/>
  <c r="HB43" i="1"/>
  <c r="EA100" i="1"/>
  <c r="EA14" i="1"/>
  <c r="EA44" i="1" s="1"/>
  <c r="EA79" i="1"/>
  <c r="DZ44" i="1"/>
  <c r="FR101" i="1"/>
  <c r="DZ101" i="1"/>
  <c r="HB101" i="1"/>
  <c r="EA43" i="1"/>
  <c r="EB13" i="1"/>
  <c r="DZ122" i="1"/>
  <c r="FN134" i="1" s="1"/>
  <c r="DZ80" i="1"/>
  <c r="DW30" i="119"/>
  <c r="DW269" i="119" s="1"/>
  <c r="DW20" i="119"/>
  <c r="DW259" i="119" s="1"/>
  <c r="CI96" i="6"/>
  <c r="CI37" i="6"/>
  <c r="CI39" i="6" s="1"/>
  <c r="DC74" i="2"/>
  <c r="DC72" i="2"/>
  <c r="DC75" i="2"/>
  <c r="DC73" i="2"/>
  <c r="DC85" i="2"/>
  <c r="DD126" i="1"/>
  <c r="DC69" i="1"/>
  <c r="DD84" i="1"/>
  <c r="DC68" i="1"/>
  <c r="DC26" i="1"/>
  <c r="DC25" i="1"/>
  <c r="DW290" i="119" s="1"/>
  <c r="EV15" i="119" l="1"/>
  <c r="EV13" i="119"/>
  <c r="EC12" i="1"/>
  <c r="EB78" i="1"/>
  <c r="EB99" i="1"/>
  <c r="DH36" i="6"/>
  <c r="DH57" i="6" s="1"/>
  <c r="EB42" i="1"/>
  <c r="DG57" i="6"/>
  <c r="EB79" i="1"/>
  <c r="EA122" i="1"/>
  <c r="FO134" i="1" s="1"/>
  <c r="EB100" i="1"/>
  <c r="EB43" i="1"/>
  <c r="EA101" i="1"/>
  <c r="EA80" i="1"/>
  <c r="EB14" i="1"/>
  <c r="EB44" i="1" s="1"/>
  <c r="EC13" i="1"/>
  <c r="DW275" i="119"/>
  <c r="DW277" i="119"/>
  <c r="CJ76" i="6"/>
  <c r="CI95" i="6"/>
  <c r="DD127" i="1"/>
  <c r="DC70" i="1"/>
  <c r="DD85" i="1"/>
  <c r="DC29" i="1"/>
  <c r="DC30" i="1"/>
  <c r="DC28" i="1"/>
  <c r="EW13" i="119" l="1"/>
  <c r="EW15" i="119"/>
  <c r="FS12" i="1"/>
  <c r="AH15" i="119" s="1"/>
  <c r="EC99" i="1"/>
  <c r="EC42" i="1"/>
  <c r="ED12" i="1"/>
  <c r="DI36" i="6"/>
  <c r="ET36" i="6" s="1"/>
  <c r="ET57" i="6" s="1"/>
  <c r="DH75" i="6"/>
  <c r="EC78" i="1"/>
  <c r="EB101" i="1"/>
  <c r="EB122" i="1"/>
  <c r="FP134" i="1" s="1"/>
  <c r="EB80" i="1"/>
  <c r="EC79" i="1"/>
  <c r="ED13" i="1"/>
  <c r="FS13" i="1"/>
  <c r="EC100" i="1"/>
  <c r="EC43" i="1"/>
  <c r="EC14" i="1"/>
  <c r="DW281" i="119"/>
  <c r="DW260" i="119" s="1"/>
  <c r="DW279" i="119"/>
  <c r="DW280" i="119"/>
  <c r="DW267" i="119"/>
  <c r="DD130" i="1"/>
  <c r="DD129" i="1"/>
  <c r="DD128" i="1"/>
  <c r="DD88" i="1"/>
  <c r="DD87" i="1"/>
  <c r="DC71" i="1"/>
  <c r="DD86" i="1"/>
  <c r="DC31" i="1"/>
  <c r="DC32" i="1"/>
  <c r="EX13" i="119" l="1"/>
  <c r="EX15" i="119"/>
  <c r="FS42" i="1"/>
  <c r="FS99" i="1"/>
  <c r="DJ36" i="6"/>
  <c r="DJ57" i="6" s="1"/>
  <c r="HC12" i="1"/>
  <c r="HC99" i="1" s="1"/>
  <c r="EE12" i="1"/>
  <c r="DI75" i="6"/>
  <c r="ED99" i="1"/>
  <c r="ED42" i="1"/>
  <c r="ED78" i="1"/>
  <c r="DI57" i="6"/>
  <c r="ED14" i="1"/>
  <c r="HC14" i="1" s="1"/>
  <c r="HC44" i="1" s="1"/>
  <c r="EE13" i="1"/>
  <c r="HC13" i="1"/>
  <c r="ED79" i="1"/>
  <c r="ED43" i="1"/>
  <c r="ED100" i="1"/>
  <c r="AH13" i="119"/>
  <c r="FS100" i="1"/>
  <c r="FS43" i="1"/>
  <c r="EC101" i="1"/>
  <c r="EC122" i="1"/>
  <c r="FQ134" i="1" s="1"/>
  <c r="FS14" i="1"/>
  <c r="EC44" i="1"/>
  <c r="EC80" i="1"/>
  <c r="DW282" i="119"/>
  <c r="DW283" i="119"/>
  <c r="DP69" i="3"/>
  <c r="DD132" i="1"/>
  <c r="DD131" i="1"/>
  <c r="DD90" i="1"/>
  <c r="DD89" i="1"/>
  <c r="EY13" i="119" l="1"/>
  <c r="EY15" i="119"/>
  <c r="DJ75" i="6"/>
  <c r="EE42" i="1"/>
  <c r="EE78" i="1"/>
  <c r="EE99" i="1"/>
  <c r="EF12" i="1"/>
  <c r="HC42" i="1"/>
  <c r="DK36" i="6"/>
  <c r="DK57" i="6" s="1"/>
  <c r="EE14" i="1"/>
  <c r="EE101" i="1" s="1"/>
  <c r="ED44" i="1"/>
  <c r="ED101" i="1"/>
  <c r="ED80" i="1"/>
  <c r="ED122" i="1"/>
  <c r="FN135" i="1" s="1"/>
  <c r="HC101" i="1"/>
  <c r="HC100" i="1"/>
  <c r="HC43" i="1"/>
  <c r="EF13" i="1"/>
  <c r="EE79" i="1"/>
  <c r="EE43" i="1"/>
  <c r="EE100" i="1"/>
  <c r="FS44" i="1"/>
  <c r="FS101" i="1"/>
  <c r="DP72" i="3"/>
  <c r="DB116" i="2"/>
  <c r="GY9" i="51"/>
  <c r="EZ13" i="119" l="1"/>
  <c r="EZ15" i="119"/>
  <c r="DL36" i="6"/>
  <c r="DL57" i="6" s="1"/>
  <c r="EF42" i="1"/>
  <c r="DK75" i="6"/>
  <c r="EF78" i="1"/>
  <c r="EF99" i="1"/>
  <c r="EG12" i="1"/>
  <c r="EE44" i="1"/>
  <c r="EE122" i="1"/>
  <c r="FO135" i="1" s="1"/>
  <c r="EE80" i="1"/>
  <c r="EF14" i="1"/>
  <c r="EG13" i="1"/>
  <c r="EF100" i="1"/>
  <c r="EF79" i="1"/>
  <c r="EF43" i="1"/>
  <c r="DQ72" i="3"/>
  <c r="DQ69" i="3"/>
  <c r="DR69" i="3"/>
  <c r="GY56" i="51"/>
  <c r="GY39" i="51"/>
  <c r="GY19" i="51"/>
  <c r="DB50" i="51"/>
  <c r="DB82" i="51" s="1"/>
  <c r="DB82" i="2"/>
  <c r="DC78" i="2" s="1"/>
  <c r="DB80" i="2"/>
  <c r="DB79" i="2"/>
  <c r="DB57" i="2"/>
  <c r="DB56" i="2"/>
  <c r="DB114" i="2" s="1"/>
  <c r="DB115" i="2" s="1"/>
  <c r="DB34" i="3"/>
  <c r="DB48" i="3"/>
  <c r="DB24" i="3"/>
  <c r="DV94" i="119" s="1"/>
  <c r="DB49" i="2"/>
  <c r="DB39" i="2"/>
  <c r="DB64" i="2"/>
  <c r="DB65" i="2"/>
  <c r="DR65" i="2" s="1"/>
  <c r="DV65" i="2" s="1"/>
  <c r="DZ65" i="2" s="1"/>
  <c r="ED65" i="2" s="1"/>
  <c r="EH65" i="2" s="1"/>
  <c r="DB18" i="2"/>
  <c r="DV45" i="119" s="1"/>
  <c r="DR63" i="2"/>
  <c r="DV63" i="2" s="1"/>
  <c r="DZ63" i="2" s="1"/>
  <c r="ED63" i="2" s="1"/>
  <c r="EH63" i="2" s="1"/>
  <c r="DB8" i="2"/>
  <c r="CH16" i="6"/>
  <c r="CH66" i="6"/>
  <c r="CH48" i="6"/>
  <c r="CH65" i="6"/>
  <c r="CH47" i="6"/>
  <c r="CH64" i="6"/>
  <c r="CH46" i="6"/>
  <c r="CH63" i="6"/>
  <c r="CH45" i="6"/>
  <c r="CH62" i="6"/>
  <c r="CH44" i="6"/>
  <c r="CH7" i="6"/>
  <c r="DB8" i="51"/>
  <c r="G2" i="123" s="1"/>
  <c r="DB16" i="1"/>
  <c r="DV21" i="119" s="1"/>
  <c r="DB14" i="1"/>
  <c r="G9" i="123" s="1"/>
  <c r="H9" i="123" s="1"/>
  <c r="DB121" i="1"/>
  <c r="DB120" i="1"/>
  <c r="FA15" i="119" l="1"/>
  <c r="FA13" i="119"/>
  <c r="EH12" i="1"/>
  <c r="EG99" i="1"/>
  <c r="DL75" i="6"/>
  <c r="DM36" i="6"/>
  <c r="EU36" i="6" s="1"/>
  <c r="EU57" i="6" s="1"/>
  <c r="EG78" i="1"/>
  <c r="EG42" i="1"/>
  <c r="FT12" i="1"/>
  <c r="AI15" i="119" s="1"/>
  <c r="EG14" i="1"/>
  <c r="EG44" i="1" s="1"/>
  <c r="EF101" i="1"/>
  <c r="EF122" i="1"/>
  <c r="FP135" i="1" s="1"/>
  <c r="EF80" i="1"/>
  <c r="EF44" i="1"/>
  <c r="EG100" i="1"/>
  <c r="EH13" i="1"/>
  <c r="EG79" i="1"/>
  <c r="EG43" i="1"/>
  <c r="FT13" i="1"/>
  <c r="DV18" i="119"/>
  <c r="DV19" i="119" s="1"/>
  <c r="DC34" i="3"/>
  <c r="DW100" i="119" s="1"/>
  <c r="DV100" i="119"/>
  <c r="DB23" i="113"/>
  <c r="DB239" i="112"/>
  <c r="DB229" i="112"/>
  <c r="DB234" i="112"/>
  <c r="EN16" i="6"/>
  <c r="CH85" i="6"/>
  <c r="DC66" i="2"/>
  <c r="DV69" i="119"/>
  <c r="DV271" i="119" s="1"/>
  <c r="DV67" i="119"/>
  <c r="DV298" i="119" s="1"/>
  <c r="DV256" i="119" s="1"/>
  <c r="DV63" i="119"/>
  <c r="DV64" i="119"/>
  <c r="DB200" i="112"/>
  <c r="DB223" i="112"/>
  <c r="DB217" i="112"/>
  <c r="DB211" i="112"/>
  <c r="DB207" i="112"/>
  <c r="DB183" i="112"/>
  <c r="DB186" i="112"/>
  <c r="DS69" i="3"/>
  <c r="DR72" i="3"/>
  <c r="CH93" i="6"/>
  <c r="CH94" i="6"/>
  <c r="CH81" i="6"/>
  <c r="CH84" i="6"/>
  <c r="CH80" i="6"/>
  <c r="CH82" i="6"/>
  <c r="CH83" i="6"/>
  <c r="CI67" i="6"/>
  <c r="DQ32" i="2"/>
  <c r="FQ32" i="2" s="1"/>
  <c r="DB161" i="113"/>
  <c r="DB148" i="113"/>
  <c r="DB141" i="113"/>
  <c r="DB117" i="113"/>
  <c r="DB135" i="113"/>
  <c r="DB97" i="113"/>
  <c r="DB123" i="113"/>
  <c r="DB129" i="113"/>
  <c r="DB88" i="113"/>
  <c r="DB61" i="2"/>
  <c r="DB25" i="3"/>
  <c r="DB51" i="113"/>
  <c r="DB74" i="113"/>
  <c r="DB111" i="113"/>
  <c r="DB64" i="113"/>
  <c r="DB36" i="113"/>
  <c r="DB176" i="112"/>
  <c r="DB169" i="112"/>
  <c r="DB162" i="112"/>
  <c r="DB103" i="112"/>
  <c r="DB124" i="112"/>
  <c r="DB193" i="112"/>
  <c r="DB110" i="112"/>
  <c r="DB117" i="112"/>
  <c r="DB32" i="112"/>
  <c r="DB43" i="112" s="1"/>
  <c r="DB21" i="112"/>
  <c r="DB131" i="112"/>
  <c r="DB72" i="112"/>
  <c r="DB39" i="51"/>
  <c r="DB56" i="51"/>
  <c r="DB19" i="51"/>
  <c r="DB30" i="51"/>
  <c r="DC122" i="1"/>
  <c r="FO128" i="1" s="1"/>
  <c r="DC124" i="1"/>
  <c r="DC80" i="1"/>
  <c r="DC82" i="1"/>
  <c r="DB58" i="2"/>
  <c r="DB35" i="3"/>
  <c r="DV101" i="119" s="1"/>
  <c r="DC84" i="2"/>
  <c r="DC81" i="2"/>
  <c r="DB44" i="2"/>
  <c r="GX27" i="1"/>
  <c r="FB13" i="119" l="1"/>
  <c r="FB15" i="119"/>
  <c r="EH99" i="1"/>
  <c r="EH78" i="1"/>
  <c r="EI12" i="1"/>
  <c r="HD12" i="1"/>
  <c r="HD99" i="1" s="1"/>
  <c r="EH42" i="1"/>
  <c r="DN36" i="6"/>
  <c r="DN57" i="6" s="1"/>
  <c r="FT99" i="1"/>
  <c r="FT42" i="1"/>
  <c r="EG101" i="1"/>
  <c r="DM57" i="6"/>
  <c r="DM75" i="6"/>
  <c r="EG80" i="1"/>
  <c r="EG122" i="1"/>
  <c r="FQ135" i="1" s="1"/>
  <c r="FT14" i="1"/>
  <c r="FT44" i="1" s="1"/>
  <c r="AI13" i="119"/>
  <c r="FT43" i="1"/>
  <c r="FT100" i="1"/>
  <c r="EH79" i="1"/>
  <c r="EH43" i="1"/>
  <c r="EI13" i="1"/>
  <c r="EH100" i="1"/>
  <c r="HD13" i="1"/>
  <c r="EH14" i="1"/>
  <c r="EH122" i="1" s="1"/>
  <c r="FN136" i="1" s="1"/>
  <c r="DC35" i="3"/>
  <c r="DC50" i="3" s="1"/>
  <c r="EN85" i="6"/>
  <c r="AB176" i="119" s="1"/>
  <c r="EN82" i="6"/>
  <c r="AB163" i="119" s="1"/>
  <c r="DV164" i="119"/>
  <c r="DV176" i="119"/>
  <c r="EN83" i="6"/>
  <c r="AB164" i="119" s="1"/>
  <c r="DD34" i="3"/>
  <c r="DX100" i="119" s="1"/>
  <c r="EN84" i="6"/>
  <c r="AB174" i="119" s="1"/>
  <c r="EN15" i="6"/>
  <c r="EN94" i="6"/>
  <c r="EN80" i="6"/>
  <c r="AB135" i="119" s="1"/>
  <c r="EN95" i="6"/>
  <c r="EN81" i="6"/>
  <c r="AB145" i="119" s="1"/>
  <c r="EN93" i="6"/>
  <c r="EN86" i="6"/>
  <c r="DV135" i="119"/>
  <c r="DV129" i="119"/>
  <c r="DV166" i="119"/>
  <c r="DV174" i="119"/>
  <c r="DV165" i="119"/>
  <c r="DV170" i="119"/>
  <c r="DB54" i="3"/>
  <c r="DV96" i="119"/>
  <c r="DV163" i="119"/>
  <c r="DV169" i="119"/>
  <c r="DV150" i="119"/>
  <c r="DV147" i="119"/>
  <c r="DV144" i="119"/>
  <c r="DV141" i="119"/>
  <c r="DV138" i="119"/>
  <c r="DV153" i="119"/>
  <c r="DV149" i="119"/>
  <c r="DV146" i="119"/>
  <c r="DV143" i="119"/>
  <c r="DV140" i="119"/>
  <c r="DV151" i="119"/>
  <c r="DV142" i="119"/>
  <c r="DV145" i="119"/>
  <c r="DV148" i="119"/>
  <c r="DV139" i="119"/>
  <c r="DV154" i="119"/>
  <c r="DB51" i="2"/>
  <c r="DV70" i="119" s="1"/>
  <c r="DV65" i="119"/>
  <c r="DB59" i="2"/>
  <c r="DV76" i="119"/>
  <c r="DV264" i="119" s="1"/>
  <c r="DT69" i="3"/>
  <c r="DS72" i="3"/>
  <c r="DB50" i="3"/>
  <c r="DR32" i="2"/>
  <c r="FC13" i="119" l="1"/>
  <c r="EI99" i="1"/>
  <c r="DO36" i="6"/>
  <c r="DO57" i="6" s="1"/>
  <c r="FC15" i="119"/>
  <c r="EI42" i="1"/>
  <c r="EJ12" i="1"/>
  <c r="EI78" i="1"/>
  <c r="DN75" i="6"/>
  <c r="HD42" i="1"/>
  <c r="DB55" i="3"/>
  <c r="DB65" i="3"/>
  <c r="FT101" i="1"/>
  <c r="EI14" i="1"/>
  <c r="EI122" i="1" s="1"/>
  <c r="FO136" i="1" s="1"/>
  <c r="EH80" i="1"/>
  <c r="HD14" i="1"/>
  <c r="HD101" i="1" s="1"/>
  <c r="EH44" i="1"/>
  <c r="EH101" i="1"/>
  <c r="EI100" i="1"/>
  <c r="EI43" i="1"/>
  <c r="EJ13" i="1"/>
  <c r="EI79" i="1"/>
  <c r="HD43" i="1"/>
  <c r="HD100" i="1"/>
  <c r="DW101" i="119"/>
  <c r="DD35" i="3"/>
  <c r="DD50" i="3" s="1"/>
  <c r="DE34" i="3"/>
  <c r="DE35" i="3" s="1"/>
  <c r="DY101" i="119" s="1"/>
  <c r="AB165" i="119"/>
  <c r="AB170" i="119"/>
  <c r="AB166" i="119"/>
  <c r="AB154" i="119"/>
  <c r="DV128" i="119"/>
  <c r="AB129" i="119"/>
  <c r="AB128" i="119" s="1"/>
  <c r="DV167" i="119"/>
  <c r="AB169" i="119"/>
  <c r="AB167" i="119" s="1"/>
  <c r="AB144" i="119"/>
  <c r="AB147" i="119"/>
  <c r="AB151" i="119"/>
  <c r="AB143" i="119"/>
  <c r="AB150" i="119"/>
  <c r="AB153" i="119"/>
  <c r="AB139" i="119"/>
  <c r="AB146" i="119"/>
  <c r="AB148" i="119"/>
  <c r="AB140" i="119"/>
  <c r="AB138" i="119"/>
  <c r="AB142" i="119"/>
  <c r="AB149" i="119"/>
  <c r="AB141" i="119"/>
  <c r="DV173" i="119"/>
  <c r="DV152" i="119"/>
  <c r="DT72" i="3"/>
  <c r="DS32" i="2"/>
  <c r="DO75" i="6" l="1"/>
  <c r="FD15" i="119"/>
  <c r="FD13" i="119"/>
  <c r="EJ42" i="1"/>
  <c r="EK12" i="1"/>
  <c r="EJ99" i="1"/>
  <c r="EJ78" i="1"/>
  <c r="DP36" i="6"/>
  <c r="DP57" i="6" s="1"/>
  <c r="EI44" i="1"/>
  <c r="EI101" i="1"/>
  <c r="EI80" i="1"/>
  <c r="HD44" i="1"/>
  <c r="EJ43" i="1"/>
  <c r="EK13" i="1"/>
  <c r="EJ79" i="1"/>
  <c r="EJ100" i="1"/>
  <c r="EJ14" i="1"/>
  <c r="EJ44" i="1" s="1"/>
  <c r="DX101" i="119"/>
  <c r="DY100" i="119"/>
  <c r="AB173" i="119"/>
  <c r="AB152" i="119"/>
  <c r="DV72" i="3"/>
  <c r="DV69" i="3"/>
  <c r="DU72" i="3"/>
  <c r="DU69" i="3"/>
  <c r="DT32" i="2"/>
  <c r="FE13" i="119" l="1"/>
  <c r="EK42" i="1"/>
  <c r="FE15" i="119"/>
  <c r="EK78" i="1"/>
  <c r="DQ36" i="6"/>
  <c r="DQ75" i="6" s="1"/>
  <c r="FU12" i="1"/>
  <c r="FU99" i="1" s="1"/>
  <c r="EK99" i="1"/>
  <c r="DP75" i="6"/>
  <c r="EK14" i="1"/>
  <c r="EK122" i="1" s="1"/>
  <c r="FQ136" i="1" s="1"/>
  <c r="FU13" i="1"/>
  <c r="FU100" i="1" s="1"/>
  <c r="EJ101" i="1"/>
  <c r="EJ80" i="1"/>
  <c r="EK100" i="1"/>
  <c r="EK43" i="1"/>
  <c r="EK79" i="1"/>
  <c r="EJ122" i="1"/>
  <c r="FP136" i="1" s="1"/>
  <c r="DW72" i="3"/>
  <c r="DW69" i="3"/>
  <c r="DU32" i="2"/>
  <c r="DA112" i="2"/>
  <c r="CZ112" i="2"/>
  <c r="CY112" i="2"/>
  <c r="CX112" i="2"/>
  <c r="DA111" i="2"/>
  <c r="CZ111" i="2"/>
  <c r="CY111" i="2"/>
  <c r="CX111" i="2"/>
  <c r="DA106" i="2"/>
  <c r="CZ106" i="2"/>
  <c r="CY106" i="2"/>
  <c r="CX106" i="2"/>
  <c r="DA104" i="2"/>
  <c r="CZ104" i="2"/>
  <c r="CY104" i="2"/>
  <c r="CX104" i="2"/>
  <c r="DA103" i="2"/>
  <c r="CZ103" i="2"/>
  <c r="CY103" i="2"/>
  <c r="CX103" i="2"/>
  <c r="EV36" i="6" l="1"/>
  <c r="EV57" i="6" s="1"/>
  <c r="DQ57" i="6"/>
  <c r="DV32" i="2"/>
  <c r="DW32" i="2" s="1"/>
  <c r="FU42" i="1"/>
  <c r="AJ15" i="119"/>
  <c r="EK44" i="1"/>
  <c r="FU14" i="1"/>
  <c r="FU44" i="1" s="1"/>
  <c r="EK80" i="1"/>
  <c r="EK101" i="1"/>
  <c r="AJ13" i="119"/>
  <c r="FU43" i="1"/>
  <c r="DX72" i="3"/>
  <c r="DX69" i="3"/>
  <c r="FR32" i="2"/>
  <c r="DA108" i="2"/>
  <c r="CY108" i="2"/>
  <c r="CZ108" i="2"/>
  <c r="FU101" i="1" l="1"/>
  <c r="DX32" i="2"/>
  <c r="DY72" i="3"/>
  <c r="DY69" i="3"/>
  <c r="EM54" i="6"/>
  <c r="EM53" i="6"/>
  <c r="EM52" i="6"/>
  <c r="EM51" i="6"/>
  <c r="EM50" i="6"/>
  <c r="CF36" i="6"/>
  <c r="CJ57" i="6" s="1"/>
  <c r="CF35" i="6"/>
  <c r="CF91" i="6"/>
  <c r="CF72" i="6"/>
  <c r="CF54" i="6"/>
  <c r="CF90" i="6"/>
  <c r="CF71" i="6"/>
  <c r="CF53" i="6"/>
  <c r="CF89" i="6"/>
  <c r="CF70" i="6"/>
  <c r="CF52" i="6"/>
  <c r="CF88" i="6"/>
  <c r="CF69" i="6"/>
  <c r="CF51" i="6"/>
  <c r="CF87" i="6"/>
  <c r="CF68" i="6"/>
  <c r="CF50" i="6"/>
  <c r="CB36" i="6"/>
  <c r="CB35" i="6"/>
  <c r="CB91" i="6"/>
  <c r="CB72" i="6"/>
  <c r="CB54" i="6"/>
  <c r="CB90" i="6"/>
  <c r="CB71" i="6"/>
  <c r="CB53" i="6"/>
  <c r="CB89" i="6"/>
  <c r="CB70" i="6"/>
  <c r="CB52" i="6"/>
  <c r="CB88" i="6"/>
  <c r="CB69" i="6"/>
  <c r="CB51" i="6"/>
  <c r="CB87" i="6"/>
  <c r="CB68" i="6"/>
  <c r="CB50" i="6"/>
  <c r="EM35" i="6"/>
  <c r="DY32" i="2" l="1"/>
  <c r="DZ72" i="3"/>
  <c r="DZ69" i="3"/>
  <c r="EN56" i="6"/>
  <c r="CF57" i="6"/>
  <c r="CG75" i="6"/>
  <c r="CB57" i="6"/>
  <c r="CC75" i="6"/>
  <c r="CG74" i="6"/>
  <c r="CC74" i="6"/>
  <c r="DA116" i="2"/>
  <c r="FS32" i="2" l="1"/>
  <c r="DZ32" i="2"/>
  <c r="EA72" i="3"/>
  <c r="EA69" i="3"/>
  <c r="EM8" i="6"/>
  <c r="EM13" i="6"/>
  <c r="EM12" i="6"/>
  <c r="EN47" i="6" s="1"/>
  <c r="EM11" i="6"/>
  <c r="EN46" i="6" s="1"/>
  <c r="EM10" i="6"/>
  <c r="EM9" i="6"/>
  <c r="EN44" i="6" s="1"/>
  <c r="DA82" i="2"/>
  <c r="DA8" i="3"/>
  <c r="DA66" i="3" s="1"/>
  <c r="DA89" i="2"/>
  <c r="FM89" i="2" s="1"/>
  <c r="DA57" i="2"/>
  <c r="DA56" i="2"/>
  <c r="DA114" i="2" s="1"/>
  <c r="DA115" i="2" s="1"/>
  <c r="DA49" i="2"/>
  <c r="DA37" i="2"/>
  <c r="DA64" i="2"/>
  <c r="DA65" i="2"/>
  <c r="DA18" i="2"/>
  <c r="DU45" i="119" s="1"/>
  <c r="DA9" i="2"/>
  <c r="DA8" i="2"/>
  <c r="DA50" i="51"/>
  <c r="DA82" i="51" s="1"/>
  <c r="DA16" i="51"/>
  <c r="DA67" i="51" s="1"/>
  <c r="DA14" i="51"/>
  <c r="DA65" i="51" s="1"/>
  <c r="DA12" i="51"/>
  <c r="DA64" i="51" s="1"/>
  <c r="DA13" i="51"/>
  <c r="DA63" i="51" s="1"/>
  <c r="DA11" i="51"/>
  <c r="DA62" i="51" s="1"/>
  <c r="DA9" i="51"/>
  <c r="DA8" i="51"/>
  <c r="DA7" i="51"/>
  <c r="DA14" i="1"/>
  <c r="DU18" i="119" s="1"/>
  <c r="DA121" i="1"/>
  <c r="DA120" i="1"/>
  <c r="DA5" i="1"/>
  <c r="CG16" i="6"/>
  <c r="CG66" i="6"/>
  <c r="CG48" i="6"/>
  <c r="CG65" i="6"/>
  <c r="CG47" i="6"/>
  <c r="CG64" i="6"/>
  <c r="CG46" i="6"/>
  <c r="CG63" i="6"/>
  <c r="CG45" i="6"/>
  <c r="CG62" i="6"/>
  <c r="CG44" i="6"/>
  <c r="CG8" i="6"/>
  <c r="CG7" i="6"/>
  <c r="DA23" i="113" l="1"/>
  <c r="DA239" i="112"/>
  <c r="DA229" i="112"/>
  <c r="DA234" i="112"/>
  <c r="CK49" i="6"/>
  <c r="CG85" i="6"/>
  <c r="DU69" i="119"/>
  <c r="DU271" i="119" s="1"/>
  <c r="DU67" i="119"/>
  <c r="DU298" i="119" s="1"/>
  <c r="DU256" i="119" s="1"/>
  <c r="DA39" i="2"/>
  <c r="DA44" i="2" s="1"/>
  <c r="EA32" i="2"/>
  <c r="EB69" i="3"/>
  <c r="EB72" i="3"/>
  <c r="DA223" i="112"/>
  <c r="DA217" i="112"/>
  <c r="DA211" i="112"/>
  <c r="DA207" i="112"/>
  <c r="DA200" i="112"/>
  <c r="DA186" i="112"/>
  <c r="DA183" i="112"/>
  <c r="EM88" i="6"/>
  <c r="EN45" i="6"/>
  <c r="EM91" i="6"/>
  <c r="EN48" i="6"/>
  <c r="CG94" i="6"/>
  <c r="CG93" i="6"/>
  <c r="CG84" i="6"/>
  <c r="CG82" i="6"/>
  <c r="CG81" i="6"/>
  <c r="CG80" i="6"/>
  <c r="CG83" i="6"/>
  <c r="EM90" i="6"/>
  <c r="EM89" i="6"/>
  <c r="EM87" i="6"/>
  <c r="EM19" i="6"/>
  <c r="CH67" i="6"/>
  <c r="DA161" i="113"/>
  <c r="DA141" i="113"/>
  <c r="DA148" i="113"/>
  <c r="DA117" i="113"/>
  <c r="DA123" i="113"/>
  <c r="DA135" i="113"/>
  <c r="DA129" i="113"/>
  <c r="DA97" i="113"/>
  <c r="DA88" i="113"/>
  <c r="DA74" i="113"/>
  <c r="DA36" i="113"/>
  <c r="DA51" i="113"/>
  <c r="DA111" i="113"/>
  <c r="DA64" i="113"/>
  <c r="DA176" i="112"/>
  <c r="DA162" i="112"/>
  <c r="DA169" i="112"/>
  <c r="DA117" i="112"/>
  <c r="DA124" i="112"/>
  <c r="DA193" i="112"/>
  <c r="DA32" i="112"/>
  <c r="DA43" i="112" s="1"/>
  <c r="DA110" i="112"/>
  <c r="DA103" i="112"/>
  <c r="DA21" i="112"/>
  <c r="DA72" i="112"/>
  <c r="DA131" i="112"/>
  <c r="DA39" i="51"/>
  <c r="DA56" i="51"/>
  <c r="DA30" i="51"/>
  <c r="DA19" i="51"/>
  <c r="DB122" i="1"/>
  <c r="FN128" i="1" s="1"/>
  <c r="DE113" i="1"/>
  <c r="DE134" i="1"/>
  <c r="DB80" i="1"/>
  <c r="DE56" i="1"/>
  <c r="DE92" i="1"/>
  <c r="DB78" i="2"/>
  <c r="DA53" i="51"/>
  <c r="DA61" i="2"/>
  <c r="DA58" i="2"/>
  <c r="DA58" i="51"/>
  <c r="DA15" i="51"/>
  <c r="DA66" i="51" s="1"/>
  <c r="DU164" i="119" l="1"/>
  <c r="DU176" i="119"/>
  <c r="DU64" i="119"/>
  <c r="DU63" i="119"/>
  <c r="DU163" i="119"/>
  <c r="DU169" i="119"/>
  <c r="DU170" i="119"/>
  <c r="DU166" i="119"/>
  <c r="DU174" i="119"/>
  <c r="DU165" i="119"/>
  <c r="DU129" i="119"/>
  <c r="DU135" i="119"/>
  <c r="DU151" i="119"/>
  <c r="DU148" i="119"/>
  <c r="DU145" i="119"/>
  <c r="DU142" i="119"/>
  <c r="DU139" i="119"/>
  <c r="DU150" i="119"/>
  <c r="DU147" i="119"/>
  <c r="DU144" i="119"/>
  <c r="DU141" i="119"/>
  <c r="DU138" i="119"/>
  <c r="DU149" i="119"/>
  <c r="DU140" i="119"/>
  <c r="DU154" i="119"/>
  <c r="DU146" i="119"/>
  <c r="DU153" i="119"/>
  <c r="DU143" i="119"/>
  <c r="DA59" i="2"/>
  <c r="DU76" i="119"/>
  <c r="DU264" i="119" s="1"/>
  <c r="DA51" i="2"/>
  <c r="DU70" i="119" s="1"/>
  <c r="DU65" i="119"/>
  <c r="EB32" i="2"/>
  <c r="EC69" i="3"/>
  <c r="EC72" i="3"/>
  <c r="DB81" i="2"/>
  <c r="DB84" i="2"/>
  <c r="DA52" i="51"/>
  <c r="DA57" i="51"/>
  <c r="DA17" i="51"/>
  <c r="DM5" i="1"/>
  <c r="DL5" i="1"/>
  <c r="DK5" i="1"/>
  <c r="DJ5" i="1"/>
  <c r="DI5" i="1"/>
  <c r="DH5" i="1"/>
  <c r="DG5" i="1"/>
  <c r="DF5" i="1"/>
  <c r="DM7" i="51"/>
  <c r="DN6" i="51" s="1"/>
  <c r="DL7" i="51"/>
  <c r="DK7" i="51"/>
  <c r="DJ7" i="51"/>
  <c r="DI7" i="51"/>
  <c r="DH7" i="51"/>
  <c r="DG7" i="51"/>
  <c r="DF7" i="51"/>
  <c r="FO27" i="1"/>
  <c r="FO9" i="51"/>
  <c r="FP47" i="3"/>
  <c r="FP46" i="3"/>
  <c r="FP45" i="3"/>
  <c r="FP43" i="3"/>
  <c r="FP40" i="3"/>
  <c r="FP39" i="3"/>
  <c r="FP38" i="3"/>
  <c r="FP33" i="3"/>
  <c r="FP15" i="3"/>
  <c r="FP14" i="3"/>
  <c r="FP9" i="3"/>
  <c r="FP9" i="2"/>
  <c r="DA68" i="51" l="1"/>
  <c r="DE184" i="112"/>
  <c r="DU173" i="119"/>
  <c r="DU128" i="119"/>
  <c r="DU167" i="119"/>
  <c r="DU152" i="119"/>
  <c r="EC32" i="2"/>
  <c r="ED72" i="3"/>
  <c r="ED69" i="3"/>
  <c r="DA54" i="51"/>
  <c r="FO56" i="51"/>
  <c r="FO39" i="51"/>
  <c r="FO19" i="51"/>
  <c r="DJ161" i="113"/>
  <c r="DJ141" i="113"/>
  <c r="DJ148" i="113"/>
  <c r="DJ135" i="113"/>
  <c r="DJ117" i="113"/>
  <c r="DJ97" i="113"/>
  <c r="DJ129" i="113"/>
  <c r="DJ123" i="113"/>
  <c r="DJ88" i="113"/>
  <c r="DK161" i="113"/>
  <c r="DK141" i="113"/>
  <c r="DK148" i="113"/>
  <c r="DK129" i="113"/>
  <c r="DK123" i="113"/>
  <c r="DK135" i="113"/>
  <c r="DK97" i="113"/>
  <c r="DK117" i="113"/>
  <c r="DK88" i="113"/>
  <c r="DL161" i="113"/>
  <c r="DL141" i="113"/>
  <c r="DL148" i="113"/>
  <c r="DL117" i="113"/>
  <c r="DL97" i="113"/>
  <c r="DL135" i="113"/>
  <c r="DL129" i="113"/>
  <c r="DL123" i="113"/>
  <c r="DL88" i="113"/>
  <c r="DM161" i="113"/>
  <c r="DM141" i="113"/>
  <c r="DM148" i="113"/>
  <c r="DM117" i="113"/>
  <c r="DM123" i="113"/>
  <c r="DM135" i="113"/>
  <c r="DM129" i="113"/>
  <c r="DM97" i="113"/>
  <c r="DM88" i="113"/>
  <c r="DK36" i="113"/>
  <c r="DK64" i="113"/>
  <c r="DK74" i="113"/>
  <c r="DK111" i="113"/>
  <c r="DK51" i="113"/>
  <c r="DM74" i="113"/>
  <c r="DM51" i="113"/>
  <c r="DM36" i="113"/>
  <c r="DM111" i="113"/>
  <c r="DM64" i="113"/>
  <c r="DL36" i="113"/>
  <c r="DL74" i="113"/>
  <c r="DL51" i="113"/>
  <c r="DL111" i="113"/>
  <c r="DL64" i="113"/>
  <c r="DJ111" i="113"/>
  <c r="DJ64" i="113"/>
  <c r="DJ36" i="113"/>
  <c r="DJ74" i="113"/>
  <c r="DJ51" i="113"/>
  <c r="DL176" i="112"/>
  <c r="DL169" i="112"/>
  <c r="DL110" i="112"/>
  <c r="DL162" i="112"/>
  <c r="DL193" i="112"/>
  <c r="DL103" i="112"/>
  <c r="DL124" i="112"/>
  <c r="DL117" i="112"/>
  <c r="DL32" i="112"/>
  <c r="DL43" i="112" s="1"/>
  <c r="DL21" i="112"/>
  <c r="DL72" i="112"/>
  <c r="DL131" i="112"/>
  <c r="DJ176" i="112"/>
  <c r="DJ169" i="112"/>
  <c r="DJ162" i="112"/>
  <c r="DJ124" i="112"/>
  <c r="DJ110" i="112"/>
  <c r="DJ117" i="112"/>
  <c r="DJ193" i="112"/>
  <c r="DJ32" i="112"/>
  <c r="DJ43" i="112" s="1"/>
  <c r="DJ21" i="112"/>
  <c r="DJ131" i="112"/>
  <c r="DJ72" i="112"/>
  <c r="DJ103" i="112"/>
  <c r="DM176" i="112"/>
  <c r="DM169" i="112"/>
  <c r="DM162" i="112"/>
  <c r="DM117" i="112"/>
  <c r="DM110" i="112"/>
  <c r="DM103" i="112"/>
  <c r="DM32" i="112"/>
  <c r="DM43" i="112" s="1"/>
  <c r="DM124" i="112"/>
  <c r="DM193" i="112"/>
  <c r="DM21" i="112"/>
  <c r="DM72" i="112"/>
  <c r="DM131" i="112"/>
  <c r="DK176" i="112"/>
  <c r="DK169" i="112"/>
  <c r="DK124" i="112"/>
  <c r="DK162" i="112"/>
  <c r="DK110" i="112"/>
  <c r="DK103" i="112"/>
  <c r="DK193" i="112"/>
  <c r="DK117" i="112"/>
  <c r="DK131" i="112"/>
  <c r="DK32" i="112"/>
  <c r="DK43" i="112" s="1"/>
  <c r="DK72" i="112"/>
  <c r="DK21" i="112"/>
  <c r="DM39" i="51"/>
  <c r="DM56" i="51"/>
  <c r="DJ39" i="51"/>
  <c r="DJ56" i="51"/>
  <c r="DK39" i="51"/>
  <c r="DL39" i="51"/>
  <c r="DK30" i="51"/>
  <c r="DK19" i="51"/>
  <c r="DL30" i="51"/>
  <c r="DL19" i="51"/>
  <c r="DM30" i="51"/>
  <c r="DM19" i="51"/>
  <c r="DJ30" i="51"/>
  <c r="DJ19" i="51"/>
  <c r="DA9" i="1"/>
  <c r="DK6" i="51"/>
  <c r="DA44" i="51"/>
  <c r="DA46" i="51"/>
  <c r="DA43" i="51"/>
  <c r="DA41" i="51"/>
  <c r="DA40" i="51"/>
  <c r="DA42" i="51"/>
  <c r="DA45" i="51"/>
  <c r="DH6" i="51"/>
  <c r="DM6" i="51"/>
  <c r="DL6" i="51"/>
  <c r="DI6" i="51"/>
  <c r="DJ6" i="51"/>
  <c r="DG6" i="51"/>
  <c r="FT32" i="2" l="1"/>
  <c r="DE191" i="112"/>
  <c r="DE190" i="112"/>
  <c r="DE187" i="112"/>
  <c r="DU11" i="119"/>
  <c r="DU270" i="119" s="1"/>
  <c r="ED32" i="2"/>
  <c r="EE72" i="3"/>
  <c r="EE69" i="3"/>
  <c r="CG86" i="6"/>
  <c r="DA63" i="1"/>
  <c r="DA64" i="1"/>
  <c r="DA61" i="1"/>
  <c r="DA60" i="1"/>
  <c r="DA65" i="1"/>
  <c r="DA62" i="2"/>
  <c r="DA11" i="1"/>
  <c r="CG17" i="6"/>
  <c r="EE32" i="2" l="1"/>
  <c r="EF72" i="3"/>
  <c r="EF69" i="3"/>
  <c r="DA62" i="1"/>
  <c r="DA59" i="51" s="1"/>
  <c r="DA68" i="2"/>
  <c r="DA15" i="1"/>
  <c r="DU23" i="119" l="1"/>
  <c r="DU268" i="119" s="1"/>
  <c r="EF32" i="2"/>
  <c r="EG69" i="3"/>
  <c r="EG72" i="3"/>
  <c r="CG38" i="6"/>
  <c r="DA66" i="1"/>
  <c r="DA23" i="1"/>
  <c r="DU30" i="119" s="1"/>
  <c r="DU269" i="119" s="1"/>
  <c r="EG32" i="2" l="1"/>
  <c r="EH72" i="3"/>
  <c r="EH69" i="3"/>
  <c r="CK56" i="6"/>
  <c r="CK59" i="6"/>
  <c r="CG37" i="6"/>
  <c r="CG39" i="6" s="1"/>
  <c r="CG96" i="6"/>
  <c r="DA69" i="1"/>
  <c r="DA25" i="1"/>
  <c r="DU290" i="119" s="1"/>
  <c r="DA26" i="1"/>
  <c r="FU32" i="2" l="1"/>
  <c r="DU277" i="119"/>
  <c r="DU275" i="119"/>
  <c r="EH32" i="2"/>
  <c r="EI69" i="3"/>
  <c r="EI72" i="3"/>
  <c r="CG95" i="6"/>
  <c r="DA70" i="1"/>
  <c r="DA29" i="1"/>
  <c r="DA30" i="1"/>
  <c r="DU281" i="119" s="1"/>
  <c r="DU260" i="119" s="1"/>
  <c r="DA28" i="1"/>
  <c r="DU279" i="119" l="1"/>
  <c r="DU280" i="119"/>
  <c r="DU267" i="119"/>
  <c r="EI32" i="2"/>
  <c r="EJ69" i="3"/>
  <c r="EJ72" i="3"/>
  <c r="DA71" i="1"/>
  <c r="DA32" i="1"/>
  <c r="DA31" i="1"/>
  <c r="DU282" i="119" l="1"/>
  <c r="DU283" i="119"/>
  <c r="EJ32" i="2"/>
  <c r="EK72" i="3"/>
  <c r="EK69" i="3"/>
  <c r="CZ49" i="2"/>
  <c r="CZ47" i="3"/>
  <c r="DA47" i="3" s="1"/>
  <c r="CZ45" i="3"/>
  <c r="DA45" i="3" s="1"/>
  <c r="CF16" i="6"/>
  <c r="CF85" i="6" s="1"/>
  <c r="CF66" i="6"/>
  <c r="CF48" i="6"/>
  <c r="CF65" i="6"/>
  <c r="CF47" i="6"/>
  <c r="CF64" i="6"/>
  <c r="CF46" i="6"/>
  <c r="CF63" i="6"/>
  <c r="CF45" i="6"/>
  <c r="CF62" i="6"/>
  <c r="CF44" i="6"/>
  <c r="CF7" i="6"/>
  <c r="CZ82" i="2"/>
  <c r="DA78" i="2" s="1"/>
  <c r="CZ57" i="2"/>
  <c r="CZ56" i="2"/>
  <c r="CZ114" i="2" s="1"/>
  <c r="CZ115" i="2" s="1"/>
  <c r="CZ37" i="2"/>
  <c r="CZ64" i="2"/>
  <c r="CZ65" i="2"/>
  <c r="CZ18" i="2"/>
  <c r="DT45" i="119" s="1"/>
  <c r="CZ14" i="1"/>
  <c r="DT18" i="119" s="1"/>
  <c r="CZ121" i="1"/>
  <c r="CZ120" i="1"/>
  <c r="DT176" i="119" l="1"/>
  <c r="DA66" i="2"/>
  <c r="DT69" i="119"/>
  <c r="DT271" i="119" s="1"/>
  <c r="DT67" i="119"/>
  <c r="DT298" i="119" s="1"/>
  <c r="DT256" i="119" s="1"/>
  <c r="EK32" i="2"/>
  <c r="CF93" i="6"/>
  <c r="CF94" i="6"/>
  <c r="CF82" i="6"/>
  <c r="CF81" i="6"/>
  <c r="CF80" i="6"/>
  <c r="CF83" i="6"/>
  <c r="CF84" i="6"/>
  <c r="CJ49" i="6"/>
  <c r="DA122" i="1"/>
  <c r="FQ127" i="1" s="1"/>
  <c r="DD101" i="1"/>
  <c r="DA80" i="1"/>
  <c r="DD44" i="1"/>
  <c r="CZ39" i="2"/>
  <c r="DT63" i="119" s="1"/>
  <c r="CG67" i="6"/>
  <c r="CZ58" i="2"/>
  <c r="FV32" i="2" l="1"/>
  <c r="DT164" i="119"/>
  <c r="DT129" i="119"/>
  <c r="DT135" i="119"/>
  <c r="DT154" i="119"/>
  <c r="DT151" i="119"/>
  <c r="DT148" i="119"/>
  <c r="DT145" i="119"/>
  <c r="DT142" i="119"/>
  <c r="DT139" i="119"/>
  <c r="DT150" i="119"/>
  <c r="DT147" i="119"/>
  <c r="DT144" i="119"/>
  <c r="DT141" i="119"/>
  <c r="DT138" i="119"/>
  <c r="DT153" i="119"/>
  <c r="DT143" i="119"/>
  <c r="DT146" i="119"/>
  <c r="DT149" i="119"/>
  <c r="DT140" i="119"/>
  <c r="DT169" i="119"/>
  <c r="DT163" i="119"/>
  <c r="DT64" i="119"/>
  <c r="DT170" i="119"/>
  <c r="DT166" i="119"/>
  <c r="DT165" i="119"/>
  <c r="DT174" i="119"/>
  <c r="CZ59" i="2"/>
  <c r="DT76" i="119"/>
  <c r="DT264" i="119" s="1"/>
  <c r="CZ16" i="51"/>
  <c r="CZ67" i="51" s="1"/>
  <c r="CZ14" i="51"/>
  <c r="CZ65" i="51" s="1"/>
  <c r="CZ12" i="51"/>
  <c r="CZ64" i="51" s="1"/>
  <c r="CZ13" i="51"/>
  <c r="CZ63" i="51" s="1"/>
  <c r="CZ11" i="51"/>
  <c r="CZ62" i="51" s="1"/>
  <c r="DT173" i="119" l="1"/>
  <c r="DT167" i="119"/>
  <c r="DT128" i="119"/>
  <c r="DT152" i="119"/>
  <c r="DA31" i="51"/>
  <c r="DA34" i="51"/>
  <c r="DA33" i="51"/>
  <c r="DA32" i="51"/>
  <c r="DA36" i="51"/>
  <c r="CZ15" i="51"/>
  <c r="CZ66" i="51" s="1"/>
  <c r="CZ53" i="51"/>
  <c r="CZ58" i="51"/>
  <c r="DA61" i="51" l="1"/>
  <c r="CZ57" i="51"/>
  <c r="CZ52" i="51"/>
  <c r="DA35" i="51"/>
  <c r="CZ17" i="51"/>
  <c r="DA60" i="51" l="1"/>
  <c r="CZ68" i="51"/>
  <c r="DD184" i="112"/>
  <c r="CZ54" i="51"/>
  <c r="CZ44" i="51"/>
  <c r="CZ43" i="51"/>
  <c r="DA37" i="51"/>
  <c r="CZ40" i="51"/>
  <c r="CZ9" i="1"/>
  <c r="CZ41" i="51"/>
  <c r="CZ45" i="51"/>
  <c r="CZ42" i="51"/>
  <c r="CZ46" i="51"/>
  <c r="GT49" i="51"/>
  <c r="GT48" i="51"/>
  <c r="DD191" i="112" l="1"/>
  <c r="DD190" i="112"/>
  <c r="DD187" i="112"/>
  <c r="DD189" i="112"/>
  <c r="DD188" i="112"/>
  <c r="DT11" i="119"/>
  <c r="DT270" i="119" s="1"/>
  <c r="CF86" i="6"/>
  <c r="DA117" i="1"/>
  <c r="DD96" i="1"/>
  <c r="DA75" i="1"/>
  <c r="CZ63" i="1"/>
  <c r="CZ60" i="1"/>
  <c r="CZ64" i="1"/>
  <c r="CZ61" i="1"/>
  <c r="CZ65" i="1"/>
  <c r="DD39" i="1"/>
  <c r="CF17" i="6"/>
  <c r="CZ11" i="1"/>
  <c r="CZ62" i="2"/>
  <c r="DA119" i="1" l="1"/>
  <c r="DD98" i="1"/>
  <c r="CZ62" i="1"/>
  <c r="CZ59" i="51" s="1"/>
  <c r="DA77" i="1"/>
  <c r="DD41" i="1"/>
  <c r="CZ15" i="1"/>
  <c r="DT23" i="119" l="1"/>
  <c r="DT268" i="119" s="1"/>
  <c r="DA123" i="1"/>
  <c r="DD102" i="1"/>
  <c r="CZ66" i="1"/>
  <c r="DA81" i="1"/>
  <c r="DD45" i="1"/>
  <c r="CF38" i="6"/>
  <c r="CZ23" i="1"/>
  <c r="DT30" i="119" s="1"/>
  <c r="DT269" i="119" s="1"/>
  <c r="CF96" i="6" l="1"/>
  <c r="CJ56" i="6"/>
  <c r="CJ59" i="6"/>
  <c r="CG77" i="6"/>
  <c r="CF37" i="6"/>
  <c r="CF39" i="6" s="1"/>
  <c r="DA126" i="1"/>
  <c r="DD105" i="1"/>
  <c r="CZ69" i="1"/>
  <c r="DA84" i="1"/>
  <c r="DD48" i="1"/>
  <c r="CZ25" i="1"/>
  <c r="DT290" i="119" s="1"/>
  <c r="CZ26" i="1"/>
  <c r="DT277" i="119" l="1"/>
  <c r="DT275" i="119"/>
  <c r="CF95" i="6"/>
  <c r="CJ58" i="6"/>
  <c r="CG76" i="6"/>
  <c r="DA127" i="1"/>
  <c r="DD106" i="1"/>
  <c r="CZ70" i="1"/>
  <c r="DA85" i="1"/>
  <c r="CZ30" i="1"/>
  <c r="DT281" i="119" s="1"/>
  <c r="DT260" i="119" s="1"/>
  <c r="CZ29" i="1"/>
  <c r="DD49" i="1"/>
  <c r="CZ28" i="1"/>
  <c r="CD36" i="6"/>
  <c r="CH57" i="6" s="1"/>
  <c r="CD35" i="6"/>
  <c r="CD91" i="6"/>
  <c r="CD72" i="6"/>
  <c r="CD54" i="6"/>
  <c r="BZ36" i="6"/>
  <c r="BZ35" i="6"/>
  <c r="BZ91" i="6"/>
  <c r="BZ72" i="6"/>
  <c r="BZ54" i="6"/>
  <c r="CD90" i="6"/>
  <c r="CD71" i="6"/>
  <c r="CD53" i="6"/>
  <c r="BZ90" i="6"/>
  <c r="BZ71" i="6"/>
  <c r="BZ53" i="6"/>
  <c r="CD89" i="6"/>
  <c r="CD70" i="6"/>
  <c r="CD52" i="6"/>
  <c r="BZ89" i="6"/>
  <c r="BZ70" i="6"/>
  <c r="BZ52" i="6"/>
  <c r="CD88" i="6"/>
  <c r="CD69" i="6"/>
  <c r="CD51" i="6"/>
  <c r="BZ88" i="6"/>
  <c r="BZ69" i="6"/>
  <c r="BZ51" i="6"/>
  <c r="CD87" i="6"/>
  <c r="CD68" i="6"/>
  <c r="CD50" i="6"/>
  <c r="BZ87" i="6"/>
  <c r="BZ68" i="6"/>
  <c r="BZ50" i="6"/>
  <c r="CE36" i="6"/>
  <c r="CI57" i="6" s="1"/>
  <c r="CE35" i="6"/>
  <c r="CE91" i="6"/>
  <c r="CE72" i="6"/>
  <c r="CE54" i="6"/>
  <c r="CA36" i="6"/>
  <c r="CA35" i="6"/>
  <c r="CA91" i="6"/>
  <c r="CA72" i="6"/>
  <c r="CA54" i="6"/>
  <c r="CE90" i="6"/>
  <c r="CE71" i="6"/>
  <c r="CE53" i="6"/>
  <c r="CA90" i="6"/>
  <c r="CA71" i="6"/>
  <c r="CA53" i="6"/>
  <c r="CE89" i="6"/>
  <c r="CE70" i="6"/>
  <c r="CE52" i="6"/>
  <c r="CA89" i="6"/>
  <c r="CA70" i="6"/>
  <c r="CA52" i="6"/>
  <c r="CE88" i="6"/>
  <c r="CE69" i="6"/>
  <c r="CE51" i="6"/>
  <c r="CA88" i="6"/>
  <c r="CA69" i="6"/>
  <c r="CA51" i="6"/>
  <c r="CE87" i="6"/>
  <c r="CE68" i="6"/>
  <c r="CE50" i="6"/>
  <c r="CA87" i="6"/>
  <c r="CA68" i="6"/>
  <c r="CA50" i="6"/>
  <c r="DT279" i="119" l="1"/>
  <c r="DT280" i="119"/>
  <c r="DT267" i="119"/>
  <c r="CD74" i="6"/>
  <c r="BZ74" i="6"/>
  <c r="CD75" i="6"/>
  <c r="CD57" i="6"/>
  <c r="FD36" i="6"/>
  <c r="BZ75" i="6"/>
  <c r="FF36" i="6"/>
  <c r="CE57" i="6"/>
  <c r="CE75" i="6"/>
  <c r="CF75" i="6"/>
  <c r="CA75" i="6"/>
  <c r="CA57" i="6"/>
  <c r="CB75" i="6"/>
  <c r="CA74" i="6"/>
  <c r="CB74" i="6"/>
  <c r="CE74" i="6"/>
  <c r="CF74" i="6"/>
  <c r="FE36" i="6"/>
  <c r="DA130" i="1"/>
  <c r="DA128" i="1"/>
  <c r="DA129" i="1"/>
  <c r="DD108" i="1"/>
  <c r="DD107" i="1"/>
  <c r="DD109" i="1"/>
  <c r="DA88" i="1"/>
  <c r="DA87" i="1"/>
  <c r="CZ71" i="1"/>
  <c r="DA86" i="1"/>
  <c r="CZ31" i="1"/>
  <c r="CZ32" i="1"/>
  <c r="DD51" i="1"/>
  <c r="DD50" i="1"/>
  <c r="DD52" i="1"/>
  <c r="DT283" i="119" l="1"/>
  <c r="DT282" i="119"/>
  <c r="FF57" i="6"/>
  <c r="FE57" i="6"/>
  <c r="DA131" i="1"/>
  <c r="DA132" i="1"/>
  <c r="DD110" i="1"/>
  <c r="DD111" i="1"/>
  <c r="DA90" i="1"/>
  <c r="DA89" i="1"/>
  <c r="DD54" i="1"/>
  <c r="DD53" i="1"/>
  <c r="CY62" i="3"/>
  <c r="CZ62" i="3" s="1"/>
  <c r="DA62" i="3" s="1"/>
  <c r="CY61" i="3"/>
  <c r="CZ61" i="3" s="1"/>
  <c r="DA61" i="3" s="1"/>
  <c r="CY44" i="3"/>
  <c r="CZ44" i="3" s="1"/>
  <c r="DA44" i="3" s="1"/>
  <c r="CY43" i="3"/>
  <c r="CY42" i="3"/>
  <c r="CY41" i="3"/>
  <c r="CY40" i="3"/>
  <c r="CZ40" i="3" s="1"/>
  <c r="DA40" i="3" s="1"/>
  <c r="CY38" i="3"/>
  <c r="CY34" i="3"/>
  <c r="CZ34" i="3" s="1"/>
  <c r="DA34" i="3" s="1"/>
  <c r="CY32" i="3"/>
  <c r="DS97" i="119" s="1"/>
  <c r="CY31" i="3"/>
  <c r="CY30" i="3"/>
  <c r="CZ30" i="3" s="1"/>
  <c r="DA30" i="3" s="1"/>
  <c r="CY29" i="3"/>
  <c r="CZ29" i="3" s="1"/>
  <c r="DA29" i="3" s="1"/>
  <c r="CY28" i="3"/>
  <c r="CY23" i="3"/>
  <c r="CZ23" i="3" s="1"/>
  <c r="DA23" i="3" s="1"/>
  <c r="CY22" i="3"/>
  <c r="CZ22" i="3" s="1"/>
  <c r="DA22" i="3" s="1"/>
  <c r="CY21" i="3"/>
  <c r="CZ21" i="3" s="1"/>
  <c r="DA21" i="3" s="1"/>
  <c r="CY20" i="3"/>
  <c r="CZ20" i="3" s="1"/>
  <c r="DA20" i="3" s="1"/>
  <c r="CY19" i="3"/>
  <c r="CZ19" i="3" s="1"/>
  <c r="DA19" i="3" s="1"/>
  <c r="CY18" i="3"/>
  <c r="CZ18" i="3" s="1"/>
  <c r="DA18" i="3" s="1"/>
  <c r="CY17" i="3"/>
  <c r="CZ17" i="3" s="1"/>
  <c r="DA17" i="3" s="1"/>
  <c r="CY15" i="3"/>
  <c r="CZ15" i="3" s="1"/>
  <c r="DA15" i="3" s="1"/>
  <c r="CY14" i="3"/>
  <c r="CZ14" i="3" s="1"/>
  <c r="DA14" i="3" s="1"/>
  <c r="CY13" i="3"/>
  <c r="CY12" i="3"/>
  <c r="CY11" i="3"/>
  <c r="CY37" i="2"/>
  <c r="CZ13" i="3" l="1"/>
  <c r="DS95" i="119"/>
  <c r="CZ41" i="3"/>
  <c r="DS284" i="119"/>
  <c r="DS102" i="119"/>
  <c r="CZ31" i="3"/>
  <c r="DS98" i="119"/>
  <c r="CZ43" i="3"/>
  <c r="DA43" i="3" s="1"/>
  <c r="DU104" i="119" s="1"/>
  <c r="DS104" i="119"/>
  <c r="CZ12" i="3"/>
  <c r="CZ79" i="2" s="1"/>
  <c r="DS93" i="119"/>
  <c r="CZ11" i="3"/>
  <c r="DS305" i="119"/>
  <c r="CZ28" i="3"/>
  <c r="DS100" i="119"/>
  <c r="CZ38" i="3"/>
  <c r="DA38" i="3" s="1"/>
  <c r="DS103" i="119"/>
  <c r="CZ42" i="3"/>
  <c r="CZ32" i="3"/>
  <c r="DA24" i="3"/>
  <c r="DU94" i="119" s="1"/>
  <c r="CZ24" i="3"/>
  <c r="DT94" i="119" s="1"/>
  <c r="CY39" i="2"/>
  <c r="DS64" i="119" s="1"/>
  <c r="CY33" i="2"/>
  <c r="CE16" i="6"/>
  <c r="CE85" i="6" s="1"/>
  <c r="CE66" i="6"/>
  <c r="CE48" i="6"/>
  <c r="CE65" i="6"/>
  <c r="CE47" i="6"/>
  <c r="CE64" i="6"/>
  <c r="CE46" i="6"/>
  <c r="CE63" i="6"/>
  <c r="CE45" i="6"/>
  <c r="CE62" i="6"/>
  <c r="CE44" i="6"/>
  <c r="CE7" i="6"/>
  <c r="CY89" i="2"/>
  <c r="CY82" i="2"/>
  <c r="CZ78" i="2" s="1"/>
  <c r="CY80" i="2"/>
  <c r="CY79" i="2"/>
  <c r="CY56" i="2"/>
  <c r="CY114" i="2" s="1"/>
  <c r="CY115" i="2" s="1"/>
  <c r="CY49" i="2"/>
  <c r="CY64" i="2"/>
  <c r="CY65" i="2"/>
  <c r="CY18" i="2"/>
  <c r="DS45" i="119" s="1"/>
  <c r="CY48" i="3"/>
  <c r="CY35" i="3"/>
  <c r="DS101" i="119" s="1"/>
  <c r="CY24" i="3"/>
  <c r="DS94" i="119" s="1"/>
  <c r="CY8" i="3"/>
  <c r="CY66" i="3" s="1"/>
  <c r="CY16" i="1"/>
  <c r="DS21" i="119" s="1"/>
  <c r="CY14" i="1"/>
  <c r="DS18" i="119" s="1"/>
  <c r="CY121" i="1"/>
  <c r="CY120" i="1"/>
  <c r="DS176" i="119" l="1"/>
  <c r="DS19" i="119"/>
  <c r="DA41" i="3"/>
  <c r="DT284" i="119"/>
  <c r="DT102" i="119"/>
  <c r="DA11" i="3"/>
  <c r="DU305" i="119" s="1"/>
  <c r="DT305" i="119"/>
  <c r="DT103" i="119"/>
  <c r="DA28" i="3"/>
  <c r="DU100" i="119" s="1"/>
  <c r="DT100" i="119"/>
  <c r="DA31" i="3"/>
  <c r="DU98" i="119" s="1"/>
  <c r="DT98" i="119"/>
  <c r="CZ48" i="3"/>
  <c r="DA12" i="3"/>
  <c r="DT93" i="119"/>
  <c r="CZ16" i="1"/>
  <c r="DT21" i="119" s="1"/>
  <c r="DT19" i="119" s="1"/>
  <c r="CZ35" i="3"/>
  <c r="DT101" i="119" s="1"/>
  <c r="DT97" i="119"/>
  <c r="DA13" i="3"/>
  <c r="DU95" i="119" s="1"/>
  <c r="DT95" i="119"/>
  <c r="DS63" i="119"/>
  <c r="CZ66" i="2"/>
  <c r="DS67" i="119"/>
  <c r="DS298" i="119" s="1"/>
  <c r="DS256" i="119" s="1"/>
  <c r="DS69" i="119"/>
  <c r="DS271" i="119" s="1"/>
  <c r="CY35" i="2"/>
  <c r="DS60" i="119" s="1"/>
  <c r="DS57" i="119"/>
  <c r="DS265" i="119" s="1"/>
  <c r="CZ80" i="2"/>
  <c r="CZ81" i="2" s="1"/>
  <c r="DA42" i="3"/>
  <c r="DU103" i="119" s="1"/>
  <c r="CE94" i="6"/>
  <c r="CE93" i="6"/>
  <c r="CE80" i="6"/>
  <c r="CE83" i="6"/>
  <c r="CE84" i="6"/>
  <c r="CE82" i="6"/>
  <c r="CE81" i="6"/>
  <c r="CI49" i="6"/>
  <c r="FF16" i="6"/>
  <c r="CY57" i="2"/>
  <c r="CY58" i="2" s="1"/>
  <c r="CY91" i="92"/>
  <c r="CY25" i="3"/>
  <c r="DA32" i="3"/>
  <c r="DU97" i="119" s="1"/>
  <c r="CZ122" i="1"/>
  <c r="FP127" i="1" s="1"/>
  <c r="DC101" i="1"/>
  <c r="DC103" i="1"/>
  <c r="CZ80" i="1"/>
  <c r="DC44" i="1"/>
  <c r="DC46" i="1"/>
  <c r="CF67" i="6"/>
  <c r="CZ25" i="3"/>
  <c r="DT96" i="119" s="1"/>
  <c r="CZ84" i="2"/>
  <c r="CZ67" i="1" l="1"/>
  <c r="CZ124" i="1"/>
  <c r="CZ82" i="1"/>
  <c r="CZ17" i="1"/>
  <c r="DT20" i="119" s="1"/>
  <c r="DT259" i="119" s="1"/>
  <c r="DS164" i="119"/>
  <c r="DS135" i="119"/>
  <c r="DS129" i="119"/>
  <c r="CY54" i="3"/>
  <c r="CY55" i="3" s="1"/>
  <c r="DS96" i="119"/>
  <c r="DS154" i="119"/>
  <c r="DS153" i="119"/>
  <c r="DS149" i="119"/>
  <c r="DS146" i="119"/>
  <c r="DS143" i="119"/>
  <c r="DS140" i="119"/>
  <c r="DS151" i="119"/>
  <c r="DS148" i="119"/>
  <c r="DS145" i="119"/>
  <c r="DS142" i="119"/>
  <c r="DS139" i="119"/>
  <c r="DS150" i="119"/>
  <c r="DS141" i="119"/>
  <c r="DS147" i="119"/>
  <c r="DS138" i="119"/>
  <c r="DS144" i="119"/>
  <c r="DA25" i="3"/>
  <c r="DU96" i="119" s="1"/>
  <c r="DS169" i="119"/>
  <c r="DS163" i="119"/>
  <c r="DS165" i="119"/>
  <c r="DS174" i="119"/>
  <c r="DS170" i="119"/>
  <c r="DS166" i="119"/>
  <c r="DA79" i="2"/>
  <c r="DA84" i="2" s="1"/>
  <c r="DU93" i="119"/>
  <c r="DU284" i="119"/>
  <c r="DU102" i="119"/>
  <c r="CY44" i="2"/>
  <c r="CY59" i="2"/>
  <c r="DS76" i="119"/>
  <c r="DS264" i="119" s="1"/>
  <c r="CY61" i="2"/>
  <c r="DA48" i="3"/>
  <c r="FF81" i="6"/>
  <c r="FF86" i="6"/>
  <c r="FF93" i="6"/>
  <c r="FF94" i="6"/>
  <c r="FF82" i="6"/>
  <c r="FF84" i="6"/>
  <c r="FF80" i="6"/>
  <c r="FF83" i="6"/>
  <c r="CY50" i="3"/>
  <c r="DA35" i="3"/>
  <c r="DU101" i="119" s="1"/>
  <c r="DA80" i="2"/>
  <c r="CZ50" i="3"/>
  <c r="CZ54" i="3"/>
  <c r="CZ72" i="2" l="1"/>
  <c r="CZ74" i="2"/>
  <c r="CZ85" i="2"/>
  <c r="CZ73" i="2"/>
  <c r="CZ68" i="1"/>
  <c r="CZ75" i="2"/>
  <c r="DA54" i="3"/>
  <c r="DA55" i="3" s="1"/>
  <c r="DS167" i="119"/>
  <c r="DS173" i="119"/>
  <c r="DS128" i="119"/>
  <c r="DS152" i="119"/>
  <c r="CY51" i="2"/>
  <c r="DS70" i="119" s="1"/>
  <c r="DS65" i="119"/>
  <c r="DA50" i="3"/>
  <c r="DA81" i="2"/>
  <c r="CZ55" i="3"/>
  <c r="CY16" i="51"/>
  <c r="CY67" i="51" s="1"/>
  <c r="CY14" i="51"/>
  <c r="CY65" i="51" s="1"/>
  <c r="CY13" i="51"/>
  <c r="CY63" i="51" s="1"/>
  <c r="CY11" i="51"/>
  <c r="CY62" i="51" s="1"/>
  <c r="CY8" i="51"/>
  <c r="CY23" i="113" l="1"/>
  <c r="CY239" i="112"/>
  <c r="CY234" i="112"/>
  <c r="CY229" i="112"/>
  <c r="CY223" i="112"/>
  <c r="CY211" i="112"/>
  <c r="CY217" i="112"/>
  <c r="CY207" i="112"/>
  <c r="CY200" i="112"/>
  <c r="CY186" i="112"/>
  <c r="CY183" i="112"/>
  <c r="CY161" i="113"/>
  <c r="CY141" i="113"/>
  <c r="CY148" i="113"/>
  <c r="CY129" i="113"/>
  <c r="CY123" i="113"/>
  <c r="CY135" i="113"/>
  <c r="CY97" i="113"/>
  <c r="CY117" i="113"/>
  <c r="CY88" i="113"/>
  <c r="CY36" i="113"/>
  <c r="CY74" i="113"/>
  <c r="CY64" i="113"/>
  <c r="CY51" i="113"/>
  <c r="CY111" i="113"/>
  <c r="CY176" i="112"/>
  <c r="CY169" i="112"/>
  <c r="CY162" i="112"/>
  <c r="CY124" i="112"/>
  <c r="CY117" i="112"/>
  <c r="CY103" i="112"/>
  <c r="CY110" i="112"/>
  <c r="CY193" i="112"/>
  <c r="CY32" i="112"/>
  <c r="CY43" i="112" s="1"/>
  <c r="CY21" i="112"/>
  <c r="CY131" i="112"/>
  <c r="CY72" i="112"/>
  <c r="CY39" i="51"/>
  <c r="CY56" i="51"/>
  <c r="CY30" i="51"/>
  <c r="CY19" i="51"/>
  <c r="CZ33" i="51"/>
  <c r="DC22" i="51"/>
  <c r="CZ31" i="51"/>
  <c r="DC20" i="51"/>
  <c r="CZ34" i="51"/>
  <c r="DC23" i="51"/>
  <c r="DC25" i="51"/>
  <c r="CZ36" i="51"/>
  <c r="CY58" i="51"/>
  <c r="CY53" i="51"/>
  <c r="CZ61" i="51" l="1"/>
  <c r="CY12" i="51"/>
  <c r="CY64" i="51" s="1"/>
  <c r="CZ32" i="51" l="1"/>
  <c r="DC21" i="51"/>
  <c r="CY15" i="51"/>
  <c r="CY66" i="51" s="1"/>
  <c r="CZ35" i="51" l="1"/>
  <c r="DC24" i="51"/>
  <c r="CY57" i="51"/>
  <c r="CY52" i="51"/>
  <c r="CY17" i="51"/>
  <c r="CZ60" i="51" l="1"/>
  <c r="CY68" i="51"/>
  <c r="DC184" i="112"/>
  <c r="CY54" i="51"/>
  <c r="DC26" i="51"/>
  <c r="DC28" i="51" s="1"/>
  <c r="CY9" i="1"/>
  <c r="CZ37" i="51"/>
  <c r="CY44" i="51"/>
  <c r="CY45" i="51"/>
  <c r="CY43" i="51"/>
  <c r="CY46" i="51"/>
  <c r="CY41" i="51"/>
  <c r="CY42" i="51"/>
  <c r="CY40" i="51"/>
  <c r="DC191" i="112" l="1"/>
  <c r="DC190" i="112"/>
  <c r="DC187" i="112"/>
  <c r="DC188" i="112"/>
  <c r="DC189" i="112"/>
  <c r="DS11" i="119"/>
  <c r="DS270" i="119" s="1"/>
  <c r="CE86" i="6"/>
  <c r="CZ117" i="1"/>
  <c r="DC96" i="1"/>
  <c r="CZ75" i="1"/>
  <c r="CY60" i="1"/>
  <c r="CY63" i="1"/>
  <c r="CY61" i="1"/>
  <c r="CY64" i="1"/>
  <c r="CY65" i="1"/>
  <c r="CY67" i="1"/>
  <c r="DC39" i="1"/>
  <c r="CE17" i="6"/>
  <c r="CY11" i="1"/>
  <c r="CY62" i="2"/>
  <c r="CZ119" i="1" l="1"/>
  <c r="DC98" i="1"/>
  <c r="CY62" i="1"/>
  <c r="CY59" i="51" s="1"/>
  <c r="CZ77" i="1"/>
  <c r="DC41" i="1"/>
  <c r="CY15" i="1"/>
  <c r="DS23" i="119" l="1"/>
  <c r="DS268" i="119" s="1"/>
  <c r="CZ123" i="1"/>
  <c r="DC102" i="1"/>
  <c r="CZ81" i="1"/>
  <c r="CY23" i="1"/>
  <c r="DS30" i="119" s="1"/>
  <c r="DS269" i="119" s="1"/>
  <c r="CE38" i="6"/>
  <c r="CY66" i="1"/>
  <c r="DC45" i="1"/>
  <c r="CY17" i="1"/>
  <c r="DS20" i="119" s="1"/>
  <c r="DS259" i="119" s="1"/>
  <c r="CY85" i="2" l="1"/>
  <c r="CY75" i="2"/>
  <c r="CY74" i="2"/>
  <c r="CY73" i="2"/>
  <c r="CY72" i="2"/>
  <c r="CE96" i="6"/>
  <c r="CI56" i="6"/>
  <c r="CI59" i="6"/>
  <c r="CF77" i="6"/>
  <c r="CE37" i="6"/>
  <c r="CE39" i="6" s="1"/>
  <c r="CY26" i="1"/>
  <c r="CZ126" i="1"/>
  <c r="CZ125" i="1"/>
  <c r="CY25" i="1"/>
  <c r="DS290" i="119" s="1"/>
  <c r="DC105" i="1"/>
  <c r="DC104" i="1"/>
  <c r="DC48" i="1"/>
  <c r="CZ83" i="1"/>
  <c r="CY69" i="1"/>
  <c r="CZ84" i="1"/>
  <c r="CY68" i="1"/>
  <c r="DC47" i="1"/>
  <c r="CY28" i="1" l="1"/>
  <c r="DS277" i="119"/>
  <c r="DS275" i="119"/>
  <c r="CE95" i="6"/>
  <c r="CI58" i="6"/>
  <c r="CF76" i="6"/>
  <c r="CZ85" i="1"/>
  <c r="DC49" i="1"/>
  <c r="DC106" i="1"/>
  <c r="CY30" i="1"/>
  <c r="CY29" i="1"/>
  <c r="CZ87" i="1" s="1"/>
  <c r="CY70" i="1"/>
  <c r="CZ127" i="1"/>
  <c r="CZ128" i="1" l="1"/>
  <c r="CY31" i="1"/>
  <c r="CZ131" i="1" s="1"/>
  <c r="DC50" i="1"/>
  <c r="CY32" i="1"/>
  <c r="CZ86" i="1"/>
  <c r="CY71" i="1"/>
  <c r="DC107" i="1"/>
  <c r="CZ88" i="1"/>
  <c r="DS281" i="119"/>
  <c r="DS260" i="119" s="1"/>
  <c r="DS280" i="119"/>
  <c r="DS267" i="119"/>
  <c r="DS279" i="119"/>
  <c r="DC109" i="1"/>
  <c r="DC108" i="1"/>
  <c r="DC52" i="1"/>
  <c r="CZ130" i="1"/>
  <c r="DC51" i="1"/>
  <c r="CZ129" i="1"/>
  <c r="DC53" i="1" l="1"/>
  <c r="CZ89" i="1"/>
  <c r="DC110" i="1"/>
  <c r="CZ90" i="1"/>
  <c r="DC111" i="1"/>
  <c r="DC54" i="1"/>
  <c r="CZ132" i="1"/>
  <c r="DS282" i="119"/>
  <c r="DS283" i="119"/>
  <c r="CW20" i="1"/>
  <c r="CW19" i="1"/>
  <c r="CW116" i="2" s="1"/>
  <c r="CW22" i="1"/>
  <c r="CW208" i="92" l="1"/>
  <c r="DQ25" i="119"/>
  <c r="CX18" i="2"/>
  <c r="DR45" i="119" s="1"/>
  <c r="CX82" i="2"/>
  <c r="CY78" i="2" s="1"/>
  <c r="CX80" i="2"/>
  <c r="CX79" i="2"/>
  <c r="CX57" i="2"/>
  <c r="CX56" i="2"/>
  <c r="CX114" i="2" s="1"/>
  <c r="CX115" i="2" s="1"/>
  <c r="CX49" i="2"/>
  <c r="CX37" i="2"/>
  <c r="CX64" i="2"/>
  <c r="CX65" i="2"/>
  <c r="CX48" i="3"/>
  <c r="CX35" i="3"/>
  <c r="DR101" i="119" s="1"/>
  <c r="CX24" i="3"/>
  <c r="DR94" i="119" s="1"/>
  <c r="CX50" i="51"/>
  <c r="CX82" i="51" s="1"/>
  <c r="CX11" i="51"/>
  <c r="CX62" i="51" s="1"/>
  <c r="CX16" i="1"/>
  <c r="DR21" i="119" s="1"/>
  <c r="CX14" i="1"/>
  <c r="DR18" i="119" s="1"/>
  <c r="CX121" i="1"/>
  <c r="CX120" i="1"/>
  <c r="CD16" i="6"/>
  <c r="CD85" i="6" s="1"/>
  <c r="CD66" i="6"/>
  <c r="CD48" i="6"/>
  <c r="CD65" i="6"/>
  <c r="CD47" i="6"/>
  <c r="CD64" i="6"/>
  <c r="CD46" i="6"/>
  <c r="CD63" i="6"/>
  <c r="CD45" i="6"/>
  <c r="CD62" i="6"/>
  <c r="CD44" i="6"/>
  <c r="CD7" i="6"/>
  <c r="DR176" i="119" l="1"/>
  <c r="DR19" i="119"/>
  <c r="CY66" i="2"/>
  <c r="DR67" i="119"/>
  <c r="DR298" i="119" s="1"/>
  <c r="DR256" i="119" s="1"/>
  <c r="DR69" i="119"/>
  <c r="DR271" i="119" s="1"/>
  <c r="CD94" i="6"/>
  <c r="CD93" i="6"/>
  <c r="CD83" i="6"/>
  <c r="CD82" i="6"/>
  <c r="CD84" i="6"/>
  <c r="CD81" i="6"/>
  <c r="CD80" i="6"/>
  <c r="CX25" i="3"/>
  <c r="DR96" i="119" s="1"/>
  <c r="CY122" i="1"/>
  <c r="FO127" i="1" s="1"/>
  <c r="CY124" i="1"/>
  <c r="DB101" i="1"/>
  <c r="DB103" i="1"/>
  <c r="CY80" i="1"/>
  <c r="CY82" i="1"/>
  <c r="DB46" i="1"/>
  <c r="DB44" i="1"/>
  <c r="EM16" i="6"/>
  <c r="EM85" i="6" s="1"/>
  <c r="AA176" i="119" s="1"/>
  <c r="CH49" i="6"/>
  <c r="CY84" i="2"/>
  <c r="CY81" i="2"/>
  <c r="CX39" i="2"/>
  <c r="CX44" i="2" s="1"/>
  <c r="CE67" i="6"/>
  <c r="CY31" i="51"/>
  <c r="CX58" i="2"/>
  <c r="DR76" i="119" s="1"/>
  <c r="DR264" i="119" s="1"/>
  <c r="CX61" i="2"/>
  <c r="DR164" i="119" l="1"/>
  <c r="CX50" i="3"/>
  <c r="CX54" i="3"/>
  <c r="DR135" i="119"/>
  <c r="DR129" i="119"/>
  <c r="DR154" i="119"/>
  <c r="DR153" i="119"/>
  <c r="DR149" i="119"/>
  <c r="DR146" i="119"/>
  <c r="DR143" i="119"/>
  <c r="DR140" i="119"/>
  <c r="DR151" i="119"/>
  <c r="DR148" i="119"/>
  <c r="DR145" i="119"/>
  <c r="DR142" i="119"/>
  <c r="DR139" i="119"/>
  <c r="DR144" i="119"/>
  <c r="DR147" i="119"/>
  <c r="DR138" i="119"/>
  <c r="DR150" i="119"/>
  <c r="DR141" i="119"/>
  <c r="DR174" i="119"/>
  <c r="DR170" i="119"/>
  <c r="DR165" i="119"/>
  <c r="DR166" i="119"/>
  <c r="DR169" i="119"/>
  <c r="DR163" i="119"/>
  <c r="CX51" i="2"/>
  <c r="DR70" i="119" s="1"/>
  <c r="DR65" i="119"/>
  <c r="DR63" i="119"/>
  <c r="DR64" i="119"/>
  <c r="EN49" i="6"/>
  <c r="EM94" i="6"/>
  <c r="EM95" i="6"/>
  <c r="EM86" i="6"/>
  <c r="EM93" i="6"/>
  <c r="EM15" i="6"/>
  <c r="EM80" i="6"/>
  <c r="EM83" i="6"/>
  <c r="AA164" i="119" s="1"/>
  <c r="EM84" i="6"/>
  <c r="EM82" i="6"/>
  <c r="EM81" i="6"/>
  <c r="DR128" i="119" l="1"/>
  <c r="DR167" i="119"/>
  <c r="AA129" i="119"/>
  <c r="AA135" i="119"/>
  <c r="DR152" i="119"/>
  <c r="AA151" i="119"/>
  <c r="AA148" i="119"/>
  <c r="AA145" i="119"/>
  <c r="AA142" i="119"/>
  <c r="AA139" i="119"/>
  <c r="AA150" i="119"/>
  <c r="AA147" i="119"/>
  <c r="AA144" i="119"/>
  <c r="AA141" i="119"/>
  <c r="AA138" i="119"/>
  <c r="AA149" i="119"/>
  <c r="AA140" i="119"/>
  <c r="AA153" i="119"/>
  <c r="AA143" i="119"/>
  <c r="AA146" i="119"/>
  <c r="AA154" i="119"/>
  <c r="AA169" i="119"/>
  <c r="AA163" i="119"/>
  <c r="DR173" i="119"/>
  <c r="AA174" i="119"/>
  <c r="AA166" i="119"/>
  <c r="AA170" i="119"/>
  <c r="AA165" i="119"/>
  <c r="CR112" i="2"/>
  <c r="CR111" i="2"/>
  <c r="CR106" i="2"/>
  <c r="CR104" i="2"/>
  <c r="CR103" i="2"/>
  <c r="CT112" i="2"/>
  <c r="CT111" i="2"/>
  <c r="CT106" i="2"/>
  <c r="CX107" i="2" s="1"/>
  <c r="CT104" i="2"/>
  <c r="CT103" i="2"/>
  <c r="CU112" i="2"/>
  <c r="CU111" i="2"/>
  <c r="CU106" i="2"/>
  <c r="CY107" i="2" s="1"/>
  <c r="CU104" i="2"/>
  <c r="CU103" i="2"/>
  <c r="CV112" i="2"/>
  <c r="CV111" i="2"/>
  <c r="CV106" i="2"/>
  <c r="CZ107" i="2" s="1"/>
  <c r="CV104" i="2"/>
  <c r="CV103" i="2"/>
  <c r="CW112" i="2"/>
  <c r="CW111" i="2"/>
  <c r="CW106" i="2"/>
  <c r="CW104" i="2"/>
  <c r="CW103" i="2"/>
  <c r="CS112" i="2"/>
  <c r="CS111" i="2"/>
  <c r="CS106" i="2"/>
  <c r="CS104" i="2"/>
  <c r="CS103" i="2"/>
  <c r="AA167" i="119" l="1"/>
  <c r="AA173" i="119"/>
  <c r="AA152" i="119"/>
  <c r="AA128" i="119"/>
  <c r="CX108" i="2"/>
  <c r="DA107" i="2"/>
  <c r="CT108" i="2"/>
  <c r="CV108" i="2"/>
  <c r="CV107" i="2"/>
  <c r="CS108" i="2"/>
  <c r="CU108" i="2"/>
  <c r="CW108" i="2"/>
  <c r="CW107" i="2"/>
  <c r="EL35" i="6" l="1"/>
  <c r="EL54" i="6"/>
  <c r="EL53" i="6"/>
  <c r="EL52" i="6"/>
  <c r="EL51" i="6"/>
  <c r="EL50" i="6"/>
  <c r="EM56" i="6" l="1"/>
  <c r="GB47" i="3"/>
  <c r="GA47" i="3"/>
  <c r="FY47" i="3"/>
  <c r="FX47" i="3"/>
  <c r="GB46" i="3"/>
  <c r="GA46" i="3"/>
  <c r="FY46" i="3"/>
  <c r="FX46" i="3"/>
  <c r="GB45" i="3"/>
  <c r="GA45" i="3"/>
  <c r="GB43" i="3"/>
  <c r="GB40" i="3"/>
  <c r="GA40" i="3"/>
  <c r="GB39" i="3"/>
  <c r="GA39" i="3"/>
  <c r="FZ39" i="3"/>
  <c r="GB38" i="3"/>
  <c r="GA38" i="3"/>
  <c r="GB33" i="3"/>
  <c r="GA33" i="3"/>
  <c r="GB15" i="3"/>
  <c r="GA15" i="3"/>
  <c r="GB14" i="3"/>
  <c r="GA14" i="3"/>
  <c r="GB9" i="3"/>
  <c r="GA9" i="3"/>
  <c r="FZ9" i="3"/>
  <c r="FY9" i="3"/>
  <c r="FX9" i="3"/>
  <c r="CW89" i="2" l="1"/>
  <c r="FL89" i="2" s="1"/>
  <c r="CW82" i="2"/>
  <c r="CX78" i="2" s="1"/>
  <c r="CW57" i="2"/>
  <c r="CW56" i="2"/>
  <c r="CW49" i="2"/>
  <c r="CW37" i="2"/>
  <c r="CW64" i="2"/>
  <c r="CW65" i="2"/>
  <c r="CW18" i="2"/>
  <c r="DQ45" i="119" s="1"/>
  <c r="CW50" i="51"/>
  <c r="CW82" i="51" s="1"/>
  <c r="CW16" i="51"/>
  <c r="CW67" i="51" s="1"/>
  <c r="CW14" i="51"/>
  <c r="CW65" i="51" s="1"/>
  <c r="CW12" i="51"/>
  <c r="CW64" i="51" s="1"/>
  <c r="CW13" i="51"/>
  <c r="CW63" i="51" s="1"/>
  <c r="CW11" i="51"/>
  <c r="CW62" i="51" s="1"/>
  <c r="CW14" i="1"/>
  <c r="DQ18" i="119" s="1"/>
  <c r="CW121" i="1"/>
  <c r="CW120" i="1"/>
  <c r="DQ67" i="119" l="1"/>
  <c r="DQ298" i="119" s="1"/>
  <c r="DQ256" i="119" s="1"/>
  <c r="DQ69" i="119"/>
  <c r="DQ271" i="119" s="1"/>
  <c r="CX122" i="1"/>
  <c r="FN127" i="1" s="1"/>
  <c r="DA101" i="1"/>
  <c r="CX80" i="1"/>
  <c r="DA44" i="1"/>
  <c r="DA23" i="51"/>
  <c r="DA22" i="51"/>
  <c r="DA21" i="51"/>
  <c r="DA20" i="51"/>
  <c r="DA25" i="51"/>
  <c r="CX84" i="2"/>
  <c r="CX81" i="2"/>
  <c r="CW39" i="2"/>
  <c r="DQ64" i="119" s="1"/>
  <c r="CX31" i="51"/>
  <c r="CW53" i="51"/>
  <c r="CW58" i="2"/>
  <c r="CW61" i="2"/>
  <c r="CW114" i="2"/>
  <c r="CW58" i="51"/>
  <c r="CW15" i="51"/>
  <c r="CW66" i="51" s="1"/>
  <c r="EL13" i="6"/>
  <c r="EM48" i="6" s="1"/>
  <c r="EL12" i="6"/>
  <c r="EL11" i="6"/>
  <c r="EL10" i="6"/>
  <c r="EM45" i="6" s="1"/>
  <c r="EL9" i="6"/>
  <c r="EL19" i="6" s="1"/>
  <c r="CC16" i="6"/>
  <c r="CC85" i="6" s="1"/>
  <c r="CC66" i="6"/>
  <c r="CC48" i="6"/>
  <c r="CC65" i="6"/>
  <c r="CC47" i="6"/>
  <c r="CC64" i="6"/>
  <c r="CC46" i="6"/>
  <c r="CC63" i="6"/>
  <c r="CC45" i="6"/>
  <c r="CC62" i="6"/>
  <c r="CC44" i="6"/>
  <c r="EL8" i="6"/>
  <c r="CC8" i="6"/>
  <c r="CC7" i="6"/>
  <c r="DF33" i="92"/>
  <c r="DF29" i="92"/>
  <c r="DH44" i="92"/>
  <c r="DI44" i="92" s="1"/>
  <c r="DJ44" i="92" s="1"/>
  <c r="FO9" i="2"/>
  <c r="FO47" i="3"/>
  <c r="FO46" i="3"/>
  <c r="FO45" i="3"/>
  <c r="FO43" i="3"/>
  <c r="FO40" i="3"/>
  <c r="FO39" i="3"/>
  <c r="FO38" i="3"/>
  <c r="FO33" i="3"/>
  <c r="FO15" i="3"/>
  <c r="FO14" i="3"/>
  <c r="GW27" i="1"/>
  <c r="FN27" i="1"/>
  <c r="DQ176" i="119" l="1"/>
  <c r="DQ63" i="119"/>
  <c r="CW59" i="2"/>
  <c r="DQ76" i="119"/>
  <c r="DQ264" i="119" s="1"/>
  <c r="CC94" i="6"/>
  <c r="CC93" i="6"/>
  <c r="CC83" i="6"/>
  <c r="CC84" i="6"/>
  <c r="CC81" i="6"/>
  <c r="CC82" i="6"/>
  <c r="CC80" i="6"/>
  <c r="EM47" i="6"/>
  <c r="DG33" i="92"/>
  <c r="EL87" i="6"/>
  <c r="EM44" i="6"/>
  <c r="EL89" i="6"/>
  <c r="EM46" i="6"/>
  <c r="CG49" i="6"/>
  <c r="CD67" i="6"/>
  <c r="DA24" i="51"/>
  <c r="EL91" i="6"/>
  <c r="EL88" i="6"/>
  <c r="EL90" i="6"/>
  <c r="CW17" i="51"/>
  <c r="CW68" i="51" s="1"/>
  <c r="CW44" i="2"/>
  <c r="CW52" i="51"/>
  <c r="CW57" i="51"/>
  <c r="DI8" i="2"/>
  <c r="DH8" i="2"/>
  <c r="DG8" i="2"/>
  <c r="DF8" i="2"/>
  <c r="FO9" i="3"/>
  <c r="GX9" i="51"/>
  <c r="FN9" i="51"/>
  <c r="DQ164" i="119" l="1"/>
  <c r="DQ163" i="119"/>
  <c r="DQ169" i="119"/>
  <c r="DQ150" i="119"/>
  <c r="DQ147" i="119"/>
  <c r="DQ144" i="119"/>
  <c r="DQ141" i="119"/>
  <c r="DQ138" i="119"/>
  <c r="DQ154" i="119"/>
  <c r="DQ153" i="119"/>
  <c r="DQ149" i="119"/>
  <c r="DQ146" i="119"/>
  <c r="DQ143" i="119"/>
  <c r="DQ140" i="119"/>
  <c r="DQ151" i="119"/>
  <c r="DQ142" i="119"/>
  <c r="DQ148" i="119"/>
  <c r="DQ139" i="119"/>
  <c r="DQ145" i="119"/>
  <c r="DQ174" i="119"/>
  <c r="DQ166" i="119"/>
  <c r="DQ170" i="119"/>
  <c r="DQ165" i="119"/>
  <c r="DQ135" i="119"/>
  <c r="DQ129" i="119"/>
  <c r="CW51" i="2"/>
  <c r="DQ70" i="119" s="1"/>
  <c r="DQ65" i="119"/>
  <c r="CW54" i="51"/>
  <c r="FN56" i="51"/>
  <c r="FN39" i="51"/>
  <c r="FN19" i="51"/>
  <c r="GX56" i="51"/>
  <c r="GX39" i="51"/>
  <c r="GX19" i="51"/>
  <c r="DG161" i="113"/>
  <c r="DG141" i="113"/>
  <c r="DG148" i="113"/>
  <c r="DG123" i="113"/>
  <c r="DG97" i="113"/>
  <c r="DG135" i="113"/>
  <c r="DG129" i="113"/>
  <c r="DG88" i="113"/>
  <c r="DI161" i="113"/>
  <c r="DI148" i="113"/>
  <c r="DI141" i="113"/>
  <c r="DI135" i="113"/>
  <c r="DI117" i="113"/>
  <c r="DI97" i="113"/>
  <c r="DI129" i="113"/>
  <c r="DI123" i="113"/>
  <c r="DI88" i="113"/>
  <c r="DH161" i="113"/>
  <c r="DH141" i="113"/>
  <c r="DH148" i="113"/>
  <c r="DH135" i="113"/>
  <c r="DH117" i="113"/>
  <c r="DH97" i="113"/>
  <c r="DH129" i="113"/>
  <c r="DH123" i="113"/>
  <c r="DH88" i="113"/>
  <c r="DF161" i="113"/>
  <c r="DF148" i="113"/>
  <c r="DF141" i="113"/>
  <c r="DF135" i="113"/>
  <c r="DF129" i="113"/>
  <c r="DF123" i="113"/>
  <c r="DF97" i="113"/>
  <c r="DF117" i="113"/>
  <c r="DF88" i="113"/>
  <c r="DG74" i="113"/>
  <c r="DG51" i="113"/>
  <c r="DG36" i="113"/>
  <c r="DG111" i="113"/>
  <c r="DG64" i="113"/>
  <c r="DH51" i="113"/>
  <c r="DH111" i="113"/>
  <c r="DH64" i="113"/>
  <c r="DH74" i="113"/>
  <c r="DH36" i="113"/>
  <c r="DI111" i="113"/>
  <c r="DI64" i="113"/>
  <c r="DI36" i="113"/>
  <c r="DI74" i="113"/>
  <c r="DI51" i="113"/>
  <c r="DF36" i="113"/>
  <c r="DF74" i="113"/>
  <c r="DF51" i="113"/>
  <c r="DF111" i="113"/>
  <c r="DF64" i="113"/>
  <c r="DG169" i="112"/>
  <c r="DG176" i="112"/>
  <c r="DG162" i="112"/>
  <c r="DG117" i="112"/>
  <c r="DG103" i="112"/>
  <c r="DG193" i="112"/>
  <c r="DG32" i="112"/>
  <c r="DG43" i="112" s="1"/>
  <c r="DG110" i="112"/>
  <c r="DG124" i="112"/>
  <c r="DG21" i="112"/>
  <c r="DG72" i="112"/>
  <c r="DG131" i="112"/>
  <c r="DH176" i="112"/>
  <c r="DH169" i="112"/>
  <c r="DH162" i="112"/>
  <c r="DH103" i="112"/>
  <c r="DH124" i="112"/>
  <c r="DH117" i="112"/>
  <c r="DH193" i="112"/>
  <c r="DH43" i="112"/>
  <c r="DH110" i="112"/>
  <c r="DH21" i="112"/>
  <c r="DH131" i="112"/>
  <c r="DH72" i="112"/>
  <c r="DI176" i="112"/>
  <c r="DI169" i="112"/>
  <c r="DI162" i="112"/>
  <c r="DI117" i="112"/>
  <c r="DI124" i="112"/>
  <c r="DI193" i="112"/>
  <c r="DI110" i="112"/>
  <c r="DI103" i="112"/>
  <c r="DI32" i="112"/>
  <c r="DI43" i="112" s="1"/>
  <c r="DI21" i="112"/>
  <c r="DI131" i="112"/>
  <c r="DI72" i="112"/>
  <c r="DF176" i="112"/>
  <c r="DF169" i="112"/>
  <c r="DF162" i="112"/>
  <c r="DF110" i="112"/>
  <c r="DF193" i="112"/>
  <c r="DF124" i="112"/>
  <c r="DF103" i="112"/>
  <c r="DF117" i="112"/>
  <c r="DF32" i="112"/>
  <c r="DF43" i="112" s="1"/>
  <c r="DF21" i="112"/>
  <c r="DF72" i="112"/>
  <c r="DF131" i="112"/>
  <c r="DI39" i="51"/>
  <c r="DI56" i="51"/>
  <c r="DG39" i="51"/>
  <c r="DG56" i="51"/>
  <c r="DH39" i="51"/>
  <c r="DH56" i="51"/>
  <c r="DF39" i="51"/>
  <c r="DF56" i="51"/>
  <c r="DH19" i="51"/>
  <c r="DH30" i="51"/>
  <c r="DI19" i="51"/>
  <c r="DI30" i="51"/>
  <c r="DG30" i="51"/>
  <c r="DG19" i="51"/>
  <c r="DF30" i="51"/>
  <c r="DF19" i="51"/>
  <c r="DA26" i="51"/>
  <c r="DA28" i="51" s="1"/>
  <c r="CW9" i="1"/>
  <c r="CW46" i="51"/>
  <c r="CW42" i="51"/>
  <c r="CW45" i="51"/>
  <c r="CW43" i="51"/>
  <c r="CW44" i="51"/>
  <c r="CW40" i="51"/>
  <c r="CW41" i="51"/>
  <c r="DQ173" i="119" l="1"/>
  <c r="DQ128" i="119"/>
  <c r="DQ11" i="119"/>
  <c r="DQ270" i="119" s="1"/>
  <c r="DQ152" i="119"/>
  <c r="DQ167" i="119"/>
  <c r="CC86" i="6"/>
  <c r="DA96" i="1"/>
  <c r="CW64" i="1"/>
  <c r="CW61" i="1"/>
  <c r="CW60" i="1"/>
  <c r="CW63" i="1"/>
  <c r="CW65" i="1"/>
  <c r="DA39" i="1"/>
  <c r="CC17" i="6"/>
  <c r="CW11" i="1"/>
  <c r="CW62" i="2"/>
  <c r="DA98" i="1" l="1"/>
  <c r="CW62" i="1"/>
  <c r="CW59" i="51" s="1"/>
  <c r="CW15" i="1"/>
  <c r="DA41" i="1"/>
  <c r="CW68" i="2"/>
  <c r="DQ23" i="119" l="1"/>
  <c r="DQ268" i="119" s="1"/>
  <c r="CC38" i="6"/>
  <c r="CG56" i="6" s="1"/>
  <c r="DA102" i="1"/>
  <c r="CW66" i="1"/>
  <c r="CW23" i="1"/>
  <c r="DA45" i="1"/>
  <c r="CW26" i="1" l="1"/>
  <c r="DA49" i="1" s="1"/>
  <c r="DQ30" i="119"/>
  <c r="DQ269" i="119" s="1"/>
  <c r="CG59" i="6"/>
  <c r="CC37" i="6"/>
  <c r="CC39" i="6" s="1"/>
  <c r="CC96" i="6"/>
  <c r="DA48" i="1"/>
  <c r="DA105" i="1"/>
  <c r="CW69" i="1"/>
  <c r="CW25" i="1"/>
  <c r="DQ290" i="119" s="1"/>
  <c r="CW30" i="1" l="1"/>
  <c r="DQ281" i="119" s="1"/>
  <c r="DQ260" i="119" s="1"/>
  <c r="CW28" i="1"/>
  <c r="CW29" i="1"/>
  <c r="DA108" i="1" s="1"/>
  <c r="DA106" i="1"/>
  <c r="CW70" i="1"/>
  <c r="CC95" i="6"/>
  <c r="DQ275" i="119"/>
  <c r="DQ277" i="119"/>
  <c r="CG58" i="6"/>
  <c r="DQ279" i="119" l="1"/>
  <c r="DQ282" i="119" s="1"/>
  <c r="DA52" i="1"/>
  <c r="CW32" i="1"/>
  <c r="DA109" i="1"/>
  <c r="DA107" i="1"/>
  <c r="DA50" i="1"/>
  <c r="DA51" i="1"/>
  <c r="CW31" i="1"/>
  <c r="DA110" i="1" s="1"/>
  <c r="CW71" i="1"/>
  <c r="DQ280" i="119"/>
  <c r="DQ267" i="119"/>
  <c r="E133" i="1"/>
  <c r="DQ283" i="119" l="1"/>
  <c r="DA111" i="1"/>
  <c r="DA54" i="1"/>
  <c r="DA53" i="1"/>
  <c r="M133" i="1"/>
  <c r="Y133" i="1"/>
  <c r="AK133" i="1"/>
  <c r="AW133" i="1"/>
  <c r="BI133" i="1"/>
  <c r="BU133" i="1"/>
  <c r="G133" i="1"/>
  <c r="S133" i="1"/>
  <c r="AE133" i="1"/>
  <c r="AQ133" i="1"/>
  <c r="BC133" i="1"/>
  <c r="BO133" i="1"/>
  <c r="D133" i="1"/>
  <c r="CT134" i="1"/>
  <c r="AS134" i="1"/>
  <c r="AY134" i="1"/>
  <c r="CA133" i="1"/>
  <c r="CG133" i="1"/>
  <c r="CM133" i="1"/>
  <c r="CS133" i="1"/>
  <c r="E134" i="1"/>
  <c r="K134" i="1"/>
  <c r="Q134" i="1"/>
  <c r="W134" i="1"/>
  <c r="BE134" i="1"/>
  <c r="AC134" i="1"/>
  <c r="AI134" i="1"/>
  <c r="AO134" i="1"/>
  <c r="AU134" i="1"/>
  <c r="BA134" i="1"/>
  <c r="BG134" i="1"/>
  <c r="BM134" i="1"/>
  <c r="BS134" i="1"/>
  <c r="BY134" i="1"/>
  <c r="CE134" i="1"/>
  <c r="C134" i="1"/>
  <c r="BK134" i="1"/>
  <c r="BQ134" i="1"/>
  <c r="BW134" i="1"/>
  <c r="CC134" i="1"/>
  <c r="CI134" i="1"/>
  <c r="CO134" i="1"/>
  <c r="CU134" i="1"/>
  <c r="F133" i="1"/>
  <c r="L133" i="1"/>
  <c r="R133" i="1"/>
  <c r="X133" i="1"/>
  <c r="AD133" i="1"/>
  <c r="AJ133" i="1"/>
  <c r="AP133" i="1"/>
  <c r="CK134" i="1"/>
  <c r="CQ134" i="1"/>
  <c r="J112" i="1"/>
  <c r="J133" i="1"/>
  <c r="P112" i="1"/>
  <c r="P133" i="1"/>
  <c r="V112" i="1"/>
  <c r="V133" i="1"/>
  <c r="AB112" i="1"/>
  <c r="AB133" i="1"/>
  <c r="AH112" i="1"/>
  <c r="AH133" i="1"/>
  <c r="AN112" i="1"/>
  <c r="AN133" i="1"/>
  <c r="AT112" i="1"/>
  <c r="AT133" i="1"/>
  <c r="AZ112" i="1"/>
  <c r="AZ133" i="1"/>
  <c r="BF112" i="1"/>
  <c r="BF133" i="1"/>
  <c r="BL112" i="1"/>
  <c r="BL133" i="1"/>
  <c r="BR112" i="1"/>
  <c r="BR133" i="1"/>
  <c r="BX112" i="1"/>
  <c r="BX133" i="1"/>
  <c r="CD112" i="1"/>
  <c r="CD133" i="1"/>
  <c r="CJ112" i="1"/>
  <c r="CJ133" i="1"/>
  <c r="CP112" i="1"/>
  <c r="CP133" i="1"/>
  <c r="CV133" i="1"/>
  <c r="CW133" i="1"/>
  <c r="H113" i="1"/>
  <c r="H134" i="1"/>
  <c r="N113" i="1"/>
  <c r="N134" i="1"/>
  <c r="T113" i="1"/>
  <c r="T134" i="1"/>
  <c r="Z113" i="1"/>
  <c r="Z134" i="1"/>
  <c r="AF113" i="1"/>
  <c r="AF134" i="1"/>
  <c r="AL113" i="1"/>
  <c r="AL134" i="1"/>
  <c r="AR113" i="1"/>
  <c r="AR134" i="1"/>
  <c r="AX113" i="1"/>
  <c r="AX134" i="1"/>
  <c r="BD113" i="1"/>
  <c r="BD134" i="1"/>
  <c r="BJ113" i="1"/>
  <c r="BJ134" i="1"/>
  <c r="BP113" i="1"/>
  <c r="BP134" i="1"/>
  <c r="BV113" i="1"/>
  <c r="BV134" i="1"/>
  <c r="CB113" i="1"/>
  <c r="CB134" i="1"/>
  <c r="CH113" i="1"/>
  <c r="CH134" i="1"/>
  <c r="CN113" i="1"/>
  <c r="CN134" i="1"/>
  <c r="K112" i="1"/>
  <c r="K133" i="1"/>
  <c r="Q112" i="1"/>
  <c r="Q133" i="1"/>
  <c r="W112" i="1"/>
  <c r="W133" i="1"/>
  <c r="AC112" i="1"/>
  <c r="AC133" i="1"/>
  <c r="AI112" i="1"/>
  <c r="AI133" i="1"/>
  <c r="AO112" i="1"/>
  <c r="AO133" i="1"/>
  <c r="AU112" i="1"/>
  <c r="AU133" i="1"/>
  <c r="BA112" i="1"/>
  <c r="BA133" i="1"/>
  <c r="BG112" i="1"/>
  <c r="BG133" i="1"/>
  <c r="BM112" i="1"/>
  <c r="BM133" i="1"/>
  <c r="BS112" i="1"/>
  <c r="BS133" i="1"/>
  <c r="BY112" i="1"/>
  <c r="BY133" i="1"/>
  <c r="CE112" i="1"/>
  <c r="CE133" i="1"/>
  <c r="CK112" i="1"/>
  <c r="CK133" i="1"/>
  <c r="CQ112" i="1"/>
  <c r="CQ133" i="1"/>
  <c r="I113" i="1"/>
  <c r="I134" i="1"/>
  <c r="O113" i="1"/>
  <c r="O134" i="1"/>
  <c r="U113" i="1"/>
  <c r="U134" i="1"/>
  <c r="AA113" i="1"/>
  <c r="AA134" i="1"/>
  <c r="AG113" i="1"/>
  <c r="AG134" i="1"/>
  <c r="AM113" i="1"/>
  <c r="AM134" i="1"/>
  <c r="AV133" i="1"/>
  <c r="BB133" i="1"/>
  <c r="BH133" i="1"/>
  <c r="BN133" i="1"/>
  <c r="BT133" i="1"/>
  <c r="BZ133" i="1"/>
  <c r="CF133" i="1"/>
  <c r="CL133" i="1"/>
  <c r="CR133" i="1"/>
  <c r="D134" i="1"/>
  <c r="J134" i="1"/>
  <c r="P134" i="1"/>
  <c r="V134" i="1"/>
  <c r="AB134" i="1"/>
  <c r="AH134" i="1"/>
  <c r="AN134" i="1"/>
  <c r="AT134" i="1"/>
  <c r="AZ134" i="1"/>
  <c r="BF134" i="1"/>
  <c r="BL134" i="1"/>
  <c r="BR134" i="1"/>
  <c r="BX134" i="1"/>
  <c r="CD134" i="1"/>
  <c r="CJ134" i="1"/>
  <c r="CP134" i="1"/>
  <c r="CW134" i="1"/>
  <c r="CV134" i="1"/>
  <c r="H133" i="1"/>
  <c r="N133" i="1"/>
  <c r="T133" i="1"/>
  <c r="Z133" i="1"/>
  <c r="AF133" i="1"/>
  <c r="AL133" i="1"/>
  <c r="AR133" i="1"/>
  <c r="AX133" i="1"/>
  <c r="BD133" i="1"/>
  <c r="BJ133" i="1"/>
  <c r="BP133" i="1"/>
  <c r="BV133" i="1"/>
  <c r="CB133" i="1"/>
  <c r="CH133" i="1"/>
  <c r="CN133" i="1"/>
  <c r="CT133" i="1"/>
  <c r="F134" i="1"/>
  <c r="L134" i="1"/>
  <c r="R134" i="1"/>
  <c r="X134" i="1"/>
  <c r="AD134" i="1"/>
  <c r="AJ134" i="1"/>
  <c r="AP134" i="1"/>
  <c r="AV134" i="1"/>
  <c r="BB134" i="1"/>
  <c r="BH134" i="1"/>
  <c r="BN134" i="1"/>
  <c r="BT134" i="1"/>
  <c r="BZ134" i="1"/>
  <c r="CF134" i="1"/>
  <c r="CL134" i="1"/>
  <c r="CR134" i="1"/>
  <c r="C133" i="1"/>
  <c r="I133" i="1"/>
  <c r="O133" i="1"/>
  <c r="U133" i="1"/>
  <c r="AA133" i="1"/>
  <c r="AG133" i="1"/>
  <c r="AM133" i="1"/>
  <c r="AS133" i="1"/>
  <c r="AY133" i="1"/>
  <c r="BE133" i="1"/>
  <c r="BK133" i="1"/>
  <c r="BQ133" i="1"/>
  <c r="BW133" i="1"/>
  <c r="CC133" i="1"/>
  <c r="CI133" i="1"/>
  <c r="CO133" i="1"/>
  <c r="CU133" i="1"/>
  <c r="G134" i="1"/>
  <c r="M134" i="1"/>
  <c r="S134" i="1"/>
  <c r="Y134" i="1"/>
  <c r="AE134" i="1"/>
  <c r="AK134" i="1"/>
  <c r="AQ134" i="1"/>
  <c r="AW134" i="1"/>
  <c r="BC134" i="1"/>
  <c r="BI134" i="1"/>
  <c r="BO134" i="1"/>
  <c r="BU134" i="1"/>
  <c r="CA134" i="1"/>
  <c r="CG134" i="1"/>
  <c r="CM134" i="1"/>
  <c r="CS134" i="1"/>
  <c r="AS113" i="1"/>
  <c r="AY113" i="1"/>
  <c r="BE113" i="1"/>
  <c r="BK113" i="1"/>
  <c r="BQ113" i="1"/>
  <c r="BW113" i="1"/>
  <c r="CC113" i="1"/>
  <c r="CI113" i="1"/>
  <c r="CO113" i="1"/>
  <c r="BG113" i="1"/>
  <c r="BM113" i="1"/>
  <c r="BS113" i="1"/>
  <c r="BY113" i="1"/>
  <c r="CE113" i="1"/>
  <c r="CK113" i="1"/>
  <c r="CQ113" i="1"/>
  <c r="D92" i="1"/>
  <c r="G112" i="1"/>
  <c r="M112" i="1"/>
  <c r="S112" i="1"/>
  <c r="Y112" i="1"/>
  <c r="AE112" i="1"/>
  <c r="AK112" i="1"/>
  <c r="AQ112" i="1"/>
  <c r="AW112" i="1"/>
  <c r="BC112" i="1"/>
  <c r="BI112" i="1"/>
  <c r="BO112" i="1"/>
  <c r="BU112" i="1"/>
  <c r="CA112" i="1"/>
  <c r="CG112" i="1"/>
  <c r="CM112" i="1"/>
  <c r="K113" i="1"/>
  <c r="Q113" i="1"/>
  <c r="W113" i="1"/>
  <c r="AC113" i="1"/>
  <c r="AI113" i="1"/>
  <c r="AO113" i="1"/>
  <c r="AU113" i="1"/>
  <c r="BA113" i="1"/>
  <c r="H112" i="1"/>
  <c r="N112" i="1"/>
  <c r="T112" i="1"/>
  <c r="Z112" i="1"/>
  <c r="AF112" i="1"/>
  <c r="AL112" i="1"/>
  <c r="AR112" i="1"/>
  <c r="AX112" i="1"/>
  <c r="BD112" i="1"/>
  <c r="BJ112" i="1"/>
  <c r="BP112" i="1"/>
  <c r="BV112" i="1"/>
  <c r="CB112" i="1"/>
  <c r="CH112" i="1"/>
  <c r="CN112" i="1"/>
  <c r="F113" i="1"/>
  <c r="L113" i="1"/>
  <c r="R113" i="1"/>
  <c r="X113" i="1"/>
  <c r="AD113" i="1"/>
  <c r="AJ113" i="1"/>
  <c r="AP113" i="1"/>
  <c r="AV113" i="1"/>
  <c r="BB113" i="1"/>
  <c r="BH113" i="1"/>
  <c r="BN113" i="1"/>
  <c r="BT113" i="1"/>
  <c r="BZ113" i="1"/>
  <c r="CF113" i="1"/>
  <c r="CL113" i="1"/>
  <c r="CR113" i="1"/>
  <c r="I112" i="1"/>
  <c r="O112" i="1"/>
  <c r="U112" i="1"/>
  <c r="AA112" i="1"/>
  <c r="AG112" i="1"/>
  <c r="AM112" i="1"/>
  <c r="AS112" i="1"/>
  <c r="AY112" i="1"/>
  <c r="BE112" i="1"/>
  <c r="BK112" i="1"/>
  <c r="BQ112" i="1"/>
  <c r="BW112" i="1"/>
  <c r="CC112" i="1"/>
  <c r="CI112" i="1"/>
  <c r="CO112" i="1"/>
  <c r="G113" i="1"/>
  <c r="M113" i="1"/>
  <c r="S113" i="1"/>
  <c r="Y113" i="1"/>
  <c r="AE113" i="1"/>
  <c r="AK113" i="1"/>
  <c r="AQ113" i="1"/>
  <c r="AW113" i="1"/>
  <c r="BC113" i="1"/>
  <c r="BI113" i="1"/>
  <c r="BO113" i="1"/>
  <c r="BU113" i="1"/>
  <c r="CA113" i="1"/>
  <c r="CG113" i="1"/>
  <c r="CM113" i="1"/>
  <c r="F91" i="1"/>
  <c r="F112" i="1"/>
  <c r="L91" i="1"/>
  <c r="L112" i="1"/>
  <c r="R91" i="1"/>
  <c r="R112" i="1"/>
  <c r="X91" i="1"/>
  <c r="X112" i="1"/>
  <c r="AD91" i="1"/>
  <c r="AD112" i="1"/>
  <c r="AJ91" i="1"/>
  <c r="AJ112" i="1"/>
  <c r="AP91" i="1"/>
  <c r="AP112" i="1"/>
  <c r="AV91" i="1"/>
  <c r="AV112" i="1"/>
  <c r="BB91" i="1"/>
  <c r="BB112" i="1"/>
  <c r="BH91" i="1"/>
  <c r="BH112" i="1"/>
  <c r="BN91" i="1"/>
  <c r="BN112" i="1"/>
  <c r="BT91" i="1"/>
  <c r="BT112" i="1"/>
  <c r="BZ91" i="1"/>
  <c r="BZ112" i="1"/>
  <c r="CF91" i="1"/>
  <c r="CF112" i="1"/>
  <c r="CL91" i="1"/>
  <c r="CL112" i="1"/>
  <c r="CR91" i="1"/>
  <c r="CR112" i="1"/>
  <c r="CS112" i="1"/>
  <c r="CW112" i="1"/>
  <c r="CX112" i="1"/>
  <c r="CT112" i="1"/>
  <c r="CY112" i="1"/>
  <c r="CU112" i="1"/>
  <c r="CV112" i="1"/>
  <c r="CZ112" i="1"/>
  <c r="J92" i="1"/>
  <c r="J113" i="1"/>
  <c r="P92" i="1"/>
  <c r="P113" i="1"/>
  <c r="V92" i="1"/>
  <c r="V113" i="1"/>
  <c r="AB92" i="1"/>
  <c r="AB113" i="1"/>
  <c r="AH92" i="1"/>
  <c r="AH113" i="1"/>
  <c r="AN92" i="1"/>
  <c r="AN113" i="1"/>
  <c r="AT92" i="1"/>
  <c r="AT113" i="1"/>
  <c r="AZ92" i="1"/>
  <c r="AZ113" i="1"/>
  <c r="BF92" i="1"/>
  <c r="BF113" i="1"/>
  <c r="BL92" i="1"/>
  <c r="BL113" i="1"/>
  <c r="BR92" i="1"/>
  <c r="BR113" i="1"/>
  <c r="BX92" i="1"/>
  <c r="BX113" i="1"/>
  <c r="CD92" i="1"/>
  <c r="CD113" i="1"/>
  <c r="CJ92" i="1"/>
  <c r="CJ113" i="1"/>
  <c r="CP92" i="1"/>
  <c r="CP113" i="1"/>
  <c r="CS113" i="1"/>
  <c r="CW113" i="1"/>
  <c r="CT113" i="1"/>
  <c r="CX113" i="1"/>
  <c r="CU113" i="1"/>
  <c r="CY113" i="1"/>
  <c r="CZ113" i="1"/>
  <c r="CV113" i="1"/>
  <c r="H91" i="1"/>
  <c r="N91" i="1"/>
  <c r="T91" i="1"/>
  <c r="Z91" i="1"/>
  <c r="AF91" i="1"/>
  <c r="AL91" i="1"/>
  <c r="AR91" i="1"/>
  <c r="AX91" i="1"/>
  <c r="BD91" i="1"/>
  <c r="BJ91" i="1"/>
  <c r="BP91" i="1"/>
  <c r="BV91" i="1"/>
  <c r="CB91" i="1"/>
  <c r="CH91" i="1"/>
  <c r="CN91" i="1"/>
  <c r="CT91" i="1"/>
  <c r="F92" i="1"/>
  <c r="L92" i="1"/>
  <c r="R92" i="1"/>
  <c r="X92" i="1"/>
  <c r="AD92" i="1"/>
  <c r="AJ92" i="1"/>
  <c r="AP92" i="1"/>
  <c r="AV92" i="1"/>
  <c r="BB92" i="1"/>
  <c r="BH92" i="1"/>
  <c r="BN92" i="1"/>
  <c r="BT92" i="1"/>
  <c r="BZ92" i="1"/>
  <c r="CF92" i="1"/>
  <c r="CL92" i="1"/>
  <c r="CR92" i="1"/>
  <c r="C91" i="1"/>
  <c r="I91" i="1"/>
  <c r="AM91" i="1"/>
  <c r="BK91" i="1"/>
  <c r="CO91" i="1"/>
  <c r="Y92" i="1"/>
  <c r="CG92" i="1"/>
  <c r="D91" i="1"/>
  <c r="J91" i="1"/>
  <c r="P91" i="1"/>
  <c r="V91" i="1"/>
  <c r="AB91" i="1"/>
  <c r="AH91" i="1"/>
  <c r="AN91" i="1"/>
  <c r="AT91" i="1"/>
  <c r="AZ91" i="1"/>
  <c r="BF91" i="1"/>
  <c r="BL91" i="1"/>
  <c r="BR91" i="1"/>
  <c r="BX91" i="1"/>
  <c r="CD91" i="1"/>
  <c r="CJ91" i="1"/>
  <c r="CP91" i="1"/>
  <c r="CV91" i="1"/>
  <c r="CW91" i="1"/>
  <c r="H92" i="1"/>
  <c r="N92" i="1"/>
  <c r="T92" i="1"/>
  <c r="Z92" i="1"/>
  <c r="AF92" i="1"/>
  <c r="AL92" i="1"/>
  <c r="AR92" i="1"/>
  <c r="AX92" i="1"/>
  <c r="BD92" i="1"/>
  <c r="BJ92" i="1"/>
  <c r="BP92" i="1"/>
  <c r="BV92" i="1"/>
  <c r="CB92" i="1"/>
  <c r="CH92" i="1"/>
  <c r="CN92" i="1"/>
  <c r="CT92" i="1"/>
  <c r="O91" i="1"/>
  <c r="AA91" i="1"/>
  <c r="AS91" i="1"/>
  <c r="BQ91" i="1"/>
  <c r="CC91" i="1"/>
  <c r="CU91" i="1"/>
  <c r="S92" i="1"/>
  <c r="AK92" i="1"/>
  <c r="AW92" i="1"/>
  <c r="BI92" i="1"/>
  <c r="BO92" i="1"/>
  <c r="BU92" i="1"/>
  <c r="CA92" i="1"/>
  <c r="E91" i="1"/>
  <c r="K91" i="1"/>
  <c r="Q91" i="1"/>
  <c r="W91" i="1"/>
  <c r="AC91" i="1"/>
  <c r="AI91" i="1"/>
  <c r="AO91" i="1"/>
  <c r="AU91" i="1"/>
  <c r="BA91" i="1"/>
  <c r="BG91" i="1"/>
  <c r="BM91" i="1"/>
  <c r="BS91" i="1"/>
  <c r="BY91" i="1"/>
  <c r="CE91" i="1"/>
  <c r="CK91" i="1"/>
  <c r="CQ91" i="1"/>
  <c r="C92" i="1"/>
  <c r="I92" i="1"/>
  <c r="O92" i="1"/>
  <c r="U92" i="1"/>
  <c r="AA92" i="1"/>
  <c r="AG92" i="1"/>
  <c r="AM92" i="1"/>
  <c r="AS92" i="1"/>
  <c r="AY92" i="1"/>
  <c r="BE92" i="1"/>
  <c r="BK92" i="1"/>
  <c r="BQ92" i="1"/>
  <c r="BW92" i="1"/>
  <c r="CC92" i="1"/>
  <c r="CI92" i="1"/>
  <c r="CO92" i="1"/>
  <c r="CU92" i="1"/>
  <c r="U91" i="1"/>
  <c r="BE91" i="1"/>
  <c r="CI91" i="1"/>
  <c r="M92" i="1"/>
  <c r="AQ92" i="1"/>
  <c r="CS92" i="1"/>
  <c r="CW92" i="1"/>
  <c r="CV92" i="1"/>
  <c r="AG91" i="1"/>
  <c r="AY91" i="1"/>
  <c r="BW91" i="1"/>
  <c r="G92" i="1"/>
  <c r="AE92" i="1"/>
  <c r="BC92" i="1"/>
  <c r="CM92" i="1"/>
  <c r="G91" i="1"/>
  <c r="M91" i="1"/>
  <c r="S91" i="1"/>
  <c r="Y91" i="1"/>
  <c r="AE91" i="1"/>
  <c r="AK91" i="1"/>
  <c r="AQ91" i="1"/>
  <c r="AW91" i="1"/>
  <c r="BC91" i="1"/>
  <c r="BI91" i="1"/>
  <c r="BO91" i="1"/>
  <c r="BU91" i="1"/>
  <c r="CA91" i="1"/>
  <c r="CG91" i="1"/>
  <c r="CM91" i="1"/>
  <c r="CS91" i="1"/>
  <c r="E92" i="1"/>
  <c r="K92" i="1"/>
  <c r="Q92" i="1"/>
  <c r="W92" i="1"/>
  <c r="AC92" i="1"/>
  <c r="AI92" i="1"/>
  <c r="AO92" i="1"/>
  <c r="AU92" i="1"/>
  <c r="BA92" i="1"/>
  <c r="BG92" i="1"/>
  <c r="BM92" i="1"/>
  <c r="BS92" i="1"/>
  <c r="BY92" i="1"/>
  <c r="CE92" i="1"/>
  <c r="CK92" i="1"/>
  <c r="CQ92" i="1"/>
  <c r="I55" i="1"/>
  <c r="O55" i="1"/>
  <c r="U55" i="1"/>
  <c r="AA55" i="1"/>
  <c r="AG55" i="1"/>
  <c r="AM55" i="1"/>
  <c r="AS55" i="1"/>
  <c r="AY55" i="1"/>
  <c r="BE55" i="1"/>
  <c r="BK55" i="1"/>
  <c r="BQ55" i="1"/>
  <c r="BW55" i="1"/>
  <c r="CC55" i="1"/>
  <c r="CI55" i="1"/>
  <c r="CO55" i="1"/>
  <c r="G56" i="1"/>
  <c r="M56" i="1"/>
  <c r="S56" i="1"/>
  <c r="Y56" i="1"/>
  <c r="AE56" i="1"/>
  <c r="AK56" i="1"/>
  <c r="AQ56" i="1"/>
  <c r="AW56" i="1"/>
  <c r="BC56" i="1"/>
  <c r="BI56" i="1"/>
  <c r="BO56" i="1"/>
  <c r="BU56" i="1"/>
  <c r="CA56" i="1"/>
  <c r="CG56" i="1"/>
  <c r="CM56" i="1"/>
  <c r="J55" i="1"/>
  <c r="P55" i="1"/>
  <c r="V55" i="1"/>
  <c r="AB55" i="1"/>
  <c r="AH55" i="1"/>
  <c r="AN55" i="1"/>
  <c r="AT55" i="1"/>
  <c r="AZ55" i="1"/>
  <c r="BF55" i="1"/>
  <c r="BL55" i="1"/>
  <c r="BR55" i="1"/>
  <c r="BX55" i="1"/>
  <c r="CD55" i="1"/>
  <c r="CJ55" i="1"/>
  <c r="CP55" i="1"/>
  <c r="H56" i="1"/>
  <c r="N56" i="1"/>
  <c r="T56" i="1"/>
  <c r="Z56" i="1"/>
  <c r="AF56" i="1"/>
  <c r="AL56" i="1"/>
  <c r="AR56" i="1"/>
  <c r="AX56" i="1"/>
  <c r="BD56" i="1"/>
  <c r="BJ56" i="1"/>
  <c r="BP56" i="1"/>
  <c r="BV56" i="1"/>
  <c r="CB56" i="1"/>
  <c r="CH56" i="1"/>
  <c r="CN56" i="1"/>
  <c r="K55" i="1"/>
  <c r="Q55" i="1"/>
  <c r="W55" i="1"/>
  <c r="AC55" i="1"/>
  <c r="AI55" i="1"/>
  <c r="AO55" i="1"/>
  <c r="AU55" i="1"/>
  <c r="BA55" i="1"/>
  <c r="BG55" i="1"/>
  <c r="BM55" i="1"/>
  <c r="BS55" i="1"/>
  <c r="BY55" i="1"/>
  <c r="CE55" i="1"/>
  <c r="CK55" i="1"/>
  <c r="CQ55" i="1"/>
  <c r="I56" i="1"/>
  <c r="O56" i="1"/>
  <c r="U56" i="1"/>
  <c r="AA56" i="1"/>
  <c r="AG56" i="1"/>
  <c r="AM56" i="1"/>
  <c r="AS56" i="1"/>
  <c r="AY56" i="1"/>
  <c r="BE56" i="1"/>
  <c r="BK56" i="1"/>
  <c r="BQ56" i="1"/>
  <c r="BW56" i="1"/>
  <c r="CI56" i="1"/>
  <c r="CO56" i="1"/>
  <c r="F55" i="1"/>
  <c r="L55" i="1"/>
  <c r="R55" i="1"/>
  <c r="X55" i="1"/>
  <c r="AD55" i="1"/>
  <c r="AJ55" i="1"/>
  <c r="AP55" i="1"/>
  <c r="AV55" i="1"/>
  <c r="BB55" i="1"/>
  <c r="BH55" i="1"/>
  <c r="BN55" i="1"/>
  <c r="BT55" i="1"/>
  <c r="BZ55" i="1"/>
  <c r="CF55" i="1"/>
  <c r="CL55" i="1"/>
  <c r="CR55" i="1"/>
  <c r="J56" i="1"/>
  <c r="P56" i="1"/>
  <c r="V56" i="1"/>
  <c r="AB56" i="1"/>
  <c r="AH56" i="1"/>
  <c r="AN56" i="1"/>
  <c r="AT56" i="1"/>
  <c r="AZ56" i="1"/>
  <c r="BF56" i="1"/>
  <c r="BL56" i="1"/>
  <c r="BR56" i="1"/>
  <c r="BX56" i="1"/>
  <c r="CD56" i="1"/>
  <c r="CJ56" i="1"/>
  <c r="CP56" i="1"/>
  <c r="CC56" i="1"/>
  <c r="CV55" i="1"/>
  <c r="CZ55" i="1"/>
  <c r="CT56" i="1"/>
  <c r="CX56" i="1"/>
  <c r="CS56" i="1"/>
  <c r="CW56" i="1"/>
  <c r="CU56" i="1"/>
  <c r="CY56" i="1"/>
  <c r="CZ56" i="1"/>
  <c r="CV56" i="1"/>
  <c r="CY55" i="1"/>
  <c r="CU55" i="1"/>
  <c r="G55" i="1"/>
  <c r="M55" i="1"/>
  <c r="S55" i="1"/>
  <c r="Y55" i="1"/>
  <c r="AE55" i="1"/>
  <c r="AK55" i="1"/>
  <c r="AQ55" i="1"/>
  <c r="AW55" i="1"/>
  <c r="BC55" i="1"/>
  <c r="BI55" i="1"/>
  <c r="BO55" i="1"/>
  <c r="BU55" i="1"/>
  <c r="CA55" i="1"/>
  <c r="CG55" i="1"/>
  <c r="CM55" i="1"/>
  <c r="CS55" i="1"/>
  <c r="CW55" i="1"/>
  <c r="K56" i="1"/>
  <c r="Q56" i="1"/>
  <c r="W56" i="1"/>
  <c r="AC56" i="1"/>
  <c r="AI56" i="1"/>
  <c r="AO56" i="1"/>
  <c r="AU56" i="1"/>
  <c r="BA56" i="1"/>
  <c r="BG56" i="1"/>
  <c r="BM56" i="1"/>
  <c r="BS56" i="1"/>
  <c r="BY56" i="1"/>
  <c r="CE56" i="1"/>
  <c r="CK56" i="1"/>
  <c r="CQ56" i="1"/>
  <c r="H55" i="1"/>
  <c r="N55" i="1"/>
  <c r="T55" i="1"/>
  <c r="Z55" i="1"/>
  <c r="AF55" i="1"/>
  <c r="AL55" i="1"/>
  <c r="AR55" i="1"/>
  <c r="AX55" i="1"/>
  <c r="BD55" i="1"/>
  <c r="BJ55" i="1"/>
  <c r="BP55" i="1"/>
  <c r="BV55" i="1"/>
  <c r="CB55" i="1"/>
  <c r="CH55" i="1"/>
  <c r="CN55" i="1"/>
  <c r="CX55" i="1"/>
  <c r="CT55" i="1"/>
  <c r="F56" i="1"/>
  <c r="L56" i="1"/>
  <c r="R56" i="1"/>
  <c r="X56" i="1"/>
  <c r="AD56" i="1"/>
  <c r="AJ56" i="1"/>
  <c r="AP56" i="1"/>
  <c r="AV56" i="1"/>
  <c r="BB56" i="1"/>
  <c r="BH56" i="1"/>
  <c r="BN56" i="1"/>
  <c r="BT56" i="1"/>
  <c r="BZ56" i="1"/>
  <c r="CF56" i="1"/>
  <c r="CL56" i="1"/>
  <c r="CR56" i="1"/>
  <c r="CV50" i="51" l="1"/>
  <c r="CV82" i="51" s="1"/>
  <c r="CV11" i="51"/>
  <c r="CV62" i="51" s="1"/>
  <c r="CV14" i="1"/>
  <c r="DP18" i="119" s="1"/>
  <c r="CV121" i="1"/>
  <c r="CV120" i="1"/>
  <c r="CV82" i="2"/>
  <c r="CW78" i="2" s="1"/>
  <c r="CV57" i="2"/>
  <c r="CV56" i="2"/>
  <c r="CV114" i="2" s="1"/>
  <c r="CV49" i="2"/>
  <c r="CV37" i="2"/>
  <c r="CV64" i="2"/>
  <c r="CV65" i="2"/>
  <c r="CV18" i="2"/>
  <c r="DP45" i="119" s="1"/>
  <c r="CW66" i="2" l="1"/>
  <c r="DP69" i="119"/>
  <c r="DP271" i="119" s="1"/>
  <c r="DP67" i="119"/>
  <c r="DP298" i="119" s="1"/>
  <c r="DP256" i="119" s="1"/>
  <c r="CZ20" i="51"/>
  <c r="CW122" i="1"/>
  <c r="FQ126" i="1" s="1"/>
  <c r="CZ101" i="1"/>
  <c r="CW80" i="1"/>
  <c r="CZ44" i="1"/>
  <c r="CW31" i="51"/>
  <c r="CV39" i="2"/>
  <c r="DP63" i="119" s="1"/>
  <c r="CV58" i="2"/>
  <c r="DP76" i="119" s="1"/>
  <c r="DP264" i="119" s="1"/>
  <c r="CV61" i="2"/>
  <c r="DP64" i="119" l="1"/>
  <c r="DE112" i="1"/>
  <c r="DE133" i="1"/>
  <c r="DE55" i="1"/>
  <c r="DE91" i="1"/>
  <c r="CV44" i="2"/>
  <c r="CV51" i="2" l="1"/>
  <c r="DP70" i="119" s="1"/>
  <c r="DP65" i="119"/>
  <c r="CB16" i="6"/>
  <c r="CB85" i="6" s="1"/>
  <c r="CB66" i="6"/>
  <c r="CB48" i="6"/>
  <c r="CB65" i="6"/>
  <c r="CB47" i="6"/>
  <c r="CB64" i="6"/>
  <c r="CB46" i="6"/>
  <c r="CB63" i="6"/>
  <c r="CB45" i="6"/>
  <c r="CB62" i="6"/>
  <c r="CB44" i="6"/>
  <c r="CB7" i="6"/>
  <c r="DP176" i="119" l="1"/>
  <c r="CB93" i="6"/>
  <c r="CB94" i="6"/>
  <c r="CB81" i="6"/>
  <c r="CB84" i="6"/>
  <c r="CB83" i="6"/>
  <c r="CB82" i="6"/>
  <c r="CB80" i="6"/>
  <c r="CF49" i="6"/>
  <c r="CC67" i="6"/>
  <c r="FN47" i="3"/>
  <c r="FM47" i="3"/>
  <c r="FK47" i="3"/>
  <c r="FJ47" i="3"/>
  <c r="FI47" i="3"/>
  <c r="FH47" i="3"/>
  <c r="FN46" i="3"/>
  <c r="FM46" i="3"/>
  <c r="FK46" i="3"/>
  <c r="FJ46" i="3"/>
  <c r="FI46" i="3"/>
  <c r="FH46" i="3"/>
  <c r="DP164" i="119" l="1"/>
  <c r="DP163" i="119"/>
  <c r="DP169" i="119"/>
  <c r="DP174" i="119"/>
  <c r="DP166" i="119"/>
  <c r="DP165" i="119"/>
  <c r="DP170" i="119"/>
  <c r="DP150" i="119"/>
  <c r="DP147" i="119"/>
  <c r="DP144" i="119"/>
  <c r="DP141" i="119"/>
  <c r="DP138" i="119"/>
  <c r="DP154" i="119"/>
  <c r="DP153" i="119"/>
  <c r="DP149" i="119"/>
  <c r="DP146" i="119"/>
  <c r="DP143" i="119"/>
  <c r="DP140" i="119"/>
  <c r="DP145" i="119"/>
  <c r="DP148" i="119"/>
  <c r="DP139" i="119"/>
  <c r="DP151" i="119"/>
  <c r="DP142" i="119"/>
  <c r="DP135" i="119"/>
  <c r="DP129" i="119"/>
  <c r="CU82" i="2"/>
  <c r="CV78" i="2" s="1"/>
  <c r="DP128" i="119" l="1"/>
  <c r="DP173" i="119"/>
  <c r="DP152" i="119"/>
  <c r="DP167" i="119"/>
  <c r="CQ62" i="3"/>
  <c r="CQ61" i="3"/>
  <c r="CU62" i="3"/>
  <c r="CV62" i="3" s="1"/>
  <c r="CW62" i="3" s="1"/>
  <c r="CU61" i="3"/>
  <c r="CV61" i="3" s="1"/>
  <c r="CW61" i="3" s="1"/>
  <c r="CU46" i="3"/>
  <c r="CU47" i="3"/>
  <c r="CU45" i="3"/>
  <c r="CU44" i="3"/>
  <c r="CU43" i="3"/>
  <c r="CU42" i="3"/>
  <c r="CU41" i="3"/>
  <c r="CU40" i="3"/>
  <c r="CU38" i="3"/>
  <c r="CU34" i="3"/>
  <c r="CU32" i="3"/>
  <c r="DO97" i="119" s="1"/>
  <c r="CU31" i="3"/>
  <c r="CU30" i="3"/>
  <c r="CU29" i="3"/>
  <c r="CU28" i="3"/>
  <c r="CU23" i="3"/>
  <c r="CV23" i="3" s="1"/>
  <c r="CW23" i="3" s="1"/>
  <c r="CU22" i="3"/>
  <c r="CV22" i="3" s="1"/>
  <c r="CW22" i="3" s="1"/>
  <c r="CU21" i="3"/>
  <c r="CV21" i="3" s="1"/>
  <c r="CW21" i="3" s="1"/>
  <c r="CU20" i="3"/>
  <c r="CV20" i="3" s="1"/>
  <c r="CW20" i="3" s="1"/>
  <c r="CU19" i="3"/>
  <c r="CU18" i="3"/>
  <c r="CV18" i="3" s="1"/>
  <c r="CW18" i="3" s="1"/>
  <c r="CU17" i="3"/>
  <c r="CV17" i="3" s="1"/>
  <c r="CW17" i="3" s="1"/>
  <c r="CU15" i="3"/>
  <c r="CU14" i="3"/>
  <c r="CU13" i="3"/>
  <c r="CU12" i="3"/>
  <c r="DO93" i="119" s="1"/>
  <c r="CU11" i="3"/>
  <c r="CU33" i="3"/>
  <c r="CU8" i="3"/>
  <c r="CU66" i="3" s="1"/>
  <c r="CU49" i="2"/>
  <c r="CU37" i="2"/>
  <c r="CU64" i="2"/>
  <c r="CU65" i="2"/>
  <c r="CU18" i="2"/>
  <c r="DO45" i="119" s="1"/>
  <c r="CU50" i="51"/>
  <c r="CU82" i="51" s="1"/>
  <c r="DO98" i="119" l="1"/>
  <c r="DO104" i="119"/>
  <c r="CV41" i="3"/>
  <c r="DO284" i="119"/>
  <c r="DO102" i="119"/>
  <c r="CV13" i="3"/>
  <c r="DO95" i="119"/>
  <c r="CV11" i="3"/>
  <c r="DO305" i="119"/>
  <c r="DO100" i="119"/>
  <c r="DO103" i="119"/>
  <c r="CU39" i="2"/>
  <c r="DO63" i="119" s="1"/>
  <c r="DO69" i="119"/>
  <c r="DO271" i="119" s="1"/>
  <c r="DO67" i="119"/>
  <c r="DO298" i="119" s="1"/>
  <c r="DO256" i="119" s="1"/>
  <c r="CV42" i="3"/>
  <c r="CV30" i="3"/>
  <c r="CW30" i="3" s="1"/>
  <c r="CV38" i="3"/>
  <c r="CV43" i="3"/>
  <c r="CV34" i="3"/>
  <c r="CW34" i="3" s="1"/>
  <c r="CV33" i="3"/>
  <c r="CV14" i="3"/>
  <c r="CW14" i="3" s="1"/>
  <c r="CV31" i="3"/>
  <c r="CW31" i="3" s="1"/>
  <c r="DQ98" i="119" s="1"/>
  <c r="CV40" i="3"/>
  <c r="CW40" i="3" s="1"/>
  <c r="CV44" i="3"/>
  <c r="CW44" i="3" s="1"/>
  <c r="CV29" i="3"/>
  <c r="CW29" i="3" s="1"/>
  <c r="CV15" i="3"/>
  <c r="CW15" i="3" s="1"/>
  <c r="CV28" i="3"/>
  <c r="CV45" i="3"/>
  <c r="CW45" i="3" s="1"/>
  <c r="CV12" i="3"/>
  <c r="CU79" i="2"/>
  <c r="CV47" i="3"/>
  <c r="CU24" i="3"/>
  <c r="DO94" i="119" s="1"/>
  <c r="CV19" i="3"/>
  <c r="CV32" i="3"/>
  <c r="DP97" i="119" s="1"/>
  <c r="CU80" i="2"/>
  <c r="CU35" i="3"/>
  <c r="DO101" i="119" s="1"/>
  <c r="CU48" i="3"/>
  <c r="CV46" i="3"/>
  <c r="CU44" i="2" l="1"/>
  <c r="CU51" i="2" s="1"/>
  <c r="DO70" i="119" s="1"/>
  <c r="DO64" i="119"/>
  <c r="CW12" i="3"/>
  <c r="DQ93" i="119" s="1"/>
  <c r="DP93" i="119"/>
  <c r="CW43" i="3"/>
  <c r="DQ104" i="119" s="1"/>
  <c r="DP104" i="119"/>
  <c r="CW38" i="3"/>
  <c r="DP103" i="119"/>
  <c r="CW28" i="3"/>
  <c r="DQ100" i="119" s="1"/>
  <c r="DP100" i="119"/>
  <c r="CW11" i="3"/>
  <c r="DQ305" i="119" s="1"/>
  <c r="DP305" i="119"/>
  <c r="CW13" i="3"/>
  <c r="DQ95" i="119" s="1"/>
  <c r="DP95" i="119"/>
  <c r="FZ33" i="3"/>
  <c r="DP98" i="119"/>
  <c r="CW41" i="3"/>
  <c r="DP284" i="119"/>
  <c r="DP102" i="119"/>
  <c r="CW42" i="3"/>
  <c r="FZ42" i="3" s="1"/>
  <c r="FZ15" i="3"/>
  <c r="CU25" i="3"/>
  <c r="CW32" i="3"/>
  <c r="CV48" i="3"/>
  <c r="FZ45" i="3"/>
  <c r="FZ29" i="3"/>
  <c r="CW47" i="3"/>
  <c r="FL47" i="3" s="1"/>
  <c r="FZ44" i="3"/>
  <c r="FZ31" i="3"/>
  <c r="FZ46" i="3"/>
  <c r="CV24" i="3"/>
  <c r="DP94" i="119" s="1"/>
  <c r="CW19" i="3"/>
  <c r="CW24" i="3" s="1"/>
  <c r="DQ94" i="119" s="1"/>
  <c r="FZ40" i="3"/>
  <c r="FZ14" i="3"/>
  <c r="FZ34" i="3"/>
  <c r="FZ30" i="3"/>
  <c r="FL46" i="3"/>
  <c r="CV80" i="2"/>
  <c r="CV35" i="3"/>
  <c r="DP101" i="119" s="1"/>
  <c r="CV16" i="1"/>
  <c r="DP21" i="119" s="1"/>
  <c r="DP19" i="119" s="1"/>
  <c r="CV79" i="2"/>
  <c r="DO65" i="119" l="1"/>
  <c r="FZ12" i="3"/>
  <c r="FZ28" i="3"/>
  <c r="CW79" i="2"/>
  <c r="CW84" i="2" s="1"/>
  <c r="CW16" i="1"/>
  <c r="DQ21" i="119" s="1"/>
  <c r="DQ19" i="119" s="1"/>
  <c r="FZ43" i="3"/>
  <c r="DQ103" i="119"/>
  <c r="CU54" i="3"/>
  <c r="CU55" i="3" s="1"/>
  <c r="DO96" i="119"/>
  <c r="DQ284" i="119"/>
  <c r="DQ102" i="119"/>
  <c r="CW80" i="2"/>
  <c r="DQ97" i="119"/>
  <c r="FZ38" i="3"/>
  <c r="CU50" i="3"/>
  <c r="CW35" i="3"/>
  <c r="DQ101" i="119" s="1"/>
  <c r="CV25" i="3"/>
  <c r="CZ103" i="1"/>
  <c r="CZ46" i="1"/>
  <c r="CW25" i="3"/>
  <c r="DQ96" i="119" s="1"/>
  <c r="FZ47" i="3"/>
  <c r="CW48" i="3"/>
  <c r="CV81" i="2"/>
  <c r="CV84" i="2"/>
  <c r="CW67" i="1" l="1"/>
  <c r="CX124" i="1"/>
  <c r="CW124" i="1"/>
  <c r="CW81" i="2"/>
  <c r="CW17" i="1"/>
  <c r="DQ20" i="119" s="1"/>
  <c r="DQ259" i="119" s="1"/>
  <c r="CX82" i="1"/>
  <c r="CW82" i="1"/>
  <c r="CV54" i="3"/>
  <c r="DP96" i="119"/>
  <c r="CV50" i="3"/>
  <c r="CW50" i="3"/>
  <c r="CW54" i="3"/>
  <c r="CW75" i="2" l="1"/>
  <c r="CW85" i="2"/>
  <c r="CW73" i="2"/>
  <c r="CW72" i="2"/>
  <c r="CW68" i="1"/>
  <c r="CW74" i="2"/>
  <c r="CW55" i="3"/>
  <c r="CU16" i="1"/>
  <c r="DO21" i="119" s="1"/>
  <c r="CU14" i="1"/>
  <c r="DO18" i="119" s="1"/>
  <c r="CU121" i="1"/>
  <c r="CU120" i="1"/>
  <c r="DO19" i="119" l="1"/>
  <c r="CV122" i="1"/>
  <c r="FP126" i="1" s="1"/>
  <c r="CV124" i="1"/>
  <c r="CY101" i="1"/>
  <c r="CY103" i="1"/>
  <c r="CV80" i="1"/>
  <c r="CV82" i="1"/>
  <c r="CY44" i="1"/>
  <c r="CY46" i="1"/>
  <c r="CA7" i="6"/>
  <c r="CA44" i="6"/>
  <c r="CA62" i="6"/>
  <c r="CA45" i="6"/>
  <c r="CA63" i="6"/>
  <c r="CA46" i="6"/>
  <c r="CA64" i="6"/>
  <c r="CA47" i="6"/>
  <c r="CA65" i="6"/>
  <c r="CA48" i="6"/>
  <c r="CA66" i="6"/>
  <c r="CA16" i="6"/>
  <c r="CA85" i="6" s="1"/>
  <c r="DO176" i="119" l="1"/>
  <c r="CA93" i="6"/>
  <c r="CA94" i="6"/>
  <c r="CA84" i="6"/>
  <c r="CA82" i="6"/>
  <c r="CA81" i="6"/>
  <c r="CA83" i="6"/>
  <c r="CA80" i="6"/>
  <c r="FE16" i="6"/>
  <c r="CB67" i="6"/>
  <c r="CE49" i="6"/>
  <c r="DO164" i="119" l="1"/>
  <c r="DO151" i="119"/>
  <c r="DO148" i="119"/>
  <c r="DO145" i="119"/>
  <c r="DO142" i="119"/>
  <c r="DO139" i="119"/>
  <c r="DO150" i="119"/>
  <c r="DO147" i="119"/>
  <c r="DO144" i="119"/>
  <c r="DO141" i="119"/>
  <c r="DO138" i="119"/>
  <c r="DO153" i="119"/>
  <c r="DO143" i="119"/>
  <c r="DO149" i="119"/>
  <c r="DO140" i="119"/>
  <c r="DO154" i="119"/>
  <c r="DO146" i="119"/>
  <c r="DO169" i="119"/>
  <c r="DO163" i="119"/>
  <c r="DO174" i="119"/>
  <c r="DO166" i="119"/>
  <c r="DO165" i="119"/>
  <c r="DO170" i="119"/>
  <c r="DO129" i="119"/>
  <c r="DO135" i="119"/>
  <c r="FE81" i="6"/>
  <c r="FE86" i="6"/>
  <c r="FE93" i="6"/>
  <c r="FE94" i="6"/>
  <c r="FE83" i="6"/>
  <c r="FE80" i="6"/>
  <c r="FE82" i="6"/>
  <c r="FE84" i="6"/>
  <c r="FF49" i="6"/>
  <c r="DO128" i="119" l="1"/>
  <c r="DO167" i="119"/>
  <c r="DO152" i="119"/>
  <c r="DO173" i="119"/>
  <c r="CS20" i="1"/>
  <c r="CS19" i="1"/>
  <c r="CS116" i="2" s="1"/>
  <c r="CR21" i="1"/>
  <c r="DL24" i="119" s="1"/>
  <c r="DL26" i="119" s="1"/>
  <c r="CQ21" i="1"/>
  <c r="DK24" i="119" s="1"/>
  <c r="DK26" i="119" s="1"/>
  <c r="CS22" i="1"/>
  <c r="CS208" i="92" l="1"/>
  <c r="DM25" i="119"/>
  <c r="GA31" i="3"/>
  <c r="GA42" i="3"/>
  <c r="CT82" i="2"/>
  <c r="CU78" i="2" s="1"/>
  <c r="CT80" i="2"/>
  <c r="CT79" i="2"/>
  <c r="CT37" i="2"/>
  <c r="CT39" i="2" l="1"/>
  <c r="DN64" i="119" s="1"/>
  <c r="CU84" i="2"/>
  <c r="CU81" i="2"/>
  <c r="DN63" i="119" l="1"/>
  <c r="GB42" i="3"/>
  <c r="CT49" i="2"/>
  <c r="CT64" i="2"/>
  <c r="CT65" i="2"/>
  <c r="CT18" i="2"/>
  <c r="DN45" i="119" s="1"/>
  <c r="CT48" i="3"/>
  <c r="CT35" i="3"/>
  <c r="DN101" i="119" s="1"/>
  <c r="CT24" i="3"/>
  <c r="DN94" i="119" s="1"/>
  <c r="BZ16" i="6"/>
  <c r="BZ85" i="6" s="1"/>
  <c r="BZ66" i="6"/>
  <c r="BZ48" i="6"/>
  <c r="BZ65" i="6"/>
  <c r="BZ47" i="6"/>
  <c r="BZ64" i="6"/>
  <c r="BZ46" i="6"/>
  <c r="BZ63" i="6"/>
  <c r="BZ45" i="6"/>
  <c r="BZ62" i="6"/>
  <c r="BZ44" i="6"/>
  <c r="CT14" i="1"/>
  <c r="DN18" i="119" s="1"/>
  <c r="CT121" i="1"/>
  <c r="CT120" i="1"/>
  <c r="CT50" i="51"/>
  <c r="CT82" i="51" s="1"/>
  <c r="DN176" i="119" l="1"/>
  <c r="DN69" i="119"/>
  <c r="DN271" i="119" s="1"/>
  <c r="DN67" i="119"/>
  <c r="DN298" i="119" s="1"/>
  <c r="DN256" i="119" s="1"/>
  <c r="BZ93" i="6"/>
  <c r="BZ94" i="6"/>
  <c r="BZ82" i="6"/>
  <c r="BZ81" i="6"/>
  <c r="BZ84" i="6"/>
  <c r="BZ83" i="6"/>
  <c r="BZ80" i="6"/>
  <c r="CT25" i="3"/>
  <c r="CU122" i="1"/>
  <c r="FO126" i="1" s="1"/>
  <c r="CX101" i="1"/>
  <c r="CU80" i="1"/>
  <c r="CX44" i="1"/>
  <c r="CD49" i="6"/>
  <c r="GB31" i="3"/>
  <c r="CA67" i="6"/>
  <c r="EL16" i="6"/>
  <c r="EL85" i="6" s="1"/>
  <c r="Z176" i="119" s="1"/>
  <c r="CT44" i="2"/>
  <c r="DN164" i="119" l="1"/>
  <c r="DN169" i="119"/>
  <c r="DN163" i="119"/>
  <c r="DN129" i="119"/>
  <c r="DN135" i="119"/>
  <c r="DN174" i="119"/>
  <c r="DN166" i="119"/>
  <c r="DN170" i="119"/>
  <c r="DN165" i="119"/>
  <c r="CT50" i="3"/>
  <c r="DN96" i="119"/>
  <c r="DN151" i="119"/>
  <c r="DN148" i="119"/>
  <c r="DN145" i="119"/>
  <c r="DN142" i="119"/>
  <c r="DN139" i="119"/>
  <c r="DN150" i="119"/>
  <c r="DN147" i="119"/>
  <c r="DN144" i="119"/>
  <c r="DN141" i="119"/>
  <c r="DN138" i="119"/>
  <c r="DN154" i="119"/>
  <c r="DN146" i="119"/>
  <c r="DN140" i="119"/>
  <c r="DN149" i="119"/>
  <c r="DN153" i="119"/>
  <c r="DN143" i="119"/>
  <c r="CT51" i="2"/>
  <c r="DN70" i="119" s="1"/>
  <c r="DN65" i="119"/>
  <c r="EL86" i="6"/>
  <c r="EL94" i="6"/>
  <c r="EL95" i="6"/>
  <c r="EL93" i="6"/>
  <c r="CT54" i="3"/>
  <c r="CT55" i="3" s="1"/>
  <c r="EL15" i="6"/>
  <c r="EM49" i="6"/>
  <c r="EL82" i="6"/>
  <c r="EL83" i="6"/>
  <c r="Z164" i="119" s="1"/>
  <c r="EL80" i="6"/>
  <c r="EL84" i="6"/>
  <c r="EL81" i="6"/>
  <c r="DN128" i="119" l="1"/>
  <c r="DN167" i="119"/>
  <c r="Z154" i="119"/>
  <c r="Z153" i="119"/>
  <c r="Z149" i="119"/>
  <c r="Z146" i="119"/>
  <c r="Z143" i="119"/>
  <c r="Z140" i="119"/>
  <c r="Z151" i="119"/>
  <c r="Z148" i="119"/>
  <c r="Z145" i="119"/>
  <c r="Z142" i="119"/>
  <c r="Z139" i="119"/>
  <c r="Z147" i="119"/>
  <c r="Z138" i="119"/>
  <c r="Z144" i="119"/>
  <c r="Z150" i="119"/>
  <c r="Z141" i="119"/>
  <c r="Z165" i="119"/>
  <c r="Z174" i="119"/>
  <c r="Z166" i="119"/>
  <c r="Z170" i="119"/>
  <c r="Z135" i="119"/>
  <c r="Z129" i="119"/>
  <c r="DN152" i="119"/>
  <c r="DN173" i="119"/>
  <c r="Z169" i="119"/>
  <c r="Z163" i="119"/>
  <c r="FO42" i="3"/>
  <c r="FT49" i="3" s="1"/>
  <c r="AC103" i="119" l="1"/>
  <c r="Z128" i="119"/>
  <c r="Z167" i="119"/>
  <c r="Z173" i="119"/>
  <c r="Z152" i="119"/>
  <c r="FO31" i="3"/>
  <c r="FP42" i="3" l="1"/>
  <c r="AD103" i="119" l="1"/>
  <c r="DD44" i="92"/>
  <c r="DE44" i="92" s="1"/>
  <c r="DF44" i="92" s="1"/>
  <c r="GW9" i="51"/>
  <c r="GV27" i="1"/>
  <c r="GW56" i="51" l="1"/>
  <c r="GW39" i="51"/>
  <c r="GW19" i="51"/>
  <c r="FP31" i="3" l="1"/>
  <c r="FN45" i="3" l="1"/>
  <c r="FN42" i="3"/>
  <c r="FN40" i="3"/>
  <c r="FN39" i="3"/>
  <c r="FN38" i="3"/>
  <c r="FN33" i="3"/>
  <c r="FN31" i="3"/>
  <c r="FN15" i="3"/>
  <c r="FN14" i="3"/>
  <c r="FN9" i="3"/>
  <c r="FN9" i="2"/>
  <c r="FM9" i="51"/>
  <c r="FM27" i="1"/>
  <c r="FN43" i="3"/>
  <c r="DE8" i="51"/>
  <c r="DE7" i="51"/>
  <c r="DF6" i="51" s="1"/>
  <c r="DD7" i="51"/>
  <c r="DC7" i="51"/>
  <c r="DB7" i="51"/>
  <c r="DE5" i="1"/>
  <c r="DD5" i="1"/>
  <c r="DC5" i="1"/>
  <c r="DB5" i="1"/>
  <c r="AB98" i="119" l="1"/>
  <c r="G13" i="115"/>
  <c r="G51" i="115"/>
  <c r="G8" i="115"/>
  <c r="H8" i="115" s="1"/>
  <c r="G4" i="115"/>
  <c r="G19" i="115"/>
  <c r="G7" i="115"/>
  <c r="H7" i="115" s="1"/>
  <c r="G11" i="115"/>
  <c r="G5" i="115"/>
  <c r="G52" i="115"/>
  <c r="G53" i="115"/>
  <c r="AB103" i="119"/>
  <c r="DE23" i="113"/>
  <c r="DE239" i="112"/>
  <c r="DE234" i="112"/>
  <c r="DE229" i="112"/>
  <c r="DE223" i="112"/>
  <c r="DE211" i="112"/>
  <c r="DE217" i="112"/>
  <c r="DE207" i="112"/>
  <c r="DE200" i="112"/>
  <c r="DE183" i="112"/>
  <c r="DE186" i="112"/>
  <c r="FM56" i="51"/>
  <c r="FM39" i="51"/>
  <c r="FM19" i="51"/>
  <c r="DE161" i="113"/>
  <c r="DE141" i="113"/>
  <c r="DE148" i="113"/>
  <c r="DE129" i="113"/>
  <c r="DE123" i="113"/>
  <c r="DE135" i="113"/>
  <c r="DE97" i="113"/>
  <c r="DE117" i="113"/>
  <c r="DE88" i="113"/>
  <c r="DE111" i="113"/>
  <c r="DE64" i="113"/>
  <c r="DE36" i="113"/>
  <c r="DE74" i="113"/>
  <c r="DE51" i="113"/>
  <c r="DE176" i="112"/>
  <c r="DE169" i="112"/>
  <c r="DE124" i="112"/>
  <c r="DE162" i="112"/>
  <c r="DE110" i="112"/>
  <c r="DE103" i="112"/>
  <c r="DE117" i="112"/>
  <c r="DE193" i="112"/>
  <c r="DE32" i="112"/>
  <c r="DE43" i="112" s="1"/>
  <c r="DE131" i="112"/>
  <c r="DE72" i="112"/>
  <c r="DE21" i="112"/>
  <c r="DE39" i="51"/>
  <c r="DE56" i="51"/>
  <c r="DE30" i="51"/>
  <c r="DE19" i="51"/>
  <c r="FM35" i="1"/>
  <c r="AB285" i="119" s="1"/>
  <c r="AB257" i="119" s="1"/>
  <c r="DD6" i="51"/>
  <c r="DE6" i="51"/>
  <c r="DC6" i="51"/>
  <c r="FH58" i="51"/>
  <c r="FH53" i="51"/>
  <c r="FH50" i="51"/>
  <c r="FI49" i="51"/>
  <c r="FI48" i="51"/>
  <c r="FH15" i="51"/>
  <c r="FH66" i="51" s="1"/>
  <c r="CP37" i="2"/>
  <c r="CQ37" i="2"/>
  <c r="CR37" i="2"/>
  <c r="CS37" i="2"/>
  <c r="U8" i="115" l="1"/>
  <c r="P8" i="115"/>
  <c r="P12" i="115"/>
  <c r="U12" i="115"/>
  <c r="H53" i="115"/>
  <c r="G59" i="115"/>
  <c r="GW35" i="1"/>
  <c r="DZ285" i="119"/>
  <c r="DZ257" i="119" s="1"/>
  <c r="FH57" i="51"/>
  <c r="DG35" i="1"/>
  <c r="EA285" i="119" s="1"/>
  <c r="EA257" i="119" s="1"/>
  <c r="FH52" i="51"/>
  <c r="FH54" i="51" s="1"/>
  <c r="EB285" i="119" l="1"/>
  <c r="EB257" i="119" s="1"/>
  <c r="EC285" i="119" l="1"/>
  <c r="EC257" i="119" s="1"/>
  <c r="ED285" i="119" l="1"/>
  <c r="ED257" i="119" s="1"/>
  <c r="FN35" i="1"/>
  <c r="GX35" i="1" l="1"/>
  <c r="AC285" i="119"/>
  <c r="AC257" i="119" s="1"/>
  <c r="S23" i="117"/>
  <c r="S24" i="117" s="1"/>
  <c r="EE285" i="119"/>
  <c r="EE257" i="119" s="1"/>
  <c r="EF285" i="119" l="1"/>
  <c r="EF257" i="119" s="1"/>
  <c r="FO35" i="1" l="1"/>
  <c r="AD285" i="119" s="1"/>
  <c r="AD257" i="119" s="1"/>
  <c r="EG285" i="119"/>
  <c r="EG257" i="119" s="1"/>
  <c r="EH285" i="119"/>
  <c r="EH257" i="119" s="1"/>
  <c r="EI285" i="119" l="1"/>
  <c r="EI257" i="119" s="1"/>
  <c r="GY35" i="1"/>
  <c r="EJ285" i="119" l="1"/>
  <c r="EJ257" i="119" s="1"/>
  <c r="DQ35" i="1" l="1"/>
  <c r="EK285" i="119" s="1"/>
  <c r="EK257" i="119" s="1"/>
  <c r="FP35" i="1" l="1"/>
  <c r="AE285" i="119" s="1"/>
  <c r="AE257" i="119" s="1"/>
  <c r="DR35" i="1"/>
  <c r="GZ35" i="1" l="1"/>
  <c r="EL285" i="119"/>
  <c r="EL257" i="119" s="1"/>
  <c r="DS35" i="1"/>
  <c r="EM285" i="119" s="1"/>
  <c r="EM257" i="119" s="1"/>
  <c r="DT35" i="1" l="1"/>
  <c r="EK13" i="6"/>
  <c r="EL48" i="6" s="1"/>
  <c r="EK12" i="6"/>
  <c r="EL47" i="6" s="1"/>
  <c r="EK11" i="6"/>
  <c r="EK10" i="6"/>
  <c r="EL45" i="6" s="1"/>
  <c r="EK9" i="6"/>
  <c r="EK8" i="6"/>
  <c r="CS82" i="2"/>
  <c r="CT78" i="2" s="1"/>
  <c r="CS39" i="3"/>
  <c r="FY39" i="3" s="1"/>
  <c r="CS39" i="2"/>
  <c r="CS49" i="2"/>
  <c r="CS64" i="2"/>
  <c r="CS65" i="2"/>
  <c r="CS18" i="2"/>
  <c r="DM45" i="119" s="1"/>
  <c r="BY16" i="6"/>
  <c r="BY85" i="6" s="1"/>
  <c r="BY66" i="6"/>
  <c r="BY48" i="6"/>
  <c r="BY65" i="6"/>
  <c r="BY47" i="6"/>
  <c r="BY64" i="6"/>
  <c r="BY46" i="6"/>
  <c r="BY63" i="6"/>
  <c r="BY45" i="6"/>
  <c r="BY62" i="6"/>
  <c r="BY44" i="6"/>
  <c r="CS50" i="51"/>
  <c r="CS82" i="51" s="1"/>
  <c r="DU35" i="1" l="1"/>
  <c r="FQ35" i="1" s="1"/>
  <c r="AF285" i="119" s="1"/>
  <c r="AF257" i="119" s="1"/>
  <c r="EN285" i="119"/>
  <c r="EN257" i="119" s="1"/>
  <c r="DM176" i="119"/>
  <c r="DM64" i="119"/>
  <c r="DM63" i="119"/>
  <c r="DM67" i="119"/>
  <c r="DM298" i="119" s="1"/>
  <c r="DM256" i="119" s="1"/>
  <c r="DM69" i="119"/>
  <c r="DM271" i="119" s="1"/>
  <c r="BY94" i="6"/>
  <c r="BY93" i="6"/>
  <c r="BY80" i="6"/>
  <c r="BY83" i="6"/>
  <c r="BY84" i="6"/>
  <c r="BY82" i="6"/>
  <c r="BY81" i="6"/>
  <c r="EL46" i="6"/>
  <c r="EL44" i="6"/>
  <c r="EK19" i="6"/>
  <c r="BZ67" i="6"/>
  <c r="CC49" i="6"/>
  <c r="CT84" i="2"/>
  <c r="CT81" i="2"/>
  <c r="CS44" i="2"/>
  <c r="DV35" i="1" l="1"/>
  <c r="EO285" i="119"/>
  <c r="EO257" i="119" s="1"/>
  <c r="DM164" i="119"/>
  <c r="DM135" i="119"/>
  <c r="DM129" i="119"/>
  <c r="DM165" i="119"/>
  <c r="DM170" i="119"/>
  <c r="DM174" i="119"/>
  <c r="DM166" i="119"/>
  <c r="DM154" i="119"/>
  <c r="DM153" i="119"/>
  <c r="DM149" i="119"/>
  <c r="DM146" i="119"/>
  <c r="DM143" i="119"/>
  <c r="DM140" i="119"/>
  <c r="DM151" i="119"/>
  <c r="DM148" i="119"/>
  <c r="DM145" i="119"/>
  <c r="DM142" i="119"/>
  <c r="DM139" i="119"/>
  <c r="DM144" i="119"/>
  <c r="DM150" i="119"/>
  <c r="DM141" i="119"/>
  <c r="DM138" i="119"/>
  <c r="DM147" i="119"/>
  <c r="DM169" i="119"/>
  <c r="DM163" i="119"/>
  <c r="CS51" i="2"/>
  <c r="DM70" i="119" s="1"/>
  <c r="DM65" i="119"/>
  <c r="EP285" i="119" l="1"/>
  <c r="EP257" i="119" s="1"/>
  <c r="HA35" i="1"/>
  <c r="DW35" i="1"/>
  <c r="DM128" i="119"/>
  <c r="DM167" i="119"/>
  <c r="DM152" i="119"/>
  <c r="DM173" i="119"/>
  <c r="CR121" i="1"/>
  <c r="CQ121" i="1"/>
  <c r="CP121" i="1"/>
  <c r="CO121" i="1"/>
  <c r="CN121" i="1"/>
  <c r="CM121" i="1"/>
  <c r="CL121" i="1"/>
  <c r="CK121" i="1"/>
  <c r="CJ121" i="1"/>
  <c r="CI121" i="1"/>
  <c r="CH121" i="1"/>
  <c r="CG121" i="1"/>
  <c r="CF121" i="1"/>
  <c r="CE121" i="1"/>
  <c r="CD121" i="1"/>
  <c r="CD120" i="1"/>
  <c r="CE120" i="1"/>
  <c r="CF120" i="1"/>
  <c r="CG120" i="1"/>
  <c r="CH120" i="1"/>
  <c r="CI120" i="1"/>
  <c r="CJ120" i="1"/>
  <c r="CK120" i="1"/>
  <c r="CL120" i="1"/>
  <c r="CM120" i="1"/>
  <c r="CN120" i="1"/>
  <c r="CO120" i="1"/>
  <c r="CP120" i="1"/>
  <c r="CQ120" i="1"/>
  <c r="CR120" i="1"/>
  <c r="EQ285" i="119" l="1"/>
  <c r="EQ257" i="119" s="1"/>
  <c r="DX35" i="1"/>
  <c r="CN62" i="3"/>
  <c r="CO62" i="3" s="1"/>
  <c r="CN61" i="3"/>
  <c r="CO61" i="3" s="1"/>
  <c r="CR62" i="3"/>
  <c r="CS62" i="3" s="1"/>
  <c r="CR61" i="3"/>
  <c r="CS61" i="3" s="1"/>
  <c r="DY35" i="1" l="1"/>
  <c r="FR35" i="1" s="1"/>
  <c r="AG285" i="119" s="1"/>
  <c r="AG257" i="119" s="1"/>
  <c r="ER285" i="119"/>
  <c r="ER257" i="119" s="1"/>
  <c r="CR82" i="2"/>
  <c r="CS78" i="2" s="1"/>
  <c r="CR49" i="2"/>
  <c r="CR64" i="2"/>
  <c r="CR65" i="2"/>
  <c r="CR18" i="2"/>
  <c r="DL45" i="119" s="1"/>
  <c r="BX62" i="6"/>
  <c r="BX44" i="6"/>
  <c r="BX16" i="6"/>
  <c r="BX85" i="6" s="1"/>
  <c r="BX66" i="6"/>
  <c r="BX48" i="6"/>
  <c r="BX65" i="6"/>
  <c r="BX47" i="6"/>
  <c r="BX64" i="6"/>
  <c r="BX46" i="6"/>
  <c r="BX63" i="6"/>
  <c r="BX45" i="6"/>
  <c r="CR14" i="1"/>
  <c r="DL18" i="119" s="1"/>
  <c r="DZ35" i="1" l="1"/>
  <c r="HB35" i="1" s="1"/>
  <c r="ES285" i="119"/>
  <c r="ES257" i="119" s="1"/>
  <c r="DL176" i="119"/>
  <c r="DL69" i="119"/>
  <c r="DL271" i="119" s="1"/>
  <c r="DL67" i="119"/>
  <c r="DL298" i="119" s="1"/>
  <c r="DL256" i="119" s="1"/>
  <c r="BX94" i="6"/>
  <c r="BX93" i="6"/>
  <c r="BX83" i="6"/>
  <c r="BX82" i="6"/>
  <c r="BX80" i="6"/>
  <c r="BX84" i="6"/>
  <c r="BX81" i="6"/>
  <c r="CV101" i="1"/>
  <c r="CV44" i="1"/>
  <c r="BY67" i="6"/>
  <c r="CB49" i="6"/>
  <c r="EA35" i="1" l="1"/>
  <c r="ET285" i="119"/>
  <c r="ET257" i="119" s="1"/>
  <c r="DL164" i="119"/>
  <c r="DL154" i="119"/>
  <c r="DL153" i="119"/>
  <c r="DL149" i="119"/>
  <c r="DL146" i="119"/>
  <c r="DL143" i="119"/>
  <c r="DL140" i="119"/>
  <c r="DL151" i="119"/>
  <c r="DL148" i="119"/>
  <c r="DL145" i="119"/>
  <c r="DL142" i="119"/>
  <c r="DL139" i="119"/>
  <c r="DL147" i="119"/>
  <c r="DL138" i="119"/>
  <c r="DL150" i="119"/>
  <c r="DL141" i="119"/>
  <c r="DL144" i="119"/>
  <c r="DL174" i="119"/>
  <c r="DL170" i="119"/>
  <c r="DL165" i="119"/>
  <c r="DL166" i="119"/>
  <c r="DL135" i="119"/>
  <c r="DL129" i="119"/>
  <c r="DL169" i="119"/>
  <c r="DL163" i="119"/>
  <c r="EY31" i="6"/>
  <c r="EY35" i="6" s="1"/>
  <c r="FC11" i="6"/>
  <c r="FB11" i="6"/>
  <c r="FA11" i="6"/>
  <c r="EZ11" i="6"/>
  <c r="EY11" i="6"/>
  <c r="EU285" i="119" l="1"/>
  <c r="EU257" i="119" s="1"/>
  <c r="EB35" i="1"/>
  <c r="DL128" i="119"/>
  <c r="DL167" i="119"/>
  <c r="DL173" i="119"/>
  <c r="DL152" i="119"/>
  <c r="FD46" i="6"/>
  <c r="EZ46" i="6"/>
  <c r="EY89" i="6"/>
  <c r="FC46" i="6"/>
  <c r="FA46" i="6"/>
  <c r="FB46" i="6"/>
  <c r="EC35" i="1" l="1"/>
  <c r="FS35" i="1" s="1"/>
  <c r="AH285" i="119" s="1"/>
  <c r="AH257" i="119" s="1"/>
  <c r="EV285" i="119"/>
  <c r="EV257" i="119" s="1"/>
  <c r="CQ103" i="2"/>
  <c r="CQ104" i="2"/>
  <c r="CQ106" i="2"/>
  <c r="CQ111" i="2"/>
  <c r="CQ112" i="2"/>
  <c r="ED35" i="1" l="1"/>
  <c r="HC35" i="1" s="1"/>
  <c r="EW285" i="119"/>
  <c r="EW257" i="119" s="1"/>
  <c r="CR108" i="2"/>
  <c r="CU107" i="2"/>
  <c r="EE35" i="1" l="1"/>
  <c r="EX285" i="119"/>
  <c r="EX257" i="119" s="1"/>
  <c r="CQ82" i="2"/>
  <c r="CR78" i="2" s="1"/>
  <c r="EY285" i="119" l="1"/>
  <c r="EY257" i="119" s="1"/>
  <c r="EF35" i="1"/>
  <c r="CQ14" i="1"/>
  <c r="DK18" i="119" s="1"/>
  <c r="EG35" i="1" l="1"/>
  <c r="FT35" i="1" s="1"/>
  <c r="AI285" i="119" s="1"/>
  <c r="AI257" i="119" s="1"/>
  <c r="EZ285" i="119"/>
  <c r="EZ257" i="119" s="1"/>
  <c r="CR122" i="1"/>
  <c r="FP125" i="1" s="1"/>
  <c r="CU101" i="1"/>
  <c r="CR80" i="1"/>
  <c r="CU44" i="1"/>
  <c r="CQ45" i="3"/>
  <c r="CQ44" i="3"/>
  <c r="CQ43" i="3"/>
  <c r="CQ42" i="3"/>
  <c r="CQ41" i="3"/>
  <c r="CQ40" i="3"/>
  <c r="CQ38" i="3"/>
  <c r="CQ34" i="3"/>
  <c r="CQ32" i="3"/>
  <c r="DK97" i="119" s="1"/>
  <c r="CQ31" i="3"/>
  <c r="CQ30" i="3"/>
  <c r="CQ29" i="3"/>
  <c r="CQ28" i="3"/>
  <c r="CQ23" i="3"/>
  <c r="CM23" i="3"/>
  <c r="CQ22" i="3"/>
  <c r="CM22" i="3"/>
  <c r="CM21" i="3"/>
  <c r="CQ21" i="3"/>
  <c r="CQ20" i="3"/>
  <c r="CQ19" i="3"/>
  <c r="CQ18" i="3"/>
  <c r="CQ17" i="3"/>
  <c r="CQ15" i="3"/>
  <c r="CQ14" i="3"/>
  <c r="CQ13" i="3"/>
  <c r="CQ12" i="3"/>
  <c r="DK93" i="119" s="1"/>
  <c r="CQ11" i="3"/>
  <c r="DK305" i="119" s="1"/>
  <c r="BW16" i="6"/>
  <c r="BW85" i="6" s="1"/>
  <c r="BW66" i="6"/>
  <c r="BW48" i="6"/>
  <c r="BW65" i="6"/>
  <c r="BW47" i="6"/>
  <c r="BW64" i="6"/>
  <c r="BW46" i="6"/>
  <c r="BW63" i="6"/>
  <c r="BW45" i="6"/>
  <c r="BW62" i="6"/>
  <c r="BW44" i="6"/>
  <c r="EH35" i="1" l="1"/>
  <c r="HD35" i="1" s="1"/>
  <c r="FA285" i="119"/>
  <c r="FA257" i="119" s="1"/>
  <c r="DK95" i="119"/>
  <c r="DK103" i="119"/>
  <c r="DK176" i="119"/>
  <c r="DK100" i="119"/>
  <c r="DK284" i="119"/>
  <c r="DK102" i="119"/>
  <c r="DK104" i="119"/>
  <c r="BW94" i="6"/>
  <c r="BW93" i="6"/>
  <c r="BW83" i="6"/>
  <c r="BW84" i="6"/>
  <c r="BW81" i="6"/>
  <c r="BW82" i="6"/>
  <c r="BW80" i="6"/>
  <c r="FD16" i="6"/>
  <c r="BX67" i="6"/>
  <c r="CA49" i="6"/>
  <c r="CR20" i="3"/>
  <c r="CS20" i="3" s="1"/>
  <c r="CR29" i="3"/>
  <c r="CS29" i="3" s="1"/>
  <c r="CR17" i="3"/>
  <c r="CS17" i="3" s="1"/>
  <c r="CR21" i="3"/>
  <c r="CS21" i="3" s="1"/>
  <c r="CR30" i="3"/>
  <c r="CS30" i="3" s="1"/>
  <c r="CR38" i="3"/>
  <c r="CR43" i="3"/>
  <c r="CR11" i="3"/>
  <c r="CR22" i="3"/>
  <c r="CS22" i="3" s="1"/>
  <c r="CR34" i="3"/>
  <c r="CS34" i="3" s="1"/>
  <c r="CR42" i="3"/>
  <c r="CR13" i="3"/>
  <c r="CR18" i="3"/>
  <c r="CS18" i="3" s="1"/>
  <c r="CR23" i="3"/>
  <c r="CS23" i="3" s="1"/>
  <c r="CR31" i="3"/>
  <c r="CS31" i="3" s="1"/>
  <c r="CR40" i="3"/>
  <c r="CS40" i="3" s="1"/>
  <c r="CR44" i="3"/>
  <c r="CS44" i="3" s="1"/>
  <c r="CR14" i="3"/>
  <c r="CS14" i="3" s="1"/>
  <c r="CR19" i="3"/>
  <c r="CS19" i="3" s="1"/>
  <c r="CR28" i="3"/>
  <c r="CR41" i="3"/>
  <c r="CR45" i="3"/>
  <c r="CS45" i="3" s="1"/>
  <c r="CQ80" i="2"/>
  <c r="CR32" i="3"/>
  <c r="DL97" i="119" s="1"/>
  <c r="CQ79" i="2"/>
  <c r="CR12" i="3"/>
  <c r="CR15" i="3"/>
  <c r="CS15" i="3" s="1"/>
  <c r="CM50" i="51"/>
  <c r="CM82" i="51" s="1"/>
  <c r="CQ50" i="51"/>
  <c r="CQ82" i="51" s="1"/>
  <c r="CQ48" i="3"/>
  <c r="CQ33" i="3"/>
  <c r="CQ24" i="3"/>
  <c r="DK94" i="119" s="1"/>
  <c r="CQ64" i="2"/>
  <c r="CQ65" i="2"/>
  <c r="CQ18" i="2"/>
  <c r="DK45" i="119" s="1"/>
  <c r="FB285" i="119" l="1"/>
  <c r="FB257" i="119" s="1"/>
  <c r="EI35" i="1"/>
  <c r="DK164" i="119"/>
  <c r="CS12" i="3"/>
  <c r="FY12" i="3" s="1"/>
  <c r="DL93" i="119"/>
  <c r="CS28" i="3"/>
  <c r="DM100" i="119" s="1"/>
  <c r="DL100" i="119"/>
  <c r="CS11" i="3"/>
  <c r="DM305" i="119" s="1"/>
  <c r="DL305" i="119"/>
  <c r="DK163" i="119"/>
  <c r="DK169" i="119"/>
  <c r="DK150" i="119"/>
  <c r="DK147" i="119"/>
  <c r="DK144" i="119"/>
  <c r="DK141" i="119"/>
  <c r="DK138" i="119"/>
  <c r="DK154" i="119"/>
  <c r="DK153" i="119"/>
  <c r="DK149" i="119"/>
  <c r="DK146" i="119"/>
  <c r="DK143" i="119"/>
  <c r="DK140" i="119"/>
  <c r="DK145" i="119"/>
  <c r="DK151" i="119"/>
  <c r="DK142" i="119"/>
  <c r="DK148" i="119"/>
  <c r="DK139" i="119"/>
  <c r="CS41" i="3"/>
  <c r="FY41" i="3" s="1"/>
  <c r="DL284" i="119"/>
  <c r="DL102" i="119"/>
  <c r="DK98" i="119"/>
  <c r="CR33" i="3"/>
  <c r="DL98" i="119" s="1"/>
  <c r="CS43" i="3"/>
  <c r="DM104" i="119" s="1"/>
  <c r="DL104" i="119"/>
  <c r="CS13" i="3"/>
  <c r="DM95" i="119" s="1"/>
  <c r="DL95" i="119"/>
  <c r="CS38" i="3"/>
  <c r="FY38" i="3" s="1"/>
  <c r="DL103" i="119"/>
  <c r="DK166" i="119"/>
  <c r="DK170" i="119"/>
  <c r="DK165" i="119"/>
  <c r="DK174" i="119"/>
  <c r="DK135" i="119"/>
  <c r="DK129" i="119"/>
  <c r="CS42" i="3"/>
  <c r="FY42" i="3" s="1"/>
  <c r="FD81" i="6"/>
  <c r="FD86" i="6"/>
  <c r="FD93" i="6"/>
  <c r="FD94" i="6"/>
  <c r="FD80" i="6"/>
  <c r="FD82" i="6"/>
  <c r="FD84" i="6"/>
  <c r="FD83" i="6"/>
  <c r="FE49" i="6"/>
  <c r="CS32" i="3"/>
  <c r="FY29" i="3"/>
  <c r="CQ25" i="3"/>
  <c r="FY22" i="3"/>
  <c r="FY19" i="3"/>
  <c r="FY40" i="3"/>
  <c r="FY18" i="3"/>
  <c r="FY20" i="3"/>
  <c r="FY14" i="3"/>
  <c r="FY31" i="3"/>
  <c r="FY30" i="3"/>
  <c r="FY34" i="3"/>
  <c r="FY15" i="3"/>
  <c r="FY45" i="3"/>
  <c r="FY23" i="3"/>
  <c r="FY21" i="3"/>
  <c r="CQ35" i="3"/>
  <c r="DK101" i="119" s="1"/>
  <c r="FY44" i="3"/>
  <c r="FY17" i="3"/>
  <c r="GA28" i="3"/>
  <c r="CR24" i="3"/>
  <c r="DL94" i="119" s="1"/>
  <c r="CS24" i="3"/>
  <c r="DM94" i="119" s="1"/>
  <c r="CR48" i="3"/>
  <c r="EJ35" i="1" l="1"/>
  <c r="FC285" i="119"/>
  <c r="FC257" i="119" s="1"/>
  <c r="FY13" i="3"/>
  <c r="DK128" i="119"/>
  <c r="FY28" i="3"/>
  <c r="DM103" i="119"/>
  <c r="CS48" i="3"/>
  <c r="FY48" i="3" s="1"/>
  <c r="FY11" i="3"/>
  <c r="FY32" i="3"/>
  <c r="DM97" i="119"/>
  <c r="CQ54" i="3"/>
  <c r="CQ55" i="3" s="1"/>
  <c r="DK96" i="119"/>
  <c r="DK173" i="119"/>
  <c r="FY43" i="3"/>
  <c r="CS33" i="3"/>
  <c r="DM98" i="119" s="1"/>
  <c r="DM284" i="119"/>
  <c r="DM102" i="119"/>
  <c r="DK152" i="119"/>
  <c r="DK167" i="119"/>
  <c r="CS79" i="2"/>
  <c r="CS84" i="2" s="1"/>
  <c r="DM93" i="119"/>
  <c r="CS25" i="3"/>
  <c r="CR25" i="3"/>
  <c r="CS80" i="2"/>
  <c r="FY24" i="3"/>
  <c r="CQ50" i="3"/>
  <c r="CR35" i="3"/>
  <c r="DL101" i="119" s="1"/>
  <c r="EK35" i="1" l="1"/>
  <c r="FE285" i="119" s="1"/>
  <c r="FE257" i="119" s="1"/>
  <c r="FD285" i="119"/>
  <c r="FD257" i="119" s="1"/>
  <c r="CS35" i="3"/>
  <c r="DM101" i="119" s="1"/>
  <c r="FY33" i="3"/>
  <c r="CS54" i="3"/>
  <c r="CS55" i="3" s="1"/>
  <c r="DM96" i="119"/>
  <c r="CR54" i="3"/>
  <c r="CR55" i="3" s="1"/>
  <c r="DL96" i="119"/>
  <c r="CR50" i="3"/>
  <c r="CS81" i="2"/>
  <c r="FY25" i="3"/>
  <c r="FY54" i="3" s="1"/>
  <c r="GB28" i="3"/>
  <c r="GA30" i="3"/>
  <c r="FU35" i="1" l="1"/>
  <c r="AJ285" i="119" s="1"/>
  <c r="AJ257" i="119" s="1"/>
  <c r="FY35" i="3"/>
  <c r="CS50" i="3"/>
  <c r="FY50" i="3" s="1"/>
  <c r="FR28" i="3"/>
  <c r="FQ28" i="3"/>
  <c r="FO28" i="3"/>
  <c r="FP28" i="3"/>
  <c r="GB30" i="3" l="1"/>
  <c r="FO30" i="3" l="1"/>
  <c r="GV19" i="1"/>
  <c r="FP30" i="3" l="1"/>
  <c r="FQ30" i="3" l="1"/>
  <c r="FR30" i="3" l="1"/>
  <c r="GA43" i="3" l="1"/>
  <c r="CQ100" i="92"/>
  <c r="CP100" i="92"/>
  <c r="CO100" i="92"/>
  <c r="CN100" i="92"/>
  <c r="CM100" i="92"/>
  <c r="CL100" i="92"/>
  <c r="CQ101" i="92"/>
  <c r="CP101" i="92"/>
  <c r="CO101" i="92"/>
  <c r="CN101" i="92"/>
  <c r="CM101" i="92"/>
  <c r="CW10" i="92"/>
  <c r="CO10" i="92"/>
  <c r="CM10" i="92"/>
  <c r="CL10" i="92"/>
  <c r="DA9" i="92"/>
  <c r="CZ9" i="92"/>
  <c r="CY9" i="92"/>
  <c r="CX9" i="92"/>
  <c r="CW9" i="92"/>
  <c r="CV9" i="92"/>
  <c r="CU9" i="92"/>
  <c r="CT9" i="92"/>
  <c r="CS9" i="92"/>
  <c r="CR9" i="92"/>
  <c r="CQ9" i="92"/>
  <c r="CP9" i="92"/>
  <c r="CO9" i="92"/>
  <c r="CN9" i="92"/>
  <c r="CM9" i="92"/>
  <c r="CL9" i="92"/>
  <c r="CS119" i="92"/>
  <c r="CM56" i="92"/>
  <c r="CN56" i="92" s="1"/>
  <c r="CO56" i="92" s="1"/>
  <c r="CP56" i="92" s="1"/>
  <c r="CQ56" i="92" s="1"/>
  <c r="CR56" i="92" s="1"/>
  <c r="CS56" i="92" s="1"/>
  <c r="CT56" i="92" s="1"/>
  <c r="CU56" i="92" s="1"/>
  <c r="CV56" i="92" s="1"/>
  <c r="CW56" i="92" s="1"/>
  <c r="CX56" i="92" s="1"/>
  <c r="CY56" i="92" s="1"/>
  <c r="CZ56" i="92" s="1"/>
  <c r="DA56" i="92" s="1"/>
  <c r="DB56" i="92" s="1"/>
  <c r="DC56" i="92" s="1"/>
  <c r="DD56" i="92" s="1"/>
  <c r="DE56" i="92" s="1"/>
  <c r="DF56" i="92" s="1"/>
  <c r="DG56" i="92" s="1"/>
  <c r="DH56" i="92" s="1"/>
  <c r="DI56" i="92" s="1"/>
  <c r="DJ56" i="92" s="1"/>
  <c r="DK56" i="92" s="1"/>
  <c r="DL56" i="92" s="1"/>
  <c r="DM56" i="92" s="1"/>
  <c r="DN56" i="92" s="1"/>
  <c r="DO56" i="92" s="1"/>
  <c r="DP56" i="92" s="1"/>
  <c r="DQ56" i="92" s="1"/>
  <c r="DR56" i="92" s="1"/>
  <c r="DS56" i="92" s="1"/>
  <c r="DT56" i="92" s="1"/>
  <c r="DU56" i="92" s="1"/>
  <c r="DV56" i="92" s="1"/>
  <c r="DW56" i="92" s="1"/>
  <c r="DX56" i="92" s="1"/>
  <c r="DY56" i="92" s="1"/>
  <c r="DZ56" i="92" s="1"/>
  <c r="EA56" i="92" s="1"/>
  <c r="EB56" i="92" s="1"/>
  <c r="EC56" i="92" s="1"/>
  <c r="ED56" i="92" s="1"/>
  <c r="EE56" i="92" s="1"/>
  <c r="EF56" i="92" s="1"/>
  <c r="EG56" i="92" s="1"/>
  <c r="EH56" i="92" s="1"/>
  <c r="EI56" i="92" s="1"/>
  <c r="EJ56" i="92" s="1"/>
  <c r="EK56" i="92" s="1"/>
  <c r="CM60" i="92"/>
  <c r="CN60" i="92" s="1"/>
  <c r="CO60" i="92" s="1"/>
  <c r="CP60" i="92" s="1"/>
  <c r="CQ60" i="92" s="1"/>
  <c r="CR60" i="92" s="1"/>
  <c r="CS60" i="92" s="1"/>
  <c r="CT60" i="92" s="1"/>
  <c r="CU60" i="92" s="1"/>
  <c r="CV60" i="92" s="1"/>
  <c r="CW60" i="92" s="1"/>
  <c r="CX60" i="92" s="1"/>
  <c r="CY60" i="92" s="1"/>
  <c r="CZ60" i="92" s="1"/>
  <c r="DA60" i="92" s="1"/>
  <c r="DB60" i="92" s="1"/>
  <c r="DC60" i="92" s="1"/>
  <c r="DD60" i="92" s="1"/>
  <c r="DE60" i="92" s="1"/>
  <c r="DF60" i="92" s="1"/>
  <c r="DG60" i="92" s="1"/>
  <c r="DH60" i="92" s="1"/>
  <c r="DI60" i="92" s="1"/>
  <c r="DJ60" i="92" s="1"/>
  <c r="DK60" i="92" s="1"/>
  <c r="DL60" i="92" s="1"/>
  <c r="DM60" i="92" s="1"/>
  <c r="DN60" i="92" s="1"/>
  <c r="DO60" i="92" s="1"/>
  <c r="DP60" i="92" s="1"/>
  <c r="DQ60" i="92" s="1"/>
  <c r="DR60" i="92" s="1"/>
  <c r="DS60" i="92" s="1"/>
  <c r="DT60" i="92" s="1"/>
  <c r="DU60" i="92" s="1"/>
  <c r="DV60" i="92" s="1"/>
  <c r="DW60" i="92" s="1"/>
  <c r="DX60" i="92" s="1"/>
  <c r="DY60" i="92" s="1"/>
  <c r="DZ60" i="92" s="1"/>
  <c r="EA60" i="92" s="1"/>
  <c r="EB60" i="92" s="1"/>
  <c r="EC60" i="92" s="1"/>
  <c r="ED60" i="92" s="1"/>
  <c r="EE60" i="92" s="1"/>
  <c r="EF60" i="92" s="1"/>
  <c r="EG60" i="92" s="1"/>
  <c r="EH60" i="92" s="1"/>
  <c r="EI60" i="92" s="1"/>
  <c r="EJ60" i="92" s="1"/>
  <c r="EK60" i="92" s="1"/>
  <c r="CM52" i="92"/>
  <c r="CN52" i="92" s="1"/>
  <c r="CO52" i="92" s="1"/>
  <c r="CP52" i="92" s="1"/>
  <c r="CQ52" i="92" s="1"/>
  <c r="CR52" i="92" s="1"/>
  <c r="CS52" i="92" s="1"/>
  <c r="CT52" i="92" s="1"/>
  <c r="CU52" i="92" s="1"/>
  <c r="CV52" i="92" s="1"/>
  <c r="CW52" i="92" s="1"/>
  <c r="CX52" i="92" s="1"/>
  <c r="CY52" i="92" s="1"/>
  <c r="CZ52" i="92" s="1"/>
  <c r="DA52" i="92" s="1"/>
  <c r="DB52" i="92" s="1"/>
  <c r="DC52" i="92" s="1"/>
  <c r="DD52" i="92" s="1"/>
  <c r="DE52" i="92" s="1"/>
  <c r="DF52" i="92" s="1"/>
  <c r="DG52" i="92" s="1"/>
  <c r="DH52" i="92" s="1"/>
  <c r="DI52" i="92" s="1"/>
  <c r="DJ52" i="92" s="1"/>
  <c r="DK52" i="92" s="1"/>
  <c r="DL52" i="92" s="1"/>
  <c r="DM52" i="92" s="1"/>
  <c r="DN52" i="92" s="1"/>
  <c r="DO52" i="92" s="1"/>
  <c r="DP52" i="92" s="1"/>
  <c r="DQ52" i="92" s="1"/>
  <c r="DR52" i="92" s="1"/>
  <c r="DS52" i="92" s="1"/>
  <c r="DT52" i="92" s="1"/>
  <c r="DU52" i="92" s="1"/>
  <c r="DV52" i="92" s="1"/>
  <c r="DW52" i="92" s="1"/>
  <c r="DX52" i="92" s="1"/>
  <c r="DY52" i="92" s="1"/>
  <c r="DZ52" i="92" s="1"/>
  <c r="EA52" i="92" s="1"/>
  <c r="EB52" i="92" s="1"/>
  <c r="EC52" i="92" s="1"/>
  <c r="ED52" i="92" s="1"/>
  <c r="EE52" i="92" s="1"/>
  <c r="EF52" i="92" s="1"/>
  <c r="EG52" i="92" s="1"/>
  <c r="EH52" i="92" s="1"/>
  <c r="EI52" i="92" s="1"/>
  <c r="EJ52" i="92" s="1"/>
  <c r="EK52" i="92" s="1"/>
  <c r="CM35" i="92"/>
  <c r="CN35" i="92" s="1"/>
  <c r="CO35" i="92" s="1"/>
  <c r="CP35" i="92" s="1"/>
  <c r="CQ35" i="92" s="1"/>
  <c r="CR35" i="92" s="1"/>
  <c r="CS35" i="92" s="1"/>
  <c r="CT35" i="92" s="1"/>
  <c r="CU35" i="92" s="1"/>
  <c r="CV35" i="92" s="1"/>
  <c r="CW35" i="92" s="1"/>
  <c r="CX35" i="92" s="1"/>
  <c r="CY35" i="92" s="1"/>
  <c r="CZ35" i="92" s="1"/>
  <c r="DA35" i="92" s="1"/>
  <c r="DB35" i="92" s="1"/>
  <c r="DC35" i="92" s="1"/>
  <c r="DD35" i="92" s="1"/>
  <c r="DE35" i="92" s="1"/>
  <c r="DF35" i="92" s="1"/>
  <c r="DG35" i="92" s="1"/>
  <c r="DH35" i="92" s="1"/>
  <c r="DI35" i="92" s="1"/>
  <c r="DJ35" i="92" s="1"/>
  <c r="DK35" i="92" s="1"/>
  <c r="DL35" i="92" s="1"/>
  <c r="DM35" i="92" s="1"/>
  <c r="DN35" i="92" s="1"/>
  <c r="DO35" i="92" s="1"/>
  <c r="DP35" i="92" s="1"/>
  <c r="DQ35" i="92" s="1"/>
  <c r="DR35" i="92" s="1"/>
  <c r="DS35" i="92" s="1"/>
  <c r="DT35" i="92" s="1"/>
  <c r="DU35" i="92" s="1"/>
  <c r="DV35" i="92" s="1"/>
  <c r="DW35" i="92" s="1"/>
  <c r="DX35" i="92" s="1"/>
  <c r="DY35" i="92" s="1"/>
  <c r="DZ35" i="92" s="1"/>
  <c r="EA35" i="92" s="1"/>
  <c r="EB35" i="92" s="1"/>
  <c r="EC35" i="92" s="1"/>
  <c r="ED35" i="92" s="1"/>
  <c r="EE35" i="92" s="1"/>
  <c r="EF35" i="92" s="1"/>
  <c r="EG35" i="92" s="1"/>
  <c r="EH35" i="92" s="1"/>
  <c r="EI35" i="92" s="1"/>
  <c r="EJ35" i="92" s="1"/>
  <c r="EK35" i="92" s="1"/>
  <c r="CM31" i="92"/>
  <c r="CN31" i="92" s="1"/>
  <c r="CO31" i="92" s="1"/>
  <c r="CP31" i="92" s="1"/>
  <c r="CQ31" i="92" s="1"/>
  <c r="CR31" i="92" s="1"/>
  <c r="CS31" i="92" s="1"/>
  <c r="CT31" i="92" s="1"/>
  <c r="CU31" i="92" s="1"/>
  <c r="CV31" i="92" s="1"/>
  <c r="CW31" i="92" s="1"/>
  <c r="CX31" i="92" s="1"/>
  <c r="CY31" i="92" s="1"/>
  <c r="CZ31" i="92" s="1"/>
  <c r="DA31" i="92" s="1"/>
  <c r="DB31" i="92" s="1"/>
  <c r="DC31" i="92" s="1"/>
  <c r="DD31" i="92" s="1"/>
  <c r="DE31" i="92" s="1"/>
  <c r="DF31" i="92" s="1"/>
  <c r="DG31" i="92" s="1"/>
  <c r="DH31" i="92" s="1"/>
  <c r="DI31" i="92" s="1"/>
  <c r="DJ31" i="92" s="1"/>
  <c r="DK31" i="92" s="1"/>
  <c r="DL31" i="92" s="1"/>
  <c r="DM31" i="92" s="1"/>
  <c r="DN31" i="92" s="1"/>
  <c r="DO31" i="92" s="1"/>
  <c r="DP31" i="92" s="1"/>
  <c r="DQ31" i="92" s="1"/>
  <c r="DR31" i="92" s="1"/>
  <c r="DS31" i="92" s="1"/>
  <c r="DT31" i="92" s="1"/>
  <c r="DU31" i="92" s="1"/>
  <c r="DV31" i="92" s="1"/>
  <c r="DW31" i="92" s="1"/>
  <c r="DX31" i="92" s="1"/>
  <c r="DY31" i="92" s="1"/>
  <c r="DZ31" i="92" s="1"/>
  <c r="EA31" i="92" s="1"/>
  <c r="EB31" i="92" s="1"/>
  <c r="EC31" i="92" s="1"/>
  <c r="ED31" i="92" s="1"/>
  <c r="EE31" i="92" s="1"/>
  <c r="EF31" i="92" s="1"/>
  <c r="EG31" i="92" s="1"/>
  <c r="EH31" i="92" s="1"/>
  <c r="EI31" i="92" s="1"/>
  <c r="EJ31" i="92" s="1"/>
  <c r="EK31" i="92" s="1"/>
  <c r="CM20" i="92"/>
  <c r="CN20" i="92" s="1"/>
  <c r="CO20" i="92" s="1"/>
  <c r="CP20" i="92" s="1"/>
  <c r="CQ20" i="92" s="1"/>
  <c r="CR20" i="92" s="1"/>
  <c r="CS20" i="92" s="1"/>
  <c r="CT20" i="92" s="1"/>
  <c r="CU20" i="92" s="1"/>
  <c r="CV20" i="92" s="1"/>
  <c r="CW20" i="92" s="1"/>
  <c r="CX20" i="92" s="1"/>
  <c r="CY20" i="92" s="1"/>
  <c r="CZ20" i="92" s="1"/>
  <c r="DA20" i="92" s="1"/>
  <c r="DB20" i="92" s="1"/>
  <c r="DC20" i="92" s="1"/>
  <c r="DD20" i="92" s="1"/>
  <c r="DE20" i="92" s="1"/>
  <c r="DF20" i="92" s="1"/>
  <c r="DG20" i="92" s="1"/>
  <c r="DH20" i="92" s="1"/>
  <c r="DI20" i="92" s="1"/>
  <c r="DJ20" i="92" s="1"/>
  <c r="DK20" i="92" s="1"/>
  <c r="DL20" i="92" s="1"/>
  <c r="DM20" i="92" s="1"/>
  <c r="DN20" i="92" s="1"/>
  <c r="DO20" i="92" s="1"/>
  <c r="DP20" i="92" s="1"/>
  <c r="DQ20" i="92" s="1"/>
  <c r="DR20" i="92" s="1"/>
  <c r="DS20" i="92" s="1"/>
  <c r="DT20" i="92" s="1"/>
  <c r="DU20" i="92" s="1"/>
  <c r="DV20" i="92" s="1"/>
  <c r="DW20" i="92" s="1"/>
  <c r="DX20" i="92" s="1"/>
  <c r="DY20" i="92" s="1"/>
  <c r="DZ20" i="92" s="1"/>
  <c r="EA20" i="92" s="1"/>
  <c r="EB20" i="92" s="1"/>
  <c r="EC20" i="92" s="1"/>
  <c r="ED20" i="92" s="1"/>
  <c r="EE20" i="92" s="1"/>
  <c r="EF20" i="92" s="1"/>
  <c r="EG20" i="92" s="1"/>
  <c r="EH20" i="92" s="1"/>
  <c r="EI20" i="92" s="1"/>
  <c r="EJ20" i="92" s="1"/>
  <c r="EK20" i="92" s="1"/>
  <c r="CM15" i="92"/>
  <c r="CN15" i="92" s="1"/>
  <c r="CO15" i="92" s="1"/>
  <c r="CP15" i="92" s="1"/>
  <c r="CQ15" i="92" s="1"/>
  <c r="CR15" i="92" s="1"/>
  <c r="CS15" i="92" s="1"/>
  <c r="CT15" i="92" s="1"/>
  <c r="CU15" i="92" s="1"/>
  <c r="CV15" i="92" s="1"/>
  <c r="CW15" i="92" s="1"/>
  <c r="CX15" i="92" s="1"/>
  <c r="CY15" i="92" s="1"/>
  <c r="CZ15" i="92" s="1"/>
  <c r="DA15" i="92" s="1"/>
  <c r="DB15" i="92" s="1"/>
  <c r="DC15" i="92" s="1"/>
  <c r="DD15" i="92" s="1"/>
  <c r="DE15" i="92" s="1"/>
  <c r="DF15" i="92" s="1"/>
  <c r="DG15" i="92" s="1"/>
  <c r="DH15" i="92" s="1"/>
  <c r="DI15" i="92" s="1"/>
  <c r="DJ15" i="92" s="1"/>
  <c r="DK15" i="92" s="1"/>
  <c r="DL15" i="92" s="1"/>
  <c r="DM15" i="92" s="1"/>
  <c r="DN15" i="92" s="1"/>
  <c r="DO15" i="92" s="1"/>
  <c r="DP15" i="92" s="1"/>
  <c r="DQ15" i="92" s="1"/>
  <c r="DR15" i="92" s="1"/>
  <c r="DS15" i="92" s="1"/>
  <c r="DT15" i="92" s="1"/>
  <c r="DU15" i="92" s="1"/>
  <c r="DV15" i="92" s="1"/>
  <c r="DW15" i="92" s="1"/>
  <c r="DX15" i="92" s="1"/>
  <c r="DY15" i="92" s="1"/>
  <c r="DZ15" i="92" s="1"/>
  <c r="EA15" i="92" s="1"/>
  <c r="EB15" i="92" s="1"/>
  <c r="EC15" i="92" s="1"/>
  <c r="ED15" i="92" s="1"/>
  <c r="EE15" i="92" s="1"/>
  <c r="EF15" i="92" s="1"/>
  <c r="EG15" i="92" s="1"/>
  <c r="EH15" i="92" s="1"/>
  <c r="EI15" i="92" s="1"/>
  <c r="EJ15" i="92" s="1"/>
  <c r="EK15" i="92" s="1"/>
  <c r="CM51" i="92"/>
  <c r="CN51" i="92" s="1"/>
  <c r="CO51" i="92" s="1"/>
  <c r="CP51" i="92" s="1"/>
  <c r="CQ51" i="92" s="1"/>
  <c r="CR51" i="92" s="1"/>
  <c r="CS51" i="92" s="1"/>
  <c r="CT51" i="92" s="1"/>
  <c r="CU51" i="92" s="1"/>
  <c r="CV51" i="92" s="1"/>
  <c r="CW51" i="92" s="1"/>
  <c r="CX51" i="92" s="1"/>
  <c r="CY51" i="92" s="1"/>
  <c r="CZ51" i="92" s="1"/>
  <c r="DA51" i="92" s="1"/>
  <c r="DB51" i="92" s="1"/>
  <c r="DC51" i="92" s="1"/>
  <c r="DD51" i="92" s="1"/>
  <c r="DE51" i="92" s="1"/>
  <c r="DF51" i="92" s="1"/>
  <c r="DG51" i="92" s="1"/>
  <c r="DH51" i="92" s="1"/>
  <c r="DI51" i="92" s="1"/>
  <c r="DJ51" i="92" s="1"/>
  <c r="DK51" i="92" s="1"/>
  <c r="DL51" i="92" s="1"/>
  <c r="DM51" i="92" s="1"/>
  <c r="DN51" i="92" s="1"/>
  <c r="DO51" i="92" s="1"/>
  <c r="DP51" i="92" s="1"/>
  <c r="DQ51" i="92" s="1"/>
  <c r="DR51" i="92" s="1"/>
  <c r="DS51" i="92" s="1"/>
  <c r="DT51" i="92" s="1"/>
  <c r="DU51" i="92" s="1"/>
  <c r="DV51" i="92" s="1"/>
  <c r="DW51" i="92" s="1"/>
  <c r="DX51" i="92" s="1"/>
  <c r="DY51" i="92" s="1"/>
  <c r="DZ51" i="92" s="1"/>
  <c r="EA51" i="92" s="1"/>
  <c r="EB51" i="92" s="1"/>
  <c r="EC51" i="92" s="1"/>
  <c r="ED51" i="92" s="1"/>
  <c r="EE51" i="92" s="1"/>
  <c r="EF51" i="92" s="1"/>
  <c r="EG51" i="92" s="1"/>
  <c r="EH51" i="92" s="1"/>
  <c r="EI51" i="92" s="1"/>
  <c r="EJ51" i="92" s="1"/>
  <c r="EK51" i="92" s="1"/>
  <c r="CM59" i="92"/>
  <c r="CN59" i="92" s="1"/>
  <c r="CO59" i="92" s="1"/>
  <c r="CP59" i="92" s="1"/>
  <c r="CQ59" i="92" s="1"/>
  <c r="CR59" i="92" s="1"/>
  <c r="CS59" i="92" s="1"/>
  <c r="CT59" i="92" s="1"/>
  <c r="CU59" i="92" s="1"/>
  <c r="CV59" i="92" s="1"/>
  <c r="CW59" i="92" s="1"/>
  <c r="CX59" i="92" s="1"/>
  <c r="CY59" i="92" s="1"/>
  <c r="CZ59" i="92" s="1"/>
  <c r="DA59" i="92" s="1"/>
  <c r="CM50" i="92"/>
  <c r="CN50" i="92" s="1"/>
  <c r="CO50" i="92" s="1"/>
  <c r="CP50" i="92" s="1"/>
  <c r="CQ50" i="92" s="1"/>
  <c r="CR50" i="92" s="1"/>
  <c r="CS50" i="92" s="1"/>
  <c r="CT50" i="92" s="1"/>
  <c r="CU50" i="92" s="1"/>
  <c r="CV50" i="92" s="1"/>
  <c r="CW50" i="92" s="1"/>
  <c r="CX50" i="92" s="1"/>
  <c r="CY50" i="92" s="1"/>
  <c r="CZ50" i="92" s="1"/>
  <c r="DA50" i="92" s="1"/>
  <c r="DB50" i="92" s="1"/>
  <c r="DC50" i="92" s="1"/>
  <c r="DD50" i="92" s="1"/>
  <c r="DE50" i="92" s="1"/>
  <c r="DF50" i="92" s="1"/>
  <c r="DG50" i="92" s="1"/>
  <c r="DH50" i="92" s="1"/>
  <c r="DI50" i="92" s="1"/>
  <c r="DJ50" i="92" s="1"/>
  <c r="DK50" i="92" s="1"/>
  <c r="DL50" i="92" s="1"/>
  <c r="DM50" i="92" s="1"/>
  <c r="DN50" i="92" s="1"/>
  <c r="DO50" i="92" s="1"/>
  <c r="DP50" i="92" s="1"/>
  <c r="DQ50" i="92" s="1"/>
  <c r="DR50" i="92" s="1"/>
  <c r="DS50" i="92" s="1"/>
  <c r="DT50" i="92" s="1"/>
  <c r="DU50" i="92" s="1"/>
  <c r="DV50" i="92" s="1"/>
  <c r="DW50" i="92" s="1"/>
  <c r="DX50" i="92" s="1"/>
  <c r="DY50" i="92" s="1"/>
  <c r="DZ50" i="92" s="1"/>
  <c r="EA50" i="92" s="1"/>
  <c r="EB50" i="92" s="1"/>
  <c r="EC50" i="92" s="1"/>
  <c r="ED50" i="92" s="1"/>
  <c r="EE50" i="92" s="1"/>
  <c r="EF50" i="92" s="1"/>
  <c r="EG50" i="92" s="1"/>
  <c r="EH50" i="92" s="1"/>
  <c r="EI50" i="92" s="1"/>
  <c r="EJ50" i="92" s="1"/>
  <c r="EK50" i="92" s="1"/>
  <c r="CM34" i="92"/>
  <c r="CN34" i="92" s="1"/>
  <c r="CO34" i="92" s="1"/>
  <c r="CP34" i="92" s="1"/>
  <c r="CQ34" i="92" s="1"/>
  <c r="CR34" i="92" s="1"/>
  <c r="CS34" i="92" s="1"/>
  <c r="CT34" i="92" s="1"/>
  <c r="CU34" i="92" s="1"/>
  <c r="CV34" i="92" s="1"/>
  <c r="CW34" i="92" s="1"/>
  <c r="CX34" i="92" s="1"/>
  <c r="CY34" i="92" s="1"/>
  <c r="CZ34" i="92" s="1"/>
  <c r="DA34" i="92" s="1"/>
  <c r="DB34" i="92" s="1"/>
  <c r="DC34" i="92" s="1"/>
  <c r="DD34" i="92" s="1"/>
  <c r="CM30" i="92"/>
  <c r="CN30" i="92" s="1"/>
  <c r="CO30" i="92" s="1"/>
  <c r="CP30" i="92" s="1"/>
  <c r="CQ30" i="92" s="1"/>
  <c r="CR30" i="92" s="1"/>
  <c r="CS30" i="92" s="1"/>
  <c r="CT30" i="92" s="1"/>
  <c r="CU30" i="92" s="1"/>
  <c r="CV30" i="92" s="1"/>
  <c r="CW30" i="92" s="1"/>
  <c r="CX30" i="92" s="1"/>
  <c r="CY30" i="92" s="1"/>
  <c r="CZ30" i="92" s="1"/>
  <c r="DA30" i="92" s="1"/>
  <c r="DB30" i="92" s="1"/>
  <c r="DC30" i="92" s="1"/>
  <c r="CM19" i="92"/>
  <c r="CM49" i="92"/>
  <c r="CN49" i="92" s="1"/>
  <c r="CO49" i="92" s="1"/>
  <c r="CP49" i="92" s="1"/>
  <c r="CQ49" i="92" s="1"/>
  <c r="CR49" i="92" s="1"/>
  <c r="CS49" i="92" s="1"/>
  <c r="CT49" i="92" s="1"/>
  <c r="CU49" i="92" s="1"/>
  <c r="CV49" i="92" s="1"/>
  <c r="CW49" i="92" s="1"/>
  <c r="CX49" i="92" s="1"/>
  <c r="CY49" i="92" s="1"/>
  <c r="CM14" i="92"/>
  <c r="CM33" i="92"/>
  <c r="CM29" i="92"/>
  <c r="CN29" i="92" s="1"/>
  <c r="CO29" i="92" s="1"/>
  <c r="CP29" i="92" s="1"/>
  <c r="CQ29" i="92" s="1"/>
  <c r="CR29" i="92" s="1"/>
  <c r="CS29" i="92" s="1"/>
  <c r="CT29" i="92" s="1"/>
  <c r="CU29" i="92" s="1"/>
  <c r="CM58" i="92"/>
  <c r="CN58" i="92" s="1"/>
  <c r="CO58" i="92" s="1"/>
  <c r="CP58" i="92" s="1"/>
  <c r="CQ58" i="92" s="1"/>
  <c r="CR58" i="92" s="1"/>
  <c r="CS58" i="92" s="1"/>
  <c r="CM18" i="92"/>
  <c r="CN18" i="92" s="1"/>
  <c r="CO18" i="92" s="1"/>
  <c r="CP18" i="92" s="1"/>
  <c r="CQ18" i="92" s="1"/>
  <c r="CR18" i="92" s="1"/>
  <c r="CM48" i="92"/>
  <c r="CN48" i="92" s="1"/>
  <c r="CO48" i="92" s="1"/>
  <c r="CP48" i="92" s="1"/>
  <c r="CQ48" i="92" s="1"/>
  <c r="CR48" i="92" s="1"/>
  <c r="CS48" i="92" s="1"/>
  <c r="CT48" i="92" s="1"/>
  <c r="CM28" i="92"/>
  <c r="CM32" i="92"/>
  <c r="CN32" i="92" s="1"/>
  <c r="CO32" i="92" s="1"/>
  <c r="CP32" i="92" s="1"/>
  <c r="CQ32" i="92" s="1"/>
  <c r="CR32" i="92" s="1"/>
  <c r="CS32" i="92" s="1"/>
  <c r="CT32" i="92" s="1"/>
  <c r="CU32" i="92" s="1"/>
  <c r="CM57" i="92"/>
  <c r="CS17" i="92"/>
  <c r="CM17" i="92"/>
  <c r="CR47" i="92"/>
  <c r="CS47" i="92" s="1"/>
  <c r="CM47" i="92"/>
  <c r="CN46" i="92"/>
  <c r="CM12" i="92"/>
  <c r="CZ44" i="92"/>
  <c r="DA44" i="92" s="1"/>
  <c r="DB44" i="92" s="1"/>
  <c r="CM44" i="92"/>
  <c r="CN44" i="92" s="1"/>
  <c r="CO44" i="92" s="1"/>
  <c r="CP44" i="92" s="1"/>
  <c r="CQ44" i="92" s="1"/>
  <c r="CW22" i="92"/>
  <c r="CX22" i="92" s="1"/>
  <c r="CY22" i="92" s="1"/>
  <c r="CZ22" i="92" s="1"/>
  <c r="DA22" i="92" s="1"/>
  <c r="DB22" i="92" s="1"/>
  <c r="DC22" i="92" s="1"/>
  <c r="DD22" i="92" s="1"/>
  <c r="DE22" i="92" s="1"/>
  <c r="DF22" i="92" s="1"/>
  <c r="DG22" i="92" s="1"/>
  <c r="DH22" i="92" s="1"/>
  <c r="DI22" i="92" s="1"/>
  <c r="DJ22" i="92" s="1"/>
  <c r="DK22" i="92" s="1"/>
  <c r="DL22" i="92" s="1"/>
  <c r="DM22" i="92" s="1"/>
  <c r="DN22" i="92" s="1"/>
  <c r="DO22" i="92" s="1"/>
  <c r="DP22" i="92" s="1"/>
  <c r="DQ22" i="92" s="1"/>
  <c r="DR22" i="92" s="1"/>
  <c r="DS22" i="92" s="1"/>
  <c r="DT22" i="92" s="1"/>
  <c r="DU22" i="92" s="1"/>
  <c r="DV22" i="92" s="1"/>
  <c r="DW22" i="92" s="1"/>
  <c r="DX22" i="92" s="1"/>
  <c r="DY22" i="92" s="1"/>
  <c r="DZ22" i="92" s="1"/>
  <c r="EA22" i="92" s="1"/>
  <c r="EB22" i="92" s="1"/>
  <c r="EC22" i="92" s="1"/>
  <c r="ED22" i="92" s="1"/>
  <c r="EE22" i="92" s="1"/>
  <c r="EF22" i="92" s="1"/>
  <c r="EG22" i="92" s="1"/>
  <c r="EH22" i="92" s="1"/>
  <c r="EI22" i="92" s="1"/>
  <c r="EJ22" i="92" s="1"/>
  <c r="EK22" i="92" s="1"/>
  <c r="CM22" i="92"/>
  <c r="CN22" i="92" s="1"/>
  <c r="CO22" i="92" s="1"/>
  <c r="CP22" i="92" s="1"/>
  <c r="CQ22" i="92" s="1"/>
  <c r="CV21" i="92"/>
  <c r="CM21" i="92"/>
  <c r="CT23" i="92"/>
  <c r="CU23" i="92" s="1"/>
  <c r="CV23" i="92" s="1"/>
  <c r="CW23" i="92" s="1"/>
  <c r="CX23" i="92" s="1"/>
  <c r="CY23" i="92" s="1"/>
  <c r="CZ23" i="92" s="1"/>
  <c r="DA23" i="92" s="1"/>
  <c r="DB23" i="92" s="1"/>
  <c r="DC23" i="92" s="1"/>
  <c r="DD23" i="92" s="1"/>
  <c r="DE23" i="92" s="1"/>
  <c r="DF23" i="92" s="1"/>
  <c r="DG23" i="92" s="1"/>
  <c r="DH23" i="92" s="1"/>
  <c r="DI23" i="92" s="1"/>
  <c r="DJ23" i="92" s="1"/>
  <c r="DK23" i="92" s="1"/>
  <c r="DL23" i="92" s="1"/>
  <c r="DM23" i="92" s="1"/>
  <c r="DN23" i="92" s="1"/>
  <c r="DO23" i="92" s="1"/>
  <c r="DP23" i="92" s="1"/>
  <c r="DQ23" i="92" s="1"/>
  <c r="DR23" i="92" s="1"/>
  <c r="DS23" i="92" s="1"/>
  <c r="DT23" i="92" s="1"/>
  <c r="DU23" i="92" s="1"/>
  <c r="DV23" i="92" s="1"/>
  <c r="DW23" i="92" s="1"/>
  <c r="DX23" i="92" s="1"/>
  <c r="DY23" i="92" s="1"/>
  <c r="DZ23" i="92" s="1"/>
  <c r="EA23" i="92" s="1"/>
  <c r="EB23" i="92" s="1"/>
  <c r="EC23" i="92" s="1"/>
  <c r="ED23" i="92" s="1"/>
  <c r="EE23" i="92" s="1"/>
  <c r="EF23" i="92" s="1"/>
  <c r="EG23" i="92" s="1"/>
  <c r="EH23" i="92" s="1"/>
  <c r="EI23" i="92" s="1"/>
  <c r="EJ23" i="92" s="1"/>
  <c r="EK23" i="92" s="1"/>
  <c r="CR43" i="92"/>
  <c r="CM43" i="92"/>
  <c r="CT45" i="92"/>
  <c r="CU45" i="92" s="1"/>
  <c r="CV45" i="92" s="1"/>
  <c r="CW45" i="92" s="1"/>
  <c r="CX45" i="92" s="1"/>
  <c r="CY45" i="92" s="1"/>
  <c r="CZ45" i="92" s="1"/>
  <c r="DA45" i="92" s="1"/>
  <c r="DB45" i="92" s="1"/>
  <c r="DC45" i="92" s="1"/>
  <c r="DD45" i="92" s="1"/>
  <c r="DE45" i="92" s="1"/>
  <c r="DF45" i="92" s="1"/>
  <c r="DG45" i="92" s="1"/>
  <c r="DH45" i="92" s="1"/>
  <c r="DI45" i="92" s="1"/>
  <c r="DJ45" i="92" s="1"/>
  <c r="DK45" i="92" s="1"/>
  <c r="DL45" i="92" s="1"/>
  <c r="DM45" i="92" s="1"/>
  <c r="DN45" i="92" s="1"/>
  <c r="DO45" i="92" s="1"/>
  <c r="DP45" i="92" s="1"/>
  <c r="DQ45" i="92" s="1"/>
  <c r="DR45" i="92" s="1"/>
  <c r="DS45" i="92" s="1"/>
  <c r="DT45" i="92" s="1"/>
  <c r="DU45" i="92" s="1"/>
  <c r="DV45" i="92" s="1"/>
  <c r="DW45" i="92" s="1"/>
  <c r="DX45" i="92" s="1"/>
  <c r="DY45" i="92" s="1"/>
  <c r="DZ45" i="92" s="1"/>
  <c r="EA45" i="92" s="1"/>
  <c r="EB45" i="92" s="1"/>
  <c r="EC45" i="92" s="1"/>
  <c r="ED45" i="92" s="1"/>
  <c r="EE45" i="92" s="1"/>
  <c r="EF45" i="92" s="1"/>
  <c r="EG45" i="92" s="1"/>
  <c r="EH45" i="92" s="1"/>
  <c r="EI45" i="92" s="1"/>
  <c r="EJ45" i="92" s="1"/>
  <c r="EK45" i="92" s="1"/>
  <c r="CO45" i="92"/>
  <c r="CP45" i="92" s="1"/>
  <c r="CQ45" i="92" s="1"/>
  <c r="CR45" i="92" s="1"/>
  <c r="CS16" i="92"/>
  <c r="CM16" i="92"/>
  <c r="CM106" i="92" s="1"/>
  <c r="CO11" i="92"/>
  <c r="CM11" i="92"/>
  <c r="CM207" i="92" l="1"/>
  <c r="CM107" i="92"/>
  <c r="CM97" i="92"/>
  <c r="CQ110" i="92"/>
  <c r="CM108" i="92"/>
  <c r="CV108" i="92"/>
  <c r="DD30" i="92"/>
  <c r="CT16" i="92"/>
  <c r="CS106" i="92"/>
  <c r="CR22" i="92"/>
  <c r="CV29" i="92"/>
  <c r="CM111" i="92"/>
  <c r="CM109" i="92"/>
  <c r="CM105" i="92"/>
  <c r="CM110" i="92"/>
  <c r="CN28" i="92"/>
  <c r="CN16" i="92"/>
  <c r="CN106" i="92" s="1"/>
  <c r="CP11" i="92"/>
  <c r="CW21" i="92"/>
  <c r="CW108" i="92" s="1"/>
  <c r="CN21" i="92"/>
  <c r="CN108" i="92" s="1"/>
  <c r="CO113" i="92"/>
  <c r="CO114" i="92"/>
  <c r="CL101" i="92"/>
  <c r="CL211" i="92"/>
  <c r="CR44" i="92"/>
  <c r="CS44" i="92" s="1"/>
  <c r="CT44" i="92" s="1"/>
  <c r="CU44" i="92" s="1"/>
  <c r="CV44" i="92" s="1"/>
  <c r="CW44" i="92" s="1"/>
  <c r="CX44" i="92" s="1"/>
  <c r="CN43" i="92"/>
  <c r="CN110" i="92" s="1"/>
  <c r="CS43" i="92"/>
  <c r="DE34" i="92"/>
  <c r="CN33" i="92"/>
  <c r="CU48" i="92"/>
  <c r="CO46" i="92"/>
  <c r="CN47" i="92"/>
  <c r="CO47" i="92" s="1"/>
  <c r="CP47" i="92" s="1"/>
  <c r="CZ49" i="92"/>
  <c r="CN57" i="92"/>
  <c r="DB59" i="92"/>
  <c r="CT58" i="92"/>
  <c r="CS18" i="92"/>
  <c r="CT18" i="92" s="1"/>
  <c r="CN17" i="92"/>
  <c r="CN19" i="92"/>
  <c r="CN14" i="92"/>
  <c r="CL209" i="92"/>
  <c r="CN207" i="92" l="1"/>
  <c r="CM116" i="92"/>
  <c r="CN97" i="92"/>
  <c r="CS22" i="92"/>
  <c r="CT22" i="92" s="1"/>
  <c r="CU22" i="92" s="1"/>
  <c r="CU108" i="92" s="1"/>
  <c r="CN109" i="92"/>
  <c r="CR110" i="92"/>
  <c r="CU16" i="92"/>
  <c r="CT106" i="92"/>
  <c r="CN105" i="92"/>
  <c r="CN111" i="92"/>
  <c r="DE30" i="92"/>
  <c r="CO16" i="92"/>
  <c r="CO106" i="92" s="1"/>
  <c r="CQ11" i="92"/>
  <c r="CN107" i="92"/>
  <c r="CS110" i="92"/>
  <c r="CW29" i="92"/>
  <c r="CO28" i="92"/>
  <c r="CP28" i="92" s="1"/>
  <c r="CM102" i="92"/>
  <c r="CM103" i="92" s="1"/>
  <c r="CO21" i="92"/>
  <c r="CX21" i="92"/>
  <c r="CX108" i="92" s="1"/>
  <c r="CM209" i="92"/>
  <c r="CT43" i="92"/>
  <c r="CT110" i="92" s="1"/>
  <c r="CO43" i="92"/>
  <c r="CO110" i="92" s="1"/>
  <c r="CO33" i="92"/>
  <c r="DF34" i="92"/>
  <c r="CP46" i="92"/>
  <c r="DA49" i="92"/>
  <c r="DA111" i="92" s="1"/>
  <c r="CV48" i="92"/>
  <c r="CU58" i="92"/>
  <c r="DC59" i="92"/>
  <c r="CO57" i="92"/>
  <c r="CO17" i="92"/>
  <c r="CU18" i="92"/>
  <c r="CO19" i="92"/>
  <c r="CO14" i="92"/>
  <c r="CL102" i="92"/>
  <c r="CN116" i="92" l="1"/>
  <c r="CO24" i="92"/>
  <c r="CO109" i="92" s="1"/>
  <c r="CR11" i="92"/>
  <c r="CS11" i="92" s="1"/>
  <c r="CP16" i="92"/>
  <c r="CP106" i="92" s="1"/>
  <c r="CX29" i="92"/>
  <c r="DF30" i="92"/>
  <c r="CV16" i="92"/>
  <c r="CU106" i="92"/>
  <c r="CQ28" i="92"/>
  <c r="CO105" i="92"/>
  <c r="CY21" i="92"/>
  <c r="CY108" i="92" s="1"/>
  <c r="CP21" i="92"/>
  <c r="CP108" i="92" s="1"/>
  <c r="CO108" i="92"/>
  <c r="CO112" i="92"/>
  <c r="CO111" i="92"/>
  <c r="CO107" i="92"/>
  <c r="CP43" i="92"/>
  <c r="CU43" i="92"/>
  <c r="CU110" i="92" s="1"/>
  <c r="DG34" i="92"/>
  <c r="CP33" i="92"/>
  <c r="CP109" i="92" s="1"/>
  <c r="DB49" i="92"/>
  <c r="DB111" i="92" s="1"/>
  <c r="CQ46" i="92"/>
  <c r="CW48" i="92"/>
  <c r="CP57" i="92"/>
  <c r="DD59" i="92"/>
  <c r="CV58" i="92"/>
  <c r="CM211" i="92"/>
  <c r="CV18" i="92"/>
  <c r="CP17" i="92"/>
  <c r="CP19" i="92"/>
  <c r="CN209" i="92"/>
  <c r="CP14" i="92"/>
  <c r="CO207" i="92" l="1"/>
  <c r="CP207" i="92"/>
  <c r="CO116" i="92"/>
  <c r="CO97" i="92"/>
  <c r="CP97" i="92"/>
  <c r="CQ16" i="92"/>
  <c r="CQ106" i="92" s="1"/>
  <c r="CR28" i="92"/>
  <c r="CP110" i="92"/>
  <c r="CP107" i="92"/>
  <c r="CP111" i="92"/>
  <c r="DG30" i="92"/>
  <c r="CP105" i="92"/>
  <c r="CV111" i="92"/>
  <c r="CW16" i="92"/>
  <c r="CV106" i="92"/>
  <c r="CY29" i="92"/>
  <c r="CQ21" i="92"/>
  <c r="CQ23" i="92" s="1"/>
  <c r="CZ21" i="92"/>
  <c r="CZ108" i="92" s="1"/>
  <c r="CV43" i="92"/>
  <c r="CV110" i="92" s="1"/>
  <c r="CQ33" i="92"/>
  <c r="CR33" i="92" s="1"/>
  <c r="DH34" i="92"/>
  <c r="CR46" i="92"/>
  <c r="CX48" i="92"/>
  <c r="DC49" i="92"/>
  <c r="DC111" i="92" s="1"/>
  <c r="CW58" i="92"/>
  <c r="DE59" i="92"/>
  <c r="CQ57" i="92"/>
  <c r="CQ53" i="92" s="1"/>
  <c r="CQ17" i="92"/>
  <c r="CW18" i="92"/>
  <c r="CQ19" i="92"/>
  <c r="CQ14" i="92"/>
  <c r="CN102" i="92"/>
  <c r="CN103" i="92" s="1"/>
  <c r="CN211" i="92"/>
  <c r="CT11" i="92"/>
  <c r="CP116" i="92" l="1"/>
  <c r="CQ105" i="92"/>
  <c r="CQ107" i="92"/>
  <c r="CR24" i="92"/>
  <c r="CZ29" i="92"/>
  <c r="CX16" i="92"/>
  <c r="CX106" i="92" s="1"/>
  <c r="CW106" i="92"/>
  <c r="CQ24" i="92"/>
  <c r="CQ97" i="92" s="1"/>
  <c r="DH30" i="92"/>
  <c r="CW111" i="92"/>
  <c r="CS28" i="92"/>
  <c r="DA21" i="92"/>
  <c r="DA108" i="92" s="1"/>
  <c r="CR21" i="92"/>
  <c r="CR23" i="92" s="1"/>
  <c r="CW43" i="92"/>
  <c r="CW110" i="92" s="1"/>
  <c r="DI34" i="92"/>
  <c r="CS33" i="92"/>
  <c r="DD49" i="92"/>
  <c r="DD111" i="92" s="1"/>
  <c r="CS46" i="92"/>
  <c r="CR57" i="92"/>
  <c r="CR53" i="92" s="1"/>
  <c r="DF59" i="92"/>
  <c r="CX58" i="92"/>
  <c r="CX111" i="92" s="1"/>
  <c r="CX18" i="92"/>
  <c r="CR19" i="92"/>
  <c r="CR14" i="92"/>
  <c r="CU11" i="92"/>
  <c r="CR207" i="92" l="1"/>
  <c r="CQ116" i="92"/>
  <c r="CQ207" i="92"/>
  <c r="CR97" i="92"/>
  <c r="CT28" i="92"/>
  <c r="CR107" i="92"/>
  <c r="DI30" i="92"/>
  <c r="CY16" i="92"/>
  <c r="CY106" i="92" s="1"/>
  <c r="CR105" i="92"/>
  <c r="DA29" i="92"/>
  <c r="CS21" i="92"/>
  <c r="CS108" i="92" s="1"/>
  <c r="DB21" i="92"/>
  <c r="DB108" i="92" s="1"/>
  <c r="CX43" i="92"/>
  <c r="CX110" i="92" s="1"/>
  <c r="CT33" i="92"/>
  <c r="DJ34" i="92"/>
  <c r="DE49" i="92"/>
  <c r="DE111" i="92" s="1"/>
  <c r="CY58" i="92"/>
  <c r="CY111" i="92" s="1"/>
  <c r="DG59" i="92"/>
  <c r="CY18" i="92"/>
  <c r="CS19" i="92"/>
  <c r="CS14" i="92"/>
  <c r="CV11" i="92"/>
  <c r="CR116" i="92" l="1"/>
  <c r="CZ16" i="92"/>
  <c r="CS105" i="92"/>
  <c r="CS107" i="92"/>
  <c r="DJ30" i="92"/>
  <c r="DB29" i="92"/>
  <c r="DC21" i="92"/>
  <c r="DC108" i="92" s="1"/>
  <c r="CT21" i="92"/>
  <c r="CY43" i="92"/>
  <c r="CY110" i="92" s="1"/>
  <c r="DK34" i="92"/>
  <c r="CU33" i="92"/>
  <c r="DF49" i="92"/>
  <c r="DF111" i="92" s="1"/>
  <c r="DH59" i="92"/>
  <c r="CZ58" i="92"/>
  <c r="CT19" i="92"/>
  <c r="CT14" i="92"/>
  <c r="CW11" i="92"/>
  <c r="CT108" i="92" l="1"/>
  <c r="CT105" i="92"/>
  <c r="CT107" i="92"/>
  <c r="CZ111" i="92"/>
  <c r="DK30" i="92"/>
  <c r="DA16" i="92"/>
  <c r="CZ106" i="92"/>
  <c r="DD21" i="92"/>
  <c r="DD108" i="92" s="1"/>
  <c r="CZ43" i="92"/>
  <c r="CZ110" i="92" s="1"/>
  <c r="CV33" i="92"/>
  <c r="DL34" i="92"/>
  <c r="DG49" i="92"/>
  <c r="DG111" i="92" s="1"/>
  <c r="DI59" i="92"/>
  <c r="CU19" i="92"/>
  <c r="CU14" i="92"/>
  <c r="CX11" i="92"/>
  <c r="DL30" i="92" l="1"/>
  <c r="CU105" i="92"/>
  <c r="DB16" i="92"/>
  <c r="DA106" i="92"/>
  <c r="CU107" i="92"/>
  <c r="DE21" i="92"/>
  <c r="DE108" i="92" s="1"/>
  <c r="DA43" i="92"/>
  <c r="DA110" i="92" s="1"/>
  <c r="DM34" i="92"/>
  <c r="CW33" i="92"/>
  <c r="DH49" i="92"/>
  <c r="DH111" i="92" s="1"/>
  <c r="DJ59" i="92"/>
  <c r="CV19" i="92"/>
  <c r="CV14" i="92"/>
  <c r="CY11" i="92"/>
  <c r="CV105" i="92" l="1"/>
  <c r="DM30" i="92"/>
  <c r="CV107" i="92"/>
  <c r="DC16" i="92"/>
  <c r="DB106" i="92"/>
  <c r="DF21" i="92"/>
  <c r="DF108" i="92" s="1"/>
  <c r="DB43" i="92"/>
  <c r="DB110" i="92" s="1"/>
  <c r="CX33" i="92"/>
  <c r="DN34" i="92"/>
  <c r="DI49" i="92"/>
  <c r="DI111" i="92" s="1"/>
  <c r="DK59" i="92"/>
  <c r="CW19" i="92"/>
  <c r="CW14" i="92"/>
  <c r="CZ11" i="92"/>
  <c r="CV109" i="92" l="1"/>
  <c r="CV116" i="92" s="1"/>
  <c r="DN30" i="92"/>
  <c r="CW105" i="92"/>
  <c r="DD16" i="92"/>
  <c r="DC106" i="92"/>
  <c r="CW107" i="92"/>
  <c r="DG21" i="92"/>
  <c r="DG108" i="92" s="1"/>
  <c r="DC43" i="92"/>
  <c r="DC110" i="92" s="1"/>
  <c r="DO34" i="92"/>
  <c r="CY33" i="92"/>
  <c r="DJ49" i="92"/>
  <c r="DJ111" i="92" s="1"/>
  <c r="DL59" i="92"/>
  <c r="CX19" i="92"/>
  <c r="CX107" i="92" s="1"/>
  <c r="CX14" i="92"/>
  <c r="DA11" i="92"/>
  <c r="CW109" i="92" l="1"/>
  <c r="CW116" i="92" s="1"/>
  <c r="CX105" i="92"/>
  <c r="DE16" i="92"/>
  <c r="DD106" i="92"/>
  <c r="DO30" i="92"/>
  <c r="DB11" i="92"/>
  <c r="DH21" i="92"/>
  <c r="DH108" i="92" s="1"/>
  <c r="DD43" i="92"/>
  <c r="DD110" i="92" s="1"/>
  <c r="CZ33" i="92"/>
  <c r="DP34" i="92"/>
  <c r="DK49" i="92"/>
  <c r="DK111" i="92" s="1"/>
  <c r="DM59" i="92"/>
  <c r="CY19" i="92"/>
  <c r="CY107" i="92" s="1"/>
  <c r="CY14" i="92"/>
  <c r="CY105" i="92" s="1"/>
  <c r="CP112" i="2"/>
  <c r="CO112" i="2"/>
  <c r="CN112" i="2"/>
  <c r="CM112" i="2"/>
  <c r="CL112" i="2"/>
  <c r="CK112" i="2"/>
  <c r="CJ112" i="2"/>
  <c r="CI112" i="2"/>
  <c r="CH112" i="2"/>
  <c r="CG112" i="2"/>
  <c r="CF112" i="2"/>
  <c r="CE112" i="2"/>
  <c r="CD112" i="2"/>
  <c r="CC112" i="2"/>
  <c r="CB112" i="2"/>
  <c r="CA112" i="2"/>
  <c r="BZ112" i="2"/>
  <c r="BY112" i="2"/>
  <c r="BX112" i="2"/>
  <c r="BW112" i="2"/>
  <c r="BV112" i="2"/>
  <c r="BU112" i="2"/>
  <c r="BT112" i="2"/>
  <c r="BS112" i="2"/>
  <c r="BR112" i="2"/>
  <c r="BQ112" i="2"/>
  <c r="BP112" i="2"/>
  <c r="BO112" i="2"/>
  <c r="BN112" i="2"/>
  <c r="BM112" i="2"/>
  <c r="BL112" i="2"/>
  <c r="BK112" i="2"/>
  <c r="BJ112" i="2"/>
  <c r="BI112" i="2"/>
  <c r="BH112" i="2"/>
  <c r="BG112" i="2"/>
  <c r="CP111" i="2"/>
  <c r="CO111" i="2"/>
  <c r="CN111" i="2"/>
  <c r="CM111" i="2"/>
  <c r="CL111" i="2"/>
  <c r="CK111" i="2"/>
  <c r="CJ111" i="2"/>
  <c r="CI111" i="2"/>
  <c r="CH111" i="2"/>
  <c r="CG111" i="2"/>
  <c r="CF111" i="2"/>
  <c r="CE111" i="2"/>
  <c r="CD111" i="2"/>
  <c r="CC111" i="2"/>
  <c r="CB111" i="2"/>
  <c r="CA111" i="2"/>
  <c r="BZ111" i="2"/>
  <c r="BY111" i="2"/>
  <c r="BX111" i="2"/>
  <c r="BW111" i="2"/>
  <c r="BV111" i="2"/>
  <c r="BU111" i="2"/>
  <c r="BT111" i="2"/>
  <c r="BS111" i="2"/>
  <c r="BR111" i="2"/>
  <c r="BQ111" i="2"/>
  <c r="BP111" i="2"/>
  <c r="BO111" i="2"/>
  <c r="BN111" i="2"/>
  <c r="BM111" i="2"/>
  <c r="BL111" i="2"/>
  <c r="BK111" i="2"/>
  <c r="BJ111" i="2"/>
  <c r="FF110" i="2"/>
  <c r="FE110" i="2"/>
  <c r="FD110" i="2"/>
  <c r="FC110" i="2"/>
  <c r="FB110" i="2"/>
  <c r="CX109" i="92" l="1"/>
  <c r="CX116" i="92" s="1"/>
  <c r="CY109" i="92"/>
  <c r="CY116" i="92" s="1"/>
  <c r="DP30" i="92"/>
  <c r="DF16" i="92"/>
  <c r="DE106" i="92"/>
  <c r="DC11" i="92"/>
  <c r="DI21" i="92"/>
  <c r="DI108" i="92" s="1"/>
  <c r="DE43" i="92"/>
  <c r="DE110" i="92" s="1"/>
  <c r="DQ34" i="92"/>
  <c r="DA33" i="92"/>
  <c r="DL49" i="92"/>
  <c r="DL111" i="92" s="1"/>
  <c r="DN59" i="92"/>
  <c r="CZ19" i="92"/>
  <c r="CZ14" i="92"/>
  <c r="BV36" i="6"/>
  <c r="BV35" i="6"/>
  <c r="BV91" i="6"/>
  <c r="BV54" i="6"/>
  <c r="BV90" i="6"/>
  <c r="BV53" i="6"/>
  <c r="BV89" i="6"/>
  <c r="BV52" i="6"/>
  <c r="BV88" i="6"/>
  <c r="BV51" i="6"/>
  <c r="BV87" i="6"/>
  <c r="BV50" i="6"/>
  <c r="CP21" i="1"/>
  <c r="DJ24" i="119" s="1"/>
  <c r="DJ26" i="119" s="1"/>
  <c r="CP106" i="2"/>
  <c r="CP104" i="2"/>
  <c r="CP103" i="2"/>
  <c r="BR11" i="51"/>
  <c r="BR62" i="51" s="1"/>
  <c r="BS11" i="51"/>
  <c r="BS62" i="51" s="1"/>
  <c r="BT11" i="51"/>
  <c r="BT62" i="51" s="1"/>
  <c r="BU11" i="51"/>
  <c r="BU62" i="51" s="1"/>
  <c r="BR12" i="51"/>
  <c r="BR64" i="51" s="1"/>
  <c r="BS12" i="51"/>
  <c r="BS64" i="51" s="1"/>
  <c r="BT12" i="51"/>
  <c r="BT64" i="51" s="1"/>
  <c r="BU12" i="51"/>
  <c r="BU64" i="51" s="1"/>
  <c r="BR14" i="51"/>
  <c r="BR65" i="51" s="1"/>
  <c r="BS14" i="51"/>
  <c r="BS65" i="51" s="1"/>
  <c r="BT14" i="51"/>
  <c r="BT65" i="51" s="1"/>
  <c r="BU14" i="51"/>
  <c r="BU65" i="51" s="1"/>
  <c r="BW75" i="6" l="1"/>
  <c r="BZ57" i="6"/>
  <c r="BW74" i="6"/>
  <c r="CZ105" i="92"/>
  <c r="CZ107" i="92"/>
  <c r="DG16" i="92"/>
  <c r="DF106" i="92"/>
  <c r="DQ30" i="92"/>
  <c r="DD11" i="92"/>
  <c r="DJ21" i="92"/>
  <c r="DJ108" i="92" s="1"/>
  <c r="DF43" i="92"/>
  <c r="DF110" i="92" s="1"/>
  <c r="DB33" i="92"/>
  <c r="DR34" i="92"/>
  <c r="DM49" i="92"/>
  <c r="DM111" i="92" s="1"/>
  <c r="DO59" i="92"/>
  <c r="DA19" i="92"/>
  <c r="DA14" i="92"/>
  <c r="CQ108" i="2"/>
  <c r="CT107" i="2"/>
  <c r="DH16" i="92" l="1"/>
  <c r="DG106" i="92"/>
  <c r="DA105" i="92"/>
  <c r="DA107" i="92"/>
  <c r="DR30" i="92"/>
  <c r="DE11" i="92"/>
  <c r="DK21" i="92"/>
  <c r="DK108" i="92" s="1"/>
  <c r="DG43" i="92"/>
  <c r="DG110" i="92" s="1"/>
  <c r="DS34" i="92"/>
  <c r="DC33" i="92"/>
  <c r="DN49" i="92"/>
  <c r="DN111" i="92" s="1"/>
  <c r="DP59" i="92"/>
  <c r="DB19" i="92"/>
  <c r="DB14" i="92"/>
  <c r="DB105" i="92" l="1"/>
  <c r="DB107" i="92"/>
  <c r="DS30" i="92"/>
  <c r="DI16" i="92"/>
  <c r="DH106" i="92"/>
  <c r="DF11" i="92"/>
  <c r="DL21" i="92"/>
  <c r="DL108" i="92" s="1"/>
  <c r="DH43" i="92"/>
  <c r="DH110" i="92" s="1"/>
  <c r="DT34" i="92"/>
  <c r="DO49" i="92"/>
  <c r="DO111" i="92" s="1"/>
  <c r="DQ59" i="92"/>
  <c r="DC19" i="92"/>
  <c r="DC14" i="92"/>
  <c r="DC105" i="92" l="1"/>
  <c r="DJ16" i="92"/>
  <c r="DI106" i="92"/>
  <c r="DC107" i="92"/>
  <c r="DT30" i="92"/>
  <c r="DG11" i="92"/>
  <c r="DM21" i="92"/>
  <c r="DM108" i="92" s="1"/>
  <c r="DI43" i="92"/>
  <c r="DI110" i="92" s="1"/>
  <c r="DU34" i="92"/>
  <c r="DV34" i="92" s="1"/>
  <c r="DW34" i="92" s="1"/>
  <c r="DX34" i="92" s="1"/>
  <c r="DY34" i="92" s="1"/>
  <c r="DZ34" i="92" s="1"/>
  <c r="EA34" i="92" s="1"/>
  <c r="EB34" i="92" s="1"/>
  <c r="EC34" i="92" s="1"/>
  <c r="ED34" i="92" s="1"/>
  <c r="EE34" i="92" s="1"/>
  <c r="EF34" i="92" s="1"/>
  <c r="EG34" i="92" s="1"/>
  <c r="EH34" i="92" s="1"/>
  <c r="EI34" i="92" s="1"/>
  <c r="EJ34" i="92" s="1"/>
  <c r="EK34" i="92" s="1"/>
  <c r="DP49" i="92"/>
  <c r="DP111" i="92" s="1"/>
  <c r="DR59" i="92"/>
  <c r="DD19" i="92"/>
  <c r="DD14" i="92"/>
  <c r="DU30" i="92" l="1"/>
  <c r="DV30" i="92" s="1"/>
  <c r="DW30" i="92" s="1"/>
  <c r="DX30" i="92" s="1"/>
  <c r="DY30" i="92" s="1"/>
  <c r="DZ30" i="92" s="1"/>
  <c r="EA30" i="92" s="1"/>
  <c r="EB30" i="92" s="1"/>
  <c r="EC30" i="92" s="1"/>
  <c r="ED30" i="92" s="1"/>
  <c r="EE30" i="92" s="1"/>
  <c r="EF30" i="92" s="1"/>
  <c r="EG30" i="92" s="1"/>
  <c r="EH30" i="92" s="1"/>
  <c r="EI30" i="92" s="1"/>
  <c r="EJ30" i="92" s="1"/>
  <c r="EK30" i="92" s="1"/>
  <c r="DK16" i="92"/>
  <c r="DJ106" i="92"/>
  <c r="DD105" i="92"/>
  <c r="DD107" i="92"/>
  <c r="DH11" i="92"/>
  <c r="DN21" i="92"/>
  <c r="DN108" i="92" s="1"/>
  <c r="DJ43" i="92"/>
  <c r="DJ110" i="92" s="1"/>
  <c r="DQ49" i="92"/>
  <c r="DQ111" i="92" s="1"/>
  <c r="DS59" i="92"/>
  <c r="DE19" i="92"/>
  <c r="DE14" i="92"/>
  <c r="DE107" i="92" l="1"/>
  <c r="DL16" i="92"/>
  <c r="DL106" i="92" s="1"/>
  <c r="DK106" i="92"/>
  <c r="DE105" i="92"/>
  <c r="DI11" i="92"/>
  <c r="DO21" i="92"/>
  <c r="DO108" i="92" s="1"/>
  <c r="DK43" i="92"/>
  <c r="DK110" i="92" s="1"/>
  <c r="DR49" i="92"/>
  <c r="DR111" i="92" s="1"/>
  <c r="DT59" i="92"/>
  <c r="DF19" i="92"/>
  <c r="DF14" i="92"/>
  <c r="CP82" i="2"/>
  <c r="CP80" i="2"/>
  <c r="CP79" i="2"/>
  <c r="BQ14" i="51"/>
  <c r="BQ65" i="51" s="1"/>
  <c r="BP14" i="51"/>
  <c r="BP65" i="51" s="1"/>
  <c r="BO14" i="51"/>
  <c r="BO65" i="51" s="1"/>
  <c r="BN14" i="51"/>
  <c r="BN65" i="51" s="1"/>
  <c r="BM14" i="51"/>
  <c r="BM65" i="51" s="1"/>
  <c r="BL14" i="51"/>
  <c r="BL65" i="51" s="1"/>
  <c r="BK14" i="51"/>
  <c r="BK65" i="51" s="1"/>
  <c r="BJ14" i="51"/>
  <c r="BJ65" i="51" s="1"/>
  <c r="BI14" i="51"/>
  <c r="BI65" i="51" s="1"/>
  <c r="BH14" i="51"/>
  <c r="BH65" i="51" s="1"/>
  <c r="BG14" i="51"/>
  <c r="BG65" i="51" s="1"/>
  <c r="BF14" i="51"/>
  <c r="BF65" i="51" s="1"/>
  <c r="BE14" i="51"/>
  <c r="BE65" i="51" s="1"/>
  <c r="BD14" i="51"/>
  <c r="BD65" i="51" s="1"/>
  <c r="BC14" i="51"/>
  <c r="BC65" i="51" s="1"/>
  <c r="BB14" i="51"/>
  <c r="BB65" i="51" s="1"/>
  <c r="BA14" i="51"/>
  <c r="BA65" i="51" s="1"/>
  <c r="AZ14" i="51"/>
  <c r="AZ65" i="51" s="1"/>
  <c r="AY14" i="51"/>
  <c r="AY65" i="51" s="1"/>
  <c r="AX14" i="51"/>
  <c r="AX65" i="51" s="1"/>
  <c r="AW14" i="51"/>
  <c r="AV14" i="51"/>
  <c r="AU14" i="51"/>
  <c r="AT14" i="51"/>
  <c r="BQ12" i="51"/>
  <c r="BQ64" i="51" s="1"/>
  <c r="BP12" i="51"/>
  <c r="BP64" i="51" s="1"/>
  <c r="BO12" i="51"/>
  <c r="BO64" i="51" s="1"/>
  <c r="BN12" i="51"/>
  <c r="BN64" i="51" s="1"/>
  <c r="BM12" i="51"/>
  <c r="BM64" i="51" s="1"/>
  <c r="BL12" i="51"/>
  <c r="BL64" i="51" s="1"/>
  <c r="BK12" i="51"/>
  <c r="BK64" i="51" s="1"/>
  <c r="BJ12" i="51"/>
  <c r="BJ64" i="51" s="1"/>
  <c r="BI12" i="51"/>
  <c r="BI64" i="51" s="1"/>
  <c r="BH12" i="51"/>
  <c r="BH64" i="51" s="1"/>
  <c r="BG12" i="51"/>
  <c r="BG64" i="51" s="1"/>
  <c r="BF12" i="51"/>
  <c r="BF64" i="51" s="1"/>
  <c r="BE12" i="51"/>
  <c r="BE64" i="51" s="1"/>
  <c r="BD12" i="51"/>
  <c r="BD64" i="51" s="1"/>
  <c r="BC12" i="51"/>
  <c r="BC64" i="51" s="1"/>
  <c r="BB12" i="51"/>
  <c r="BB64" i="51" s="1"/>
  <c r="BA12" i="51"/>
  <c r="BA64" i="51" s="1"/>
  <c r="AZ12" i="51"/>
  <c r="AZ64" i="51" s="1"/>
  <c r="AY12" i="51"/>
  <c r="AY64" i="51" s="1"/>
  <c r="AX12" i="51"/>
  <c r="AX64" i="51" s="1"/>
  <c r="AW12" i="51"/>
  <c r="AV12" i="51"/>
  <c r="AU12" i="51"/>
  <c r="AT12" i="51"/>
  <c r="BQ11" i="51"/>
  <c r="BQ62" i="51" s="1"/>
  <c r="BP11" i="51"/>
  <c r="BP62" i="51" s="1"/>
  <c r="BO11" i="51"/>
  <c r="BO62" i="51" s="1"/>
  <c r="BN11" i="51"/>
  <c r="BN62" i="51" s="1"/>
  <c r="BM11" i="51"/>
  <c r="BM62" i="51" s="1"/>
  <c r="BL11" i="51"/>
  <c r="BL62" i="51" s="1"/>
  <c r="BK11" i="51"/>
  <c r="BK62" i="51" s="1"/>
  <c r="BJ11" i="51"/>
  <c r="BJ62" i="51" s="1"/>
  <c r="BI11" i="51"/>
  <c r="BI62" i="51" s="1"/>
  <c r="BH11" i="51"/>
  <c r="BH62" i="51" s="1"/>
  <c r="BG11" i="51"/>
  <c r="BG62" i="51" s="1"/>
  <c r="BF11" i="51"/>
  <c r="BF62" i="51" s="1"/>
  <c r="BE11" i="51"/>
  <c r="BE62" i="51" s="1"/>
  <c r="BD11" i="51"/>
  <c r="BD62" i="51" s="1"/>
  <c r="BC11" i="51"/>
  <c r="BC62" i="51" s="1"/>
  <c r="BB11" i="51"/>
  <c r="BB62" i="51" s="1"/>
  <c r="BA11" i="51"/>
  <c r="BA62" i="51" s="1"/>
  <c r="AZ11" i="51"/>
  <c r="AZ62" i="51" s="1"/>
  <c r="AY11" i="51"/>
  <c r="AY62" i="51" s="1"/>
  <c r="AX11" i="51"/>
  <c r="AX62" i="51" s="1"/>
  <c r="AW11" i="51"/>
  <c r="AV11" i="51"/>
  <c r="GI11" i="51" l="1"/>
  <c r="DF105" i="92"/>
  <c r="DF107" i="92"/>
  <c r="DM16" i="92"/>
  <c r="DJ11" i="92"/>
  <c r="DP21" i="92"/>
  <c r="DP108" i="92" s="1"/>
  <c r="DL43" i="92"/>
  <c r="DL110" i="92" s="1"/>
  <c r="DS49" i="92"/>
  <c r="DS111" i="92" s="1"/>
  <c r="DU59" i="92"/>
  <c r="DV59" i="92" s="1"/>
  <c r="DW59" i="92" s="1"/>
  <c r="DX59" i="92" s="1"/>
  <c r="DY59" i="92" s="1"/>
  <c r="DZ59" i="92" s="1"/>
  <c r="EA59" i="92" s="1"/>
  <c r="EB59" i="92" s="1"/>
  <c r="EC59" i="92" s="1"/>
  <c r="ED59" i="92" s="1"/>
  <c r="EE59" i="92" s="1"/>
  <c r="EF59" i="92" s="1"/>
  <c r="EG59" i="92" s="1"/>
  <c r="EH59" i="92" s="1"/>
  <c r="EI59" i="92" s="1"/>
  <c r="EJ59" i="92" s="1"/>
  <c r="EK59" i="92" s="1"/>
  <c r="DG19" i="92"/>
  <c r="BJ21" i="51"/>
  <c r="BB34" i="51"/>
  <c r="BB23" i="51"/>
  <c r="BI21" i="51"/>
  <c r="BI34" i="51"/>
  <c r="BI23" i="51"/>
  <c r="BH21" i="51"/>
  <c r="AW31" i="51"/>
  <c r="BJ34" i="51"/>
  <c r="BJ23" i="51"/>
  <c r="BH20" i="51"/>
  <c r="BH31" i="51"/>
  <c r="BI31" i="51"/>
  <c r="BI20" i="51"/>
  <c r="BC34" i="51"/>
  <c r="BC23" i="51"/>
  <c r="AX31" i="51"/>
  <c r="BJ31" i="51"/>
  <c r="BJ20" i="51"/>
  <c r="BD21" i="51"/>
  <c r="AY31" i="51"/>
  <c r="AY21" i="51"/>
  <c r="BE21" i="51"/>
  <c r="AY23" i="51"/>
  <c r="AY34" i="51"/>
  <c r="BE34" i="51"/>
  <c r="BE23" i="51"/>
  <c r="AV34" i="51"/>
  <c r="BD31" i="51"/>
  <c r="BD20" i="51"/>
  <c r="AX34" i="51"/>
  <c r="AX23" i="51"/>
  <c r="AZ31" i="51"/>
  <c r="AZ20" i="51"/>
  <c r="AZ34" i="51"/>
  <c r="AZ23" i="51"/>
  <c r="BF23" i="51"/>
  <c r="BF34" i="51"/>
  <c r="BB31" i="51"/>
  <c r="BB20" i="51"/>
  <c r="BB21" i="51"/>
  <c r="BH34" i="51"/>
  <c r="BH23" i="51"/>
  <c r="BC31" i="51"/>
  <c r="BC20" i="51"/>
  <c r="BC21" i="51"/>
  <c r="AW34" i="51"/>
  <c r="BD34" i="51"/>
  <c r="BD23" i="51"/>
  <c r="BE20" i="51"/>
  <c r="BE31" i="51"/>
  <c r="BF31" i="51"/>
  <c r="BF20" i="51"/>
  <c r="AZ21" i="51"/>
  <c r="BF21" i="51"/>
  <c r="BA31" i="51"/>
  <c r="BA20" i="51"/>
  <c r="BG31" i="51"/>
  <c r="BG20" i="51"/>
  <c r="BA21" i="51"/>
  <c r="BG21" i="51"/>
  <c r="AU34" i="51"/>
  <c r="BA34" i="51"/>
  <c r="BA23" i="51"/>
  <c r="BG34" i="51"/>
  <c r="BG23" i="51"/>
  <c r="BQ15" i="51"/>
  <c r="BQ66" i="51" s="1"/>
  <c r="AW15" i="51"/>
  <c r="AW19" i="112" s="1"/>
  <c r="BA15" i="51"/>
  <c r="BA66" i="51" s="1"/>
  <c r="BE15" i="51"/>
  <c r="BE66" i="51" s="1"/>
  <c r="BI15" i="51"/>
  <c r="BI66" i="51" s="1"/>
  <c r="BM15" i="51"/>
  <c r="BM66" i="51" s="1"/>
  <c r="BU15" i="51"/>
  <c r="BU66" i="51" s="1"/>
  <c r="AV15" i="51"/>
  <c r="AV19" i="112" s="1"/>
  <c r="BH15" i="51"/>
  <c r="BH66" i="51" s="1"/>
  <c r="BP15" i="51"/>
  <c r="BP66" i="51" s="1"/>
  <c r="AZ15" i="51"/>
  <c r="AZ66" i="51" s="1"/>
  <c r="BD15" i="51"/>
  <c r="BD66" i="51" s="1"/>
  <c r="BL15" i="51"/>
  <c r="BL66" i="51" s="1"/>
  <c r="BT15" i="51"/>
  <c r="BT66" i="51" s="1"/>
  <c r="AT15" i="51"/>
  <c r="AT19" i="112" s="1"/>
  <c r="AT41" i="112" s="1"/>
  <c r="BB15" i="51"/>
  <c r="BB66" i="51" s="1"/>
  <c r="BF15" i="51"/>
  <c r="BF66" i="51" s="1"/>
  <c r="BJ15" i="51"/>
  <c r="BJ66" i="51" s="1"/>
  <c r="BN15" i="51"/>
  <c r="BN66" i="51" s="1"/>
  <c r="BR15" i="51"/>
  <c r="BR66" i="51" s="1"/>
  <c r="AU15" i="51"/>
  <c r="AU19" i="112" s="1"/>
  <c r="AY15" i="51"/>
  <c r="AY66" i="51" s="1"/>
  <c r="BC15" i="51"/>
  <c r="BC66" i="51" s="1"/>
  <c r="BG15" i="51"/>
  <c r="BG66" i="51" s="1"/>
  <c r="BK15" i="51"/>
  <c r="BK66" i="51" s="1"/>
  <c r="BO15" i="51"/>
  <c r="BO66" i="51" s="1"/>
  <c r="BS15" i="51"/>
  <c r="BS66" i="51" s="1"/>
  <c r="AX15" i="51"/>
  <c r="AX66" i="51" s="1"/>
  <c r="BJ19" i="112" l="1"/>
  <c r="BD19" i="112"/>
  <c r="BM19" i="112"/>
  <c r="BF19" i="112"/>
  <c r="AY19" i="112"/>
  <c r="AY30" i="112" s="1"/>
  <c r="BC19" i="112"/>
  <c r="BI19" i="112"/>
  <c r="BB19" i="112"/>
  <c r="BE19" i="112"/>
  <c r="BS19" i="112"/>
  <c r="BA19" i="112"/>
  <c r="BA30" i="112" s="1"/>
  <c r="BG19" i="112"/>
  <c r="BO19" i="112"/>
  <c r="BT19" i="112"/>
  <c r="BX30" i="112" s="1"/>
  <c r="AZ19" i="112"/>
  <c r="AX19" i="112"/>
  <c r="AX30" i="112" s="1"/>
  <c r="BP19" i="112"/>
  <c r="BH19" i="112"/>
  <c r="BR19" i="112"/>
  <c r="BV30" i="112" s="1"/>
  <c r="BK19" i="112"/>
  <c r="BN19" i="112"/>
  <c r="BL19" i="112"/>
  <c r="BU19" i="112"/>
  <c r="BQ19" i="112"/>
  <c r="DN16" i="92"/>
  <c r="DM106" i="92"/>
  <c r="DG105" i="92"/>
  <c r="DG107" i="92"/>
  <c r="DK11" i="92"/>
  <c r="DQ21" i="92"/>
  <c r="DQ108" i="92" s="1"/>
  <c r="DM43" i="92"/>
  <c r="DM110" i="92" s="1"/>
  <c r="DT49" i="92"/>
  <c r="DT111" i="92" s="1"/>
  <c r="DH19" i="92"/>
  <c r="AU41" i="112"/>
  <c r="AW41" i="112"/>
  <c r="AV41" i="112"/>
  <c r="BD16" i="51"/>
  <c r="BD67" i="51" s="1"/>
  <c r="BF16" i="51"/>
  <c r="BF67" i="51" s="1"/>
  <c r="AY16" i="51"/>
  <c r="AY67" i="51" s="1"/>
  <c r="BP16" i="51"/>
  <c r="BP67" i="51" s="1"/>
  <c r="BS16" i="51"/>
  <c r="BS67" i="51" s="1"/>
  <c r="AU16" i="51"/>
  <c r="AT16" i="51"/>
  <c r="BH16" i="51"/>
  <c r="BH67" i="51" s="1"/>
  <c r="BA16" i="51"/>
  <c r="BA67" i="51" s="1"/>
  <c r="BG16" i="51"/>
  <c r="BG67" i="51" s="1"/>
  <c r="BM16" i="51"/>
  <c r="BM67" i="51" s="1"/>
  <c r="AZ16" i="51"/>
  <c r="AZ67" i="51" s="1"/>
  <c r="BB16" i="51"/>
  <c r="BB67" i="51" s="1"/>
  <c r="BO16" i="51"/>
  <c r="BO67" i="51" s="1"/>
  <c r="BR16" i="51"/>
  <c r="BR67" i="51" s="1"/>
  <c r="BT16" i="51"/>
  <c r="BT67" i="51" s="1"/>
  <c r="AV16" i="51"/>
  <c r="AW16" i="51"/>
  <c r="BJ16" i="51"/>
  <c r="BJ67" i="51" s="1"/>
  <c r="BC16" i="51"/>
  <c r="BC67" i="51" s="1"/>
  <c r="BI16" i="51"/>
  <c r="BI67" i="51" s="1"/>
  <c r="AX16" i="51"/>
  <c r="AX67" i="51" s="1"/>
  <c r="BE16" i="51"/>
  <c r="BE67" i="51" s="1"/>
  <c r="BK16" i="51"/>
  <c r="BK67" i="51" s="1"/>
  <c r="BN16" i="51"/>
  <c r="BN67" i="51" s="1"/>
  <c r="BL16" i="51"/>
  <c r="BL67" i="51" s="1"/>
  <c r="BU16" i="51"/>
  <c r="BU67" i="51" s="1"/>
  <c r="BQ16" i="51"/>
  <c r="BQ67" i="51" s="1"/>
  <c r="BC24" i="51"/>
  <c r="BC35" i="51"/>
  <c r="AY24" i="51"/>
  <c r="AY35" i="51"/>
  <c r="BE35" i="51"/>
  <c r="BE24" i="51"/>
  <c r="AU35" i="51"/>
  <c r="AZ35" i="51"/>
  <c r="AZ24" i="51"/>
  <c r="AW35" i="51"/>
  <c r="BF35" i="51"/>
  <c r="BF24" i="51"/>
  <c r="AX35" i="51"/>
  <c r="AX24" i="51"/>
  <c r="BH24" i="51"/>
  <c r="BH35" i="51"/>
  <c r="AV35" i="51"/>
  <c r="BI24" i="51"/>
  <c r="BI35" i="51"/>
  <c r="BB24" i="51"/>
  <c r="BB35" i="51"/>
  <c r="BA24" i="51"/>
  <c r="BA35" i="51"/>
  <c r="BG35" i="51"/>
  <c r="BG24" i="51"/>
  <c r="BJ24" i="51"/>
  <c r="BJ35" i="51"/>
  <c r="BD35" i="51"/>
  <c r="BD24" i="51"/>
  <c r="FL19" i="1"/>
  <c r="CP39" i="2"/>
  <c r="CO39" i="2"/>
  <c r="BV16" i="6"/>
  <c r="BV85" i="6" s="1"/>
  <c r="DJ176" i="119" s="1"/>
  <c r="BV66" i="6"/>
  <c r="BV48" i="6"/>
  <c r="BV65" i="6"/>
  <c r="BV47" i="6"/>
  <c r="BV64" i="6"/>
  <c r="BV46" i="6"/>
  <c r="BV63" i="6"/>
  <c r="BV45" i="6"/>
  <c r="BV62" i="6"/>
  <c r="BV44" i="6"/>
  <c r="CP48" i="3"/>
  <c r="CP35" i="3"/>
  <c r="DJ101" i="119" s="1"/>
  <c r="CP24" i="3"/>
  <c r="DJ94" i="119" s="1"/>
  <c r="CP64" i="2"/>
  <c r="CP65" i="2"/>
  <c r="BJ41" i="112" l="1"/>
  <c r="BJ30" i="112"/>
  <c r="BR41" i="112"/>
  <c r="BP41" i="112"/>
  <c r="BD41" i="112"/>
  <c r="BU41" i="112"/>
  <c r="BS30" i="112"/>
  <c r="BR30" i="112"/>
  <c r="BM30" i="112"/>
  <c r="BK41" i="112"/>
  <c r="BS41" i="112"/>
  <c r="BM41" i="112"/>
  <c r="AX41" i="112"/>
  <c r="BF41" i="112"/>
  <c r="BW30" i="112"/>
  <c r="AZ41" i="112"/>
  <c r="BF30" i="112"/>
  <c r="DI63" i="119"/>
  <c r="DI64" i="119"/>
  <c r="DJ63" i="119"/>
  <c r="DJ64" i="119"/>
  <c r="BG30" i="112"/>
  <c r="AY41" i="112"/>
  <c r="BC41" i="112"/>
  <c r="BV41" i="112"/>
  <c r="BH41" i="112"/>
  <c r="BB30" i="112"/>
  <c r="BB41" i="112"/>
  <c r="BT30" i="112"/>
  <c r="BN30" i="112"/>
  <c r="BK30" i="112"/>
  <c r="BQ30" i="112"/>
  <c r="BC30" i="112"/>
  <c r="BT41" i="112"/>
  <c r="BQ41" i="112"/>
  <c r="BO30" i="112"/>
  <c r="BL30" i="112"/>
  <c r="BE30" i="112"/>
  <c r="BI30" i="112"/>
  <c r="BL41" i="112"/>
  <c r="BE41" i="112"/>
  <c r="BI41" i="112"/>
  <c r="AZ30" i="112"/>
  <c r="BP30" i="112"/>
  <c r="BU30" i="112"/>
  <c r="BA41" i="112"/>
  <c r="BD30" i="112"/>
  <c r="BG41" i="112"/>
  <c r="BO41" i="112"/>
  <c r="BN21" i="113"/>
  <c r="BJ21" i="113"/>
  <c r="BB21" i="113"/>
  <c r="BD21" i="113"/>
  <c r="BM21" i="113"/>
  <c r="BS21" i="113"/>
  <c r="BG21" i="113"/>
  <c r="BU21" i="113"/>
  <c r="BI21" i="113"/>
  <c r="BR21" i="113"/>
  <c r="BY30" i="112"/>
  <c r="BN41" i="112"/>
  <c r="BH30" i="112"/>
  <c r="BK21" i="113"/>
  <c r="BE21" i="113"/>
  <c r="BQ21" i="113"/>
  <c r="BT21" i="113"/>
  <c r="BP21" i="113"/>
  <c r="BL21" i="113"/>
  <c r="BC21" i="113"/>
  <c r="BO21" i="113"/>
  <c r="BH21" i="113"/>
  <c r="BF21" i="113"/>
  <c r="BV94" i="6"/>
  <c r="BV93" i="6"/>
  <c r="BV81" i="6"/>
  <c r="BV84" i="6"/>
  <c r="BV83" i="6"/>
  <c r="DJ164" i="119" s="1"/>
  <c r="BV82" i="6"/>
  <c r="BV80" i="6"/>
  <c r="AX25" i="51"/>
  <c r="BB36" i="51"/>
  <c r="DH107" i="92"/>
  <c r="DO16" i="92"/>
  <c r="DN106" i="92"/>
  <c r="DH105" i="92"/>
  <c r="DL11" i="92"/>
  <c r="DR21" i="92"/>
  <c r="DR108" i="92" s="1"/>
  <c r="DN43" i="92"/>
  <c r="DN110" i="92" s="1"/>
  <c r="DU49" i="92"/>
  <c r="DV49" i="92" s="1"/>
  <c r="DI19" i="92"/>
  <c r="DI14" i="92"/>
  <c r="CP25" i="3"/>
  <c r="BJ36" i="51"/>
  <c r="BH25" i="51"/>
  <c r="BC25" i="51"/>
  <c r="BG36" i="51"/>
  <c r="BF25" i="51"/>
  <c r="BH36" i="51"/>
  <c r="AW36" i="51"/>
  <c r="BD25" i="51"/>
  <c r="AU36" i="51"/>
  <c r="BG25" i="51"/>
  <c r="BE36" i="51"/>
  <c r="BD36" i="51"/>
  <c r="BC36" i="51"/>
  <c r="BB25" i="51"/>
  <c r="BJ25" i="51"/>
  <c r="AZ25" i="51"/>
  <c r="BI36" i="51"/>
  <c r="BA25" i="51"/>
  <c r="BE25" i="51"/>
  <c r="BF36" i="51"/>
  <c r="AV36" i="51"/>
  <c r="BI25" i="51"/>
  <c r="AY25" i="51"/>
  <c r="AX36" i="51"/>
  <c r="BA36" i="51"/>
  <c r="AY36" i="51"/>
  <c r="AZ36" i="51"/>
  <c r="EK16" i="6"/>
  <c r="EK85" i="6" s="1"/>
  <c r="Y176" i="119" s="1"/>
  <c r="BZ49" i="6"/>
  <c r="BW67" i="6"/>
  <c r="CP50" i="51"/>
  <c r="CP82" i="51" s="1"/>
  <c r="CO50" i="51"/>
  <c r="CO82" i="51" s="1"/>
  <c r="CN50" i="51"/>
  <c r="CN82" i="51" s="1"/>
  <c r="CL50" i="51"/>
  <c r="CL82" i="51" s="1"/>
  <c r="DJ150" i="119" l="1"/>
  <c r="DJ147" i="119"/>
  <c r="DJ144" i="119"/>
  <c r="DJ141" i="119"/>
  <c r="DJ138" i="119"/>
  <c r="DJ154" i="119"/>
  <c r="DJ153" i="119"/>
  <c r="DJ149" i="119"/>
  <c r="DJ146" i="119"/>
  <c r="DJ143" i="119"/>
  <c r="DJ140" i="119"/>
  <c r="DJ148" i="119"/>
  <c r="DJ139" i="119"/>
  <c r="DJ151" i="119"/>
  <c r="DJ142" i="119"/>
  <c r="DJ145" i="119"/>
  <c r="DJ135" i="119"/>
  <c r="DJ129" i="119"/>
  <c r="DJ169" i="119"/>
  <c r="DJ163" i="119"/>
  <c r="DW49" i="92"/>
  <c r="DV111" i="92"/>
  <c r="CP50" i="3"/>
  <c r="DJ96" i="119"/>
  <c r="DJ174" i="119"/>
  <c r="DJ170" i="119"/>
  <c r="DJ165" i="119"/>
  <c r="DJ166" i="119"/>
  <c r="EK86" i="6"/>
  <c r="EK94" i="6"/>
  <c r="EK95" i="6"/>
  <c r="BF34" i="113"/>
  <c r="BH34" i="113"/>
  <c r="BQ34" i="113"/>
  <c r="BT34" i="113"/>
  <c r="BI34" i="113"/>
  <c r="BS34" i="113"/>
  <c r="BL34" i="113"/>
  <c r="BN34" i="113"/>
  <c r="BU34" i="113"/>
  <c r="BM34" i="113"/>
  <c r="BJ34" i="113"/>
  <c r="GL21" i="113"/>
  <c r="BK34" i="113"/>
  <c r="AX21" i="113"/>
  <c r="BO34" i="113"/>
  <c r="BP34" i="113"/>
  <c r="BE62" i="113"/>
  <c r="BR47" i="113"/>
  <c r="BR34" i="113"/>
  <c r="BG34" i="113"/>
  <c r="AZ21" i="113"/>
  <c r="BD34" i="113" s="1"/>
  <c r="BO47" i="113"/>
  <c r="BK47" i="113"/>
  <c r="FB21" i="113"/>
  <c r="BH47" i="113"/>
  <c r="BP47" i="113"/>
  <c r="FC21" i="113"/>
  <c r="BP62" i="113"/>
  <c r="BU62" i="113"/>
  <c r="BJ47" i="113"/>
  <c r="BR62" i="113"/>
  <c r="BL62" i="113"/>
  <c r="BI47" i="113"/>
  <c r="BS47" i="113"/>
  <c r="BM47" i="113"/>
  <c r="BJ62" i="113"/>
  <c r="FA21" i="113"/>
  <c r="BI62" i="113"/>
  <c r="BH62" i="113"/>
  <c r="GK21" i="113"/>
  <c r="BK62" i="113"/>
  <c r="BN47" i="113"/>
  <c r="BL47" i="113"/>
  <c r="BS62" i="113"/>
  <c r="BA21" i="113"/>
  <c r="BC62" i="113"/>
  <c r="BF47" i="113"/>
  <c r="BT47" i="113"/>
  <c r="BG47" i="113"/>
  <c r="BU47" i="113"/>
  <c r="BO62" i="113"/>
  <c r="BN62" i="113"/>
  <c r="GJ21" i="113"/>
  <c r="BQ47" i="113"/>
  <c r="EZ21" i="113"/>
  <c r="BM62" i="113"/>
  <c r="FD21" i="113"/>
  <c r="GM21" i="113"/>
  <c r="BF62" i="113"/>
  <c r="BG62" i="113"/>
  <c r="BT62" i="113"/>
  <c r="BQ62" i="113"/>
  <c r="BD62" i="113"/>
  <c r="AY21" i="113"/>
  <c r="EK15" i="6"/>
  <c r="CP54" i="3"/>
  <c r="CP55" i="3" s="1"/>
  <c r="DI105" i="92"/>
  <c r="DP16" i="92"/>
  <c r="DO106" i="92"/>
  <c r="DI107" i="92"/>
  <c r="DU111" i="92"/>
  <c r="DM11" i="92"/>
  <c r="DS21" i="92"/>
  <c r="DS108" i="92" s="1"/>
  <c r="DO43" i="92"/>
  <c r="DO110" i="92" s="1"/>
  <c r="DJ19" i="92"/>
  <c r="DJ14" i="92"/>
  <c r="GT50" i="51"/>
  <c r="EK80" i="6"/>
  <c r="EK81" i="6"/>
  <c r="EL49" i="6"/>
  <c r="EK84" i="6"/>
  <c r="EK83" i="6"/>
  <c r="Y164" i="119" s="1"/>
  <c r="EK82" i="6"/>
  <c r="CV16" i="51"/>
  <c r="CV67" i="51" s="1"/>
  <c r="FI50" i="51"/>
  <c r="DJ128" i="119" l="1"/>
  <c r="DJ167" i="119"/>
  <c r="DW111" i="92"/>
  <c r="DX49" i="92"/>
  <c r="DJ152" i="119"/>
  <c r="Y153" i="119"/>
  <c r="Y149" i="119"/>
  <c r="Y146" i="119"/>
  <c r="Y143" i="119"/>
  <c r="Y140" i="119"/>
  <c r="Y151" i="119"/>
  <c r="Y148" i="119"/>
  <c r="Y145" i="119"/>
  <c r="Y142" i="119"/>
  <c r="Y139" i="119"/>
  <c r="Y150" i="119"/>
  <c r="Y141" i="119"/>
  <c r="Y154" i="119"/>
  <c r="Y144" i="119"/>
  <c r="Y147" i="119"/>
  <c r="Y138" i="119"/>
  <c r="DJ173" i="119"/>
  <c r="Y170" i="119"/>
  <c r="Y174" i="119"/>
  <c r="Y166" i="119"/>
  <c r="Y165" i="119"/>
  <c r="Y135" i="119"/>
  <c r="Y129" i="119"/>
  <c r="Y169" i="119"/>
  <c r="Y163" i="119"/>
  <c r="GK34" i="113"/>
  <c r="FC34" i="113"/>
  <c r="GL34" i="113"/>
  <c r="FB47" i="113"/>
  <c r="FA34" i="113"/>
  <c r="BC47" i="113"/>
  <c r="BB47" i="113"/>
  <c r="FD47" i="113"/>
  <c r="FD34" i="113"/>
  <c r="BE47" i="113"/>
  <c r="BE34" i="113"/>
  <c r="BD47" i="113"/>
  <c r="AT21" i="113"/>
  <c r="AX47" i="113" s="1"/>
  <c r="FB34" i="113"/>
  <c r="GM47" i="113"/>
  <c r="GM34" i="113"/>
  <c r="BC34" i="113"/>
  <c r="AV21" i="113"/>
  <c r="AR21" i="113" s="1"/>
  <c r="BB34" i="113"/>
  <c r="FC47" i="113"/>
  <c r="FA47" i="113"/>
  <c r="AU21" i="113"/>
  <c r="AW21" i="113"/>
  <c r="BA34" i="113" s="1"/>
  <c r="GK47" i="113"/>
  <c r="GL47" i="113"/>
  <c r="BA62" i="113"/>
  <c r="BB62" i="113"/>
  <c r="GI21" i="113"/>
  <c r="GJ34" i="113" s="1"/>
  <c r="AY62" i="113"/>
  <c r="AZ62" i="113"/>
  <c r="EY21" i="113"/>
  <c r="DJ105" i="92"/>
  <c r="DQ16" i="92"/>
  <c r="DP106" i="92"/>
  <c r="DJ107" i="92"/>
  <c r="DN11" i="92"/>
  <c r="DT21" i="92"/>
  <c r="DT108" i="92" s="1"/>
  <c r="DP43" i="92"/>
  <c r="DP110" i="92" s="1"/>
  <c r="DK19" i="92"/>
  <c r="DK14" i="92"/>
  <c r="CW36" i="51"/>
  <c r="CZ25" i="51"/>
  <c r="CX16" i="51"/>
  <c r="CX67" i="51" s="1"/>
  <c r="CV53" i="51"/>
  <c r="CV58" i="51"/>
  <c r="CW61" i="51" l="1"/>
  <c r="Y128" i="119"/>
  <c r="Y167" i="119"/>
  <c r="Y173" i="119"/>
  <c r="DX111" i="92"/>
  <c r="DY49" i="92"/>
  <c r="Y152" i="119"/>
  <c r="AZ47" i="113"/>
  <c r="AV62" i="113"/>
  <c r="AY34" i="113"/>
  <c r="AQ21" i="113"/>
  <c r="AU34" i="113" s="1"/>
  <c r="AU62" i="113"/>
  <c r="EZ47" i="113"/>
  <c r="AX62" i="113"/>
  <c r="AV34" i="113"/>
  <c r="AZ34" i="113"/>
  <c r="AP21" i="113"/>
  <c r="AT34" i="113" s="1"/>
  <c r="GJ47" i="113"/>
  <c r="AX34" i="113"/>
  <c r="EZ34" i="113"/>
  <c r="BA47" i="113"/>
  <c r="AS21" i="113"/>
  <c r="EX21" i="113"/>
  <c r="AY47" i="113"/>
  <c r="GH21" i="113"/>
  <c r="GI34" i="113" s="1"/>
  <c r="AW62" i="113"/>
  <c r="DR16" i="92"/>
  <c r="DQ106" i="92"/>
  <c r="DK105" i="92"/>
  <c r="DK107" i="92"/>
  <c r="DO11" i="92"/>
  <c r="DU21" i="92"/>
  <c r="DV21" i="92" s="1"/>
  <c r="DQ43" i="92"/>
  <c r="DQ110" i="92" s="1"/>
  <c r="DL19" i="92"/>
  <c r="DL107" i="92" s="1"/>
  <c r="DL14" i="92"/>
  <c r="AV47" i="113"/>
  <c r="AN21" i="113"/>
  <c r="CY36" i="51"/>
  <c r="CX36" i="51"/>
  <c r="CX53" i="51"/>
  <c r="CX58" i="51"/>
  <c r="DB16" i="51"/>
  <c r="CX61" i="51" l="1"/>
  <c r="CY61" i="51"/>
  <c r="DL105" i="92"/>
  <c r="DB67" i="51"/>
  <c r="G27" i="123"/>
  <c r="H27" i="123" s="1"/>
  <c r="DW21" i="92"/>
  <c r="DV108" i="92"/>
  <c r="DZ49" i="92"/>
  <c r="DY111" i="92"/>
  <c r="EW21" i="113"/>
  <c r="EX34" i="113" s="1"/>
  <c r="AR62" i="113"/>
  <c r="AU47" i="113"/>
  <c r="AT47" i="113"/>
  <c r="AQ62" i="113"/>
  <c r="AL21" i="113"/>
  <c r="AH21" i="113" s="1"/>
  <c r="AL34" i="113" s="1"/>
  <c r="AM21" i="113"/>
  <c r="AQ34" i="113" s="1"/>
  <c r="AR47" i="113"/>
  <c r="AR34" i="113"/>
  <c r="EY47" i="113"/>
  <c r="GI47" i="113"/>
  <c r="EY34" i="113"/>
  <c r="AW47" i="113"/>
  <c r="AW34" i="113"/>
  <c r="GG21" i="113"/>
  <c r="AT62" i="113"/>
  <c r="AS62" i="113"/>
  <c r="AO21" i="113"/>
  <c r="AK21" i="113" s="1"/>
  <c r="DU108" i="92"/>
  <c r="DS16" i="92"/>
  <c r="DR106" i="92"/>
  <c r="DP11" i="92"/>
  <c r="DR43" i="92"/>
  <c r="DR110" i="92" s="1"/>
  <c r="DM19" i="92"/>
  <c r="DM14" i="92"/>
  <c r="AJ21" i="113"/>
  <c r="AN34" i="113" s="1"/>
  <c r="DC36" i="51"/>
  <c r="DB58" i="51"/>
  <c r="DB53" i="51"/>
  <c r="G31" i="123" s="1"/>
  <c r="DD36" i="51"/>
  <c r="DB61" i="51" l="1"/>
  <c r="DC61" i="51"/>
  <c r="G35" i="123"/>
  <c r="EX47" i="113"/>
  <c r="DZ111" i="92"/>
  <c r="EA49" i="92"/>
  <c r="DW108" i="92"/>
  <c r="DX21" i="92"/>
  <c r="AS34" i="113"/>
  <c r="AM62" i="113"/>
  <c r="AQ47" i="113"/>
  <c r="AP47" i="113"/>
  <c r="AN62" i="113"/>
  <c r="AP34" i="113"/>
  <c r="AI21" i="113"/>
  <c r="AM34" i="113" s="1"/>
  <c r="GF21" i="113"/>
  <c r="GG34" i="113" s="1"/>
  <c r="EV21" i="113"/>
  <c r="EW47" i="113" s="1"/>
  <c r="AS47" i="113"/>
  <c r="GH34" i="113"/>
  <c r="AN47" i="113"/>
  <c r="GH47" i="113"/>
  <c r="AL62" i="113"/>
  <c r="AP62" i="113"/>
  <c r="AO34" i="113"/>
  <c r="AO62" i="113"/>
  <c r="DM105" i="92"/>
  <c r="DT16" i="92"/>
  <c r="DS106" i="92"/>
  <c r="DM107" i="92"/>
  <c r="DQ11" i="92"/>
  <c r="DS43" i="92"/>
  <c r="DS110" i="92" s="1"/>
  <c r="DN19" i="92"/>
  <c r="DN14" i="92"/>
  <c r="AH47" i="113"/>
  <c r="AO47" i="113"/>
  <c r="AK62" i="113"/>
  <c r="AL47" i="113"/>
  <c r="AF21" i="113"/>
  <c r="AJ47" i="113" s="1"/>
  <c r="AG21" i="113"/>
  <c r="FM16" i="51"/>
  <c r="DE36" i="51"/>
  <c r="AH62" i="113" l="1"/>
  <c r="GG47" i="113"/>
  <c r="DY21" i="92"/>
  <c r="DX108" i="92"/>
  <c r="EA111" i="92"/>
  <c r="EB49" i="92"/>
  <c r="FM67" i="51"/>
  <c r="EW34" i="113"/>
  <c r="AM47" i="113"/>
  <c r="AI47" i="113"/>
  <c r="EU21" i="113"/>
  <c r="EV34" i="113" s="1"/>
  <c r="GE21" i="113"/>
  <c r="GF34" i="113" s="1"/>
  <c r="AJ62" i="113"/>
  <c r="AI62" i="113"/>
  <c r="AJ34" i="113"/>
  <c r="AK34" i="113"/>
  <c r="B27" i="116"/>
  <c r="DN107" i="92"/>
  <c r="DU16" i="92"/>
  <c r="DV16" i="92" s="1"/>
  <c r="DT106" i="92"/>
  <c r="DN105" i="92"/>
  <c r="DR11" i="92"/>
  <c r="DT43" i="92"/>
  <c r="DT110" i="92" s="1"/>
  <c r="DO19" i="92"/>
  <c r="DO14" i="92"/>
  <c r="AK47" i="113"/>
  <c r="AG62" i="113"/>
  <c r="ET21" i="113"/>
  <c r="GD21" i="113"/>
  <c r="EB111" i="92" l="1"/>
  <c r="EC49" i="92"/>
  <c r="DV106" i="92"/>
  <c r="DW16" i="92"/>
  <c r="DZ21" i="92"/>
  <c r="DY108" i="92"/>
  <c r="EV47" i="113"/>
  <c r="GE47" i="113"/>
  <c r="EU47" i="113"/>
  <c r="DU106" i="92"/>
  <c r="GF47" i="113"/>
  <c r="EU34" i="113"/>
  <c r="GE34" i="113"/>
  <c r="D27" i="116"/>
  <c r="E27" i="116" s="1"/>
  <c r="DO107" i="92"/>
  <c r="DO105" i="92"/>
  <c r="DS11" i="92"/>
  <c r="DU43" i="92"/>
  <c r="DV43" i="92" s="1"/>
  <c r="DP19" i="92"/>
  <c r="DP14" i="92"/>
  <c r="DZ108" i="92" l="1"/>
  <c r="EA21" i="92"/>
  <c r="DX16" i="92"/>
  <c r="DW106" i="92"/>
  <c r="ED49" i="92"/>
  <c r="EC111" i="92"/>
  <c r="DV110" i="92"/>
  <c r="DW43" i="92"/>
  <c r="DP107" i="92"/>
  <c r="DP105" i="92"/>
  <c r="DU110" i="92"/>
  <c r="DT11" i="92"/>
  <c r="DQ19" i="92"/>
  <c r="DQ14" i="92"/>
  <c r="EE49" i="92" l="1"/>
  <c r="ED111" i="92"/>
  <c r="DX106" i="92"/>
  <c r="DY16" i="92"/>
  <c r="DW110" i="92"/>
  <c r="DX43" i="92"/>
  <c r="EA108" i="92"/>
  <c r="EB21" i="92"/>
  <c r="DQ105" i="92"/>
  <c r="DQ107" i="92"/>
  <c r="DU11" i="92"/>
  <c r="DV11" i="92" s="1"/>
  <c r="DW11" i="92" s="1"/>
  <c r="DX11" i="92" s="1"/>
  <c r="DY11" i="92" s="1"/>
  <c r="DZ11" i="92" s="1"/>
  <c r="EA11" i="92" s="1"/>
  <c r="EB11" i="92" s="1"/>
  <c r="EC11" i="92" s="1"/>
  <c r="ED11" i="92" s="1"/>
  <c r="EE11" i="92" s="1"/>
  <c r="EF11" i="92" s="1"/>
  <c r="EG11" i="92" s="1"/>
  <c r="EH11" i="92" s="1"/>
  <c r="EI11" i="92" s="1"/>
  <c r="EJ11" i="92" s="1"/>
  <c r="EK11" i="92" s="1"/>
  <c r="DR19" i="92"/>
  <c r="DR14" i="92"/>
  <c r="CH14" i="51"/>
  <c r="CH65" i="51" s="1"/>
  <c r="CJ14" i="51"/>
  <c r="CJ65" i="51" s="1"/>
  <c r="CI14" i="51"/>
  <c r="CI65" i="51" s="1"/>
  <c r="CK14" i="51"/>
  <c r="CK65" i="51" s="1"/>
  <c r="DX110" i="92" l="1"/>
  <c r="DY43" i="92"/>
  <c r="DY106" i="92"/>
  <c r="DZ16" i="92"/>
  <c r="EB108" i="92"/>
  <c r="EC21" i="92"/>
  <c r="EE111" i="92"/>
  <c r="EF49" i="92"/>
  <c r="DR105" i="92"/>
  <c r="DR107" i="92"/>
  <c r="DS19" i="92"/>
  <c r="DS14" i="92"/>
  <c r="BV14" i="51"/>
  <c r="BV65" i="51" s="1"/>
  <c r="EF111" i="92" l="1"/>
  <c r="EG49" i="92"/>
  <c r="DZ43" i="92"/>
  <c r="DY110" i="92"/>
  <c r="EC108" i="92"/>
  <c r="ED21" i="92"/>
  <c r="DZ106" i="92"/>
  <c r="EA16" i="92"/>
  <c r="DS105" i="92"/>
  <c r="DS107" i="92"/>
  <c r="DT19" i="92"/>
  <c r="DT14" i="92"/>
  <c r="BZ14" i="51"/>
  <c r="BZ65" i="51" s="1"/>
  <c r="CG14" i="51"/>
  <c r="CG65" i="51" s="1"/>
  <c r="CD14" i="51"/>
  <c r="CD65" i="51" s="1"/>
  <c r="CE14" i="51"/>
  <c r="CE65" i="51" s="1"/>
  <c r="CF14" i="51"/>
  <c r="CF65" i="51" s="1"/>
  <c r="CK12" i="51"/>
  <c r="CK64" i="51" s="1"/>
  <c r="CI12" i="51"/>
  <c r="CI64" i="51" s="1"/>
  <c r="CJ12" i="51"/>
  <c r="CJ64" i="51" s="1"/>
  <c r="CH12" i="51"/>
  <c r="CH64" i="51" s="1"/>
  <c r="CK13" i="51"/>
  <c r="CK63" i="51" s="1"/>
  <c r="CJ13" i="51"/>
  <c r="CJ63" i="51" s="1"/>
  <c r="CH13" i="51"/>
  <c r="CH63" i="51" s="1"/>
  <c r="CI13" i="51"/>
  <c r="CI63" i="51" s="1"/>
  <c r="ED108" i="92" l="1"/>
  <c r="EE21" i="92"/>
  <c r="DZ110" i="92"/>
  <c r="EA43" i="92"/>
  <c r="EB16" i="92"/>
  <c r="EA106" i="92"/>
  <c r="EH49" i="92"/>
  <c r="EG111" i="92"/>
  <c r="DT107" i="92"/>
  <c r="DT105" i="92"/>
  <c r="DU19" i="92"/>
  <c r="DV19" i="92" s="1"/>
  <c r="DU14" i="92"/>
  <c r="DV14" i="92" s="1"/>
  <c r="CH23" i="51"/>
  <c r="CK23" i="51"/>
  <c r="CJ23" i="51"/>
  <c r="CI23" i="51"/>
  <c r="CI11" i="51"/>
  <c r="CI62" i="51" s="1"/>
  <c r="CD12" i="51"/>
  <c r="CD64" i="51" s="1"/>
  <c r="BX14" i="51"/>
  <c r="BX65" i="51" s="1"/>
  <c r="CE11" i="51"/>
  <c r="CE62" i="51" s="1"/>
  <c r="CG12" i="51"/>
  <c r="CG64" i="51" s="1"/>
  <c r="CB14" i="51"/>
  <c r="CB65" i="51" s="1"/>
  <c r="BW14" i="51"/>
  <c r="BW65" i="51" s="1"/>
  <c r="BY14" i="51"/>
  <c r="BY65" i="51" s="1"/>
  <c r="CF12" i="51"/>
  <c r="CF64" i="51" s="1"/>
  <c r="CA14" i="51"/>
  <c r="CA65" i="51" s="1"/>
  <c r="CC14" i="51"/>
  <c r="CC65" i="51" s="1"/>
  <c r="EI49" i="92" l="1"/>
  <c r="EH111" i="92"/>
  <c r="EC16" i="92"/>
  <c r="EB106" i="92"/>
  <c r="DW14" i="92"/>
  <c r="DV105" i="92"/>
  <c r="DW19" i="92"/>
  <c r="DV107" i="92"/>
  <c r="EA110" i="92"/>
  <c r="EB43" i="92"/>
  <c r="EF21" i="92"/>
  <c r="EE108" i="92"/>
  <c r="CI15" i="51"/>
  <c r="CI66" i="51" s="1"/>
  <c r="DU107" i="92"/>
  <c r="DU105" i="92"/>
  <c r="CE12" i="51"/>
  <c r="CE64" i="51" s="1"/>
  <c r="CI20" i="51"/>
  <c r="CK21" i="51"/>
  <c r="CJ21" i="51"/>
  <c r="CH21" i="51"/>
  <c r="BW11" i="51"/>
  <c r="BW62" i="51" s="1"/>
  <c r="CH11" i="51"/>
  <c r="CH62" i="51" s="1"/>
  <c r="CK11" i="51"/>
  <c r="CK62" i="51" s="1"/>
  <c r="CF11" i="51"/>
  <c r="CF62" i="51" s="1"/>
  <c r="CG11" i="51"/>
  <c r="CG62" i="51" s="1"/>
  <c r="CD11" i="51"/>
  <c r="CD62" i="51" s="1"/>
  <c r="CA11" i="51"/>
  <c r="CA62" i="51" s="1"/>
  <c r="CJ11" i="51"/>
  <c r="CJ62" i="51" s="1"/>
  <c r="CF13" i="51"/>
  <c r="CF63" i="51" s="1"/>
  <c r="CD13" i="51"/>
  <c r="CD63" i="51" s="1"/>
  <c r="CG13" i="51"/>
  <c r="CG63" i="51" s="1"/>
  <c r="CE13" i="51"/>
  <c r="CE63" i="51" s="1"/>
  <c r="ED16" i="92" l="1"/>
  <c r="EC106" i="92"/>
  <c r="DX14" i="92"/>
  <c r="DW105" i="92"/>
  <c r="EG21" i="92"/>
  <c r="EF108" i="92"/>
  <c r="EB110" i="92"/>
  <c r="EC43" i="92"/>
  <c r="DX19" i="92"/>
  <c r="DW107" i="92"/>
  <c r="EI111" i="92"/>
  <c r="EJ49" i="92"/>
  <c r="CI21" i="51"/>
  <c r="CK15" i="51"/>
  <c r="CK66" i="51" s="1"/>
  <c r="CJ15" i="51"/>
  <c r="CJ66" i="51" s="1"/>
  <c r="CH15" i="51"/>
  <c r="CH66" i="51" s="1"/>
  <c r="CI16" i="51"/>
  <c r="CI67" i="51" s="1"/>
  <c r="CJ20" i="51"/>
  <c r="CH20" i="51"/>
  <c r="CK20" i="51"/>
  <c r="BZ11" i="51"/>
  <c r="BZ62" i="51" s="1"/>
  <c r="CC11" i="51"/>
  <c r="CC62" i="51" s="1"/>
  <c r="BY12" i="51"/>
  <c r="BY64" i="51" s="1"/>
  <c r="CB12" i="51"/>
  <c r="CB64" i="51" s="1"/>
  <c r="BX12" i="51"/>
  <c r="BX64" i="51" s="1"/>
  <c r="BZ12" i="51"/>
  <c r="BZ64" i="51" s="1"/>
  <c r="CA12" i="51"/>
  <c r="CA64" i="51" s="1"/>
  <c r="CB11" i="51"/>
  <c r="CB62" i="51" s="1"/>
  <c r="CC12" i="51"/>
  <c r="CC64" i="51" s="1"/>
  <c r="BV12" i="51"/>
  <c r="BV64" i="51" s="1"/>
  <c r="BW12" i="51"/>
  <c r="BW64" i="51" s="1"/>
  <c r="BV13" i="51"/>
  <c r="BV63" i="51" s="1"/>
  <c r="BW13" i="51"/>
  <c r="BW63" i="51" s="1"/>
  <c r="CA13" i="51"/>
  <c r="CA63" i="51" s="1"/>
  <c r="BZ13" i="51"/>
  <c r="BZ63" i="51" s="1"/>
  <c r="CC13" i="51"/>
  <c r="CC63" i="51" s="1"/>
  <c r="CE15" i="51"/>
  <c r="CE66" i="51" s="1"/>
  <c r="CI22" i="51"/>
  <c r="CD15" i="51"/>
  <c r="CD66" i="51" s="1"/>
  <c r="CH22" i="51"/>
  <c r="BY13" i="51"/>
  <c r="BY63" i="51" s="1"/>
  <c r="CB13" i="51"/>
  <c r="CB63" i="51" s="1"/>
  <c r="BX13" i="51"/>
  <c r="BX63" i="51" s="1"/>
  <c r="CG15" i="51"/>
  <c r="CG66" i="51" s="1"/>
  <c r="CK22" i="51"/>
  <c r="CF15" i="51"/>
  <c r="CF66" i="51" s="1"/>
  <c r="CJ22" i="51"/>
  <c r="DX107" i="92" l="1"/>
  <c r="DY19" i="92"/>
  <c r="ED43" i="92"/>
  <c r="EC110" i="92"/>
  <c r="EH21" i="92"/>
  <c r="EG108" i="92"/>
  <c r="DX105" i="92"/>
  <c r="DY14" i="92"/>
  <c r="EJ111" i="92"/>
  <c r="EK49" i="92"/>
  <c r="EK111" i="92" s="1"/>
  <c r="EE16" i="92"/>
  <c r="ED106" i="92"/>
  <c r="CK16" i="51"/>
  <c r="CJ16" i="51"/>
  <c r="CJ67" i="51" s="1"/>
  <c r="CI67" i="113"/>
  <c r="CI21" i="113"/>
  <c r="CH16" i="51"/>
  <c r="CH67" i="51" s="1"/>
  <c r="CD16" i="51"/>
  <c r="CD67" i="51" s="1"/>
  <c r="CE16" i="51"/>
  <c r="CE67" i="51" s="1"/>
  <c r="CG16" i="51"/>
  <c r="CG67" i="51" s="1"/>
  <c r="CF16" i="51"/>
  <c r="CF67" i="51" s="1"/>
  <c r="BV11" i="51"/>
  <c r="BV62" i="51" s="1"/>
  <c r="BY11" i="51"/>
  <c r="BY62" i="51" s="1"/>
  <c r="CK24" i="51"/>
  <c r="CI24" i="51"/>
  <c r="BZ15" i="51"/>
  <c r="BZ66" i="51" s="1"/>
  <c r="CA15" i="51"/>
  <c r="CA66" i="51" s="1"/>
  <c r="BX11" i="51"/>
  <c r="BX62" i="51" s="1"/>
  <c r="CB15" i="51"/>
  <c r="CB66" i="51" s="1"/>
  <c r="BW15" i="51"/>
  <c r="BW66" i="51" s="1"/>
  <c r="CC15" i="51"/>
  <c r="CC66" i="51" s="1"/>
  <c r="ED110" i="92" l="1"/>
  <c r="EE43" i="92"/>
  <c r="EH108" i="92"/>
  <c r="EI21" i="92"/>
  <c r="DZ14" i="92"/>
  <c r="DY105" i="92"/>
  <c r="DY107" i="92"/>
  <c r="DZ19" i="92"/>
  <c r="EF16" i="92"/>
  <c r="EE106" i="92"/>
  <c r="CK67" i="113"/>
  <c r="FH67" i="113" s="1"/>
  <c r="CK67" i="51"/>
  <c r="CK21" i="113"/>
  <c r="CM34" i="113"/>
  <c r="BX15" i="51"/>
  <c r="BX66" i="51" s="1"/>
  <c r="CE21" i="113"/>
  <c r="CI34" i="113" s="1"/>
  <c r="BW16" i="51"/>
  <c r="BW67" i="51" s="1"/>
  <c r="CG21" i="113"/>
  <c r="CB16" i="51"/>
  <c r="CB67" i="51" s="1"/>
  <c r="BY15" i="51"/>
  <c r="BY66" i="51" s="1"/>
  <c r="BV15" i="51"/>
  <c r="BV66" i="51" s="1"/>
  <c r="CA16" i="51"/>
  <c r="CA67" i="51" s="1"/>
  <c r="CF21" i="113"/>
  <c r="CD21" i="113"/>
  <c r="CH21" i="113"/>
  <c r="CC16" i="51"/>
  <c r="CC67" i="51" s="1"/>
  <c r="CM47" i="113"/>
  <c r="CJ67" i="113"/>
  <c r="CJ21" i="113"/>
  <c r="CD24" i="51"/>
  <c r="BZ16" i="51"/>
  <c r="BZ67" i="51" s="1"/>
  <c r="CI25" i="51"/>
  <c r="CH25" i="51"/>
  <c r="CK25" i="51"/>
  <c r="CH24" i="51"/>
  <c r="EI108" i="92" l="1"/>
  <c r="EJ21" i="92"/>
  <c r="DZ107" i="92"/>
  <c r="EA19" i="92"/>
  <c r="CO34" i="113"/>
  <c r="EE110" i="92"/>
  <c r="EF43" i="92"/>
  <c r="EF106" i="92"/>
  <c r="EG16" i="92"/>
  <c r="DZ105" i="92"/>
  <c r="EA14" i="92"/>
  <c r="CL62" i="113"/>
  <c r="CO47" i="113"/>
  <c r="CD192" i="113"/>
  <c r="CD195" i="113" s="1"/>
  <c r="CG62" i="113"/>
  <c r="CN34" i="113"/>
  <c r="CJ34" i="113"/>
  <c r="CK34" i="113"/>
  <c r="CE62" i="113"/>
  <c r="CK47" i="113"/>
  <c r="CL47" i="113"/>
  <c r="CH34" i="113"/>
  <c r="CL34" i="113"/>
  <c r="CI47" i="113"/>
  <c r="GQ21" i="113"/>
  <c r="BY16" i="51"/>
  <c r="BY67" i="51" s="1"/>
  <c r="BW21" i="113"/>
  <c r="BW34" i="113" s="1"/>
  <c r="CJ62" i="113"/>
  <c r="CN47" i="113"/>
  <c r="CB21" i="113"/>
  <c r="CF47" i="113" s="1"/>
  <c r="CC21" i="113"/>
  <c r="CG34" i="113" s="1"/>
  <c r="CF62" i="113"/>
  <c r="FG21" i="113"/>
  <c r="CK62" i="113"/>
  <c r="CE192" i="113"/>
  <c r="BV16" i="51"/>
  <c r="BV67" i="51" s="1"/>
  <c r="BX16" i="51"/>
  <c r="BX67" i="51" s="1"/>
  <c r="CA21" i="113"/>
  <c r="GR21" i="113"/>
  <c r="CH62" i="113"/>
  <c r="CF192" i="113"/>
  <c r="CF195" i="113" s="1"/>
  <c r="CI62" i="113"/>
  <c r="CJ47" i="113"/>
  <c r="BZ21" i="113"/>
  <c r="CH47" i="113"/>
  <c r="FH21" i="113"/>
  <c r="EH16" i="92" l="1"/>
  <c r="EG106" i="92"/>
  <c r="EA105" i="92"/>
  <c r="EB14" i="92"/>
  <c r="EK21" i="92"/>
  <c r="EK108" i="92" s="1"/>
  <c r="EJ108" i="92"/>
  <c r="EG43" i="92"/>
  <c r="EF110" i="92"/>
  <c r="EA107" i="92"/>
  <c r="EB19" i="92"/>
  <c r="CA34" i="113"/>
  <c r="FH34" i="113"/>
  <c r="FI34" i="113"/>
  <c r="FI47" i="113"/>
  <c r="CF34" i="113"/>
  <c r="CE47" i="113"/>
  <c r="CE34" i="113"/>
  <c r="BZ192" i="113"/>
  <c r="CD193" i="113" s="1"/>
  <c r="GR47" i="113"/>
  <c r="GR34" i="113"/>
  <c r="GS34" i="113"/>
  <c r="CD34" i="113"/>
  <c r="FH47" i="113"/>
  <c r="CD47" i="113"/>
  <c r="FF21" i="113"/>
  <c r="FG34" i="113" s="1"/>
  <c r="BV21" i="113"/>
  <c r="BW47" i="113"/>
  <c r="GS47" i="113"/>
  <c r="CA62" i="113"/>
  <c r="CF194" i="113"/>
  <c r="CB192" i="113"/>
  <c r="CB62" i="113"/>
  <c r="BY21" i="113"/>
  <c r="CE195" i="113"/>
  <c r="CC192" i="113"/>
  <c r="CC62" i="113"/>
  <c r="CG47" i="113"/>
  <c r="CE194" i="113"/>
  <c r="CA192" i="113"/>
  <c r="GP21" i="113"/>
  <c r="GQ34" i="113" s="1"/>
  <c r="CA47" i="113"/>
  <c r="BX21" i="113"/>
  <c r="CD62" i="113"/>
  <c r="BW62" i="113" l="1"/>
  <c r="EH43" i="92"/>
  <c r="EG110" i="92"/>
  <c r="EB105" i="92"/>
  <c r="EC14" i="92"/>
  <c r="EH106" i="92"/>
  <c r="EI16" i="92"/>
  <c r="EB107" i="92"/>
  <c r="EC19" i="92"/>
  <c r="BZ185" i="113"/>
  <c r="BZ188" i="113" s="1"/>
  <c r="BZ195" i="113"/>
  <c r="BZ34" i="113"/>
  <c r="CC47" i="113"/>
  <c r="BY34" i="113"/>
  <c r="CC34" i="113"/>
  <c r="CB47" i="113"/>
  <c r="BX34" i="113"/>
  <c r="BZ47" i="113"/>
  <c r="BV34" i="113"/>
  <c r="CB34" i="113"/>
  <c r="GQ47" i="113"/>
  <c r="FG47" i="113"/>
  <c r="BZ62" i="113"/>
  <c r="GP192" i="113"/>
  <c r="CA185" i="113"/>
  <c r="CA195" i="113"/>
  <c r="FF192" i="113"/>
  <c r="CA194" i="113"/>
  <c r="CB195" i="113"/>
  <c r="CB194" i="113"/>
  <c r="CF193" i="113"/>
  <c r="BX47" i="113"/>
  <c r="BX62" i="113"/>
  <c r="GO21" i="113"/>
  <c r="BY62" i="113"/>
  <c r="BY47" i="113"/>
  <c r="BV62" i="113"/>
  <c r="GN21" i="113"/>
  <c r="BV47" i="113"/>
  <c r="FE21" i="113"/>
  <c r="FE34" i="113" s="1"/>
  <c r="CD194" i="113"/>
  <c r="CC195" i="113"/>
  <c r="CC194" i="113"/>
  <c r="CB185" i="113"/>
  <c r="CB188" i="113" s="1"/>
  <c r="CC188" i="113" s="1"/>
  <c r="CD188" i="113" s="1"/>
  <c r="CE193" i="113"/>
  <c r="ED14" i="92" l="1"/>
  <c r="EC105" i="92"/>
  <c r="EC107" i="92"/>
  <c r="ED19" i="92"/>
  <c r="EI106" i="92"/>
  <c r="EJ16" i="92"/>
  <c r="EI43" i="92"/>
  <c r="EH110" i="92"/>
  <c r="CA187" i="113"/>
  <c r="GO34" i="113"/>
  <c r="GP34" i="113"/>
  <c r="FF34" i="113"/>
  <c r="GN47" i="113"/>
  <c r="GN34" i="113"/>
  <c r="GO47" i="113"/>
  <c r="GP47" i="113"/>
  <c r="FE47" i="113"/>
  <c r="FF47" i="113"/>
  <c r="CC185" i="113"/>
  <c r="CC179" i="113" s="1"/>
  <c r="CB187" i="113"/>
  <c r="CA188" i="113"/>
  <c r="CA190" i="113" s="1"/>
  <c r="CD189" i="113"/>
  <c r="CE188" i="113"/>
  <c r="CD185" i="113"/>
  <c r="CD179" i="113" s="1"/>
  <c r="ED107" i="92" l="1"/>
  <c r="EE19" i="92"/>
  <c r="EI110" i="92"/>
  <c r="EJ43" i="92"/>
  <c r="EJ106" i="92"/>
  <c r="EK16" i="92"/>
  <c r="EK106" i="92" s="1"/>
  <c r="EE14" i="92"/>
  <c r="ED105" i="92"/>
  <c r="CB190" i="113"/>
  <c r="FF185" i="113"/>
  <c r="FF188" i="113" s="1"/>
  <c r="CC187" i="113"/>
  <c r="CD187" i="113"/>
  <c r="CD186" i="113"/>
  <c r="CF188" i="113"/>
  <c r="CE189" i="113"/>
  <c r="GP185" i="113"/>
  <c r="FF179" i="113"/>
  <c r="CD176" i="113"/>
  <c r="CE185" i="113"/>
  <c r="CE179" i="113" s="1"/>
  <c r="EJ110" i="92" l="1"/>
  <c r="EK43" i="92"/>
  <c r="EK110" i="92" s="1"/>
  <c r="EF19" i="92"/>
  <c r="EE107" i="92"/>
  <c r="EF14" i="92"/>
  <c r="EE105" i="92"/>
  <c r="CF189" i="113"/>
  <c r="CG188" i="113"/>
  <c r="CE186" i="113"/>
  <c r="CE187" i="113"/>
  <c r="GP188" i="113"/>
  <c r="GP179" i="113"/>
  <c r="CE176" i="113"/>
  <c r="CF185" i="113"/>
  <c r="CF179" i="113" s="1"/>
  <c r="EG19" i="92" l="1"/>
  <c r="EF107" i="92"/>
  <c r="EF105" i="92"/>
  <c r="EG14" i="92"/>
  <c r="CF187" i="113"/>
  <c r="CF186" i="113"/>
  <c r="CG189" i="113"/>
  <c r="CH188" i="113"/>
  <c r="CF176" i="113"/>
  <c r="CG185" i="113"/>
  <c r="EH14" i="92" l="1"/>
  <c r="EG105" i="92"/>
  <c r="EH19" i="92"/>
  <c r="EG107" i="92"/>
  <c r="CG187" i="113"/>
  <c r="CG186" i="113"/>
  <c r="CI188" i="113"/>
  <c r="CI189" i="113" s="1"/>
  <c r="CH189" i="113"/>
  <c r="FG185" i="113"/>
  <c r="CH185" i="113"/>
  <c r="CH179" i="113" s="1"/>
  <c r="EI19" i="92" l="1"/>
  <c r="EH107" i="92"/>
  <c r="EH105" i="92"/>
  <c r="EI14" i="92"/>
  <c r="FG186" i="113"/>
  <c r="FG188" i="113"/>
  <c r="CH187" i="113"/>
  <c r="CH186" i="113"/>
  <c r="CI185" i="113"/>
  <c r="CI179" i="113" s="1"/>
  <c r="GQ185" i="113"/>
  <c r="EJ14" i="92" l="1"/>
  <c r="EI105" i="92"/>
  <c r="EJ19" i="92"/>
  <c r="EI107" i="92"/>
  <c r="CI187" i="113"/>
  <c r="CI186" i="113"/>
  <c r="GQ188" i="113"/>
  <c r="GQ186" i="113"/>
  <c r="FL27" i="1"/>
  <c r="GU27" i="1"/>
  <c r="EJ107" i="92" l="1"/>
  <c r="EK19" i="92"/>
  <c r="EK107" i="92" s="1"/>
  <c r="EK14" i="92"/>
  <c r="EK105" i="92" s="1"/>
  <c r="EJ105" i="92"/>
  <c r="CO22" i="1"/>
  <c r="CO208" i="92" l="1"/>
  <c r="DI25" i="119"/>
  <c r="EJ13" i="6"/>
  <c r="EK48" i="6" s="1"/>
  <c r="EJ12" i="6"/>
  <c r="EK47" i="6" s="1"/>
  <c r="EJ11" i="6"/>
  <c r="EJ10" i="6"/>
  <c r="EK45" i="6" s="1"/>
  <c r="EJ9" i="6"/>
  <c r="EJ8" i="6"/>
  <c r="BU33" i="6"/>
  <c r="BU32" i="6"/>
  <c r="FC32" i="6" s="1"/>
  <c r="FC90" i="6" s="1"/>
  <c r="BU31" i="6"/>
  <c r="BY52" i="6" s="1"/>
  <c r="BU30" i="6"/>
  <c r="BU29" i="6"/>
  <c r="BU36" i="6"/>
  <c r="BY57" i="6" l="1"/>
  <c r="BV75" i="6"/>
  <c r="EK46" i="6"/>
  <c r="FD53" i="6"/>
  <c r="BY54" i="6"/>
  <c r="FC33" i="6"/>
  <c r="FC91" i="6" s="1"/>
  <c r="BY50" i="6"/>
  <c r="FC29" i="6"/>
  <c r="FC87" i="6" s="1"/>
  <c r="BY51" i="6"/>
  <c r="FC30" i="6"/>
  <c r="FC88" i="6" s="1"/>
  <c r="BU90" i="6"/>
  <c r="BY53" i="6"/>
  <c r="EK87" i="6"/>
  <c r="EK35" i="6"/>
  <c r="EK93" i="6" s="1"/>
  <c r="EK89" i="6"/>
  <c r="EK91" i="6"/>
  <c r="EK90" i="6"/>
  <c r="EK88" i="6"/>
  <c r="EJ19" i="6"/>
  <c r="EK44" i="6"/>
  <c r="BU89" i="6"/>
  <c r="FC31" i="6"/>
  <c r="FD52" i="6" s="1"/>
  <c r="BV70" i="6"/>
  <c r="EJ32" i="6"/>
  <c r="EK53" i="6" s="1"/>
  <c r="BV71" i="6"/>
  <c r="BU87" i="6"/>
  <c r="BV68" i="6"/>
  <c r="BU91" i="6"/>
  <c r="BV72" i="6"/>
  <c r="EJ30" i="6"/>
  <c r="EJ88" i="6" s="1"/>
  <c r="BV69" i="6"/>
  <c r="BU88" i="6"/>
  <c r="EJ29" i="6"/>
  <c r="EJ87" i="6" s="1"/>
  <c r="EJ33" i="6"/>
  <c r="EJ91" i="6" s="1"/>
  <c r="EJ31" i="6"/>
  <c r="EJ89" i="6" s="1"/>
  <c r="BU35" i="6"/>
  <c r="BU69" i="6"/>
  <c r="BU71" i="6"/>
  <c r="BU72" i="6"/>
  <c r="BU68" i="6"/>
  <c r="BU70" i="6"/>
  <c r="CO104" i="2"/>
  <c r="CN104" i="2"/>
  <c r="CM104" i="2"/>
  <c r="CL104" i="2"/>
  <c r="CK104" i="2"/>
  <c r="CJ104" i="2"/>
  <c r="CI104" i="2"/>
  <c r="CH104" i="2"/>
  <c r="CG104" i="2"/>
  <c r="CF104" i="2"/>
  <c r="CE104" i="2"/>
  <c r="CD104" i="2"/>
  <c r="CC104" i="2"/>
  <c r="CB104" i="2"/>
  <c r="CA104" i="2"/>
  <c r="BZ104" i="2"/>
  <c r="BY104" i="2"/>
  <c r="BX104" i="2"/>
  <c r="BW104" i="2"/>
  <c r="BV104" i="2"/>
  <c r="BU104" i="2"/>
  <c r="BT104" i="2"/>
  <c r="BS104" i="2"/>
  <c r="BR104" i="2"/>
  <c r="BQ104" i="2"/>
  <c r="BP104" i="2"/>
  <c r="BO104" i="2"/>
  <c r="BN104" i="2"/>
  <c r="BM104" i="2"/>
  <c r="BL104" i="2"/>
  <c r="BK104" i="2"/>
  <c r="BJ104" i="2"/>
  <c r="BI104" i="2"/>
  <c r="BH104" i="2"/>
  <c r="BG104" i="2"/>
  <c r="CO103" i="2"/>
  <c r="CN103" i="2"/>
  <c r="CM103" i="2"/>
  <c r="CL103" i="2"/>
  <c r="CK103" i="2"/>
  <c r="CJ103" i="2"/>
  <c r="CI103" i="2"/>
  <c r="CH103" i="2"/>
  <c r="CG103" i="2"/>
  <c r="CF103" i="2"/>
  <c r="CE103" i="2"/>
  <c r="CD103" i="2"/>
  <c r="CC103" i="2"/>
  <c r="CB103" i="2"/>
  <c r="CA103" i="2"/>
  <c r="BZ103" i="2"/>
  <c r="BY103" i="2"/>
  <c r="BX103" i="2"/>
  <c r="BW103" i="2"/>
  <c r="BV103" i="2"/>
  <c r="BU103" i="2"/>
  <c r="BT103" i="2"/>
  <c r="BS103" i="2"/>
  <c r="BR103" i="2"/>
  <c r="BQ103" i="2"/>
  <c r="BP103" i="2"/>
  <c r="BO103" i="2"/>
  <c r="BN103" i="2"/>
  <c r="BM103" i="2"/>
  <c r="BL103" i="2"/>
  <c r="BK103" i="2"/>
  <c r="BJ103" i="2"/>
  <c r="CO106" i="2"/>
  <c r="EL56" i="6" l="1"/>
  <c r="BV74" i="6"/>
  <c r="FC35" i="6"/>
  <c r="FD50" i="6"/>
  <c r="FD54" i="6"/>
  <c r="EJ90" i="6"/>
  <c r="FD51" i="6"/>
  <c r="CP108" i="2"/>
  <c r="CS107" i="2"/>
  <c r="EK52" i="6"/>
  <c r="EK51" i="6"/>
  <c r="EK54" i="6"/>
  <c r="EK50" i="6"/>
  <c r="FC89" i="6"/>
  <c r="EJ35" i="6"/>
  <c r="FD56" i="6" l="1"/>
  <c r="EK56" i="6"/>
  <c r="CO82" i="2" l="1"/>
  <c r="CP78" i="2" s="1"/>
  <c r="CO41" i="2"/>
  <c r="CO42" i="2"/>
  <c r="CO22" i="2"/>
  <c r="CO23" i="2"/>
  <c r="CO39" i="3"/>
  <c r="FX39" i="3" s="1"/>
  <c r="BU16" i="6"/>
  <c r="BU85" i="6" s="1"/>
  <c r="DI176" i="119" s="1"/>
  <c r="BU66" i="6"/>
  <c r="BU48" i="6"/>
  <c r="BU65" i="6"/>
  <c r="BU47" i="6"/>
  <c r="BU64" i="6"/>
  <c r="BU46" i="6"/>
  <c r="BU63" i="6"/>
  <c r="BU45" i="6"/>
  <c r="BU62" i="6"/>
  <c r="BU44" i="6"/>
  <c r="BU8" i="6"/>
  <c r="BZ7" i="6"/>
  <c r="BY7" i="6"/>
  <c r="BX7" i="6"/>
  <c r="BW7" i="6"/>
  <c r="BV7" i="6"/>
  <c r="BU7" i="6"/>
  <c r="CO49" i="2"/>
  <c r="CO44" i="2"/>
  <c r="DI65" i="119" s="1"/>
  <c r="CO64" i="2"/>
  <c r="CO65" i="2"/>
  <c r="CO18" i="2"/>
  <c r="DI45" i="119" s="1"/>
  <c r="DI51" i="119" l="1"/>
  <c r="DI69" i="119"/>
  <c r="DI271" i="119" s="1"/>
  <c r="DI67" i="119"/>
  <c r="DI298" i="119" s="1"/>
  <c r="DI256" i="119" s="1"/>
  <c r="BU94" i="6"/>
  <c r="BU93" i="6"/>
  <c r="BU84" i="6"/>
  <c r="BU83" i="6"/>
  <c r="DI164" i="119" s="1"/>
  <c r="BU80" i="6"/>
  <c r="BU82" i="6"/>
  <c r="BU81" i="6"/>
  <c r="BV67" i="6"/>
  <c r="BY49" i="6"/>
  <c r="CP81" i="2"/>
  <c r="CP84" i="2"/>
  <c r="CO43" i="2"/>
  <c r="CO24" i="2"/>
  <c r="DI54" i="119" s="1"/>
  <c r="CO51" i="2"/>
  <c r="DI70" i="119" s="1"/>
  <c r="DI174" i="119" l="1"/>
  <c r="DI166" i="119"/>
  <c r="DI170" i="119"/>
  <c r="DI165" i="119"/>
  <c r="DI169" i="119"/>
  <c r="DI163" i="119"/>
  <c r="DI129" i="119"/>
  <c r="DI135" i="119"/>
  <c r="DI151" i="119"/>
  <c r="DI148" i="119"/>
  <c r="DI145" i="119"/>
  <c r="DI142" i="119"/>
  <c r="DI139" i="119"/>
  <c r="DI150" i="119"/>
  <c r="DI147" i="119"/>
  <c r="DI144" i="119"/>
  <c r="DI141" i="119"/>
  <c r="DI138" i="119"/>
  <c r="DI154" i="119"/>
  <c r="DI146" i="119"/>
  <c r="DI153" i="119"/>
  <c r="DI143" i="119"/>
  <c r="DI140" i="119"/>
  <c r="DI149" i="119"/>
  <c r="CO25" i="2"/>
  <c r="CO27" i="2" s="1"/>
  <c r="DI55" i="119" s="1"/>
  <c r="DI173" i="119" l="1"/>
  <c r="DI167" i="119"/>
  <c r="DI128" i="119"/>
  <c r="DI152" i="119"/>
  <c r="CO53" i="2"/>
  <c r="FM45" i="3" l="1"/>
  <c r="FM43" i="3"/>
  <c r="FM40" i="3"/>
  <c r="FM39" i="3"/>
  <c r="FM38" i="3"/>
  <c r="FM33" i="3"/>
  <c r="FM31" i="3"/>
  <c r="FM14" i="3"/>
  <c r="FM9" i="3"/>
  <c r="FM9" i="2"/>
  <c r="FL9" i="51"/>
  <c r="GV9" i="51"/>
  <c r="AA98" i="119" l="1"/>
  <c r="GV56" i="51"/>
  <c r="GV39" i="51"/>
  <c r="GV19" i="51"/>
  <c r="FL56" i="51"/>
  <c r="FL39" i="51"/>
  <c r="FL19" i="51"/>
  <c r="CY5" i="1"/>
  <c r="CZ5" i="1"/>
  <c r="CZ8" i="51"/>
  <c r="DB6" i="51"/>
  <c r="CZ7" i="51"/>
  <c r="DA6" i="51" s="1"/>
  <c r="CY7" i="51"/>
  <c r="CZ23" i="113" l="1"/>
  <c r="CZ239" i="112"/>
  <c r="CZ229" i="112"/>
  <c r="CZ234" i="112"/>
  <c r="CZ211" i="112"/>
  <c r="CZ223" i="112"/>
  <c r="CZ217" i="112"/>
  <c r="CZ207" i="112"/>
  <c r="CZ200" i="112"/>
  <c r="CZ183" i="112"/>
  <c r="CZ186" i="112"/>
  <c r="CZ161" i="113"/>
  <c r="CZ141" i="113"/>
  <c r="CZ148" i="113"/>
  <c r="CZ117" i="113"/>
  <c r="CZ97" i="113"/>
  <c r="CZ123" i="113"/>
  <c r="CZ135" i="113"/>
  <c r="CZ129" i="113"/>
  <c r="CZ88" i="113"/>
  <c r="CZ36" i="113"/>
  <c r="CZ74" i="113"/>
  <c r="CZ51" i="113"/>
  <c r="CZ111" i="113"/>
  <c r="CZ64" i="113"/>
  <c r="CZ176" i="112"/>
  <c r="CZ169" i="112"/>
  <c r="CZ162" i="112"/>
  <c r="CZ110" i="112"/>
  <c r="CZ117" i="112"/>
  <c r="CZ103" i="112"/>
  <c r="CZ124" i="112"/>
  <c r="CZ193" i="112"/>
  <c r="CZ32" i="112"/>
  <c r="CZ43" i="112" s="1"/>
  <c r="CZ21" i="112"/>
  <c r="CZ131" i="112"/>
  <c r="CZ72" i="112"/>
  <c r="CZ39" i="51"/>
  <c r="CZ56" i="51"/>
  <c r="CZ30" i="51"/>
  <c r="CZ19" i="51"/>
  <c r="CZ6" i="51"/>
  <c r="CZ8" i="3"/>
  <c r="CZ66" i="3" s="1"/>
  <c r="CX8" i="3"/>
  <c r="CX66" i="3" s="1"/>
  <c r="CZ8" i="2"/>
  <c r="CY8" i="2"/>
  <c r="CX8" i="2"/>
  <c r="CX8" i="51"/>
  <c r="CX7" i="51"/>
  <c r="CY6" i="51" s="1"/>
  <c r="CX5" i="1"/>
  <c r="CW7" i="51"/>
  <c r="CV7" i="51"/>
  <c r="CU7" i="51"/>
  <c r="CT7" i="51"/>
  <c r="CS7" i="51"/>
  <c r="CR7" i="51"/>
  <c r="CQ7" i="51"/>
  <c r="CP7" i="51"/>
  <c r="CO7" i="51"/>
  <c r="CN7" i="51"/>
  <c r="CM7" i="51"/>
  <c r="CL7" i="51"/>
  <c r="CK7" i="51"/>
  <c r="CJ7" i="51"/>
  <c r="CI7" i="51"/>
  <c r="CH7" i="51"/>
  <c r="CG7" i="51"/>
  <c r="CF7" i="51"/>
  <c r="CE7" i="51"/>
  <c r="CD7" i="51"/>
  <c r="CD6" i="51" s="1"/>
  <c r="CC6" i="51"/>
  <c r="CB6" i="51"/>
  <c r="CA6" i="51"/>
  <c r="BZ6" i="51"/>
  <c r="BY6" i="51"/>
  <c r="BX6" i="51"/>
  <c r="BW6" i="51"/>
  <c r="CW5" i="1"/>
  <c r="CV5" i="1"/>
  <c r="CU5" i="1"/>
  <c r="CT5" i="1"/>
  <c r="CS5" i="1"/>
  <c r="CR5" i="1"/>
  <c r="CQ5" i="1"/>
  <c r="CP5" i="1"/>
  <c r="CO5" i="1"/>
  <c r="CN5" i="1"/>
  <c r="CM5" i="1"/>
  <c r="CL5" i="1"/>
  <c r="CK8" i="2"/>
  <c r="CJ8" i="2"/>
  <c r="CI8" i="2"/>
  <c r="CH8" i="2"/>
  <c r="CG8" i="2"/>
  <c r="CF8" i="2"/>
  <c r="CE8" i="2"/>
  <c r="CD8" i="2"/>
  <c r="CC8" i="2"/>
  <c r="CB8" i="2"/>
  <c r="CA8" i="2"/>
  <c r="BZ8" i="2"/>
  <c r="BY8" i="2"/>
  <c r="BX8" i="2"/>
  <c r="BW8" i="2"/>
  <c r="BV8" i="2"/>
  <c r="BU8" i="2"/>
  <c r="BT8" i="2"/>
  <c r="BS8" i="2"/>
  <c r="BR8" i="2"/>
  <c r="BQ8" i="2"/>
  <c r="BP8" i="2"/>
  <c r="BO8" i="2"/>
  <c r="BN8" i="2"/>
  <c r="BM8" i="2"/>
  <c r="BL8" i="2"/>
  <c r="BK8" i="2"/>
  <c r="BJ8" i="2"/>
  <c r="CW8" i="3"/>
  <c r="CW66" i="3" s="1"/>
  <c r="CV8" i="3"/>
  <c r="CV66" i="3" s="1"/>
  <c r="CT8" i="3"/>
  <c r="CT66" i="3" s="1"/>
  <c r="CS8" i="3"/>
  <c r="CS66" i="3" s="1"/>
  <c r="CR8" i="3"/>
  <c r="CR66" i="3" s="1"/>
  <c r="CQ8" i="3"/>
  <c r="CQ66" i="3" s="1"/>
  <c r="CP8" i="3"/>
  <c r="CP66" i="3" s="1"/>
  <c r="CO8" i="3"/>
  <c r="CO66" i="3" s="1"/>
  <c r="CN8" i="3"/>
  <c r="CN66" i="3" s="1"/>
  <c r="CM8" i="3"/>
  <c r="CM66" i="3" s="1"/>
  <c r="CL8" i="3"/>
  <c r="CL66" i="3" s="1"/>
  <c r="CK8" i="3"/>
  <c r="CJ8" i="3"/>
  <c r="CI8" i="3"/>
  <c r="CH8" i="3"/>
  <c r="CG8" i="3"/>
  <c r="CF8" i="3"/>
  <c r="CE8" i="3"/>
  <c r="CD8" i="3"/>
  <c r="CC8" i="3"/>
  <c r="CB8" i="3"/>
  <c r="CA8" i="3"/>
  <c r="BZ8" i="3"/>
  <c r="BY8" i="3"/>
  <c r="BX8" i="3"/>
  <c r="BW8" i="3"/>
  <c r="BV8" i="3"/>
  <c r="BU8" i="3"/>
  <c r="BT8" i="3"/>
  <c r="BS8" i="3"/>
  <c r="BR8" i="3"/>
  <c r="BQ8" i="3"/>
  <c r="BP8" i="3"/>
  <c r="BO8" i="3"/>
  <c r="BN8" i="3"/>
  <c r="BM8" i="3"/>
  <c r="BL8" i="3"/>
  <c r="BK8" i="3"/>
  <c r="BJ8" i="3"/>
  <c r="CW8" i="51"/>
  <c r="CV8" i="51"/>
  <c r="CU8" i="51"/>
  <c r="CT8" i="51"/>
  <c r="CS8" i="51"/>
  <c r="CR8" i="51"/>
  <c r="CQ8" i="51"/>
  <c r="CP8" i="51"/>
  <c r="CO8" i="51"/>
  <c r="CN8" i="51"/>
  <c r="CM8" i="51"/>
  <c r="CL8" i="51"/>
  <c r="CK8" i="51"/>
  <c r="CJ8" i="51"/>
  <c r="CI8" i="51"/>
  <c r="CH8" i="51"/>
  <c r="CG8" i="51"/>
  <c r="CF8" i="51"/>
  <c r="CE8" i="51"/>
  <c r="CD8" i="51"/>
  <c r="CC8" i="51"/>
  <c r="CB8" i="51"/>
  <c r="CA8" i="51"/>
  <c r="BZ8" i="51"/>
  <c r="BY8" i="51"/>
  <c r="BX8" i="51"/>
  <c r="BW8" i="51"/>
  <c r="BV8" i="51"/>
  <c r="BU8" i="51"/>
  <c r="BT8" i="51"/>
  <c r="BS8" i="51"/>
  <c r="BR8" i="51"/>
  <c r="BQ8" i="51"/>
  <c r="BP8" i="51"/>
  <c r="BO8" i="51"/>
  <c r="BN8" i="51"/>
  <c r="BM8" i="51"/>
  <c r="BL8" i="51"/>
  <c r="BK8" i="51"/>
  <c r="BJ8" i="51"/>
  <c r="N92" i="115" l="1"/>
  <c r="S92" i="115" s="1"/>
  <c r="N96" i="115"/>
  <c r="N95" i="115"/>
  <c r="N93" i="115"/>
  <c r="S93" i="115" s="1"/>
  <c r="N97" i="115"/>
  <c r="N98" i="115" s="1"/>
  <c r="N114" i="115"/>
  <c r="N112" i="115"/>
  <c r="N126" i="115" s="1"/>
  <c r="N115" i="115"/>
  <c r="N111" i="115"/>
  <c r="N125" i="115" s="1"/>
  <c r="N113" i="115"/>
  <c r="N127" i="115" s="1"/>
  <c r="C23" i="125"/>
  <c r="C46" i="125"/>
  <c r="C28" i="125"/>
  <c r="C32" i="125"/>
  <c r="C31" i="125"/>
  <c r="C25" i="125"/>
  <c r="C26" i="125"/>
  <c r="C30" i="125"/>
  <c r="C24" i="125"/>
  <c r="C27" i="125"/>
  <c r="C22" i="125"/>
  <c r="G25" i="125"/>
  <c r="G26" i="125"/>
  <c r="G22" i="125"/>
  <c r="G24" i="125"/>
  <c r="G46" i="125"/>
  <c r="G27" i="125"/>
  <c r="G31" i="125"/>
  <c r="G30" i="125"/>
  <c r="G23" i="125"/>
  <c r="G32" i="125"/>
  <c r="C46" i="115"/>
  <c r="G46" i="115"/>
  <c r="FQ96" i="51"/>
  <c r="FQ97" i="51"/>
  <c r="FW97" i="51"/>
  <c r="FV97" i="51"/>
  <c r="FP97" i="51"/>
  <c r="FQ114" i="51"/>
  <c r="FO97" i="51"/>
  <c r="FW114" i="51"/>
  <c r="FN97" i="51"/>
  <c r="FV114" i="51"/>
  <c r="FQ131" i="51"/>
  <c r="FP114" i="51"/>
  <c r="FN132" i="51"/>
  <c r="FQ132" i="51"/>
  <c r="FP132" i="51"/>
  <c r="FO132" i="51"/>
  <c r="FQ133" i="51"/>
  <c r="FP133" i="51"/>
  <c r="FO133" i="51"/>
  <c r="G27" i="115"/>
  <c r="G24" i="115"/>
  <c r="G23" i="115"/>
  <c r="G25" i="115"/>
  <c r="G22" i="115"/>
  <c r="BN23" i="113"/>
  <c r="BN239" i="112"/>
  <c r="BN229" i="112"/>
  <c r="BN234" i="112"/>
  <c r="CL23" i="113"/>
  <c r="CL239" i="112"/>
  <c r="CL229" i="112"/>
  <c r="CL234" i="112"/>
  <c r="BU239" i="112"/>
  <c r="BU234" i="112"/>
  <c r="BU229" i="112"/>
  <c r="CS23" i="113"/>
  <c r="CS239" i="112"/>
  <c r="CS234" i="112"/>
  <c r="CS229" i="112"/>
  <c r="BJ239" i="112"/>
  <c r="BJ234" i="112"/>
  <c r="BJ229" i="112"/>
  <c r="BP23" i="113"/>
  <c r="BP239" i="112"/>
  <c r="BP234" i="112"/>
  <c r="BP229" i="112"/>
  <c r="BV239" i="112"/>
  <c r="BV229" i="112"/>
  <c r="BV234" i="112"/>
  <c r="CB239" i="112"/>
  <c r="CB234" i="112"/>
  <c r="CB229" i="112"/>
  <c r="CH239" i="112"/>
  <c r="CH234" i="112"/>
  <c r="CH229" i="112"/>
  <c r="CN23" i="113"/>
  <c r="CN239" i="112"/>
  <c r="CN229" i="112"/>
  <c r="CN234" i="112"/>
  <c r="CT23" i="113"/>
  <c r="CT239" i="112"/>
  <c r="CT234" i="112"/>
  <c r="CT229" i="112"/>
  <c r="BZ239" i="112"/>
  <c r="BZ234" i="112"/>
  <c r="BZ229" i="112"/>
  <c r="CX23" i="113"/>
  <c r="CX239" i="112"/>
  <c r="CX234" i="112"/>
  <c r="CX229" i="112"/>
  <c r="CG239" i="112"/>
  <c r="CG234" i="112"/>
  <c r="CG229" i="112"/>
  <c r="BQ23" i="113"/>
  <c r="BQ239" i="112"/>
  <c r="BQ234" i="112"/>
  <c r="BQ229" i="112"/>
  <c r="CO23" i="113"/>
  <c r="CO239" i="112"/>
  <c r="CO229" i="112"/>
  <c r="CO234" i="112"/>
  <c r="BT239" i="112"/>
  <c r="BT229" i="112"/>
  <c r="BT234" i="112"/>
  <c r="CR23" i="113"/>
  <c r="CR239" i="112"/>
  <c r="CR234" i="112"/>
  <c r="CR229" i="112"/>
  <c r="CA239" i="112"/>
  <c r="CA234" i="112"/>
  <c r="CA229" i="112"/>
  <c r="BW239" i="112"/>
  <c r="BW229" i="112"/>
  <c r="BW234" i="112"/>
  <c r="CC239" i="112"/>
  <c r="CC229" i="112"/>
  <c r="CC234" i="112"/>
  <c r="CU23" i="113"/>
  <c r="CU239" i="112"/>
  <c r="CU229" i="112"/>
  <c r="CU234" i="112"/>
  <c r="BR239" i="112"/>
  <c r="BR229" i="112"/>
  <c r="BR234" i="112"/>
  <c r="CJ239" i="112"/>
  <c r="CJ229" i="112"/>
  <c r="CJ234" i="112"/>
  <c r="CP23" i="113"/>
  <c r="CP239" i="112"/>
  <c r="CP229" i="112"/>
  <c r="CP234" i="112"/>
  <c r="CV23" i="113"/>
  <c r="CV239" i="112"/>
  <c r="CV229" i="112"/>
  <c r="CV234" i="112"/>
  <c r="CF239" i="112"/>
  <c r="CF234" i="112"/>
  <c r="CF229" i="112"/>
  <c r="BO23" i="113"/>
  <c r="BO239" i="112"/>
  <c r="BO234" i="112"/>
  <c r="BO229" i="112"/>
  <c r="CM23" i="113"/>
  <c r="CM239" i="112"/>
  <c r="CM234" i="112"/>
  <c r="CM229" i="112"/>
  <c r="BK23" i="113"/>
  <c r="BK239" i="112"/>
  <c r="BK234" i="112"/>
  <c r="BK229" i="112"/>
  <c r="CI239" i="112"/>
  <c r="CI234" i="112"/>
  <c r="CI229" i="112"/>
  <c r="BL23" i="113"/>
  <c r="BL239" i="112"/>
  <c r="BL229" i="112"/>
  <c r="BL234" i="112"/>
  <c r="BX239" i="112"/>
  <c r="BX229" i="112"/>
  <c r="BX234" i="112"/>
  <c r="CD239" i="112"/>
  <c r="CD229" i="112"/>
  <c r="CD234" i="112"/>
  <c r="BM23" i="113"/>
  <c r="BM239" i="112"/>
  <c r="BM229" i="112"/>
  <c r="BM234" i="112"/>
  <c r="BS239" i="112"/>
  <c r="BS229" i="112"/>
  <c r="BS234" i="112"/>
  <c r="BY239" i="112"/>
  <c r="BY234" i="112"/>
  <c r="BY229" i="112"/>
  <c r="CE239" i="112"/>
  <c r="CE229" i="112"/>
  <c r="CE234" i="112"/>
  <c r="CK23" i="113"/>
  <c r="CK239" i="112"/>
  <c r="CK229" i="112"/>
  <c r="CK234" i="112"/>
  <c r="CQ23" i="113"/>
  <c r="CQ239" i="112"/>
  <c r="CQ234" i="112"/>
  <c r="CQ229" i="112"/>
  <c r="CW23" i="113"/>
  <c r="CW239" i="112"/>
  <c r="CW229" i="112"/>
  <c r="CW234" i="112"/>
  <c r="CC43" i="112"/>
  <c r="CC23" i="113"/>
  <c r="CI43" i="112"/>
  <c r="CI23" i="113"/>
  <c r="CD43" i="112"/>
  <c r="CD23" i="113"/>
  <c r="CE43" i="112"/>
  <c r="CE23" i="113"/>
  <c r="BW43" i="112"/>
  <c r="BW23" i="113"/>
  <c r="BY43" i="112"/>
  <c r="BY23" i="113"/>
  <c r="CF43" i="112"/>
  <c r="CF23" i="113"/>
  <c r="BX43" i="112"/>
  <c r="BX23" i="113"/>
  <c r="BT43" i="112"/>
  <c r="BT23" i="113"/>
  <c r="BZ43" i="112"/>
  <c r="BZ23" i="113"/>
  <c r="BU43" i="112"/>
  <c r="BU23" i="113"/>
  <c r="CA43" i="112"/>
  <c r="CA23" i="113"/>
  <c r="CG43" i="112"/>
  <c r="CG23" i="113"/>
  <c r="BR43" i="112"/>
  <c r="BR23" i="113"/>
  <c r="CJ43" i="112"/>
  <c r="CJ23" i="113"/>
  <c r="BS43" i="112"/>
  <c r="BS23" i="113"/>
  <c r="BJ23" i="113"/>
  <c r="BV43" i="112"/>
  <c r="BV23" i="113"/>
  <c r="CB43" i="112"/>
  <c r="CB23" i="113"/>
  <c r="CH43" i="112"/>
  <c r="CH23" i="113"/>
  <c r="BK183" i="112"/>
  <c r="BK43" i="112"/>
  <c r="BQ183" i="112"/>
  <c r="BQ43" i="112"/>
  <c r="BL183" i="112"/>
  <c r="BL43" i="112"/>
  <c r="BM183" i="112"/>
  <c r="BM43" i="112"/>
  <c r="BN183" i="112"/>
  <c r="BN43" i="112"/>
  <c r="BO183" i="112"/>
  <c r="BO43" i="112"/>
  <c r="BJ183" i="112"/>
  <c r="BJ43" i="112"/>
  <c r="BP183" i="112"/>
  <c r="BP43" i="112"/>
  <c r="CO200" i="112"/>
  <c r="CO223" i="112"/>
  <c r="CO217" i="112"/>
  <c r="CO211" i="112"/>
  <c r="BR223" i="112"/>
  <c r="BR217" i="112"/>
  <c r="BR211" i="112"/>
  <c r="BX223" i="112"/>
  <c r="BX217" i="112"/>
  <c r="BX211" i="112"/>
  <c r="CD200" i="112"/>
  <c r="CD223" i="112"/>
  <c r="CD217" i="112"/>
  <c r="CD211" i="112"/>
  <c r="CJ200" i="112"/>
  <c r="CJ223" i="112"/>
  <c r="CJ217" i="112"/>
  <c r="CJ211" i="112"/>
  <c r="CP200" i="112"/>
  <c r="CP223" i="112"/>
  <c r="CP217" i="112"/>
  <c r="CP211" i="112"/>
  <c r="CV223" i="112"/>
  <c r="CV217" i="112"/>
  <c r="CV211" i="112"/>
  <c r="CI200" i="112"/>
  <c r="CI223" i="112"/>
  <c r="CI217" i="112"/>
  <c r="CI211" i="112"/>
  <c r="BS223" i="112"/>
  <c r="BS217" i="112"/>
  <c r="BS211" i="112"/>
  <c r="CK200" i="112"/>
  <c r="CK223" i="112"/>
  <c r="CK217" i="112"/>
  <c r="CK211" i="112"/>
  <c r="BW223" i="112"/>
  <c r="BW217" i="112"/>
  <c r="BW211" i="112"/>
  <c r="CF200" i="112"/>
  <c r="CF223" i="112"/>
  <c r="CF217" i="112"/>
  <c r="CF211" i="112"/>
  <c r="CR200" i="112"/>
  <c r="CR223" i="112"/>
  <c r="CR217" i="112"/>
  <c r="CR211" i="112"/>
  <c r="CX223" i="112"/>
  <c r="CX217" i="112"/>
  <c r="CX211" i="112"/>
  <c r="CU223" i="112"/>
  <c r="CU217" i="112"/>
  <c r="CU211" i="112"/>
  <c r="CE200" i="112"/>
  <c r="CE223" i="112"/>
  <c r="CE211" i="112"/>
  <c r="CE217" i="112"/>
  <c r="CQ200" i="112"/>
  <c r="CQ223" i="112"/>
  <c r="CQ217" i="112"/>
  <c r="CQ211" i="112"/>
  <c r="BT223" i="112"/>
  <c r="BT217" i="112"/>
  <c r="BT211" i="112"/>
  <c r="BU223" i="112"/>
  <c r="BU211" i="112"/>
  <c r="BU217" i="112"/>
  <c r="CG200" i="112"/>
  <c r="CG223" i="112"/>
  <c r="CG211" i="112"/>
  <c r="CG217" i="112"/>
  <c r="CM200" i="112"/>
  <c r="CM223" i="112"/>
  <c r="CM211" i="112"/>
  <c r="CM217" i="112"/>
  <c r="CS200" i="112"/>
  <c r="CS223" i="112"/>
  <c r="CS211" i="112"/>
  <c r="CS217" i="112"/>
  <c r="CC223" i="112"/>
  <c r="CC217" i="112"/>
  <c r="CC211" i="112"/>
  <c r="BY223" i="112"/>
  <c r="BY217" i="112"/>
  <c r="BY211" i="112"/>
  <c r="CW223" i="112"/>
  <c r="CW217" i="112"/>
  <c r="CW211" i="112"/>
  <c r="BZ223" i="112"/>
  <c r="BZ217" i="112"/>
  <c r="BZ211" i="112"/>
  <c r="CL200" i="112"/>
  <c r="CL223" i="112"/>
  <c r="CL217" i="112"/>
  <c r="CL211" i="112"/>
  <c r="CA223" i="112"/>
  <c r="CA211" i="112"/>
  <c r="CA217" i="112"/>
  <c r="BV223" i="112"/>
  <c r="BV211" i="112"/>
  <c r="BV217" i="112"/>
  <c r="CB211" i="112"/>
  <c r="CB217" i="112"/>
  <c r="CB223" i="112"/>
  <c r="CH200" i="112"/>
  <c r="CH211" i="112"/>
  <c r="CH223" i="112"/>
  <c r="CH217" i="112"/>
  <c r="CN200" i="112"/>
  <c r="CN211" i="112"/>
  <c r="CN223" i="112"/>
  <c r="CN217" i="112"/>
  <c r="CT211" i="112"/>
  <c r="CT223" i="112"/>
  <c r="CT217" i="112"/>
  <c r="CA183" i="112"/>
  <c r="CA207" i="112"/>
  <c r="CA200" i="112"/>
  <c r="BV183" i="112"/>
  <c r="BV207" i="112"/>
  <c r="BV200" i="112"/>
  <c r="CC183" i="112"/>
  <c r="CC207" i="112"/>
  <c r="CC200" i="112"/>
  <c r="CU207" i="112"/>
  <c r="CU200" i="112"/>
  <c r="BT183" i="112"/>
  <c r="BT207" i="112"/>
  <c r="BT200" i="112"/>
  <c r="BZ183" i="112"/>
  <c r="BZ207" i="112"/>
  <c r="BZ200" i="112"/>
  <c r="CX207" i="112"/>
  <c r="CX200" i="112"/>
  <c r="CB183" i="112"/>
  <c r="CB207" i="112"/>
  <c r="CB200" i="112"/>
  <c r="CT207" i="112"/>
  <c r="CT200" i="112"/>
  <c r="BW183" i="112"/>
  <c r="BW207" i="112"/>
  <c r="BW200" i="112"/>
  <c r="BR183" i="112"/>
  <c r="BR200" i="112"/>
  <c r="BR207" i="112"/>
  <c r="BX183" i="112"/>
  <c r="BX207" i="112"/>
  <c r="BX200" i="112"/>
  <c r="CV207" i="112"/>
  <c r="CV200" i="112"/>
  <c r="BU183" i="112"/>
  <c r="BU207" i="112"/>
  <c r="BU200" i="112"/>
  <c r="BS183" i="112"/>
  <c r="BS200" i="112"/>
  <c r="BS207" i="112"/>
  <c r="BY183" i="112"/>
  <c r="BY207" i="112"/>
  <c r="BY200" i="112"/>
  <c r="CW207" i="112"/>
  <c r="CW200" i="112"/>
  <c r="CD183" i="112"/>
  <c r="CD207" i="112"/>
  <c r="CP183" i="112"/>
  <c r="CP186" i="112"/>
  <c r="CP207" i="112"/>
  <c r="CQ183" i="112"/>
  <c r="CQ186" i="112"/>
  <c r="CQ207" i="112"/>
  <c r="CF183" i="112"/>
  <c r="CF207" i="112"/>
  <c r="CL183" i="112"/>
  <c r="CL186" i="112"/>
  <c r="CL207" i="112"/>
  <c r="CR183" i="112"/>
  <c r="CR207" i="112"/>
  <c r="CR186" i="112"/>
  <c r="CG183" i="112"/>
  <c r="CG207" i="112"/>
  <c r="CM183" i="112"/>
  <c r="CM186" i="112"/>
  <c r="CM207" i="112"/>
  <c r="CH183" i="112"/>
  <c r="CH207" i="112"/>
  <c r="CH186" i="112"/>
  <c r="CN183" i="112"/>
  <c r="CN207" i="112"/>
  <c r="CN186" i="112"/>
  <c r="CJ183" i="112"/>
  <c r="CJ207" i="112"/>
  <c r="CJ186" i="112"/>
  <c r="CE183" i="112"/>
  <c r="CE207" i="112"/>
  <c r="CK183" i="112"/>
  <c r="CK207" i="112"/>
  <c r="CK186" i="112"/>
  <c r="CS183" i="112"/>
  <c r="CS207" i="112"/>
  <c r="CS186" i="112"/>
  <c r="CI183" i="112"/>
  <c r="CI207" i="112"/>
  <c r="CI186" i="112"/>
  <c r="CO183" i="112"/>
  <c r="CO207" i="112"/>
  <c r="CO186" i="112"/>
  <c r="CV183" i="112"/>
  <c r="CV186" i="112"/>
  <c r="CT186" i="112"/>
  <c r="CT183" i="112"/>
  <c r="CW183" i="112"/>
  <c r="CW186" i="112"/>
  <c r="CX183" i="112"/>
  <c r="CX186" i="112"/>
  <c r="CU186" i="112"/>
  <c r="CU183" i="112"/>
  <c r="BL161" i="113"/>
  <c r="BL148" i="113"/>
  <c r="BL141" i="113"/>
  <c r="BL135" i="113"/>
  <c r="BL117" i="113"/>
  <c r="BL129" i="113"/>
  <c r="BL97" i="113"/>
  <c r="BL123" i="113"/>
  <c r="BL88" i="113"/>
  <c r="CD161" i="113"/>
  <c r="CD148" i="113"/>
  <c r="CD141" i="113"/>
  <c r="CD97" i="113"/>
  <c r="CD135" i="113"/>
  <c r="CD117" i="113"/>
  <c r="CD123" i="113"/>
  <c r="CD129" i="113"/>
  <c r="CD88" i="113"/>
  <c r="CE161" i="113"/>
  <c r="CE148" i="113"/>
  <c r="CE141" i="113"/>
  <c r="CE135" i="113"/>
  <c r="CE117" i="113"/>
  <c r="CE97" i="113"/>
  <c r="CE129" i="113"/>
  <c r="CE123" i="113"/>
  <c r="CE88" i="113"/>
  <c r="CW161" i="113"/>
  <c r="CW148" i="113"/>
  <c r="CW141" i="113"/>
  <c r="CW135" i="113"/>
  <c r="CW117" i="113"/>
  <c r="CW97" i="113"/>
  <c r="CW129" i="113"/>
  <c r="CW123" i="113"/>
  <c r="CW88" i="113"/>
  <c r="BT161" i="113"/>
  <c r="BT148" i="113"/>
  <c r="BT141" i="113"/>
  <c r="BT135" i="113"/>
  <c r="BT117" i="113"/>
  <c r="BT97" i="113"/>
  <c r="BT129" i="113"/>
  <c r="BT123" i="113"/>
  <c r="BT88" i="113"/>
  <c r="CR161" i="113"/>
  <c r="CR141" i="113"/>
  <c r="CR148" i="113"/>
  <c r="CR135" i="113"/>
  <c r="CR117" i="113"/>
  <c r="CR97" i="113"/>
  <c r="CR129" i="113"/>
  <c r="CR123" i="113"/>
  <c r="CR88" i="113"/>
  <c r="BR161" i="113"/>
  <c r="BR148" i="113"/>
  <c r="BR141" i="113"/>
  <c r="BR135" i="113"/>
  <c r="BR117" i="113"/>
  <c r="BR123" i="113"/>
  <c r="BR129" i="113"/>
  <c r="BR97" i="113"/>
  <c r="BR88" i="113"/>
  <c r="CP161" i="113"/>
  <c r="CP148" i="113"/>
  <c r="CP141" i="113"/>
  <c r="CP135" i="113"/>
  <c r="CP117" i="113"/>
  <c r="CP97" i="113"/>
  <c r="CP123" i="113"/>
  <c r="CP129" i="113"/>
  <c r="CP88" i="113"/>
  <c r="BS161" i="113"/>
  <c r="BS148" i="113"/>
  <c r="BS141" i="113"/>
  <c r="BS135" i="113"/>
  <c r="BS117" i="113"/>
  <c r="BS97" i="113"/>
  <c r="BS129" i="113"/>
  <c r="BS123" i="113"/>
  <c r="BS88" i="113"/>
  <c r="CQ161" i="113"/>
  <c r="CQ148" i="113"/>
  <c r="CQ141" i="113"/>
  <c r="CQ129" i="113"/>
  <c r="CQ135" i="113"/>
  <c r="CQ117" i="113"/>
  <c r="CQ97" i="113"/>
  <c r="CQ123" i="113"/>
  <c r="CQ88" i="113"/>
  <c r="CF161" i="113"/>
  <c r="CF141" i="113"/>
  <c r="CF148" i="113"/>
  <c r="CF135" i="113"/>
  <c r="CF117" i="113"/>
  <c r="CF97" i="113"/>
  <c r="CF129" i="113"/>
  <c r="CF123" i="113"/>
  <c r="CF88" i="113"/>
  <c r="BU161" i="113"/>
  <c r="BU141" i="113"/>
  <c r="BU148" i="113"/>
  <c r="BU129" i="113"/>
  <c r="BU123" i="113"/>
  <c r="BU135" i="113"/>
  <c r="BU97" i="113"/>
  <c r="BU117" i="113"/>
  <c r="BU88" i="113"/>
  <c r="CM161" i="113"/>
  <c r="CM141" i="113"/>
  <c r="CM148" i="113"/>
  <c r="CM129" i="113"/>
  <c r="CM123" i="113"/>
  <c r="CM135" i="113"/>
  <c r="CM97" i="113"/>
  <c r="CM117" i="113"/>
  <c r="CM88" i="113"/>
  <c r="BJ161" i="113"/>
  <c r="BJ141" i="113"/>
  <c r="BJ148" i="113"/>
  <c r="BJ123" i="113"/>
  <c r="BJ135" i="113"/>
  <c r="BJ129" i="113"/>
  <c r="BJ117" i="113"/>
  <c r="BJ97" i="113"/>
  <c r="BJ88" i="113"/>
  <c r="BP161" i="113"/>
  <c r="BP141" i="113"/>
  <c r="BP148" i="113"/>
  <c r="BP97" i="113"/>
  <c r="BP117" i="113"/>
  <c r="BP135" i="113"/>
  <c r="BP129" i="113"/>
  <c r="BP123" i="113"/>
  <c r="BP88" i="113"/>
  <c r="BV161" i="113"/>
  <c r="BV141" i="113"/>
  <c r="BV148" i="113"/>
  <c r="BV123" i="113"/>
  <c r="BV135" i="113"/>
  <c r="BV129" i="113"/>
  <c r="BV97" i="113"/>
  <c r="BV117" i="113"/>
  <c r="BV88" i="113"/>
  <c r="CB161" i="113"/>
  <c r="CB141" i="113"/>
  <c r="CB148" i="113"/>
  <c r="CB117" i="113"/>
  <c r="CB135" i="113"/>
  <c r="CB129" i="113"/>
  <c r="CB123" i="113"/>
  <c r="CB97" i="113"/>
  <c r="CB88" i="113"/>
  <c r="CH161" i="113"/>
  <c r="CH141" i="113"/>
  <c r="CH148" i="113"/>
  <c r="CH123" i="113"/>
  <c r="CH135" i="113"/>
  <c r="CH129" i="113"/>
  <c r="CH97" i="113"/>
  <c r="CH117" i="113"/>
  <c r="CH88" i="113"/>
  <c r="CN161" i="113"/>
  <c r="CN141" i="113"/>
  <c r="CN148" i="113"/>
  <c r="CN117" i="113"/>
  <c r="CN135" i="113"/>
  <c r="CN97" i="113"/>
  <c r="CN129" i="113"/>
  <c r="CN123" i="113"/>
  <c r="CN88" i="113"/>
  <c r="CT161" i="113"/>
  <c r="CT141" i="113"/>
  <c r="CT148" i="113"/>
  <c r="CT123" i="113"/>
  <c r="CT135" i="113"/>
  <c r="CT129" i="113"/>
  <c r="CT97" i="113"/>
  <c r="CT117" i="113"/>
  <c r="CT88" i="113"/>
  <c r="BX161" i="113"/>
  <c r="BX141" i="113"/>
  <c r="BX148" i="113"/>
  <c r="BX135" i="113"/>
  <c r="BX117" i="113"/>
  <c r="BX97" i="113"/>
  <c r="BX129" i="113"/>
  <c r="BX123" i="113"/>
  <c r="BX88" i="113"/>
  <c r="CJ161" i="113"/>
  <c r="CJ148" i="113"/>
  <c r="CJ141" i="113"/>
  <c r="CJ135" i="113"/>
  <c r="CJ117" i="113"/>
  <c r="CJ97" i="113"/>
  <c r="CJ129" i="113"/>
  <c r="CJ123" i="113"/>
  <c r="CJ88" i="113"/>
  <c r="CV161" i="113"/>
  <c r="CV148" i="113"/>
  <c r="CV141" i="113"/>
  <c r="CV135" i="113"/>
  <c r="CV97" i="113"/>
  <c r="CV117" i="113"/>
  <c r="CV129" i="113"/>
  <c r="CV123" i="113"/>
  <c r="CV88" i="113"/>
  <c r="BM161" i="113"/>
  <c r="BM148" i="113"/>
  <c r="BM141" i="113"/>
  <c r="BM129" i="113"/>
  <c r="BM123" i="113"/>
  <c r="BM135" i="113"/>
  <c r="BM117" i="113"/>
  <c r="BM97" i="113"/>
  <c r="BM88" i="113"/>
  <c r="BY161" i="113"/>
  <c r="BY148" i="113"/>
  <c r="BY141" i="113"/>
  <c r="BY129" i="113"/>
  <c r="BY135" i="113"/>
  <c r="BY117" i="113"/>
  <c r="BY97" i="113"/>
  <c r="BY123" i="113"/>
  <c r="BY88" i="113"/>
  <c r="CK161" i="113"/>
  <c r="CK148" i="113"/>
  <c r="CK141" i="113"/>
  <c r="CK123" i="113"/>
  <c r="CK135" i="113"/>
  <c r="CK117" i="113"/>
  <c r="CK97" i="113"/>
  <c r="CK129" i="113"/>
  <c r="CK88" i="113"/>
  <c r="BN161" i="113"/>
  <c r="BN141" i="113"/>
  <c r="BN148" i="113"/>
  <c r="BN135" i="113"/>
  <c r="BN117" i="113"/>
  <c r="BN97" i="113"/>
  <c r="BN129" i="113"/>
  <c r="BN123" i="113"/>
  <c r="BN88" i="113"/>
  <c r="BZ161" i="113"/>
  <c r="BZ141" i="113"/>
  <c r="BZ148" i="113"/>
  <c r="BZ135" i="113"/>
  <c r="BZ117" i="113"/>
  <c r="BZ97" i="113"/>
  <c r="BZ129" i="113"/>
  <c r="BZ123" i="113"/>
  <c r="BZ88" i="113"/>
  <c r="CL161" i="113"/>
  <c r="CL148" i="113"/>
  <c r="CL141" i="113"/>
  <c r="CL135" i="113"/>
  <c r="CL117" i="113"/>
  <c r="CL97" i="113"/>
  <c r="CL129" i="113"/>
  <c r="CL123" i="113"/>
  <c r="CL88" i="113"/>
  <c r="CX161" i="113"/>
  <c r="CX148" i="113"/>
  <c r="CX141" i="113"/>
  <c r="CX135" i="113"/>
  <c r="CX117" i="113"/>
  <c r="CX97" i="113"/>
  <c r="CX129" i="113"/>
  <c r="CX123" i="113"/>
  <c r="CX88" i="113"/>
  <c r="BO161" i="113"/>
  <c r="BO141" i="113"/>
  <c r="BO148" i="113"/>
  <c r="BO129" i="113"/>
  <c r="BO123" i="113"/>
  <c r="BO135" i="113"/>
  <c r="BO97" i="113"/>
  <c r="BO117" i="113"/>
  <c r="BO88" i="113"/>
  <c r="CA161" i="113"/>
  <c r="CA141" i="113"/>
  <c r="CA148" i="113"/>
  <c r="CA129" i="113"/>
  <c r="CA123" i="113"/>
  <c r="CA135" i="113"/>
  <c r="CA97" i="113"/>
  <c r="CA117" i="113"/>
  <c r="CA88" i="113"/>
  <c r="CG161" i="113"/>
  <c r="CG141" i="113"/>
  <c r="CG148" i="113"/>
  <c r="CG129" i="113"/>
  <c r="CG123" i="113"/>
  <c r="CG135" i="113"/>
  <c r="CG97" i="113"/>
  <c r="CG117" i="113"/>
  <c r="CG88" i="113"/>
  <c r="CS161" i="113"/>
  <c r="CS141" i="113"/>
  <c r="CS148" i="113"/>
  <c r="CS129" i="113"/>
  <c r="CS123" i="113"/>
  <c r="CS135" i="113"/>
  <c r="CS97" i="113"/>
  <c r="CS117" i="113"/>
  <c r="CS88" i="113"/>
  <c r="BK161" i="113"/>
  <c r="BK141" i="113"/>
  <c r="BK148" i="113"/>
  <c r="BK123" i="113"/>
  <c r="BK117" i="113"/>
  <c r="BK97" i="113"/>
  <c r="BK135" i="113"/>
  <c r="BK129" i="113"/>
  <c r="BK88" i="113"/>
  <c r="BQ161" i="113"/>
  <c r="BQ141" i="113"/>
  <c r="BQ148" i="113"/>
  <c r="BQ117" i="113"/>
  <c r="BQ123" i="113"/>
  <c r="BQ97" i="113"/>
  <c r="BQ129" i="113"/>
  <c r="BQ135" i="113"/>
  <c r="BQ88" i="113"/>
  <c r="BW161" i="113"/>
  <c r="BW141" i="113"/>
  <c r="BW148" i="113"/>
  <c r="BW123" i="113"/>
  <c r="BW97" i="113"/>
  <c r="BW135" i="113"/>
  <c r="BW129" i="113"/>
  <c r="BW117" i="113"/>
  <c r="BW88" i="113"/>
  <c r="CC161" i="113"/>
  <c r="CC141" i="113"/>
  <c r="CC148" i="113"/>
  <c r="CC117" i="113"/>
  <c r="CC123" i="113"/>
  <c r="CC129" i="113"/>
  <c r="CC97" i="113"/>
  <c r="CC135" i="113"/>
  <c r="CC88" i="113"/>
  <c r="CI161" i="113"/>
  <c r="CI141" i="113"/>
  <c r="CI148" i="113"/>
  <c r="CI123" i="113"/>
  <c r="CI129" i="113"/>
  <c r="CI97" i="113"/>
  <c r="CI117" i="113"/>
  <c r="CI135" i="113"/>
  <c r="CI88" i="113"/>
  <c r="CO161" i="113"/>
  <c r="CO141" i="113"/>
  <c r="CO148" i="113"/>
  <c r="CO117" i="113"/>
  <c r="CO123" i="113"/>
  <c r="CO129" i="113"/>
  <c r="CO135" i="113"/>
  <c r="CO97" i="113"/>
  <c r="CO88" i="113"/>
  <c r="CU161" i="113"/>
  <c r="CU141" i="113"/>
  <c r="CU148" i="113"/>
  <c r="CU123" i="113"/>
  <c r="CU97" i="113"/>
  <c r="CU135" i="113"/>
  <c r="CU129" i="113"/>
  <c r="CU117" i="113"/>
  <c r="CU88" i="113"/>
  <c r="BP36" i="113"/>
  <c r="BP74" i="113"/>
  <c r="BP51" i="113"/>
  <c r="BP111" i="113"/>
  <c r="BP64" i="113"/>
  <c r="BP10" i="113"/>
  <c r="CT36" i="113"/>
  <c r="CT74" i="113"/>
  <c r="CT51" i="113"/>
  <c r="CT111" i="113"/>
  <c r="CT64" i="113"/>
  <c r="CC74" i="113"/>
  <c r="CC51" i="113"/>
  <c r="CC36" i="113"/>
  <c r="CC111" i="113"/>
  <c r="CC64" i="113"/>
  <c r="CC10" i="113"/>
  <c r="BM111" i="113"/>
  <c r="BM64" i="113"/>
  <c r="BM10" i="113"/>
  <c r="BM36" i="113"/>
  <c r="BM51" i="113"/>
  <c r="BM74" i="113"/>
  <c r="BY111" i="113"/>
  <c r="BY64" i="113"/>
  <c r="BY10" i="113"/>
  <c r="BY51" i="113"/>
  <c r="BY36" i="113"/>
  <c r="BY74" i="113"/>
  <c r="BO111" i="113"/>
  <c r="BO36" i="113"/>
  <c r="BO10" i="113"/>
  <c r="BO74" i="113"/>
  <c r="BO51" i="113"/>
  <c r="BO64" i="113"/>
  <c r="BU36" i="113"/>
  <c r="BU74" i="113"/>
  <c r="BU64" i="113"/>
  <c r="BU10" i="113"/>
  <c r="BU51" i="113"/>
  <c r="BU111" i="113"/>
  <c r="CA64" i="113"/>
  <c r="CA36" i="113"/>
  <c r="CA111" i="113"/>
  <c r="CA74" i="113"/>
  <c r="CA51" i="113"/>
  <c r="CA10" i="113"/>
  <c r="CG36" i="113"/>
  <c r="CG64" i="113"/>
  <c r="CG74" i="113"/>
  <c r="CG111" i="113"/>
  <c r="CG51" i="113"/>
  <c r="CG10" i="113"/>
  <c r="CM36" i="113"/>
  <c r="CM74" i="113"/>
  <c r="CM51" i="113"/>
  <c r="CM64" i="113"/>
  <c r="CM111" i="113"/>
  <c r="CS36" i="113"/>
  <c r="CS74" i="113"/>
  <c r="CS51" i="113"/>
  <c r="CS111" i="113"/>
  <c r="CS64" i="113"/>
  <c r="BV36" i="113"/>
  <c r="BV74" i="113"/>
  <c r="BV51" i="113"/>
  <c r="BV111" i="113"/>
  <c r="BV64" i="113"/>
  <c r="BV10" i="113"/>
  <c r="CN36" i="113"/>
  <c r="CN74" i="113"/>
  <c r="CN51" i="113"/>
  <c r="CN111" i="113"/>
  <c r="CN64" i="113"/>
  <c r="BK74" i="113"/>
  <c r="BK51" i="113"/>
  <c r="BK111" i="113"/>
  <c r="BK64" i="113"/>
  <c r="BK10" i="113"/>
  <c r="BK36" i="113"/>
  <c r="CO74" i="113"/>
  <c r="CO51" i="113"/>
  <c r="CO36" i="113"/>
  <c r="CO111" i="113"/>
  <c r="CO64" i="113"/>
  <c r="CH36" i="113"/>
  <c r="CH74" i="113"/>
  <c r="CH51" i="113"/>
  <c r="CH111" i="113"/>
  <c r="CH64" i="113"/>
  <c r="CH10" i="113"/>
  <c r="BQ74" i="113"/>
  <c r="BQ51" i="113"/>
  <c r="BQ36" i="113"/>
  <c r="BQ111" i="113"/>
  <c r="BQ64" i="113"/>
  <c r="BQ10" i="113"/>
  <c r="CI74" i="113"/>
  <c r="CI51" i="113"/>
  <c r="CI111" i="113"/>
  <c r="CI64" i="113"/>
  <c r="CI10" i="113"/>
  <c r="CI36" i="113"/>
  <c r="CU74" i="113"/>
  <c r="CU51" i="113"/>
  <c r="CU111" i="113"/>
  <c r="CU64" i="113"/>
  <c r="CU36" i="113"/>
  <c r="BL51" i="113"/>
  <c r="BL111" i="113"/>
  <c r="BL64" i="113"/>
  <c r="BL10" i="113"/>
  <c r="BL74" i="113"/>
  <c r="BL36" i="113"/>
  <c r="BR51" i="113"/>
  <c r="BR111" i="113"/>
  <c r="BR64" i="113"/>
  <c r="BR10" i="113"/>
  <c r="BR36" i="113"/>
  <c r="BR74" i="113"/>
  <c r="BX51" i="113"/>
  <c r="BX74" i="113"/>
  <c r="BX111" i="113"/>
  <c r="BX64" i="113"/>
  <c r="BX10" i="113"/>
  <c r="BX36" i="113"/>
  <c r="CD51" i="113"/>
  <c r="CD74" i="113"/>
  <c r="CD111" i="113"/>
  <c r="CD64" i="113"/>
  <c r="CD10" i="113"/>
  <c r="CD36" i="113"/>
  <c r="CJ51" i="113"/>
  <c r="CJ111" i="113"/>
  <c r="CJ64" i="113"/>
  <c r="CJ10" i="113"/>
  <c r="CJ74" i="113"/>
  <c r="CJ36" i="113"/>
  <c r="CP51" i="113"/>
  <c r="CP111" i="113"/>
  <c r="CP64" i="113"/>
  <c r="CP36" i="113"/>
  <c r="CP74" i="113"/>
  <c r="CV51" i="113"/>
  <c r="CV111" i="113"/>
  <c r="CV64" i="113"/>
  <c r="CV74" i="113"/>
  <c r="CV36" i="113"/>
  <c r="BJ36" i="113"/>
  <c r="BJ74" i="113"/>
  <c r="BJ51" i="113"/>
  <c r="BJ111" i="113"/>
  <c r="BJ64" i="113"/>
  <c r="BJ10" i="113"/>
  <c r="CE111" i="113"/>
  <c r="CE64" i="113"/>
  <c r="CE10" i="113"/>
  <c r="CE51" i="113"/>
  <c r="CE36" i="113"/>
  <c r="CE74" i="113"/>
  <c r="CW111" i="113"/>
  <c r="CW64" i="113"/>
  <c r="CW51" i="113"/>
  <c r="CW36" i="113"/>
  <c r="CW74" i="113"/>
  <c r="CB36" i="113"/>
  <c r="CB74" i="113"/>
  <c r="CB51" i="113"/>
  <c r="CB111" i="113"/>
  <c r="CB64" i="113"/>
  <c r="CB10" i="113"/>
  <c r="BW74" i="113"/>
  <c r="BW36" i="113"/>
  <c r="BW51" i="113"/>
  <c r="BW111" i="113"/>
  <c r="BW64" i="113"/>
  <c r="BW10" i="113"/>
  <c r="BS51" i="113"/>
  <c r="BS111" i="113"/>
  <c r="BS64" i="113"/>
  <c r="BS10" i="113"/>
  <c r="BS36" i="113"/>
  <c r="BS74" i="113"/>
  <c r="CK111" i="113"/>
  <c r="CK64" i="113"/>
  <c r="CK10" i="113"/>
  <c r="CK36" i="113"/>
  <c r="CK74" i="113"/>
  <c r="CK51" i="113"/>
  <c r="CQ111" i="113"/>
  <c r="CQ64" i="113"/>
  <c r="CQ51" i="113"/>
  <c r="CQ36" i="113"/>
  <c r="CQ74" i="113"/>
  <c r="BN111" i="113"/>
  <c r="BN64" i="113"/>
  <c r="BN10" i="113"/>
  <c r="BN36" i="113"/>
  <c r="BN74" i="113"/>
  <c r="BN51" i="113"/>
  <c r="BT111" i="113"/>
  <c r="BT64" i="113"/>
  <c r="BT10" i="113"/>
  <c r="BT36" i="113"/>
  <c r="BT74" i="113"/>
  <c r="BT51" i="113"/>
  <c r="BZ111" i="113"/>
  <c r="BZ64" i="113"/>
  <c r="BZ10" i="113"/>
  <c r="BZ36" i="113"/>
  <c r="BZ74" i="113"/>
  <c r="BZ51" i="113"/>
  <c r="CF111" i="113"/>
  <c r="CF64" i="113"/>
  <c r="CF10" i="113"/>
  <c r="CF36" i="113"/>
  <c r="CF74" i="113"/>
  <c r="CF51" i="113"/>
  <c r="CL111" i="113"/>
  <c r="CL64" i="113"/>
  <c r="CL36" i="113"/>
  <c r="CL74" i="113"/>
  <c r="CL51" i="113"/>
  <c r="CR111" i="113"/>
  <c r="CR64" i="113"/>
  <c r="CR36" i="113"/>
  <c r="CR74" i="113"/>
  <c r="CR51" i="113"/>
  <c r="CX111" i="113"/>
  <c r="CX64" i="113"/>
  <c r="CX36" i="113"/>
  <c r="CX74" i="113"/>
  <c r="CX51" i="113"/>
  <c r="BU176" i="112"/>
  <c r="BU169" i="112"/>
  <c r="BU124" i="112"/>
  <c r="BU162" i="112"/>
  <c r="BU110" i="112"/>
  <c r="BU103" i="112"/>
  <c r="BU117" i="112"/>
  <c r="BU193" i="112"/>
  <c r="BU32" i="112"/>
  <c r="BU10" i="112"/>
  <c r="BU131" i="112"/>
  <c r="BU72" i="112"/>
  <c r="BU21" i="112"/>
  <c r="CG176" i="112"/>
  <c r="CG162" i="112"/>
  <c r="CG169" i="112"/>
  <c r="CG124" i="112"/>
  <c r="CG117" i="112"/>
  <c r="CG103" i="112"/>
  <c r="CG193" i="112"/>
  <c r="CG32" i="112"/>
  <c r="CG10" i="112"/>
  <c r="CG110" i="112"/>
  <c r="CG131" i="112"/>
  <c r="CG72" i="112"/>
  <c r="CG21" i="112"/>
  <c r="BJ176" i="112"/>
  <c r="BJ169" i="112"/>
  <c r="BJ110" i="112"/>
  <c r="BJ162" i="112"/>
  <c r="BJ193" i="112"/>
  <c r="BJ124" i="112"/>
  <c r="BJ117" i="112"/>
  <c r="BJ103" i="112"/>
  <c r="BJ32" i="112"/>
  <c r="BJ21" i="112"/>
  <c r="BJ10" i="112"/>
  <c r="BJ131" i="112"/>
  <c r="BJ72" i="112"/>
  <c r="BV176" i="112"/>
  <c r="BV169" i="112"/>
  <c r="BV162" i="112"/>
  <c r="BV110" i="112"/>
  <c r="BV124" i="112"/>
  <c r="BV103" i="112"/>
  <c r="BV117" i="112"/>
  <c r="BV193" i="112"/>
  <c r="BV10" i="112"/>
  <c r="BV21" i="112"/>
  <c r="BV131" i="112"/>
  <c r="BV32" i="112"/>
  <c r="BV72" i="112"/>
  <c r="CN176" i="112"/>
  <c r="CN169" i="112"/>
  <c r="CN162" i="112"/>
  <c r="CN110" i="112"/>
  <c r="CN124" i="112"/>
  <c r="CN117" i="112"/>
  <c r="CN193" i="112"/>
  <c r="CN32" i="112"/>
  <c r="CN43" i="112" s="1"/>
  <c r="CN103" i="112"/>
  <c r="CN21" i="112"/>
  <c r="CN131" i="112"/>
  <c r="CN72" i="112"/>
  <c r="BK176" i="112"/>
  <c r="BK162" i="112"/>
  <c r="BK169" i="112"/>
  <c r="BK117" i="112"/>
  <c r="BK110" i="112"/>
  <c r="BK193" i="112"/>
  <c r="BK32" i="112"/>
  <c r="BK124" i="112"/>
  <c r="BK103" i="112"/>
  <c r="BK21" i="112"/>
  <c r="BK72" i="112"/>
  <c r="BK131" i="112"/>
  <c r="BK10" i="112"/>
  <c r="CC162" i="112"/>
  <c r="CC176" i="112"/>
  <c r="CC169" i="112"/>
  <c r="CC117" i="112"/>
  <c r="CC110" i="112"/>
  <c r="CC103" i="112"/>
  <c r="CC193" i="112"/>
  <c r="CC32" i="112"/>
  <c r="CC124" i="112"/>
  <c r="CC21" i="112"/>
  <c r="CC72" i="112"/>
  <c r="CC10" i="112"/>
  <c r="CC131" i="112"/>
  <c r="CU176" i="112"/>
  <c r="CU169" i="112"/>
  <c r="CU162" i="112"/>
  <c r="CU117" i="112"/>
  <c r="CU110" i="112"/>
  <c r="CU193" i="112"/>
  <c r="CU32" i="112"/>
  <c r="CU43" i="112" s="1"/>
  <c r="CU124" i="112"/>
  <c r="CU103" i="112"/>
  <c r="CU21" i="112"/>
  <c r="CU72" i="112"/>
  <c r="CU131" i="112"/>
  <c r="BL176" i="112"/>
  <c r="BL169" i="112"/>
  <c r="BL162" i="112"/>
  <c r="BL103" i="112"/>
  <c r="BL124" i="112"/>
  <c r="BL110" i="112"/>
  <c r="BL193" i="112"/>
  <c r="BL117" i="112"/>
  <c r="BL32" i="112"/>
  <c r="BL21" i="112"/>
  <c r="BL131" i="112"/>
  <c r="BL10" i="112"/>
  <c r="BL72" i="112"/>
  <c r="BR176" i="112"/>
  <c r="BR169" i="112"/>
  <c r="BR162" i="112"/>
  <c r="BR103" i="112"/>
  <c r="BR124" i="112"/>
  <c r="BR193" i="112"/>
  <c r="BR110" i="112"/>
  <c r="BR32" i="112"/>
  <c r="BR21" i="112"/>
  <c r="BR117" i="112"/>
  <c r="BR131" i="112"/>
  <c r="BR72" i="112"/>
  <c r="BR10" i="112"/>
  <c r="BX176" i="112"/>
  <c r="BX169" i="112"/>
  <c r="BX162" i="112"/>
  <c r="BX103" i="112"/>
  <c r="BX124" i="112"/>
  <c r="BX193" i="112"/>
  <c r="BX117" i="112"/>
  <c r="BX110" i="112"/>
  <c r="BX21" i="112"/>
  <c r="BX32" i="112"/>
  <c r="BX10" i="112"/>
  <c r="BX131" i="112"/>
  <c r="BX72" i="112"/>
  <c r="CD176" i="112"/>
  <c r="CD169" i="112"/>
  <c r="CD162" i="112"/>
  <c r="CD103" i="112"/>
  <c r="CD124" i="112"/>
  <c r="CD110" i="112"/>
  <c r="CD193" i="112"/>
  <c r="CD117" i="112"/>
  <c r="CD32" i="112"/>
  <c r="CD21" i="112"/>
  <c r="CD10" i="112"/>
  <c r="CD131" i="112"/>
  <c r="CD72" i="112"/>
  <c r="CJ176" i="112"/>
  <c r="CJ169" i="112"/>
  <c r="CJ162" i="112"/>
  <c r="CJ103" i="112"/>
  <c r="CJ124" i="112"/>
  <c r="CJ193" i="112"/>
  <c r="CJ110" i="112"/>
  <c r="CJ117" i="112"/>
  <c r="CJ32" i="112"/>
  <c r="CJ21" i="112"/>
  <c r="CJ131" i="112"/>
  <c r="CJ72" i="112"/>
  <c r="CJ10" i="112"/>
  <c r="CP176" i="112"/>
  <c r="CP169" i="112"/>
  <c r="CP162" i="112"/>
  <c r="CP103" i="112"/>
  <c r="CP124" i="112"/>
  <c r="CP193" i="112"/>
  <c r="CP117" i="112"/>
  <c r="CP110" i="112"/>
  <c r="CP21" i="112"/>
  <c r="CP32" i="112"/>
  <c r="CP43" i="112" s="1"/>
  <c r="CP131" i="112"/>
  <c r="CP72" i="112"/>
  <c r="CV169" i="112"/>
  <c r="CV176" i="112"/>
  <c r="CV162" i="112"/>
  <c r="CV103" i="112"/>
  <c r="CV124" i="112"/>
  <c r="CV110" i="112"/>
  <c r="CV193" i="112"/>
  <c r="CV117" i="112"/>
  <c r="CV32" i="112"/>
  <c r="CV43" i="112" s="1"/>
  <c r="CV21" i="112"/>
  <c r="CV131" i="112"/>
  <c r="CV72" i="112"/>
  <c r="BO176" i="112"/>
  <c r="BO169" i="112"/>
  <c r="BO162" i="112"/>
  <c r="BO124" i="112"/>
  <c r="BO117" i="112"/>
  <c r="BO103" i="112"/>
  <c r="BO110" i="112"/>
  <c r="BO10" i="112"/>
  <c r="BO193" i="112"/>
  <c r="BO32" i="112"/>
  <c r="BO21" i="112"/>
  <c r="BO131" i="112"/>
  <c r="BO72" i="112"/>
  <c r="CA176" i="112"/>
  <c r="CA169" i="112"/>
  <c r="CA124" i="112"/>
  <c r="CA162" i="112"/>
  <c r="CA110" i="112"/>
  <c r="CA103" i="112"/>
  <c r="CA117" i="112"/>
  <c r="CA32" i="112"/>
  <c r="CA10" i="112"/>
  <c r="CA193" i="112"/>
  <c r="CA131" i="112"/>
  <c r="CA72" i="112"/>
  <c r="CA21" i="112"/>
  <c r="CS176" i="112"/>
  <c r="CS169" i="112"/>
  <c r="CS162" i="112"/>
  <c r="CS124" i="112"/>
  <c r="CS103" i="112"/>
  <c r="CS110" i="112"/>
  <c r="CS193" i="112"/>
  <c r="CS32" i="112"/>
  <c r="CS43" i="112" s="1"/>
  <c r="CS117" i="112"/>
  <c r="CS131" i="112"/>
  <c r="CS21" i="112"/>
  <c r="CS72" i="112"/>
  <c r="BP176" i="112"/>
  <c r="BP162" i="112"/>
  <c r="BP110" i="112"/>
  <c r="BP117" i="112"/>
  <c r="BP103" i="112"/>
  <c r="BP124" i="112"/>
  <c r="BP193" i="112"/>
  <c r="BP169" i="112"/>
  <c r="BP32" i="112"/>
  <c r="BP21" i="112"/>
  <c r="BP10" i="112"/>
  <c r="BP131" i="112"/>
  <c r="BP72" i="112"/>
  <c r="CB176" i="112"/>
  <c r="CB162" i="112"/>
  <c r="CB110" i="112"/>
  <c r="CB169" i="112"/>
  <c r="CB103" i="112"/>
  <c r="CB193" i="112"/>
  <c r="CB124" i="112"/>
  <c r="CB117" i="112"/>
  <c r="CB32" i="112"/>
  <c r="CB10" i="112"/>
  <c r="CB21" i="112"/>
  <c r="CB131" i="112"/>
  <c r="CB72" i="112"/>
  <c r="CT176" i="112"/>
  <c r="CT162" i="112"/>
  <c r="CT110" i="112"/>
  <c r="CT169" i="112"/>
  <c r="CT193" i="112"/>
  <c r="CT124" i="112"/>
  <c r="CT117" i="112"/>
  <c r="CT103" i="112"/>
  <c r="CT32" i="112"/>
  <c r="CT43" i="112" s="1"/>
  <c r="CT21" i="112"/>
  <c r="CT131" i="112"/>
  <c r="CT72" i="112"/>
  <c r="BQ176" i="112"/>
  <c r="BQ117" i="112"/>
  <c r="BQ169" i="112"/>
  <c r="BQ162" i="112"/>
  <c r="BQ124" i="112"/>
  <c r="BQ193" i="112"/>
  <c r="BQ32" i="112"/>
  <c r="BQ110" i="112"/>
  <c r="BQ103" i="112"/>
  <c r="BQ21" i="112"/>
  <c r="BQ10" i="112"/>
  <c r="BQ72" i="112"/>
  <c r="BQ131" i="112"/>
  <c r="CI176" i="112"/>
  <c r="CI169" i="112"/>
  <c r="CI117" i="112"/>
  <c r="CI162" i="112"/>
  <c r="CI124" i="112"/>
  <c r="CI193" i="112"/>
  <c r="CI103" i="112"/>
  <c r="CI32" i="112"/>
  <c r="CI110" i="112"/>
  <c r="CI21" i="112"/>
  <c r="CI10" i="112"/>
  <c r="CI72" i="112"/>
  <c r="CI131" i="112"/>
  <c r="BM176" i="112"/>
  <c r="BM169" i="112"/>
  <c r="BM162" i="112"/>
  <c r="BM117" i="112"/>
  <c r="BM124" i="112"/>
  <c r="BM103" i="112"/>
  <c r="BM193" i="112"/>
  <c r="BM110" i="112"/>
  <c r="BM32" i="112"/>
  <c r="BM21" i="112"/>
  <c r="BM131" i="112"/>
  <c r="BM10" i="112"/>
  <c r="BM72" i="112"/>
  <c r="BS176" i="112"/>
  <c r="BS169" i="112"/>
  <c r="BS117" i="112"/>
  <c r="BS124" i="112"/>
  <c r="BS162" i="112"/>
  <c r="BS110" i="112"/>
  <c r="BS32" i="112"/>
  <c r="BS193" i="112"/>
  <c r="BS103" i="112"/>
  <c r="BS21" i="112"/>
  <c r="BS131" i="112"/>
  <c r="BS10" i="112"/>
  <c r="BS72" i="112"/>
  <c r="BY176" i="112"/>
  <c r="BY169" i="112"/>
  <c r="BY162" i="112"/>
  <c r="BY117" i="112"/>
  <c r="BY124" i="112"/>
  <c r="BY110" i="112"/>
  <c r="BY193" i="112"/>
  <c r="BY103" i="112"/>
  <c r="BY21" i="112"/>
  <c r="BY32" i="112"/>
  <c r="BY10" i="112"/>
  <c r="BY131" i="112"/>
  <c r="BY72" i="112"/>
  <c r="CE169" i="112"/>
  <c r="CE162" i="112"/>
  <c r="CE176" i="112"/>
  <c r="CE117" i="112"/>
  <c r="CE124" i="112"/>
  <c r="CE103" i="112"/>
  <c r="CE110" i="112"/>
  <c r="CE193" i="112"/>
  <c r="CE21" i="112"/>
  <c r="CE10" i="112"/>
  <c r="CE131" i="112"/>
  <c r="CE32" i="112"/>
  <c r="CE72" i="112"/>
  <c r="CK176" i="112"/>
  <c r="CK169" i="112"/>
  <c r="CK162" i="112"/>
  <c r="CK117" i="112"/>
  <c r="CK124" i="112"/>
  <c r="CK110" i="112"/>
  <c r="CK103" i="112"/>
  <c r="CK193" i="112"/>
  <c r="CK32" i="112"/>
  <c r="CK43" i="112" s="1"/>
  <c r="CK21" i="112"/>
  <c r="CK131" i="112"/>
  <c r="CK10" i="112"/>
  <c r="CK72" i="112"/>
  <c r="CQ176" i="112"/>
  <c r="CQ169" i="112"/>
  <c r="CQ162" i="112"/>
  <c r="CQ117" i="112"/>
  <c r="CQ124" i="112"/>
  <c r="CQ103" i="112"/>
  <c r="CQ110" i="112"/>
  <c r="CQ193" i="112"/>
  <c r="CQ21" i="112"/>
  <c r="CQ32" i="112"/>
  <c r="CQ43" i="112" s="1"/>
  <c r="CQ131" i="112"/>
  <c r="CQ72" i="112"/>
  <c r="CW176" i="112"/>
  <c r="CW169" i="112"/>
  <c r="CW162" i="112"/>
  <c r="CW117" i="112"/>
  <c r="CW124" i="112"/>
  <c r="CW103" i="112"/>
  <c r="CW193" i="112"/>
  <c r="CW110" i="112"/>
  <c r="CW21" i="112"/>
  <c r="CW32" i="112"/>
  <c r="CW43" i="112" s="1"/>
  <c r="CW131" i="112"/>
  <c r="CW72" i="112"/>
  <c r="CM176" i="112"/>
  <c r="CM169" i="112"/>
  <c r="CM162" i="112"/>
  <c r="CM124" i="112"/>
  <c r="CM110" i="112"/>
  <c r="CM117" i="112"/>
  <c r="CM103" i="112"/>
  <c r="CM193" i="112"/>
  <c r="CM131" i="112"/>
  <c r="CM21" i="112"/>
  <c r="CM72" i="112"/>
  <c r="CM32" i="112"/>
  <c r="CM43" i="112" s="1"/>
  <c r="CH176" i="112"/>
  <c r="CH169" i="112"/>
  <c r="CH110" i="112"/>
  <c r="CH117" i="112"/>
  <c r="CH124" i="112"/>
  <c r="CH193" i="112"/>
  <c r="CH103" i="112"/>
  <c r="CH162" i="112"/>
  <c r="CH10" i="112"/>
  <c r="CH32" i="112"/>
  <c r="CH21" i="112"/>
  <c r="CH72" i="112"/>
  <c r="CH131" i="112"/>
  <c r="BW176" i="112"/>
  <c r="BW169" i="112"/>
  <c r="BW162" i="112"/>
  <c r="BW117" i="112"/>
  <c r="BW103" i="112"/>
  <c r="BW193" i="112"/>
  <c r="BW32" i="112"/>
  <c r="BW110" i="112"/>
  <c r="BW124" i="112"/>
  <c r="BW21" i="112"/>
  <c r="BW72" i="112"/>
  <c r="BW10" i="112"/>
  <c r="BW131" i="112"/>
  <c r="CO169" i="112"/>
  <c r="CO176" i="112"/>
  <c r="CO117" i="112"/>
  <c r="CO162" i="112"/>
  <c r="CO193" i="112"/>
  <c r="CO32" i="112"/>
  <c r="CO43" i="112" s="1"/>
  <c r="CO103" i="112"/>
  <c r="CO124" i="112"/>
  <c r="CO110" i="112"/>
  <c r="CO21" i="112"/>
  <c r="CO72" i="112"/>
  <c r="CO131" i="112"/>
  <c r="BN176" i="112"/>
  <c r="BN162" i="112"/>
  <c r="BN169" i="112"/>
  <c r="BN124" i="112"/>
  <c r="BN110" i="112"/>
  <c r="BN117" i="112"/>
  <c r="BN103" i="112"/>
  <c r="BN193" i="112"/>
  <c r="BN21" i="112"/>
  <c r="BN32" i="112"/>
  <c r="BN131" i="112"/>
  <c r="BN10" i="112"/>
  <c r="BN72" i="112"/>
  <c r="BT176" i="112"/>
  <c r="BT162" i="112"/>
  <c r="BT169" i="112"/>
  <c r="BT124" i="112"/>
  <c r="BT110" i="112"/>
  <c r="BT103" i="112"/>
  <c r="BT193" i="112"/>
  <c r="BT117" i="112"/>
  <c r="BT21" i="112"/>
  <c r="BT32" i="112"/>
  <c r="BT131" i="112"/>
  <c r="BT10" i="112"/>
  <c r="BT72" i="112"/>
  <c r="BZ176" i="112"/>
  <c r="BZ162" i="112"/>
  <c r="BZ169" i="112"/>
  <c r="BZ124" i="112"/>
  <c r="BZ110" i="112"/>
  <c r="BZ117" i="112"/>
  <c r="BZ193" i="112"/>
  <c r="BZ32" i="112"/>
  <c r="BZ103" i="112"/>
  <c r="BZ21" i="112"/>
  <c r="BZ131" i="112"/>
  <c r="BZ72" i="112"/>
  <c r="BZ10" i="112"/>
  <c r="CF169" i="112"/>
  <c r="CF176" i="112"/>
  <c r="CF162" i="112"/>
  <c r="CF124" i="112"/>
  <c r="CF110" i="112"/>
  <c r="CF117" i="112"/>
  <c r="CF103" i="112"/>
  <c r="CF193" i="112"/>
  <c r="CF21" i="112"/>
  <c r="CF32" i="112"/>
  <c r="CF10" i="112"/>
  <c r="CF131" i="112"/>
  <c r="CF72" i="112"/>
  <c r="CL169" i="112"/>
  <c r="CL176" i="112"/>
  <c r="CL162" i="112"/>
  <c r="CL124" i="112"/>
  <c r="CL110" i="112"/>
  <c r="CL103" i="112"/>
  <c r="CL117" i="112"/>
  <c r="CL193" i="112"/>
  <c r="CL32" i="112"/>
  <c r="CL43" i="112" s="1"/>
  <c r="CL21" i="112"/>
  <c r="CL131" i="112"/>
  <c r="CL72" i="112"/>
  <c r="CR176" i="112"/>
  <c r="CR169" i="112"/>
  <c r="CR162" i="112"/>
  <c r="CR124" i="112"/>
  <c r="CR110" i="112"/>
  <c r="CR117" i="112"/>
  <c r="CR103" i="112"/>
  <c r="CR193" i="112"/>
  <c r="CR21" i="112"/>
  <c r="CR32" i="112"/>
  <c r="CR43" i="112" s="1"/>
  <c r="CR131" i="112"/>
  <c r="CR72" i="112"/>
  <c r="CX169" i="112"/>
  <c r="CX176" i="112"/>
  <c r="CX162" i="112"/>
  <c r="CX124" i="112"/>
  <c r="CX110" i="112"/>
  <c r="CX117" i="112"/>
  <c r="CX103" i="112"/>
  <c r="CX193" i="112"/>
  <c r="CX21" i="112"/>
  <c r="CX32" i="112"/>
  <c r="CX43" i="112" s="1"/>
  <c r="CX131" i="112"/>
  <c r="CX72" i="112"/>
  <c r="BN39" i="51"/>
  <c r="BN56" i="51"/>
  <c r="BT39" i="51"/>
  <c r="BT56" i="51"/>
  <c r="BZ39" i="51"/>
  <c r="BZ56" i="51"/>
  <c r="CF39" i="51"/>
  <c r="CF56" i="51"/>
  <c r="CL39" i="51"/>
  <c r="CL56" i="51"/>
  <c r="CR39" i="51"/>
  <c r="CR56" i="51"/>
  <c r="CX39" i="51"/>
  <c r="CX56" i="51"/>
  <c r="BU39" i="51"/>
  <c r="BU56" i="51"/>
  <c r="CM39" i="51"/>
  <c r="CM56" i="51"/>
  <c r="CS39" i="51"/>
  <c r="CS56" i="51"/>
  <c r="CA39" i="51"/>
  <c r="CA56" i="51"/>
  <c r="BJ39" i="51"/>
  <c r="BJ56" i="51"/>
  <c r="BP39" i="51"/>
  <c r="BP56" i="51"/>
  <c r="BV39" i="51"/>
  <c r="BV56" i="51"/>
  <c r="CB39" i="51"/>
  <c r="CB56" i="51"/>
  <c r="CH39" i="51"/>
  <c r="CH56" i="51"/>
  <c r="CN39" i="51"/>
  <c r="CN56" i="51"/>
  <c r="CT39" i="51"/>
  <c r="CT56" i="51"/>
  <c r="BW39" i="51"/>
  <c r="BW56" i="51"/>
  <c r="CU39" i="51"/>
  <c r="CU56" i="51"/>
  <c r="BO39" i="51"/>
  <c r="BO56" i="51"/>
  <c r="BK39" i="51"/>
  <c r="BK56" i="51"/>
  <c r="CC39" i="51"/>
  <c r="CC56" i="51"/>
  <c r="CI39" i="51"/>
  <c r="CI56" i="51"/>
  <c r="CO39" i="51"/>
  <c r="CO56" i="51"/>
  <c r="BL39" i="51"/>
  <c r="BL56" i="51"/>
  <c r="BR39" i="51"/>
  <c r="BR56" i="51"/>
  <c r="BX39" i="51"/>
  <c r="BX56" i="51"/>
  <c r="CD39" i="51"/>
  <c r="CD56" i="51"/>
  <c r="CJ39" i="51"/>
  <c r="CJ56" i="51"/>
  <c r="CP39" i="51"/>
  <c r="CP56" i="51"/>
  <c r="CV39" i="51"/>
  <c r="CV56" i="51"/>
  <c r="CG39" i="51"/>
  <c r="CG56" i="51"/>
  <c r="BQ39" i="51"/>
  <c r="BQ56" i="51"/>
  <c r="BM39" i="51"/>
  <c r="BM56" i="51"/>
  <c r="BS39" i="51"/>
  <c r="BS56" i="51"/>
  <c r="BY39" i="51"/>
  <c r="BY56" i="51"/>
  <c r="CE39" i="51"/>
  <c r="CE56" i="51"/>
  <c r="CK39" i="51"/>
  <c r="CK56" i="51"/>
  <c r="CQ39" i="51"/>
  <c r="CQ56" i="51"/>
  <c r="CW39" i="51"/>
  <c r="CW56" i="51"/>
  <c r="BJ30" i="51"/>
  <c r="BJ19" i="51"/>
  <c r="BK30" i="51"/>
  <c r="BK19" i="51"/>
  <c r="BL19" i="51"/>
  <c r="BL30" i="51"/>
  <c r="BM19" i="51"/>
  <c r="BM30" i="51"/>
  <c r="BN30" i="51"/>
  <c r="BN19" i="51"/>
  <c r="BO30" i="51"/>
  <c r="BO19" i="51"/>
  <c r="BP30" i="51"/>
  <c r="BP19" i="51"/>
  <c r="BQ30" i="51"/>
  <c r="BQ19" i="51"/>
  <c r="BR19" i="51"/>
  <c r="BR30" i="51"/>
  <c r="BS19" i="51"/>
  <c r="BS30" i="51"/>
  <c r="BT30" i="51"/>
  <c r="BT19" i="51"/>
  <c r="BU30" i="51"/>
  <c r="BU19" i="51"/>
  <c r="BV30" i="51"/>
  <c r="BV19" i="51"/>
  <c r="BW30" i="51"/>
  <c r="BW19" i="51"/>
  <c r="BX19" i="51"/>
  <c r="BX30" i="51"/>
  <c r="BY30" i="51"/>
  <c r="BY19" i="51"/>
  <c r="BZ30" i="51"/>
  <c r="BZ19" i="51"/>
  <c r="CA30" i="51"/>
  <c r="CA19" i="51"/>
  <c r="CB30" i="51"/>
  <c r="CB19" i="51"/>
  <c r="CC30" i="51"/>
  <c r="CC19" i="51"/>
  <c r="CD19" i="51"/>
  <c r="CD30" i="51"/>
  <c r="CE19" i="51"/>
  <c r="CE30" i="51"/>
  <c r="CF30" i="51"/>
  <c r="CF19" i="51"/>
  <c r="CG30" i="51"/>
  <c r="CG19" i="51"/>
  <c r="CH30" i="51"/>
  <c r="CH19" i="51"/>
  <c r="CI30" i="51"/>
  <c r="CI19" i="51"/>
  <c r="CJ19" i="51"/>
  <c r="CJ30" i="51"/>
  <c r="CK19" i="51"/>
  <c r="CK30" i="51"/>
  <c r="CL30" i="51"/>
  <c r="CL19" i="51"/>
  <c r="CM30" i="51"/>
  <c r="CM19" i="51"/>
  <c r="CN30" i="51"/>
  <c r="CN19" i="51"/>
  <c r="CO30" i="51"/>
  <c r="CO19" i="51"/>
  <c r="CP19" i="51"/>
  <c r="CP30" i="51"/>
  <c r="CQ19" i="51"/>
  <c r="CQ30" i="51"/>
  <c r="CR30" i="51"/>
  <c r="CR19" i="51"/>
  <c r="CS30" i="51"/>
  <c r="CS19" i="51"/>
  <c r="CT30" i="51"/>
  <c r="CT19" i="51"/>
  <c r="CU30" i="51"/>
  <c r="CU19" i="51"/>
  <c r="CV19" i="51"/>
  <c r="CV30" i="51"/>
  <c r="CW30" i="51"/>
  <c r="CW19" i="51"/>
  <c r="CX30" i="51"/>
  <c r="CX19" i="51"/>
  <c r="CX6" i="51"/>
  <c r="FM15" i="3"/>
  <c r="CW6" i="51"/>
  <c r="CF6" i="51"/>
  <c r="CN6" i="51"/>
  <c r="CV6" i="51"/>
  <c r="CI6" i="51"/>
  <c r="CQ6" i="51"/>
  <c r="CH6" i="51"/>
  <c r="CL6" i="51"/>
  <c r="CP6" i="51"/>
  <c r="CT6" i="51"/>
  <c r="CM6" i="51"/>
  <c r="CE6" i="51"/>
  <c r="CU6" i="51"/>
  <c r="CJ6" i="51"/>
  <c r="CR6" i="51"/>
  <c r="CG6" i="51"/>
  <c r="CS6" i="51"/>
  <c r="CO6" i="51"/>
  <c r="CK6" i="51"/>
  <c r="G34" i="125" l="1"/>
  <c r="P28" i="125"/>
  <c r="U28" i="125"/>
  <c r="K25" i="125"/>
  <c r="E27" i="125"/>
  <c r="F27" i="125" s="1"/>
  <c r="H27" i="125"/>
  <c r="K50" i="125"/>
  <c r="E32" i="125"/>
  <c r="F32" i="125" s="1"/>
  <c r="C36" i="125"/>
  <c r="H32" i="125"/>
  <c r="K30" i="125"/>
  <c r="K54" i="125"/>
  <c r="U29" i="125"/>
  <c r="G35" i="125"/>
  <c r="P29" i="125"/>
  <c r="P24" i="125"/>
  <c r="U24" i="125"/>
  <c r="E24" i="125"/>
  <c r="F24" i="125" s="1"/>
  <c r="K68" i="125"/>
  <c r="C58" i="125"/>
  <c r="H24" i="125"/>
  <c r="K22" i="125"/>
  <c r="K69" i="125"/>
  <c r="E25" i="125"/>
  <c r="F25" i="125" s="1"/>
  <c r="K23" i="125"/>
  <c r="H25" i="125"/>
  <c r="K51" i="125"/>
  <c r="K26" i="125"/>
  <c r="E28" i="125"/>
  <c r="P25" i="125"/>
  <c r="U25" i="125"/>
  <c r="P23" i="125"/>
  <c r="U23" i="125"/>
  <c r="K44" i="125"/>
  <c r="N44" i="125" s="1"/>
  <c r="F46" i="125"/>
  <c r="U30" i="125"/>
  <c r="P30" i="125"/>
  <c r="P22" i="125"/>
  <c r="U22" i="125"/>
  <c r="G58" i="125"/>
  <c r="H22" i="125"/>
  <c r="K66" i="125"/>
  <c r="C56" i="125"/>
  <c r="E22" i="125"/>
  <c r="F22" i="125" s="1"/>
  <c r="K20" i="125"/>
  <c r="E30" i="125"/>
  <c r="F30" i="125" s="1"/>
  <c r="K52" i="125"/>
  <c r="H30" i="125"/>
  <c r="C34" i="125"/>
  <c r="K28" i="125"/>
  <c r="E23" i="125"/>
  <c r="F23" i="125" s="1"/>
  <c r="K21" i="125"/>
  <c r="K67" i="125"/>
  <c r="H23" i="125"/>
  <c r="P21" i="125"/>
  <c r="U21" i="125"/>
  <c r="G57" i="125"/>
  <c r="G56" i="125"/>
  <c r="P20" i="125"/>
  <c r="U20" i="125"/>
  <c r="K70" i="125"/>
  <c r="K49" i="125"/>
  <c r="H26" i="125"/>
  <c r="K24" i="125"/>
  <c r="E26" i="125"/>
  <c r="F26" i="125" s="1"/>
  <c r="K53" i="125"/>
  <c r="C35" i="125"/>
  <c r="K29" i="125"/>
  <c r="H31" i="125"/>
  <c r="E31" i="125"/>
  <c r="F31" i="125" s="1"/>
  <c r="P21" i="115"/>
  <c r="U21" i="115"/>
  <c r="P22" i="115"/>
  <c r="U22" i="115"/>
  <c r="U25" i="115"/>
  <c r="P25" i="115"/>
  <c r="U23" i="115"/>
  <c r="P23" i="115"/>
  <c r="U20" i="115"/>
  <c r="P20" i="115"/>
  <c r="G56" i="115"/>
  <c r="G57" i="115"/>
  <c r="G58" i="115"/>
  <c r="K44" i="115"/>
  <c r="N44" i="115" s="1"/>
  <c r="F46" i="115"/>
  <c r="CP22" i="2"/>
  <c r="CP23" i="2"/>
  <c r="S20" i="125" l="1"/>
  <c r="L20" i="125"/>
  <c r="O20" i="125"/>
  <c r="N20" i="125"/>
  <c r="T20" i="125"/>
  <c r="S54" i="125"/>
  <c r="O54" i="125"/>
  <c r="N54" i="125"/>
  <c r="T54" i="125"/>
  <c r="L29" i="125"/>
  <c r="O29" i="125"/>
  <c r="T29" i="125"/>
  <c r="N29" i="125"/>
  <c r="S29" i="125"/>
  <c r="S49" i="125"/>
  <c r="N49" i="125"/>
  <c r="T49" i="125"/>
  <c r="O49" i="125"/>
  <c r="L28" i="125"/>
  <c r="N28" i="125"/>
  <c r="T28" i="125"/>
  <c r="O28" i="125"/>
  <c r="S28" i="125"/>
  <c r="F28" i="125"/>
  <c r="O69" i="125"/>
  <c r="S69" i="125"/>
  <c r="T69" i="125"/>
  <c r="N69" i="125"/>
  <c r="O30" i="125"/>
  <c r="S30" i="125"/>
  <c r="L30" i="125"/>
  <c r="T30" i="125"/>
  <c r="N30" i="125"/>
  <c r="H35" i="125"/>
  <c r="F35" i="125"/>
  <c r="K33" i="125"/>
  <c r="T70" i="125"/>
  <c r="O70" i="125"/>
  <c r="N70" i="125"/>
  <c r="S70" i="125"/>
  <c r="K32" i="125"/>
  <c r="F34" i="125"/>
  <c r="H34" i="125"/>
  <c r="E56" i="125"/>
  <c r="F56" i="125" s="1"/>
  <c r="K80" i="125"/>
  <c r="H56" i="125"/>
  <c r="O26" i="125"/>
  <c r="T26" i="125"/>
  <c r="N26" i="125"/>
  <c r="S26" i="125"/>
  <c r="K43" i="125"/>
  <c r="S22" i="125"/>
  <c r="L22" i="125"/>
  <c r="T22" i="125"/>
  <c r="N22" i="125"/>
  <c r="O22" i="125"/>
  <c r="O25" i="125"/>
  <c r="L25" i="125"/>
  <c r="S25" i="125"/>
  <c r="T25" i="125"/>
  <c r="N25" i="125"/>
  <c r="N66" i="125"/>
  <c r="T66" i="125"/>
  <c r="S66" i="125"/>
  <c r="O66" i="125"/>
  <c r="O51" i="125"/>
  <c r="N51" i="125"/>
  <c r="S51" i="125"/>
  <c r="T51" i="125"/>
  <c r="K34" i="125"/>
  <c r="F36" i="125"/>
  <c r="O67" i="125"/>
  <c r="T67" i="125"/>
  <c r="S67" i="125"/>
  <c r="N67" i="125"/>
  <c r="S52" i="125"/>
  <c r="T52" i="125"/>
  <c r="O52" i="125"/>
  <c r="N52" i="125"/>
  <c r="K82" i="125"/>
  <c r="E58" i="125"/>
  <c r="F58" i="125" s="1"/>
  <c r="H58" i="125"/>
  <c r="P33" i="125"/>
  <c r="U33" i="125"/>
  <c r="O53" i="125"/>
  <c r="S53" i="125"/>
  <c r="N53" i="125"/>
  <c r="T53" i="125"/>
  <c r="N24" i="125"/>
  <c r="S24" i="125"/>
  <c r="L24" i="125"/>
  <c r="O24" i="125"/>
  <c r="T24" i="125"/>
  <c r="T21" i="125"/>
  <c r="L21" i="125"/>
  <c r="S21" i="125"/>
  <c r="O21" i="125"/>
  <c r="N21" i="125"/>
  <c r="S23" i="125"/>
  <c r="T23" i="125"/>
  <c r="N23" i="125"/>
  <c r="O23" i="125"/>
  <c r="L23" i="125"/>
  <c r="S68" i="125"/>
  <c r="O68" i="125"/>
  <c r="N68" i="125"/>
  <c r="T68" i="125"/>
  <c r="N50" i="125"/>
  <c r="S50" i="125"/>
  <c r="O50" i="125"/>
  <c r="T50" i="125"/>
  <c r="P32" i="125"/>
  <c r="U32" i="125"/>
  <c r="DJ51" i="119"/>
  <c r="CQ23" i="2"/>
  <c r="CR23" i="2" s="1"/>
  <c r="CP24" i="2"/>
  <c r="DJ54" i="119" s="1"/>
  <c r="FL15" i="3"/>
  <c r="CQ22" i="2"/>
  <c r="S34" i="125" l="1"/>
  <c r="N34" i="125"/>
  <c r="N32" i="125"/>
  <c r="L32" i="125"/>
  <c r="S32" i="125"/>
  <c r="N80" i="125"/>
  <c r="T80" i="125"/>
  <c r="O80" i="125"/>
  <c r="S80" i="125"/>
  <c r="S82" i="125"/>
  <c r="O82" i="125"/>
  <c r="N82" i="125"/>
  <c r="T82" i="125"/>
  <c r="O43" i="125"/>
  <c r="N43" i="125"/>
  <c r="T43" i="125"/>
  <c r="S43" i="125"/>
  <c r="N33" i="125"/>
  <c r="S33" i="125"/>
  <c r="L33" i="125"/>
  <c r="CR22" i="2"/>
  <c r="CR24" i="2" s="1"/>
  <c r="DL54" i="119" s="1"/>
  <c r="DK51" i="119"/>
  <c r="CS23" i="2"/>
  <c r="CQ24" i="2"/>
  <c r="DK54" i="119" s="1"/>
  <c r="CS22" i="2" l="1"/>
  <c r="DL51" i="119"/>
  <c r="CT23" i="2"/>
  <c r="CR25" i="2"/>
  <c r="CR27" i="2" s="1"/>
  <c r="DL55" i="119" s="1"/>
  <c r="CT22" i="2" l="1"/>
  <c r="CT24" i="2" s="1"/>
  <c r="DN54" i="119" s="1"/>
  <c r="DM51" i="119"/>
  <c r="CS24" i="2"/>
  <c r="CU23" i="2"/>
  <c r="CN21" i="1"/>
  <c r="DH24" i="119" s="1"/>
  <c r="DH26" i="119" s="1"/>
  <c r="DM54" i="119" l="1"/>
  <c r="CS25" i="2"/>
  <c r="CU22" i="2"/>
  <c r="DN51" i="119"/>
  <c r="CT25" i="2"/>
  <c r="CT27" i="2" s="1"/>
  <c r="DN55" i="119" s="1"/>
  <c r="CV23" i="2"/>
  <c r="CN18" i="1"/>
  <c r="CV22" i="2" l="1"/>
  <c r="CV24" i="2" s="1"/>
  <c r="DP54" i="119" s="1"/>
  <c r="DO51" i="119"/>
  <c r="CU24" i="2"/>
  <c r="DO54" i="119" s="1"/>
  <c r="CW23" i="2"/>
  <c r="CU25" i="2" l="1"/>
  <c r="CU27" i="2" s="1"/>
  <c r="DO55" i="119" s="1"/>
  <c r="CW22" i="2"/>
  <c r="CW24" i="2" s="1"/>
  <c r="DQ54" i="119" s="1"/>
  <c r="DP51" i="119"/>
  <c r="CV25" i="2"/>
  <c r="CV27" i="2" s="1"/>
  <c r="DP55" i="119" s="1"/>
  <c r="CX23" i="2"/>
  <c r="CW93" i="2"/>
  <c r="FL93" i="2" s="1"/>
  <c r="CW25" i="2" l="1"/>
  <c r="CW27" i="2" s="1"/>
  <c r="CW67" i="2" s="1"/>
  <c r="CX22" i="2"/>
  <c r="CX24" i="2" s="1"/>
  <c r="DR54" i="119" s="1"/>
  <c r="DQ51" i="119"/>
  <c r="CY23" i="2"/>
  <c r="CX93" i="2"/>
  <c r="CY22" i="2" l="1"/>
  <c r="CY24" i="2" s="1"/>
  <c r="DS54" i="119" s="1"/>
  <c r="DR51" i="119"/>
  <c r="CW53" i="2"/>
  <c r="DQ55" i="119"/>
  <c r="CX25" i="2"/>
  <c r="CX27" i="2" s="1"/>
  <c r="DR55" i="119" s="1"/>
  <c r="CY93" i="2"/>
  <c r="CZ23" i="2"/>
  <c r="CY25" i="2" l="1"/>
  <c r="CY27" i="2" s="1"/>
  <c r="CY53" i="2" s="1"/>
  <c r="CX53" i="2"/>
  <c r="DS51" i="119"/>
  <c r="CZ22" i="2"/>
  <c r="DA23" i="2"/>
  <c r="CZ93" i="2"/>
  <c r="CY67" i="2" l="1"/>
  <c r="DS55" i="119"/>
  <c r="DA22" i="2"/>
  <c r="DA24" i="2" s="1"/>
  <c r="DU54" i="119" s="1"/>
  <c r="DT51" i="119"/>
  <c r="CZ24" i="2"/>
  <c r="DT54" i="119" s="1"/>
  <c r="DB23" i="2"/>
  <c r="DA93" i="2"/>
  <c r="FM93" i="2" s="1"/>
  <c r="FM23" i="2"/>
  <c r="DU51" i="119" l="1"/>
  <c r="FM22" i="2"/>
  <c r="AA51" i="119" s="1"/>
  <c r="DB22" i="2"/>
  <c r="DA25" i="2"/>
  <c r="DA27" i="2" s="1"/>
  <c r="DC23" i="2"/>
  <c r="DB93" i="2"/>
  <c r="DA53" i="2" l="1"/>
  <c r="DU55" i="119"/>
  <c r="DV51" i="119"/>
  <c r="DC22" i="2"/>
  <c r="DB24" i="2"/>
  <c r="DV54" i="119" s="1"/>
  <c r="DD23" i="2"/>
  <c r="DC93" i="2"/>
  <c r="DB25" i="2" l="1"/>
  <c r="DB27" i="2" s="1"/>
  <c r="DW51" i="119"/>
  <c r="DD22" i="2"/>
  <c r="DC24" i="2"/>
  <c r="DW54" i="119" s="1"/>
  <c r="DD93" i="2"/>
  <c r="DE23" i="2"/>
  <c r="DC25" i="2" l="1"/>
  <c r="DC27" i="2" s="1"/>
  <c r="DW55" i="119" s="1"/>
  <c r="DX51" i="119"/>
  <c r="DE22" i="2"/>
  <c r="DE24" i="2" s="1"/>
  <c r="DY54" i="119" s="1"/>
  <c r="DD24" i="2"/>
  <c r="DX54" i="119" s="1"/>
  <c r="DB53" i="2"/>
  <c r="DV55" i="119"/>
  <c r="DE93" i="2"/>
  <c r="FN93" i="2" s="1"/>
  <c r="FN23" i="2"/>
  <c r="DC67" i="2" l="1"/>
  <c r="DC53" i="2"/>
  <c r="DD25" i="2"/>
  <c r="DD27" i="2" s="1"/>
  <c r="DX55" i="119" s="1"/>
  <c r="DY51" i="119"/>
  <c r="FN22" i="2"/>
  <c r="AB51" i="119" s="1"/>
  <c r="DG23" i="2"/>
  <c r="DF93" i="2"/>
  <c r="DD53" i="2" l="1"/>
  <c r="DD67" i="2"/>
  <c r="DG22" i="2"/>
  <c r="DG24" i="2" s="1"/>
  <c r="DZ51" i="119"/>
  <c r="DG93" i="2"/>
  <c r="DH23" i="2"/>
  <c r="DH22" i="2" l="1"/>
  <c r="DH24" i="2" s="1"/>
  <c r="EA51" i="119"/>
  <c r="DH93" i="2"/>
  <c r="DI23" i="2"/>
  <c r="DJ23" i="2" s="1"/>
  <c r="DK23" i="2" s="1"/>
  <c r="DL23" i="2" s="1"/>
  <c r="BT36" i="6"/>
  <c r="BT91" i="6"/>
  <c r="BT90" i="6"/>
  <c r="BT89" i="6"/>
  <c r="BT88" i="6"/>
  <c r="BT87" i="6"/>
  <c r="BS36" i="6"/>
  <c r="BS91" i="6"/>
  <c r="BS90" i="6"/>
  <c r="BS89" i="6"/>
  <c r="BS88" i="6"/>
  <c r="BS87" i="6"/>
  <c r="BR36" i="6"/>
  <c r="BR91" i="6"/>
  <c r="BR90" i="6"/>
  <c r="BR89" i="6"/>
  <c r="BR88" i="6"/>
  <c r="BR87" i="6"/>
  <c r="CN106" i="2"/>
  <c r="DL93" i="2" l="1"/>
  <c r="DM23" i="2"/>
  <c r="DN23" i="2" s="1"/>
  <c r="DI22" i="2"/>
  <c r="EB51" i="119"/>
  <c r="DI93" i="2"/>
  <c r="FO93" i="2" s="1"/>
  <c r="FO23" i="2"/>
  <c r="BS75" i="6"/>
  <c r="BW57" i="6"/>
  <c r="BV57" i="6"/>
  <c r="BT75" i="6"/>
  <c r="BX57" i="6"/>
  <c r="BU75" i="6"/>
  <c r="CO108" i="2"/>
  <c r="CR107" i="2"/>
  <c r="FC36" i="6"/>
  <c r="EJ36" i="6"/>
  <c r="BT35" i="6"/>
  <c r="BT52" i="6"/>
  <c r="BT54" i="6"/>
  <c r="BT68" i="6"/>
  <c r="BT69" i="6"/>
  <c r="BT70" i="6"/>
  <c r="BT71" i="6"/>
  <c r="BT72" i="6"/>
  <c r="BT50" i="6"/>
  <c r="BT51" i="6"/>
  <c r="BT53" i="6"/>
  <c r="BS35" i="6"/>
  <c r="BS54" i="6"/>
  <c r="BS68" i="6"/>
  <c r="BS69" i="6"/>
  <c r="BS70" i="6"/>
  <c r="BS71" i="6"/>
  <c r="BS72" i="6"/>
  <c r="BS50" i="6"/>
  <c r="BS51" i="6"/>
  <c r="BS52" i="6"/>
  <c r="BS53" i="6"/>
  <c r="BR35" i="6"/>
  <c r="BR50" i="6"/>
  <c r="BR51" i="6"/>
  <c r="BR52" i="6"/>
  <c r="BR53" i="6"/>
  <c r="BR54" i="6"/>
  <c r="DN93" i="2" l="1"/>
  <c r="DO23" i="2"/>
  <c r="DP23" i="2" s="1"/>
  <c r="DI24" i="2"/>
  <c r="DJ22" i="2"/>
  <c r="DK22" i="2" s="1"/>
  <c r="DL22" i="2" s="1"/>
  <c r="DM22" i="2" s="1"/>
  <c r="DN22" i="2" s="1"/>
  <c r="DO22" i="2" s="1"/>
  <c r="DP22" i="2" s="1"/>
  <c r="EC51" i="119"/>
  <c r="FO22" i="2"/>
  <c r="AC51" i="119" s="1"/>
  <c r="DJ93" i="2"/>
  <c r="EK57" i="6"/>
  <c r="FD57" i="6"/>
  <c r="BT74" i="6"/>
  <c r="BU74" i="6"/>
  <c r="BS74" i="6"/>
  <c r="CN82" i="2"/>
  <c r="CO78" i="2" s="1"/>
  <c r="DP24" i="2" l="1"/>
  <c r="DP25" i="2" s="1"/>
  <c r="DP27" i="2" s="1"/>
  <c r="DO24" i="2"/>
  <c r="DO25" i="2" s="1"/>
  <c r="DO27" i="2" s="1"/>
  <c r="DP67" i="2" s="1"/>
  <c r="DN24" i="2"/>
  <c r="DN25" i="2" s="1"/>
  <c r="DN27" i="2" s="1"/>
  <c r="DM24" i="2"/>
  <c r="DM25" i="2" s="1"/>
  <c r="DL24" i="2"/>
  <c r="DL25" i="2" s="1"/>
  <c r="DL27" i="2" s="1"/>
  <c r="DK24" i="2"/>
  <c r="DK25" i="2" s="1"/>
  <c r="DK27" i="2" s="1"/>
  <c r="DJ24" i="2"/>
  <c r="DJ25" i="2" s="1"/>
  <c r="DJ27" i="2" s="1"/>
  <c r="ED51" i="119"/>
  <c r="DK93" i="2"/>
  <c r="CN43" i="2"/>
  <c r="CN24" i="2"/>
  <c r="DH54" i="119" s="1"/>
  <c r="CN49" i="2"/>
  <c r="CN64" i="2"/>
  <c r="CN65" i="2"/>
  <c r="CN18" i="2"/>
  <c r="DH45" i="119" s="1"/>
  <c r="CN8" i="2"/>
  <c r="BT7" i="6"/>
  <c r="BT44" i="6"/>
  <c r="BT62" i="6"/>
  <c r="BT45" i="6"/>
  <c r="BT63" i="6"/>
  <c r="BT46" i="6"/>
  <c r="BT64" i="6"/>
  <c r="BT47" i="6"/>
  <c r="BT65" i="6"/>
  <c r="BT48" i="6"/>
  <c r="BT66" i="6"/>
  <c r="BT16" i="6"/>
  <c r="BT85" i="6" s="1"/>
  <c r="DH176" i="119" s="1"/>
  <c r="CN14" i="1"/>
  <c r="DH18" i="119" s="1"/>
  <c r="DO67" i="2" l="1"/>
  <c r="DL67" i="2"/>
  <c r="DK67" i="2"/>
  <c r="DH67" i="119"/>
  <c r="DH298" i="119" s="1"/>
  <c r="DH256" i="119" s="1"/>
  <c r="DH69" i="119"/>
  <c r="DH271" i="119" s="1"/>
  <c r="EE51" i="119"/>
  <c r="BT94" i="6"/>
  <c r="BT93" i="6"/>
  <c r="BT83" i="6"/>
  <c r="DH164" i="119" s="1"/>
  <c r="BT82" i="6"/>
  <c r="BT81" i="6"/>
  <c r="BT80" i="6"/>
  <c r="BT84" i="6"/>
  <c r="CR101" i="1"/>
  <c r="CR44" i="1"/>
  <c r="BU67" i="6"/>
  <c r="BX49" i="6"/>
  <c r="CN25" i="2"/>
  <c r="CN27" i="2" s="1"/>
  <c r="DH55" i="119" s="1"/>
  <c r="CN44" i="2"/>
  <c r="DH65" i="119" s="1"/>
  <c r="CM21" i="1"/>
  <c r="DH166" i="119" l="1"/>
  <c r="DH170" i="119"/>
  <c r="DH165" i="119"/>
  <c r="DH174" i="119"/>
  <c r="DH151" i="119"/>
  <c r="DH148" i="119"/>
  <c r="DH145" i="119"/>
  <c r="DH142" i="119"/>
  <c r="DH139" i="119"/>
  <c r="DH150" i="119"/>
  <c r="DH147" i="119"/>
  <c r="DH144" i="119"/>
  <c r="DH141" i="119"/>
  <c r="DH138" i="119"/>
  <c r="DH149" i="119"/>
  <c r="DH140" i="119"/>
  <c r="DH153" i="119"/>
  <c r="DH143" i="119"/>
  <c r="DH154" i="119"/>
  <c r="DH146" i="119"/>
  <c r="DH169" i="119"/>
  <c r="DH163" i="119"/>
  <c r="CM18" i="1"/>
  <c r="DG24" i="119"/>
  <c r="DG26" i="119" s="1"/>
  <c r="DH129" i="119"/>
  <c r="DH135" i="119"/>
  <c r="EF51" i="119"/>
  <c r="FP23" i="2"/>
  <c r="DM93" i="2"/>
  <c r="FP93" i="2" s="1"/>
  <c r="CN51" i="2"/>
  <c r="DH70" i="119" s="1"/>
  <c r="DH128" i="119" l="1"/>
  <c r="DH167" i="119"/>
  <c r="DH173" i="119"/>
  <c r="DH152" i="119"/>
  <c r="EG51" i="119"/>
  <c r="FP22" i="2"/>
  <c r="AD51" i="119" s="1"/>
  <c r="CN53" i="2"/>
  <c r="EH51" i="119" l="1"/>
  <c r="DO93" i="2"/>
  <c r="EI51" i="119" l="1"/>
  <c r="DP93" i="2"/>
  <c r="DQ23" i="2"/>
  <c r="DQ22" i="2" l="1"/>
  <c r="EJ51" i="119"/>
  <c r="FQ23" i="2"/>
  <c r="DR23" i="2"/>
  <c r="DQ93" i="2"/>
  <c r="FQ93" i="2" s="1"/>
  <c r="EK51" i="119" l="1"/>
  <c r="DR22" i="2"/>
  <c r="FQ22" i="2"/>
  <c r="AE51" i="119" s="1"/>
  <c r="DS23" i="2"/>
  <c r="DR93" i="2"/>
  <c r="DS22" i="2" l="1"/>
  <c r="EL51" i="119"/>
  <c r="DS93" i="2"/>
  <c r="DT23" i="2"/>
  <c r="DT22" i="2" l="1"/>
  <c r="EM51" i="119"/>
  <c r="DU23" i="2"/>
  <c r="DT93" i="2"/>
  <c r="DU22" i="2" l="1"/>
  <c r="EN51" i="119"/>
  <c r="DV23" i="2"/>
  <c r="DU93" i="2"/>
  <c r="FR93" i="2" s="1"/>
  <c r="FR23" i="2"/>
  <c r="FM42" i="3"/>
  <c r="EO51" i="119" l="1"/>
  <c r="DV22" i="2"/>
  <c r="FR22" i="2"/>
  <c r="AF51" i="119" s="1"/>
  <c r="AA103" i="119"/>
  <c r="DW23" i="2"/>
  <c r="DV93" i="2"/>
  <c r="DW22" i="2" l="1"/>
  <c r="EP51" i="119"/>
  <c r="DW93" i="2"/>
  <c r="DX23" i="2"/>
  <c r="DX22" i="2" l="1"/>
  <c r="EQ51" i="119"/>
  <c r="DX93" i="2"/>
  <c r="DY23" i="2"/>
  <c r="DY22" i="2" l="1"/>
  <c r="ER51" i="119"/>
  <c r="FS23" i="2"/>
  <c r="DZ23" i="2"/>
  <c r="DY93" i="2"/>
  <c r="FS93" i="2" s="1"/>
  <c r="ES51" i="119" l="1"/>
  <c r="FS22" i="2"/>
  <c r="AG51" i="119" s="1"/>
  <c r="DZ22" i="2"/>
  <c r="EA23" i="2"/>
  <c r="DZ93" i="2"/>
  <c r="EA22" i="2" l="1"/>
  <c r="ET51" i="119"/>
  <c r="EB23" i="2"/>
  <c r="EA93" i="2"/>
  <c r="CM106" i="2"/>
  <c r="CL106" i="2"/>
  <c r="CP107" i="2" s="1"/>
  <c r="CK106" i="2"/>
  <c r="CJ106" i="2"/>
  <c r="CN107" i="2" s="1"/>
  <c r="EB22" i="2" l="1"/>
  <c r="EU51" i="119"/>
  <c r="EC23" i="2"/>
  <c r="EB93" i="2"/>
  <c r="CO107" i="2"/>
  <c r="CN108" i="2"/>
  <c r="CQ107" i="2"/>
  <c r="CL108" i="2"/>
  <c r="CK108" i="2"/>
  <c r="CM108" i="2"/>
  <c r="EC22" i="2" l="1"/>
  <c r="EV51" i="119"/>
  <c r="FT23" i="2"/>
  <c r="EC93" i="2"/>
  <c r="FT93" i="2" s="1"/>
  <c r="ED23" i="2"/>
  <c r="EW51" i="119" l="1"/>
  <c r="ED22" i="2"/>
  <c r="FT22" i="2"/>
  <c r="AH51" i="119" s="1"/>
  <c r="EE23" i="2"/>
  <c r="ED93" i="2"/>
  <c r="CM43" i="2"/>
  <c r="CM93" i="2"/>
  <c r="CM89" i="2"/>
  <c r="CM82" i="2"/>
  <c r="CN78" i="2" s="1"/>
  <c r="CM44" i="3"/>
  <c r="CM33" i="3"/>
  <c r="CM15" i="3"/>
  <c r="EE22" i="2" l="1"/>
  <c r="EX51" i="119"/>
  <c r="EE93" i="2"/>
  <c r="EF23" i="2"/>
  <c r="CN15" i="3"/>
  <c r="CO15" i="3" s="1"/>
  <c r="CN44" i="3"/>
  <c r="CO44" i="3" s="1"/>
  <c r="CN23" i="3"/>
  <c r="CN33" i="3"/>
  <c r="CM45" i="3"/>
  <c r="CM43" i="3"/>
  <c r="CM42" i="3"/>
  <c r="CM41" i="3"/>
  <c r="CM40" i="3"/>
  <c r="CM38" i="3"/>
  <c r="CM32" i="3"/>
  <c r="DG97" i="119" s="1"/>
  <c r="CM31" i="3"/>
  <c r="DG98" i="119" s="1"/>
  <c r="CM30" i="3"/>
  <c r="CM29" i="3"/>
  <c r="CM28" i="3"/>
  <c r="CM20" i="3"/>
  <c r="CM19" i="3"/>
  <c r="CM18" i="3"/>
  <c r="CM17" i="3"/>
  <c r="CM14" i="3"/>
  <c r="CM13" i="3"/>
  <c r="CM12" i="3"/>
  <c r="DG93" i="119" s="1"/>
  <c r="CM11" i="3"/>
  <c r="DG305" i="119" s="1"/>
  <c r="CM56" i="2"/>
  <c r="CM114" i="2" s="1"/>
  <c r="CM115" i="2" s="1"/>
  <c r="CM57" i="2"/>
  <c r="CM24" i="2"/>
  <c r="DG54" i="119" s="1"/>
  <c r="CM49" i="2"/>
  <c r="CM64" i="2"/>
  <c r="CM65" i="2"/>
  <c r="CM18" i="2"/>
  <c r="DG45" i="119" s="1"/>
  <c r="BS16" i="6"/>
  <c r="BS85" i="6" s="1"/>
  <c r="DG176" i="119" s="1"/>
  <c r="BS66" i="6"/>
  <c r="BS48" i="6"/>
  <c r="BS65" i="6"/>
  <c r="BS47" i="6"/>
  <c r="BS64" i="6"/>
  <c r="BS46" i="6"/>
  <c r="BS63" i="6"/>
  <c r="BS45" i="6"/>
  <c r="BS62" i="6"/>
  <c r="BS44" i="6"/>
  <c r="EF22" i="2" l="1"/>
  <c r="EY51" i="119"/>
  <c r="DG95" i="119"/>
  <c r="DG104" i="119"/>
  <c r="DG284" i="119"/>
  <c r="DG102" i="119"/>
  <c r="DG103" i="119"/>
  <c r="CO33" i="3"/>
  <c r="DG67" i="119"/>
  <c r="DG298" i="119" s="1"/>
  <c r="DG256" i="119" s="1"/>
  <c r="DG69" i="119"/>
  <c r="DG271" i="119" s="1"/>
  <c r="EF93" i="2"/>
  <c r="EG23" i="2"/>
  <c r="BS94" i="6"/>
  <c r="BS93" i="6"/>
  <c r="BS80" i="6"/>
  <c r="BS82" i="6"/>
  <c r="BS83" i="6"/>
  <c r="DG164" i="119" s="1"/>
  <c r="BS81" i="6"/>
  <c r="BS84" i="6"/>
  <c r="BW49" i="6"/>
  <c r="FC16" i="6"/>
  <c r="FX44" i="3"/>
  <c r="CO23" i="3"/>
  <c r="FX23" i="3" s="1"/>
  <c r="FX15" i="3"/>
  <c r="CM48" i="3"/>
  <c r="CN11" i="3"/>
  <c r="CN17" i="3"/>
  <c r="CN30" i="3"/>
  <c r="CN40" i="3"/>
  <c r="CN45" i="3"/>
  <c r="CO45" i="3" s="1"/>
  <c r="CN18" i="3"/>
  <c r="CO18" i="3" s="1"/>
  <c r="CN31" i="3"/>
  <c r="CO31" i="3" s="1"/>
  <c r="CN19" i="3"/>
  <c r="CO19" i="3" s="1"/>
  <c r="CN14" i="3"/>
  <c r="CO14" i="3" s="1"/>
  <c r="CN20" i="3"/>
  <c r="CO20" i="3" s="1"/>
  <c r="CN29" i="3"/>
  <c r="CN22" i="3"/>
  <c r="CN21" i="3"/>
  <c r="CM58" i="2"/>
  <c r="BT67" i="6"/>
  <c r="CM25" i="2"/>
  <c r="CM27" i="2" s="1"/>
  <c r="DG55" i="119" s="1"/>
  <c r="CN38" i="3"/>
  <c r="CN43" i="3"/>
  <c r="CN13" i="3"/>
  <c r="CN28" i="3"/>
  <c r="CM61" i="2"/>
  <c r="CM44" i="2"/>
  <c r="DG65" i="119" s="1"/>
  <c r="CN42" i="3"/>
  <c r="CN12" i="3"/>
  <c r="CM79" i="2"/>
  <c r="CN32" i="3"/>
  <c r="DH97" i="119" s="1"/>
  <c r="CM80" i="2"/>
  <c r="CN41" i="3"/>
  <c r="CM24" i="3"/>
  <c r="DG94" i="119" s="1"/>
  <c r="EG22" i="2" l="1"/>
  <c r="EZ51" i="119"/>
  <c r="DI98" i="119"/>
  <c r="CO40" i="3"/>
  <c r="CO38" i="3"/>
  <c r="FX38" i="3" s="1"/>
  <c r="DH103" i="119"/>
  <c r="CO41" i="3"/>
  <c r="DH284" i="119"/>
  <c r="DH102" i="119"/>
  <c r="DG154" i="119"/>
  <c r="DG153" i="119"/>
  <c r="DG149" i="119"/>
  <c r="DG146" i="119"/>
  <c r="DG143" i="119"/>
  <c r="DG140" i="119"/>
  <c r="DG151" i="119"/>
  <c r="DG148" i="119"/>
  <c r="DG145" i="119"/>
  <c r="DG142" i="119"/>
  <c r="DG139" i="119"/>
  <c r="DG147" i="119"/>
  <c r="DG138" i="119"/>
  <c r="DG144" i="119"/>
  <c r="DG150" i="119"/>
  <c r="DG141" i="119"/>
  <c r="DG169" i="119"/>
  <c r="DG163" i="119"/>
  <c r="DG135" i="119"/>
  <c r="DG129" i="119"/>
  <c r="DG165" i="119"/>
  <c r="DG174" i="119"/>
  <c r="DG166" i="119"/>
  <c r="DG170" i="119"/>
  <c r="FX33" i="3"/>
  <c r="DH95" i="119"/>
  <c r="CO11" i="3"/>
  <c r="DI305" i="119" s="1"/>
  <c r="DH305" i="119"/>
  <c r="CO12" i="3"/>
  <c r="FX12" i="3" s="1"/>
  <c r="DH93" i="119"/>
  <c r="DH104" i="119"/>
  <c r="DH98" i="119"/>
  <c r="CM59" i="2"/>
  <c r="DG76" i="119"/>
  <c r="DG264" i="119" s="1"/>
  <c r="FU23" i="2"/>
  <c r="EG93" i="2"/>
  <c r="FU93" i="2" s="1"/>
  <c r="EH23" i="2"/>
  <c r="FC81" i="6"/>
  <c r="FC86" i="6"/>
  <c r="FC93" i="6"/>
  <c r="FC94" i="6"/>
  <c r="FC80" i="6"/>
  <c r="FC84" i="6"/>
  <c r="FC83" i="6"/>
  <c r="FC82" i="6"/>
  <c r="FD49" i="6"/>
  <c r="FX18" i="3"/>
  <c r="FX31" i="3"/>
  <c r="FX20" i="3"/>
  <c r="FX19" i="3"/>
  <c r="CO21" i="3"/>
  <c r="FX21" i="3" s="1"/>
  <c r="FX14" i="3"/>
  <c r="FX45" i="3"/>
  <c r="CO22" i="3"/>
  <c r="FX22" i="3" s="1"/>
  <c r="CO28" i="3"/>
  <c r="CO29" i="3"/>
  <c r="FX29" i="3" s="1"/>
  <c r="CO30" i="3"/>
  <c r="FX30" i="3" s="1"/>
  <c r="CN24" i="3"/>
  <c r="DH94" i="119" s="1"/>
  <c r="CO17" i="3"/>
  <c r="CO43" i="3"/>
  <c r="DI104" i="119" s="1"/>
  <c r="CO42" i="3"/>
  <c r="CO32" i="3"/>
  <c r="DI97" i="119" s="1"/>
  <c r="CO13" i="3"/>
  <c r="CN48" i="3"/>
  <c r="CM25" i="3"/>
  <c r="DG96" i="119" s="1"/>
  <c r="CM51" i="2"/>
  <c r="DG70" i="119" s="1"/>
  <c r="CN80" i="2"/>
  <c r="CN79" i="2"/>
  <c r="CN16" i="1"/>
  <c r="DH21" i="119" s="1"/>
  <c r="DH19" i="119" s="1"/>
  <c r="FA51" i="119" l="1"/>
  <c r="EH22" i="2"/>
  <c r="FU22" i="2"/>
  <c r="AI51" i="119" s="1"/>
  <c r="FX41" i="3"/>
  <c r="FX40" i="3"/>
  <c r="DG128" i="119"/>
  <c r="FX11" i="3"/>
  <c r="FX28" i="3"/>
  <c r="DG167" i="119"/>
  <c r="DG152" i="119"/>
  <c r="DI103" i="119"/>
  <c r="CO79" i="2"/>
  <c r="CO84" i="2" s="1"/>
  <c r="DI93" i="119"/>
  <c r="DI284" i="119"/>
  <c r="DI102" i="119"/>
  <c r="FX13" i="3"/>
  <c r="DI95" i="119"/>
  <c r="DG173" i="119"/>
  <c r="EH93" i="2"/>
  <c r="EI23" i="2"/>
  <c r="CO80" i="2"/>
  <c r="CO24" i="3"/>
  <c r="DI94" i="119" s="1"/>
  <c r="FX42" i="3"/>
  <c r="FX32" i="3"/>
  <c r="FX17" i="3"/>
  <c r="FX43" i="3"/>
  <c r="GA29" i="3"/>
  <c r="CN25" i="3"/>
  <c r="DH96" i="119" s="1"/>
  <c r="CO48" i="3"/>
  <c r="FX48" i="3" s="1"/>
  <c r="CM53" i="2"/>
  <c r="CM54" i="3"/>
  <c r="CN84" i="2"/>
  <c r="CN81" i="2"/>
  <c r="EI22" i="2" l="1"/>
  <c r="FB51" i="119"/>
  <c r="CO81" i="2"/>
  <c r="EJ23" i="2"/>
  <c r="EI93" i="2"/>
  <c r="FX24" i="3"/>
  <c r="CO25" i="3"/>
  <c r="CM55" i="3"/>
  <c r="FM29" i="3"/>
  <c r="CN54" i="3"/>
  <c r="FM28" i="3"/>
  <c r="EJ22" i="2" l="1"/>
  <c r="FC51" i="119"/>
  <c r="CO54" i="3"/>
  <c r="DI96" i="119"/>
  <c r="EK23" i="2"/>
  <c r="EJ93" i="2"/>
  <c r="FX25" i="3"/>
  <c r="FX54" i="3" s="1"/>
  <c r="CN55" i="3"/>
  <c r="GB29" i="3"/>
  <c r="FM30" i="3"/>
  <c r="CM14" i="1"/>
  <c r="BS7" i="6"/>
  <c r="BS8" i="6"/>
  <c r="EK22" i="2" l="1"/>
  <c r="FD51" i="119"/>
  <c r="DG18" i="119"/>
  <c r="CO55" i="3"/>
  <c r="FV23" i="2"/>
  <c r="EK93" i="2"/>
  <c r="FV93" i="2" s="1"/>
  <c r="CN122" i="1"/>
  <c r="FP124" i="1" s="1"/>
  <c r="CQ101" i="1"/>
  <c r="CN80" i="1"/>
  <c r="CQ44" i="1"/>
  <c r="FO29" i="3"/>
  <c r="FN28" i="3"/>
  <c r="FN30" i="3"/>
  <c r="FN29" i="3"/>
  <c r="FV22" i="2" l="1"/>
  <c r="AJ51" i="119" s="1"/>
  <c r="FE51" i="119"/>
  <c r="DZ53" i="119"/>
  <c r="DZ81" i="119"/>
  <c r="FR29" i="3"/>
  <c r="FQ29" i="3"/>
  <c r="FP29" i="3"/>
  <c r="CL20" i="1"/>
  <c r="CO20" i="1" s="1"/>
  <c r="CL19" i="1"/>
  <c r="CL116" i="2" s="1"/>
  <c r="CJ20" i="1"/>
  <c r="CJ19" i="1"/>
  <c r="CJ116" i="2" s="1"/>
  <c r="CI20" i="1"/>
  <c r="CI19" i="1"/>
  <c r="CI116" i="2" s="1"/>
  <c r="CH20" i="1"/>
  <c r="CH19" i="1"/>
  <c r="CH116" i="2" s="1"/>
  <c r="CE20" i="1"/>
  <c r="CF20" i="1"/>
  <c r="CF19" i="1"/>
  <c r="CF116" i="2" s="1"/>
  <c r="CE19" i="1"/>
  <c r="CE116" i="2" s="1"/>
  <c r="CD20" i="1"/>
  <c r="CD19" i="1"/>
  <c r="CD116" i="2" s="1"/>
  <c r="FI43" i="2"/>
  <c r="FH43" i="2"/>
  <c r="FG43" i="2"/>
  <c r="FF43" i="2"/>
  <c r="FI42" i="2"/>
  <c r="FH42" i="2"/>
  <c r="FG42" i="2"/>
  <c r="FF42" i="2"/>
  <c r="FI41" i="2"/>
  <c r="FH41" i="2"/>
  <c r="FG41" i="2"/>
  <c r="FF41" i="2"/>
  <c r="FJ43" i="2"/>
  <c r="CP42" i="2"/>
  <c r="CL21" i="1"/>
  <c r="BR16" i="6"/>
  <c r="BR85" i="6" s="1"/>
  <c r="DF176" i="119" s="1"/>
  <c r="BR66" i="6"/>
  <c r="BR48" i="6"/>
  <c r="BR65" i="6"/>
  <c r="BR47" i="6"/>
  <c r="BR64" i="6"/>
  <c r="BR46" i="6"/>
  <c r="BR63" i="6"/>
  <c r="BR45" i="6"/>
  <c r="BR62" i="6"/>
  <c r="BR44" i="6"/>
  <c r="BR8" i="6"/>
  <c r="BR7" i="6"/>
  <c r="CL82" i="2"/>
  <c r="CM78" i="2" s="1"/>
  <c r="CL80" i="2"/>
  <c r="CL79" i="2"/>
  <c r="CL48" i="3"/>
  <c r="CL35" i="3"/>
  <c r="DF101" i="119" s="1"/>
  <c r="CL24" i="3"/>
  <c r="DF94" i="119" s="1"/>
  <c r="CL57" i="2"/>
  <c r="CL56" i="2"/>
  <c r="CL49" i="2"/>
  <c r="CL64" i="2"/>
  <c r="CL65" i="2"/>
  <c r="CL25" i="2"/>
  <c r="CL18" i="2"/>
  <c r="DF45" i="119" s="1"/>
  <c r="CL16" i="1"/>
  <c r="DF21" i="119" s="1"/>
  <c r="CL14" i="1"/>
  <c r="V92" i="2"/>
  <c r="AP50" i="119" s="1"/>
  <c r="Z92" i="2"/>
  <c r="AT50" i="119" s="1"/>
  <c r="AD92" i="2"/>
  <c r="AX50" i="119" s="1"/>
  <c r="Y48" i="30" s="1"/>
  <c r="AH92" i="2"/>
  <c r="BB50" i="119" s="1"/>
  <c r="AC48" i="30" s="1"/>
  <c r="AL92" i="2"/>
  <c r="BF50" i="119" s="1"/>
  <c r="AG48" i="30" s="1"/>
  <c r="AP92" i="2"/>
  <c r="BJ50" i="119" s="1"/>
  <c r="AK48" i="30" s="1"/>
  <c r="AT92" i="2"/>
  <c r="BN50" i="119" s="1"/>
  <c r="AO48" i="30" s="1"/>
  <c r="AX92" i="2"/>
  <c r="BR50" i="119" s="1"/>
  <c r="AS48" i="30" s="1"/>
  <c r="BB92" i="2"/>
  <c r="BV50" i="119" s="1"/>
  <c r="AW48" i="30" s="1"/>
  <c r="BF92" i="2"/>
  <c r="BZ50" i="119" s="1"/>
  <c r="BA48" i="30" s="1"/>
  <c r="BJ92" i="2"/>
  <c r="CD50" i="119" s="1"/>
  <c r="BE48" i="30" s="1"/>
  <c r="BN92" i="2"/>
  <c r="CH50" i="119" s="1"/>
  <c r="BI48" i="30" s="1"/>
  <c r="BR92" i="2"/>
  <c r="CL50" i="119" s="1"/>
  <c r="BM48" i="30" s="1"/>
  <c r="EI8" i="6"/>
  <c r="EJ48" i="6"/>
  <c r="EI12" i="6"/>
  <c r="EJ47" i="6" s="1"/>
  <c r="EI11" i="6"/>
  <c r="EI10" i="6"/>
  <c r="EJ45" i="6" s="1"/>
  <c r="EI9" i="6"/>
  <c r="CE21" i="3"/>
  <c r="CF21" i="3" s="1"/>
  <c r="CG21" i="3" s="1"/>
  <c r="CI21" i="3"/>
  <c r="CJ21" i="3" s="1"/>
  <c r="CI23" i="3"/>
  <c r="F79" i="2"/>
  <c r="J79" i="2"/>
  <c r="R79" i="2"/>
  <c r="V79" i="2"/>
  <c r="Z79" i="2"/>
  <c r="AD79" i="2"/>
  <c r="AH79" i="2"/>
  <c r="AL79" i="2"/>
  <c r="AP79" i="2"/>
  <c r="AT79" i="2"/>
  <c r="AU79" i="2"/>
  <c r="AV79" i="2"/>
  <c r="AW79" i="2"/>
  <c r="AX79" i="2"/>
  <c r="AY79" i="2"/>
  <c r="AZ79" i="2"/>
  <c r="BA79" i="2"/>
  <c r="BB79" i="2"/>
  <c r="BF79" i="2"/>
  <c r="BJ79" i="2"/>
  <c r="BN79" i="2"/>
  <c r="BR79" i="2"/>
  <c r="BV79" i="2"/>
  <c r="BZ79" i="2"/>
  <c r="CD79" i="2"/>
  <c r="CH79" i="2"/>
  <c r="N80" i="2"/>
  <c r="V80" i="2"/>
  <c r="Z80" i="2"/>
  <c r="AD80" i="2"/>
  <c r="AH80" i="2"/>
  <c r="AL80" i="2"/>
  <c r="AP80" i="2"/>
  <c r="AT80" i="2"/>
  <c r="AX80" i="2"/>
  <c r="BB80" i="2"/>
  <c r="BF80" i="2"/>
  <c r="BJ80" i="2"/>
  <c r="BN80" i="2"/>
  <c r="BR80" i="2"/>
  <c r="BV80" i="2"/>
  <c r="BZ80" i="2"/>
  <c r="CD80" i="2"/>
  <c r="CH80" i="2"/>
  <c r="D82" i="2"/>
  <c r="E78" i="2" s="1"/>
  <c r="E82" i="2"/>
  <c r="F78" i="2" s="1"/>
  <c r="F82" i="2"/>
  <c r="G78" i="2" s="1"/>
  <c r="G82" i="2"/>
  <c r="H78" i="2" s="1"/>
  <c r="H82" i="2"/>
  <c r="I78" i="2" s="1"/>
  <c r="I82" i="2"/>
  <c r="J78" i="2" s="1"/>
  <c r="J82" i="2"/>
  <c r="K78" i="2" s="1"/>
  <c r="K82" i="2"/>
  <c r="L78" i="2" s="1"/>
  <c r="L82" i="2"/>
  <c r="M78" i="2" s="1"/>
  <c r="M82" i="2"/>
  <c r="N78" i="2" s="1"/>
  <c r="N82" i="2"/>
  <c r="O78" i="2" s="1"/>
  <c r="O82" i="2"/>
  <c r="P78" i="2" s="1"/>
  <c r="P82" i="2"/>
  <c r="Q78" i="2" s="1"/>
  <c r="Q82" i="2"/>
  <c r="R78" i="2" s="1"/>
  <c r="R82" i="2"/>
  <c r="S78" i="2" s="1"/>
  <c r="S82" i="2"/>
  <c r="T78" i="2" s="1"/>
  <c r="T82" i="2"/>
  <c r="U78" i="2" s="1"/>
  <c r="U82" i="2"/>
  <c r="V78" i="2" s="1"/>
  <c r="V82" i="2"/>
  <c r="W78" i="2" s="1"/>
  <c r="W82" i="2"/>
  <c r="X78" i="2" s="1"/>
  <c r="X82" i="2"/>
  <c r="Y78" i="2" s="1"/>
  <c r="Y82" i="2"/>
  <c r="Z78" i="2" s="1"/>
  <c r="Z82" i="2"/>
  <c r="AA78" i="2" s="1"/>
  <c r="AA82" i="2"/>
  <c r="AB78" i="2" s="1"/>
  <c r="AB82" i="2"/>
  <c r="AC78" i="2" s="1"/>
  <c r="AC82" i="2"/>
  <c r="AD78" i="2" s="1"/>
  <c r="AD82" i="2"/>
  <c r="AE78" i="2" s="1"/>
  <c r="AE82" i="2"/>
  <c r="AF78" i="2" s="1"/>
  <c r="AF82" i="2"/>
  <c r="AG78" i="2" s="1"/>
  <c r="AG82" i="2"/>
  <c r="AH78" i="2" s="1"/>
  <c r="AH82" i="2"/>
  <c r="AI78" i="2" s="1"/>
  <c r="AI82" i="2"/>
  <c r="AJ78" i="2" s="1"/>
  <c r="AJ82" i="2"/>
  <c r="AK78" i="2" s="1"/>
  <c r="AK82" i="2"/>
  <c r="AL78" i="2" s="1"/>
  <c r="AL82" i="2"/>
  <c r="AM78" i="2" s="1"/>
  <c r="AM82" i="2"/>
  <c r="AN78" i="2" s="1"/>
  <c r="AN82" i="2"/>
  <c r="AO78" i="2" s="1"/>
  <c r="AO82" i="2"/>
  <c r="AP78" i="2" s="1"/>
  <c r="AP82" i="2"/>
  <c r="AQ78" i="2" s="1"/>
  <c r="AQ82" i="2"/>
  <c r="AR78" i="2" s="1"/>
  <c r="AR82" i="2"/>
  <c r="AS78" i="2" s="1"/>
  <c r="AS82" i="2"/>
  <c r="AT78" i="2" s="1"/>
  <c r="AT82" i="2"/>
  <c r="AU78" i="2" s="1"/>
  <c r="AU82" i="2"/>
  <c r="AV78" i="2" s="1"/>
  <c r="AV82" i="2"/>
  <c r="AW78" i="2" s="1"/>
  <c r="AW82" i="2"/>
  <c r="AX78" i="2" s="1"/>
  <c r="AX82" i="2"/>
  <c r="AY78" i="2" s="1"/>
  <c r="AY82" i="2"/>
  <c r="AZ78" i="2" s="1"/>
  <c r="AZ82" i="2"/>
  <c r="BA78" i="2" s="1"/>
  <c r="BA82" i="2"/>
  <c r="BB78" i="2" s="1"/>
  <c r="BB82" i="2"/>
  <c r="BC78" i="2" s="1"/>
  <c r="BC82" i="2"/>
  <c r="BD78" i="2" s="1"/>
  <c r="BD82" i="2"/>
  <c r="BE78" i="2" s="1"/>
  <c r="BE82" i="2"/>
  <c r="BF78" i="2" s="1"/>
  <c r="BF82" i="2"/>
  <c r="BG78" i="2" s="1"/>
  <c r="BG82" i="2"/>
  <c r="BH78" i="2" s="1"/>
  <c r="BH82" i="2"/>
  <c r="BI78" i="2" s="1"/>
  <c r="BI82" i="2"/>
  <c r="BJ78" i="2" s="1"/>
  <c r="BJ82" i="2"/>
  <c r="BK78" i="2" s="1"/>
  <c r="BK82" i="2"/>
  <c r="BL78" i="2" s="1"/>
  <c r="BL82" i="2"/>
  <c r="BM78" i="2" s="1"/>
  <c r="BM82" i="2"/>
  <c r="BN78" i="2" s="1"/>
  <c r="BN82" i="2"/>
  <c r="BO78" i="2" s="1"/>
  <c r="BO82" i="2"/>
  <c r="BP78" i="2" s="1"/>
  <c r="BP82" i="2"/>
  <c r="BQ78" i="2" s="1"/>
  <c r="BQ82" i="2"/>
  <c r="BR78" i="2" s="1"/>
  <c r="BR82" i="2"/>
  <c r="BS78" i="2" s="1"/>
  <c r="BS82" i="2"/>
  <c r="BT78" i="2" s="1"/>
  <c r="BT82" i="2"/>
  <c r="BU78" i="2" s="1"/>
  <c r="BU82" i="2"/>
  <c r="BV78" i="2" s="1"/>
  <c r="BV82" i="2"/>
  <c r="BW78" i="2" s="1"/>
  <c r="BW82" i="2"/>
  <c r="BX78" i="2" s="1"/>
  <c r="BX82" i="2"/>
  <c r="BY78" i="2" s="1"/>
  <c r="BY82" i="2"/>
  <c r="BZ78" i="2" s="1"/>
  <c r="BZ82" i="2"/>
  <c r="CA78" i="2" s="1"/>
  <c r="CA82" i="2"/>
  <c r="CB78" i="2" s="1"/>
  <c r="CB82" i="2"/>
  <c r="CC78" i="2" s="1"/>
  <c r="CC82" i="2"/>
  <c r="CD78" i="2" s="1"/>
  <c r="CD82" i="2"/>
  <c r="CE78" i="2" s="1"/>
  <c r="CE82" i="2"/>
  <c r="CF78" i="2" s="1"/>
  <c r="CF82" i="2"/>
  <c r="CG78" i="2" s="1"/>
  <c r="CG82" i="2"/>
  <c r="CH78" i="2" s="1"/>
  <c r="CH82" i="2"/>
  <c r="CI78" i="2" s="1"/>
  <c r="CI82" i="2"/>
  <c r="CJ78" i="2" s="1"/>
  <c r="CJ82" i="2"/>
  <c r="CK78" i="2" s="1"/>
  <c r="CK82" i="2"/>
  <c r="CL78" i="2" s="1"/>
  <c r="C82" i="2"/>
  <c r="D78" i="2" s="1"/>
  <c r="B82" i="2"/>
  <c r="C78" i="2" s="1"/>
  <c r="CK57" i="2"/>
  <c r="CJ57" i="2"/>
  <c r="CI57" i="2"/>
  <c r="CH57" i="2"/>
  <c r="CG57" i="2"/>
  <c r="CF57" i="2"/>
  <c r="CE57" i="2"/>
  <c r="CD57" i="2"/>
  <c r="CC57" i="2"/>
  <c r="CB57" i="2"/>
  <c r="CA57" i="2"/>
  <c r="BZ57" i="2"/>
  <c r="BY57" i="2"/>
  <c r="BX57" i="2"/>
  <c r="BW57" i="2"/>
  <c r="BV57" i="2"/>
  <c r="BU57" i="2"/>
  <c r="BT57" i="2"/>
  <c r="BS57" i="2"/>
  <c r="BR57" i="2"/>
  <c r="BQ57" i="2"/>
  <c r="BP57" i="2"/>
  <c r="BO57" i="2"/>
  <c r="BN57" i="2"/>
  <c r="BM57" i="2"/>
  <c r="BL57" i="2"/>
  <c r="BK57" i="2"/>
  <c r="BJ57" i="2"/>
  <c r="BI57" i="2"/>
  <c r="BH57" i="2"/>
  <c r="BG57" i="2"/>
  <c r="BF57" i="2"/>
  <c r="BE57" i="2"/>
  <c r="BD57" i="2"/>
  <c r="BC57" i="2"/>
  <c r="BB57" i="2"/>
  <c r="BA57" i="2"/>
  <c r="AZ57" i="2"/>
  <c r="AY57" i="2"/>
  <c r="AX57" i="2"/>
  <c r="AW57" i="2"/>
  <c r="AV57" i="2"/>
  <c r="AU57" i="2"/>
  <c r="AT57" i="2"/>
  <c r="AS57" i="2"/>
  <c r="AR57" i="2"/>
  <c r="AQ57" i="2"/>
  <c r="AP57" i="2"/>
  <c r="AO57" i="2"/>
  <c r="AN57" i="2"/>
  <c r="AM57" i="2"/>
  <c r="AL57" i="2"/>
  <c r="AK57" i="2"/>
  <c r="AJ57" i="2"/>
  <c r="AI57" i="2"/>
  <c r="AH57" i="2"/>
  <c r="AG57" i="2"/>
  <c r="AF57" i="2"/>
  <c r="AE57" i="2"/>
  <c r="AD57" i="2"/>
  <c r="AC57" i="2"/>
  <c r="AB57" i="2"/>
  <c r="AA57" i="2"/>
  <c r="Z57" i="2"/>
  <c r="Y57" i="2"/>
  <c r="X57" i="2"/>
  <c r="W57" i="2"/>
  <c r="V57" i="2"/>
  <c r="U57" i="2"/>
  <c r="T57" i="2"/>
  <c r="S57" i="2"/>
  <c r="R57" i="2"/>
  <c r="Q57" i="2"/>
  <c r="P57" i="2"/>
  <c r="O57" i="2"/>
  <c r="N57" i="2"/>
  <c r="M57" i="2"/>
  <c r="L57" i="2"/>
  <c r="K57" i="2"/>
  <c r="J57" i="2"/>
  <c r="I57" i="2"/>
  <c r="H57" i="2"/>
  <c r="G57" i="2"/>
  <c r="F57" i="2"/>
  <c r="E57" i="2"/>
  <c r="D57" i="2"/>
  <c r="C57" i="2"/>
  <c r="B57" i="2"/>
  <c r="BT56" i="2"/>
  <c r="BS56" i="2"/>
  <c r="BR56" i="2"/>
  <c r="BQ56" i="2"/>
  <c r="BP56" i="2"/>
  <c r="BO56" i="2"/>
  <c r="BN56" i="2"/>
  <c r="BM56" i="2"/>
  <c r="BL56" i="2"/>
  <c r="BK56" i="2"/>
  <c r="BJ56" i="2"/>
  <c r="BI56" i="2"/>
  <c r="BH56" i="2"/>
  <c r="BG56" i="2"/>
  <c r="BF56" i="2"/>
  <c r="BE56" i="2"/>
  <c r="BD56" i="2"/>
  <c r="BC56" i="2"/>
  <c r="BB56" i="2"/>
  <c r="BA56" i="2"/>
  <c r="AZ56" i="2"/>
  <c r="AY56" i="2"/>
  <c r="AX56" i="2"/>
  <c r="AW56" i="2"/>
  <c r="AV56" i="2"/>
  <c r="AU56" i="2"/>
  <c r="AT56" i="2"/>
  <c r="AS56" i="2"/>
  <c r="AR56" i="2"/>
  <c r="AQ56" i="2"/>
  <c r="AP56" i="2"/>
  <c r="AO56" i="2"/>
  <c r="AN56" i="2"/>
  <c r="AM56" i="2"/>
  <c r="AL56" i="2"/>
  <c r="AK56" i="2"/>
  <c r="AJ56" i="2"/>
  <c r="AI56" i="2"/>
  <c r="AH56" i="2"/>
  <c r="AG56" i="2"/>
  <c r="AF56" i="2"/>
  <c r="AE56" i="2"/>
  <c r="AD56" i="2"/>
  <c r="AC56" i="2"/>
  <c r="AB56" i="2"/>
  <c r="AA56" i="2"/>
  <c r="Z56" i="2"/>
  <c r="Y56" i="2"/>
  <c r="X56" i="2"/>
  <c r="W56" i="2"/>
  <c r="V56" i="2"/>
  <c r="U56" i="2"/>
  <c r="T56" i="2"/>
  <c r="S56" i="2"/>
  <c r="R56" i="2"/>
  <c r="Q56" i="2"/>
  <c r="P56" i="2"/>
  <c r="O56" i="2"/>
  <c r="N56" i="2"/>
  <c r="M56" i="2"/>
  <c r="L56" i="2"/>
  <c r="K56" i="2"/>
  <c r="J56" i="2"/>
  <c r="I56" i="2"/>
  <c r="H56" i="2"/>
  <c r="G56" i="2"/>
  <c r="F56" i="2"/>
  <c r="E56" i="2"/>
  <c r="D56" i="2"/>
  <c r="C56" i="2"/>
  <c r="B56" i="2"/>
  <c r="GU9" i="51"/>
  <c r="GT9" i="51"/>
  <c r="GS9" i="51"/>
  <c r="GR9" i="51"/>
  <c r="GQ9" i="51"/>
  <c r="GP9" i="51"/>
  <c r="FK9" i="51"/>
  <c r="FJ9" i="51"/>
  <c r="FI9" i="51"/>
  <c r="FH9" i="51"/>
  <c r="FG9" i="51"/>
  <c r="FF9" i="51"/>
  <c r="FE9" i="51"/>
  <c r="FL45" i="3"/>
  <c r="FL43" i="3"/>
  <c r="FL42" i="3"/>
  <c r="FL40" i="3"/>
  <c r="FL39" i="3"/>
  <c r="FL38" i="3"/>
  <c r="FL33" i="3"/>
  <c r="FL31" i="3"/>
  <c r="FL9" i="3"/>
  <c r="FL9" i="2"/>
  <c r="CW8" i="2"/>
  <c r="CV8" i="2"/>
  <c r="CU8" i="2"/>
  <c r="CT8" i="2"/>
  <c r="BV16" i="1"/>
  <c r="CP21" i="119" s="1"/>
  <c r="BQ21" i="30" s="1"/>
  <c r="BR16" i="1"/>
  <c r="CL21" i="119" s="1"/>
  <c r="BM21" i="30" s="1"/>
  <c r="BN16" i="1"/>
  <c r="CH21" i="119" s="1"/>
  <c r="BI21" i="30" s="1"/>
  <c r="BJ16" i="1"/>
  <c r="CD21" i="119" s="1"/>
  <c r="BE21" i="30" s="1"/>
  <c r="BF16" i="1"/>
  <c r="BZ21" i="119" s="1"/>
  <c r="BA21" i="30" s="1"/>
  <c r="BB16" i="1"/>
  <c r="BV21" i="119" s="1"/>
  <c r="AW21" i="30" s="1"/>
  <c r="BA16" i="1"/>
  <c r="BU21" i="119" s="1"/>
  <c r="AZ16" i="1"/>
  <c r="BT21" i="119" s="1"/>
  <c r="AU21" i="30" s="1"/>
  <c r="AY16" i="1"/>
  <c r="BS21" i="119" s="1"/>
  <c r="AT21" i="30" s="1"/>
  <c r="AX16" i="1"/>
  <c r="BR21" i="119" s="1"/>
  <c r="AS21" i="30" s="1"/>
  <c r="AW16" i="1"/>
  <c r="BQ21" i="119" s="1"/>
  <c r="AR21" i="30" s="1"/>
  <c r="AV16" i="1"/>
  <c r="BP21" i="119" s="1"/>
  <c r="AQ21" i="30" s="1"/>
  <c r="AU16" i="1"/>
  <c r="BO21" i="119" s="1"/>
  <c r="AT16" i="1"/>
  <c r="BN21" i="119" s="1"/>
  <c r="AO21" i="30" s="1"/>
  <c r="AP16" i="1"/>
  <c r="BJ21" i="119" s="1"/>
  <c r="AK21" i="30" s="1"/>
  <c r="AL16" i="1"/>
  <c r="BF21" i="119" s="1"/>
  <c r="AG21" i="30" s="1"/>
  <c r="AH16" i="1"/>
  <c r="BB21" i="119" s="1"/>
  <c r="AC21" i="30" s="1"/>
  <c r="AD16" i="1"/>
  <c r="AX21" i="119" s="1"/>
  <c r="Y21" i="30" s="1"/>
  <c r="Z16" i="1"/>
  <c r="AT21" i="119" s="1"/>
  <c r="V16" i="1"/>
  <c r="AP21" i="119" s="1"/>
  <c r="R16" i="1"/>
  <c r="AL21" i="119" s="1"/>
  <c r="J16" i="1"/>
  <c r="F16" i="1"/>
  <c r="B16" i="1"/>
  <c r="B67" i="1" s="1"/>
  <c r="BZ16" i="1"/>
  <c r="CT21" i="119" s="1"/>
  <c r="BU21" i="30" s="1"/>
  <c r="CH16" i="1"/>
  <c r="DB21" i="119" s="1"/>
  <c r="CC21" i="30" s="1"/>
  <c r="CD16" i="1"/>
  <c r="CX21" i="119" s="1"/>
  <c r="BY21" i="30" s="1"/>
  <c r="CJ9" i="51"/>
  <c r="CI9" i="51"/>
  <c r="CH9" i="51"/>
  <c r="CG9" i="51"/>
  <c r="CF9" i="51"/>
  <c r="CE9" i="51"/>
  <c r="CD9" i="51"/>
  <c r="CC9" i="51"/>
  <c r="CB9" i="51"/>
  <c r="CA9" i="51"/>
  <c r="BZ9" i="51"/>
  <c r="CK9" i="51"/>
  <c r="CD5" i="1"/>
  <c r="CC5" i="1"/>
  <c r="CB5" i="1"/>
  <c r="CA5" i="1"/>
  <c r="BZ5" i="1"/>
  <c r="BY5" i="1"/>
  <c r="BX5" i="1"/>
  <c r="BW5" i="1"/>
  <c r="CJ5" i="1"/>
  <c r="CI5" i="1"/>
  <c r="CH5" i="1"/>
  <c r="CG5" i="1"/>
  <c r="CF5" i="1"/>
  <c r="CE5" i="1"/>
  <c r="CK5" i="1"/>
  <c r="BQ33" i="6"/>
  <c r="BQ32" i="6"/>
  <c r="FB32" i="6" s="1"/>
  <c r="FB90" i="6" s="1"/>
  <c r="BQ31" i="6"/>
  <c r="FB31" i="6" s="1"/>
  <c r="BQ30" i="6"/>
  <c r="FB30" i="6" s="1"/>
  <c r="FB88" i="6" s="1"/>
  <c r="BQ29" i="6"/>
  <c r="BQ36" i="6"/>
  <c r="BQ16" i="6"/>
  <c r="BQ85" i="6" s="1"/>
  <c r="DE176" i="119" s="1"/>
  <c r="CF140" i="30" s="1"/>
  <c r="BQ66" i="6"/>
  <c r="BQ48" i="6"/>
  <c r="BQ65" i="6"/>
  <c r="BQ47" i="6"/>
  <c r="BQ64" i="6"/>
  <c r="BQ46" i="6"/>
  <c r="BQ63" i="6"/>
  <c r="BQ45" i="6"/>
  <c r="BQ62" i="6"/>
  <c r="BQ44" i="6"/>
  <c r="BQ8" i="6"/>
  <c r="BQ7" i="6"/>
  <c r="CK22" i="1"/>
  <c r="BN36" i="51"/>
  <c r="BM25" i="51"/>
  <c r="CH34" i="51"/>
  <c r="FT110" i="51" s="1"/>
  <c r="BZ34" i="51"/>
  <c r="FT108" i="51" s="1"/>
  <c r="BR34" i="51"/>
  <c r="FT106" i="51" s="1"/>
  <c r="BM34" i="51"/>
  <c r="CD21" i="51"/>
  <c r="BR32" i="51"/>
  <c r="FN106" i="51" s="1"/>
  <c r="BO32" i="51"/>
  <c r="BM32" i="51"/>
  <c r="BJ32" i="51"/>
  <c r="GL13" i="51"/>
  <c r="CF31" i="51"/>
  <c r="FP92" i="51" s="1"/>
  <c r="BY31" i="51"/>
  <c r="FQ90" i="51" s="1"/>
  <c r="GO11" i="51"/>
  <c r="GO62" i="51" s="1"/>
  <c r="BQ31" i="51"/>
  <c r="BN31" i="51"/>
  <c r="FA11" i="51"/>
  <c r="GK11" i="51"/>
  <c r="EY11" i="51"/>
  <c r="EX11" i="51"/>
  <c r="EX40" i="51" s="1"/>
  <c r="CN16" i="51"/>
  <c r="CN67" i="51" s="1"/>
  <c r="BT25" i="51"/>
  <c r="BX25" i="51"/>
  <c r="CB25" i="51"/>
  <c r="BR20" i="51"/>
  <c r="BT20" i="51"/>
  <c r="CD20" i="51"/>
  <c r="CC22" i="51"/>
  <c r="CG22" i="51"/>
  <c r="BY23" i="51"/>
  <c r="BK20" i="51"/>
  <c r="BK25" i="51"/>
  <c r="CG14" i="1"/>
  <c r="CK62" i="2"/>
  <c r="CJ21" i="1"/>
  <c r="DD24" i="119" s="1"/>
  <c r="BP36" i="6"/>
  <c r="BP35" i="6"/>
  <c r="BP91" i="6"/>
  <c r="BP72" i="6"/>
  <c r="BP54" i="6"/>
  <c r="BP90" i="6"/>
  <c r="BP71" i="6"/>
  <c r="BP53" i="6"/>
  <c r="BP89" i="6"/>
  <c r="BP70" i="6"/>
  <c r="BP52" i="6"/>
  <c r="BP88" i="6"/>
  <c r="BP69" i="6"/>
  <c r="BP51" i="6"/>
  <c r="BP87" i="6"/>
  <c r="BP68" i="6"/>
  <c r="BP50" i="6"/>
  <c r="BP16" i="6"/>
  <c r="BP85" i="6" s="1"/>
  <c r="DD176" i="119" s="1"/>
  <c r="CE140" i="30" s="1"/>
  <c r="BP66" i="6"/>
  <c r="BP48" i="6"/>
  <c r="BP65" i="6"/>
  <c r="BP47" i="6"/>
  <c r="BP64" i="6"/>
  <c r="BP46" i="6"/>
  <c r="BP63" i="6"/>
  <c r="BP45" i="6"/>
  <c r="BP62" i="6"/>
  <c r="BP44" i="6"/>
  <c r="BP8" i="6"/>
  <c r="BP7" i="6"/>
  <c r="CJ64" i="2"/>
  <c r="CJ65" i="2"/>
  <c r="CJ62" i="2"/>
  <c r="CI21" i="1"/>
  <c r="DC24" i="119" s="1"/>
  <c r="CI106" i="2"/>
  <c r="CI45" i="3"/>
  <c r="CJ45" i="3" s="1"/>
  <c r="CK45" i="3" s="1"/>
  <c r="CI44" i="3"/>
  <c r="CJ44" i="3" s="1"/>
  <c r="CI43" i="3"/>
  <c r="CI42" i="3"/>
  <c r="CI41" i="3"/>
  <c r="CI40" i="3"/>
  <c r="CI39" i="3"/>
  <c r="CI38" i="3"/>
  <c r="CI34" i="3"/>
  <c r="CJ34" i="3" s="1"/>
  <c r="CI33" i="3"/>
  <c r="CI32" i="3"/>
  <c r="DC97" i="119" s="1"/>
  <c r="CD88" i="30" s="1"/>
  <c r="CI31" i="3"/>
  <c r="CJ31" i="3" s="1"/>
  <c r="CI30" i="3"/>
  <c r="CJ30" i="3" s="1"/>
  <c r="CI29" i="3"/>
  <c r="CI28" i="3"/>
  <c r="CI22" i="3"/>
  <c r="CJ22" i="3" s="1"/>
  <c r="CK22" i="3" s="1"/>
  <c r="CI20" i="3"/>
  <c r="CJ20" i="3" s="1"/>
  <c r="CI19" i="3"/>
  <c r="CJ19" i="3" s="1"/>
  <c r="CK19" i="3" s="1"/>
  <c r="CI18" i="3"/>
  <c r="CJ18" i="3" s="1"/>
  <c r="CK18" i="3" s="1"/>
  <c r="CI17" i="3"/>
  <c r="CJ17" i="3" s="1"/>
  <c r="CI15" i="3"/>
  <c r="CJ15" i="3" s="1"/>
  <c r="CK15" i="3" s="1"/>
  <c r="CI14" i="3"/>
  <c r="CI13" i="3"/>
  <c r="CI12" i="3"/>
  <c r="CI64" i="2"/>
  <c r="CI65" i="2"/>
  <c r="CI62" i="2"/>
  <c r="BO35" i="6"/>
  <c r="BO91" i="6"/>
  <c r="BO72" i="6"/>
  <c r="BO54" i="6"/>
  <c r="BO90" i="6"/>
  <c r="BO71" i="6"/>
  <c r="BO53" i="6"/>
  <c r="BO89" i="6"/>
  <c r="BO70" i="6"/>
  <c r="BO52" i="6"/>
  <c r="BO88" i="6"/>
  <c r="BO69" i="6"/>
  <c r="BO51" i="6"/>
  <c r="BO87" i="6"/>
  <c r="BO68" i="6"/>
  <c r="BO50" i="6"/>
  <c r="BO16" i="6"/>
  <c r="BO85" i="6" s="1"/>
  <c r="DC176" i="119" s="1"/>
  <c r="CD140" i="30" s="1"/>
  <c r="BO66" i="6"/>
  <c r="BO48" i="6"/>
  <c r="BO65" i="6"/>
  <c r="BO47" i="6"/>
  <c r="BO64" i="6"/>
  <c r="BO46" i="6"/>
  <c r="BO63" i="6"/>
  <c r="BO45" i="6"/>
  <c r="BO62" i="6"/>
  <c r="BO44" i="6"/>
  <c r="BO8" i="6"/>
  <c r="BO7" i="6"/>
  <c r="CH106" i="2"/>
  <c r="CL107" i="2" s="1"/>
  <c r="CH21" i="1"/>
  <c r="DB24" i="119" s="1"/>
  <c r="CH62" i="2"/>
  <c r="BN36" i="6"/>
  <c r="BN35" i="6"/>
  <c r="BN91" i="6"/>
  <c r="BN54" i="6"/>
  <c r="BN90" i="6"/>
  <c r="BN53" i="6"/>
  <c r="BN89" i="6"/>
  <c r="BN52" i="6"/>
  <c r="BN88" i="6"/>
  <c r="BN51" i="6"/>
  <c r="BN87" i="6"/>
  <c r="BN50" i="6"/>
  <c r="BN16" i="6"/>
  <c r="BN85" i="6" s="1"/>
  <c r="DB176" i="119" s="1"/>
  <c r="CC140" i="30" s="1"/>
  <c r="BN66" i="6"/>
  <c r="BN48" i="6"/>
  <c r="BN65" i="6"/>
  <c r="BN47" i="6"/>
  <c r="BN64" i="6"/>
  <c r="BN46" i="6"/>
  <c r="BN63" i="6"/>
  <c r="BN45" i="6"/>
  <c r="BN62" i="6"/>
  <c r="BN44" i="6"/>
  <c r="BN8" i="6"/>
  <c r="BN7" i="6"/>
  <c r="CH64" i="2"/>
  <c r="CH65" i="2"/>
  <c r="CH14" i="1"/>
  <c r="CG106" i="2"/>
  <c r="BM36" i="6"/>
  <c r="CG22" i="1"/>
  <c r="DA25" i="119" s="1"/>
  <c r="CB25" i="30" s="1"/>
  <c r="BM29" i="6"/>
  <c r="BM68" i="6" s="1"/>
  <c r="BM30" i="6"/>
  <c r="EH30" i="6" s="1"/>
  <c r="BM33" i="6"/>
  <c r="BM32" i="6"/>
  <c r="BM71" i="6" s="1"/>
  <c r="BM31" i="6"/>
  <c r="EH31" i="6" s="1"/>
  <c r="CG56" i="2"/>
  <c r="CG49" i="2"/>
  <c r="CG64" i="2"/>
  <c r="CG65" i="2"/>
  <c r="CG62" i="2"/>
  <c r="CG11" i="1"/>
  <c r="EH13" i="6"/>
  <c r="EH12" i="6"/>
  <c r="EH11" i="6"/>
  <c r="EH10" i="6"/>
  <c r="EH9" i="6"/>
  <c r="EH19" i="6" s="1"/>
  <c r="EH8" i="6"/>
  <c r="BM16" i="6"/>
  <c r="BM66" i="6"/>
  <c r="BM48" i="6"/>
  <c r="BM65" i="6"/>
  <c r="BM47" i="6"/>
  <c r="BM64" i="6"/>
  <c r="BM46" i="6"/>
  <c r="BM63" i="6"/>
  <c r="BM45" i="6"/>
  <c r="BM62" i="6"/>
  <c r="BM44" i="6"/>
  <c r="BM8" i="6"/>
  <c r="BM7" i="6"/>
  <c r="FK45" i="3"/>
  <c r="FK43" i="3"/>
  <c r="FK40" i="3"/>
  <c r="FK39" i="3"/>
  <c r="FK38" i="3"/>
  <c r="FK33" i="3"/>
  <c r="FK31" i="3"/>
  <c r="CS8" i="2"/>
  <c r="CR8" i="2"/>
  <c r="CQ8" i="2"/>
  <c r="CP8" i="2"/>
  <c r="CO8" i="2"/>
  <c r="CM8" i="2"/>
  <c r="CL8" i="2"/>
  <c r="CN8" i="1"/>
  <c r="FK9" i="3"/>
  <c r="FK9" i="2"/>
  <c r="CF106" i="2"/>
  <c r="CJ107" i="2" s="1"/>
  <c r="CE106" i="2"/>
  <c r="BL36" i="6"/>
  <c r="BL35" i="6"/>
  <c r="BL91" i="6"/>
  <c r="BL72" i="6"/>
  <c r="BL54" i="6"/>
  <c r="BL90" i="6"/>
  <c r="BL71" i="6"/>
  <c r="BL53" i="6"/>
  <c r="BL89" i="6"/>
  <c r="BL70" i="6"/>
  <c r="BL52" i="6"/>
  <c r="BL88" i="6"/>
  <c r="BL69" i="6"/>
  <c r="BL51" i="6"/>
  <c r="BL87" i="6"/>
  <c r="BL68" i="6"/>
  <c r="BL50" i="6"/>
  <c r="CF21" i="1"/>
  <c r="CB21" i="1"/>
  <c r="BL16" i="6"/>
  <c r="BL85" i="6" s="1"/>
  <c r="CZ176" i="119" s="1"/>
  <c r="CA140" i="30" s="1"/>
  <c r="BL66" i="6"/>
  <c r="BL48" i="6"/>
  <c r="BL65" i="6"/>
  <c r="BL47" i="6"/>
  <c r="BL64" i="6"/>
  <c r="BL46" i="6"/>
  <c r="BL63" i="6"/>
  <c r="BL45" i="6"/>
  <c r="BL62" i="6"/>
  <c r="BL44" i="6"/>
  <c r="BL8" i="6"/>
  <c r="BL7" i="6"/>
  <c r="CE23" i="3"/>
  <c r="CE12" i="3"/>
  <c r="CY93" i="119" s="1"/>
  <c r="BZ84" i="30" s="1"/>
  <c r="CE56" i="2"/>
  <c r="CF56" i="2"/>
  <c r="CF64" i="2"/>
  <c r="CF65" i="2"/>
  <c r="CF25" i="2"/>
  <c r="CF18" i="2"/>
  <c r="CZ45" i="119" s="1"/>
  <c r="CA43" i="30" s="1"/>
  <c r="CF62" i="2"/>
  <c r="CF11" i="1"/>
  <c r="CE11" i="1"/>
  <c r="CE21" i="1"/>
  <c r="CY24" i="119" s="1"/>
  <c r="BJ46" i="6"/>
  <c r="CE45" i="3"/>
  <c r="CF45" i="3" s="1"/>
  <c r="CG45" i="3" s="1"/>
  <c r="CE44" i="3"/>
  <c r="CF44" i="3" s="1"/>
  <c r="CE43" i="3"/>
  <c r="CE41" i="3"/>
  <c r="CE40" i="3"/>
  <c r="CF40" i="3" s="1"/>
  <c r="CG40" i="3" s="1"/>
  <c r="CE39" i="3"/>
  <c r="CF39" i="3" s="1"/>
  <c r="CG39" i="3" s="1"/>
  <c r="CE38" i="3"/>
  <c r="CE34" i="3"/>
  <c r="CF34" i="3" s="1"/>
  <c r="CG34" i="3" s="1"/>
  <c r="FH34" i="3" s="1"/>
  <c r="CE33" i="3"/>
  <c r="CE32" i="3"/>
  <c r="CY97" i="119" s="1"/>
  <c r="BZ88" i="30" s="1"/>
  <c r="CE31" i="3"/>
  <c r="CF31" i="3" s="1"/>
  <c r="CE30" i="3"/>
  <c r="CF30" i="3" s="1"/>
  <c r="CG30" i="3" s="1"/>
  <c r="CE29" i="3"/>
  <c r="CF29" i="3" s="1"/>
  <c r="CG29" i="3" s="1"/>
  <c r="CE28" i="3"/>
  <c r="CE22" i="3"/>
  <c r="CF22" i="3" s="1"/>
  <c r="CE20" i="3"/>
  <c r="CF20" i="3" s="1"/>
  <c r="CG20" i="3" s="1"/>
  <c r="CE19" i="3"/>
  <c r="CF19" i="3" s="1"/>
  <c r="CE18" i="3"/>
  <c r="CF18" i="3" s="1"/>
  <c r="CE17" i="3"/>
  <c r="CF17" i="3" s="1"/>
  <c r="CE14" i="3"/>
  <c r="CF14" i="3" s="1"/>
  <c r="CG14" i="3" s="1"/>
  <c r="CE13" i="3"/>
  <c r="CE11" i="3"/>
  <c r="CE42" i="3"/>
  <c r="BJ89" i="6"/>
  <c r="BK36" i="6"/>
  <c r="BK35" i="6"/>
  <c r="BK91" i="6"/>
  <c r="BK72" i="6"/>
  <c r="BK54" i="6"/>
  <c r="BK90" i="6"/>
  <c r="BK71" i="6"/>
  <c r="BK53" i="6"/>
  <c r="BK89" i="6"/>
  <c r="BK70" i="6"/>
  <c r="BK52" i="6"/>
  <c r="BK88" i="6"/>
  <c r="BK69" i="6"/>
  <c r="BK51" i="6"/>
  <c r="BK87" i="6"/>
  <c r="BK68" i="6"/>
  <c r="BK50" i="6"/>
  <c r="BK16" i="6"/>
  <c r="BK85" i="6" s="1"/>
  <c r="CY176" i="119" s="1"/>
  <c r="BZ140" i="30" s="1"/>
  <c r="BK66" i="6"/>
  <c r="BK48" i="6"/>
  <c r="BK65" i="6"/>
  <c r="BK47" i="6"/>
  <c r="BK64" i="6"/>
  <c r="BK46" i="6"/>
  <c r="BK63" i="6"/>
  <c r="BK45" i="6"/>
  <c r="BK62" i="6"/>
  <c r="BK44" i="6"/>
  <c r="BK8" i="6"/>
  <c r="BK7" i="6"/>
  <c r="CE62" i="2"/>
  <c r="CE64" i="2"/>
  <c r="CE65" i="2"/>
  <c r="E64" i="2"/>
  <c r="F64" i="2"/>
  <c r="G64" i="2"/>
  <c r="H64" i="2"/>
  <c r="I64" i="2"/>
  <c r="J64" i="2"/>
  <c r="K64" i="2"/>
  <c r="L64" i="2"/>
  <c r="M64" i="2"/>
  <c r="N64" i="2"/>
  <c r="O64" i="2"/>
  <c r="P64" i="2"/>
  <c r="Q64" i="2"/>
  <c r="R64" i="2"/>
  <c r="S64" i="2"/>
  <c r="T64" i="2"/>
  <c r="U64" i="2"/>
  <c r="V64" i="2"/>
  <c r="W64" i="2"/>
  <c r="X64" i="2"/>
  <c r="Y64" i="2"/>
  <c r="Z64" i="2"/>
  <c r="AA64" i="2"/>
  <c r="AB64" i="2"/>
  <c r="AC64" i="2"/>
  <c r="AD64" i="2"/>
  <c r="AE64" i="2"/>
  <c r="AF64" i="2"/>
  <c r="AG64" i="2"/>
  <c r="AH64" i="2"/>
  <c r="AI64" i="2"/>
  <c r="AJ64" i="2"/>
  <c r="AK64" i="2"/>
  <c r="AL64" i="2"/>
  <c r="AM64" i="2"/>
  <c r="AN64" i="2"/>
  <c r="AO64" i="2"/>
  <c r="AP64" i="2"/>
  <c r="AQ64" i="2"/>
  <c r="AR64" i="2"/>
  <c r="AS64" i="2"/>
  <c r="EX64" i="2" s="1"/>
  <c r="AT64" i="2"/>
  <c r="AU64" i="2"/>
  <c r="AV64" i="2"/>
  <c r="AW64" i="2"/>
  <c r="AX64" i="2"/>
  <c r="AY64" i="2"/>
  <c r="AZ64" i="2"/>
  <c r="BA64" i="2"/>
  <c r="BB64" i="2"/>
  <c r="BC64" i="2"/>
  <c r="BD64" i="2"/>
  <c r="BE64" i="2"/>
  <c r="FA64" i="2" s="1"/>
  <c r="BF64" i="2"/>
  <c r="BG64" i="2"/>
  <c r="BH64" i="2"/>
  <c r="BI64" i="2"/>
  <c r="BJ64" i="2"/>
  <c r="BK64" i="2"/>
  <c r="BL64" i="2"/>
  <c r="BM64" i="2"/>
  <c r="BN64" i="2"/>
  <c r="BO64" i="2"/>
  <c r="BP64" i="2"/>
  <c r="BQ64" i="2"/>
  <c r="BR64" i="2"/>
  <c r="BS64" i="2"/>
  <c r="BT64" i="2"/>
  <c r="BU64" i="2"/>
  <c r="BV64" i="2"/>
  <c r="BW64" i="2"/>
  <c r="BX64" i="2"/>
  <c r="BY64" i="2"/>
  <c r="BZ64" i="2"/>
  <c r="CA64" i="2"/>
  <c r="CB64" i="2"/>
  <c r="CC64" i="2"/>
  <c r="FG64" i="2" s="1"/>
  <c r="CD64" i="2"/>
  <c r="C64" i="2"/>
  <c r="D64" i="2"/>
  <c r="B64" i="2"/>
  <c r="CD21" i="1"/>
  <c r="CX24" i="119" s="1"/>
  <c r="CD93" i="2"/>
  <c r="BJ35" i="6"/>
  <c r="BJ36" i="6"/>
  <c r="BJ91" i="6"/>
  <c r="BJ54" i="6"/>
  <c r="BJ90" i="6"/>
  <c r="BJ53" i="6"/>
  <c r="BJ52" i="6"/>
  <c r="BJ88" i="6"/>
  <c r="BJ51" i="6"/>
  <c r="BJ87" i="6"/>
  <c r="BJ50" i="6"/>
  <c r="BJ16" i="6"/>
  <c r="BJ85" i="6" s="1"/>
  <c r="CX176" i="119" s="1"/>
  <c r="BY140" i="30" s="1"/>
  <c r="BJ66" i="6"/>
  <c r="BJ48" i="6"/>
  <c r="BJ65" i="6"/>
  <c r="BJ47" i="6"/>
  <c r="BJ64" i="6"/>
  <c r="BJ63" i="6"/>
  <c r="BJ45" i="6"/>
  <c r="BJ62" i="6"/>
  <c r="BJ44" i="6"/>
  <c r="BJ8" i="6"/>
  <c r="BJ7" i="6"/>
  <c r="CD24" i="3"/>
  <c r="CX94" i="119" s="1"/>
  <c r="BY85" i="30" s="1"/>
  <c r="CD106" i="2"/>
  <c r="CD89" i="2"/>
  <c r="CD56" i="2"/>
  <c r="CD65" i="2"/>
  <c r="CD18" i="2"/>
  <c r="CX45" i="119" s="1"/>
  <c r="BY43" i="30" s="1"/>
  <c r="CD62" i="2"/>
  <c r="CD14" i="1"/>
  <c r="CD11" i="1"/>
  <c r="CC49" i="2"/>
  <c r="CC65" i="2"/>
  <c r="FG65" i="2" s="1"/>
  <c r="CC18" i="2"/>
  <c r="CW45" i="119" s="1"/>
  <c r="BX43" i="30" s="1"/>
  <c r="CC25" i="2"/>
  <c r="CC63" i="2"/>
  <c r="CC62" i="2"/>
  <c r="FG62" i="2" s="1"/>
  <c r="CC11" i="1"/>
  <c r="CC14" i="1"/>
  <c r="FG15" i="3"/>
  <c r="CC106" i="2"/>
  <c r="CC93" i="2"/>
  <c r="FG92" i="2"/>
  <c r="U50" i="119" s="1"/>
  <c r="U48" i="30" s="1"/>
  <c r="CC89" i="2"/>
  <c r="FG88" i="2"/>
  <c r="U47" i="119" s="1"/>
  <c r="CC56" i="2"/>
  <c r="FG48" i="2"/>
  <c r="FG47" i="2"/>
  <c r="FG46" i="2"/>
  <c r="FG39" i="2"/>
  <c r="FG38" i="2"/>
  <c r="U61" i="119" s="1"/>
  <c r="U58" i="30" s="1"/>
  <c r="FG37" i="2"/>
  <c r="FG33" i="2"/>
  <c r="FG32" i="2"/>
  <c r="FG31" i="2"/>
  <c r="FG75" i="2" s="1"/>
  <c r="FG30" i="2"/>
  <c r="U56" i="119" s="1"/>
  <c r="U54" i="30" s="1"/>
  <c r="FG34" i="2"/>
  <c r="FG24" i="2"/>
  <c r="U54" i="119" s="1"/>
  <c r="U52" i="30" s="1"/>
  <c r="FG23" i="2"/>
  <c r="FG93" i="2" s="1"/>
  <c r="FG22" i="2"/>
  <c r="FG21" i="2"/>
  <c r="FG20" i="2"/>
  <c r="U53" i="119" s="1"/>
  <c r="U51" i="30" s="1"/>
  <c r="FG17" i="2"/>
  <c r="FG16" i="2"/>
  <c r="FG73" i="2" s="1"/>
  <c r="FG15" i="2"/>
  <c r="FG72" i="2" s="1"/>
  <c r="FG14" i="2"/>
  <c r="U43" i="119" s="1"/>
  <c r="U41" i="30" s="1"/>
  <c r="FG13" i="2"/>
  <c r="U42" i="119" s="1"/>
  <c r="U40" i="30" s="1"/>
  <c r="FG12" i="2"/>
  <c r="FG11" i="2"/>
  <c r="U41" i="119" s="1"/>
  <c r="U39" i="30" s="1"/>
  <c r="FF9" i="1"/>
  <c r="FF34" i="1"/>
  <c r="U287" i="119" s="1"/>
  <c r="U218" i="30" s="1"/>
  <c r="FF33" i="1"/>
  <c r="U286" i="119" s="1"/>
  <c r="FF10" i="1"/>
  <c r="FF12" i="1"/>
  <c r="U15" i="119" s="1"/>
  <c r="U15" i="30" s="1"/>
  <c r="FF13" i="1"/>
  <c r="U13" i="119" s="1"/>
  <c r="U13" i="30" s="1"/>
  <c r="FF24" i="1"/>
  <c r="U273" i="119" s="1"/>
  <c r="U204" i="30" s="1"/>
  <c r="FF27" i="1"/>
  <c r="BI36" i="6"/>
  <c r="BI16" i="6"/>
  <c r="BI85" i="6" s="1"/>
  <c r="CW176" i="119" s="1"/>
  <c r="BX140" i="30" s="1"/>
  <c r="BI8" i="6"/>
  <c r="BI7" i="6"/>
  <c r="BF16" i="6"/>
  <c r="BF85" i="6" s="1"/>
  <c r="CT176" i="119" s="1"/>
  <c r="BU140" i="30" s="1"/>
  <c r="BG16" i="6"/>
  <c r="BG85" i="6" s="1"/>
  <c r="CU176" i="119" s="1"/>
  <c r="BV140" i="30" s="1"/>
  <c r="BH16" i="6"/>
  <c r="BH85" i="6" s="1"/>
  <c r="CV176" i="119" s="1"/>
  <c r="BW140" i="30" s="1"/>
  <c r="BU56" i="2"/>
  <c r="BI33" i="6"/>
  <c r="BI91" i="6" s="1"/>
  <c r="BI32" i="6"/>
  <c r="EG32" i="6" s="1"/>
  <c r="BI31" i="6"/>
  <c r="BI89" i="6" s="1"/>
  <c r="BI30" i="6"/>
  <c r="EZ30" i="6" s="1"/>
  <c r="BI29" i="6"/>
  <c r="CC44" i="3"/>
  <c r="FG44" i="3" s="1"/>
  <c r="EG13" i="6"/>
  <c r="EG12" i="6"/>
  <c r="EG11" i="6"/>
  <c r="EG10" i="6"/>
  <c r="EG9" i="6"/>
  <c r="EG8" i="6"/>
  <c r="BI66" i="6"/>
  <c r="BI48" i="6"/>
  <c r="BI65" i="6"/>
  <c r="BI47" i="6"/>
  <c r="BI64" i="6"/>
  <c r="BI46" i="6"/>
  <c r="BI63" i="6"/>
  <c r="BI45" i="6"/>
  <c r="BI62" i="6"/>
  <c r="BI44" i="6"/>
  <c r="BE16" i="6"/>
  <c r="CB56" i="2"/>
  <c r="CA56" i="2"/>
  <c r="BZ56" i="2"/>
  <c r="BY56" i="2"/>
  <c r="BX56" i="2"/>
  <c r="BW56" i="2"/>
  <c r="BV56" i="2"/>
  <c r="FF44" i="3"/>
  <c r="FE44" i="3"/>
  <c r="CB106" i="2"/>
  <c r="CA106" i="2"/>
  <c r="BZ106" i="2"/>
  <c r="BY106" i="2"/>
  <c r="BX106" i="2"/>
  <c r="BW106" i="2"/>
  <c r="BV106" i="2"/>
  <c r="BU106" i="2"/>
  <c r="BT106" i="2"/>
  <c r="BS106" i="2"/>
  <c r="BR106" i="2"/>
  <c r="BQ106" i="2"/>
  <c r="BP106" i="2"/>
  <c r="BO106" i="2"/>
  <c r="BN106" i="2"/>
  <c r="BM106" i="2"/>
  <c r="BL106" i="2"/>
  <c r="BK106" i="2"/>
  <c r="BJ106" i="2"/>
  <c r="BI106" i="2"/>
  <c r="BH106" i="2"/>
  <c r="BG106" i="2"/>
  <c r="BF106" i="2"/>
  <c r="FF105" i="2"/>
  <c r="FE105" i="2"/>
  <c r="FD105" i="2"/>
  <c r="FC105" i="2"/>
  <c r="FB105" i="2"/>
  <c r="FF102" i="2"/>
  <c r="FE102" i="2"/>
  <c r="FD102" i="2"/>
  <c r="FC102" i="2"/>
  <c r="FB102" i="2"/>
  <c r="BN21" i="1"/>
  <c r="BO21" i="1"/>
  <c r="CI24" i="119" s="1"/>
  <c r="BU22" i="1"/>
  <c r="CO25" i="119" s="1"/>
  <c r="BP25" i="30" s="1"/>
  <c r="BY22" i="1"/>
  <c r="CS25" i="119" s="1"/>
  <c r="BT25" i="30" s="1"/>
  <c r="BP21" i="1"/>
  <c r="BR21" i="1"/>
  <c r="BS21" i="1"/>
  <c r="BT21" i="1"/>
  <c r="BV21" i="1"/>
  <c r="CP24" i="119" s="1"/>
  <c r="BZ21" i="1"/>
  <c r="BW21" i="1"/>
  <c r="CQ24" i="119" s="1"/>
  <c r="CA21" i="1"/>
  <c r="CU24" i="119" s="1"/>
  <c r="BX21" i="1"/>
  <c r="CR24" i="119" s="1"/>
  <c r="AS36" i="6"/>
  <c r="AS94" i="6" s="1"/>
  <c r="AR36" i="6"/>
  <c r="AR94" i="6" s="1"/>
  <c r="AQ36" i="6"/>
  <c r="AQ94" i="6" s="1"/>
  <c r="AP36" i="6"/>
  <c r="AP94" i="6" s="1"/>
  <c r="AO36" i="6"/>
  <c r="AO94" i="6" s="1"/>
  <c r="AN36" i="6"/>
  <c r="AN94" i="6" s="1"/>
  <c r="AM36" i="6"/>
  <c r="AM94" i="6" s="1"/>
  <c r="AL36" i="6"/>
  <c r="AL94" i="6" s="1"/>
  <c r="AK36" i="6"/>
  <c r="AK94" i="6" s="1"/>
  <c r="AJ36" i="6"/>
  <c r="AJ94" i="6" s="1"/>
  <c r="AI36" i="6"/>
  <c r="AI94" i="6" s="1"/>
  <c r="AH36" i="6"/>
  <c r="AH94" i="6" s="1"/>
  <c r="AG36" i="6"/>
  <c r="AG94" i="6" s="1"/>
  <c r="AF36" i="6"/>
  <c r="AF94" i="6" s="1"/>
  <c r="AE36" i="6"/>
  <c r="AE94" i="6" s="1"/>
  <c r="AD36" i="6"/>
  <c r="AD94" i="6" s="1"/>
  <c r="AC36" i="6"/>
  <c r="AC94" i="6" s="1"/>
  <c r="AB36" i="6"/>
  <c r="AB94" i="6" s="1"/>
  <c r="AA36" i="6"/>
  <c r="AA94" i="6" s="1"/>
  <c r="Z36" i="6"/>
  <c r="Z94" i="6" s="1"/>
  <c r="Y36" i="6"/>
  <c r="Y94" i="6" s="1"/>
  <c r="X36" i="6"/>
  <c r="X94" i="6" s="1"/>
  <c r="W36" i="6"/>
  <c r="W94" i="6" s="1"/>
  <c r="V36" i="6"/>
  <c r="V94" i="6" s="1"/>
  <c r="U36" i="6"/>
  <c r="U94" i="6" s="1"/>
  <c r="T36" i="6"/>
  <c r="T94" i="6" s="1"/>
  <c r="S36" i="6"/>
  <c r="S94" i="6" s="1"/>
  <c r="R36" i="6"/>
  <c r="R94" i="6" s="1"/>
  <c r="Q36" i="6"/>
  <c r="Q94" i="6" s="1"/>
  <c r="P36" i="6"/>
  <c r="P94" i="6" s="1"/>
  <c r="O36" i="6"/>
  <c r="O94" i="6" s="1"/>
  <c r="N36" i="6"/>
  <c r="N94" i="6" s="1"/>
  <c r="M36" i="6"/>
  <c r="M94" i="6" s="1"/>
  <c r="L36" i="6"/>
  <c r="L94" i="6" s="1"/>
  <c r="K36" i="6"/>
  <c r="K94" i="6" s="1"/>
  <c r="J36" i="6"/>
  <c r="J94" i="6" s="1"/>
  <c r="I36" i="6"/>
  <c r="I94" i="6" s="1"/>
  <c r="H36" i="6"/>
  <c r="H94" i="6" s="1"/>
  <c r="G36" i="6"/>
  <c r="G94" i="6" s="1"/>
  <c r="F36" i="6"/>
  <c r="F94" i="6" s="1"/>
  <c r="E36" i="6"/>
  <c r="E94" i="6" s="1"/>
  <c r="D36" i="6"/>
  <c r="D94" i="6" s="1"/>
  <c r="C36" i="6"/>
  <c r="C94" i="6" s="1"/>
  <c r="B36" i="6"/>
  <c r="B94" i="6" s="1"/>
  <c r="BB36" i="6"/>
  <c r="BA36" i="6"/>
  <c r="AZ36" i="6"/>
  <c r="AY36" i="6"/>
  <c r="AX36" i="6"/>
  <c r="AW36" i="6"/>
  <c r="AV36" i="6"/>
  <c r="AU36" i="6"/>
  <c r="AT36" i="6"/>
  <c r="BC36" i="6"/>
  <c r="BG36" i="6"/>
  <c r="BF36" i="6"/>
  <c r="BE36" i="6"/>
  <c r="BD36" i="6"/>
  <c r="BH36" i="6"/>
  <c r="BH35" i="6"/>
  <c r="BH91" i="6"/>
  <c r="BH72" i="6"/>
  <c r="BH54" i="6"/>
  <c r="BH90" i="6"/>
  <c r="BH71" i="6"/>
  <c r="BH53" i="6"/>
  <c r="BH89" i="6"/>
  <c r="BH70" i="6"/>
  <c r="BH52" i="6"/>
  <c r="BH88" i="6"/>
  <c r="BH69" i="6"/>
  <c r="BH51" i="6"/>
  <c r="BH87" i="6"/>
  <c r="BH68" i="6"/>
  <c r="BH50" i="6"/>
  <c r="BH66" i="6"/>
  <c r="BH48" i="6"/>
  <c r="BH65" i="6"/>
  <c r="BH47" i="6"/>
  <c r="BH64" i="6"/>
  <c r="BH46" i="6"/>
  <c r="BH63" i="6"/>
  <c r="BH45" i="6"/>
  <c r="BH62" i="6"/>
  <c r="BH44" i="6"/>
  <c r="BH8" i="6"/>
  <c r="BH7" i="6"/>
  <c r="CB65" i="2"/>
  <c r="CB63" i="2"/>
  <c r="CB62" i="2"/>
  <c r="BQ18" i="1"/>
  <c r="BM18" i="1"/>
  <c r="BL18" i="1"/>
  <c r="BK18" i="1"/>
  <c r="BJ18" i="1"/>
  <c r="BI18" i="1"/>
  <c r="BH18" i="1"/>
  <c r="BG18" i="1"/>
  <c r="BF18" i="1"/>
  <c r="BE18" i="1"/>
  <c r="BD18" i="1"/>
  <c r="BC18" i="1"/>
  <c r="BB18" i="1"/>
  <c r="BA18" i="1"/>
  <c r="AZ18" i="1"/>
  <c r="AY18" i="1"/>
  <c r="AX18" i="1"/>
  <c r="AW18" i="1"/>
  <c r="AV18" i="1"/>
  <c r="AU18" i="1"/>
  <c r="AT18" i="1"/>
  <c r="AS18" i="1"/>
  <c r="AR18" i="1"/>
  <c r="AQ18" i="1"/>
  <c r="AP18" i="1"/>
  <c r="AO18" i="1"/>
  <c r="AN18" i="1"/>
  <c r="AM18" i="1"/>
  <c r="AL18" i="1"/>
  <c r="AK18" i="1"/>
  <c r="AJ18" i="1"/>
  <c r="AI18" i="1"/>
  <c r="AH18" i="1"/>
  <c r="AG18" i="1"/>
  <c r="AF18" i="1"/>
  <c r="AE18" i="1"/>
  <c r="AD18" i="1"/>
  <c r="AC18" i="1"/>
  <c r="AB18" i="1"/>
  <c r="AA18" i="1"/>
  <c r="Z18" i="1"/>
  <c r="Y18" i="1"/>
  <c r="X18" i="1"/>
  <c r="W18" i="1"/>
  <c r="V18" i="1"/>
  <c r="U18" i="1"/>
  <c r="T18" i="1"/>
  <c r="S18" i="1"/>
  <c r="R18" i="1"/>
  <c r="Q18" i="1"/>
  <c r="P18" i="1"/>
  <c r="O18" i="1"/>
  <c r="N18" i="1"/>
  <c r="M18" i="1"/>
  <c r="L18" i="1"/>
  <c r="K18" i="1"/>
  <c r="J18" i="1"/>
  <c r="I18" i="1"/>
  <c r="H18" i="1"/>
  <c r="G18" i="1"/>
  <c r="F18" i="1"/>
  <c r="E18" i="1"/>
  <c r="D18" i="1"/>
  <c r="C18" i="1"/>
  <c r="B18" i="1"/>
  <c r="GO27" i="1"/>
  <c r="GN27" i="1"/>
  <c r="GM27" i="1"/>
  <c r="GL27" i="1"/>
  <c r="GK27" i="1"/>
  <c r="GJ27" i="1"/>
  <c r="GI27" i="1"/>
  <c r="GH27" i="1"/>
  <c r="GG27" i="1"/>
  <c r="GF27" i="1"/>
  <c r="GE27" i="1"/>
  <c r="GD27" i="1"/>
  <c r="GC27" i="1"/>
  <c r="GB27" i="1"/>
  <c r="GA27" i="1"/>
  <c r="FZ27" i="1"/>
  <c r="FY27" i="1"/>
  <c r="FX27" i="1"/>
  <c r="FW27" i="1"/>
  <c r="BA93" i="2"/>
  <c r="AZ93" i="2"/>
  <c r="AY93" i="2"/>
  <c r="AX93" i="2"/>
  <c r="AW93" i="2"/>
  <c r="AV93" i="2"/>
  <c r="AU93" i="2"/>
  <c r="AT93" i="2"/>
  <c r="AS93" i="2"/>
  <c r="AR93" i="2"/>
  <c r="AQ93" i="2"/>
  <c r="AP93" i="2"/>
  <c r="AO93" i="2"/>
  <c r="AN93" i="2"/>
  <c r="AM93" i="2"/>
  <c r="AL93" i="2"/>
  <c r="AK93" i="2"/>
  <c r="AJ93" i="2"/>
  <c r="AI93" i="2"/>
  <c r="AH93" i="2"/>
  <c r="AG93" i="2"/>
  <c r="AF93" i="2"/>
  <c r="AE93" i="2"/>
  <c r="AD93" i="2"/>
  <c r="AC93" i="2"/>
  <c r="AB93" i="2"/>
  <c r="AA93" i="2"/>
  <c r="Z93" i="2"/>
  <c r="Y93" i="2"/>
  <c r="X93" i="2"/>
  <c r="W93" i="2"/>
  <c r="V93" i="2"/>
  <c r="U93" i="2"/>
  <c r="T93" i="2"/>
  <c r="S93" i="2"/>
  <c r="R93" i="2"/>
  <c r="Q93" i="2"/>
  <c r="Q91" i="2" s="1"/>
  <c r="P93" i="2"/>
  <c r="P91" i="2" s="1"/>
  <c r="O93" i="2"/>
  <c r="O91" i="2" s="1"/>
  <c r="N93" i="2"/>
  <c r="N91" i="2" s="1"/>
  <c r="M93" i="2"/>
  <c r="M91" i="2" s="1"/>
  <c r="L93" i="2"/>
  <c r="L91" i="2" s="1"/>
  <c r="K93" i="2"/>
  <c r="K91" i="2" s="1"/>
  <c r="J93" i="2"/>
  <c r="J91" i="2" s="1"/>
  <c r="I93" i="2"/>
  <c r="I91" i="2" s="1"/>
  <c r="H93" i="2"/>
  <c r="H91" i="2" s="1"/>
  <c r="G93" i="2"/>
  <c r="G91" i="2" s="1"/>
  <c r="F93" i="2"/>
  <c r="F91" i="2" s="1"/>
  <c r="E93" i="2"/>
  <c r="E91" i="2" s="1"/>
  <c r="D93" i="2"/>
  <c r="D91" i="2" s="1"/>
  <c r="C93" i="2"/>
  <c r="C91" i="2" s="1"/>
  <c r="B93" i="2"/>
  <c r="B91" i="2" s="1"/>
  <c r="GO33" i="1"/>
  <c r="GN33" i="1"/>
  <c r="GM33" i="1"/>
  <c r="GL33" i="1"/>
  <c r="GK33" i="1"/>
  <c r="GJ33" i="1"/>
  <c r="GI33" i="1"/>
  <c r="GH33" i="1"/>
  <c r="GG33" i="1"/>
  <c r="GF33" i="1"/>
  <c r="GE33" i="1"/>
  <c r="GD33" i="1"/>
  <c r="GC33" i="1"/>
  <c r="GB33" i="1"/>
  <c r="GA33" i="1"/>
  <c r="FZ33" i="1"/>
  <c r="FY33" i="1"/>
  <c r="FX33" i="1"/>
  <c r="FW33" i="1"/>
  <c r="FE33" i="1"/>
  <c r="T286" i="119" s="1"/>
  <c r="FD33" i="1"/>
  <c r="S286" i="119" s="1"/>
  <c r="FC33" i="1"/>
  <c r="R286" i="119" s="1"/>
  <c r="FB33" i="1"/>
  <c r="Q286" i="119" s="1"/>
  <c r="FA33" i="1"/>
  <c r="P286" i="119" s="1"/>
  <c r="EZ33" i="1"/>
  <c r="O286" i="119" s="1"/>
  <c r="EY33" i="1"/>
  <c r="N286" i="119" s="1"/>
  <c r="EX33" i="1"/>
  <c r="M286" i="119" s="1"/>
  <c r="EW33" i="1"/>
  <c r="L286" i="119" s="1"/>
  <c r="EV33" i="1"/>
  <c r="K286" i="119" s="1"/>
  <c r="EU33" i="1"/>
  <c r="J286" i="119" s="1"/>
  <c r="ET33" i="1"/>
  <c r="I286" i="119" s="1"/>
  <c r="ES33" i="1"/>
  <c r="H286" i="119" s="1"/>
  <c r="ER33" i="1"/>
  <c r="G286" i="119" s="1"/>
  <c r="EQ33" i="1"/>
  <c r="F286" i="119" s="1"/>
  <c r="EP33" i="1"/>
  <c r="EO33" i="1"/>
  <c r="EN33" i="1"/>
  <c r="EM33" i="1"/>
  <c r="FE27" i="1"/>
  <c r="FD27" i="1"/>
  <c r="FC27" i="1"/>
  <c r="FB27" i="1"/>
  <c r="FA27" i="1"/>
  <c r="EZ27" i="1"/>
  <c r="EY27" i="1"/>
  <c r="EX27" i="1"/>
  <c r="EW27" i="1"/>
  <c r="EV27" i="1"/>
  <c r="K278" i="119" s="1"/>
  <c r="K209" i="30" s="1"/>
  <c r="EU27" i="1"/>
  <c r="J278" i="119" s="1"/>
  <c r="J209" i="30" s="1"/>
  <c r="ET27" i="1"/>
  <c r="I278" i="119" s="1"/>
  <c r="I209" i="30" s="1"/>
  <c r="ES27" i="1"/>
  <c r="H278" i="119" s="1"/>
  <c r="H209" i="30" s="1"/>
  <c r="ER27" i="1"/>
  <c r="G278" i="119" s="1"/>
  <c r="G209" i="30" s="1"/>
  <c r="EQ27" i="1"/>
  <c r="F278" i="119" s="1"/>
  <c r="F209" i="30" s="1"/>
  <c r="EP27" i="1"/>
  <c r="EO27" i="1"/>
  <c r="EN27" i="1"/>
  <c r="EM27" i="1"/>
  <c r="AA15" i="3"/>
  <c r="AU95" i="119" s="1"/>
  <c r="EZ45" i="3"/>
  <c r="EY45" i="3"/>
  <c r="EX45" i="3"/>
  <c r="EW45" i="3"/>
  <c r="EV45" i="3"/>
  <c r="EU45" i="3"/>
  <c r="ET45" i="3"/>
  <c r="ES45" i="3"/>
  <c r="ER45" i="3"/>
  <c r="EQ45" i="3"/>
  <c r="EP45" i="3"/>
  <c r="EO45" i="3"/>
  <c r="EN45" i="3"/>
  <c r="EZ43" i="3"/>
  <c r="EY43" i="3"/>
  <c r="EX43" i="3"/>
  <c r="EW43" i="3"/>
  <c r="EU43" i="3"/>
  <c r="ET43" i="3"/>
  <c r="ES43" i="3"/>
  <c r="ER43" i="3"/>
  <c r="F104" i="119" s="1"/>
  <c r="F95" i="30" s="1"/>
  <c r="EQ43" i="3"/>
  <c r="EZ42" i="3"/>
  <c r="EY42" i="3"/>
  <c r="EX42" i="3"/>
  <c r="EW42" i="3"/>
  <c r="EV42" i="3"/>
  <c r="EU42" i="3"/>
  <c r="ET42" i="3"/>
  <c r="ES42" i="3"/>
  <c r="ER42" i="3"/>
  <c r="EQ42" i="3"/>
  <c r="EP42" i="3"/>
  <c r="EO42" i="3"/>
  <c r="EN42" i="3"/>
  <c r="EZ41" i="3"/>
  <c r="EY41" i="3"/>
  <c r="EX41" i="3"/>
  <c r="EW41" i="3"/>
  <c r="EV41" i="3"/>
  <c r="EU41" i="3"/>
  <c r="ET41" i="3"/>
  <c r="ES41" i="3"/>
  <c r="ER41" i="3"/>
  <c r="EQ41" i="3"/>
  <c r="EP41" i="3"/>
  <c r="EO41" i="3"/>
  <c r="EZ40" i="3"/>
  <c r="EY40" i="3"/>
  <c r="EX40" i="3"/>
  <c r="EW40" i="3"/>
  <c r="EV40" i="3"/>
  <c r="EU40" i="3"/>
  <c r="ET40" i="3"/>
  <c r="ES40" i="3"/>
  <c r="ER40" i="3"/>
  <c r="EQ40" i="3"/>
  <c r="EP40" i="3"/>
  <c r="EO40" i="3"/>
  <c r="EN40" i="3"/>
  <c r="EZ39" i="3"/>
  <c r="EY39" i="3"/>
  <c r="EX39" i="3"/>
  <c r="EW39" i="3"/>
  <c r="EV39" i="3"/>
  <c r="EU39" i="3"/>
  <c r="ET39" i="3"/>
  <c r="ES39" i="3"/>
  <c r="ER39" i="3"/>
  <c r="EQ39" i="3"/>
  <c r="EP39" i="3"/>
  <c r="EO39" i="3"/>
  <c r="EN39" i="3"/>
  <c r="EZ34" i="3"/>
  <c r="EY34" i="3"/>
  <c r="EX34" i="3"/>
  <c r="EW34" i="3"/>
  <c r="EV34" i="3"/>
  <c r="EU34" i="3"/>
  <c r="ET34" i="3"/>
  <c r="ES34" i="3"/>
  <c r="ER34" i="3"/>
  <c r="EQ34" i="3"/>
  <c r="EP34" i="3"/>
  <c r="EO34" i="3"/>
  <c r="EN34" i="3"/>
  <c r="EZ33" i="3"/>
  <c r="EY33" i="3"/>
  <c r="EX33" i="3"/>
  <c r="EW33" i="3"/>
  <c r="EV33" i="3"/>
  <c r="EU33" i="3"/>
  <c r="ET33" i="3"/>
  <c r="ES33" i="3"/>
  <c r="ER33" i="3"/>
  <c r="EQ33" i="3"/>
  <c r="EP33" i="3"/>
  <c r="EO33" i="3"/>
  <c r="EN33" i="3"/>
  <c r="EX31" i="3"/>
  <c r="EW31" i="3"/>
  <c r="EV31" i="3"/>
  <c r="EU31" i="3"/>
  <c r="ER31" i="3"/>
  <c r="EQ31" i="3"/>
  <c r="EP31" i="3"/>
  <c r="EN31" i="3"/>
  <c r="EZ30" i="3"/>
  <c r="EY30" i="3"/>
  <c r="EX30" i="3"/>
  <c r="EW30" i="3"/>
  <c r="EV30" i="3"/>
  <c r="EU30" i="3"/>
  <c r="ET30" i="3"/>
  <c r="ES30" i="3"/>
  <c r="ER30" i="3"/>
  <c r="EQ30" i="3"/>
  <c r="EP30" i="3"/>
  <c r="EO30" i="3"/>
  <c r="EN30" i="3"/>
  <c r="EZ29" i="3"/>
  <c r="EY29" i="3"/>
  <c r="EX29" i="3"/>
  <c r="EW29" i="3"/>
  <c r="EV29" i="3"/>
  <c r="EU29" i="3"/>
  <c r="ET29" i="3"/>
  <c r="ES29" i="3"/>
  <c r="ER29" i="3"/>
  <c r="EQ29" i="3"/>
  <c r="EP29" i="3"/>
  <c r="EO29" i="3"/>
  <c r="EN29" i="3"/>
  <c r="EZ23" i="3"/>
  <c r="EY23" i="3"/>
  <c r="EX23" i="3"/>
  <c r="EW23" i="3"/>
  <c r="EV23" i="3"/>
  <c r="EU23" i="3"/>
  <c r="ET23" i="3"/>
  <c r="ES23" i="3"/>
  <c r="ER23" i="3"/>
  <c r="EQ23" i="3"/>
  <c r="EP23" i="3"/>
  <c r="EO23" i="3"/>
  <c r="EN23" i="3"/>
  <c r="EZ22" i="3"/>
  <c r="EY22" i="3"/>
  <c r="EX22" i="3"/>
  <c r="EW22" i="3"/>
  <c r="EV22" i="3"/>
  <c r="EU22" i="3"/>
  <c r="ET22" i="3"/>
  <c r="ES22" i="3"/>
  <c r="ER22" i="3"/>
  <c r="EQ22" i="3"/>
  <c r="EP22" i="3"/>
  <c r="EO22" i="3"/>
  <c r="EN22" i="3"/>
  <c r="EZ21" i="3"/>
  <c r="EY21" i="3"/>
  <c r="EX21" i="3"/>
  <c r="EW21" i="3"/>
  <c r="EV21" i="3"/>
  <c r="EU21" i="3"/>
  <c r="ET21" i="3"/>
  <c r="ES21" i="3"/>
  <c r="ER21" i="3"/>
  <c r="EQ21" i="3"/>
  <c r="EP21" i="3"/>
  <c r="EO21" i="3"/>
  <c r="EN21" i="3"/>
  <c r="EZ20" i="3"/>
  <c r="EY20" i="3"/>
  <c r="EX20" i="3"/>
  <c r="EW20" i="3"/>
  <c r="EV20" i="3"/>
  <c r="EU20" i="3"/>
  <c r="ET20" i="3"/>
  <c r="ES20" i="3"/>
  <c r="ER20" i="3"/>
  <c r="EQ20" i="3"/>
  <c r="EP20" i="3"/>
  <c r="EO20" i="3"/>
  <c r="EN20" i="3"/>
  <c r="EZ19" i="3"/>
  <c r="EY19" i="3"/>
  <c r="EX19" i="3"/>
  <c r="EW19" i="3"/>
  <c r="EV19" i="3"/>
  <c r="EU19" i="3"/>
  <c r="ET19" i="3"/>
  <c r="ES19" i="3"/>
  <c r="ER19" i="3"/>
  <c r="EQ19" i="3"/>
  <c r="EP19" i="3"/>
  <c r="EO19" i="3"/>
  <c r="EN19" i="3"/>
  <c r="EZ18" i="3"/>
  <c r="EY18" i="3"/>
  <c r="EX18" i="3"/>
  <c r="EW18" i="3"/>
  <c r="EV18" i="3"/>
  <c r="EU18" i="3"/>
  <c r="ET18" i="3"/>
  <c r="ES18" i="3"/>
  <c r="ER18" i="3"/>
  <c r="EQ18" i="3"/>
  <c r="EP18" i="3"/>
  <c r="EO18" i="3"/>
  <c r="EN18" i="3"/>
  <c r="EZ17" i="3"/>
  <c r="EY17" i="3"/>
  <c r="EX17" i="3"/>
  <c r="EW17" i="3"/>
  <c r="EV17" i="3"/>
  <c r="EU17" i="3"/>
  <c r="ET17" i="3"/>
  <c r="ES17" i="3"/>
  <c r="ER17" i="3"/>
  <c r="EQ17" i="3"/>
  <c r="EP17" i="3"/>
  <c r="EO17" i="3"/>
  <c r="EN17" i="3"/>
  <c r="EZ15" i="3"/>
  <c r="EY15" i="3"/>
  <c r="EX15" i="3"/>
  <c r="EW15" i="3"/>
  <c r="EV15" i="3"/>
  <c r="EU15" i="3"/>
  <c r="ES15" i="3"/>
  <c r="ER15" i="3"/>
  <c r="EQ15" i="3"/>
  <c r="EP15" i="3"/>
  <c r="EO15" i="3"/>
  <c r="EN15" i="3"/>
  <c r="EZ14" i="3"/>
  <c r="EY14" i="3"/>
  <c r="EX14" i="3"/>
  <c r="EW14" i="3"/>
  <c r="EV14" i="3"/>
  <c r="EU14" i="3"/>
  <c r="ET14" i="3"/>
  <c r="ES14" i="3"/>
  <c r="ER14" i="3"/>
  <c r="EQ14" i="3"/>
  <c r="EP14" i="3"/>
  <c r="EO14" i="3"/>
  <c r="EN14" i="3"/>
  <c r="EZ13" i="3"/>
  <c r="EY13" i="3"/>
  <c r="EX13" i="3"/>
  <c r="EW13" i="3"/>
  <c r="EV13" i="3"/>
  <c r="EU13" i="3"/>
  <c r="ET13" i="3"/>
  <c r="ES13" i="3"/>
  <c r="ER13" i="3"/>
  <c r="EQ13" i="3"/>
  <c r="EP13" i="3"/>
  <c r="EO13" i="3"/>
  <c r="EN13" i="3"/>
  <c r="EZ12" i="3"/>
  <c r="EY12" i="3"/>
  <c r="FH15" i="3"/>
  <c r="FF15" i="3"/>
  <c r="FE15" i="3"/>
  <c r="FD15" i="3"/>
  <c r="FC15" i="3"/>
  <c r="FB15" i="3"/>
  <c r="FA15" i="3"/>
  <c r="BA24" i="3"/>
  <c r="BU94" i="119" s="1"/>
  <c r="AV85" i="30" s="1"/>
  <c r="AZ24" i="3"/>
  <c r="BT94" i="119" s="1"/>
  <c r="AU85" i="30" s="1"/>
  <c r="AY24" i="3"/>
  <c r="BS94" i="119" s="1"/>
  <c r="AT85" i="30" s="1"/>
  <c r="AX24" i="3"/>
  <c r="BR94" i="119" s="1"/>
  <c r="AS85" i="30" s="1"/>
  <c r="AW24" i="3"/>
  <c r="BQ94" i="119" s="1"/>
  <c r="AR85" i="30" s="1"/>
  <c r="AV24" i="3"/>
  <c r="BP94" i="119" s="1"/>
  <c r="AQ85" i="30" s="1"/>
  <c r="AU24" i="3"/>
  <c r="BO94" i="119" s="1"/>
  <c r="AP85" i="30" s="1"/>
  <c r="AT24" i="3"/>
  <c r="BN94" i="119" s="1"/>
  <c r="AO85" i="30" s="1"/>
  <c r="AP24" i="3"/>
  <c r="BJ94" i="119" s="1"/>
  <c r="AK85" i="30" s="1"/>
  <c r="AL24" i="3"/>
  <c r="BF94" i="119" s="1"/>
  <c r="AG85" i="30" s="1"/>
  <c r="AH24" i="3"/>
  <c r="BB94" i="119" s="1"/>
  <c r="AC85" i="30" s="1"/>
  <c r="AD24" i="3"/>
  <c r="AX94" i="119" s="1"/>
  <c r="Y85" i="30" s="1"/>
  <c r="Z24" i="3"/>
  <c r="AT94" i="119" s="1"/>
  <c r="V24" i="3"/>
  <c r="R24" i="3"/>
  <c r="N24" i="3"/>
  <c r="J24" i="3"/>
  <c r="F24" i="3"/>
  <c r="G24" i="3" s="1"/>
  <c r="H24" i="3" s="1"/>
  <c r="I24" i="3" s="1"/>
  <c r="EO24" i="3" s="1"/>
  <c r="B24" i="3"/>
  <c r="C24" i="3" s="1"/>
  <c r="D24" i="3" s="1"/>
  <c r="E24" i="3" s="1"/>
  <c r="EN24" i="3" s="1"/>
  <c r="B52" i="3"/>
  <c r="C51" i="3" s="1"/>
  <c r="AL48" i="3"/>
  <c r="BF107" i="119" s="1"/>
  <c r="AG97" i="30" s="1"/>
  <c r="AH48" i="3"/>
  <c r="BB107" i="119" s="1"/>
  <c r="AC97" i="30" s="1"/>
  <c r="AD48" i="3"/>
  <c r="AX107" i="119" s="1"/>
  <c r="Y97" i="30" s="1"/>
  <c r="Z48" i="3"/>
  <c r="AT107" i="119" s="1"/>
  <c r="V48" i="3"/>
  <c r="AP107" i="119" s="1"/>
  <c r="N48" i="3"/>
  <c r="AX38" i="3"/>
  <c r="BR103" i="119" s="1"/>
  <c r="AS94" i="30" s="1"/>
  <c r="AT38" i="3"/>
  <c r="BN103" i="119" s="1"/>
  <c r="AO94" i="30" s="1"/>
  <c r="AP38" i="3"/>
  <c r="AM38" i="3"/>
  <c r="BG103" i="119" s="1"/>
  <c r="AH94" i="30" s="1"/>
  <c r="AI38" i="3"/>
  <c r="BC103" i="119" s="1"/>
  <c r="AD94" i="30" s="1"/>
  <c r="AE38" i="3"/>
  <c r="AY103" i="119" s="1"/>
  <c r="Z94" i="30" s="1"/>
  <c r="AA38" i="3"/>
  <c r="AU103" i="119" s="1"/>
  <c r="W38" i="3"/>
  <c r="AQ103" i="119" s="1"/>
  <c r="R38" i="3"/>
  <c r="O38" i="3"/>
  <c r="P38" i="3" s="1"/>
  <c r="P48" i="3" s="1"/>
  <c r="K38" i="3"/>
  <c r="L38" i="3" s="1"/>
  <c r="M38" i="3" s="1"/>
  <c r="EP38" i="3" s="1"/>
  <c r="G38" i="3"/>
  <c r="H38" i="3" s="1"/>
  <c r="I38" i="3" s="1"/>
  <c r="C38" i="3"/>
  <c r="D38" i="3" s="1"/>
  <c r="C41" i="3"/>
  <c r="E41" i="3" s="1"/>
  <c r="EN41" i="3" s="1"/>
  <c r="AJ43" i="3"/>
  <c r="J43" i="3"/>
  <c r="J48" i="3" s="1"/>
  <c r="F43" i="3"/>
  <c r="F48" i="3" s="1"/>
  <c r="B43" i="3"/>
  <c r="B48" i="3" s="1"/>
  <c r="AX28" i="3"/>
  <c r="BR100" i="119" s="1"/>
  <c r="AS91" i="30" s="1"/>
  <c r="AT28" i="3"/>
  <c r="BN100" i="119" s="1"/>
  <c r="AO91" i="30" s="1"/>
  <c r="AP28" i="3"/>
  <c r="AL28" i="3"/>
  <c r="BF100" i="119" s="1"/>
  <c r="AG91" i="30" s="1"/>
  <c r="AH28" i="3"/>
  <c r="BB100" i="119" s="1"/>
  <c r="AC91" i="30" s="1"/>
  <c r="AD28" i="3"/>
  <c r="AX100" i="119" s="1"/>
  <c r="Y91" i="30" s="1"/>
  <c r="Z28" i="3"/>
  <c r="AT100" i="119" s="1"/>
  <c r="V28" i="3"/>
  <c r="R28" i="3"/>
  <c r="AL100" i="119" s="1"/>
  <c r="N28" i="3"/>
  <c r="O28" i="3" s="1"/>
  <c r="J28" i="3"/>
  <c r="K28" i="3" s="1"/>
  <c r="F28" i="3"/>
  <c r="G28" i="3" s="1"/>
  <c r="B28" i="3"/>
  <c r="C28" i="3" s="1"/>
  <c r="AY32" i="3"/>
  <c r="BS97" i="119" s="1"/>
  <c r="AT88" i="30" s="1"/>
  <c r="AU32" i="3"/>
  <c r="BO97" i="119" s="1"/>
  <c r="AP88" i="30" s="1"/>
  <c r="AQ32" i="3"/>
  <c r="BK97" i="119" s="1"/>
  <c r="AL88" i="30" s="1"/>
  <c r="AM32" i="3"/>
  <c r="BG97" i="119" s="1"/>
  <c r="AH88" i="30" s="1"/>
  <c r="AI32" i="3"/>
  <c r="BC97" i="119" s="1"/>
  <c r="AD88" i="30" s="1"/>
  <c r="AE32" i="3"/>
  <c r="AY97" i="119" s="1"/>
  <c r="Z88" i="30" s="1"/>
  <c r="AA32" i="3"/>
  <c r="W32" i="3"/>
  <c r="AQ97" i="119" s="1"/>
  <c r="R32" i="3"/>
  <c r="AL97" i="119" s="1"/>
  <c r="O32" i="3"/>
  <c r="O80" i="2" s="1"/>
  <c r="J32" i="3"/>
  <c r="J80" i="2" s="1"/>
  <c r="F32" i="3"/>
  <c r="F80" i="2" s="1"/>
  <c r="B32" i="3"/>
  <c r="C32" i="3" s="1"/>
  <c r="AY31" i="3"/>
  <c r="BS98" i="119" s="1"/>
  <c r="AT89" i="30" s="1"/>
  <c r="AU31" i="3"/>
  <c r="BO98" i="119" s="1"/>
  <c r="AP89" i="30" s="1"/>
  <c r="AC31" i="3"/>
  <c r="AW98" i="119" s="1"/>
  <c r="Y31" i="3"/>
  <c r="AS98" i="119" s="1"/>
  <c r="G31" i="3"/>
  <c r="H31" i="3" s="1"/>
  <c r="I31" i="3" s="1"/>
  <c r="EO31" i="3" s="1"/>
  <c r="AQ12" i="3"/>
  <c r="AM12" i="3"/>
  <c r="AI12" i="3"/>
  <c r="AE12" i="3"/>
  <c r="AA12" i="3"/>
  <c r="W12" i="3"/>
  <c r="AQ93" i="119" s="1"/>
  <c r="S12" i="3"/>
  <c r="N12" i="3"/>
  <c r="O12" i="3" s="1"/>
  <c r="O79" i="2" s="1"/>
  <c r="K12" i="3"/>
  <c r="L12" i="3" s="1"/>
  <c r="L16" i="1" s="1"/>
  <c r="G12" i="3"/>
  <c r="H12" i="3" s="1"/>
  <c r="C12" i="3"/>
  <c r="C16" i="1" s="1"/>
  <c r="EZ88" i="2"/>
  <c r="N47" i="119" s="1"/>
  <c r="EY88" i="2"/>
  <c r="M47" i="119" s="1"/>
  <c r="M45" i="30" s="1"/>
  <c r="EX88" i="2"/>
  <c r="L47" i="119" s="1"/>
  <c r="L45" i="30" s="1"/>
  <c r="EW88" i="2"/>
  <c r="K47" i="119" s="1"/>
  <c r="K45" i="30" s="1"/>
  <c r="EV88" i="2"/>
  <c r="J47" i="119" s="1"/>
  <c r="EU88" i="2"/>
  <c r="I47" i="119" s="1"/>
  <c r="ET88" i="2"/>
  <c r="H47" i="119" s="1"/>
  <c r="ES88" i="2"/>
  <c r="G47" i="119" s="1"/>
  <c r="G45" i="30" s="1"/>
  <c r="ER88" i="2"/>
  <c r="F47" i="119" s="1"/>
  <c r="F45" i="30" s="1"/>
  <c r="EQ88" i="2"/>
  <c r="EP88" i="2"/>
  <c r="EO88" i="2"/>
  <c r="EN88" i="2"/>
  <c r="EN92" i="2"/>
  <c r="EO92" i="2"/>
  <c r="EP92" i="2"/>
  <c r="EQ92" i="2"/>
  <c r="ER92" i="2"/>
  <c r="F50" i="119" s="1"/>
  <c r="ES92" i="2"/>
  <c r="G50" i="119" s="1"/>
  <c r="ET92" i="2"/>
  <c r="H50" i="119" s="1"/>
  <c r="H48" i="30" s="1"/>
  <c r="EU92" i="2"/>
  <c r="I50" i="119" s="1"/>
  <c r="I48" i="30" s="1"/>
  <c r="EV92" i="2"/>
  <c r="J50" i="119" s="1"/>
  <c r="J48" i="30" s="1"/>
  <c r="EX92" i="2"/>
  <c r="L50" i="119" s="1"/>
  <c r="EY92" i="2"/>
  <c r="M50" i="119" s="1"/>
  <c r="EZ92" i="2"/>
  <c r="N50" i="119" s="1"/>
  <c r="N48" i="30" s="1"/>
  <c r="EW92" i="2"/>
  <c r="K50" i="119" s="1"/>
  <c r="EN48" i="2"/>
  <c r="EN47" i="2"/>
  <c r="EN46" i="2"/>
  <c r="EN39" i="2"/>
  <c r="EN38" i="2"/>
  <c r="EN37" i="2"/>
  <c r="EN33" i="2"/>
  <c r="EN32" i="2"/>
  <c r="EN31" i="2"/>
  <c r="EN30" i="2"/>
  <c r="EN34" i="2"/>
  <c r="EN24" i="2"/>
  <c r="EN23" i="2"/>
  <c r="EN22" i="2"/>
  <c r="EN93" i="2" s="1"/>
  <c r="EN21" i="2"/>
  <c r="EN20" i="2"/>
  <c r="EN17" i="2"/>
  <c r="EN16" i="2"/>
  <c r="EN15" i="2"/>
  <c r="EN14" i="2"/>
  <c r="EN13" i="2"/>
  <c r="EN12" i="2"/>
  <c r="EN11" i="2"/>
  <c r="EO48" i="2"/>
  <c r="EO47" i="2"/>
  <c r="EO46" i="2"/>
  <c r="EO39" i="2"/>
  <c r="EO38" i="2"/>
  <c r="EO37" i="2"/>
  <c r="EO33" i="2"/>
  <c r="EO32" i="2"/>
  <c r="EO31" i="2"/>
  <c r="EO30" i="2"/>
  <c r="EO34" i="2"/>
  <c r="EO24" i="2"/>
  <c r="EO23" i="2"/>
  <c r="EO22" i="2"/>
  <c r="EO93" i="2" s="1"/>
  <c r="EO21" i="2"/>
  <c r="EO89" i="2" s="1"/>
  <c r="EO20" i="2"/>
  <c r="EO17" i="2"/>
  <c r="EO16" i="2"/>
  <c r="EO15" i="2"/>
  <c r="EO14" i="2"/>
  <c r="EO13" i="2"/>
  <c r="EO12" i="2"/>
  <c r="EO11" i="2"/>
  <c r="EP48" i="2"/>
  <c r="EP47" i="2"/>
  <c r="EP46" i="2"/>
  <c r="EP39" i="2"/>
  <c r="EP38" i="2"/>
  <c r="EP37" i="2"/>
  <c r="EP33" i="2"/>
  <c r="EP32" i="2"/>
  <c r="EP31" i="2"/>
  <c r="EP30" i="2"/>
  <c r="EP34" i="2"/>
  <c r="EP24" i="2"/>
  <c r="EP23" i="2"/>
  <c r="EP22" i="2"/>
  <c r="EP93" i="2" s="1"/>
  <c r="EP21" i="2"/>
  <c r="EP89" i="2" s="1"/>
  <c r="EP20" i="2"/>
  <c r="EP17" i="2"/>
  <c r="EP16" i="2"/>
  <c r="EP15" i="2"/>
  <c r="EP14" i="2"/>
  <c r="EP13" i="2"/>
  <c r="EP12" i="2"/>
  <c r="EP11" i="2"/>
  <c r="EQ48" i="2"/>
  <c r="EQ47" i="2"/>
  <c r="EQ46" i="2"/>
  <c r="EQ39" i="2"/>
  <c r="EQ38" i="2"/>
  <c r="EQ37" i="2"/>
  <c r="EQ33" i="2"/>
  <c r="EQ32" i="2"/>
  <c r="EQ31" i="2"/>
  <c r="EQ30" i="2"/>
  <c r="EQ34" i="2"/>
  <c r="EQ24" i="2"/>
  <c r="EQ23" i="2"/>
  <c r="EQ22" i="2"/>
  <c r="EQ93" i="2" s="1"/>
  <c r="EQ21" i="2"/>
  <c r="EQ89" i="2" s="1"/>
  <c r="EQ20" i="2"/>
  <c r="EQ17" i="2"/>
  <c r="EQ16" i="2"/>
  <c r="EQ15" i="2"/>
  <c r="EQ14" i="2"/>
  <c r="EQ13" i="2"/>
  <c r="EQ12" i="2"/>
  <c r="EQ11" i="2"/>
  <c r="ER48" i="2"/>
  <c r="ER47" i="2"/>
  <c r="ER46" i="2"/>
  <c r="ER39" i="2"/>
  <c r="ER38" i="2"/>
  <c r="F61" i="119" s="1"/>
  <c r="ER37" i="2"/>
  <c r="ER33" i="2"/>
  <c r="ER32" i="2"/>
  <c r="ER31" i="2"/>
  <c r="ER30" i="2"/>
  <c r="F56" i="119" s="1"/>
  <c r="F54" i="30" s="1"/>
  <c r="ER34" i="2"/>
  <c r="ER24" i="2"/>
  <c r="ER23" i="2"/>
  <c r="ER22" i="2"/>
  <c r="ER21" i="2"/>
  <c r="ER20" i="2"/>
  <c r="F53" i="119" s="1"/>
  <c r="F51" i="30" s="1"/>
  <c r="ER17" i="2"/>
  <c r="ER16" i="2"/>
  <c r="ER15" i="2"/>
  <c r="ER14" i="2"/>
  <c r="F43" i="119" s="1"/>
  <c r="F41" i="30" s="1"/>
  <c r="ER13" i="2"/>
  <c r="F42" i="119" s="1"/>
  <c r="F40" i="30" s="1"/>
  <c r="ER12" i="2"/>
  <c r="ER11" i="2"/>
  <c r="F41" i="119" s="1"/>
  <c r="F39" i="30" s="1"/>
  <c r="ES48" i="2"/>
  <c r="ES47" i="2"/>
  <c r="ES46" i="2"/>
  <c r="ES39" i="2"/>
  <c r="ES38" i="2"/>
  <c r="G61" i="119" s="1"/>
  <c r="ES37" i="2"/>
  <c r="ES33" i="2"/>
  <c r="ES32" i="2"/>
  <c r="ES31" i="2"/>
  <c r="ES30" i="2"/>
  <c r="G56" i="119" s="1"/>
  <c r="G54" i="30" s="1"/>
  <c r="ES34" i="2"/>
  <c r="ES24" i="2"/>
  <c r="ES23" i="2"/>
  <c r="ES22" i="2"/>
  <c r="ES21" i="2"/>
  <c r="G48" i="119" s="1"/>
  <c r="ES20" i="2"/>
  <c r="G53" i="119" s="1"/>
  <c r="G51" i="30" s="1"/>
  <c r="ES17" i="2"/>
  <c r="ES16" i="2"/>
  <c r="ES15" i="2"/>
  <c r="ES14" i="2"/>
  <c r="G43" i="119" s="1"/>
  <c r="G41" i="30" s="1"/>
  <c r="ES13" i="2"/>
  <c r="G42" i="119" s="1"/>
  <c r="G40" i="30" s="1"/>
  <c r="ES12" i="2"/>
  <c r="ES11" i="2"/>
  <c r="G41" i="119" s="1"/>
  <c r="G39" i="30" s="1"/>
  <c r="ET48" i="2"/>
  <c r="ET47" i="2"/>
  <c r="ET46" i="2"/>
  <c r="ET39" i="2"/>
  <c r="ET38" i="2"/>
  <c r="H61" i="119" s="1"/>
  <c r="ET37" i="2"/>
  <c r="ET33" i="2"/>
  <c r="ET32" i="2"/>
  <c r="ET31" i="2"/>
  <c r="ET30" i="2"/>
  <c r="H56" i="119" s="1"/>
  <c r="H54" i="30" s="1"/>
  <c r="ET34" i="2"/>
  <c r="ET24" i="2"/>
  <c r="ET23" i="2"/>
  <c r="ET22" i="2"/>
  <c r="ET21" i="2"/>
  <c r="ET20" i="2"/>
  <c r="H53" i="119" s="1"/>
  <c r="H51" i="30" s="1"/>
  <c r="ET17" i="2"/>
  <c r="ET16" i="2"/>
  <c r="ET15" i="2"/>
  <c r="ET14" i="2"/>
  <c r="H43" i="119" s="1"/>
  <c r="H41" i="30" s="1"/>
  <c r="ET13" i="2"/>
  <c r="H42" i="119" s="1"/>
  <c r="H40" i="30" s="1"/>
  <c r="ET12" i="2"/>
  <c r="ET11" i="2"/>
  <c r="H41" i="119" s="1"/>
  <c r="H39" i="30" s="1"/>
  <c r="EU48" i="2"/>
  <c r="EU47" i="2"/>
  <c r="EU46" i="2"/>
  <c r="EU39" i="2"/>
  <c r="EU38" i="2"/>
  <c r="EU37" i="2"/>
  <c r="EU33" i="2"/>
  <c r="EU32" i="2"/>
  <c r="EU31" i="2"/>
  <c r="EU30" i="2"/>
  <c r="I56" i="119" s="1"/>
  <c r="I54" i="30" s="1"/>
  <c r="EU34" i="2"/>
  <c r="EU24" i="2"/>
  <c r="EU23" i="2"/>
  <c r="EU22" i="2"/>
  <c r="EU21" i="2"/>
  <c r="EU20" i="2"/>
  <c r="I53" i="119" s="1"/>
  <c r="I51" i="30" s="1"/>
  <c r="EU17" i="2"/>
  <c r="EU16" i="2"/>
  <c r="EU15" i="2"/>
  <c r="EU14" i="2"/>
  <c r="I43" i="119" s="1"/>
  <c r="I41" i="30" s="1"/>
  <c r="EU13" i="2"/>
  <c r="I42" i="119" s="1"/>
  <c r="I40" i="30" s="1"/>
  <c r="EU12" i="2"/>
  <c r="EU11" i="2"/>
  <c r="I41" i="119" s="1"/>
  <c r="I39" i="30" s="1"/>
  <c r="EV48" i="2"/>
  <c r="EV47" i="2"/>
  <c r="EV46" i="2"/>
  <c r="EV39" i="2"/>
  <c r="EV38" i="2"/>
  <c r="EV37" i="2"/>
  <c r="EV33" i="2"/>
  <c r="EV32" i="2"/>
  <c r="EV31" i="2"/>
  <c r="EV30" i="2"/>
  <c r="J56" i="119" s="1"/>
  <c r="J54" i="30" s="1"/>
  <c r="EV34" i="2"/>
  <c r="EV24" i="2"/>
  <c r="EV23" i="2"/>
  <c r="EV22" i="2"/>
  <c r="EV21" i="2"/>
  <c r="EV20" i="2"/>
  <c r="J53" i="119" s="1"/>
  <c r="J51" i="30" s="1"/>
  <c r="EV17" i="2"/>
  <c r="EV16" i="2"/>
  <c r="EV15" i="2"/>
  <c r="EV14" i="2"/>
  <c r="J43" i="119" s="1"/>
  <c r="J41" i="30" s="1"/>
  <c r="EV13" i="2"/>
  <c r="J42" i="119" s="1"/>
  <c r="J40" i="30" s="1"/>
  <c r="EV12" i="2"/>
  <c r="EV11" i="2"/>
  <c r="J41" i="119" s="1"/>
  <c r="EW48" i="2"/>
  <c r="EW47" i="2"/>
  <c r="EW46" i="2"/>
  <c r="EW39" i="2"/>
  <c r="EW38" i="2"/>
  <c r="EW37" i="2"/>
  <c r="EW33" i="2"/>
  <c r="EW32" i="2"/>
  <c r="EW31" i="2"/>
  <c r="EW30" i="2"/>
  <c r="K56" i="119" s="1"/>
  <c r="K54" i="30" s="1"/>
  <c r="EW34" i="2"/>
  <c r="EW24" i="2"/>
  <c r="EW23" i="2"/>
  <c r="EW22" i="2"/>
  <c r="EW21" i="2"/>
  <c r="EW20" i="2"/>
  <c r="K53" i="119" s="1"/>
  <c r="K51" i="30" s="1"/>
  <c r="EW17" i="2"/>
  <c r="EW16" i="2"/>
  <c r="EW15" i="2"/>
  <c r="EW14" i="2"/>
  <c r="K43" i="119" s="1"/>
  <c r="K41" i="30" s="1"/>
  <c r="EW13" i="2"/>
  <c r="K42" i="119" s="1"/>
  <c r="K40" i="30" s="1"/>
  <c r="EW12" i="2"/>
  <c r="EW11" i="2"/>
  <c r="K41" i="119" s="1"/>
  <c r="EX48" i="2"/>
  <c r="EX47" i="2"/>
  <c r="EX46" i="2"/>
  <c r="EX39" i="2"/>
  <c r="EX38" i="2"/>
  <c r="EX37" i="2"/>
  <c r="EX33" i="2"/>
  <c r="EX32" i="2"/>
  <c r="EX31" i="2"/>
  <c r="EX30" i="2"/>
  <c r="L56" i="119" s="1"/>
  <c r="L54" i="30" s="1"/>
  <c r="EX34" i="2"/>
  <c r="EX24" i="2"/>
  <c r="EX23" i="2"/>
  <c r="EX22" i="2"/>
  <c r="EX21" i="2"/>
  <c r="EX20" i="2"/>
  <c r="L53" i="119" s="1"/>
  <c r="L51" i="30" s="1"/>
  <c r="EX17" i="2"/>
  <c r="EX16" i="2"/>
  <c r="EX15" i="2"/>
  <c r="EX14" i="2"/>
  <c r="L43" i="119" s="1"/>
  <c r="L41" i="30" s="1"/>
  <c r="EX13" i="2"/>
  <c r="L42" i="119" s="1"/>
  <c r="L40" i="30" s="1"/>
  <c r="EX12" i="2"/>
  <c r="EX11" i="2"/>
  <c r="L41" i="119" s="1"/>
  <c r="EY48" i="2"/>
  <c r="EY47" i="2"/>
  <c r="EY46" i="2"/>
  <c r="EY39" i="2"/>
  <c r="EY38" i="2"/>
  <c r="EY37" i="2"/>
  <c r="EY33" i="2"/>
  <c r="EY32" i="2"/>
  <c r="EY31" i="2"/>
  <c r="EY30" i="2"/>
  <c r="M56" i="119" s="1"/>
  <c r="M54" i="30" s="1"/>
  <c r="EY34" i="2"/>
  <c r="EY24" i="2"/>
  <c r="EY23" i="2"/>
  <c r="EY22" i="2"/>
  <c r="EY21" i="2"/>
  <c r="EY20" i="2"/>
  <c r="M53" i="119" s="1"/>
  <c r="M51" i="30" s="1"/>
  <c r="EY17" i="2"/>
  <c r="EY16" i="2"/>
  <c r="EY15" i="2"/>
  <c r="EY14" i="2"/>
  <c r="M43" i="119" s="1"/>
  <c r="M41" i="30" s="1"/>
  <c r="EY13" i="2"/>
  <c r="M42" i="119" s="1"/>
  <c r="M40" i="30" s="1"/>
  <c r="EY12" i="2"/>
  <c r="EY11" i="2"/>
  <c r="M41" i="119" s="1"/>
  <c r="EZ48" i="2"/>
  <c r="EZ47" i="2"/>
  <c r="EZ46" i="2"/>
  <c r="EZ39" i="2"/>
  <c r="EZ38" i="2"/>
  <c r="EZ37" i="2"/>
  <c r="EZ33" i="2"/>
  <c r="EZ32" i="2"/>
  <c r="EZ31" i="2"/>
  <c r="EZ30" i="2"/>
  <c r="N56" i="119" s="1"/>
  <c r="N54" i="30" s="1"/>
  <c r="EZ34" i="2"/>
  <c r="EZ24" i="2"/>
  <c r="EZ23" i="2"/>
  <c r="EZ22" i="2"/>
  <c r="EZ21" i="2"/>
  <c r="EZ20" i="2"/>
  <c r="N53" i="119" s="1"/>
  <c r="N51" i="30" s="1"/>
  <c r="EZ17" i="2"/>
  <c r="EZ16" i="2"/>
  <c r="EZ15" i="2"/>
  <c r="EZ14" i="2"/>
  <c r="N43" i="119" s="1"/>
  <c r="N41" i="30" s="1"/>
  <c r="EZ13" i="2"/>
  <c r="N42" i="119" s="1"/>
  <c r="N40" i="30" s="1"/>
  <c r="EZ12" i="2"/>
  <c r="EZ11" i="2"/>
  <c r="N41" i="119" s="1"/>
  <c r="BA89" i="2"/>
  <c r="AZ89" i="2"/>
  <c r="AY89" i="2"/>
  <c r="AX89" i="2"/>
  <c r="AW89" i="2"/>
  <c r="AV89" i="2"/>
  <c r="AU89" i="2"/>
  <c r="AT89" i="2"/>
  <c r="AS89" i="2"/>
  <c r="AR89" i="2"/>
  <c r="AQ89" i="2"/>
  <c r="AP89" i="2"/>
  <c r="AO89" i="2"/>
  <c r="AN89" i="2"/>
  <c r="AM89" i="2"/>
  <c r="AL89" i="2"/>
  <c r="AK89" i="2"/>
  <c r="AJ89" i="2"/>
  <c r="AI89" i="2"/>
  <c r="AH89" i="2"/>
  <c r="AG89" i="2"/>
  <c r="AF89" i="2"/>
  <c r="AE89" i="2"/>
  <c r="AD89" i="2"/>
  <c r="AC89" i="2"/>
  <c r="AB89" i="2"/>
  <c r="AA89" i="2"/>
  <c r="Z89" i="2"/>
  <c r="Y89" i="2"/>
  <c r="Y87" i="2" s="1"/>
  <c r="AS46" i="119" s="1"/>
  <c r="X89" i="2"/>
  <c r="W89" i="2"/>
  <c r="V89" i="2"/>
  <c r="U89" i="2"/>
  <c r="T89" i="2"/>
  <c r="S89" i="2"/>
  <c r="R89" i="2"/>
  <c r="Q89" i="2"/>
  <c r="Q87" i="2" s="1"/>
  <c r="P89" i="2"/>
  <c r="P87" i="2" s="1"/>
  <c r="O89" i="2"/>
  <c r="O87" i="2" s="1"/>
  <c r="N89" i="2"/>
  <c r="N87" i="2" s="1"/>
  <c r="M89" i="2"/>
  <c r="M87" i="2" s="1"/>
  <c r="L89" i="2"/>
  <c r="L87" i="2" s="1"/>
  <c r="K89" i="2"/>
  <c r="K87" i="2" s="1"/>
  <c r="J89" i="2"/>
  <c r="J87" i="2" s="1"/>
  <c r="I89" i="2"/>
  <c r="I87" i="2" s="1"/>
  <c r="H89" i="2"/>
  <c r="H87" i="2" s="1"/>
  <c r="G89" i="2"/>
  <c r="G87" i="2" s="1"/>
  <c r="F89" i="2"/>
  <c r="F87" i="2" s="1"/>
  <c r="E89" i="2"/>
  <c r="E87" i="2" s="1"/>
  <c r="D89" i="2"/>
  <c r="D87" i="2" s="1"/>
  <c r="C89" i="2"/>
  <c r="C87" i="2" s="1"/>
  <c r="B89" i="2"/>
  <c r="B87" i="2" s="1"/>
  <c r="BA49" i="2"/>
  <c r="AZ49" i="2"/>
  <c r="AY49" i="2"/>
  <c r="AX49" i="2"/>
  <c r="AW49" i="2"/>
  <c r="AV49" i="2"/>
  <c r="AU49" i="2"/>
  <c r="AT49" i="2"/>
  <c r="AS49" i="2"/>
  <c r="AR49" i="2"/>
  <c r="AQ49" i="2"/>
  <c r="AP49" i="2"/>
  <c r="AO49" i="2"/>
  <c r="AN49" i="2"/>
  <c r="AM49" i="2"/>
  <c r="AL49" i="2"/>
  <c r="AK49" i="2"/>
  <c r="AJ49" i="2"/>
  <c r="AI49" i="2"/>
  <c r="AH49" i="2"/>
  <c r="AG49" i="2"/>
  <c r="AF49" i="2"/>
  <c r="AE49" i="2"/>
  <c r="AD49" i="2"/>
  <c r="AC49" i="2"/>
  <c r="AB49" i="2"/>
  <c r="AA49" i="2"/>
  <c r="Z49" i="2"/>
  <c r="Y49" i="2"/>
  <c r="X49" i="2"/>
  <c r="W49" i="2"/>
  <c r="V49" i="2"/>
  <c r="U49" i="2"/>
  <c r="T49" i="2"/>
  <c r="S49" i="2"/>
  <c r="R49" i="2"/>
  <c r="Q49" i="2"/>
  <c r="P49" i="2"/>
  <c r="O49" i="2"/>
  <c r="N49" i="2"/>
  <c r="M49" i="2"/>
  <c r="L49" i="2"/>
  <c r="K49" i="2"/>
  <c r="J49" i="2"/>
  <c r="I49" i="2"/>
  <c r="H49" i="2"/>
  <c r="G49" i="2"/>
  <c r="F49" i="2"/>
  <c r="E49" i="2"/>
  <c r="D49" i="2"/>
  <c r="C49" i="2"/>
  <c r="B49" i="2"/>
  <c r="AD44" i="2"/>
  <c r="AX65" i="119" s="1"/>
  <c r="Y61" i="30" s="1"/>
  <c r="Q44" i="2"/>
  <c r="P44" i="2"/>
  <c r="O44" i="2"/>
  <c r="N44" i="2"/>
  <c r="M44" i="2"/>
  <c r="L44" i="2"/>
  <c r="K44" i="2"/>
  <c r="J44" i="2"/>
  <c r="I44" i="2"/>
  <c r="H44" i="2"/>
  <c r="G44" i="2"/>
  <c r="F44" i="2"/>
  <c r="E44" i="2"/>
  <c r="D44" i="2"/>
  <c r="C44" i="2"/>
  <c r="B44" i="2"/>
  <c r="BA65" i="2"/>
  <c r="EZ65" i="2" s="1"/>
  <c r="AZ65" i="2"/>
  <c r="AY65" i="2"/>
  <c r="AX65" i="2"/>
  <c r="AW65" i="2"/>
  <c r="EY65" i="2" s="1"/>
  <c r="AV65" i="2"/>
  <c r="AU65" i="2"/>
  <c r="AT65" i="2"/>
  <c r="AS65" i="2"/>
  <c r="EX65" i="2" s="1"/>
  <c r="AR65" i="2"/>
  <c r="AQ65" i="2"/>
  <c r="AP65" i="2"/>
  <c r="AO65" i="2"/>
  <c r="EW65" i="2" s="1"/>
  <c r="AN65" i="2"/>
  <c r="AM65" i="2"/>
  <c r="AL65" i="2"/>
  <c r="AK65" i="2"/>
  <c r="EV65" i="2" s="1"/>
  <c r="AJ65" i="2"/>
  <c r="AI65" i="2"/>
  <c r="AH65" i="2"/>
  <c r="AG65" i="2"/>
  <c r="EU65" i="2" s="1"/>
  <c r="AF65" i="2"/>
  <c r="AE65" i="2"/>
  <c r="AD65" i="2"/>
  <c r="AC65" i="2"/>
  <c r="ET65" i="2" s="1"/>
  <c r="AB65" i="2"/>
  <c r="AA65" i="2"/>
  <c r="Z65" i="2"/>
  <c r="Y65" i="2"/>
  <c r="ES65" i="2" s="1"/>
  <c r="X65" i="2"/>
  <c r="W65" i="2"/>
  <c r="V65" i="2"/>
  <c r="U65" i="2"/>
  <c r="ER65" i="2" s="1"/>
  <c r="T65" i="2"/>
  <c r="S65" i="2"/>
  <c r="R65" i="2"/>
  <c r="Q65" i="2"/>
  <c r="EQ65" i="2" s="1"/>
  <c r="P65" i="2"/>
  <c r="O65" i="2"/>
  <c r="N65" i="2"/>
  <c r="M65" i="2"/>
  <c r="EP65" i="2" s="1"/>
  <c r="L65" i="2"/>
  <c r="K65" i="2"/>
  <c r="J65" i="2"/>
  <c r="I65" i="2"/>
  <c r="EO65" i="2" s="1"/>
  <c r="H65" i="2"/>
  <c r="G65" i="2"/>
  <c r="F65" i="2"/>
  <c r="E65" i="2"/>
  <c r="EN65" i="2" s="1"/>
  <c r="D65" i="2"/>
  <c r="C65" i="2"/>
  <c r="B65" i="2"/>
  <c r="BA25" i="2"/>
  <c r="AZ25" i="2"/>
  <c r="AY25" i="2"/>
  <c r="AX25" i="2"/>
  <c r="AW25" i="2"/>
  <c r="AV25" i="2"/>
  <c r="AU25" i="2"/>
  <c r="AT25" i="2"/>
  <c r="AS25" i="2"/>
  <c r="AR25" i="2"/>
  <c r="AQ25" i="2"/>
  <c r="AP25" i="2"/>
  <c r="AO25" i="2"/>
  <c r="AN25" i="2"/>
  <c r="AM25" i="2"/>
  <c r="AL25" i="2"/>
  <c r="AK25" i="2"/>
  <c r="AJ25" i="2"/>
  <c r="AI25" i="2"/>
  <c r="AH25" i="2"/>
  <c r="AG25" i="2"/>
  <c r="AF25" i="2"/>
  <c r="AE25" i="2"/>
  <c r="AD25" i="2"/>
  <c r="AC25" i="2"/>
  <c r="AB25" i="2"/>
  <c r="AA25" i="2"/>
  <c r="Z25" i="2"/>
  <c r="Y25" i="2"/>
  <c r="X25" i="2"/>
  <c r="W25" i="2"/>
  <c r="V25" i="2"/>
  <c r="U25" i="2"/>
  <c r="T25" i="2"/>
  <c r="S25" i="2"/>
  <c r="R25" i="2"/>
  <c r="Q25" i="2"/>
  <c r="P25" i="2"/>
  <c r="O25" i="2"/>
  <c r="N25" i="2"/>
  <c r="M25" i="2"/>
  <c r="L25" i="2"/>
  <c r="K25" i="2"/>
  <c r="J25" i="2"/>
  <c r="I25" i="2"/>
  <c r="H25" i="2"/>
  <c r="G25" i="2"/>
  <c r="F25" i="2"/>
  <c r="E25" i="2"/>
  <c r="D25" i="2"/>
  <c r="C25" i="2"/>
  <c r="B25" i="2"/>
  <c r="BA18" i="2"/>
  <c r="BU45" i="119" s="1"/>
  <c r="AV43" i="30" s="1"/>
  <c r="AZ18" i="2"/>
  <c r="BT45" i="119" s="1"/>
  <c r="AU43" i="30" s="1"/>
  <c r="AY18" i="2"/>
  <c r="BS45" i="119" s="1"/>
  <c r="AT43" i="30" s="1"/>
  <c r="AX18" i="2"/>
  <c r="BR45" i="119" s="1"/>
  <c r="AS43" i="30" s="1"/>
  <c r="AW18" i="2"/>
  <c r="BQ45" i="119" s="1"/>
  <c r="AR43" i="30" s="1"/>
  <c r="AV18" i="2"/>
  <c r="BP45" i="119" s="1"/>
  <c r="AQ43" i="30" s="1"/>
  <c r="AU18" i="2"/>
  <c r="BO45" i="119" s="1"/>
  <c r="AP43" i="30" s="1"/>
  <c r="AT18" i="2"/>
  <c r="BN45" i="119" s="1"/>
  <c r="AO43" i="30" s="1"/>
  <c r="AS18" i="2"/>
  <c r="BM45" i="119" s="1"/>
  <c r="AN43" i="30" s="1"/>
  <c r="AR18" i="2"/>
  <c r="BL45" i="119" s="1"/>
  <c r="AM43" i="30" s="1"/>
  <c r="AQ18" i="2"/>
  <c r="BK45" i="119" s="1"/>
  <c r="AL43" i="30" s="1"/>
  <c r="AP18" i="2"/>
  <c r="BJ45" i="119" s="1"/>
  <c r="AK43" i="30" s="1"/>
  <c r="AO18" i="2"/>
  <c r="BI45" i="119" s="1"/>
  <c r="AJ43" i="30" s="1"/>
  <c r="AN18" i="2"/>
  <c r="BH45" i="119" s="1"/>
  <c r="AI43" i="30" s="1"/>
  <c r="AM18" i="2"/>
  <c r="BG45" i="119" s="1"/>
  <c r="AH43" i="30" s="1"/>
  <c r="AL18" i="2"/>
  <c r="BF45" i="119" s="1"/>
  <c r="AG43" i="30" s="1"/>
  <c r="AK18" i="2"/>
  <c r="BE45" i="119" s="1"/>
  <c r="AF43" i="30" s="1"/>
  <c r="AJ18" i="2"/>
  <c r="BD45" i="119" s="1"/>
  <c r="AE43" i="30" s="1"/>
  <c r="AI18" i="2"/>
  <c r="BC45" i="119" s="1"/>
  <c r="AD43" i="30" s="1"/>
  <c r="AH18" i="2"/>
  <c r="BB45" i="119" s="1"/>
  <c r="AC43" i="30" s="1"/>
  <c r="AG18" i="2"/>
  <c r="BA45" i="119" s="1"/>
  <c r="AB43" i="30" s="1"/>
  <c r="AF18" i="2"/>
  <c r="AZ45" i="119" s="1"/>
  <c r="AA43" i="30" s="1"/>
  <c r="AE18" i="2"/>
  <c r="AY45" i="119" s="1"/>
  <c r="Z43" i="30" s="1"/>
  <c r="AD18" i="2"/>
  <c r="AX45" i="119" s="1"/>
  <c r="Y43" i="30" s="1"/>
  <c r="AC18" i="2"/>
  <c r="AW45" i="119" s="1"/>
  <c r="AB18" i="2"/>
  <c r="AV45" i="119" s="1"/>
  <c r="AA18" i="2"/>
  <c r="AU45" i="119" s="1"/>
  <c r="Z18" i="2"/>
  <c r="AT45" i="119" s="1"/>
  <c r="Y18" i="2"/>
  <c r="AS45" i="119" s="1"/>
  <c r="X18" i="2"/>
  <c r="AR45" i="119" s="1"/>
  <c r="W18" i="2"/>
  <c r="AQ45" i="119" s="1"/>
  <c r="V18" i="2"/>
  <c r="U18" i="2"/>
  <c r="AO45" i="119" s="1"/>
  <c r="T18" i="2"/>
  <c r="AN45" i="119" s="1"/>
  <c r="S18" i="2"/>
  <c r="AM45" i="119" s="1"/>
  <c r="R18" i="2"/>
  <c r="AL45" i="119" s="1"/>
  <c r="Q18" i="2"/>
  <c r="Q61" i="2" s="1"/>
  <c r="P18" i="2"/>
  <c r="P61" i="2" s="1"/>
  <c r="O18" i="2"/>
  <c r="N18" i="2"/>
  <c r="M18" i="2"/>
  <c r="M61" i="2" s="1"/>
  <c r="L18" i="2"/>
  <c r="L61" i="2" s="1"/>
  <c r="K18" i="2"/>
  <c r="K61" i="2" s="1"/>
  <c r="J18" i="2"/>
  <c r="I18" i="2"/>
  <c r="I61" i="2" s="1"/>
  <c r="H18" i="2"/>
  <c r="H61" i="2" s="1"/>
  <c r="G18" i="2"/>
  <c r="G61" i="2" s="1"/>
  <c r="F18" i="2"/>
  <c r="E18" i="2"/>
  <c r="E61" i="2" s="1"/>
  <c r="D18" i="2"/>
  <c r="D61" i="2" s="1"/>
  <c r="C18" i="2"/>
  <c r="C61" i="2" s="1"/>
  <c r="B18" i="2"/>
  <c r="B61" i="2" s="1"/>
  <c r="BA63" i="2"/>
  <c r="AZ63" i="2"/>
  <c r="AY63" i="2"/>
  <c r="AX63" i="2"/>
  <c r="AW63" i="2"/>
  <c r="EY63" i="2" s="1"/>
  <c r="AV63" i="2"/>
  <c r="AU63" i="2"/>
  <c r="AT63" i="2"/>
  <c r="AS63" i="2"/>
  <c r="AR63" i="2"/>
  <c r="AQ63" i="2"/>
  <c r="AP63" i="2"/>
  <c r="AO63" i="2"/>
  <c r="EW63" i="2" s="1"/>
  <c r="AN63" i="2"/>
  <c r="AM63" i="2"/>
  <c r="AL63" i="2"/>
  <c r="AK63" i="2"/>
  <c r="EV63" i="2" s="1"/>
  <c r="AJ63" i="2"/>
  <c r="AI63" i="2"/>
  <c r="AH63" i="2"/>
  <c r="AG63" i="2"/>
  <c r="AF63" i="2"/>
  <c r="AE63" i="2"/>
  <c r="AD63" i="2"/>
  <c r="AC63" i="2"/>
  <c r="AB63" i="2"/>
  <c r="AA63" i="2"/>
  <c r="Z63" i="2"/>
  <c r="Y63" i="2"/>
  <c r="X63" i="2"/>
  <c r="W63" i="2"/>
  <c r="V63" i="2"/>
  <c r="U63" i="2"/>
  <c r="T63" i="2"/>
  <c r="S63" i="2"/>
  <c r="R63" i="2"/>
  <c r="Q63" i="2"/>
  <c r="P63" i="2"/>
  <c r="O63" i="2"/>
  <c r="N63" i="2"/>
  <c r="M63" i="2"/>
  <c r="L63" i="2"/>
  <c r="K63" i="2"/>
  <c r="J63" i="2"/>
  <c r="I63" i="2"/>
  <c r="H63" i="2"/>
  <c r="G63" i="2"/>
  <c r="F63" i="2"/>
  <c r="E63" i="2"/>
  <c r="D63" i="2"/>
  <c r="C63" i="2"/>
  <c r="B63" i="2"/>
  <c r="BA62" i="2"/>
  <c r="AZ62" i="2"/>
  <c r="AY62" i="2"/>
  <c r="AX62" i="2"/>
  <c r="AW62" i="2"/>
  <c r="AV62" i="2"/>
  <c r="AU62" i="2"/>
  <c r="AT62" i="2"/>
  <c r="AS62" i="2"/>
  <c r="AR62" i="2"/>
  <c r="AQ62" i="2"/>
  <c r="AP62" i="2"/>
  <c r="AO62" i="2"/>
  <c r="AN62" i="2"/>
  <c r="AM62" i="2"/>
  <c r="AL62" i="2"/>
  <c r="AK62" i="2"/>
  <c r="EV62" i="2" s="1"/>
  <c r="AJ62" i="2"/>
  <c r="AI62" i="2"/>
  <c r="AH62" i="2"/>
  <c r="AG62" i="2"/>
  <c r="AF62" i="2"/>
  <c r="AE62" i="2"/>
  <c r="AD62" i="2"/>
  <c r="AC62" i="2"/>
  <c r="AB62" i="2"/>
  <c r="AA62" i="2"/>
  <c r="Z62" i="2"/>
  <c r="Y62" i="2"/>
  <c r="X62" i="2"/>
  <c r="W62" i="2"/>
  <c r="V62" i="2"/>
  <c r="U62" i="2"/>
  <c r="T62" i="2"/>
  <c r="S62" i="2"/>
  <c r="R62" i="2"/>
  <c r="Q62" i="2"/>
  <c r="P62" i="2"/>
  <c r="O62" i="2"/>
  <c r="N62" i="2"/>
  <c r="M62" i="2"/>
  <c r="L62" i="2"/>
  <c r="K62" i="2"/>
  <c r="J62" i="2"/>
  <c r="I62" i="2"/>
  <c r="H62" i="2"/>
  <c r="G62" i="2"/>
  <c r="F62" i="2"/>
  <c r="E62" i="2"/>
  <c r="D62" i="2"/>
  <c r="C62" i="2"/>
  <c r="B62" i="2"/>
  <c r="BY49" i="2"/>
  <c r="BZ24" i="3"/>
  <c r="CT94" i="119" s="1"/>
  <c r="BU85" i="30" s="1"/>
  <c r="BV24" i="3"/>
  <c r="CP94" i="119" s="1"/>
  <c r="BQ85" i="30" s="1"/>
  <c r="BR24" i="3"/>
  <c r="CL94" i="119" s="1"/>
  <c r="BM85" i="30" s="1"/>
  <c r="BN24" i="3"/>
  <c r="CH94" i="119" s="1"/>
  <c r="BI85" i="30" s="1"/>
  <c r="BJ24" i="3"/>
  <c r="CD94" i="119" s="1"/>
  <c r="BE85" i="30" s="1"/>
  <c r="BF24" i="3"/>
  <c r="BG35" i="6"/>
  <c r="BG91" i="6"/>
  <c r="BG72" i="6"/>
  <c r="BG54" i="6"/>
  <c r="BG90" i="6"/>
  <c r="BG71" i="6"/>
  <c r="BG53" i="6"/>
  <c r="BG89" i="6"/>
  <c r="BG70" i="6"/>
  <c r="BG52" i="6"/>
  <c r="BG88" i="6"/>
  <c r="BG69" i="6"/>
  <c r="BG51" i="6"/>
  <c r="BG87" i="6"/>
  <c r="BG68" i="6"/>
  <c r="BG50" i="6"/>
  <c r="EF33" i="6"/>
  <c r="EE33" i="6"/>
  <c r="ED33" i="6"/>
  <c r="EC33" i="6"/>
  <c r="EB33" i="6"/>
  <c r="EA33" i="6"/>
  <c r="DZ33" i="6"/>
  <c r="DY33" i="6"/>
  <c r="DX33" i="6"/>
  <c r="DW33" i="6"/>
  <c r="DV33" i="6"/>
  <c r="DU33" i="6"/>
  <c r="DT33" i="6"/>
  <c r="DS33" i="6"/>
  <c r="EF32" i="6"/>
  <c r="EE32" i="6"/>
  <c r="ED32" i="6"/>
  <c r="EC32" i="6"/>
  <c r="EB32" i="6"/>
  <c r="EA32" i="6"/>
  <c r="DZ32" i="6"/>
  <c r="DY32" i="6"/>
  <c r="DX32" i="6"/>
  <c r="DW32" i="6"/>
  <c r="DV32" i="6"/>
  <c r="DU32" i="6"/>
  <c r="DT32" i="6"/>
  <c r="DS32" i="6"/>
  <c r="EF31" i="6"/>
  <c r="EE31" i="6"/>
  <c r="ED31" i="6"/>
  <c r="EC31" i="6"/>
  <c r="EB31" i="6"/>
  <c r="EA31" i="6"/>
  <c r="DZ31" i="6"/>
  <c r="DY31" i="6"/>
  <c r="DX31" i="6"/>
  <c r="DW31" i="6"/>
  <c r="DV31" i="6"/>
  <c r="DU31" i="6"/>
  <c r="DT31" i="6"/>
  <c r="DS31" i="6"/>
  <c r="EF30" i="6"/>
  <c r="EE30" i="6"/>
  <c r="ED30" i="6"/>
  <c r="EC30" i="6"/>
  <c r="EB30" i="6"/>
  <c r="EA30" i="6"/>
  <c r="DZ30" i="6"/>
  <c r="DY30" i="6"/>
  <c r="DX30" i="6"/>
  <c r="DW30" i="6"/>
  <c r="DV30" i="6"/>
  <c r="DU30" i="6"/>
  <c r="DT30" i="6"/>
  <c r="DS30" i="6"/>
  <c r="EF29" i="6"/>
  <c r="EE29" i="6"/>
  <c r="ED29" i="6"/>
  <c r="EC29" i="6"/>
  <c r="EB29" i="6"/>
  <c r="EA29" i="6"/>
  <c r="DZ29" i="6"/>
  <c r="DY29" i="6"/>
  <c r="DX29" i="6"/>
  <c r="DW29" i="6"/>
  <c r="DV29" i="6"/>
  <c r="DU29" i="6"/>
  <c r="DT29" i="6"/>
  <c r="DS29" i="6"/>
  <c r="AS87" i="6"/>
  <c r="AR87" i="6"/>
  <c r="AQ87" i="6"/>
  <c r="AP87" i="6"/>
  <c r="AO87" i="6"/>
  <c r="AN87" i="6"/>
  <c r="AM87" i="6"/>
  <c r="AL87" i="6"/>
  <c r="AK87" i="6"/>
  <c r="AJ87" i="6"/>
  <c r="AI87" i="6"/>
  <c r="AH87" i="6"/>
  <c r="AG87" i="6"/>
  <c r="AF87" i="6"/>
  <c r="AE87" i="6"/>
  <c r="AD87" i="6"/>
  <c r="AC87" i="6"/>
  <c r="AB87" i="6"/>
  <c r="AA87" i="6"/>
  <c r="Z87" i="6"/>
  <c r="Y87" i="6"/>
  <c r="X87" i="6"/>
  <c r="W87" i="6"/>
  <c r="V87" i="6"/>
  <c r="U87" i="6"/>
  <c r="T87" i="6"/>
  <c r="S87" i="6"/>
  <c r="R87" i="6"/>
  <c r="Q87" i="6"/>
  <c r="P87" i="6"/>
  <c r="O87" i="6"/>
  <c r="N87" i="6"/>
  <c r="M87" i="6"/>
  <c r="L87" i="6"/>
  <c r="K87" i="6"/>
  <c r="J87" i="6"/>
  <c r="I87" i="6"/>
  <c r="H87" i="6"/>
  <c r="G87" i="6"/>
  <c r="AS68" i="6"/>
  <c r="AR68" i="6"/>
  <c r="AQ68" i="6"/>
  <c r="AP68" i="6"/>
  <c r="AO68" i="6"/>
  <c r="AN68" i="6"/>
  <c r="AM68" i="6"/>
  <c r="AL68" i="6"/>
  <c r="AK68" i="6"/>
  <c r="AJ68" i="6"/>
  <c r="AI68" i="6"/>
  <c r="AH68" i="6"/>
  <c r="AG68" i="6"/>
  <c r="AF68" i="6"/>
  <c r="AE68" i="6"/>
  <c r="AD68" i="6"/>
  <c r="AC68" i="6"/>
  <c r="AB68" i="6"/>
  <c r="AA68" i="6"/>
  <c r="Z68" i="6"/>
  <c r="Y68" i="6"/>
  <c r="X68" i="6"/>
  <c r="W68" i="6"/>
  <c r="V68" i="6"/>
  <c r="U68" i="6"/>
  <c r="T68" i="6"/>
  <c r="S68" i="6"/>
  <c r="R68" i="6"/>
  <c r="Q68" i="6"/>
  <c r="P68" i="6"/>
  <c r="O68" i="6"/>
  <c r="N68" i="6"/>
  <c r="M68" i="6"/>
  <c r="L68" i="6"/>
  <c r="K68" i="6"/>
  <c r="J68" i="6"/>
  <c r="I68" i="6"/>
  <c r="H68" i="6"/>
  <c r="G68" i="6"/>
  <c r="AS50" i="6"/>
  <c r="AR50" i="6"/>
  <c r="AQ50" i="6"/>
  <c r="AP50" i="6"/>
  <c r="AO50" i="6"/>
  <c r="AN50" i="6"/>
  <c r="AM50" i="6"/>
  <c r="AL50" i="6"/>
  <c r="AK50" i="6"/>
  <c r="AJ50" i="6"/>
  <c r="AI50" i="6"/>
  <c r="AH50" i="6"/>
  <c r="AG50" i="6"/>
  <c r="AF50" i="6"/>
  <c r="AE50" i="6"/>
  <c r="AD50" i="6"/>
  <c r="AC50" i="6"/>
  <c r="AB50" i="6"/>
  <c r="AA50" i="6"/>
  <c r="Z50" i="6"/>
  <c r="Y50" i="6"/>
  <c r="X50" i="6"/>
  <c r="W50" i="6"/>
  <c r="V50" i="6"/>
  <c r="U50" i="6"/>
  <c r="T50" i="6"/>
  <c r="S50" i="6"/>
  <c r="R50" i="6"/>
  <c r="Q50" i="6"/>
  <c r="P50" i="6"/>
  <c r="O50" i="6"/>
  <c r="N50" i="6"/>
  <c r="M50" i="6"/>
  <c r="L50" i="6"/>
  <c r="K50" i="6"/>
  <c r="J50" i="6"/>
  <c r="I50" i="6"/>
  <c r="H50" i="6"/>
  <c r="G50" i="6"/>
  <c r="AS88" i="6"/>
  <c r="AR88" i="6"/>
  <c r="AQ88" i="6"/>
  <c r="AP88" i="6"/>
  <c r="AO88" i="6"/>
  <c r="AN88" i="6"/>
  <c r="AM88" i="6"/>
  <c r="AL88" i="6"/>
  <c r="AK88" i="6"/>
  <c r="AJ88" i="6"/>
  <c r="AI88" i="6"/>
  <c r="AH88" i="6"/>
  <c r="AG88" i="6"/>
  <c r="AF88" i="6"/>
  <c r="AE88" i="6"/>
  <c r="AD88" i="6"/>
  <c r="AC88" i="6"/>
  <c r="AB88" i="6"/>
  <c r="AA88" i="6"/>
  <c r="Z88" i="6"/>
  <c r="Y88" i="6"/>
  <c r="X88" i="6"/>
  <c r="W88" i="6"/>
  <c r="V88" i="6"/>
  <c r="U88" i="6"/>
  <c r="T88" i="6"/>
  <c r="S88" i="6"/>
  <c r="R88" i="6"/>
  <c r="Q88" i="6"/>
  <c r="P88" i="6"/>
  <c r="O88" i="6"/>
  <c r="N88" i="6"/>
  <c r="M88" i="6"/>
  <c r="L88" i="6"/>
  <c r="K88" i="6"/>
  <c r="J88" i="6"/>
  <c r="I88" i="6"/>
  <c r="H88" i="6"/>
  <c r="G88" i="6"/>
  <c r="AS69" i="6"/>
  <c r="AR69" i="6"/>
  <c r="AQ69" i="6"/>
  <c r="AP69" i="6"/>
  <c r="AO69" i="6"/>
  <c r="AN69" i="6"/>
  <c r="AM69" i="6"/>
  <c r="AL69" i="6"/>
  <c r="AK69" i="6"/>
  <c r="AJ69" i="6"/>
  <c r="AI69" i="6"/>
  <c r="AH69" i="6"/>
  <c r="AG69" i="6"/>
  <c r="AF69" i="6"/>
  <c r="AE69" i="6"/>
  <c r="AD69" i="6"/>
  <c r="AC69" i="6"/>
  <c r="AB69" i="6"/>
  <c r="AA69" i="6"/>
  <c r="Z69" i="6"/>
  <c r="Y69" i="6"/>
  <c r="X69" i="6"/>
  <c r="W69" i="6"/>
  <c r="V69" i="6"/>
  <c r="U69" i="6"/>
  <c r="T69" i="6"/>
  <c r="S69" i="6"/>
  <c r="R69" i="6"/>
  <c r="Q69" i="6"/>
  <c r="P69" i="6"/>
  <c r="O69" i="6"/>
  <c r="N69" i="6"/>
  <c r="M69" i="6"/>
  <c r="L69" i="6"/>
  <c r="K69" i="6"/>
  <c r="J69" i="6"/>
  <c r="I69" i="6"/>
  <c r="H69" i="6"/>
  <c r="G69" i="6"/>
  <c r="AS51" i="6"/>
  <c r="AR51" i="6"/>
  <c r="AQ51" i="6"/>
  <c r="AP51" i="6"/>
  <c r="AO51" i="6"/>
  <c r="AN51" i="6"/>
  <c r="AM51" i="6"/>
  <c r="AL51" i="6"/>
  <c r="AK51" i="6"/>
  <c r="AJ51" i="6"/>
  <c r="AI51" i="6"/>
  <c r="AH51" i="6"/>
  <c r="AG51" i="6"/>
  <c r="AF51" i="6"/>
  <c r="AE51" i="6"/>
  <c r="AD51" i="6"/>
  <c r="AC51" i="6"/>
  <c r="AB51" i="6"/>
  <c r="AA51" i="6"/>
  <c r="Z51" i="6"/>
  <c r="Y51" i="6"/>
  <c r="X51" i="6"/>
  <c r="W51" i="6"/>
  <c r="V51" i="6"/>
  <c r="U51" i="6"/>
  <c r="T51" i="6"/>
  <c r="S51" i="6"/>
  <c r="R51" i="6"/>
  <c r="Q51" i="6"/>
  <c r="P51" i="6"/>
  <c r="O51" i="6"/>
  <c r="N51" i="6"/>
  <c r="M51" i="6"/>
  <c r="L51" i="6"/>
  <c r="K51" i="6"/>
  <c r="J51" i="6"/>
  <c r="I51" i="6"/>
  <c r="H51" i="6"/>
  <c r="G51" i="6"/>
  <c r="AS90" i="6"/>
  <c r="AR90" i="6"/>
  <c r="AQ90" i="6"/>
  <c r="AP90" i="6"/>
  <c r="AO90" i="6"/>
  <c r="AN90" i="6"/>
  <c r="AM90" i="6"/>
  <c r="AL90" i="6"/>
  <c r="AK90" i="6"/>
  <c r="AJ90" i="6"/>
  <c r="AI90" i="6"/>
  <c r="AH90" i="6"/>
  <c r="AG90" i="6"/>
  <c r="AF90" i="6"/>
  <c r="AE90" i="6"/>
  <c r="AD90" i="6"/>
  <c r="AC90" i="6"/>
  <c r="AB90" i="6"/>
  <c r="AA90" i="6"/>
  <c r="Z90" i="6"/>
  <c r="Y90" i="6"/>
  <c r="X90" i="6"/>
  <c r="W90" i="6"/>
  <c r="V90" i="6"/>
  <c r="U90" i="6"/>
  <c r="T90" i="6"/>
  <c r="S90" i="6"/>
  <c r="R90" i="6"/>
  <c r="Q90" i="6"/>
  <c r="P90" i="6"/>
  <c r="O90" i="6"/>
  <c r="N90" i="6"/>
  <c r="M90" i="6"/>
  <c r="L90" i="6"/>
  <c r="K90" i="6"/>
  <c r="J90" i="6"/>
  <c r="I90" i="6"/>
  <c r="H90" i="6"/>
  <c r="G90" i="6"/>
  <c r="AS71" i="6"/>
  <c r="AR71" i="6"/>
  <c r="AQ71" i="6"/>
  <c r="AP71" i="6"/>
  <c r="AO71" i="6"/>
  <c r="AN71" i="6"/>
  <c r="AM71" i="6"/>
  <c r="AL71" i="6"/>
  <c r="AK71" i="6"/>
  <c r="AJ71" i="6"/>
  <c r="AI71" i="6"/>
  <c r="AH71" i="6"/>
  <c r="AG71" i="6"/>
  <c r="AF71" i="6"/>
  <c r="AE71" i="6"/>
  <c r="AD71" i="6"/>
  <c r="AC71" i="6"/>
  <c r="AB71" i="6"/>
  <c r="AA71" i="6"/>
  <c r="Z71" i="6"/>
  <c r="Y71" i="6"/>
  <c r="X71" i="6"/>
  <c r="W71" i="6"/>
  <c r="V71" i="6"/>
  <c r="U71" i="6"/>
  <c r="T71" i="6"/>
  <c r="S71" i="6"/>
  <c r="R71" i="6"/>
  <c r="Q71" i="6"/>
  <c r="P71" i="6"/>
  <c r="O71" i="6"/>
  <c r="N71" i="6"/>
  <c r="M71" i="6"/>
  <c r="L71" i="6"/>
  <c r="K71" i="6"/>
  <c r="J71" i="6"/>
  <c r="I71" i="6"/>
  <c r="H71" i="6"/>
  <c r="G71" i="6"/>
  <c r="AS53" i="6"/>
  <c r="AR53" i="6"/>
  <c r="AQ53" i="6"/>
  <c r="AP53" i="6"/>
  <c r="AO53" i="6"/>
  <c r="AN53" i="6"/>
  <c r="AM53" i="6"/>
  <c r="AL53" i="6"/>
  <c r="AK53" i="6"/>
  <c r="AJ53" i="6"/>
  <c r="AI53" i="6"/>
  <c r="AH53" i="6"/>
  <c r="AG53" i="6"/>
  <c r="AF53" i="6"/>
  <c r="AE53" i="6"/>
  <c r="AD53" i="6"/>
  <c r="AC53" i="6"/>
  <c r="AB53" i="6"/>
  <c r="AA53" i="6"/>
  <c r="Z53" i="6"/>
  <c r="Y53" i="6"/>
  <c r="X53" i="6"/>
  <c r="W53" i="6"/>
  <c r="V53" i="6"/>
  <c r="U53" i="6"/>
  <c r="T53" i="6"/>
  <c r="S53" i="6"/>
  <c r="R53" i="6"/>
  <c r="Q53" i="6"/>
  <c r="P53" i="6"/>
  <c r="O53" i="6"/>
  <c r="N53" i="6"/>
  <c r="M53" i="6"/>
  <c r="L53" i="6"/>
  <c r="K53" i="6"/>
  <c r="J53" i="6"/>
  <c r="I53" i="6"/>
  <c r="H53" i="6"/>
  <c r="G53" i="6"/>
  <c r="AS91" i="6"/>
  <c r="AR91" i="6"/>
  <c r="AQ91" i="6"/>
  <c r="AP91" i="6"/>
  <c r="AO91" i="6"/>
  <c r="AN91" i="6"/>
  <c r="AM91" i="6"/>
  <c r="AL91" i="6"/>
  <c r="AK91" i="6"/>
  <c r="AJ91" i="6"/>
  <c r="AI91" i="6"/>
  <c r="AH91" i="6"/>
  <c r="AG91" i="6"/>
  <c r="AF91" i="6"/>
  <c r="AE91" i="6"/>
  <c r="AD91" i="6"/>
  <c r="AC91" i="6"/>
  <c r="AB91" i="6"/>
  <c r="AA91" i="6"/>
  <c r="Z91" i="6"/>
  <c r="Y91" i="6"/>
  <c r="X91" i="6"/>
  <c r="W91" i="6"/>
  <c r="V91" i="6"/>
  <c r="U91" i="6"/>
  <c r="T91" i="6"/>
  <c r="S91" i="6"/>
  <c r="R91" i="6"/>
  <c r="Q91" i="6"/>
  <c r="P91" i="6"/>
  <c r="O91" i="6"/>
  <c r="N91" i="6"/>
  <c r="M91" i="6"/>
  <c r="L91" i="6"/>
  <c r="K91" i="6"/>
  <c r="J91" i="6"/>
  <c r="I91" i="6"/>
  <c r="H91" i="6"/>
  <c r="G91" i="6"/>
  <c r="AS72" i="6"/>
  <c r="AR72" i="6"/>
  <c r="AQ72" i="6"/>
  <c r="AP72" i="6"/>
  <c r="AO72" i="6"/>
  <c r="AN72" i="6"/>
  <c r="AM72" i="6"/>
  <c r="AL72" i="6"/>
  <c r="AK72" i="6"/>
  <c r="AJ72" i="6"/>
  <c r="AI72" i="6"/>
  <c r="AH72" i="6"/>
  <c r="AG72" i="6"/>
  <c r="AF72" i="6"/>
  <c r="AE72" i="6"/>
  <c r="AD72" i="6"/>
  <c r="AC72" i="6"/>
  <c r="AB72" i="6"/>
  <c r="AA72" i="6"/>
  <c r="Z72" i="6"/>
  <c r="Y72" i="6"/>
  <c r="X72" i="6"/>
  <c r="W72" i="6"/>
  <c r="V72" i="6"/>
  <c r="U72" i="6"/>
  <c r="T72" i="6"/>
  <c r="S72" i="6"/>
  <c r="R72" i="6"/>
  <c r="Q72" i="6"/>
  <c r="P72" i="6"/>
  <c r="O72" i="6"/>
  <c r="N72" i="6"/>
  <c r="M72" i="6"/>
  <c r="L72" i="6"/>
  <c r="K72" i="6"/>
  <c r="J72" i="6"/>
  <c r="I72" i="6"/>
  <c r="H72" i="6"/>
  <c r="G72" i="6"/>
  <c r="AS54" i="6"/>
  <c r="AR54" i="6"/>
  <c r="AQ54" i="6"/>
  <c r="AP54" i="6"/>
  <c r="AO54" i="6"/>
  <c r="AN54" i="6"/>
  <c r="AM54" i="6"/>
  <c r="AL54" i="6"/>
  <c r="AK54" i="6"/>
  <c r="AJ54" i="6"/>
  <c r="AI54" i="6"/>
  <c r="AH54" i="6"/>
  <c r="AG54" i="6"/>
  <c r="AF54" i="6"/>
  <c r="AE54" i="6"/>
  <c r="AD54" i="6"/>
  <c r="AC54" i="6"/>
  <c r="AB54" i="6"/>
  <c r="AA54" i="6"/>
  <c r="Z54" i="6"/>
  <c r="Y54" i="6"/>
  <c r="X54" i="6"/>
  <c r="W54" i="6"/>
  <c r="V54" i="6"/>
  <c r="U54" i="6"/>
  <c r="T54" i="6"/>
  <c r="S54" i="6"/>
  <c r="R54" i="6"/>
  <c r="Q54" i="6"/>
  <c r="P54" i="6"/>
  <c r="O54" i="6"/>
  <c r="N54" i="6"/>
  <c r="M54" i="6"/>
  <c r="L54" i="6"/>
  <c r="K54" i="6"/>
  <c r="J54" i="6"/>
  <c r="I54" i="6"/>
  <c r="H54" i="6"/>
  <c r="G54" i="6"/>
  <c r="F91" i="6"/>
  <c r="E91" i="6"/>
  <c r="D91" i="6"/>
  <c r="C91" i="6"/>
  <c r="B91" i="6"/>
  <c r="F72" i="6"/>
  <c r="E72" i="6"/>
  <c r="D72" i="6"/>
  <c r="C72" i="6"/>
  <c r="F54" i="6"/>
  <c r="F90" i="6"/>
  <c r="E90" i="6"/>
  <c r="D90" i="6"/>
  <c r="C90" i="6"/>
  <c r="B90" i="6"/>
  <c r="F71" i="6"/>
  <c r="E71" i="6"/>
  <c r="D71" i="6"/>
  <c r="C71" i="6"/>
  <c r="F53" i="6"/>
  <c r="F88" i="6"/>
  <c r="E88" i="6"/>
  <c r="D88" i="6"/>
  <c r="C88" i="6"/>
  <c r="B88" i="6"/>
  <c r="F69" i="6"/>
  <c r="E69" i="6"/>
  <c r="D69" i="6"/>
  <c r="C69" i="6"/>
  <c r="F51" i="6"/>
  <c r="F87" i="6"/>
  <c r="E87" i="6"/>
  <c r="D87" i="6"/>
  <c r="C87" i="6"/>
  <c r="B87" i="6"/>
  <c r="F68" i="6"/>
  <c r="E68" i="6"/>
  <c r="D68" i="6"/>
  <c r="C68" i="6"/>
  <c r="F50" i="6"/>
  <c r="BF91" i="6"/>
  <c r="BE91" i="6"/>
  <c r="BD91" i="6"/>
  <c r="BC91" i="6"/>
  <c r="BB91" i="6"/>
  <c r="BA91" i="6"/>
  <c r="AZ91" i="6"/>
  <c r="AY91" i="6"/>
  <c r="AX91" i="6"/>
  <c r="AW91" i="6"/>
  <c r="AV91" i="6"/>
  <c r="AU91" i="6"/>
  <c r="BF90" i="6"/>
  <c r="BE90" i="6"/>
  <c r="BD90" i="6"/>
  <c r="BC90" i="6"/>
  <c r="BB90" i="6"/>
  <c r="BA90" i="6"/>
  <c r="AZ90" i="6"/>
  <c r="AY90" i="6"/>
  <c r="AX90" i="6"/>
  <c r="AW90" i="6"/>
  <c r="AV90" i="6"/>
  <c r="AU90" i="6"/>
  <c r="BF89" i="6"/>
  <c r="BE89" i="6"/>
  <c r="BD89" i="6"/>
  <c r="BC89" i="6"/>
  <c r="BB89" i="6"/>
  <c r="BA89" i="6"/>
  <c r="AZ89" i="6"/>
  <c r="AY89" i="6"/>
  <c r="AX89" i="6"/>
  <c r="AW89" i="6"/>
  <c r="AV89" i="6"/>
  <c r="AU89" i="6"/>
  <c r="BF88" i="6"/>
  <c r="BE88" i="6"/>
  <c r="BD88" i="6"/>
  <c r="BC88" i="6"/>
  <c r="BB88" i="6"/>
  <c r="BA88" i="6"/>
  <c r="AZ88" i="6"/>
  <c r="AY88" i="6"/>
  <c r="AX88" i="6"/>
  <c r="AW88" i="6"/>
  <c r="AV88" i="6"/>
  <c r="AU88" i="6"/>
  <c r="BF87" i="6"/>
  <c r="BE87" i="6"/>
  <c r="BD87" i="6"/>
  <c r="BC87" i="6"/>
  <c r="BB87" i="6"/>
  <c r="BA87" i="6"/>
  <c r="AZ87" i="6"/>
  <c r="AY87" i="6"/>
  <c r="AX87" i="6"/>
  <c r="AW87" i="6"/>
  <c r="AV87" i="6"/>
  <c r="AU87" i="6"/>
  <c r="AT91" i="6"/>
  <c r="AT90" i="6"/>
  <c r="AT89" i="6"/>
  <c r="AT88" i="6"/>
  <c r="AT87" i="6"/>
  <c r="BF72" i="6"/>
  <c r="BE72" i="6"/>
  <c r="BD72" i="6"/>
  <c r="BC72" i="6"/>
  <c r="BB72" i="6"/>
  <c r="BA72" i="6"/>
  <c r="AZ72" i="6"/>
  <c r="AY72" i="6"/>
  <c r="AX72" i="6"/>
  <c r="AW72" i="6"/>
  <c r="AV72" i="6"/>
  <c r="AU72" i="6"/>
  <c r="BF54" i="6"/>
  <c r="BE54" i="6"/>
  <c r="BD54" i="6"/>
  <c r="BC54" i="6"/>
  <c r="BB54" i="6"/>
  <c r="BA54" i="6"/>
  <c r="AZ54" i="6"/>
  <c r="AY54" i="6"/>
  <c r="AX54" i="6"/>
  <c r="BF71" i="6"/>
  <c r="BE71" i="6"/>
  <c r="BD71" i="6"/>
  <c r="BC71" i="6"/>
  <c r="BB71" i="6"/>
  <c r="BA71" i="6"/>
  <c r="AZ71" i="6"/>
  <c r="AY71" i="6"/>
  <c r="AX71" i="6"/>
  <c r="AW71" i="6"/>
  <c r="AV71" i="6"/>
  <c r="AU71" i="6"/>
  <c r="BF53" i="6"/>
  <c r="BE53" i="6"/>
  <c r="BD53" i="6"/>
  <c r="BC53" i="6"/>
  <c r="BB53" i="6"/>
  <c r="BA53" i="6"/>
  <c r="AZ53" i="6"/>
  <c r="AY53" i="6"/>
  <c r="AX53" i="6"/>
  <c r="BF70" i="6"/>
  <c r="BE70" i="6"/>
  <c r="BD70" i="6"/>
  <c r="BC70" i="6"/>
  <c r="BB70" i="6"/>
  <c r="BA70" i="6"/>
  <c r="AZ70" i="6"/>
  <c r="AY70" i="6"/>
  <c r="AX70" i="6"/>
  <c r="AW70" i="6"/>
  <c r="AV70" i="6"/>
  <c r="AU70" i="6"/>
  <c r="BF52" i="6"/>
  <c r="BE52" i="6"/>
  <c r="BD52" i="6"/>
  <c r="BC52" i="6"/>
  <c r="BB52" i="6"/>
  <c r="BA52" i="6"/>
  <c r="AZ52" i="6"/>
  <c r="AY52" i="6"/>
  <c r="AX52" i="6"/>
  <c r="BF69" i="6"/>
  <c r="BE69" i="6"/>
  <c r="BD69" i="6"/>
  <c r="BC69" i="6"/>
  <c r="BB69" i="6"/>
  <c r="BA69" i="6"/>
  <c r="AZ69" i="6"/>
  <c r="AY69" i="6"/>
  <c r="AX69" i="6"/>
  <c r="AW69" i="6"/>
  <c r="AV69" i="6"/>
  <c r="AU69" i="6"/>
  <c r="BF51" i="6"/>
  <c r="BE51" i="6"/>
  <c r="BD51" i="6"/>
  <c r="BC51" i="6"/>
  <c r="BB51" i="6"/>
  <c r="BA51" i="6"/>
  <c r="AZ51" i="6"/>
  <c r="AY51" i="6"/>
  <c r="AX51" i="6"/>
  <c r="BF68" i="6"/>
  <c r="BE68" i="6"/>
  <c r="BD68" i="6"/>
  <c r="BC68" i="6"/>
  <c r="BB68" i="6"/>
  <c r="BA68" i="6"/>
  <c r="AZ68" i="6"/>
  <c r="AY68" i="6"/>
  <c r="BF50" i="6"/>
  <c r="BE50" i="6"/>
  <c r="BD50" i="6"/>
  <c r="BC50" i="6"/>
  <c r="BB50" i="6"/>
  <c r="BA50" i="6"/>
  <c r="AZ50" i="6"/>
  <c r="AY50" i="6"/>
  <c r="AX68" i="6"/>
  <c r="AW68" i="6"/>
  <c r="AV68" i="6"/>
  <c r="AU68" i="6"/>
  <c r="AX50" i="6"/>
  <c r="BF35" i="6"/>
  <c r="BE35" i="6"/>
  <c r="BD35" i="6"/>
  <c r="BC35" i="6"/>
  <c r="BB35" i="6"/>
  <c r="BA35" i="6"/>
  <c r="AZ35" i="6"/>
  <c r="AY35" i="6"/>
  <c r="AX35" i="6"/>
  <c r="AW35" i="6"/>
  <c r="AV35" i="6"/>
  <c r="AU35" i="6"/>
  <c r="AT35" i="6"/>
  <c r="FF92" i="2"/>
  <c r="T50" i="119" s="1"/>
  <c r="T48" i="30" s="1"/>
  <c r="FE92" i="2"/>
  <c r="S50" i="119" s="1"/>
  <c r="FD92" i="2"/>
  <c r="R50" i="119" s="1"/>
  <c r="FC92" i="2"/>
  <c r="Q50" i="119" s="1"/>
  <c r="FB92" i="2"/>
  <c r="P50" i="119" s="1"/>
  <c r="P48" i="30" s="1"/>
  <c r="FA92" i="2"/>
  <c r="O50" i="119" s="1"/>
  <c r="O48" i="30" s="1"/>
  <c r="FF88" i="2"/>
  <c r="T47" i="119" s="1"/>
  <c r="FE88" i="2"/>
  <c r="S47" i="119" s="1"/>
  <c r="S45" i="30" s="1"/>
  <c r="FD88" i="2"/>
  <c r="R47" i="119" s="1"/>
  <c r="R45" i="30" s="1"/>
  <c r="FC88" i="2"/>
  <c r="Q47" i="119" s="1"/>
  <c r="Q45" i="30" s="1"/>
  <c r="FB88" i="2"/>
  <c r="P47" i="119" s="1"/>
  <c r="FA88" i="2"/>
  <c r="O47" i="119" s="1"/>
  <c r="BL93" i="2"/>
  <c r="BK93" i="2"/>
  <c r="BJ93" i="2"/>
  <c r="BI93" i="2"/>
  <c r="BH93" i="2"/>
  <c r="BG93" i="2"/>
  <c r="BF93" i="2"/>
  <c r="BE93" i="2"/>
  <c r="BD93" i="2"/>
  <c r="BC93" i="2"/>
  <c r="BB93" i="2"/>
  <c r="BP93" i="2"/>
  <c r="BO93" i="2"/>
  <c r="BN93" i="2"/>
  <c r="BM93" i="2"/>
  <c r="BU93" i="2"/>
  <c r="BT93" i="2"/>
  <c r="BS93" i="2"/>
  <c r="BR93" i="2"/>
  <c r="BQ93" i="2"/>
  <c r="BQ91" i="2" s="1"/>
  <c r="CK49" i="119" s="1"/>
  <c r="BL47" i="30" s="1"/>
  <c r="BZ93" i="2"/>
  <c r="BY93" i="2"/>
  <c r="BX93" i="2"/>
  <c r="BX91" i="2" s="1"/>
  <c r="CR49" i="119" s="1"/>
  <c r="BS47" i="30" s="1"/>
  <c r="BW93" i="2"/>
  <c r="BV93" i="2"/>
  <c r="CA93" i="2"/>
  <c r="CA89" i="2"/>
  <c r="BZ89" i="2"/>
  <c r="BY89" i="2"/>
  <c r="BX89" i="2"/>
  <c r="BW89" i="2"/>
  <c r="BV89" i="2"/>
  <c r="BU89" i="2"/>
  <c r="BT89" i="2"/>
  <c r="BS89" i="2"/>
  <c r="BR89" i="2"/>
  <c r="BQ89" i="2"/>
  <c r="BP89" i="2"/>
  <c r="BO89" i="2"/>
  <c r="BN89" i="2"/>
  <c r="BM89" i="2"/>
  <c r="BL89" i="2"/>
  <c r="BK89" i="2"/>
  <c r="BJ89" i="2"/>
  <c r="BI89" i="2"/>
  <c r="BH89" i="2"/>
  <c r="BG89" i="2"/>
  <c r="BF89" i="2"/>
  <c r="BE89" i="2"/>
  <c r="BD89" i="2"/>
  <c r="BC89" i="2"/>
  <c r="BB89" i="2"/>
  <c r="FJ45" i="3"/>
  <c r="FJ42" i="3"/>
  <c r="FJ40" i="3"/>
  <c r="FJ39" i="3"/>
  <c r="FJ38" i="3"/>
  <c r="FJ33" i="3"/>
  <c r="FJ31" i="3"/>
  <c r="FJ30" i="3"/>
  <c r="FJ29" i="3"/>
  <c r="FJ28" i="3"/>
  <c r="FJ9" i="3"/>
  <c r="FI9" i="3"/>
  <c r="FH9" i="3"/>
  <c r="FG9" i="3"/>
  <c r="FF9" i="3"/>
  <c r="FE9" i="3"/>
  <c r="FD9" i="3"/>
  <c r="FC9" i="3"/>
  <c r="FB9" i="3"/>
  <c r="FA9" i="3"/>
  <c r="EZ9" i="3"/>
  <c r="EY9" i="3"/>
  <c r="EX9" i="3"/>
  <c r="EW9" i="3"/>
  <c r="EV9" i="3"/>
  <c r="EU9" i="3"/>
  <c r="ET9" i="3"/>
  <c r="ES9" i="3"/>
  <c r="ER9" i="3"/>
  <c r="EQ9" i="3"/>
  <c r="EP9" i="3"/>
  <c r="EO9" i="3"/>
  <c r="EN9" i="3"/>
  <c r="FF11" i="2"/>
  <c r="T41" i="119" s="1"/>
  <c r="T39" i="30" s="1"/>
  <c r="FF12" i="2"/>
  <c r="FF13" i="2"/>
  <c r="T42" i="119" s="1"/>
  <c r="T40" i="30" s="1"/>
  <c r="FF14" i="2"/>
  <c r="T43" i="119" s="1"/>
  <c r="T41" i="30" s="1"/>
  <c r="FF15" i="2"/>
  <c r="FF72" i="2" s="1"/>
  <c r="FF16" i="2"/>
  <c r="FF73" i="2" s="1"/>
  <c r="FF17" i="2"/>
  <c r="FF20" i="2"/>
  <c r="T53" i="119" s="1"/>
  <c r="T51" i="30" s="1"/>
  <c r="FF21" i="2"/>
  <c r="FF22" i="2"/>
  <c r="FF23" i="2"/>
  <c r="FF93" i="2" s="1"/>
  <c r="FF24" i="2"/>
  <c r="T54" i="119" s="1"/>
  <c r="T52" i="30" s="1"/>
  <c r="FF34" i="2"/>
  <c r="FF30" i="2"/>
  <c r="T56" i="119" s="1"/>
  <c r="T54" i="30" s="1"/>
  <c r="FF31" i="2"/>
  <c r="FF75" i="2" s="1"/>
  <c r="FF32" i="2"/>
  <c r="FF33" i="2"/>
  <c r="FF37" i="2"/>
  <c r="FF38" i="2"/>
  <c r="T61" i="119" s="1"/>
  <c r="T58" i="30" s="1"/>
  <c r="FF39" i="2"/>
  <c r="FF46" i="2"/>
  <c r="FF47" i="2"/>
  <c r="FF48" i="2"/>
  <c r="FE11" i="2"/>
  <c r="S41" i="119" s="1"/>
  <c r="S39" i="30" s="1"/>
  <c r="FE12" i="2"/>
  <c r="FE13" i="2"/>
  <c r="S42" i="119" s="1"/>
  <c r="S40" i="30" s="1"/>
  <c r="FE14" i="2"/>
  <c r="S43" i="119" s="1"/>
  <c r="S41" i="30" s="1"/>
  <c r="FE15" i="2"/>
  <c r="FE16" i="2"/>
  <c r="FE17" i="2"/>
  <c r="FE20" i="2"/>
  <c r="S53" i="119" s="1"/>
  <c r="S51" i="30" s="1"/>
  <c r="FE21" i="2"/>
  <c r="FE22" i="2"/>
  <c r="FE23" i="2"/>
  <c r="FE93" i="2" s="1"/>
  <c r="FE24" i="2"/>
  <c r="S54" i="119" s="1"/>
  <c r="S52" i="30" s="1"/>
  <c r="FE34" i="2"/>
  <c r="FE30" i="2"/>
  <c r="S56" i="119" s="1"/>
  <c r="S54" i="30" s="1"/>
  <c r="FE31" i="2"/>
  <c r="FE32" i="2"/>
  <c r="FE33" i="2"/>
  <c r="FE37" i="2"/>
  <c r="FE38" i="2"/>
  <c r="S61" i="119" s="1"/>
  <c r="FE39" i="2"/>
  <c r="FE46" i="2"/>
  <c r="FE47" i="2"/>
  <c r="FE48" i="2"/>
  <c r="FD11" i="2"/>
  <c r="R41" i="119" s="1"/>
  <c r="FD12" i="2"/>
  <c r="FD13" i="2"/>
  <c r="R42" i="119" s="1"/>
  <c r="R40" i="30" s="1"/>
  <c r="FD14" i="2"/>
  <c r="R43" i="119" s="1"/>
  <c r="R41" i="30" s="1"/>
  <c r="FD15" i="2"/>
  <c r="FD16" i="2"/>
  <c r="FD17" i="2"/>
  <c r="FD20" i="2"/>
  <c r="R53" i="119" s="1"/>
  <c r="R51" i="30" s="1"/>
  <c r="FD21" i="2"/>
  <c r="FD22" i="2"/>
  <c r="FD23" i="2"/>
  <c r="FD93" i="2" s="1"/>
  <c r="FD24" i="2"/>
  <c r="R54" i="119" s="1"/>
  <c r="R52" i="30" s="1"/>
  <c r="FD34" i="2"/>
  <c r="FD30" i="2"/>
  <c r="R56" i="119" s="1"/>
  <c r="R54" i="30" s="1"/>
  <c r="FD31" i="2"/>
  <c r="FD32" i="2"/>
  <c r="FD33" i="2"/>
  <c r="FD37" i="2"/>
  <c r="FD38" i="2"/>
  <c r="FD39" i="2"/>
  <c r="FD46" i="2"/>
  <c r="FD47" i="2"/>
  <c r="FD48" i="2"/>
  <c r="FC11" i="2"/>
  <c r="Q41" i="119" s="1"/>
  <c r="FC12" i="2"/>
  <c r="FC13" i="2"/>
  <c r="Q42" i="119" s="1"/>
  <c r="Q40" i="30" s="1"/>
  <c r="FC14" i="2"/>
  <c r="Q43" i="119" s="1"/>
  <c r="Q41" i="30" s="1"/>
  <c r="FC15" i="2"/>
  <c r="FC16" i="2"/>
  <c r="FC17" i="2"/>
  <c r="FC20" i="2"/>
  <c r="Q53" i="119" s="1"/>
  <c r="Q51" i="30" s="1"/>
  <c r="FC21" i="2"/>
  <c r="FC22" i="2"/>
  <c r="FC23" i="2"/>
  <c r="FC93" i="2" s="1"/>
  <c r="FC24" i="2"/>
  <c r="Q54" i="119" s="1"/>
  <c r="Q52" i="30" s="1"/>
  <c r="FC34" i="2"/>
  <c r="FC30" i="2"/>
  <c r="Q56" i="119" s="1"/>
  <c r="Q54" i="30" s="1"/>
  <c r="FC31" i="2"/>
  <c r="FC32" i="2"/>
  <c r="FC33" i="2"/>
  <c r="FC37" i="2"/>
  <c r="FC38" i="2"/>
  <c r="FC39" i="2"/>
  <c r="FC46" i="2"/>
  <c r="FC47" i="2"/>
  <c r="FC48" i="2"/>
  <c r="FB11" i="2"/>
  <c r="P41" i="119" s="1"/>
  <c r="FB12" i="2"/>
  <c r="FB13" i="2"/>
  <c r="P42" i="119" s="1"/>
  <c r="P40" i="30" s="1"/>
  <c r="FB14" i="2"/>
  <c r="P43" i="119" s="1"/>
  <c r="P41" i="30" s="1"/>
  <c r="FB15" i="2"/>
  <c r="FB16" i="2"/>
  <c r="FB17" i="2"/>
  <c r="FB20" i="2"/>
  <c r="P53" i="119" s="1"/>
  <c r="P51" i="30" s="1"/>
  <c r="FB21" i="2"/>
  <c r="FB22" i="2"/>
  <c r="FB23" i="2"/>
  <c r="FB93" i="2" s="1"/>
  <c r="FB24" i="2"/>
  <c r="P54" i="119" s="1"/>
  <c r="P52" i="30" s="1"/>
  <c r="FB34" i="2"/>
  <c r="FB30" i="2"/>
  <c r="P56" i="119" s="1"/>
  <c r="P54" i="30" s="1"/>
  <c r="FB31" i="2"/>
  <c r="FB32" i="2"/>
  <c r="FB33" i="2"/>
  <c r="FB37" i="2"/>
  <c r="FB38" i="2"/>
  <c r="FB39" i="2"/>
  <c r="FB46" i="2"/>
  <c r="FB47" i="2"/>
  <c r="FB48" i="2"/>
  <c r="FA48" i="2"/>
  <c r="FA47" i="2"/>
  <c r="FA46" i="2"/>
  <c r="FA39" i="2"/>
  <c r="FA38" i="2"/>
  <c r="FA37" i="2"/>
  <c r="FA33" i="2"/>
  <c r="FA32" i="2"/>
  <c r="FA31" i="2"/>
  <c r="FA30" i="2"/>
  <c r="O56" i="119" s="1"/>
  <c r="O54" i="30" s="1"/>
  <c r="FA34" i="2"/>
  <c r="FA24" i="2"/>
  <c r="O54" i="119" s="1"/>
  <c r="O52" i="30" s="1"/>
  <c r="FA23" i="2"/>
  <c r="FA93" i="2" s="1"/>
  <c r="FA22" i="2"/>
  <c r="FA21" i="2"/>
  <c r="FA20" i="2"/>
  <c r="O53" i="119" s="1"/>
  <c r="O51" i="30" s="1"/>
  <c r="FA17" i="2"/>
  <c r="FA16" i="2"/>
  <c r="FA15" i="2"/>
  <c r="FA14" i="2"/>
  <c r="O43" i="119" s="1"/>
  <c r="O41" i="30" s="1"/>
  <c r="FA13" i="2"/>
  <c r="O42" i="119" s="1"/>
  <c r="O40" i="30" s="1"/>
  <c r="FA12" i="2"/>
  <c r="FA11" i="2"/>
  <c r="O41" i="119" s="1"/>
  <c r="FJ9" i="2"/>
  <c r="FI9" i="2"/>
  <c r="FH9" i="2"/>
  <c r="FG9" i="2"/>
  <c r="FF9" i="2"/>
  <c r="FE9" i="2"/>
  <c r="FD9" i="2"/>
  <c r="FC9" i="2"/>
  <c r="FB9" i="2"/>
  <c r="FA9" i="2"/>
  <c r="EZ9" i="2"/>
  <c r="EY9" i="2"/>
  <c r="EX9" i="2"/>
  <c r="EW9" i="2"/>
  <c r="EV9" i="2"/>
  <c r="EU9" i="2"/>
  <c r="ET9" i="2"/>
  <c r="ES9" i="2"/>
  <c r="ER9" i="2"/>
  <c r="EQ9" i="2"/>
  <c r="EP9" i="2"/>
  <c r="EO9" i="2"/>
  <c r="EN9" i="2"/>
  <c r="EC14" i="6"/>
  <c r="EB14" i="6"/>
  <c r="EA14" i="6"/>
  <c r="DZ14" i="6"/>
  <c r="DY14" i="6"/>
  <c r="DX14" i="6"/>
  <c r="DW14" i="6"/>
  <c r="DV14" i="6"/>
  <c r="DU14" i="6"/>
  <c r="DT14" i="6"/>
  <c r="DS14" i="6"/>
  <c r="EF13" i="6"/>
  <c r="EE13" i="6"/>
  <c r="ED13" i="6"/>
  <c r="EC13" i="6"/>
  <c r="EB13" i="6"/>
  <c r="EA13" i="6"/>
  <c r="DZ13" i="6"/>
  <c r="DY13" i="6"/>
  <c r="DX13" i="6"/>
  <c r="DW13" i="6"/>
  <c r="DV13" i="6"/>
  <c r="DU13" i="6"/>
  <c r="DT13" i="6"/>
  <c r="DS13" i="6"/>
  <c r="EF12" i="6"/>
  <c r="EE12" i="6"/>
  <c r="ED12" i="6"/>
  <c r="EC12" i="6"/>
  <c r="EB12" i="6"/>
  <c r="EA12" i="6"/>
  <c r="DZ12" i="6"/>
  <c r="DY12" i="6"/>
  <c r="DX12" i="6"/>
  <c r="DW12" i="6"/>
  <c r="DV12" i="6"/>
  <c r="DU12" i="6"/>
  <c r="DT12" i="6"/>
  <c r="DS12" i="6"/>
  <c r="EF11" i="6"/>
  <c r="EE11" i="6"/>
  <c r="ED11" i="6"/>
  <c r="EC11" i="6"/>
  <c r="EF10" i="6"/>
  <c r="EE10" i="6"/>
  <c r="ED10" i="6"/>
  <c r="EC10" i="6"/>
  <c r="EB10" i="6"/>
  <c r="EA10" i="6"/>
  <c r="DZ10" i="6"/>
  <c r="DY10" i="6"/>
  <c r="DX10" i="6"/>
  <c r="DW10" i="6"/>
  <c r="DV10" i="6"/>
  <c r="DU10" i="6"/>
  <c r="DT10" i="6"/>
  <c r="DS10" i="6"/>
  <c r="EF9" i="6"/>
  <c r="EE9" i="6"/>
  <c r="ED9" i="6"/>
  <c r="EC9" i="6"/>
  <c r="EB9" i="6"/>
  <c r="EA9" i="6"/>
  <c r="DZ9" i="6"/>
  <c r="DY9" i="6"/>
  <c r="DX9" i="6"/>
  <c r="DW9" i="6"/>
  <c r="DV9" i="6"/>
  <c r="DU9" i="6"/>
  <c r="DT9" i="6"/>
  <c r="DS9" i="6"/>
  <c r="EF8" i="6"/>
  <c r="EE8" i="6"/>
  <c r="ED8" i="6"/>
  <c r="EC8" i="6"/>
  <c r="EB8" i="6"/>
  <c r="EA8" i="6"/>
  <c r="DZ8" i="6"/>
  <c r="DY8" i="6"/>
  <c r="DX8" i="6"/>
  <c r="DW8" i="6"/>
  <c r="DV8" i="6"/>
  <c r="DU8" i="6"/>
  <c r="DT8" i="6"/>
  <c r="DS8" i="6"/>
  <c r="AR64" i="6"/>
  <c r="AQ64" i="6"/>
  <c r="AS64" i="6"/>
  <c r="AS62" i="6"/>
  <c r="AR62" i="6"/>
  <c r="AQ62" i="6"/>
  <c r="AP62" i="6"/>
  <c r="AO62" i="6"/>
  <c r="AN62" i="6"/>
  <c r="AM62" i="6"/>
  <c r="AL62" i="6"/>
  <c r="AS44" i="6"/>
  <c r="AR44" i="6"/>
  <c r="AQ44" i="6"/>
  <c r="AP44" i="6"/>
  <c r="AO44" i="6"/>
  <c r="AN44" i="6"/>
  <c r="AM44" i="6"/>
  <c r="AL44" i="6"/>
  <c r="AS63" i="6"/>
  <c r="AR63" i="6"/>
  <c r="AQ63" i="6"/>
  <c r="AP63" i="6"/>
  <c r="AO63" i="6"/>
  <c r="AN63" i="6"/>
  <c r="AM63" i="6"/>
  <c r="AL63" i="6"/>
  <c r="AS45" i="6"/>
  <c r="AR45" i="6"/>
  <c r="AQ45" i="6"/>
  <c r="AP45" i="6"/>
  <c r="AO45" i="6"/>
  <c r="AN45" i="6"/>
  <c r="AM45" i="6"/>
  <c r="AL45" i="6"/>
  <c r="AS65" i="6"/>
  <c r="AR65" i="6"/>
  <c r="AQ65" i="6"/>
  <c r="AP65" i="6"/>
  <c r="AO65" i="6"/>
  <c r="AN65" i="6"/>
  <c r="AM65" i="6"/>
  <c r="AL65" i="6"/>
  <c r="AS47" i="6"/>
  <c r="AR47" i="6"/>
  <c r="AQ47" i="6"/>
  <c r="AP47" i="6"/>
  <c r="AO47" i="6"/>
  <c r="AN47" i="6"/>
  <c r="AM47" i="6"/>
  <c r="AL47" i="6"/>
  <c r="AP86" i="6"/>
  <c r="AO86" i="6"/>
  <c r="AN86" i="6"/>
  <c r="AL86" i="6"/>
  <c r="AS66" i="6"/>
  <c r="AR66" i="6"/>
  <c r="AQ66" i="6"/>
  <c r="AP66" i="6"/>
  <c r="AO66" i="6"/>
  <c r="AN66" i="6"/>
  <c r="AM66" i="6"/>
  <c r="AL66" i="6"/>
  <c r="AS48" i="6"/>
  <c r="AR48" i="6"/>
  <c r="AQ48" i="6"/>
  <c r="AP48" i="6"/>
  <c r="AO48" i="6"/>
  <c r="AN48" i="6"/>
  <c r="AM48" i="6"/>
  <c r="AL48" i="6"/>
  <c r="E62" i="6"/>
  <c r="D62" i="6"/>
  <c r="C62" i="6"/>
  <c r="E63" i="6"/>
  <c r="D63" i="6"/>
  <c r="C63" i="6"/>
  <c r="E65" i="6"/>
  <c r="D65" i="6"/>
  <c r="C65" i="6"/>
  <c r="E66" i="6"/>
  <c r="D66" i="6"/>
  <c r="C66" i="6"/>
  <c r="AK66" i="6"/>
  <c r="AJ66" i="6"/>
  <c r="AI66" i="6"/>
  <c r="AH66" i="6"/>
  <c r="AG66" i="6"/>
  <c r="AF66" i="6"/>
  <c r="AE66" i="6"/>
  <c r="AD66" i="6"/>
  <c r="AC66" i="6"/>
  <c r="AB66" i="6"/>
  <c r="AA66" i="6"/>
  <c r="Z66" i="6"/>
  <c r="Y66" i="6"/>
  <c r="X66" i="6"/>
  <c r="W66" i="6"/>
  <c r="V66" i="6"/>
  <c r="U66" i="6"/>
  <c r="T66" i="6"/>
  <c r="S66" i="6"/>
  <c r="R66" i="6"/>
  <c r="Q66" i="6"/>
  <c r="P66" i="6"/>
  <c r="O66" i="6"/>
  <c r="N66" i="6"/>
  <c r="M66" i="6"/>
  <c r="L66" i="6"/>
  <c r="K66" i="6"/>
  <c r="J66" i="6"/>
  <c r="I66" i="6"/>
  <c r="H66" i="6"/>
  <c r="G66" i="6"/>
  <c r="F66" i="6"/>
  <c r="AK48" i="6"/>
  <c r="AJ48" i="6"/>
  <c r="AI48" i="6"/>
  <c r="AH48" i="6"/>
  <c r="AG48" i="6"/>
  <c r="AF48" i="6"/>
  <c r="AE48" i="6"/>
  <c r="AD48" i="6"/>
  <c r="AC48" i="6"/>
  <c r="AB48" i="6"/>
  <c r="AA48" i="6"/>
  <c r="Z48" i="6"/>
  <c r="Y48" i="6"/>
  <c r="X48" i="6"/>
  <c r="W48" i="6"/>
  <c r="V48" i="6"/>
  <c r="U48" i="6"/>
  <c r="T48" i="6"/>
  <c r="S48" i="6"/>
  <c r="R48" i="6"/>
  <c r="Q48" i="6"/>
  <c r="P48" i="6"/>
  <c r="O48" i="6"/>
  <c r="N48" i="6"/>
  <c r="M48" i="6"/>
  <c r="L48" i="6"/>
  <c r="K48" i="6"/>
  <c r="J48" i="6"/>
  <c r="I48" i="6"/>
  <c r="H48" i="6"/>
  <c r="G48" i="6"/>
  <c r="F48" i="6"/>
  <c r="AK65" i="6"/>
  <c r="AJ65" i="6"/>
  <c r="AI65" i="6"/>
  <c r="AH65" i="6"/>
  <c r="AG65" i="6"/>
  <c r="AF65" i="6"/>
  <c r="AE65" i="6"/>
  <c r="AD65" i="6"/>
  <c r="AC65" i="6"/>
  <c r="AB65" i="6"/>
  <c r="AA65" i="6"/>
  <c r="Z65" i="6"/>
  <c r="Y65" i="6"/>
  <c r="X65" i="6"/>
  <c r="W65" i="6"/>
  <c r="V65" i="6"/>
  <c r="U65" i="6"/>
  <c r="T65" i="6"/>
  <c r="S65" i="6"/>
  <c r="R65" i="6"/>
  <c r="Q65" i="6"/>
  <c r="P65" i="6"/>
  <c r="O65" i="6"/>
  <c r="N65" i="6"/>
  <c r="M65" i="6"/>
  <c r="L65" i="6"/>
  <c r="K65" i="6"/>
  <c r="J65" i="6"/>
  <c r="I65" i="6"/>
  <c r="H65" i="6"/>
  <c r="G65" i="6"/>
  <c r="F65" i="6"/>
  <c r="AK47" i="6"/>
  <c r="AJ47" i="6"/>
  <c r="AI47" i="6"/>
  <c r="AH47" i="6"/>
  <c r="AG47" i="6"/>
  <c r="AF47" i="6"/>
  <c r="AE47" i="6"/>
  <c r="AD47" i="6"/>
  <c r="AC47" i="6"/>
  <c r="AB47" i="6"/>
  <c r="AA47" i="6"/>
  <c r="Z47" i="6"/>
  <c r="Y47" i="6"/>
  <c r="X47" i="6"/>
  <c r="W47" i="6"/>
  <c r="V47" i="6"/>
  <c r="U47" i="6"/>
  <c r="T47" i="6"/>
  <c r="S47" i="6"/>
  <c r="R47" i="6"/>
  <c r="Q47" i="6"/>
  <c r="P47" i="6"/>
  <c r="O47" i="6"/>
  <c r="N47" i="6"/>
  <c r="M47" i="6"/>
  <c r="L47" i="6"/>
  <c r="K47" i="6"/>
  <c r="J47" i="6"/>
  <c r="I47" i="6"/>
  <c r="H47" i="6"/>
  <c r="G47" i="6"/>
  <c r="F47" i="6"/>
  <c r="AK62" i="6"/>
  <c r="AJ62" i="6"/>
  <c r="AI62" i="6"/>
  <c r="AH62" i="6"/>
  <c r="AG62" i="6"/>
  <c r="AF62" i="6"/>
  <c r="AE62" i="6"/>
  <c r="AD62" i="6"/>
  <c r="AC62" i="6"/>
  <c r="AB62" i="6"/>
  <c r="AA62" i="6"/>
  <c r="Z62" i="6"/>
  <c r="Y62" i="6"/>
  <c r="X62" i="6"/>
  <c r="W62" i="6"/>
  <c r="V62" i="6"/>
  <c r="U62" i="6"/>
  <c r="T62" i="6"/>
  <c r="S62" i="6"/>
  <c r="R62" i="6"/>
  <c r="Q62" i="6"/>
  <c r="P62" i="6"/>
  <c r="O62" i="6"/>
  <c r="N62" i="6"/>
  <c r="M62" i="6"/>
  <c r="L62" i="6"/>
  <c r="K62" i="6"/>
  <c r="J62" i="6"/>
  <c r="I62" i="6"/>
  <c r="H62" i="6"/>
  <c r="G62" i="6"/>
  <c r="F62" i="6"/>
  <c r="AK44" i="6"/>
  <c r="AJ44" i="6"/>
  <c r="AI44" i="6"/>
  <c r="AH44" i="6"/>
  <c r="AG44" i="6"/>
  <c r="AF44" i="6"/>
  <c r="AE44" i="6"/>
  <c r="AD44" i="6"/>
  <c r="AC44" i="6"/>
  <c r="AB44" i="6"/>
  <c r="AA44" i="6"/>
  <c r="Z44" i="6"/>
  <c r="Y44" i="6"/>
  <c r="X44" i="6"/>
  <c r="W44" i="6"/>
  <c r="V44" i="6"/>
  <c r="U44" i="6"/>
  <c r="T44" i="6"/>
  <c r="S44" i="6"/>
  <c r="R44" i="6"/>
  <c r="Q44" i="6"/>
  <c r="P44" i="6"/>
  <c r="O44" i="6"/>
  <c r="N44" i="6"/>
  <c r="M44" i="6"/>
  <c r="L44" i="6"/>
  <c r="K44" i="6"/>
  <c r="J44" i="6"/>
  <c r="I44" i="6"/>
  <c r="H44" i="6"/>
  <c r="G44" i="6"/>
  <c r="F44" i="6"/>
  <c r="AK63" i="6"/>
  <c r="AJ63" i="6"/>
  <c r="AI63" i="6"/>
  <c r="AH63" i="6"/>
  <c r="AG63" i="6"/>
  <c r="AF63" i="6"/>
  <c r="AE63" i="6"/>
  <c r="AD63" i="6"/>
  <c r="AC63" i="6"/>
  <c r="AB63" i="6"/>
  <c r="AA63" i="6"/>
  <c r="Z63" i="6"/>
  <c r="Y63" i="6"/>
  <c r="X63" i="6"/>
  <c r="W63" i="6"/>
  <c r="V63" i="6"/>
  <c r="U63" i="6"/>
  <c r="T63" i="6"/>
  <c r="S63" i="6"/>
  <c r="R63" i="6"/>
  <c r="Q63" i="6"/>
  <c r="P63" i="6"/>
  <c r="O63" i="6"/>
  <c r="N63" i="6"/>
  <c r="M63" i="6"/>
  <c r="L63" i="6"/>
  <c r="K63" i="6"/>
  <c r="J63" i="6"/>
  <c r="I63" i="6"/>
  <c r="H63" i="6"/>
  <c r="G63" i="6"/>
  <c r="F63" i="6"/>
  <c r="AK45" i="6"/>
  <c r="AJ45" i="6"/>
  <c r="AI45" i="6"/>
  <c r="AH45" i="6"/>
  <c r="AG45" i="6"/>
  <c r="AF45" i="6"/>
  <c r="AE45" i="6"/>
  <c r="AD45" i="6"/>
  <c r="AC45" i="6"/>
  <c r="AB45" i="6"/>
  <c r="AA45" i="6"/>
  <c r="Z45" i="6"/>
  <c r="Y45" i="6"/>
  <c r="X45" i="6"/>
  <c r="W45" i="6"/>
  <c r="V45" i="6"/>
  <c r="U45" i="6"/>
  <c r="T45" i="6"/>
  <c r="S45" i="6"/>
  <c r="R45" i="6"/>
  <c r="Q45" i="6"/>
  <c r="P45" i="6"/>
  <c r="O45" i="6"/>
  <c r="N45" i="6"/>
  <c r="M45" i="6"/>
  <c r="L45" i="6"/>
  <c r="K45" i="6"/>
  <c r="J45" i="6"/>
  <c r="I45" i="6"/>
  <c r="H45" i="6"/>
  <c r="G45" i="6"/>
  <c r="F45" i="6"/>
  <c r="AW16" i="6"/>
  <c r="AW85" i="6" s="1"/>
  <c r="CK176" i="119" s="1"/>
  <c r="BL140" i="30" s="1"/>
  <c r="AV16" i="6"/>
  <c r="AV85" i="6" s="1"/>
  <c r="CJ176" i="119" s="1"/>
  <c r="BK140" i="30" s="1"/>
  <c r="AU16" i="6"/>
  <c r="AU85" i="6" s="1"/>
  <c r="CI176" i="119" s="1"/>
  <c r="BJ140" i="30" s="1"/>
  <c r="AT16" i="6"/>
  <c r="AT85" i="6" s="1"/>
  <c r="CH176" i="119" s="1"/>
  <c r="BI140" i="30" s="1"/>
  <c r="AK86" i="6"/>
  <c r="AI86" i="6"/>
  <c r="AG86" i="6"/>
  <c r="AE86" i="6"/>
  <c r="AD86" i="6"/>
  <c r="AB86" i="6"/>
  <c r="AA86" i="6"/>
  <c r="X86" i="6"/>
  <c r="V86" i="6"/>
  <c r="U86" i="6"/>
  <c r="T86" i="6"/>
  <c r="Q86" i="6"/>
  <c r="P86" i="6"/>
  <c r="L86" i="6"/>
  <c r="K86" i="6"/>
  <c r="J86" i="6"/>
  <c r="I86" i="6"/>
  <c r="H86" i="6"/>
  <c r="G86" i="6"/>
  <c r="E86" i="6"/>
  <c r="C86" i="6"/>
  <c r="C8" i="6"/>
  <c r="B8" i="6"/>
  <c r="C7" i="6"/>
  <c r="B7" i="6"/>
  <c r="AU62" i="6"/>
  <c r="AV62" i="6"/>
  <c r="AW62" i="6"/>
  <c r="F8" i="6"/>
  <c r="E8" i="6"/>
  <c r="D8" i="6"/>
  <c r="F7" i="6"/>
  <c r="E7" i="6"/>
  <c r="D7" i="6"/>
  <c r="V8" i="6"/>
  <c r="U8" i="6"/>
  <c r="T8" i="6"/>
  <c r="S8" i="6"/>
  <c r="R8" i="6"/>
  <c r="Q8" i="6"/>
  <c r="P8" i="6"/>
  <c r="O8" i="6"/>
  <c r="N8" i="6"/>
  <c r="M8" i="6"/>
  <c r="L8" i="6"/>
  <c r="K8" i="6"/>
  <c r="J8" i="6"/>
  <c r="I8" i="6"/>
  <c r="H8" i="6"/>
  <c r="G8" i="6"/>
  <c r="V7" i="6"/>
  <c r="U7" i="6"/>
  <c r="T7" i="6"/>
  <c r="S7" i="6"/>
  <c r="R7" i="6"/>
  <c r="Q7" i="6"/>
  <c r="P7" i="6"/>
  <c r="O7" i="6"/>
  <c r="N7" i="6"/>
  <c r="M7" i="6"/>
  <c r="L7" i="6"/>
  <c r="K7" i="6"/>
  <c r="J7" i="6"/>
  <c r="I7" i="6"/>
  <c r="H7" i="6"/>
  <c r="G7" i="6"/>
  <c r="AS8" i="6"/>
  <c r="AR8" i="6"/>
  <c r="AQ8" i="6"/>
  <c r="AP8" i="6"/>
  <c r="AO8" i="6"/>
  <c r="AN8" i="6"/>
  <c r="AM8" i="6"/>
  <c r="AL8" i="6"/>
  <c r="AK8" i="6"/>
  <c r="AJ8" i="6"/>
  <c r="AI8" i="6"/>
  <c r="AH8" i="6"/>
  <c r="AG8" i="6"/>
  <c r="AF8" i="6"/>
  <c r="AE8" i="6"/>
  <c r="AD8" i="6"/>
  <c r="AC8" i="6"/>
  <c r="AB8" i="6"/>
  <c r="AA8" i="6"/>
  <c r="Z8" i="6"/>
  <c r="Y8" i="6"/>
  <c r="X8" i="6"/>
  <c r="W8" i="6"/>
  <c r="AS7" i="6"/>
  <c r="AR7" i="6"/>
  <c r="AQ7" i="6"/>
  <c r="AP7" i="6"/>
  <c r="AO7" i="6"/>
  <c r="AN7" i="6"/>
  <c r="AM7" i="6"/>
  <c r="AL7" i="6"/>
  <c r="AK7" i="6"/>
  <c r="AJ7" i="6"/>
  <c r="AI7" i="6"/>
  <c r="AH7" i="6"/>
  <c r="AG7" i="6"/>
  <c r="AF7" i="6"/>
  <c r="AE7" i="6"/>
  <c r="AD7" i="6"/>
  <c r="AC7" i="6"/>
  <c r="AB7" i="6"/>
  <c r="AA7" i="6"/>
  <c r="Z7" i="6"/>
  <c r="Y7" i="6"/>
  <c r="X7" i="6"/>
  <c r="W7" i="6"/>
  <c r="BG62" i="6"/>
  <c r="BF62" i="6"/>
  <c r="BE62" i="6"/>
  <c r="BD62" i="6"/>
  <c r="BC62" i="6"/>
  <c r="BB62" i="6"/>
  <c r="BA62" i="6"/>
  <c r="AZ62" i="6"/>
  <c r="AY62" i="6"/>
  <c r="BG44" i="6"/>
  <c r="BF44" i="6"/>
  <c r="BE44" i="6"/>
  <c r="BD44" i="6"/>
  <c r="BC44" i="6"/>
  <c r="BB44" i="6"/>
  <c r="BA44" i="6"/>
  <c r="AZ44" i="6"/>
  <c r="AY44" i="6"/>
  <c r="AX62" i="6"/>
  <c r="BG63" i="6"/>
  <c r="BF63" i="6"/>
  <c r="BE63" i="6"/>
  <c r="BD63" i="6"/>
  <c r="BC63" i="6"/>
  <c r="BB63" i="6"/>
  <c r="BA63" i="6"/>
  <c r="AZ63" i="6"/>
  <c r="AY63" i="6"/>
  <c r="BG45" i="6"/>
  <c r="BF45" i="6"/>
  <c r="BE45" i="6"/>
  <c r="BD45" i="6"/>
  <c r="BC45" i="6"/>
  <c r="BB45" i="6"/>
  <c r="BA45" i="6"/>
  <c r="AZ45" i="6"/>
  <c r="AY45" i="6"/>
  <c r="AX63" i="6"/>
  <c r="BG64" i="6"/>
  <c r="BF64" i="6"/>
  <c r="BE64" i="6"/>
  <c r="BD64" i="6"/>
  <c r="BC64" i="6"/>
  <c r="BB64" i="6"/>
  <c r="BA64" i="6"/>
  <c r="AZ64" i="6"/>
  <c r="AY64" i="6"/>
  <c r="BG46" i="6"/>
  <c r="BF46" i="6"/>
  <c r="BE46" i="6"/>
  <c r="BD46" i="6"/>
  <c r="BC46" i="6"/>
  <c r="BB46" i="6"/>
  <c r="BA46" i="6"/>
  <c r="AZ46" i="6"/>
  <c r="AY46" i="6"/>
  <c r="AX64" i="6"/>
  <c r="BG65" i="6"/>
  <c r="BF65" i="6"/>
  <c r="BE65" i="6"/>
  <c r="BD65" i="6"/>
  <c r="BC65" i="6"/>
  <c r="BB65" i="6"/>
  <c r="BA65" i="6"/>
  <c r="AZ65" i="6"/>
  <c r="AY65" i="6"/>
  <c r="BG47" i="6"/>
  <c r="BF47" i="6"/>
  <c r="BE47" i="6"/>
  <c r="BD47" i="6"/>
  <c r="BC47" i="6"/>
  <c r="BB47" i="6"/>
  <c r="BA47" i="6"/>
  <c r="AZ47" i="6"/>
  <c r="AY47" i="6"/>
  <c r="AX65" i="6"/>
  <c r="BG66" i="6"/>
  <c r="BF66" i="6"/>
  <c r="BE66" i="6"/>
  <c r="BD66" i="6"/>
  <c r="BC66" i="6"/>
  <c r="BB66" i="6"/>
  <c r="BA66" i="6"/>
  <c r="AZ66" i="6"/>
  <c r="AY66" i="6"/>
  <c r="BG48" i="6"/>
  <c r="BF48" i="6"/>
  <c r="BE48" i="6"/>
  <c r="BD48" i="6"/>
  <c r="BC48" i="6"/>
  <c r="BB48" i="6"/>
  <c r="BA48" i="6"/>
  <c r="AZ48" i="6"/>
  <c r="AY48" i="6"/>
  <c r="AX66" i="6"/>
  <c r="BD16" i="6"/>
  <c r="BD85" i="6" s="1"/>
  <c r="CR176" i="119" s="1"/>
  <c r="BS140" i="30" s="1"/>
  <c r="BC16" i="6"/>
  <c r="BC85" i="6" s="1"/>
  <c r="CQ176" i="119" s="1"/>
  <c r="BR140" i="30" s="1"/>
  <c r="BB16" i="6"/>
  <c r="BB85" i="6" s="1"/>
  <c r="CP176" i="119" s="1"/>
  <c r="BQ140" i="30" s="1"/>
  <c r="AX48" i="6"/>
  <c r="AX47" i="6"/>
  <c r="AX46" i="6"/>
  <c r="AX45" i="6"/>
  <c r="AX44" i="6"/>
  <c r="BA16" i="6"/>
  <c r="BA85" i="6" s="1"/>
  <c r="CO176" i="119" s="1"/>
  <c r="BP140" i="30" s="1"/>
  <c r="AZ16" i="6"/>
  <c r="AZ85" i="6" s="1"/>
  <c r="CN176" i="119" s="1"/>
  <c r="BO140" i="30" s="1"/>
  <c r="AY16" i="6"/>
  <c r="AY85" i="6" s="1"/>
  <c r="CM176" i="119" s="1"/>
  <c r="BN140" i="30" s="1"/>
  <c r="AX16" i="6"/>
  <c r="AX85" i="6" s="1"/>
  <c r="CL176" i="119" s="1"/>
  <c r="BM140" i="30" s="1"/>
  <c r="AW63" i="6"/>
  <c r="AV63" i="6"/>
  <c r="AU63" i="6"/>
  <c r="AW64" i="6"/>
  <c r="AV64" i="6"/>
  <c r="AU64" i="6"/>
  <c r="AW65" i="6"/>
  <c r="AV65" i="6"/>
  <c r="AU65" i="6"/>
  <c r="AW66" i="6"/>
  <c r="AV66" i="6"/>
  <c r="AU66" i="6"/>
  <c r="BG8" i="6"/>
  <c r="BF8" i="6"/>
  <c r="BE8" i="6"/>
  <c r="BD8" i="6"/>
  <c r="BC8" i="6"/>
  <c r="BB8" i="6"/>
  <c r="BA8" i="6"/>
  <c r="AZ8" i="6"/>
  <c r="AY8" i="6"/>
  <c r="AX8" i="6"/>
  <c r="AW8" i="6"/>
  <c r="AV8" i="6"/>
  <c r="AU8" i="6"/>
  <c r="BG7" i="6"/>
  <c r="BF7" i="6"/>
  <c r="BE7" i="6"/>
  <c r="BD7" i="6"/>
  <c r="BC7" i="6"/>
  <c r="BB7" i="6"/>
  <c r="BA7" i="6"/>
  <c r="AZ7" i="6"/>
  <c r="AY7" i="6"/>
  <c r="AX7" i="6"/>
  <c r="AW7" i="6"/>
  <c r="AV7" i="6"/>
  <c r="AU7" i="6"/>
  <c r="AT8" i="6"/>
  <c r="AT7" i="6"/>
  <c r="BZ35" i="3"/>
  <c r="CT101" i="119" s="1"/>
  <c r="BU92" i="30" s="1"/>
  <c r="BV35" i="3"/>
  <c r="CP101" i="119" s="1"/>
  <c r="BQ92" i="30" s="1"/>
  <c r="BR35" i="3"/>
  <c r="CL101" i="119" s="1"/>
  <c r="BM92" i="30" s="1"/>
  <c r="BN35" i="3"/>
  <c r="CH101" i="119" s="1"/>
  <c r="BI92" i="30" s="1"/>
  <c r="BJ35" i="3"/>
  <c r="CD101" i="119" s="1"/>
  <c r="BE92" i="30" s="1"/>
  <c r="BF35" i="3"/>
  <c r="BZ101" i="119" s="1"/>
  <c r="BA92" i="30" s="1"/>
  <c r="CA18" i="2"/>
  <c r="CU45" i="119" s="1"/>
  <c r="BV43" i="30" s="1"/>
  <c r="BZ18" i="2"/>
  <c r="CT45" i="119" s="1"/>
  <c r="BU43" i="30" s="1"/>
  <c r="BY18" i="2"/>
  <c r="CS45" i="119" s="1"/>
  <c r="BT43" i="30" s="1"/>
  <c r="BX18" i="2"/>
  <c r="CR45" i="119" s="1"/>
  <c r="BS43" i="30" s="1"/>
  <c r="BW18" i="2"/>
  <c r="CQ45" i="119" s="1"/>
  <c r="BR43" i="30" s="1"/>
  <c r="BV18" i="2"/>
  <c r="CP45" i="119" s="1"/>
  <c r="BQ43" i="30" s="1"/>
  <c r="BU18" i="2"/>
  <c r="CO45" i="119" s="1"/>
  <c r="BP43" i="30" s="1"/>
  <c r="BT18" i="2"/>
  <c r="CN45" i="119" s="1"/>
  <c r="BO43" i="30" s="1"/>
  <c r="BS18" i="2"/>
  <c r="CM45" i="119" s="1"/>
  <c r="BN43" i="30" s="1"/>
  <c r="BR18" i="2"/>
  <c r="CL45" i="119" s="1"/>
  <c r="BM43" i="30" s="1"/>
  <c r="BQ18" i="2"/>
  <c r="CK45" i="119" s="1"/>
  <c r="BL43" i="30" s="1"/>
  <c r="BP18" i="2"/>
  <c r="CJ45" i="119" s="1"/>
  <c r="BK43" i="30" s="1"/>
  <c r="BO18" i="2"/>
  <c r="CI45" i="119" s="1"/>
  <c r="BJ43" i="30" s="1"/>
  <c r="BN18" i="2"/>
  <c r="CH45" i="119" s="1"/>
  <c r="BI43" i="30" s="1"/>
  <c r="BM18" i="2"/>
  <c r="CG45" i="119" s="1"/>
  <c r="BH43" i="30" s="1"/>
  <c r="BL18" i="2"/>
  <c r="CF45" i="119" s="1"/>
  <c r="BG43" i="30" s="1"/>
  <c r="BK18" i="2"/>
  <c r="CE45" i="119" s="1"/>
  <c r="BF43" i="30" s="1"/>
  <c r="BJ18" i="2"/>
  <c r="CD45" i="119" s="1"/>
  <c r="BE43" i="30" s="1"/>
  <c r="BI18" i="2"/>
  <c r="CC45" i="119" s="1"/>
  <c r="BD43" i="30" s="1"/>
  <c r="BH18" i="2"/>
  <c r="CB45" i="119" s="1"/>
  <c r="BC43" i="30" s="1"/>
  <c r="BG18" i="2"/>
  <c r="CA45" i="119" s="1"/>
  <c r="BB43" i="30" s="1"/>
  <c r="BF18" i="2"/>
  <c r="BZ45" i="119" s="1"/>
  <c r="BA43" i="30" s="1"/>
  <c r="BE18" i="2"/>
  <c r="BY45" i="119" s="1"/>
  <c r="AZ43" i="30" s="1"/>
  <c r="BD18" i="2"/>
  <c r="BX45" i="119" s="1"/>
  <c r="AY43" i="30" s="1"/>
  <c r="BC18" i="2"/>
  <c r="BW45" i="119" s="1"/>
  <c r="AX43" i="30" s="1"/>
  <c r="BB18" i="2"/>
  <c r="BV45" i="119" s="1"/>
  <c r="AW43" i="30" s="1"/>
  <c r="CA65" i="2"/>
  <c r="BZ65" i="2"/>
  <c r="BY65" i="2"/>
  <c r="FF65" i="2" s="1"/>
  <c r="BX65" i="2"/>
  <c r="BW65" i="2"/>
  <c r="BV65" i="2"/>
  <c r="BU65" i="2"/>
  <c r="FE65" i="2" s="1"/>
  <c r="BT65" i="2"/>
  <c r="BS65" i="2"/>
  <c r="BR65" i="2"/>
  <c r="BQ65" i="2"/>
  <c r="FD65" i="2" s="1"/>
  <c r="BP65" i="2"/>
  <c r="BO65" i="2"/>
  <c r="BN65" i="2"/>
  <c r="BM65" i="2"/>
  <c r="FC65" i="2" s="1"/>
  <c r="BL65" i="2"/>
  <c r="BK65" i="2"/>
  <c r="BJ65" i="2"/>
  <c r="BI65" i="2"/>
  <c r="FB65" i="2" s="1"/>
  <c r="BH65" i="2"/>
  <c r="BG65" i="2"/>
  <c r="BF65" i="2"/>
  <c r="BE65" i="2"/>
  <c r="FA65" i="2" s="1"/>
  <c r="BD65" i="2"/>
  <c r="BC65" i="2"/>
  <c r="BB65" i="2"/>
  <c r="BS44" i="2"/>
  <c r="CM65" i="119" s="1"/>
  <c r="BN61" i="30" s="1"/>
  <c r="BJ44" i="2"/>
  <c r="CD65" i="119" s="1"/>
  <c r="BE61" i="30" s="1"/>
  <c r="BG44" i="2"/>
  <c r="CA65" i="119" s="1"/>
  <c r="BB61" i="30" s="1"/>
  <c r="CA63" i="2"/>
  <c r="BZ63" i="2"/>
  <c r="BY63" i="2"/>
  <c r="BX63" i="2"/>
  <c r="BW63" i="2"/>
  <c r="BV63" i="2"/>
  <c r="BU63" i="2"/>
  <c r="BT63" i="2"/>
  <c r="BS63" i="2"/>
  <c r="BR63" i="2"/>
  <c r="BQ63" i="2"/>
  <c r="FD63" i="2" s="1"/>
  <c r="BP63" i="2"/>
  <c r="BO63" i="2"/>
  <c r="BN63" i="2"/>
  <c r="BM63" i="2"/>
  <c r="BL63" i="2"/>
  <c r="BK63" i="2"/>
  <c r="BJ63" i="2"/>
  <c r="BI63" i="2"/>
  <c r="FB63" i="2" s="1"/>
  <c r="BH63" i="2"/>
  <c r="BG63" i="2"/>
  <c r="BF63" i="2"/>
  <c r="BE63" i="2"/>
  <c r="BD63" i="2"/>
  <c r="BC63" i="2"/>
  <c r="BB63" i="2"/>
  <c r="CA62" i="2"/>
  <c r="BZ62" i="2"/>
  <c r="BY62" i="2"/>
  <c r="BX62" i="2"/>
  <c r="BW62" i="2"/>
  <c r="BV62" i="2"/>
  <c r="BU62" i="2"/>
  <c r="BT62" i="2"/>
  <c r="BS62" i="2"/>
  <c r="BR62" i="2"/>
  <c r="BQ62" i="2"/>
  <c r="BP62" i="2"/>
  <c r="BO62" i="2"/>
  <c r="BN62" i="2"/>
  <c r="BM62" i="2"/>
  <c r="BL62" i="2"/>
  <c r="BK62" i="2"/>
  <c r="BJ62" i="2"/>
  <c r="BI62" i="2"/>
  <c r="BH62" i="2"/>
  <c r="BG62" i="2"/>
  <c r="BF62" i="2"/>
  <c r="BE62" i="2"/>
  <c r="BD62" i="2"/>
  <c r="BC62" i="2"/>
  <c r="BB62" i="2"/>
  <c r="CA25" i="2"/>
  <c r="BZ25" i="2"/>
  <c r="BY25" i="2"/>
  <c r="BX25" i="2"/>
  <c r="BW25" i="2"/>
  <c r="BV25" i="2"/>
  <c r="BU25" i="2"/>
  <c r="BT25" i="2"/>
  <c r="BS25" i="2"/>
  <c r="BR25" i="2"/>
  <c r="BQ25" i="2"/>
  <c r="BP25" i="2"/>
  <c r="BO25" i="2"/>
  <c r="BN25" i="2"/>
  <c r="BM25" i="2"/>
  <c r="BL25" i="2"/>
  <c r="BK25" i="2"/>
  <c r="BJ25" i="2"/>
  <c r="BI25" i="2"/>
  <c r="BH25" i="2"/>
  <c r="BG25" i="2"/>
  <c r="BF25" i="2"/>
  <c r="BE25" i="2"/>
  <c r="BD25" i="2"/>
  <c r="BC25" i="2"/>
  <c r="BB25" i="2"/>
  <c r="BZ48" i="3"/>
  <c r="CT107" i="119" s="1"/>
  <c r="BU97" i="30" s="1"/>
  <c r="BV48" i="3"/>
  <c r="CP107" i="119" s="1"/>
  <c r="BQ97" i="30" s="1"/>
  <c r="BR48" i="3"/>
  <c r="CL107" i="119" s="1"/>
  <c r="BM97" i="30" s="1"/>
  <c r="BN48" i="3"/>
  <c r="CH107" i="119" s="1"/>
  <c r="BI97" i="30" s="1"/>
  <c r="BJ48" i="3"/>
  <c r="CD107" i="119" s="1"/>
  <c r="BE97" i="30" s="1"/>
  <c r="BF48" i="3"/>
  <c r="BZ107" i="119" s="1"/>
  <c r="BA97" i="30" s="1"/>
  <c r="BB48" i="3"/>
  <c r="BV107" i="119" s="1"/>
  <c r="AW97" i="30" s="1"/>
  <c r="CA45" i="3"/>
  <c r="CB45" i="3" s="1"/>
  <c r="CC45" i="3" s="1"/>
  <c r="FG45" i="3" s="1"/>
  <c r="BW45" i="3"/>
  <c r="BX45" i="3" s="1"/>
  <c r="BS45" i="3"/>
  <c r="BT45" i="3" s="1"/>
  <c r="BO45" i="3"/>
  <c r="BK45" i="3"/>
  <c r="BG45" i="3"/>
  <c r="BH45" i="3" s="1"/>
  <c r="BC45" i="3"/>
  <c r="CA43" i="3"/>
  <c r="BW43" i="3"/>
  <c r="BS43" i="3"/>
  <c r="BO43" i="3"/>
  <c r="BK43" i="3"/>
  <c r="BG43" i="3"/>
  <c r="BC43" i="3"/>
  <c r="BD43" i="3" s="1"/>
  <c r="BE43" i="3" s="1"/>
  <c r="FA43" i="3" s="1"/>
  <c r="CA42" i="3"/>
  <c r="BW42" i="3"/>
  <c r="BS42" i="3"/>
  <c r="CM303" i="119" s="1"/>
  <c r="BN234" i="30" s="1"/>
  <c r="BO42" i="3"/>
  <c r="BK42" i="3"/>
  <c r="BG42" i="3"/>
  <c r="BH42" i="3" s="1"/>
  <c r="BC42" i="3"/>
  <c r="BD42" i="3" s="1"/>
  <c r="BE42" i="3" s="1"/>
  <c r="CA41" i="3"/>
  <c r="BW41" i="3"/>
  <c r="BS41" i="3"/>
  <c r="BO41" i="3"/>
  <c r="BK41" i="3"/>
  <c r="CE284" i="119" s="1"/>
  <c r="BF215" i="30" s="1"/>
  <c r="BG41" i="3"/>
  <c r="CA284" i="119" s="1"/>
  <c r="BB215" i="30" s="1"/>
  <c r="BC41" i="3"/>
  <c r="BW284" i="119" s="1"/>
  <c r="AX215" i="30" s="1"/>
  <c r="CA40" i="3"/>
  <c r="CB40" i="3" s="1"/>
  <c r="CC40" i="3" s="1"/>
  <c r="FG40" i="3" s="1"/>
  <c r="BW40" i="3"/>
  <c r="BX40" i="3" s="1"/>
  <c r="BY40" i="3" s="1"/>
  <c r="FF40" i="3" s="1"/>
  <c r="BS40" i="3"/>
  <c r="BT40" i="3" s="1"/>
  <c r="BU40" i="3" s="1"/>
  <c r="BO40" i="3"/>
  <c r="BK40" i="3"/>
  <c r="BL40" i="3" s="1"/>
  <c r="BM40" i="3" s="1"/>
  <c r="BG40" i="3"/>
  <c r="BH40" i="3" s="1"/>
  <c r="BC40" i="3"/>
  <c r="CA39" i="3"/>
  <c r="CB39" i="3" s="1"/>
  <c r="CC39" i="3" s="1"/>
  <c r="BW39" i="3"/>
  <c r="BX39" i="3" s="1"/>
  <c r="BS39" i="3"/>
  <c r="BT39" i="3" s="1"/>
  <c r="BU39" i="3" s="1"/>
  <c r="FE39" i="3" s="1"/>
  <c r="BO39" i="3"/>
  <c r="BP39" i="3" s="1"/>
  <c r="BK39" i="3"/>
  <c r="BL39" i="3" s="1"/>
  <c r="BG39" i="3"/>
  <c r="BH39" i="3" s="1"/>
  <c r="BI39" i="3" s="1"/>
  <c r="BC39" i="3"/>
  <c r="BD39" i="3" s="1"/>
  <c r="BE39" i="3" s="1"/>
  <c r="CA38" i="3"/>
  <c r="BW38" i="3"/>
  <c r="BS38" i="3"/>
  <c r="BO38" i="3"/>
  <c r="BK38" i="3"/>
  <c r="BG38" i="3"/>
  <c r="BC38" i="3"/>
  <c r="CA34" i="3"/>
  <c r="CB34" i="3" s="1"/>
  <c r="BW34" i="3"/>
  <c r="BX34" i="3" s="1"/>
  <c r="BS34" i="3"/>
  <c r="BT34" i="3" s="1"/>
  <c r="BU34" i="3" s="1"/>
  <c r="BO34" i="3"/>
  <c r="BP34" i="3" s="1"/>
  <c r="BQ34" i="3" s="1"/>
  <c r="FD34" i="3" s="1"/>
  <c r="BK34" i="3"/>
  <c r="BL34" i="3" s="1"/>
  <c r="BM34" i="3" s="1"/>
  <c r="BG34" i="3"/>
  <c r="BH34" i="3" s="1"/>
  <c r="BB34" i="3"/>
  <c r="BV100" i="119" s="1"/>
  <c r="AW91" i="30" s="1"/>
  <c r="CA33" i="3"/>
  <c r="BW33" i="3"/>
  <c r="BS33" i="3"/>
  <c r="BO33" i="3"/>
  <c r="BK33" i="3"/>
  <c r="BG33" i="3"/>
  <c r="BC33" i="3"/>
  <c r="CA32" i="3"/>
  <c r="CU97" i="119" s="1"/>
  <c r="BV88" i="30" s="1"/>
  <c r="BW32" i="3"/>
  <c r="CQ97" i="119" s="1"/>
  <c r="BR88" i="30" s="1"/>
  <c r="BS32" i="3"/>
  <c r="CM97" i="119" s="1"/>
  <c r="BN88" i="30" s="1"/>
  <c r="BO32" i="3"/>
  <c r="CI97" i="119" s="1"/>
  <c r="BJ88" i="30" s="1"/>
  <c r="BK32" i="3"/>
  <c r="CE97" i="119" s="1"/>
  <c r="BF88" i="30" s="1"/>
  <c r="BG32" i="3"/>
  <c r="CA97" i="119" s="1"/>
  <c r="BB88" i="30" s="1"/>
  <c r="BC32" i="3"/>
  <c r="CA31" i="3"/>
  <c r="BW31" i="3"/>
  <c r="BS31" i="3"/>
  <c r="BT31" i="3" s="1"/>
  <c r="BO31" i="3"/>
  <c r="BP31" i="3" s="1"/>
  <c r="BQ31" i="3" s="1"/>
  <c r="FD31" i="3" s="1"/>
  <c r="BK31" i="3"/>
  <c r="BL31" i="3" s="1"/>
  <c r="BM31" i="3" s="1"/>
  <c r="FC31" i="3" s="1"/>
  <c r="BG31" i="3"/>
  <c r="BC31" i="3"/>
  <c r="CA30" i="3"/>
  <c r="CB30" i="3" s="1"/>
  <c r="CC30" i="3" s="1"/>
  <c r="FG30" i="3" s="1"/>
  <c r="BW30" i="3"/>
  <c r="BX30" i="3" s="1"/>
  <c r="BY30" i="3" s="1"/>
  <c r="FF30" i="3" s="1"/>
  <c r="BS30" i="3"/>
  <c r="BO30" i="3"/>
  <c r="BP30" i="3" s="1"/>
  <c r="BK30" i="3"/>
  <c r="BL30" i="3" s="1"/>
  <c r="BM30" i="3" s="1"/>
  <c r="FC30" i="3" s="1"/>
  <c r="BG30" i="3"/>
  <c r="BH30" i="3" s="1"/>
  <c r="BC30" i="3"/>
  <c r="BD30" i="3" s="1"/>
  <c r="CA29" i="3"/>
  <c r="CB29" i="3" s="1"/>
  <c r="CC29" i="3" s="1"/>
  <c r="FG29" i="3" s="1"/>
  <c r="BW29" i="3"/>
  <c r="BX29" i="3" s="1"/>
  <c r="BS29" i="3"/>
  <c r="BO29" i="3"/>
  <c r="BK29" i="3"/>
  <c r="BL29" i="3" s="1"/>
  <c r="BG29" i="3"/>
  <c r="BH29" i="3" s="1"/>
  <c r="BI29" i="3" s="1"/>
  <c r="FB29" i="3" s="1"/>
  <c r="BC29" i="3"/>
  <c r="BD29" i="3" s="1"/>
  <c r="CA28" i="3"/>
  <c r="BW28" i="3"/>
  <c r="BS28" i="3"/>
  <c r="BO28" i="3"/>
  <c r="BK28" i="3"/>
  <c r="BG28" i="3"/>
  <c r="BC28" i="3"/>
  <c r="CA23" i="3"/>
  <c r="CB23" i="3" s="1"/>
  <c r="BW23" i="3"/>
  <c r="BS23" i="3"/>
  <c r="BT23" i="3" s="1"/>
  <c r="BO23" i="3"/>
  <c r="BP23" i="3" s="1"/>
  <c r="BK23" i="3"/>
  <c r="BL23" i="3" s="1"/>
  <c r="BG23" i="3"/>
  <c r="BH23" i="3" s="1"/>
  <c r="BC23" i="3"/>
  <c r="BD23" i="3" s="1"/>
  <c r="BE23" i="3" s="1"/>
  <c r="CA22" i="3"/>
  <c r="BW22" i="3"/>
  <c r="BS22" i="3"/>
  <c r="BO22" i="3"/>
  <c r="BP22" i="3" s="1"/>
  <c r="BK22" i="3"/>
  <c r="BL22" i="3" s="1"/>
  <c r="BG22" i="3"/>
  <c r="BH22" i="3" s="1"/>
  <c r="BC22" i="3"/>
  <c r="CA21" i="3"/>
  <c r="CB21" i="3" s="1"/>
  <c r="CC21" i="3" s="1"/>
  <c r="FG21" i="3" s="1"/>
  <c r="BW21" i="3"/>
  <c r="BX21" i="3" s="1"/>
  <c r="BS21" i="3"/>
  <c r="BO21" i="3"/>
  <c r="BK21" i="3"/>
  <c r="BL21" i="3" s="1"/>
  <c r="BM21" i="3" s="1"/>
  <c r="FC21" i="3" s="1"/>
  <c r="BG21" i="3"/>
  <c r="BH21" i="3" s="1"/>
  <c r="BI21" i="3" s="1"/>
  <c r="BC21" i="3"/>
  <c r="BD21" i="3" s="1"/>
  <c r="BE21" i="3" s="1"/>
  <c r="CA20" i="3"/>
  <c r="CB20" i="3" s="1"/>
  <c r="BW20" i="3"/>
  <c r="BX20" i="3" s="1"/>
  <c r="BY20" i="3" s="1"/>
  <c r="BS20" i="3"/>
  <c r="BO20" i="3"/>
  <c r="BP20" i="3" s="1"/>
  <c r="BK20" i="3"/>
  <c r="BL20" i="3" s="1"/>
  <c r="BG20" i="3"/>
  <c r="BH20" i="3" s="1"/>
  <c r="BI20" i="3" s="1"/>
  <c r="BB20" i="3"/>
  <c r="CA19" i="3"/>
  <c r="CB19" i="3" s="1"/>
  <c r="CC19" i="3" s="1"/>
  <c r="FG19" i="3" s="1"/>
  <c r="BW19" i="3"/>
  <c r="BX19" i="3" s="1"/>
  <c r="BY19" i="3" s="1"/>
  <c r="FF19" i="3" s="1"/>
  <c r="BS19" i="3"/>
  <c r="BT19" i="3" s="1"/>
  <c r="BO19" i="3"/>
  <c r="BP19" i="3" s="1"/>
  <c r="BQ19" i="3" s="1"/>
  <c r="FD19" i="3" s="1"/>
  <c r="BK19" i="3"/>
  <c r="BL19" i="3" s="1"/>
  <c r="BG19" i="3"/>
  <c r="BC19" i="3"/>
  <c r="BD19" i="3" s="1"/>
  <c r="CA18" i="3"/>
  <c r="CB18" i="3" s="1"/>
  <c r="BW18" i="3"/>
  <c r="BX18" i="3" s="1"/>
  <c r="BY18" i="3" s="1"/>
  <c r="FF18" i="3" s="1"/>
  <c r="BS18" i="3"/>
  <c r="BT18" i="3" s="1"/>
  <c r="BU18" i="3" s="1"/>
  <c r="BO18" i="3"/>
  <c r="BP18" i="3" s="1"/>
  <c r="BQ18" i="3" s="1"/>
  <c r="BK18" i="3"/>
  <c r="BL18" i="3" s="1"/>
  <c r="BM18" i="3" s="1"/>
  <c r="BG18" i="3"/>
  <c r="BH18" i="3" s="1"/>
  <c r="BI18" i="3" s="1"/>
  <c r="BC18" i="3"/>
  <c r="CA17" i="3"/>
  <c r="CB17" i="3" s="1"/>
  <c r="CC17" i="3" s="1"/>
  <c r="BW17" i="3"/>
  <c r="BX17" i="3" s="1"/>
  <c r="BS17" i="3"/>
  <c r="BT17" i="3" s="1"/>
  <c r="BU17" i="3" s="1"/>
  <c r="FE17" i="3" s="1"/>
  <c r="BO17" i="3"/>
  <c r="BP17" i="3" s="1"/>
  <c r="BQ17" i="3" s="1"/>
  <c r="FD17" i="3" s="1"/>
  <c r="BK17" i="3"/>
  <c r="BL17" i="3" s="1"/>
  <c r="BM17" i="3" s="1"/>
  <c r="FC17" i="3" s="1"/>
  <c r="BG17" i="3"/>
  <c r="BH17" i="3" s="1"/>
  <c r="BC17" i="3"/>
  <c r="BD17" i="3" s="1"/>
  <c r="BE17" i="3" s="1"/>
  <c r="CA14" i="3"/>
  <c r="CB14" i="3" s="1"/>
  <c r="CC14" i="3" s="1"/>
  <c r="FG14" i="3" s="1"/>
  <c r="BW14" i="3"/>
  <c r="BX14" i="3" s="1"/>
  <c r="BY14" i="3" s="1"/>
  <c r="FF14" i="3" s="1"/>
  <c r="BS14" i="3"/>
  <c r="BT14" i="3" s="1"/>
  <c r="BO14" i="3"/>
  <c r="BP14" i="3" s="1"/>
  <c r="BQ14" i="3" s="1"/>
  <c r="BK14" i="3"/>
  <c r="BG14" i="3"/>
  <c r="BH14" i="3" s="1"/>
  <c r="BI14" i="3" s="1"/>
  <c r="FB14" i="3" s="1"/>
  <c r="BC14" i="3"/>
  <c r="BD14" i="3" s="1"/>
  <c r="CA13" i="3"/>
  <c r="BW13" i="3"/>
  <c r="BS13" i="3"/>
  <c r="BO13" i="3"/>
  <c r="BK13" i="3"/>
  <c r="BG13" i="3"/>
  <c r="BC13" i="3"/>
  <c r="CA12" i="3"/>
  <c r="BW12" i="3"/>
  <c r="CQ93" i="119" s="1"/>
  <c r="BR84" i="30" s="1"/>
  <c r="BS12" i="3"/>
  <c r="CM93" i="119" s="1"/>
  <c r="BN84" i="30" s="1"/>
  <c r="BO12" i="3"/>
  <c r="BK12" i="3"/>
  <c r="BG12" i="3"/>
  <c r="BC12" i="3"/>
  <c r="CA11" i="3"/>
  <c r="BW11" i="3"/>
  <c r="BS11" i="3"/>
  <c r="BO11" i="3"/>
  <c r="BK11" i="3"/>
  <c r="BG11" i="3"/>
  <c r="BC11" i="3"/>
  <c r="CA49" i="2"/>
  <c r="BZ49" i="2"/>
  <c r="BX49" i="2"/>
  <c r="BW49" i="2"/>
  <c r="BV49" i="2"/>
  <c r="BU49" i="2"/>
  <c r="BT49" i="2"/>
  <c r="BS49" i="2"/>
  <c r="BR49" i="2"/>
  <c r="BQ49" i="2"/>
  <c r="BP49" i="2"/>
  <c r="BO49" i="2"/>
  <c r="BN49" i="2"/>
  <c r="BM49" i="2"/>
  <c r="BL49" i="2"/>
  <c r="BK49" i="2"/>
  <c r="BJ49" i="2"/>
  <c r="BI49" i="2"/>
  <c r="BH49" i="2"/>
  <c r="BG49" i="2"/>
  <c r="BF49" i="2"/>
  <c r="BE49" i="2"/>
  <c r="BD49" i="2"/>
  <c r="BC49" i="2"/>
  <c r="BB49" i="2"/>
  <c r="CB93" i="2"/>
  <c r="FJ43" i="3"/>
  <c r="GO34" i="1"/>
  <c r="GN34" i="1"/>
  <c r="GM34" i="1"/>
  <c r="GL34" i="1"/>
  <c r="GK34" i="1"/>
  <c r="GJ34" i="1"/>
  <c r="GI34" i="1"/>
  <c r="GH34" i="1"/>
  <c r="GG34" i="1"/>
  <c r="GF34" i="1"/>
  <c r="GE34" i="1"/>
  <c r="GD34" i="1"/>
  <c r="GC34" i="1"/>
  <c r="GB34" i="1"/>
  <c r="GA34" i="1"/>
  <c r="FZ34" i="1"/>
  <c r="FY34" i="1"/>
  <c r="FX34" i="1"/>
  <c r="FW34" i="1"/>
  <c r="FE34" i="1"/>
  <c r="T287" i="119" s="1"/>
  <c r="T218" i="30" s="1"/>
  <c r="FD34" i="1"/>
  <c r="S287" i="119" s="1"/>
  <c r="S218" i="30" s="1"/>
  <c r="FC34" i="1"/>
  <c r="R287" i="119" s="1"/>
  <c r="R218" i="30" s="1"/>
  <c r="FB34" i="1"/>
  <c r="Q287" i="119" s="1"/>
  <c r="Q218" i="30" s="1"/>
  <c r="FA34" i="1"/>
  <c r="P287" i="119" s="1"/>
  <c r="P218" i="30" s="1"/>
  <c r="EZ34" i="1"/>
  <c r="O287" i="119" s="1"/>
  <c r="O218" i="30" s="1"/>
  <c r="EY34" i="1"/>
  <c r="N287" i="119" s="1"/>
  <c r="N218" i="30" s="1"/>
  <c r="EX34" i="1"/>
  <c r="M287" i="119" s="1"/>
  <c r="M218" i="30" s="1"/>
  <c r="EW34" i="1"/>
  <c r="L287" i="119" s="1"/>
  <c r="L218" i="30" s="1"/>
  <c r="EV34" i="1"/>
  <c r="K287" i="119" s="1"/>
  <c r="K218" i="30" s="1"/>
  <c r="EU34" i="1"/>
  <c r="J287" i="119" s="1"/>
  <c r="J218" i="30" s="1"/>
  <c r="ET34" i="1"/>
  <c r="I287" i="119" s="1"/>
  <c r="I218" i="30" s="1"/>
  <c r="ES34" i="1"/>
  <c r="H287" i="119" s="1"/>
  <c r="H218" i="30" s="1"/>
  <c r="ER34" i="1"/>
  <c r="G287" i="119" s="1"/>
  <c r="G218" i="30" s="1"/>
  <c r="EQ34" i="1"/>
  <c r="F287" i="119" s="1"/>
  <c r="F218" i="30" s="1"/>
  <c r="EP34" i="1"/>
  <c r="EO34" i="1"/>
  <c r="EN34" i="1"/>
  <c r="EM34" i="1"/>
  <c r="GO24" i="1"/>
  <c r="GN24" i="1"/>
  <c r="GM24" i="1"/>
  <c r="GL24" i="1"/>
  <c r="GK24" i="1"/>
  <c r="GJ24" i="1"/>
  <c r="GI24" i="1"/>
  <c r="GH24" i="1"/>
  <c r="GG24" i="1"/>
  <c r="GF24" i="1"/>
  <c r="GE24" i="1"/>
  <c r="GD24" i="1"/>
  <c r="GC24" i="1"/>
  <c r="GB24" i="1"/>
  <c r="GA24" i="1"/>
  <c r="FZ24" i="1"/>
  <c r="FY24" i="1"/>
  <c r="FX24" i="1"/>
  <c r="FW24" i="1"/>
  <c r="FE24" i="1"/>
  <c r="T273" i="119" s="1"/>
  <c r="T204" i="30" s="1"/>
  <c r="FD24" i="1"/>
  <c r="S273" i="119" s="1"/>
  <c r="S204" i="30" s="1"/>
  <c r="FC24" i="1"/>
  <c r="R273" i="119" s="1"/>
  <c r="R204" i="30" s="1"/>
  <c r="FB24" i="1"/>
  <c r="Q273" i="119" s="1"/>
  <c r="Q204" i="30" s="1"/>
  <c r="FA24" i="1"/>
  <c r="P273" i="119" s="1"/>
  <c r="P204" i="30" s="1"/>
  <c r="EZ24" i="1"/>
  <c r="O273" i="119" s="1"/>
  <c r="O204" i="30" s="1"/>
  <c r="EY24" i="1"/>
  <c r="N273" i="119" s="1"/>
  <c r="N204" i="30" s="1"/>
  <c r="EX24" i="1"/>
  <c r="M273" i="119" s="1"/>
  <c r="M204" i="30" s="1"/>
  <c r="EW24" i="1"/>
  <c r="L273" i="119" s="1"/>
  <c r="L204" i="30" s="1"/>
  <c r="EV24" i="1"/>
  <c r="K273" i="119" s="1"/>
  <c r="K204" i="30" s="1"/>
  <c r="EU24" i="1"/>
  <c r="J273" i="119" s="1"/>
  <c r="J204" i="30" s="1"/>
  <c r="ET24" i="1"/>
  <c r="I273" i="119" s="1"/>
  <c r="I204" i="30" s="1"/>
  <c r="ES24" i="1"/>
  <c r="H273" i="119" s="1"/>
  <c r="H204" i="30" s="1"/>
  <c r="ER24" i="1"/>
  <c r="G273" i="119" s="1"/>
  <c r="G204" i="30" s="1"/>
  <c r="EQ24" i="1"/>
  <c r="F273" i="119" s="1"/>
  <c r="F204" i="30" s="1"/>
  <c r="EP24" i="1"/>
  <c r="EO24" i="1"/>
  <c r="EN24" i="1"/>
  <c r="EM24" i="1"/>
  <c r="GK21" i="1"/>
  <c r="GJ21" i="1"/>
  <c r="GI21" i="1"/>
  <c r="GH21" i="1"/>
  <c r="GG21" i="1"/>
  <c r="GF21" i="1"/>
  <c r="GE21" i="1"/>
  <c r="GD21" i="1"/>
  <c r="GC21" i="1"/>
  <c r="GB21" i="1"/>
  <c r="GA21" i="1"/>
  <c r="FZ21" i="1"/>
  <c r="FY21" i="1"/>
  <c r="FX21" i="1"/>
  <c r="FW21" i="1"/>
  <c r="FB21" i="1"/>
  <c r="Q24" i="119" s="1"/>
  <c r="FA21" i="1"/>
  <c r="P24" i="119" s="1"/>
  <c r="EZ21" i="1"/>
  <c r="O24" i="119" s="1"/>
  <c r="EY21" i="1"/>
  <c r="N24" i="119" s="1"/>
  <c r="EX21" i="1"/>
  <c r="M24" i="119" s="1"/>
  <c r="EW21" i="1"/>
  <c r="L24" i="119" s="1"/>
  <c r="EV21" i="1"/>
  <c r="K24" i="119" s="1"/>
  <c r="EU21" i="1"/>
  <c r="J24" i="119" s="1"/>
  <c r="ET21" i="1"/>
  <c r="I24" i="119" s="1"/>
  <c r="I24" i="30" s="1"/>
  <c r="ES21" i="1"/>
  <c r="H24" i="119" s="1"/>
  <c r="ER21" i="1"/>
  <c r="G24" i="119" s="1"/>
  <c r="EQ21" i="1"/>
  <c r="F24" i="119" s="1"/>
  <c r="EP21" i="1"/>
  <c r="EO21" i="1"/>
  <c r="EN21" i="1"/>
  <c r="EM21" i="1"/>
  <c r="GM22" i="1"/>
  <c r="GL22" i="1"/>
  <c r="GK22" i="1"/>
  <c r="GJ22" i="1"/>
  <c r="GI22" i="1"/>
  <c r="GH22" i="1"/>
  <c r="GG22" i="1"/>
  <c r="GF22" i="1"/>
  <c r="GE22" i="1"/>
  <c r="GD22" i="1"/>
  <c r="GC22" i="1"/>
  <c r="GB22" i="1"/>
  <c r="GA22" i="1"/>
  <c r="FZ22" i="1"/>
  <c r="FY22" i="1"/>
  <c r="FX22" i="1"/>
  <c r="FW22" i="1"/>
  <c r="FC22" i="1"/>
  <c r="R25" i="119" s="1"/>
  <c r="R25" i="30" s="1"/>
  <c r="FB22" i="1"/>
  <c r="Q25" i="119" s="1"/>
  <c r="Q25" i="30" s="1"/>
  <c r="FA22" i="1"/>
  <c r="P25" i="119" s="1"/>
  <c r="P25" i="30" s="1"/>
  <c r="EZ22" i="1"/>
  <c r="O25" i="119" s="1"/>
  <c r="O25" i="30" s="1"/>
  <c r="EY22" i="1"/>
  <c r="N25" i="119" s="1"/>
  <c r="N25" i="30" s="1"/>
  <c r="EX22" i="1"/>
  <c r="M25" i="119" s="1"/>
  <c r="M25" i="30" s="1"/>
  <c r="EW22" i="1"/>
  <c r="L25" i="119" s="1"/>
  <c r="L25" i="30" s="1"/>
  <c r="EV22" i="1"/>
  <c r="K25" i="119" s="1"/>
  <c r="K25" i="30" s="1"/>
  <c r="EU22" i="1"/>
  <c r="J25" i="119" s="1"/>
  <c r="J25" i="30" s="1"/>
  <c r="ET22" i="1"/>
  <c r="I25" i="119" s="1"/>
  <c r="ES22" i="1"/>
  <c r="H25" i="119" s="1"/>
  <c r="H25" i="30" s="1"/>
  <c r="ER22" i="1"/>
  <c r="G25" i="119" s="1"/>
  <c r="G25" i="30" s="1"/>
  <c r="EQ22" i="1"/>
  <c r="F25" i="119" s="1"/>
  <c r="F25" i="30" s="1"/>
  <c r="EP22" i="1"/>
  <c r="EO22" i="1"/>
  <c r="EN22" i="1"/>
  <c r="EM22" i="1"/>
  <c r="CA14" i="1"/>
  <c r="BZ14" i="1"/>
  <c r="CT18" i="119" s="1"/>
  <c r="BY14" i="1"/>
  <c r="CS18" i="119" s="1"/>
  <c r="BT18" i="30" s="1"/>
  <c r="BX14" i="1"/>
  <c r="CR18" i="119" s="1"/>
  <c r="BW14" i="1"/>
  <c r="CQ18" i="119" s="1"/>
  <c r="BV14" i="1"/>
  <c r="CP18" i="119" s="1"/>
  <c r="BU14" i="1"/>
  <c r="CO18" i="119" s="1"/>
  <c r="BT14" i="1"/>
  <c r="CN18" i="119" s="1"/>
  <c r="BS14" i="1"/>
  <c r="CM18" i="119" s="1"/>
  <c r="BN18" i="30" s="1"/>
  <c r="BR14" i="1"/>
  <c r="CL18" i="119" s="1"/>
  <c r="BQ14" i="1"/>
  <c r="CK18" i="119" s="1"/>
  <c r="BP14" i="1"/>
  <c r="CJ18" i="119" s="1"/>
  <c r="BO14" i="1"/>
  <c r="CI18" i="119" s="1"/>
  <c r="BN14" i="1"/>
  <c r="CH18" i="119" s="1"/>
  <c r="BM14" i="1"/>
  <c r="CG18" i="119" s="1"/>
  <c r="BH18" i="30" s="1"/>
  <c r="BL14" i="1"/>
  <c r="CF18" i="119" s="1"/>
  <c r="BK14" i="1"/>
  <c r="CE18" i="119" s="1"/>
  <c r="BJ14" i="1"/>
  <c r="CD18" i="119" s="1"/>
  <c r="BI14" i="1"/>
  <c r="CC18" i="119" s="1"/>
  <c r="BH14" i="1"/>
  <c r="CB18" i="119" s="1"/>
  <c r="BG14" i="1"/>
  <c r="CA18" i="119" s="1"/>
  <c r="BB18" i="30" s="1"/>
  <c r="BF14" i="1"/>
  <c r="BZ18" i="119" s="1"/>
  <c r="BE14" i="1"/>
  <c r="BY18" i="119" s="1"/>
  <c r="BD14" i="1"/>
  <c r="BX18" i="119" s="1"/>
  <c r="BC14" i="1"/>
  <c r="BW18" i="119" s="1"/>
  <c r="BB14" i="1"/>
  <c r="BV18" i="119" s="1"/>
  <c r="BA14" i="1"/>
  <c r="BU18" i="119" s="1"/>
  <c r="AV18" i="30" s="1"/>
  <c r="AZ14" i="1"/>
  <c r="BT18" i="119" s="1"/>
  <c r="AY14" i="1"/>
  <c r="BS18" i="119" s="1"/>
  <c r="AX14" i="1"/>
  <c r="BR18" i="119" s="1"/>
  <c r="AW14" i="1"/>
  <c r="BQ18" i="119" s="1"/>
  <c r="AV14" i="1"/>
  <c r="BP18" i="119" s="1"/>
  <c r="AU14" i="1"/>
  <c r="BO18" i="119" s="1"/>
  <c r="AP18" i="30" s="1"/>
  <c r="AT14" i="1"/>
  <c r="BN18" i="119" s="1"/>
  <c r="AS14" i="1"/>
  <c r="BM18" i="119" s="1"/>
  <c r="AR14" i="1"/>
  <c r="BL18" i="119" s="1"/>
  <c r="AQ14" i="1"/>
  <c r="BK18" i="119" s="1"/>
  <c r="AP14" i="1"/>
  <c r="BJ18" i="119" s="1"/>
  <c r="AO14" i="1"/>
  <c r="BI18" i="119" s="1"/>
  <c r="AJ18" i="30" s="1"/>
  <c r="AN14" i="1"/>
  <c r="BH18" i="119" s="1"/>
  <c r="AM14" i="1"/>
  <c r="BG18" i="119" s="1"/>
  <c r="AL14" i="1"/>
  <c r="BF18" i="119" s="1"/>
  <c r="AK14" i="1"/>
  <c r="BE18" i="119" s="1"/>
  <c r="AJ14" i="1"/>
  <c r="BD18" i="119" s="1"/>
  <c r="AI14" i="1"/>
  <c r="BC18" i="119" s="1"/>
  <c r="AD18" i="30" s="1"/>
  <c r="AH14" i="1"/>
  <c r="BB18" i="119" s="1"/>
  <c r="AG14" i="1"/>
  <c r="BA18" i="119" s="1"/>
  <c r="AF14" i="1"/>
  <c r="AZ18" i="119" s="1"/>
  <c r="AE14" i="1"/>
  <c r="AY18" i="119" s="1"/>
  <c r="AD14" i="1"/>
  <c r="AX18" i="119" s="1"/>
  <c r="AC14" i="1"/>
  <c r="AW18" i="119" s="1"/>
  <c r="AB14" i="1"/>
  <c r="AV18" i="119" s="1"/>
  <c r="AA14" i="1"/>
  <c r="AU18" i="119" s="1"/>
  <c r="Z14" i="1"/>
  <c r="AT18" i="119" s="1"/>
  <c r="Y14" i="1"/>
  <c r="AS18" i="119" s="1"/>
  <c r="X14" i="1"/>
  <c r="AR18" i="119" s="1"/>
  <c r="W14" i="1"/>
  <c r="AQ18" i="119" s="1"/>
  <c r="V14" i="1"/>
  <c r="AP18" i="119" s="1"/>
  <c r="AP19" i="119" s="1"/>
  <c r="U14" i="1"/>
  <c r="AO18" i="119" s="1"/>
  <c r="T14" i="1"/>
  <c r="AN18" i="119" s="1"/>
  <c r="S14" i="1"/>
  <c r="AM18" i="119" s="1"/>
  <c r="R14" i="1"/>
  <c r="AL18" i="119" s="1"/>
  <c r="Q14" i="1"/>
  <c r="P14" i="1"/>
  <c r="O14" i="1"/>
  <c r="N14" i="1"/>
  <c r="M14" i="1"/>
  <c r="L14" i="1"/>
  <c r="K14" i="1"/>
  <c r="J14" i="1"/>
  <c r="I14" i="1"/>
  <c r="H14" i="1"/>
  <c r="G14" i="1"/>
  <c r="F14" i="1"/>
  <c r="E14" i="1"/>
  <c r="D14" i="1"/>
  <c r="C14" i="1"/>
  <c r="B14" i="1"/>
  <c r="B65" i="1" s="1"/>
  <c r="GO13" i="1"/>
  <c r="GN13" i="1"/>
  <c r="GM13" i="1"/>
  <c r="GL13" i="1"/>
  <c r="GK13" i="1"/>
  <c r="GJ13" i="1"/>
  <c r="GI13" i="1"/>
  <c r="GH13" i="1"/>
  <c r="GG13" i="1"/>
  <c r="GF13" i="1"/>
  <c r="GE13" i="1"/>
  <c r="GD13" i="1"/>
  <c r="GC13" i="1"/>
  <c r="GB13" i="1"/>
  <c r="GA13" i="1"/>
  <c r="FZ13" i="1"/>
  <c r="FY13" i="1"/>
  <c r="FX13" i="1"/>
  <c r="FW13" i="1"/>
  <c r="FE13" i="1"/>
  <c r="T13" i="119" s="1"/>
  <c r="T13" i="30" s="1"/>
  <c r="FD13" i="1"/>
  <c r="S13" i="119" s="1"/>
  <c r="S13" i="30" s="1"/>
  <c r="FC13" i="1"/>
  <c r="R13" i="119" s="1"/>
  <c r="R13" i="30" s="1"/>
  <c r="FB13" i="1"/>
  <c r="Q13" i="119" s="1"/>
  <c r="Q13" i="30" s="1"/>
  <c r="FA13" i="1"/>
  <c r="P13" i="119" s="1"/>
  <c r="P13" i="30" s="1"/>
  <c r="EZ13" i="1"/>
  <c r="O13" i="119" s="1"/>
  <c r="O13" i="30" s="1"/>
  <c r="EY13" i="1"/>
  <c r="N13" i="119" s="1"/>
  <c r="N13" i="30" s="1"/>
  <c r="EX13" i="1"/>
  <c r="M13" i="119" s="1"/>
  <c r="M13" i="30" s="1"/>
  <c r="EW13" i="1"/>
  <c r="L13" i="119" s="1"/>
  <c r="L13" i="30" s="1"/>
  <c r="EV13" i="1"/>
  <c r="K13" i="119" s="1"/>
  <c r="K13" i="30" s="1"/>
  <c r="EU13" i="1"/>
  <c r="J13" i="119" s="1"/>
  <c r="J13" i="30" s="1"/>
  <c r="ET13" i="1"/>
  <c r="I13" i="119" s="1"/>
  <c r="I13" i="30" s="1"/>
  <c r="ES13" i="1"/>
  <c r="H13" i="119" s="1"/>
  <c r="H13" i="30" s="1"/>
  <c r="ER13" i="1"/>
  <c r="G13" i="119" s="1"/>
  <c r="G13" i="30" s="1"/>
  <c r="EQ13" i="1"/>
  <c r="F13" i="119" s="1"/>
  <c r="F13" i="30" s="1"/>
  <c r="EP13" i="1"/>
  <c r="EO13" i="1"/>
  <c r="EN13" i="1"/>
  <c r="EM13" i="1"/>
  <c r="GO12" i="1"/>
  <c r="GN12" i="1"/>
  <c r="GM12" i="1"/>
  <c r="GL12" i="1"/>
  <c r="GK12" i="1"/>
  <c r="GJ12" i="1"/>
  <c r="GI12" i="1"/>
  <c r="GH12" i="1"/>
  <c r="GG12" i="1"/>
  <c r="GF12" i="1"/>
  <c r="GE12" i="1"/>
  <c r="GD12" i="1"/>
  <c r="GC12" i="1"/>
  <c r="GB12" i="1"/>
  <c r="GA12" i="1"/>
  <c r="FZ12" i="1"/>
  <c r="FY12" i="1"/>
  <c r="FX12" i="1"/>
  <c r="FW12" i="1"/>
  <c r="FE12" i="1"/>
  <c r="T15" i="119" s="1"/>
  <c r="T15" i="30" s="1"/>
  <c r="FD12" i="1"/>
  <c r="S15" i="119" s="1"/>
  <c r="S15" i="30" s="1"/>
  <c r="FC12" i="1"/>
  <c r="R15" i="119" s="1"/>
  <c r="R15" i="30" s="1"/>
  <c r="FB12" i="1"/>
  <c r="Q15" i="119" s="1"/>
  <c r="Q15" i="30" s="1"/>
  <c r="FA12" i="1"/>
  <c r="P15" i="119" s="1"/>
  <c r="P15" i="30" s="1"/>
  <c r="EZ12" i="1"/>
  <c r="O15" i="119" s="1"/>
  <c r="O15" i="30" s="1"/>
  <c r="EY12" i="1"/>
  <c r="N15" i="119" s="1"/>
  <c r="N15" i="30" s="1"/>
  <c r="EX12" i="1"/>
  <c r="M15" i="119" s="1"/>
  <c r="M15" i="30" s="1"/>
  <c r="EW12" i="1"/>
  <c r="L15" i="119" s="1"/>
  <c r="L15" i="30" s="1"/>
  <c r="EV12" i="1"/>
  <c r="K15" i="119" s="1"/>
  <c r="K15" i="30" s="1"/>
  <c r="EU12" i="1"/>
  <c r="J15" i="119" s="1"/>
  <c r="J15" i="30" s="1"/>
  <c r="ET12" i="1"/>
  <c r="I15" i="119" s="1"/>
  <c r="I15" i="30" s="1"/>
  <c r="ES12" i="1"/>
  <c r="H15" i="119" s="1"/>
  <c r="H15" i="30" s="1"/>
  <c r="ER12" i="1"/>
  <c r="G15" i="119" s="1"/>
  <c r="G15" i="30" s="1"/>
  <c r="EQ12" i="1"/>
  <c r="F15" i="119" s="1"/>
  <c r="F15" i="30" s="1"/>
  <c r="EP12" i="1"/>
  <c r="EO12" i="1"/>
  <c r="EN12" i="1"/>
  <c r="EM12" i="1"/>
  <c r="GO10" i="1"/>
  <c r="GN10" i="1"/>
  <c r="GM10" i="1"/>
  <c r="GL10" i="1"/>
  <c r="GK10" i="1"/>
  <c r="GJ10" i="1"/>
  <c r="GI10" i="1"/>
  <c r="GH10" i="1"/>
  <c r="GG10" i="1"/>
  <c r="GF10" i="1"/>
  <c r="GE10" i="1"/>
  <c r="GD10" i="1"/>
  <c r="GC10" i="1"/>
  <c r="GB10" i="1"/>
  <c r="GA10" i="1"/>
  <c r="FZ10" i="1"/>
  <c r="FY10" i="1"/>
  <c r="FX10" i="1"/>
  <c r="FW10" i="1"/>
  <c r="FE10" i="1"/>
  <c r="FD10" i="1"/>
  <c r="FC10" i="1"/>
  <c r="FB10" i="1"/>
  <c r="FA10" i="1"/>
  <c r="EZ10" i="1"/>
  <c r="EY10" i="1"/>
  <c r="EX10" i="1"/>
  <c r="EW10" i="1"/>
  <c r="EV10" i="1"/>
  <c r="EU10" i="1"/>
  <c r="ET10" i="1"/>
  <c r="ES10" i="1"/>
  <c r="ER10" i="1"/>
  <c r="EQ10" i="1"/>
  <c r="EP10" i="1"/>
  <c r="EO10" i="1"/>
  <c r="EN10" i="1"/>
  <c r="EM10" i="1"/>
  <c r="CA11" i="1"/>
  <c r="BZ11" i="1"/>
  <c r="BY11" i="1"/>
  <c r="BX11" i="1"/>
  <c r="BW11" i="1"/>
  <c r="BV11" i="1"/>
  <c r="BU11" i="1"/>
  <c r="BT11" i="1"/>
  <c r="BS11" i="1"/>
  <c r="BR11" i="1"/>
  <c r="BQ11" i="1"/>
  <c r="BP11" i="1"/>
  <c r="BO11" i="1"/>
  <c r="BN11" i="1"/>
  <c r="BM11" i="1"/>
  <c r="BL11" i="1"/>
  <c r="BK11" i="1"/>
  <c r="BJ11" i="1"/>
  <c r="BI11" i="1"/>
  <c r="BH11" i="1"/>
  <c r="BG11" i="1"/>
  <c r="BF11" i="1"/>
  <c r="BE11" i="1"/>
  <c r="BD11" i="1"/>
  <c r="BC11" i="1"/>
  <c r="BB11" i="1"/>
  <c r="BA11" i="1"/>
  <c r="AZ11" i="1"/>
  <c r="AY11" i="1"/>
  <c r="AX11" i="1"/>
  <c r="AW11" i="1"/>
  <c r="AV11" i="1"/>
  <c r="AU11" i="1"/>
  <c r="AT11" i="1"/>
  <c r="AS11" i="1"/>
  <c r="AR11" i="1"/>
  <c r="AQ11" i="1"/>
  <c r="AP11" i="1"/>
  <c r="AO11" i="1"/>
  <c r="AN11" i="1"/>
  <c r="AM11" i="1"/>
  <c r="AL11" i="1"/>
  <c r="AK11" i="1"/>
  <c r="AJ11" i="1"/>
  <c r="AI11" i="1"/>
  <c r="AH11" i="1"/>
  <c r="AG11" i="1"/>
  <c r="AF11" i="1"/>
  <c r="AE11" i="1"/>
  <c r="AD11" i="1"/>
  <c r="AC11" i="1"/>
  <c r="AB11" i="1"/>
  <c r="AA11" i="1"/>
  <c r="Z11" i="1"/>
  <c r="Y11" i="1"/>
  <c r="X11" i="1"/>
  <c r="W11" i="1"/>
  <c r="V11" i="1"/>
  <c r="U11" i="1"/>
  <c r="T11" i="1"/>
  <c r="S11" i="1"/>
  <c r="R11" i="1"/>
  <c r="Q11" i="1"/>
  <c r="P11" i="1"/>
  <c r="O11" i="1"/>
  <c r="N11" i="1"/>
  <c r="M11" i="1"/>
  <c r="L11" i="1"/>
  <c r="K11" i="1"/>
  <c r="J11" i="1"/>
  <c r="I11" i="1"/>
  <c r="H11" i="1"/>
  <c r="G11" i="1"/>
  <c r="F11" i="1"/>
  <c r="E11" i="1"/>
  <c r="D11" i="1"/>
  <c r="C11" i="1"/>
  <c r="B11" i="1"/>
  <c r="GO9" i="1"/>
  <c r="GN9" i="1"/>
  <c r="GM9" i="1"/>
  <c r="GL9" i="1"/>
  <c r="GK9" i="1"/>
  <c r="GJ9" i="1"/>
  <c r="GI9" i="1"/>
  <c r="GH9" i="1"/>
  <c r="GG9" i="1"/>
  <c r="GF9" i="1"/>
  <c r="GE9" i="1"/>
  <c r="GD9" i="1"/>
  <c r="GC9" i="1"/>
  <c r="GB9" i="1"/>
  <c r="GA9" i="1"/>
  <c r="FZ9" i="1"/>
  <c r="FY9" i="1"/>
  <c r="FX9" i="1"/>
  <c r="FW9" i="1"/>
  <c r="FE9" i="1"/>
  <c r="FD9" i="1"/>
  <c r="FC9" i="1"/>
  <c r="FB9" i="1"/>
  <c r="FA9" i="1"/>
  <c r="EZ9" i="1"/>
  <c r="EY9" i="1"/>
  <c r="EX9" i="1"/>
  <c r="EW9" i="1"/>
  <c r="EV9" i="1"/>
  <c r="EU9" i="1"/>
  <c r="ET9" i="1"/>
  <c r="ES9" i="1"/>
  <c r="ER9" i="1"/>
  <c r="EQ9" i="1"/>
  <c r="EP9" i="1"/>
  <c r="EO9" i="1"/>
  <c r="EN9" i="1"/>
  <c r="EM9" i="1"/>
  <c r="EM60" i="1" s="1"/>
  <c r="CB14" i="1"/>
  <c r="CB25" i="2"/>
  <c r="GP9" i="1"/>
  <c r="GP12" i="1"/>
  <c r="CB89" i="2"/>
  <c r="GP13" i="1"/>
  <c r="CD35" i="3"/>
  <c r="CX101" i="119" s="1"/>
  <c r="BY92" i="30" s="1"/>
  <c r="CB11" i="1"/>
  <c r="GP10" i="1"/>
  <c r="CB49" i="2"/>
  <c r="CB18" i="2"/>
  <c r="CV45" i="119" s="1"/>
  <c r="BW43" i="30" s="1"/>
  <c r="FH31" i="2"/>
  <c r="CD48" i="3"/>
  <c r="CD25" i="2"/>
  <c r="GP34" i="1"/>
  <c r="GP27" i="1"/>
  <c r="GP33" i="1"/>
  <c r="GP24" i="1"/>
  <c r="CD49" i="2"/>
  <c r="CE93" i="2"/>
  <c r="CF93" i="2"/>
  <c r="CF91" i="2" s="1"/>
  <c r="CZ49" i="119" s="1"/>
  <c r="CA47" i="30" s="1"/>
  <c r="FH48" i="2"/>
  <c r="FH37" i="2"/>
  <c r="FH33" i="2"/>
  <c r="FH24" i="2"/>
  <c r="V54" i="119" s="1"/>
  <c r="V52" i="30" s="1"/>
  <c r="FH23" i="2"/>
  <c r="FH22" i="2"/>
  <c r="FH12" i="2"/>
  <c r="FG27" i="1"/>
  <c r="CE14" i="1"/>
  <c r="CE89" i="2"/>
  <c r="CE25" i="2"/>
  <c r="CE49" i="2"/>
  <c r="CF89" i="2"/>
  <c r="CF14" i="1"/>
  <c r="CE18" i="2"/>
  <c r="CY45" i="119" s="1"/>
  <c r="BZ43" i="30" s="1"/>
  <c r="CG89" i="2"/>
  <c r="FH89" i="2" s="1"/>
  <c r="FH20" i="2"/>
  <c r="V53" i="119" s="1"/>
  <c r="V51" i="30" s="1"/>
  <c r="CH93" i="2"/>
  <c r="CG93" i="2"/>
  <c r="FH93" i="2" s="1"/>
  <c r="GQ27" i="1"/>
  <c r="FH21" i="2"/>
  <c r="V48" i="119" s="1"/>
  <c r="FG34" i="1"/>
  <c r="V287" i="119" s="1"/>
  <c r="V218" i="30" s="1"/>
  <c r="CG25" i="2"/>
  <c r="FH34" i="2"/>
  <c r="GQ34" i="1"/>
  <c r="FH38" i="2"/>
  <c r="V61" i="119" s="1"/>
  <c r="V58" i="30" s="1"/>
  <c r="FI48" i="2"/>
  <c r="FG33" i="1"/>
  <c r="V286" i="119" s="1"/>
  <c r="GQ33" i="1"/>
  <c r="CH48" i="3"/>
  <c r="FH27" i="1"/>
  <c r="CI93" i="2"/>
  <c r="FI20" i="2"/>
  <c r="W53" i="119" s="1"/>
  <c r="W51" i="30" s="1"/>
  <c r="FI33" i="2"/>
  <c r="FH46" i="2"/>
  <c r="FI22" i="2"/>
  <c r="FI31" i="2"/>
  <c r="CF49" i="2"/>
  <c r="FH39" i="2"/>
  <c r="FG9" i="1"/>
  <c r="V11" i="119" s="1"/>
  <c r="FH16" i="2"/>
  <c r="FG13" i="1"/>
  <c r="V13" i="119" s="1"/>
  <c r="V13" i="30" s="1"/>
  <c r="FH13" i="2"/>
  <c r="V42" i="119" s="1"/>
  <c r="V40" i="30" s="1"/>
  <c r="FG12" i="1"/>
  <c r="V15" i="119" s="1"/>
  <c r="V15" i="30" s="1"/>
  <c r="FH17" i="2"/>
  <c r="FH32" i="2"/>
  <c r="FG10" i="1"/>
  <c r="FH14" i="2"/>
  <c r="V43" i="119" s="1"/>
  <c r="V41" i="30" s="1"/>
  <c r="FH30" i="2"/>
  <c r="V56" i="119" s="1"/>
  <c r="V54" i="30" s="1"/>
  <c r="FG24" i="1"/>
  <c r="V273" i="119" s="1"/>
  <c r="V204" i="30" s="1"/>
  <c r="FH47" i="2"/>
  <c r="CG18" i="2"/>
  <c r="DA45" i="119" s="1"/>
  <c r="CB43" i="30" s="1"/>
  <c r="FH11" i="2"/>
  <c r="V41" i="119" s="1"/>
  <c r="V39" i="30" s="1"/>
  <c r="GQ9" i="1"/>
  <c r="GQ13" i="1"/>
  <c r="CL9" i="51"/>
  <c r="CM9" i="51"/>
  <c r="CO9" i="51"/>
  <c r="CL92" i="2"/>
  <c r="DF50" i="119" s="1"/>
  <c r="GR27" i="1"/>
  <c r="CO9" i="2"/>
  <c r="CS8" i="1"/>
  <c r="CJ93" i="2"/>
  <c r="CJ91" i="2" s="1"/>
  <c r="DD49" i="119" s="1"/>
  <c r="CE47" i="30" s="1"/>
  <c r="FI12" i="2"/>
  <c r="FI37" i="2"/>
  <c r="CM9" i="2"/>
  <c r="CQ8" i="1"/>
  <c r="CH35" i="3"/>
  <c r="DB101" i="119" s="1"/>
  <c r="CC92" i="30" s="1"/>
  <c r="CP8" i="1"/>
  <c r="CL9" i="2"/>
  <c r="GQ12" i="1"/>
  <c r="CL88" i="2"/>
  <c r="DF47" i="119" s="1"/>
  <c r="CK93" i="2"/>
  <c r="FI93" i="2" s="1"/>
  <c r="FI23" i="2"/>
  <c r="FI39" i="2"/>
  <c r="FH34" i="1"/>
  <c r="W287" i="119" s="1"/>
  <c r="W218" i="30" s="1"/>
  <c r="GR34" i="1"/>
  <c r="CH25" i="2"/>
  <c r="CH89" i="2"/>
  <c r="FJ22" i="2"/>
  <c r="FI27" i="1"/>
  <c r="FI24" i="2"/>
  <c r="W54" i="119" s="1"/>
  <c r="W52" i="30" s="1"/>
  <c r="BO36" i="6"/>
  <c r="CL93" i="2"/>
  <c r="FI34" i="2"/>
  <c r="FI38" i="2"/>
  <c r="W61" i="119" s="1"/>
  <c r="W58" i="30" s="1"/>
  <c r="FH33" i="1"/>
  <c r="W286" i="119" s="1"/>
  <c r="FI13" i="2"/>
  <c r="W42" i="119" s="1"/>
  <c r="W40" i="30" s="1"/>
  <c r="CK14" i="1"/>
  <c r="CI14" i="1"/>
  <c r="FI16" i="2"/>
  <c r="FH9" i="1"/>
  <c r="W11" i="119" s="1"/>
  <c r="GR33" i="1"/>
  <c r="CI25" i="2"/>
  <c r="CI89" i="2"/>
  <c r="FI17" i="2"/>
  <c r="FH13" i="1"/>
  <c r="W13" i="119" s="1"/>
  <c r="W13" i="30" s="1"/>
  <c r="CJ14" i="1"/>
  <c r="FH12" i="1"/>
  <c r="W15" i="119" s="1"/>
  <c r="W15" i="30" s="1"/>
  <c r="CJ89" i="2"/>
  <c r="CJ25" i="2"/>
  <c r="FI46" i="2"/>
  <c r="CK25" i="2"/>
  <c r="CK89" i="2"/>
  <c r="FI89" i="2" s="1"/>
  <c r="FI21" i="2"/>
  <c r="W48" i="119" s="1"/>
  <c r="GQ24" i="1"/>
  <c r="CJ11" i="1"/>
  <c r="FI14" i="2"/>
  <c r="FI30" i="2"/>
  <c r="W56" i="119" s="1"/>
  <c r="W54" i="30" s="1"/>
  <c r="FI32" i="2"/>
  <c r="CI11" i="1"/>
  <c r="FH24" i="1"/>
  <c r="W273" i="119" s="1"/>
  <c r="W204" i="30" s="1"/>
  <c r="GQ10" i="1"/>
  <c r="CH11" i="1"/>
  <c r="CH24" i="3"/>
  <c r="DB94" i="119" s="1"/>
  <c r="CC85" i="30" s="1"/>
  <c r="CH49" i="2"/>
  <c r="CI49" i="2"/>
  <c r="CJ49" i="2"/>
  <c r="CH56" i="2"/>
  <c r="CH18" i="2"/>
  <c r="DB45" i="119" s="1"/>
  <c r="CC43" i="30" s="1"/>
  <c r="FI47" i="2"/>
  <c r="CK49" i="2"/>
  <c r="CI56" i="2"/>
  <c r="CI18" i="2"/>
  <c r="DC45" i="119" s="1"/>
  <c r="CD43" i="30" s="1"/>
  <c r="CJ18" i="2"/>
  <c r="DD45" i="119" s="1"/>
  <c r="CE43" i="30" s="1"/>
  <c r="CJ56" i="2"/>
  <c r="CK56" i="2"/>
  <c r="CK18" i="2"/>
  <c r="DE45" i="119" s="1"/>
  <c r="CF43" i="30" s="1"/>
  <c r="FI11" i="2"/>
  <c r="W41" i="119" s="1"/>
  <c r="W39" i="30" s="1"/>
  <c r="CK64" i="2"/>
  <c r="FH10" i="1"/>
  <c r="CK65" i="2"/>
  <c r="CK11" i="1"/>
  <c r="FJ15" i="3"/>
  <c r="FK15" i="3"/>
  <c r="BO31" i="51"/>
  <c r="BV31" i="51"/>
  <c r="FN90" i="51" s="1"/>
  <c r="CH31" i="51"/>
  <c r="FN93" i="51" s="1"/>
  <c r="BM23" i="51"/>
  <c r="BR23" i="51"/>
  <c r="CD23" i="51"/>
  <c r="CH36" i="51"/>
  <c r="FN128" i="51" s="1"/>
  <c r="CI34" i="51"/>
  <c r="FU110" i="51" s="1"/>
  <c r="BO25" i="51"/>
  <c r="BV23" i="51"/>
  <c r="CD31" i="51"/>
  <c r="FN92" i="51" s="1"/>
  <c r="CC33" i="51"/>
  <c r="FW91" i="51" s="1"/>
  <c r="BP23" i="51"/>
  <c r="FB16" i="51"/>
  <c r="BM31" i="51"/>
  <c r="BW20" i="51"/>
  <c r="BZ31" i="51"/>
  <c r="FN91" i="51" s="1"/>
  <c r="CE20" i="51"/>
  <c r="CF22" i="51"/>
  <c r="CC32" i="51"/>
  <c r="FQ108" i="51" s="1"/>
  <c r="BT23" i="51"/>
  <c r="CB23" i="51"/>
  <c r="BO36" i="51"/>
  <c r="BP36" i="51"/>
  <c r="FE16" i="51"/>
  <c r="BX36" i="51"/>
  <c r="FP125" i="51" s="1"/>
  <c r="BY25" i="51"/>
  <c r="CE36" i="51"/>
  <c r="FO127" i="51" s="1"/>
  <c r="FG13" i="51"/>
  <c r="FG63" i="51" s="1"/>
  <c r="BY32" i="51"/>
  <c r="FQ107" i="51" s="1"/>
  <c r="BX34" i="51"/>
  <c r="FV107" i="51" s="1"/>
  <c r="CA34" i="51"/>
  <c r="FU108" i="51" s="1"/>
  <c r="BW36" i="51"/>
  <c r="FO125" i="51" s="1"/>
  <c r="FK29" i="3"/>
  <c r="FK42" i="3"/>
  <c r="FL30" i="3"/>
  <c r="FK30" i="3"/>
  <c r="FL28" i="3"/>
  <c r="FK28" i="3"/>
  <c r="FL29" i="3"/>
  <c r="BN20" i="51"/>
  <c r="BT31" i="51"/>
  <c r="FP89" i="51" s="1"/>
  <c r="BC32" i="51"/>
  <c r="EX16" i="51"/>
  <c r="GL16" i="51"/>
  <c r="CE23" i="51"/>
  <c r="AY32" i="51"/>
  <c r="AX21" i="51"/>
  <c r="CA22" i="51"/>
  <c r="BU25" i="51"/>
  <c r="GJ11" i="51"/>
  <c r="EZ13" i="51"/>
  <c r="BP34" i="51"/>
  <c r="GN16" i="51"/>
  <c r="BF32" i="51"/>
  <c r="CL16" i="51"/>
  <c r="CL67" i="51" s="1"/>
  <c r="CF20" i="51"/>
  <c r="FE13" i="51"/>
  <c r="FE63" i="51" s="1"/>
  <c r="CB22" i="51"/>
  <c r="CG33" i="51"/>
  <c r="FW92" i="51" s="1"/>
  <c r="CK33" i="51"/>
  <c r="FW93" i="51" s="1"/>
  <c r="AU32" i="51"/>
  <c r="BG32" i="51"/>
  <c r="BT21" i="51"/>
  <c r="BT32" i="51"/>
  <c r="FP106" i="51" s="1"/>
  <c r="CB21" i="51"/>
  <c r="CB32" i="51"/>
  <c r="FP108" i="51" s="1"/>
  <c r="BU34" i="51"/>
  <c r="FW106" i="51" s="1"/>
  <c r="BX23" i="51"/>
  <c r="CF23" i="51"/>
  <c r="CD25" i="51"/>
  <c r="BZ25" i="51"/>
  <c r="GL11" i="51"/>
  <c r="GI13" i="51"/>
  <c r="GK13" i="51"/>
  <c r="BY33" i="51"/>
  <c r="FW90" i="51" s="1"/>
  <c r="GO14" i="51"/>
  <c r="GO65" i="51" s="1"/>
  <c r="EZ16" i="51"/>
  <c r="BN25" i="51"/>
  <c r="GP16" i="51"/>
  <c r="GP67" i="51" s="1"/>
  <c r="BS34" i="51"/>
  <c r="FU106" i="51" s="1"/>
  <c r="CC25" i="51"/>
  <c r="CC36" i="51"/>
  <c r="FQ126" i="51" s="1"/>
  <c r="CG25" i="51"/>
  <c r="CD36" i="51"/>
  <c r="FN127" i="51" s="1"/>
  <c r="CC20" i="51"/>
  <c r="EY13" i="51"/>
  <c r="GJ13" i="51"/>
  <c r="BS25" i="51"/>
  <c r="CA36" i="51"/>
  <c r="FO126" i="51" s="1"/>
  <c r="FF16" i="51"/>
  <c r="BM20" i="51"/>
  <c r="FC11" i="51"/>
  <c r="FC62" i="51" s="1"/>
  <c r="BZ20" i="51"/>
  <c r="BN34" i="51"/>
  <c r="BN23" i="51"/>
  <c r="BV34" i="51"/>
  <c r="FT107" i="51" s="1"/>
  <c r="BZ23" i="51"/>
  <c r="BK36" i="51"/>
  <c r="BL36" i="51"/>
  <c r="BT36" i="51"/>
  <c r="FP124" i="51" s="1"/>
  <c r="CJ34" i="51"/>
  <c r="FV110" i="51" s="1"/>
  <c r="CM12" i="51"/>
  <c r="CM16" i="51"/>
  <c r="CM67" i="51" s="1"/>
  <c r="CL12" i="51"/>
  <c r="BK31" i="51"/>
  <c r="GM11" i="51"/>
  <c r="BO20" i="51"/>
  <c r="FB11" i="51"/>
  <c r="FB62" i="51" s="1"/>
  <c r="FB12" i="51"/>
  <c r="FB64" i="51" s="1"/>
  <c r="BK21" i="51"/>
  <c r="BK32" i="51"/>
  <c r="GM14" i="51"/>
  <c r="BK23" i="51"/>
  <c r="BK34" i="51"/>
  <c r="BO23" i="51"/>
  <c r="BL20" i="51"/>
  <c r="FA13" i="51"/>
  <c r="BL21" i="51"/>
  <c r="EZ14" i="51"/>
  <c r="EY16" i="51"/>
  <c r="GI16" i="51"/>
  <c r="GK16" i="51"/>
  <c r="FA16" i="51"/>
  <c r="CA25" i="51"/>
  <c r="CB36" i="51"/>
  <c r="FP126" i="51" s="1"/>
  <c r="GQ16" i="51"/>
  <c r="GQ67" i="51" s="1"/>
  <c r="BP31" i="51"/>
  <c r="BS20" i="51"/>
  <c r="BS31" i="51"/>
  <c r="FO89" i="51" s="1"/>
  <c r="BW31" i="51"/>
  <c r="FO90" i="51" s="1"/>
  <c r="GP11" i="51"/>
  <c r="GP62" i="51" s="1"/>
  <c r="CA31" i="51"/>
  <c r="FO91" i="51" s="1"/>
  <c r="CA20" i="51"/>
  <c r="CE31" i="51"/>
  <c r="FO92" i="51" s="1"/>
  <c r="CI31" i="51"/>
  <c r="FO93" i="51" s="1"/>
  <c r="BX33" i="51"/>
  <c r="FV90" i="51" s="1"/>
  <c r="CA33" i="51"/>
  <c r="FU91" i="51" s="1"/>
  <c r="CB33" i="51"/>
  <c r="FV91" i="51" s="1"/>
  <c r="CF33" i="51"/>
  <c r="FV92" i="51" s="1"/>
  <c r="CE22" i="51"/>
  <c r="CJ33" i="51"/>
  <c r="FV93" i="51" s="1"/>
  <c r="BO21" i="51"/>
  <c r="BW21" i="51"/>
  <c r="BO34" i="51"/>
  <c r="GN14" i="51"/>
  <c r="BT34" i="51"/>
  <c r="FV106" i="51" s="1"/>
  <c r="BS23" i="51"/>
  <c r="FE14" i="51"/>
  <c r="FE65" i="51" s="1"/>
  <c r="BW34" i="51"/>
  <c r="FU107" i="51" s="1"/>
  <c r="CB34" i="51"/>
  <c r="FV108" i="51" s="1"/>
  <c r="CA23" i="51"/>
  <c r="CE34" i="51"/>
  <c r="FU109" i="51" s="1"/>
  <c r="BM36" i="51"/>
  <c r="BL25" i="51"/>
  <c r="BP25" i="51"/>
  <c r="GM16" i="51"/>
  <c r="BQ36" i="51"/>
  <c r="BR36" i="51"/>
  <c r="FN124" i="51" s="1"/>
  <c r="FC16" i="51"/>
  <c r="BV36" i="51"/>
  <c r="FN125" i="51" s="1"/>
  <c r="GO16" i="51"/>
  <c r="GO67" i="51" s="1"/>
  <c r="BU36" i="51"/>
  <c r="FQ124" i="51" s="1"/>
  <c r="FD16" i="51"/>
  <c r="BY36" i="51"/>
  <c r="FQ125" i="51" s="1"/>
  <c r="BZ36" i="51"/>
  <c r="FN126" i="51" s="1"/>
  <c r="CN93" i="2"/>
  <c r="CO93" i="2"/>
  <c r="FJ93" i="2" s="1"/>
  <c r="GS27" i="1"/>
  <c r="FJ44" i="3"/>
  <c r="CM13" i="51"/>
  <c r="CN12" i="51"/>
  <c r="CM11" i="51"/>
  <c r="FJ23" i="2"/>
  <c r="CL11" i="51"/>
  <c r="CN13" i="51"/>
  <c r="CL13" i="51"/>
  <c r="FJ14" i="3"/>
  <c r="GT27" i="1"/>
  <c r="FJ27" i="1"/>
  <c r="CL14" i="51"/>
  <c r="FK14" i="3"/>
  <c r="CN14" i="51"/>
  <c r="CM14" i="51"/>
  <c r="FL14" i="3"/>
  <c r="FK27" i="1"/>
  <c r="GR13" i="1"/>
  <c r="GR10" i="1"/>
  <c r="GR12" i="1"/>
  <c r="CL89" i="2"/>
  <c r="GR24" i="1"/>
  <c r="CM16" i="1"/>
  <c r="DG21" i="119" s="1"/>
  <c r="DG19" i="119" s="1"/>
  <c r="G104" i="119" l="1"/>
  <c r="G95" i="30" s="1"/>
  <c r="C43" i="125"/>
  <c r="C41" i="125"/>
  <c r="C44" i="125"/>
  <c r="C42" i="125"/>
  <c r="C40" i="125"/>
  <c r="G44" i="125"/>
  <c r="G41" i="125"/>
  <c r="G42" i="125"/>
  <c r="G40" i="125"/>
  <c r="G43" i="125"/>
  <c r="CY18" i="119"/>
  <c r="BZ18" i="30" s="1"/>
  <c r="CU303" i="119"/>
  <c r="BV234" i="30" s="1"/>
  <c r="DA18" i="119"/>
  <c r="CB18" i="30" s="1"/>
  <c r="DD18" i="119"/>
  <c r="CE18" i="30" s="1"/>
  <c r="CZ18" i="119"/>
  <c r="CA18" i="30" s="1"/>
  <c r="CU18" i="119"/>
  <c r="BV18" i="30" s="1"/>
  <c r="CW18" i="119"/>
  <c r="BX18" i="30" s="1"/>
  <c r="CY303" i="119"/>
  <c r="BZ234" i="30" s="1"/>
  <c r="DB18" i="119"/>
  <c r="DB19" i="119" s="1"/>
  <c r="CC19" i="30" s="1"/>
  <c r="DC18" i="119"/>
  <c r="CD18" i="30" s="1"/>
  <c r="DE18" i="119"/>
  <c r="CF18" i="30" s="1"/>
  <c r="CX18" i="119"/>
  <c r="BY18" i="30" s="1"/>
  <c r="DF18" i="119"/>
  <c r="DF19" i="119" s="1"/>
  <c r="CV18" i="119"/>
  <c r="BW18" i="30" s="1"/>
  <c r="I104" i="119"/>
  <c r="I95" i="30" s="1"/>
  <c r="H104" i="119"/>
  <c r="H95" i="30" s="1"/>
  <c r="BF91" i="2"/>
  <c r="BZ49" i="119" s="1"/>
  <c r="BA47" i="30" s="1"/>
  <c r="W43" i="119"/>
  <c r="W41" i="30" s="1"/>
  <c r="FI63" i="2"/>
  <c r="G43" i="115"/>
  <c r="G41" i="115"/>
  <c r="G40" i="115"/>
  <c r="G44" i="115"/>
  <c r="G42" i="115"/>
  <c r="AT19" i="119"/>
  <c r="T51" i="119"/>
  <c r="T49" i="119" s="1"/>
  <c r="T47" i="30" s="1"/>
  <c r="V59" i="119"/>
  <c r="V56" i="30" s="1"/>
  <c r="W59" i="119"/>
  <c r="W56" i="30" s="1"/>
  <c r="CU104" i="119"/>
  <c r="BV95" i="30" s="1"/>
  <c r="P59" i="119"/>
  <c r="P56" i="30" s="1"/>
  <c r="N51" i="119"/>
  <c r="N49" i="30" s="1"/>
  <c r="K95" i="119"/>
  <c r="K86" i="30" s="1"/>
  <c r="J59" i="119"/>
  <c r="J56" i="30" s="1"/>
  <c r="Y98" i="119"/>
  <c r="Z98" i="119"/>
  <c r="CQ95" i="119"/>
  <c r="BR86" i="30" s="1"/>
  <c r="CA95" i="119"/>
  <c r="BB86" i="30" s="1"/>
  <c r="J95" i="119"/>
  <c r="J86" i="30" s="1"/>
  <c r="N104" i="119"/>
  <c r="N95" i="30" s="1"/>
  <c r="CE95" i="119"/>
  <c r="BF86" i="30" s="1"/>
  <c r="I95" i="119"/>
  <c r="I86" i="30" s="1"/>
  <c r="M104" i="119"/>
  <c r="M95" i="30" s="1"/>
  <c r="P51" i="119"/>
  <c r="P49" i="30" s="1"/>
  <c r="T57" i="119"/>
  <c r="T55" i="30" s="1"/>
  <c r="X103" i="119"/>
  <c r="U51" i="119"/>
  <c r="U49" i="30" s="1"/>
  <c r="F98" i="119"/>
  <c r="F89" i="30" s="1"/>
  <c r="W57" i="119"/>
  <c r="W55" i="30" s="1"/>
  <c r="X104" i="119"/>
  <c r="DU85" i="6"/>
  <c r="I176" i="119" s="1"/>
  <c r="I140" i="30" s="1"/>
  <c r="EA85" i="6"/>
  <c r="O176" i="119" s="1"/>
  <c r="O140" i="30" s="1"/>
  <c r="R59" i="119"/>
  <c r="R56" i="30" s="1"/>
  <c r="M95" i="119"/>
  <c r="M86" i="30" s="1"/>
  <c r="L98" i="119"/>
  <c r="L89" i="30" s="1"/>
  <c r="K104" i="119"/>
  <c r="K95" i="30" s="1"/>
  <c r="BK16" i="1"/>
  <c r="CE21" i="119" s="1"/>
  <c r="BF21" i="30" s="1"/>
  <c r="CE93" i="119"/>
  <c r="BF84" i="30" s="1"/>
  <c r="K284" i="119"/>
  <c r="K215" i="30" s="1"/>
  <c r="K102" i="119"/>
  <c r="K93" i="30" s="1"/>
  <c r="CU26" i="119"/>
  <c r="BV26" i="30" s="1"/>
  <c r="BV24" i="30"/>
  <c r="CM62" i="51"/>
  <c r="W288" i="119"/>
  <c r="W219" i="30" s="1"/>
  <c r="W217" i="30"/>
  <c r="DT94" i="6"/>
  <c r="H11" i="119"/>
  <c r="DZ94" i="6"/>
  <c r="N11" i="119"/>
  <c r="T11" i="119"/>
  <c r="EF85" i="6"/>
  <c r="T176" i="119" s="1"/>
  <c r="T140" i="30" s="1"/>
  <c r="F12" i="119"/>
  <c r="F12" i="30" s="1"/>
  <c r="F14" i="119"/>
  <c r="F14" i="30" s="1"/>
  <c r="L12" i="119"/>
  <c r="L12" i="30" s="1"/>
  <c r="L14" i="119"/>
  <c r="L14" i="30" s="1"/>
  <c r="R12" i="119"/>
  <c r="R12" i="30" s="1"/>
  <c r="R14" i="119"/>
  <c r="R14" i="30" s="1"/>
  <c r="AL19" i="119"/>
  <c r="Y18" i="30"/>
  <c r="AX19" i="119"/>
  <c r="Y19" i="30" s="1"/>
  <c r="AE18" i="30"/>
  <c r="AK18" i="30"/>
  <c r="BJ19" i="119"/>
  <c r="AK19" i="30" s="1"/>
  <c r="AQ18" i="30"/>
  <c r="BP19" i="119"/>
  <c r="AQ19" i="30" s="1"/>
  <c r="AW18" i="30"/>
  <c r="BV19" i="119"/>
  <c r="AW19" i="30" s="1"/>
  <c r="BC18" i="30"/>
  <c r="BI18" i="30"/>
  <c r="CH19" i="119"/>
  <c r="BI19" i="30" s="1"/>
  <c r="BO18" i="30"/>
  <c r="BU18" i="30"/>
  <c r="CT19" i="119"/>
  <c r="BU19" i="30" s="1"/>
  <c r="H24" i="30"/>
  <c r="H26" i="119"/>
  <c r="H26" i="30" s="1"/>
  <c r="N26" i="119"/>
  <c r="N26" i="30" s="1"/>
  <c r="N24" i="30"/>
  <c r="BT11" i="3"/>
  <c r="CM305" i="119"/>
  <c r="BN236" i="30" s="1"/>
  <c r="BO16" i="1"/>
  <c r="CI21" i="119" s="1"/>
  <c r="BJ21" i="30" s="1"/>
  <c r="CI93" i="119"/>
  <c r="BJ84" i="30" s="1"/>
  <c r="BX28" i="3"/>
  <c r="CQ100" i="119"/>
  <c r="BR91" i="30" s="1"/>
  <c r="BW98" i="119"/>
  <c r="AX89" i="30" s="1"/>
  <c r="CB33" i="3"/>
  <c r="CU98" i="119"/>
  <c r="BV89" i="30" s="1"/>
  <c r="BT38" i="3"/>
  <c r="CM103" i="119"/>
  <c r="BN94" i="30" s="1"/>
  <c r="DV85" i="6"/>
  <c r="J176" i="119" s="1"/>
  <c r="J140" i="30" s="1"/>
  <c r="EB85" i="6"/>
  <c r="P176" i="119" s="1"/>
  <c r="P140" i="30" s="1"/>
  <c r="Q59" i="119"/>
  <c r="Q56" i="30" s="1"/>
  <c r="AF12" i="3"/>
  <c r="AZ93" i="119" s="1"/>
  <c r="AA84" i="30" s="1"/>
  <c r="AY93" i="119"/>
  <c r="Z84" i="30" s="1"/>
  <c r="I98" i="119"/>
  <c r="I89" i="30" s="1"/>
  <c r="F284" i="119"/>
  <c r="F215" i="30" s="1"/>
  <c r="F102" i="119"/>
  <c r="F93" i="30" s="1"/>
  <c r="L284" i="119"/>
  <c r="L215" i="30" s="1"/>
  <c r="L102" i="119"/>
  <c r="L93" i="30" s="1"/>
  <c r="J288" i="119"/>
  <c r="J219" i="30" s="1"/>
  <c r="J217" i="30"/>
  <c r="P288" i="119"/>
  <c r="P219" i="30" s="1"/>
  <c r="P217" i="30"/>
  <c r="BR24" i="30"/>
  <c r="CQ26" i="119"/>
  <c r="BR26" i="30" s="1"/>
  <c r="BP18" i="1"/>
  <c r="CJ24" i="119"/>
  <c r="CF11" i="3"/>
  <c r="CZ305" i="119" s="1"/>
  <c r="CA236" i="30" s="1"/>
  <c r="CY305" i="119"/>
  <c r="BZ236" i="30" s="1"/>
  <c r="CF41" i="3"/>
  <c r="CY284" i="119"/>
  <c r="BZ215" i="30" s="1"/>
  <c r="CY102" i="119"/>
  <c r="BZ93" i="30" s="1"/>
  <c r="CI79" i="2"/>
  <c r="CI84" i="2" s="1"/>
  <c r="DC93" i="119"/>
  <c r="CD84" i="30" s="1"/>
  <c r="CJ40" i="3"/>
  <c r="CE24" i="30"/>
  <c r="DD26" i="119"/>
  <c r="CE26" i="30" s="1"/>
  <c r="GR22" i="1"/>
  <c r="DE25" i="119"/>
  <c r="CF25" i="30" s="1"/>
  <c r="BP38" i="3"/>
  <c r="CI103" i="119"/>
  <c r="BJ94" i="30" s="1"/>
  <c r="CU284" i="119"/>
  <c r="BV215" i="30" s="1"/>
  <c r="CU102" i="119"/>
  <c r="BV93" i="30" s="1"/>
  <c r="BE17" i="6"/>
  <c r="BE85" i="6"/>
  <c r="CS176" i="119" s="1"/>
  <c r="BT140" i="30" s="1"/>
  <c r="U288" i="119"/>
  <c r="U219" i="30" s="1"/>
  <c r="U217" i="30"/>
  <c r="CY26" i="119"/>
  <c r="BZ26" i="30" s="1"/>
  <c r="BZ24" i="30"/>
  <c r="CM65" i="51"/>
  <c r="CN64" i="51"/>
  <c r="FC67" i="51"/>
  <c r="W270" i="119"/>
  <c r="W201" i="30" s="1"/>
  <c r="W11" i="30"/>
  <c r="DU94" i="6"/>
  <c r="I11" i="119"/>
  <c r="EA94" i="6"/>
  <c r="O11" i="119"/>
  <c r="G14" i="119"/>
  <c r="G14" i="30" s="1"/>
  <c r="G12" i="119"/>
  <c r="G12" i="30" s="1"/>
  <c r="M14" i="119"/>
  <c r="M14" i="30" s="1"/>
  <c r="M12" i="119"/>
  <c r="M12" i="30" s="1"/>
  <c r="S14" i="119"/>
  <c r="S14" i="30" s="1"/>
  <c r="S12" i="119"/>
  <c r="S12" i="30" s="1"/>
  <c r="Z18" i="30"/>
  <c r="AF18" i="30"/>
  <c r="AL18" i="30"/>
  <c r="BQ19" i="119"/>
  <c r="AR19" i="30" s="1"/>
  <c r="AR18" i="30"/>
  <c r="AX18" i="30"/>
  <c r="BD18" i="30"/>
  <c r="BJ18" i="30"/>
  <c r="BP18" i="30"/>
  <c r="O26" i="119"/>
  <c r="O26" i="30" s="1"/>
  <c r="O24" i="30"/>
  <c r="BX11" i="3"/>
  <c r="CQ305" i="119"/>
  <c r="BR236" i="30" s="1"/>
  <c r="BP13" i="3"/>
  <c r="CJ95" i="119" s="1"/>
  <c r="BK86" i="30" s="1"/>
  <c r="CI95" i="119"/>
  <c r="BJ86" i="30" s="1"/>
  <c r="BD28" i="3"/>
  <c r="BE28" i="3" s="1"/>
  <c r="CU100" i="119"/>
  <c r="BV91" i="30" s="1"/>
  <c r="BH33" i="3"/>
  <c r="CA98" i="119"/>
  <c r="BB89" i="30" s="1"/>
  <c r="CQ103" i="119"/>
  <c r="BR94" i="30" s="1"/>
  <c r="DW85" i="6"/>
  <c r="K176" i="119" s="1"/>
  <c r="K140" i="30" s="1"/>
  <c r="EC85" i="6"/>
  <c r="Q176" i="119" s="1"/>
  <c r="Q140" i="30" s="1"/>
  <c r="S44" i="119"/>
  <c r="S42" i="30" s="1"/>
  <c r="AJ12" i="3"/>
  <c r="AJ16" i="1" s="1"/>
  <c r="BD21" i="119" s="1"/>
  <c r="AE21" i="30" s="1"/>
  <c r="BC93" i="119"/>
  <c r="AD84" i="30" s="1"/>
  <c r="J98" i="119"/>
  <c r="J89" i="30" s="1"/>
  <c r="G284" i="119"/>
  <c r="G215" i="30" s="1"/>
  <c r="G102" i="119"/>
  <c r="G93" i="30" s="1"/>
  <c r="M284" i="119"/>
  <c r="M215" i="30" s="1"/>
  <c r="M102" i="119"/>
  <c r="M93" i="30" s="1"/>
  <c r="K288" i="119"/>
  <c r="K219" i="30" s="1"/>
  <c r="K217" i="30"/>
  <c r="Q217" i="30"/>
  <c r="Q288" i="119"/>
  <c r="Q219" i="30" s="1"/>
  <c r="BZ18" i="1"/>
  <c r="CT24" i="119"/>
  <c r="U11" i="119"/>
  <c r="CY95" i="119"/>
  <c r="BZ86" i="30" s="1"/>
  <c r="CF33" i="3"/>
  <c r="CY98" i="119"/>
  <c r="BZ89" i="30" s="1"/>
  <c r="CF43" i="3"/>
  <c r="CZ104" i="119" s="1"/>
  <c r="CA95" i="30" s="1"/>
  <c r="CY104" i="119"/>
  <c r="BZ95" i="30" s="1"/>
  <c r="CB18" i="1"/>
  <c r="CV24" i="119"/>
  <c r="CC24" i="30"/>
  <c r="DB26" i="119"/>
  <c r="CC26" i="30" s="1"/>
  <c r="CJ13" i="3"/>
  <c r="DC95" i="119"/>
  <c r="CD86" i="30" s="1"/>
  <c r="CJ41" i="3"/>
  <c r="DC284" i="119"/>
  <c r="CD215" i="30" s="1"/>
  <c r="DC102" i="119"/>
  <c r="CD93" i="30" s="1"/>
  <c r="CD24" i="30"/>
  <c r="DC26" i="119"/>
  <c r="CD26" i="30" s="1"/>
  <c r="BO19" i="119"/>
  <c r="AP19" i="30" s="1"/>
  <c r="AP21" i="30"/>
  <c r="BU19" i="119"/>
  <c r="AV19" i="30" s="1"/>
  <c r="AV21" i="30"/>
  <c r="V270" i="119"/>
  <c r="V201" i="30" s="1"/>
  <c r="V11" i="30"/>
  <c r="S11" i="119"/>
  <c r="EE85" i="6"/>
  <c r="S176" i="119" s="1"/>
  <c r="S140" i="30" s="1"/>
  <c r="K12" i="119"/>
  <c r="K12" i="30" s="1"/>
  <c r="K14" i="119"/>
  <c r="K14" i="30" s="1"/>
  <c r="G26" i="119"/>
  <c r="G26" i="30" s="1"/>
  <c r="G24" i="30"/>
  <c r="BT28" i="3"/>
  <c r="CM100" i="119"/>
  <c r="BN91" i="30" s="1"/>
  <c r="W24" i="3"/>
  <c r="AQ94" i="119" s="1"/>
  <c r="AP94" i="119"/>
  <c r="I288" i="119"/>
  <c r="I219" i="30" s="1"/>
  <c r="I217" i="30"/>
  <c r="BR18" i="1"/>
  <c r="CL24" i="119"/>
  <c r="CO21" i="1"/>
  <c r="DF24" i="119"/>
  <c r="DF26" i="119" s="1"/>
  <c r="CN65" i="51"/>
  <c r="CL63" i="51"/>
  <c r="CM63" i="51"/>
  <c r="CL64" i="51"/>
  <c r="DV94" i="6"/>
  <c r="J11" i="119"/>
  <c r="EB94" i="6"/>
  <c r="P11" i="119"/>
  <c r="H14" i="119"/>
  <c r="H14" i="30" s="1"/>
  <c r="H12" i="119"/>
  <c r="H12" i="30" s="1"/>
  <c r="N14" i="119"/>
  <c r="N14" i="30" s="1"/>
  <c r="N12" i="119"/>
  <c r="N12" i="30" s="1"/>
  <c r="T14" i="119"/>
  <c r="T14" i="30" s="1"/>
  <c r="T12" i="119"/>
  <c r="T12" i="30" s="1"/>
  <c r="AA18" i="30"/>
  <c r="BF19" i="119"/>
  <c r="AG19" i="30" s="1"/>
  <c r="AG18" i="30"/>
  <c r="AM18" i="30"/>
  <c r="BR19" i="119"/>
  <c r="AS19" i="30" s="1"/>
  <c r="AS18" i="30"/>
  <c r="AY18" i="30"/>
  <c r="CD19" i="119"/>
  <c r="BE19" i="30" s="1"/>
  <c r="BE18" i="30"/>
  <c r="BK18" i="30"/>
  <c r="CP19" i="119"/>
  <c r="BQ19" i="30" s="1"/>
  <c r="BQ18" i="30"/>
  <c r="J24" i="30"/>
  <c r="J26" i="119"/>
  <c r="J26" i="30" s="1"/>
  <c r="P24" i="30"/>
  <c r="P26" i="119"/>
  <c r="P26" i="30" s="1"/>
  <c r="BD11" i="3"/>
  <c r="BW305" i="119"/>
  <c r="AX236" i="30" s="1"/>
  <c r="CB11" i="3"/>
  <c r="CV305" i="119" s="1"/>
  <c r="BW236" i="30" s="1"/>
  <c r="CU305" i="119"/>
  <c r="BV236" i="30" s="1"/>
  <c r="BT13" i="3"/>
  <c r="CM95" i="119"/>
  <c r="BN86" i="30" s="1"/>
  <c r="CA100" i="119"/>
  <c r="BB91" i="30" s="1"/>
  <c r="CE98" i="119"/>
  <c r="BF89" i="30" s="1"/>
  <c r="BW103" i="119"/>
  <c r="AX94" i="30" s="1"/>
  <c r="CB38" i="3"/>
  <c r="CC38" i="3" s="1"/>
  <c r="CU103" i="119"/>
  <c r="BV94" i="30" s="1"/>
  <c r="BP41" i="3"/>
  <c r="CJ284" i="119" s="1"/>
  <c r="BK215" i="30" s="1"/>
  <c r="CI284" i="119"/>
  <c r="BJ215" i="30" s="1"/>
  <c r="DX85" i="6"/>
  <c r="L176" i="119" s="1"/>
  <c r="L140" i="30" s="1"/>
  <c r="I59" i="119"/>
  <c r="I56" i="30" s="1"/>
  <c r="AM79" i="2"/>
  <c r="AM84" i="2" s="1"/>
  <c r="BG93" i="119"/>
  <c r="AH84" i="30" s="1"/>
  <c r="AQ28" i="3"/>
  <c r="BK100" i="119" s="1"/>
  <c r="AL91" i="30" s="1"/>
  <c r="BJ100" i="119"/>
  <c r="AK91" i="30" s="1"/>
  <c r="R48" i="3"/>
  <c r="AL107" i="119" s="1"/>
  <c r="AL103" i="119"/>
  <c r="AQ38" i="3"/>
  <c r="BK103" i="119" s="1"/>
  <c r="AL94" i="30" s="1"/>
  <c r="BJ103" i="119"/>
  <c r="AK94" i="30" s="1"/>
  <c r="M21" i="119"/>
  <c r="M21" i="30" s="1"/>
  <c r="M93" i="119"/>
  <c r="M84" i="30" s="1"/>
  <c r="F95" i="119"/>
  <c r="F86" i="30" s="1"/>
  <c r="L95" i="119"/>
  <c r="L86" i="30" s="1"/>
  <c r="K98" i="119"/>
  <c r="K89" i="30" s="1"/>
  <c r="H284" i="119"/>
  <c r="H215" i="30" s="1"/>
  <c r="H102" i="119"/>
  <c r="H93" i="30" s="1"/>
  <c r="N284" i="119"/>
  <c r="N215" i="30" s="1"/>
  <c r="N102" i="119"/>
  <c r="N93" i="30" s="1"/>
  <c r="F288" i="119"/>
  <c r="F219" i="30" s="1"/>
  <c r="F217" i="30"/>
  <c r="L288" i="119"/>
  <c r="L219" i="30" s="1"/>
  <c r="L217" i="30"/>
  <c r="R288" i="119"/>
  <c r="R219" i="30" s="1"/>
  <c r="R217" i="30"/>
  <c r="BQ24" i="30"/>
  <c r="CP26" i="119"/>
  <c r="BQ26" i="30" s="1"/>
  <c r="BY24" i="30"/>
  <c r="CX26" i="119"/>
  <c r="BY26" i="30" s="1"/>
  <c r="CY100" i="119"/>
  <c r="BZ91" i="30" s="1"/>
  <c r="CF18" i="1"/>
  <c r="CZ24" i="119"/>
  <c r="DC98" i="119"/>
  <c r="CD89" i="30" s="1"/>
  <c r="DC303" i="119"/>
  <c r="CD234" i="30" s="1"/>
  <c r="DS94" i="6"/>
  <c r="G11" i="119"/>
  <c r="Q14" i="119"/>
  <c r="Q14" i="30" s="1"/>
  <c r="Q12" i="119"/>
  <c r="Q12" i="30" s="1"/>
  <c r="BD32" i="3"/>
  <c r="BX97" i="119" s="1"/>
  <c r="AY88" i="30" s="1"/>
  <c r="BW97" i="119"/>
  <c r="AX88" i="30" s="1"/>
  <c r="BF25" i="3"/>
  <c r="BZ96" i="119" s="1"/>
  <c r="BA87" i="30" s="1"/>
  <c r="BZ94" i="119"/>
  <c r="BA85" i="30" s="1"/>
  <c r="DW94" i="6"/>
  <c r="K11" i="119"/>
  <c r="O12" i="119"/>
  <c r="O12" i="30" s="1"/>
  <c r="O14" i="119"/>
  <c r="O14" i="30" s="1"/>
  <c r="AH18" i="30"/>
  <c r="AN18" i="30"/>
  <c r="AZ18" i="30"/>
  <c r="BF18" i="30"/>
  <c r="BL18" i="30"/>
  <c r="BR18" i="30"/>
  <c r="I26" i="119"/>
  <c r="I26" i="30" s="1"/>
  <c r="I25" i="30"/>
  <c r="K24" i="30"/>
  <c r="K26" i="119"/>
  <c r="K26" i="30" s="1"/>
  <c r="BH11" i="3"/>
  <c r="CA305" i="119"/>
  <c r="BB236" i="30" s="1"/>
  <c r="BD12" i="3"/>
  <c r="BX93" i="119" s="1"/>
  <c r="AY84" i="30" s="1"/>
  <c r="BW93" i="119"/>
  <c r="AX84" i="30" s="1"/>
  <c r="CA79" i="2"/>
  <c r="CA84" i="2" s="1"/>
  <c r="CU93" i="119"/>
  <c r="BV84" i="30" s="1"/>
  <c r="BL28" i="3"/>
  <c r="CF100" i="119" s="1"/>
  <c r="BG91" i="30" s="1"/>
  <c r="CE100" i="119"/>
  <c r="BF91" i="30" s="1"/>
  <c r="BP33" i="3"/>
  <c r="CJ98" i="119" s="1"/>
  <c r="BK89" i="30" s="1"/>
  <c r="CI98" i="119"/>
  <c r="BJ89" i="30" s="1"/>
  <c r="BH38" i="3"/>
  <c r="CA103" i="119"/>
  <c r="BB94" i="30" s="1"/>
  <c r="BT41" i="3"/>
  <c r="BU41" i="3" s="1"/>
  <c r="CM284" i="119"/>
  <c r="BN215" i="30" s="1"/>
  <c r="CM102" i="119"/>
  <c r="BN93" i="30" s="1"/>
  <c r="DS85" i="6"/>
  <c r="G176" i="119" s="1"/>
  <c r="G140" i="30" s="1"/>
  <c r="DY85" i="6"/>
  <c r="M176" i="119" s="1"/>
  <c r="M140" i="30" s="1"/>
  <c r="S16" i="1"/>
  <c r="AM21" i="119" s="1"/>
  <c r="AM19" i="119" s="1"/>
  <c r="AM93" i="119"/>
  <c r="AQ16" i="1"/>
  <c r="BK21" i="119" s="1"/>
  <c r="AL21" i="30" s="1"/>
  <c r="BK93" i="119"/>
  <c r="AL84" i="30" s="1"/>
  <c r="AA80" i="2"/>
  <c r="AU97" i="119"/>
  <c r="W28" i="3"/>
  <c r="AQ100" i="119" s="1"/>
  <c r="AP100" i="119"/>
  <c r="N21" i="119"/>
  <c r="N21" i="30" s="1"/>
  <c r="N93" i="119"/>
  <c r="N84" i="30" s="1"/>
  <c r="G95" i="119"/>
  <c r="G86" i="30" s="1"/>
  <c r="I284" i="119"/>
  <c r="I215" i="30" s="1"/>
  <c r="I102" i="119"/>
  <c r="I93" i="30" s="1"/>
  <c r="G288" i="119"/>
  <c r="G219" i="30" s="1"/>
  <c r="G217" i="30"/>
  <c r="M288" i="119"/>
  <c r="M219" i="30" s="1"/>
  <c r="M217" i="30"/>
  <c r="S288" i="119"/>
  <c r="S219" i="30" s="1"/>
  <c r="S217" i="30"/>
  <c r="BT18" i="1"/>
  <c r="CN24" i="119"/>
  <c r="CI26" i="119"/>
  <c r="BJ26" i="30" s="1"/>
  <c r="BJ24" i="30"/>
  <c r="CF38" i="3"/>
  <c r="CG38" i="3" s="1"/>
  <c r="CY103" i="119"/>
  <c r="BZ94" i="30" s="1"/>
  <c r="BM17" i="6"/>
  <c r="BM85" i="6"/>
  <c r="DA176" i="119" s="1"/>
  <c r="CB140" i="30" s="1"/>
  <c r="DC100" i="119"/>
  <c r="CD91" i="30" s="1"/>
  <c r="CJ43" i="3"/>
  <c r="DC104" i="119"/>
  <c r="CD95" i="30" s="1"/>
  <c r="V288" i="119"/>
  <c r="V219" i="30" s="1"/>
  <c r="V217" i="30"/>
  <c r="DY94" i="6"/>
  <c r="M11" i="119"/>
  <c r="M26" i="119"/>
  <c r="M26" i="30" s="1"/>
  <c r="M24" i="30"/>
  <c r="BP11" i="3"/>
  <c r="CI305" i="119"/>
  <c r="BJ236" i="30" s="1"/>
  <c r="BX33" i="3"/>
  <c r="CQ98" i="119"/>
  <c r="BR89" i="30" s="1"/>
  <c r="BX42" i="3"/>
  <c r="CR303" i="119" s="1"/>
  <c r="BS234" i="30" s="1"/>
  <c r="CQ303" i="119"/>
  <c r="BR234" i="30" s="1"/>
  <c r="AA79" i="2"/>
  <c r="AA84" i="2" s="1"/>
  <c r="AU93" i="119"/>
  <c r="O288" i="119"/>
  <c r="O219" i="30" s="1"/>
  <c r="O217" i="30"/>
  <c r="CN63" i="51"/>
  <c r="FD67" i="51"/>
  <c r="EX45" i="51"/>
  <c r="FB67" i="51"/>
  <c r="EC94" i="6"/>
  <c r="Q11" i="119"/>
  <c r="I12" i="119"/>
  <c r="I12" i="30" s="1"/>
  <c r="I14" i="119"/>
  <c r="I14" i="30" s="1"/>
  <c r="AB18" i="30"/>
  <c r="BS19" i="119"/>
  <c r="AT19" i="30" s="1"/>
  <c r="AT18" i="30"/>
  <c r="Q24" i="30"/>
  <c r="Q26" i="119"/>
  <c r="Q26" i="30" s="1"/>
  <c r="CL65" i="51"/>
  <c r="CL62" i="51"/>
  <c r="CM64" i="51"/>
  <c r="FF67" i="51"/>
  <c r="FE67" i="51"/>
  <c r="W12" i="119"/>
  <c r="W12" i="30" s="1"/>
  <c r="W14" i="119"/>
  <c r="W14" i="30" s="1"/>
  <c r="V12" i="119"/>
  <c r="V12" i="30" s="1"/>
  <c r="V14" i="119"/>
  <c r="V14" i="30" s="1"/>
  <c r="F11" i="119"/>
  <c r="DX94" i="6"/>
  <c r="L11" i="119"/>
  <c r="R11" i="119"/>
  <c r="ED85" i="6"/>
  <c r="R176" i="119" s="1"/>
  <c r="R140" i="30" s="1"/>
  <c r="J12" i="119"/>
  <c r="J12" i="30" s="1"/>
  <c r="J14" i="119"/>
  <c r="J14" i="30" s="1"/>
  <c r="P12" i="119"/>
  <c r="P12" i="30" s="1"/>
  <c r="P14" i="119"/>
  <c r="P14" i="30" s="1"/>
  <c r="AC18" i="30"/>
  <c r="BB19" i="119"/>
  <c r="AC19" i="30" s="1"/>
  <c r="AI18" i="30"/>
  <c r="AO18" i="30"/>
  <c r="BN19" i="119"/>
  <c r="AO19" i="30" s="1"/>
  <c r="AU18" i="30"/>
  <c r="BT19" i="119"/>
  <c r="AU19" i="30" s="1"/>
  <c r="BA18" i="30"/>
  <c r="BZ19" i="119"/>
  <c r="BA19" i="30" s="1"/>
  <c r="BG18" i="30"/>
  <c r="BM18" i="30"/>
  <c r="CL19" i="119"/>
  <c r="BM19" i="30" s="1"/>
  <c r="BS18" i="30"/>
  <c r="F26" i="119"/>
  <c r="F26" i="30" s="1"/>
  <c r="F24" i="30"/>
  <c r="L26" i="119"/>
  <c r="L26" i="30" s="1"/>
  <c r="L24" i="30"/>
  <c r="BL11" i="3"/>
  <c r="CE305" i="119"/>
  <c r="BF236" i="30" s="1"/>
  <c r="BG16" i="1"/>
  <c r="CA21" i="119" s="1"/>
  <c r="CA93" i="119"/>
  <c r="BB84" i="30" s="1"/>
  <c r="BW95" i="119"/>
  <c r="AX86" i="30" s="1"/>
  <c r="CU95" i="119"/>
  <c r="BV86" i="30" s="1"/>
  <c r="CI100" i="119"/>
  <c r="BJ91" i="30" s="1"/>
  <c r="BT33" i="3"/>
  <c r="CN98" i="119" s="1"/>
  <c r="BO89" i="30" s="1"/>
  <c r="CM98" i="119"/>
  <c r="BN89" i="30" s="1"/>
  <c r="BL38" i="3"/>
  <c r="BM38" i="3" s="1"/>
  <c r="CE103" i="119"/>
  <c r="BF94" i="30" s="1"/>
  <c r="BX41" i="3"/>
  <c r="BY41" i="3" s="1"/>
  <c r="CQ284" i="119"/>
  <c r="BR215" i="30" s="1"/>
  <c r="CQ102" i="119"/>
  <c r="BR93" i="30" s="1"/>
  <c r="DT85" i="6"/>
  <c r="H176" i="119" s="1"/>
  <c r="H140" i="30" s="1"/>
  <c r="DZ85" i="6"/>
  <c r="N176" i="119" s="1"/>
  <c r="N140" i="30" s="1"/>
  <c r="O51" i="119"/>
  <c r="O49" i="119" s="1"/>
  <c r="O47" i="30" s="1"/>
  <c r="O59" i="119"/>
  <c r="O56" i="30" s="1"/>
  <c r="P44" i="119"/>
  <c r="P42" i="30" s="1"/>
  <c r="S59" i="119"/>
  <c r="S56" i="30" s="1"/>
  <c r="S51" i="119"/>
  <c r="S49" i="30" s="1"/>
  <c r="X98" i="119"/>
  <c r="N44" i="119"/>
  <c r="N42" i="30" s="1"/>
  <c r="K59" i="119"/>
  <c r="K56" i="30" s="1"/>
  <c r="H44" i="119"/>
  <c r="H42" i="30" s="1"/>
  <c r="S24" i="3"/>
  <c r="AM94" i="119" s="1"/>
  <c r="AL94" i="119"/>
  <c r="N95" i="119"/>
  <c r="N86" i="30" s="1"/>
  <c r="J284" i="119"/>
  <c r="J215" i="30" s="1"/>
  <c r="J102" i="119"/>
  <c r="J93" i="30" s="1"/>
  <c r="L104" i="119"/>
  <c r="L95" i="30" s="1"/>
  <c r="H288" i="119"/>
  <c r="H219" i="30" s="1"/>
  <c r="H217" i="30"/>
  <c r="N288" i="119"/>
  <c r="N219" i="30" s="1"/>
  <c r="N217" i="30"/>
  <c r="T288" i="119"/>
  <c r="T219" i="30" s="1"/>
  <c r="T217" i="30"/>
  <c r="BS24" i="30"/>
  <c r="CR26" i="119"/>
  <c r="BS26" i="30" s="1"/>
  <c r="BS18" i="1"/>
  <c r="CM24" i="119"/>
  <c r="GL21" i="1"/>
  <c r="GL18" i="1" s="1"/>
  <c r="CH24" i="119"/>
  <c r="U12" i="119"/>
  <c r="U12" i="30" s="1"/>
  <c r="U14" i="119"/>
  <c r="U14" i="30" s="1"/>
  <c r="Y103" i="119"/>
  <c r="DC103" i="119"/>
  <c r="CD94" i="30" s="1"/>
  <c r="Z103" i="119"/>
  <c r="W63" i="119"/>
  <c r="W59" i="30" s="1"/>
  <c r="W64" i="119"/>
  <c r="W60" i="30" s="1"/>
  <c r="CK69" i="119"/>
  <c r="CK67" i="119"/>
  <c r="Q48" i="30"/>
  <c r="AW67" i="119"/>
  <c r="AW298" i="119" s="1"/>
  <c r="AW256" i="119" s="1"/>
  <c r="AW69" i="119"/>
  <c r="AW271" i="119" s="1"/>
  <c r="BO67" i="119"/>
  <c r="BO69" i="119"/>
  <c r="N39" i="30"/>
  <c r="M87" i="119"/>
  <c r="M79" i="30" s="1"/>
  <c r="M81" i="119"/>
  <c r="M73" i="30" s="1"/>
  <c r="ER89" i="2"/>
  <c r="ER87" i="2" s="1"/>
  <c r="F48" i="119"/>
  <c r="G48" i="30"/>
  <c r="BZ69" i="119"/>
  <c r="BZ67" i="119"/>
  <c r="FE89" i="2"/>
  <c r="FE87" i="2" s="1"/>
  <c r="S48" i="119"/>
  <c r="AX67" i="119"/>
  <c r="AX69" i="119"/>
  <c r="BP67" i="119"/>
  <c r="BP69" i="119"/>
  <c r="L59" i="119"/>
  <c r="L56" i="30" s="1"/>
  <c r="I45" i="30"/>
  <c r="DC69" i="119"/>
  <c r="DC67" i="119"/>
  <c r="W46" i="30"/>
  <c r="W46" i="119"/>
  <c r="W44" i="30" s="1"/>
  <c r="V44" i="119"/>
  <c r="V42" i="30" s="1"/>
  <c r="V46" i="30"/>
  <c r="V46" i="119"/>
  <c r="V44" i="30" s="1"/>
  <c r="V57" i="119"/>
  <c r="CA67" i="119"/>
  <c r="CA69" i="119"/>
  <c r="CG67" i="119"/>
  <c r="CG69" i="119"/>
  <c r="CM67" i="119"/>
  <c r="CM69" i="119"/>
  <c r="CT69" i="119"/>
  <c r="CT67" i="119"/>
  <c r="O63" i="119"/>
  <c r="O59" i="30" s="1"/>
  <c r="O64" i="119"/>
  <c r="O60" i="30" s="1"/>
  <c r="Q51" i="119"/>
  <c r="Q49" i="30" s="1"/>
  <c r="FD89" i="2"/>
  <c r="FD87" i="2" s="1"/>
  <c r="R48" i="119"/>
  <c r="S87" i="119"/>
  <c r="S79" i="30" s="1"/>
  <c r="S81" i="119"/>
  <c r="S73" i="30" s="1"/>
  <c r="FF74" i="2"/>
  <c r="T44" i="119"/>
  <c r="T42" i="30" s="1"/>
  <c r="S48" i="30"/>
  <c r="AM67" i="119"/>
  <c r="AM298" i="119" s="1"/>
  <c r="AM256" i="119" s="1"/>
  <c r="AM69" i="119"/>
  <c r="AM271" i="119" s="1"/>
  <c r="AS67" i="119"/>
  <c r="AS298" i="119" s="1"/>
  <c r="AS256" i="119" s="1"/>
  <c r="AS69" i="119"/>
  <c r="AS271" i="119" s="1"/>
  <c r="AY67" i="119"/>
  <c r="AY69" i="119"/>
  <c r="BE67" i="119"/>
  <c r="BE69" i="119"/>
  <c r="BK69" i="119"/>
  <c r="BK67" i="119"/>
  <c r="BQ67" i="119"/>
  <c r="BQ69" i="119"/>
  <c r="EZ89" i="2"/>
  <c r="EZ87" i="2" s="1"/>
  <c r="N48" i="119"/>
  <c r="N46" i="30" s="1"/>
  <c r="EY93" i="2"/>
  <c r="EY91" i="2" s="1"/>
  <c r="M51" i="119"/>
  <c r="M49" i="30" s="1"/>
  <c r="M59" i="119"/>
  <c r="M56" i="30" s="1"/>
  <c r="K63" i="119"/>
  <c r="K59" i="30" s="1"/>
  <c r="K64" i="119"/>
  <c r="K60" i="30" s="1"/>
  <c r="J39" i="30"/>
  <c r="J44" i="119"/>
  <c r="J42" i="30" s="1"/>
  <c r="I87" i="119"/>
  <c r="I79" i="30" s="1"/>
  <c r="I81" i="119"/>
  <c r="I73" i="30" s="1"/>
  <c r="ET89" i="2"/>
  <c r="ET87" i="2" s="1"/>
  <c r="H48" i="119"/>
  <c r="H46" i="30" s="1"/>
  <c r="ES93" i="2"/>
  <c r="ES91" i="2" s="1"/>
  <c r="G51" i="119"/>
  <c r="G49" i="30" s="1"/>
  <c r="G59" i="119"/>
  <c r="G56" i="30" s="1"/>
  <c r="L48" i="30"/>
  <c r="J45" i="30"/>
  <c r="U57" i="119"/>
  <c r="BY69" i="119"/>
  <c r="BY67" i="119"/>
  <c r="Q63" i="119"/>
  <c r="Q59" i="30" s="1"/>
  <c r="Q64" i="119"/>
  <c r="Q60" i="30" s="1"/>
  <c r="V61" i="2"/>
  <c r="AP45" i="119"/>
  <c r="EW93" i="2"/>
  <c r="EW91" i="2" s="1"/>
  <c r="K51" i="119"/>
  <c r="K49" i="30" s="1"/>
  <c r="EA53" i="119"/>
  <c r="EA81" i="119"/>
  <c r="CR69" i="119"/>
  <c r="CR67" i="119"/>
  <c r="P63" i="119"/>
  <c r="P59" i="30" s="1"/>
  <c r="P64" i="119"/>
  <c r="P60" i="30" s="1"/>
  <c r="R51" i="119"/>
  <c r="R49" i="30" s="1"/>
  <c r="BD67" i="119"/>
  <c r="BD69" i="119"/>
  <c r="H87" i="119"/>
  <c r="H79" i="30" s="1"/>
  <c r="H81" i="119"/>
  <c r="H73" i="30" s="1"/>
  <c r="G46" i="30"/>
  <c r="G46" i="119"/>
  <c r="G44" i="30" s="1"/>
  <c r="F59" i="119"/>
  <c r="F56" i="30" s="1"/>
  <c r="M48" i="30"/>
  <c r="U59" i="119"/>
  <c r="U56" i="30" s="1"/>
  <c r="DE67" i="119"/>
  <c r="DE69" i="119"/>
  <c r="DB69" i="119"/>
  <c r="DB67" i="119"/>
  <c r="X51" i="119"/>
  <c r="CZ67" i="119"/>
  <c r="CZ69" i="119"/>
  <c r="V63" i="119"/>
  <c r="V59" i="30" s="1"/>
  <c r="V64" i="119"/>
  <c r="V60" i="30" s="1"/>
  <c r="BV67" i="119"/>
  <c r="BV69" i="119"/>
  <c r="CB69" i="119"/>
  <c r="CB67" i="119"/>
  <c r="CH67" i="119"/>
  <c r="CH69" i="119"/>
  <c r="CN67" i="119"/>
  <c r="CN69" i="119"/>
  <c r="CU69" i="119"/>
  <c r="CU67" i="119"/>
  <c r="O39" i="30"/>
  <c r="O44" i="119"/>
  <c r="O42" i="30" s="1"/>
  <c r="FC89" i="2"/>
  <c r="FC87" i="2" s="1"/>
  <c r="Q48" i="119"/>
  <c r="R81" i="119"/>
  <c r="R73" i="30" s="1"/>
  <c r="R87" i="119"/>
  <c r="R79" i="30" s="1"/>
  <c r="S58" i="30"/>
  <c r="T64" i="119"/>
  <c r="T60" i="30" s="1"/>
  <c r="T63" i="119"/>
  <c r="T59" i="30" s="1"/>
  <c r="T45" i="30"/>
  <c r="AN67" i="119"/>
  <c r="AN298" i="119" s="1"/>
  <c r="AN256" i="119" s="1"/>
  <c r="AN69" i="119"/>
  <c r="AN271" i="119" s="1"/>
  <c r="AT69" i="119"/>
  <c r="AT271" i="119" s="1"/>
  <c r="AT67" i="119"/>
  <c r="AT298" i="119" s="1"/>
  <c r="AT256" i="119" s="1"/>
  <c r="AZ69" i="119"/>
  <c r="AZ67" i="119"/>
  <c r="BF67" i="119"/>
  <c r="BF69" i="119"/>
  <c r="BL69" i="119"/>
  <c r="BL67" i="119"/>
  <c r="BR69" i="119"/>
  <c r="BR67" i="119"/>
  <c r="N59" i="119"/>
  <c r="N56" i="30" s="1"/>
  <c r="L64" i="119"/>
  <c r="L60" i="30" s="1"/>
  <c r="L63" i="119"/>
  <c r="L59" i="30" s="1"/>
  <c r="K39" i="30"/>
  <c r="K44" i="119"/>
  <c r="K42" i="30" s="1"/>
  <c r="J81" i="119"/>
  <c r="J73" i="30" s="1"/>
  <c r="J87" i="119"/>
  <c r="J79" i="30" s="1"/>
  <c r="EU89" i="2"/>
  <c r="EU87" i="2" s="1"/>
  <c r="I48" i="119"/>
  <c r="I46" i="30" s="1"/>
  <c r="ET93" i="2"/>
  <c r="ET91" i="2" s="1"/>
  <c r="H51" i="119"/>
  <c r="H59" i="119"/>
  <c r="H56" i="30" s="1"/>
  <c r="F64" i="119"/>
  <c r="F60" i="30" s="1"/>
  <c r="F63" i="119"/>
  <c r="F59" i="30" s="1"/>
  <c r="U63" i="119"/>
  <c r="U59" i="30" s="1"/>
  <c r="U64" i="119"/>
  <c r="U60" i="30" s="1"/>
  <c r="DF67" i="119"/>
  <c r="DF298" i="119" s="1"/>
  <c r="DF256" i="119" s="1"/>
  <c r="DF69" i="119"/>
  <c r="DF271" i="119" s="1"/>
  <c r="CQ69" i="119"/>
  <c r="CQ67" i="119"/>
  <c r="P39" i="30"/>
  <c r="BC67" i="119"/>
  <c r="BC69" i="119"/>
  <c r="N45" i="30"/>
  <c r="FG89" i="2"/>
  <c r="FG87" i="2" s="1"/>
  <c r="U48" i="119"/>
  <c r="U46" i="30" s="1"/>
  <c r="W81" i="119"/>
  <c r="W73" i="30" s="1"/>
  <c r="W87" i="119"/>
  <c r="W79" i="30" s="1"/>
  <c r="CX69" i="119"/>
  <c r="CX67" i="119"/>
  <c r="CF69" i="119"/>
  <c r="CF67" i="119"/>
  <c r="R48" i="30"/>
  <c r="CS67" i="119"/>
  <c r="CS69" i="119"/>
  <c r="AL67" i="119"/>
  <c r="AL298" i="119" s="1"/>
  <c r="AL256" i="119" s="1"/>
  <c r="AL69" i="119"/>
  <c r="AL271" i="119" s="1"/>
  <c r="N87" i="119"/>
  <c r="N79" i="30" s="1"/>
  <c r="N81" i="119"/>
  <c r="N73" i="30" s="1"/>
  <c r="I44" i="119"/>
  <c r="I42" i="30" s="1"/>
  <c r="ER93" i="2"/>
  <c r="ER91" i="2" s="1"/>
  <c r="F51" i="119"/>
  <c r="F49" i="30" s="1"/>
  <c r="F48" i="30"/>
  <c r="V81" i="119"/>
  <c r="V73" i="30" s="1"/>
  <c r="V87" i="119"/>
  <c r="V79" i="30" s="1"/>
  <c r="CV69" i="119"/>
  <c r="CV67" i="119"/>
  <c r="BW67" i="119"/>
  <c r="BW69" i="119"/>
  <c r="CC67" i="119"/>
  <c r="CC69" i="119"/>
  <c r="CI67" i="119"/>
  <c r="CI69" i="119"/>
  <c r="CO67" i="119"/>
  <c r="CO69" i="119"/>
  <c r="O87" i="119"/>
  <c r="O79" i="30" s="1"/>
  <c r="O81" i="119"/>
  <c r="O73" i="30" s="1"/>
  <c r="FB89" i="2"/>
  <c r="FB87" i="2" s="1"/>
  <c r="P48" i="119"/>
  <c r="P46" i="30" s="1"/>
  <c r="Q81" i="119"/>
  <c r="Q73" i="30" s="1"/>
  <c r="Q87" i="119"/>
  <c r="Q79" i="30" s="1"/>
  <c r="R44" i="119"/>
  <c r="R42" i="30" s="1"/>
  <c r="R39" i="30"/>
  <c r="S64" i="119"/>
  <c r="S60" i="30" s="1"/>
  <c r="S63" i="119"/>
  <c r="S59" i="30" s="1"/>
  <c r="O45" i="30"/>
  <c r="AO69" i="119"/>
  <c r="AO271" i="119" s="1"/>
  <c r="AO67" i="119"/>
  <c r="AO298" i="119" s="1"/>
  <c r="AO256" i="119" s="1"/>
  <c r="AU69" i="119"/>
  <c r="AU271" i="119" s="1"/>
  <c r="AU67" i="119"/>
  <c r="AU298" i="119" s="1"/>
  <c r="AU256" i="119" s="1"/>
  <c r="BA69" i="119"/>
  <c r="BA67" i="119"/>
  <c r="BG69" i="119"/>
  <c r="BG67" i="119"/>
  <c r="BM69" i="119"/>
  <c r="BM67" i="119"/>
  <c r="BS69" i="119"/>
  <c r="BS67" i="119"/>
  <c r="M64" i="119"/>
  <c r="M60" i="30" s="1"/>
  <c r="M63" i="119"/>
  <c r="M59" i="30" s="1"/>
  <c r="L39" i="30"/>
  <c r="L44" i="119"/>
  <c r="L42" i="30" s="1"/>
  <c r="K81" i="119"/>
  <c r="K73" i="30" s="1"/>
  <c r="K87" i="119"/>
  <c r="K79" i="30" s="1"/>
  <c r="EV89" i="2"/>
  <c r="EV87" i="2" s="1"/>
  <c r="J48" i="119"/>
  <c r="J46" i="30" s="1"/>
  <c r="EU93" i="2"/>
  <c r="EU91" i="2" s="1"/>
  <c r="I51" i="119"/>
  <c r="G64" i="119"/>
  <c r="G60" i="30" s="1"/>
  <c r="G63" i="119"/>
  <c r="G59" i="30" s="1"/>
  <c r="F44" i="119"/>
  <c r="F42" i="30" s="1"/>
  <c r="F58" i="30"/>
  <c r="FG74" i="2"/>
  <c r="U44" i="119"/>
  <c r="U42" i="30" s="1"/>
  <c r="U45" i="30"/>
  <c r="CE69" i="119"/>
  <c r="CE67" i="119"/>
  <c r="FF89" i="2"/>
  <c r="FF87" i="2" s="1"/>
  <c r="T48" i="119"/>
  <c r="T46" i="30" s="1"/>
  <c r="AQ67" i="119"/>
  <c r="AQ298" i="119" s="1"/>
  <c r="AQ256" i="119" s="1"/>
  <c r="AQ69" i="119"/>
  <c r="AQ271" i="119" s="1"/>
  <c r="BI67" i="119"/>
  <c r="BI69" i="119"/>
  <c r="BU67" i="119"/>
  <c r="BU69" i="119"/>
  <c r="EX89" i="2"/>
  <c r="EX87" i="2" s="1"/>
  <c r="L48" i="119"/>
  <c r="I63" i="119"/>
  <c r="I59" i="30" s="1"/>
  <c r="I64" i="119"/>
  <c r="I60" i="30" s="1"/>
  <c r="H58" i="30"/>
  <c r="G87" i="119"/>
  <c r="G79" i="30" s="1"/>
  <c r="G81" i="119"/>
  <c r="G73" i="30" s="1"/>
  <c r="H45" i="30"/>
  <c r="DD69" i="119"/>
  <c r="DD67" i="119"/>
  <c r="CL69" i="119"/>
  <c r="CL67" i="119"/>
  <c r="T87" i="119"/>
  <c r="T79" i="30" s="1"/>
  <c r="T81" i="119"/>
  <c r="T73" i="30" s="1"/>
  <c r="AR69" i="119"/>
  <c r="AR271" i="119" s="1"/>
  <c r="AR67" i="119"/>
  <c r="AR298" i="119" s="1"/>
  <c r="AR256" i="119" s="1"/>
  <c r="BJ69" i="119"/>
  <c r="BJ67" i="119"/>
  <c r="EY89" i="2"/>
  <c r="EY87" i="2" s="1"/>
  <c r="M48" i="119"/>
  <c r="EX93" i="2"/>
  <c r="EX91" i="2" s="1"/>
  <c r="L51" i="119"/>
  <c r="L49" i="30" s="1"/>
  <c r="J63" i="119"/>
  <c r="J59" i="30" s="1"/>
  <c r="J64" i="119"/>
  <c r="J60" i="30" s="1"/>
  <c r="W44" i="119"/>
  <c r="W42" i="30" s="1"/>
  <c r="W51" i="119"/>
  <c r="CY67" i="119"/>
  <c r="CY69" i="119"/>
  <c r="V51" i="119"/>
  <c r="BX67" i="119"/>
  <c r="BX69" i="119"/>
  <c r="CD69" i="119"/>
  <c r="CD67" i="119"/>
  <c r="CJ69" i="119"/>
  <c r="CJ67" i="119"/>
  <c r="CP67" i="119"/>
  <c r="CP69" i="119"/>
  <c r="FA89" i="2"/>
  <c r="FA87" i="2" s="1"/>
  <c r="O48" i="119"/>
  <c r="O46" i="30" s="1"/>
  <c r="P81" i="119"/>
  <c r="P73" i="30" s="1"/>
  <c r="P87" i="119"/>
  <c r="P79" i="30" s="1"/>
  <c r="Q44" i="119"/>
  <c r="Q42" i="30" s="1"/>
  <c r="Q39" i="30"/>
  <c r="R64" i="119"/>
  <c r="R60" i="30" s="1"/>
  <c r="R63" i="119"/>
  <c r="R59" i="30" s="1"/>
  <c r="T59" i="119"/>
  <c r="T56" i="30" s="1"/>
  <c r="P45" i="30"/>
  <c r="AP69" i="119"/>
  <c r="AP271" i="119" s="1"/>
  <c r="AP67" i="119"/>
  <c r="AP298" i="119" s="1"/>
  <c r="AP256" i="119" s="1"/>
  <c r="AV69" i="119"/>
  <c r="AV271" i="119" s="1"/>
  <c r="AV67" i="119"/>
  <c r="AV298" i="119" s="1"/>
  <c r="AV256" i="119" s="1"/>
  <c r="BB69" i="119"/>
  <c r="BB67" i="119"/>
  <c r="BH69" i="119"/>
  <c r="BH67" i="119"/>
  <c r="BN69" i="119"/>
  <c r="BN67" i="119"/>
  <c r="BT69" i="119"/>
  <c r="BT67" i="119"/>
  <c r="N64" i="119"/>
  <c r="N60" i="30" s="1"/>
  <c r="N63" i="119"/>
  <c r="N59" i="30" s="1"/>
  <c r="M39" i="30"/>
  <c r="M44" i="119"/>
  <c r="M42" i="30" s="1"/>
  <c r="L81" i="119"/>
  <c r="L73" i="30" s="1"/>
  <c r="L87" i="119"/>
  <c r="L79" i="30" s="1"/>
  <c r="EW89" i="2"/>
  <c r="EW87" i="2" s="1"/>
  <c r="K48" i="119"/>
  <c r="J51" i="119"/>
  <c r="I57" i="119"/>
  <c r="H64" i="119"/>
  <c r="H60" i="30" s="1"/>
  <c r="H63" i="119"/>
  <c r="H59" i="30" s="1"/>
  <c r="G44" i="119"/>
  <c r="G42" i="30" s="1"/>
  <c r="G58" i="30"/>
  <c r="F81" i="119"/>
  <c r="F73" i="30" s="1"/>
  <c r="F87" i="119"/>
  <c r="F79" i="30" s="1"/>
  <c r="K48" i="30"/>
  <c r="U87" i="119"/>
  <c r="U79" i="30" s="1"/>
  <c r="U81" i="119"/>
  <c r="U73" i="30" s="1"/>
  <c r="CW69" i="119"/>
  <c r="CW67" i="119"/>
  <c r="DA67" i="119"/>
  <c r="DA69" i="119"/>
  <c r="BG94" i="6"/>
  <c r="FW60" i="1"/>
  <c r="ER35" i="2"/>
  <c r="F60" i="119" s="1"/>
  <c r="F57" i="30" s="1"/>
  <c r="BG93" i="6"/>
  <c r="EX35" i="2"/>
  <c r="L60" i="119" s="1"/>
  <c r="L57" i="30" s="1"/>
  <c r="ES35" i="2"/>
  <c r="G60" i="119" s="1"/>
  <c r="G57" i="30" s="1"/>
  <c r="FH35" i="2"/>
  <c r="V60" i="119" s="1"/>
  <c r="V57" i="30" s="1"/>
  <c r="FC35" i="2"/>
  <c r="Q60" i="119" s="1"/>
  <c r="Q57" i="30" s="1"/>
  <c r="FB35" i="2"/>
  <c r="P60" i="119" s="1"/>
  <c r="P57" i="30" s="1"/>
  <c r="EY35" i="2"/>
  <c r="M60" i="119" s="1"/>
  <c r="M57" i="30" s="1"/>
  <c r="EZ35" i="2"/>
  <c r="N60" i="119" s="1"/>
  <c r="N57" i="30" s="1"/>
  <c r="ET35" i="2"/>
  <c r="H60" i="119" s="1"/>
  <c r="H57" i="30" s="1"/>
  <c r="EN35" i="2"/>
  <c r="EN44" i="2" s="1"/>
  <c r="FF35" i="2"/>
  <c r="T60" i="119" s="1"/>
  <c r="T57" i="30" s="1"/>
  <c r="EU35" i="2"/>
  <c r="I60" i="119" s="1"/>
  <c r="I57" i="30" s="1"/>
  <c r="EO35" i="2"/>
  <c r="FG35" i="2"/>
  <c r="U60" i="119" s="1"/>
  <c r="U57" i="30" s="1"/>
  <c r="FA35" i="2"/>
  <c r="O60" i="119" s="1"/>
  <c r="O57" i="30" s="1"/>
  <c r="FE35" i="2"/>
  <c r="S60" i="119" s="1"/>
  <c r="S57" i="30" s="1"/>
  <c r="EV35" i="2"/>
  <c r="J60" i="119" s="1"/>
  <c r="J57" i="30" s="1"/>
  <c r="EP35" i="2"/>
  <c r="EP44" i="2" s="1"/>
  <c r="FI35" i="2"/>
  <c r="W60" i="119" s="1"/>
  <c r="W57" i="30" s="1"/>
  <c r="FD35" i="2"/>
  <c r="R60" i="119" s="1"/>
  <c r="R57" i="30" s="1"/>
  <c r="EW35" i="2"/>
  <c r="K60" i="119" s="1"/>
  <c r="K57" i="30" s="1"/>
  <c r="EQ35" i="2"/>
  <c r="EQ44" i="2" s="1"/>
  <c r="CB122" i="1"/>
  <c r="FP121" i="1" s="1"/>
  <c r="FI62" i="2"/>
  <c r="BF94" i="6"/>
  <c r="CH122" i="1"/>
  <c r="FN123" i="1" s="1"/>
  <c r="BH93" i="6"/>
  <c r="BH94" i="6"/>
  <c r="BO94" i="6"/>
  <c r="AR61" i="2"/>
  <c r="FH62" i="2"/>
  <c r="FH65" i="2"/>
  <c r="FH63" i="2"/>
  <c r="FH64" i="2"/>
  <c r="FI64" i="2"/>
  <c r="FI65" i="2"/>
  <c r="AW93" i="6"/>
  <c r="BC93" i="6"/>
  <c r="AW94" i="6"/>
  <c r="BJ94" i="6"/>
  <c r="BK94" i="6"/>
  <c r="BM94" i="6"/>
  <c r="BJ93" i="6"/>
  <c r="BP93" i="6"/>
  <c r="BC94" i="6"/>
  <c r="BP94" i="6"/>
  <c r="BI94" i="6"/>
  <c r="AY93" i="6"/>
  <c r="AT93" i="6"/>
  <c r="AZ93" i="6"/>
  <c r="BF93" i="6"/>
  <c r="AT94" i="6"/>
  <c r="AZ94" i="6"/>
  <c r="BL94" i="6"/>
  <c r="BO93" i="6"/>
  <c r="BN94" i="6"/>
  <c r="BD93" i="6"/>
  <c r="AY94" i="6"/>
  <c r="AU93" i="6"/>
  <c r="BA93" i="6"/>
  <c r="BD94" i="6"/>
  <c r="AU94" i="6"/>
  <c r="BA94" i="6"/>
  <c r="AX93" i="6"/>
  <c r="AX94" i="6"/>
  <c r="BE93" i="6"/>
  <c r="BL93" i="6"/>
  <c r="AV93" i="6"/>
  <c r="BB93" i="6"/>
  <c r="BE94" i="6"/>
  <c r="AV94" i="6"/>
  <c r="BB94" i="6"/>
  <c r="BK93" i="6"/>
  <c r="BN93" i="6"/>
  <c r="BQ94" i="6"/>
  <c r="BR94" i="6"/>
  <c r="BR93" i="6"/>
  <c r="DS16" i="6"/>
  <c r="DS86" i="6" s="1"/>
  <c r="DY16" i="6"/>
  <c r="DY86" i="6" s="1"/>
  <c r="DX16" i="6"/>
  <c r="DX86" i="6" s="1"/>
  <c r="DT16" i="6"/>
  <c r="DT86" i="6" s="1"/>
  <c r="BM90" i="6"/>
  <c r="DZ16" i="6"/>
  <c r="DZ86" i="6" s="1"/>
  <c r="BQ53" i="6"/>
  <c r="DU16" i="6"/>
  <c r="DU86" i="6" s="1"/>
  <c r="EA16" i="6"/>
  <c r="EA86" i="6" s="1"/>
  <c r="DV16" i="6"/>
  <c r="DV86" i="6" s="1"/>
  <c r="EB16" i="6"/>
  <c r="EB86" i="6" s="1"/>
  <c r="DW16" i="6"/>
  <c r="DW86" i="6" s="1"/>
  <c r="EC16" i="6"/>
  <c r="EC86" i="6" s="1"/>
  <c r="BM89" i="6"/>
  <c r="BN70" i="6"/>
  <c r="BA86" i="6"/>
  <c r="BA80" i="6"/>
  <c r="BA83" i="6"/>
  <c r="BA82" i="6"/>
  <c r="BA84" i="6"/>
  <c r="BA81" i="6"/>
  <c r="BB83" i="6"/>
  <c r="BB82" i="6"/>
  <c r="BB84" i="6"/>
  <c r="BB81" i="6"/>
  <c r="BB80" i="6"/>
  <c r="AT83" i="6"/>
  <c r="AT82" i="6"/>
  <c r="AT84" i="6"/>
  <c r="AT81" i="6"/>
  <c r="AT80" i="6"/>
  <c r="ED47" i="6"/>
  <c r="BJ81" i="6"/>
  <c r="BJ84" i="6"/>
  <c r="BJ83" i="6"/>
  <c r="CX164" i="119" s="1"/>
  <c r="BY136" i="30" s="1"/>
  <c r="BJ80" i="6"/>
  <c r="BJ82" i="6"/>
  <c r="BC86" i="6"/>
  <c r="BC84" i="6"/>
  <c r="BC81" i="6"/>
  <c r="BC80" i="6"/>
  <c r="BC83" i="6"/>
  <c r="BC82" i="6"/>
  <c r="AU80" i="6"/>
  <c r="AU83" i="6"/>
  <c r="AU82" i="6"/>
  <c r="AU84" i="6"/>
  <c r="AU81" i="6"/>
  <c r="BI84" i="6"/>
  <c r="BI82" i="6"/>
  <c r="BI83" i="6"/>
  <c r="CW164" i="119" s="1"/>
  <c r="BX136" i="30" s="1"/>
  <c r="BI81" i="6"/>
  <c r="BI80" i="6"/>
  <c r="AV81" i="6"/>
  <c r="AV80" i="6"/>
  <c r="AV83" i="6"/>
  <c r="AV82" i="6"/>
  <c r="AV84" i="6"/>
  <c r="BH82" i="6"/>
  <c r="BH84" i="6"/>
  <c r="BH83" i="6"/>
  <c r="CV164" i="119" s="1"/>
  <c r="BW136" i="30" s="1"/>
  <c r="BH81" i="6"/>
  <c r="BH80" i="6"/>
  <c r="BP86" i="6"/>
  <c r="BP81" i="6"/>
  <c r="BP84" i="6"/>
  <c r="BP82" i="6"/>
  <c r="BP83" i="6"/>
  <c r="DD164" i="119" s="1"/>
  <c r="CE136" i="30" s="1"/>
  <c r="BP80" i="6"/>
  <c r="BG80" i="6"/>
  <c r="BG82" i="6"/>
  <c r="BG83" i="6"/>
  <c r="BG84" i="6"/>
  <c r="BG81" i="6"/>
  <c r="BO86" i="6"/>
  <c r="BO84" i="6"/>
  <c r="BO83" i="6"/>
  <c r="DC164" i="119" s="1"/>
  <c r="CD136" i="30" s="1"/>
  <c r="BO81" i="6"/>
  <c r="BO80" i="6"/>
  <c r="BO82" i="6"/>
  <c r="AX86" i="6"/>
  <c r="AX81" i="6"/>
  <c r="AX84" i="6"/>
  <c r="AX82" i="6"/>
  <c r="AX83" i="6"/>
  <c r="AX80" i="6"/>
  <c r="AY86" i="6"/>
  <c r="AY84" i="6"/>
  <c r="AY82" i="6"/>
  <c r="AY80" i="6"/>
  <c r="AY81" i="6"/>
  <c r="AY83" i="6"/>
  <c r="BE86" i="6"/>
  <c r="BE81" i="6"/>
  <c r="BE83" i="6"/>
  <c r="BE84" i="6"/>
  <c r="BE80" i="6"/>
  <c r="BE82" i="6"/>
  <c r="BF86" i="6"/>
  <c r="BF83" i="6"/>
  <c r="BF82" i="6"/>
  <c r="BF81" i="6"/>
  <c r="BF84" i="6"/>
  <c r="BF80" i="6"/>
  <c r="BL83" i="6"/>
  <c r="CZ164" i="119" s="1"/>
  <c r="CA136" i="30" s="1"/>
  <c r="BL82" i="6"/>
  <c r="BL81" i="6"/>
  <c r="BL80" i="6"/>
  <c r="BL84" i="6"/>
  <c r="BN86" i="6"/>
  <c r="BN81" i="6"/>
  <c r="BN83" i="6"/>
  <c r="DB164" i="119" s="1"/>
  <c r="CC136" i="30" s="1"/>
  <c r="BN80" i="6"/>
  <c r="BN82" i="6"/>
  <c r="BN84" i="6"/>
  <c r="BQ86" i="6"/>
  <c r="BQ84" i="6"/>
  <c r="BQ80" i="6"/>
  <c r="BQ82" i="6"/>
  <c r="BQ83" i="6"/>
  <c r="DE164" i="119" s="1"/>
  <c r="CF136" i="30" s="1"/>
  <c r="BQ81" i="6"/>
  <c r="BD86" i="6"/>
  <c r="BD81" i="6"/>
  <c r="BD84" i="6"/>
  <c r="BD80" i="6"/>
  <c r="BD83" i="6"/>
  <c r="BD82" i="6"/>
  <c r="AW84" i="6"/>
  <c r="AW81" i="6"/>
  <c r="AW80" i="6"/>
  <c r="AW83" i="6"/>
  <c r="AW82" i="6"/>
  <c r="AZ83" i="6"/>
  <c r="AZ82" i="6"/>
  <c r="AZ84" i="6"/>
  <c r="AZ81" i="6"/>
  <c r="AZ80" i="6"/>
  <c r="BK81" i="6"/>
  <c r="BK83" i="6"/>
  <c r="CY164" i="119" s="1"/>
  <c r="BZ136" i="30" s="1"/>
  <c r="BK80" i="6"/>
  <c r="BK84" i="6"/>
  <c r="BK82" i="6"/>
  <c r="BM86" i="6"/>
  <c r="BM80" i="6"/>
  <c r="BM83" i="6"/>
  <c r="DA164" i="119" s="1"/>
  <c r="CB136" i="30" s="1"/>
  <c r="BM82" i="6"/>
  <c r="BM81" i="6"/>
  <c r="BM84" i="6"/>
  <c r="BR83" i="6"/>
  <c r="DF164" i="119" s="1"/>
  <c r="BR82" i="6"/>
  <c r="BR81" i="6"/>
  <c r="BR84" i="6"/>
  <c r="BR80" i="6"/>
  <c r="AS17" i="6"/>
  <c r="AS86" i="6"/>
  <c r="AU74" i="6"/>
  <c r="BH75" i="6"/>
  <c r="BH57" i="6"/>
  <c r="AT75" i="6"/>
  <c r="AT57" i="6"/>
  <c r="AZ75" i="6"/>
  <c r="AZ57" i="6"/>
  <c r="E75" i="6"/>
  <c r="K75" i="6"/>
  <c r="K57" i="6"/>
  <c r="Q75" i="6"/>
  <c r="Q57" i="6"/>
  <c r="W75" i="6"/>
  <c r="W57" i="6"/>
  <c r="AC75" i="6"/>
  <c r="AC57" i="6"/>
  <c r="AI75" i="6"/>
  <c r="AI57" i="6"/>
  <c r="AO75" i="6"/>
  <c r="AO57" i="6"/>
  <c r="BI75" i="6"/>
  <c r="BI57" i="6"/>
  <c r="BK75" i="6"/>
  <c r="BK57" i="6"/>
  <c r="EJ46" i="6"/>
  <c r="BO75" i="6"/>
  <c r="BO57" i="6"/>
  <c r="BS57" i="6"/>
  <c r="BB17" i="6"/>
  <c r="BB86" i="6"/>
  <c r="M17" i="6"/>
  <c r="M86" i="6"/>
  <c r="S17" i="6"/>
  <c r="S86" i="6"/>
  <c r="Y17" i="6"/>
  <c r="Y86" i="6"/>
  <c r="BD57" i="6"/>
  <c r="BD75" i="6"/>
  <c r="AU75" i="6"/>
  <c r="AU57" i="6"/>
  <c r="BA75" i="6"/>
  <c r="BA57" i="6"/>
  <c r="F75" i="6"/>
  <c r="F57" i="6"/>
  <c r="L75" i="6"/>
  <c r="L57" i="6"/>
  <c r="R75" i="6"/>
  <c r="R57" i="6"/>
  <c r="X75" i="6"/>
  <c r="X57" i="6"/>
  <c r="AD75" i="6"/>
  <c r="AD57" i="6"/>
  <c r="AJ57" i="6"/>
  <c r="AJ75" i="6"/>
  <c r="AP75" i="6"/>
  <c r="AP57" i="6"/>
  <c r="BH17" i="6"/>
  <c r="BH86" i="6"/>
  <c r="BJ57" i="6"/>
  <c r="BJ75" i="6"/>
  <c r="BK17" i="6"/>
  <c r="BK86" i="6"/>
  <c r="B17" i="6"/>
  <c r="B86" i="6"/>
  <c r="N17" i="6"/>
  <c r="N86" i="6"/>
  <c r="Z17" i="6"/>
  <c r="Z86" i="6"/>
  <c r="AF17" i="6"/>
  <c r="AF86" i="6"/>
  <c r="AT17" i="6"/>
  <c r="AT67" i="6"/>
  <c r="AT49" i="6"/>
  <c r="AT86" i="6"/>
  <c r="BE57" i="6"/>
  <c r="BE75" i="6"/>
  <c r="AV75" i="6"/>
  <c r="AV57" i="6"/>
  <c r="BB75" i="6"/>
  <c r="BB57" i="6"/>
  <c r="G75" i="6"/>
  <c r="G57" i="6"/>
  <c r="M57" i="6"/>
  <c r="M75" i="6"/>
  <c r="S75" i="6"/>
  <c r="S57" i="6"/>
  <c r="Y75" i="6"/>
  <c r="Y57" i="6"/>
  <c r="AE75" i="6"/>
  <c r="AE57" i="6"/>
  <c r="AK75" i="6"/>
  <c r="AK57" i="6"/>
  <c r="AQ57" i="6"/>
  <c r="AQ75" i="6"/>
  <c r="BG17" i="6"/>
  <c r="BG86" i="6"/>
  <c r="BL75" i="6"/>
  <c r="BL57" i="6"/>
  <c r="O17" i="6"/>
  <c r="O86" i="6"/>
  <c r="AU49" i="6"/>
  <c r="AU86" i="6"/>
  <c r="BF75" i="6"/>
  <c r="BF57" i="6"/>
  <c r="AW57" i="6"/>
  <c r="AW75" i="6"/>
  <c r="H75" i="6"/>
  <c r="H57" i="6"/>
  <c r="N75" i="6"/>
  <c r="N57" i="6"/>
  <c r="T57" i="6"/>
  <c r="T75" i="6"/>
  <c r="Z75" i="6"/>
  <c r="Z57" i="6"/>
  <c r="AF75" i="6"/>
  <c r="AF57" i="6"/>
  <c r="AL75" i="6"/>
  <c r="AL57" i="6"/>
  <c r="AR57" i="6"/>
  <c r="AR75" i="6"/>
  <c r="BJ17" i="6"/>
  <c r="BJ86" i="6"/>
  <c r="BN75" i="6"/>
  <c r="BN57" i="6"/>
  <c r="BR57" i="6"/>
  <c r="BP75" i="6"/>
  <c r="BP57" i="6"/>
  <c r="BT57" i="6"/>
  <c r="D17" i="6"/>
  <c r="D86" i="6"/>
  <c r="AH17" i="6"/>
  <c r="AH86" i="6"/>
  <c r="AV17" i="6"/>
  <c r="AV49" i="6"/>
  <c r="AV86" i="6"/>
  <c r="AQ17" i="6"/>
  <c r="AQ86" i="6"/>
  <c r="BG75" i="6"/>
  <c r="EZ36" i="6"/>
  <c r="BG57" i="6"/>
  <c r="AX75" i="6"/>
  <c r="AX57" i="6"/>
  <c r="C75" i="6"/>
  <c r="I75" i="6"/>
  <c r="I57" i="6"/>
  <c r="O75" i="6"/>
  <c r="O57" i="6"/>
  <c r="U57" i="6"/>
  <c r="U75" i="6"/>
  <c r="AA75" i="6"/>
  <c r="AA57" i="6"/>
  <c r="AG75" i="6"/>
  <c r="AG57" i="6"/>
  <c r="AM75" i="6"/>
  <c r="AM57" i="6"/>
  <c r="AS75" i="6"/>
  <c r="AS57" i="6"/>
  <c r="EZ51" i="6"/>
  <c r="EZ88" i="6"/>
  <c r="BM75" i="6"/>
  <c r="BM57" i="6"/>
  <c r="AZ17" i="6"/>
  <c r="AZ86" i="6"/>
  <c r="F17" i="6"/>
  <c r="F86" i="6"/>
  <c r="R17" i="6"/>
  <c r="R86" i="6"/>
  <c r="AJ17" i="6"/>
  <c r="AJ86" i="6"/>
  <c r="AM17" i="6"/>
  <c r="AM86" i="6"/>
  <c r="EG44" i="6"/>
  <c r="EF16" i="6"/>
  <c r="EF86" i="6" s="1"/>
  <c r="L74" i="6"/>
  <c r="R74" i="6"/>
  <c r="X74" i="6"/>
  <c r="AD74" i="6"/>
  <c r="AJ74" i="6"/>
  <c r="AP74" i="6"/>
  <c r="W17" i="6"/>
  <c r="W86" i="6"/>
  <c r="AC17" i="6"/>
  <c r="AC86" i="6"/>
  <c r="AW17" i="6"/>
  <c r="AW86" i="6"/>
  <c r="AW49" i="6"/>
  <c r="AR17" i="6"/>
  <c r="AR86" i="6"/>
  <c r="EE19" i="6"/>
  <c r="EE16" i="6"/>
  <c r="EE86" i="6" s="1"/>
  <c r="EY36" i="6"/>
  <c r="BC75" i="6"/>
  <c r="BC57" i="6"/>
  <c r="AY75" i="6"/>
  <c r="AY57" i="6"/>
  <c r="D75" i="6"/>
  <c r="J75" i="6"/>
  <c r="J57" i="6"/>
  <c r="P75" i="6"/>
  <c r="P57" i="6"/>
  <c r="V75" i="6"/>
  <c r="V57" i="6"/>
  <c r="AB75" i="6"/>
  <c r="AB57" i="6"/>
  <c r="AH75" i="6"/>
  <c r="AH57" i="6"/>
  <c r="AN75" i="6"/>
  <c r="AN57" i="6"/>
  <c r="BI17" i="6"/>
  <c r="BI86" i="6"/>
  <c r="BL17" i="6"/>
  <c r="BL86" i="6"/>
  <c r="BQ75" i="6"/>
  <c r="BQ57" i="6"/>
  <c r="BU57" i="6"/>
  <c r="BR75" i="6"/>
  <c r="ED45" i="6"/>
  <c r="BA74" i="6"/>
  <c r="T74" i="6"/>
  <c r="AF74" i="6"/>
  <c r="ED48" i="6"/>
  <c r="BC74" i="6"/>
  <c r="H74" i="6"/>
  <c r="Z74" i="6"/>
  <c r="AR74" i="6"/>
  <c r="AW74" i="6"/>
  <c r="N74" i="6"/>
  <c r="AL74" i="6"/>
  <c r="ED44" i="6"/>
  <c r="ED46" i="6"/>
  <c r="AY74" i="6"/>
  <c r="D74" i="6"/>
  <c r="J74" i="6"/>
  <c r="P74" i="6"/>
  <c r="V74" i="6"/>
  <c r="AB74" i="6"/>
  <c r="AH74" i="6"/>
  <c r="AN74" i="6"/>
  <c r="AT74" i="6"/>
  <c r="BK74" i="6"/>
  <c r="F74" i="6"/>
  <c r="BJ69" i="6"/>
  <c r="BI51" i="6"/>
  <c r="EG30" i="6"/>
  <c r="EG51" i="6" s="1"/>
  <c r="AV74" i="6"/>
  <c r="BB74" i="6"/>
  <c r="G74" i="6"/>
  <c r="M74" i="6"/>
  <c r="S74" i="6"/>
  <c r="Y74" i="6"/>
  <c r="AE74" i="6"/>
  <c r="AK74" i="6"/>
  <c r="AQ74" i="6"/>
  <c r="ED50" i="6"/>
  <c r="ED53" i="6"/>
  <c r="BL74" i="6"/>
  <c r="BP74" i="6"/>
  <c r="BI69" i="6"/>
  <c r="AX74" i="6"/>
  <c r="BD74" i="6"/>
  <c r="C74" i="6"/>
  <c r="I74" i="6"/>
  <c r="O74" i="6"/>
  <c r="U74" i="6"/>
  <c r="AA74" i="6"/>
  <c r="AG74" i="6"/>
  <c r="AM74" i="6"/>
  <c r="AS74" i="6"/>
  <c r="ED51" i="6"/>
  <c r="ED54" i="6"/>
  <c r="BG74" i="6"/>
  <c r="BE74" i="6"/>
  <c r="AZ74" i="6"/>
  <c r="BF74" i="6"/>
  <c r="E74" i="6"/>
  <c r="K74" i="6"/>
  <c r="Q74" i="6"/>
  <c r="W74" i="6"/>
  <c r="AC74" i="6"/>
  <c r="AI74" i="6"/>
  <c r="AO74" i="6"/>
  <c r="BH74" i="6"/>
  <c r="BO74" i="6"/>
  <c r="BI88" i="6"/>
  <c r="BI53" i="6"/>
  <c r="EG47" i="6"/>
  <c r="EI46" i="6"/>
  <c r="EG48" i="6"/>
  <c r="DS90" i="6"/>
  <c r="DW51" i="6"/>
  <c r="AY49" i="6"/>
  <c r="EA44" i="6"/>
  <c r="FA16" i="6"/>
  <c r="FA86" i="6" s="1"/>
  <c r="EI31" i="6"/>
  <c r="EI52" i="6" s="1"/>
  <c r="EZ16" i="6"/>
  <c r="EZ86" i="6" s="1"/>
  <c r="BM67" i="6"/>
  <c r="BM87" i="6"/>
  <c r="FA29" i="6"/>
  <c r="FA87" i="6" s="1"/>
  <c r="FC51" i="6"/>
  <c r="BI71" i="6"/>
  <c r="EZ32" i="6"/>
  <c r="BI54" i="6"/>
  <c r="EZ33" i="6"/>
  <c r="FC53" i="6"/>
  <c r="BC17" i="6"/>
  <c r="EY16" i="6"/>
  <c r="EH32" i="6"/>
  <c r="EH90" i="6" s="1"/>
  <c r="FA32" i="6"/>
  <c r="BQ72" i="6"/>
  <c r="FB33" i="6"/>
  <c r="FB91" i="6" s="1"/>
  <c r="EG29" i="6"/>
  <c r="EG87" i="6" s="1"/>
  <c r="EZ29" i="6"/>
  <c r="EZ87" i="6" s="1"/>
  <c r="EH33" i="6"/>
  <c r="EH91" i="6" s="1"/>
  <c r="FA33" i="6"/>
  <c r="FA91" i="6" s="1"/>
  <c r="BM69" i="6"/>
  <c r="FA30" i="6"/>
  <c r="BS49" i="6"/>
  <c r="FB16" i="6"/>
  <c r="BQ68" i="6"/>
  <c r="FB29" i="6"/>
  <c r="FB87" i="6" s="1"/>
  <c r="EG31" i="6"/>
  <c r="EG52" i="6" s="1"/>
  <c r="BQ50" i="6"/>
  <c r="EI47" i="6"/>
  <c r="BJ91" i="2"/>
  <c r="CD49" i="119" s="1"/>
  <c r="BE47" i="30" s="1"/>
  <c r="BS108" i="2"/>
  <c r="BN91" i="2"/>
  <c r="CH49" i="119" s="1"/>
  <c r="BI47" i="30" s="1"/>
  <c r="P51" i="2"/>
  <c r="AV32" i="3"/>
  <c r="AW32" i="3" s="1"/>
  <c r="BQ97" i="119" s="1"/>
  <c r="AR88" i="30" s="1"/>
  <c r="CI16" i="1"/>
  <c r="CF42" i="3"/>
  <c r="BM22" i="3"/>
  <c r="AE79" i="2"/>
  <c r="AE84" i="2" s="1"/>
  <c r="GP56" i="51"/>
  <c r="GP39" i="51"/>
  <c r="GP19" i="51"/>
  <c r="FG56" i="51"/>
  <c r="FG19" i="51"/>
  <c r="FG39" i="51"/>
  <c r="GQ56" i="51"/>
  <c r="GQ39" i="51"/>
  <c r="GQ19" i="51"/>
  <c r="FH56" i="51"/>
  <c r="FH39" i="51"/>
  <c r="FH19" i="51"/>
  <c r="GR56" i="51"/>
  <c r="GR39" i="51"/>
  <c r="GR19" i="51"/>
  <c r="FF39" i="51"/>
  <c r="FF56" i="51"/>
  <c r="FF19" i="51"/>
  <c r="FI56" i="51"/>
  <c r="FI39" i="51"/>
  <c r="FI19" i="51"/>
  <c r="GS56" i="51"/>
  <c r="GS39" i="51"/>
  <c r="GS19" i="51"/>
  <c r="FJ56" i="51"/>
  <c r="FJ39" i="51"/>
  <c r="FJ19" i="51"/>
  <c r="GT56" i="51"/>
  <c r="GT39" i="51"/>
  <c r="GT19" i="51"/>
  <c r="FE39" i="51"/>
  <c r="FE56" i="51"/>
  <c r="FE19" i="51"/>
  <c r="FK56" i="51"/>
  <c r="FK39" i="51"/>
  <c r="FK19" i="51"/>
  <c r="GU56" i="51"/>
  <c r="GU39" i="51"/>
  <c r="GU19" i="51"/>
  <c r="CH119" i="1"/>
  <c r="AQ87" i="2"/>
  <c r="BK46" i="119" s="1"/>
  <c r="AL44" i="30" s="1"/>
  <c r="AB61" i="2"/>
  <c r="AB44" i="2"/>
  <c r="AV65" i="119" s="1"/>
  <c r="S87" i="2"/>
  <c r="AM46" i="119" s="1"/>
  <c r="L51" i="2"/>
  <c r="AN44" i="2"/>
  <c r="BH65" i="119" s="1"/>
  <c r="AI61" i="30" s="1"/>
  <c r="BA91" i="2"/>
  <c r="BU49" i="119" s="1"/>
  <c r="AV47" i="30" s="1"/>
  <c r="AE87" i="2"/>
  <c r="AY46" i="119" s="1"/>
  <c r="Z44" i="30" s="1"/>
  <c r="AZ61" i="2"/>
  <c r="AF61" i="2"/>
  <c r="CD27" i="2"/>
  <c r="CX55" i="119" s="1"/>
  <c r="BY53" i="30" s="1"/>
  <c r="AR44" i="2"/>
  <c r="AI87" i="2"/>
  <c r="BC46" i="119" s="1"/>
  <c r="AD44" i="30" s="1"/>
  <c r="BU87" i="2"/>
  <c r="CO46" i="119" s="1"/>
  <c r="BP44" i="30" s="1"/>
  <c r="BW107" i="2"/>
  <c r="CK114" i="2"/>
  <c r="CH114" i="2"/>
  <c r="CH115" i="2" s="1"/>
  <c r="W87" i="2"/>
  <c r="AQ46" i="119" s="1"/>
  <c r="AY61" i="2"/>
  <c r="FG91" i="2"/>
  <c r="D51" i="2"/>
  <c r="R87" i="2"/>
  <c r="AL46" i="119" s="1"/>
  <c r="AF44" i="2"/>
  <c r="AZ65" i="119" s="1"/>
  <c r="AA61" i="30" s="1"/>
  <c r="AM61" i="2"/>
  <c r="BR91" i="2"/>
  <c r="CL49" i="119" s="1"/>
  <c r="BM47" i="30" s="1"/>
  <c r="AU87" i="2"/>
  <c r="BO46" i="119" s="1"/>
  <c r="AP44" i="30" s="1"/>
  <c r="BX58" i="2"/>
  <c r="CQ9" i="3"/>
  <c r="CQ67" i="3" s="1"/>
  <c r="CQ9" i="113"/>
  <c r="CQ9" i="112"/>
  <c r="CP38" i="1"/>
  <c r="CP116" i="1" s="1"/>
  <c r="CP9" i="3"/>
  <c r="CP67" i="3" s="1"/>
  <c r="CP9" i="113"/>
  <c r="CP9" i="112"/>
  <c r="CS9" i="3"/>
  <c r="CS67" i="3" s="1"/>
  <c r="CS9" i="112"/>
  <c r="CS9" i="113"/>
  <c r="CN9" i="3"/>
  <c r="CN9" i="113"/>
  <c r="CN9" i="112"/>
  <c r="BZ108" i="2"/>
  <c r="BJ107" i="2"/>
  <c r="EQ87" i="2"/>
  <c r="J51" i="2"/>
  <c r="BN107" i="2"/>
  <c r="CB58" i="2"/>
  <c r="EY49" i="2"/>
  <c r="BO107" i="2"/>
  <c r="CA107" i="2"/>
  <c r="BV107" i="2"/>
  <c r="EW57" i="2"/>
  <c r="AQ44" i="2"/>
  <c r="BK65" i="119" s="1"/>
  <c r="AL61" i="30" s="1"/>
  <c r="AM87" i="2"/>
  <c r="BG46" i="119" s="1"/>
  <c r="AH44" i="30" s="1"/>
  <c r="S61" i="2"/>
  <c r="X61" i="2"/>
  <c r="B27" i="2"/>
  <c r="B51" i="2"/>
  <c r="H51" i="2"/>
  <c r="AY87" i="2"/>
  <c r="BS46" i="119" s="1"/>
  <c r="AT44" i="30" s="1"/>
  <c r="AA87" i="2"/>
  <c r="AU46" i="119" s="1"/>
  <c r="X44" i="2"/>
  <c r="AR65" i="119" s="1"/>
  <c r="BS107" i="2"/>
  <c r="AV44" i="2"/>
  <c r="BP65" i="119" s="1"/>
  <c r="AQ61" i="30" s="1"/>
  <c r="W61" i="2"/>
  <c r="AH87" i="2"/>
  <c r="BB46" i="119" s="1"/>
  <c r="AC44" i="30" s="1"/>
  <c r="AJ44" i="2"/>
  <c r="BD65" i="119" s="1"/>
  <c r="AE61" i="30" s="1"/>
  <c r="AV61" i="2"/>
  <c r="Z87" i="2"/>
  <c r="AT46" i="119" s="1"/>
  <c r="AU27" i="2"/>
  <c r="BO55" i="119" s="1"/>
  <c r="AP53" i="30" s="1"/>
  <c r="K27" i="2"/>
  <c r="M51" i="2"/>
  <c r="BF84" i="2"/>
  <c r="AX87" i="2"/>
  <c r="BR46" i="119" s="1"/>
  <c r="AS44" i="30" s="1"/>
  <c r="O27" i="2"/>
  <c r="I51" i="2"/>
  <c r="AI27" i="2"/>
  <c r="BC55" i="119" s="1"/>
  <c r="AD53" i="30" s="1"/>
  <c r="AA28" i="3"/>
  <c r="AU100" i="119" s="1"/>
  <c r="AU28" i="3"/>
  <c r="BO100" i="119" s="1"/>
  <c r="AP91" i="30" s="1"/>
  <c r="AI79" i="2"/>
  <c r="AI84" i="2" s="1"/>
  <c r="S32" i="3"/>
  <c r="AM97" i="119" s="1"/>
  <c r="BO79" i="2"/>
  <c r="BO84" i="2" s="1"/>
  <c r="AE16" i="1"/>
  <c r="BY29" i="3"/>
  <c r="FF29" i="3" s="1"/>
  <c r="CK20" i="3"/>
  <c r="FI20" i="3" s="1"/>
  <c r="N16" i="1"/>
  <c r="R46" i="1" s="1"/>
  <c r="W80" i="2"/>
  <c r="BQ30" i="3"/>
  <c r="FD30" i="3" s="1"/>
  <c r="AN12" i="3"/>
  <c r="AI16" i="1"/>
  <c r="R80" i="2"/>
  <c r="R81" i="2" s="1"/>
  <c r="BP12" i="3"/>
  <c r="AQ80" i="2"/>
  <c r="AM16" i="1"/>
  <c r="AD35" i="3"/>
  <c r="AX101" i="119" s="1"/>
  <c r="Y92" i="30" s="1"/>
  <c r="N79" i="2"/>
  <c r="N84" i="2" s="1"/>
  <c r="AA48" i="3"/>
  <c r="AU107" i="119" s="1"/>
  <c r="CC34" i="3"/>
  <c r="FG34" i="3" s="1"/>
  <c r="AX35" i="3"/>
  <c r="BR101" i="119" s="1"/>
  <c r="AS92" i="30" s="1"/>
  <c r="Z35" i="3"/>
  <c r="AT101" i="119" s="1"/>
  <c r="AJ32" i="3"/>
  <c r="K24" i="3"/>
  <c r="O24" i="3"/>
  <c r="BE19" i="3"/>
  <c r="FA19" i="3" s="1"/>
  <c r="CD25" i="3"/>
  <c r="BQ22" i="3"/>
  <c r="FD22" i="3" s="1"/>
  <c r="S79" i="2"/>
  <c r="S84" i="2" s="1"/>
  <c r="AV31" i="3"/>
  <c r="BP98" i="119" s="1"/>
  <c r="AQ89" i="30" s="1"/>
  <c r="CK34" i="3"/>
  <c r="FI34" i="3" s="1"/>
  <c r="CA80" i="2"/>
  <c r="BK80" i="2"/>
  <c r="CG19" i="3"/>
  <c r="FH19" i="3" s="1"/>
  <c r="BO80" i="2"/>
  <c r="BV25" i="3"/>
  <c r="CP96" i="119" s="1"/>
  <c r="BQ87" i="30" s="1"/>
  <c r="AP35" i="3"/>
  <c r="BJ101" i="119" s="1"/>
  <c r="AK92" i="30" s="1"/>
  <c r="G16" i="1"/>
  <c r="G67" i="1" s="1"/>
  <c r="BL12" i="3"/>
  <c r="AI80" i="2"/>
  <c r="K32" i="3"/>
  <c r="FH39" i="3"/>
  <c r="CE16" i="1"/>
  <c r="AY80" i="2"/>
  <c r="AY81" i="2" s="1"/>
  <c r="ET15" i="3"/>
  <c r="H95" i="119" s="1"/>
  <c r="H86" i="30" s="1"/>
  <c r="G32" i="3"/>
  <c r="BC80" i="2"/>
  <c r="C79" i="2"/>
  <c r="C84" i="2" s="1"/>
  <c r="ES31" i="3"/>
  <c r="G98" i="119" s="1"/>
  <c r="G89" i="30" s="1"/>
  <c r="C80" i="2"/>
  <c r="D32" i="3"/>
  <c r="D80" i="2" s="1"/>
  <c r="CE79" i="2"/>
  <c r="CE84" i="2" s="1"/>
  <c r="AM48" i="3"/>
  <c r="BG107" i="119" s="1"/>
  <c r="AH97" i="30" s="1"/>
  <c r="AI48" i="3"/>
  <c r="BC107" i="119" s="1"/>
  <c r="AD97" i="30" s="1"/>
  <c r="W16" i="1"/>
  <c r="AE80" i="2"/>
  <c r="AJ38" i="3"/>
  <c r="AZ32" i="3"/>
  <c r="CK44" i="3"/>
  <c r="FI44" i="3" s="1"/>
  <c r="G43" i="3"/>
  <c r="H43" i="3" s="1"/>
  <c r="I43" i="3" s="1"/>
  <c r="I48" i="3" s="1"/>
  <c r="D12" i="3"/>
  <c r="E12" i="3" s="1"/>
  <c r="E16" i="1" s="1"/>
  <c r="F82" i="1" s="1"/>
  <c r="AH35" i="3"/>
  <c r="BB101" i="119" s="1"/>
  <c r="AC92" i="30" s="1"/>
  <c r="CE88" i="2"/>
  <c r="CY47" i="119" s="1"/>
  <c r="BZ45" i="30" s="1"/>
  <c r="AI28" i="3"/>
  <c r="CF12" i="3"/>
  <c r="BX32" i="3"/>
  <c r="CI35" i="3"/>
  <c r="DC101" i="119" s="1"/>
  <c r="CD92" i="30" s="1"/>
  <c r="AV84" i="2"/>
  <c r="AY42" i="51"/>
  <c r="AY46" i="51"/>
  <c r="AY41" i="51"/>
  <c r="AY40" i="51"/>
  <c r="AY43" i="51"/>
  <c r="AY45" i="51"/>
  <c r="AY44" i="51"/>
  <c r="BE42" i="51"/>
  <c r="BE46" i="51"/>
  <c r="BE43" i="51"/>
  <c r="BE41" i="51"/>
  <c r="BE45" i="51"/>
  <c r="BE40" i="51"/>
  <c r="BE44" i="51"/>
  <c r="BD42" i="51"/>
  <c r="BD46" i="51"/>
  <c r="BD41" i="51"/>
  <c r="BD43" i="51"/>
  <c r="BD45" i="51"/>
  <c r="BD40" i="51"/>
  <c r="BD44" i="51"/>
  <c r="AT42" i="51"/>
  <c r="AT40" i="51"/>
  <c r="AT46" i="51"/>
  <c r="AT43" i="51"/>
  <c r="AT45" i="51"/>
  <c r="AT41" i="51"/>
  <c r="AT44" i="51"/>
  <c r="AZ42" i="51"/>
  <c r="AZ46" i="51"/>
  <c r="AZ40" i="51"/>
  <c r="AZ43" i="51"/>
  <c r="AZ41" i="51"/>
  <c r="AZ45" i="51"/>
  <c r="AZ44" i="51"/>
  <c r="BF46" i="51"/>
  <c r="BF42" i="51"/>
  <c r="BF43" i="51"/>
  <c r="BF40" i="51"/>
  <c r="BF41" i="51"/>
  <c r="BF45" i="51"/>
  <c r="BF44" i="51"/>
  <c r="AX46" i="51"/>
  <c r="AX42" i="51"/>
  <c r="AX41" i="51"/>
  <c r="AX43" i="51"/>
  <c r="AX45" i="51"/>
  <c r="AX40" i="51"/>
  <c r="AX44" i="51"/>
  <c r="AU46" i="51"/>
  <c r="AU40" i="51"/>
  <c r="AU42" i="51"/>
  <c r="AU41" i="51"/>
  <c r="AU43" i="51"/>
  <c r="AU45" i="51"/>
  <c r="AU44" i="51"/>
  <c r="BA42" i="51"/>
  <c r="BA46" i="51"/>
  <c r="BA45" i="51"/>
  <c r="BA40" i="51"/>
  <c r="BA41" i="51"/>
  <c r="BA43" i="51"/>
  <c r="BA44" i="51"/>
  <c r="BG46" i="51"/>
  <c r="BG42" i="51"/>
  <c r="BG41" i="51"/>
  <c r="BG40" i="51"/>
  <c r="BG45" i="51"/>
  <c r="BG43" i="51"/>
  <c r="BG44" i="51"/>
  <c r="AV46" i="51"/>
  <c r="AV42" i="51"/>
  <c r="AV40" i="51"/>
  <c r="AV45" i="51"/>
  <c r="AV41" i="51"/>
  <c r="AV43" i="51"/>
  <c r="AV44" i="51"/>
  <c r="BB46" i="51"/>
  <c r="BB42" i="51"/>
  <c r="BB43" i="51"/>
  <c r="BB41" i="51"/>
  <c r="BB45" i="51"/>
  <c r="BB40" i="51"/>
  <c r="BB44" i="51"/>
  <c r="BH46" i="51"/>
  <c r="BH42" i="51"/>
  <c r="BH45" i="51"/>
  <c r="BH41" i="51"/>
  <c r="BH40" i="51"/>
  <c r="BH43" i="51"/>
  <c r="BH44" i="51"/>
  <c r="AW46" i="51"/>
  <c r="AW42" i="51"/>
  <c r="AW45" i="51"/>
  <c r="AW43" i="51"/>
  <c r="AW41" i="51"/>
  <c r="AW40" i="51"/>
  <c r="AW44" i="51"/>
  <c r="BC46" i="51"/>
  <c r="BC42" i="51"/>
  <c r="BC43" i="51"/>
  <c r="BC45" i="51"/>
  <c r="BC41" i="51"/>
  <c r="BC40" i="51"/>
  <c r="BC44" i="51"/>
  <c r="BI46" i="51"/>
  <c r="BI42" i="51"/>
  <c r="BI41" i="51"/>
  <c r="BI40" i="51"/>
  <c r="BI43" i="51"/>
  <c r="BI45" i="51"/>
  <c r="BI44" i="51"/>
  <c r="P37" i="51"/>
  <c r="P26" i="51"/>
  <c r="V37" i="51"/>
  <c r="V26" i="51"/>
  <c r="AB37" i="51"/>
  <c r="AB26" i="51"/>
  <c r="AH26" i="51"/>
  <c r="K37" i="51"/>
  <c r="Q26" i="51"/>
  <c r="Q37" i="51"/>
  <c r="W26" i="51"/>
  <c r="W37" i="51"/>
  <c r="AC26" i="51"/>
  <c r="AC37" i="51"/>
  <c r="AI26" i="51"/>
  <c r="L37" i="51"/>
  <c r="R26" i="51"/>
  <c r="R37" i="51"/>
  <c r="X26" i="51"/>
  <c r="X37" i="51"/>
  <c r="AD26" i="51"/>
  <c r="AD37" i="51"/>
  <c r="M37" i="51"/>
  <c r="S26" i="51"/>
  <c r="S37" i="51"/>
  <c r="Y26" i="51"/>
  <c r="Y37" i="51"/>
  <c r="AE26" i="51"/>
  <c r="AE37" i="51"/>
  <c r="N26" i="51"/>
  <c r="N37" i="51"/>
  <c r="T26" i="51"/>
  <c r="T37" i="51"/>
  <c r="Z26" i="51"/>
  <c r="Z37" i="51"/>
  <c r="AF26" i="51"/>
  <c r="AF37" i="51"/>
  <c r="O37" i="51"/>
  <c r="O26" i="51"/>
  <c r="U37" i="51"/>
  <c r="U26" i="51"/>
  <c r="AA37" i="51"/>
  <c r="AA26" i="51"/>
  <c r="AG26" i="51"/>
  <c r="EM61" i="1"/>
  <c r="FW64" i="1"/>
  <c r="FW61" i="1"/>
  <c r="EM63" i="1"/>
  <c r="FA60" i="1"/>
  <c r="FA39" i="1"/>
  <c r="FA96" i="1"/>
  <c r="GH97" i="1"/>
  <c r="GH61" i="1"/>
  <c r="GH40" i="1"/>
  <c r="FY112" i="1"/>
  <c r="FY55" i="1"/>
  <c r="GR100" i="1"/>
  <c r="GR43" i="1"/>
  <c r="GQ100" i="1"/>
  <c r="GQ64" i="1"/>
  <c r="GQ43" i="1"/>
  <c r="FG64" i="1"/>
  <c r="FG100" i="1"/>
  <c r="FG43" i="1"/>
  <c r="FY96" i="1"/>
  <c r="FY39" i="1"/>
  <c r="FY60" i="1"/>
  <c r="EN97" i="1"/>
  <c r="EN61" i="1"/>
  <c r="EN40" i="1"/>
  <c r="GI97" i="1"/>
  <c r="GI61" i="1"/>
  <c r="GI40" i="1"/>
  <c r="GL63" i="1"/>
  <c r="GL42" i="1"/>
  <c r="GL99" i="1"/>
  <c r="GB113" i="1"/>
  <c r="GB56" i="1"/>
  <c r="EQ112" i="1"/>
  <c r="EQ55" i="1"/>
  <c r="EW112" i="1"/>
  <c r="EW55" i="1"/>
  <c r="FC112" i="1"/>
  <c r="FC55" i="1"/>
  <c r="FZ112" i="1"/>
  <c r="FZ55" i="1"/>
  <c r="GF112" i="1"/>
  <c r="GF55" i="1"/>
  <c r="GL112" i="1"/>
  <c r="GL55" i="1"/>
  <c r="FF100" i="1"/>
  <c r="FF64" i="1"/>
  <c r="FF43" i="1"/>
  <c r="GJ96" i="1"/>
  <c r="GJ60" i="1"/>
  <c r="GJ39" i="1"/>
  <c r="EY61" i="1"/>
  <c r="EY97" i="1"/>
  <c r="EY40" i="1"/>
  <c r="FB99" i="1"/>
  <c r="FB42" i="1"/>
  <c r="FB63" i="1"/>
  <c r="EN100" i="1"/>
  <c r="EN64" i="1"/>
  <c r="EN43" i="1"/>
  <c r="GO100" i="1"/>
  <c r="GO64" i="1"/>
  <c r="GO43" i="1"/>
  <c r="GG113" i="1"/>
  <c r="GG56" i="1"/>
  <c r="FB112" i="1"/>
  <c r="FB55" i="1"/>
  <c r="FH112" i="1"/>
  <c r="FH55" i="1"/>
  <c r="FB60" i="1"/>
  <c r="FB96" i="1"/>
  <c r="FB39" i="1"/>
  <c r="GK60" i="1"/>
  <c r="GK39" i="1"/>
  <c r="GK96" i="1"/>
  <c r="EQ99" i="1"/>
  <c r="EQ63" i="1"/>
  <c r="EQ42" i="1"/>
  <c r="FZ99" i="1"/>
  <c r="FZ63" i="1"/>
  <c r="FZ42" i="1"/>
  <c r="EU100" i="1"/>
  <c r="EU64" i="1"/>
  <c r="EU43" i="1"/>
  <c r="GD64" i="1"/>
  <c r="GD43" i="1"/>
  <c r="GD100" i="1"/>
  <c r="EY113" i="1"/>
  <c r="EY56" i="1"/>
  <c r="GN113" i="1"/>
  <c r="GN56" i="1"/>
  <c r="GQ61" i="1"/>
  <c r="GQ97" i="1"/>
  <c r="GQ40" i="1"/>
  <c r="GR112" i="1"/>
  <c r="GR55" i="1"/>
  <c r="GQ99" i="1"/>
  <c r="GQ63" i="1"/>
  <c r="GQ42" i="1"/>
  <c r="EQ96" i="1"/>
  <c r="EQ60" i="1"/>
  <c r="EQ39" i="1"/>
  <c r="GL60" i="1"/>
  <c r="GL39" i="1"/>
  <c r="GL96" i="1"/>
  <c r="FA97" i="1"/>
  <c r="FA61" i="1"/>
  <c r="FA40" i="1"/>
  <c r="GJ61" i="1"/>
  <c r="GJ40" i="1"/>
  <c r="GJ97" i="1"/>
  <c r="FD99" i="1"/>
  <c r="FD63" i="1"/>
  <c r="FD42" i="1"/>
  <c r="EP64" i="1"/>
  <c r="EP100" i="1"/>
  <c r="EP43" i="1"/>
  <c r="FY100" i="1"/>
  <c r="FY64" i="1"/>
  <c r="FY43" i="1"/>
  <c r="ET56" i="1"/>
  <c r="ET113" i="1"/>
  <c r="GO113" i="1"/>
  <c r="GO56" i="1"/>
  <c r="GA112" i="1"/>
  <c r="GA55" i="1"/>
  <c r="EU96" i="1"/>
  <c r="EU60" i="1"/>
  <c r="EU39" i="1"/>
  <c r="GN97" i="1"/>
  <c r="GN61" i="1"/>
  <c r="GN40" i="1"/>
  <c r="GK99" i="1"/>
  <c r="GK63" i="1"/>
  <c r="GK42" i="1"/>
  <c r="GC43" i="1"/>
  <c r="GC64" i="1"/>
  <c r="GC100" i="1"/>
  <c r="GA113" i="1"/>
  <c r="GA56" i="1"/>
  <c r="EV112" i="1"/>
  <c r="EV55" i="1"/>
  <c r="GR99" i="1"/>
  <c r="GR42" i="1"/>
  <c r="EV96" i="1"/>
  <c r="EV60" i="1"/>
  <c r="EV39" i="1"/>
  <c r="ET97" i="1"/>
  <c r="ET40" i="1"/>
  <c r="ET61" i="1"/>
  <c r="GC97" i="1"/>
  <c r="GC61" i="1"/>
  <c r="GC40" i="1"/>
  <c r="EW99" i="1"/>
  <c r="EW63" i="1"/>
  <c r="EW42" i="1"/>
  <c r="GF99" i="1"/>
  <c r="GF63" i="1"/>
  <c r="GF42" i="1"/>
  <c r="FA64" i="1"/>
  <c r="FA100" i="1"/>
  <c r="FA43" i="1"/>
  <c r="GJ100" i="1"/>
  <c r="GJ64" i="1"/>
  <c r="GJ43" i="1"/>
  <c r="ES113" i="1"/>
  <c r="ES56" i="1"/>
  <c r="GH113" i="1"/>
  <c r="GH56" i="1"/>
  <c r="FC96" i="1"/>
  <c r="FC60" i="1"/>
  <c r="FC39" i="1"/>
  <c r="GG99" i="1"/>
  <c r="GG63" i="1"/>
  <c r="GG42" i="1"/>
  <c r="GK64" i="1"/>
  <c r="GK43" i="1"/>
  <c r="GK100" i="1"/>
  <c r="GC113" i="1"/>
  <c r="GC56" i="1"/>
  <c r="EX112" i="1"/>
  <c r="EX55" i="1"/>
  <c r="FG97" i="1"/>
  <c r="FG40" i="1"/>
  <c r="FG61" i="1"/>
  <c r="FG99" i="1"/>
  <c r="FG63" i="1"/>
  <c r="FG42" i="1"/>
  <c r="GP112" i="1"/>
  <c r="GP55" i="1"/>
  <c r="GP97" i="1"/>
  <c r="GP61" i="1"/>
  <c r="GP40" i="1"/>
  <c r="GP100" i="1"/>
  <c r="GP64" i="1"/>
  <c r="GP43" i="1"/>
  <c r="GP99" i="1"/>
  <c r="GP42" i="1"/>
  <c r="GP63" i="1"/>
  <c r="ER96" i="1"/>
  <c r="ER60" i="1"/>
  <c r="ER39" i="1"/>
  <c r="EX96" i="1"/>
  <c r="EX39" i="1"/>
  <c r="EX60" i="1"/>
  <c r="FD96" i="1"/>
  <c r="FD60" i="1"/>
  <c r="FD39" i="1"/>
  <c r="GA96" i="1"/>
  <c r="GA60" i="1"/>
  <c r="GA39" i="1"/>
  <c r="GG96" i="1"/>
  <c r="GG60" i="1"/>
  <c r="GG39" i="1"/>
  <c r="GM60" i="1"/>
  <c r="GM96" i="1"/>
  <c r="GM39" i="1"/>
  <c r="EP97" i="1"/>
  <c r="EP61" i="1"/>
  <c r="EP40" i="1"/>
  <c r="EV97" i="1"/>
  <c r="EV40" i="1"/>
  <c r="EV61" i="1"/>
  <c r="FB97" i="1"/>
  <c r="FB61" i="1"/>
  <c r="FB40" i="1"/>
  <c r="FY61" i="1"/>
  <c r="FY97" i="1"/>
  <c r="FY40" i="1"/>
  <c r="GE97" i="1"/>
  <c r="GE61" i="1"/>
  <c r="GE40" i="1"/>
  <c r="GK61" i="1"/>
  <c r="GK97" i="1"/>
  <c r="GK40" i="1"/>
  <c r="ES63" i="1"/>
  <c r="ES99" i="1"/>
  <c r="ES42" i="1"/>
  <c r="EY63" i="1"/>
  <c r="EY99" i="1"/>
  <c r="EY42" i="1"/>
  <c r="FE99" i="1"/>
  <c r="FE63" i="1"/>
  <c r="FE42" i="1"/>
  <c r="GB99" i="1"/>
  <c r="GB63" i="1"/>
  <c r="GB42" i="1"/>
  <c r="GH99" i="1"/>
  <c r="GH63" i="1"/>
  <c r="GH42" i="1"/>
  <c r="GN99" i="1"/>
  <c r="GN63" i="1"/>
  <c r="GN42" i="1"/>
  <c r="EQ100" i="1"/>
  <c r="EQ64" i="1"/>
  <c r="EQ43" i="1"/>
  <c r="EW100" i="1"/>
  <c r="EW43" i="1"/>
  <c r="EW64" i="1"/>
  <c r="FC100" i="1"/>
  <c r="FC64" i="1"/>
  <c r="FC43" i="1"/>
  <c r="FZ100" i="1"/>
  <c r="FZ64" i="1"/>
  <c r="FZ43" i="1"/>
  <c r="GF100" i="1"/>
  <c r="GF64" i="1"/>
  <c r="GF43" i="1"/>
  <c r="GL100" i="1"/>
  <c r="GL64" i="1"/>
  <c r="GL43" i="1"/>
  <c r="EO113" i="1"/>
  <c r="EO56" i="1"/>
  <c r="EU56" i="1"/>
  <c r="EU113" i="1"/>
  <c r="FA113" i="1"/>
  <c r="FA56" i="1"/>
  <c r="FX113" i="1"/>
  <c r="FX56" i="1"/>
  <c r="GD113" i="1"/>
  <c r="GD56" i="1"/>
  <c r="GJ113" i="1"/>
  <c r="GJ56" i="1"/>
  <c r="ES112" i="1"/>
  <c r="ES55" i="1"/>
  <c r="EY112" i="1"/>
  <c r="EY55" i="1"/>
  <c r="FE112" i="1"/>
  <c r="FE55" i="1"/>
  <c r="GB112" i="1"/>
  <c r="GB55" i="1"/>
  <c r="GH112" i="1"/>
  <c r="GH55" i="1"/>
  <c r="GN112" i="1"/>
  <c r="GN55" i="1"/>
  <c r="FF97" i="1"/>
  <c r="FF40" i="1"/>
  <c r="FF61" i="1"/>
  <c r="FH113" i="1"/>
  <c r="FH56" i="1"/>
  <c r="GQ113" i="1"/>
  <c r="GQ56" i="1"/>
  <c r="EO60" i="1"/>
  <c r="EO39" i="1"/>
  <c r="EO96" i="1"/>
  <c r="GD96" i="1"/>
  <c r="GD39" i="1"/>
  <c r="GD60" i="1"/>
  <c r="ES61" i="1"/>
  <c r="ES97" i="1"/>
  <c r="ES40" i="1"/>
  <c r="GB97" i="1"/>
  <c r="GB61" i="1"/>
  <c r="GB40" i="1"/>
  <c r="EV99" i="1"/>
  <c r="EV63" i="1"/>
  <c r="EV42" i="1"/>
  <c r="FY99" i="1"/>
  <c r="FY63" i="1"/>
  <c r="FY42" i="1"/>
  <c r="EZ100" i="1"/>
  <c r="EZ64" i="1"/>
  <c r="EZ43" i="1"/>
  <c r="FD113" i="1"/>
  <c r="FD56" i="1"/>
  <c r="EP112" i="1"/>
  <c r="EP55" i="1"/>
  <c r="GE112" i="1"/>
  <c r="GE55" i="1"/>
  <c r="GP113" i="1"/>
  <c r="GP56" i="1"/>
  <c r="EP60" i="1"/>
  <c r="EP96" i="1"/>
  <c r="EP39" i="1"/>
  <c r="GE60" i="1"/>
  <c r="GE96" i="1"/>
  <c r="GE39" i="1"/>
  <c r="EZ97" i="1"/>
  <c r="EZ61" i="1"/>
  <c r="EZ40" i="1"/>
  <c r="GO97" i="1"/>
  <c r="GO61" i="1"/>
  <c r="GO40" i="1"/>
  <c r="FC99" i="1"/>
  <c r="FC63" i="1"/>
  <c r="FC42" i="1"/>
  <c r="EO64" i="1"/>
  <c r="EO100" i="1"/>
  <c r="EO43" i="1"/>
  <c r="FX100" i="1"/>
  <c r="FX64" i="1"/>
  <c r="FX43" i="1"/>
  <c r="FE113" i="1"/>
  <c r="FE56" i="1"/>
  <c r="GQ112" i="1"/>
  <c r="GQ55" i="1"/>
  <c r="EW96" i="1"/>
  <c r="EW60" i="1"/>
  <c r="EW39" i="1"/>
  <c r="GF96" i="1"/>
  <c r="GF60" i="1"/>
  <c r="GF39" i="1"/>
  <c r="EU97" i="1"/>
  <c r="EU40" i="1"/>
  <c r="EU61" i="1"/>
  <c r="FX61" i="1"/>
  <c r="FX40" i="1"/>
  <c r="FX97" i="1"/>
  <c r="ER63" i="1"/>
  <c r="ER99" i="1"/>
  <c r="ER42" i="1"/>
  <c r="GA63" i="1"/>
  <c r="GA99" i="1"/>
  <c r="GA42" i="1"/>
  <c r="EV100" i="1"/>
  <c r="EV64" i="1"/>
  <c r="EV43" i="1"/>
  <c r="GE64" i="1"/>
  <c r="GE100" i="1"/>
  <c r="GE43" i="1"/>
  <c r="EN113" i="1"/>
  <c r="EN56" i="1"/>
  <c r="EZ113" i="1"/>
  <c r="EZ56" i="1"/>
  <c r="GI113" i="1"/>
  <c r="GI56" i="1"/>
  <c r="ER112" i="1"/>
  <c r="ER55" i="1"/>
  <c r="FD112" i="1"/>
  <c r="FD55" i="1"/>
  <c r="GM112" i="1"/>
  <c r="GM55" i="1"/>
  <c r="FF99" i="1"/>
  <c r="FF42" i="1"/>
  <c r="FF63" i="1"/>
  <c r="GR97" i="1"/>
  <c r="GR40" i="1"/>
  <c r="FH97" i="1"/>
  <c r="FH40" i="1"/>
  <c r="FH61" i="1"/>
  <c r="FH64" i="1"/>
  <c r="FH100" i="1"/>
  <c r="FH43" i="1"/>
  <c r="GQ96" i="1"/>
  <c r="GQ39" i="1"/>
  <c r="GQ60" i="1"/>
  <c r="FG60" i="1"/>
  <c r="FG96" i="1"/>
  <c r="FG39" i="1"/>
  <c r="FG55" i="1"/>
  <c r="FG112" i="1"/>
  <c r="GP96" i="1"/>
  <c r="GP60" i="1"/>
  <c r="GP39" i="1"/>
  <c r="ES96" i="1"/>
  <c r="ES60" i="1"/>
  <c r="ES39" i="1"/>
  <c r="EY96" i="1"/>
  <c r="EY39" i="1"/>
  <c r="EY60" i="1"/>
  <c r="FE96" i="1"/>
  <c r="FE60" i="1"/>
  <c r="FE39" i="1"/>
  <c r="GB96" i="1"/>
  <c r="GB60" i="1"/>
  <c r="GB39" i="1"/>
  <c r="GH96" i="1"/>
  <c r="GH60" i="1"/>
  <c r="GH39" i="1"/>
  <c r="GN60" i="1"/>
  <c r="GN96" i="1"/>
  <c r="GN39" i="1"/>
  <c r="EQ97" i="1"/>
  <c r="EQ61" i="1"/>
  <c r="EQ40" i="1"/>
  <c r="EW97" i="1"/>
  <c r="EW61" i="1"/>
  <c r="EW40" i="1"/>
  <c r="BM96" i="2"/>
  <c r="FC97" i="1"/>
  <c r="FC61" i="1"/>
  <c r="FC40" i="1"/>
  <c r="FZ97" i="1"/>
  <c r="FZ61" i="1"/>
  <c r="FZ40" i="1"/>
  <c r="GF97" i="1"/>
  <c r="GF61" i="1"/>
  <c r="GF40" i="1"/>
  <c r="GL97" i="1"/>
  <c r="GL61" i="1"/>
  <c r="GL40" i="1"/>
  <c r="EN99" i="1"/>
  <c r="EN63" i="1"/>
  <c r="EN42" i="1"/>
  <c r="ET99" i="1"/>
  <c r="ET63" i="1"/>
  <c r="ET42" i="1"/>
  <c r="EZ99" i="1"/>
  <c r="EZ42" i="1"/>
  <c r="EZ63" i="1"/>
  <c r="FW63" i="1"/>
  <c r="GC63" i="1"/>
  <c r="GC99" i="1"/>
  <c r="GC42" i="1"/>
  <c r="GI99" i="1"/>
  <c r="GI63" i="1"/>
  <c r="GI42" i="1"/>
  <c r="GO63" i="1"/>
  <c r="GO99" i="1"/>
  <c r="GO42" i="1"/>
  <c r="ER100" i="1"/>
  <c r="ER64" i="1"/>
  <c r="ER43" i="1"/>
  <c r="EX100" i="1"/>
  <c r="EX43" i="1"/>
  <c r="EX64" i="1"/>
  <c r="FD100" i="1"/>
  <c r="FD64" i="1"/>
  <c r="FD43" i="1"/>
  <c r="GA100" i="1"/>
  <c r="GA64" i="1"/>
  <c r="GA43" i="1"/>
  <c r="GG64" i="1"/>
  <c r="GG100" i="1"/>
  <c r="GG43" i="1"/>
  <c r="GM64" i="1"/>
  <c r="GM100" i="1"/>
  <c r="GM43" i="1"/>
  <c r="EP113" i="1"/>
  <c r="EP56" i="1"/>
  <c r="EV113" i="1"/>
  <c r="EV56" i="1"/>
  <c r="FB113" i="1"/>
  <c r="FB56" i="1"/>
  <c r="FY113" i="1"/>
  <c r="FY56" i="1"/>
  <c r="GE113" i="1"/>
  <c r="GE56" i="1"/>
  <c r="GK113" i="1"/>
  <c r="GK56" i="1"/>
  <c r="EN112" i="1"/>
  <c r="EN55" i="1"/>
  <c r="ET112" i="1"/>
  <c r="ET55" i="1"/>
  <c r="EZ112" i="1"/>
  <c r="EZ55" i="1"/>
  <c r="GC112" i="1"/>
  <c r="GC55" i="1"/>
  <c r="GI112" i="1"/>
  <c r="GI55" i="1"/>
  <c r="GO112" i="1"/>
  <c r="GO55" i="1"/>
  <c r="FF112" i="1"/>
  <c r="FF55" i="1"/>
  <c r="FF96" i="1"/>
  <c r="FF60" i="1"/>
  <c r="FF39" i="1"/>
  <c r="FH60" i="1"/>
  <c r="FH96" i="1"/>
  <c r="FH39" i="1"/>
  <c r="FX60" i="1"/>
  <c r="FX39" i="1"/>
  <c r="FX96" i="1"/>
  <c r="FE97" i="1"/>
  <c r="FE61" i="1"/>
  <c r="FE40" i="1"/>
  <c r="EP99" i="1"/>
  <c r="EP42" i="1"/>
  <c r="EP63" i="1"/>
  <c r="GE99" i="1"/>
  <c r="GE63" i="1"/>
  <c r="GE42" i="1"/>
  <c r="ET100" i="1"/>
  <c r="ET64" i="1"/>
  <c r="ET43" i="1"/>
  <c r="GI100" i="1"/>
  <c r="GI64" i="1"/>
  <c r="GI43" i="1"/>
  <c r="ER113" i="1"/>
  <c r="ER56" i="1"/>
  <c r="EX113" i="1"/>
  <c r="EX56" i="1"/>
  <c r="GM113" i="1"/>
  <c r="GM56" i="1"/>
  <c r="GK55" i="1"/>
  <c r="GK112" i="1"/>
  <c r="FZ96" i="1"/>
  <c r="FZ39" i="1"/>
  <c r="FZ60" i="1"/>
  <c r="EO97" i="1"/>
  <c r="EO61" i="1"/>
  <c r="EO40" i="1"/>
  <c r="GD97" i="1"/>
  <c r="GD61" i="1"/>
  <c r="GD40" i="1"/>
  <c r="EX63" i="1"/>
  <c r="EX99" i="1"/>
  <c r="EX42" i="1"/>
  <c r="GM63" i="1"/>
  <c r="GM99" i="1"/>
  <c r="GM42" i="1"/>
  <c r="FB64" i="1"/>
  <c r="FB100" i="1"/>
  <c r="FB43" i="1"/>
  <c r="GG112" i="1"/>
  <c r="GG55" i="1"/>
  <c r="FH99" i="1"/>
  <c r="FH63" i="1"/>
  <c r="FH42" i="1"/>
  <c r="GR113" i="1"/>
  <c r="GR56" i="1"/>
  <c r="FG113" i="1"/>
  <c r="FG56" i="1"/>
  <c r="EN96" i="1"/>
  <c r="EN60" i="1"/>
  <c r="EN39" i="1"/>
  <c r="ET96" i="1"/>
  <c r="ET60" i="1"/>
  <c r="ET39" i="1"/>
  <c r="EZ96" i="1"/>
  <c r="EZ60" i="1"/>
  <c r="EZ39" i="1"/>
  <c r="GC60" i="1"/>
  <c r="GC39" i="1"/>
  <c r="GC96" i="1"/>
  <c r="GI96" i="1"/>
  <c r="GI60" i="1"/>
  <c r="GI39" i="1"/>
  <c r="GO60" i="1"/>
  <c r="GO96" i="1"/>
  <c r="GO39" i="1"/>
  <c r="ER61" i="1"/>
  <c r="ER97" i="1"/>
  <c r="ER40" i="1"/>
  <c r="EX61" i="1"/>
  <c r="EX97" i="1"/>
  <c r="EX40" i="1"/>
  <c r="FD97" i="1"/>
  <c r="FD61" i="1"/>
  <c r="FD40" i="1"/>
  <c r="GA61" i="1"/>
  <c r="GA97" i="1"/>
  <c r="GA40" i="1"/>
  <c r="GG97" i="1"/>
  <c r="GG61" i="1"/>
  <c r="GG40" i="1"/>
  <c r="GM61" i="1"/>
  <c r="GM97" i="1"/>
  <c r="GM40" i="1"/>
  <c r="EO99" i="1"/>
  <c r="EO42" i="1"/>
  <c r="EO63" i="1"/>
  <c r="EU99" i="1"/>
  <c r="EU63" i="1"/>
  <c r="EU42" i="1"/>
  <c r="FA99" i="1"/>
  <c r="FA63" i="1"/>
  <c r="FA42" i="1"/>
  <c r="FX99" i="1"/>
  <c r="FX63" i="1"/>
  <c r="FX42" i="1"/>
  <c r="GD99" i="1"/>
  <c r="GD63" i="1"/>
  <c r="GD42" i="1"/>
  <c r="GJ99" i="1"/>
  <c r="GJ63" i="1"/>
  <c r="GJ42" i="1"/>
  <c r="EM64" i="1"/>
  <c r="ES100" i="1"/>
  <c r="ES64" i="1"/>
  <c r="ES43" i="1"/>
  <c r="EY100" i="1"/>
  <c r="EY43" i="1"/>
  <c r="EY64" i="1"/>
  <c r="FE100" i="1"/>
  <c r="FE43" i="1"/>
  <c r="FE64" i="1"/>
  <c r="GB100" i="1"/>
  <c r="GB64" i="1"/>
  <c r="GB43" i="1"/>
  <c r="GH100" i="1"/>
  <c r="GH64" i="1"/>
  <c r="GH43" i="1"/>
  <c r="GN100" i="1"/>
  <c r="GN64" i="1"/>
  <c r="GN43" i="1"/>
  <c r="EQ113" i="1"/>
  <c r="EQ56" i="1"/>
  <c r="EW113" i="1"/>
  <c r="EW56" i="1"/>
  <c r="FC113" i="1"/>
  <c r="FC56" i="1"/>
  <c r="FZ113" i="1"/>
  <c r="FZ56" i="1"/>
  <c r="GF113" i="1"/>
  <c r="GF56" i="1"/>
  <c r="GL113" i="1"/>
  <c r="GL56" i="1"/>
  <c r="EO55" i="1"/>
  <c r="EO112" i="1"/>
  <c r="EU112" i="1"/>
  <c r="EU55" i="1"/>
  <c r="FA55" i="1"/>
  <c r="FA112" i="1"/>
  <c r="FX112" i="1"/>
  <c r="FX55" i="1"/>
  <c r="GD112" i="1"/>
  <c r="GD55" i="1"/>
  <c r="GJ55" i="1"/>
  <c r="GJ112" i="1"/>
  <c r="FF113" i="1"/>
  <c r="FF56" i="1"/>
  <c r="CB119" i="1"/>
  <c r="CI122" i="1"/>
  <c r="FO123" i="1" s="1"/>
  <c r="C124" i="1"/>
  <c r="G119" i="1"/>
  <c r="M119" i="1"/>
  <c r="S119" i="1"/>
  <c r="Y119" i="1"/>
  <c r="AE119" i="1"/>
  <c r="AK119" i="1"/>
  <c r="AQ119" i="1"/>
  <c r="AW119" i="1"/>
  <c r="BC119" i="1"/>
  <c r="BO119" i="1"/>
  <c r="BU119" i="1"/>
  <c r="CA119" i="1"/>
  <c r="F122" i="1"/>
  <c r="L122" i="1"/>
  <c r="R122" i="1"/>
  <c r="X122" i="1"/>
  <c r="AP122" i="1"/>
  <c r="AV122" i="1"/>
  <c r="BB122" i="1"/>
  <c r="BN122" i="1"/>
  <c r="BT122" i="1"/>
  <c r="FP119" i="1" s="1"/>
  <c r="AX124" i="1"/>
  <c r="BR122" i="1"/>
  <c r="FN119" i="1" s="1"/>
  <c r="BX122" i="1"/>
  <c r="FP120" i="1" s="1"/>
  <c r="AV124" i="1"/>
  <c r="BB124" i="1"/>
  <c r="BZ122" i="1"/>
  <c r="FN121" i="1" s="1"/>
  <c r="D119" i="1"/>
  <c r="J119" i="1"/>
  <c r="P119" i="1"/>
  <c r="V119" i="1"/>
  <c r="AB119" i="1"/>
  <c r="AH119" i="1"/>
  <c r="AN119" i="1"/>
  <c r="AT119" i="1"/>
  <c r="AZ119" i="1"/>
  <c r="BF119" i="1"/>
  <c r="BL119" i="1"/>
  <c r="BR119" i="1"/>
  <c r="BX119" i="1"/>
  <c r="C122" i="1"/>
  <c r="I122" i="1"/>
  <c r="O122" i="1"/>
  <c r="U122" i="1"/>
  <c r="AA122" i="1"/>
  <c r="AG122" i="1"/>
  <c r="AM122" i="1"/>
  <c r="AS122" i="1"/>
  <c r="AY122" i="1"/>
  <c r="BE122" i="1"/>
  <c r="BK122" i="1"/>
  <c r="BQ122" i="1"/>
  <c r="BW122" i="1"/>
  <c r="FO120" i="1" s="1"/>
  <c r="CF122" i="1"/>
  <c r="FP122" i="1" s="1"/>
  <c r="F119" i="1"/>
  <c r="L119" i="1"/>
  <c r="R119" i="1"/>
  <c r="X119" i="1"/>
  <c r="AD119" i="1"/>
  <c r="AJ119" i="1"/>
  <c r="AP119" i="1"/>
  <c r="AV119" i="1"/>
  <c r="BB119" i="1"/>
  <c r="BH119" i="1"/>
  <c r="BN119" i="1"/>
  <c r="BT119" i="1"/>
  <c r="BZ119" i="1"/>
  <c r="E122" i="1"/>
  <c r="K122" i="1"/>
  <c r="Q122" i="1"/>
  <c r="W122" i="1"/>
  <c r="AC122" i="1"/>
  <c r="AI122" i="1"/>
  <c r="AO122" i="1"/>
  <c r="AU122" i="1"/>
  <c r="BA122" i="1"/>
  <c r="BG122" i="1"/>
  <c r="BM122" i="1"/>
  <c r="CJ122" i="1"/>
  <c r="FP123" i="1" s="1"/>
  <c r="BI119" i="1"/>
  <c r="AD122" i="1"/>
  <c r="AJ122" i="1"/>
  <c r="BH122" i="1"/>
  <c r="CE101" i="1"/>
  <c r="CE122" i="1"/>
  <c r="FO122" i="1" s="1"/>
  <c r="C119" i="1"/>
  <c r="I98" i="1"/>
  <c r="I119" i="1"/>
  <c r="O98" i="1"/>
  <c r="O119" i="1"/>
  <c r="U98" i="1"/>
  <c r="U119" i="1"/>
  <c r="AA98" i="1"/>
  <c r="AA119" i="1"/>
  <c r="AG98" i="1"/>
  <c r="AG119" i="1"/>
  <c r="AM98" i="1"/>
  <c r="AM119" i="1"/>
  <c r="AS98" i="1"/>
  <c r="AS119" i="1"/>
  <c r="AY98" i="1"/>
  <c r="AY119" i="1"/>
  <c r="BE98" i="1"/>
  <c r="BE119" i="1"/>
  <c r="BK98" i="1"/>
  <c r="BK119" i="1"/>
  <c r="BQ98" i="1"/>
  <c r="BQ119" i="1"/>
  <c r="BW98" i="1"/>
  <c r="BW119" i="1"/>
  <c r="H101" i="1"/>
  <c r="H122" i="1"/>
  <c r="N101" i="1"/>
  <c r="N122" i="1"/>
  <c r="T101" i="1"/>
  <c r="T122" i="1"/>
  <c r="Z101" i="1"/>
  <c r="Z122" i="1"/>
  <c r="AF101" i="1"/>
  <c r="AF122" i="1"/>
  <c r="AL101" i="1"/>
  <c r="AL122" i="1"/>
  <c r="AR101" i="1"/>
  <c r="AR122" i="1"/>
  <c r="AX101" i="1"/>
  <c r="AX122" i="1"/>
  <c r="BD101" i="1"/>
  <c r="BD122" i="1"/>
  <c r="BJ101" i="1"/>
  <c r="BJ122" i="1"/>
  <c r="BP101" i="1"/>
  <c r="BP122" i="1"/>
  <c r="BV101" i="1"/>
  <c r="BV122" i="1"/>
  <c r="FN120" i="1" s="1"/>
  <c r="CF98" i="1"/>
  <c r="CF119" i="1"/>
  <c r="CH103" i="1"/>
  <c r="V103" i="1"/>
  <c r="AT103" i="1"/>
  <c r="AZ103" i="1"/>
  <c r="AZ124" i="1"/>
  <c r="BR103" i="1"/>
  <c r="CJ119" i="1"/>
  <c r="CK101" i="1"/>
  <c r="CK122" i="1"/>
  <c r="FQ123" i="1" s="1"/>
  <c r="BZ103" i="1"/>
  <c r="AU124" i="1"/>
  <c r="BA124" i="1"/>
  <c r="CL122" i="1"/>
  <c r="FN124" i="1" s="1"/>
  <c r="CM122" i="1"/>
  <c r="FO124" i="1" s="1"/>
  <c r="E119" i="1"/>
  <c r="K119" i="1"/>
  <c r="Q119" i="1"/>
  <c r="W119" i="1"/>
  <c r="AC119" i="1"/>
  <c r="AI119" i="1"/>
  <c r="AO119" i="1"/>
  <c r="AU119" i="1"/>
  <c r="BA119" i="1"/>
  <c r="BG119" i="1"/>
  <c r="BM119" i="1"/>
  <c r="BS119" i="1"/>
  <c r="BY119" i="1"/>
  <c r="D122" i="1"/>
  <c r="J101" i="1"/>
  <c r="J122" i="1"/>
  <c r="P101" i="1"/>
  <c r="P122" i="1"/>
  <c r="V101" i="1"/>
  <c r="V122" i="1"/>
  <c r="AB122" i="1"/>
  <c r="AH101" i="1"/>
  <c r="AH122" i="1"/>
  <c r="AN101" i="1"/>
  <c r="AN122" i="1"/>
  <c r="AT101" i="1"/>
  <c r="AT122" i="1"/>
  <c r="AZ101" i="1"/>
  <c r="AZ122" i="1"/>
  <c r="BF101" i="1"/>
  <c r="BF122" i="1"/>
  <c r="BL101" i="1"/>
  <c r="BL122" i="1"/>
  <c r="CD119" i="1"/>
  <c r="CM124" i="1"/>
  <c r="CN124" i="1"/>
  <c r="CI98" i="1"/>
  <c r="CI119" i="1"/>
  <c r="BS122" i="1"/>
  <c r="FO119" i="1" s="1"/>
  <c r="BY122" i="1"/>
  <c r="FQ120" i="1" s="1"/>
  <c r="CD122" i="1"/>
  <c r="FN122" i="1" s="1"/>
  <c r="CG122" i="1"/>
  <c r="FQ122" i="1" s="1"/>
  <c r="AW124" i="1"/>
  <c r="CK98" i="1"/>
  <c r="CK119" i="1"/>
  <c r="CC122" i="1"/>
  <c r="FQ121" i="1" s="1"/>
  <c r="H119" i="1"/>
  <c r="N119" i="1"/>
  <c r="T119" i="1"/>
  <c r="Z119" i="1"/>
  <c r="AF119" i="1"/>
  <c r="AL119" i="1"/>
  <c r="AR119" i="1"/>
  <c r="AX119" i="1"/>
  <c r="BD119" i="1"/>
  <c r="BJ119" i="1"/>
  <c r="BP119" i="1"/>
  <c r="BV119" i="1"/>
  <c r="G122" i="1"/>
  <c r="M122" i="1"/>
  <c r="S122" i="1"/>
  <c r="Y122" i="1"/>
  <c r="AE122" i="1"/>
  <c r="AK122" i="1"/>
  <c r="AQ122" i="1"/>
  <c r="AW122" i="1"/>
  <c r="BC122" i="1"/>
  <c r="BI122" i="1"/>
  <c r="BO122" i="1"/>
  <c r="BU122" i="1"/>
  <c r="FQ119" i="1" s="1"/>
  <c r="CA122" i="1"/>
  <c r="FO121" i="1" s="1"/>
  <c r="CC119" i="1"/>
  <c r="CE119" i="1"/>
  <c r="CG119" i="1"/>
  <c r="AY124" i="1"/>
  <c r="CB101" i="1"/>
  <c r="BR101" i="1"/>
  <c r="BX101" i="1"/>
  <c r="AP103" i="1"/>
  <c r="F98" i="1"/>
  <c r="L98" i="1"/>
  <c r="R98" i="1"/>
  <c r="X98" i="1"/>
  <c r="AD98" i="1"/>
  <c r="AJ98" i="1"/>
  <c r="AP98" i="1"/>
  <c r="AV98" i="1"/>
  <c r="BB98" i="1"/>
  <c r="BH98" i="1"/>
  <c r="BN98" i="1"/>
  <c r="BT98" i="1"/>
  <c r="BZ98" i="1"/>
  <c r="K101" i="1"/>
  <c r="Q101" i="1"/>
  <c r="W101" i="1"/>
  <c r="AC101" i="1"/>
  <c r="AI101" i="1"/>
  <c r="AO101" i="1"/>
  <c r="AU101" i="1"/>
  <c r="BA101" i="1"/>
  <c r="BG101" i="1"/>
  <c r="BM101" i="1"/>
  <c r="BS101" i="1"/>
  <c r="CB98" i="1"/>
  <c r="BN103" i="1"/>
  <c r="J98" i="1"/>
  <c r="P98" i="1"/>
  <c r="V98" i="1"/>
  <c r="AB98" i="1"/>
  <c r="AH98" i="1"/>
  <c r="AN98" i="1"/>
  <c r="AT98" i="1"/>
  <c r="AZ98" i="1"/>
  <c r="BF98" i="1"/>
  <c r="BL98" i="1"/>
  <c r="BR98" i="1"/>
  <c r="BX98" i="1"/>
  <c r="I101" i="1"/>
  <c r="O101" i="1"/>
  <c r="U101" i="1"/>
  <c r="AA101" i="1"/>
  <c r="AG101" i="1"/>
  <c r="AM101" i="1"/>
  <c r="AS101" i="1"/>
  <c r="AY101" i="1"/>
  <c r="BE101" i="1"/>
  <c r="BK101" i="1"/>
  <c r="BQ101" i="1"/>
  <c r="BW101" i="1"/>
  <c r="BA103" i="1"/>
  <c r="CF101" i="1"/>
  <c r="BB103" i="1"/>
  <c r="BY101" i="1"/>
  <c r="J103" i="1"/>
  <c r="AL103" i="1"/>
  <c r="BJ103" i="1"/>
  <c r="CJ98" i="1"/>
  <c r="CH101" i="1"/>
  <c r="Z103" i="1"/>
  <c r="BV103" i="1"/>
  <c r="CL101" i="1"/>
  <c r="CI101" i="1"/>
  <c r="CM101" i="1"/>
  <c r="K98" i="1"/>
  <c r="Q98" i="1"/>
  <c r="W98" i="1"/>
  <c r="AC98" i="1"/>
  <c r="AI98" i="1"/>
  <c r="AO98" i="1"/>
  <c r="AU98" i="1"/>
  <c r="BA98" i="1"/>
  <c r="BG98" i="1"/>
  <c r="BM98" i="1"/>
  <c r="BS98" i="1"/>
  <c r="BY98" i="1"/>
  <c r="AB101" i="1"/>
  <c r="CD98" i="1"/>
  <c r="AD103" i="1"/>
  <c r="CL103" i="1"/>
  <c r="CD101" i="1"/>
  <c r="CG101" i="1"/>
  <c r="F103" i="1"/>
  <c r="AH103" i="1"/>
  <c r="BF103" i="1"/>
  <c r="CJ101" i="1"/>
  <c r="CN101" i="1"/>
  <c r="G98" i="1"/>
  <c r="M98" i="1"/>
  <c r="S98" i="1"/>
  <c r="Y98" i="1"/>
  <c r="AE98" i="1"/>
  <c r="AK98" i="1"/>
  <c r="AQ98" i="1"/>
  <c r="AW98" i="1"/>
  <c r="BC98" i="1"/>
  <c r="BI98" i="1"/>
  <c r="BO98" i="1"/>
  <c r="BU98" i="1"/>
  <c r="CA98" i="1"/>
  <c r="F101" i="1"/>
  <c r="L101" i="1"/>
  <c r="R101" i="1"/>
  <c r="X101" i="1"/>
  <c r="AD101" i="1"/>
  <c r="AJ101" i="1"/>
  <c r="AP101" i="1"/>
  <c r="AV101" i="1"/>
  <c r="BB101" i="1"/>
  <c r="BH101" i="1"/>
  <c r="BN101" i="1"/>
  <c r="BT101" i="1"/>
  <c r="BZ101" i="1"/>
  <c r="CC101" i="1"/>
  <c r="AX103" i="1"/>
  <c r="H98" i="1"/>
  <c r="N98" i="1"/>
  <c r="T98" i="1"/>
  <c r="Z98" i="1"/>
  <c r="AF98" i="1"/>
  <c r="AL98" i="1"/>
  <c r="AR98" i="1"/>
  <c r="AX98" i="1"/>
  <c r="BD98" i="1"/>
  <c r="BJ98" i="1"/>
  <c r="BP98" i="1"/>
  <c r="BV98" i="1"/>
  <c r="G101" i="1"/>
  <c r="M101" i="1"/>
  <c r="S101" i="1"/>
  <c r="Y101" i="1"/>
  <c r="AE101" i="1"/>
  <c r="AK101" i="1"/>
  <c r="AQ101" i="1"/>
  <c r="AW101" i="1"/>
  <c r="BC101" i="1"/>
  <c r="BI101" i="1"/>
  <c r="BO101" i="1"/>
  <c r="BU101" i="1"/>
  <c r="CA101" i="1"/>
  <c r="CC98" i="1"/>
  <c r="CE98" i="1"/>
  <c r="CG98" i="1"/>
  <c r="CD103" i="1"/>
  <c r="AY103" i="1"/>
  <c r="CH77" i="1"/>
  <c r="CH98" i="1"/>
  <c r="GO22" i="1"/>
  <c r="FB36" i="6"/>
  <c r="E77" i="1"/>
  <c r="J80" i="1"/>
  <c r="P80" i="1"/>
  <c r="V80" i="1"/>
  <c r="AB80" i="1"/>
  <c r="AH80" i="1"/>
  <c r="CE18" i="1"/>
  <c r="C67" i="1"/>
  <c r="C82" i="1"/>
  <c r="I62" i="1"/>
  <c r="I59" i="51" s="1"/>
  <c r="I77" i="1"/>
  <c r="AG62" i="1"/>
  <c r="AG59" i="51" s="1"/>
  <c r="AG77" i="1"/>
  <c r="BE62" i="1"/>
  <c r="BE59" i="51" s="1"/>
  <c r="BE77" i="1"/>
  <c r="Z65" i="1"/>
  <c r="Z80" i="1"/>
  <c r="AL65" i="1"/>
  <c r="AL80" i="1"/>
  <c r="BJ65" i="1"/>
  <c r="BJ80" i="1"/>
  <c r="L67" i="1"/>
  <c r="CF62" i="1"/>
  <c r="CF59" i="51" s="1"/>
  <c r="CF77" i="1"/>
  <c r="AZ67" i="1"/>
  <c r="AZ82" i="1"/>
  <c r="CK62" i="1"/>
  <c r="CK59" i="51" s="1"/>
  <c r="CK77" i="1"/>
  <c r="CJ65" i="1"/>
  <c r="CJ80" i="1"/>
  <c r="D77" i="1"/>
  <c r="J77" i="1"/>
  <c r="P62" i="1"/>
  <c r="P59" i="51" s="1"/>
  <c r="P77" i="1"/>
  <c r="V62" i="1"/>
  <c r="V59" i="51" s="1"/>
  <c r="V77" i="1"/>
  <c r="AB77" i="1"/>
  <c r="AH77" i="1"/>
  <c r="AN77" i="1"/>
  <c r="AT77" i="1"/>
  <c r="AZ77" i="1"/>
  <c r="BF62" i="1"/>
  <c r="BF59" i="51" s="1"/>
  <c r="BF77" i="1"/>
  <c r="BL62" i="1"/>
  <c r="BL59" i="51" s="1"/>
  <c r="BL77" i="1"/>
  <c r="BR62" i="1"/>
  <c r="BR59" i="51" s="1"/>
  <c r="BR77" i="1"/>
  <c r="BX77" i="1"/>
  <c r="C65" i="1"/>
  <c r="C80" i="1"/>
  <c r="I80" i="1"/>
  <c r="O80" i="1"/>
  <c r="U80" i="1"/>
  <c r="AA80" i="1"/>
  <c r="AG80" i="1"/>
  <c r="AM80" i="1"/>
  <c r="AS80" i="1"/>
  <c r="AY80" i="1"/>
  <c r="BE80" i="1"/>
  <c r="BK80" i="1"/>
  <c r="BQ80" i="1"/>
  <c r="BW80" i="1"/>
  <c r="CH65" i="1"/>
  <c r="CH80" i="1"/>
  <c r="Z67" i="1"/>
  <c r="AU67" i="1"/>
  <c r="AU82" i="1"/>
  <c r="BA82" i="1"/>
  <c r="BV67" i="1"/>
  <c r="CL80" i="1"/>
  <c r="CM80" i="1"/>
  <c r="AA62" i="1"/>
  <c r="AA59" i="51" s="1"/>
  <c r="AA77" i="1"/>
  <c r="AS62" i="1"/>
  <c r="AS59" i="51" s="1"/>
  <c r="AS77" i="1"/>
  <c r="BW62" i="1"/>
  <c r="BW59" i="51" s="1"/>
  <c r="BW77" i="1"/>
  <c r="H65" i="1"/>
  <c r="H80" i="1"/>
  <c r="BD65" i="1"/>
  <c r="BD80" i="1"/>
  <c r="CF65" i="1"/>
  <c r="CF80" i="1"/>
  <c r="K62" i="1"/>
  <c r="K59" i="51" s="1"/>
  <c r="K77" i="1"/>
  <c r="Q62" i="1"/>
  <c r="Q59" i="51" s="1"/>
  <c r="Q77" i="1"/>
  <c r="W62" i="1"/>
  <c r="W59" i="51" s="1"/>
  <c r="W77" i="1"/>
  <c r="AC62" i="1"/>
  <c r="AC59" i="51" s="1"/>
  <c r="AC77" i="1"/>
  <c r="AI62" i="1"/>
  <c r="AI59" i="51" s="1"/>
  <c r="AI77" i="1"/>
  <c r="AO62" i="1"/>
  <c r="AO59" i="51" s="1"/>
  <c r="AO77" i="1"/>
  <c r="AU62" i="1"/>
  <c r="AU59" i="51" s="1"/>
  <c r="AU77" i="1"/>
  <c r="BA62" i="1"/>
  <c r="BA59" i="51" s="1"/>
  <c r="BA77" i="1"/>
  <c r="BG62" i="1"/>
  <c r="BG59" i="51" s="1"/>
  <c r="BG77" i="1"/>
  <c r="BM62" i="1"/>
  <c r="BM59" i="51" s="1"/>
  <c r="BM77" i="1"/>
  <c r="BS62" i="1"/>
  <c r="BS59" i="51" s="1"/>
  <c r="BS77" i="1"/>
  <c r="BY62" i="1"/>
  <c r="BY59" i="51" s="1"/>
  <c r="BY77" i="1"/>
  <c r="D65" i="1"/>
  <c r="D80" i="1"/>
  <c r="AN65" i="1"/>
  <c r="AN80" i="1"/>
  <c r="AT65" i="1"/>
  <c r="AT80" i="1"/>
  <c r="AZ65" i="1"/>
  <c r="AZ80" i="1"/>
  <c r="BF65" i="1"/>
  <c r="BF80" i="1"/>
  <c r="BL65" i="1"/>
  <c r="BL80" i="1"/>
  <c r="BR65" i="1"/>
  <c r="BR80" i="1"/>
  <c r="BX65" i="1"/>
  <c r="BX80" i="1"/>
  <c r="CD62" i="1"/>
  <c r="CD59" i="51" s="1"/>
  <c r="CD77" i="1"/>
  <c r="AD67" i="1"/>
  <c r="AV67" i="1"/>
  <c r="AV82" i="1"/>
  <c r="BB67" i="1"/>
  <c r="BB82" i="1"/>
  <c r="CE65" i="1"/>
  <c r="CE80" i="1"/>
  <c r="C62" i="1"/>
  <c r="C59" i="51" s="1"/>
  <c r="C77" i="1"/>
  <c r="U62" i="1"/>
  <c r="U59" i="51" s="1"/>
  <c r="U77" i="1"/>
  <c r="AY62" i="1"/>
  <c r="AY59" i="51" s="1"/>
  <c r="AY77" i="1"/>
  <c r="BQ62" i="1"/>
  <c r="BQ59" i="51" s="1"/>
  <c r="BQ77" i="1"/>
  <c r="N65" i="1"/>
  <c r="N80" i="1"/>
  <c r="AF65" i="1"/>
  <c r="AF80" i="1"/>
  <c r="BP65" i="1"/>
  <c r="BP80" i="1"/>
  <c r="CB62" i="1"/>
  <c r="CB59" i="51" s="1"/>
  <c r="CB77" i="1"/>
  <c r="F62" i="1"/>
  <c r="F59" i="51" s="1"/>
  <c r="F77" i="1"/>
  <c r="L62" i="1"/>
  <c r="L59" i="51" s="1"/>
  <c r="L77" i="1"/>
  <c r="R62" i="1"/>
  <c r="R59" i="51" s="1"/>
  <c r="R77" i="1"/>
  <c r="X62" i="1"/>
  <c r="X59" i="51" s="1"/>
  <c r="X77" i="1"/>
  <c r="AD62" i="1"/>
  <c r="AD59" i="51" s="1"/>
  <c r="AD77" i="1"/>
  <c r="AJ62" i="1"/>
  <c r="AJ59" i="51" s="1"/>
  <c r="AJ77" i="1"/>
  <c r="AP62" i="1"/>
  <c r="AP59" i="51" s="1"/>
  <c r="AP77" i="1"/>
  <c r="AV62" i="1"/>
  <c r="AV59" i="51" s="1"/>
  <c r="AV77" i="1"/>
  <c r="BB62" i="1"/>
  <c r="BB59" i="51" s="1"/>
  <c r="BB77" i="1"/>
  <c r="BH62" i="1"/>
  <c r="BH59" i="51" s="1"/>
  <c r="BH77" i="1"/>
  <c r="BN62" i="1"/>
  <c r="BN59" i="51" s="1"/>
  <c r="BN77" i="1"/>
  <c r="BT62" i="1"/>
  <c r="BT59" i="51" s="1"/>
  <c r="BT77" i="1"/>
  <c r="BZ62" i="1"/>
  <c r="BZ59" i="51" s="1"/>
  <c r="BZ77" i="1"/>
  <c r="E65" i="1"/>
  <c r="E80" i="1"/>
  <c r="K65" i="1"/>
  <c r="K80" i="1"/>
  <c r="Q65" i="1"/>
  <c r="Q80" i="1"/>
  <c r="W65" i="1"/>
  <c r="W80" i="1"/>
  <c r="AC65" i="1"/>
  <c r="AC80" i="1"/>
  <c r="AI65" i="1"/>
  <c r="AI80" i="1"/>
  <c r="AO65" i="1"/>
  <c r="AO80" i="1"/>
  <c r="AU65" i="1"/>
  <c r="AU80" i="1"/>
  <c r="BA65" i="1"/>
  <c r="BA80" i="1"/>
  <c r="BG65" i="1"/>
  <c r="BG80" i="1"/>
  <c r="BM65" i="1"/>
  <c r="BM80" i="1"/>
  <c r="BS65" i="1"/>
  <c r="BS80" i="1"/>
  <c r="BY65" i="1"/>
  <c r="BY80" i="1"/>
  <c r="CD65" i="1"/>
  <c r="CD80" i="1"/>
  <c r="CG65" i="1"/>
  <c r="CG80" i="1"/>
  <c r="F67" i="1"/>
  <c r="AH67" i="1"/>
  <c r="AW67" i="1"/>
  <c r="AW82" i="1"/>
  <c r="BF67" i="1"/>
  <c r="CI62" i="1"/>
  <c r="CI59" i="51" s="1"/>
  <c r="CI77" i="1"/>
  <c r="O62" i="1"/>
  <c r="O59" i="51" s="1"/>
  <c r="O77" i="1"/>
  <c r="BK62" i="1"/>
  <c r="BK59" i="51" s="1"/>
  <c r="BK77" i="1"/>
  <c r="T65" i="1"/>
  <c r="T80" i="1"/>
  <c r="AX65" i="1"/>
  <c r="AX80" i="1"/>
  <c r="BV65" i="1"/>
  <c r="BV80" i="1"/>
  <c r="CJ62" i="1"/>
  <c r="CJ59" i="51" s="1"/>
  <c r="CJ77" i="1"/>
  <c r="CK65" i="1"/>
  <c r="CK80" i="1"/>
  <c r="G62" i="1"/>
  <c r="G59" i="51" s="1"/>
  <c r="G77" i="1"/>
  <c r="M62" i="1"/>
  <c r="M59" i="51" s="1"/>
  <c r="M77" i="1"/>
  <c r="S62" i="1"/>
  <c r="S59" i="51" s="1"/>
  <c r="S77" i="1"/>
  <c r="Y62" i="1"/>
  <c r="Y59" i="51" s="1"/>
  <c r="Y77" i="1"/>
  <c r="AE62" i="1"/>
  <c r="AE59" i="51" s="1"/>
  <c r="AE77" i="1"/>
  <c r="AK62" i="1"/>
  <c r="AK59" i="51" s="1"/>
  <c r="AK77" i="1"/>
  <c r="AQ62" i="1"/>
  <c r="AQ59" i="51" s="1"/>
  <c r="AQ77" i="1"/>
  <c r="AW62" i="1"/>
  <c r="AW59" i="51" s="1"/>
  <c r="AW77" i="1"/>
  <c r="BC62" i="1"/>
  <c r="BC59" i="51" s="1"/>
  <c r="BC77" i="1"/>
  <c r="BI62" i="1"/>
  <c r="BI59" i="51" s="1"/>
  <c r="BI77" i="1"/>
  <c r="BO62" i="1"/>
  <c r="BO59" i="51" s="1"/>
  <c r="BO77" i="1"/>
  <c r="BU62" i="1"/>
  <c r="BU59" i="51" s="1"/>
  <c r="BU77" i="1"/>
  <c r="CA62" i="1"/>
  <c r="CA59" i="51" s="1"/>
  <c r="CA77" i="1"/>
  <c r="F65" i="1"/>
  <c r="F80" i="1"/>
  <c r="L65" i="1"/>
  <c r="L80" i="1"/>
  <c r="R65" i="1"/>
  <c r="R80" i="1"/>
  <c r="X65" i="1"/>
  <c r="X80" i="1"/>
  <c r="AD65" i="1"/>
  <c r="AD80" i="1"/>
  <c r="AJ65" i="1"/>
  <c r="AJ80" i="1"/>
  <c r="AP65" i="1"/>
  <c r="AP80" i="1"/>
  <c r="AV65" i="1"/>
  <c r="AV80" i="1"/>
  <c r="BB65" i="1"/>
  <c r="BB80" i="1"/>
  <c r="BH65" i="1"/>
  <c r="BH80" i="1"/>
  <c r="BN65" i="1"/>
  <c r="BN80" i="1"/>
  <c r="BT65" i="1"/>
  <c r="BT80" i="1"/>
  <c r="BZ65" i="1"/>
  <c r="BZ80" i="1"/>
  <c r="CC65" i="1"/>
  <c r="CC80" i="1"/>
  <c r="J67" i="1"/>
  <c r="AL67" i="1"/>
  <c r="AX67" i="1"/>
  <c r="AX82" i="1"/>
  <c r="BJ67" i="1"/>
  <c r="AM62" i="1"/>
  <c r="AM59" i="51" s="1"/>
  <c r="AM77" i="1"/>
  <c r="AR65" i="1"/>
  <c r="AR80" i="1"/>
  <c r="CM82" i="1"/>
  <c r="CN82" i="1"/>
  <c r="CI65" i="1"/>
  <c r="CI80" i="1"/>
  <c r="CB65" i="1"/>
  <c r="CB80" i="1"/>
  <c r="H62" i="1"/>
  <c r="H59" i="51" s="1"/>
  <c r="H77" i="1"/>
  <c r="N62" i="1"/>
  <c r="N59" i="51" s="1"/>
  <c r="N77" i="1"/>
  <c r="T62" i="1"/>
  <c r="T59" i="51" s="1"/>
  <c r="T77" i="1"/>
  <c r="Z62" i="1"/>
  <c r="Z59" i="51" s="1"/>
  <c r="Z77" i="1"/>
  <c r="AF62" i="1"/>
  <c r="AF59" i="51" s="1"/>
  <c r="AF77" i="1"/>
  <c r="AL62" i="1"/>
  <c r="AL59" i="51" s="1"/>
  <c r="AL77" i="1"/>
  <c r="AR62" i="1"/>
  <c r="AR59" i="51" s="1"/>
  <c r="AR77" i="1"/>
  <c r="AX62" i="1"/>
  <c r="AX59" i="51" s="1"/>
  <c r="AX77" i="1"/>
  <c r="BD62" i="1"/>
  <c r="BD59" i="51" s="1"/>
  <c r="BD77" i="1"/>
  <c r="BJ62" i="1"/>
  <c r="BJ59" i="51" s="1"/>
  <c r="BJ77" i="1"/>
  <c r="BP62" i="1"/>
  <c r="BP77" i="1"/>
  <c r="BV62" i="1"/>
  <c r="BV59" i="51" s="1"/>
  <c r="BV77" i="1"/>
  <c r="G65" i="1"/>
  <c r="G80" i="1"/>
  <c r="M65" i="1"/>
  <c r="M80" i="1"/>
  <c r="S65" i="1"/>
  <c r="S80" i="1"/>
  <c r="Y65" i="1"/>
  <c r="Y80" i="1"/>
  <c r="AE65" i="1"/>
  <c r="AE80" i="1"/>
  <c r="AK65" i="1"/>
  <c r="AK80" i="1"/>
  <c r="AQ65" i="1"/>
  <c r="AQ80" i="1"/>
  <c r="AW65" i="1"/>
  <c r="AW80" i="1"/>
  <c r="BC65" i="1"/>
  <c r="BC80" i="1"/>
  <c r="BI65" i="1"/>
  <c r="BI80" i="1"/>
  <c r="BO65" i="1"/>
  <c r="BO80" i="1"/>
  <c r="BU65" i="1"/>
  <c r="BU80" i="1"/>
  <c r="CA65" i="1"/>
  <c r="CA80" i="1"/>
  <c r="CC62" i="1"/>
  <c r="CC59" i="51" s="1"/>
  <c r="CC77" i="1"/>
  <c r="CE62" i="1"/>
  <c r="CE59" i="51" s="1"/>
  <c r="CE77" i="1"/>
  <c r="CG62" i="1"/>
  <c r="CG59" i="51" s="1"/>
  <c r="CG77" i="1"/>
  <c r="CD67" i="1"/>
  <c r="R67" i="1"/>
  <c r="AP67" i="1"/>
  <c r="AY67" i="1"/>
  <c r="AY82" i="1"/>
  <c r="BN67" i="1"/>
  <c r="CH41" i="1"/>
  <c r="CH62" i="1"/>
  <c r="CH59" i="51" s="1"/>
  <c r="CH46" i="1"/>
  <c r="CH67" i="1"/>
  <c r="V46" i="1"/>
  <c r="V67" i="1"/>
  <c r="AT46" i="1"/>
  <c r="AT67" i="1"/>
  <c r="BR46" i="1"/>
  <c r="BR67" i="1"/>
  <c r="D62" i="1"/>
  <c r="D59" i="51" s="1"/>
  <c r="J41" i="1"/>
  <c r="J62" i="1"/>
  <c r="J59" i="51" s="1"/>
  <c r="AB41" i="1"/>
  <c r="AB62" i="1"/>
  <c r="AB59" i="51" s="1"/>
  <c r="AH41" i="1"/>
  <c r="AH62" i="1"/>
  <c r="AH59" i="51" s="1"/>
  <c r="AN41" i="1"/>
  <c r="AN62" i="1"/>
  <c r="AN59" i="51" s="1"/>
  <c r="AT41" i="1"/>
  <c r="AT62" i="1"/>
  <c r="AT59" i="51" s="1"/>
  <c r="AZ41" i="1"/>
  <c r="AZ62" i="1"/>
  <c r="AZ59" i="51" s="1"/>
  <c r="BX41" i="1"/>
  <c r="BX62" i="1"/>
  <c r="BX59" i="51" s="1"/>
  <c r="I44" i="1"/>
  <c r="I65" i="1"/>
  <c r="O44" i="1"/>
  <c r="O65" i="1"/>
  <c r="U44" i="1"/>
  <c r="U65" i="1"/>
  <c r="AA44" i="1"/>
  <c r="AA65" i="1"/>
  <c r="AG44" i="1"/>
  <c r="AG65" i="1"/>
  <c r="AM44" i="1"/>
  <c r="AM65" i="1"/>
  <c r="AS44" i="1"/>
  <c r="AS65" i="1"/>
  <c r="AY44" i="1"/>
  <c r="AY65" i="1"/>
  <c r="BE44" i="1"/>
  <c r="BE65" i="1"/>
  <c r="BK44" i="1"/>
  <c r="BK65" i="1"/>
  <c r="BQ44" i="1"/>
  <c r="BQ65" i="1"/>
  <c r="BW44" i="1"/>
  <c r="BW65" i="1"/>
  <c r="BZ46" i="1"/>
  <c r="BZ67" i="1"/>
  <c r="BA46" i="1"/>
  <c r="BA67" i="1"/>
  <c r="E62" i="1"/>
  <c r="E59" i="51" s="1"/>
  <c r="J44" i="1"/>
  <c r="J65" i="1"/>
  <c r="P44" i="1"/>
  <c r="P65" i="1"/>
  <c r="V44" i="1"/>
  <c r="V65" i="1"/>
  <c r="AB44" i="1"/>
  <c r="AB65" i="1"/>
  <c r="AH44" i="1"/>
  <c r="AH65" i="1"/>
  <c r="B62" i="1"/>
  <c r="B59" i="51" s="1"/>
  <c r="AN44" i="1"/>
  <c r="AT44" i="1"/>
  <c r="AZ44" i="1"/>
  <c r="BF44" i="1"/>
  <c r="BB46" i="1"/>
  <c r="K41" i="1"/>
  <c r="Q41" i="1"/>
  <c r="W41" i="1"/>
  <c r="AO41" i="1"/>
  <c r="AU41" i="1"/>
  <c r="BA41" i="1"/>
  <c r="BS41" i="1"/>
  <c r="BL44" i="1"/>
  <c r="BR44" i="1"/>
  <c r="BX44" i="1"/>
  <c r="CS38" i="1"/>
  <c r="CS116" i="1" s="1"/>
  <c r="BN41" i="1"/>
  <c r="BT41" i="1"/>
  <c r="BZ41" i="1"/>
  <c r="CN38" i="1"/>
  <c r="CN116" i="1" s="1"/>
  <c r="CQ38" i="1"/>
  <c r="CQ116" i="1" s="1"/>
  <c r="CJ41" i="1"/>
  <c r="BV46" i="1"/>
  <c r="J46" i="1"/>
  <c r="BJ46" i="1"/>
  <c r="Z46" i="1"/>
  <c r="AP46" i="1"/>
  <c r="BF41" i="1"/>
  <c r="BN46" i="1"/>
  <c r="CK41" i="1"/>
  <c r="CJ44" i="1"/>
  <c r="CN44" i="1"/>
  <c r="CE44" i="1"/>
  <c r="I41" i="1"/>
  <c r="O41" i="1"/>
  <c r="U41" i="1"/>
  <c r="AA41" i="1"/>
  <c r="AG41" i="1"/>
  <c r="AM41" i="1"/>
  <c r="AS41" i="1"/>
  <c r="AY41" i="1"/>
  <c r="BE41" i="1"/>
  <c r="BK41" i="1"/>
  <c r="BQ41" i="1"/>
  <c r="BW41" i="1"/>
  <c r="H44" i="1"/>
  <c r="N44" i="1"/>
  <c r="T44" i="1"/>
  <c r="Z44" i="1"/>
  <c r="AF44" i="1"/>
  <c r="AL44" i="1"/>
  <c r="AR44" i="1"/>
  <c r="AX44" i="1"/>
  <c r="BD44" i="1"/>
  <c r="BJ44" i="1"/>
  <c r="BP44" i="1"/>
  <c r="BV44" i="1"/>
  <c r="CF41" i="1"/>
  <c r="AZ46" i="1"/>
  <c r="P41" i="1"/>
  <c r="V41" i="1"/>
  <c r="BL41" i="1"/>
  <c r="BR41" i="1"/>
  <c r="CH44" i="1"/>
  <c r="CL44" i="1"/>
  <c r="AC41" i="1"/>
  <c r="AI41" i="1"/>
  <c r="BG41" i="1"/>
  <c r="BM41" i="1"/>
  <c r="BY41" i="1"/>
  <c r="CD41" i="1"/>
  <c r="AD46" i="1"/>
  <c r="CL46" i="1"/>
  <c r="CK44" i="1"/>
  <c r="CB41" i="1"/>
  <c r="F41" i="1"/>
  <c r="L41" i="1"/>
  <c r="R41" i="1"/>
  <c r="X41" i="1"/>
  <c r="AD41" i="1"/>
  <c r="AJ41" i="1"/>
  <c r="AP41" i="1"/>
  <c r="AV41" i="1"/>
  <c r="BB41" i="1"/>
  <c r="BH41" i="1"/>
  <c r="K44" i="1"/>
  <c r="Q44" i="1"/>
  <c r="W44" i="1"/>
  <c r="AC44" i="1"/>
  <c r="AI44" i="1"/>
  <c r="AO44" i="1"/>
  <c r="AU44" i="1"/>
  <c r="BA44" i="1"/>
  <c r="BG44" i="1"/>
  <c r="BM44" i="1"/>
  <c r="BS44" i="1"/>
  <c r="BY44" i="1"/>
  <c r="CD44" i="1"/>
  <c r="CG44" i="1"/>
  <c r="F46" i="1"/>
  <c r="AH46" i="1"/>
  <c r="BF46" i="1"/>
  <c r="CI44" i="1"/>
  <c r="CM44" i="1"/>
  <c r="G41" i="1"/>
  <c r="M41" i="1"/>
  <c r="S41" i="1"/>
  <c r="Y41" i="1"/>
  <c r="AE41" i="1"/>
  <c r="AK41" i="1"/>
  <c r="AQ41" i="1"/>
  <c r="AW41" i="1"/>
  <c r="BC41" i="1"/>
  <c r="BI41" i="1"/>
  <c r="BO41" i="1"/>
  <c r="BU41" i="1"/>
  <c r="CA41" i="1"/>
  <c r="F44" i="1"/>
  <c r="L44" i="1"/>
  <c r="R44" i="1"/>
  <c r="X44" i="1"/>
  <c r="AD44" i="1"/>
  <c r="AJ44" i="1"/>
  <c r="AP44" i="1"/>
  <c r="AV44" i="1"/>
  <c r="BB44" i="1"/>
  <c r="BH44" i="1"/>
  <c r="BN44" i="1"/>
  <c r="BT44" i="1"/>
  <c r="BZ44" i="1"/>
  <c r="CC44" i="1"/>
  <c r="AL46" i="1"/>
  <c r="AX46" i="1"/>
  <c r="CF44" i="1"/>
  <c r="CI41" i="1"/>
  <c r="CB44" i="1"/>
  <c r="H41" i="1"/>
  <c r="N41" i="1"/>
  <c r="T41" i="1"/>
  <c r="Z41" i="1"/>
  <c r="AF41" i="1"/>
  <c r="AL41" i="1"/>
  <c r="AR41" i="1"/>
  <c r="AX41" i="1"/>
  <c r="BD41" i="1"/>
  <c r="BJ41" i="1"/>
  <c r="BP41" i="1"/>
  <c r="BV41" i="1"/>
  <c r="G44" i="1"/>
  <c r="M44" i="1"/>
  <c r="S44" i="1"/>
  <c r="Y44" i="1"/>
  <c r="AE44" i="1"/>
  <c r="AK44" i="1"/>
  <c r="AQ44" i="1"/>
  <c r="AW44" i="1"/>
  <c r="BC44" i="1"/>
  <c r="BI44" i="1"/>
  <c r="BO44" i="1"/>
  <c r="BU44" i="1"/>
  <c r="CA44" i="1"/>
  <c r="CC41" i="1"/>
  <c r="CE41" i="1"/>
  <c r="CG41" i="1"/>
  <c r="CD46" i="1"/>
  <c r="AY46" i="1"/>
  <c r="EO11" i="1"/>
  <c r="CD18" i="1"/>
  <c r="CG21" i="1"/>
  <c r="DA24" i="119" s="1"/>
  <c r="EP11" i="1"/>
  <c r="EV11" i="1"/>
  <c r="GK11" i="1"/>
  <c r="GF14" i="1"/>
  <c r="CA18" i="1"/>
  <c r="FE11" i="1"/>
  <c r="FW11" i="1"/>
  <c r="FW62" i="1" s="1"/>
  <c r="GC11" i="1"/>
  <c r="EU14" i="1"/>
  <c r="CA42" i="51"/>
  <c r="FH45" i="3"/>
  <c r="BU23" i="3"/>
  <c r="FE23" i="3" s="1"/>
  <c r="BX22" i="3"/>
  <c r="BY22" i="3" s="1"/>
  <c r="FD11" i="1"/>
  <c r="GA11" i="1"/>
  <c r="GG11" i="1"/>
  <c r="ES14" i="1"/>
  <c r="H18" i="119" s="1"/>
  <c r="EY14" i="1"/>
  <c r="N20" i="119" s="1"/>
  <c r="EB50" i="6"/>
  <c r="FY17" i="51"/>
  <c r="FY46" i="51" s="1"/>
  <c r="BA49" i="6"/>
  <c r="CK107" i="2"/>
  <c r="CB12" i="3"/>
  <c r="BE14" i="3"/>
  <c r="FA14" i="3" s="1"/>
  <c r="FD18" i="3"/>
  <c r="BW80" i="2"/>
  <c r="BI22" i="3"/>
  <c r="F27" i="2"/>
  <c r="F51" i="2"/>
  <c r="EO87" i="2"/>
  <c r="AZ84" i="2"/>
  <c r="BK67" i="6"/>
  <c r="BX18" i="1"/>
  <c r="EA47" i="6"/>
  <c r="EB53" i="6"/>
  <c r="EE47" i="6"/>
  <c r="EA90" i="6"/>
  <c r="DY91" i="6"/>
  <c r="EH47" i="6"/>
  <c r="BP49" i="6"/>
  <c r="BM52" i="6"/>
  <c r="BI52" i="6"/>
  <c r="BI90" i="6"/>
  <c r="EC84" i="6"/>
  <c r="DV91" i="6"/>
  <c r="DZ91" i="6"/>
  <c r="ED91" i="6"/>
  <c r="BN68" i="6"/>
  <c r="BM53" i="6"/>
  <c r="DY54" i="6"/>
  <c r="BM72" i="6"/>
  <c r="BJ71" i="6"/>
  <c r="BO49" i="6"/>
  <c r="EI48" i="6"/>
  <c r="EH16" i="6"/>
  <c r="BK49" i="6"/>
  <c r="BL67" i="6"/>
  <c r="AQ49" i="6"/>
  <c r="FF11" i="1"/>
  <c r="CG22" i="3"/>
  <c r="FH22" i="3" s="1"/>
  <c r="FA17" i="3"/>
  <c r="BM23" i="3"/>
  <c r="FC23" i="3" s="1"/>
  <c r="BE29" i="3"/>
  <c r="FA29" i="3" s="1"/>
  <c r="BW79" i="2"/>
  <c r="BW84" i="2" s="1"/>
  <c r="X38" i="3"/>
  <c r="AR103" i="119" s="1"/>
  <c r="FD14" i="3"/>
  <c r="X32" i="3"/>
  <c r="BI17" i="3"/>
  <c r="FB17" i="3" s="1"/>
  <c r="BY21" i="3"/>
  <c r="FF21" i="3" s="1"/>
  <c r="BU45" i="3"/>
  <c r="FE45" i="3" s="1"/>
  <c r="AM24" i="3"/>
  <c r="BG94" i="119" s="1"/>
  <c r="AH85" i="30" s="1"/>
  <c r="W48" i="3"/>
  <c r="AQ107" i="119" s="1"/>
  <c r="K43" i="3"/>
  <c r="CC23" i="3"/>
  <c r="FG23" i="3" s="1"/>
  <c r="CG17" i="3"/>
  <c r="FH17" i="3" s="1"/>
  <c r="N35" i="3"/>
  <c r="BM19" i="3"/>
  <c r="FC19" i="3" s="1"/>
  <c r="CJ28" i="3"/>
  <c r="AQ79" i="2"/>
  <c r="AQ84" i="2" s="1"/>
  <c r="AM80" i="2"/>
  <c r="FE40" i="3"/>
  <c r="CC18" i="3"/>
  <c r="FG18" i="3" s="1"/>
  <c r="CJ32" i="3"/>
  <c r="DD97" i="119" s="1"/>
  <c r="CE88" i="30" s="1"/>
  <c r="BQ23" i="3"/>
  <c r="FD23" i="3" s="1"/>
  <c r="FB21" i="3"/>
  <c r="AN32" i="3"/>
  <c r="BH97" i="119" s="1"/>
  <c r="AI88" i="30" s="1"/>
  <c r="BL41" i="3"/>
  <c r="BS80" i="2"/>
  <c r="AN38" i="3"/>
  <c r="BH103" i="119" s="1"/>
  <c r="AI94" i="30" s="1"/>
  <c r="AT35" i="3"/>
  <c r="BN101" i="119" s="1"/>
  <c r="AO92" i="30" s="1"/>
  <c r="L79" i="2"/>
  <c r="L84" i="2" s="1"/>
  <c r="CB41" i="3"/>
  <c r="CJ18" i="1"/>
  <c r="BO18" i="1"/>
  <c r="FC21" i="1"/>
  <c r="R24" i="119" s="1"/>
  <c r="N51" i="2"/>
  <c r="CB107" i="2"/>
  <c r="CD107" i="2"/>
  <c r="CI107" i="2"/>
  <c r="C51" i="2"/>
  <c r="AH44" i="2"/>
  <c r="BB65" i="119" s="1"/>
  <c r="AC61" i="30" s="1"/>
  <c r="AY44" i="2"/>
  <c r="BS65" i="119" s="1"/>
  <c r="AT61" i="30" s="1"/>
  <c r="AP27" i="2"/>
  <c r="BJ55" i="119" s="1"/>
  <c r="AK53" i="30" s="1"/>
  <c r="AE61" i="2"/>
  <c r="S27" i="2"/>
  <c r="AM55" i="119" s="1"/>
  <c r="AD27" i="2"/>
  <c r="AX55" i="119" s="1"/>
  <c r="Y53" i="30" s="1"/>
  <c r="AL87" i="2"/>
  <c r="BF46" i="119" s="1"/>
  <c r="AG44" i="30" s="1"/>
  <c r="AT87" i="2"/>
  <c r="BN46" i="119" s="1"/>
  <c r="AO44" i="30" s="1"/>
  <c r="AM27" i="2"/>
  <c r="BG55" i="119" s="1"/>
  <c r="AH53" i="30" s="1"/>
  <c r="AQ61" i="2"/>
  <c r="AA27" i="2"/>
  <c r="AU55" i="119" s="1"/>
  <c r="CG108" i="2"/>
  <c r="CH107" i="2"/>
  <c r="BW87" i="2"/>
  <c r="CQ46" i="119" s="1"/>
  <c r="BR44" i="30" s="1"/>
  <c r="Z44" i="2"/>
  <c r="AT65" i="119" s="1"/>
  <c r="AH27" i="2"/>
  <c r="BB55" i="119" s="1"/>
  <c r="AC53" i="30" s="1"/>
  <c r="AL61" i="2"/>
  <c r="ET64" i="2"/>
  <c r="AO87" i="2"/>
  <c r="BI46" i="119" s="1"/>
  <c r="AJ44" i="30" s="1"/>
  <c r="F61" i="2"/>
  <c r="AX44" i="2"/>
  <c r="BR65" i="119" s="1"/>
  <c r="AS61" i="30" s="1"/>
  <c r="AX27" i="2"/>
  <c r="BR55" i="119" s="1"/>
  <c r="AS53" i="30" s="1"/>
  <c r="Z27" i="2"/>
  <c r="AT55" i="119" s="1"/>
  <c r="AL27" i="2"/>
  <c r="BF55" i="119" s="1"/>
  <c r="AG53" i="30" s="1"/>
  <c r="AK87" i="2"/>
  <c r="BE46" i="119" s="1"/>
  <c r="AF44" i="30" s="1"/>
  <c r="Z61" i="2"/>
  <c r="BA87" i="2"/>
  <c r="BU46" i="119" s="1"/>
  <c r="AV44" i="30" s="1"/>
  <c r="V44" i="2"/>
  <c r="AP65" i="119" s="1"/>
  <c r="AP44" i="2"/>
  <c r="BJ65" i="119" s="1"/>
  <c r="AK61" i="30" s="1"/>
  <c r="R27" i="2"/>
  <c r="AL55" i="119" s="1"/>
  <c r="BR25" i="3"/>
  <c r="CL96" i="119" s="1"/>
  <c r="BM87" i="30" s="1"/>
  <c r="BJ46" i="51"/>
  <c r="S67" i="6"/>
  <c r="G49" i="6"/>
  <c r="CB22" i="3"/>
  <c r="BI45" i="3"/>
  <c r="FB45" i="3" s="1"/>
  <c r="BK79" i="2"/>
  <c r="BN67" i="6"/>
  <c r="FE22" i="1"/>
  <c r="T25" i="119" s="1"/>
  <c r="T25" i="30" s="1"/>
  <c r="BL49" i="6"/>
  <c r="BN49" i="6"/>
  <c r="J49" i="6"/>
  <c r="BR15" i="1"/>
  <c r="CL23" i="119" s="1"/>
  <c r="N15" i="1"/>
  <c r="GL11" i="1"/>
  <c r="CE35" i="3"/>
  <c r="CY101" i="119" s="1"/>
  <c r="BZ92" i="30" s="1"/>
  <c r="EO38" i="3"/>
  <c r="CC15" i="1"/>
  <c r="CR8" i="1"/>
  <c r="CP9" i="2"/>
  <c r="CM53" i="51"/>
  <c r="CL53" i="51"/>
  <c r="BM49" i="6"/>
  <c r="AR67" i="6"/>
  <c r="AH49" i="6"/>
  <c r="AQ67" i="6"/>
  <c r="BG24" i="3"/>
  <c r="CA94" i="119" s="1"/>
  <c r="BB85" i="30" s="1"/>
  <c r="BS35" i="3"/>
  <c r="CM101" i="119" s="1"/>
  <c r="BN92" i="30" s="1"/>
  <c r="BW48" i="3"/>
  <c r="CQ107" i="119" s="1"/>
  <c r="BR97" i="30" s="1"/>
  <c r="F67" i="6"/>
  <c r="EA53" i="6"/>
  <c r="DU53" i="6"/>
  <c r="CE48" i="3"/>
  <c r="EA91" i="6"/>
  <c r="FF20" i="3"/>
  <c r="BX38" i="3"/>
  <c r="AF38" i="3"/>
  <c r="AZ103" i="119" s="1"/>
  <c r="AA94" i="30" s="1"/>
  <c r="O48" i="3"/>
  <c r="AL35" i="3"/>
  <c r="BF101" i="119" s="1"/>
  <c r="AG92" i="30" s="1"/>
  <c r="AB12" i="3"/>
  <c r="CF28" i="3"/>
  <c r="CZ100" i="119" s="1"/>
  <c r="CA91" i="30" s="1"/>
  <c r="AA16" i="1"/>
  <c r="AU21" i="119" s="1"/>
  <c r="AU19" i="119" s="1"/>
  <c r="M12" i="3"/>
  <c r="AU80" i="2"/>
  <c r="AU81" i="2" s="1"/>
  <c r="AT48" i="3"/>
  <c r="BN107" i="119" s="1"/>
  <c r="AO97" i="30" s="1"/>
  <c r="FI19" i="3"/>
  <c r="FC18" i="3"/>
  <c r="CK31" i="3"/>
  <c r="FI31" i="3" s="1"/>
  <c r="F35" i="3"/>
  <c r="CJ12" i="3"/>
  <c r="DD93" i="119" s="1"/>
  <c r="CE84" i="30" s="1"/>
  <c r="EY24" i="3"/>
  <c r="M94" i="119" s="1"/>
  <c r="M85" i="30" s="1"/>
  <c r="AU38" i="3"/>
  <c r="AE48" i="3"/>
  <c r="AY107" i="119" s="1"/>
  <c r="Z97" i="30" s="1"/>
  <c r="K16" i="1"/>
  <c r="K124" i="1" s="1"/>
  <c r="P12" i="3"/>
  <c r="P79" i="2" s="1"/>
  <c r="P84" i="2" s="1"/>
  <c r="CE80" i="2"/>
  <c r="AI24" i="3"/>
  <c r="BC94" i="119" s="1"/>
  <c r="AD85" i="30" s="1"/>
  <c r="BM39" i="3"/>
  <c r="FE18" i="3"/>
  <c r="BT12" i="3"/>
  <c r="AR12" i="3"/>
  <c r="K79" i="2"/>
  <c r="K84" i="2" s="1"/>
  <c r="CF32" i="3"/>
  <c r="AM28" i="3"/>
  <c r="AF32" i="3"/>
  <c r="AZ97" i="119" s="1"/>
  <c r="AA88" i="30" s="1"/>
  <c r="AE24" i="3"/>
  <c r="AY94" i="119" s="1"/>
  <c r="Z85" i="30" s="1"/>
  <c r="BL107" i="2"/>
  <c r="BP107" i="2"/>
  <c r="BT107" i="2"/>
  <c r="BX107" i="2"/>
  <c r="CE107" i="2"/>
  <c r="BB81" i="2"/>
  <c r="CP9" i="51"/>
  <c r="AR87" i="2"/>
  <c r="BL46" i="119" s="1"/>
  <c r="AM44" i="30" s="1"/>
  <c r="AB87" i="2"/>
  <c r="AV46" i="119" s="1"/>
  <c r="BQ87" i="2"/>
  <c r="CK46" i="119" s="1"/>
  <c r="BL44" i="30" s="1"/>
  <c r="BY87" i="2"/>
  <c r="CS46" i="119" s="1"/>
  <c r="BT44" i="30" s="1"/>
  <c r="BV58" i="2"/>
  <c r="BZ58" i="2"/>
  <c r="BM87" i="2"/>
  <c r="CG46" i="119" s="1"/>
  <c r="BH44" i="30" s="1"/>
  <c r="BD61" i="2"/>
  <c r="CH44" i="2"/>
  <c r="DB65" i="119" s="1"/>
  <c r="CC61" i="30" s="1"/>
  <c r="BI108" i="2"/>
  <c r="BM108" i="2"/>
  <c r="FI22" i="3"/>
  <c r="BK35" i="3"/>
  <c r="CE101" i="119" s="1"/>
  <c r="BF92" i="30" s="1"/>
  <c r="BB35" i="3"/>
  <c r="BV101" i="119" s="1"/>
  <c r="AW92" i="30" s="1"/>
  <c r="J35" i="3"/>
  <c r="U61" i="2"/>
  <c r="BL44" i="2"/>
  <c r="CF65" i="119" s="1"/>
  <c r="BG61" i="30" s="1"/>
  <c r="AW61" i="2"/>
  <c r="W79" i="2"/>
  <c r="X12" i="3"/>
  <c r="AR93" i="119" s="1"/>
  <c r="R35" i="3"/>
  <c r="AL101" i="119" s="1"/>
  <c r="CJ29" i="3"/>
  <c r="CN53" i="51"/>
  <c r="EG45" i="6"/>
  <c r="BM51" i="6"/>
  <c r="B58" i="2"/>
  <c r="B59" i="2" s="1"/>
  <c r="F58" i="2"/>
  <c r="F59" i="2" s="1"/>
  <c r="J58" i="2"/>
  <c r="J59" i="2" s="1"/>
  <c r="N58" i="2"/>
  <c r="N59" i="2" s="1"/>
  <c r="R58" i="2"/>
  <c r="AL76" i="119" s="1"/>
  <c r="AL264" i="119" s="1"/>
  <c r="V58" i="2"/>
  <c r="Z58" i="2"/>
  <c r="AD58" i="2"/>
  <c r="AH58" i="2"/>
  <c r="AL58" i="2"/>
  <c r="AP58" i="2"/>
  <c r="AT58" i="2"/>
  <c r="AX58" i="2"/>
  <c r="BB58" i="2"/>
  <c r="BF58" i="2"/>
  <c r="BN58" i="2"/>
  <c r="BR58" i="2"/>
  <c r="CM58" i="51"/>
  <c r="AD84" i="2"/>
  <c r="CS10" i="92"/>
  <c r="CN58" i="51"/>
  <c r="CB43" i="3"/>
  <c r="CV104" i="119" s="1"/>
  <c r="BW95" i="30" s="1"/>
  <c r="BT44" i="2"/>
  <c r="CF44" i="2"/>
  <c r="CZ65" i="119" s="1"/>
  <c r="CA61" i="30" s="1"/>
  <c r="FH29" i="3"/>
  <c r="Q38" i="3"/>
  <c r="EQ38" i="3" s="1"/>
  <c r="EQ48" i="3" s="1"/>
  <c r="CA48" i="3"/>
  <c r="CU107" i="119" s="1"/>
  <c r="BV97" i="30" s="1"/>
  <c r="BG48" i="3"/>
  <c r="CA107" i="119" s="1"/>
  <c r="BB97" i="30" s="1"/>
  <c r="CN23" i="51"/>
  <c r="CN21" i="51"/>
  <c r="BK48" i="3"/>
  <c r="CE107" i="119" s="1"/>
  <c r="BF97" i="30" s="1"/>
  <c r="BC34" i="3"/>
  <c r="BC35" i="3" s="1"/>
  <c r="BW101" i="119" s="1"/>
  <c r="AX92" i="30" s="1"/>
  <c r="BS24" i="3"/>
  <c r="CM94" i="119" s="1"/>
  <c r="BN85" i="30" s="1"/>
  <c r="BW24" i="3"/>
  <c r="CQ94" i="119" s="1"/>
  <c r="BR85" i="30" s="1"/>
  <c r="BC16" i="1"/>
  <c r="BW21" i="119" s="1"/>
  <c r="AX21" i="30" s="1"/>
  <c r="BS16" i="1"/>
  <c r="BS79" i="2"/>
  <c r="BS84" i="2" s="1"/>
  <c r="BL14" i="3"/>
  <c r="BM14" i="3" s="1"/>
  <c r="CA35" i="3"/>
  <c r="CU101" i="119" s="1"/>
  <c r="BV92" i="30" s="1"/>
  <c r="CB28" i="3"/>
  <c r="BT30" i="3"/>
  <c r="BU30" i="3" s="1"/>
  <c r="BG35" i="3"/>
  <c r="CA101" i="119" s="1"/>
  <c r="BB92" i="30" s="1"/>
  <c r="BH31" i="3"/>
  <c r="BI31" i="3" s="1"/>
  <c r="BX31" i="3"/>
  <c r="BW35" i="3"/>
  <c r="CQ101" i="119" s="1"/>
  <c r="BR92" i="30" s="1"/>
  <c r="BD41" i="3"/>
  <c r="BC48" i="3"/>
  <c r="BW107" i="119" s="1"/>
  <c r="AX97" i="30" s="1"/>
  <c r="BL43" i="3"/>
  <c r="BM43" i="3" s="1"/>
  <c r="FC43" i="3" s="1"/>
  <c r="BP45" i="3"/>
  <c r="BQ45" i="3" s="1"/>
  <c r="BD44" i="2"/>
  <c r="BX65" i="119" s="1"/>
  <c r="AY61" i="30" s="1"/>
  <c r="BH44" i="2"/>
  <c r="CB65" i="119" s="1"/>
  <c r="BC61" i="30" s="1"/>
  <c r="BP44" i="2"/>
  <c r="CJ65" i="119" s="1"/>
  <c r="BK61" i="30" s="1"/>
  <c r="BX44" i="2"/>
  <c r="CR65" i="119" s="1"/>
  <c r="BS61" i="30" s="1"/>
  <c r="X49" i="6"/>
  <c r="ED89" i="6"/>
  <c r="EE46" i="6"/>
  <c r="BV91" i="2"/>
  <c r="CP49" i="119" s="1"/>
  <c r="BQ47" i="30" s="1"/>
  <c r="EF80" i="6"/>
  <c r="EE91" i="6"/>
  <c r="DT87" i="6"/>
  <c r="DX87" i="6"/>
  <c r="DZ88" i="6"/>
  <c r="EO49" i="2"/>
  <c r="AY38" i="3"/>
  <c r="CC20" i="3"/>
  <c r="FG20" i="3" s="1"/>
  <c r="CG18" i="3"/>
  <c r="CB87" i="2"/>
  <c r="CV46" i="119" s="1"/>
  <c r="BW44" i="30" s="1"/>
  <c r="FH30" i="3"/>
  <c r="FG17" i="3"/>
  <c r="CG15" i="1"/>
  <c r="AH67" i="6"/>
  <c r="DT45" i="6"/>
  <c r="DT50" i="6"/>
  <c r="DX50" i="6"/>
  <c r="BQ91" i="6"/>
  <c r="EI33" i="6"/>
  <c r="EI91" i="6" s="1"/>
  <c r="CL18" i="1"/>
  <c r="FA36" i="6"/>
  <c r="FG11" i="1"/>
  <c r="BM107" i="2"/>
  <c r="BQ107" i="2"/>
  <c r="BU107" i="2"/>
  <c r="BY107" i="2"/>
  <c r="FB89" i="6"/>
  <c r="FC52" i="6"/>
  <c r="CN22" i="51"/>
  <c r="EC44" i="6"/>
  <c r="EA87" i="6"/>
  <c r="EE87" i="6"/>
  <c r="DU90" i="6"/>
  <c r="BM70" i="6"/>
  <c r="FA31" i="6"/>
  <c r="FB52" i="6" s="1"/>
  <c r="EF46" i="6"/>
  <c r="DX48" i="6"/>
  <c r="EX49" i="2"/>
  <c r="BJ70" i="6"/>
  <c r="EZ31" i="6"/>
  <c r="BV49" i="6"/>
  <c r="FE49" i="2"/>
  <c r="DW90" i="6"/>
  <c r="AZ87" i="2"/>
  <c r="BT46" i="119" s="1"/>
  <c r="AU44" i="30" s="1"/>
  <c r="AN87" i="2"/>
  <c r="BH46" i="119" s="1"/>
  <c r="AI44" i="30" s="1"/>
  <c r="AJ87" i="2"/>
  <c r="BD46" i="119" s="1"/>
  <c r="AE44" i="30" s="1"/>
  <c r="AV87" i="2"/>
  <c r="BP46" i="119" s="1"/>
  <c r="AQ44" i="30" s="1"/>
  <c r="CF107" i="2"/>
  <c r="BX87" i="2"/>
  <c r="CR46" i="119" s="1"/>
  <c r="BS44" i="30" s="1"/>
  <c r="BH87" i="2"/>
  <c r="CB46" i="119" s="1"/>
  <c r="BC44" i="30" s="1"/>
  <c r="AG44" i="2"/>
  <c r="BA65" i="119" s="1"/>
  <c r="AB61" i="30" s="1"/>
  <c r="BJ108" i="2"/>
  <c r="BN108" i="2"/>
  <c r="BR107" i="2"/>
  <c r="BV108" i="2"/>
  <c r="BZ107" i="2"/>
  <c r="BK44" i="2"/>
  <c r="CE65" i="119" s="1"/>
  <c r="BF61" i="30" s="1"/>
  <c r="AF87" i="2"/>
  <c r="AZ46" i="119" s="1"/>
  <c r="AA44" i="30" s="1"/>
  <c r="X87" i="2"/>
  <c r="AR46" i="119" s="1"/>
  <c r="ER63" i="2"/>
  <c r="BT87" i="2"/>
  <c r="CN46" i="119" s="1"/>
  <c r="BO44" i="30" s="1"/>
  <c r="BL87" i="2"/>
  <c r="CF46" i="119" s="1"/>
  <c r="BG44" i="30" s="1"/>
  <c r="CF108" i="2"/>
  <c r="BH27" i="2"/>
  <c r="CB55" i="119" s="1"/>
  <c r="BC53" i="30" s="1"/>
  <c r="EV49" i="2"/>
  <c r="ET49" i="2"/>
  <c r="EO25" i="2"/>
  <c r="EN49" i="2"/>
  <c r="T87" i="2"/>
  <c r="AN46" i="119" s="1"/>
  <c r="CH108" i="2"/>
  <c r="BP87" i="2"/>
  <c r="CJ46" i="119" s="1"/>
  <c r="BK44" i="30" s="1"/>
  <c r="AK61" i="2"/>
  <c r="BW58" i="2"/>
  <c r="CQ76" i="119" s="1"/>
  <c r="CA58" i="2"/>
  <c r="CU76" i="119" s="1"/>
  <c r="EV57" i="2"/>
  <c r="FA57" i="2"/>
  <c r="EP64" i="2"/>
  <c r="EV64" i="2"/>
  <c r="FE64" i="2"/>
  <c r="BI15" i="1"/>
  <c r="CC23" i="119" s="1"/>
  <c r="CJ114" i="2"/>
  <c r="CJ115" i="2" s="1"/>
  <c r="BU58" i="2"/>
  <c r="CD58" i="2"/>
  <c r="CD114" i="2"/>
  <c r="CF114" i="2"/>
  <c r="CF115" i="2" s="1"/>
  <c r="CL114" i="2"/>
  <c r="CE58" i="2"/>
  <c r="CE114" i="2"/>
  <c r="CE115" i="2" s="1"/>
  <c r="CG114" i="2"/>
  <c r="CQ42" i="2"/>
  <c r="AD87" i="2"/>
  <c r="AX46" i="119" s="1"/>
  <c r="Y44" i="30" s="1"/>
  <c r="V87" i="2"/>
  <c r="AP46" i="119" s="1"/>
  <c r="CI114" i="2"/>
  <c r="CI115" i="2" s="1"/>
  <c r="C27" i="2"/>
  <c r="BO108" i="2"/>
  <c r="G27" i="2"/>
  <c r="CB27" i="2"/>
  <c r="CV55" i="119" s="1"/>
  <c r="BW53" i="30" s="1"/>
  <c r="AE27" i="2"/>
  <c r="AY55" i="119" s="1"/>
  <c r="Z53" i="30" s="1"/>
  <c r="W27" i="2"/>
  <c r="AQ55" i="119" s="1"/>
  <c r="O61" i="2"/>
  <c r="FB57" i="2"/>
  <c r="AP87" i="2"/>
  <c r="BJ46" i="119" s="1"/>
  <c r="AK44" i="30" s="1"/>
  <c r="AU61" i="2"/>
  <c r="AI61" i="2"/>
  <c r="AA61" i="2"/>
  <c r="S44" i="2"/>
  <c r="AM65" i="119" s="1"/>
  <c r="AQ27" i="2"/>
  <c r="BK55" i="119" s="1"/>
  <c r="AL53" i="30" s="1"/>
  <c r="CS9" i="2"/>
  <c r="CN10" i="92"/>
  <c r="CQ10" i="92"/>
  <c r="CS9" i="51"/>
  <c r="CP10" i="92"/>
  <c r="GM21" i="1"/>
  <c r="GM18" i="1" s="1"/>
  <c r="BV18" i="1"/>
  <c r="CL21" i="51"/>
  <c r="CL32" i="51"/>
  <c r="FN111" i="51" s="1"/>
  <c r="CL23" i="51"/>
  <c r="CL34" i="51"/>
  <c r="FT111" i="51" s="1"/>
  <c r="CM23" i="51"/>
  <c r="CL33" i="51"/>
  <c r="FT94" i="51" s="1"/>
  <c r="CL22" i="51"/>
  <c r="CL20" i="51"/>
  <c r="CL31" i="51"/>
  <c r="FN94" i="51" s="1"/>
  <c r="CM20" i="51"/>
  <c r="CM22" i="51"/>
  <c r="CM25" i="51"/>
  <c r="CM21" i="51"/>
  <c r="CL58" i="51"/>
  <c r="CL61" i="51" s="1"/>
  <c r="CL36" i="51"/>
  <c r="FN129" i="51" s="1"/>
  <c r="CL25" i="51"/>
  <c r="CH84" i="2"/>
  <c r="AT81" i="2"/>
  <c r="BW8" i="6"/>
  <c r="FC14" i="1"/>
  <c r="R18" i="119" s="1"/>
  <c r="R18" i="30" s="1"/>
  <c r="AT15" i="1"/>
  <c r="BN23" i="119" s="1"/>
  <c r="V15" i="1"/>
  <c r="AP23" i="119" s="1"/>
  <c r="AP268" i="119" s="1"/>
  <c r="AH15" i="1"/>
  <c r="BB23" i="119" s="1"/>
  <c r="F15" i="1"/>
  <c r="BV8" i="6"/>
  <c r="BY8" i="6"/>
  <c r="BF61" i="2"/>
  <c r="FF49" i="2"/>
  <c r="BY21" i="1"/>
  <c r="CS24" i="119" s="1"/>
  <c r="BW18" i="1"/>
  <c r="FD22" i="1"/>
  <c r="S25" i="119" s="1"/>
  <c r="S25" i="30" s="1"/>
  <c r="EW14" i="1"/>
  <c r="L18" i="119" s="1"/>
  <c r="L18" i="30" s="1"/>
  <c r="FF14" i="1"/>
  <c r="U18" i="119" s="1"/>
  <c r="CI18" i="1"/>
  <c r="BU21" i="1"/>
  <c r="CO24" i="119" s="1"/>
  <c r="GP11" i="1"/>
  <c r="Z68" i="2"/>
  <c r="FG22" i="1"/>
  <c r="V25" i="119" s="1"/>
  <c r="V25" i="30" s="1"/>
  <c r="EX18" i="1"/>
  <c r="BH12" i="3"/>
  <c r="CB93" i="119" s="1"/>
  <c r="BC84" i="30" s="1"/>
  <c r="BG79" i="2"/>
  <c r="BG84" i="2" s="1"/>
  <c r="CB13" i="3"/>
  <c r="CV95" i="119" s="1"/>
  <c r="BW86" i="30" s="1"/>
  <c r="BP32" i="3"/>
  <c r="CJ97" i="119" s="1"/>
  <c r="BK88" i="30" s="1"/>
  <c r="BL42" i="3"/>
  <c r="DX45" i="6"/>
  <c r="EC90" i="6"/>
  <c r="DS91" i="6"/>
  <c r="FB18" i="1"/>
  <c r="GA18" i="1"/>
  <c r="DU50" i="6"/>
  <c r="W49" i="6"/>
  <c r="CA27" i="2"/>
  <c r="CU55" i="119" s="1"/>
  <c r="BV53" i="30" s="1"/>
  <c r="EB87" i="6"/>
  <c r="DY48" i="6"/>
  <c r="DZ87" i="6"/>
  <c r="ED87" i="6"/>
  <c r="DX51" i="6"/>
  <c r="EF51" i="6"/>
  <c r="BI44" i="2"/>
  <c r="CC65" i="119" s="1"/>
  <c r="BD61" i="30" s="1"/>
  <c r="BM44" i="2"/>
  <c r="CG65" i="119" s="1"/>
  <c r="BH61" i="30" s="1"/>
  <c r="BD17" i="6"/>
  <c r="BE67" i="6"/>
  <c r="Q17" i="6"/>
  <c r="Q49" i="6"/>
  <c r="U17" i="6"/>
  <c r="V67" i="6"/>
  <c r="U49" i="6"/>
  <c r="AK49" i="6"/>
  <c r="AP17" i="6"/>
  <c r="AP49" i="6"/>
  <c r="EF45" i="6"/>
  <c r="EE88" i="6"/>
  <c r="DT90" i="6"/>
  <c r="DU47" i="6"/>
  <c r="BB87" i="2"/>
  <c r="BV46" i="119" s="1"/>
  <c r="AW44" i="30" s="1"/>
  <c r="BF87" i="2"/>
  <c r="BZ46" i="119" s="1"/>
  <c r="BA44" i="30" s="1"/>
  <c r="BJ87" i="2"/>
  <c r="CD46" i="119" s="1"/>
  <c r="BE44" i="30" s="1"/>
  <c r="BN87" i="2"/>
  <c r="CH46" i="119" s="1"/>
  <c r="BI44" i="30" s="1"/>
  <c r="BR87" i="2"/>
  <c r="CL46" i="119" s="1"/>
  <c r="BM44" i="30" s="1"/>
  <c r="BV87" i="2"/>
  <c r="CP46" i="119" s="1"/>
  <c r="BQ44" i="30" s="1"/>
  <c r="BZ87" i="2"/>
  <c r="CT46" i="119" s="1"/>
  <c r="BU44" i="30" s="1"/>
  <c r="CK30" i="3"/>
  <c r="CA16" i="1"/>
  <c r="CU21" i="119" s="1"/>
  <c r="BV21" i="30" s="1"/>
  <c r="Z67" i="6"/>
  <c r="EC87" i="6"/>
  <c r="CB42" i="3"/>
  <c r="DX90" i="6"/>
  <c r="EZ49" i="2"/>
  <c r="ES49" i="2"/>
  <c r="DT88" i="6"/>
  <c r="DX88" i="6"/>
  <c r="DY35" i="6"/>
  <c r="DY93" i="6" s="1"/>
  <c r="EC35" i="6"/>
  <c r="EC93" i="6" s="1"/>
  <c r="EE52" i="6"/>
  <c r="FH11" i="1"/>
  <c r="O16" i="1"/>
  <c r="EB44" i="6"/>
  <c r="BH32" i="3"/>
  <c r="CB97" i="119" s="1"/>
  <c r="BC88" i="30" s="1"/>
  <c r="F49" i="6"/>
  <c r="BR27" i="2"/>
  <c r="CL55" i="119" s="1"/>
  <c r="BM53" i="30" s="1"/>
  <c r="EN91" i="2"/>
  <c r="BT108" i="2"/>
  <c r="CA108" i="2"/>
  <c r="CK21" i="1"/>
  <c r="DE24" i="119" s="1"/>
  <c r="EH48" i="6"/>
  <c r="CK17" i="3"/>
  <c r="FI17" i="3" s="1"/>
  <c r="FI45" i="3"/>
  <c r="FB39" i="3"/>
  <c r="FG39" i="3"/>
  <c r="DZ81" i="6"/>
  <c r="DZ80" i="6"/>
  <c r="ED83" i="6"/>
  <c r="AB15" i="1"/>
  <c r="AV23" i="119" s="1"/>
  <c r="AV268" i="119" s="1"/>
  <c r="GC14" i="1"/>
  <c r="GK14" i="1"/>
  <c r="BK15" i="1"/>
  <c r="CE23" i="119" s="1"/>
  <c r="CA15" i="1"/>
  <c r="BY39" i="3"/>
  <c r="FA39" i="3"/>
  <c r="CK58" i="2"/>
  <c r="DE76" i="119" s="1"/>
  <c r="FH40" i="3"/>
  <c r="FH14" i="3"/>
  <c r="FH20" i="3"/>
  <c r="EB88" i="6"/>
  <c r="EB45" i="6"/>
  <c r="BK87" i="2"/>
  <c r="CE46" i="119" s="1"/>
  <c r="BF44" i="30" s="1"/>
  <c r="AP48" i="3"/>
  <c r="BJ107" i="119" s="1"/>
  <c r="AK97" i="30" s="1"/>
  <c r="FE57" i="2"/>
  <c r="EF88" i="6"/>
  <c r="CF61" i="2"/>
  <c r="EE89" i="6"/>
  <c r="C17" i="6"/>
  <c r="C67" i="6"/>
  <c r="G67" i="6"/>
  <c r="G17" i="6"/>
  <c r="S49" i="6"/>
  <c r="DS87" i="6"/>
  <c r="DT44" i="6"/>
  <c r="P32" i="3"/>
  <c r="P80" i="2" s="1"/>
  <c r="BC87" i="2"/>
  <c r="BW46" i="119" s="1"/>
  <c r="AX44" i="30" s="1"/>
  <c r="EA50" i="6"/>
  <c r="EQ49" i="2"/>
  <c r="AX48" i="3"/>
  <c r="BR107" i="119" s="1"/>
  <c r="AS97" i="30" s="1"/>
  <c r="CJ42" i="3"/>
  <c r="AU15" i="1"/>
  <c r="BO23" i="119" s="1"/>
  <c r="FA18" i="1"/>
  <c r="V49" i="6"/>
  <c r="AD67" i="6"/>
  <c r="DX47" i="6"/>
  <c r="FD49" i="2"/>
  <c r="FD57" i="2"/>
  <c r="EC51" i="6"/>
  <c r="EF35" i="6"/>
  <c r="EE54" i="6"/>
  <c r="AI44" i="2"/>
  <c r="BC65" i="119" s="1"/>
  <c r="AD61" i="30" s="1"/>
  <c r="EH46" i="6"/>
  <c r="CK20" i="1"/>
  <c r="GR20" i="1" s="1"/>
  <c r="AM49" i="6"/>
  <c r="EQ91" i="2"/>
  <c r="EP91" i="2"/>
  <c r="AR32" i="3"/>
  <c r="BL97" i="119" s="1"/>
  <c r="AM88" i="30" s="1"/>
  <c r="BP108" i="2"/>
  <c r="CB108" i="2"/>
  <c r="EP18" i="1"/>
  <c r="ET18" i="1"/>
  <c r="FF25" i="2"/>
  <c r="DW87" i="6"/>
  <c r="EE50" i="6"/>
  <c r="DU51" i="6"/>
  <c r="DY51" i="6"/>
  <c r="DX53" i="6"/>
  <c r="DV54" i="6"/>
  <c r="AL44" i="2"/>
  <c r="BF65" i="119" s="1"/>
  <c r="AG61" i="30" s="1"/>
  <c r="D27" i="2"/>
  <c r="H27" i="2"/>
  <c r="L27" i="2"/>
  <c r="P27" i="2"/>
  <c r="T27" i="2"/>
  <c r="AN55" i="119" s="1"/>
  <c r="X27" i="2"/>
  <c r="AR55" i="119" s="1"/>
  <c r="AB27" i="2"/>
  <c r="AV55" i="119" s="1"/>
  <c r="AF27" i="2"/>
  <c r="AZ55" i="119" s="1"/>
  <c r="AA53" i="30" s="1"/>
  <c r="AR27" i="2"/>
  <c r="BL55" i="119" s="1"/>
  <c r="AM53" i="30" s="1"/>
  <c r="AV27" i="2"/>
  <c r="BP55" i="119" s="1"/>
  <c r="AQ53" i="30" s="1"/>
  <c r="AZ27" i="2"/>
  <c r="BT55" i="119" s="1"/>
  <c r="AU53" i="30" s="1"/>
  <c r="EM18" i="1"/>
  <c r="EQ18" i="1"/>
  <c r="EU18" i="1"/>
  <c r="EY18" i="1"/>
  <c r="H67" i="6"/>
  <c r="P67" i="6"/>
  <c r="EF87" i="6"/>
  <c r="EF19" i="6"/>
  <c r="DV45" i="6"/>
  <c r="DY45" i="6"/>
  <c r="EC45" i="6"/>
  <c r="DV47" i="6"/>
  <c r="CD44" i="2"/>
  <c r="CX65" i="119" s="1"/>
  <c r="BY61" i="30" s="1"/>
  <c r="BO44" i="2"/>
  <c r="CI65" i="119" s="1"/>
  <c r="BJ61" i="30" s="1"/>
  <c r="CA61" i="2"/>
  <c r="BP61" i="2"/>
  <c r="V17" i="6"/>
  <c r="O49" i="6"/>
  <c r="DT81" i="6"/>
  <c r="ES18" i="1"/>
  <c r="EW18" i="1"/>
  <c r="GG18" i="1"/>
  <c r="BT32" i="3"/>
  <c r="CN97" i="119" s="1"/>
  <c r="BO88" i="30" s="1"/>
  <c r="BI23" i="3"/>
  <c r="FB23" i="3" s="1"/>
  <c r="AS49" i="6"/>
  <c r="EE90" i="6"/>
  <c r="EC50" i="6"/>
  <c r="DT51" i="6"/>
  <c r="EF52" i="6"/>
  <c r="EB54" i="6"/>
  <c r="EF54" i="6"/>
  <c r="C43" i="3"/>
  <c r="C48" i="3" s="1"/>
  <c r="B35" i="3"/>
  <c r="EH44" i="6"/>
  <c r="EG19" i="6"/>
  <c r="BT49" i="6"/>
  <c r="BP17" i="6"/>
  <c r="BM88" i="6"/>
  <c r="EH29" i="6"/>
  <c r="CJ23" i="3"/>
  <c r="CJ24" i="3" s="1"/>
  <c r="DD94" i="119" s="1"/>
  <c r="CE85" i="30" s="1"/>
  <c r="CK21" i="3"/>
  <c r="EJ44" i="6"/>
  <c r="EI19" i="6"/>
  <c r="FY18" i="1"/>
  <c r="FH22" i="1"/>
  <c r="W25" i="119" s="1"/>
  <c r="W25" i="30" s="1"/>
  <c r="EN18" i="1"/>
  <c r="ER18" i="1"/>
  <c r="EV18" i="1"/>
  <c r="EZ18" i="1"/>
  <c r="GS20" i="1"/>
  <c r="FI20" i="1"/>
  <c r="EZ93" i="2"/>
  <c r="CJ32" i="51"/>
  <c r="FP110" i="51" s="1"/>
  <c r="CF32" i="51"/>
  <c r="FP109" i="51" s="1"/>
  <c r="CE21" i="51"/>
  <c r="CE32" i="51"/>
  <c r="FO109" i="51" s="1"/>
  <c r="CK34" i="51"/>
  <c r="FW110" i="51" s="1"/>
  <c r="GR16" i="51"/>
  <c r="GR67" i="51" s="1"/>
  <c r="CG36" i="51"/>
  <c r="FQ127" i="51" s="1"/>
  <c r="CF36" i="51"/>
  <c r="FP127" i="51" s="1"/>
  <c r="FG16" i="51"/>
  <c r="CF25" i="51"/>
  <c r="BG92" i="2"/>
  <c r="CA50" i="119" s="1"/>
  <c r="BB48" i="30" s="1"/>
  <c r="FH49" i="2"/>
  <c r="CG61" i="2"/>
  <c r="GN22" i="1"/>
  <c r="BW23" i="51"/>
  <c r="AW37" i="51"/>
  <c r="BV25" i="51"/>
  <c r="BV21" i="51"/>
  <c r="EX14" i="51"/>
  <c r="EX43" i="51" s="1"/>
  <c r="EY14" i="51"/>
  <c r="GK14" i="51"/>
  <c r="GL14" i="51"/>
  <c r="FD14" i="51"/>
  <c r="FD65" i="51" s="1"/>
  <c r="CC23" i="51"/>
  <c r="BZ21" i="51"/>
  <c r="BD32" i="51"/>
  <c r="BQ32" i="51"/>
  <c r="CD32" i="51"/>
  <c r="FN109" i="51" s="1"/>
  <c r="CH32" i="51"/>
  <c r="FN110" i="51" s="1"/>
  <c r="CK32" i="51"/>
  <c r="FQ110" i="51" s="1"/>
  <c r="BQ25" i="51"/>
  <c r="GS12" i="51"/>
  <c r="GS64" i="51" s="1"/>
  <c r="GR12" i="51"/>
  <c r="GR64" i="51" s="1"/>
  <c r="CG32" i="51"/>
  <c r="FQ109" i="51" s="1"/>
  <c r="FG14" i="51"/>
  <c r="FG65" i="51" s="1"/>
  <c r="BL34" i="51"/>
  <c r="FF14" i="51"/>
  <c r="FF65" i="51" s="1"/>
  <c r="BQ23" i="51"/>
  <c r="GR14" i="51"/>
  <c r="GR65" i="51" s="1"/>
  <c r="GP14" i="51"/>
  <c r="GI14" i="51"/>
  <c r="FB14" i="51"/>
  <c r="FB65" i="51" s="1"/>
  <c r="CD34" i="51"/>
  <c r="FT109" i="51" s="1"/>
  <c r="CC34" i="51"/>
  <c r="FW108" i="51" s="1"/>
  <c r="FA14" i="51"/>
  <c r="FC14" i="51"/>
  <c r="FC65" i="51" s="1"/>
  <c r="GQ14" i="51"/>
  <c r="GQ65" i="51" s="1"/>
  <c r="CG34" i="51"/>
  <c r="FW109" i="51" s="1"/>
  <c r="BW32" i="51"/>
  <c r="FO107" i="51" s="1"/>
  <c r="AX32" i="51"/>
  <c r="CA32" i="51"/>
  <c r="FO108" i="51" s="1"/>
  <c r="BE32" i="51"/>
  <c r="FD12" i="51"/>
  <c r="FD64" i="51" s="1"/>
  <c r="BN21" i="51"/>
  <c r="EY12" i="51"/>
  <c r="BS32" i="51"/>
  <c r="FO106" i="51" s="1"/>
  <c r="BB32" i="51"/>
  <c r="BR21" i="51"/>
  <c r="EX12" i="51"/>
  <c r="EX41" i="51" s="1"/>
  <c r="GM12" i="51"/>
  <c r="FA12" i="51"/>
  <c r="AW32" i="51"/>
  <c r="BA32" i="51"/>
  <c r="BV32" i="51"/>
  <c r="FN107" i="51" s="1"/>
  <c r="BZ32" i="51"/>
  <c r="FN108" i="51" s="1"/>
  <c r="GQ12" i="51"/>
  <c r="GQ64" i="51" s="1"/>
  <c r="GO12" i="51"/>
  <c r="GO64" i="51" s="1"/>
  <c r="BI32" i="51"/>
  <c r="GJ12" i="51"/>
  <c r="BL32" i="51"/>
  <c r="FE12" i="51"/>
  <c r="FE64" i="51" s="1"/>
  <c r="GI12" i="51"/>
  <c r="BU32" i="51"/>
  <c r="FQ106" i="51" s="1"/>
  <c r="AZ32" i="51"/>
  <c r="CG21" i="51"/>
  <c r="BY21" i="51"/>
  <c r="BP21" i="51"/>
  <c r="BP24" i="51"/>
  <c r="FF12" i="51"/>
  <c r="FF64" i="51" s="1"/>
  <c r="GL12" i="51"/>
  <c r="FC12" i="51"/>
  <c r="FC64" i="51" s="1"/>
  <c r="BH32" i="51"/>
  <c r="AV32" i="51"/>
  <c r="CC21" i="51"/>
  <c r="BU21" i="51"/>
  <c r="EZ12" i="51"/>
  <c r="FG12" i="51"/>
  <c r="FG64" i="51" s="1"/>
  <c r="BQ21" i="51"/>
  <c r="CM33" i="51"/>
  <c r="FU94" i="51" s="1"/>
  <c r="FC13" i="51"/>
  <c r="FC63" i="51" s="1"/>
  <c r="BJ42" i="51"/>
  <c r="FD13" i="51"/>
  <c r="FD63" i="51" s="1"/>
  <c r="GN13" i="51"/>
  <c r="GO13" i="51"/>
  <c r="GO63" i="51" s="1"/>
  <c r="CI33" i="51"/>
  <c r="FU93" i="51" s="1"/>
  <c r="FF13" i="51"/>
  <c r="FF63" i="51" s="1"/>
  <c r="BW33" i="51"/>
  <c r="FU90" i="51" s="1"/>
  <c r="CH33" i="51"/>
  <c r="FT93" i="51" s="1"/>
  <c r="GR13" i="51"/>
  <c r="GR63" i="51" s="1"/>
  <c r="GP13" i="51"/>
  <c r="GP63" i="51" s="1"/>
  <c r="CI35" i="51"/>
  <c r="GQ13" i="51"/>
  <c r="GQ63" i="51" s="1"/>
  <c r="CD22" i="51"/>
  <c r="CE33" i="51"/>
  <c r="FU92" i="51" s="1"/>
  <c r="GL17" i="51"/>
  <c r="GL46" i="51" s="1"/>
  <c r="GN25" i="51"/>
  <c r="EY20" i="51"/>
  <c r="FD11" i="51"/>
  <c r="FD62" i="51" s="1"/>
  <c r="GJ20" i="51"/>
  <c r="BP20" i="51"/>
  <c r="GN11" i="51"/>
  <c r="BL31" i="51"/>
  <c r="BR31" i="51"/>
  <c r="FN89" i="51" s="1"/>
  <c r="BU20" i="51"/>
  <c r="EZ25" i="51"/>
  <c r="GR11" i="51"/>
  <c r="GR62" i="51" s="1"/>
  <c r="FF11" i="51"/>
  <c r="FF62" i="51" s="1"/>
  <c r="BX31" i="51"/>
  <c r="FP90" i="51" s="1"/>
  <c r="CG31" i="51"/>
  <c r="FQ92" i="51" s="1"/>
  <c r="GQ11" i="51"/>
  <c r="GQ62" i="51" s="1"/>
  <c r="CF35" i="51"/>
  <c r="CK31" i="51"/>
  <c r="FQ93" i="51" s="1"/>
  <c r="CC31" i="51"/>
  <c r="FQ91" i="51" s="1"/>
  <c r="CJ31" i="51"/>
  <c r="FP93" i="51" s="1"/>
  <c r="CB31" i="51"/>
  <c r="FP91" i="51" s="1"/>
  <c r="FE11" i="51"/>
  <c r="FE62" i="51" s="1"/>
  <c r="CB20" i="51"/>
  <c r="BX20" i="51"/>
  <c r="FB25" i="51"/>
  <c r="GL20" i="51"/>
  <c r="FC25" i="51"/>
  <c r="GP20" i="51"/>
  <c r="GM20" i="51"/>
  <c r="AV58" i="2"/>
  <c r="AZ58" i="2"/>
  <c r="BT76" i="119" s="1"/>
  <c r="BT58" i="2"/>
  <c r="CC27" i="2"/>
  <c r="CW55" i="119" s="1"/>
  <c r="BX53" i="30" s="1"/>
  <c r="CH91" i="2"/>
  <c r="DB49" i="119" s="1"/>
  <c r="CC47" i="30" s="1"/>
  <c r="BL61" i="2"/>
  <c r="FH57" i="2"/>
  <c r="CA44" i="2"/>
  <c r="CU65" i="119" s="1"/>
  <c r="BV61" i="30" s="1"/>
  <c r="BT27" i="2"/>
  <c r="CN55" i="119" s="1"/>
  <c r="BO53" i="30" s="1"/>
  <c r="BX61" i="2"/>
  <c r="BH61" i="2"/>
  <c r="BD27" i="2"/>
  <c r="BX55" i="119" s="1"/>
  <c r="AY53" i="30" s="1"/>
  <c r="BL27" i="2"/>
  <c r="CF55" i="119" s="1"/>
  <c r="BG53" i="30" s="1"/>
  <c r="BP27" i="2"/>
  <c r="CJ55" i="119" s="1"/>
  <c r="BK53" i="30" s="1"/>
  <c r="BX27" i="2"/>
  <c r="CR55" i="119" s="1"/>
  <c r="BS53" i="30" s="1"/>
  <c r="CI27" i="2"/>
  <c r="DC55" i="119" s="1"/>
  <c r="CD53" i="30" s="1"/>
  <c r="CK91" i="2"/>
  <c r="BW44" i="2"/>
  <c r="CQ65" i="119" s="1"/>
  <c r="BR61" i="30" s="1"/>
  <c r="CE44" i="2"/>
  <c r="CY65" i="119" s="1"/>
  <c r="BZ61" i="30" s="1"/>
  <c r="FD56" i="2"/>
  <c r="BT61" i="2"/>
  <c r="BW61" i="2"/>
  <c r="CG87" i="2"/>
  <c r="CF87" i="2"/>
  <c r="CZ46" i="119" s="1"/>
  <c r="CA44" i="30" s="1"/>
  <c r="FC49" i="2"/>
  <c r="B15" i="1"/>
  <c r="AX15" i="1"/>
  <c r="BR23" i="119" s="1"/>
  <c r="BF15" i="1"/>
  <c r="BZ23" i="119" s="1"/>
  <c r="CG20" i="1"/>
  <c r="FG20" i="1" s="1"/>
  <c r="BI37" i="51"/>
  <c r="AG37" i="51"/>
  <c r="FE62" i="2"/>
  <c r="AS26" i="51"/>
  <c r="BJ43" i="51"/>
  <c r="AK26" i="51"/>
  <c r="AO26" i="51"/>
  <c r="AW26" i="51"/>
  <c r="BA26" i="51"/>
  <c r="BE26" i="51"/>
  <c r="BJ37" i="51"/>
  <c r="AK37" i="51"/>
  <c r="BJ41" i="51"/>
  <c r="AH37" i="51"/>
  <c r="AP37" i="51"/>
  <c r="BB37" i="51"/>
  <c r="BF37" i="51"/>
  <c r="BA37" i="51"/>
  <c r="BJ40" i="51"/>
  <c r="BJ45" i="51"/>
  <c r="AO37" i="51"/>
  <c r="EB81" i="6"/>
  <c r="EX14" i="1"/>
  <c r="M18" i="119" s="1"/>
  <c r="EF81" i="6"/>
  <c r="DX84" i="6"/>
  <c r="GP14" i="1"/>
  <c r="DZ83" i="6"/>
  <c r="N164" i="119" s="1"/>
  <c r="N136" i="30" s="1"/>
  <c r="GO14" i="1"/>
  <c r="CO19" i="1"/>
  <c r="GC18" i="1"/>
  <c r="GK18" i="1"/>
  <c r="CG19" i="1"/>
  <c r="CG116" i="2" s="1"/>
  <c r="CD68" i="2"/>
  <c r="AX37" i="51"/>
  <c r="BD26" i="51"/>
  <c r="EP17" i="51"/>
  <c r="EQ17" i="51"/>
  <c r="GD17" i="51"/>
  <c r="GD46" i="51" s="1"/>
  <c r="AL26" i="51"/>
  <c r="AT26" i="51"/>
  <c r="BB26" i="51"/>
  <c r="BJ26" i="51"/>
  <c r="FC62" i="2"/>
  <c r="EO17" i="51"/>
  <c r="GA17" i="51"/>
  <c r="GA46" i="51" s="1"/>
  <c r="GC17" i="51"/>
  <c r="GC46" i="51" s="1"/>
  <c r="ES17" i="51"/>
  <c r="ET17" i="51"/>
  <c r="GF17" i="51"/>
  <c r="GF46" i="51" s="1"/>
  <c r="AQ26" i="51"/>
  <c r="AY37" i="51"/>
  <c r="EZ17" i="51"/>
  <c r="EZ46" i="51" s="1"/>
  <c r="BG26" i="51"/>
  <c r="GE17" i="51"/>
  <c r="GE46" i="51" s="1"/>
  <c r="AT37" i="51"/>
  <c r="AL37" i="51"/>
  <c r="FF62" i="2"/>
  <c r="EX63" i="2"/>
  <c r="AX26" i="51"/>
  <c r="AK68" i="2"/>
  <c r="EU63" i="2"/>
  <c r="FZ17" i="51"/>
  <c r="FZ46" i="51" s="1"/>
  <c r="BC37" i="51"/>
  <c r="GH16" i="1"/>
  <c r="GI16" i="1"/>
  <c r="GJ17" i="51"/>
  <c r="GJ46" i="51" s="1"/>
  <c r="GG17" i="51"/>
  <c r="GG46" i="51" s="1"/>
  <c r="BB27" i="2"/>
  <c r="BV55" i="119" s="1"/>
  <c r="AW53" i="30" s="1"/>
  <c r="BN27" i="2"/>
  <c r="CH55" i="119" s="1"/>
  <c r="BI53" i="30" s="1"/>
  <c r="BV27" i="2"/>
  <c r="CP55" i="119" s="1"/>
  <c r="BQ53" i="30" s="1"/>
  <c r="BZ27" i="2"/>
  <c r="CT55" i="119" s="1"/>
  <c r="BU53" i="30" s="1"/>
  <c r="FE25" i="2"/>
  <c r="EU49" i="2"/>
  <c r="ES57" i="2"/>
  <c r="ER49" i="2"/>
  <c r="EQ25" i="2"/>
  <c r="EP25" i="2"/>
  <c r="EP49" i="2"/>
  <c r="BV84" i="2"/>
  <c r="AY84" i="2"/>
  <c r="AU84" i="2"/>
  <c r="AH84" i="2"/>
  <c r="BU108" i="2"/>
  <c r="AW84" i="2"/>
  <c r="M68" i="2"/>
  <c r="AG68" i="2"/>
  <c r="EQ63" i="2"/>
  <c r="FB62" i="2"/>
  <c r="U68" i="2"/>
  <c r="AH81" i="2"/>
  <c r="EW18" i="2"/>
  <c r="K45" i="119" s="1"/>
  <c r="K43" i="30" s="1"/>
  <c r="EU57" i="2"/>
  <c r="BF81" i="2"/>
  <c r="AD68" i="2"/>
  <c r="EX18" i="2"/>
  <c r="L45" i="119" s="1"/>
  <c r="L43" i="30" s="1"/>
  <c r="ET57" i="2"/>
  <c r="DW44" i="6"/>
  <c r="EE35" i="6"/>
  <c r="EG90" i="6"/>
  <c r="DW88" i="6"/>
  <c r="DZ90" i="6"/>
  <c r="DX91" i="6"/>
  <c r="BG67" i="6"/>
  <c r="BN71" i="6"/>
  <c r="BI70" i="6"/>
  <c r="DU45" i="6"/>
  <c r="P17" i="6"/>
  <c r="DZ51" i="6"/>
  <c r="M49" i="6"/>
  <c r="DU44" i="6"/>
  <c r="DV87" i="6"/>
  <c r="DZ35" i="6"/>
  <c r="DZ93" i="6" s="1"/>
  <c r="EF53" i="6"/>
  <c r="EG53" i="6"/>
  <c r="EF36" i="6"/>
  <c r="BQ54" i="6"/>
  <c r="EE48" i="6"/>
  <c r="EF83" i="6"/>
  <c r="DW50" i="6"/>
  <c r="EF44" i="6"/>
  <c r="EC88" i="6"/>
  <c r="AC49" i="6"/>
  <c r="EF47" i="6"/>
  <c r="ED16" i="6"/>
  <c r="ED86" i="6" s="1"/>
  <c r="DS88" i="6"/>
  <c r="AF67" i="6"/>
  <c r="DZ50" i="6"/>
  <c r="DX44" i="6"/>
  <c r="BM91" i="6"/>
  <c r="EF90" i="6"/>
  <c r="AX67" i="6"/>
  <c r="EE44" i="6"/>
  <c r="DU48" i="6"/>
  <c r="DX35" i="6"/>
  <c r="DX93" i="6" s="1"/>
  <c r="DV50" i="6"/>
  <c r="DY50" i="6"/>
  <c r="EC53" i="6"/>
  <c r="EE45" i="6"/>
  <c r="DW48" i="6"/>
  <c r="EB35" i="6"/>
  <c r="EB93" i="6" s="1"/>
  <c r="DS35" i="6"/>
  <c r="DS93" i="6" s="1"/>
  <c r="DU54" i="6"/>
  <c r="EI45" i="6"/>
  <c r="BO67" i="6"/>
  <c r="BN72" i="6"/>
  <c r="ED84" i="6"/>
  <c r="DV84" i="6"/>
  <c r="ED82" i="6"/>
  <c r="BI50" i="6"/>
  <c r="DV44" i="6"/>
  <c r="EF89" i="6"/>
  <c r="ED90" i="6"/>
  <c r="EB91" i="6"/>
  <c r="EF91" i="6"/>
  <c r="DT53" i="6"/>
  <c r="BO17" i="6"/>
  <c r="EH36" i="6"/>
  <c r="DT47" i="6"/>
  <c r="EC47" i="6"/>
  <c r="DT48" i="6"/>
  <c r="EF48" i="6"/>
  <c r="EA51" i="6"/>
  <c r="ED88" i="6"/>
  <c r="DZ53" i="6"/>
  <c r="DZ54" i="6"/>
  <c r="L49" i="6"/>
  <c r="U67" i="6"/>
  <c r="Y67" i="6"/>
  <c r="AC67" i="6"/>
  <c r="AO49" i="6"/>
  <c r="DZ44" i="6"/>
  <c r="DZ47" i="6"/>
  <c r="DV90" i="6"/>
  <c r="DX54" i="6"/>
  <c r="EA45" i="6"/>
  <c r="EA48" i="6"/>
  <c r="DT35" i="6"/>
  <c r="DT93" i="6" s="1"/>
  <c r="EH88" i="6"/>
  <c r="EC91" i="6"/>
  <c r="BI67" i="6"/>
  <c r="EH89" i="6"/>
  <c r="BR67" i="6"/>
  <c r="BU49" i="6"/>
  <c r="BR70" i="6"/>
  <c r="BU52" i="6"/>
  <c r="BI72" i="6"/>
  <c r="BM54" i="6"/>
  <c r="BI87" i="6"/>
  <c r="DU91" i="6"/>
  <c r="EF50" i="6"/>
  <c r="AJ67" i="6"/>
  <c r="DW45" i="6"/>
  <c r="DW47" i="6"/>
  <c r="DU88" i="6"/>
  <c r="EA35" i="6"/>
  <c r="EA93" i="6" s="1"/>
  <c r="DW35" i="6"/>
  <c r="DW93" i="6" s="1"/>
  <c r="D67" i="6"/>
  <c r="DY47" i="6"/>
  <c r="EC48" i="6"/>
  <c r="BI49" i="6"/>
  <c r="EE53" i="6"/>
  <c r="BF67" i="6"/>
  <c r="DT91" i="6"/>
  <c r="EB48" i="6"/>
  <c r="EC54" i="6"/>
  <c r="BQ49" i="6"/>
  <c r="BQ89" i="6"/>
  <c r="BR71" i="6"/>
  <c r="BU53" i="6"/>
  <c r="DY83" i="6"/>
  <c r="M164" i="119" s="1"/>
  <c r="M136" i="30" s="1"/>
  <c r="BQ52" i="6"/>
  <c r="BN69" i="6"/>
  <c r="ED81" i="6"/>
  <c r="DZ84" i="6"/>
  <c r="EG33" i="6"/>
  <c r="BJ68" i="6"/>
  <c r="DU35" i="6"/>
  <c r="DU93" i="6" s="1"/>
  <c r="DV53" i="6"/>
  <c r="AP67" i="6"/>
  <c r="DZ45" i="6"/>
  <c r="DV48" i="6"/>
  <c r="EA88" i="6"/>
  <c r="DW91" i="6"/>
  <c r="EE51" i="6"/>
  <c r="DV51" i="6"/>
  <c r="DY87" i="6"/>
  <c r="AO17" i="6"/>
  <c r="T17" i="6"/>
  <c r="EG46" i="6"/>
  <c r="EB90" i="6"/>
  <c r="EA54" i="6"/>
  <c r="AS67" i="6"/>
  <c r="AB49" i="6"/>
  <c r="EB47" i="6"/>
  <c r="DZ48" i="6"/>
  <c r="DY53" i="6"/>
  <c r="ED35" i="6"/>
  <c r="DV35" i="6"/>
  <c r="DV93" i="6" s="1"/>
  <c r="DT54" i="6"/>
  <c r="EI44" i="6"/>
  <c r="BR68" i="6"/>
  <c r="BU50" i="6"/>
  <c r="BR72" i="6"/>
  <c r="BU54" i="6"/>
  <c r="BS67" i="6"/>
  <c r="EJ16" i="6"/>
  <c r="EJ85" i="6" s="1"/>
  <c r="X176" i="119" s="1"/>
  <c r="BQ51" i="6"/>
  <c r="BJ72" i="6"/>
  <c r="BM35" i="6"/>
  <c r="BM93" i="6" s="1"/>
  <c r="BI68" i="6"/>
  <c r="BM50" i="6"/>
  <c r="DU87" i="6"/>
  <c r="DY44" i="6"/>
  <c r="EH45" i="6"/>
  <c r="DY88" i="6"/>
  <c r="DW54" i="6"/>
  <c r="DW53" i="6"/>
  <c r="DV88" i="6"/>
  <c r="BI35" i="6"/>
  <c r="BI93" i="6" s="1"/>
  <c r="AJ49" i="6"/>
  <c r="DY90" i="6"/>
  <c r="EB51" i="6"/>
  <c r="BQ17" i="6"/>
  <c r="BR69" i="6"/>
  <c r="BU51" i="6"/>
  <c r="AI68" i="2"/>
  <c r="EV18" i="2"/>
  <c r="J45" i="119" s="1"/>
  <c r="J43" i="30" s="1"/>
  <c r="ES18" i="2"/>
  <c r="G45" i="119" s="1"/>
  <c r="G43" i="30" s="1"/>
  <c r="FA18" i="2"/>
  <c r="O45" i="119" s="1"/>
  <c r="O43" i="30" s="1"/>
  <c r="FF63" i="2"/>
  <c r="CI108" i="2"/>
  <c r="AM68" i="2"/>
  <c r="AE68" i="2"/>
  <c r="G68" i="2"/>
  <c r="P68" i="2"/>
  <c r="D68" i="2"/>
  <c r="BG68" i="2"/>
  <c r="R84" i="2"/>
  <c r="EQ57" i="2"/>
  <c r="EP57" i="2"/>
  <c r="DT80" i="6"/>
  <c r="DX83" i="6"/>
  <c r="L164" i="119" s="1"/>
  <c r="L136" i="30" s="1"/>
  <c r="EB83" i="6"/>
  <c r="P164" i="119" s="1"/>
  <c r="P136" i="30" s="1"/>
  <c r="FA11" i="1"/>
  <c r="EB84" i="6"/>
  <c r="EF84" i="6"/>
  <c r="FZ11" i="1"/>
  <c r="GD11" i="1"/>
  <c r="GH11" i="1"/>
  <c r="J15" i="1"/>
  <c r="AD15" i="1"/>
  <c r="AX23" i="119" s="1"/>
  <c r="AP15" i="1"/>
  <c r="BJ23" i="119" s="1"/>
  <c r="BZ15" i="1"/>
  <c r="CT23" i="119" s="1"/>
  <c r="GG14" i="1"/>
  <c r="GN14" i="1"/>
  <c r="EZ11" i="1"/>
  <c r="EE80" i="6"/>
  <c r="EE83" i="6"/>
  <c r="GO11" i="1"/>
  <c r="BQ15" i="1"/>
  <c r="CK23" i="119" s="1"/>
  <c r="FA14" i="1"/>
  <c r="EO14" i="1"/>
  <c r="FZ14" i="1"/>
  <c r="L15" i="1"/>
  <c r="T15" i="1"/>
  <c r="AN23" i="119" s="1"/>
  <c r="AN268" i="119" s="1"/>
  <c r="X15" i="1"/>
  <c r="AR23" i="119" s="1"/>
  <c r="AR268" i="119" s="1"/>
  <c r="EG36" i="6"/>
  <c r="EV14" i="1"/>
  <c r="K18" i="119" s="1"/>
  <c r="FY14" i="1"/>
  <c r="FW14" i="1"/>
  <c r="FW65" i="1" s="1"/>
  <c r="FZ18" i="1"/>
  <c r="GD18" i="1"/>
  <c r="GH18" i="1"/>
  <c r="N68" i="2"/>
  <c r="FG49" i="2"/>
  <c r="CC108" i="2"/>
  <c r="CD108" i="2"/>
  <c r="AD51" i="2"/>
  <c r="AX70" i="119" s="1"/>
  <c r="Y66" i="30" s="1"/>
  <c r="BB68" i="2"/>
  <c r="BJ51" i="2"/>
  <c r="CD70" i="119" s="1"/>
  <c r="BE66" i="30" s="1"/>
  <c r="CJ58" i="2"/>
  <c r="DD76" i="119" s="1"/>
  <c r="FC56" i="2"/>
  <c r="EO62" i="2"/>
  <c r="ES62" i="2"/>
  <c r="EX62" i="2"/>
  <c r="EN63" i="2"/>
  <c r="Y61" i="2"/>
  <c r="AC61" i="2"/>
  <c r="AG61" i="2"/>
  <c r="AO61" i="2"/>
  <c r="AS61" i="2"/>
  <c r="AO44" i="2"/>
  <c r="BI65" i="119" s="1"/>
  <c r="AJ61" i="30" s="1"/>
  <c r="AW44" i="2"/>
  <c r="BQ65" i="119" s="1"/>
  <c r="AR61" i="30" s="1"/>
  <c r="E51" i="2"/>
  <c r="Q51" i="2"/>
  <c r="EY57" i="2"/>
  <c r="BH108" i="2"/>
  <c r="BG108" i="2"/>
  <c r="BL108" i="2"/>
  <c r="BK108" i="2"/>
  <c r="BK107" i="2"/>
  <c r="BW108" i="2"/>
  <c r="BX108" i="2"/>
  <c r="FI49" i="2"/>
  <c r="CG107" i="2"/>
  <c r="CE61" i="2"/>
  <c r="U87" i="2"/>
  <c r="AO46" i="119" s="1"/>
  <c r="EZ25" i="2"/>
  <c r="FG25" i="2"/>
  <c r="CG44" i="2"/>
  <c r="DA65" i="119" s="1"/>
  <c r="CB61" i="30" s="1"/>
  <c r="EY25" i="2"/>
  <c r="FG57" i="2"/>
  <c r="CC58" i="2"/>
  <c r="V68" i="2"/>
  <c r="CC107" i="2"/>
  <c r="BE44" i="2"/>
  <c r="BY65" i="119" s="1"/>
  <c r="AZ61" i="30" s="1"/>
  <c r="BU44" i="2"/>
  <c r="CO65" i="119" s="1"/>
  <c r="BP61" i="30" s="1"/>
  <c r="BU61" i="2"/>
  <c r="BY61" i="2"/>
  <c r="BY44" i="2"/>
  <c r="CS65" i="119" s="1"/>
  <c r="BT61" i="30" s="1"/>
  <c r="BF27" i="2"/>
  <c r="BZ55" i="119" s="1"/>
  <c r="BA53" i="30" s="1"/>
  <c r="BJ27" i="2"/>
  <c r="CD55" i="119" s="1"/>
  <c r="BE53" i="30" s="1"/>
  <c r="FE56" i="2"/>
  <c r="FF57" i="2"/>
  <c r="FF56" i="2"/>
  <c r="BO87" i="2"/>
  <c r="CI46" i="119" s="1"/>
  <c r="BJ44" i="30" s="1"/>
  <c r="BS87" i="2"/>
  <c r="CM46" i="119" s="1"/>
  <c r="BN44" i="30" s="1"/>
  <c r="CA87" i="2"/>
  <c r="CU46" i="119" s="1"/>
  <c r="BV44" i="30" s="1"/>
  <c r="BW91" i="2"/>
  <c r="CQ49" i="119" s="1"/>
  <c r="BR47" i="30" s="1"/>
  <c r="BU91" i="2"/>
  <c r="CO49" i="119" s="1"/>
  <c r="BP47" i="30" s="1"/>
  <c r="BE91" i="2"/>
  <c r="BY49" i="119" s="1"/>
  <c r="AZ47" i="30" s="1"/>
  <c r="BI91" i="2"/>
  <c r="CC49" i="119" s="1"/>
  <c r="BD47" i="30" s="1"/>
  <c r="EV25" i="2"/>
  <c r="EV93" i="2"/>
  <c r="EV91" i="2" s="1"/>
  <c r="ES89" i="2"/>
  <c r="ES25" i="2"/>
  <c r="EN89" i="2"/>
  <c r="EN87" i="2" s="1"/>
  <c r="EN25" i="2"/>
  <c r="FG56" i="2"/>
  <c r="EO91" i="2"/>
  <c r="EW49" i="2"/>
  <c r="C58" i="2"/>
  <c r="C59" i="2" s="1"/>
  <c r="G58" i="2"/>
  <c r="G59" i="2" s="1"/>
  <c r="K58" i="2"/>
  <c r="K59" i="2" s="1"/>
  <c r="O58" i="2"/>
  <c r="O59" i="2" s="1"/>
  <c r="S58" i="2"/>
  <c r="AM76" i="119" s="1"/>
  <c r="AM264" i="119" s="1"/>
  <c r="W58" i="2"/>
  <c r="AQ76" i="119" s="1"/>
  <c r="AQ264" i="119" s="1"/>
  <c r="AA58" i="2"/>
  <c r="AU76" i="119" s="1"/>
  <c r="AU264" i="119" s="1"/>
  <c r="AE58" i="2"/>
  <c r="AY76" i="119" s="1"/>
  <c r="AI58" i="2"/>
  <c r="AM58" i="2"/>
  <c r="AQ58" i="2"/>
  <c r="AU58" i="2"/>
  <c r="BO76" i="119" s="1"/>
  <c r="AY58" i="2"/>
  <c r="BS76" i="119" s="1"/>
  <c r="BC58" i="2"/>
  <c r="BG58" i="2"/>
  <c r="BK58" i="2"/>
  <c r="CE76" i="119" s="1"/>
  <c r="BO58" i="2"/>
  <c r="BS58" i="2"/>
  <c r="FA49" i="2"/>
  <c r="FB49" i="2"/>
  <c r="EP87" i="2"/>
  <c r="EO18" i="2"/>
  <c r="FH56" i="2"/>
  <c r="CH58" i="2"/>
  <c r="DB76" i="119" s="1"/>
  <c r="CK87" i="2"/>
  <c r="CG27" i="2"/>
  <c r="DA55" i="119" s="1"/>
  <c r="CB53" i="30" s="1"/>
  <c r="CG91" i="2"/>
  <c r="CK27" i="2"/>
  <c r="DE55" i="119" s="1"/>
  <c r="CF53" i="30" s="1"/>
  <c r="CJ27" i="2"/>
  <c r="DD55" i="119" s="1"/>
  <c r="CE53" i="30" s="1"/>
  <c r="FB25" i="2"/>
  <c r="FB56" i="2"/>
  <c r="FC57" i="2"/>
  <c r="BB44" i="2"/>
  <c r="BV65" i="119" s="1"/>
  <c r="AW61" i="30" s="1"/>
  <c r="BF44" i="2"/>
  <c r="BZ65" i="119" s="1"/>
  <c r="BA61" i="30" s="1"/>
  <c r="BN44" i="2"/>
  <c r="CH65" i="119" s="1"/>
  <c r="BI61" i="30" s="1"/>
  <c r="BR44" i="2"/>
  <c r="CL65" i="119" s="1"/>
  <c r="BM61" i="30" s="1"/>
  <c r="BK61" i="2"/>
  <c r="BO61" i="2"/>
  <c r="FA56" i="2"/>
  <c r="FC25" i="2"/>
  <c r="AY92" i="2"/>
  <c r="BS50" i="119" s="1"/>
  <c r="AT48" i="30" s="1"/>
  <c r="AQ92" i="2"/>
  <c r="AP61" i="2"/>
  <c r="I58" i="2"/>
  <c r="I59" i="2" s="1"/>
  <c r="U58" i="2"/>
  <c r="AO76" i="119" s="1"/>
  <c r="AO264" i="119" s="1"/>
  <c r="Y58" i="2"/>
  <c r="AK58" i="2"/>
  <c r="AO58" i="2"/>
  <c r="BS92" i="2"/>
  <c r="BC92" i="2"/>
  <c r="BW50" i="119" s="1"/>
  <c r="AX48" i="30" s="1"/>
  <c r="AM92" i="2"/>
  <c r="BG50" i="119" s="1"/>
  <c r="AH48" i="30" s="1"/>
  <c r="AA92" i="2"/>
  <c r="AU50" i="119" s="1"/>
  <c r="BC27" i="2"/>
  <c r="BW55" i="119" s="1"/>
  <c r="AX53" i="30" s="1"/>
  <c r="BG27" i="2"/>
  <c r="CA55" i="119" s="1"/>
  <c r="BB53" i="30" s="1"/>
  <c r="BK27" i="2"/>
  <c r="CE55" i="119" s="1"/>
  <c r="BF53" i="30" s="1"/>
  <c r="BO27" i="2"/>
  <c r="CI55" i="119" s="1"/>
  <c r="BJ53" i="30" s="1"/>
  <c r="BS27" i="2"/>
  <c r="CM55" i="119" s="1"/>
  <c r="BN53" i="30" s="1"/>
  <c r="BW27" i="2"/>
  <c r="CQ55" i="119" s="1"/>
  <c r="BR53" i="30" s="1"/>
  <c r="AW87" i="2"/>
  <c r="BQ46" i="119" s="1"/>
  <c r="AR44" i="30" s="1"/>
  <c r="FW18" i="1"/>
  <c r="GE18" i="1"/>
  <c r="EE36" i="6"/>
  <c r="BQ67" i="6"/>
  <c r="BC49" i="6"/>
  <c r="BB49" i="6"/>
  <c r="BD49" i="6"/>
  <c r="BG49" i="6"/>
  <c r="BH67" i="6"/>
  <c r="BJ67" i="6"/>
  <c r="BP67" i="6"/>
  <c r="AZ49" i="6"/>
  <c r="EZ11" i="51"/>
  <c r="BU31" i="51"/>
  <c r="FQ89" i="51" s="1"/>
  <c r="EY25" i="51"/>
  <c r="CU8" i="1"/>
  <c r="CQ9" i="2"/>
  <c r="CQ9" i="51"/>
  <c r="FG14" i="1"/>
  <c r="V18" i="119" s="1"/>
  <c r="DU80" i="6"/>
  <c r="DU83" i="6"/>
  <c r="I164" i="119" s="1"/>
  <c r="I136" i="30" s="1"/>
  <c r="DU81" i="6"/>
  <c r="DY81" i="6"/>
  <c r="DY80" i="6"/>
  <c r="EX11" i="1"/>
  <c r="EC83" i="6"/>
  <c r="Q164" i="119" s="1"/>
  <c r="Q136" i="30" s="1"/>
  <c r="EC80" i="6"/>
  <c r="EC81" i="6"/>
  <c r="GE11" i="1"/>
  <c r="GI11" i="1"/>
  <c r="GM11" i="1"/>
  <c r="AQ15" i="1"/>
  <c r="BK23" i="119" s="1"/>
  <c r="EM14" i="1"/>
  <c r="EM65" i="1" s="1"/>
  <c r="EQ14" i="1"/>
  <c r="F18" i="119" s="1"/>
  <c r="F18" i="30" s="1"/>
  <c r="FX14" i="1"/>
  <c r="GB14" i="1"/>
  <c r="GH14" i="1"/>
  <c r="GD14" i="1"/>
  <c r="AJ15" i="1"/>
  <c r="BD23" i="119" s="1"/>
  <c r="AN15" i="1"/>
  <c r="BH23" i="119" s="1"/>
  <c r="BD15" i="1"/>
  <c r="BX23" i="119" s="1"/>
  <c r="BP15" i="1"/>
  <c r="CJ23" i="119" s="1"/>
  <c r="FA62" i="2"/>
  <c r="AR68" i="2"/>
  <c r="AZ68" i="2"/>
  <c r="CI15" i="1"/>
  <c r="ET11" i="1"/>
  <c r="EY11" i="1"/>
  <c r="FX11" i="1"/>
  <c r="AC15" i="1"/>
  <c r="AW23" i="119" s="1"/>
  <c r="AW268" i="119" s="1"/>
  <c r="BM15" i="1"/>
  <c r="CG23" i="119" s="1"/>
  <c r="GJ18" i="1"/>
  <c r="GQ11" i="1"/>
  <c r="GQ14" i="1"/>
  <c r="GB11" i="1"/>
  <c r="FC11" i="1"/>
  <c r="EP14" i="1"/>
  <c r="FB14" i="1"/>
  <c r="EN62" i="2"/>
  <c r="EP62" i="2"/>
  <c r="EQ62" i="2"/>
  <c r="ER62" i="2"/>
  <c r="ET62" i="2"/>
  <c r="EU62" i="2"/>
  <c r="EW62" i="2"/>
  <c r="EY62" i="2"/>
  <c r="EZ62" i="2"/>
  <c r="EO63" i="2"/>
  <c r="EP63" i="2"/>
  <c r="ES63" i="2"/>
  <c r="ET63" i="2"/>
  <c r="EZ63" i="2"/>
  <c r="FH14" i="1"/>
  <c r="W18" i="119" s="1"/>
  <c r="AV15" i="1"/>
  <c r="BP23" i="119" s="1"/>
  <c r="FD14" i="1"/>
  <c r="EN11" i="1"/>
  <c r="DS83" i="6"/>
  <c r="G164" i="119" s="1"/>
  <c r="G136" i="30" s="1"/>
  <c r="DS81" i="6"/>
  <c r="DS84" i="6"/>
  <c r="DS80" i="6"/>
  <c r="ER11" i="1"/>
  <c r="DW84" i="6"/>
  <c r="DW80" i="6"/>
  <c r="DW81" i="6"/>
  <c r="DW83" i="6"/>
  <c r="K164" i="119" s="1"/>
  <c r="K136" i="30" s="1"/>
  <c r="EA83" i="6"/>
  <c r="O164" i="119" s="1"/>
  <c r="O136" i="30" s="1"/>
  <c r="EA84" i="6"/>
  <c r="EA81" i="6"/>
  <c r="EA80" i="6"/>
  <c r="EE82" i="6"/>
  <c r="EE81" i="6"/>
  <c r="EE84" i="6"/>
  <c r="EN14" i="1"/>
  <c r="ER14" i="1"/>
  <c r="G18" i="119" s="1"/>
  <c r="GQ22" i="1"/>
  <c r="BN18" i="1"/>
  <c r="FF64" i="2"/>
  <c r="AF15" i="1"/>
  <c r="AZ23" i="119" s="1"/>
  <c r="AZ15" i="1"/>
  <c r="BT23" i="119" s="1"/>
  <c r="BH15" i="1"/>
  <c r="CB23" i="119" s="1"/>
  <c r="BE37" i="51"/>
  <c r="FF91" i="2"/>
  <c r="CJ44" i="2"/>
  <c r="CJ87" i="2"/>
  <c r="DD46" i="119" s="1"/>
  <c r="CE44" i="30" s="1"/>
  <c r="FI56" i="2"/>
  <c r="CH27" i="2"/>
  <c r="DB55" i="119" s="1"/>
  <c r="CC53" i="30" s="1"/>
  <c r="FI57" i="2"/>
  <c r="AG87" i="2"/>
  <c r="BA46" i="119" s="1"/>
  <c r="AB44" i="30" s="1"/>
  <c r="CM107" i="2"/>
  <c r="CJ108" i="2"/>
  <c r="BR81" i="2"/>
  <c r="AE92" i="2"/>
  <c r="AY50" i="119" s="1"/>
  <c r="Z48" i="30" s="1"/>
  <c r="CL58" i="2"/>
  <c r="DF76" i="119" s="1"/>
  <c r="DF264" i="119" s="1"/>
  <c r="CL81" i="2"/>
  <c r="BD87" i="2"/>
  <c r="BX46" i="119" s="1"/>
  <c r="AY44" i="30" s="1"/>
  <c r="AS44" i="2"/>
  <c r="BM65" i="119" s="1"/>
  <c r="AN61" i="30" s="1"/>
  <c r="EP56" i="2"/>
  <c r="EX25" i="2"/>
  <c r="EW25" i="2"/>
  <c r="ET25" i="2"/>
  <c r="ER25" i="2"/>
  <c r="BO92" i="2"/>
  <c r="CI50" i="119" s="1"/>
  <c r="BJ48" i="30" s="1"/>
  <c r="BK92" i="2"/>
  <c r="CE50" i="119" s="1"/>
  <c r="BF48" i="30" s="1"/>
  <c r="AU92" i="2"/>
  <c r="BO50" i="119" s="1"/>
  <c r="AP48" i="30" s="1"/>
  <c r="AI92" i="2"/>
  <c r="W92" i="2"/>
  <c r="CL27" i="2"/>
  <c r="DF55" i="119" s="1"/>
  <c r="ER18" i="2"/>
  <c r="F45" i="119" s="1"/>
  <c r="F43" i="30" s="1"/>
  <c r="BV81" i="2"/>
  <c r="BA84" i="2"/>
  <c r="AP84" i="2"/>
  <c r="F84" i="2"/>
  <c r="CL87" i="2"/>
  <c r="DF46" i="119" s="1"/>
  <c r="BS68" i="2"/>
  <c r="CA68" i="2"/>
  <c r="BR68" i="2"/>
  <c r="CE68" i="2"/>
  <c r="BD68" i="2"/>
  <c r="AF68" i="2"/>
  <c r="X68" i="2"/>
  <c r="R68" i="2"/>
  <c r="F68" i="2"/>
  <c r="CL84" i="2"/>
  <c r="BV68" i="2"/>
  <c r="H68" i="2"/>
  <c r="T68" i="2"/>
  <c r="AJ68" i="2"/>
  <c r="AX68" i="2"/>
  <c r="BJ68" i="2"/>
  <c r="CB68" i="2"/>
  <c r="AB68" i="2"/>
  <c r="AP68" i="2"/>
  <c r="AH68" i="2"/>
  <c r="BC68" i="2"/>
  <c r="BN68" i="2"/>
  <c r="CH68" i="2"/>
  <c r="AA15" i="1"/>
  <c r="AU23" i="119" s="1"/>
  <c r="AU268" i="119" s="1"/>
  <c r="BS15" i="1"/>
  <c r="CM23" i="119" s="1"/>
  <c r="P15" i="1"/>
  <c r="AR15" i="1"/>
  <c r="BL23" i="119" s="1"/>
  <c r="BP68" i="2"/>
  <c r="AN68" i="2"/>
  <c r="AV68" i="2"/>
  <c r="FG63" i="2"/>
  <c r="FG68" i="2" s="1"/>
  <c r="AT68" i="2"/>
  <c r="CE15" i="1"/>
  <c r="AY15" i="1"/>
  <c r="BS23" i="119" s="1"/>
  <c r="D15" i="1"/>
  <c r="GB17" i="51"/>
  <c r="GB46" i="51" s="1"/>
  <c r="EX13" i="51"/>
  <c r="EX42" i="51" s="1"/>
  <c r="BZ33" i="51"/>
  <c r="FT91" i="51" s="1"/>
  <c r="CD33" i="51"/>
  <c r="FT92" i="51" s="1"/>
  <c r="CI36" i="51"/>
  <c r="FO128" i="51" s="1"/>
  <c r="GK12" i="51"/>
  <c r="GJ14" i="51"/>
  <c r="BQ34" i="51"/>
  <c r="BY34" i="51"/>
  <c r="FW107" i="51" s="1"/>
  <c r="CF34" i="51"/>
  <c r="FV109" i="51" s="1"/>
  <c r="GJ16" i="51"/>
  <c r="BS36" i="51"/>
  <c r="FO124" i="51" s="1"/>
  <c r="FI18" i="3"/>
  <c r="D28" i="3"/>
  <c r="E28" i="3" s="1"/>
  <c r="C35" i="3"/>
  <c r="G79" i="2"/>
  <c r="H28" i="3"/>
  <c r="BL24" i="3"/>
  <c r="CF94" i="119" s="1"/>
  <c r="BG85" i="30" s="1"/>
  <c r="BM20" i="3"/>
  <c r="E38" i="3"/>
  <c r="EN38" i="3" s="1"/>
  <c r="BY34" i="3"/>
  <c r="H79" i="2"/>
  <c r="I12" i="3"/>
  <c r="EO12" i="3" s="1"/>
  <c r="H16" i="1"/>
  <c r="BO24" i="3"/>
  <c r="CI94" i="119" s="1"/>
  <c r="BJ85" i="30" s="1"/>
  <c r="FA42" i="3"/>
  <c r="BG80" i="2"/>
  <c r="AY28" i="3"/>
  <c r="BS100" i="119" s="1"/>
  <c r="AT91" i="30" s="1"/>
  <c r="BQ20" i="3"/>
  <c r="FD20" i="3" s="1"/>
  <c r="FC34" i="3"/>
  <c r="BY45" i="3"/>
  <c r="FF45" i="3" s="1"/>
  <c r="FH21" i="3"/>
  <c r="FB18" i="3"/>
  <c r="BY17" i="3"/>
  <c r="FF17" i="3" s="1"/>
  <c r="J81" i="2"/>
  <c r="L28" i="3"/>
  <c r="BM29" i="3"/>
  <c r="FC29" i="3" s="1"/>
  <c r="BL13" i="3"/>
  <c r="BU14" i="3"/>
  <c r="BE30" i="3"/>
  <c r="FA30" i="3" s="1"/>
  <c r="BD38" i="3"/>
  <c r="AB32" i="3"/>
  <c r="AV97" i="119" s="1"/>
  <c r="S28" i="3"/>
  <c r="AM100" i="119" s="1"/>
  <c r="AE28" i="3"/>
  <c r="AY100" i="119" s="1"/>
  <c r="Z91" i="30" s="1"/>
  <c r="AA24" i="3"/>
  <c r="AU94" i="119" s="1"/>
  <c r="AQ24" i="3"/>
  <c r="BK94" i="119" s="1"/>
  <c r="AL85" i="30" s="1"/>
  <c r="CD81" i="2"/>
  <c r="BC79" i="2"/>
  <c r="BC84" i="2" s="1"/>
  <c r="BD13" i="3"/>
  <c r="BX95" i="119" s="1"/>
  <c r="AY86" i="30" s="1"/>
  <c r="BH28" i="3"/>
  <c r="CB100" i="119" s="1"/>
  <c r="BC91" i="30" s="1"/>
  <c r="BH43" i="3"/>
  <c r="BT43" i="3"/>
  <c r="CN104" i="119" s="1"/>
  <c r="BO95" i="30" s="1"/>
  <c r="AK43" i="3"/>
  <c r="AB38" i="3"/>
  <c r="AV103" i="119" s="1"/>
  <c r="CF13" i="3"/>
  <c r="CZ95" i="119" s="1"/>
  <c r="CA86" i="30" s="1"/>
  <c r="CJ38" i="3"/>
  <c r="BK24" i="3"/>
  <c r="CE94" i="119" s="1"/>
  <c r="BF85" i="30" s="1"/>
  <c r="BD33" i="3"/>
  <c r="ET31" i="3"/>
  <c r="H98" i="119" s="1"/>
  <c r="H89" i="30" s="1"/>
  <c r="AZ31" i="3"/>
  <c r="BT98" i="119" s="1"/>
  <c r="AU89" i="30" s="1"/>
  <c r="V35" i="3"/>
  <c r="AP101" i="119" s="1"/>
  <c r="CM34" i="3"/>
  <c r="DG100" i="119" s="1"/>
  <c r="BI40" i="3"/>
  <c r="FB40" i="3" s="1"/>
  <c r="BX13" i="3"/>
  <c r="CR95" i="119" s="1"/>
  <c r="BS86" i="30" s="1"/>
  <c r="CA24" i="3"/>
  <c r="CU94" i="119" s="1"/>
  <c r="BV85" i="30" s="1"/>
  <c r="BX43" i="3"/>
  <c r="CR104" i="119" s="1"/>
  <c r="BS95" i="30" s="1"/>
  <c r="T12" i="3"/>
  <c r="AN93" i="119" s="1"/>
  <c r="S38" i="3"/>
  <c r="AM103" i="119" s="1"/>
  <c r="EZ24" i="3"/>
  <c r="N94" i="119" s="1"/>
  <c r="N85" i="30" s="1"/>
  <c r="CI24" i="3"/>
  <c r="DC94" i="119" s="1"/>
  <c r="CD85" i="30" s="1"/>
  <c r="CJ33" i="3"/>
  <c r="DD98" i="119" s="1"/>
  <c r="CE89" i="30" s="1"/>
  <c r="Z81" i="2"/>
  <c r="FJ33" i="2"/>
  <c r="AP81" i="2"/>
  <c r="CD84" i="2"/>
  <c r="BN25" i="3"/>
  <c r="CH96" i="119" s="1"/>
  <c r="BI87" i="30" s="1"/>
  <c r="O81" i="2"/>
  <c r="CN36" i="51"/>
  <c r="FP129" i="51" s="1"/>
  <c r="CM36" i="51"/>
  <c r="FO129" i="51" s="1"/>
  <c r="BO24" i="51"/>
  <c r="CM32" i="51"/>
  <c r="FO111" i="51" s="1"/>
  <c r="GS13" i="51"/>
  <c r="GS63" i="51" s="1"/>
  <c r="BP35" i="51"/>
  <c r="FA25" i="51"/>
  <c r="CO16" i="51"/>
  <c r="CO67" i="51" s="1"/>
  <c r="BQ20" i="51"/>
  <c r="BR35" i="51"/>
  <c r="BY20" i="51"/>
  <c r="BY35" i="51"/>
  <c r="FG11" i="51"/>
  <c r="FG62" i="51" s="1"/>
  <c r="CG20" i="51"/>
  <c r="BP32" i="51"/>
  <c r="GN12" i="51"/>
  <c r="BX32" i="51"/>
  <c r="FP107" i="51" s="1"/>
  <c r="GP12" i="51"/>
  <c r="GP64" i="51" s="1"/>
  <c r="CA21" i="51"/>
  <c r="BT24" i="51"/>
  <c r="BW25" i="51"/>
  <c r="CE25" i="51"/>
  <c r="AJ26" i="51"/>
  <c r="AN26" i="51"/>
  <c r="AR26" i="51"/>
  <c r="AV26" i="51"/>
  <c r="AZ26" i="51"/>
  <c r="BH26" i="51"/>
  <c r="FA17" i="51"/>
  <c r="FA46" i="51" s="1"/>
  <c r="GM25" i="51"/>
  <c r="GM13" i="51"/>
  <c r="FB13" i="51"/>
  <c r="FB63" i="51" s="1"/>
  <c r="CK19" i="1"/>
  <c r="GA14" i="1"/>
  <c r="GI18" i="1"/>
  <c r="CH18" i="1"/>
  <c r="BL15" i="1"/>
  <c r="CF23" i="119" s="1"/>
  <c r="GL14" i="1"/>
  <c r="FX18" i="1"/>
  <c r="GB18" i="1"/>
  <c r="GF18" i="1"/>
  <c r="AS37" i="51"/>
  <c r="AS15" i="1"/>
  <c r="BM23" i="119" s="1"/>
  <c r="ED36" i="6"/>
  <c r="ED94" i="6" s="1"/>
  <c r="Z15" i="1"/>
  <c r="AT23" i="119" s="1"/>
  <c r="AT268" i="119" s="1"/>
  <c r="AL15" i="1"/>
  <c r="BF23" i="119" s="1"/>
  <c r="BB15" i="1"/>
  <c r="BV23" i="119" s="1"/>
  <c r="BJ15" i="1"/>
  <c r="CD23" i="119" s="1"/>
  <c r="BN15" i="1"/>
  <c r="CH23" i="119" s="1"/>
  <c r="I15" i="1"/>
  <c r="Y15" i="1"/>
  <c r="AS23" i="119" s="1"/>
  <c r="AS268" i="119" s="1"/>
  <c r="AG15" i="1"/>
  <c r="BA23" i="119" s="1"/>
  <c r="AK15" i="1"/>
  <c r="BE23" i="119" s="1"/>
  <c r="AW15" i="1"/>
  <c r="BQ23" i="119" s="1"/>
  <c r="BE15" i="1"/>
  <c r="BY23" i="119" s="1"/>
  <c r="BY15" i="1"/>
  <c r="CS23" i="119" s="1"/>
  <c r="BF68" i="2"/>
  <c r="C68" i="2"/>
  <c r="AU68" i="2"/>
  <c r="CD15" i="1"/>
  <c r="CC68" i="2"/>
  <c r="FC64" i="2"/>
  <c r="EZ64" i="2"/>
  <c r="BA68" i="2"/>
  <c r="EW64" i="2"/>
  <c r="AO68" i="2"/>
  <c r="EO64" i="2"/>
  <c r="CF15" i="1"/>
  <c r="E15" i="1"/>
  <c r="C15" i="1"/>
  <c r="K15" i="1"/>
  <c r="BI26" i="51"/>
  <c r="EI36" i="6"/>
  <c r="BU15" i="1"/>
  <c r="CO23" i="119" s="1"/>
  <c r="BN32" i="51"/>
  <c r="BZ22" i="51"/>
  <c r="BS21" i="51"/>
  <c r="CI32" i="51"/>
  <c r="FO110" i="51" s="1"/>
  <c r="AP26" i="51"/>
  <c r="BF26" i="51"/>
  <c r="BJ25" i="3"/>
  <c r="CD96" i="119" s="1"/>
  <c r="BE87" i="30" s="1"/>
  <c r="CL25" i="3"/>
  <c r="BZ25" i="3"/>
  <c r="CT96" i="119" s="1"/>
  <c r="BU87" i="30" s="1"/>
  <c r="M58" i="2"/>
  <c r="M59" i="2" s="1"/>
  <c r="Q58" i="2"/>
  <c r="Q59" i="2" s="1"/>
  <c r="I27" i="2"/>
  <c r="M27" i="2"/>
  <c r="Q27" i="2"/>
  <c r="U27" i="2"/>
  <c r="AO55" i="119" s="1"/>
  <c r="Y27" i="2"/>
  <c r="AS55" i="119" s="1"/>
  <c r="AC27" i="2"/>
  <c r="AW55" i="119" s="1"/>
  <c r="AG27" i="2"/>
  <c r="BA55" i="119" s="1"/>
  <c r="AB53" i="30" s="1"/>
  <c r="AK27" i="2"/>
  <c r="BE55" i="119" s="1"/>
  <c r="AF53" i="30" s="1"/>
  <c r="AO27" i="2"/>
  <c r="BI55" i="119" s="1"/>
  <c r="AJ53" i="30" s="1"/>
  <c r="BY108" i="2"/>
  <c r="AN58" i="2"/>
  <c r="CI44" i="2"/>
  <c r="E58" i="2"/>
  <c r="E59" i="2" s="1"/>
  <c r="AS58" i="2"/>
  <c r="BM76" i="119" s="1"/>
  <c r="AW58" i="2"/>
  <c r="BA58" i="2"/>
  <c r="BU76" i="119" s="1"/>
  <c r="BE58" i="2"/>
  <c r="BY76" i="119" s="1"/>
  <c r="BI58" i="2"/>
  <c r="CC76" i="119" s="1"/>
  <c r="BM58" i="2"/>
  <c r="BQ58" i="2"/>
  <c r="D58" i="2"/>
  <c r="D59" i="2" s="1"/>
  <c r="L58" i="2"/>
  <c r="L59" i="2" s="1"/>
  <c r="P58" i="2"/>
  <c r="P59" i="2" s="1"/>
  <c r="T58" i="2"/>
  <c r="X58" i="2"/>
  <c r="AR76" i="119" s="1"/>
  <c r="AR264" i="119" s="1"/>
  <c r="AB58" i="2"/>
  <c r="AV76" i="119" s="1"/>
  <c r="AV264" i="119" s="1"/>
  <c r="AF58" i="2"/>
  <c r="AJ58" i="2"/>
  <c r="AR58" i="2"/>
  <c r="BD58" i="2"/>
  <c r="BH58" i="2"/>
  <c r="BL58" i="2"/>
  <c r="CF76" i="119" s="1"/>
  <c r="CL44" i="2"/>
  <c r="BZ44" i="2"/>
  <c r="CT65" i="119" s="1"/>
  <c r="BU61" i="30" s="1"/>
  <c r="AS27" i="2"/>
  <c r="BM55" i="119" s="1"/>
  <c r="AN53" i="30" s="1"/>
  <c r="AW27" i="2"/>
  <c r="BQ55" i="119" s="1"/>
  <c r="AR53" i="30" s="1"/>
  <c r="CE108" i="2"/>
  <c r="AZ44" i="2"/>
  <c r="BT65" i="119" s="1"/>
  <c r="AU61" i="30" s="1"/>
  <c r="AC87" i="2"/>
  <c r="AW46" i="119" s="1"/>
  <c r="AC58" i="2"/>
  <c r="AW76" i="119" s="1"/>
  <c r="AW264" i="119" s="1"/>
  <c r="AG58" i="2"/>
  <c r="BJ58" i="2"/>
  <c r="CD76" i="119" s="1"/>
  <c r="CI61" i="2"/>
  <c r="FJ12" i="2"/>
  <c r="J27" i="2"/>
  <c r="J61" i="2"/>
  <c r="N27" i="2"/>
  <c r="N61" i="2"/>
  <c r="V27" i="2"/>
  <c r="AP55" i="119" s="1"/>
  <c r="AJ27" i="2"/>
  <c r="BD55" i="119" s="1"/>
  <c r="AE53" i="30" s="1"/>
  <c r="AJ61" i="2"/>
  <c r="AN27" i="2"/>
  <c r="BH55" i="119" s="1"/>
  <c r="AI53" i="30" s="1"/>
  <c r="AN61" i="2"/>
  <c r="AD61" i="2"/>
  <c r="K51" i="2"/>
  <c r="O51" i="2"/>
  <c r="BY58" i="2"/>
  <c r="BC61" i="2"/>
  <c r="BC44" i="2"/>
  <c r="BW65" i="119" s="1"/>
  <c r="AX61" i="30" s="1"/>
  <c r="AA44" i="2"/>
  <c r="AU65" i="119" s="1"/>
  <c r="AT44" i="2"/>
  <c r="BN65" i="119" s="1"/>
  <c r="AO61" i="30" s="1"/>
  <c r="BP58" i="2"/>
  <c r="CJ61" i="2"/>
  <c r="CI58" i="2"/>
  <c r="DC76" i="119" s="1"/>
  <c r="CI87" i="2"/>
  <c r="DC46" i="119" s="1"/>
  <c r="CD44" i="30" s="1"/>
  <c r="FJ37" i="2"/>
  <c r="FD62" i="2"/>
  <c r="BV44" i="2"/>
  <c r="CP65" i="119" s="1"/>
  <c r="BQ61" i="30" s="1"/>
  <c r="BB61" i="2"/>
  <c r="BN61" i="2"/>
  <c r="BR61" i="2"/>
  <c r="BV61" i="2"/>
  <c r="BZ61" i="2"/>
  <c r="BA27" i="2"/>
  <c r="BU55" i="119" s="1"/>
  <c r="AV53" i="30" s="1"/>
  <c r="BA61" i="2"/>
  <c r="T61" i="2"/>
  <c r="AS87" i="2"/>
  <c r="BM46" i="119" s="1"/>
  <c r="AN44" i="30" s="1"/>
  <c r="BQ108" i="2"/>
  <c r="BR108" i="2"/>
  <c r="CC87" i="2"/>
  <c r="CW46" i="119" s="1"/>
  <c r="BX44" i="30" s="1"/>
  <c r="CK44" i="2"/>
  <c r="DE65" i="119" s="1"/>
  <c r="CF61" i="30" s="1"/>
  <c r="CL91" i="2"/>
  <c r="DF49" i="119" s="1"/>
  <c r="AT27" i="2"/>
  <c r="BN55" i="119" s="1"/>
  <c r="AO53" i="30" s="1"/>
  <c r="AT61" i="2"/>
  <c r="H58" i="2"/>
  <c r="H59" i="2" s="1"/>
  <c r="O84" i="2"/>
  <c r="AY27" i="2"/>
  <c r="BS55" i="119" s="1"/>
  <c r="AT53" i="30" s="1"/>
  <c r="U44" i="2"/>
  <c r="AO65" i="119" s="1"/>
  <c r="AE44" i="2"/>
  <c r="AY65" i="119" s="1"/>
  <c r="Z61" i="30" s="1"/>
  <c r="AM44" i="2"/>
  <c r="BG65" i="119" s="1"/>
  <c r="AH61" i="30" s="1"/>
  <c r="AU44" i="2"/>
  <c r="BO65" i="119" s="1"/>
  <c r="AP61" i="30" s="1"/>
  <c r="G51" i="2"/>
  <c r="BN84" i="2"/>
  <c r="BS51" i="2"/>
  <c r="CM70" i="119" s="1"/>
  <c r="BN66" i="30" s="1"/>
  <c r="BN81" i="2"/>
  <c r="BE68" i="2"/>
  <c r="BH68" i="2"/>
  <c r="CH61" i="2"/>
  <c r="CM92" i="2"/>
  <c r="DG50" i="119" s="1"/>
  <c r="CB44" i="2"/>
  <c r="CV65" i="119" s="1"/>
  <c r="BW61" i="30" s="1"/>
  <c r="CE27" i="2"/>
  <c r="CY55" i="119" s="1"/>
  <c r="BZ53" i="30" s="1"/>
  <c r="BG61" i="2"/>
  <c r="BQ44" i="2"/>
  <c r="CK65" i="119" s="1"/>
  <c r="BL61" i="30" s="1"/>
  <c r="BY68" i="2"/>
  <c r="BL68" i="2"/>
  <c r="CK61" i="2"/>
  <c r="CH87" i="2"/>
  <c r="DB46" i="119" s="1"/>
  <c r="CC44" i="30" s="1"/>
  <c r="BT68" i="2"/>
  <c r="BM61" i="2"/>
  <c r="CD61" i="2"/>
  <c r="BI87" i="2"/>
  <c r="CC46" i="119" s="1"/>
  <c r="BD44" i="30" s="1"/>
  <c r="FC63" i="2"/>
  <c r="BI61" i="2"/>
  <c r="CB61" i="2"/>
  <c r="BX68" i="2"/>
  <c r="BG51" i="2"/>
  <c r="CA70" i="119" s="1"/>
  <c r="BB66" i="30" s="1"/>
  <c r="CI91" i="2"/>
  <c r="DC49" i="119" s="1"/>
  <c r="CD47" i="30" s="1"/>
  <c r="BG87" i="2"/>
  <c r="CA46" i="119" s="1"/>
  <c r="BB44" i="30" s="1"/>
  <c r="BQ61" i="2"/>
  <c r="BE61" i="2"/>
  <c r="CB91" i="2"/>
  <c r="CV49" i="119" s="1"/>
  <c r="BW47" i="30" s="1"/>
  <c r="BJ61" i="2"/>
  <c r="BS61" i="2"/>
  <c r="BE87" i="2"/>
  <c r="BY46" i="119" s="1"/>
  <c r="AZ44" i="30" s="1"/>
  <c r="CE91" i="2"/>
  <c r="CY49" i="119" s="1"/>
  <c r="BZ47" i="30" s="1"/>
  <c r="R61" i="2"/>
  <c r="E27" i="2"/>
  <c r="R44" i="2"/>
  <c r="AL65" i="119" s="1"/>
  <c r="W44" i="2"/>
  <c r="AQ65" i="119" s="1"/>
  <c r="AC44" i="2"/>
  <c r="AW65" i="119" s="1"/>
  <c r="AK44" i="2"/>
  <c r="BE65" i="119" s="1"/>
  <c r="AF61" i="30" s="1"/>
  <c r="BA44" i="2"/>
  <c r="BU65" i="119" s="1"/>
  <c r="AV61" i="30" s="1"/>
  <c r="R91" i="2"/>
  <c r="AL49" i="119" s="1"/>
  <c r="AL91" i="2"/>
  <c r="BF49" i="119" s="1"/>
  <c r="AG47" i="30" s="1"/>
  <c r="AP91" i="2"/>
  <c r="BJ49" i="119" s="1"/>
  <c r="AK47" i="30" s="1"/>
  <c r="AT91" i="2"/>
  <c r="BN49" i="119" s="1"/>
  <c r="AO47" i="30" s="1"/>
  <c r="CC61" i="2"/>
  <c r="CD87" i="2"/>
  <c r="CX46" i="119" s="1"/>
  <c r="BY44" i="30" s="1"/>
  <c r="BZ84" i="2"/>
  <c r="BJ84" i="2"/>
  <c r="BE27" i="2"/>
  <c r="BY55" i="119" s="1"/>
  <c r="AZ53" i="30" s="1"/>
  <c r="BI27" i="2"/>
  <c r="CC55" i="119" s="1"/>
  <c r="BD53" i="30" s="1"/>
  <c r="BM27" i="2"/>
  <c r="CG55" i="119" s="1"/>
  <c r="BH53" i="30" s="1"/>
  <c r="BQ27" i="2"/>
  <c r="CK55" i="119" s="1"/>
  <c r="BL53" i="30" s="1"/>
  <c r="BU27" i="2"/>
  <c r="CO55" i="119" s="1"/>
  <c r="BP53" i="30" s="1"/>
  <c r="BY27" i="2"/>
  <c r="CS55" i="119" s="1"/>
  <c r="BT53" i="30" s="1"/>
  <c r="CA91" i="2"/>
  <c r="CU49" i="119" s="1"/>
  <c r="BV47" i="30" s="1"/>
  <c r="S91" i="2"/>
  <c r="AM49" i="119" s="1"/>
  <c r="V91" i="2"/>
  <c r="AP49" i="119" s="1"/>
  <c r="Y91" i="2"/>
  <c r="AS49" i="119" s="1"/>
  <c r="AC91" i="2"/>
  <c r="AW49" i="119" s="1"/>
  <c r="AG91" i="2"/>
  <c r="BA49" i="119" s="1"/>
  <c r="AB47" i="30" s="1"/>
  <c r="AX91" i="2"/>
  <c r="BR49" i="119" s="1"/>
  <c r="AS47" i="30" s="1"/>
  <c r="CC91" i="2"/>
  <c r="CW49" i="119" s="1"/>
  <c r="BX47" i="30" s="1"/>
  <c r="CD91" i="2"/>
  <c r="CX49" i="119" s="1"/>
  <c r="BY47" i="30" s="1"/>
  <c r="CL61" i="2"/>
  <c r="CM84" i="2"/>
  <c r="CM81" i="2"/>
  <c r="BZ91" i="2"/>
  <c r="CT49" i="119" s="1"/>
  <c r="BU47" i="30" s="1"/>
  <c r="T91" i="2"/>
  <c r="AN49" i="119" s="1"/>
  <c r="Z91" i="2"/>
  <c r="AT49" i="119" s="1"/>
  <c r="AD91" i="2"/>
  <c r="AX49" i="119" s="1"/>
  <c r="Y47" i="30" s="1"/>
  <c r="AH91" i="2"/>
  <c r="BB49" i="119" s="1"/>
  <c r="AC47" i="30" s="1"/>
  <c r="CG58" i="2"/>
  <c r="DA76" i="119" s="1"/>
  <c r="BR84" i="2"/>
  <c r="BB84" i="2"/>
  <c r="AX84" i="2"/>
  <c r="AT84" i="2"/>
  <c r="J84" i="2"/>
  <c r="AH61" i="2"/>
  <c r="AX61" i="2"/>
  <c r="T44" i="2"/>
  <c r="AN65" i="119" s="1"/>
  <c r="Y44" i="2"/>
  <c r="AS65" i="119" s="1"/>
  <c r="U91" i="2"/>
  <c r="AO49" i="119" s="1"/>
  <c r="AK91" i="2"/>
  <c r="BE49" i="119" s="1"/>
  <c r="AF47" i="30" s="1"/>
  <c r="AO91" i="2"/>
  <c r="BI49" i="119" s="1"/>
  <c r="AJ47" i="30" s="1"/>
  <c r="AS91" i="2"/>
  <c r="BM49" i="119" s="1"/>
  <c r="AN47" i="30" s="1"/>
  <c r="AW91" i="2"/>
  <c r="BQ49" i="119" s="1"/>
  <c r="AR47" i="30" s="1"/>
  <c r="CC44" i="2"/>
  <c r="CW65" i="119" s="1"/>
  <c r="BX61" i="30" s="1"/>
  <c r="CF58" i="2"/>
  <c r="CZ76" i="119" s="1"/>
  <c r="Z84" i="2"/>
  <c r="BM21" i="51"/>
  <c r="BW43" i="51"/>
  <c r="BW42" i="51"/>
  <c r="BW40" i="51"/>
  <c r="BW41" i="51"/>
  <c r="BW45" i="51"/>
  <c r="BW46" i="51"/>
  <c r="CN33" i="51"/>
  <c r="FV94" i="51" s="1"/>
  <c r="FC20" i="51"/>
  <c r="BV20" i="51"/>
  <c r="BX21" i="51"/>
  <c r="CF21" i="51"/>
  <c r="BL23" i="51"/>
  <c r="BU23" i="51"/>
  <c r="CG23" i="51"/>
  <c r="BR25" i="51"/>
  <c r="CA40" i="51"/>
  <c r="GS11" i="51"/>
  <c r="GS62" i="51" s="1"/>
  <c r="BK24" i="51"/>
  <c r="GS14" i="51"/>
  <c r="GS65" i="51" s="1"/>
  <c r="BM24" i="51"/>
  <c r="CA24" i="51"/>
  <c r="CH15" i="1"/>
  <c r="AV37" i="51"/>
  <c r="AZ37" i="51"/>
  <c r="BH37" i="51"/>
  <c r="CT8" i="1"/>
  <c r="ER17" i="51"/>
  <c r="AI37" i="51"/>
  <c r="AM37" i="51"/>
  <c r="AQ37" i="51"/>
  <c r="BC26" i="51"/>
  <c r="EY17" i="51"/>
  <c r="EY46" i="51" s="1"/>
  <c r="BD37" i="51"/>
  <c r="AM26" i="51"/>
  <c r="GH17" i="51"/>
  <c r="GH46" i="51" s="1"/>
  <c r="AY26" i="51"/>
  <c r="GI17" i="51"/>
  <c r="AN37" i="51"/>
  <c r="BG37" i="51"/>
  <c r="AU26" i="51"/>
  <c r="CA44" i="51"/>
  <c r="CA26" i="51"/>
  <c r="CA43" i="51"/>
  <c r="CE24" i="51"/>
  <c r="BX35" i="51"/>
  <c r="CB24" i="51"/>
  <c r="CA46" i="51"/>
  <c r="CM31" i="51"/>
  <c r="FO94" i="51" s="1"/>
  <c r="GN23" i="51"/>
  <c r="GO23" i="51"/>
  <c r="BW24" i="51"/>
  <c r="CA41" i="51"/>
  <c r="CL15" i="51"/>
  <c r="CA45" i="51"/>
  <c r="CA35" i="51"/>
  <c r="CB35" i="51"/>
  <c r="GR14" i="1"/>
  <c r="ED80" i="6"/>
  <c r="GE14" i="1"/>
  <c r="GI14" i="1"/>
  <c r="DU84" i="6"/>
  <c r="EB80" i="6"/>
  <c r="EM11" i="1"/>
  <c r="EM62" i="1" s="1"/>
  <c r="EO18" i="1"/>
  <c r="FB91" i="2"/>
  <c r="CF27" i="2"/>
  <c r="CZ55" i="119" s="1"/>
  <c r="CA53" i="30" s="1"/>
  <c r="BB91" i="2"/>
  <c r="BV49" i="119" s="1"/>
  <c r="AW47" i="30" s="1"/>
  <c r="FA25" i="2"/>
  <c r="BM91" i="2"/>
  <c r="CG49" i="119" s="1"/>
  <c r="BH47" i="30" s="1"/>
  <c r="FI25" i="2"/>
  <c r="EU25" i="2"/>
  <c r="FD25" i="2"/>
  <c r="FH25" i="2"/>
  <c r="BY91" i="2"/>
  <c r="CS49" i="119" s="1"/>
  <c r="BT47" i="30" s="1"/>
  <c r="FA91" i="2"/>
  <c r="FE91" i="2"/>
  <c r="FC91" i="2"/>
  <c r="FD91" i="2"/>
  <c r="U15" i="1"/>
  <c r="AO23" i="119" s="1"/>
  <c r="AO268" i="119" s="1"/>
  <c r="S15" i="1"/>
  <c r="AM23" i="119" s="1"/>
  <c r="AM268" i="119" s="1"/>
  <c r="DX81" i="6"/>
  <c r="DX80" i="6"/>
  <c r="EW11" i="1"/>
  <c r="BV15" i="1"/>
  <c r="CP23" i="119" s="1"/>
  <c r="EZ14" i="1"/>
  <c r="EC82" i="6"/>
  <c r="GF11" i="1"/>
  <c r="GJ11" i="1"/>
  <c r="GN11" i="1"/>
  <c r="BD22" i="3"/>
  <c r="BE22" i="3" s="1"/>
  <c r="BT22" i="3"/>
  <c r="BU22" i="3" s="1"/>
  <c r="BP28" i="3"/>
  <c r="BO35" i="3"/>
  <c r="CI101" i="119" s="1"/>
  <c r="BJ92" i="30" s="1"/>
  <c r="BP29" i="3"/>
  <c r="BQ29" i="3" s="1"/>
  <c r="BL33" i="3"/>
  <c r="CF98" i="119" s="1"/>
  <c r="BG89" i="30" s="1"/>
  <c r="BI34" i="3"/>
  <c r="FB34" i="3" s="1"/>
  <c r="BH41" i="3"/>
  <c r="CB284" i="119" s="1"/>
  <c r="BC215" i="30" s="1"/>
  <c r="BT42" i="3"/>
  <c r="CN303" i="119" s="1"/>
  <c r="BO234" i="30" s="1"/>
  <c r="BP43" i="3"/>
  <c r="BH19" i="3"/>
  <c r="BH24" i="3" s="1"/>
  <c r="CB94" i="119" s="1"/>
  <c r="BC85" i="30" s="1"/>
  <c r="BT20" i="3"/>
  <c r="BU20" i="3" s="1"/>
  <c r="BT21" i="3"/>
  <c r="BX23" i="3"/>
  <c r="BT29" i="3"/>
  <c r="BU29" i="3" s="1"/>
  <c r="BD31" i="3"/>
  <c r="BU31" i="3"/>
  <c r="FE31" i="3" s="1"/>
  <c r="CB31" i="3"/>
  <c r="BL32" i="3"/>
  <c r="CF97" i="119" s="1"/>
  <c r="BG88" i="30" s="1"/>
  <c r="CB32" i="3"/>
  <c r="CV97" i="119" s="1"/>
  <c r="BW88" i="30" s="1"/>
  <c r="BD45" i="3"/>
  <c r="CI80" i="2"/>
  <c r="CJ39" i="3"/>
  <c r="CK39" i="3" s="1"/>
  <c r="CI48" i="3"/>
  <c r="BI42" i="3"/>
  <c r="FE34" i="3"/>
  <c r="FA23" i="3"/>
  <c r="FA21" i="3"/>
  <c r="FC40" i="3"/>
  <c r="CG31" i="3"/>
  <c r="CG44" i="3"/>
  <c r="CF23" i="3"/>
  <c r="CG23" i="3" s="1"/>
  <c r="CE24" i="3"/>
  <c r="CY94" i="119" s="1"/>
  <c r="BZ85" i="30" s="1"/>
  <c r="CJ14" i="3"/>
  <c r="BQ39" i="3"/>
  <c r="FB20" i="3"/>
  <c r="BX12" i="3"/>
  <c r="CR93" i="119" s="1"/>
  <c r="BS84" i="30" s="1"/>
  <c r="BW16" i="1"/>
  <c r="CQ21" i="119" s="1"/>
  <c r="BR21" i="30" s="1"/>
  <c r="BH13" i="3"/>
  <c r="CB95" i="119" s="1"/>
  <c r="BC86" i="30" s="1"/>
  <c r="BI30" i="3"/>
  <c r="FB30" i="3" s="1"/>
  <c r="BP40" i="3"/>
  <c r="BQ40" i="3" s="1"/>
  <c r="BO48" i="3"/>
  <c r="CI107" i="119" s="1"/>
  <c r="BJ97" i="30" s="1"/>
  <c r="BU19" i="3"/>
  <c r="FE19" i="3" s="1"/>
  <c r="BB24" i="3"/>
  <c r="BV94" i="119" s="1"/>
  <c r="AW85" i="30" s="1"/>
  <c r="BC20" i="3"/>
  <c r="BD40" i="3"/>
  <c r="BE40" i="3" s="1"/>
  <c r="BS48" i="3"/>
  <c r="CM107" i="119" s="1"/>
  <c r="BN97" i="30" s="1"/>
  <c r="BP42" i="3"/>
  <c r="BL45" i="3"/>
  <c r="BM45" i="3" s="1"/>
  <c r="P28" i="3"/>
  <c r="O35" i="3"/>
  <c r="BD18" i="3"/>
  <c r="BP21" i="3"/>
  <c r="BQ21" i="3" s="1"/>
  <c r="AD81" i="2"/>
  <c r="BP46" i="51"/>
  <c r="BP44" i="51"/>
  <c r="BP43" i="51"/>
  <c r="BP40" i="51"/>
  <c r="BP41" i="51"/>
  <c r="BP42" i="51"/>
  <c r="BP45" i="51"/>
  <c r="CM15" i="51"/>
  <c r="CM34" i="51"/>
  <c r="FU111" i="51" s="1"/>
  <c r="CB42" i="51"/>
  <c r="CB40" i="51"/>
  <c r="CB45" i="51"/>
  <c r="CB37" i="51"/>
  <c r="CB46" i="51"/>
  <c r="CB41" i="51"/>
  <c r="CB43" i="51"/>
  <c r="CB44" i="51"/>
  <c r="BW44" i="51"/>
  <c r="FE25" i="51"/>
  <c r="GO25" i="51"/>
  <c r="GK20" i="51"/>
  <c r="FB20" i="51"/>
  <c r="GP25" i="51"/>
  <c r="GQ25" i="51"/>
  <c r="GL25" i="51"/>
  <c r="FF25" i="51"/>
  <c r="GK17" i="51"/>
  <c r="GK46" i="51" s="1"/>
  <c r="AU37" i="51"/>
  <c r="FD25" i="51"/>
  <c r="AJ37" i="51"/>
  <c r="AR37" i="51"/>
  <c r="EQ11" i="1"/>
  <c r="G15" i="1"/>
  <c r="O15" i="1"/>
  <c r="W15" i="1"/>
  <c r="AQ23" i="119" s="1"/>
  <c r="AQ268" i="119" s="1"/>
  <c r="AE15" i="1"/>
  <c r="AY23" i="119" s="1"/>
  <c r="AM15" i="1"/>
  <c r="BG23" i="119" s="1"/>
  <c r="BO15" i="1"/>
  <c r="CI23" i="119" s="1"/>
  <c r="BT15" i="1"/>
  <c r="CN23" i="119" s="1"/>
  <c r="BW15" i="1"/>
  <c r="CQ23" i="119" s="1"/>
  <c r="FB11" i="1"/>
  <c r="H15" i="1"/>
  <c r="BC15" i="1"/>
  <c r="BW23" i="119" s="1"/>
  <c r="BG15" i="1"/>
  <c r="CA23" i="119" s="1"/>
  <c r="CJ15" i="1"/>
  <c r="CK15" i="1"/>
  <c r="CB15" i="1"/>
  <c r="FY11" i="1"/>
  <c r="M15" i="1"/>
  <c r="BX15" i="1"/>
  <c r="CR23" i="119" s="1"/>
  <c r="GM14" i="1"/>
  <c r="DV81" i="6"/>
  <c r="DV80" i="6"/>
  <c r="DV83" i="6"/>
  <c r="J164" i="119" s="1"/>
  <c r="J136" i="30" s="1"/>
  <c r="EU11" i="1"/>
  <c r="DY84" i="6"/>
  <c r="AI15" i="1"/>
  <c r="BC23" i="119" s="1"/>
  <c r="FE14" i="1"/>
  <c r="T18" i="119" s="1"/>
  <c r="BA15" i="1"/>
  <c r="BU23" i="119" s="1"/>
  <c r="EF82" i="6"/>
  <c r="DT84" i="6"/>
  <c r="ES11" i="1"/>
  <c r="DT83" i="6"/>
  <c r="H164" i="119" s="1"/>
  <c r="H136" i="30" s="1"/>
  <c r="Q15" i="1"/>
  <c r="AO15" i="1"/>
  <c r="BI23" i="119" s="1"/>
  <c r="ET14" i="1"/>
  <c r="I18" i="119" s="1"/>
  <c r="GJ14" i="1"/>
  <c r="R15" i="1"/>
  <c r="AL23" i="119" s="1"/>
  <c r="AL268" i="119" s="1"/>
  <c r="BT8" i="6"/>
  <c r="CN9" i="2"/>
  <c r="CN9" i="51"/>
  <c r="EI32" i="6"/>
  <c r="EJ53" i="6" s="1"/>
  <c r="BQ71" i="6"/>
  <c r="BQ90" i="6"/>
  <c r="BQ70" i="6"/>
  <c r="BQ87" i="6"/>
  <c r="EI29" i="6"/>
  <c r="EJ50" i="6" s="1"/>
  <c r="BQ35" i="6"/>
  <c r="BQ93" i="6" s="1"/>
  <c r="EI30" i="6"/>
  <c r="EJ51" i="6" s="1"/>
  <c r="BQ69" i="6"/>
  <c r="BQ88" i="6"/>
  <c r="CN32" i="51"/>
  <c r="FP111" i="51" s="1"/>
  <c r="W68" i="2"/>
  <c r="EZ18" i="2"/>
  <c r="N45" i="119" s="1"/>
  <c r="N43" i="30" s="1"/>
  <c r="EZ56" i="2"/>
  <c r="EY56" i="2"/>
  <c r="EU56" i="2"/>
  <c r="EU18" i="2"/>
  <c r="I45" i="119" s="1"/>
  <c r="I43" i="30" s="1"/>
  <c r="ET56" i="2"/>
  <c r="ET18" i="2"/>
  <c r="H45" i="119" s="1"/>
  <c r="H43" i="30" s="1"/>
  <c r="ES56" i="2"/>
  <c r="BO68" i="2"/>
  <c r="FB64" i="2"/>
  <c r="BI68" i="2"/>
  <c r="AY68" i="2"/>
  <c r="EY64" i="2"/>
  <c r="AW68" i="2"/>
  <c r="EU64" i="2"/>
  <c r="Y68" i="2"/>
  <c r="S68" i="2"/>
  <c r="EQ64" i="2"/>
  <c r="Q68" i="2"/>
  <c r="O68" i="2"/>
  <c r="EN64" i="2"/>
  <c r="CI68" i="2"/>
  <c r="CH81" i="2"/>
  <c r="AL84" i="2"/>
  <c r="AL81" i="2"/>
  <c r="V81" i="2"/>
  <c r="V84" i="2"/>
  <c r="CK68" i="2"/>
  <c r="AX81" i="2"/>
  <c r="ER64" i="2"/>
  <c r="EX56" i="2"/>
  <c r="AS68" i="2"/>
  <c r="AC68" i="2"/>
  <c r="CF68" i="2"/>
  <c r="E68" i="2"/>
  <c r="AQ68" i="2"/>
  <c r="AA68" i="2"/>
  <c r="K68" i="2"/>
  <c r="BU68" i="2"/>
  <c r="BW68" i="2"/>
  <c r="CG68" i="2"/>
  <c r="BJ81" i="2"/>
  <c r="BZ81" i="2"/>
  <c r="CJ68" i="2"/>
  <c r="BQ68" i="2"/>
  <c r="I68" i="2"/>
  <c r="ER56" i="2"/>
  <c r="EX57" i="2"/>
  <c r="ES64" i="2"/>
  <c r="FD64" i="2"/>
  <c r="EQ56" i="2"/>
  <c r="EP18" i="2"/>
  <c r="EO56" i="2"/>
  <c r="EN18" i="2"/>
  <c r="FF18" i="2"/>
  <c r="T45" i="119" s="1"/>
  <c r="T43" i="30" s="1"/>
  <c r="FE63" i="2"/>
  <c r="FA63" i="2"/>
  <c r="BM68" i="2"/>
  <c r="FB18" i="2"/>
  <c r="P45" i="119" s="1"/>
  <c r="P43" i="30" s="1"/>
  <c r="ER57" i="2"/>
  <c r="EO57" i="2"/>
  <c r="EN57" i="2"/>
  <c r="FG18" i="2"/>
  <c r="U45" i="119" s="1"/>
  <c r="U43" i="30" s="1"/>
  <c r="CM88" i="2"/>
  <c r="DG47" i="119" s="1"/>
  <c r="F81" i="2"/>
  <c r="FI18" i="2"/>
  <c r="W45" i="119" s="1"/>
  <c r="W43" i="30" s="1"/>
  <c r="AL68" i="2"/>
  <c r="L68" i="2"/>
  <c r="BZ68" i="2"/>
  <c r="BK68" i="2"/>
  <c r="J68" i="2"/>
  <c r="B68" i="2"/>
  <c r="FD18" i="2"/>
  <c r="R45" i="119" s="1"/>
  <c r="R43" i="30" s="1"/>
  <c r="FC18" i="2"/>
  <c r="Q45" i="119" s="1"/>
  <c r="Q43" i="30" s="1"/>
  <c r="FH18" i="2"/>
  <c r="V45" i="119" s="1"/>
  <c r="V43" i="30" s="1"/>
  <c r="EN56" i="2"/>
  <c r="EW56" i="2"/>
  <c r="EY18" i="2"/>
  <c r="M45" i="119" s="1"/>
  <c r="M43" i="30" s="1"/>
  <c r="FE18" i="2"/>
  <c r="S45" i="119" s="1"/>
  <c r="S43" i="30" s="1"/>
  <c r="EV56" i="2"/>
  <c r="EQ18" i="2"/>
  <c r="EZ57" i="2"/>
  <c r="FI15" i="3"/>
  <c r="CN57" i="2"/>
  <c r="FJ48" i="2"/>
  <c r="CP41" i="2"/>
  <c r="FJ41" i="2"/>
  <c r="FJ34" i="2"/>
  <c r="FJ38" i="2"/>
  <c r="X61" i="119" s="1"/>
  <c r="CO57" i="2"/>
  <c r="FJ20" i="2"/>
  <c r="X53" i="119" s="1"/>
  <c r="FJ42" i="2"/>
  <c r="CN34" i="51"/>
  <c r="FV111" i="51" s="1"/>
  <c r="GS34" i="1"/>
  <c r="FI34" i="1"/>
  <c r="X287" i="119" s="1"/>
  <c r="E17" i="6"/>
  <c r="E67" i="6"/>
  <c r="I17" i="6"/>
  <c r="I67" i="6"/>
  <c r="I49" i="6"/>
  <c r="K17" i="6"/>
  <c r="K49" i="6"/>
  <c r="Y49" i="6"/>
  <c r="AA17" i="6"/>
  <c r="AA49" i="6"/>
  <c r="AE49" i="6"/>
  <c r="AI17" i="6"/>
  <c r="AI67" i="6"/>
  <c r="AK17" i="6"/>
  <c r="AK67" i="6"/>
  <c r="AU17" i="6"/>
  <c r="AU67" i="6"/>
  <c r="BF49" i="6"/>
  <c r="BF17" i="6"/>
  <c r="EG16" i="6"/>
  <c r="AX17" i="6"/>
  <c r="AX49" i="6"/>
  <c r="H17" i="6"/>
  <c r="H49" i="6"/>
  <c r="AD17" i="6"/>
  <c r="AE67" i="6"/>
  <c r="BR49" i="6"/>
  <c r="EI16" i="6"/>
  <c r="BN17" i="6"/>
  <c r="W67" i="6"/>
  <c r="AL17" i="6"/>
  <c r="AM67" i="6"/>
  <c r="AL67" i="6"/>
  <c r="AN17" i="6"/>
  <c r="AN67" i="6"/>
  <c r="AO67" i="6"/>
  <c r="AN49" i="6"/>
  <c r="AL49" i="6"/>
  <c r="AR49" i="6"/>
  <c r="AY17" i="6"/>
  <c r="AY67" i="6"/>
  <c r="AZ67" i="6"/>
  <c r="BA17" i="6"/>
  <c r="BB67" i="6"/>
  <c r="BE49" i="6"/>
  <c r="BA67" i="6"/>
  <c r="BD67" i="6"/>
  <c r="BC67" i="6"/>
  <c r="J67" i="6"/>
  <c r="J17" i="6"/>
  <c r="K67" i="6"/>
  <c r="L17" i="6"/>
  <c r="L67" i="6"/>
  <c r="M67" i="6"/>
  <c r="N49" i="6"/>
  <c r="O67" i="6"/>
  <c r="N67" i="6"/>
  <c r="P49" i="6"/>
  <c r="Q67" i="6"/>
  <c r="R49" i="6"/>
  <c r="R67" i="6"/>
  <c r="T67" i="6"/>
  <c r="T49" i="6"/>
  <c r="X17" i="6"/>
  <c r="X67" i="6"/>
  <c r="AD49" i="6"/>
  <c r="Z49" i="6"/>
  <c r="AA67" i="6"/>
  <c r="AB17" i="6"/>
  <c r="AB67" i="6"/>
  <c r="AF49" i="6"/>
  <c r="AI49" i="6"/>
  <c r="AE17" i="6"/>
  <c r="AG49" i="6"/>
  <c r="AG67" i="6"/>
  <c r="AG17" i="6"/>
  <c r="AV67" i="6"/>
  <c r="AW67" i="6"/>
  <c r="BJ49" i="6"/>
  <c r="BH49" i="6"/>
  <c r="CM61" i="51" l="1"/>
  <c r="CN61" i="51"/>
  <c r="P42" i="125"/>
  <c r="U42" i="125"/>
  <c r="C45" i="125"/>
  <c r="H40" i="125"/>
  <c r="K38" i="125"/>
  <c r="E40" i="125"/>
  <c r="F40" i="125" s="1"/>
  <c r="P41" i="125"/>
  <c r="U41" i="125"/>
  <c r="E42" i="125"/>
  <c r="F42" i="125" s="1"/>
  <c r="H42" i="125"/>
  <c r="K40" i="125"/>
  <c r="P38" i="125"/>
  <c r="G45" i="125"/>
  <c r="U38" i="125"/>
  <c r="H44" i="125"/>
  <c r="K42" i="125"/>
  <c r="E44" i="125"/>
  <c r="F44" i="125" s="1"/>
  <c r="P40" i="125"/>
  <c r="U40" i="125"/>
  <c r="E41" i="125"/>
  <c r="F41" i="125" s="1"/>
  <c r="H41" i="125"/>
  <c r="K39" i="125"/>
  <c r="P39" i="125"/>
  <c r="U39" i="125"/>
  <c r="E43" i="125"/>
  <c r="F43" i="125" s="1"/>
  <c r="H43" i="125"/>
  <c r="K41" i="125"/>
  <c r="CC18" i="30"/>
  <c r="CX19" i="119"/>
  <c r="BY19" i="30" s="1"/>
  <c r="CZ23" i="119"/>
  <c r="CZ268" i="119" s="1"/>
  <c r="CA199" i="30" s="1"/>
  <c r="CV23" i="119"/>
  <c r="CV268" i="119" s="1"/>
  <c r="BW199" i="30" s="1"/>
  <c r="CX23" i="119"/>
  <c r="BY23" i="30" s="1"/>
  <c r="CU23" i="119"/>
  <c r="CU268" i="119" s="1"/>
  <c r="BV199" i="30" s="1"/>
  <c r="CY23" i="119"/>
  <c r="BZ23" i="30" s="1"/>
  <c r="CV303" i="119"/>
  <c r="BW234" i="30" s="1"/>
  <c r="CZ303" i="119"/>
  <c r="CA234" i="30" s="1"/>
  <c r="DA23" i="119"/>
  <c r="DA268" i="119" s="1"/>
  <c r="CB199" i="30" s="1"/>
  <c r="CW23" i="119"/>
  <c r="CW268" i="119" s="1"/>
  <c r="BX199" i="30" s="1"/>
  <c r="CG41" i="3"/>
  <c r="FH41" i="3" s="1"/>
  <c r="P41" i="115"/>
  <c r="P40" i="115"/>
  <c r="P39" i="115"/>
  <c r="P42" i="115"/>
  <c r="P38" i="115"/>
  <c r="BP59" i="51"/>
  <c r="G45" i="115"/>
  <c r="U49" i="119"/>
  <c r="U47" i="30" s="1"/>
  <c r="S67" i="1"/>
  <c r="BM28" i="3"/>
  <c r="CG100" i="119" s="1"/>
  <c r="BH91" i="30" s="1"/>
  <c r="T49" i="30"/>
  <c r="N49" i="119"/>
  <c r="N47" i="30" s="1"/>
  <c r="S124" i="1"/>
  <c r="BK124" i="1"/>
  <c r="CE19" i="119"/>
  <c r="BF19" i="30" s="1"/>
  <c r="EZ44" i="2"/>
  <c r="N65" i="119" s="1"/>
  <c r="N61" i="30" s="1"/>
  <c r="AK12" i="3"/>
  <c r="EV12" i="3" s="1"/>
  <c r="O49" i="30"/>
  <c r="BO67" i="1"/>
  <c r="N46" i="119"/>
  <c r="N44" i="30" s="1"/>
  <c r="AG12" i="3"/>
  <c r="BA93" i="119" s="1"/>
  <c r="AB84" i="30" s="1"/>
  <c r="AF16" i="1"/>
  <c r="AZ21" i="119" s="1"/>
  <c r="AA21" i="30" s="1"/>
  <c r="CG43" i="3"/>
  <c r="DA104" i="119" s="1"/>
  <c r="CB95" i="30" s="1"/>
  <c r="BO103" i="1"/>
  <c r="BO124" i="1"/>
  <c r="AA81" i="2"/>
  <c r="AF79" i="2"/>
  <c r="AF84" i="2" s="1"/>
  <c r="BO82" i="1"/>
  <c r="CI19" i="119"/>
  <c r="BJ19" i="30" s="1"/>
  <c r="BQ13" i="3"/>
  <c r="CK95" i="119" s="1"/>
  <c r="BL86" i="30" s="1"/>
  <c r="CC11" i="3"/>
  <c r="FG11" i="3" s="1"/>
  <c r="U305" i="119" s="1"/>
  <c r="U236" i="30" s="1"/>
  <c r="W35" i="3"/>
  <c r="AQ101" i="119" s="1"/>
  <c r="BK82" i="1"/>
  <c r="AQ48" i="3"/>
  <c r="BK107" i="119" s="1"/>
  <c r="AL97" i="30" s="1"/>
  <c r="AR38" i="3"/>
  <c r="BL103" i="119" s="1"/>
  <c r="AM94" i="30" s="1"/>
  <c r="X28" i="3"/>
  <c r="AR100" i="119" s="1"/>
  <c r="H265" i="119"/>
  <c r="BO46" i="1"/>
  <c r="BK67" i="1"/>
  <c r="S82" i="1"/>
  <c r="CA81" i="2"/>
  <c r="CG11" i="3"/>
  <c r="FH11" i="3" s="1"/>
  <c r="V305" i="119" s="1"/>
  <c r="V236" i="30" s="1"/>
  <c r="AR28" i="3"/>
  <c r="BL100" i="119" s="1"/>
  <c r="AM91" i="30" s="1"/>
  <c r="AQ67" i="1"/>
  <c r="G265" i="119"/>
  <c r="AV28" i="3"/>
  <c r="AV35" i="3" s="1"/>
  <c r="BP101" i="119" s="1"/>
  <c r="AQ92" i="30" s="1"/>
  <c r="H46" i="119"/>
  <c r="H44" i="30" s="1"/>
  <c r="X24" i="3"/>
  <c r="AR94" i="119" s="1"/>
  <c r="T24" i="3"/>
  <c r="AN94" i="119" s="1"/>
  <c r="AU103" i="1"/>
  <c r="AQ124" i="1"/>
  <c r="BU33" i="3"/>
  <c r="FE33" i="3" s="1"/>
  <c r="S98" i="119" s="1"/>
  <c r="S89" i="30" s="1"/>
  <c r="CK40" i="3"/>
  <c r="AU35" i="3"/>
  <c r="BO101" i="119" s="1"/>
  <c r="AP92" i="30" s="1"/>
  <c r="AU46" i="1"/>
  <c r="M265" i="119"/>
  <c r="P49" i="119"/>
  <c r="P47" i="30" s="1"/>
  <c r="AQ82" i="1"/>
  <c r="BQ41" i="3"/>
  <c r="CK102" i="119" s="1"/>
  <c r="BL93" i="30" s="1"/>
  <c r="BE12" i="3"/>
  <c r="BY93" i="119" s="1"/>
  <c r="AZ84" i="30" s="1"/>
  <c r="CJ100" i="119"/>
  <c r="BK91" i="30" s="1"/>
  <c r="AQ35" i="3"/>
  <c r="BK101" i="119" s="1"/>
  <c r="AL92" i="30" s="1"/>
  <c r="BY42" i="3"/>
  <c r="CS303" i="119" s="1"/>
  <c r="BT234" i="30" s="1"/>
  <c r="CF48" i="3"/>
  <c r="CB98" i="119"/>
  <c r="BC89" i="30" s="1"/>
  <c r="CG42" i="3"/>
  <c r="T46" i="119"/>
  <c r="T44" i="30" s="1"/>
  <c r="O265" i="119"/>
  <c r="CR98" i="119"/>
  <c r="BS89" i="30" s="1"/>
  <c r="BE32" i="3"/>
  <c r="BY97" i="119" s="1"/>
  <c r="AZ88" i="30" s="1"/>
  <c r="EU44" i="2"/>
  <c r="I65" i="119" s="1"/>
  <c r="I61" i="30" s="1"/>
  <c r="BD80" i="2"/>
  <c r="F265" i="119"/>
  <c r="L265" i="119"/>
  <c r="W18" i="30"/>
  <c r="V18" i="30"/>
  <c r="M18" i="30"/>
  <c r="M19" i="119"/>
  <c r="M19" i="30" s="1"/>
  <c r="N259" i="119"/>
  <c r="N192" i="30" s="1"/>
  <c r="N20" i="30"/>
  <c r="K18" i="30"/>
  <c r="G18" i="30"/>
  <c r="U18" i="30"/>
  <c r="I18" i="30"/>
  <c r="BC268" i="119"/>
  <c r="AD199" i="30" s="1"/>
  <c r="AD23" i="30"/>
  <c r="CS268" i="119"/>
  <c r="BT199" i="30" s="1"/>
  <c r="BT23" i="30"/>
  <c r="S213" i="119"/>
  <c r="S171" i="30" s="1"/>
  <c r="S170" i="119"/>
  <c r="S138" i="30" s="1"/>
  <c r="S174" i="119"/>
  <c r="S166" i="119"/>
  <c r="S165" i="119"/>
  <c r="BK268" i="119"/>
  <c r="AL199" i="30" s="1"/>
  <c r="AL23" i="30"/>
  <c r="L166" i="119"/>
  <c r="L170" i="119"/>
  <c r="L138" i="30" s="1"/>
  <c r="L174" i="119"/>
  <c r="L165" i="119"/>
  <c r="FG67" i="51"/>
  <c r="CE268" i="119"/>
  <c r="BF199" i="30" s="1"/>
  <c r="BF23" i="30"/>
  <c r="T202" i="119"/>
  <c r="T160" i="30" s="1"/>
  <c r="T135" i="119"/>
  <c r="T124" i="30" s="1"/>
  <c r="T129" i="119"/>
  <c r="T118" i="30" s="1"/>
  <c r="T215" i="119"/>
  <c r="T117" i="30" s="1"/>
  <c r="CN215" i="119"/>
  <c r="BO117" i="30" s="1"/>
  <c r="CN202" i="119"/>
  <c r="BO160" i="30" s="1"/>
  <c r="CN135" i="119"/>
  <c r="BO124" i="30" s="1"/>
  <c r="CN129" i="119"/>
  <c r="DE163" i="119"/>
  <c r="DE169" i="119"/>
  <c r="CF137" i="30" s="1"/>
  <c r="CM163" i="119"/>
  <c r="CM205" i="119"/>
  <c r="BN163" i="30" s="1"/>
  <c r="CM169" i="119"/>
  <c r="BN137" i="30" s="1"/>
  <c r="CU205" i="119"/>
  <c r="BV163" i="30" s="1"/>
  <c r="CU169" i="119"/>
  <c r="BV137" i="30" s="1"/>
  <c r="CU163" i="119"/>
  <c r="CI165" i="119"/>
  <c r="CI213" i="119"/>
  <c r="BJ171" i="30" s="1"/>
  <c r="CI174" i="119"/>
  <c r="CI170" i="119"/>
  <c r="BJ138" i="30" s="1"/>
  <c r="CI166" i="119"/>
  <c r="CO202" i="119"/>
  <c r="BP160" i="30" s="1"/>
  <c r="CO135" i="119"/>
  <c r="BP124" i="30" s="1"/>
  <c r="CO129" i="119"/>
  <c r="CO215" i="119"/>
  <c r="BP117" i="30" s="1"/>
  <c r="CC33" i="3"/>
  <c r="CV98" i="119"/>
  <c r="BW89" i="30" s="1"/>
  <c r="M170" i="119"/>
  <c r="M138" i="30" s="1"/>
  <c r="M166" i="119"/>
  <c r="M165" i="119"/>
  <c r="M174" i="119"/>
  <c r="CR268" i="119"/>
  <c r="BS199" i="30" s="1"/>
  <c r="BS23" i="30"/>
  <c r="CA268" i="119"/>
  <c r="BB199" i="30" s="1"/>
  <c r="BB23" i="30"/>
  <c r="CI268" i="119"/>
  <c r="BJ199" i="30" s="1"/>
  <c r="BJ23" i="30"/>
  <c r="CM66" i="51"/>
  <c r="L135" i="119"/>
  <c r="L124" i="30" s="1"/>
  <c r="L129" i="119"/>
  <c r="L118" i="30" s="1"/>
  <c r="BY268" i="119"/>
  <c r="AZ199" i="30" s="1"/>
  <c r="AZ23" i="30"/>
  <c r="CH268" i="119"/>
  <c r="BI199" i="30" s="1"/>
  <c r="BI23" i="30"/>
  <c r="BM268" i="119"/>
  <c r="AN199" i="30" s="1"/>
  <c r="AN23" i="30"/>
  <c r="CF268" i="119"/>
  <c r="BG199" i="30" s="1"/>
  <c r="BG23" i="30"/>
  <c r="BX103" i="119"/>
  <c r="AY94" i="30" s="1"/>
  <c r="BQ33" i="3"/>
  <c r="CK98" i="119" s="1"/>
  <c r="BL89" i="30" s="1"/>
  <c r="S200" i="119"/>
  <c r="S158" i="30" s="1"/>
  <c r="S153" i="119"/>
  <c r="S149" i="119"/>
  <c r="S146" i="119"/>
  <c r="S143" i="119"/>
  <c r="S140" i="119"/>
  <c r="S151" i="119"/>
  <c r="S128" i="30" s="1"/>
  <c r="S148" i="119"/>
  <c r="S145" i="119"/>
  <c r="S142" i="119"/>
  <c r="S139" i="119"/>
  <c r="S154" i="119"/>
  <c r="S133" i="30" s="1"/>
  <c r="S144" i="119"/>
  <c r="S147" i="119"/>
  <c r="S138" i="119"/>
  <c r="S150" i="119"/>
  <c r="S141" i="119"/>
  <c r="G170" i="119"/>
  <c r="G138" i="30" s="1"/>
  <c r="G166" i="119"/>
  <c r="G165" i="119"/>
  <c r="G174" i="119"/>
  <c r="S204" i="119"/>
  <c r="S162" i="30" s="1"/>
  <c r="S164" i="119"/>
  <c r="S136" i="30" s="1"/>
  <c r="BJ268" i="119"/>
  <c r="AK199" i="30" s="1"/>
  <c r="AK23" i="30"/>
  <c r="T165" i="119"/>
  <c r="T174" i="119"/>
  <c r="T166" i="119"/>
  <c r="T170" i="119"/>
  <c r="T138" i="30" s="1"/>
  <c r="T213" i="119"/>
  <c r="T171" i="30" s="1"/>
  <c r="T200" i="119"/>
  <c r="T158" i="30" s="1"/>
  <c r="T153" i="119"/>
  <c r="T149" i="119"/>
  <c r="T146" i="119"/>
  <c r="T143" i="119"/>
  <c r="T140" i="119"/>
  <c r="T151" i="119"/>
  <c r="T128" i="30" s="1"/>
  <c r="T148" i="119"/>
  <c r="T145" i="119"/>
  <c r="T142" i="119"/>
  <c r="T139" i="119"/>
  <c r="T150" i="119"/>
  <c r="T141" i="119"/>
  <c r="T147" i="119"/>
  <c r="T138" i="119"/>
  <c r="T154" i="119"/>
  <c r="T133" i="30" s="1"/>
  <c r="T144" i="119"/>
  <c r="BP24" i="30"/>
  <c r="CO26" i="119"/>
  <c r="BP26" i="30" s="1"/>
  <c r="CS26" i="119"/>
  <c r="BT26" i="30" s="1"/>
  <c r="BT24" i="30"/>
  <c r="BB268" i="119"/>
  <c r="AC199" i="30" s="1"/>
  <c r="AC23" i="30"/>
  <c r="BD16" i="1"/>
  <c r="BX21" i="119" s="1"/>
  <c r="CL268" i="119"/>
  <c r="BM199" i="30" s="1"/>
  <c r="BM23" i="30"/>
  <c r="CS284" i="119"/>
  <c r="BT215" i="30" s="1"/>
  <c r="CS102" i="119"/>
  <c r="BT93" i="30" s="1"/>
  <c r="Q174" i="119"/>
  <c r="Q170" i="119"/>
  <c r="Q138" i="30" s="1"/>
  <c r="Q166" i="119"/>
  <c r="Q165" i="119"/>
  <c r="AV80" i="2"/>
  <c r="AV81" i="2" s="1"/>
  <c r="BP97" i="119"/>
  <c r="AQ88" i="30" s="1"/>
  <c r="DA165" i="119"/>
  <c r="DA166" i="119"/>
  <c r="DA170" i="119"/>
  <c r="CB138" i="30" s="1"/>
  <c r="DA174" i="119"/>
  <c r="CY163" i="119"/>
  <c r="CY169" i="119"/>
  <c r="BZ137" i="30" s="1"/>
  <c r="CN200" i="119"/>
  <c r="BO158" i="30" s="1"/>
  <c r="CN153" i="119"/>
  <c r="CN149" i="119"/>
  <c r="CN146" i="119"/>
  <c r="CN143" i="119"/>
  <c r="CN140" i="119"/>
  <c r="CN154" i="119"/>
  <c r="BO133" i="30" s="1"/>
  <c r="CN151" i="119"/>
  <c r="BO128" i="30" s="1"/>
  <c r="CN148" i="119"/>
  <c r="CN145" i="119"/>
  <c r="CN142" i="119"/>
  <c r="CN139" i="119"/>
  <c r="CN150" i="119"/>
  <c r="CN141" i="119"/>
  <c r="CN144" i="119"/>
  <c r="CN147" i="119"/>
  <c r="CN138" i="119"/>
  <c r="CK215" i="119"/>
  <c r="BL117" i="30" s="1"/>
  <c r="CK202" i="119"/>
  <c r="BL160" i="30" s="1"/>
  <c r="CK129" i="119"/>
  <c r="BM118" i="30" s="1"/>
  <c r="CK135" i="119"/>
  <c r="BL124" i="30" s="1"/>
  <c r="CR213" i="119"/>
  <c r="BS171" i="30" s="1"/>
  <c r="CR170" i="119"/>
  <c r="BS138" i="30" s="1"/>
  <c r="CR174" i="119"/>
  <c r="CR166" i="119"/>
  <c r="CR165" i="119"/>
  <c r="DE135" i="119"/>
  <c r="CF124" i="30" s="1"/>
  <c r="DE129" i="119"/>
  <c r="CZ163" i="119"/>
  <c r="CZ169" i="119"/>
  <c r="CA137" i="30" s="1"/>
  <c r="CT204" i="119"/>
  <c r="BU162" i="30" s="1"/>
  <c r="CT164" i="119"/>
  <c r="BU136" i="30" s="1"/>
  <c r="CS150" i="119"/>
  <c r="CS147" i="119"/>
  <c r="CS144" i="119"/>
  <c r="CS141" i="119"/>
  <c r="CS138" i="119"/>
  <c r="CS153" i="119"/>
  <c r="CS149" i="119"/>
  <c r="CS146" i="119"/>
  <c r="CS143" i="119"/>
  <c r="CS140" i="119"/>
  <c r="CS200" i="119"/>
  <c r="BT158" i="30" s="1"/>
  <c r="CS145" i="119"/>
  <c r="CS151" i="119"/>
  <c r="BT128" i="30" s="1"/>
  <c r="CS142" i="119"/>
  <c r="CS139" i="119"/>
  <c r="CS154" i="119"/>
  <c r="BT133" i="30" s="1"/>
  <c r="CS148" i="119"/>
  <c r="CM166" i="119"/>
  <c r="CM213" i="119"/>
  <c r="BN171" i="30" s="1"/>
  <c r="CM174" i="119"/>
  <c r="CM170" i="119"/>
  <c r="BN138" i="30" s="1"/>
  <c r="CM165" i="119"/>
  <c r="CL200" i="119"/>
  <c r="BM158" i="30" s="1"/>
  <c r="CL150" i="119"/>
  <c r="CL147" i="119"/>
  <c r="CL144" i="119"/>
  <c r="CL141" i="119"/>
  <c r="CL138" i="119"/>
  <c r="CL153" i="119"/>
  <c r="CL149" i="119"/>
  <c r="CL146" i="119"/>
  <c r="CL143" i="119"/>
  <c r="CL140" i="119"/>
  <c r="CL151" i="119"/>
  <c r="BM128" i="30" s="1"/>
  <c r="CL142" i="119"/>
  <c r="CL154" i="119"/>
  <c r="BM133" i="30" s="1"/>
  <c r="CL145" i="119"/>
  <c r="CL148" i="119"/>
  <c r="CL139" i="119"/>
  <c r="DC174" i="119"/>
  <c r="DC170" i="119"/>
  <c r="CD138" i="30" s="1"/>
  <c r="DC165" i="119"/>
  <c r="DC166" i="119"/>
  <c r="CU135" i="119"/>
  <c r="BV124" i="30" s="1"/>
  <c r="CU215" i="119"/>
  <c r="BV117" i="30" s="1"/>
  <c r="CU129" i="119"/>
  <c r="CU202" i="119"/>
  <c r="BV160" i="30" s="1"/>
  <c r="CJ174" i="119"/>
  <c r="CJ170" i="119"/>
  <c r="BK138" i="30" s="1"/>
  <c r="CJ166" i="119"/>
  <c r="CJ165" i="119"/>
  <c r="CJ213" i="119"/>
  <c r="BK171" i="30" s="1"/>
  <c r="CW151" i="119"/>
  <c r="BX128" i="30" s="1"/>
  <c r="CW148" i="119"/>
  <c r="CW145" i="119"/>
  <c r="CW142" i="119"/>
  <c r="CW139" i="119"/>
  <c r="CW154" i="119"/>
  <c r="BX133" i="30" s="1"/>
  <c r="CW150" i="119"/>
  <c r="CW147" i="119"/>
  <c r="CW144" i="119"/>
  <c r="CW141" i="119"/>
  <c r="CW138" i="119"/>
  <c r="CW153" i="119"/>
  <c r="CW143" i="119"/>
  <c r="CW149" i="119"/>
  <c r="CW140" i="119"/>
  <c r="CW146" i="119"/>
  <c r="CI169" i="119"/>
  <c r="BJ137" i="30" s="1"/>
  <c r="CI163" i="119"/>
  <c r="CI205" i="119"/>
  <c r="BJ163" i="30" s="1"/>
  <c r="CQ200" i="119"/>
  <c r="BR158" i="30" s="1"/>
  <c r="CQ154" i="119"/>
  <c r="BR133" i="30" s="1"/>
  <c r="CQ151" i="119"/>
  <c r="BR128" i="30" s="1"/>
  <c r="CQ148" i="119"/>
  <c r="CQ145" i="119"/>
  <c r="CQ142" i="119"/>
  <c r="CQ139" i="119"/>
  <c r="CQ150" i="119"/>
  <c r="CQ147" i="119"/>
  <c r="CQ144" i="119"/>
  <c r="CQ141" i="119"/>
  <c r="CQ138" i="119"/>
  <c r="CQ146" i="119"/>
  <c r="CQ153" i="119"/>
  <c r="CQ143" i="119"/>
  <c r="CQ140" i="119"/>
  <c r="CQ149" i="119"/>
  <c r="CX170" i="119"/>
  <c r="BY138" i="30" s="1"/>
  <c r="CX166" i="119"/>
  <c r="CX165" i="119"/>
  <c r="CX174" i="119"/>
  <c r="CH205" i="119"/>
  <c r="BI163" i="30" s="1"/>
  <c r="CH169" i="119"/>
  <c r="BI137" i="30" s="1"/>
  <c r="CH163" i="119"/>
  <c r="CP204" i="119"/>
  <c r="BQ162" i="30" s="1"/>
  <c r="CP164" i="119"/>
  <c r="BQ136" i="30" s="1"/>
  <c r="S49" i="119"/>
  <c r="S47" i="30" s="1"/>
  <c r="CM26" i="119"/>
  <c r="BN26" i="30" s="1"/>
  <c r="BN24" i="30"/>
  <c r="F270" i="119"/>
  <c r="F201" i="30" s="1"/>
  <c r="F11" i="30"/>
  <c r="CN26" i="119"/>
  <c r="BO26" i="30" s="1"/>
  <c r="BO24" i="30"/>
  <c r="G270" i="119"/>
  <c r="G201" i="30" s="1"/>
  <c r="G11" i="30"/>
  <c r="BE11" i="3"/>
  <c r="BX305" i="119"/>
  <c r="AY236" i="30" s="1"/>
  <c r="CT26" i="119"/>
  <c r="BU26" i="30" s="1"/>
  <c r="BU24" i="30"/>
  <c r="AJ79" i="2"/>
  <c r="AJ84" i="2" s="1"/>
  <c r="BD93" i="119"/>
  <c r="AE84" i="30" s="1"/>
  <c r="BY11" i="3"/>
  <c r="CR305" i="119"/>
  <c r="BS236" i="30" s="1"/>
  <c r="BW19" i="119"/>
  <c r="AX19" i="30" s="1"/>
  <c r="S18" i="119"/>
  <c r="BU11" i="3"/>
  <c r="CN305" i="119"/>
  <c r="BO236" i="30" s="1"/>
  <c r="R215" i="119"/>
  <c r="R117" i="30" s="1"/>
  <c r="R202" i="119"/>
  <c r="R160" i="30" s="1"/>
  <c r="R135" i="119"/>
  <c r="R124" i="30" s="1"/>
  <c r="R129" i="119"/>
  <c r="R118" i="30" s="1"/>
  <c r="CM268" i="119"/>
  <c r="BN199" i="30" s="1"/>
  <c r="BN23" i="30"/>
  <c r="AZ268" i="119"/>
  <c r="AA199" i="30" s="1"/>
  <c r="AA23" i="30"/>
  <c r="G135" i="119"/>
  <c r="G124" i="30" s="1"/>
  <c r="G129" i="119"/>
  <c r="G118" i="30" s="1"/>
  <c r="I129" i="119"/>
  <c r="I135" i="119"/>
  <c r="I124" i="30" s="1"/>
  <c r="CT268" i="119"/>
  <c r="BU199" i="30" s="1"/>
  <c r="BU23" i="30"/>
  <c r="H153" i="119"/>
  <c r="H149" i="119"/>
  <c r="H146" i="119"/>
  <c r="H143" i="119"/>
  <c r="H140" i="119"/>
  <c r="H151" i="119"/>
  <c r="H128" i="30" s="1"/>
  <c r="H148" i="119"/>
  <c r="H145" i="119"/>
  <c r="H142" i="119"/>
  <c r="H139" i="119"/>
  <c r="H147" i="119"/>
  <c r="H138" i="119"/>
  <c r="H154" i="119"/>
  <c r="H133" i="30" s="1"/>
  <c r="H144" i="119"/>
  <c r="H150" i="119"/>
  <c r="H141" i="119"/>
  <c r="N153" i="119"/>
  <c r="N149" i="119"/>
  <c r="N146" i="119"/>
  <c r="N143" i="119"/>
  <c r="N140" i="119"/>
  <c r="N151" i="119"/>
  <c r="N128" i="30" s="1"/>
  <c r="N148" i="119"/>
  <c r="N145" i="119"/>
  <c r="N142" i="119"/>
  <c r="N139" i="119"/>
  <c r="N154" i="119"/>
  <c r="N133" i="30" s="1"/>
  <c r="N144" i="119"/>
  <c r="N150" i="119"/>
  <c r="N141" i="119"/>
  <c r="N147" i="119"/>
  <c r="N138" i="119"/>
  <c r="AZ38" i="3"/>
  <c r="AZ48" i="3" s="1"/>
  <c r="BT107" i="119" s="1"/>
  <c r="AU97" i="30" s="1"/>
  <c r="BS103" i="119"/>
  <c r="AT94" i="30" s="1"/>
  <c r="BE41" i="3"/>
  <c r="BX284" i="119"/>
  <c r="AY215" i="30" s="1"/>
  <c r="AU48" i="3"/>
  <c r="BO107" i="119" s="1"/>
  <c r="AP97" i="30" s="1"/>
  <c r="BO103" i="119"/>
  <c r="AP94" i="30" s="1"/>
  <c r="AJ28" i="3"/>
  <c r="BC100" i="119"/>
  <c r="AD91" i="30" s="1"/>
  <c r="CT205" i="119"/>
  <c r="BU163" i="30" s="1"/>
  <c r="CT163" i="119"/>
  <c r="CT169" i="119"/>
  <c r="BU137" i="30" s="1"/>
  <c r="T18" i="30"/>
  <c r="DD284" i="119"/>
  <c r="CE215" i="30" s="1"/>
  <c r="DD102" i="119"/>
  <c r="CE93" i="30" s="1"/>
  <c r="BW268" i="119"/>
  <c r="AX199" i="30" s="1"/>
  <c r="AX23" i="30"/>
  <c r="L154" i="119"/>
  <c r="L133" i="30" s="1"/>
  <c r="L150" i="119"/>
  <c r="L147" i="119"/>
  <c r="L144" i="119"/>
  <c r="L141" i="119"/>
  <c r="L138" i="119"/>
  <c r="L153" i="119"/>
  <c r="L149" i="119"/>
  <c r="L146" i="119"/>
  <c r="L143" i="119"/>
  <c r="L140" i="119"/>
  <c r="L145" i="119"/>
  <c r="L151" i="119"/>
  <c r="L128" i="30" s="1"/>
  <c r="L142" i="119"/>
  <c r="L148" i="119"/>
  <c r="L139" i="119"/>
  <c r="P129" i="119"/>
  <c r="P135" i="119"/>
  <c r="P124" i="30" s="1"/>
  <c r="BQ268" i="119"/>
  <c r="AR199" i="30" s="1"/>
  <c r="AR23" i="30"/>
  <c r="CD268" i="119"/>
  <c r="BE199" i="30" s="1"/>
  <c r="BE23" i="30"/>
  <c r="FA28" i="3"/>
  <c r="S169" i="119"/>
  <c r="S137" i="30" s="1"/>
  <c r="S205" i="119"/>
  <c r="S163" i="30" s="1"/>
  <c r="S163" i="119"/>
  <c r="K154" i="119"/>
  <c r="K133" i="30" s="1"/>
  <c r="K150" i="119"/>
  <c r="K147" i="119"/>
  <c r="K144" i="119"/>
  <c r="K141" i="119"/>
  <c r="K138" i="119"/>
  <c r="K153" i="119"/>
  <c r="K149" i="119"/>
  <c r="K146" i="119"/>
  <c r="K143" i="119"/>
  <c r="K140" i="119"/>
  <c r="K148" i="119"/>
  <c r="K139" i="119"/>
  <c r="K151" i="119"/>
  <c r="K128" i="30" s="1"/>
  <c r="K142" i="119"/>
  <c r="K145" i="119"/>
  <c r="G153" i="119"/>
  <c r="G149" i="119"/>
  <c r="G146" i="119"/>
  <c r="G143" i="119"/>
  <c r="G140" i="119"/>
  <c r="G151" i="119"/>
  <c r="G128" i="30" s="1"/>
  <c r="G148" i="119"/>
  <c r="G145" i="119"/>
  <c r="G142" i="119"/>
  <c r="G139" i="119"/>
  <c r="G150" i="119"/>
  <c r="G141" i="119"/>
  <c r="G154" i="119"/>
  <c r="G133" i="30" s="1"/>
  <c r="G144" i="119"/>
  <c r="G147" i="119"/>
  <c r="G138" i="119"/>
  <c r="CJ268" i="119"/>
  <c r="BK199" i="30" s="1"/>
  <c r="BK23" i="30"/>
  <c r="M135" i="119"/>
  <c r="M124" i="30" s="1"/>
  <c r="M129" i="119"/>
  <c r="M118" i="30" s="1"/>
  <c r="S202" i="119"/>
  <c r="S160" i="30" s="1"/>
  <c r="S135" i="119"/>
  <c r="S124" i="30" s="1"/>
  <c r="S129" i="119"/>
  <c r="S118" i="30" s="1"/>
  <c r="S215" i="119"/>
  <c r="S117" i="30" s="1"/>
  <c r="AX268" i="119"/>
  <c r="Y199" i="30" s="1"/>
  <c r="Y23" i="30"/>
  <c r="P174" i="119"/>
  <c r="P165" i="119"/>
  <c r="P170" i="119"/>
  <c r="P138" i="30" s="1"/>
  <c r="P166" i="119"/>
  <c r="BZ268" i="119"/>
  <c r="BA199" i="30" s="1"/>
  <c r="BA23" i="30"/>
  <c r="DE26" i="119"/>
  <c r="CF26" i="30" s="1"/>
  <c r="CF24" i="30"/>
  <c r="AR79" i="2"/>
  <c r="AR84" i="2" s="1"/>
  <c r="BL93" i="119"/>
  <c r="AM84" i="30" s="1"/>
  <c r="AC12" i="3"/>
  <c r="AC79" i="2" s="1"/>
  <c r="AC84" i="2" s="1"/>
  <c r="AV93" i="119"/>
  <c r="R26" i="119"/>
  <c r="R26" i="30" s="1"/>
  <c r="R24" i="30"/>
  <c r="X80" i="2"/>
  <c r="AR97" i="119"/>
  <c r="EH86" i="6"/>
  <c r="EH85" i="6"/>
  <c r="V176" i="119" s="1"/>
  <c r="V140" i="30" s="1"/>
  <c r="BK103" i="1"/>
  <c r="AJ48" i="3"/>
  <c r="BD107" i="119" s="1"/>
  <c r="AE97" i="30" s="1"/>
  <c r="BD103" i="119"/>
  <c r="AE94" i="30" s="1"/>
  <c r="AI124" i="1"/>
  <c r="BC21" i="119"/>
  <c r="CN67" i="3"/>
  <c r="DF135" i="119"/>
  <c r="DF129" i="119"/>
  <c r="DA154" i="119"/>
  <c r="CB133" i="30" s="1"/>
  <c r="DA153" i="119"/>
  <c r="DA149" i="119"/>
  <c r="DA146" i="119"/>
  <c r="DA143" i="119"/>
  <c r="DA140" i="119"/>
  <c r="DA151" i="119"/>
  <c r="CB128" i="30" s="1"/>
  <c r="DA148" i="119"/>
  <c r="DA145" i="119"/>
  <c r="DA142" i="119"/>
  <c r="DA139" i="119"/>
  <c r="DA150" i="119"/>
  <c r="DA141" i="119"/>
  <c r="DA147" i="119"/>
  <c r="DA138" i="119"/>
  <c r="DA144" i="119"/>
  <c r="CY166" i="119"/>
  <c r="CY170" i="119"/>
  <c r="BZ138" i="30" s="1"/>
  <c r="CY174" i="119"/>
  <c r="CY165" i="119"/>
  <c r="CN213" i="119"/>
  <c r="BO171" i="30" s="1"/>
  <c r="CN174" i="119"/>
  <c r="CN170" i="119"/>
  <c r="BO138" i="30" s="1"/>
  <c r="CN166" i="119"/>
  <c r="CN165" i="119"/>
  <c r="CK151" i="119"/>
  <c r="BL128" i="30" s="1"/>
  <c r="CK148" i="119"/>
  <c r="CK145" i="119"/>
  <c r="CK142" i="119"/>
  <c r="CK139" i="119"/>
  <c r="CK200" i="119"/>
  <c r="BL158" i="30" s="1"/>
  <c r="CK150" i="119"/>
  <c r="CK147" i="119"/>
  <c r="CK144" i="119"/>
  <c r="CK141" i="119"/>
  <c r="CK138" i="119"/>
  <c r="CK149" i="119"/>
  <c r="CK140" i="119"/>
  <c r="CK154" i="119"/>
  <c r="BL133" i="30" s="1"/>
  <c r="CK146" i="119"/>
  <c r="CK143" i="119"/>
  <c r="CK153" i="119"/>
  <c r="CR200" i="119"/>
  <c r="BS158" i="30" s="1"/>
  <c r="CR150" i="119"/>
  <c r="CR147" i="119"/>
  <c r="CR144" i="119"/>
  <c r="CR141" i="119"/>
  <c r="CR138" i="119"/>
  <c r="CR153" i="119"/>
  <c r="CR149" i="119"/>
  <c r="CR146" i="119"/>
  <c r="CR143" i="119"/>
  <c r="CR140" i="119"/>
  <c r="CR154" i="119"/>
  <c r="BS133" i="30" s="1"/>
  <c r="CR148" i="119"/>
  <c r="CR139" i="119"/>
  <c r="CR151" i="119"/>
  <c r="BS128" i="30" s="1"/>
  <c r="CR142" i="119"/>
  <c r="CR145" i="119"/>
  <c r="DE166" i="119"/>
  <c r="DE170" i="119"/>
  <c r="CF138" i="30" s="1"/>
  <c r="DE174" i="119"/>
  <c r="DE165" i="119"/>
  <c r="DB151" i="119"/>
  <c r="CC128" i="30" s="1"/>
  <c r="DB148" i="119"/>
  <c r="DB145" i="119"/>
  <c r="DB142" i="119"/>
  <c r="DB139" i="119"/>
  <c r="DB154" i="119"/>
  <c r="CC133" i="30" s="1"/>
  <c r="DB150" i="119"/>
  <c r="DB147" i="119"/>
  <c r="DB144" i="119"/>
  <c r="DB141" i="119"/>
  <c r="DB138" i="119"/>
  <c r="DB153" i="119"/>
  <c r="DB143" i="119"/>
  <c r="DB146" i="119"/>
  <c r="DB149" i="119"/>
  <c r="DB140" i="119"/>
  <c r="DD135" i="119"/>
  <c r="CE124" i="30" s="1"/>
  <c r="DD129" i="119"/>
  <c r="CF118" i="30" s="1"/>
  <c r="CV129" i="119"/>
  <c r="BX118" i="30" s="1"/>
  <c r="CV135" i="119"/>
  <c r="CJ169" i="119"/>
  <c r="BK137" i="30" s="1"/>
  <c r="CJ163" i="119"/>
  <c r="CJ205" i="119"/>
  <c r="BK163" i="30" s="1"/>
  <c r="CI164" i="119"/>
  <c r="BJ136" i="30" s="1"/>
  <c r="CI204" i="119"/>
  <c r="BJ162" i="30" s="1"/>
  <c r="CQ213" i="119"/>
  <c r="BR171" i="30" s="1"/>
  <c r="CQ170" i="119"/>
  <c r="BR138" i="30" s="1"/>
  <c r="CQ174" i="119"/>
  <c r="CQ166" i="119"/>
  <c r="CQ165" i="119"/>
  <c r="CX154" i="119"/>
  <c r="BY133" i="30" s="1"/>
  <c r="CX150" i="119"/>
  <c r="CX147" i="119"/>
  <c r="CX144" i="119"/>
  <c r="CX141" i="119"/>
  <c r="CX138" i="119"/>
  <c r="CX153" i="119"/>
  <c r="CX149" i="119"/>
  <c r="CX146" i="119"/>
  <c r="CX143" i="119"/>
  <c r="CX140" i="119"/>
  <c r="CX145" i="119"/>
  <c r="CX148" i="119"/>
  <c r="CX139" i="119"/>
  <c r="CX151" i="119"/>
  <c r="BY128" i="30" s="1"/>
  <c r="CX142" i="119"/>
  <c r="CH164" i="119"/>
  <c r="BI136" i="30" s="1"/>
  <c r="CH204" i="119"/>
  <c r="BI162" i="30" s="1"/>
  <c r="CO154" i="119"/>
  <c r="BP133" i="30" s="1"/>
  <c r="CO153" i="119"/>
  <c r="CO149" i="119"/>
  <c r="CO146" i="119"/>
  <c r="CO143" i="119"/>
  <c r="CO140" i="119"/>
  <c r="CO151" i="119"/>
  <c r="BP128" i="30" s="1"/>
  <c r="CO148" i="119"/>
  <c r="CO145" i="119"/>
  <c r="CO142" i="119"/>
  <c r="CO139" i="119"/>
  <c r="CO147" i="119"/>
  <c r="CO138" i="119"/>
  <c r="CO144" i="119"/>
  <c r="CO200" i="119"/>
  <c r="BP158" i="30" s="1"/>
  <c r="CO141" i="119"/>
  <c r="CO150" i="119"/>
  <c r="BM11" i="3"/>
  <c r="CF305" i="119"/>
  <c r="BG236" i="30" s="1"/>
  <c r="P18" i="119"/>
  <c r="R270" i="119"/>
  <c r="R201" i="30" s="1"/>
  <c r="R11" i="30"/>
  <c r="BQ11" i="3"/>
  <c r="CJ305" i="119"/>
  <c r="BK236" i="30" s="1"/>
  <c r="CN284" i="119"/>
  <c r="BO215" i="30" s="1"/>
  <c r="CN102" i="119"/>
  <c r="BO93" i="30" s="1"/>
  <c r="BI11" i="3"/>
  <c r="CB305" i="119"/>
  <c r="BC236" i="30" s="1"/>
  <c r="CQ19" i="119"/>
  <c r="BR19" i="30" s="1"/>
  <c r="P270" i="119"/>
  <c r="P201" i="30" s="1"/>
  <c r="P11" i="30"/>
  <c r="CO18" i="1"/>
  <c r="DI24" i="119"/>
  <c r="DI26" i="119" s="1"/>
  <c r="CK13" i="3"/>
  <c r="DD95" i="119"/>
  <c r="CE86" i="30" s="1"/>
  <c r="BW100" i="119"/>
  <c r="AX91" i="30" s="1"/>
  <c r="CJ26" i="119"/>
  <c r="BK26" i="30" s="1"/>
  <c r="BK24" i="30"/>
  <c r="BD19" i="119"/>
  <c r="AE19" i="30" s="1"/>
  <c r="N270" i="119"/>
  <c r="N201" i="30" s="1"/>
  <c r="N11" i="30"/>
  <c r="EG86" i="6"/>
  <c r="EG85" i="6"/>
  <c r="U176" i="119" s="1"/>
  <c r="U140" i="30" s="1"/>
  <c r="CN268" i="119"/>
  <c r="BO199" i="30" s="1"/>
  <c r="BO23" i="30"/>
  <c r="DB23" i="119"/>
  <c r="CO268" i="119"/>
  <c r="BP199" i="30" s="1"/>
  <c r="BP23" i="30"/>
  <c r="BP268" i="119"/>
  <c r="AQ199" i="30" s="1"/>
  <c r="AQ23" i="30"/>
  <c r="CC28" i="3"/>
  <c r="CV100" i="119"/>
  <c r="BW91" i="30" s="1"/>
  <c r="FC38" i="3"/>
  <c r="AZ80" i="2"/>
  <c r="AZ81" i="2" s="1"/>
  <c r="BT97" i="119"/>
  <c r="AU88" i="30" s="1"/>
  <c r="BQ12" i="3"/>
  <c r="CK93" i="119" s="1"/>
  <c r="BL84" i="30" s="1"/>
  <c r="CJ93" i="119"/>
  <c r="BK84" i="30" s="1"/>
  <c r="CR215" i="119"/>
  <c r="BS117" i="30" s="1"/>
  <c r="CR202" i="119"/>
  <c r="BS160" i="30" s="1"/>
  <c r="CR135" i="119"/>
  <c r="BS124" i="30" s="1"/>
  <c r="CR129" i="119"/>
  <c r="BT118" i="30" s="1"/>
  <c r="CS204" i="119"/>
  <c r="BT162" i="30" s="1"/>
  <c r="CS164" i="119"/>
  <c r="BT136" i="30" s="1"/>
  <c r="DD154" i="119"/>
  <c r="CE133" i="30" s="1"/>
  <c r="DD150" i="119"/>
  <c r="DD147" i="119"/>
  <c r="DD144" i="119"/>
  <c r="DD141" i="119"/>
  <c r="DD138" i="119"/>
  <c r="DD153" i="119"/>
  <c r="DD149" i="119"/>
  <c r="DD146" i="119"/>
  <c r="DD143" i="119"/>
  <c r="DD140" i="119"/>
  <c r="DD151" i="119"/>
  <c r="CE128" i="30" s="1"/>
  <c r="DD142" i="119"/>
  <c r="DD145" i="119"/>
  <c r="DD148" i="119"/>
  <c r="DD139" i="119"/>
  <c r="CH213" i="119"/>
  <c r="BI171" i="30" s="1"/>
  <c r="CH174" i="119"/>
  <c r="CH170" i="119"/>
  <c r="BI138" i="30" s="1"/>
  <c r="CH165" i="119"/>
  <c r="CH166" i="119"/>
  <c r="CA19" i="119"/>
  <c r="BB19" i="30" s="1"/>
  <c r="BB21" i="30"/>
  <c r="J270" i="119"/>
  <c r="J201" i="30" s="1"/>
  <c r="J11" i="30"/>
  <c r="T205" i="119"/>
  <c r="T163" i="30" s="1"/>
  <c r="T163" i="119"/>
  <c r="T169" i="119"/>
  <c r="T137" i="30" s="1"/>
  <c r="AY268" i="119"/>
  <c r="Z199" i="30" s="1"/>
  <c r="Z23" i="30"/>
  <c r="CK41" i="3"/>
  <c r="Q169" i="119"/>
  <c r="Q137" i="30" s="1"/>
  <c r="Q163" i="119"/>
  <c r="I165" i="119"/>
  <c r="I174" i="119"/>
  <c r="I170" i="119"/>
  <c r="I138" i="30" s="1"/>
  <c r="I166" i="119"/>
  <c r="BE268" i="119"/>
  <c r="AF199" i="30" s="1"/>
  <c r="AF23" i="30"/>
  <c r="BV268" i="119"/>
  <c r="AW199" i="30" s="1"/>
  <c r="AW23" i="30"/>
  <c r="CK38" i="3"/>
  <c r="FI38" i="3" s="1"/>
  <c r="DD103" i="119"/>
  <c r="CE94" i="30" s="1"/>
  <c r="BS268" i="119"/>
  <c r="AT199" i="30" s="1"/>
  <c r="AT23" i="30"/>
  <c r="O129" i="119"/>
  <c r="O135" i="119"/>
  <c r="O124" i="30" s="1"/>
  <c r="K135" i="119"/>
  <c r="K129" i="119"/>
  <c r="K118" i="30" s="1"/>
  <c r="BX268" i="119"/>
  <c r="AY199" i="30" s="1"/>
  <c r="AY23" i="30"/>
  <c r="M153" i="119"/>
  <c r="M149" i="119"/>
  <c r="M146" i="119"/>
  <c r="M143" i="119"/>
  <c r="M140" i="119"/>
  <c r="M151" i="119"/>
  <c r="M128" i="30" s="1"/>
  <c r="M148" i="119"/>
  <c r="M145" i="119"/>
  <c r="M142" i="119"/>
  <c r="M139" i="119"/>
  <c r="M147" i="119"/>
  <c r="M138" i="119"/>
  <c r="M150" i="119"/>
  <c r="M141" i="119"/>
  <c r="M154" i="119"/>
  <c r="M133" i="30" s="1"/>
  <c r="M144" i="119"/>
  <c r="N165" i="119"/>
  <c r="N170" i="119"/>
  <c r="N138" i="30" s="1"/>
  <c r="N166" i="119"/>
  <c r="N174" i="119"/>
  <c r="R163" i="119"/>
  <c r="R169" i="119"/>
  <c r="R137" i="30" s="1"/>
  <c r="R205" i="119"/>
  <c r="R163" i="30" s="1"/>
  <c r="T204" i="119"/>
  <c r="T162" i="30" s="1"/>
  <c r="T164" i="119"/>
  <c r="T136" i="30" s="1"/>
  <c r="P151" i="119"/>
  <c r="P128" i="30" s="1"/>
  <c r="P148" i="119"/>
  <c r="P145" i="119"/>
  <c r="P142" i="119"/>
  <c r="P139" i="119"/>
  <c r="P154" i="119"/>
  <c r="P133" i="30" s="1"/>
  <c r="P150" i="119"/>
  <c r="P147" i="119"/>
  <c r="P144" i="119"/>
  <c r="P141" i="119"/>
  <c r="P138" i="119"/>
  <c r="P153" i="119"/>
  <c r="P143" i="119"/>
  <c r="P149" i="119"/>
  <c r="P140" i="119"/>
  <c r="P146" i="119"/>
  <c r="BR268" i="119"/>
  <c r="AS199" i="30" s="1"/>
  <c r="AS23" i="30"/>
  <c r="BN268" i="119"/>
  <c r="AO199" i="30" s="1"/>
  <c r="AO23" i="30"/>
  <c r="BF54" i="3"/>
  <c r="BF55" i="3" s="1"/>
  <c r="BT16" i="1"/>
  <c r="CN21" i="119" s="1"/>
  <c r="CN93" i="119"/>
  <c r="BO84" i="30" s="1"/>
  <c r="CK28" i="3"/>
  <c r="FI28" i="3" s="1"/>
  <c r="DD100" i="119"/>
  <c r="CE91" i="30" s="1"/>
  <c r="CB24" i="30"/>
  <c r="DA26" i="119"/>
  <c r="CB26" i="30" s="1"/>
  <c r="BL16" i="1"/>
  <c r="BL17" i="1" s="1"/>
  <c r="CF20" i="119" s="1"/>
  <c r="CF93" i="119"/>
  <c r="BG84" i="30" s="1"/>
  <c r="AK32" i="3"/>
  <c r="BE97" i="119" s="1"/>
  <c r="AF88" i="30" s="1"/>
  <c r="BD97" i="119"/>
  <c r="AE88" i="30" s="1"/>
  <c r="BG124" i="1"/>
  <c r="DF174" i="119"/>
  <c r="DF170" i="119"/>
  <c r="DF166" i="119"/>
  <c r="DF165" i="119"/>
  <c r="DA169" i="119"/>
  <c r="CB137" i="30" s="1"/>
  <c r="DA163" i="119"/>
  <c r="CY135" i="119"/>
  <c r="BZ124" i="30" s="1"/>
  <c r="CY129" i="119"/>
  <c r="CA118" i="30" s="1"/>
  <c r="CN205" i="119"/>
  <c r="BO163" i="30" s="1"/>
  <c r="CN169" i="119"/>
  <c r="BO137" i="30" s="1"/>
  <c r="CN163" i="119"/>
  <c r="CK174" i="119"/>
  <c r="CK170" i="119"/>
  <c r="BL138" i="30" s="1"/>
  <c r="CK166" i="119"/>
  <c r="CK165" i="119"/>
  <c r="CK213" i="119"/>
  <c r="BL171" i="30" s="1"/>
  <c r="CT215" i="119"/>
  <c r="BU117" i="30" s="1"/>
  <c r="CT135" i="119"/>
  <c r="BU124" i="30" s="1"/>
  <c r="CT129" i="119"/>
  <c r="CT202" i="119"/>
  <c r="BU160" i="30" s="1"/>
  <c r="CS163" i="119"/>
  <c r="CS169" i="119"/>
  <c r="BT137" i="30" s="1"/>
  <c r="CS205" i="119"/>
  <c r="BT163" i="30" s="1"/>
  <c r="CM204" i="119"/>
  <c r="BN162" i="30" s="1"/>
  <c r="CM164" i="119"/>
  <c r="BN136" i="30" s="1"/>
  <c r="CL202" i="119"/>
  <c r="BM160" i="30" s="1"/>
  <c r="CL215" i="119"/>
  <c r="BM117" i="30" s="1"/>
  <c r="CL135" i="119"/>
  <c r="BM124" i="30" s="1"/>
  <c r="CL129" i="119"/>
  <c r="BN118" i="30" s="1"/>
  <c r="DC169" i="119"/>
  <c r="CD137" i="30" s="1"/>
  <c r="DC163" i="119"/>
  <c r="CU154" i="119"/>
  <c r="BV133" i="30" s="1"/>
  <c r="CU153" i="119"/>
  <c r="CU149" i="119"/>
  <c r="CU146" i="119"/>
  <c r="CU143" i="119"/>
  <c r="CU140" i="119"/>
  <c r="CU200" i="119"/>
  <c r="BV158" i="30" s="1"/>
  <c r="CU151" i="119"/>
  <c r="BV128" i="30" s="1"/>
  <c r="CU148" i="119"/>
  <c r="CU145" i="119"/>
  <c r="CU142" i="119"/>
  <c r="CU139" i="119"/>
  <c r="CU144" i="119"/>
  <c r="CU150" i="119"/>
  <c r="CU141" i="119"/>
  <c r="CU138" i="119"/>
  <c r="CU147" i="119"/>
  <c r="CV151" i="119"/>
  <c r="BW128" i="30" s="1"/>
  <c r="CV148" i="119"/>
  <c r="CV145" i="119"/>
  <c r="CV142" i="119"/>
  <c r="CV139" i="119"/>
  <c r="CV154" i="119"/>
  <c r="BW133" i="30" s="1"/>
  <c r="CV150" i="119"/>
  <c r="CV147" i="119"/>
  <c r="CV144" i="119"/>
  <c r="CV141" i="119"/>
  <c r="CV138" i="119"/>
  <c r="CV146" i="119"/>
  <c r="CV149" i="119"/>
  <c r="CV140" i="119"/>
  <c r="CV153" i="119"/>
  <c r="CV143" i="119"/>
  <c r="CJ164" i="119"/>
  <c r="BK136" i="30" s="1"/>
  <c r="CJ204" i="119"/>
  <c r="BK162" i="30" s="1"/>
  <c r="CW169" i="119"/>
  <c r="BX137" i="30" s="1"/>
  <c r="CW163" i="119"/>
  <c r="CI135" i="119"/>
  <c r="BJ124" i="30" s="1"/>
  <c r="CI215" i="119"/>
  <c r="BJ117" i="30" s="1"/>
  <c r="CI129" i="119"/>
  <c r="CI202" i="119"/>
  <c r="BJ160" i="30" s="1"/>
  <c r="CP202" i="119"/>
  <c r="BQ160" i="30" s="1"/>
  <c r="CP129" i="119"/>
  <c r="BR118" i="30" s="1"/>
  <c r="CP215" i="119"/>
  <c r="BQ117" i="30" s="1"/>
  <c r="CP135" i="119"/>
  <c r="CO213" i="119"/>
  <c r="BP171" i="30" s="1"/>
  <c r="CO174" i="119"/>
  <c r="CO165" i="119"/>
  <c r="CO170" i="119"/>
  <c r="BP138" i="30" s="1"/>
  <c r="CO166" i="119"/>
  <c r="K49" i="119"/>
  <c r="K47" i="30" s="1"/>
  <c r="U46" i="119"/>
  <c r="U44" i="30" s="1"/>
  <c r="CR284" i="119"/>
  <c r="BS215" i="30" s="1"/>
  <c r="CR102" i="119"/>
  <c r="BS93" i="30" s="1"/>
  <c r="Q270" i="119"/>
  <c r="Q201" i="30" s="1"/>
  <c r="Q11" i="30"/>
  <c r="O18" i="119"/>
  <c r="Q18" i="119"/>
  <c r="CZ26" i="119"/>
  <c r="CA26" i="30" s="1"/>
  <c r="CA24" i="30"/>
  <c r="BU13" i="3"/>
  <c r="CN95" i="119"/>
  <c r="BO86" i="30" s="1"/>
  <c r="N18" i="119"/>
  <c r="BM24" i="30"/>
  <c r="CL26" i="119"/>
  <c r="BM26" i="30" s="1"/>
  <c r="CG33" i="3"/>
  <c r="CZ98" i="119"/>
  <c r="CA89" i="30" s="1"/>
  <c r="O270" i="119"/>
  <c r="O201" i="30" s="1"/>
  <c r="O11" i="30"/>
  <c r="BY28" i="3"/>
  <c r="CR100" i="119"/>
  <c r="BS91" i="30" s="1"/>
  <c r="CI67" i="1"/>
  <c r="DC21" i="119"/>
  <c r="CK164" i="119"/>
  <c r="BL136" i="30" s="1"/>
  <c r="CK204" i="119"/>
  <c r="BL162" i="30" s="1"/>
  <c r="DB129" i="119"/>
  <c r="CD118" i="30" s="1"/>
  <c r="DB135" i="119"/>
  <c r="CL166" i="119"/>
  <c r="CL213" i="119"/>
  <c r="BM171" i="30" s="1"/>
  <c r="CL165" i="119"/>
  <c r="CL174" i="119"/>
  <c r="CL170" i="119"/>
  <c r="BM138" i="30" s="1"/>
  <c r="CW129" i="119"/>
  <c r="BY118" i="30" s="1"/>
  <c r="CW135" i="119"/>
  <c r="BX124" i="30" s="1"/>
  <c r="M270" i="119"/>
  <c r="M201" i="30" s="1"/>
  <c r="M11" i="30"/>
  <c r="I270" i="119"/>
  <c r="I201" i="30" s="1"/>
  <c r="I11" i="30"/>
  <c r="T270" i="119"/>
  <c r="T201" i="30" s="1"/>
  <c r="T11" i="30"/>
  <c r="BG268" i="119"/>
  <c r="AH199" i="30" s="1"/>
  <c r="AH23" i="30"/>
  <c r="EI86" i="6"/>
  <c r="EI85" i="6"/>
  <c r="W176" i="119" s="1"/>
  <c r="W140" i="30" s="1"/>
  <c r="BI268" i="119"/>
  <c r="AJ199" i="30" s="1"/>
  <c r="AJ23" i="30"/>
  <c r="BU268" i="119"/>
  <c r="AV199" i="30" s="1"/>
  <c r="AV23" i="30"/>
  <c r="J129" i="119"/>
  <c r="J135" i="119"/>
  <c r="J124" i="30" s="1"/>
  <c r="CL50" i="3"/>
  <c r="DF96" i="119"/>
  <c r="BA268" i="119"/>
  <c r="AB199" i="30" s="1"/>
  <c r="AB23" i="30"/>
  <c r="BF268" i="119"/>
  <c r="AG199" i="30" s="1"/>
  <c r="AG23" i="30"/>
  <c r="BM13" i="3"/>
  <c r="CG95" i="119" s="1"/>
  <c r="BH86" i="30" s="1"/>
  <c r="CF95" i="119"/>
  <c r="BG86" i="30" s="1"/>
  <c r="BL268" i="119"/>
  <c r="AM199" i="30" s="1"/>
  <c r="AM23" i="30"/>
  <c r="CB268" i="119"/>
  <c r="BC199" i="30" s="1"/>
  <c r="BC23" i="30"/>
  <c r="O151" i="119"/>
  <c r="O128" i="30" s="1"/>
  <c r="O148" i="119"/>
  <c r="O145" i="119"/>
  <c r="O142" i="119"/>
  <c r="O139" i="119"/>
  <c r="O154" i="119"/>
  <c r="O133" i="30" s="1"/>
  <c r="O150" i="119"/>
  <c r="O147" i="119"/>
  <c r="O144" i="119"/>
  <c r="O141" i="119"/>
  <c r="O138" i="119"/>
  <c r="O146" i="119"/>
  <c r="O140" i="119"/>
  <c r="O149" i="119"/>
  <c r="O153" i="119"/>
  <c r="O143" i="119"/>
  <c r="K174" i="119"/>
  <c r="K170" i="119"/>
  <c r="K138" i="30" s="1"/>
  <c r="K166" i="119"/>
  <c r="K165" i="119"/>
  <c r="DC23" i="119"/>
  <c r="BH268" i="119"/>
  <c r="AI199" i="30" s="1"/>
  <c r="AI23" i="30"/>
  <c r="Q154" i="119"/>
  <c r="Q133" i="30" s="1"/>
  <c r="Q150" i="119"/>
  <c r="Q147" i="119"/>
  <c r="Q144" i="119"/>
  <c r="Q141" i="119"/>
  <c r="Q138" i="119"/>
  <c r="Q153" i="119"/>
  <c r="Q149" i="119"/>
  <c r="Q146" i="119"/>
  <c r="Q143" i="119"/>
  <c r="Q140" i="119"/>
  <c r="Q145" i="119"/>
  <c r="Q139" i="119"/>
  <c r="Q148" i="119"/>
  <c r="Q151" i="119"/>
  <c r="Q128" i="30" s="1"/>
  <c r="Q142" i="119"/>
  <c r="I151" i="119"/>
  <c r="I128" i="30" s="1"/>
  <c r="I148" i="119"/>
  <c r="I145" i="119"/>
  <c r="I142" i="119"/>
  <c r="I139" i="119"/>
  <c r="I154" i="119"/>
  <c r="I133" i="30" s="1"/>
  <c r="I150" i="119"/>
  <c r="I147" i="119"/>
  <c r="I144" i="119"/>
  <c r="I141" i="119"/>
  <c r="I138" i="119"/>
  <c r="I149" i="119"/>
  <c r="I140" i="119"/>
  <c r="I153" i="119"/>
  <c r="I143" i="119"/>
  <c r="I146" i="119"/>
  <c r="R154" i="119"/>
  <c r="R133" i="30" s="1"/>
  <c r="R150" i="119"/>
  <c r="R147" i="119"/>
  <c r="R144" i="119"/>
  <c r="R141" i="119"/>
  <c r="R138" i="119"/>
  <c r="R200" i="119"/>
  <c r="R158" i="30" s="1"/>
  <c r="R153" i="119"/>
  <c r="R149" i="119"/>
  <c r="R146" i="119"/>
  <c r="R143" i="119"/>
  <c r="R140" i="119"/>
  <c r="R151" i="119"/>
  <c r="R128" i="30" s="1"/>
  <c r="R142" i="119"/>
  <c r="R148" i="119"/>
  <c r="R139" i="119"/>
  <c r="R145" i="119"/>
  <c r="J174" i="119"/>
  <c r="J170" i="119"/>
  <c r="J138" i="30" s="1"/>
  <c r="J166" i="119"/>
  <c r="J165" i="119"/>
  <c r="BO268" i="119"/>
  <c r="AP199" i="30" s="1"/>
  <c r="AP23" i="30"/>
  <c r="R204" i="119"/>
  <c r="R162" i="30" s="1"/>
  <c r="R164" i="119"/>
  <c r="R136" i="30" s="1"/>
  <c r="CC268" i="119"/>
  <c r="BD199" i="30" s="1"/>
  <c r="BD23" i="30"/>
  <c r="BS124" i="1"/>
  <c r="CM21" i="119"/>
  <c r="CB16" i="1"/>
  <c r="CV21" i="119" s="1"/>
  <c r="CV93" i="119"/>
  <c r="BW84" i="30" s="1"/>
  <c r="BG82" i="1"/>
  <c r="BY32" i="3"/>
  <c r="CS97" i="119" s="1"/>
  <c r="BT88" i="30" s="1"/>
  <c r="CR97" i="119"/>
  <c r="BS88" i="30" s="1"/>
  <c r="W103" i="1"/>
  <c r="AQ21" i="119"/>
  <c r="AQ19" i="119" s="1"/>
  <c r="AM124" i="1"/>
  <c r="BG21" i="119"/>
  <c r="AN79" i="2"/>
  <c r="AN84" i="2" s="1"/>
  <c r="BH93" i="119"/>
  <c r="AI84" i="30" s="1"/>
  <c r="AE67" i="1"/>
  <c r="AY21" i="119"/>
  <c r="DF153" i="119"/>
  <c r="DF149" i="119"/>
  <c r="DF146" i="119"/>
  <c r="DF143" i="119"/>
  <c r="DF140" i="119"/>
  <c r="DF151" i="119"/>
  <c r="DF148" i="119"/>
  <c r="DF145" i="119"/>
  <c r="DF142" i="119"/>
  <c r="DF139" i="119"/>
  <c r="DF150" i="119"/>
  <c r="DF141" i="119"/>
  <c r="DF144" i="119"/>
  <c r="DF154" i="119"/>
  <c r="DF147" i="119"/>
  <c r="DF138" i="119"/>
  <c r="CN204" i="119"/>
  <c r="BO162" i="30" s="1"/>
  <c r="CN164" i="119"/>
  <c r="BO136" i="30" s="1"/>
  <c r="CR205" i="119"/>
  <c r="BS163" i="30" s="1"/>
  <c r="CR163" i="119"/>
  <c r="CR169" i="119"/>
  <c r="BS137" i="30" s="1"/>
  <c r="DE154" i="119"/>
  <c r="CF133" i="30" s="1"/>
  <c r="DE150" i="119"/>
  <c r="DE147" i="119"/>
  <c r="DE144" i="119"/>
  <c r="DE141" i="119"/>
  <c r="DE138" i="119"/>
  <c r="DE153" i="119"/>
  <c r="DE149" i="119"/>
  <c r="DE146" i="119"/>
  <c r="DE143" i="119"/>
  <c r="DE140" i="119"/>
  <c r="DE148" i="119"/>
  <c r="DE139" i="119"/>
  <c r="DE145" i="119"/>
  <c r="DE151" i="119"/>
  <c r="CF128" i="30" s="1"/>
  <c r="DE142" i="119"/>
  <c r="DB174" i="119"/>
  <c r="DB166" i="119"/>
  <c r="DB170" i="119"/>
  <c r="CC138" i="30" s="1"/>
  <c r="DB165" i="119"/>
  <c r="CZ174" i="119"/>
  <c r="CZ170" i="119"/>
  <c r="CA138" i="30" s="1"/>
  <c r="CZ166" i="119"/>
  <c r="CZ165" i="119"/>
  <c r="CT213" i="119"/>
  <c r="BU171" i="30" s="1"/>
  <c r="CT174" i="119"/>
  <c r="CT170" i="119"/>
  <c r="BU138" i="30" s="1"/>
  <c r="CT166" i="119"/>
  <c r="CT165" i="119"/>
  <c r="CS202" i="119"/>
  <c r="BT160" i="30" s="1"/>
  <c r="CS215" i="119"/>
  <c r="BT117" i="30" s="1"/>
  <c r="CS135" i="119"/>
  <c r="BT124" i="30" s="1"/>
  <c r="CS129" i="119"/>
  <c r="BU118" i="30" s="1"/>
  <c r="CM150" i="119"/>
  <c r="CM147" i="119"/>
  <c r="CM144" i="119"/>
  <c r="CM141" i="119"/>
  <c r="CM138" i="119"/>
  <c r="CM200" i="119"/>
  <c r="BN158" i="30" s="1"/>
  <c r="CM153" i="119"/>
  <c r="CM149" i="119"/>
  <c r="CM146" i="119"/>
  <c r="CM143" i="119"/>
  <c r="CM140" i="119"/>
  <c r="CM154" i="119"/>
  <c r="BN133" i="30" s="1"/>
  <c r="CM148" i="119"/>
  <c r="CM139" i="119"/>
  <c r="CM145" i="119"/>
  <c r="CM142" i="119"/>
  <c r="CM151" i="119"/>
  <c r="BN128" i="30" s="1"/>
  <c r="CL204" i="119"/>
  <c r="BM162" i="30" s="1"/>
  <c r="CL164" i="119"/>
  <c r="BM136" i="30" s="1"/>
  <c r="DC129" i="119"/>
  <c r="CE118" i="30" s="1"/>
  <c r="DC135" i="119"/>
  <c r="CD124" i="30" s="1"/>
  <c r="CU165" i="119"/>
  <c r="CU213" i="119"/>
  <c r="BV171" i="30" s="1"/>
  <c r="CU174" i="119"/>
  <c r="CU170" i="119"/>
  <c r="BV138" i="30" s="1"/>
  <c r="CU166" i="119"/>
  <c r="DD169" i="119"/>
  <c r="CE137" i="30" s="1"/>
  <c r="DD163" i="119"/>
  <c r="CJ202" i="119"/>
  <c r="BK160" i="30" s="1"/>
  <c r="CJ215" i="119"/>
  <c r="BK117" i="30" s="1"/>
  <c r="CJ129" i="119"/>
  <c r="BL118" i="30" s="1"/>
  <c r="CJ135" i="119"/>
  <c r="CW174" i="119"/>
  <c r="CW165" i="119"/>
  <c r="CW170" i="119"/>
  <c r="BX138" i="30" s="1"/>
  <c r="CW166" i="119"/>
  <c r="CQ205" i="119"/>
  <c r="BR163" i="30" s="1"/>
  <c r="CQ163" i="119"/>
  <c r="CQ169" i="119"/>
  <c r="BR137" i="30" s="1"/>
  <c r="CX163" i="119"/>
  <c r="CX169" i="119"/>
  <c r="BY137" i="30" s="1"/>
  <c r="CH215" i="119"/>
  <c r="BI117" i="30" s="1"/>
  <c r="CH135" i="119"/>
  <c r="BI124" i="30" s="1"/>
  <c r="CH129" i="119"/>
  <c r="CH202" i="119"/>
  <c r="BI160" i="30" s="1"/>
  <c r="CP200" i="119"/>
  <c r="BQ158" i="30" s="1"/>
  <c r="CP154" i="119"/>
  <c r="BQ133" i="30" s="1"/>
  <c r="CP151" i="119"/>
  <c r="BQ128" i="30" s="1"/>
  <c r="CP148" i="119"/>
  <c r="CP145" i="119"/>
  <c r="CP142" i="119"/>
  <c r="CP139" i="119"/>
  <c r="CP150" i="119"/>
  <c r="CP147" i="119"/>
  <c r="CP144" i="119"/>
  <c r="CP141" i="119"/>
  <c r="CP138" i="119"/>
  <c r="CP149" i="119"/>
  <c r="CP140" i="119"/>
  <c r="CP153" i="119"/>
  <c r="CP143" i="119"/>
  <c r="CP146" i="119"/>
  <c r="CO169" i="119"/>
  <c r="BP137" i="30" s="1"/>
  <c r="CO205" i="119"/>
  <c r="BP163" i="30" s="1"/>
  <c r="CO163" i="119"/>
  <c r="R49" i="119"/>
  <c r="R47" i="30" s="1"/>
  <c r="W265" i="119"/>
  <c r="I46" i="119"/>
  <c r="I44" i="30" s="1"/>
  <c r="L270" i="119"/>
  <c r="L201" i="30" s="1"/>
  <c r="L11" i="30"/>
  <c r="CZ103" i="119"/>
  <c r="CA94" i="30" s="1"/>
  <c r="BI38" i="3"/>
  <c r="CB103" i="119"/>
  <c r="BC94" i="30" s="1"/>
  <c r="CV103" i="119"/>
  <c r="BW94" i="30" s="1"/>
  <c r="BU28" i="3"/>
  <c r="CN100" i="119"/>
  <c r="BO91" i="30" s="1"/>
  <c r="CV26" i="119"/>
  <c r="BW26" i="30" s="1"/>
  <c r="BW24" i="30"/>
  <c r="BQ38" i="3"/>
  <c r="CJ103" i="119"/>
  <c r="BK94" i="30" s="1"/>
  <c r="BU38" i="3"/>
  <c r="CN103" i="119"/>
  <c r="BO94" i="30" s="1"/>
  <c r="DD23" i="119"/>
  <c r="BX98" i="119"/>
  <c r="AY89" i="30" s="1"/>
  <c r="H135" i="119"/>
  <c r="H124" i="30" s="1"/>
  <c r="H129" i="119"/>
  <c r="H118" i="30" s="1"/>
  <c r="CG32" i="3"/>
  <c r="DA97" i="119" s="1"/>
  <c r="CB88" i="30" s="1"/>
  <c r="CZ97" i="119"/>
  <c r="CA88" i="30" s="1"/>
  <c r="BY38" i="3"/>
  <c r="CR103" i="119"/>
  <c r="BS94" i="30" s="1"/>
  <c r="CZ153" i="119"/>
  <c r="CZ149" i="119"/>
  <c r="CZ146" i="119"/>
  <c r="CZ143" i="119"/>
  <c r="CZ140" i="119"/>
  <c r="CZ151" i="119"/>
  <c r="CA128" i="30" s="1"/>
  <c r="CZ148" i="119"/>
  <c r="CZ145" i="119"/>
  <c r="CZ142" i="119"/>
  <c r="CZ139" i="119"/>
  <c r="CZ144" i="119"/>
  <c r="CZ138" i="119"/>
  <c r="CZ147" i="119"/>
  <c r="CZ150" i="119"/>
  <c r="CZ141" i="119"/>
  <c r="CZ154" i="119"/>
  <c r="CA133" i="30" s="1"/>
  <c r="CV169" i="119"/>
  <c r="BW137" i="30" s="1"/>
  <c r="CV163" i="119"/>
  <c r="CQ215" i="119"/>
  <c r="BR117" i="30" s="1"/>
  <c r="CQ129" i="119"/>
  <c r="BS118" i="30" s="1"/>
  <c r="CQ202" i="119"/>
  <c r="BR160" i="30" s="1"/>
  <c r="CQ135" i="119"/>
  <c r="BR124" i="30" s="1"/>
  <c r="CP169" i="119"/>
  <c r="BQ137" i="30" s="1"/>
  <c r="CP205" i="119"/>
  <c r="BQ163" i="30" s="1"/>
  <c r="CP163" i="119"/>
  <c r="H18" i="30"/>
  <c r="S270" i="119"/>
  <c r="S201" i="30" s="1"/>
  <c r="S11" i="30"/>
  <c r="H165" i="119"/>
  <c r="H174" i="119"/>
  <c r="H170" i="119"/>
  <c r="H138" i="30" s="1"/>
  <c r="H166" i="119"/>
  <c r="J151" i="119"/>
  <c r="J128" i="30" s="1"/>
  <c r="J148" i="119"/>
  <c r="J145" i="119"/>
  <c r="J142" i="119"/>
  <c r="J139" i="119"/>
  <c r="J154" i="119"/>
  <c r="J133" i="30" s="1"/>
  <c r="J150" i="119"/>
  <c r="J147" i="119"/>
  <c r="J144" i="119"/>
  <c r="J141" i="119"/>
  <c r="J138" i="119"/>
  <c r="J146" i="119"/>
  <c r="J153" i="119"/>
  <c r="J143" i="119"/>
  <c r="J149" i="119"/>
  <c r="J140" i="119"/>
  <c r="DE23" i="119"/>
  <c r="CQ268" i="119"/>
  <c r="BR199" i="30" s="1"/>
  <c r="BR23" i="30"/>
  <c r="CO284" i="119"/>
  <c r="BP215" i="30" s="1"/>
  <c r="CO102" i="119"/>
  <c r="BP93" i="30" s="1"/>
  <c r="BY33" i="3"/>
  <c r="FF33" i="3" s="1"/>
  <c r="CP268" i="119"/>
  <c r="BQ199" i="30" s="1"/>
  <c r="BQ23" i="30"/>
  <c r="CL66" i="51"/>
  <c r="BF50" i="3"/>
  <c r="BZ108" i="119" s="1"/>
  <c r="BA98" i="30" s="1"/>
  <c r="BD79" i="2"/>
  <c r="BD84" i="2" s="1"/>
  <c r="BT268" i="119"/>
  <c r="AU199" i="30" s="1"/>
  <c r="AU23" i="30"/>
  <c r="O165" i="119"/>
  <c r="O174" i="119"/>
  <c r="O166" i="119"/>
  <c r="O170" i="119"/>
  <c r="O138" i="30" s="1"/>
  <c r="CG268" i="119"/>
  <c r="BH199" i="30" s="1"/>
  <c r="BH23" i="30"/>
  <c r="BD268" i="119"/>
  <c r="AE199" i="30" s="1"/>
  <c r="AE23" i="30"/>
  <c r="Q135" i="119"/>
  <c r="Q129" i="119"/>
  <c r="Q118" i="30" s="1"/>
  <c r="CK268" i="119"/>
  <c r="BL199" i="30" s="1"/>
  <c r="BL23" i="30"/>
  <c r="R166" i="119"/>
  <c r="R170" i="119"/>
  <c r="R138" i="30" s="1"/>
  <c r="R174" i="119"/>
  <c r="R213" i="119"/>
  <c r="R171" i="30" s="1"/>
  <c r="R165" i="119"/>
  <c r="FC44" i="2"/>
  <c r="Q65" i="119" s="1"/>
  <c r="Q61" i="30" s="1"/>
  <c r="N135" i="119"/>
  <c r="N124" i="30" s="1"/>
  <c r="N129" i="119"/>
  <c r="N118" i="30" s="1"/>
  <c r="BI33" i="3"/>
  <c r="AM35" i="3"/>
  <c r="BG101" i="119" s="1"/>
  <c r="AH92" i="30" s="1"/>
  <c r="BG100" i="119"/>
  <c r="AH91" i="30" s="1"/>
  <c r="CC41" i="3"/>
  <c r="CV284" i="119"/>
  <c r="BW215" i="30" s="1"/>
  <c r="CV102" i="119"/>
  <c r="BW93" i="30" s="1"/>
  <c r="BM41" i="3"/>
  <c r="CG284" i="119" s="1"/>
  <c r="BH215" i="30" s="1"/>
  <c r="CF284" i="119"/>
  <c r="BG215" i="30" s="1"/>
  <c r="BK46" i="1"/>
  <c r="BG67" i="1"/>
  <c r="CF16" i="1"/>
  <c r="CF82" i="1" s="1"/>
  <c r="CZ93" i="119"/>
  <c r="CA84" i="30" s="1"/>
  <c r="CE124" i="1"/>
  <c r="CY21" i="119"/>
  <c r="CD54" i="3"/>
  <c r="CX96" i="119"/>
  <c r="BY87" i="30" s="1"/>
  <c r="DF163" i="119"/>
  <c r="DF169" i="119"/>
  <c r="DA135" i="119"/>
  <c r="CB124" i="30" s="1"/>
  <c r="DA129" i="119"/>
  <c r="CY150" i="119"/>
  <c r="CY147" i="119"/>
  <c r="CY144" i="119"/>
  <c r="CY141" i="119"/>
  <c r="CY138" i="119"/>
  <c r="CY153" i="119"/>
  <c r="CY149" i="119"/>
  <c r="CY146" i="119"/>
  <c r="CY143" i="119"/>
  <c r="CY140" i="119"/>
  <c r="CY151" i="119"/>
  <c r="BZ128" i="30" s="1"/>
  <c r="CY142" i="119"/>
  <c r="CY154" i="119"/>
  <c r="BZ133" i="30" s="1"/>
  <c r="CY148" i="119"/>
  <c r="CY139" i="119"/>
  <c r="CY145" i="119"/>
  <c r="CK205" i="119"/>
  <c r="BL163" i="30" s="1"/>
  <c r="CK163" i="119"/>
  <c r="CK169" i="119"/>
  <c r="BL137" i="30" s="1"/>
  <c r="CR204" i="119"/>
  <c r="BS162" i="30" s="1"/>
  <c r="CR164" i="119"/>
  <c r="BS136" i="30" s="1"/>
  <c r="DB169" i="119"/>
  <c r="CC137" i="30" s="1"/>
  <c r="DB163" i="119"/>
  <c r="CZ135" i="119"/>
  <c r="CA124" i="30" s="1"/>
  <c r="CZ129" i="119"/>
  <c r="CT153" i="119"/>
  <c r="CT149" i="119"/>
  <c r="CT146" i="119"/>
  <c r="CT143" i="119"/>
  <c r="CT140" i="119"/>
  <c r="CT200" i="119"/>
  <c r="BU158" i="30" s="1"/>
  <c r="CT154" i="119"/>
  <c r="BU133" i="30" s="1"/>
  <c r="CT151" i="119"/>
  <c r="BU128" i="30" s="1"/>
  <c r="CT148" i="119"/>
  <c r="CT145" i="119"/>
  <c r="CT142" i="119"/>
  <c r="CT139" i="119"/>
  <c r="CT147" i="119"/>
  <c r="CT138" i="119"/>
  <c r="CT150" i="119"/>
  <c r="CT141" i="119"/>
  <c r="CT144" i="119"/>
  <c r="CS166" i="119"/>
  <c r="CS170" i="119"/>
  <c r="BT138" i="30" s="1"/>
  <c r="CS174" i="119"/>
  <c r="CS165" i="119"/>
  <c r="CS213" i="119"/>
  <c r="BT171" i="30" s="1"/>
  <c r="CM202" i="119"/>
  <c r="BN160" i="30" s="1"/>
  <c r="CM135" i="119"/>
  <c r="BN124" i="30" s="1"/>
  <c r="CM129" i="119"/>
  <c r="BO118" i="30" s="1"/>
  <c r="CM215" i="119"/>
  <c r="BN117" i="30" s="1"/>
  <c r="CL163" i="119"/>
  <c r="CL169" i="119"/>
  <c r="BM137" i="30" s="1"/>
  <c r="CL205" i="119"/>
  <c r="BM163" i="30" s="1"/>
  <c r="DC151" i="119"/>
  <c r="CD128" i="30" s="1"/>
  <c r="DC148" i="119"/>
  <c r="DC145" i="119"/>
  <c r="DC142" i="119"/>
  <c r="DC139" i="119"/>
  <c r="DC154" i="119"/>
  <c r="CD133" i="30" s="1"/>
  <c r="DC150" i="119"/>
  <c r="DC147" i="119"/>
  <c r="DC144" i="119"/>
  <c r="DC141" i="119"/>
  <c r="DC138" i="119"/>
  <c r="DC149" i="119"/>
  <c r="DC140" i="119"/>
  <c r="DC146" i="119"/>
  <c r="DC153" i="119"/>
  <c r="DC143" i="119"/>
  <c r="CU164" i="119"/>
  <c r="BV136" i="30" s="1"/>
  <c r="CU204" i="119"/>
  <c r="BV162" i="30" s="1"/>
  <c r="DD165" i="119"/>
  <c r="DD174" i="119"/>
  <c r="DD166" i="119"/>
  <c r="DD170" i="119"/>
  <c r="CE138" i="30" s="1"/>
  <c r="CV174" i="119"/>
  <c r="CV165" i="119"/>
  <c r="CV166" i="119"/>
  <c r="CV170" i="119"/>
  <c r="BW138" i="30" s="1"/>
  <c r="CJ200" i="119"/>
  <c r="BK158" i="30" s="1"/>
  <c r="CJ154" i="119"/>
  <c r="BK133" i="30" s="1"/>
  <c r="CJ151" i="119"/>
  <c r="BK128" i="30" s="1"/>
  <c r="CJ148" i="119"/>
  <c r="CJ145" i="119"/>
  <c r="CJ142" i="119"/>
  <c r="CJ139" i="119"/>
  <c r="CJ150" i="119"/>
  <c r="CJ147" i="119"/>
  <c r="CJ144" i="119"/>
  <c r="CJ141" i="119"/>
  <c r="CJ138" i="119"/>
  <c r="CJ153" i="119"/>
  <c r="CJ143" i="119"/>
  <c r="CJ146" i="119"/>
  <c r="CJ149" i="119"/>
  <c r="CJ140" i="119"/>
  <c r="CI154" i="119"/>
  <c r="BJ133" i="30" s="1"/>
  <c r="CI200" i="119"/>
  <c r="BJ158" i="30" s="1"/>
  <c r="CI153" i="119"/>
  <c r="CI149" i="119"/>
  <c r="CI146" i="119"/>
  <c r="CI143" i="119"/>
  <c r="CI140" i="119"/>
  <c r="CI151" i="119"/>
  <c r="BJ128" i="30" s="1"/>
  <c r="CI148" i="119"/>
  <c r="CI145" i="119"/>
  <c r="CI142" i="119"/>
  <c r="CI139" i="119"/>
  <c r="CI150" i="119"/>
  <c r="CI141" i="119"/>
  <c r="CI147" i="119"/>
  <c r="CI138" i="119"/>
  <c r="CI144" i="119"/>
  <c r="CQ164" i="119"/>
  <c r="BR136" i="30" s="1"/>
  <c r="CQ204" i="119"/>
  <c r="BR162" i="30" s="1"/>
  <c r="CX135" i="119"/>
  <c r="BY124" i="30" s="1"/>
  <c r="CX129" i="119"/>
  <c r="BZ118" i="30" s="1"/>
  <c r="CH154" i="119"/>
  <c r="BI133" i="30" s="1"/>
  <c r="CH153" i="119"/>
  <c r="CH149" i="119"/>
  <c r="CH146" i="119"/>
  <c r="CH143" i="119"/>
  <c r="CH140" i="119"/>
  <c r="CH200" i="119"/>
  <c r="BI158" i="30" s="1"/>
  <c r="CH151" i="119"/>
  <c r="BI128" i="30" s="1"/>
  <c r="CH148" i="119"/>
  <c r="CH145" i="119"/>
  <c r="CH142" i="119"/>
  <c r="CH139" i="119"/>
  <c r="CH144" i="119"/>
  <c r="CH147" i="119"/>
  <c r="CH138" i="119"/>
  <c r="CH150" i="119"/>
  <c r="CH141" i="119"/>
  <c r="CP165" i="119"/>
  <c r="CP213" i="119"/>
  <c r="BQ171" i="30" s="1"/>
  <c r="CP170" i="119"/>
  <c r="BQ138" i="30" s="1"/>
  <c r="CP174" i="119"/>
  <c r="CP166" i="119"/>
  <c r="CO204" i="119"/>
  <c r="BP162" i="30" s="1"/>
  <c r="CO164" i="119"/>
  <c r="BP136" i="30" s="1"/>
  <c r="P46" i="119"/>
  <c r="P44" i="30" s="1"/>
  <c r="F49" i="119"/>
  <c r="F47" i="30" s="1"/>
  <c r="CH26" i="119"/>
  <c r="BI26" i="30" s="1"/>
  <c r="BI24" i="30"/>
  <c r="CF103" i="119"/>
  <c r="BG94" i="30" s="1"/>
  <c r="J18" i="119"/>
  <c r="M20" i="119"/>
  <c r="CK43" i="3"/>
  <c r="DD104" i="119"/>
  <c r="CE95" i="30" s="1"/>
  <c r="K270" i="119"/>
  <c r="K201" i="30" s="1"/>
  <c r="K11" i="30"/>
  <c r="U270" i="119"/>
  <c r="U201" i="30" s="1"/>
  <c r="U11" i="30"/>
  <c r="CU19" i="119"/>
  <c r="BV19" i="30" s="1"/>
  <c r="BK19" i="119"/>
  <c r="AL19" i="30" s="1"/>
  <c r="CZ284" i="119"/>
  <c r="CA215" i="30" s="1"/>
  <c r="CZ102" i="119"/>
  <c r="CA93" i="30" s="1"/>
  <c r="H270" i="119"/>
  <c r="H201" i="30" s="1"/>
  <c r="H11" i="30"/>
  <c r="DE46" i="119"/>
  <c r="CF44" i="30" s="1"/>
  <c r="FI87" i="2"/>
  <c r="BC59" i="2"/>
  <c r="BW76" i="119"/>
  <c r="AY264" i="119"/>
  <c r="Z197" i="30" s="1"/>
  <c r="Z68" i="30"/>
  <c r="CE59" i="2"/>
  <c r="CY76" i="119"/>
  <c r="Z59" i="2"/>
  <c r="AT76" i="119"/>
  <c r="AT264" i="119" s="1"/>
  <c r="CP298" i="119"/>
  <c r="BQ63" i="30"/>
  <c r="BI271" i="119"/>
  <c r="AJ202" i="30" s="1"/>
  <c r="AJ65" i="30"/>
  <c r="T265" i="119"/>
  <c r="CC298" i="119"/>
  <c r="BD63" i="30"/>
  <c r="AZ271" i="119"/>
  <c r="AA202" i="30" s="1"/>
  <c r="AA65" i="30"/>
  <c r="CH271" i="119"/>
  <c r="BI202" i="30" s="1"/>
  <c r="BI65" i="30"/>
  <c r="BD298" i="119"/>
  <c r="AE63" i="30"/>
  <c r="U55" i="30"/>
  <c r="U265" i="119"/>
  <c r="BK298" i="119"/>
  <c r="AL63" i="30"/>
  <c r="CM298" i="119"/>
  <c r="BN63" i="30"/>
  <c r="DC271" i="119"/>
  <c r="CD202" i="30" s="1"/>
  <c r="CD65" i="30"/>
  <c r="AX271" i="119"/>
  <c r="Y202" i="30" s="1"/>
  <c r="Y65" i="30"/>
  <c r="DB264" i="119"/>
  <c r="CC197" i="30" s="1"/>
  <c r="CC68" i="30"/>
  <c r="O69" i="119"/>
  <c r="O67" i="119"/>
  <c r="AT59" i="2"/>
  <c r="BN76" i="119"/>
  <c r="BH298" i="119"/>
  <c r="AI63" i="30"/>
  <c r="V49" i="119"/>
  <c r="V47" i="30" s="1"/>
  <c r="V49" i="30"/>
  <c r="BI298" i="119"/>
  <c r="AJ63" i="30"/>
  <c r="BM271" i="119"/>
  <c r="AN202" i="30" s="1"/>
  <c r="AN65" i="30"/>
  <c r="BW271" i="119"/>
  <c r="AX202" i="30" s="1"/>
  <c r="AX65" i="30"/>
  <c r="CQ271" i="119"/>
  <c r="BR202" i="30" s="1"/>
  <c r="BR65" i="30"/>
  <c r="BL298" i="119"/>
  <c r="AM63" i="30"/>
  <c r="Q46" i="30"/>
  <c r="Q46" i="119"/>
  <c r="Q44" i="30" s="1"/>
  <c r="CH298" i="119"/>
  <c r="BI63" i="30"/>
  <c r="CG271" i="119"/>
  <c r="BH202" i="30" s="1"/>
  <c r="BH65" i="30"/>
  <c r="AX298" i="119"/>
  <c r="Y63" i="30"/>
  <c r="N265" i="119"/>
  <c r="BH59" i="2"/>
  <c r="CB76" i="119"/>
  <c r="BS91" i="2"/>
  <c r="CM49" i="119" s="1"/>
  <c r="BN47" i="30" s="1"/>
  <c r="CM50" i="119"/>
  <c r="BN48" i="30" s="1"/>
  <c r="BS59" i="2"/>
  <c r="CM76" i="119"/>
  <c r="BT59" i="2"/>
  <c r="CN76" i="119"/>
  <c r="R67" i="119"/>
  <c r="R69" i="119"/>
  <c r="G69" i="119"/>
  <c r="G67" i="119"/>
  <c r="BR59" i="2"/>
  <c r="CL76" i="119"/>
  <c r="AP59" i="2"/>
  <c r="BJ76" i="119"/>
  <c r="DA298" i="119"/>
  <c r="CB63" i="30"/>
  <c r="CL298" i="119"/>
  <c r="BM63" i="30"/>
  <c r="CF298" i="119"/>
  <c r="BG63" i="30"/>
  <c r="CB298" i="119"/>
  <c r="BC63" i="30"/>
  <c r="CZ271" i="119"/>
  <c r="CA202" i="30" s="1"/>
  <c r="CA65" i="30"/>
  <c r="DE298" i="119"/>
  <c r="CF63" i="30"/>
  <c r="J265" i="119"/>
  <c r="BE271" i="119"/>
  <c r="AF202" i="30" s="1"/>
  <c r="AF65" i="30"/>
  <c r="CG298" i="119"/>
  <c r="BH63" i="30"/>
  <c r="CK298" i="119"/>
  <c r="BL63" i="30"/>
  <c r="CD264" i="119"/>
  <c r="BE197" i="30" s="1"/>
  <c r="BE68" i="30"/>
  <c r="BD59" i="2"/>
  <c r="BX76" i="119"/>
  <c r="T59" i="2"/>
  <c r="AN76" i="119"/>
  <c r="AN264" i="119" s="1"/>
  <c r="CC264" i="119"/>
  <c r="BD197" i="30" s="1"/>
  <c r="BD68" i="30"/>
  <c r="CI51" i="2"/>
  <c r="DC70" i="119" s="1"/>
  <c r="CD66" i="30" s="1"/>
  <c r="DC65" i="119"/>
  <c r="CD61" i="30" s="1"/>
  <c r="X57" i="119"/>
  <c r="CJ51" i="2"/>
  <c r="DD70" i="119" s="1"/>
  <c r="CE66" i="30" s="1"/>
  <c r="DD65" i="119"/>
  <c r="CE61" i="30" s="1"/>
  <c r="AO59" i="2"/>
  <c r="BI76" i="119"/>
  <c r="AQ91" i="2"/>
  <c r="BK49" i="119" s="1"/>
  <c r="AL47" i="30" s="1"/>
  <c r="BK50" i="119"/>
  <c r="AL48" i="30" s="1"/>
  <c r="DA49" i="119"/>
  <c r="CB47" i="30" s="1"/>
  <c r="FH91" i="2"/>
  <c r="BO59" i="2"/>
  <c r="CI76" i="119"/>
  <c r="AQ59" i="2"/>
  <c r="BK76" i="119"/>
  <c r="I69" i="119"/>
  <c r="I67" i="119"/>
  <c r="Q69" i="119"/>
  <c r="Q67" i="119"/>
  <c r="BT264" i="119"/>
  <c r="AU197" i="30" s="1"/>
  <c r="AU68" i="30"/>
  <c r="N69" i="119"/>
  <c r="N67" i="119"/>
  <c r="H69" i="119"/>
  <c r="H67" i="119"/>
  <c r="L67" i="119"/>
  <c r="L69" i="119"/>
  <c r="BN59" i="2"/>
  <c r="CH76" i="119"/>
  <c r="AL59" i="2"/>
  <c r="BF76" i="119"/>
  <c r="EB53" i="119"/>
  <c r="EB81" i="119"/>
  <c r="CW298" i="119"/>
  <c r="BX63" i="30"/>
  <c r="BT298" i="119"/>
  <c r="AU63" i="30"/>
  <c r="BB298" i="119"/>
  <c r="AC63" i="30"/>
  <c r="CD298" i="119"/>
  <c r="BE63" i="30"/>
  <c r="CY298" i="119"/>
  <c r="BZ63" i="30"/>
  <c r="BJ271" i="119"/>
  <c r="AK202" i="30" s="1"/>
  <c r="AK65" i="30"/>
  <c r="CL271" i="119"/>
  <c r="BM202" i="30" s="1"/>
  <c r="BM65" i="30"/>
  <c r="BG271" i="119"/>
  <c r="AH202" i="30" s="1"/>
  <c r="AH65" i="30"/>
  <c r="CI271" i="119"/>
  <c r="BJ202" i="30" s="1"/>
  <c r="BJ65" i="30"/>
  <c r="CV298" i="119"/>
  <c r="BW63" i="30"/>
  <c r="CF271" i="119"/>
  <c r="BG202" i="30" s="1"/>
  <c r="BG65" i="30"/>
  <c r="BC298" i="119"/>
  <c r="AD63" i="30"/>
  <c r="H49" i="30"/>
  <c r="H49" i="119"/>
  <c r="H47" i="30" s="1"/>
  <c r="BF271" i="119"/>
  <c r="AG202" i="30" s="1"/>
  <c r="AG65" i="30"/>
  <c r="S265" i="119"/>
  <c r="CU271" i="119"/>
  <c r="BV202" i="30" s="1"/>
  <c r="BV65" i="30"/>
  <c r="CB271" i="119"/>
  <c r="BC202" i="30" s="1"/>
  <c r="BC65" i="30"/>
  <c r="CZ298" i="119"/>
  <c r="CA63" i="30"/>
  <c r="BE298" i="119"/>
  <c r="AF63" i="30"/>
  <c r="CT298" i="119"/>
  <c r="BU63" i="30"/>
  <c r="CA271" i="119"/>
  <c r="BB202" i="30" s="1"/>
  <c r="BB65" i="30"/>
  <c r="BO298" i="119"/>
  <c r="AP63" i="30"/>
  <c r="CK271" i="119"/>
  <c r="BL202" i="30" s="1"/>
  <c r="BL65" i="30"/>
  <c r="DA264" i="119"/>
  <c r="CB197" i="30" s="1"/>
  <c r="CB68" i="30"/>
  <c r="BY59" i="2"/>
  <c r="CS76" i="119"/>
  <c r="CL51" i="2"/>
  <c r="DF70" i="119" s="1"/>
  <c r="DF65" i="119"/>
  <c r="AF59" i="2"/>
  <c r="AZ76" i="119"/>
  <c r="AW59" i="2"/>
  <c r="BQ76" i="119"/>
  <c r="P67" i="119"/>
  <c r="P69" i="119"/>
  <c r="V67" i="119"/>
  <c r="V69" i="119"/>
  <c r="AX59" i="2"/>
  <c r="BR76" i="119"/>
  <c r="BX59" i="2"/>
  <c r="CR76" i="119"/>
  <c r="K46" i="30"/>
  <c r="K46" i="119"/>
  <c r="K44" i="30" s="1"/>
  <c r="BN271" i="119"/>
  <c r="AO202" i="30" s="1"/>
  <c r="AO65" i="30"/>
  <c r="BX298" i="119"/>
  <c r="AY63" i="30"/>
  <c r="M46" i="30"/>
  <c r="M46" i="119"/>
  <c r="M44" i="30" s="1"/>
  <c r="CE298" i="119"/>
  <c r="BF63" i="30"/>
  <c r="BM298" i="119"/>
  <c r="AN63" i="30"/>
  <c r="CQ298" i="119"/>
  <c r="BR63" i="30"/>
  <c r="BR271" i="119"/>
  <c r="AS202" i="30" s="1"/>
  <c r="AS65" i="30"/>
  <c r="DB271" i="119"/>
  <c r="CC202" i="30" s="1"/>
  <c r="CC65" i="30"/>
  <c r="CJ298" i="119"/>
  <c r="BK63" i="30"/>
  <c r="G49" i="119"/>
  <c r="G47" i="30" s="1"/>
  <c r="BO264" i="119"/>
  <c r="AP197" i="30" s="1"/>
  <c r="AP68" i="30"/>
  <c r="K67" i="119"/>
  <c r="K69" i="119"/>
  <c r="CY271" i="119"/>
  <c r="BZ202" i="30" s="1"/>
  <c r="BZ65" i="30"/>
  <c r="BJ298" i="119"/>
  <c r="AK63" i="30"/>
  <c r="L46" i="30"/>
  <c r="L46" i="119"/>
  <c r="L44" i="30" s="1"/>
  <c r="CO298" i="119"/>
  <c r="BP63" i="30"/>
  <c r="BL271" i="119"/>
  <c r="AM202" i="30" s="1"/>
  <c r="AM65" i="30"/>
  <c r="CU298" i="119"/>
  <c r="BV63" i="30"/>
  <c r="BO271" i="119"/>
  <c r="AP202" i="30" s="1"/>
  <c r="AP65" i="30"/>
  <c r="AG59" i="2"/>
  <c r="BA76" i="119"/>
  <c r="AR59" i="2"/>
  <c r="BL76" i="119"/>
  <c r="BY264" i="119"/>
  <c r="AZ197" i="30" s="1"/>
  <c r="AZ68" i="30"/>
  <c r="AN59" i="2"/>
  <c r="BH76" i="119"/>
  <c r="W91" i="2"/>
  <c r="AQ49" i="119" s="1"/>
  <c r="AQ50" i="119"/>
  <c r="AK59" i="2"/>
  <c r="BE76" i="119"/>
  <c r="CE264" i="119"/>
  <c r="BF197" i="30" s="1"/>
  <c r="BF68" i="30"/>
  <c r="AM59" i="2"/>
  <c r="BG76" i="119"/>
  <c r="W67" i="119"/>
  <c r="W69" i="119"/>
  <c r="AV59" i="2"/>
  <c r="BP76" i="119"/>
  <c r="DE264" i="119"/>
  <c r="CF197" i="30" s="1"/>
  <c r="CF68" i="30"/>
  <c r="CD59" i="2"/>
  <c r="CX76" i="119"/>
  <c r="J67" i="119"/>
  <c r="J69" i="119"/>
  <c r="BF59" i="2"/>
  <c r="BZ76" i="119"/>
  <c r="AH59" i="2"/>
  <c r="BB76" i="119"/>
  <c r="BZ59" i="2"/>
  <c r="CT76" i="119"/>
  <c r="M67" i="119"/>
  <c r="M69" i="119"/>
  <c r="AR51" i="2"/>
  <c r="BL70" i="119" s="1"/>
  <c r="AM66" i="30" s="1"/>
  <c r="BL65" i="119"/>
  <c r="AM61" i="30" s="1"/>
  <c r="CW271" i="119"/>
  <c r="BX202" i="30" s="1"/>
  <c r="BX65" i="30"/>
  <c r="I55" i="30"/>
  <c r="I265" i="119"/>
  <c r="BT271" i="119"/>
  <c r="AU202" i="30" s="1"/>
  <c r="AU65" i="30"/>
  <c r="BB271" i="119"/>
  <c r="AC202" i="30" s="1"/>
  <c r="AC65" i="30"/>
  <c r="CD271" i="119"/>
  <c r="BE202" i="30" s="1"/>
  <c r="BE65" i="30"/>
  <c r="W49" i="30"/>
  <c r="W49" i="119"/>
  <c r="W47" i="30" s="1"/>
  <c r="DD298" i="119"/>
  <c r="CE63" i="30"/>
  <c r="BU271" i="119"/>
  <c r="AV202" i="30" s="1"/>
  <c r="AV65" i="30"/>
  <c r="BS298" i="119"/>
  <c r="AT63" i="30"/>
  <c r="BA298" i="119"/>
  <c r="AB63" i="30"/>
  <c r="CI298" i="119"/>
  <c r="BJ63" i="30"/>
  <c r="CV271" i="119"/>
  <c r="BW202" i="30" s="1"/>
  <c r="BW65" i="30"/>
  <c r="CS271" i="119"/>
  <c r="BT202" i="30" s="1"/>
  <c r="BT65" i="30"/>
  <c r="CX298" i="119"/>
  <c r="BY63" i="30"/>
  <c r="BF298" i="119"/>
  <c r="AG63" i="30"/>
  <c r="CN271" i="119"/>
  <c r="BO202" i="30" s="1"/>
  <c r="BO65" i="30"/>
  <c r="BV271" i="119"/>
  <c r="AW202" i="30" s="1"/>
  <c r="AW65" i="30"/>
  <c r="CR298" i="119"/>
  <c r="BS63" i="30"/>
  <c r="BY298" i="119"/>
  <c r="AZ63" i="30"/>
  <c r="L49" i="119"/>
  <c r="L47" i="30" s="1"/>
  <c r="BQ271" i="119"/>
  <c r="AR202" i="30" s="1"/>
  <c r="AR65" i="30"/>
  <c r="AY271" i="119"/>
  <c r="Z202" i="30" s="1"/>
  <c r="Z65" i="30"/>
  <c r="R46" i="30"/>
  <c r="R46" i="119"/>
  <c r="R44" i="30" s="1"/>
  <c r="CT271" i="119"/>
  <c r="BU202" i="30" s="1"/>
  <c r="BU65" i="30"/>
  <c r="CA298" i="119"/>
  <c r="BB63" i="30"/>
  <c r="BP271" i="119"/>
  <c r="AQ202" i="30" s="1"/>
  <c r="AQ65" i="30"/>
  <c r="BZ298" i="119"/>
  <c r="BA63" i="30"/>
  <c r="BP59" i="2"/>
  <c r="CJ76" i="119"/>
  <c r="X81" i="119"/>
  <c r="X87" i="119"/>
  <c r="CF264" i="119"/>
  <c r="BG197" i="30" s="1"/>
  <c r="BG68" i="30"/>
  <c r="BQ59" i="2"/>
  <c r="CK76" i="119"/>
  <c r="BM264" i="119"/>
  <c r="AN197" i="30" s="1"/>
  <c r="AN68" i="30"/>
  <c r="BS264" i="119"/>
  <c r="AT197" i="30" s="1"/>
  <c r="AT68" i="30"/>
  <c r="CC59" i="2"/>
  <c r="CW76" i="119"/>
  <c r="F67" i="119"/>
  <c r="F69" i="119"/>
  <c r="CU264" i="119"/>
  <c r="BV197" i="30" s="1"/>
  <c r="BV68" i="30"/>
  <c r="V59" i="2"/>
  <c r="AP76" i="119"/>
  <c r="AP264" i="119" s="1"/>
  <c r="DA271" i="119"/>
  <c r="CB202" i="30" s="1"/>
  <c r="CB65" i="30"/>
  <c r="CE271" i="119"/>
  <c r="BF202" i="30" s="1"/>
  <c r="BF65" i="30"/>
  <c r="CO271" i="119"/>
  <c r="BP202" i="30" s="1"/>
  <c r="BP65" i="30"/>
  <c r="DE271" i="119"/>
  <c r="CF202" i="30" s="1"/>
  <c r="CF65" i="30"/>
  <c r="BK271" i="119"/>
  <c r="AL202" i="30" s="1"/>
  <c r="AL65" i="30"/>
  <c r="Q49" i="119"/>
  <c r="Q47" i="30" s="1"/>
  <c r="CZ264" i="119"/>
  <c r="CA197" i="30" s="1"/>
  <c r="CA68" i="30"/>
  <c r="BM59" i="2"/>
  <c r="CG76" i="119"/>
  <c r="CQ264" i="119"/>
  <c r="BR197" i="30" s="1"/>
  <c r="BR68" i="30"/>
  <c r="BH271" i="119"/>
  <c r="AI202" i="30" s="1"/>
  <c r="AI65" i="30"/>
  <c r="CJ271" i="119"/>
  <c r="BK202" i="30" s="1"/>
  <c r="BK65" i="30"/>
  <c r="BG298" i="119"/>
  <c r="AH63" i="30"/>
  <c r="BW298" i="119"/>
  <c r="AX63" i="30"/>
  <c r="BC271" i="119"/>
  <c r="AD202" i="30" s="1"/>
  <c r="AD65" i="30"/>
  <c r="J46" i="119"/>
  <c r="J44" i="30" s="1"/>
  <c r="S46" i="30"/>
  <c r="S46" i="119"/>
  <c r="S44" i="30" s="1"/>
  <c r="F46" i="30"/>
  <c r="F46" i="119"/>
  <c r="F44" i="30" s="1"/>
  <c r="DC264" i="119"/>
  <c r="CD197" i="30" s="1"/>
  <c r="CD68" i="30"/>
  <c r="AJ59" i="2"/>
  <c r="BD76" i="119"/>
  <c r="BU264" i="119"/>
  <c r="AV197" i="30" s="1"/>
  <c r="AV68" i="30"/>
  <c r="AI91" i="2"/>
  <c r="BC49" i="119" s="1"/>
  <c r="AD47" i="30" s="1"/>
  <c r="BC50" i="119"/>
  <c r="AD48" i="30" s="1"/>
  <c r="Y59" i="2"/>
  <c r="AS76" i="119"/>
  <c r="AS264" i="119" s="1"/>
  <c r="BG59" i="2"/>
  <c r="CA76" i="119"/>
  <c r="AI59" i="2"/>
  <c r="BC76" i="119"/>
  <c r="DD264" i="119"/>
  <c r="CE197" i="30" s="1"/>
  <c r="CE68" i="30"/>
  <c r="U69" i="119"/>
  <c r="U67" i="119"/>
  <c r="DA46" i="119"/>
  <c r="CB44" i="30" s="1"/>
  <c r="FH87" i="2"/>
  <c r="DE49" i="119"/>
  <c r="CF47" i="30" s="1"/>
  <c r="FI91" i="2"/>
  <c r="T69" i="119"/>
  <c r="T67" i="119"/>
  <c r="BU59" i="2"/>
  <c r="CO76" i="119"/>
  <c r="S69" i="119"/>
  <c r="S67" i="119"/>
  <c r="BT51" i="2"/>
  <c r="CN70" i="119" s="1"/>
  <c r="BO66" i="30" s="1"/>
  <c r="CN65" i="119"/>
  <c r="BO61" i="30" s="1"/>
  <c r="BB59" i="2"/>
  <c r="BV76" i="119"/>
  <c r="AD59" i="2"/>
  <c r="AX76" i="119"/>
  <c r="BV59" i="2"/>
  <c r="CP76" i="119"/>
  <c r="CB59" i="2"/>
  <c r="CV76" i="119"/>
  <c r="J49" i="119"/>
  <c r="J47" i="30" s="1"/>
  <c r="J49" i="30"/>
  <c r="BN298" i="119"/>
  <c r="AO63" i="30"/>
  <c r="Q265" i="119"/>
  <c r="CP271" i="119"/>
  <c r="BQ202" i="30" s="1"/>
  <c r="BQ65" i="30"/>
  <c r="BX271" i="119"/>
  <c r="AY202" i="30" s="1"/>
  <c r="AY65" i="30"/>
  <c r="DD271" i="119"/>
  <c r="CE202" i="30" s="1"/>
  <c r="CE65" i="30"/>
  <c r="BU298" i="119"/>
  <c r="AV63" i="30"/>
  <c r="I49" i="119"/>
  <c r="I47" i="30" s="1"/>
  <c r="I49" i="30"/>
  <c r="BS271" i="119"/>
  <c r="AT202" i="30" s="1"/>
  <c r="AT65" i="30"/>
  <c r="BA271" i="119"/>
  <c r="AB202" i="30" s="1"/>
  <c r="AB65" i="30"/>
  <c r="O46" i="119"/>
  <c r="O44" i="30" s="1"/>
  <c r="R265" i="119"/>
  <c r="CC271" i="119"/>
  <c r="BD202" i="30" s="1"/>
  <c r="BD65" i="30"/>
  <c r="CS298" i="119"/>
  <c r="BT63" i="30"/>
  <c r="CX271" i="119"/>
  <c r="BY202" i="30" s="1"/>
  <c r="BY65" i="30"/>
  <c r="P265" i="119"/>
  <c r="K265" i="119"/>
  <c r="BR298" i="119"/>
  <c r="AS63" i="30"/>
  <c r="AZ298" i="119"/>
  <c r="AA63" i="30"/>
  <c r="CN298" i="119"/>
  <c r="BO63" i="30"/>
  <c r="BV298" i="119"/>
  <c r="AW63" i="30"/>
  <c r="DB298" i="119"/>
  <c r="CC63" i="30"/>
  <c r="M49" i="119"/>
  <c r="M47" i="30" s="1"/>
  <c r="BD271" i="119"/>
  <c r="AE202" i="30" s="1"/>
  <c r="AE65" i="30"/>
  <c r="CR271" i="119"/>
  <c r="BS202" i="30" s="1"/>
  <c r="BS65" i="30"/>
  <c r="BY271" i="119"/>
  <c r="AZ202" i="30" s="1"/>
  <c r="AZ65" i="30"/>
  <c r="BQ298" i="119"/>
  <c r="AR63" i="30"/>
  <c r="AY298" i="119"/>
  <c r="Z63" i="30"/>
  <c r="CM271" i="119"/>
  <c r="BN202" i="30" s="1"/>
  <c r="BN65" i="30"/>
  <c r="V55" i="30"/>
  <c r="V265" i="119"/>
  <c r="DC298" i="119"/>
  <c r="CD63" i="30"/>
  <c r="BP298" i="119"/>
  <c r="AQ63" i="30"/>
  <c r="BZ271" i="119"/>
  <c r="BA202" i="30" s="1"/>
  <c r="BA65" i="30"/>
  <c r="EJ86" i="6"/>
  <c r="EJ93" i="6"/>
  <c r="EJ94" i="6"/>
  <c r="U123" i="1"/>
  <c r="AI81" i="2"/>
  <c r="GP23" i="51"/>
  <c r="GP65" i="51"/>
  <c r="FF23" i="51"/>
  <c r="FF22" i="51"/>
  <c r="CP59" i="1"/>
  <c r="CP95" i="1"/>
  <c r="CP74" i="1"/>
  <c r="BP79" i="2"/>
  <c r="BP84" i="2" s="1"/>
  <c r="FC22" i="3"/>
  <c r="EG88" i="6"/>
  <c r="ED93" i="6"/>
  <c r="EE93" i="6"/>
  <c r="EF93" i="6"/>
  <c r="GJ43" i="51"/>
  <c r="AB51" i="2"/>
  <c r="AV70" i="119" s="1"/>
  <c r="CM103" i="1"/>
  <c r="CI124" i="1"/>
  <c r="CD123" i="1"/>
  <c r="CM46" i="1"/>
  <c r="N67" i="1"/>
  <c r="CI82" i="1"/>
  <c r="EE15" i="6"/>
  <c r="EF15" i="6"/>
  <c r="EH51" i="6"/>
  <c r="EG15" i="6"/>
  <c r="FB53" i="6"/>
  <c r="FA90" i="6"/>
  <c r="EH57" i="6"/>
  <c r="EH94" i="6"/>
  <c r="DS17" i="6"/>
  <c r="EA17" i="6"/>
  <c r="FB94" i="6"/>
  <c r="FB57" i="6"/>
  <c r="FC57" i="6"/>
  <c r="EZ53" i="6"/>
  <c r="EZ90" i="6"/>
  <c r="EZ94" i="6"/>
  <c r="EZ57" i="6"/>
  <c r="EI15" i="6"/>
  <c r="EG94" i="6"/>
  <c r="EG57" i="6"/>
  <c r="FB81" i="6"/>
  <c r="FB86" i="6"/>
  <c r="EY81" i="6"/>
  <c r="EY86" i="6"/>
  <c r="EY93" i="6"/>
  <c r="BN74" i="6"/>
  <c r="EC17" i="6"/>
  <c r="EF57" i="6"/>
  <c r="EF94" i="6"/>
  <c r="EY94" i="6"/>
  <c r="EH15" i="6"/>
  <c r="EE57" i="6"/>
  <c r="EE94" i="6"/>
  <c r="DU17" i="6"/>
  <c r="FA51" i="6"/>
  <c r="FA88" i="6"/>
  <c r="ED17" i="6"/>
  <c r="EI57" i="6"/>
  <c r="EI94" i="6"/>
  <c r="EJ57" i="6"/>
  <c r="DW17" i="6"/>
  <c r="FA57" i="6"/>
  <c r="FA94" i="6"/>
  <c r="EZ54" i="6"/>
  <c r="EZ91" i="6"/>
  <c r="BI74" i="6"/>
  <c r="DZ56" i="6"/>
  <c r="DT56" i="6"/>
  <c r="EB56" i="6"/>
  <c r="EC56" i="6"/>
  <c r="BJ74" i="6"/>
  <c r="DX56" i="6"/>
  <c r="EF56" i="6"/>
  <c r="DY56" i="6"/>
  <c r="EE56" i="6"/>
  <c r="BM74" i="6"/>
  <c r="DV56" i="6"/>
  <c r="DU56" i="6"/>
  <c r="DW56" i="6"/>
  <c r="BQ74" i="6"/>
  <c r="BR74" i="6"/>
  <c r="ED56" i="6"/>
  <c r="EA56" i="6"/>
  <c r="FA84" i="6"/>
  <c r="FA81" i="6"/>
  <c r="EZ82" i="6"/>
  <c r="EZ81" i="6"/>
  <c r="EH53" i="6"/>
  <c r="EZ83" i="6"/>
  <c r="EH80" i="6"/>
  <c r="EG50" i="6"/>
  <c r="EJ15" i="6"/>
  <c r="EJ52" i="6"/>
  <c r="EH52" i="6"/>
  <c r="EZ84" i="6"/>
  <c r="EI89" i="6"/>
  <c r="EG89" i="6"/>
  <c r="EZ80" i="6"/>
  <c r="FA82" i="6"/>
  <c r="FA80" i="6"/>
  <c r="EF17" i="6"/>
  <c r="FA83" i="6"/>
  <c r="EI54" i="6"/>
  <c r="FA54" i="6"/>
  <c r="FA53" i="6"/>
  <c r="FA49" i="6"/>
  <c r="EY84" i="6"/>
  <c r="EY80" i="6"/>
  <c r="EY83" i="6"/>
  <c r="EY82" i="6"/>
  <c r="FB49" i="6"/>
  <c r="FB84" i="6"/>
  <c r="FB80" i="6"/>
  <c r="FB83" i="6"/>
  <c r="FB82" i="6"/>
  <c r="FC49" i="6"/>
  <c r="EZ35" i="6"/>
  <c r="EZ93" i="6" s="1"/>
  <c r="EZ50" i="6"/>
  <c r="FB51" i="6"/>
  <c r="FB54" i="6"/>
  <c r="FC54" i="6"/>
  <c r="FA50" i="6"/>
  <c r="FA35" i="6"/>
  <c r="FA93" i="6" s="1"/>
  <c r="FB50" i="6"/>
  <c r="FB35" i="6"/>
  <c r="FB93" i="6" s="1"/>
  <c r="FC50" i="6"/>
  <c r="EZ49" i="6"/>
  <c r="EJ54" i="6"/>
  <c r="AQ103" i="1"/>
  <c r="AE81" i="2"/>
  <c r="N103" i="1"/>
  <c r="R103" i="1"/>
  <c r="S80" i="2"/>
  <c r="AB28" i="3"/>
  <c r="AV100" i="119" s="1"/>
  <c r="AA35" i="3"/>
  <c r="AU101" i="119" s="1"/>
  <c r="EZ40" i="51"/>
  <c r="GK41" i="51"/>
  <c r="GI43" i="51"/>
  <c r="EY45" i="51"/>
  <c r="GK40" i="51"/>
  <c r="GK43" i="51"/>
  <c r="GL42" i="51"/>
  <c r="GJ42" i="51"/>
  <c r="GL45" i="51"/>
  <c r="FA42" i="51"/>
  <c r="GI46" i="51"/>
  <c r="GI40" i="51"/>
  <c r="GJ41" i="51"/>
  <c r="GK42" i="51"/>
  <c r="FA40" i="51"/>
  <c r="GK45" i="51"/>
  <c r="GL40" i="51"/>
  <c r="FA45" i="51"/>
  <c r="EZ41" i="51"/>
  <c r="GL41" i="51"/>
  <c r="GJ40" i="51"/>
  <c r="EZ42" i="51"/>
  <c r="EY41" i="51"/>
  <c r="GI42" i="51"/>
  <c r="EY42" i="51"/>
  <c r="EY40" i="51"/>
  <c r="GI41" i="51"/>
  <c r="GI45" i="51"/>
  <c r="EZ45" i="51"/>
  <c r="EZ43" i="51"/>
  <c r="GR22" i="51"/>
  <c r="GR21" i="51"/>
  <c r="GM23" i="51"/>
  <c r="GL43" i="51"/>
  <c r="FA23" i="51"/>
  <c r="FA43" i="51"/>
  <c r="EZ23" i="51"/>
  <c r="EY43" i="51"/>
  <c r="GM22" i="51"/>
  <c r="GS22" i="51"/>
  <c r="FE22" i="51"/>
  <c r="GN20" i="51"/>
  <c r="FB21" i="51"/>
  <c r="FA41" i="51"/>
  <c r="GK25" i="51"/>
  <c r="GJ45" i="51"/>
  <c r="FC21" i="51"/>
  <c r="GR23" i="51"/>
  <c r="GS23" i="51"/>
  <c r="GS21" i="51"/>
  <c r="FE23" i="51"/>
  <c r="GR25" i="51"/>
  <c r="FI19" i="1"/>
  <c r="FI21" i="1" s="1"/>
  <c r="CO116" i="2"/>
  <c r="AI67" i="1"/>
  <c r="FH19" i="1"/>
  <c r="CK116" i="2"/>
  <c r="N81" i="2"/>
  <c r="AN51" i="2"/>
  <c r="BH70" i="119" s="1"/>
  <c r="AI66" i="30" s="1"/>
  <c r="AY51" i="2"/>
  <c r="BS70" i="119" s="1"/>
  <c r="AT66" i="30" s="1"/>
  <c r="AF51" i="2"/>
  <c r="AZ70" i="119" s="1"/>
  <c r="AA66" i="30" s="1"/>
  <c r="EY58" i="2"/>
  <c r="H53" i="2"/>
  <c r="I53" i="2"/>
  <c r="D53" i="2"/>
  <c r="L53" i="2"/>
  <c r="N53" i="2"/>
  <c r="P53" i="2"/>
  <c r="CR9" i="3"/>
  <c r="CR9" i="112"/>
  <c r="CR9" i="113"/>
  <c r="CU9" i="3"/>
  <c r="CU9" i="113"/>
  <c r="CU9" i="112"/>
  <c r="CT9" i="3"/>
  <c r="CT67" i="3" s="1"/>
  <c r="CT9" i="113"/>
  <c r="CT9" i="112"/>
  <c r="Z51" i="2"/>
  <c r="AT70" i="119" s="1"/>
  <c r="AX51" i="2"/>
  <c r="BR70" i="119" s="1"/>
  <c r="AS66" i="30" s="1"/>
  <c r="J53" i="2"/>
  <c r="EO27" i="2"/>
  <c r="AJ51" i="2"/>
  <c r="BD70" i="119" s="1"/>
  <c r="AE66" i="30" s="1"/>
  <c r="ET58" i="2"/>
  <c r="H76" i="119" s="1"/>
  <c r="BB51" i="2"/>
  <c r="BV70" i="119" s="1"/>
  <c r="AW66" i="30" s="1"/>
  <c r="EW58" i="2"/>
  <c r="K76" i="119" s="1"/>
  <c r="AV51" i="2"/>
  <c r="BP70" i="119" s="1"/>
  <c r="AQ66" i="30" s="1"/>
  <c r="O53" i="2"/>
  <c r="EN51" i="2"/>
  <c r="FB58" i="2"/>
  <c r="F53" i="2"/>
  <c r="M53" i="2"/>
  <c r="AH51" i="2"/>
  <c r="BB70" i="119" s="1"/>
  <c r="AC66" i="30" s="1"/>
  <c r="FF61" i="2"/>
  <c r="CH51" i="2"/>
  <c r="DB70" i="119" s="1"/>
  <c r="CC66" i="30" s="1"/>
  <c r="EV58" i="2"/>
  <c r="J76" i="119" s="1"/>
  <c r="EP51" i="2"/>
  <c r="ET44" i="2"/>
  <c r="H65" i="119" s="1"/>
  <c r="H61" i="30" s="1"/>
  <c r="AQ51" i="2"/>
  <c r="BK70" i="119" s="1"/>
  <c r="AL66" i="30" s="1"/>
  <c r="E53" i="2"/>
  <c r="X51" i="2"/>
  <c r="AR70" i="119" s="1"/>
  <c r="FH58" i="2"/>
  <c r="V76" i="119" s="1"/>
  <c r="BL51" i="2"/>
  <c r="CF70" i="119" s="1"/>
  <c r="BG66" i="30" s="1"/>
  <c r="C53" i="2"/>
  <c r="B53" i="2"/>
  <c r="BW59" i="2"/>
  <c r="V51" i="2"/>
  <c r="AP70" i="119" s="1"/>
  <c r="BX51" i="2"/>
  <c r="CR70" i="119" s="1"/>
  <c r="BS66" i="30" s="1"/>
  <c r="FD58" i="2"/>
  <c r="R76" i="119" s="1"/>
  <c r="BH51" i="2"/>
  <c r="CB70" i="119" s="1"/>
  <c r="BC66" i="30" s="1"/>
  <c r="FA27" i="2"/>
  <c r="O55" i="119" s="1"/>
  <c r="O53" i="30" s="1"/>
  <c r="K53" i="2"/>
  <c r="CA51" i="2"/>
  <c r="CU70" i="119" s="1"/>
  <c r="BV66" i="30" s="1"/>
  <c r="R59" i="2"/>
  <c r="AP51" i="2"/>
  <c r="BJ70" i="119" s="1"/>
  <c r="AK66" i="30" s="1"/>
  <c r="EU58" i="2"/>
  <c r="I76" i="119" s="1"/>
  <c r="CD50" i="3"/>
  <c r="N46" i="1"/>
  <c r="T32" i="3"/>
  <c r="U32" i="3" s="1"/>
  <c r="AO97" i="119" s="1"/>
  <c r="W81" i="2"/>
  <c r="BA32" i="3"/>
  <c r="BU97" i="119" s="1"/>
  <c r="AV88" i="30" s="1"/>
  <c r="AM103" i="1"/>
  <c r="AE82" i="1"/>
  <c r="AE124" i="1"/>
  <c r="AM46" i="1"/>
  <c r="AJ80" i="2"/>
  <c r="AQ46" i="1"/>
  <c r="AN16" i="1"/>
  <c r="BO81" i="2"/>
  <c r="BX35" i="3"/>
  <c r="CR101" i="119" s="1"/>
  <c r="BS92" i="30" s="1"/>
  <c r="BX80" i="2"/>
  <c r="AI46" i="1"/>
  <c r="AI103" i="1"/>
  <c r="AO12" i="3"/>
  <c r="BI93" i="119" s="1"/>
  <c r="AJ84" i="30" s="1"/>
  <c r="AJ124" i="1"/>
  <c r="AI82" i="1"/>
  <c r="BK81" i="2"/>
  <c r="AM82" i="1"/>
  <c r="BP16" i="1"/>
  <c r="AS12" i="3"/>
  <c r="AM67" i="1"/>
  <c r="CE87" i="2"/>
  <c r="CY46" i="119" s="1"/>
  <c r="BZ44" i="30" s="1"/>
  <c r="K80" i="2"/>
  <c r="AJ24" i="3"/>
  <c r="P24" i="3"/>
  <c r="L24" i="3"/>
  <c r="AO38" i="3"/>
  <c r="BX24" i="3"/>
  <c r="BR50" i="3"/>
  <c r="CL108" i="119" s="1"/>
  <c r="BM98" i="30" s="1"/>
  <c r="L32" i="3"/>
  <c r="FF22" i="3"/>
  <c r="AQ81" i="2"/>
  <c r="AY48" i="3"/>
  <c r="BS107" i="119" s="1"/>
  <c r="AT97" i="30" s="1"/>
  <c r="AB16" i="1"/>
  <c r="AN48" i="3"/>
  <c r="BH107" i="119" s="1"/>
  <c r="AI97" i="30" s="1"/>
  <c r="BV50" i="3"/>
  <c r="CP108" i="119" s="1"/>
  <c r="BQ98" i="30" s="1"/>
  <c r="CI103" i="1"/>
  <c r="AW31" i="3"/>
  <c r="BQ98" i="119" s="1"/>
  <c r="AR89" i="30" s="1"/>
  <c r="BV54" i="3"/>
  <c r="BV55" i="3" s="1"/>
  <c r="D79" i="2"/>
  <c r="D84" i="2" s="1"/>
  <c r="Y12" i="3"/>
  <c r="AS93" i="119" s="1"/>
  <c r="BR54" i="3"/>
  <c r="BR55" i="3" s="1"/>
  <c r="D16" i="1"/>
  <c r="D82" i="1" s="1"/>
  <c r="G124" i="1"/>
  <c r="CF35" i="3"/>
  <c r="CZ101" i="119" s="1"/>
  <c r="CA92" i="30" s="1"/>
  <c r="EO43" i="3"/>
  <c r="EO48" i="3" s="1"/>
  <c r="P16" i="1"/>
  <c r="P103" i="1" s="1"/>
  <c r="CK32" i="3"/>
  <c r="BG25" i="3"/>
  <c r="CA96" i="119" s="1"/>
  <c r="BB87" i="30" s="1"/>
  <c r="G35" i="3"/>
  <c r="G80" i="2"/>
  <c r="E32" i="3"/>
  <c r="E80" i="2" s="1"/>
  <c r="AV38" i="3"/>
  <c r="H32" i="3"/>
  <c r="H80" i="2" s="1"/>
  <c r="AR16" i="1"/>
  <c r="Q12" i="3"/>
  <c r="EQ12" i="3" s="1"/>
  <c r="AB79" i="2"/>
  <c r="AB84" i="2" s="1"/>
  <c r="AN28" i="3"/>
  <c r="BQ24" i="3"/>
  <c r="CK94" i="119" s="1"/>
  <c r="BL85" i="30" s="1"/>
  <c r="BY31" i="3"/>
  <c r="FF31" i="3" s="1"/>
  <c r="K35" i="3"/>
  <c r="CI46" i="1"/>
  <c r="AI35" i="3"/>
  <c r="BC101" i="119" s="1"/>
  <c r="AD92" i="30" s="1"/>
  <c r="AF48" i="3"/>
  <c r="AZ107" i="119" s="1"/>
  <c r="AA97" i="30" s="1"/>
  <c r="CE67" i="1"/>
  <c r="W82" i="1"/>
  <c r="G103" i="1"/>
  <c r="X16" i="1"/>
  <c r="EN12" i="3"/>
  <c r="G46" i="1"/>
  <c r="W46" i="1"/>
  <c r="E67" i="1"/>
  <c r="W67" i="1"/>
  <c r="X79" i="2"/>
  <c r="X84" i="2" s="1"/>
  <c r="BL79" i="2"/>
  <c r="BL84" i="2" s="1"/>
  <c r="AN24" i="3"/>
  <c r="BH94" i="119" s="1"/>
  <c r="AI85" i="30" s="1"/>
  <c r="G82" i="1"/>
  <c r="W124" i="1"/>
  <c r="CE82" i="1"/>
  <c r="F124" i="1"/>
  <c r="AM81" i="2"/>
  <c r="E79" i="2"/>
  <c r="E84" i="2" s="1"/>
  <c r="BM12" i="3"/>
  <c r="Q48" i="3"/>
  <c r="AO32" i="3"/>
  <c r="Y38" i="3"/>
  <c r="AS103" i="119" s="1"/>
  <c r="W84" i="2"/>
  <c r="BW25" i="3"/>
  <c r="CQ96" i="119" s="1"/>
  <c r="BR87" i="30" s="1"/>
  <c r="H48" i="3"/>
  <c r="CB24" i="3"/>
  <c r="CV94" i="119" s="1"/>
  <c r="BW85" i="30" s="1"/>
  <c r="CE81" i="2"/>
  <c r="X48" i="3"/>
  <c r="AR107" i="119" s="1"/>
  <c r="C81" i="2"/>
  <c r="CG28" i="3"/>
  <c r="DA100" i="119" s="1"/>
  <c r="CB91" i="30" s="1"/>
  <c r="FB22" i="3"/>
  <c r="CC22" i="3"/>
  <c r="CC24" i="3" s="1"/>
  <c r="CW94" i="119" s="1"/>
  <c r="BX85" i="30" s="1"/>
  <c r="G48" i="3"/>
  <c r="AN80" i="2"/>
  <c r="CB79" i="2"/>
  <c r="CB84" i="2" s="1"/>
  <c r="Y32" i="3"/>
  <c r="CJ80" i="2"/>
  <c r="CF79" i="2"/>
  <c r="CF84" i="2" s="1"/>
  <c r="CG12" i="3"/>
  <c r="DA93" i="119" s="1"/>
  <c r="CB84" i="30" s="1"/>
  <c r="CF80" i="2"/>
  <c r="CK12" i="3"/>
  <c r="DE93" i="119" s="1"/>
  <c r="CF84" i="30" s="1"/>
  <c r="CJ79" i="2"/>
  <c r="CJ84" i="2" s="1"/>
  <c r="FC39" i="3"/>
  <c r="CC12" i="3"/>
  <c r="CW93" i="119" s="1"/>
  <c r="BX84" i="30" s="1"/>
  <c r="AK38" i="3"/>
  <c r="BE103" i="119" s="1"/>
  <c r="AF94" i="30" s="1"/>
  <c r="BK84" i="2"/>
  <c r="BW81" i="2"/>
  <c r="EU26" i="51"/>
  <c r="EV26" i="51"/>
  <c r="ET26" i="51"/>
  <c r="EW26" i="51"/>
  <c r="ER26" i="51"/>
  <c r="ES26" i="51"/>
  <c r="EQ26" i="51"/>
  <c r="EX26" i="51"/>
  <c r="EP26" i="51"/>
  <c r="AM123" i="1"/>
  <c r="G123" i="1"/>
  <c r="GL101" i="1"/>
  <c r="GL65" i="1"/>
  <c r="GL44" i="1"/>
  <c r="EN101" i="1"/>
  <c r="EN65" i="1"/>
  <c r="EN44" i="1"/>
  <c r="FD101" i="1"/>
  <c r="FD65" i="1"/>
  <c r="FD44" i="1"/>
  <c r="EQ101" i="1"/>
  <c r="EQ65" i="1"/>
  <c r="EQ44" i="1"/>
  <c r="GM98" i="1"/>
  <c r="GM62" i="1"/>
  <c r="GM41" i="1"/>
  <c r="EZ98" i="1"/>
  <c r="EZ62" i="1"/>
  <c r="EZ41" i="1"/>
  <c r="FG62" i="1"/>
  <c r="FG98" i="1"/>
  <c r="FG41" i="1"/>
  <c r="EY65" i="1"/>
  <c r="EY101" i="1"/>
  <c r="EY44" i="1"/>
  <c r="GC62" i="1"/>
  <c r="GC98" i="1"/>
  <c r="GC41" i="1"/>
  <c r="GK62" i="1"/>
  <c r="GK98" i="1"/>
  <c r="GK41" i="1"/>
  <c r="GI101" i="1"/>
  <c r="GI65" i="1"/>
  <c r="GI44" i="1"/>
  <c r="EP101" i="1"/>
  <c r="EP44" i="1"/>
  <c r="EP65" i="1"/>
  <c r="GQ98" i="1"/>
  <c r="GQ62" i="1"/>
  <c r="GQ41" i="1"/>
  <c r="FX98" i="1"/>
  <c r="FX62" i="1"/>
  <c r="FX41" i="1"/>
  <c r="GH101" i="1"/>
  <c r="GH65" i="1"/>
  <c r="GH44" i="1"/>
  <c r="FY65" i="1"/>
  <c r="FY101" i="1"/>
  <c r="FY44" i="1"/>
  <c r="GO98" i="1"/>
  <c r="GO62" i="1"/>
  <c r="GO41" i="1"/>
  <c r="GG101" i="1"/>
  <c r="GG65" i="1"/>
  <c r="GG44" i="1"/>
  <c r="EX65" i="1"/>
  <c r="EX44" i="1"/>
  <c r="EX101" i="1"/>
  <c r="FF98" i="1"/>
  <c r="FF62" i="1"/>
  <c r="FF41" i="1"/>
  <c r="ES65" i="1"/>
  <c r="ES44" i="1"/>
  <c r="ES101" i="1"/>
  <c r="EV98" i="1"/>
  <c r="EV62" i="1"/>
  <c r="EV41" i="1"/>
  <c r="EU98" i="1"/>
  <c r="EU62" i="1"/>
  <c r="EU41" i="1"/>
  <c r="FY98" i="1"/>
  <c r="FY62" i="1"/>
  <c r="FY41" i="1"/>
  <c r="EY98" i="1"/>
  <c r="EY62" i="1"/>
  <c r="EY41" i="1"/>
  <c r="FG101" i="1"/>
  <c r="FG44" i="1"/>
  <c r="FG65" i="1"/>
  <c r="EV101" i="1"/>
  <c r="EV44" i="1"/>
  <c r="EV65" i="1"/>
  <c r="GN65" i="1"/>
  <c r="GN44" i="1"/>
  <c r="GN101" i="1"/>
  <c r="GH98" i="1"/>
  <c r="GH62" i="1"/>
  <c r="GH41" i="1"/>
  <c r="GO65" i="1"/>
  <c r="GO101" i="1"/>
  <c r="GO44" i="1"/>
  <c r="GK101" i="1"/>
  <c r="GK65" i="1"/>
  <c r="GK44" i="1"/>
  <c r="GG98" i="1"/>
  <c r="GG62" i="1"/>
  <c r="GG41" i="1"/>
  <c r="EP62" i="1"/>
  <c r="EP98" i="1"/>
  <c r="EP41" i="1"/>
  <c r="R123" i="1"/>
  <c r="GJ101" i="1"/>
  <c r="GJ65" i="1"/>
  <c r="GJ44" i="1"/>
  <c r="ES98" i="1"/>
  <c r="ES41" i="1"/>
  <c r="ES62" i="1"/>
  <c r="GN98" i="1"/>
  <c r="GN62" i="1"/>
  <c r="GN41" i="1"/>
  <c r="GR101" i="1"/>
  <c r="GR44" i="1"/>
  <c r="E123" i="1"/>
  <c r="ER65" i="1"/>
  <c r="ER44" i="1"/>
  <c r="ER101" i="1"/>
  <c r="ER98" i="1"/>
  <c r="ER62" i="1"/>
  <c r="ER41" i="1"/>
  <c r="EN98" i="1"/>
  <c r="EN62" i="1"/>
  <c r="EN41" i="1"/>
  <c r="FH101" i="1"/>
  <c r="FH44" i="1"/>
  <c r="FH65" i="1"/>
  <c r="FC98" i="1"/>
  <c r="FC41" i="1"/>
  <c r="FC62" i="1"/>
  <c r="ET98" i="1"/>
  <c r="ET62" i="1"/>
  <c r="ET41" i="1"/>
  <c r="GD101" i="1"/>
  <c r="GD65" i="1"/>
  <c r="GD44" i="1"/>
  <c r="FX101" i="1"/>
  <c r="FX65" i="1"/>
  <c r="FX44" i="1"/>
  <c r="GI62" i="1"/>
  <c r="GI41" i="1"/>
  <c r="GI98" i="1"/>
  <c r="GD98" i="1"/>
  <c r="GD62" i="1"/>
  <c r="GD41" i="1"/>
  <c r="FA62" i="1"/>
  <c r="FA41" i="1"/>
  <c r="FA98" i="1"/>
  <c r="GP101" i="1"/>
  <c r="GP65" i="1"/>
  <c r="GP44" i="1"/>
  <c r="GC65" i="1"/>
  <c r="GC44" i="1"/>
  <c r="GC101" i="1"/>
  <c r="FH62" i="1"/>
  <c r="FH98" i="1"/>
  <c r="FH41" i="1"/>
  <c r="GP98" i="1"/>
  <c r="GP62" i="1"/>
  <c r="GP41" i="1"/>
  <c r="FC101" i="1"/>
  <c r="FC65" i="1"/>
  <c r="FC44" i="1"/>
  <c r="GL98" i="1"/>
  <c r="GL62" i="1"/>
  <c r="GL41" i="1"/>
  <c r="GA62" i="1"/>
  <c r="GA98" i="1"/>
  <c r="GA41" i="1"/>
  <c r="ET101" i="1"/>
  <c r="ET65" i="1"/>
  <c r="ET44" i="1"/>
  <c r="EQ98" i="1"/>
  <c r="EQ41" i="1"/>
  <c r="EQ62" i="1"/>
  <c r="GJ98" i="1"/>
  <c r="GJ62" i="1"/>
  <c r="GJ41" i="1"/>
  <c r="EZ101" i="1"/>
  <c r="EZ44" i="1"/>
  <c r="EZ65" i="1"/>
  <c r="GA101" i="1"/>
  <c r="GA65" i="1"/>
  <c r="GA44" i="1"/>
  <c r="FB101" i="1"/>
  <c r="FB44" i="1"/>
  <c r="FB65" i="1"/>
  <c r="GB62" i="1"/>
  <c r="GB41" i="1"/>
  <c r="GB98" i="1"/>
  <c r="GQ65" i="1"/>
  <c r="GQ101" i="1"/>
  <c r="GQ44" i="1"/>
  <c r="GE62" i="1"/>
  <c r="GE98" i="1"/>
  <c r="GE41" i="1"/>
  <c r="FZ101" i="1"/>
  <c r="FZ65" i="1"/>
  <c r="FZ44" i="1"/>
  <c r="FA101" i="1"/>
  <c r="FA65" i="1"/>
  <c r="FA44" i="1"/>
  <c r="FZ98" i="1"/>
  <c r="FZ41" i="1"/>
  <c r="FZ62" i="1"/>
  <c r="GI103" i="1"/>
  <c r="GI67" i="1"/>
  <c r="GI46" i="1"/>
  <c r="FD98" i="1"/>
  <c r="FD41" i="1"/>
  <c r="FD62" i="1"/>
  <c r="FE98" i="1"/>
  <c r="FE41" i="1"/>
  <c r="FE62" i="1"/>
  <c r="FB62" i="1"/>
  <c r="FB98" i="1"/>
  <c r="FB41" i="1"/>
  <c r="FI113" i="1"/>
  <c r="FI56" i="1"/>
  <c r="EW98" i="1"/>
  <c r="EW62" i="1"/>
  <c r="EW41" i="1"/>
  <c r="GS113" i="1"/>
  <c r="GS56" i="1"/>
  <c r="FE101" i="1"/>
  <c r="FE65" i="1"/>
  <c r="FE44" i="1"/>
  <c r="GE65" i="1"/>
  <c r="GE101" i="1"/>
  <c r="GE44" i="1"/>
  <c r="GB101" i="1"/>
  <c r="GB65" i="1"/>
  <c r="GB44" i="1"/>
  <c r="EX98" i="1"/>
  <c r="EX62" i="1"/>
  <c r="EX41" i="1"/>
  <c r="GM44" i="1"/>
  <c r="GM101" i="1"/>
  <c r="GM65" i="1"/>
  <c r="GF98" i="1"/>
  <c r="GF41" i="1"/>
  <c r="GF62" i="1"/>
  <c r="EO101" i="1"/>
  <c r="EO65" i="1"/>
  <c r="EO44" i="1"/>
  <c r="GH67" i="1"/>
  <c r="FF101" i="1"/>
  <c r="FF44" i="1"/>
  <c r="FF65" i="1"/>
  <c r="EW101" i="1"/>
  <c r="EW65" i="1"/>
  <c r="EW44" i="1"/>
  <c r="EU101" i="1"/>
  <c r="EU44" i="1"/>
  <c r="EU65" i="1"/>
  <c r="GF101" i="1"/>
  <c r="GF65" i="1"/>
  <c r="GF44" i="1"/>
  <c r="EO62" i="1"/>
  <c r="EO98" i="1"/>
  <c r="EO41" i="1"/>
  <c r="Y123" i="1"/>
  <c r="W123" i="1"/>
  <c r="AQ123" i="1"/>
  <c r="AU123" i="1"/>
  <c r="BG123" i="1"/>
  <c r="AC123" i="1"/>
  <c r="AE123" i="1"/>
  <c r="CF123" i="1"/>
  <c r="AR123" i="1"/>
  <c r="AV123" i="1"/>
  <c r="M123" i="1"/>
  <c r="BE123" i="1"/>
  <c r="BS123" i="1"/>
  <c r="AS123" i="1"/>
  <c r="AW123" i="1"/>
  <c r="AK123" i="1"/>
  <c r="C123" i="1"/>
  <c r="Q123" i="1"/>
  <c r="BX123" i="1"/>
  <c r="K123" i="1"/>
  <c r="CK102" i="1"/>
  <c r="CK123" i="1"/>
  <c r="BT102" i="1"/>
  <c r="BT123" i="1"/>
  <c r="BW103" i="1"/>
  <c r="BW124" i="1"/>
  <c r="AZ102" i="1"/>
  <c r="AZ123" i="1"/>
  <c r="BP123" i="1"/>
  <c r="T123" i="1"/>
  <c r="AD123" i="1"/>
  <c r="BF123" i="1"/>
  <c r="CA123" i="1"/>
  <c r="O103" i="1"/>
  <c r="O124" i="1"/>
  <c r="AH123" i="1"/>
  <c r="AT123" i="1"/>
  <c r="L124" i="1"/>
  <c r="AG102" i="1"/>
  <c r="AG123" i="1"/>
  <c r="BJ102" i="1"/>
  <c r="BJ123" i="1"/>
  <c r="AF123" i="1"/>
  <c r="BD123" i="1"/>
  <c r="L123" i="1"/>
  <c r="BQ123" i="1"/>
  <c r="AX102" i="1"/>
  <c r="AX123" i="1"/>
  <c r="BK123" i="1"/>
  <c r="CE103" i="1"/>
  <c r="CA124" i="1"/>
  <c r="CG123" i="1"/>
  <c r="BC102" i="1"/>
  <c r="BC123" i="1"/>
  <c r="BA102" i="1"/>
  <c r="BA123" i="1"/>
  <c r="H123" i="1"/>
  <c r="BL102" i="1"/>
  <c r="BL123" i="1"/>
  <c r="P102" i="1"/>
  <c r="P123" i="1"/>
  <c r="AA123" i="1"/>
  <c r="AN123" i="1"/>
  <c r="BZ123" i="1"/>
  <c r="J102" i="1"/>
  <c r="J123" i="1"/>
  <c r="BI123" i="1"/>
  <c r="N123" i="1"/>
  <c r="CB102" i="1"/>
  <c r="CB123" i="1"/>
  <c r="BO102" i="1"/>
  <c r="BO123" i="1"/>
  <c r="CH102" i="1"/>
  <c r="CH123" i="1"/>
  <c r="BU102" i="1"/>
  <c r="BU123" i="1"/>
  <c r="BY123" i="1"/>
  <c r="I123" i="1"/>
  <c r="Z102" i="1"/>
  <c r="Z123" i="1"/>
  <c r="H124" i="1"/>
  <c r="CE102" i="1"/>
  <c r="CE123" i="1"/>
  <c r="AJ123" i="1"/>
  <c r="BG103" i="1"/>
  <c r="BC124" i="1"/>
  <c r="AE103" i="1"/>
  <c r="AA124" i="1"/>
  <c r="AI102" i="1"/>
  <c r="AI123" i="1"/>
  <c r="BW102" i="1"/>
  <c r="BW123" i="1"/>
  <c r="S123" i="1"/>
  <c r="BN102" i="1"/>
  <c r="BN123" i="1"/>
  <c r="BB102" i="1"/>
  <c r="BB123" i="1"/>
  <c r="AL102" i="1"/>
  <c r="AL123" i="1"/>
  <c r="D123" i="1"/>
  <c r="AP123" i="1"/>
  <c r="AB123" i="1"/>
  <c r="AO102" i="1"/>
  <c r="AO123" i="1"/>
  <c r="CJ102" i="1"/>
  <c r="CJ123" i="1"/>
  <c r="O102" i="1"/>
  <c r="O123" i="1"/>
  <c r="BV102" i="1"/>
  <c r="BV123" i="1"/>
  <c r="AY102" i="1"/>
  <c r="AY123" i="1"/>
  <c r="BH102" i="1"/>
  <c r="BH123" i="1"/>
  <c r="BM123" i="1"/>
  <c r="CI123" i="1"/>
  <c r="X102" i="1"/>
  <c r="X123" i="1"/>
  <c r="F123" i="1"/>
  <c r="V123" i="1"/>
  <c r="CC123" i="1"/>
  <c r="BR123" i="1"/>
  <c r="AF102" i="1"/>
  <c r="CG102" i="1"/>
  <c r="W102" i="1"/>
  <c r="BX102" i="1"/>
  <c r="C81" i="1"/>
  <c r="I102" i="1"/>
  <c r="AJ102" i="1"/>
  <c r="S103" i="1"/>
  <c r="AW102" i="1"/>
  <c r="BM102" i="1"/>
  <c r="R102" i="1"/>
  <c r="AE102" i="1"/>
  <c r="CD102" i="1"/>
  <c r="AR102" i="1"/>
  <c r="BY102" i="1"/>
  <c r="AM102" i="1"/>
  <c r="S102" i="1"/>
  <c r="BE102" i="1"/>
  <c r="BS102" i="1"/>
  <c r="AQ102" i="1"/>
  <c r="AP102" i="1"/>
  <c r="AB102" i="1"/>
  <c r="L103" i="1"/>
  <c r="U102" i="1"/>
  <c r="CI102" i="1"/>
  <c r="AU102" i="1"/>
  <c r="F102" i="1"/>
  <c r="V102" i="1"/>
  <c r="CC102" i="1"/>
  <c r="BR102" i="1"/>
  <c r="BG102" i="1"/>
  <c r="AK102" i="1"/>
  <c r="AC102" i="1"/>
  <c r="BP102" i="1"/>
  <c r="T102" i="1"/>
  <c r="AD102" i="1"/>
  <c r="BF102" i="1"/>
  <c r="CA102" i="1"/>
  <c r="AH102" i="1"/>
  <c r="AT102" i="1"/>
  <c r="Q102" i="1"/>
  <c r="G102" i="1"/>
  <c r="K102" i="1"/>
  <c r="CF102" i="1"/>
  <c r="AV102" i="1"/>
  <c r="BD102" i="1"/>
  <c r="L102" i="1"/>
  <c r="BQ102" i="1"/>
  <c r="BK102" i="1"/>
  <c r="CA103" i="1"/>
  <c r="Y102" i="1"/>
  <c r="AS102" i="1"/>
  <c r="AA102" i="1"/>
  <c r="AN102" i="1"/>
  <c r="BZ102" i="1"/>
  <c r="BI102" i="1"/>
  <c r="N102" i="1"/>
  <c r="M81" i="1"/>
  <c r="M102" i="1"/>
  <c r="H81" i="1"/>
  <c r="H102" i="1"/>
  <c r="BS82" i="1"/>
  <c r="BS103" i="1"/>
  <c r="BC82" i="1"/>
  <c r="BC103" i="1"/>
  <c r="K82" i="1"/>
  <c r="K103" i="1"/>
  <c r="AA82" i="1"/>
  <c r="AA103" i="1"/>
  <c r="CQ74" i="1"/>
  <c r="CQ95" i="1"/>
  <c r="CS74" i="1"/>
  <c r="CS95" i="1"/>
  <c r="CN74" i="1"/>
  <c r="CN95" i="1"/>
  <c r="E81" i="1"/>
  <c r="BU81" i="1"/>
  <c r="BW66" i="1"/>
  <c r="BW81" i="1"/>
  <c r="I66" i="1"/>
  <c r="I81" i="1"/>
  <c r="AO66" i="1"/>
  <c r="AO81" i="1"/>
  <c r="CJ66" i="1"/>
  <c r="CJ81" i="1"/>
  <c r="O66" i="1"/>
  <c r="O81" i="1"/>
  <c r="S66" i="1"/>
  <c r="S81" i="1"/>
  <c r="BE66" i="1"/>
  <c r="BE81" i="1"/>
  <c r="BN66" i="1"/>
  <c r="BN81" i="1"/>
  <c r="BB66" i="1"/>
  <c r="BB81" i="1"/>
  <c r="AL66" i="1"/>
  <c r="AL81" i="1"/>
  <c r="D66" i="1"/>
  <c r="D81" i="1"/>
  <c r="BS66" i="1"/>
  <c r="BS81" i="1"/>
  <c r="AQ66" i="1"/>
  <c r="AQ81" i="1"/>
  <c r="AP66" i="1"/>
  <c r="AP81" i="1"/>
  <c r="BI66" i="1"/>
  <c r="BI81" i="1"/>
  <c r="CK66" i="1"/>
  <c r="CK81" i="1"/>
  <c r="BG66" i="1"/>
  <c r="BG81" i="1"/>
  <c r="BT66" i="1"/>
  <c r="BT81" i="1"/>
  <c r="BV66" i="1"/>
  <c r="BV81" i="1"/>
  <c r="U66" i="1"/>
  <c r="U81" i="1"/>
  <c r="AW66" i="1"/>
  <c r="AW81" i="1"/>
  <c r="AY66" i="1"/>
  <c r="AY81" i="1"/>
  <c r="BH81" i="1"/>
  <c r="BM66" i="1"/>
  <c r="BM81" i="1"/>
  <c r="CI66" i="1"/>
  <c r="CI81" i="1"/>
  <c r="X66" i="1"/>
  <c r="X81" i="1"/>
  <c r="AI66" i="1"/>
  <c r="AI81" i="1"/>
  <c r="AJ66" i="1"/>
  <c r="AJ81" i="1"/>
  <c r="BK66" i="1"/>
  <c r="BK81" i="1"/>
  <c r="CG66" i="1"/>
  <c r="CG81" i="1"/>
  <c r="AJ67" i="1"/>
  <c r="AJ82" i="1"/>
  <c r="R66" i="1"/>
  <c r="R81" i="1"/>
  <c r="Q66" i="1"/>
  <c r="Q81" i="1"/>
  <c r="BX66" i="1"/>
  <c r="BX81" i="1"/>
  <c r="BC66" i="1"/>
  <c r="BC81" i="1"/>
  <c r="AE66" i="1"/>
  <c r="AE81" i="1"/>
  <c r="G66" i="1"/>
  <c r="G81" i="1"/>
  <c r="BW67" i="1"/>
  <c r="BW82" i="1"/>
  <c r="AK66" i="1"/>
  <c r="AK81" i="1"/>
  <c r="AZ81" i="1"/>
  <c r="AC66" i="1"/>
  <c r="AC81" i="1"/>
  <c r="BP66" i="1"/>
  <c r="BP81" i="1"/>
  <c r="T66" i="1"/>
  <c r="T81" i="1"/>
  <c r="AD66" i="1"/>
  <c r="AD81" i="1"/>
  <c r="AB66" i="1"/>
  <c r="AB81" i="1"/>
  <c r="N66" i="1"/>
  <c r="N81" i="1"/>
  <c r="AM66" i="1"/>
  <c r="AM81" i="1"/>
  <c r="CH66" i="1"/>
  <c r="CH81" i="1"/>
  <c r="Z66" i="1"/>
  <c r="Z81" i="1"/>
  <c r="H67" i="1"/>
  <c r="H82" i="1"/>
  <c r="CE66" i="1"/>
  <c r="CE81" i="1"/>
  <c r="CA67" i="1"/>
  <c r="CA82" i="1"/>
  <c r="CC66" i="1"/>
  <c r="CC81" i="1"/>
  <c r="BA66" i="1"/>
  <c r="BA81" i="1"/>
  <c r="K66" i="1"/>
  <c r="K81" i="1"/>
  <c r="CF66" i="1"/>
  <c r="CF81" i="1"/>
  <c r="CD66" i="1"/>
  <c r="CD81" i="1"/>
  <c r="AG66" i="1"/>
  <c r="AG81" i="1"/>
  <c r="BJ66" i="1"/>
  <c r="BJ81" i="1"/>
  <c r="AR66" i="1"/>
  <c r="AR81" i="1"/>
  <c r="AF81" i="1"/>
  <c r="AV66" i="1"/>
  <c r="AV81" i="1"/>
  <c r="BD66" i="1"/>
  <c r="BD81" i="1"/>
  <c r="L66" i="1"/>
  <c r="L81" i="1"/>
  <c r="BQ66" i="1"/>
  <c r="BQ81" i="1"/>
  <c r="BF66" i="1"/>
  <c r="BF81" i="1"/>
  <c r="AU66" i="1"/>
  <c r="AU81" i="1"/>
  <c r="F66" i="1"/>
  <c r="F81" i="1"/>
  <c r="V66" i="1"/>
  <c r="V81" i="1"/>
  <c r="L82" i="1"/>
  <c r="BY66" i="1"/>
  <c r="BY81" i="1"/>
  <c r="BR66" i="1"/>
  <c r="BR81" i="1"/>
  <c r="CB66" i="1"/>
  <c r="CB81" i="1"/>
  <c r="BO66" i="1"/>
  <c r="BO81" i="1"/>
  <c r="W66" i="1"/>
  <c r="W81" i="1"/>
  <c r="Y66" i="1"/>
  <c r="Y81" i="1"/>
  <c r="AS66" i="1"/>
  <c r="AS81" i="1"/>
  <c r="BL66" i="1"/>
  <c r="BL81" i="1"/>
  <c r="P66" i="1"/>
  <c r="P81" i="1"/>
  <c r="AA66" i="1"/>
  <c r="AA81" i="1"/>
  <c r="AN66" i="1"/>
  <c r="AN81" i="1"/>
  <c r="BZ66" i="1"/>
  <c r="BZ81" i="1"/>
  <c r="J66" i="1"/>
  <c r="J81" i="1"/>
  <c r="AX66" i="1"/>
  <c r="AX81" i="1"/>
  <c r="CA66" i="1"/>
  <c r="CA81" i="1"/>
  <c r="O67" i="1"/>
  <c r="O82" i="1"/>
  <c r="AH66" i="1"/>
  <c r="AH81" i="1"/>
  <c r="AT66" i="1"/>
  <c r="AT81" i="1"/>
  <c r="CQ59" i="1"/>
  <c r="CS59" i="1"/>
  <c r="CN59" i="1"/>
  <c r="E23" i="1"/>
  <c r="E26" i="1" s="1"/>
  <c r="E66" i="1"/>
  <c r="H45" i="1"/>
  <c r="H66" i="1"/>
  <c r="B17" i="1"/>
  <c r="B66" i="1"/>
  <c r="M45" i="1"/>
  <c r="M66" i="1"/>
  <c r="BH45" i="1"/>
  <c r="BH66" i="1"/>
  <c r="AZ45" i="1"/>
  <c r="AZ66" i="1"/>
  <c r="BS46" i="1"/>
  <c r="BS67" i="1"/>
  <c r="K46" i="1"/>
  <c r="K67" i="1"/>
  <c r="BU45" i="1"/>
  <c r="BU66" i="1"/>
  <c r="C17" i="1"/>
  <c r="C66" i="1"/>
  <c r="AF45" i="1"/>
  <c r="AF66" i="1"/>
  <c r="BC46" i="1"/>
  <c r="BC67" i="1"/>
  <c r="AA46" i="1"/>
  <c r="AA67" i="1"/>
  <c r="AR45" i="1"/>
  <c r="AN45" i="1"/>
  <c r="CK45" i="1"/>
  <c r="P45" i="1"/>
  <c r="G45" i="1"/>
  <c r="BW46" i="1"/>
  <c r="O46" i="1"/>
  <c r="CT38" i="1"/>
  <c r="CT116" i="1" s="1"/>
  <c r="CU38" i="1"/>
  <c r="CU116" i="1" s="1"/>
  <c r="CR38" i="1"/>
  <c r="CR116" i="1" s="1"/>
  <c r="O45" i="1"/>
  <c r="Z45" i="1"/>
  <c r="BL45" i="1"/>
  <c r="CG45" i="1"/>
  <c r="AW45" i="1"/>
  <c r="CB45" i="1"/>
  <c r="BO45" i="1"/>
  <c r="W45" i="1"/>
  <c r="K45" i="1"/>
  <c r="CF45" i="1"/>
  <c r="CD45" i="1"/>
  <c r="AG45" i="1"/>
  <c r="BJ45" i="1"/>
  <c r="AY45" i="1"/>
  <c r="AS38" i="6"/>
  <c r="AS96" i="6" s="1"/>
  <c r="BM45" i="1"/>
  <c r="CI45" i="1"/>
  <c r="V38" i="6"/>
  <c r="V96" i="6" s="1"/>
  <c r="AP45" i="1"/>
  <c r="AX17" i="1"/>
  <c r="BR20" i="119" s="1"/>
  <c r="AX45" i="1"/>
  <c r="CA23" i="1"/>
  <c r="CU30" i="119" s="1"/>
  <c r="CA45" i="1"/>
  <c r="F45" i="1"/>
  <c r="V45" i="1"/>
  <c r="CC45" i="1"/>
  <c r="AX38" i="6"/>
  <c r="AX96" i="6" s="1"/>
  <c r="BR45" i="1"/>
  <c r="AE46" i="1"/>
  <c r="BW45" i="1"/>
  <c r="AM45" i="1"/>
  <c r="CH45" i="1"/>
  <c r="Y45" i="1"/>
  <c r="AC45" i="1"/>
  <c r="BP45" i="1"/>
  <c r="X45" i="1"/>
  <c r="BK45" i="1"/>
  <c r="CA46" i="1"/>
  <c r="AH45" i="1"/>
  <c r="AT45" i="1"/>
  <c r="L46" i="1"/>
  <c r="AO45" i="1"/>
  <c r="CJ45" i="1"/>
  <c r="S45" i="1"/>
  <c r="BY45" i="1"/>
  <c r="I45" i="1"/>
  <c r="AV45" i="1"/>
  <c r="BD45" i="1"/>
  <c r="T45" i="1"/>
  <c r="AD45" i="1"/>
  <c r="CE46" i="1"/>
  <c r="AI45" i="1"/>
  <c r="BG45" i="1"/>
  <c r="BT45" i="1"/>
  <c r="BV45" i="1"/>
  <c r="U45" i="1"/>
  <c r="BE45" i="1"/>
  <c r="AT38" i="6"/>
  <c r="AT96" i="6" s="1"/>
  <c r="BN45" i="1"/>
  <c r="BB17" i="1"/>
  <c r="BV20" i="119" s="1"/>
  <c r="BB45" i="1"/>
  <c r="R38" i="6"/>
  <c r="R96" i="6" s="1"/>
  <c r="AL45" i="1"/>
  <c r="AS45" i="1"/>
  <c r="AA23" i="1"/>
  <c r="AU30" i="119" s="1"/>
  <c r="AU269" i="119" s="1"/>
  <c r="AA45" i="1"/>
  <c r="L45" i="1"/>
  <c r="BQ45" i="1"/>
  <c r="N45" i="1"/>
  <c r="BG46" i="1"/>
  <c r="S46" i="1"/>
  <c r="R45" i="1"/>
  <c r="Q45" i="1"/>
  <c r="BX45" i="1"/>
  <c r="BC45" i="1"/>
  <c r="AE45" i="1"/>
  <c r="BK38" i="6"/>
  <c r="BK96" i="6" s="1"/>
  <c r="CE45" i="1"/>
  <c r="AJ45" i="1"/>
  <c r="BZ45" i="1"/>
  <c r="J23" i="1"/>
  <c r="J45" i="1"/>
  <c r="AB45" i="1"/>
  <c r="AO38" i="6"/>
  <c r="AO96" i="6" s="1"/>
  <c r="BI45" i="1"/>
  <c r="BA45" i="1"/>
  <c r="Q38" i="6"/>
  <c r="Q96" i="6" s="1"/>
  <c r="AK45" i="1"/>
  <c r="BS45" i="1"/>
  <c r="AQ17" i="1"/>
  <c r="BK20" i="119" s="1"/>
  <c r="AQ45" i="1"/>
  <c r="BF17" i="1"/>
  <c r="BZ20" i="119" s="1"/>
  <c r="BF45" i="1"/>
  <c r="AA38" i="6"/>
  <c r="AA96" i="6" s="1"/>
  <c r="AU45" i="1"/>
  <c r="GQ21" i="1"/>
  <c r="GQ18" i="1" s="1"/>
  <c r="FG21" i="1"/>
  <c r="CG18" i="1"/>
  <c r="CG23" i="1" s="1"/>
  <c r="DA30" i="119" s="1"/>
  <c r="BI38" i="6"/>
  <c r="BI96" i="6" s="1"/>
  <c r="CV8" i="1"/>
  <c r="CR9" i="51"/>
  <c r="BR23" i="1"/>
  <c r="CL30" i="119" s="1"/>
  <c r="BR17" i="1"/>
  <c r="CL20" i="119" s="1"/>
  <c r="EY15" i="1"/>
  <c r="N23" i="119" s="1"/>
  <c r="FC18" i="1"/>
  <c r="N23" i="1"/>
  <c r="BN43" i="51"/>
  <c r="BO40" i="51"/>
  <c r="BV42" i="51"/>
  <c r="GP22" i="51"/>
  <c r="EH83" i="6"/>
  <c r="GS20" i="51"/>
  <c r="EH81" i="6"/>
  <c r="EH82" i="6"/>
  <c r="EH84" i="6"/>
  <c r="EH17" i="6"/>
  <c r="DY49" i="6"/>
  <c r="CR9" i="2"/>
  <c r="BX8" i="6"/>
  <c r="DX49" i="6"/>
  <c r="FF41" i="3"/>
  <c r="K48" i="3"/>
  <c r="L43" i="3"/>
  <c r="N17" i="1"/>
  <c r="W59" i="2"/>
  <c r="BL44" i="51"/>
  <c r="BK46" i="51"/>
  <c r="FX55" i="3"/>
  <c r="EK49" i="6"/>
  <c r="FO12" i="2"/>
  <c r="AP23" i="1"/>
  <c r="BJ30" i="119" s="1"/>
  <c r="BS17" i="1"/>
  <c r="CM20" i="119" s="1"/>
  <c r="AH17" i="1"/>
  <c r="BB20" i="119" s="1"/>
  <c r="AH23" i="1"/>
  <c r="BB30" i="119" s="1"/>
  <c r="Q53" i="2"/>
  <c r="FE58" i="2"/>
  <c r="EZ91" i="2"/>
  <c r="CD51" i="2"/>
  <c r="CX70" i="119" s="1"/>
  <c r="BY66" i="30" s="1"/>
  <c r="CF51" i="2"/>
  <c r="CZ70" i="119" s="1"/>
  <c r="CA66" i="30" s="1"/>
  <c r="CA59" i="2"/>
  <c r="CK59" i="2"/>
  <c r="BM51" i="2"/>
  <c r="CG70" i="119" s="1"/>
  <c r="BH66" i="30" s="1"/>
  <c r="AC23" i="1"/>
  <c r="AW30" i="119" s="1"/>
  <c r="AW269" i="119" s="1"/>
  <c r="V23" i="1"/>
  <c r="AP30" i="119" s="1"/>
  <c r="AP269" i="119" s="1"/>
  <c r="B38" i="6"/>
  <c r="B96" i="6" s="1"/>
  <c r="CR10" i="92"/>
  <c r="CM52" i="51"/>
  <c r="CL52" i="51"/>
  <c r="CO53" i="51"/>
  <c r="BS23" i="1"/>
  <c r="CM30" i="119" s="1"/>
  <c r="BG38" i="6"/>
  <c r="BG96" i="6" s="1"/>
  <c r="AY17" i="1"/>
  <c r="BS20" i="119" s="1"/>
  <c r="AE38" i="6"/>
  <c r="AE96" i="6" s="1"/>
  <c r="F23" i="1"/>
  <c r="F17" i="1"/>
  <c r="V17" i="1"/>
  <c r="AP20" i="119" s="1"/>
  <c r="AP259" i="119" s="1"/>
  <c r="CU9" i="51"/>
  <c r="CA8" i="6"/>
  <c r="BU18" i="1"/>
  <c r="BU23" i="1" s="1"/>
  <c r="CO30" i="119" s="1"/>
  <c r="GR20" i="51"/>
  <c r="FG20" i="51"/>
  <c r="FN20" i="2"/>
  <c r="AB53" i="119" s="1"/>
  <c r="AU17" i="1"/>
  <c r="BO20" i="119" s="1"/>
  <c r="BY18" i="1"/>
  <c r="BY23" i="1" s="1"/>
  <c r="CS30" i="119" s="1"/>
  <c r="CK18" i="1"/>
  <c r="CK23" i="1" s="1"/>
  <c r="DE30" i="119" s="1"/>
  <c r="BI23" i="1"/>
  <c r="CC30" i="119" s="1"/>
  <c r="N38" i="6"/>
  <c r="N96" i="6" s="1"/>
  <c r="BE23" i="1"/>
  <c r="BY30" i="119" s="1"/>
  <c r="M79" i="2"/>
  <c r="M84" i="2" s="1"/>
  <c r="M16" i="1"/>
  <c r="EP12" i="3"/>
  <c r="D43" i="3"/>
  <c r="E43" i="3" s="1"/>
  <c r="AG38" i="3"/>
  <c r="BT79" i="2"/>
  <c r="BT84" i="2" s="1"/>
  <c r="AF80" i="2"/>
  <c r="AG32" i="3"/>
  <c r="BA97" i="119" s="1"/>
  <c r="AB88" i="30" s="1"/>
  <c r="CJ16" i="1"/>
  <c r="DD21" i="119" s="1"/>
  <c r="FH18" i="3"/>
  <c r="BU12" i="3"/>
  <c r="AF24" i="3"/>
  <c r="AZ94" i="119" s="1"/>
  <c r="AA85" i="30" s="1"/>
  <c r="DA10" i="92"/>
  <c r="DE8" i="1"/>
  <c r="FI16" i="51"/>
  <c r="M38" i="6"/>
  <c r="M96" i="6" s="1"/>
  <c r="BY51" i="2"/>
  <c r="CS70" i="119" s="1"/>
  <c r="BT66" i="30" s="1"/>
  <c r="AG51" i="2"/>
  <c r="BA70" i="119" s="1"/>
  <c r="AB66" i="30" s="1"/>
  <c r="S51" i="2"/>
  <c r="AM70" i="119" s="1"/>
  <c r="BP51" i="2"/>
  <c r="CJ70" i="119" s="1"/>
  <c r="BK66" i="30" s="1"/>
  <c r="BI51" i="2"/>
  <c r="CC70" i="119" s="1"/>
  <c r="BD66" i="30" s="1"/>
  <c r="AW51" i="2"/>
  <c r="BQ70" i="119" s="1"/>
  <c r="AR66" i="30" s="1"/>
  <c r="BK51" i="2"/>
  <c r="CE70" i="119" s="1"/>
  <c r="BF66" i="30" s="1"/>
  <c r="BD51" i="2"/>
  <c r="BX70" i="119" s="1"/>
  <c r="AY66" i="30" s="1"/>
  <c r="BI59" i="2"/>
  <c r="CL59" i="2"/>
  <c r="CO36" i="51"/>
  <c r="FQ129" i="51" s="1"/>
  <c r="AK38" i="6"/>
  <c r="AK96" i="6" s="1"/>
  <c r="BE38" i="6"/>
  <c r="BE96" i="6" s="1"/>
  <c r="AA17" i="1"/>
  <c r="AU20" i="119" s="1"/>
  <c r="AU259" i="119" s="1"/>
  <c r="ES87" i="2"/>
  <c r="CK29" i="3"/>
  <c r="FI29" i="3" s="1"/>
  <c r="G38" i="6"/>
  <c r="G96" i="6" s="1"/>
  <c r="BD34" i="3"/>
  <c r="BD35" i="3" s="1"/>
  <c r="BX101" i="119" s="1"/>
  <c r="AY92" i="30" s="1"/>
  <c r="CM57" i="51"/>
  <c r="CO58" i="51"/>
  <c r="CO61" i="51" s="1"/>
  <c r="FE30" i="3"/>
  <c r="CR39" i="2"/>
  <c r="CT10" i="92"/>
  <c r="CU10" i="92"/>
  <c r="ES58" i="2"/>
  <c r="G76" i="119" s="1"/>
  <c r="BS81" i="2"/>
  <c r="CR42" i="2"/>
  <c r="CS42" i="2" s="1"/>
  <c r="CT42" i="2" s="1"/>
  <c r="CU42" i="2" s="1"/>
  <c r="CV42" i="2" s="1"/>
  <c r="CW42" i="2" s="1"/>
  <c r="CX42" i="2" s="1"/>
  <c r="CY42" i="2" s="1"/>
  <c r="CZ42" i="2" s="1"/>
  <c r="DA42" i="2" s="1"/>
  <c r="DB42" i="2" s="1"/>
  <c r="DC42" i="2" s="1"/>
  <c r="DD42" i="2" s="1"/>
  <c r="FB31" i="3"/>
  <c r="L38" i="6"/>
  <c r="L96" i="6" s="1"/>
  <c r="FB44" i="2"/>
  <c r="P65" i="119" s="1"/>
  <c r="P61" i="30" s="1"/>
  <c r="CC43" i="3"/>
  <c r="CW104" i="119" s="1"/>
  <c r="BX95" i="30" s="1"/>
  <c r="FD45" i="3"/>
  <c r="FC14" i="3"/>
  <c r="BS25" i="3"/>
  <c r="FH38" i="3"/>
  <c r="I38" i="6"/>
  <c r="I96" i="6" s="1"/>
  <c r="CL115" i="2"/>
  <c r="EQ51" i="2"/>
  <c r="BM38" i="6"/>
  <c r="BM96" i="6" s="1"/>
  <c r="P23" i="1"/>
  <c r="BZ54" i="3"/>
  <c r="G53" i="2"/>
  <c r="CD115" i="2"/>
  <c r="AT23" i="1"/>
  <c r="BN30" i="119" s="1"/>
  <c r="FA58" i="2"/>
  <c r="O76" i="119" s="1"/>
  <c r="GO21" i="1"/>
  <c r="GO18" i="1" s="1"/>
  <c r="DX17" i="6"/>
  <c r="EZ89" i="6"/>
  <c r="EZ52" i="6"/>
  <c r="FA52" i="6"/>
  <c r="FA89" i="6"/>
  <c r="AT17" i="1"/>
  <c r="BN20" i="119" s="1"/>
  <c r="AU23" i="1"/>
  <c r="BO30" i="119" s="1"/>
  <c r="Z38" i="6"/>
  <c r="Z96" i="6" s="1"/>
  <c r="CQ39" i="2"/>
  <c r="CP43" i="2"/>
  <c r="CQ41" i="2"/>
  <c r="CR41" i="2" s="1"/>
  <c r="CS41" i="2" s="1"/>
  <c r="CT41" i="2" s="1"/>
  <c r="GI15" i="1"/>
  <c r="GL15" i="1"/>
  <c r="FW15" i="1"/>
  <c r="FW66" i="1" s="1"/>
  <c r="GC15" i="1"/>
  <c r="GP15" i="1"/>
  <c r="CM24" i="51"/>
  <c r="CL35" i="51"/>
  <c r="CL24" i="51"/>
  <c r="FG25" i="51"/>
  <c r="FG58" i="2"/>
  <c r="BL23" i="1"/>
  <c r="CF30" i="119" s="1"/>
  <c r="E17" i="1"/>
  <c r="GN21" i="1"/>
  <c r="GN18" i="1" s="1"/>
  <c r="FC15" i="1"/>
  <c r="R23" i="119" s="1"/>
  <c r="FH20" i="1"/>
  <c r="FF15" i="1"/>
  <c r="U23" i="119" s="1"/>
  <c r="FD21" i="1"/>
  <c r="S24" i="119" s="1"/>
  <c r="FE21" i="1"/>
  <c r="T24" i="119" s="1"/>
  <c r="FG21" i="51"/>
  <c r="FG22" i="51"/>
  <c r="FG23" i="51"/>
  <c r="GQ20" i="51"/>
  <c r="BV45" i="51"/>
  <c r="BK26" i="51"/>
  <c r="CC13" i="3"/>
  <c r="BM42" i="3"/>
  <c r="FC42" i="3" s="1"/>
  <c r="BP80" i="2"/>
  <c r="BQ32" i="3"/>
  <c r="CK97" i="119" s="1"/>
  <c r="BL88" i="30" s="1"/>
  <c r="BH16" i="1"/>
  <c r="BI12" i="3"/>
  <c r="CC93" i="119" s="1"/>
  <c r="BD84" i="30" s="1"/>
  <c r="BH79" i="2"/>
  <c r="BH84" i="2" s="1"/>
  <c r="EW44" i="2"/>
  <c r="K65" i="119" s="1"/>
  <c r="K61" i="30" s="1"/>
  <c r="AP17" i="1"/>
  <c r="BJ20" i="119" s="1"/>
  <c r="J17" i="1"/>
  <c r="BO41" i="51"/>
  <c r="BH92" i="2"/>
  <c r="CB50" i="119" s="1"/>
  <c r="BC48" i="30" s="1"/>
  <c r="BI32" i="3"/>
  <c r="BH80" i="2"/>
  <c r="EQ58" i="2"/>
  <c r="EQ59" i="2" s="1"/>
  <c r="I23" i="1"/>
  <c r="GA15" i="1"/>
  <c r="CC42" i="3"/>
  <c r="CB48" i="3"/>
  <c r="CV107" i="119" s="1"/>
  <c r="BW97" i="30" s="1"/>
  <c r="AG23" i="1"/>
  <c r="BA30" i="119" s="1"/>
  <c r="BO51" i="2"/>
  <c r="CI70" i="119" s="1"/>
  <c r="BJ66" i="30" s="1"/>
  <c r="EY32" i="3"/>
  <c r="M97" i="119" s="1"/>
  <c r="M88" i="30" s="1"/>
  <c r="DY17" i="6"/>
  <c r="FH21" i="1"/>
  <c r="FI30" i="3"/>
  <c r="AB59" i="2"/>
  <c r="AL23" i="1"/>
  <c r="BF30" i="119" s="1"/>
  <c r="FF34" i="3"/>
  <c r="GK23" i="51"/>
  <c r="GQ15" i="1"/>
  <c r="EH87" i="6"/>
  <c r="EH50" i="6"/>
  <c r="EH35" i="6"/>
  <c r="FF39" i="3"/>
  <c r="CA17" i="1"/>
  <c r="AQ38" i="6"/>
  <c r="AQ96" i="6" s="1"/>
  <c r="BK23" i="1"/>
  <c r="CE30" i="119" s="1"/>
  <c r="BK17" i="1"/>
  <c r="CE20" i="119" s="1"/>
  <c r="BL38" i="6"/>
  <c r="BL96" i="6" s="1"/>
  <c r="BA59" i="2"/>
  <c r="BJ59" i="2"/>
  <c r="AI51" i="2"/>
  <c r="BC70" i="119" s="1"/>
  <c r="AD66" i="30" s="1"/>
  <c r="BL59" i="2"/>
  <c r="AS59" i="2"/>
  <c r="BM23" i="1"/>
  <c r="CG30" i="119" s="1"/>
  <c r="AY59" i="2"/>
  <c r="S59" i="2"/>
  <c r="Q32" i="3"/>
  <c r="EQ32" i="3" s="1"/>
  <c r="AC59" i="2"/>
  <c r="AL17" i="1"/>
  <c r="BF20" i="119" s="1"/>
  <c r="AR38" i="6"/>
  <c r="AR96" i="6" s="1"/>
  <c r="EP27" i="2"/>
  <c r="BI19" i="3"/>
  <c r="BI24" i="3" s="1"/>
  <c r="CC94" i="119" s="1"/>
  <c r="BD85" i="30" s="1"/>
  <c r="BE59" i="2"/>
  <c r="AY23" i="1"/>
  <c r="BS30" i="119" s="1"/>
  <c r="CK42" i="3"/>
  <c r="AW80" i="2"/>
  <c r="BW51" i="2"/>
  <c r="CQ70" i="119" s="1"/>
  <c r="BR66" i="30" s="1"/>
  <c r="D35" i="3"/>
  <c r="BG91" i="2"/>
  <c r="CA49" i="119" s="1"/>
  <c r="BB47" i="30" s="1"/>
  <c r="GK15" i="1"/>
  <c r="FF21" i="51"/>
  <c r="GL23" i="51"/>
  <c r="AB23" i="1"/>
  <c r="AV30" i="119" s="1"/>
  <c r="AV269" i="119" s="1"/>
  <c r="H38" i="6"/>
  <c r="H96" i="6" s="1"/>
  <c r="BK59" i="2"/>
  <c r="EX15" i="1"/>
  <c r="M23" i="119" s="1"/>
  <c r="CG51" i="2"/>
  <c r="DA70" i="119" s="1"/>
  <c r="CB66" i="30" s="1"/>
  <c r="AD53" i="2"/>
  <c r="BQ23" i="1"/>
  <c r="CK30" i="119" s="1"/>
  <c r="AW38" i="6"/>
  <c r="AW96" i="6" s="1"/>
  <c r="GO15" i="1"/>
  <c r="EV44" i="2"/>
  <c r="J65" i="119" s="1"/>
  <c r="J61" i="30" s="1"/>
  <c r="EV61" i="2"/>
  <c r="EO44" i="2"/>
  <c r="EO51" i="2" s="1"/>
  <c r="EO61" i="2"/>
  <c r="FG44" i="2"/>
  <c r="U65" i="119" s="1"/>
  <c r="U61" i="30" s="1"/>
  <c r="B23" i="1"/>
  <c r="B69" i="1" s="1"/>
  <c r="AZ59" i="2"/>
  <c r="AS32" i="3"/>
  <c r="AR80" i="2"/>
  <c r="AU59" i="2"/>
  <c r="X59" i="2"/>
  <c r="CM35" i="3"/>
  <c r="CN34" i="3"/>
  <c r="DH100" i="119" s="1"/>
  <c r="FE14" i="3"/>
  <c r="BG81" i="2"/>
  <c r="BO25" i="3"/>
  <c r="BO43" i="51"/>
  <c r="BO45" i="51"/>
  <c r="BO26" i="51"/>
  <c r="BO37" i="51"/>
  <c r="BO46" i="51"/>
  <c r="BO42" i="51"/>
  <c r="BO44" i="51"/>
  <c r="BP37" i="51"/>
  <c r="Z23" i="1"/>
  <c r="AT30" i="119" s="1"/>
  <c r="AT269" i="119" s="1"/>
  <c r="AE59" i="2"/>
  <c r="AB92" i="2"/>
  <c r="AV50" i="119" s="1"/>
  <c r="AA91" i="2"/>
  <c r="AU49" i="119" s="1"/>
  <c r="U59" i="2"/>
  <c r="AY91" i="2"/>
  <c r="BS49" i="119" s="1"/>
  <c r="AT47" i="30" s="1"/>
  <c r="BZ40" i="51"/>
  <c r="BZ43" i="51"/>
  <c r="FA20" i="51"/>
  <c r="FC58" i="2"/>
  <c r="Q76" i="119" s="1"/>
  <c r="FI21" i="3"/>
  <c r="CK23" i="3"/>
  <c r="FI23" i="3" s="1"/>
  <c r="FD20" i="51"/>
  <c r="BT80" i="2"/>
  <c r="BU32" i="3"/>
  <c r="CO97" i="119" s="1"/>
  <c r="BP88" i="30" s="1"/>
  <c r="AL51" i="2"/>
  <c r="BF70" i="119" s="1"/>
  <c r="AG66" i="30" s="1"/>
  <c r="FG19" i="1"/>
  <c r="EZ15" i="51"/>
  <c r="EZ44" i="51" s="1"/>
  <c r="BS35" i="51"/>
  <c r="CL57" i="51"/>
  <c r="CL60" i="51" s="1"/>
  <c r="BL24" i="51"/>
  <c r="BL35" i="51"/>
  <c r="BJ53" i="2"/>
  <c r="GQ22" i="51"/>
  <c r="GM15" i="51"/>
  <c r="GQ23" i="51"/>
  <c r="CD42" i="51"/>
  <c r="CI45" i="51"/>
  <c r="BN41" i="51"/>
  <c r="FE20" i="51"/>
  <c r="GO20" i="51"/>
  <c r="BN44" i="51"/>
  <c r="BN26" i="51"/>
  <c r="BM35" i="51"/>
  <c r="EY15" i="51"/>
  <c r="EY44" i="51" s="1"/>
  <c r="BN46" i="51"/>
  <c r="BN42" i="51"/>
  <c r="BO35" i="51"/>
  <c r="BR24" i="51"/>
  <c r="BN45" i="51"/>
  <c r="BN40" i="51"/>
  <c r="BN35" i="51"/>
  <c r="EY23" i="51"/>
  <c r="CD43" i="51"/>
  <c r="CI43" i="51"/>
  <c r="FD23" i="51"/>
  <c r="CR12" i="51"/>
  <c r="CR13" i="51"/>
  <c r="GO22" i="51"/>
  <c r="BQ24" i="51"/>
  <c r="FA21" i="51"/>
  <c r="EY21" i="51"/>
  <c r="FE21" i="51"/>
  <c r="CD41" i="51"/>
  <c r="CI42" i="51"/>
  <c r="CI40" i="51"/>
  <c r="CI41" i="51"/>
  <c r="CI46" i="51"/>
  <c r="FD21" i="51"/>
  <c r="CI44" i="51"/>
  <c r="CI26" i="51"/>
  <c r="CI27" i="51" s="1"/>
  <c r="CI184" i="112" s="1"/>
  <c r="FB23" i="51"/>
  <c r="FC23" i="51"/>
  <c r="CD45" i="51"/>
  <c r="CD44" i="51"/>
  <c r="GN15" i="51"/>
  <c r="BS24" i="51"/>
  <c r="BT35" i="51"/>
  <c r="BK42" i="51"/>
  <c r="CD35" i="51"/>
  <c r="BK43" i="51"/>
  <c r="CD40" i="51"/>
  <c r="BK41" i="51"/>
  <c r="BK45" i="51"/>
  <c r="BK40" i="51"/>
  <c r="CD46" i="51"/>
  <c r="CE35" i="51"/>
  <c r="BK37" i="51"/>
  <c r="GQ21" i="51"/>
  <c r="EZ21" i="51"/>
  <c r="GM21" i="51"/>
  <c r="FA26" i="51"/>
  <c r="GN21" i="51"/>
  <c r="GJ21" i="51"/>
  <c r="FB15" i="51"/>
  <c r="FB66" i="51" s="1"/>
  <c r="CD26" i="51"/>
  <c r="CD27" i="51" s="1"/>
  <c r="CE37" i="51"/>
  <c r="BV24" i="51"/>
  <c r="BZ26" i="51"/>
  <c r="BZ27" i="51" s="1"/>
  <c r="BZ45" i="51"/>
  <c r="GP15" i="51"/>
  <c r="GP66" i="51" s="1"/>
  <c r="BV40" i="51"/>
  <c r="BV46" i="51"/>
  <c r="BZ41" i="51"/>
  <c r="BV43" i="51"/>
  <c r="BP26" i="51"/>
  <c r="BZ44" i="51"/>
  <c r="CA37" i="51"/>
  <c r="BZ24" i="51"/>
  <c r="BV44" i="51"/>
  <c r="BV41" i="51"/>
  <c r="GL21" i="51"/>
  <c r="BZ42" i="51"/>
  <c r="GO15" i="51"/>
  <c r="GO66" i="51" s="1"/>
  <c r="BW37" i="51"/>
  <c r="BZ46" i="51"/>
  <c r="BW35" i="51"/>
  <c r="BK44" i="51"/>
  <c r="GJ15" i="51"/>
  <c r="GJ44" i="51" s="1"/>
  <c r="GI15" i="51"/>
  <c r="GI44" i="51" s="1"/>
  <c r="EX15" i="51"/>
  <c r="EX44" i="51" s="1"/>
  <c r="BL43" i="51"/>
  <c r="BL37" i="51"/>
  <c r="BL26" i="51"/>
  <c r="FF15" i="51"/>
  <c r="FF66" i="51" s="1"/>
  <c r="CC24" i="51"/>
  <c r="GQ15" i="51"/>
  <c r="GQ66" i="51" s="1"/>
  <c r="CC35" i="51"/>
  <c r="GR15" i="51"/>
  <c r="GR66" i="51" s="1"/>
  <c r="GK21" i="51"/>
  <c r="BL40" i="51"/>
  <c r="BL41" i="51"/>
  <c r="BL46" i="51"/>
  <c r="BL45" i="51"/>
  <c r="BL42" i="51"/>
  <c r="FE15" i="51"/>
  <c r="FE66" i="51" s="1"/>
  <c r="CF24" i="51"/>
  <c r="FF20" i="51"/>
  <c r="GO21" i="51"/>
  <c r="EZ26" i="51"/>
  <c r="EZ20" i="51"/>
  <c r="CE51" i="2"/>
  <c r="CY70" i="119" s="1"/>
  <c r="BZ66" i="30" s="1"/>
  <c r="FH44" i="2"/>
  <c r="V65" i="119" s="1"/>
  <c r="V61" i="30" s="1"/>
  <c r="FE44" i="2"/>
  <c r="S65" i="119" s="1"/>
  <c r="S61" i="30" s="1"/>
  <c r="GR19" i="1"/>
  <c r="GR21" i="1" s="1"/>
  <c r="GR18" i="1" s="1"/>
  <c r="BF23" i="1"/>
  <c r="BZ30" i="119" s="1"/>
  <c r="AL38" i="6"/>
  <c r="AL96" i="6" s="1"/>
  <c r="AD38" i="6"/>
  <c r="AD96" i="6" s="1"/>
  <c r="AX23" i="1"/>
  <c r="BR30" i="119" s="1"/>
  <c r="EN15" i="1"/>
  <c r="CH23" i="1"/>
  <c r="DB30" i="119" s="1"/>
  <c r="GG15" i="1"/>
  <c r="GK26" i="51"/>
  <c r="AV23" i="1"/>
  <c r="BP30" i="119" s="1"/>
  <c r="AD17" i="1"/>
  <c r="AX20" i="119" s="1"/>
  <c r="GJ26" i="51"/>
  <c r="AF23" i="1"/>
  <c r="AZ30" i="119" s="1"/>
  <c r="CE17" i="1"/>
  <c r="EO15" i="1"/>
  <c r="AD23" i="1"/>
  <c r="AX30" i="119" s="1"/>
  <c r="W38" i="6"/>
  <c r="W96" i="6" s="1"/>
  <c r="BN38" i="6"/>
  <c r="BN96" i="6" s="1"/>
  <c r="CF23" i="1"/>
  <c r="CZ30" i="119" s="1"/>
  <c r="AV17" i="1"/>
  <c r="BP20" i="119" s="1"/>
  <c r="AQ23" i="1"/>
  <c r="BK30" i="119" s="1"/>
  <c r="FZ15" i="1"/>
  <c r="J38" i="6"/>
  <c r="J96" i="6" s="1"/>
  <c r="Y38" i="6"/>
  <c r="Y96" i="6" s="1"/>
  <c r="CR101" i="92"/>
  <c r="EV27" i="2"/>
  <c r="J55" i="119" s="1"/>
  <c r="J53" i="30" s="1"/>
  <c r="EZ58" i="2"/>
  <c r="N76" i="119" s="1"/>
  <c r="EP58" i="2"/>
  <c r="EP59" i="2" s="1"/>
  <c r="G84" i="2"/>
  <c r="EW27" i="2"/>
  <c r="K55" i="119" s="1"/>
  <c r="K53" i="30" s="1"/>
  <c r="EX27" i="2"/>
  <c r="L55" i="119" s="1"/>
  <c r="L53" i="30" s="1"/>
  <c r="ES27" i="2"/>
  <c r="G55" i="119" s="1"/>
  <c r="G53" i="30" s="1"/>
  <c r="EN58" i="2"/>
  <c r="EN59" i="2" s="1"/>
  <c r="EO58" i="2"/>
  <c r="EO59" i="2" s="1"/>
  <c r="ED49" i="6"/>
  <c r="DT17" i="6"/>
  <c r="DT49" i="6"/>
  <c r="DZ17" i="6"/>
  <c r="DZ49" i="6"/>
  <c r="EG54" i="6"/>
  <c r="EG91" i="6"/>
  <c r="EE49" i="6"/>
  <c r="EE17" i="6"/>
  <c r="EF49" i="6"/>
  <c r="EH54" i="6"/>
  <c r="EB17" i="6"/>
  <c r="EC49" i="6"/>
  <c r="EB49" i="6"/>
  <c r="EJ84" i="6"/>
  <c r="EJ49" i="6"/>
  <c r="EJ80" i="6"/>
  <c r="EJ82" i="6"/>
  <c r="EJ83" i="6"/>
  <c r="X164" i="119" s="1"/>
  <c r="EJ81" i="6"/>
  <c r="EA49" i="6"/>
  <c r="DV17" i="6"/>
  <c r="DV49" i="6"/>
  <c r="DU49" i="6"/>
  <c r="EG35" i="6"/>
  <c r="DW49" i="6"/>
  <c r="P81" i="2"/>
  <c r="ER58" i="2"/>
  <c r="F76" i="119" s="1"/>
  <c r="EU61" i="2"/>
  <c r="EW61" i="2"/>
  <c r="AJ17" i="1"/>
  <c r="BD20" i="119" s="1"/>
  <c r="P38" i="6"/>
  <c r="P96" i="6" s="1"/>
  <c r="AJ23" i="1"/>
  <c r="BD30" i="119" s="1"/>
  <c r="D38" i="6"/>
  <c r="D96" i="6" s="1"/>
  <c r="X23" i="1"/>
  <c r="AR30" i="119" s="1"/>
  <c r="AR269" i="119" s="1"/>
  <c r="BD23" i="1"/>
  <c r="BX30" i="119" s="1"/>
  <c r="AK23" i="1"/>
  <c r="BE30" i="119" s="1"/>
  <c r="AP38" i="6"/>
  <c r="AP96" i="6" s="1"/>
  <c r="BJ17" i="1"/>
  <c r="CD20" i="119" s="1"/>
  <c r="BJ23" i="1"/>
  <c r="CD30" i="119" s="1"/>
  <c r="AH38" i="6"/>
  <c r="AH96" i="6" s="1"/>
  <c r="BB23" i="1"/>
  <c r="BV30" i="119" s="1"/>
  <c r="BF38" i="6"/>
  <c r="BF96" i="6" s="1"/>
  <c r="BZ23" i="1"/>
  <c r="CT30" i="119" s="1"/>
  <c r="BZ17" i="1"/>
  <c r="CT20" i="119" s="1"/>
  <c r="GH15" i="1"/>
  <c r="FD15" i="1"/>
  <c r="S23" i="119" s="1"/>
  <c r="T23" i="1"/>
  <c r="AN30" i="119" s="1"/>
  <c r="AN269" i="119" s="1"/>
  <c r="FA15" i="1"/>
  <c r="P23" i="119" s="1"/>
  <c r="CX8" i="1"/>
  <c r="BZ8" i="6"/>
  <c r="L17" i="1"/>
  <c r="L23" i="1"/>
  <c r="EV15" i="1"/>
  <c r="K23" i="119" s="1"/>
  <c r="FG27" i="2"/>
  <c r="U55" i="119" s="1"/>
  <c r="U53" i="30" s="1"/>
  <c r="FA61" i="2"/>
  <c r="FA44" i="2"/>
  <c r="O65" i="119" s="1"/>
  <c r="O61" i="30" s="1"/>
  <c r="BE51" i="2"/>
  <c r="BY70" i="119" s="1"/>
  <c r="AZ66" i="30" s="1"/>
  <c r="AA59" i="2"/>
  <c r="BU51" i="2"/>
  <c r="CO70" i="119" s="1"/>
  <c r="BP66" i="30" s="1"/>
  <c r="AO51" i="2"/>
  <c r="BI70" i="119" s="1"/>
  <c r="AJ66" i="30" s="1"/>
  <c r="CJ59" i="2"/>
  <c r="FF44" i="2"/>
  <c r="T65" i="119" s="1"/>
  <c r="T61" i="30" s="1"/>
  <c r="FF58" i="2"/>
  <c r="T76" i="119" s="1"/>
  <c r="FD44" i="2"/>
  <c r="R65" i="119" s="1"/>
  <c r="R61" i="30" s="1"/>
  <c r="EX44" i="2"/>
  <c r="L65" i="119" s="1"/>
  <c r="L61" i="30" s="1"/>
  <c r="AZ92" i="2"/>
  <c r="BT50" i="119" s="1"/>
  <c r="AU48" i="30" s="1"/>
  <c r="BD92" i="2"/>
  <c r="BX50" i="119" s="1"/>
  <c r="AY48" i="30" s="1"/>
  <c r="BC91" i="2"/>
  <c r="BW49" i="119" s="1"/>
  <c r="AX47" i="30" s="1"/>
  <c r="BR51" i="2"/>
  <c r="CL70" i="119" s="1"/>
  <c r="BM66" i="30" s="1"/>
  <c r="BF51" i="2"/>
  <c r="BZ70" i="119" s="1"/>
  <c r="BA66" i="30" s="1"/>
  <c r="FF27" i="2"/>
  <c r="T55" i="119" s="1"/>
  <c r="T53" i="30" s="1"/>
  <c r="FF68" i="2"/>
  <c r="CH59" i="2"/>
  <c r="AN92" i="2"/>
  <c r="BH50" i="119" s="1"/>
  <c r="AI48" i="30" s="1"/>
  <c r="AM91" i="2"/>
  <c r="BG49" i="119" s="1"/>
  <c r="AH47" i="30" s="1"/>
  <c r="EP61" i="2"/>
  <c r="ER27" i="2"/>
  <c r="F55" i="119" s="1"/>
  <c r="F53" i="30" s="1"/>
  <c r="BT92" i="2"/>
  <c r="CN50" i="119" s="1"/>
  <c r="BO48" i="30" s="1"/>
  <c r="AR92" i="2"/>
  <c r="BL50" i="119" s="1"/>
  <c r="AM48" i="30" s="1"/>
  <c r="BN51" i="2"/>
  <c r="CH70" i="119" s="1"/>
  <c r="BI66" i="30" s="1"/>
  <c r="GJ23" i="51"/>
  <c r="CP12" i="51"/>
  <c r="GL15" i="51"/>
  <c r="GL44" i="51" s="1"/>
  <c r="FG15" i="51"/>
  <c r="FG66" i="51" s="1"/>
  <c r="FA15" i="51"/>
  <c r="FA44" i="51" s="1"/>
  <c r="GP21" i="51"/>
  <c r="CG24" i="51"/>
  <c r="T38" i="6"/>
  <c r="T96" i="6" s="1"/>
  <c r="AN23" i="1"/>
  <c r="BH30" i="119" s="1"/>
  <c r="GD15" i="1"/>
  <c r="AV38" i="6"/>
  <c r="AV96" i="6" s="1"/>
  <c r="BP23" i="1"/>
  <c r="CJ30" i="119" s="1"/>
  <c r="FX15" i="1"/>
  <c r="CI17" i="1"/>
  <c r="BO38" i="6"/>
  <c r="BO96" i="6" s="1"/>
  <c r="CI23" i="1"/>
  <c r="DC30" i="119" s="1"/>
  <c r="AJ38" i="6"/>
  <c r="AJ96" i="6" s="1"/>
  <c r="FG15" i="1"/>
  <c r="V23" i="119" s="1"/>
  <c r="CY8" i="1"/>
  <c r="CU9" i="2"/>
  <c r="GN22" i="51"/>
  <c r="AF38" i="6"/>
  <c r="AF96" i="6" s="1"/>
  <c r="AZ17" i="1"/>
  <c r="BT20" i="119" s="1"/>
  <c r="AZ23" i="1"/>
  <c r="BT30" i="119" s="1"/>
  <c r="FH15" i="1"/>
  <c r="W23" i="119" s="1"/>
  <c r="EP15" i="1"/>
  <c r="AN38" i="6"/>
  <c r="AN96" i="6" s="1"/>
  <c r="BH23" i="1"/>
  <c r="CB30" i="119" s="1"/>
  <c r="ER15" i="1"/>
  <c r="G23" i="119" s="1"/>
  <c r="AB38" i="6"/>
  <c r="AB96" i="6" s="1"/>
  <c r="GB15" i="1"/>
  <c r="AV92" i="2"/>
  <c r="BP50" i="119" s="1"/>
  <c r="AQ48" i="30" s="1"/>
  <c r="AU91" i="2"/>
  <c r="BO49" i="119" s="1"/>
  <c r="AP47" i="30" s="1"/>
  <c r="FI44" i="2"/>
  <c r="W65" i="119" s="1"/>
  <c r="W61" i="30" s="1"/>
  <c r="X92" i="2"/>
  <c r="AR50" i="119" s="1"/>
  <c r="FG61" i="2"/>
  <c r="BL92" i="2"/>
  <c r="CF50" i="119" s="1"/>
  <c r="BG48" i="30" s="1"/>
  <c r="BK91" i="2"/>
  <c r="CE49" i="119" s="1"/>
  <c r="BF47" i="30" s="1"/>
  <c r="AS51" i="2"/>
  <c r="BM70" i="119" s="1"/>
  <c r="AN66" i="30" s="1"/>
  <c r="AJ92" i="2"/>
  <c r="BD50" i="119" s="1"/>
  <c r="AE48" i="30" s="1"/>
  <c r="BP92" i="2"/>
  <c r="CJ50" i="119" s="1"/>
  <c r="BK48" i="30" s="1"/>
  <c r="BO91" i="2"/>
  <c r="CI49" i="119" s="1"/>
  <c r="BJ47" i="30" s="1"/>
  <c r="AF92" i="2"/>
  <c r="AZ50" i="119" s="1"/>
  <c r="AA48" i="30" s="1"/>
  <c r="AE91" i="2"/>
  <c r="AY49" i="119" s="1"/>
  <c r="Z47" i="30" s="1"/>
  <c r="FI58" i="2"/>
  <c r="W76" i="119" s="1"/>
  <c r="CE23" i="1"/>
  <c r="CY30" i="119" s="1"/>
  <c r="X38" i="6"/>
  <c r="X96" i="6" s="1"/>
  <c r="AR23" i="1"/>
  <c r="BL30" i="119" s="1"/>
  <c r="D23" i="1"/>
  <c r="AY38" i="6"/>
  <c r="AY96" i="6" s="1"/>
  <c r="GJ25" i="51"/>
  <c r="GK15" i="51"/>
  <c r="GK44" i="51" s="1"/>
  <c r="BX24" i="51"/>
  <c r="BJ44" i="51"/>
  <c r="BN24" i="51"/>
  <c r="BK35" i="51"/>
  <c r="CA25" i="3"/>
  <c r="BC81" i="2"/>
  <c r="FE20" i="3"/>
  <c r="EN28" i="3"/>
  <c r="FC20" i="3"/>
  <c r="BM24" i="3"/>
  <c r="CG94" i="119" s="1"/>
  <c r="BH85" i="30" s="1"/>
  <c r="I28" i="3"/>
  <c r="H84" i="2"/>
  <c r="AY35" i="3"/>
  <c r="BS101" i="119" s="1"/>
  <c r="AT92" i="30" s="1"/>
  <c r="AZ28" i="3"/>
  <c r="I79" i="2"/>
  <c r="I16" i="1"/>
  <c r="CK33" i="3"/>
  <c r="DE98" i="119" s="1"/>
  <c r="CF89" i="30" s="1"/>
  <c r="CJ35" i="3"/>
  <c r="DD101" i="119" s="1"/>
  <c r="CE92" i="30" s="1"/>
  <c r="U12" i="3"/>
  <c r="T79" i="2"/>
  <c r="T16" i="1"/>
  <c r="AN21" i="119" s="1"/>
  <c r="AN19" i="119" s="1"/>
  <c r="BE33" i="3"/>
  <c r="EV43" i="3"/>
  <c r="J104" i="119" s="1"/>
  <c r="J95" i="30" s="1"/>
  <c r="BI43" i="3"/>
  <c r="AR24" i="3"/>
  <c r="BL94" i="119" s="1"/>
  <c r="AM85" i="30" s="1"/>
  <c r="AB80" i="2"/>
  <c r="AC32" i="3"/>
  <c r="CC31" i="3"/>
  <c r="BU42" i="3"/>
  <c r="CO303" i="119" s="1"/>
  <c r="BP234" i="30" s="1"/>
  <c r="FD29" i="3"/>
  <c r="BQ28" i="3"/>
  <c r="CK100" i="119" s="1"/>
  <c r="BL91" i="30" s="1"/>
  <c r="T38" i="3"/>
  <c r="AN103" i="119" s="1"/>
  <c r="S48" i="3"/>
  <c r="AM107" i="119" s="1"/>
  <c r="BK25" i="3"/>
  <c r="CE96" i="119" s="1"/>
  <c r="BF87" i="30" s="1"/>
  <c r="BH35" i="3"/>
  <c r="CB101" i="119" s="1"/>
  <c r="BC92" i="30" s="1"/>
  <c r="BI28" i="3"/>
  <c r="CC100" i="119" s="1"/>
  <c r="BD91" i="30" s="1"/>
  <c r="AE35" i="3"/>
  <c r="AY101" i="119" s="1"/>
  <c r="Z92" i="30" s="1"/>
  <c r="AF28" i="3"/>
  <c r="AZ100" i="119" s="1"/>
  <c r="AA91" i="30" s="1"/>
  <c r="BL25" i="3"/>
  <c r="BQ43" i="3"/>
  <c r="FD43" i="3" s="1"/>
  <c r="BX48" i="3"/>
  <c r="CR107" i="119" s="1"/>
  <c r="BS97" i="30" s="1"/>
  <c r="BY43" i="3"/>
  <c r="CS104" i="119" s="1"/>
  <c r="BT95" i="30" s="1"/>
  <c r="BY13" i="3"/>
  <c r="CS95" i="119" s="1"/>
  <c r="BT86" i="30" s="1"/>
  <c r="BA31" i="3"/>
  <c r="AB48" i="3"/>
  <c r="AV107" i="119" s="1"/>
  <c r="AC38" i="3"/>
  <c r="BE13" i="3"/>
  <c r="BY95" i="119" s="1"/>
  <c r="AZ86" i="30" s="1"/>
  <c r="AB24" i="3"/>
  <c r="AV94" i="119" s="1"/>
  <c r="T28" i="3"/>
  <c r="AN100" i="119" s="1"/>
  <c r="S35" i="3"/>
  <c r="AM101" i="119" s="1"/>
  <c r="FG38" i="3"/>
  <c r="CG13" i="3"/>
  <c r="DA95" i="119" s="1"/>
  <c r="CB86" i="30" s="1"/>
  <c r="BU43" i="3"/>
  <c r="BE38" i="3"/>
  <c r="BY103" i="119" s="1"/>
  <c r="AZ94" i="30" s="1"/>
  <c r="M28" i="3"/>
  <c r="BN50" i="3"/>
  <c r="CH108" i="119" s="1"/>
  <c r="BI98" i="30" s="1"/>
  <c r="BN54" i="3"/>
  <c r="CH35" i="51"/>
  <c r="CG35" i="51"/>
  <c r="BQ35" i="51"/>
  <c r="FC15" i="51"/>
  <c r="FC66" i="51" s="1"/>
  <c r="BZ35" i="51"/>
  <c r="AS23" i="1"/>
  <c r="BM30" i="119" s="1"/>
  <c r="AC38" i="6"/>
  <c r="AC96" i="6" s="1"/>
  <c r="AW23" i="1"/>
  <c r="BQ30" i="119" s="1"/>
  <c r="AW17" i="1"/>
  <c r="BQ20" i="119" s="1"/>
  <c r="BJ38" i="6"/>
  <c r="BJ96" i="6" s="1"/>
  <c r="CD17" i="1"/>
  <c r="CD23" i="1"/>
  <c r="CX30" i="119" s="1"/>
  <c r="Y23" i="1"/>
  <c r="AS30" i="119" s="1"/>
  <c r="AS269" i="119" s="1"/>
  <c r="E38" i="6"/>
  <c r="E96" i="6" s="1"/>
  <c r="BN17" i="1"/>
  <c r="CH20" i="119" s="1"/>
  <c r="BN23" i="1"/>
  <c r="CH30" i="119" s="1"/>
  <c r="BA38" i="6"/>
  <c r="BA96" i="6" s="1"/>
  <c r="C23" i="1"/>
  <c r="F38" i="6"/>
  <c r="F96" i="6" s="1"/>
  <c r="Z17" i="1"/>
  <c r="AT20" i="119" s="1"/>
  <c r="AT259" i="119" s="1"/>
  <c r="K23" i="1"/>
  <c r="K17" i="1"/>
  <c r="BJ54" i="3"/>
  <c r="BJ50" i="3"/>
  <c r="CD108" i="119" s="1"/>
  <c r="BE98" i="30" s="1"/>
  <c r="BZ50" i="3"/>
  <c r="CT108" i="119" s="1"/>
  <c r="BU98" i="30" s="1"/>
  <c r="CL54" i="3"/>
  <c r="BZ51" i="2"/>
  <c r="CT70" i="119" s="1"/>
  <c r="BU66" i="30" s="1"/>
  <c r="BS53" i="2"/>
  <c r="AZ51" i="2"/>
  <c r="BT70" i="119" s="1"/>
  <c r="AU66" i="30" s="1"/>
  <c r="AU51" i="2"/>
  <c r="BO70" i="119" s="1"/>
  <c r="AP66" i="30" s="1"/>
  <c r="BV51" i="2"/>
  <c r="CP70" i="119" s="1"/>
  <c r="BQ66" i="30" s="1"/>
  <c r="AT51" i="2"/>
  <c r="BN70" i="119" s="1"/>
  <c r="AO66" i="30" s="1"/>
  <c r="AM51" i="2"/>
  <c r="BG70" i="119" s="1"/>
  <c r="AH66" i="30" s="1"/>
  <c r="CI59" i="2"/>
  <c r="AE51" i="2"/>
  <c r="AY70" i="119" s="1"/>
  <c r="Z66" i="30" s="1"/>
  <c r="CK51" i="2"/>
  <c r="DE70" i="119" s="1"/>
  <c r="CF66" i="30" s="1"/>
  <c r="AA51" i="2"/>
  <c r="AU70" i="119" s="1"/>
  <c r="BC51" i="2"/>
  <c r="BW70" i="119" s="1"/>
  <c r="AX66" i="30" s="1"/>
  <c r="U51" i="2"/>
  <c r="AO70" i="119" s="1"/>
  <c r="Y51" i="2"/>
  <c r="AS70" i="119" s="1"/>
  <c r="AK51" i="2"/>
  <c r="BE70" i="119" s="1"/>
  <c r="AF66" i="30" s="1"/>
  <c r="CF59" i="2"/>
  <c r="T51" i="2"/>
  <c r="AN70" i="119" s="1"/>
  <c r="CG59" i="2"/>
  <c r="AC51" i="2"/>
  <c r="AW70" i="119" s="1"/>
  <c r="CM91" i="2"/>
  <c r="DG49" i="119" s="1"/>
  <c r="CN92" i="2"/>
  <c r="DH50" i="119" s="1"/>
  <c r="CC51" i="2"/>
  <c r="CW70" i="119" s="1"/>
  <c r="BX66" i="30" s="1"/>
  <c r="W51" i="2"/>
  <c r="AQ70" i="119" s="1"/>
  <c r="CB51" i="2"/>
  <c r="CV70" i="119" s="1"/>
  <c r="BW66" i="30" s="1"/>
  <c r="BA51" i="2"/>
  <c r="BU70" i="119" s="1"/>
  <c r="AV66" i="30" s="1"/>
  <c r="R51" i="2"/>
  <c r="AL70" i="119" s="1"/>
  <c r="BQ51" i="2"/>
  <c r="CK70" i="119" s="1"/>
  <c r="BL66" i="30" s="1"/>
  <c r="BG53" i="2"/>
  <c r="CM17" i="51"/>
  <c r="CM35" i="51"/>
  <c r="BY24" i="51"/>
  <c r="BU24" i="51"/>
  <c r="BV35" i="51"/>
  <c r="BU35" i="51"/>
  <c r="FD15" i="51"/>
  <c r="FD66" i="51" s="1"/>
  <c r="CQ13" i="51"/>
  <c r="CO13" i="51"/>
  <c r="EY26" i="51"/>
  <c r="FI68" i="2"/>
  <c r="CH17" i="1"/>
  <c r="CT9" i="51"/>
  <c r="CT9" i="2"/>
  <c r="BX41" i="51"/>
  <c r="BX42" i="51"/>
  <c r="BX45" i="51"/>
  <c r="BX46" i="51"/>
  <c r="BX40" i="51"/>
  <c r="BX37" i="51"/>
  <c r="BX43" i="51"/>
  <c r="CP13" i="51"/>
  <c r="CE44" i="51"/>
  <c r="CE42" i="51"/>
  <c r="CE46" i="51"/>
  <c r="CE41" i="51"/>
  <c r="CE43" i="51"/>
  <c r="CE40" i="51"/>
  <c r="CE45" i="51"/>
  <c r="CE26" i="51"/>
  <c r="CE27" i="51" s="1"/>
  <c r="CB26" i="51"/>
  <c r="CB27" i="51" s="1"/>
  <c r="CJ43" i="51"/>
  <c r="CJ40" i="51"/>
  <c r="CJ42" i="51"/>
  <c r="CJ46" i="51"/>
  <c r="CJ37" i="51"/>
  <c r="CJ41" i="51"/>
  <c r="BX44" i="51"/>
  <c r="CL17" i="51"/>
  <c r="GL26" i="51"/>
  <c r="EM15" i="1"/>
  <c r="EM66" i="1" s="1"/>
  <c r="GE15" i="1"/>
  <c r="FI27" i="2"/>
  <c r="W55" i="119" s="1"/>
  <c r="W53" i="30" s="1"/>
  <c r="GF15" i="1"/>
  <c r="BV17" i="1"/>
  <c r="CP20" i="119" s="1"/>
  <c r="BB38" i="6"/>
  <c r="BB96" i="6" s="1"/>
  <c r="BV23" i="1"/>
  <c r="CP30" i="119" s="1"/>
  <c r="U23" i="1"/>
  <c r="AO30" i="119" s="1"/>
  <c r="AO269" i="119" s="1"/>
  <c r="GN15" i="1"/>
  <c r="EZ15" i="1"/>
  <c r="O23" i="119" s="1"/>
  <c r="EW15" i="1"/>
  <c r="L23" i="119" s="1"/>
  <c r="S17" i="1"/>
  <c r="AM20" i="119" s="1"/>
  <c r="AM259" i="119" s="1"/>
  <c r="S23" i="1"/>
  <c r="AM30" i="119" s="1"/>
  <c r="AM269" i="119" s="1"/>
  <c r="P35" i="3"/>
  <c r="Q28" i="3"/>
  <c r="FE41" i="3"/>
  <c r="BB25" i="3"/>
  <c r="BV96" i="119" s="1"/>
  <c r="AW87" i="30" s="1"/>
  <c r="CG24" i="3"/>
  <c r="DA94" i="119" s="1"/>
  <c r="CB85" i="30" s="1"/>
  <c r="BE31" i="3"/>
  <c r="FA31" i="3" s="1"/>
  <c r="BI41" i="3"/>
  <c r="CC284" i="119" s="1"/>
  <c r="BD215" i="30" s="1"/>
  <c r="BH48" i="3"/>
  <c r="CB107" i="119" s="1"/>
  <c r="BC97" i="30" s="1"/>
  <c r="BP24" i="3"/>
  <c r="CJ94" i="119" s="1"/>
  <c r="BK85" i="30" s="1"/>
  <c r="BI13" i="3"/>
  <c r="CC95" i="119" s="1"/>
  <c r="BD86" i="30" s="1"/>
  <c r="CF24" i="3"/>
  <c r="CZ94" i="119" s="1"/>
  <c r="CA85" i="30" s="1"/>
  <c r="FH23" i="3"/>
  <c r="CJ48" i="3"/>
  <c r="CI81" i="2"/>
  <c r="BT35" i="3"/>
  <c r="CN101" i="119" s="1"/>
  <c r="BO92" i="30" s="1"/>
  <c r="BP35" i="3"/>
  <c r="CJ101" i="119" s="1"/>
  <c r="BK92" i="30" s="1"/>
  <c r="BE18" i="3"/>
  <c r="FC45" i="3"/>
  <c r="Q104" i="119" s="1"/>
  <c r="Q95" i="30" s="1"/>
  <c r="BL48" i="3"/>
  <c r="CF107" i="119" s="1"/>
  <c r="BG97" i="30" s="1"/>
  <c r="BD48" i="3"/>
  <c r="BX107" i="119" s="1"/>
  <c r="AY97" i="30" s="1"/>
  <c r="FD40" i="3"/>
  <c r="BP48" i="3"/>
  <c r="CJ107" i="119" s="1"/>
  <c r="BK97" i="30" s="1"/>
  <c r="BX16" i="1"/>
  <c r="CR21" i="119" s="1"/>
  <c r="BY12" i="3"/>
  <c r="CS93" i="119" s="1"/>
  <c r="BT84" i="30" s="1"/>
  <c r="BX79" i="2"/>
  <c r="FD39" i="3"/>
  <c r="CK14" i="3"/>
  <c r="FH44" i="3"/>
  <c r="BH25" i="3"/>
  <c r="CB96" i="119" s="1"/>
  <c r="BC87" i="30" s="1"/>
  <c r="BL80" i="2"/>
  <c r="BM32" i="3"/>
  <c r="CG97" i="119" s="1"/>
  <c r="BH88" i="30" s="1"/>
  <c r="BL35" i="3"/>
  <c r="CF101" i="119" s="1"/>
  <c r="BG92" i="30" s="1"/>
  <c r="CB35" i="3"/>
  <c r="CV101" i="119" s="1"/>
  <c r="BW92" i="30" s="1"/>
  <c r="BU21" i="3"/>
  <c r="FE21" i="3" s="1"/>
  <c r="FB42" i="3"/>
  <c r="BT48" i="3"/>
  <c r="CN107" i="119" s="1"/>
  <c r="BO97" i="30" s="1"/>
  <c r="FE22" i="3"/>
  <c r="FA22" i="3"/>
  <c r="BQ42" i="3"/>
  <c r="FD42" i="3" s="1"/>
  <c r="FA40" i="3"/>
  <c r="BD20" i="3"/>
  <c r="BD24" i="3" s="1"/>
  <c r="BX94" i="119" s="1"/>
  <c r="AY85" i="30" s="1"/>
  <c r="BC24" i="3"/>
  <c r="BW94" i="119" s="1"/>
  <c r="AX85" i="30" s="1"/>
  <c r="CE25" i="3"/>
  <c r="CY96" i="119" s="1"/>
  <c r="BZ87" i="30" s="1"/>
  <c r="FH31" i="3"/>
  <c r="BE45" i="3"/>
  <c r="CB80" i="2"/>
  <c r="CC32" i="3"/>
  <c r="CW97" i="119" s="1"/>
  <c r="BX88" i="30" s="1"/>
  <c r="FE29" i="3"/>
  <c r="BY23" i="3"/>
  <c r="BY24" i="3" s="1"/>
  <c r="CS94" i="119" s="1"/>
  <c r="BT85" i="30" s="1"/>
  <c r="BT24" i="3"/>
  <c r="CN94" i="119" s="1"/>
  <c r="BO85" i="30" s="1"/>
  <c r="BM33" i="3"/>
  <c r="CG98" i="119" s="1"/>
  <c r="BH89" i="30" s="1"/>
  <c r="FD21" i="3"/>
  <c r="FD24" i="3" s="1"/>
  <c r="R94" i="119" s="1"/>
  <c r="R85" i="30" s="1"/>
  <c r="Q23" i="1"/>
  <c r="FE15" i="1"/>
  <c r="T23" i="119" s="1"/>
  <c r="O38" i="6"/>
  <c r="O96" i="6" s="1"/>
  <c r="AI23" i="1"/>
  <c r="BC30" i="119" s="1"/>
  <c r="AI17" i="1"/>
  <c r="BC20" i="119" s="1"/>
  <c r="EU15" i="1"/>
  <c r="J23" i="119" s="1"/>
  <c r="BD38" i="6"/>
  <c r="BD96" i="6" s="1"/>
  <c r="BX23" i="1"/>
  <c r="CR30" i="119" s="1"/>
  <c r="FY15" i="1"/>
  <c r="BQ38" i="6"/>
  <c r="BQ96" i="6" s="1"/>
  <c r="FB15" i="1"/>
  <c r="Q23" i="119" s="1"/>
  <c r="AZ38" i="6"/>
  <c r="AZ96" i="6" s="1"/>
  <c r="BT23" i="1"/>
  <c r="CN30" i="119" s="1"/>
  <c r="S38" i="6"/>
  <c r="S96" i="6" s="1"/>
  <c r="AM17" i="1"/>
  <c r="BG20" i="119" s="1"/>
  <c r="AM23" i="1"/>
  <c r="BG30" i="119" s="1"/>
  <c r="R17" i="1"/>
  <c r="AL20" i="119" s="1"/>
  <c r="AL259" i="119" s="1"/>
  <c r="R23" i="1"/>
  <c r="AL30" i="119" s="1"/>
  <c r="AL269" i="119" s="1"/>
  <c r="GJ15" i="1"/>
  <c r="AG38" i="6"/>
  <c r="AG96" i="6" s="1"/>
  <c r="BA23" i="1"/>
  <c r="BU30" i="119" s="1"/>
  <c r="BA17" i="1"/>
  <c r="BU20" i="119" s="1"/>
  <c r="CW9" i="51"/>
  <c r="CW9" i="2"/>
  <c r="CJ23" i="1"/>
  <c r="DD30" i="119" s="1"/>
  <c r="BP38" i="6"/>
  <c r="BP96" i="6" s="1"/>
  <c r="AM38" i="6"/>
  <c r="AM96" i="6" s="1"/>
  <c r="BG23" i="1"/>
  <c r="CA30" i="119" s="1"/>
  <c r="BG17" i="1"/>
  <c r="CA20" i="119" s="1"/>
  <c r="BC23" i="1"/>
  <c r="BW30" i="119" s="1"/>
  <c r="AI38" i="6"/>
  <c r="AI96" i="6" s="1"/>
  <c r="BC17" i="1"/>
  <c r="BW20" i="119" s="1"/>
  <c r="BC38" i="6"/>
  <c r="BC96" i="6" s="1"/>
  <c r="BW23" i="1"/>
  <c r="CQ30" i="119" s="1"/>
  <c r="BW17" i="1"/>
  <c r="CQ20" i="119" s="1"/>
  <c r="W17" i="1"/>
  <c r="AQ20" i="119" s="1"/>
  <c r="AQ259" i="119" s="1"/>
  <c r="C38" i="6"/>
  <c r="C96" i="6" s="1"/>
  <c r="W23" i="1"/>
  <c r="AQ30" i="119" s="1"/>
  <c r="AQ269" i="119" s="1"/>
  <c r="G23" i="1"/>
  <c r="G17" i="1"/>
  <c r="EQ15" i="1"/>
  <c r="F23" i="119" s="1"/>
  <c r="U38" i="6"/>
  <c r="U96" i="6" s="1"/>
  <c r="AO23" i="1"/>
  <c r="BI30" i="119" s="1"/>
  <c r="M23" i="1"/>
  <c r="H17" i="1"/>
  <c r="H23" i="1"/>
  <c r="ET15" i="1"/>
  <c r="I23" i="119" s="1"/>
  <c r="ES15" i="1"/>
  <c r="H23" i="119" s="1"/>
  <c r="GM15" i="1"/>
  <c r="BH38" i="6"/>
  <c r="BH96" i="6" s="1"/>
  <c r="CB23" i="1"/>
  <c r="CV30" i="119" s="1"/>
  <c r="BO23" i="1"/>
  <c r="CI30" i="119" s="1"/>
  <c r="AU38" i="6"/>
  <c r="AU96" i="6" s="1"/>
  <c r="BO17" i="1"/>
  <c r="CI20" i="119" s="1"/>
  <c r="K38" i="6"/>
  <c r="K96" i="6" s="1"/>
  <c r="AE23" i="1"/>
  <c r="AY30" i="119" s="1"/>
  <c r="AE17" i="1"/>
  <c r="AY20" i="119" s="1"/>
  <c r="O23" i="1"/>
  <c r="O17" i="1"/>
  <c r="EI53" i="6"/>
  <c r="EI90" i="6"/>
  <c r="EI50" i="6"/>
  <c r="EI87" i="6"/>
  <c r="EI35" i="6"/>
  <c r="EI88" i="6"/>
  <c r="EI51" i="6"/>
  <c r="FI61" i="2"/>
  <c r="EN27" i="2"/>
  <c r="EN61" i="2"/>
  <c r="EX58" i="2"/>
  <c r="L76" i="119" s="1"/>
  <c r="FH68" i="2"/>
  <c r="ET27" i="2"/>
  <c r="H55" i="119" s="1"/>
  <c r="H53" i="30" s="1"/>
  <c r="ET61" i="2"/>
  <c r="EU27" i="2"/>
  <c r="I55" i="119" s="1"/>
  <c r="I53" i="30" s="1"/>
  <c r="EX61" i="2"/>
  <c r="EY44" i="2"/>
  <c r="M65" i="119" s="1"/>
  <c r="M61" i="30" s="1"/>
  <c r="EZ27" i="2"/>
  <c r="N55" i="119" s="1"/>
  <c r="N53" i="30" s="1"/>
  <c r="EZ61" i="2"/>
  <c r="ES61" i="2"/>
  <c r="ES44" i="2"/>
  <c r="G65" i="119" s="1"/>
  <c r="G61" i="30" s="1"/>
  <c r="FE68" i="2"/>
  <c r="FB61" i="2"/>
  <c r="FB27" i="2"/>
  <c r="P55" i="119" s="1"/>
  <c r="P53" i="30" s="1"/>
  <c r="EY27" i="2"/>
  <c r="M55" i="119" s="1"/>
  <c r="M53" i="30" s="1"/>
  <c r="EY61" i="2"/>
  <c r="FC27" i="2"/>
  <c r="Q55" i="119" s="1"/>
  <c r="Q53" i="30" s="1"/>
  <c r="FC61" i="2"/>
  <c r="CM87" i="2"/>
  <c r="DG46" i="119" s="1"/>
  <c r="EQ27" i="2"/>
  <c r="EQ61" i="2"/>
  <c r="FE27" i="2"/>
  <c r="S55" i="119" s="1"/>
  <c r="S53" i="30" s="1"/>
  <c r="FE61" i="2"/>
  <c r="ER44" i="2"/>
  <c r="F65" i="119" s="1"/>
  <c r="F61" i="30" s="1"/>
  <c r="FH27" i="2"/>
  <c r="V55" i="119" s="1"/>
  <c r="V53" i="30" s="1"/>
  <c r="FH61" i="2"/>
  <c r="FD61" i="2"/>
  <c r="FD27" i="2"/>
  <c r="R55" i="119" s="1"/>
  <c r="R53" i="30" s="1"/>
  <c r="ER61" i="2"/>
  <c r="CP93" i="2"/>
  <c r="CQ12" i="51"/>
  <c r="FJ57" i="2"/>
  <c r="FI22" i="1"/>
  <c r="X25" i="119" s="1"/>
  <c r="FJ39" i="2"/>
  <c r="X64" i="119" s="1"/>
  <c r="GS19" i="1"/>
  <c r="GS21" i="1" s="1"/>
  <c r="CP57" i="2"/>
  <c r="FJ41" i="3"/>
  <c r="FJ64" i="3" s="1"/>
  <c r="FI33" i="1"/>
  <c r="X286" i="119" s="1"/>
  <c r="X288" i="119" s="1"/>
  <c r="EI80" i="6"/>
  <c r="EI83" i="6"/>
  <c r="EI84" i="6"/>
  <c r="EI82" i="6"/>
  <c r="EI49" i="6"/>
  <c r="EI81" i="6"/>
  <c r="EI17" i="6"/>
  <c r="EG81" i="6"/>
  <c r="EG80" i="6"/>
  <c r="EG84" i="6"/>
  <c r="EG83" i="6"/>
  <c r="EG82" i="6"/>
  <c r="EG17" i="6"/>
  <c r="EG49" i="6"/>
  <c r="EH49" i="6"/>
  <c r="CM60" i="51" l="1"/>
  <c r="CU67" i="3"/>
  <c r="CY268" i="119"/>
  <c r="BZ199" i="30" s="1"/>
  <c r="T40" i="125"/>
  <c r="O40" i="125"/>
  <c r="L40" i="125"/>
  <c r="S40" i="125"/>
  <c r="N40" i="125"/>
  <c r="N38" i="125"/>
  <c r="T38" i="125"/>
  <c r="S38" i="125"/>
  <c r="L38" i="125"/>
  <c r="O38" i="125"/>
  <c r="N39" i="125"/>
  <c r="S39" i="125"/>
  <c r="T39" i="125"/>
  <c r="L39" i="125"/>
  <c r="O39" i="125"/>
  <c r="O42" i="125"/>
  <c r="N42" i="125"/>
  <c r="L42" i="125"/>
  <c r="T42" i="125"/>
  <c r="S42" i="125"/>
  <c r="T41" i="125"/>
  <c r="O41" i="125"/>
  <c r="N41" i="125"/>
  <c r="L41" i="125"/>
  <c r="S41" i="125"/>
  <c r="H45" i="125"/>
  <c r="E45" i="125"/>
  <c r="C63" i="125"/>
  <c r="P43" i="125"/>
  <c r="U43" i="125"/>
  <c r="L43" i="125"/>
  <c r="BW23" i="30"/>
  <c r="BX23" i="30"/>
  <c r="BV23" i="30"/>
  <c r="DA102" i="119"/>
  <c r="CB93" i="30" s="1"/>
  <c r="CB23" i="30"/>
  <c r="DA284" i="119"/>
  <c r="CB215" i="30" s="1"/>
  <c r="CX268" i="119"/>
  <c r="BY199" i="30" s="1"/>
  <c r="CA23" i="30"/>
  <c r="DB20" i="119"/>
  <c r="DB259" i="119" s="1"/>
  <c r="CC192" i="30" s="1"/>
  <c r="CY20" i="119"/>
  <c r="CY259" i="119" s="1"/>
  <c r="BZ192" i="30" s="1"/>
  <c r="CX20" i="119"/>
  <c r="CX259" i="119" s="1"/>
  <c r="BY192" i="30" s="1"/>
  <c r="FG41" i="3"/>
  <c r="U284" i="119" s="1"/>
  <c r="U215" i="30" s="1"/>
  <c r="CD55" i="3"/>
  <c r="CW303" i="119"/>
  <c r="BX234" i="30" s="1"/>
  <c r="DA303" i="119"/>
  <c r="CB234" i="30" s="1"/>
  <c r="DC20" i="119"/>
  <c r="DC259" i="119" s="1"/>
  <c r="CD192" i="30" s="1"/>
  <c r="CU20" i="119"/>
  <c r="BV20" i="30" s="1"/>
  <c r="P43" i="115"/>
  <c r="U43" i="115"/>
  <c r="FC28" i="3"/>
  <c r="Q100" i="119" s="1"/>
  <c r="Q91" i="30" s="1"/>
  <c r="FF42" i="3"/>
  <c r="CR67" i="3"/>
  <c r="AW28" i="3"/>
  <c r="BQ100" i="119" s="1"/>
  <c r="AR91" i="30" s="1"/>
  <c r="BP100" i="119"/>
  <c r="AQ91" i="30" s="1"/>
  <c r="FI40" i="3"/>
  <c r="FI41" i="3"/>
  <c r="W284" i="119" s="1"/>
  <c r="W215" i="30" s="1"/>
  <c r="AF67" i="1"/>
  <c r="AF124" i="1"/>
  <c r="AJ103" i="1"/>
  <c r="AZ19" i="119"/>
  <c r="AA19" i="30" s="1"/>
  <c r="AF17" i="1"/>
  <c r="AZ20" i="119" s="1"/>
  <c r="AZ259" i="119" s="1"/>
  <c r="AA192" i="30" s="1"/>
  <c r="AJ46" i="1"/>
  <c r="AF82" i="1"/>
  <c r="EZ51" i="2"/>
  <c r="N70" i="119" s="1"/>
  <c r="N66" i="30" s="1"/>
  <c r="CO98" i="119"/>
  <c r="BP89" i="30" s="1"/>
  <c r="AK16" i="1"/>
  <c r="GE16" i="1" s="1"/>
  <c r="GE67" i="1" s="1"/>
  <c r="BE93" i="119"/>
  <c r="AF84" i="30" s="1"/>
  <c r="FH43" i="3"/>
  <c r="V104" i="119" s="1"/>
  <c r="V95" i="30" s="1"/>
  <c r="X35" i="3"/>
  <c r="AR101" i="119" s="1"/>
  <c r="AK79" i="2"/>
  <c r="AK84" i="2" s="1"/>
  <c r="BD46" i="1"/>
  <c r="Y28" i="3"/>
  <c r="AS100" i="119" s="1"/>
  <c r="DA305" i="119"/>
  <c r="CB236" i="30" s="1"/>
  <c r="FH32" i="3"/>
  <c r="V97" i="119" s="1"/>
  <c r="V88" i="30" s="1"/>
  <c r="FD13" i="3"/>
  <c r="R95" i="119" s="1"/>
  <c r="R86" i="30" s="1"/>
  <c r="BD124" i="1"/>
  <c r="FA12" i="3"/>
  <c r="O20" i="119" s="1"/>
  <c r="AR35" i="3"/>
  <c r="BL101" i="119" s="1"/>
  <c r="AM92" i="30" s="1"/>
  <c r="AC28" i="3"/>
  <c r="AW100" i="119" s="1"/>
  <c r="AB35" i="3"/>
  <c r="AV101" i="119" s="1"/>
  <c r="AS28" i="3"/>
  <c r="BM100" i="119" s="1"/>
  <c r="AN91" i="30" s="1"/>
  <c r="U24" i="3"/>
  <c r="AO94" i="119" s="1"/>
  <c r="AG16" i="1"/>
  <c r="BA21" i="119" s="1"/>
  <c r="AB21" i="30" s="1"/>
  <c r="EU12" i="3"/>
  <c r="I20" i="119" s="1"/>
  <c r="AG79" i="2"/>
  <c r="AG84" i="2" s="1"/>
  <c r="CW305" i="119"/>
  <c r="BX236" i="30" s="1"/>
  <c r="CL53" i="2"/>
  <c r="AR48" i="3"/>
  <c r="BL107" i="119" s="1"/>
  <c r="AM97" i="30" s="1"/>
  <c r="AS38" i="3"/>
  <c r="BM103" i="119" s="1"/>
  <c r="AN94" i="30" s="1"/>
  <c r="CJ53" i="2"/>
  <c r="FD41" i="3"/>
  <c r="R284" i="119" s="1"/>
  <c r="R215" i="30" s="1"/>
  <c r="ET12" i="3"/>
  <c r="H93" i="119" s="1"/>
  <c r="H84" i="30" s="1"/>
  <c r="CX167" i="119"/>
  <c r="CK284" i="119"/>
  <c r="BL215" i="30" s="1"/>
  <c r="CG80" i="2"/>
  <c r="FC41" i="3"/>
  <c r="FC48" i="3" s="1"/>
  <c r="Q107" i="119" s="1"/>
  <c r="Q97" i="30" s="1"/>
  <c r="DE128" i="119"/>
  <c r="EU51" i="2"/>
  <c r="I70" i="119" s="1"/>
  <c r="I66" i="30" s="1"/>
  <c r="BD81" i="2"/>
  <c r="AK80" i="2"/>
  <c r="CG48" i="3"/>
  <c r="AR53" i="2"/>
  <c r="Y24" i="3"/>
  <c r="AS94" i="119" s="1"/>
  <c r="AQ53" i="2"/>
  <c r="EV32" i="3"/>
  <c r="J97" i="119" s="1"/>
  <c r="J88" i="30" s="1"/>
  <c r="DA103" i="119"/>
  <c r="CB94" i="30" s="1"/>
  <c r="FH42" i="3"/>
  <c r="BE16" i="1"/>
  <c r="BY21" i="119" s="1"/>
  <c r="AZ21" i="30" s="1"/>
  <c r="BE79" i="2"/>
  <c r="BE84" i="2" s="1"/>
  <c r="CN167" i="119"/>
  <c r="S167" i="119"/>
  <c r="DF128" i="119"/>
  <c r="G128" i="119"/>
  <c r="G119" i="30" s="1"/>
  <c r="BD103" i="1"/>
  <c r="CM167" i="119"/>
  <c r="BE80" i="2"/>
  <c r="FA32" i="3"/>
  <c r="O97" i="119" s="1"/>
  <c r="O88" i="30" s="1"/>
  <c r="CB67" i="1"/>
  <c r="CL167" i="119"/>
  <c r="FC13" i="3"/>
  <c r="Q95" i="119" s="1"/>
  <c r="Q86" i="30" s="1"/>
  <c r="R104" i="119"/>
  <c r="R95" i="30" s="1"/>
  <c r="BD17" i="1"/>
  <c r="BX20" i="119" s="1"/>
  <c r="BX259" i="119" s="1"/>
  <c r="AY192" i="30" s="1"/>
  <c r="BD82" i="1"/>
  <c r="DF167" i="119"/>
  <c r="R128" i="119"/>
  <c r="R119" i="30" s="1"/>
  <c r="BD67" i="1"/>
  <c r="BT67" i="1"/>
  <c r="H35" i="3"/>
  <c r="BY80" i="2"/>
  <c r="AN81" i="2"/>
  <c r="FF32" i="3"/>
  <c r="T97" i="119" s="1"/>
  <c r="T88" i="30" s="1"/>
  <c r="L128" i="119"/>
  <c r="L119" i="30" s="1"/>
  <c r="CI173" i="119"/>
  <c r="DA167" i="119"/>
  <c r="CU173" i="119"/>
  <c r="CW128" i="119"/>
  <c r="BY119" i="30" s="1"/>
  <c r="S128" i="119"/>
  <c r="S119" i="30" s="1"/>
  <c r="M128" i="119"/>
  <c r="M119" i="30" s="1"/>
  <c r="CV167" i="119"/>
  <c r="H128" i="119"/>
  <c r="H119" i="30" s="1"/>
  <c r="CF17" i="1"/>
  <c r="CL128" i="119"/>
  <c r="BN119" i="30" s="1"/>
  <c r="CZ167" i="119"/>
  <c r="CU167" i="119"/>
  <c r="I32" i="3"/>
  <c r="EO32" i="3" s="1"/>
  <c r="O173" i="119"/>
  <c r="CZ152" i="119"/>
  <c r="CR167" i="119"/>
  <c r="R167" i="119"/>
  <c r="K152" i="119"/>
  <c r="Z53" i="2"/>
  <c r="BT124" i="1"/>
  <c r="CK167" i="119"/>
  <c r="CS167" i="119"/>
  <c r="I173" i="119"/>
  <c r="CX152" i="119"/>
  <c r="CQ173" i="119"/>
  <c r="DE173" i="119"/>
  <c r="DB167" i="119"/>
  <c r="CO173" i="119"/>
  <c r="DC167" i="119"/>
  <c r="Q167" i="119"/>
  <c r="CT167" i="119"/>
  <c r="DC173" i="119"/>
  <c r="BT17" i="1"/>
  <c r="CN20" i="119" s="1"/>
  <c r="CN259" i="119" s="1"/>
  <c r="BO192" i="30" s="1"/>
  <c r="BT82" i="1"/>
  <c r="CF124" i="1"/>
  <c r="DB173" i="119"/>
  <c r="CH173" i="119"/>
  <c r="CH167" i="119"/>
  <c r="CR173" i="119"/>
  <c r="L173" i="119"/>
  <c r="S173" i="119"/>
  <c r="CF259" i="119"/>
  <c r="BG192" i="30" s="1"/>
  <c r="BG20" i="30"/>
  <c r="BW269" i="119"/>
  <c r="AX200" i="30" s="1"/>
  <c r="AX30" i="30"/>
  <c r="BT259" i="119"/>
  <c r="AU192" i="30" s="1"/>
  <c r="AU20" i="30"/>
  <c r="X135" i="119"/>
  <c r="X129" i="119"/>
  <c r="BK269" i="119"/>
  <c r="AL200" i="30" s="1"/>
  <c r="AL30" i="30"/>
  <c r="BR269" i="119"/>
  <c r="AS200" i="30" s="1"/>
  <c r="AS30" i="30"/>
  <c r="CM259" i="119"/>
  <c r="BN192" i="30" s="1"/>
  <c r="BN20" i="30"/>
  <c r="T284" i="119"/>
  <c r="T215" i="30" s="1"/>
  <c r="T102" i="119"/>
  <c r="T93" i="30" s="1"/>
  <c r="FG18" i="1"/>
  <c r="FG23" i="1" s="1"/>
  <c r="V30" i="119" s="1"/>
  <c r="V24" i="119"/>
  <c r="X27" i="114"/>
  <c r="DA128" i="119"/>
  <c r="CC119" i="30" s="1"/>
  <c r="CC118" i="30"/>
  <c r="CM152" i="119"/>
  <c r="O18" i="30"/>
  <c r="DB268" i="119"/>
  <c r="CC199" i="30" s="1"/>
  <c r="CC23" i="30"/>
  <c r="FC11" i="3"/>
  <c r="Q305" i="119" s="1"/>
  <c r="Q236" i="30" s="1"/>
  <c r="CG305" i="119"/>
  <c r="BH236" i="30" s="1"/>
  <c r="U204" i="119"/>
  <c r="U162" i="30" s="1"/>
  <c r="U164" i="119"/>
  <c r="U136" i="30" s="1"/>
  <c r="F268" i="119"/>
  <c r="F199" i="30" s="1"/>
  <c r="F23" i="30"/>
  <c r="BS21" i="30"/>
  <c r="CR19" i="119"/>
  <c r="BS19" i="30" s="1"/>
  <c r="CM68" i="51"/>
  <c r="BQ259" i="119"/>
  <c r="AR192" i="30" s="1"/>
  <c r="AR20" i="30"/>
  <c r="CB269" i="119"/>
  <c r="BC200" i="30" s="1"/>
  <c r="BC30" i="30"/>
  <c r="BS50" i="3"/>
  <c r="CM108" i="119" s="1"/>
  <c r="BN98" i="30" s="1"/>
  <c r="CM96" i="119"/>
  <c r="BN87" i="30" s="1"/>
  <c r="EU38" i="3"/>
  <c r="I103" i="119" s="1"/>
  <c r="I94" i="30" s="1"/>
  <c r="BA103" i="119"/>
  <c r="AB94" i="30" s="1"/>
  <c r="V205" i="119"/>
  <c r="V163" i="30" s="1"/>
  <c r="V163" i="119"/>
  <c r="V169" i="119"/>
  <c r="V137" i="30" s="1"/>
  <c r="DD167" i="119"/>
  <c r="Z21" i="30"/>
  <c r="AY19" i="119"/>
  <c r="Z19" i="30" s="1"/>
  <c r="Q152" i="119"/>
  <c r="CY128" i="119"/>
  <c r="CA119" i="30" s="1"/>
  <c r="J21" i="119"/>
  <c r="J21" i="30" s="1"/>
  <c r="J93" i="119"/>
  <c r="J84" i="30" s="1"/>
  <c r="O128" i="119"/>
  <c r="O119" i="30" s="1"/>
  <c r="O118" i="30"/>
  <c r="T167" i="119"/>
  <c r="CK305" i="119"/>
  <c r="BL236" i="30" s="1"/>
  <c r="FD11" i="3"/>
  <c r="R305" i="119" s="1"/>
  <c r="R236" i="30" s="1"/>
  <c r="BC19" i="119"/>
  <c r="AD19" i="30" s="1"/>
  <c r="AD21" i="30"/>
  <c r="N152" i="119"/>
  <c r="AY259" i="119"/>
  <c r="Z192" i="30" s="1"/>
  <c r="Z20" i="30"/>
  <c r="CV269" i="119"/>
  <c r="BW200" i="30" s="1"/>
  <c r="BW30" i="30"/>
  <c r="CQ269" i="119"/>
  <c r="BR200" i="30" s="1"/>
  <c r="BR30" i="30"/>
  <c r="CA269" i="119"/>
  <c r="BB200" i="30" s="1"/>
  <c r="BB30" i="30"/>
  <c r="BU259" i="119"/>
  <c r="AV192" i="30" s="1"/>
  <c r="AV20" i="30"/>
  <c r="BG269" i="119"/>
  <c r="AH200" i="30" s="1"/>
  <c r="AH30" i="30"/>
  <c r="Q268" i="119"/>
  <c r="Q199" i="30" s="1"/>
  <c r="Q23" i="30"/>
  <c r="BC259" i="119"/>
  <c r="AD192" i="30" s="1"/>
  <c r="AD20" i="30"/>
  <c r="BQ269" i="119"/>
  <c r="AR200" i="30" s="1"/>
  <c r="AR30" i="30"/>
  <c r="ET32" i="3"/>
  <c r="H97" i="119" s="1"/>
  <c r="H88" i="30" s="1"/>
  <c r="AW97" i="119"/>
  <c r="BY98" i="119"/>
  <c r="AZ89" i="30" s="1"/>
  <c r="CA50" i="3"/>
  <c r="CU108" i="119" s="1"/>
  <c r="BV98" i="30" s="1"/>
  <c r="CU96" i="119"/>
  <c r="BV87" i="30" s="1"/>
  <c r="DC269" i="119"/>
  <c r="CD200" i="30" s="1"/>
  <c r="CD30" i="30"/>
  <c r="CT259" i="119"/>
  <c r="BU192" i="30" s="1"/>
  <c r="BU20" i="30"/>
  <c r="CD259" i="119"/>
  <c r="BE192" i="30" s="1"/>
  <c r="BE20" i="30"/>
  <c r="BD269" i="119"/>
  <c r="AE200" i="30" s="1"/>
  <c r="AE30" i="30"/>
  <c r="X166" i="119"/>
  <c r="X170" i="119"/>
  <c r="X174" i="119"/>
  <c r="X165" i="119"/>
  <c r="CZ269" i="119"/>
  <c r="CA200" i="30" s="1"/>
  <c r="CA30" i="30"/>
  <c r="CR64" i="51"/>
  <c r="CM50" i="3"/>
  <c r="DG101" i="119"/>
  <c r="M268" i="119"/>
  <c r="M199" i="30" s="1"/>
  <c r="M23" i="30"/>
  <c r="R268" i="119"/>
  <c r="R199" i="30" s="1"/>
  <c r="R23" i="30"/>
  <c r="BO269" i="119"/>
  <c r="AP200" i="30" s="1"/>
  <c r="AP30" i="30"/>
  <c r="CC269" i="119"/>
  <c r="BD200" i="30" s="1"/>
  <c r="BD30" i="30"/>
  <c r="V151" i="119"/>
  <c r="V128" i="30" s="1"/>
  <c r="V148" i="119"/>
  <c r="V145" i="119"/>
  <c r="V142" i="119"/>
  <c r="V139" i="119"/>
  <c r="V154" i="119"/>
  <c r="V133" i="30" s="1"/>
  <c r="V150" i="119"/>
  <c r="V147" i="119"/>
  <c r="V144" i="119"/>
  <c r="V141" i="119"/>
  <c r="V138" i="119"/>
  <c r="V200" i="119"/>
  <c r="V158" i="30" s="1"/>
  <c r="V149" i="119"/>
  <c r="V140" i="119"/>
  <c r="V146" i="119"/>
  <c r="V153" i="119"/>
  <c r="V143" i="119"/>
  <c r="BV259" i="119"/>
  <c r="AW192" i="30" s="1"/>
  <c r="AW20" i="30"/>
  <c r="W100" i="119"/>
  <c r="W91" i="30" s="1"/>
  <c r="EX12" i="3"/>
  <c r="BM93" i="119"/>
  <c r="AN84" i="30" s="1"/>
  <c r="X24" i="119"/>
  <c r="X26" i="119" s="1"/>
  <c r="Z27" i="114"/>
  <c r="CH152" i="119"/>
  <c r="CJ152" i="119"/>
  <c r="CS173" i="119"/>
  <c r="R173" i="119"/>
  <c r="DE268" i="119"/>
  <c r="CF199" i="30" s="1"/>
  <c r="CF23" i="30"/>
  <c r="DC128" i="119"/>
  <c r="CE119" i="30" s="1"/>
  <c r="CS128" i="119"/>
  <c r="BU119" i="30" s="1"/>
  <c r="J173" i="119"/>
  <c r="O152" i="119"/>
  <c r="FF28" i="3"/>
  <c r="T100" i="119" s="1"/>
  <c r="T91" i="30" s="1"/>
  <c r="CS100" i="119"/>
  <c r="BT91" i="30" s="1"/>
  <c r="DA98" i="119"/>
  <c r="CB89" i="30" s="1"/>
  <c r="FH33" i="3"/>
  <c r="V98" i="119" s="1"/>
  <c r="V89" i="30" s="1"/>
  <c r="CO95" i="119"/>
  <c r="BP86" i="30" s="1"/>
  <c r="FE13" i="3"/>
  <c r="S95" i="119" s="1"/>
  <c r="S86" i="30" s="1"/>
  <c r="CI128" i="119"/>
  <c r="BK119" i="30" s="1"/>
  <c r="BK118" i="30"/>
  <c r="CV152" i="119"/>
  <c r="CU152" i="119"/>
  <c r="P152" i="119"/>
  <c r="M152" i="119"/>
  <c r="V284" i="119"/>
  <c r="V215" i="30" s="1"/>
  <c r="V102" i="119"/>
  <c r="V93" i="30" s="1"/>
  <c r="DE95" i="119"/>
  <c r="CF86" i="30" s="1"/>
  <c r="FI13" i="3"/>
  <c r="CJ167" i="119"/>
  <c r="DD128" i="119"/>
  <c r="CF119" i="30" s="1"/>
  <c r="DB152" i="119"/>
  <c r="CY173" i="119"/>
  <c r="P173" i="119"/>
  <c r="L152" i="119"/>
  <c r="CW103" i="119"/>
  <c r="BX94" i="30" s="1"/>
  <c r="BY305" i="119"/>
  <c r="AZ236" i="30" s="1"/>
  <c r="FA11" i="3"/>
  <c r="O305" i="119" s="1"/>
  <c r="O236" i="30" s="1"/>
  <c r="CI167" i="119"/>
  <c r="CU128" i="119"/>
  <c r="BW119" i="30" s="1"/>
  <c r="BW118" i="30"/>
  <c r="CL152" i="119"/>
  <c r="CM173" i="119"/>
  <c r="DE167" i="119"/>
  <c r="W200" i="119"/>
  <c r="W154" i="119"/>
  <c r="W133" i="30" s="1"/>
  <c r="W150" i="119"/>
  <c r="W147" i="119"/>
  <c r="W144" i="119"/>
  <c r="W141" i="119"/>
  <c r="W138" i="119"/>
  <c r="W153" i="119"/>
  <c r="W149" i="119"/>
  <c r="W146" i="119"/>
  <c r="W143" i="119"/>
  <c r="W140" i="119"/>
  <c r="W151" i="119"/>
  <c r="W128" i="30" s="1"/>
  <c r="W142" i="119"/>
  <c r="W145" i="119"/>
  <c r="W148" i="119"/>
  <c r="W139" i="119"/>
  <c r="CN269" i="119"/>
  <c r="BO200" i="30" s="1"/>
  <c r="BO30" i="30"/>
  <c r="O268" i="119"/>
  <c r="O199" i="30" s="1"/>
  <c r="O23" i="30"/>
  <c r="CH269" i="119"/>
  <c r="BI200" i="30" s="1"/>
  <c r="BI30" i="30"/>
  <c r="BL54" i="3"/>
  <c r="BL55" i="3" s="1"/>
  <c r="CF96" i="119"/>
  <c r="BG87" i="30" s="1"/>
  <c r="G268" i="119"/>
  <c r="G199" i="30" s="1"/>
  <c r="G23" i="30"/>
  <c r="S268" i="119"/>
  <c r="S199" i="30" s="1"/>
  <c r="S23" i="30"/>
  <c r="AX259" i="119"/>
  <c r="Y192" i="30" s="1"/>
  <c r="Y20" i="30"/>
  <c r="CE269" i="119"/>
  <c r="BF200" i="30" s="1"/>
  <c r="BF30" i="30"/>
  <c r="V174" i="119"/>
  <c r="V170" i="119"/>
  <c r="V138" i="30" s="1"/>
  <c r="V213" i="119"/>
  <c r="V171" i="30" s="1"/>
  <c r="V165" i="119"/>
  <c r="V166" i="119"/>
  <c r="AK28" i="3"/>
  <c r="BD100" i="119"/>
  <c r="AE91" i="30" s="1"/>
  <c r="CQ259" i="119"/>
  <c r="BR192" i="30" s="1"/>
  <c r="BR20" i="30"/>
  <c r="J268" i="119"/>
  <c r="J199" i="30" s="1"/>
  <c r="J23" i="30"/>
  <c r="CH259" i="119"/>
  <c r="BI192" i="30" s="1"/>
  <c r="BI20" i="30"/>
  <c r="CR63" i="51"/>
  <c r="EX32" i="3"/>
  <c r="L97" i="119" s="1"/>
  <c r="L88" i="30" s="1"/>
  <c r="BM97" i="119"/>
  <c r="AN88" i="30" s="1"/>
  <c r="BJ259" i="119"/>
  <c r="AK192" i="30" s="1"/>
  <c r="AK20" i="30"/>
  <c r="FE12" i="3"/>
  <c r="CO93" i="119"/>
  <c r="BP84" i="30" s="1"/>
  <c r="CL269" i="119"/>
  <c r="BM200" i="30" s="1"/>
  <c r="BM30" i="30"/>
  <c r="BR259" i="119"/>
  <c r="AS192" i="30" s="1"/>
  <c r="AS20" i="30"/>
  <c r="BM16" i="1"/>
  <c r="BN124" i="1" s="1"/>
  <c r="CG93" i="119"/>
  <c r="BH84" i="30" s="1"/>
  <c r="AR67" i="1"/>
  <c r="BL21" i="119"/>
  <c r="DB128" i="119"/>
  <c r="CD119" i="30" s="1"/>
  <c r="CC124" i="30"/>
  <c r="CT128" i="119"/>
  <c r="BV119" i="30" s="1"/>
  <c r="BV118" i="30"/>
  <c r="U166" i="119"/>
  <c r="U170" i="119"/>
  <c r="U138" i="30" s="1"/>
  <c r="U213" i="119"/>
  <c r="U171" i="30" s="1"/>
  <c r="U165" i="119"/>
  <c r="U174" i="119"/>
  <c r="W205" i="119"/>
  <c r="W169" i="119"/>
  <c r="W137" i="30" s="1"/>
  <c r="W163" i="119"/>
  <c r="U202" i="119"/>
  <c r="U160" i="30" s="1"/>
  <c r="U129" i="119"/>
  <c r="U215" i="119"/>
  <c r="U117" i="30" s="1"/>
  <c r="U135" i="119"/>
  <c r="U124" i="30" s="1"/>
  <c r="W174" i="119"/>
  <c r="W213" i="119"/>
  <c r="W165" i="119"/>
  <c r="W170" i="119"/>
  <c r="W138" i="30" s="1"/>
  <c r="W166" i="119"/>
  <c r="AY269" i="119"/>
  <c r="Z200" i="30" s="1"/>
  <c r="Z30" i="30"/>
  <c r="BU269" i="119"/>
  <c r="AV200" i="30" s="1"/>
  <c r="AV30" i="30"/>
  <c r="BG259" i="119"/>
  <c r="AH192" i="30" s="1"/>
  <c r="AH20" i="30"/>
  <c r="BC269" i="119"/>
  <c r="AD200" i="30" s="1"/>
  <c r="AD30" i="30"/>
  <c r="CP269" i="119"/>
  <c r="BQ200" i="30" s="1"/>
  <c r="BQ30" i="30"/>
  <c r="BH269" i="119"/>
  <c r="AI200" i="30" s="1"/>
  <c r="AI30" i="30"/>
  <c r="CT269" i="119"/>
  <c r="BU200" i="30" s="1"/>
  <c r="BU30" i="30"/>
  <c r="X154" i="119"/>
  <c r="X150" i="119"/>
  <c r="X147" i="119"/>
  <c r="X144" i="119"/>
  <c r="X141" i="119"/>
  <c r="X138" i="119"/>
  <c r="X153" i="119"/>
  <c r="X149" i="119"/>
  <c r="X146" i="119"/>
  <c r="X143" i="119"/>
  <c r="X140" i="119"/>
  <c r="X148" i="119"/>
  <c r="X139" i="119"/>
  <c r="X145" i="119"/>
  <c r="X151" i="119"/>
  <c r="X142" i="119"/>
  <c r="BZ269" i="119"/>
  <c r="BA200" i="30" s="1"/>
  <c r="BA30" i="30"/>
  <c r="W24" i="119"/>
  <c r="Y27" i="114"/>
  <c r="FB32" i="3"/>
  <c r="P97" i="119" s="1"/>
  <c r="P88" i="30" s="1"/>
  <c r="CC97" i="119"/>
  <c r="BD88" i="30" s="1"/>
  <c r="FG13" i="3"/>
  <c r="U95" i="119" s="1"/>
  <c r="U86" i="30" s="1"/>
  <c r="CW95" i="119"/>
  <c r="BX86" i="30" s="1"/>
  <c r="BN259" i="119"/>
  <c r="AO192" i="30" s="1"/>
  <c r="AO20" i="30"/>
  <c r="CE21" i="30"/>
  <c r="DD19" i="119"/>
  <c r="CE19" i="30" s="1"/>
  <c r="DE269" i="119"/>
  <c r="CF200" i="30" s="1"/>
  <c r="CF30" i="30"/>
  <c r="CO269" i="119"/>
  <c r="BP200" i="30" s="1"/>
  <c r="BP30" i="30"/>
  <c r="CB124" i="1"/>
  <c r="AV48" i="3"/>
  <c r="BP107" i="119" s="1"/>
  <c r="AQ97" i="30" s="1"/>
  <c r="BP103" i="119"/>
  <c r="AQ94" i="30" s="1"/>
  <c r="FI32" i="3"/>
  <c r="W97" i="119" s="1"/>
  <c r="W88" i="30" s="1"/>
  <c r="DE97" i="119"/>
  <c r="CF88" i="30" s="1"/>
  <c r="AJ35" i="3"/>
  <c r="BD101" i="119" s="1"/>
  <c r="AE92" i="30" s="1"/>
  <c r="BP67" i="1"/>
  <c r="CJ21" i="119"/>
  <c r="FD12" i="3"/>
  <c r="BQ16" i="1"/>
  <c r="BQ17" i="1" s="1"/>
  <c r="CK20" i="119" s="1"/>
  <c r="BQ79" i="2"/>
  <c r="BQ84" i="2" s="1"/>
  <c r="FI43" i="3"/>
  <c r="W104" i="119" s="1"/>
  <c r="W95" i="30" s="1"/>
  <c r="DE104" i="119"/>
  <c r="CF95" i="30" s="1"/>
  <c r="DD173" i="119"/>
  <c r="CM128" i="119"/>
  <c r="BO119" i="30" s="1"/>
  <c r="CT152" i="119"/>
  <c r="CF67" i="1"/>
  <c r="CZ21" i="119"/>
  <c r="N128" i="119"/>
  <c r="N119" i="30" s="1"/>
  <c r="CS98" i="119"/>
  <c r="BT89" i="30" s="1"/>
  <c r="J152" i="119"/>
  <c r="CQ128" i="119"/>
  <c r="BS119" i="30" s="1"/>
  <c r="CO167" i="119"/>
  <c r="CZ173" i="119"/>
  <c r="DE152" i="119"/>
  <c r="DF152" i="119"/>
  <c r="DC268" i="119"/>
  <c r="CD199" i="30" s="1"/>
  <c r="CD23" i="30"/>
  <c r="CP128" i="119"/>
  <c r="BR119" i="30" s="1"/>
  <c r="BQ124" i="30"/>
  <c r="BO21" i="30"/>
  <c r="CN19" i="119"/>
  <c r="BO19" i="30" s="1"/>
  <c r="N173" i="119"/>
  <c r="DE284" i="119"/>
  <c r="CF215" i="30" s="1"/>
  <c r="DE102" i="119"/>
  <c r="CF93" i="30" s="1"/>
  <c r="CR128" i="119"/>
  <c r="BT119" i="30" s="1"/>
  <c r="CC305" i="119"/>
  <c r="BD236" i="30" s="1"/>
  <c r="FB11" i="3"/>
  <c r="P305" i="119" s="1"/>
  <c r="P236" i="30" s="1"/>
  <c r="CN173" i="119"/>
  <c r="P128" i="119"/>
  <c r="P119" i="30" s="1"/>
  <c r="P118" i="30"/>
  <c r="H152" i="119"/>
  <c r="CO305" i="119"/>
  <c r="BP236" i="30" s="1"/>
  <c r="FE11" i="3"/>
  <c r="S305" i="119" s="1"/>
  <c r="S236" i="30" s="1"/>
  <c r="CW152" i="119"/>
  <c r="CJ173" i="119"/>
  <c r="DA173" i="119"/>
  <c r="AY21" i="30"/>
  <c r="BX19" i="119"/>
  <c r="AY19" i="30" s="1"/>
  <c r="FG33" i="3"/>
  <c r="CW98" i="119"/>
  <c r="BX89" i="30" s="1"/>
  <c r="CN128" i="119"/>
  <c r="BP119" i="30" s="1"/>
  <c r="BP118" i="30"/>
  <c r="U205" i="119"/>
  <c r="U163" i="30" s="1"/>
  <c r="U169" i="119"/>
  <c r="U137" i="30" s="1"/>
  <c r="U163" i="119"/>
  <c r="H268" i="119"/>
  <c r="H199" i="30" s="1"/>
  <c r="H23" i="30"/>
  <c r="S284" i="119"/>
  <c r="S215" i="30" s="1"/>
  <c r="S102" i="119"/>
  <c r="S93" i="30" s="1"/>
  <c r="BF269" i="119"/>
  <c r="AG200" i="30" s="1"/>
  <c r="AG30" i="30"/>
  <c r="U268" i="119"/>
  <c r="U199" i="30" s="1"/>
  <c r="U23" i="30"/>
  <c r="CM269" i="119"/>
  <c r="BN200" i="30" s="1"/>
  <c r="BN30" i="30"/>
  <c r="CL259" i="119"/>
  <c r="BM192" i="30" s="1"/>
  <c r="BM20" i="30"/>
  <c r="BX25" i="3"/>
  <c r="CR96" i="119" s="1"/>
  <c r="BS87" i="30" s="1"/>
  <c r="CR94" i="119"/>
  <c r="BS85" i="30" s="1"/>
  <c r="J128" i="119"/>
  <c r="J119" i="30" s="1"/>
  <c r="J118" i="30"/>
  <c r="BA38" i="3"/>
  <c r="BT103" i="119"/>
  <c r="AU94" i="30" s="1"/>
  <c r="CQ64" i="51"/>
  <c r="I268" i="119"/>
  <c r="I199" i="30" s="1"/>
  <c r="I23" i="30"/>
  <c r="BP269" i="119"/>
  <c r="AQ200" i="30" s="1"/>
  <c r="AQ30" i="30"/>
  <c r="BA269" i="119"/>
  <c r="AB200" i="30" s="1"/>
  <c r="AB30" i="30"/>
  <c r="FB33" i="3"/>
  <c r="P98" i="119" s="1"/>
  <c r="P89" i="30" s="1"/>
  <c r="CC98" i="119"/>
  <c r="BD89" i="30" s="1"/>
  <c r="FE28" i="3"/>
  <c r="S100" i="119" s="1"/>
  <c r="S91" i="30" s="1"/>
  <c r="CO100" i="119"/>
  <c r="BP91" i="30" s="1"/>
  <c r="CJ128" i="119"/>
  <c r="BL119" i="30" s="1"/>
  <c r="BK124" i="30"/>
  <c r="DA152" i="119"/>
  <c r="FF11" i="3"/>
  <c r="T305" i="119" s="1"/>
  <c r="T236" i="30" s="1"/>
  <c r="CS305" i="119"/>
  <c r="BT236" i="30" s="1"/>
  <c r="U200" i="119"/>
  <c r="U158" i="30" s="1"/>
  <c r="U151" i="119"/>
  <c r="U128" i="30" s="1"/>
  <c r="U148" i="119"/>
  <c r="U145" i="119"/>
  <c r="U142" i="119"/>
  <c r="U139" i="119"/>
  <c r="U154" i="119"/>
  <c r="U133" i="30" s="1"/>
  <c r="U150" i="119"/>
  <c r="U147" i="119"/>
  <c r="U144" i="119"/>
  <c r="U141" i="119"/>
  <c r="U138" i="119"/>
  <c r="U153" i="119"/>
  <c r="U143" i="119"/>
  <c r="U146" i="119"/>
  <c r="U149" i="119"/>
  <c r="U140" i="119"/>
  <c r="W204" i="119"/>
  <c r="W164" i="119"/>
  <c r="W136" i="30" s="1"/>
  <c r="BW259" i="119"/>
  <c r="AX192" i="30" s="1"/>
  <c r="AX20" i="30"/>
  <c r="CP63" i="51"/>
  <c r="CX269" i="119"/>
  <c r="BY200" i="30" s="1"/>
  <c r="BY30" i="30"/>
  <c r="BM269" i="119"/>
  <c r="AN200" i="30" s="1"/>
  <c r="AN30" i="30"/>
  <c r="T98" i="119"/>
  <c r="T89" i="30" s="1"/>
  <c r="AZ35" i="3"/>
  <c r="BT101" i="119" s="1"/>
  <c r="AU92" i="30" s="1"/>
  <c r="BT100" i="119"/>
  <c r="AU91" i="30" s="1"/>
  <c r="W268" i="119"/>
  <c r="W199" i="30" s="1"/>
  <c r="W23" i="30"/>
  <c r="CP64" i="51"/>
  <c r="P268" i="119"/>
  <c r="P199" i="30" s="1"/>
  <c r="P23" i="30"/>
  <c r="BE269" i="119"/>
  <c r="AF200" i="30" s="1"/>
  <c r="AF30" i="30"/>
  <c r="BD259" i="119"/>
  <c r="AE192" i="30" s="1"/>
  <c r="AE20" i="30"/>
  <c r="AZ269" i="119"/>
  <c r="AA200" i="30" s="1"/>
  <c r="AA30" i="30"/>
  <c r="DB269" i="119"/>
  <c r="CC200" i="30" s="1"/>
  <c r="CC30" i="30"/>
  <c r="BO50" i="3"/>
  <c r="CI108" i="119" s="1"/>
  <c r="BJ98" i="30" s="1"/>
  <c r="CI96" i="119"/>
  <c r="BJ87" i="30" s="1"/>
  <c r="CG269" i="119"/>
  <c r="BH200" i="30" s="1"/>
  <c r="BH30" i="30"/>
  <c r="T24" i="30"/>
  <c r="T26" i="119"/>
  <c r="T26" i="30" s="1"/>
  <c r="CS269" i="119"/>
  <c r="BT200" i="30" s="1"/>
  <c r="BT30" i="30"/>
  <c r="BS259" i="119"/>
  <c r="AT192" i="30" s="1"/>
  <c r="AT20" i="30"/>
  <c r="BB269" i="119"/>
  <c r="AC200" i="30" s="1"/>
  <c r="AC30" i="30"/>
  <c r="V204" i="119"/>
  <c r="V162" i="30" s="1"/>
  <c r="V164" i="119"/>
  <c r="V136" i="30" s="1"/>
  <c r="CF46" i="1"/>
  <c r="ES32" i="3"/>
  <c r="G97" i="119" s="1"/>
  <c r="G88" i="30" s="1"/>
  <c r="AS97" i="119"/>
  <c r="EW32" i="3"/>
  <c r="K97" i="119" s="1"/>
  <c r="K88" i="30" s="1"/>
  <c r="BI97" i="119"/>
  <c r="AJ88" i="30" s="1"/>
  <c r="AO28" i="3"/>
  <c r="BI100" i="119" s="1"/>
  <c r="AJ91" i="30" s="1"/>
  <c r="BH100" i="119"/>
  <c r="AI91" i="30" s="1"/>
  <c r="AF103" i="1"/>
  <c r="AV21" i="119"/>
  <c r="AV19" i="119" s="1"/>
  <c r="AK24" i="3"/>
  <c r="BE94" i="119" s="1"/>
  <c r="AF85" i="30" s="1"/>
  <c r="BD94" i="119"/>
  <c r="AE85" i="30" s="1"/>
  <c r="M259" i="119"/>
  <c r="M192" i="30" s="1"/>
  <c r="M20" i="30"/>
  <c r="CV173" i="119"/>
  <c r="CW102" i="119"/>
  <c r="BX93" i="30" s="1"/>
  <c r="CW284" i="119"/>
  <c r="BX215" i="30" s="1"/>
  <c r="Q128" i="119"/>
  <c r="Q119" i="30" s="1"/>
  <c r="Q124" i="30"/>
  <c r="CP167" i="119"/>
  <c r="DD268" i="119"/>
  <c r="CE199" i="30" s="1"/>
  <c r="CE23" i="30"/>
  <c r="CC103" i="119"/>
  <c r="BD94" i="30" s="1"/>
  <c r="FB38" i="3"/>
  <c r="P103" i="119" s="1"/>
  <c r="P94" i="30" s="1"/>
  <c r="CT173" i="119"/>
  <c r="I152" i="119"/>
  <c r="CL173" i="119"/>
  <c r="BX100" i="119"/>
  <c r="AY91" i="30" s="1"/>
  <c r="DE103" i="119"/>
  <c r="CF94" i="30" s="1"/>
  <c r="CG103" i="119"/>
  <c r="BH94" i="30" s="1"/>
  <c r="P18" i="30"/>
  <c r="CV128" i="119"/>
  <c r="BX119" i="30" s="1"/>
  <c r="BW124" i="30"/>
  <c r="CR152" i="119"/>
  <c r="CK152" i="119"/>
  <c r="G152" i="119"/>
  <c r="FA41" i="3"/>
  <c r="BY284" i="119"/>
  <c r="AZ215" i="30" s="1"/>
  <c r="S18" i="30"/>
  <c r="T152" i="119"/>
  <c r="S152" i="119"/>
  <c r="T128" i="119"/>
  <c r="T119" i="30" s="1"/>
  <c r="J20" i="119"/>
  <c r="CQ63" i="51"/>
  <c r="CJ269" i="119"/>
  <c r="BK200" i="30" s="1"/>
  <c r="BK30" i="30"/>
  <c r="BY269" i="119"/>
  <c r="AZ200" i="30" s="1"/>
  <c r="AZ30" i="30"/>
  <c r="CY19" i="119"/>
  <c r="BZ19" i="30" s="1"/>
  <c r="BZ21" i="30"/>
  <c r="CH128" i="119"/>
  <c r="BJ119" i="30" s="1"/>
  <c r="BJ118" i="30"/>
  <c r="I128" i="119"/>
  <c r="I119" i="30" s="1"/>
  <c r="I118" i="30"/>
  <c r="FJ48" i="3"/>
  <c r="X284" i="119"/>
  <c r="X102" i="119"/>
  <c r="CI269" i="119"/>
  <c r="BJ200" i="30" s="1"/>
  <c r="BJ30" i="30"/>
  <c r="CA259" i="119"/>
  <c r="BB192" i="30" s="1"/>
  <c r="BB20" i="30"/>
  <c r="EZ31" i="3"/>
  <c r="N98" i="119" s="1"/>
  <c r="N89" i="30" s="1"/>
  <c r="BU98" i="119"/>
  <c r="AV89" i="30" s="1"/>
  <c r="CY269" i="119"/>
  <c r="BZ200" i="30" s="1"/>
  <c r="BZ30" i="30"/>
  <c r="CD269" i="119"/>
  <c r="BE200" i="30" s="1"/>
  <c r="BE30" i="30"/>
  <c r="BP259" i="119"/>
  <c r="AQ192" i="30" s="1"/>
  <c r="AQ20" i="30"/>
  <c r="BJ269" i="119"/>
  <c r="AK200" i="30" s="1"/>
  <c r="AK30" i="30"/>
  <c r="BK259" i="119"/>
  <c r="AL192" i="30" s="1"/>
  <c r="AL20" i="30"/>
  <c r="EW38" i="3"/>
  <c r="K103" i="119" s="1"/>
  <c r="K94" i="30" s="1"/>
  <c r="BI103" i="119"/>
  <c r="AJ94" i="30" s="1"/>
  <c r="CY152" i="119"/>
  <c r="FF38" i="3"/>
  <c r="CS103" i="119"/>
  <c r="BT94" i="30" s="1"/>
  <c r="FE38" i="3"/>
  <c r="CO103" i="119"/>
  <c r="BP94" i="30" s="1"/>
  <c r="CK103" i="119"/>
  <c r="BL94" i="30" s="1"/>
  <c r="FD38" i="3"/>
  <c r="R103" i="119" s="1"/>
  <c r="R94" i="30" s="1"/>
  <c r="CQ167" i="119"/>
  <c r="BW21" i="30"/>
  <c r="CV19" i="119"/>
  <c r="BW19" i="30" s="1"/>
  <c r="BL124" i="1"/>
  <c r="CF21" i="119"/>
  <c r="FG28" i="3"/>
  <c r="U100" i="119" s="1"/>
  <c r="U91" i="30" s="1"/>
  <c r="CW100" i="119"/>
  <c r="BX91" i="30" s="1"/>
  <c r="CQ152" i="119"/>
  <c r="CS152" i="119"/>
  <c r="CK128" i="119"/>
  <c r="BM119" i="30" s="1"/>
  <c r="CB17" i="1"/>
  <c r="W135" i="119"/>
  <c r="W129" i="119"/>
  <c r="W118" i="30" s="1"/>
  <c r="W202" i="119"/>
  <c r="CI259" i="119"/>
  <c r="BJ192" i="30" s="1"/>
  <c r="BJ20" i="30"/>
  <c r="BI269" i="119"/>
  <c r="AJ200" i="30" s="1"/>
  <c r="AJ30" i="30"/>
  <c r="DD269" i="119"/>
  <c r="CE200" i="30" s="1"/>
  <c r="CE30" i="30"/>
  <c r="CR269" i="119"/>
  <c r="BS200" i="30" s="1"/>
  <c r="BS30" i="30"/>
  <c r="T268" i="119"/>
  <c r="T199" i="30" s="1"/>
  <c r="T23" i="30"/>
  <c r="L268" i="119"/>
  <c r="L199" i="30" s="1"/>
  <c r="L23" i="30"/>
  <c r="CP259" i="119"/>
  <c r="BQ192" i="30" s="1"/>
  <c r="BQ20" i="30"/>
  <c r="CL68" i="51"/>
  <c r="CO63" i="51"/>
  <c r="FD33" i="3"/>
  <c r="R98" i="119" s="1"/>
  <c r="R89" i="30" s="1"/>
  <c r="ET38" i="3"/>
  <c r="H103" i="119" s="1"/>
  <c r="H94" i="30" s="1"/>
  <c r="AW103" i="119"/>
  <c r="ER12" i="3"/>
  <c r="AO93" i="119"/>
  <c r="BL269" i="119"/>
  <c r="AM200" i="30" s="1"/>
  <c r="AM30" i="30"/>
  <c r="BT269" i="119"/>
  <c r="AU200" i="30" s="1"/>
  <c r="AU30" i="30"/>
  <c r="V268" i="119"/>
  <c r="V199" i="30" s="1"/>
  <c r="V23" i="30"/>
  <c r="FC51" i="2"/>
  <c r="Q70" i="119" s="1"/>
  <c r="Q66" i="30" s="1"/>
  <c r="K268" i="119"/>
  <c r="K199" i="30" s="1"/>
  <c r="K23" i="30"/>
  <c r="BV269" i="119"/>
  <c r="AW200" i="30" s="1"/>
  <c r="AW30" i="30"/>
  <c r="BX269" i="119"/>
  <c r="AY200" i="30" s="1"/>
  <c r="AY30" i="30"/>
  <c r="X163" i="119"/>
  <c r="X169" i="119"/>
  <c r="AX269" i="119"/>
  <c r="Y200" i="30" s="1"/>
  <c r="Y30" i="30"/>
  <c r="CK269" i="119"/>
  <c r="BL200" i="30" s="1"/>
  <c r="BL30" i="30"/>
  <c r="BS269" i="119"/>
  <c r="AT200" i="30" s="1"/>
  <c r="AT30" i="30"/>
  <c r="BF259" i="119"/>
  <c r="AG192" i="30" s="1"/>
  <c r="AG20" i="30"/>
  <c r="CE259" i="119"/>
  <c r="BF192" i="30" s="1"/>
  <c r="BF20" i="30"/>
  <c r="BH124" i="1"/>
  <c r="CB21" i="119"/>
  <c r="S26" i="119"/>
  <c r="S26" i="30" s="1"/>
  <c r="S24" i="30"/>
  <c r="CF269" i="119"/>
  <c r="BG200" i="30" s="1"/>
  <c r="BG30" i="30"/>
  <c r="BN269" i="119"/>
  <c r="AO200" i="30" s="1"/>
  <c r="AO30" i="30"/>
  <c r="BO259" i="119"/>
  <c r="AP192" i="30" s="1"/>
  <c r="AP20" i="30"/>
  <c r="BB259" i="119"/>
  <c r="AC192" i="30" s="1"/>
  <c r="AC20" i="30"/>
  <c r="N268" i="119"/>
  <c r="N199" i="30" s="1"/>
  <c r="N23" i="30"/>
  <c r="DA269" i="119"/>
  <c r="CB200" i="30" s="1"/>
  <c r="CB30" i="30"/>
  <c r="BZ259" i="119"/>
  <c r="BA192" i="30" s="1"/>
  <c r="BA20" i="30"/>
  <c r="CU269" i="119"/>
  <c r="BV200" i="30" s="1"/>
  <c r="BV30" i="30"/>
  <c r="CB82" i="1"/>
  <c r="CF103" i="1"/>
  <c r="BL67" i="1"/>
  <c r="X124" i="1"/>
  <c r="AR21" i="119"/>
  <c r="AR19" i="119" s="1"/>
  <c r="BL82" i="1"/>
  <c r="AN124" i="1"/>
  <c r="BH21" i="119"/>
  <c r="V202" i="119"/>
  <c r="V160" i="30" s="1"/>
  <c r="V129" i="119"/>
  <c r="V135" i="119"/>
  <c r="V124" i="30" s="1"/>
  <c r="J18" i="30"/>
  <c r="CP173" i="119"/>
  <c r="CX128" i="119"/>
  <c r="BZ119" i="30" s="1"/>
  <c r="CI152" i="119"/>
  <c r="DC152" i="119"/>
  <c r="CZ128" i="119"/>
  <c r="CB119" i="30" s="1"/>
  <c r="CB118" i="30"/>
  <c r="H173" i="119"/>
  <c r="CP152" i="119"/>
  <c r="CW173" i="119"/>
  <c r="AH21" i="30"/>
  <c r="BG19" i="119"/>
  <c r="AH19" i="30" s="1"/>
  <c r="CM19" i="119"/>
  <c r="BN19" i="30" s="1"/>
  <c r="BN21" i="30"/>
  <c r="R152" i="119"/>
  <c r="K173" i="119"/>
  <c r="CD21" i="30"/>
  <c r="DC19" i="119"/>
  <c r="CD19" i="30" s="1"/>
  <c r="N19" i="119"/>
  <c r="N19" i="30" s="1"/>
  <c r="N18" i="30"/>
  <c r="Q18" i="30"/>
  <c r="CW167" i="119"/>
  <c r="CK173" i="119"/>
  <c r="DF173" i="119"/>
  <c r="DE100" i="119"/>
  <c r="CF91" i="30" s="1"/>
  <c r="K128" i="119"/>
  <c r="K119" i="30" s="1"/>
  <c r="K124" i="30"/>
  <c r="DD152" i="119"/>
  <c r="Q103" i="119"/>
  <c r="Q94" i="30" s="1"/>
  <c r="CO152" i="119"/>
  <c r="AC16" i="1"/>
  <c r="AC124" i="1" s="1"/>
  <c r="AW93" i="119"/>
  <c r="CX173" i="119"/>
  <c r="CN152" i="119"/>
  <c r="CY167" i="119"/>
  <c r="Q173" i="119"/>
  <c r="T173" i="119"/>
  <c r="G173" i="119"/>
  <c r="M173" i="119"/>
  <c r="CO128" i="119"/>
  <c r="BQ119" i="30" s="1"/>
  <c r="BQ118" i="30"/>
  <c r="FG59" i="2"/>
  <c r="U76" i="119"/>
  <c r="CG264" i="119"/>
  <c r="BH197" i="30" s="1"/>
  <c r="BH68" i="30"/>
  <c r="M271" i="119"/>
  <c r="M202" i="30" s="1"/>
  <c r="M65" i="30"/>
  <c r="BG264" i="119"/>
  <c r="AH197" i="30" s="1"/>
  <c r="AH68" i="30"/>
  <c r="CJ256" i="119"/>
  <c r="BK189" i="30" s="1"/>
  <c r="BK229" i="30"/>
  <c r="CZ256" i="119"/>
  <c r="CA189" i="30" s="1"/>
  <c r="CA229" i="30"/>
  <c r="H298" i="119"/>
  <c r="H63" i="30"/>
  <c r="CI264" i="119"/>
  <c r="BJ197" i="30" s="1"/>
  <c r="BJ68" i="30"/>
  <c r="R271" i="119"/>
  <c r="R202" i="30" s="1"/>
  <c r="R65" i="30"/>
  <c r="J264" i="119"/>
  <c r="J197" i="30" s="1"/>
  <c r="J68" i="30"/>
  <c r="T298" i="119"/>
  <c r="T63" i="30"/>
  <c r="N264" i="119"/>
  <c r="N197" i="30" s="1"/>
  <c r="N68" i="30"/>
  <c r="DK63" i="119"/>
  <c r="DK64" i="119"/>
  <c r="CQ256" i="119"/>
  <c r="BR189" i="30" s="1"/>
  <c r="BR229" i="30"/>
  <c r="BF264" i="119"/>
  <c r="AG197" i="30" s="1"/>
  <c r="AG68" i="30"/>
  <c r="Q298" i="119"/>
  <c r="Q63" i="30"/>
  <c r="BI264" i="119"/>
  <c r="AJ197" i="30" s="1"/>
  <c r="AJ68" i="30"/>
  <c r="CK256" i="119"/>
  <c r="BL189" i="30" s="1"/>
  <c r="BL229" i="30"/>
  <c r="O271" i="119"/>
  <c r="O202" i="30" s="1"/>
  <c r="O65" i="30"/>
  <c r="T264" i="119"/>
  <c r="T197" i="30" s="1"/>
  <c r="T68" i="30"/>
  <c r="V264" i="119"/>
  <c r="V197" i="30" s="1"/>
  <c r="V68" i="30"/>
  <c r="FB59" i="2"/>
  <c r="P76" i="119"/>
  <c r="CN256" i="119"/>
  <c r="BO189" i="30" s="1"/>
  <c r="BO229" i="30"/>
  <c r="CA264" i="119"/>
  <c r="BB197" i="30" s="1"/>
  <c r="BB68" i="30"/>
  <c r="F271" i="119"/>
  <c r="F202" i="30" s="1"/>
  <c r="F65" i="30"/>
  <c r="CI256" i="119"/>
  <c r="BJ189" i="30" s="1"/>
  <c r="BJ229" i="30"/>
  <c r="CR264" i="119"/>
  <c r="BS197" i="30" s="1"/>
  <c r="BS68" i="30"/>
  <c r="BT256" i="119"/>
  <c r="AU189" i="30" s="1"/>
  <c r="AU229" i="30"/>
  <c r="H271" i="119"/>
  <c r="H202" i="30" s="1"/>
  <c r="H65" i="30"/>
  <c r="CF256" i="119"/>
  <c r="BG189" i="30" s="1"/>
  <c r="BG229" i="30"/>
  <c r="R298" i="119"/>
  <c r="R63" i="30"/>
  <c r="CR44" i="2"/>
  <c r="DL64" i="119"/>
  <c r="DL63" i="119"/>
  <c r="AC87" i="119"/>
  <c r="BN256" i="119"/>
  <c r="AO189" i="30" s="1"/>
  <c r="AO229" i="30"/>
  <c r="T271" i="119"/>
  <c r="T202" i="30" s="1"/>
  <c r="T65" i="30"/>
  <c r="J271" i="119"/>
  <c r="J202" i="30" s="1"/>
  <c r="J65" i="30"/>
  <c r="BA264" i="119"/>
  <c r="AB197" i="30" s="1"/>
  <c r="AB68" i="30"/>
  <c r="BM256" i="119"/>
  <c r="AN189" i="30" s="1"/>
  <c r="AN229" i="30"/>
  <c r="BX256" i="119"/>
  <c r="AY189" i="30" s="1"/>
  <c r="AY229" i="30"/>
  <c r="P298" i="119"/>
  <c r="P63" i="30"/>
  <c r="CH264" i="119"/>
  <c r="BI197" i="30" s="1"/>
  <c r="BI68" i="30"/>
  <c r="N298" i="119"/>
  <c r="N63" i="30"/>
  <c r="CG256" i="119"/>
  <c r="BH189" i="30" s="1"/>
  <c r="BH229" i="30"/>
  <c r="CN264" i="119"/>
  <c r="BO197" i="30" s="1"/>
  <c r="BO68" i="30"/>
  <c r="CB264" i="119"/>
  <c r="BC197" i="30" s="1"/>
  <c r="BC68" i="30"/>
  <c r="BD256" i="119"/>
  <c r="AE189" i="30" s="1"/>
  <c r="AE229" i="30"/>
  <c r="DB256" i="119"/>
  <c r="CC189" i="30" s="1"/>
  <c r="CC229" i="30"/>
  <c r="AX264" i="119"/>
  <c r="Y197" i="30" s="1"/>
  <c r="Y68" i="30"/>
  <c r="BD264" i="119"/>
  <c r="AE197" i="30" s="1"/>
  <c r="AE68" i="30"/>
  <c r="BW256" i="119"/>
  <c r="AX189" i="30" s="1"/>
  <c r="AX229" i="30"/>
  <c r="CW264" i="119"/>
  <c r="BX197" i="30" s="1"/>
  <c r="BX68" i="30"/>
  <c r="CJ264" i="119"/>
  <c r="BK197" i="30" s="1"/>
  <c r="BK68" i="30"/>
  <c r="BA256" i="119"/>
  <c r="AB189" i="30" s="1"/>
  <c r="AB229" i="30"/>
  <c r="DD256" i="119"/>
  <c r="CE189" i="30" s="1"/>
  <c r="CE229" i="30"/>
  <c r="J298" i="119"/>
  <c r="J63" i="30"/>
  <c r="BJ256" i="119"/>
  <c r="AK189" i="30" s="1"/>
  <c r="AK229" i="30"/>
  <c r="BQ264" i="119"/>
  <c r="AR197" i="30" s="1"/>
  <c r="AR68" i="30"/>
  <c r="CW256" i="119"/>
  <c r="BX189" i="30" s="1"/>
  <c r="BX229" i="30"/>
  <c r="N271" i="119"/>
  <c r="N202" i="30" s="1"/>
  <c r="N65" i="30"/>
  <c r="X63" i="119"/>
  <c r="BN264" i="119"/>
  <c r="AO197" i="30" s="1"/>
  <c r="AO68" i="30"/>
  <c r="AN53" i="2"/>
  <c r="BT53" i="2"/>
  <c r="Q264" i="119"/>
  <c r="Q197" i="30" s="1"/>
  <c r="Q68" i="30"/>
  <c r="O264" i="119"/>
  <c r="O197" i="30" s="1"/>
  <c r="O68" i="30"/>
  <c r="DC256" i="119"/>
  <c r="CD189" i="30" s="1"/>
  <c r="CD229" i="30"/>
  <c r="AY256" i="119"/>
  <c r="Z189" i="30" s="1"/>
  <c r="Z229" i="30"/>
  <c r="S271" i="119"/>
  <c r="S202" i="30" s="1"/>
  <c r="S65" i="30"/>
  <c r="CA256" i="119"/>
  <c r="BB189" i="30" s="1"/>
  <c r="BB229" i="30"/>
  <c r="BB264" i="119"/>
  <c r="AC197" i="30" s="1"/>
  <c r="AC68" i="30"/>
  <c r="CX264" i="119"/>
  <c r="BY197" i="30" s="1"/>
  <c r="BY68" i="30"/>
  <c r="W271" i="119"/>
  <c r="W202" i="30" s="1"/>
  <c r="W65" i="30"/>
  <c r="BE264" i="119"/>
  <c r="AF197" i="30" s="1"/>
  <c r="AF68" i="30"/>
  <c r="CE256" i="119"/>
  <c r="BF189" i="30" s="1"/>
  <c r="BF229" i="30"/>
  <c r="BO256" i="119"/>
  <c r="AP189" i="30" s="1"/>
  <c r="AP229" i="30"/>
  <c r="BE256" i="119"/>
  <c r="AF189" i="30" s="1"/>
  <c r="AF229" i="30"/>
  <c r="L271" i="119"/>
  <c r="L202" i="30" s="1"/>
  <c r="L65" i="30"/>
  <c r="BK264" i="119"/>
  <c r="AL197" i="30" s="1"/>
  <c r="AL68" i="30"/>
  <c r="G298" i="119"/>
  <c r="G63" i="30"/>
  <c r="CM264" i="119"/>
  <c r="BN197" i="30" s="1"/>
  <c r="BN68" i="30"/>
  <c r="CH256" i="119"/>
  <c r="BI189" i="30" s="1"/>
  <c r="BI229" i="30"/>
  <c r="BI256" i="119"/>
  <c r="AJ189" i="30" s="1"/>
  <c r="AJ229" i="30"/>
  <c r="BK256" i="119"/>
  <c r="AL189" i="30" s="1"/>
  <c r="AL229" i="30"/>
  <c r="CY264" i="119"/>
  <c r="BZ197" i="30" s="1"/>
  <c r="BZ68" i="30"/>
  <c r="R264" i="119"/>
  <c r="R197" i="30" s="1"/>
  <c r="R68" i="30"/>
  <c r="K264" i="119"/>
  <c r="K197" i="30" s="1"/>
  <c r="K68" i="30"/>
  <c r="BQ256" i="119"/>
  <c r="AR189" i="30" s="1"/>
  <c r="AR229" i="30"/>
  <c r="BZ256" i="119"/>
  <c r="BA189" i="30" s="1"/>
  <c r="BA229" i="30"/>
  <c r="BZ264" i="119"/>
  <c r="BA197" i="30" s="1"/>
  <c r="BA68" i="30"/>
  <c r="BL264" i="119"/>
  <c r="AM197" i="30" s="1"/>
  <c r="AM68" i="30"/>
  <c r="K271" i="119"/>
  <c r="K202" i="30" s="1"/>
  <c r="K65" i="30"/>
  <c r="V298" i="119"/>
  <c r="V63" i="30"/>
  <c r="BJ264" i="119"/>
  <c r="AK197" i="30" s="1"/>
  <c r="AK68" i="30"/>
  <c r="AX256" i="119"/>
  <c r="Y189" i="30" s="1"/>
  <c r="Y229" i="30"/>
  <c r="CI53" i="2"/>
  <c r="F264" i="119"/>
  <c r="F197" i="30" s="1"/>
  <c r="F68" i="30"/>
  <c r="CP264" i="119"/>
  <c r="BQ197" i="30" s="1"/>
  <c r="BQ68" i="30"/>
  <c r="U298" i="119"/>
  <c r="U63" i="30"/>
  <c r="CX256" i="119"/>
  <c r="BY189" i="30" s="1"/>
  <c r="BY229" i="30"/>
  <c r="M298" i="119"/>
  <c r="M63" i="30"/>
  <c r="CU256" i="119"/>
  <c r="BV189" i="30" s="1"/>
  <c r="BV229" i="30"/>
  <c r="K298" i="119"/>
  <c r="K63" i="30"/>
  <c r="P271" i="119"/>
  <c r="P202" i="30" s="1"/>
  <c r="P65" i="30"/>
  <c r="CY256" i="119"/>
  <c r="BZ189" i="30" s="1"/>
  <c r="BZ229" i="30"/>
  <c r="Q271" i="119"/>
  <c r="Q202" i="30" s="1"/>
  <c r="Q65" i="30"/>
  <c r="DE256" i="119"/>
  <c r="CF189" i="30" s="1"/>
  <c r="CF229" i="30"/>
  <c r="CP256" i="119"/>
  <c r="BQ189" i="30" s="1"/>
  <c r="BQ229" i="30"/>
  <c r="FE59" i="2"/>
  <c r="S76" i="119"/>
  <c r="H264" i="119"/>
  <c r="H197" i="30" s="1"/>
  <c r="H68" i="30"/>
  <c r="BP256" i="119"/>
  <c r="AQ189" i="30" s="1"/>
  <c r="AQ229" i="30"/>
  <c r="U271" i="119"/>
  <c r="U202" i="30" s="1"/>
  <c r="U65" i="30"/>
  <c r="F298" i="119"/>
  <c r="F63" i="30"/>
  <c r="CT264" i="119"/>
  <c r="BU197" i="30" s="1"/>
  <c r="BU68" i="30"/>
  <c r="BP264" i="119"/>
  <c r="AQ197" i="30" s="1"/>
  <c r="AQ68" i="30"/>
  <c r="BH264" i="119"/>
  <c r="AI197" i="30" s="1"/>
  <c r="AI68" i="30"/>
  <c r="CT256" i="119"/>
  <c r="BU189" i="30" s="1"/>
  <c r="BU229" i="30"/>
  <c r="I298" i="119"/>
  <c r="I63" i="30"/>
  <c r="CL264" i="119"/>
  <c r="BM197" i="30" s="1"/>
  <c r="BM68" i="30"/>
  <c r="BL256" i="119"/>
  <c r="AM189" i="30" s="1"/>
  <c r="AM229" i="30"/>
  <c r="BH256" i="119"/>
  <c r="AI189" i="30" s="1"/>
  <c r="AI229" i="30"/>
  <c r="CM256" i="119"/>
  <c r="BN189" i="30" s="1"/>
  <c r="BN229" i="30"/>
  <c r="CC256" i="119"/>
  <c r="BD189" i="30" s="1"/>
  <c r="BD229" i="30"/>
  <c r="BW264" i="119"/>
  <c r="AX197" i="30" s="1"/>
  <c r="AX68" i="30"/>
  <c r="L264" i="119"/>
  <c r="L197" i="30" s="1"/>
  <c r="L68" i="30"/>
  <c r="EC53" i="119"/>
  <c r="EC81" i="119"/>
  <c r="AZ256" i="119"/>
  <c r="AA189" i="30" s="1"/>
  <c r="AA229" i="30"/>
  <c r="S298" i="119"/>
  <c r="S63" i="30"/>
  <c r="CK264" i="119"/>
  <c r="BL197" i="30" s="1"/>
  <c r="BL68" i="30"/>
  <c r="BY256" i="119"/>
  <c r="AZ189" i="30" s="1"/>
  <c r="AZ229" i="30"/>
  <c r="BR264" i="119"/>
  <c r="AS197" i="30" s="1"/>
  <c r="AS68" i="30"/>
  <c r="CS264" i="119"/>
  <c r="BT197" i="30" s="1"/>
  <c r="BT68" i="30"/>
  <c r="CV256" i="119"/>
  <c r="BW189" i="30" s="1"/>
  <c r="BW229" i="30"/>
  <c r="CD256" i="119"/>
  <c r="BE189" i="30" s="1"/>
  <c r="BE229" i="30"/>
  <c r="I271" i="119"/>
  <c r="I202" i="30" s="1"/>
  <c r="I65" i="30"/>
  <c r="CL256" i="119"/>
  <c r="BM189" i="30" s="1"/>
  <c r="BM229" i="30"/>
  <c r="W264" i="119"/>
  <c r="W197" i="30" s="1"/>
  <c r="W68" i="30"/>
  <c r="AB53" i="2"/>
  <c r="G264" i="119"/>
  <c r="G197" i="30" s="1"/>
  <c r="G68" i="30"/>
  <c r="I264" i="119"/>
  <c r="I197" i="30" s="1"/>
  <c r="I68" i="30"/>
  <c r="EY59" i="2"/>
  <c r="M76" i="119"/>
  <c r="BV256" i="119"/>
  <c r="AW189" i="30" s="1"/>
  <c r="AW229" i="30"/>
  <c r="BR256" i="119"/>
  <c r="AS189" i="30" s="1"/>
  <c r="AS229" i="30"/>
  <c r="CS256" i="119"/>
  <c r="BT189" i="30" s="1"/>
  <c r="BT229" i="30"/>
  <c r="BU256" i="119"/>
  <c r="AV189" i="30" s="1"/>
  <c r="AV229" i="30"/>
  <c r="CV264" i="119"/>
  <c r="BW197" i="30" s="1"/>
  <c r="BW68" i="30"/>
  <c r="BV264" i="119"/>
  <c r="AW197" i="30" s="1"/>
  <c r="AW68" i="30"/>
  <c r="CO264" i="119"/>
  <c r="BP197" i="30" s="1"/>
  <c r="BP68" i="30"/>
  <c r="BC264" i="119"/>
  <c r="AD197" i="30" s="1"/>
  <c r="AD68" i="30"/>
  <c r="BG256" i="119"/>
  <c r="AH189" i="30" s="1"/>
  <c r="AH229" i="30"/>
  <c r="CR256" i="119"/>
  <c r="BS189" i="30" s="1"/>
  <c r="BS229" i="30"/>
  <c r="BF256" i="119"/>
  <c r="AG189" i="30" s="1"/>
  <c r="AG229" i="30"/>
  <c r="BS256" i="119"/>
  <c r="AT189" i="30" s="1"/>
  <c r="AT229" i="30"/>
  <c r="W298" i="119"/>
  <c r="W63" i="30"/>
  <c r="CO256" i="119"/>
  <c r="BP189" i="30" s="1"/>
  <c r="BP229" i="30"/>
  <c r="V271" i="119"/>
  <c r="V202" i="30" s="1"/>
  <c r="V65" i="30"/>
  <c r="AZ264" i="119"/>
  <c r="AA197" i="30" s="1"/>
  <c r="AA68" i="30"/>
  <c r="BC256" i="119"/>
  <c r="AD189" i="30" s="1"/>
  <c r="AD229" i="30"/>
  <c r="BB256" i="119"/>
  <c r="AC189" i="30" s="1"/>
  <c r="AC229" i="30"/>
  <c r="L298" i="119"/>
  <c r="L63" i="30"/>
  <c r="BX264" i="119"/>
  <c r="AY197" i="30" s="1"/>
  <c r="AY68" i="30"/>
  <c r="CB256" i="119"/>
  <c r="BC189" i="30" s="1"/>
  <c r="BC229" i="30"/>
  <c r="DA256" i="119"/>
  <c r="CB189" i="30" s="1"/>
  <c r="CB229" i="30"/>
  <c r="G271" i="119"/>
  <c r="G202" i="30" s="1"/>
  <c r="G65" i="30"/>
  <c r="O298" i="119"/>
  <c r="O63" i="30"/>
  <c r="FI67" i="51"/>
  <c r="FC24" i="3"/>
  <c r="Q94" i="119" s="1"/>
  <c r="Q85" i="30" s="1"/>
  <c r="FI18" i="1"/>
  <c r="H75" i="2"/>
  <c r="H73" i="2"/>
  <c r="H74" i="2"/>
  <c r="H72" i="2"/>
  <c r="H85" i="2"/>
  <c r="R74" i="2"/>
  <c r="R85" i="2"/>
  <c r="R73" i="2"/>
  <c r="R72" i="2"/>
  <c r="R75" i="2"/>
  <c r="BV75" i="2"/>
  <c r="BV73" i="2"/>
  <c r="BV72" i="2"/>
  <c r="BV85" i="2"/>
  <c r="BV74" i="2"/>
  <c r="Z75" i="2"/>
  <c r="Z73" i="2"/>
  <c r="Z74" i="2"/>
  <c r="Z72" i="2"/>
  <c r="Z85" i="2"/>
  <c r="BN74" i="2"/>
  <c r="BN72" i="2"/>
  <c r="BN85" i="2"/>
  <c r="BN75" i="2"/>
  <c r="BN73" i="2"/>
  <c r="CD72" i="2"/>
  <c r="CD73" i="2"/>
  <c r="CD85" i="2"/>
  <c r="CD74" i="2"/>
  <c r="CD75" i="2"/>
  <c r="AJ74" i="2"/>
  <c r="AJ85" i="2"/>
  <c r="AJ73" i="2"/>
  <c r="AJ72" i="2"/>
  <c r="AJ75" i="2"/>
  <c r="CA85" i="2"/>
  <c r="CA75" i="2"/>
  <c r="CA74" i="2"/>
  <c r="CA73" i="2"/>
  <c r="CA72" i="2"/>
  <c r="BS74" i="2"/>
  <c r="BS72" i="2"/>
  <c r="BS75" i="2"/>
  <c r="BS73" i="2"/>
  <c r="BS85" i="2"/>
  <c r="BO85" i="2"/>
  <c r="BO75" i="2"/>
  <c r="BO74" i="2"/>
  <c r="BO73" i="2"/>
  <c r="BO72" i="2"/>
  <c r="W74" i="2"/>
  <c r="W85" i="2"/>
  <c r="W75" i="2"/>
  <c r="W73" i="2"/>
  <c r="W72" i="2"/>
  <c r="BA74" i="2"/>
  <c r="BA75" i="2"/>
  <c r="BA73" i="2"/>
  <c r="BA72" i="2"/>
  <c r="L74" i="2"/>
  <c r="L75" i="2"/>
  <c r="L72" i="2"/>
  <c r="L73" i="2"/>
  <c r="AT72" i="2"/>
  <c r="AT73" i="2"/>
  <c r="AT85" i="2"/>
  <c r="AT74" i="2"/>
  <c r="AT75" i="2"/>
  <c r="BF72" i="2"/>
  <c r="BF85" i="2"/>
  <c r="BF74" i="2"/>
  <c r="BF75" i="2"/>
  <c r="BF73" i="2"/>
  <c r="O75" i="2"/>
  <c r="O73" i="2"/>
  <c r="O85" i="2"/>
  <c r="O74" i="2"/>
  <c r="O72" i="2"/>
  <c r="BW75" i="2"/>
  <c r="BW73" i="2"/>
  <c r="BW85" i="2"/>
  <c r="BW74" i="2"/>
  <c r="BW72" i="2"/>
  <c r="BG74" i="2"/>
  <c r="BG85" i="2"/>
  <c r="BG75" i="2"/>
  <c r="BG73" i="2"/>
  <c r="BG72" i="2"/>
  <c r="AM75" i="2"/>
  <c r="AM73" i="2"/>
  <c r="AM72" i="2"/>
  <c r="AM85" i="2"/>
  <c r="AM74" i="2"/>
  <c r="CH75" i="2"/>
  <c r="CH73" i="2"/>
  <c r="CH85" i="2"/>
  <c r="CH74" i="2"/>
  <c r="CH72" i="2"/>
  <c r="BZ74" i="2"/>
  <c r="BZ72" i="2"/>
  <c r="BZ85" i="2"/>
  <c r="BZ75" i="2"/>
  <c r="BZ73" i="2"/>
  <c r="BL72" i="2"/>
  <c r="BL73" i="2"/>
  <c r="BL85" i="2"/>
  <c r="BL74" i="2"/>
  <c r="BL75" i="2"/>
  <c r="BK75" i="2"/>
  <c r="BK73" i="2"/>
  <c r="BK72" i="2"/>
  <c r="BK85" i="2"/>
  <c r="BK74" i="2"/>
  <c r="V72" i="2"/>
  <c r="V85" i="2"/>
  <c r="V74" i="2"/>
  <c r="V75" i="2"/>
  <c r="V73" i="2"/>
  <c r="BR74" i="2"/>
  <c r="BR75" i="2"/>
  <c r="BR72" i="2"/>
  <c r="BR73" i="2"/>
  <c r="BR85" i="2"/>
  <c r="AX75" i="2"/>
  <c r="AX73" i="2"/>
  <c r="AX85" i="2"/>
  <c r="AX74" i="2"/>
  <c r="AX72" i="2"/>
  <c r="C75" i="2"/>
  <c r="C73" i="2"/>
  <c r="C72" i="2"/>
  <c r="C85" i="2"/>
  <c r="C74" i="2"/>
  <c r="G85" i="2"/>
  <c r="G75" i="2"/>
  <c r="G74" i="2"/>
  <c r="G73" i="2"/>
  <c r="G72" i="2"/>
  <c r="AD74" i="2"/>
  <c r="AD85" i="2"/>
  <c r="AD75" i="2"/>
  <c r="AD72" i="2"/>
  <c r="AD73" i="2"/>
  <c r="AL75" i="2"/>
  <c r="AL73" i="2"/>
  <c r="AL72" i="2"/>
  <c r="AL85" i="2"/>
  <c r="AL74" i="2"/>
  <c r="AQ85" i="2"/>
  <c r="AQ75" i="2"/>
  <c r="AQ74" i="2"/>
  <c r="AQ73" i="2"/>
  <c r="AQ72" i="2"/>
  <c r="AE85" i="2"/>
  <c r="AE75" i="2"/>
  <c r="AE74" i="2"/>
  <c r="AE72" i="2"/>
  <c r="AE73" i="2"/>
  <c r="AI74" i="2"/>
  <c r="AI75" i="2"/>
  <c r="AI73" i="2"/>
  <c r="AI85" i="2"/>
  <c r="AI72" i="2"/>
  <c r="K74" i="2"/>
  <c r="K73" i="2"/>
  <c r="K85" i="2"/>
  <c r="K75" i="2"/>
  <c r="K72" i="2"/>
  <c r="AW85" i="2"/>
  <c r="AW75" i="2"/>
  <c r="AW74" i="2"/>
  <c r="AW72" i="2"/>
  <c r="AW73" i="2"/>
  <c r="CI75" i="2"/>
  <c r="CI73" i="2"/>
  <c r="CI85" i="2"/>
  <c r="CI74" i="2"/>
  <c r="CI72" i="2"/>
  <c r="BJ75" i="2"/>
  <c r="BJ73" i="2"/>
  <c r="BJ74" i="2"/>
  <c r="BJ72" i="2"/>
  <c r="BJ85" i="2"/>
  <c r="AV74" i="2"/>
  <c r="AV85" i="2"/>
  <c r="AV75" i="2"/>
  <c r="AV72" i="2"/>
  <c r="AV73" i="2"/>
  <c r="CE74" i="2"/>
  <c r="CE72" i="2"/>
  <c r="CE73" i="2"/>
  <c r="CE85" i="2"/>
  <c r="CE75" i="2"/>
  <c r="J72" i="2"/>
  <c r="J73" i="2"/>
  <c r="J85" i="2"/>
  <c r="J74" i="2"/>
  <c r="J75" i="2"/>
  <c r="E74" i="2"/>
  <c r="E85" i="2"/>
  <c r="E72" i="2"/>
  <c r="E75" i="2"/>
  <c r="E73" i="2"/>
  <c r="AA75" i="2"/>
  <c r="AA73" i="2"/>
  <c r="AA72" i="2"/>
  <c r="AA85" i="2"/>
  <c r="AA74" i="2"/>
  <c r="BB74" i="2"/>
  <c r="BB85" i="2"/>
  <c r="BB73" i="2"/>
  <c r="BB72" i="2"/>
  <c r="BB75" i="2"/>
  <c r="BC85" i="2"/>
  <c r="BC73" i="2"/>
  <c r="BC72" i="2"/>
  <c r="BC75" i="2"/>
  <c r="BC74" i="2"/>
  <c r="S85" i="2"/>
  <c r="S73" i="2"/>
  <c r="S72" i="2"/>
  <c r="S75" i="2"/>
  <c r="S74" i="2"/>
  <c r="AZ74" i="2"/>
  <c r="AZ72" i="2"/>
  <c r="AZ75" i="2"/>
  <c r="AZ73" i="2"/>
  <c r="AZ85" i="2"/>
  <c r="AP74" i="2"/>
  <c r="AP85" i="2"/>
  <c r="AP75" i="2"/>
  <c r="AP73" i="2"/>
  <c r="AP72" i="2"/>
  <c r="AU74" i="2"/>
  <c r="AU73" i="2"/>
  <c r="AU85" i="2"/>
  <c r="AU75" i="2"/>
  <c r="AU72" i="2"/>
  <c r="F74" i="2"/>
  <c r="F85" i="2"/>
  <c r="F75" i="2"/>
  <c r="F73" i="2"/>
  <c r="F72" i="2"/>
  <c r="AY75" i="2"/>
  <c r="AY73" i="2"/>
  <c r="AY85" i="2"/>
  <c r="AY74" i="2"/>
  <c r="AY72" i="2"/>
  <c r="AH74" i="2"/>
  <c r="AH72" i="2"/>
  <c r="AH75" i="2"/>
  <c r="AH73" i="2"/>
  <c r="AH85" i="2"/>
  <c r="N75" i="2"/>
  <c r="N73" i="2"/>
  <c r="N85" i="2"/>
  <c r="N74" i="2"/>
  <c r="N72" i="2"/>
  <c r="B68" i="1"/>
  <c r="B75" i="2"/>
  <c r="B73" i="2"/>
  <c r="B72" i="2"/>
  <c r="B74" i="2"/>
  <c r="FI58" i="51"/>
  <c r="CQ27" i="51"/>
  <c r="CI191" i="112"/>
  <c r="CI190" i="112"/>
  <c r="CI188" i="112"/>
  <c r="CI189" i="112"/>
  <c r="CI187" i="112"/>
  <c r="DE10" i="92"/>
  <c r="DE9" i="2"/>
  <c r="CK8" i="6"/>
  <c r="DE38" i="1"/>
  <c r="DE9" i="3"/>
  <c r="DE67" i="3" s="1"/>
  <c r="EZ32" i="3"/>
  <c r="N97" i="119" s="1"/>
  <c r="N88" i="30" s="1"/>
  <c r="EG93" i="6"/>
  <c r="EH93" i="6"/>
  <c r="EI93" i="6"/>
  <c r="BG126" i="1"/>
  <c r="G126" i="1"/>
  <c r="AW126" i="1"/>
  <c r="C126" i="1"/>
  <c r="EY38" i="6"/>
  <c r="EY96" i="6" s="1"/>
  <c r="BI59" i="6"/>
  <c r="BI77" i="6"/>
  <c r="Q77" i="6"/>
  <c r="Q59" i="6"/>
  <c r="AT77" i="6"/>
  <c r="AT59" i="6"/>
  <c r="AX59" i="6"/>
  <c r="AX77" i="6"/>
  <c r="BD77" i="6"/>
  <c r="BD59" i="6"/>
  <c r="G59" i="6"/>
  <c r="G77" i="6"/>
  <c r="M59" i="6"/>
  <c r="M77" i="6"/>
  <c r="B37" i="6"/>
  <c r="B95" i="6" s="1"/>
  <c r="AS77" i="6"/>
  <c r="AS59" i="6"/>
  <c r="BF77" i="6"/>
  <c r="BF59" i="6"/>
  <c r="D37" i="6"/>
  <c r="D95" i="6" s="1"/>
  <c r="D77" i="6"/>
  <c r="BM77" i="6"/>
  <c r="BM59" i="6"/>
  <c r="BC77" i="6"/>
  <c r="BC59" i="6"/>
  <c r="BA77" i="6"/>
  <c r="BA59" i="6"/>
  <c r="AV77" i="6"/>
  <c r="AV59" i="6"/>
  <c r="U77" i="6"/>
  <c r="U59" i="6"/>
  <c r="BP59" i="6"/>
  <c r="BP77" i="6"/>
  <c r="BQ59" i="6"/>
  <c r="BQ77" i="6"/>
  <c r="EZ38" i="6"/>
  <c r="BJ77" i="6"/>
  <c r="BJ59" i="6"/>
  <c r="X77" i="6"/>
  <c r="X59" i="6"/>
  <c r="J77" i="6"/>
  <c r="J59" i="6"/>
  <c r="BE77" i="6"/>
  <c r="BE59" i="6"/>
  <c r="R77" i="6"/>
  <c r="R59" i="6"/>
  <c r="AF59" i="6"/>
  <c r="AF77" i="6"/>
  <c r="AJ77" i="6"/>
  <c r="AJ59" i="6"/>
  <c r="AL77" i="6"/>
  <c r="AL59" i="6"/>
  <c r="AA77" i="6"/>
  <c r="AA59" i="6"/>
  <c r="AG77" i="6"/>
  <c r="AG59" i="6"/>
  <c r="F77" i="6"/>
  <c r="F59" i="6"/>
  <c r="AW59" i="6"/>
  <c r="AW77" i="6"/>
  <c r="L77" i="6"/>
  <c r="L59" i="6"/>
  <c r="AM77" i="6"/>
  <c r="AM59" i="6"/>
  <c r="AP77" i="6"/>
  <c r="AP59" i="6"/>
  <c r="BH77" i="6"/>
  <c r="BH59" i="6"/>
  <c r="C37" i="6"/>
  <c r="C95" i="6" s="1"/>
  <c r="C77" i="6"/>
  <c r="AI59" i="6"/>
  <c r="AI77" i="6"/>
  <c r="AZ77" i="6"/>
  <c r="AZ59" i="6"/>
  <c r="O77" i="6"/>
  <c r="O59" i="6"/>
  <c r="E37" i="6"/>
  <c r="E95" i="6" s="1"/>
  <c r="E77" i="6"/>
  <c r="AN77" i="6"/>
  <c r="AN59" i="6"/>
  <c r="BN77" i="6"/>
  <c r="BN59" i="6"/>
  <c r="AD77" i="6"/>
  <c r="AD59" i="6"/>
  <c r="H59" i="6"/>
  <c r="H77" i="6"/>
  <c r="BL77" i="6"/>
  <c r="BL59" i="6"/>
  <c r="AQ59" i="6"/>
  <c r="AQ77" i="6"/>
  <c r="BG77" i="6"/>
  <c r="BG59" i="6"/>
  <c r="T77" i="6"/>
  <c r="T59" i="6"/>
  <c r="Z59" i="6"/>
  <c r="Z77" i="6"/>
  <c r="I77" i="6"/>
  <c r="I59" i="6"/>
  <c r="N59" i="6"/>
  <c r="N77" i="6"/>
  <c r="BK77" i="6"/>
  <c r="BK59" i="6"/>
  <c r="AU77" i="6"/>
  <c r="AU59" i="6"/>
  <c r="S77" i="6"/>
  <c r="S59" i="6"/>
  <c r="BB77" i="6"/>
  <c r="BB59" i="6"/>
  <c r="AC77" i="6"/>
  <c r="AC59" i="6"/>
  <c r="AB77" i="6"/>
  <c r="AB59" i="6"/>
  <c r="Y59" i="6"/>
  <c r="Y77" i="6"/>
  <c r="K77" i="6"/>
  <c r="K59" i="6"/>
  <c r="AY77" i="6"/>
  <c r="AY59" i="6"/>
  <c r="BO56" i="6"/>
  <c r="BO59" i="6"/>
  <c r="BO77" i="6"/>
  <c r="AH77" i="6"/>
  <c r="AH59" i="6"/>
  <c r="P77" i="6"/>
  <c r="P59" i="6"/>
  <c r="W77" i="6"/>
  <c r="W59" i="6"/>
  <c r="AR59" i="6"/>
  <c r="AR77" i="6"/>
  <c r="AK77" i="6"/>
  <c r="AK59" i="6"/>
  <c r="AE59" i="6"/>
  <c r="AE77" i="6"/>
  <c r="AO77" i="6"/>
  <c r="AO59" i="6"/>
  <c r="V77" i="6"/>
  <c r="V59" i="6"/>
  <c r="K37" i="6"/>
  <c r="K95" i="6" s="1"/>
  <c r="K56" i="6"/>
  <c r="AG37" i="6"/>
  <c r="AG95" i="6" s="1"/>
  <c r="AG56" i="6"/>
  <c r="BB37" i="6"/>
  <c r="BB95" i="6" s="1"/>
  <c r="BB56" i="6"/>
  <c r="AC37" i="6"/>
  <c r="AC95" i="6" s="1"/>
  <c r="AC56" i="6"/>
  <c r="BH37" i="6"/>
  <c r="BH95" i="6" s="1"/>
  <c r="BH56" i="6"/>
  <c r="AI37" i="6"/>
  <c r="AI95" i="6" s="1"/>
  <c r="AI56" i="6"/>
  <c r="AZ37" i="6"/>
  <c r="AZ95" i="6" s="1"/>
  <c r="AZ56" i="6"/>
  <c r="O37" i="6"/>
  <c r="O95" i="6" s="1"/>
  <c r="O56" i="6"/>
  <c r="AN37" i="6"/>
  <c r="AN95" i="6" s="1"/>
  <c r="AN56" i="6"/>
  <c r="BN37" i="6"/>
  <c r="BN95" i="6" s="1"/>
  <c r="BN56" i="6"/>
  <c r="AD37" i="6"/>
  <c r="AD95" i="6" s="1"/>
  <c r="AD56" i="6"/>
  <c r="H37" i="6"/>
  <c r="H95" i="6" s="1"/>
  <c r="H56" i="6"/>
  <c r="BL37" i="6"/>
  <c r="BL95" i="6" s="1"/>
  <c r="BL56" i="6"/>
  <c r="AQ37" i="6"/>
  <c r="AQ95" i="6" s="1"/>
  <c r="AQ56" i="6"/>
  <c r="BG37" i="6"/>
  <c r="BG95" i="6" s="1"/>
  <c r="BG56" i="6"/>
  <c r="AY37" i="6"/>
  <c r="AY95" i="6" s="1"/>
  <c r="AY56" i="6"/>
  <c r="AH37" i="6"/>
  <c r="AH95" i="6" s="1"/>
  <c r="AH56" i="6"/>
  <c r="P37" i="6"/>
  <c r="P95" i="6" s="1"/>
  <c r="P56" i="6"/>
  <c r="EG56" i="6"/>
  <c r="W37" i="6"/>
  <c r="W95" i="6" s="1"/>
  <c r="W56" i="6"/>
  <c r="AR37" i="6"/>
  <c r="AR95" i="6" s="1"/>
  <c r="AR56" i="6"/>
  <c r="EH56" i="6"/>
  <c r="AK37" i="6"/>
  <c r="AK95" i="6" s="1"/>
  <c r="AK56" i="6"/>
  <c r="AE37" i="6"/>
  <c r="AE95" i="6" s="1"/>
  <c r="AE56" i="6"/>
  <c r="AO37" i="6"/>
  <c r="AO95" i="6" s="1"/>
  <c r="AO56" i="6"/>
  <c r="V37" i="6"/>
  <c r="V95" i="6" s="1"/>
  <c r="V56" i="6"/>
  <c r="FB56" i="6"/>
  <c r="FC56" i="6"/>
  <c r="AF37" i="6"/>
  <c r="AF95" i="6" s="1"/>
  <c r="AF56" i="6"/>
  <c r="AJ37" i="6"/>
  <c r="AJ95" i="6" s="1"/>
  <c r="AJ56" i="6"/>
  <c r="T37" i="6"/>
  <c r="T95" i="6" s="1"/>
  <c r="T56" i="6"/>
  <c r="AL37" i="6"/>
  <c r="AL95" i="6" s="1"/>
  <c r="AL56" i="6"/>
  <c r="Z37" i="6"/>
  <c r="Z95" i="6" s="1"/>
  <c r="Z56" i="6"/>
  <c r="I37" i="6"/>
  <c r="I95" i="6" s="1"/>
  <c r="I56" i="6"/>
  <c r="N37" i="6"/>
  <c r="N95" i="6" s="1"/>
  <c r="N56" i="6"/>
  <c r="AA37" i="6"/>
  <c r="AA95" i="6" s="1"/>
  <c r="AA56" i="6"/>
  <c r="BK37" i="6"/>
  <c r="BK95" i="6" s="1"/>
  <c r="BK56" i="6"/>
  <c r="AB37" i="6"/>
  <c r="AB95" i="6" s="1"/>
  <c r="AB56" i="6"/>
  <c r="BF37" i="6"/>
  <c r="BF95" i="6" s="1"/>
  <c r="BF56" i="6"/>
  <c r="Y37" i="6"/>
  <c r="Y95" i="6" s="1"/>
  <c r="Y56" i="6"/>
  <c r="AW37" i="6"/>
  <c r="AW95" i="6" s="1"/>
  <c r="AW56" i="6"/>
  <c r="BM37" i="6"/>
  <c r="BM95" i="6" s="1"/>
  <c r="BM56" i="6"/>
  <c r="L37" i="6"/>
  <c r="L95" i="6" s="1"/>
  <c r="L56" i="6"/>
  <c r="BI37" i="6"/>
  <c r="BI95" i="6" s="1"/>
  <c r="BI56" i="6"/>
  <c r="Q37" i="6"/>
  <c r="Q95" i="6" s="1"/>
  <c r="Q56" i="6"/>
  <c r="AT37" i="6"/>
  <c r="AT95" i="6" s="1"/>
  <c r="AT56" i="6"/>
  <c r="AX37" i="6"/>
  <c r="AX95" i="6" s="1"/>
  <c r="AX56" i="6"/>
  <c r="FA56" i="6"/>
  <c r="EZ56" i="6"/>
  <c r="S37" i="6"/>
  <c r="S95" i="6" s="1"/>
  <c r="S56" i="6"/>
  <c r="EI56" i="6"/>
  <c r="EJ56" i="6"/>
  <c r="BC37" i="6"/>
  <c r="BC95" i="6" s="1"/>
  <c r="BC56" i="6"/>
  <c r="AM37" i="6"/>
  <c r="AM95" i="6" s="1"/>
  <c r="AM56" i="6"/>
  <c r="BA37" i="6"/>
  <c r="BA95" i="6" s="1"/>
  <c r="BA56" i="6"/>
  <c r="AV37" i="6"/>
  <c r="AV95" i="6" s="1"/>
  <c r="AV56" i="6"/>
  <c r="AP37" i="6"/>
  <c r="AP95" i="6" s="1"/>
  <c r="AP56" i="6"/>
  <c r="G37" i="6"/>
  <c r="G95" i="6" s="1"/>
  <c r="G56" i="6"/>
  <c r="M37" i="6"/>
  <c r="M95" i="6" s="1"/>
  <c r="M56" i="6"/>
  <c r="AS37" i="6"/>
  <c r="AS95" i="6" s="1"/>
  <c r="AS56" i="6"/>
  <c r="BD37" i="6"/>
  <c r="BD95" i="6" s="1"/>
  <c r="BD56" i="6"/>
  <c r="AU37" i="6"/>
  <c r="AU95" i="6" s="1"/>
  <c r="AU56" i="6"/>
  <c r="F37" i="6"/>
  <c r="F95" i="6" s="1"/>
  <c r="F56" i="6"/>
  <c r="U37" i="6"/>
  <c r="U95" i="6" s="1"/>
  <c r="U56" i="6"/>
  <c r="BP37" i="6"/>
  <c r="BP95" i="6" s="1"/>
  <c r="BP56" i="6"/>
  <c r="BQ37" i="6"/>
  <c r="BQ95" i="6" s="1"/>
  <c r="BQ56" i="6"/>
  <c r="BJ37" i="6"/>
  <c r="BJ95" i="6" s="1"/>
  <c r="BJ56" i="6"/>
  <c r="X37" i="6"/>
  <c r="X95" i="6" s="1"/>
  <c r="X56" i="6"/>
  <c r="J37" i="6"/>
  <c r="J95" i="6" s="1"/>
  <c r="J56" i="6"/>
  <c r="BE37" i="6"/>
  <c r="BE95" i="6" s="1"/>
  <c r="BE56" i="6"/>
  <c r="R37" i="6"/>
  <c r="R95" i="6" s="1"/>
  <c r="R56" i="6"/>
  <c r="AS79" i="2"/>
  <c r="AS84" i="2" s="1"/>
  <c r="S81" i="2"/>
  <c r="GR24" i="51"/>
  <c r="BJ126" i="1"/>
  <c r="AF53" i="2"/>
  <c r="AY53" i="2"/>
  <c r="ET59" i="2"/>
  <c r="EW59" i="2"/>
  <c r="EO53" i="2"/>
  <c r="AJ53" i="2"/>
  <c r="CH53" i="2"/>
  <c r="FG51" i="2"/>
  <c r="AV53" i="2"/>
  <c r="AX53" i="2"/>
  <c r="CY9" i="3"/>
  <c r="CY67" i="3" s="1"/>
  <c r="CY9" i="112"/>
  <c r="CY9" i="113"/>
  <c r="DE9" i="112"/>
  <c r="DE9" i="113"/>
  <c r="CX38" i="1"/>
  <c r="CX116" i="1" s="1"/>
  <c r="CX9" i="3"/>
  <c r="CX9" i="112"/>
  <c r="CX9" i="113"/>
  <c r="CV9" i="3"/>
  <c r="CV9" i="113"/>
  <c r="CV9" i="112"/>
  <c r="BB53" i="2"/>
  <c r="CF53" i="2"/>
  <c r="BH53" i="2"/>
  <c r="V53" i="2"/>
  <c r="AP53" i="2"/>
  <c r="FD59" i="2"/>
  <c r="EV59" i="2"/>
  <c r="H81" i="2"/>
  <c r="FB51" i="2"/>
  <c r="P70" i="119" s="1"/>
  <c r="P66" i="30" s="1"/>
  <c r="BL53" i="2"/>
  <c r="ET51" i="2"/>
  <c r="FH59" i="2"/>
  <c r="AH53" i="2"/>
  <c r="EP53" i="2"/>
  <c r="EX51" i="2"/>
  <c r="L70" i="119" s="1"/>
  <c r="L66" i="30" s="1"/>
  <c r="X53" i="2"/>
  <c r="BX53" i="2"/>
  <c r="CA53" i="2"/>
  <c r="BM53" i="2"/>
  <c r="EU59" i="2"/>
  <c r="CD53" i="2"/>
  <c r="EW51" i="2"/>
  <c r="K70" i="119" s="1"/>
  <c r="K66" i="30" s="1"/>
  <c r="X81" i="2"/>
  <c r="CK80" i="2"/>
  <c r="AN46" i="1"/>
  <c r="AN103" i="1"/>
  <c r="T80" i="2"/>
  <c r="BA80" i="2"/>
  <c r="BA85" i="2" s="1"/>
  <c r="AO48" i="3"/>
  <c r="BI107" i="119" s="1"/>
  <c r="AJ97" i="30" s="1"/>
  <c r="EW12" i="3"/>
  <c r="ER32" i="3"/>
  <c r="F97" i="119" s="1"/>
  <c r="F88" i="30" s="1"/>
  <c r="AO79" i="2"/>
  <c r="AO84" i="2" s="1"/>
  <c r="AJ81" i="2"/>
  <c r="BY35" i="3"/>
  <c r="CS101" i="119" s="1"/>
  <c r="BT92" i="30" s="1"/>
  <c r="AO16" i="1"/>
  <c r="AS16" i="1"/>
  <c r="AW103" i="1" s="1"/>
  <c r="AB124" i="1"/>
  <c r="U80" i="2"/>
  <c r="AN67" i="1"/>
  <c r="AN82" i="1"/>
  <c r="AB17" i="1"/>
  <c r="AV20" i="119" s="1"/>
  <c r="AV259" i="119" s="1"/>
  <c r="AN17" i="1"/>
  <c r="AB67" i="1"/>
  <c r="AB82" i="1"/>
  <c r="AF46" i="1"/>
  <c r="E35" i="3"/>
  <c r="BP124" i="1"/>
  <c r="BT46" i="1"/>
  <c r="BP82" i="1"/>
  <c r="K81" i="2"/>
  <c r="BP17" i="1"/>
  <c r="CJ20" i="119" s="1"/>
  <c r="BT103" i="1"/>
  <c r="BP103" i="1"/>
  <c r="BP46" i="1"/>
  <c r="P17" i="1"/>
  <c r="E82" i="1"/>
  <c r="AR103" i="1"/>
  <c r="M32" i="3"/>
  <c r="EP32" i="3" s="1"/>
  <c r="AV46" i="1"/>
  <c r="D67" i="1"/>
  <c r="H103" i="1"/>
  <c r="L35" i="3"/>
  <c r="FW16" i="1"/>
  <c r="FW67" i="1" s="1"/>
  <c r="P82" i="1"/>
  <c r="P124" i="1"/>
  <c r="E124" i="1"/>
  <c r="AN35" i="3"/>
  <c r="BH101" i="119" s="1"/>
  <c r="AI92" i="30" s="1"/>
  <c r="M24" i="3"/>
  <c r="BM25" i="3"/>
  <c r="CG96" i="119" s="1"/>
  <c r="BH87" i="30" s="1"/>
  <c r="H46" i="1"/>
  <c r="P67" i="1"/>
  <c r="D124" i="1"/>
  <c r="AR124" i="1"/>
  <c r="AR17" i="1"/>
  <c r="BL20" i="119" s="1"/>
  <c r="D81" i="2"/>
  <c r="D17" i="1"/>
  <c r="P46" i="1"/>
  <c r="L80" i="2"/>
  <c r="L85" i="2" s="1"/>
  <c r="CB25" i="3"/>
  <c r="CV96" i="119" s="1"/>
  <c r="BW87" i="30" s="1"/>
  <c r="Q24" i="3"/>
  <c r="ES12" i="3"/>
  <c r="Y16" i="1"/>
  <c r="AB46" i="1"/>
  <c r="X82" i="1"/>
  <c r="AB103" i="1"/>
  <c r="X17" i="1"/>
  <c r="AR20" i="119" s="1"/>
  <c r="AR259" i="119" s="1"/>
  <c r="X67" i="1"/>
  <c r="Y79" i="2"/>
  <c r="Y84" i="2" s="1"/>
  <c r="EY31" i="3"/>
  <c r="M98" i="119" s="1"/>
  <c r="M89" i="30" s="1"/>
  <c r="BO125" i="1"/>
  <c r="BM79" i="2"/>
  <c r="BM84" i="2" s="1"/>
  <c r="G81" i="2"/>
  <c r="CF81" i="2"/>
  <c r="BW50" i="3"/>
  <c r="CQ108" i="119" s="1"/>
  <c r="BR98" i="30" s="1"/>
  <c r="Y80" i="2"/>
  <c r="BU35" i="3"/>
  <c r="CO101" i="119" s="1"/>
  <c r="BP92" i="30" s="1"/>
  <c r="BW54" i="3"/>
  <c r="BW55" i="3" s="1"/>
  <c r="FC12" i="3"/>
  <c r="FD32" i="3"/>
  <c r="R97" i="119" s="1"/>
  <c r="R88" i="30" s="1"/>
  <c r="CJ81" i="2"/>
  <c r="CB81" i="2"/>
  <c r="CG35" i="3"/>
  <c r="DA101" i="119" s="1"/>
  <c r="CB92" i="30" s="1"/>
  <c r="CK24" i="3"/>
  <c r="DE94" i="119" s="1"/>
  <c r="CF85" i="30" s="1"/>
  <c r="Q79" i="2"/>
  <c r="Q84" i="2" s="1"/>
  <c r="AV103" i="1"/>
  <c r="BZ55" i="3"/>
  <c r="Q16" i="1"/>
  <c r="R82" i="1" s="1"/>
  <c r="FH28" i="3"/>
  <c r="V100" i="119" s="1"/>
  <c r="V91" i="30" s="1"/>
  <c r="FG22" i="3"/>
  <c r="FG24" i="3" s="1"/>
  <c r="U94" i="119" s="1"/>
  <c r="U85" i="30" s="1"/>
  <c r="BG50" i="3"/>
  <c r="CA108" i="119" s="1"/>
  <c r="BB98" i="30" s="1"/>
  <c r="AR46" i="1"/>
  <c r="AR82" i="1"/>
  <c r="BQ25" i="3"/>
  <c r="CK96" i="119" s="1"/>
  <c r="BL87" i="30" s="1"/>
  <c r="BG54" i="3"/>
  <c r="BG55" i="3" s="1"/>
  <c r="AW38" i="3"/>
  <c r="BQ103" i="119" s="1"/>
  <c r="AR94" i="30" s="1"/>
  <c r="EN32" i="3"/>
  <c r="AO24" i="3"/>
  <c r="BI94" i="119" s="1"/>
  <c r="AJ85" i="30" s="1"/>
  <c r="Y48" i="3"/>
  <c r="AS107" i="119" s="1"/>
  <c r="ES38" i="3"/>
  <c r="G103" i="119" s="1"/>
  <c r="G94" i="30" s="1"/>
  <c r="AO80" i="2"/>
  <c r="EV38" i="3"/>
  <c r="J103" i="119" s="1"/>
  <c r="J94" i="30" s="1"/>
  <c r="FB19" i="3"/>
  <c r="FB24" i="3" s="1"/>
  <c r="P94" i="119" s="1"/>
  <c r="P85" i="30" s="1"/>
  <c r="FG12" i="3"/>
  <c r="CC79" i="2"/>
  <c r="CC84" i="2" s="1"/>
  <c r="CC16" i="1"/>
  <c r="CW21" i="119" s="1"/>
  <c r="CG79" i="2"/>
  <c r="CG16" i="1"/>
  <c r="DA21" i="119" s="1"/>
  <c r="FH12" i="3"/>
  <c r="V93" i="119" s="1"/>
  <c r="V84" i="30" s="1"/>
  <c r="FI12" i="3"/>
  <c r="W93" i="119" s="1"/>
  <c r="W84" i="30" s="1"/>
  <c r="CK16" i="1"/>
  <c r="DE21" i="119" s="1"/>
  <c r="CK79" i="2"/>
  <c r="AK48" i="3"/>
  <c r="BE107" i="119" s="1"/>
  <c r="AF97" i="30" s="1"/>
  <c r="K125" i="1"/>
  <c r="CL54" i="51"/>
  <c r="AO126" i="1"/>
  <c r="Y126" i="1"/>
  <c r="CJ126" i="1"/>
  <c r="BA126" i="1"/>
  <c r="AM125" i="1"/>
  <c r="AI125" i="1"/>
  <c r="M126" i="1"/>
  <c r="G125" i="1"/>
  <c r="BW126" i="1"/>
  <c r="ES102" i="1"/>
  <c r="ES45" i="1"/>
  <c r="ES66" i="1"/>
  <c r="EQ102" i="1"/>
  <c r="EQ45" i="1"/>
  <c r="EQ66" i="1"/>
  <c r="EW102" i="1"/>
  <c r="EW45" i="1"/>
  <c r="EW66" i="1"/>
  <c r="GB102" i="1"/>
  <c r="GB66" i="1"/>
  <c r="GB45" i="1"/>
  <c r="FH66" i="1"/>
  <c r="FH102" i="1"/>
  <c r="FH45" i="1"/>
  <c r="GH102" i="1"/>
  <c r="GH66" i="1"/>
  <c r="GH45" i="1"/>
  <c r="GG66" i="1"/>
  <c r="GG102" i="1"/>
  <c r="GG45" i="1"/>
  <c r="GA102" i="1"/>
  <c r="GA66" i="1"/>
  <c r="GA45" i="1"/>
  <c r="FI112" i="1"/>
  <c r="FI55" i="1"/>
  <c r="GE45" i="1"/>
  <c r="GE66" i="1"/>
  <c r="GE102" i="1"/>
  <c r="AW125" i="1"/>
  <c r="EO66" i="1"/>
  <c r="EO102" i="1"/>
  <c r="EO45" i="1"/>
  <c r="ER102" i="1"/>
  <c r="ER66" i="1"/>
  <c r="ER45" i="1"/>
  <c r="FA66" i="1"/>
  <c r="FA102" i="1"/>
  <c r="FA45" i="1"/>
  <c r="EN102" i="1"/>
  <c r="EN45" i="1"/>
  <c r="EN66" i="1"/>
  <c r="GI23" i="1"/>
  <c r="GI25" i="1" s="1"/>
  <c r="GI66" i="1"/>
  <c r="GI102" i="1"/>
  <c r="GI45" i="1"/>
  <c r="EY102" i="1"/>
  <c r="EY45" i="1"/>
  <c r="EY66" i="1"/>
  <c r="FE102" i="1"/>
  <c r="FE45" i="1"/>
  <c r="FE66" i="1"/>
  <c r="EP66" i="1"/>
  <c r="EP102" i="1"/>
  <c r="EP45" i="1"/>
  <c r="EV102" i="1"/>
  <c r="EV66" i="1"/>
  <c r="EV45" i="1"/>
  <c r="FC102" i="1"/>
  <c r="FC45" i="1"/>
  <c r="FC66" i="1"/>
  <c r="GP102" i="1"/>
  <c r="GP66" i="1"/>
  <c r="GP45" i="1"/>
  <c r="AE126" i="1"/>
  <c r="ET102" i="1"/>
  <c r="ET66" i="1"/>
  <c r="ET45" i="1"/>
  <c r="GJ102" i="1"/>
  <c r="GJ66" i="1"/>
  <c r="GJ45" i="1"/>
  <c r="EU102" i="1"/>
  <c r="EU66" i="1"/>
  <c r="EU45" i="1"/>
  <c r="EZ102" i="1"/>
  <c r="EZ66" i="1"/>
  <c r="EZ45" i="1"/>
  <c r="GD102" i="1"/>
  <c r="GD45" i="1"/>
  <c r="GD66" i="1"/>
  <c r="FD102" i="1"/>
  <c r="FD45" i="1"/>
  <c r="FD66" i="1"/>
  <c r="AB126" i="1"/>
  <c r="GL102" i="1"/>
  <c r="GL66" i="1"/>
  <c r="GL45" i="1"/>
  <c r="GF66" i="1"/>
  <c r="GF45" i="1"/>
  <c r="GF102" i="1"/>
  <c r="FG66" i="1"/>
  <c r="FG102" i="1"/>
  <c r="FG45" i="1"/>
  <c r="FX102" i="1"/>
  <c r="FX66" i="1"/>
  <c r="FX45" i="1"/>
  <c r="GO66" i="1"/>
  <c r="GO102" i="1"/>
  <c r="GO45" i="1"/>
  <c r="GK23" i="1"/>
  <c r="GK26" i="1" s="1"/>
  <c r="GK102" i="1"/>
  <c r="GK66" i="1"/>
  <c r="GK45" i="1"/>
  <c r="GQ102" i="1"/>
  <c r="GQ66" i="1"/>
  <c r="GQ45" i="1"/>
  <c r="FF102" i="1"/>
  <c r="FF66" i="1"/>
  <c r="FF45" i="1"/>
  <c r="GC102" i="1"/>
  <c r="GC66" i="1"/>
  <c r="GC45" i="1"/>
  <c r="EX102" i="1"/>
  <c r="EX66" i="1"/>
  <c r="EX45" i="1"/>
  <c r="BC125" i="1"/>
  <c r="GM66" i="1"/>
  <c r="GM45" i="1"/>
  <c r="GM102" i="1"/>
  <c r="FB66" i="1"/>
  <c r="FB45" i="1"/>
  <c r="FB102" i="1"/>
  <c r="FY102" i="1"/>
  <c r="FY66" i="1"/>
  <c r="FY45" i="1"/>
  <c r="GN102" i="1"/>
  <c r="GN66" i="1"/>
  <c r="GN45" i="1"/>
  <c r="FZ102" i="1"/>
  <c r="FZ66" i="1"/>
  <c r="FZ45" i="1"/>
  <c r="CH126" i="1"/>
  <c r="AM126" i="1"/>
  <c r="BF126" i="1"/>
  <c r="U126" i="1"/>
  <c r="AQ126" i="1"/>
  <c r="BG125" i="1"/>
  <c r="O125" i="1"/>
  <c r="BC126" i="1"/>
  <c r="AR126" i="1"/>
  <c r="BS126" i="1"/>
  <c r="BL125" i="1"/>
  <c r="D126" i="1"/>
  <c r="AZ126" i="1"/>
  <c r="P126" i="1"/>
  <c r="BY126" i="1"/>
  <c r="J126" i="1"/>
  <c r="CF126" i="1"/>
  <c r="AU125" i="1"/>
  <c r="AC126" i="1"/>
  <c r="CB126" i="1"/>
  <c r="W125" i="1"/>
  <c r="BL126" i="1"/>
  <c r="AK126" i="1"/>
  <c r="AV126" i="1"/>
  <c r="J104" i="1"/>
  <c r="K126" i="1"/>
  <c r="BN105" i="1"/>
  <c r="BN126" i="1"/>
  <c r="BZ126" i="1"/>
  <c r="Z105" i="1"/>
  <c r="Z126" i="1"/>
  <c r="CA125" i="1"/>
  <c r="CN103" i="1"/>
  <c r="CJ124" i="1"/>
  <c r="F104" i="1"/>
  <c r="F125" i="1"/>
  <c r="E25" i="1"/>
  <c r="E126" i="1"/>
  <c r="BW104" i="1"/>
  <c r="BW125" i="1"/>
  <c r="X103" i="1"/>
  <c r="T124" i="1"/>
  <c r="AZ104" i="1"/>
  <c r="AZ125" i="1"/>
  <c r="AF126" i="1"/>
  <c r="BQ105" i="1"/>
  <c r="BQ126" i="1"/>
  <c r="AH126" i="1"/>
  <c r="N105" i="1"/>
  <c r="N126" i="1"/>
  <c r="H105" i="1"/>
  <c r="H126" i="1"/>
  <c r="BX126" i="1"/>
  <c r="AI126" i="1"/>
  <c r="CB103" i="1"/>
  <c r="BX124" i="1"/>
  <c r="S126" i="1"/>
  <c r="BN104" i="1"/>
  <c r="AS126" i="1"/>
  <c r="CI126" i="1"/>
  <c r="BP126" i="1"/>
  <c r="AN105" i="1"/>
  <c r="AN126" i="1"/>
  <c r="L126" i="1"/>
  <c r="X126" i="1"/>
  <c r="AJ125" i="1"/>
  <c r="AL126" i="1"/>
  <c r="CG126" i="1"/>
  <c r="AQ125" i="1"/>
  <c r="I103" i="1"/>
  <c r="I124" i="1"/>
  <c r="J124" i="1"/>
  <c r="H125" i="1"/>
  <c r="W105" i="1"/>
  <c r="W126" i="1"/>
  <c r="R126" i="1"/>
  <c r="BT126" i="1"/>
  <c r="S125" i="1"/>
  <c r="BV105" i="1"/>
  <c r="BV126" i="1"/>
  <c r="L125" i="1"/>
  <c r="CE125" i="1"/>
  <c r="AY126" i="1"/>
  <c r="BK125" i="1"/>
  <c r="I126" i="1"/>
  <c r="AU126" i="1"/>
  <c r="BI126" i="1"/>
  <c r="F126" i="1"/>
  <c r="AA126" i="1"/>
  <c r="BB125" i="1"/>
  <c r="AG105" i="1"/>
  <c r="AG126" i="1"/>
  <c r="M124" i="1"/>
  <c r="N124" i="1"/>
  <c r="AX125" i="1"/>
  <c r="O126" i="1"/>
  <c r="BO126" i="1"/>
  <c r="R104" i="1"/>
  <c r="CE105" i="1"/>
  <c r="CE126" i="1"/>
  <c r="BH105" i="1"/>
  <c r="BH126" i="1"/>
  <c r="CI125" i="1"/>
  <c r="T126" i="1"/>
  <c r="BB126" i="1"/>
  <c r="BD126" i="1"/>
  <c r="BK126" i="1"/>
  <c r="BE126" i="1"/>
  <c r="CK126" i="1"/>
  <c r="AY125" i="1"/>
  <c r="BS125" i="1"/>
  <c r="CA126" i="1"/>
  <c r="AE104" i="1"/>
  <c r="AE125" i="1"/>
  <c r="BA125" i="1"/>
  <c r="Q126" i="1"/>
  <c r="AJ126" i="1"/>
  <c r="AV125" i="1"/>
  <c r="AD126" i="1"/>
  <c r="AX105" i="1"/>
  <c r="AX126" i="1"/>
  <c r="BM126" i="1"/>
  <c r="AT105" i="1"/>
  <c r="AT126" i="1"/>
  <c r="AA125" i="1"/>
  <c r="BU126" i="1"/>
  <c r="V126" i="1"/>
  <c r="AP126" i="1"/>
  <c r="BR126" i="1"/>
  <c r="C125" i="1"/>
  <c r="BJ104" i="1"/>
  <c r="W104" i="1"/>
  <c r="BA104" i="1"/>
  <c r="CE104" i="1"/>
  <c r="I105" i="1"/>
  <c r="BB104" i="1"/>
  <c r="O104" i="1"/>
  <c r="R105" i="1"/>
  <c r="O105" i="1"/>
  <c r="AK105" i="1"/>
  <c r="AL105" i="1"/>
  <c r="AM104" i="1"/>
  <c r="T105" i="1"/>
  <c r="CJ105" i="1"/>
  <c r="BP105" i="1"/>
  <c r="BW105" i="1"/>
  <c r="AJ105" i="1"/>
  <c r="AD105" i="1"/>
  <c r="M105" i="1"/>
  <c r="BC104" i="1"/>
  <c r="Z104" i="1"/>
  <c r="BO105" i="1"/>
  <c r="CI104" i="1"/>
  <c r="BO104" i="1"/>
  <c r="G105" i="1"/>
  <c r="CH104" i="1"/>
  <c r="AF105" i="1"/>
  <c r="BJ105" i="1"/>
  <c r="CB105" i="1"/>
  <c r="BC105" i="1"/>
  <c r="AM105" i="1"/>
  <c r="AO105" i="1"/>
  <c r="BV104" i="1"/>
  <c r="AU105" i="1"/>
  <c r="BI105" i="1"/>
  <c r="F105" i="1"/>
  <c r="AH104" i="1"/>
  <c r="AA105" i="1"/>
  <c r="BK105" i="1"/>
  <c r="CK105" i="1"/>
  <c r="BT105" i="1"/>
  <c r="AZ105" i="1"/>
  <c r="AR105" i="1"/>
  <c r="BZ104" i="1"/>
  <c r="BY105" i="1"/>
  <c r="AW105" i="1"/>
  <c r="AU104" i="1"/>
  <c r="AI104" i="1"/>
  <c r="U105" i="1"/>
  <c r="AS105" i="1"/>
  <c r="BZ105" i="1"/>
  <c r="CF105" i="1"/>
  <c r="AD104" i="1"/>
  <c r="CH105" i="1"/>
  <c r="AL104" i="1"/>
  <c r="BM105" i="1"/>
  <c r="AT104" i="1"/>
  <c r="BE105" i="1"/>
  <c r="V104" i="1"/>
  <c r="AY104" i="1"/>
  <c r="BS104" i="1"/>
  <c r="CA105" i="1"/>
  <c r="AE105" i="1"/>
  <c r="BX105" i="1"/>
  <c r="AI105" i="1"/>
  <c r="S105" i="1"/>
  <c r="CD104" i="1"/>
  <c r="CI105" i="1"/>
  <c r="L105" i="1"/>
  <c r="X105" i="1"/>
  <c r="AA104" i="1"/>
  <c r="BU105" i="1"/>
  <c r="V105" i="1"/>
  <c r="AP105" i="1"/>
  <c r="N104" i="1"/>
  <c r="BR105" i="1"/>
  <c r="K105" i="1"/>
  <c r="S104" i="1"/>
  <c r="L104" i="1"/>
  <c r="AV105" i="1"/>
  <c r="CA104" i="1"/>
  <c r="BL105" i="1"/>
  <c r="P105" i="1"/>
  <c r="M103" i="1"/>
  <c r="BS105" i="1"/>
  <c r="AH105" i="1"/>
  <c r="BF104" i="1"/>
  <c r="J105" i="1"/>
  <c r="AX104" i="1"/>
  <c r="BG104" i="1"/>
  <c r="BA105" i="1"/>
  <c r="BB105" i="1"/>
  <c r="BD105" i="1"/>
  <c r="AA26" i="1"/>
  <c r="AA30" i="1" s="1"/>
  <c r="AU281" i="119" s="1"/>
  <c r="AU260" i="119" s="1"/>
  <c r="BF105" i="1"/>
  <c r="AA25" i="1"/>
  <c r="AU290" i="119" s="1"/>
  <c r="AP104" i="1"/>
  <c r="BH103" i="1"/>
  <c r="BL103" i="1"/>
  <c r="AC105" i="1"/>
  <c r="BG105" i="1"/>
  <c r="Q105" i="1"/>
  <c r="K104" i="1"/>
  <c r="Y105" i="1"/>
  <c r="AQ105" i="1"/>
  <c r="AB105" i="1"/>
  <c r="AY105" i="1"/>
  <c r="BK104" i="1"/>
  <c r="BR104" i="1"/>
  <c r="AQ104" i="1"/>
  <c r="H83" i="1"/>
  <c r="G83" i="1"/>
  <c r="G104" i="1"/>
  <c r="BX82" i="1"/>
  <c r="BX103" i="1"/>
  <c r="CD105" i="1"/>
  <c r="T82" i="1"/>
  <c r="T103" i="1"/>
  <c r="CJ103" i="1"/>
  <c r="CU74" i="1"/>
  <c r="CU95" i="1"/>
  <c r="CT74" i="1"/>
  <c r="CT95" i="1"/>
  <c r="CR74" i="1"/>
  <c r="CR95" i="1"/>
  <c r="AY84" i="1"/>
  <c r="W83" i="1"/>
  <c r="AZ83" i="1"/>
  <c r="BO69" i="1"/>
  <c r="BO84" i="1"/>
  <c r="BV68" i="1"/>
  <c r="D69" i="1"/>
  <c r="D84" i="1"/>
  <c r="AE68" i="1"/>
  <c r="AE83" i="1"/>
  <c r="CB69" i="1"/>
  <c r="CB84" i="1"/>
  <c r="G69" i="1"/>
  <c r="G84" i="1"/>
  <c r="K69" i="1"/>
  <c r="K84" i="1"/>
  <c r="Z68" i="1"/>
  <c r="BN69" i="1"/>
  <c r="BN84" i="1"/>
  <c r="AW69" i="1"/>
  <c r="AW84" i="1"/>
  <c r="AR69" i="1"/>
  <c r="AR84" i="1"/>
  <c r="BZ68" i="1"/>
  <c r="AV68" i="1"/>
  <c r="AV83" i="1"/>
  <c r="AD69" i="1"/>
  <c r="AD84" i="1"/>
  <c r="AX69" i="1"/>
  <c r="AX84" i="1"/>
  <c r="BL68" i="1"/>
  <c r="BL83" i="1"/>
  <c r="BK69" i="1"/>
  <c r="BK84" i="1"/>
  <c r="AU69" i="1"/>
  <c r="AU84" i="1"/>
  <c r="BI69" i="1"/>
  <c r="BI84" i="1"/>
  <c r="F69" i="1"/>
  <c r="F84" i="1"/>
  <c r="AH68" i="1"/>
  <c r="AA69" i="1"/>
  <c r="AA84" i="1"/>
  <c r="BB68" i="1"/>
  <c r="BB83" i="1"/>
  <c r="AJ69" i="1"/>
  <c r="AJ84" i="1"/>
  <c r="AB69" i="1"/>
  <c r="AB84" i="1"/>
  <c r="BK68" i="1"/>
  <c r="BK83" i="1"/>
  <c r="AE69" i="1"/>
  <c r="AE84" i="1"/>
  <c r="W69" i="1"/>
  <c r="W84" i="1"/>
  <c r="BC68" i="1"/>
  <c r="BC83" i="1"/>
  <c r="R69" i="1"/>
  <c r="R84" i="1"/>
  <c r="BT69" i="1"/>
  <c r="BT84" i="1"/>
  <c r="AI68" i="1"/>
  <c r="AI83" i="1"/>
  <c r="U69" i="1"/>
  <c r="U84" i="1"/>
  <c r="BN68" i="1"/>
  <c r="AS69" i="1"/>
  <c r="AS84" i="1"/>
  <c r="BZ69" i="1"/>
  <c r="BZ84" i="1"/>
  <c r="BJ69" i="1"/>
  <c r="BJ84" i="1"/>
  <c r="CF69" i="1"/>
  <c r="CF84" i="1"/>
  <c r="AF69" i="1"/>
  <c r="AF84" i="1"/>
  <c r="AD68" i="1"/>
  <c r="CH69" i="1"/>
  <c r="CH84" i="1"/>
  <c r="AL68" i="1"/>
  <c r="BM69" i="1"/>
  <c r="BM84" i="1"/>
  <c r="AT68" i="1"/>
  <c r="BE69" i="1"/>
  <c r="BE84" i="1"/>
  <c r="CK69" i="1"/>
  <c r="CK84" i="1"/>
  <c r="V68" i="1"/>
  <c r="AY68" i="1"/>
  <c r="AY83" i="1"/>
  <c r="BS68" i="1"/>
  <c r="BS83" i="1"/>
  <c r="CA84" i="1"/>
  <c r="BG69" i="1"/>
  <c r="BG84" i="1"/>
  <c r="AW68" i="1"/>
  <c r="AW83" i="1"/>
  <c r="AZ69" i="1"/>
  <c r="AZ84" i="1"/>
  <c r="AQ69" i="1"/>
  <c r="AQ84" i="1"/>
  <c r="CJ69" i="1"/>
  <c r="CJ84" i="1"/>
  <c r="R68" i="1"/>
  <c r="BX69" i="1"/>
  <c r="BX84" i="1"/>
  <c r="AI69" i="1"/>
  <c r="AI84" i="1"/>
  <c r="S69" i="1"/>
  <c r="S84" i="1"/>
  <c r="CH68" i="1"/>
  <c r="C69" i="1"/>
  <c r="C84" i="1"/>
  <c r="CD68" i="1"/>
  <c r="CI69" i="1"/>
  <c r="CI84" i="1"/>
  <c r="BP69" i="1"/>
  <c r="BP84" i="1"/>
  <c r="AN69" i="1"/>
  <c r="AN84" i="1"/>
  <c r="L69" i="1"/>
  <c r="L84" i="1"/>
  <c r="BJ68" i="1"/>
  <c r="AK69" i="1"/>
  <c r="AK84" i="1"/>
  <c r="X69" i="1"/>
  <c r="X84" i="1"/>
  <c r="AJ68" i="1"/>
  <c r="AJ83" i="1"/>
  <c r="BQ69" i="1"/>
  <c r="BQ84" i="1"/>
  <c r="AG69" i="1"/>
  <c r="AG84" i="1"/>
  <c r="J68" i="1"/>
  <c r="E68" i="1"/>
  <c r="AT69" i="1"/>
  <c r="AT84" i="1"/>
  <c r="AA68" i="1"/>
  <c r="AA83" i="1"/>
  <c r="BU69" i="1"/>
  <c r="BU84" i="1"/>
  <c r="V69" i="1"/>
  <c r="V84" i="1"/>
  <c r="AP69" i="1"/>
  <c r="AP84" i="1"/>
  <c r="N68" i="1"/>
  <c r="BR69" i="1"/>
  <c r="BR84" i="1"/>
  <c r="C68" i="1"/>
  <c r="C83" i="1"/>
  <c r="AO69" i="1"/>
  <c r="AO84" i="1"/>
  <c r="Q69" i="1"/>
  <c r="Q84" i="1"/>
  <c r="K68" i="1"/>
  <c r="K83" i="1"/>
  <c r="CG69" i="1"/>
  <c r="CG84" i="1"/>
  <c r="AQ68" i="1"/>
  <c r="AQ83" i="1"/>
  <c r="BO68" i="1"/>
  <c r="BO83" i="1"/>
  <c r="BC69" i="1"/>
  <c r="BC84" i="1"/>
  <c r="BA68" i="1"/>
  <c r="BA83" i="1"/>
  <c r="AM69" i="1"/>
  <c r="AM84" i="1"/>
  <c r="S68" i="1"/>
  <c r="S83" i="1"/>
  <c r="BV69" i="1"/>
  <c r="BV84" i="1"/>
  <c r="E70" i="1"/>
  <c r="L68" i="1"/>
  <c r="L83" i="1"/>
  <c r="AV69" i="1"/>
  <c r="AV84" i="1"/>
  <c r="Z69" i="1"/>
  <c r="Z84" i="1"/>
  <c r="CA68" i="1"/>
  <c r="CA83" i="1"/>
  <c r="BL69" i="1"/>
  <c r="BL84" i="1"/>
  <c r="P69" i="1"/>
  <c r="P84" i="1"/>
  <c r="M67" i="1"/>
  <c r="M82" i="1"/>
  <c r="N82" i="1"/>
  <c r="BY69" i="1"/>
  <c r="BY84" i="1"/>
  <c r="BS69" i="1"/>
  <c r="BS84" i="1"/>
  <c r="AH69" i="1"/>
  <c r="AH84" i="1"/>
  <c r="N69" i="1"/>
  <c r="N84" i="1"/>
  <c r="BF68" i="1"/>
  <c r="J84" i="1"/>
  <c r="AX83" i="1"/>
  <c r="O69" i="1"/>
  <c r="O84" i="1"/>
  <c r="BW69" i="1"/>
  <c r="BW84" i="1"/>
  <c r="Y69" i="1"/>
  <c r="Y84" i="1"/>
  <c r="I67" i="1"/>
  <c r="I82" i="1"/>
  <c r="J82" i="1"/>
  <c r="I69" i="1"/>
  <c r="I84" i="1"/>
  <c r="O68" i="1"/>
  <c r="O83" i="1"/>
  <c r="H69" i="1"/>
  <c r="H84" i="1"/>
  <c r="M69" i="1"/>
  <c r="M84" i="1"/>
  <c r="BW68" i="1"/>
  <c r="BW83" i="1"/>
  <c r="BG68" i="1"/>
  <c r="BG83" i="1"/>
  <c r="BA69" i="1"/>
  <c r="BA84" i="1"/>
  <c r="AM68" i="1"/>
  <c r="AM83" i="1"/>
  <c r="CE69" i="1"/>
  <c r="CE84" i="1"/>
  <c r="BH84" i="1"/>
  <c r="CI68" i="1"/>
  <c r="CI83" i="1"/>
  <c r="T69" i="1"/>
  <c r="T84" i="1"/>
  <c r="BB69" i="1"/>
  <c r="BB84" i="1"/>
  <c r="BD69" i="1"/>
  <c r="BD84" i="1"/>
  <c r="CE68" i="1"/>
  <c r="CE83" i="1"/>
  <c r="BF69" i="1"/>
  <c r="BF84" i="1"/>
  <c r="AL69" i="1"/>
  <c r="AL84" i="1"/>
  <c r="AP68" i="1"/>
  <c r="BH67" i="1"/>
  <c r="BH82" i="1"/>
  <c r="CJ67" i="1"/>
  <c r="CJ82" i="1"/>
  <c r="AU68" i="1"/>
  <c r="AU83" i="1"/>
  <c r="F68" i="1"/>
  <c r="F83" i="1"/>
  <c r="AC69" i="1"/>
  <c r="AC84" i="1"/>
  <c r="E69" i="1"/>
  <c r="E84" i="1"/>
  <c r="CR59" i="1"/>
  <c r="CU59" i="1"/>
  <c r="CT59" i="1"/>
  <c r="T46" i="1"/>
  <c r="T67" i="1"/>
  <c r="AY48" i="1"/>
  <c r="AY69" i="1"/>
  <c r="BR68" i="1"/>
  <c r="CB46" i="1"/>
  <c r="BX67" i="1"/>
  <c r="AZ47" i="1"/>
  <c r="AZ68" i="1"/>
  <c r="W47" i="1"/>
  <c r="W68" i="1"/>
  <c r="CD48" i="1"/>
  <c r="CD69" i="1"/>
  <c r="CA69" i="1"/>
  <c r="H68" i="1"/>
  <c r="G47" i="1"/>
  <c r="G68" i="1"/>
  <c r="J26" i="1"/>
  <c r="J11" i="3" s="1"/>
  <c r="J25" i="3" s="1"/>
  <c r="J69" i="1"/>
  <c r="AX68" i="1"/>
  <c r="BH48" i="1"/>
  <c r="BH69" i="1"/>
  <c r="O48" i="1"/>
  <c r="BV47" i="1"/>
  <c r="BF47" i="1"/>
  <c r="BA47" i="1"/>
  <c r="O47" i="1"/>
  <c r="H48" i="1"/>
  <c r="CK48" i="1"/>
  <c r="BW47" i="1"/>
  <c r="CA26" i="1"/>
  <c r="AE47" i="1"/>
  <c r="BC47" i="1"/>
  <c r="AR48" i="1"/>
  <c r="CE47" i="1"/>
  <c r="AZ48" i="1"/>
  <c r="J25" i="1"/>
  <c r="BN47" i="1"/>
  <c r="AG48" i="1"/>
  <c r="DI8" i="1"/>
  <c r="DC8" i="1"/>
  <c r="CY38" i="1"/>
  <c r="CY116" i="1" s="1"/>
  <c r="CV9" i="51"/>
  <c r="CV38" i="1"/>
  <c r="CV116" i="1" s="1"/>
  <c r="CA25" i="1"/>
  <c r="CU290" i="119" s="1"/>
  <c r="BV221" i="30" s="1"/>
  <c r="E29" i="1"/>
  <c r="E30" i="1"/>
  <c r="G48" i="1"/>
  <c r="BP48" i="1"/>
  <c r="BO47" i="1"/>
  <c r="AI47" i="1"/>
  <c r="BJ47" i="1"/>
  <c r="AF48" i="1"/>
  <c r="BY48" i="1"/>
  <c r="AN48" i="1"/>
  <c r="R47" i="1"/>
  <c r="CE48" i="1"/>
  <c r="J47" i="1"/>
  <c r="BN48" i="1"/>
  <c r="T48" i="1"/>
  <c r="X48" i="1"/>
  <c r="AD47" i="1"/>
  <c r="CH48" i="1"/>
  <c r="BF48" i="1"/>
  <c r="AP47" i="1"/>
  <c r="Q48" i="1"/>
  <c r="AB48" i="1"/>
  <c r="BK47" i="1"/>
  <c r="CJ48" i="1"/>
  <c r="S48" i="1"/>
  <c r="CB48" i="1"/>
  <c r="M48" i="1"/>
  <c r="BG47" i="1"/>
  <c r="BA48" i="1"/>
  <c r="AM47" i="1"/>
  <c r="AW48" i="1"/>
  <c r="AJ25" i="1"/>
  <c r="BD290" i="119" s="1"/>
  <c r="AE221" i="30" s="1"/>
  <c r="AJ48" i="1"/>
  <c r="AV48" i="1"/>
  <c r="AL47" i="1"/>
  <c r="BM25" i="1"/>
  <c r="CG290" i="119" s="1"/>
  <c r="BH221" i="30" s="1"/>
  <c r="BM48" i="1"/>
  <c r="FY16" i="1"/>
  <c r="M46" i="1"/>
  <c r="BS48" i="1"/>
  <c r="V48" i="1"/>
  <c r="AP48" i="1"/>
  <c r="N47" i="1"/>
  <c r="BR26" i="1"/>
  <c r="BR48" i="1"/>
  <c r="AS48" i="1"/>
  <c r="BZ47" i="1"/>
  <c r="BQ25" i="1"/>
  <c r="CK290" i="119" s="1"/>
  <c r="BL221" i="30" s="1"/>
  <c r="BQ48" i="1"/>
  <c r="AU25" i="1"/>
  <c r="BO290" i="119" s="1"/>
  <c r="AP221" i="30" s="1"/>
  <c r="AU48" i="1"/>
  <c r="CJ46" i="1"/>
  <c r="CN46" i="1"/>
  <c r="AU47" i="1"/>
  <c r="F47" i="1"/>
  <c r="AH25" i="1"/>
  <c r="BB290" i="119" s="1"/>
  <c r="AC221" i="30" s="1"/>
  <c r="AH48" i="1"/>
  <c r="N26" i="1"/>
  <c r="N48" i="1"/>
  <c r="X46" i="1"/>
  <c r="AX47" i="1"/>
  <c r="AI48" i="1"/>
  <c r="AO48" i="1"/>
  <c r="BW48" i="1"/>
  <c r="BG48" i="1"/>
  <c r="CH47" i="1"/>
  <c r="CD47" i="1"/>
  <c r="CI48" i="1"/>
  <c r="L48" i="1"/>
  <c r="BZ26" i="1"/>
  <c r="BZ48" i="1"/>
  <c r="BJ48" i="1"/>
  <c r="AQ48" i="1"/>
  <c r="Z48" i="1"/>
  <c r="CA47" i="1"/>
  <c r="AT47" i="1"/>
  <c r="AC48" i="1"/>
  <c r="J48" i="1"/>
  <c r="AE48" i="1"/>
  <c r="W48" i="1"/>
  <c r="R48" i="1"/>
  <c r="BT48" i="1"/>
  <c r="U48" i="1"/>
  <c r="K47" i="1"/>
  <c r="L47" i="1"/>
  <c r="AK25" i="1"/>
  <c r="BE290" i="119" s="1"/>
  <c r="AF221" i="30" s="1"/>
  <c r="AK48" i="1"/>
  <c r="AD48" i="1"/>
  <c r="AX48" i="1"/>
  <c r="AL48" i="1"/>
  <c r="BH46" i="1"/>
  <c r="BL46" i="1"/>
  <c r="BL48" i="1"/>
  <c r="BI25" i="1"/>
  <c r="CC290" i="119" s="1"/>
  <c r="BD221" i="30" s="1"/>
  <c r="BI48" i="1"/>
  <c r="F48" i="1"/>
  <c r="BR47" i="1"/>
  <c r="CF48" i="1"/>
  <c r="I25" i="1"/>
  <c r="I48" i="1"/>
  <c r="AT26" i="1"/>
  <c r="AT48" i="1"/>
  <c r="BE48" i="1"/>
  <c r="V47" i="1"/>
  <c r="AY47" i="1"/>
  <c r="AH47" i="1"/>
  <c r="AQ47" i="1"/>
  <c r="CA48" i="1"/>
  <c r="BX48" i="1"/>
  <c r="BX17" i="1"/>
  <c r="CR20" i="119" s="1"/>
  <c r="BX46" i="1"/>
  <c r="CI47" i="1"/>
  <c r="BO48" i="1"/>
  <c r="BC48" i="1"/>
  <c r="AM48" i="1"/>
  <c r="S47" i="1"/>
  <c r="BV48" i="1"/>
  <c r="K48" i="1"/>
  <c r="Z47" i="1"/>
  <c r="Y48" i="1"/>
  <c r="I17" i="1"/>
  <c r="I46" i="1"/>
  <c r="BB48" i="1"/>
  <c r="BD25" i="1"/>
  <c r="BX290" i="119" s="1"/>
  <c r="AY221" i="30" s="1"/>
  <c r="BD48" i="1"/>
  <c r="BK48" i="1"/>
  <c r="P48" i="1"/>
  <c r="AA47" i="1"/>
  <c r="BU48" i="1"/>
  <c r="BS47" i="1"/>
  <c r="AA48" i="1"/>
  <c r="BB47" i="1"/>
  <c r="CB8" i="6"/>
  <c r="AC25" i="1"/>
  <c r="AW290" i="119" s="1"/>
  <c r="BR25" i="1"/>
  <c r="CL290" i="119" s="1"/>
  <c r="BM221" i="30" s="1"/>
  <c r="CV10" i="92"/>
  <c r="CZ8" i="1"/>
  <c r="CV9" i="2"/>
  <c r="V25" i="1"/>
  <c r="AP290" i="119" s="1"/>
  <c r="BI26" i="1"/>
  <c r="DZ38" i="6"/>
  <c r="N25" i="1"/>
  <c r="EY23" i="1"/>
  <c r="N30" i="119" s="1"/>
  <c r="BE26" i="1"/>
  <c r="ED38" i="6"/>
  <c r="BX26" i="51"/>
  <c r="BY44" i="51"/>
  <c r="BS45" i="51"/>
  <c r="BN37" i="51"/>
  <c r="BU44" i="51"/>
  <c r="BR26" i="51"/>
  <c r="CC42" i="51"/>
  <c r="CD8" i="6"/>
  <c r="DB8" i="1"/>
  <c r="FC23" i="1"/>
  <c r="R30" i="119" s="1"/>
  <c r="AC26" i="1"/>
  <c r="AP25" i="1"/>
  <c r="BJ290" i="119" s="1"/>
  <c r="AK221" i="30" s="1"/>
  <c r="BS26" i="1"/>
  <c r="BS25" i="1"/>
  <c r="CM290" i="119" s="1"/>
  <c r="BN221" i="30" s="1"/>
  <c r="FI53" i="51"/>
  <c r="L48" i="3"/>
  <c r="M43" i="3"/>
  <c r="AH26" i="1"/>
  <c r="AP26" i="1"/>
  <c r="BE25" i="1"/>
  <c r="BY290" i="119" s="1"/>
  <c r="AZ221" i="30" s="1"/>
  <c r="V26" i="1"/>
  <c r="CE8" i="6"/>
  <c r="CY9" i="51"/>
  <c r="FI25" i="51"/>
  <c r="AF81" i="2"/>
  <c r="FO20" i="2"/>
  <c r="AC53" i="119" s="1"/>
  <c r="F25" i="1"/>
  <c r="B26" i="1"/>
  <c r="B70" i="1" s="1"/>
  <c r="GC23" i="1"/>
  <c r="F26" i="1"/>
  <c r="F127" i="1" s="1"/>
  <c r="CM54" i="51"/>
  <c r="CT43" i="2"/>
  <c r="CU41" i="2"/>
  <c r="BI35" i="3"/>
  <c r="CC101" i="119" s="1"/>
  <c r="BD92" i="30" s="1"/>
  <c r="D48" i="3"/>
  <c r="AG53" i="2"/>
  <c r="BI53" i="2"/>
  <c r="BU16" i="1"/>
  <c r="CO21" i="119" s="1"/>
  <c r="BY53" i="2"/>
  <c r="BP53" i="2"/>
  <c r="BU79" i="2"/>
  <c r="BU84" i="2" s="1"/>
  <c r="ES59" i="2"/>
  <c r="CJ17" i="1"/>
  <c r="FA59" i="2"/>
  <c r="BT81" i="2"/>
  <c r="M17" i="1"/>
  <c r="BM48" i="3"/>
  <c r="CG107" i="119" s="1"/>
  <c r="BH97" i="30" s="1"/>
  <c r="BK53" i="2"/>
  <c r="AG24" i="3"/>
  <c r="BA94" i="119" s="1"/>
  <c r="AB85" i="30" s="1"/>
  <c r="AG80" i="2"/>
  <c r="EU32" i="3"/>
  <c r="I97" i="119" s="1"/>
  <c r="I88" i="30" s="1"/>
  <c r="AG48" i="3"/>
  <c r="BA107" i="119" s="1"/>
  <c r="AB97" i="30" s="1"/>
  <c r="DE9" i="51"/>
  <c r="I26" i="1"/>
  <c r="CH26" i="1"/>
  <c r="AT25" i="1"/>
  <c r="BN290" i="119" s="1"/>
  <c r="AO221" i="30" s="1"/>
  <c r="BY25" i="1"/>
  <c r="CS290" i="119" s="1"/>
  <c r="BT221" i="30" s="1"/>
  <c r="CY10" i="92"/>
  <c r="AF25" i="1"/>
  <c r="AZ290" i="119" s="1"/>
  <c r="AA221" i="30" s="1"/>
  <c r="BJ25" i="1"/>
  <c r="CD290" i="119" s="1"/>
  <c r="BE221" i="30" s="1"/>
  <c r="B25" i="1"/>
  <c r="AJ26" i="1"/>
  <c r="BB25" i="1"/>
  <c r="BV290" i="119" s="1"/>
  <c r="AW221" i="30" s="1"/>
  <c r="BD53" i="2"/>
  <c r="AW53" i="2"/>
  <c r="CS43" i="2"/>
  <c r="S53" i="2"/>
  <c r="BR41" i="51"/>
  <c r="BR44" i="51"/>
  <c r="CH25" i="1"/>
  <c r="DB290" i="119" s="1"/>
  <c r="CC221" i="30" s="1"/>
  <c r="CE53" i="2"/>
  <c r="CM45" i="51"/>
  <c r="CX10" i="92"/>
  <c r="BE34" i="3"/>
  <c r="CT13" i="51"/>
  <c r="CM43" i="51"/>
  <c r="GN17" i="51"/>
  <c r="GN44" i="51" s="1"/>
  <c r="P26" i="1"/>
  <c r="BY26" i="1"/>
  <c r="FW23" i="1"/>
  <c r="CR43" i="2"/>
  <c r="FK42" i="2"/>
  <c r="BS54" i="3"/>
  <c r="FG43" i="3"/>
  <c r="U104" i="119" s="1"/>
  <c r="U95" i="30" s="1"/>
  <c r="FE42" i="3"/>
  <c r="P25" i="1"/>
  <c r="Q35" i="3"/>
  <c r="BM44" i="51"/>
  <c r="AU26" i="1"/>
  <c r="BE53" i="2"/>
  <c r="CG26" i="1"/>
  <c r="BO37" i="6"/>
  <c r="BO95" i="6" s="1"/>
  <c r="FA38" i="6"/>
  <c r="CO22" i="51"/>
  <c r="CF26" i="1"/>
  <c r="BJ26" i="1"/>
  <c r="BM26" i="1"/>
  <c r="BB26" i="1"/>
  <c r="BZ25" i="1"/>
  <c r="CT290" i="119" s="1"/>
  <c r="BU221" i="30" s="1"/>
  <c r="GQ23" i="1"/>
  <c r="CQ43" i="2"/>
  <c r="BO53" i="2"/>
  <c r="EV51" i="2"/>
  <c r="J70" i="119" s="1"/>
  <c r="J66" i="30" s="1"/>
  <c r="EN23" i="1"/>
  <c r="CG25" i="1"/>
  <c r="DA290" i="119" s="1"/>
  <c r="CB221" i="30" s="1"/>
  <c r="FI42" i="3"/>
  <c r="AG25" i="1"/>
  <c r="BA290" i="119" s="1"/>
  <c r="AB221" i="30" s="1"/>
  <c r="GL23" i="1"/>
  <c r="BM40" i="51"/>
  <c r="CM9" i="1"/>
  <c r="CL37" i="51"/>
  <c r="BM41" i="51"/>
  <c r="CK115" i="2"/>
  <c r="CG115" i="2"/>
  <c r="EZ24" i="51"/>
  <c r="CX9" i="51"/>
  <c r="BL26" i="1"/>
  <c r="BD26" i="1"/>
  <c r="AL26" i="1"/>
  <c r="AQ25" i="1"/>
  <c r="BK290" i="119" s="1"/>
  <c r="AL221" i="30" s="1"/>
  <c r="AG26" i="1"/>
  <c r="BL25" i="1"/>
  <c r="CF290" i="119" s="1"/>
  <c r="BG221" i="30" s="1"/>
  <c r="AF26" i="1"/>
  <c r="AL25" i="1"/>
  <c r="BF290" i="119" s="1"/>
  <c r="AG221" i="30" s="1"/>
  <c r="AQ26" i="1"/>
  <c r="FE18" i="1"/>
  <c r="FE23" i="1" s="1"/>
  <c r="T30" i="119" s="1"/>
  <c r="EG38" i="6"/>
  <c r="FD18" i="1"/>
  <c r="FD23" i="1" s="1"/>
  <c r="S30" i="119" s="1"/>
  <c r="FG24" i="51"/>
  <c r="BP81" i="2"/>
  <c r="CK48" i="3"/>
  <c r="BQ80" i="2"/>
  <c r="CC25" i="3"/>
  <c r="FD28" i="3"/>
  <c r="R100" i="119" s="1"/>
  <c r="R91" i="30" s="1"/>
  <c r="BQ35" i="3"/>
  <c r="CK101" i="119" s="1"/>
  <c r="BL92" i="30" s="1"/>
  <c r="GA23" i="1"/>
  <c r="BH17" i="1"/>
  <c r="CB20" i="119" s="1"/>
  <c r="Z25" i="1"/>
  <c r="AT290" i="119" s="1"/>
  <c r="CC48" i="3"/>
  <c r="CW107" i="119" s="1"/>
  <c r="BX97" i="30" s="1"/>
  <c r="BI79" i="2"/>
  <c r="BI84" i="2" s="1"/>
  <c r="BI16" i="1"/>
  <c r="CC21" i="119" s="1"/>
  <c r="FB12" i="3"/>
  <c r="EZ59" i="2"/>
  <c r="BW53" i="2"/>
  <c r="FH18" i="1"/>
  <c r="FH23" i="1" s="1"/>
  <c r="W30" i="119" s="1"/>
  <c r="GO23" i="1"/>
  <c r="BH91" i="2"/>
  <c r="CB49" i="119" s="1"/>
  <c r="BC47" i="30" s="1"/>
  <c r="FG42" i="3"/>
  <c r="BI80" i="2"/>
  <c r="E81" i="2"/>
  <c r="BH81" i="2"/>
  <c r="AB25" i="1"/>
  <c r="AV290" i="119" s="1"/>
  <c r="AB26" i="1"/>
  <c r="AI53" i="2"/>
  <c r="CP21" i="51"/>
  <c r="FG31" i="3"/>
  <c r="CN35" i="3"/>
  <c r="BU48" i="3"/>
  <c r="CO107" i="119" s="1"/>
  <c r="BP97" i="30" s="1"/>
  <c r="BM43" i="51"/>
  <c r="FB17" i="51"/>
  <c r="CS101" i="92"/>
  <c r="CA54" i="3"/>
  <c r="FI24" i="3"/>
  <c r="W94" i="119" s="1"/>
  <c r="W85" i="30" s="1"/>
  <c r="AB91" i="2"/>
  <c r="AV49" i="119" s="1"/>
  <c r="GM17" i="51"/>
  <c r="GM44" i="51" s="1"/>
  <c r="CO34" i="3"/>
  <c r="AY25" i="1"/>
  <c r="BS290" i="119" s="1"/>
  <c r="AT221" i="30" s="1"/>
  <c r="AY26" i="1"/>
  <c r="BM46" i="51"/>
  <c r="BM42" i="51"/>
  <c r="CX9" i="2"/>
  <c r="BQ26" i="1"/>
  <c r="GG23" i="1"/>
  <c r="BK26" i="1"/>
  <c r="BK25" i="1"/>
  <c r="CE290" i="119" s="1"/>
  <c r="BF221" i="30" s="1"/>
  <c r="CF25" i="1"/>
  <c r="CZ290" i="119" s="1"/>
  <c r="CA221" i="30" s="1"/>
  <c r="Z26" i="1"/>
  <c r="BM26" i="51"/>
  <c r="BM37" i="51"/>
  <c r="BM45" i="51"/>
  <c r="AW81" i="2"/>
  <c r="Q80" i="2"/>
  <c r="BU80" i="2"/>
  <c r="CG53" i="2"/>
  <c r="DY38" i="6"/>
  <c r="EX23" i="1"/>
  <c r="M30" i="119" s="1"/>
  <c r="EO28" i="3"/>
  <c r="FC59" i="2"/>
  <c r="AL53" i="2"/>
  <c r="FE32" i="3"/>
  <c r="BO54" i="3"/>
  <c r="AR81" i="2"/>
  <c r="AS80" i="2"/>
  <c r="BQ26" i="51"/>
  <c r="CC46" i="51"/>
  <c r="GN24" i="51"/>
  <c r="CM41" i="51"/>
  <c r="CM42" i="51"/>
  <c r="BR42" i="51"/>
  <c r="CJ26" i="51"/>
  <c r="CJ27" i="51" s="1"/>
  <c r="CJ184" i="112" s="1"/>
  <c r="CM26" i="51"/>
  <c r="CM46" i="51"/>
  <c r="BV26" i="51"/>
  <c r="CM44" i="51"/>
  <c r="CM40" i="51"/>
  <c r="BR37" i="51"/>
  <c r="GO24" i="51"/>
  <c r="GM24" i="51"/>
  <c r="CR22" i="51"/>
  <c r="BS44" i="51"/>
  <c r="BS43" i="51"/>
  <c r="GQ24" i="51"/>
  <c r="BS42" i="51"/>
  <c r="CF37" i="51"/>
  <c r="BW26" i="51"/>
  <c r="BR46" i="51"/>
  <c r="BR45" i="51"/>
  <c r="BS41" i="51"/>
  <c r="BS26" i="51"/>
  <c r="BS46" i="51"/>
  <c r="FB24" i="51"/>
  <c r="BR43" i="51"/>
  <c r="BR40" i="51"/>
  <c r="BS40" i="51"/>
  <c r="BS37" i="51"/>
  <c r="FC24" i="51"/>
  <c r="GP24" i="51"/>
  <c r="GP17" i="51"/>
  <c r="GP68" i="51" s="1"/>
  <c r="FE17" i="51"/>
  <c r="GJ24" i="51"/>
  <c r="EY24" i="51"/>
  <c r="FA24" i="51"/>
  <c r="BY37" i="51"/>
  <c r="GL24" i="51"/>
  <c r="GQ17" i="51"/>
  <c r="GQ68" i="51" s="1"/>
  <c r="CD37" i="51"/>
  <c r="FF17" i="51"/>
  <c r="CC43" i="51"/>
  <c r="CC41" i="51"/>
  <c r="CC40" i="51"/>
  <c r="CC37" i="51"/>
  <c r="CC26" i="51"/>
  <c r="CC27" i="51" s="1"/>
  <c r="CC45" i="51"/>
  <c r="CC44" i="51"/>
  <c r="CR33" i="51"/>
  <c r="FV95" i="51" s="1"/>
  <c r="FD17" i="51"/>
  <c r="GO17" i="51"/>
  <c r="GO68" i="51" s="1"/>
  <c r="BT37" i="51"/>
  <c r="CH45" i="51"/>
  <c r="CH46" i="51"/>
  <c r="CH40" i="51"/>
  <c r="CH41" i="51"/>
  <c r="CH43" i="51"/>
  <c r="CH26" i="51"/>
  <c r="CH27" i="51" s="1"/>
  <c r="CH184" i="112" s="1"/>
  <c r="CI37" i="51"/>
  <c r="CH42" i="51"/>
  <c r="CH44" i="51"/>
  <c r="FD24" i="51"/>
  <c r="FE24" i="51"/>
  <c r="FF24" i="51"/>
  <c r="CF44" i="51"/>
  <c r="CF42" i="51"/>
  <c r="CF43" i="51"/>
  <c r="CF41" i="51"/>
  <c r="CF46" i="51"/>
  <c r="CF45" i="51"/>
  <c r="CF40" i="51"/>
  <c r="CF26" i="51"/>
  <c r="CL9" i="1"/>
  <c r="FE51" i="2"/>
  <c r="S70" i="119" s="1"/>
  <c r="S66" i="30" s="1"/>
  <c r="FH51" i="2"/>
  <c r="AX26" i="1"/>
  <c r="AX25" i="1"/>
  <c r="BR290" i="119" s="1"/>
  <c r="AS221" i="30" s="1"/>
  <c r="BF26" i="1"/>
  <c r="BF25" i="1"/>
  <c r="BZ290" i="119" s="1"/>
  <c r="BA221" i="30" s="1"/>
  <c r="AV25" i="1"/>
  <c r="BP290" i="119" s="1"/>
  <c r="AQ221" i="30" s="1"/>
  <c r="FZ23" i="1"/>
  <c r="AV26" i="1"/>
  <c r="AD25" i="1"/>
  <c r="AX290" i="119" s="1"/>
  <c r="Y221" i="30" s="1"/>
  <c r="AK26" i="1"/>
  <c r="EO23" i="1"/>
  <c r="AD26" i="1"/>
  <c r="T17" i="1"/>
  <c r="AN20" i="119" s="1"/>
  <c r="AN259" i="119" s="1"/>
  <c r="FX16" i="1"/>
  <c r="BU53" i="2"/>
  <c r="ER59" i="2"/>
  <c r="FA51" i="2"/>
  <c r="O70" i="119" s="1"/>
  <c r="O66" i="30" s="1"/>
  <c r="FX23" i="1"/>
  <c r="X25" i="1"/>
  <c r="AR290" i="119" s="1"/>
  <c r="X26" i="1"/>
  <c r="T26" i="1"/>
  <c r="T25" i="1"/>
  <c r="AN290" i="119" s="1"/>
  <c r="GH23" i="1"/>
  <c r="EE38" i="6"/>
  <c r="EV23" i="1"/>
  <c r="K30" i="119" s="1"/>
  <c r="DW38" i="6"/>
  <c r="L26" i="1"/>
  <c r="L25" i="1"/>
  <c r="EB38" i="6"/>
  <c r="FA23" i="1"/>
  <c r="P30" i="119" s="1"/>
  <c r="FF51" i="2"/>
  <c r="T70" i="119" s="1"/>
  <c r="T66" i="30" s="1"/>
  <c r="FD51" i="2"/>
  <c r="R70" i="119" s="1"/>
  <c r="R66" i="30" s="1"/>
  <c r="FF59" i="2"/>
  <c r="AO53" i="2"/>
  <c r="BN53" i="2"/>
  <c r="BT91" i="2"/>
  <c r="CN49" i="119" s="1"/>
  <c r="BO47" i="30" s="1"/>
  <c r="AN91" i="2"/>
  <c r="BH49" i="119" s="1"/>
  <c r="AI47" i="30" s="1"/>
  <c r="BR53" i="2"/>
  <c r="AZ91" i="2"/>
  <c r="BT49" i="119" s="1"/>
  <c r="AU47" i="30" s="1"/>
  <c r="AR91" i="2"/>
  <c r="BL49" i="119" s="1"/>
  <c r="AM47" i="30" s="1"/>
  <c r="BF53" i="2"/>
  <c r="BD91" i="2"/>
  <c r="BX49" i="119" s="1"/>
  <c r="AY47" i="30" s="1"/>
  <c r="CI26" i="1"/>
  <c r="CI25" i="1"/>
  <c r="DC290" i="119" s="1"/>
  <c r="CD221" i="30" s="1"/>
  <c r="BP25" i="1"/>
  <c r="CJ290" i="119" s="1"/>
  <c r="BK221" i="30" s="1"/>
  <c r="BP26" i="1"/>
  <c r="GD23" i="1"/>
  <c r="CY9" i="2"/>
  <c r="EH38" i="6"/>
  <c r="AN25" i="1"/>
  <c r="BH290" i="119" s="1"/>
  <c r="AI221" i="30" s="1"/>
  <c r="AN26" i="1"/>
  <c r="DS38" i="6"/>
  <c r="ER23" i="1"/>
  <c r="G30" i="119" s="1"/>
  <c r="BH25" i="1"/>
  <c r="CB290" i="119" s="1"/>
  <c r="BC221" i="30" s="1"/>
  <c r="BH26" i="1"/>
  <c r="EP23" i="1"/>
  <c r="EI38" i="6"/>
  <c r="AZ26" i="1"/>
  <c r="AZ25" i="1"/>
  <c r="BT290" i="119" s="1"/>
  <c r="AU221" i="30" s="1"/>
  <c r="GB23" i="1"/>
  <c r="AJ91" i="2"/>
  <c r="BD49" i="119" s="1"/>
  <c r="AE47" i="30" s="1"/>
  <c r="AF91" i="2"/>
  <c r="AZ49" i="119" s="1"/>
  <c r="AA47" i="30" s="1"/>
  <c r="BL91" i="2"/>
  <c r="CF49" i="119" s="1"/>
  <c r="BG47" i="30" s="1"/>
  <c r="FI51" i="2"/>
  <c r="W70" i="119" s="1"/>
  <c r="W66" i="30" s="1"/>
  <c r="FI59" i="2"/>
  <c r="BP91" i="2"/>
  <c r="CJ49" i="119" s="1"/>
  <c r="BK47" i="30" s="1"/>
  <c r="AS53" i="2"/>
  <c r="X91" i="2"/>
  <c r="AR49" i="119" s="1"/>
  <c r="AV91" i="2"/>
  <c r="BP49" i="119" s="1"/>
  <c r="AQ47" i="30" s="1"/>
  <c r="BE20" i="3"/>
  <c r="FA20" i="3" s="1"/>
  <c r="AR26" i="1"/>
  <c r="AR25" i="1"/>
  <c r="BL290" i="119" s="1"/>
  <c r="AM221" i="30" s="1"/>
  <c r="CE26" i="1"/>
  <c r="CE25" i="1"/>
  <c r="CY290" i="119" s="1"/>
  <c r="BZ221" i="30" s="1"/>
  <c r="D25" i="1"/>
  <c r="D26" i="1"/>
  <c r="GK24" i="51"/>
  <c r="BT46" i="51"/>
  <c r="BT42" i="51"/>
  <c r="BT41" i="51"/>
  <c r="BT43" i="51"/>
  <c r="BT40" i="51"/>
  <c r="BT45" i="51"/>
  <c r="BT44" i="51"/>
  <c r="BT26" i="51"/>
  <c r="FF43" i="3"/>
  <c r="T104" i="119" s="1"/>
  <c r="T95" i="30" s="1"/>
  <c r="FF13" i="3"/>
  <c r="T95" i="119" s="1"/>
  <c r="T86" i="30" s="1"/>
  <c r="FB43" i="3"/>
  <c r="P104" i="119" s="1"/>
  <c r="P95" i="30" s="1"/>
  <c r="FA38" i="3"/>
  <c r="O103" i="119" s="1"/>
  <c r="O94" i="30" s="1"/>
  <c r="BA28" i="3"/>
  <c r="BU100" i="119" s="1"/>
  <c r="AV91" i="30" s="1"/>
  <c r="I84" i="2"/>
  <c r="FI14" i="3"/>
  <c r="BQ48" i="3"/>
  <c r="CK107" i="119" s="1"/>
  <c r="BL97" i="30" s="1"/>
  <c r="FC33" i="3"/>
  <c r="Q98" i="119" s="1"/>
  <c r="Q89" i="30" s="1"/>
  <c r="FH13" i="3"/>
  <c r="V95" i="119" s="1"/>
  <c r="V86" i="30" s="1"/>
  <c r="U28" i="3"/>
  <c r="AO100" i="119" s="1"/>
  <c r="T35" i="3"/>
  <c r="AN101" i="119" s="1"/>
  <c r="AC24" i="3"/>
  <c r="AW94" i="119" s="1"/>
  <c r="AF35" i="3"/>
  <c r="AZ101" i="119" s="1"/>
  <c r="AA92" i="30" s="1"/>
  <c r="AG28" i="3"/>
  <c r="U38" i="3"/>
  <c r="AO103" i="119" s="1"/>
  <c r="T48" i="3"/>
  <c r="AN107" i="119" s="1"/>
  <c r="AS24" i="3"/>
  <c r="BM94" i="119" s="1"/>
  <c r="AN85" i="30" s="1"/>
  <c r="FE24" i="3"/>
  <c r="S94" i="119" s="1"/>
  <c r="S85" i="30" s="1"/>
  <c r="FC32" i="3"/>
  <c r="Q97" i="119" s="1"/>
  <c r="Q88" i="30" s="1"/>
  <c r="EQ28" i="3"/>
  <c r="AB81" i="2"/>
  <c r="CK35" i="3"/>
  <c r="DE101" i="119" s="1"/>
  <c r="CF92" i="30" s="1"/>
  <c r="BE48" i="3"/>
  <c r="BY107" i="119" s="1"/>
  <c r="AZ97" i="30" s="1"/>
  <c r="FE43" i="3"/>
  <c r="S104" i="119" s="1"/>
  <c r="S95" i="30" s="1"/>
  <c r="AC80" i="2"/>
  <c r="FA33" i="3"/>
  <c r="O98" i="119" s="1"/>
  <c r="O89" i="30" s="1"/>
  <c r="T84" i="2"/>
  <c r="EP28" i="3"/>
  <c r="FB41" i="3"/>
  <c r="FA13" i="3"/>
  <c r="O95" i="119" s="1"/>
  <c r="O86" i="30" s="1"/>
  <c r="AC48" i="3"/>
  <c r="AW107" i="119" s="1"/>
  <c r="FB28" i="3"/>
  <c r="P100" i="119" s="1"/>
  <c r="P91" i="30" s="1"/>
  <c r="BK54" i="3"/>
  <c r="BK50" i="3"/>
  <c r="CE108" i="119" s="1"/>
  <c r="BF98" i="30" s="1"/>
  <c r="U79" i="2"/>
  <c r="U16" i="1"/>
  <c r="AO21" i="119" s="1"/>
  <c r="AO19" i="119" s="1"/>
  <c r="FI33" i="3"/>
  <c r="W98" i="119" s="1"/>
  <c r="W89" i="30" s="1"/>
  <c r="BY48" i="3"/>
  <c r="CS107" i="119" s="1"/>
  <c r="BT97" i="30" s="1"/>
  <c r="BN55" i="3"/>
  <c r="CG42" i="51"/>
  <c r="CG40" i="51"/>
  <c r="CG41" i="51"/>
  <c r="CG44" i="51"/>
  <c r="FG17" i="51"/>
  <c r="CG43" i="51"/>
  <c r="CH37" i="51"/>
  <c r="CG46" i="51"/>
  <c r="CG45" i="51"/>
  <c r="CG37" i="51"/>
  <c r="CO12" i="51"/>
  <c r="BY45" i="51"/>
  <c r="BY40" i="51"/>
  <c r="BY42" i="51"/>
  <c r="BZ37" i="51"/>
  <c r="BY43" i="51"/>
  <c r="BY41" i="51"/>
  <c r="BY46" i="51"/>
  <c r="GR17" i="51"/>
  <c r="GR68" i="51" s="1"/>
  <c r="CG26" i="51"/>
  <c r="BQ41" i="51"/>
  <c r="BQ43" i="51"/>
  <c r="BQ42" i="51"/>
  <c r="BQ44" i="51"/>
  <c r="FC17" i="51"/>
  <c r="BQ37" i="51"/>
  <c r="BQ46" i="51"/>
  <c r="BQ40" i="51"/>
  <c r="BQ45" i="51"/>
  <c r="U26" i="1"/>
  <c r="AS26" i="1"/>
  <c r="AS25" i="1"/>
  <c r="BM290" i="119" s="1"/>
  <c r="AN221" i="30" s="1"/>
  <c r="C26" i="1"/>
  <c r="C25" i="1"/>
  <c r="CD25" i="1"/>
  <c r="CX290" i="119" s="1"/>
  <c r="BY221" i="30" s="1"/>
  <c r="CD26" i="1"/>
  <c r="K26" i="1"/>
  <c r="K25" i="1"/>
  <c r="BN25" i="1"/>
  <c r="CH290" i="119" s="1"/>
  <c r="BI221" i="30" s="1"/>
  <c r="BN26" i="1"/>
  <c r="U25" i="1"/>
  <c r="AO290" i="119" s="1"/>
  <c r="Y25" i="1"/>
  <c r="AS290" i="119" s="1"/>
  <c r="Y26" i="1"/>
  <c r="AW25" i="1"/>
  <c r="BQ290" i="119" s="1"/>
  <c r="AR221" i="30" s="1"/>
  <c r="AW26" i="1"/>
  <c r="BU25" i="1"/>
  <c r="CO290" i="119" s="1"/>
  <c r="BP221" i="30" s="1"/>
  <c r="BU26" i="1"/>
  <c r="CS13" i="51"/>
  <c r="BJ55" i="3"/>
  <c r="CL55" i="3"/>
  <c r="BZ53" i="2"/>
  <c r="AZ53" i="2"/>
  <c r="BC53" i="2"/>
  <c r="CK53" i="2"/>
  <c r="BV53" i="2"/>
  <c r="AM53" i="2"/>
  <c r="U53" i="2"/>
  <c r="AA53" i="2"/>
  <c r="AE53" i="2"/>
  <c r="AT53" i="2"/>
  <c r="AU53" i="2"/>
  <c r="BQ53" i="2"/>
  <c r="BA53" i="2"/>
  <c r="W53" i="2"/>
  <c r="CC53" i="2"/>
  <c r="R53" i="2"/>
  <c r="CO92" i="2"/>
  <c r="CN91" i="2"/>
  <c r="DH49" i="119" s="1"/>
  <c r="AC53" i="2"/>
  <c r="T53" i="2"/>
  <c r="AK53" i="2"/>
  <c r="Y53" i="2"/>
  <c r="CB53" i="2"/>
  <c r="FI13" i="51"/>
  <c r="FI63" i="51" s="1"/>
  <c r="CO33" i="51"/>
  <c r="FW94" i="51" s="1"/>
  <c r="CQ22" i="51"/>
  <c r="BU45" i="51"/>
  <c r="BU40" i="51"/>
  <c r="BU37" i="51"/>
  <c r="BU41" i="51"/>
  <c r="BY26" i="51"/>
  <c r="BU43" i="51"/>
  <c r="BU42" i="51"/>
  <c r="BV37" i="51"/>
  <c r="BU26" i="51"/>
  <c r="BU46" i="51"/>
  <c r="E11" i="3"/>
  <c r="E28" i="1"/>
  <c r="GS22" i="1"/>
  <c r="GS18" i="1" s="1"/>
  <c r="CL41" i="51"/>
  <c r="CL46" i="51"/>
  <c r="CL40" i="51"/>
  <c r="CL26" i="51"/>
  <c r="CL43" i="51"/>
  <c r="CL42" i="51"/>
  <c r="CL45" i="51"/>
  <c r="CL44" i="51"/>
  <c r="CP22" i="51"/>
  <c r="CP33" i="51"/>
  <c r="FT95" i="51" s="1"/>
  <c r="GT13" i="51"/>
  <c r="GT22" i="51" s="1"/>
  <c r="CQ33" i="51"/>
  <c r="FU95" i="51" s="1"/>
  <c r="CM37" i="51"/>
  <c r="GE23" i="1"/>
  <c r="EM23" i="1"/>
  <c r="EM69" i="1" s="1"/>
  <c r="S25" i="1"/>
  <c r="AM290" i="119" s="1"/>
  <c r="S26" i="1"/>
  <c r="GF23" i="1"/>
  <c r="EZ23" i="1"/>
  <c r="O30" i="119" s="1"/>
  <c r="EA38" i="6"/>
  <c r="EW23" i="1"/>
  <c r="L30" i="119" s="1"/>
  <c r="DX38" i="6"/>
  <c r="GN23" i="1"/>
  <c r="BV26" i="1"/>
  <c r="BV25" i="1"/>
  <c r="CP290" i="119" s="1"/>
  <c r="BQ221" i="30" s="1"/>
  <c r="BD25" i="3"/>
  <c r="BX96" i="119" s="1"/>
  <c r="AY87" i="30" s="1"/>
  <c r="CC80" i="2"/>
  <c r="CE54" i="3"/>
  <c r="CE50" i="3"/>
  <c r="BL50" i="3"/>
  <c r="CF108" i="119" s="1"/>
  <c r="BG98" i="30" s="1"/>
  <c r="BL81" i="2"/>
  <c r="BH54" i="3"/>
  <c r="BH55" i="3" s="1"/>
  <c r="BH50" i="3"/>
  <c r="CB108" i="119" s="1"/>
  <c r="BC98" i="30" s="1"/>
  <c r="BX84" i="2"/>
  <c r="BX81" i="2"/>
  <c r="BP25" i="3"/>
  <c r="CJ96" i="119" s="1"/>
  <c r="BK87" i="30" s="1"/>
  <c r="CG25" i="3"/>
  <c r="DA96" i="119" s="1"/>
  <c r="CB87" i="30" s="1"/>
  <c r="BB54" i="3"/>
  <c r="BB55" i="3" s="1"/>
  <c r="BB50" i="3"/>
  <c r="BV108" i="119" s="1"/>
  <c r="AW98" i="30" s="1"/>
  <c r="FG32" i="3"/>
  <c r="U97" i="119" s="1"/>
  <c r="U88" i="30" s="1"/>
  <c r="FF23" i="3"/>
  <c r="FF24" i="3" s="1"/>
  <c r="T94" i="119" s="1"/>
  <c r="T85" i="30" s="1"/>
  <c r="FA45" i="3"/>
  <c r="O104" i="119" s="1"/>
  <c r="O95" i="30" s="1"/>
  <c r="BY79" i="2"/>
  <c r="BY16" i="1"/>
  <c r="CS21" i="119" s="1"/>
  <c r="FH24" i="3"/>
  <c r="V94" i="119" s="1"/>
  <c r="V85" i="30" s="1"/>
  <c r="BT25" i="3"/>
  <c r="CN96" i="119" s="1"/>
  <c r="BO87" i="30" s="1"/>
  <c r="FA18" i="3"/>
  <c r="BC25" i="3"/>
  <c r="BW96" i="119" s="1"/>
  <c r="AX87" i="30" s="1"/>
  <c r="BM35" i="3"/>
  <c r="CG101" i="119" s="1"/>
  <c r="BH92" i="30" s="1"/>
  <c r="BM80" i="2"/>
  <c r="BU24" i="3"/>
  <c r="CO94" i="119" s="1"/>
  <c r="BP85" i="30" s="1"/>
  <c r="BI25" i="3"/>
  <c r="CC96" i="119" s="1"/>
  <c r="BD87" i="30" s="1"/>
  <c r="CC35" i="3"/>
  <c r="CW101" i="119" s="1"/>
  <c r="BX92" i="30" s="1"/>
  <c r="CF25" i="3"/>
  <c r="CZ96" i="119" s="1"/>
  <c r="CA87" i="30" s="1"/>
  <c r="BI48" i="3"/>
  <c r="CC107" i="119" s="1"/>
  <c r="BD97" i="30" s="1"/>
  <c r="BY25" i="3"/>
  <c r="CS96" i="119" s="1"/>
  <c r="BT87" i="30" s="1"/>
  <c r="E48" i="3"/>
  <c r="EN43" i="3"/>
  <c r="EN48" i="3" s="1"/>
  <c r="FF12" i="3"/>
  <c r="FI39" i="3"/>
  <c r="FB13" i="3"/>
  <c r="P95" i="119" s="1"/>
  <c r="P86" i="30" s="1"/>
  <c r="CB26" i="1"/>
  <c r="CB25" i="1"/>
  <c r="CV290" i="119" s="1"/>
  <c r="BW221" i="30" s="1"/>
  <c r="BW25" i="1"/>
  <c r="CQ290" i="119" s="1"/>
  <c r="BR221" i="30" s="1"/>
  <c r="BW26" i="1"/>
  <c r="H26" i="1"/>
  <c r="H25" i="1"/>
  <c r="BA25" i="1"/>
  <c r="BU290" i="119" s="1"/>
  <c r="AV221" i="30" s="1"/>
  <c r="BA26" i="1"/>
  <c r="FY23" i="1"/>
  <c r="BX25" i="1"/>
  <c r="CR290" i="119" s="1"/>
  <c r="BS221" i="30" s="1"/>
  <c r="BX26" i="1"/>
  <c r="EU23" i="1"/>
  <c r="J30" i="119" s="1"/>
  <c r="DV38" i="6"/>
  <c r="Q25" i="1"/>
  <c r="Q26" i="1"/>
  <c r="G25" i="1"/>
  <c r="G26" i="1"/>
  <c r="BT26" i="1"/>
  <c r="BT25" i="1"/>
  <c r="CN290" i="119" s="1"/>
  <c r="BO221" i="30" s="1"/>
  <c r="FB23" i="1"/>
  <c r="Q30" i="119" s="1"/>
  <c r="EC38" i="6"/>
  <c r="AI26" i="1"/>
  <c r="AI25" i="1"/>
  <c r="BC290" i="119" s="1"/>
  <c r="AD221" i="30" s="1"/>
  <c r="O25" i="1"/>
  <c r="O26" i="1"/>
  <c r="GM23" i="1"/>
  <c r="ET23" i="1"/>
  <c r="I30" i="119" s="1"/>
  <c r="DU38" i="6"/>
  <c r="AO25" i="1"/>
  <c r="BI290" i="119" s="1"/>
  <c r="AJ221" i="30" s="1"/>
  <c r="AO26" i="1"/>
  <c r="BC25" i="1"/>
  <c r="BW290" i="119" s="1"/>
  <c r="AX221" i="30" s="1"/>
  <c r="BC26" i="1"/>
  <c r="GJ23" i="1"/>
  <c r="EF38" i="6"/>
  <c r="M25" i="1"/>
  <c r="M26" i="1"/>
  <c r="W25" i="1"/>
  <c r="AQ290" i="119" s="1"/>
  <c r="W26" i="1"/>
  <c r="R26" i="1"/>
  <c r="R25" i="1"/>
  <c r="AL290" i="119" s="1"/>
  <c r="AE26" i="1"/>
  <c r="AE25" i="1"/>
  <c r="AY290" i="119" s="1"/>
  <c r="Z221" i="30" s="1"/>
  <c r="BO25" i="1"/>
  <c r="CI290" i="119" s="1"/>
  <c r="BJ221" i="30" s="1"/>
  <c r="BO26" i="1"/>
  <c r="DT38" i="6"/>
  <c r="ES23" i="1"/>
  <c r="H30" i="119" s="1"/>
  <c r="EQ23" i="1"/>
  <c r="F30" i="119" s="1"/>
  <c r="BG26" i="1"/>
  <c r="BG25" i="1"/>
  <c r="CA290" i="119" s="1"/>
  <c r="BB221" i="30" s="1"/>
  <c r="CJ25" i="1"/>
  <c r="DD290" i="119" s="1"/>
  <c r="CE221" i="30" s="1"/>
  <c r="CJ26" i="1"/>
  <c r="AM26" i="1"/>
  <c r="AM25" i="1"/>
  <c r="BG290" i="119" s="1"/>
  <c r="AH221" i="30" s="1"/>
  <c r="CK25" i="1"/>
  <c r="DE290" i="119" s="1"/>
  <c r="CF221" i="30" s="1"/>
  <c r="CK26" i="1"/>
  <c r="CR21" i="51"/>
  <c r="ES51" i="2"/>
  <c r="G70" i="119" s="1"/>
  <c r="G66" i="30" s="1"/>
  <c r="EN53" i="2"/>
  <c r="EY51" i="2"/>
  <c r="EX59" i="2"/>
  <c r="ER51" i="2"/>
  <c r="F70" i="119" s="1"/>
  <c r="F66" i="30" s="1"/>
  <c r="EQ53" i="2"/>
  <c r="CQ93" i="2"/>
  <c r="CR32" i="51"/>
  <c r="FP112" i="51" s="1"/>
  <c r="CQ32" i="51"/>
  <c r="FO112" i="51" s="1"/>
  <c r="CQ21" i="51"/>
  <c r="CR100" i="92"/>
  <c r="CQ57" i="2"/>
  <c r="GS33" i="1"/>
  <c r="CC20" i="30" l="1"/>
  <c r="F45" i="125"/>
  <c r="E63" i="125"/>
  <c r="BY20" i="30"/>
  <c r="BZ20" i="30"/>
  <c r="CU259" i="119"/>
  <c r="BV192" i="30" s="1"/>
  <c r="U102" i="119"/>
  <c r="U93" i="30" s="1"/>
  <c r="CD20" i="30"/>
  <c r="DD20" i="119"/>
  <c r="CE20" i="30" s="1"/>
  <c r="CZ20" i="119"/>
  <c r="CZ259" i="119" s="1"/>
  <c r="CA192" i="30" s="1"/>
  <c r="CV20" i="119"/>
  <c r="CV259" i="119" s="1"/>
  <c r="BW192" i="30" s="1"/>
  <c r="AW35" i="3"/>
  <c r="BQ101" i="119" s="1"/>
  <c r="AR92" i="30" s="1"/>
  <c r="CX67" i="3"/>
  <c r="FI64" i="3"/>
  <c r="T303" i="119"/>
  <c r="T234" i="30" s="1"/>
  <c r="FF64" i="3"/>
  <c r="S303" i="119"/>
  <c r="S234" i="30" s="1"/>
  <c r="FE64" i="3"/>
  <c r="V303" i="119"/>
  <c r="V234" i="30" s="1"/>
  <c r="FH64" i="3"/>
  <c r="U303" i="119"/>
  <c r="U234" i="30" s="1"/>
  <c r="FG64" i="3"/>
  <c r="FD64" i="3"/>
  <c r="EY28" i="3"/>
  <c r="M100" i="119" s="1"/>
  <c r="M91" i="30" s="1"/>
  <c r="T103" i="119"/>
  <c r="T94" i="30" s="1"/>
  <c r="AF85" i="2"/>
  <c r="AF73" i="2"/>
  <c r="W102" i="119"/>
  <c r="W93" i="30" s="1"/>
  <c r="ER24" i="3"/>
  <c r="F94" i="119" s="1"/>
  <c r="F85" i="30" s="1"/>
  <c r="AF83" i="1"/>
  <c r="AK17" i="1"/>
  <c r="BE20" i="119" s="1"/>
  <c r="BE259" i="119" s="1"/>
  <c r="AF192" i="30" s="1"/>
  <c r="AF68" i="1"/>
  <c r="AF75" i="2"/>
  <c r="AJ47" i="1"/>
  <c r="AJ104" i="1"/>
  <c r="AF125" i="1"/>
  <c r="AL82" i="1"/>
  <c r="BQ124" i="1"/>
  <c r="BE21" i="119"/>
  <c r="AF21" i="30" s="1"/>
  <c r="AA20" i="30"/>
  <c r="AK67" i="1"/>
  <c r="AK124" i="1"/>
  <c r="AK82" i="1"/>
  <c r="AF72" i="2"/>
  <c r="AL124" i="1"/>
  <c r="AF74" i="2"/>
  <c r="EZ53" i="2"/>
  <c r="AK81" i="2"/>
  <c r="ES28" i="3"/>
  <c r="G100" i="119" s="1"/>
  <c r="G91" i="30" s="1"/>
  <c r="O93" i="119"/>
  <c r="O84" i="30" s="1"/>
  <c r="Y35" i="3"/>
  <c r="AS101" i="119" s="1"/>
  <c r="EX28" i="3"/>
  <c r="L100" i="119" s="1"/>
  <c r="L91" i="30" s="1"/>
  <c r="CQ184" i="112"/>
  <c r="CQ188" i="112" s="1"/>
  <c r="H21" i="119"/>
  <c r="H19" i="119" s="1"/>
  <c r="H19" i="30" s="1"/>
  <c r="AS35" i="3"/>
  <c r="BM101" i="119" s="1"/>
  <c r="AN92" i="30" s="1"/>
  <c r="BQ46" i="1"/>
  <c r="AG82" i="1"/>
  <c r="O21" i="119"/>
  <c r="O21" i="30" s="1"/>
  <c r="BA19" i="119"/>
  <c r="AB19" i="30" s="1"/>
  <c r="I93" i="119"/>
  <c r="I84" i="30" s="1"/>
  <c r="ET28" i="3"/>
  <c r="H100" i="119" s="1"/>
  <c r="H91" i="30" s="1"/>
  <c r="I21" i="119"/>
  <c r="I21" i="30" s="1"/>
  <c r="AC35" i="3"/>
  <c r="AW101" i="119" s="1"/>
  <c r="BE17" i="1"/>
  <c r="BY20" i="119" s="1"/>
  <c r="BY259" i="119" s="1"/>
  <c r="AZ192" i="30" s="1"/>
  <c r="AC82" i="1"/>
  <c r="AK46" i="1"/>
  <c r="AG67" i="1"/>
  <c r="GD16" i="1"/>
  <c r="GD67" i="1" s="1"/>
  <c r="GL16" i="1"/>
  <c r="GL67" i="1" s="1"/>
  <c r="BQ103" i="1"/>
  <c r="AK103" i="1"/>
  <c r="AH124" i="1"/>
  <c r="BM17" i="1"/>
  <c r="CG20" i="119" s="1"/>
  <c r="CG259" i="119" s="1"/>
  <c r="BH192" i="30" s="1"/>
  <c r="AG17" i="1"/>
  <c r="BA20" i="119" s="1"/>
  <c r="BA259" i="119" s="1"/>
  <c r="AB192" i="30" s="1"/>
  <c r="AG124" i="1"/>
  <c r="AH82" i="1"/>
  <c r="BM67" i="1"/>
  <c r="BE46" i="1"/>
  <c r="GJ16" i="1"/>
  <c r="GJ67" i="1" s="1"/>
  <c r="BF82" i="1"/>
  <c r="BE124" i="1"/>
  <c r="EU53" i="2"/>
  <c r="BE82" i="1"/>
  <c r="BE103" i="1"/>
  <c r="BT72" i="2"/>
  <c r="CF73" i="2"/>
  <c r="V103" i="119"/>
  <c r="V94" i="30" s="1"/>
  <c r="BE67" i="1"/>
  <c r="BY19" i="119"/>
  <c r="AZ19" i="30" s="1"/>
  <c r="H20" i="119"/>
  <c r="H20" i="30" s="1"/>
  <c r="BF124" i="1"/>
  <c r="FH48" i="3"/>
  <c r="CF68" i="1"/>
  <c r="EX38" i="3"/>
  <c r="L103" i="119" s="1"/>
  <c r="L94" i="30" s="1"/>
  <c r="W103" i="119"/>
  <c r="W94" i="30" s="1"/>
  <c r="AS48" i="3"/>
  <c r="BM107" i="119" s="1"/>
  <c r="AN97" i="30" s="1"/>
  <c r="AY20" i="30"/>
  <c r="EW48" i="3"/>
  <c r="K107" i="119" s="1"/>
  <c r="K97" i="30" s="1"/>
  <c r="Q102" i="119"/>
  <c r="Q93" i="30" s="1"/>
  <c r="Q284" i="119"/>
  <c r="Q215" i="30" s="1"/>
  <c r="I80" i="2"/>
  <c r="I85" i="2" s="1"/>
  <c r="AG46" i="1"/>
  <c r="EW28" i="3"/>
  <c r="K100" i="119" s="1"/>
  <c r="K91" i="30" s="1"/>
  <c r="BD72" i="2"/>
  <c r="R102" i="119"/>
  <c r="R93" i="30" s="1"/>
  <c r="I35" i="3"/>
  <c r="BD68" i="1"/>
  <c r="BE81" i="2"/>
  <c r="BD75" i="2"/>
  <c r="BD104" i="1"/>
  <c r="BD47" i="1"/>
  <c r="BD74" i="2"/>
  <c r="BD73" i="2"/>
  <c r="BD83" i="1"/>
  <c r="BD125" i="1"/>
  <c r="BD85" i="2"/>
  <c r="CB75" i="2"/>
  <c r="CB68" i="1"/>
  <c r="AT124" i="1"/>
  <c r="CB73" i="2"/>
  <c r="ES24" i="3"/>
  <c r="G94" i="119" s="1"/>
  <c r="G85" i="30" s="1"/>
  <c r="BT74" i="2"/>
  <c r="CF75" i="2"/>
  <c r="AW46" i="1"/>
  <c r="BT83" i="1"/>
  <c r="CF85" i="2"/>
  <c r="BT68" i="1"/>
  <c r="BT75" i="2"/>
  <c r="CF72" i="2"/>
  <c r="FD25" i="3"/>
  <c r="R96" i="119" s="1"/>
  <c r="R87" i="30" s="1"/>
  <c r="BT125" i="1"/>
  <c r="BT73" i="2"/>
  <c r="CF74" i="2"/>
  <c r="BO20" i="30"/>
  <c r="CF83" i="1"/>
  <c r="CF125" i="1"/>
  <c r="AO35" i="3"/>
  <c r="BI101" i="119" s="1"/>
  <c r="AJ92" i="30" s="1"/>
  <c r="BT85" i="2"/>
  <c r="AG103" i="1"/>
  <c r="GC16" i="1"/>
  <c r="GC67" i="1" s="1"/>
  <c r="ET48" i="3"/>
  <c r="H107" i="119" s="1"/>
  <c r="H97" i="30" s="1"/>
  <c r="GM16" i="1"/>
  <c r="BQ67" i="1"/>
  <c r="V167" i="119"/>
  <c r="EU48" i="3"/>
  <c r="I107" i="119" s="1"/>
  <c r="I97" i="30" s="1"/>
  <c r="BM82" i="1"/>
  <c r="BQ82" i="1"/>
  <c r="BR82" i="1"/>
  <c r="X128" i="119"/>
  <c r="FC53" i="2"/>
  <c r="BN82" i="1"/>
  <c r="X167" i="119"/>
  <c r="U103" i="119"/>
  <c r="U94" i="30" s="1"/>
  <c r="BX54" i="3"/>
  <c r="BX55" i="3" s="1"/>
  <c r="CB85" i="2"/>
  <c r="CF47" i="1"/>
  <c r="CF104" i="1"/>
  <c r="CB125" i="1"/>
  <c r="CB72" i="2"/>
  <c r="Y28" i="114"/>
  <c r="BX50" i="3"/>
  <c r="CR108" i="119" s="1"/>
  <c r="BS98" i="30" s="1"/>
  <c r="EV24" i="3"/>
  <c r="J94" i="119" s="1"/>
  <c r="J85" i="30" s="1"/>
  <c r="FF35" i="3"/>
  <c r="T101" i="119" s="1"/>
  <c r="T92" i="30" s="1"/>
  <c r="CB83" i="1"/>
  <c r="CB74" i="2"/>
  <c r="CQ277" i="119"/>
  <c r="CQ275" i="119"/>
  <c r="BR206" i="30" s="1"/>
  <c r="V269" i="119"/>
  <c r="V200" i="30" s="1"/>
  <c r="V30" i="30"/>
  <c r="FF68" i="51"/>
  <c r="CF277" i="119"/>
  <c r="CF275" i="119"/>
  <c r="BG206" i="30" s="1"/>
  <c r="AL277" i="119"/>
  <c r="AL267" i="119" s="1"/>
  <c r="AL275" i="119"/>
  <c r="CP277" i="119"/>
  <c r="CP275" i="119"/>
  <c r="BQ206" i="30" s="1"/>
  <c r="CO64" i="51"/>
  <c r="BS277" i="119"/>
  <c r="BS275" i="119"/>
  <c r="AT206" i="30" s="1"/>
  <c r="AI21" i="30"/>
  <c r="BH19" i="119"/>
  <c r="AI19" i="30" s="1"/>
  <c r="F93" i="119"/>
  <c r="F84" i="30" s="1"/>
  <c r="F21" i="119"/>
  <c r="F20" i="119"/>
  <c r="J259" i="119"/>
  <c r="J192" i="30" s="1"/>
  <c r="J20" i="30"/>
  <c r="CA21" i="30"/>
  <c r="CZ19" i="119"/>
  <c r="CA19" i="30" s="1"/>
  <c r="BR124" i="1"/>
  <c r="CK21" i="119"/>
  <c r="X205" i="119"/>
  <c r="W163" i="30"/>
  <c r="BE100" i="119"/>
  <c r="AF91" i="30" s="1"/>
  <c r="AK35" i="3"/>
  <c r="BE101" i="119" s="1"/>
  <c r="AF92" i="30" s="1"/>
  <c r="H269" i="119"/>
  <c r="H200" i="30" s="1"/>
  <c r="H30" i="30"/>
  <c r="BC275" i="119"/>
  <c r="AD206" i="30" s="1"/>
  <c r="BC277" i="119"/>
  <c r="O269" i="119"/>
  <c r="O200" i="30" s="1"/>
  <c r="O30" i="30"/>
  <c r="CX277" i="119"/>
  <c r="CX275" i="119"/>
  <c r="BY206" i="30" s="1"/>
  <c r="FE35" i="3"/>
  <c r="S101" i="119" s="1"/>
  <c r="S92" i="30" s="1"/>
  <c r="S97" i="119"/>
  <c r="S88" i="30" s="1"/>
  <c r="W269" i="119"/>
  <c r="W200" i="30" s="1"/>
  <c r="W30" i="30"/>
  <c r="AP277" i="119"/>
  <c r="AP275" i="119"/>
  <c r="BL259" i="119"/>
  <c r="AM192" i="30" s="1"/>
  <c r="AM20" i="30"/>
  <c r="K93" i="119"/>
  <c r="K84" i="30" s="1"/>
  <c r="K21" i="119"/>
  <c r="K20" i="119"/>
  <c r="O259" i="119"/>
  <c r="O192" i="30" s="1"/>
  <c r="O20" i="30"/>
  <c r="FD48" i="3"/>
  <c r="R107" i="119" s="1"/>
  <c r="R97" i="30" s="1"/>
  <c r="BP275" i="119"/>
  <c r="AQ206" i="30" s="1"/>
  <c r="BP277" i="119"/>
  <c r="DG11" i="119"/>
  <c r="DG270" i="119" s="1"/>
  <c r="BX21" i="30"/>
  <c r="CW19" i="119"/>
  <c r="BX19" i="30" s="1"/>
  <c r="CI277" i="119"/>
  <c r="CI275" i="119"/>
  <c r="BJ206" i="30" s="1"/>
  <c r="AQ275" i="119"/>
  <c r="AQ277" i="119"/>
  <c r="BW277" i="119"/>
  <c r="BW275" i="119"/>
  <c r="AX206" i="30" s="1"/>
  <c r="Q269" i="119"/>
  <c r="Q200" i="30" s="1"/>
  <c r="Q30" i="30"/>
  <c r="BU275" i="119"/>
  <c r="AV206" i="30" s="1"/>
  <c r="BU277" i="119"/>
  <c r="AM277" i="119"/>
  <c r="AM275" i="119"/>
  <c r="CH277" i="119"/>
  <c r="CH275" i="119"/>
  <c r="BI206" i="30" s="1"/>
  <c r="BL277" i="119"/>
  <c r="BL275" i="119"/>
  <c r="AM206" i="30" s="1"/>
  <c r="G269" i="119"/>
  <c r="G200" i="30" s="1"/>
  <c r="G30" i="30"/>
  <c r="P269" i="119"/>
  <c r="P200" i="30" s="1"/>
  <c r="P30" i="30"/>
  <c r="FE68" i="51"/>
  <c r="AT277" i="119"/>
  <c r="AT275" i="119"/>
  <c r="CC54" i="3"/>
  <c r="CW96" i="119"/>
  <c r="BX87" i="30" s="1"/>
  <c r="BA277" i="119"/>
  <c r="BA275" i="119"/>
  <c r="AB206" i="30" s="1"/>
  <c r="CG275" i="119"/>
  <c r="BH206" i="30" s="1"/>
  <c r="CG277" i="119"/>
  <c r="DA275" i="119"/>
  <c r="CB206" i="30" s="1"/>
  <c r="DA277" i="119"/>
  <c r="BJ277" i="119"/>
  <c r="BJ275" i="119"/>
  <c r="AK206" i="30" s="1"/>
  <c r="CM275" i="119"/>
  <c r="BN206" i="30" s="1"/>
  <c r="CM277" i="119"/>
  <c r="CC275" i="119"/>
  <c r="BD206" i="30" s="1"/>
  <c r="CC277" i="119"/>
  <c r="BN277" i="119"/>
  <c r="BN275" i="119"/>
  <c r="AO206" i="30" s="1"/>
  <c r="CJ259" i="119"/>
  <c r="BK192" i="30" s="1"/>
  <c r="BK20" i="30"/>
  <c r="AN83" i="1"/>
  <c r="BH20" i="119"/>
  <c r="W128" i="119"/>
  <c r="W119" i="30" s="1"/>
  <c r="W124" i="30"/>
  <c r="U98" i="119"/>
  <c r="U89" i="30" s="1"/>
  <c r="R93" i="119"/>
  <c r="R84" i="30" s="1"/>
  <c r="R21" i="119"/>
  <c r="R20" i="119"/>
  <c r="W24" i="30"/>
  <c r="W26" i="119"/>
  <c r="W26" i="30" s="1"/>
  <c r="W95" i="119"/>
  <c r="W86" i="30" s="1"/>
  <c r="X173" i="119"/>
  <c r="BG277" i="119"/>
  <c r="BG275" i="119"/>
  <c r="AH206" i="30" s="1"/>
  <c r="CS63" i="51"/>
  <c r="AO277" i="119"/>
  <c r="AO275" i="119"/>
  <c r="CY275" i="119"/>
  <c r="BZ206" i="30" s="1"/>
  <c r="CY277" i="119"/>
  <c r="CB275" i="119"/>
  <c r="BC206" i="30" s="1"/>
  <c r="CB277" i="119"/>
  <c r="AR275" i="119"/>
  <c r="AR277" i="119"/>
  <c r="CN50" i="3"/>
  <c r="DH101" i="119"/>
  <c r="AZ277" i="119"/>
  <c r="AZ275" i="119"/>
  <c r="AA206" i="30" s="1"/>
  <c r="AP82" i="1"/>
  <c r="BI21" i="119"/>
  <c r="X202" i="119"/>
  <c r="W160" i="30"/>
  <c r="BG21" i="30"/>
  <c r="CF19" i="119"/>
  <c r="BG19" i="30" s="1"/>
  <c r="L93" i="119"/>
  <c r="L84" i="30" s="1"/>
  <c r="L21" i="119"/>
  <c r="L20" i="119"/>
  <c r="CO275" i="119"/>
  <c r="BP206" i="30" s="1"/>
  <c r="CO277" i="119"/>
  <c r="S269" i="119"/>
  <c r="S200" i="30" s="1"/>
  <c r="S30" i="30"/>
  <c r="BV277" i="119"/>
  <c r="BV275" i="119"/>
  <c r="AW206" i="30" s="1"/>
  <c r="DE275" i="119"/>
  <c r="CF206" i="30" s="1"/>
  <c r="DE277" i="119"/>
  <c r="CV277" i="119"/>
  <c r="CV275" i="119"/>
  <c r="BW206" i="30" s="1"/>
  <c r="BQ275" i="119"/>
  <c r="AR206" i="30" s="1"/>
  <c r="BQ277" i="119"/>
  <c r="EU28" i="3"/>
  <c r="I100" i="119" s="1"/>
  <c r="I91" i="30" s="1"/>
  <c r="BA100" i="119"/>
  <c r="AB91" i="30" s="1"/>
  <c r="BT277" i="119"/>
  <c r="BT275" i="119"/>
  <c r="AU206" i="30" s="1"/>
  <c r="AX277" i="119"/>
  <c r="AX275" i="119"/>
  <c r="Y206" i="30" s="1"/>
  <c r="FD68" i="51"/>
  <c r="CK277" i="119"/>
  <c r="CK275" i="119"/>
  <c r="BL206" i="30" s="1"/>
  <c r="FJ34" i="3"/>
  <c r="X100" i="119" s="1"/>
  <c r="DI100" i="119"/>
  <c r="FB68" i="51"/>
  <c r="P21" i="119"/>
  <c r="P93" i="119"/>
  <c r="P84" i="30" s="1"/>
  <c r="P20" i="119"/>
  <c r="CB259" i="119"/>
  <c r="BC192" i="30" s="1"/>
  <c r="BC20" i="30"/>
  <c r="T269" i="119"/>
  <c r="T200" i="30" s="1"/>
  <c r="T30" i="30"/>
  <c r="CD277" i="119"/>
  <c r="CD275" i="119"/>
  <c r="BE206" i="30" s="1"/>
  <c r="CT63" i="51"/>
  <c r="BB277" i="119"/>
  <c r="BB275" i="119"/>
  <c r="AC206" i="30" s="1"/>
  <c r="U21" i="119"/>
  <c r="U93" i="119"/>
  <c r="U84" i="30" s="1"/>
  <c r="U20" i="119"/>
  <c r="Q93" i="119"/>
  <c r="Q84" i="30" s="1"/>
  <c r="Q21" i="119"/>
  <c r="Q20" i="119"/>
  <c r="CV67" i="3"/>
  <c r="BC21" i="30"/>
  <c r="CB19" i="119"/>
  <c r="BC19" i="30" s="1"/>
  <c r="BK21" i="30"/>
  <c r="CJ19" i="119"/>
  <c r="BK19" i="30" s="1"/>
  <c r="U128" i="119"/>
  <c r="U119" i="30" s="1"/>
  <c r="U118" i="30"/>
  <c r="U173" i="119"/>
  <c r="BM124" i="1"/>
  <c r="CG21" i="119"/>
  <c r="S21" i="119"/>
  <c r="S93" i="119"/>
  <c r="S84" i="30" s="1"/>
  <c r="S20" i="119"/>
  <c r="Z28" i="114"/>
  <c r="V24" i="30"/>
  <c r="V26" i="119"/>
  <c r="V26" i="30" s="1"/>
  <c r="AM21" i="30"/>
  <c r="BL19" i="119"/>
  <c r="AM19" i="30" s="1"/>
  <c r="K269" i="119"/>
  <c r="K200" i="30" s="1"/>
  <c r="K30" i="30"/>
  <c r="CL277" i="119"/>
  <c r="CL275" i="119"/>
  <c r="BM206" i="30" s="1"/>
  <c r="CF21" i="30"/>
  <c r="DE19" i="119"/>
  <c r="CF19" i="30" s="1"/>
  <c r="CA275" i="119"/>
  <c r="BB206" i="30" s="1"/>
  <c r="CA277" i="119"/>
  <c r="BI275" i="119"/>
  <c r="AJ206" i="30" s="1"/>
  <c r="BI277" i="119"/>
  <c r="CN275" i="119"/>
  <c r="BO206" i="30" s="1"/>
  <c r="CN277" i="119"/>
  <c r="J269" i="119"/>
  <c r="J200" i="30" s="1"/>
  <c r="J30" i="30"/>
  <c r="L269" i="119"/>
  <c r="L200" i="30" s="1"/>
  <c r="L30" i="30"/>
  <c r="P284" i="119"/>
  <c r="P215" i="30" s="1"/>
  <c r="P102" i="119"/>
  <c r="P93" i="30" s="1"/>
  <c r="BH277" i="119"/>
  <c r="BH275" i="119"/>
  <c r="AI206" i="30" s="1"/>
  <c r="CJ277" i="119"/>
  <c r="CJ275" i="119"/>
  <c r="BK206" i="30" s="1"/>
  <c r="DF11" i="119"/>
  <c r="DF270" i="119" s="1"/>
  <c r="M269" i="119"/>
  <c r="M200" i="30" s="1"/>
  <c r="M30" i="30"/>
  <c r="AV277" i="119"/>
  <c r="AV275" i="119"/>
  <c r="BD21" i="30"/>
  <c r="CC19" i="119"/>
  <c r="BD19" i="30" s="1"/>
  <c r="BK277" i="119"/>
  <c r="BK275" i="119"/>
  <c r="AL206" i="30" s="1"/>
  <c r="BF277" i="119"/>
  <c r="BF275" i="119"/>
  <c r="AG206" i="30" s="1"/>
  <c r="CZ275" i="119"/>
  <c r="CA206" i="30" s="1"/>
  <c r="CZ277" i="119"/>
  <c r="BE35" i="3"/>
  <c r="BY101" i="119" s="1"/>
  <c r="AZ92" i="30" s="1"/>
  <c r="BY100" i="119"/>
  <c r="AZ91" i="30" s="1"/>
  <c r="BD275" i="119"/>
  <c r="AE206" i="30" s="1"/>
  <c r="BD277" i="119"/>
  <c r="AW275" i="119"/>
  <c r="AW277" i="119"/>
  <c r="BY277" i="119"/>
  <c r="BY275" i="119"/>
  <c r="AZ206" i="30" s="1"/>
  <c r="CU277" i="119"/>
  <c r="CU275" i="119"/>
  <c r="BV206" i="30" s="1"/>
  <c r="Z82" i="1"/>
  <c r="AS21" i="119"/>
  <c r="AS19" i="119" s="1"/>
  <c r="AT82" i="1"/>
  <c r="BM21" i="119"/>
  <c r="AC81" i="119"/>
  <c r="AW21" i="119"/>
  <c r="AW19" i="119" s="1"/>
  <c r="AC17" i="1"/>
  <c r="AC83" i="1" s="1"/>
  <c r="AD82" i="1"/>
  <c r="AC67" i="1"/>
  <c r="AD124" i="1"/>
  <c r="J19" i="119"/>
  <c r="J19" i="30" s="1"/>
  <c r="S103" i="119"/>
  <c r="S94" i="30" s="1"/>
  <c r="O102" i="119"/>
  <c r="O93" i="30" s="1"/>
  <c r="O284" i="119"/>
  <c r="O215" i="30" s="1"/>
  <c r="W162" i="30"/>
  <c r="X204" i="119"/>
  <c r="U152" i="119"/>
  <c r="EZ38" i="3"/>
  <c r="BU103" i="119"/>
  <c r="AV94" i="30" s="1"/>
  <c r="BA48" i="3"/>
  <c r="BU107" i="119" s="1"/>
  <c r="AV97" i="30" s="1"/>
  <c r="U167" i="119"/>
  <c r="I259" i="119"/>
  <c r="I192" i="30" s="1"/>
  <c r="I20" i="30"/>
  <c r="EV28" i="3"/>
  <c r="W173" i="119"/>
  <c r="T21" i="119"/>
  <c r="T93" i="119"/>
  <c r="T84" i="30" s="1"/>
  <c r="T20" i="119"/>
  <c r="DD277" i="119"/>
  <c r="DD275" i="119"/>
  <c r="CE206" i="30" s="1"/>
  <c r="I269" i="119"/>
  <c r="I200" i="30" s="1"/>
  <c r="I30" i="30"/>
  <c r="FG68" i="51"/>
  <c r="DC277" i="119"/>
  <c r="DC275" i="119"/>
  <c r="CD206" i="30" s="1"/>
  <c r="BR277" i="119"/>
  <c r="BR275" i="119"/>
  <c r="AS206" i="30" s="1"/>
  <c r="BO275" i="119"/>
  <c r="AP206" i="30" s="1"/>
  <c r="BO277" i="119"/>
  <c r="F269" i="119"/>
  <c r="F200" i="30" s="1"/>
  <c r="F30" i="30"/>
  <c r="AY277" i="119"/>
  <c r="AY275" i="119"/>
  <c r="Z206" i="30" s="1"/>
  <c r="CR277" i="119"/>
  <c r="CR275" i="119"/>
  <c r="BS206" i="30" s="1"/>
  <c r="CS19" i="119"/>
  <c r="BT19" i="30" s="1"/>
  <c r="BT21" i="30"/>
  <c r="AS275" i="119"/>
  <c r="AS277" i="119"/>
  <c r="BM277" i="119"/>
  <c r="BM275" i="119"/>
  <c r="AN206" i="30" s="1"/>
  <c r="FC44" i="51"/>
  <c r="FC68" i="51"/>
  <c r="AN277" i="119"/>
  <c r="AN275" i="119"/>
  <c r="BE275" i="119"/>
  <c r="AF206" i="30" s="1"/>
  <c r="BE277" i="119"/>
  <c r="BZ277" i="119"/>
  <c r="BZ275" i="119"/>
  <c r="BA206" i="30" s="1"/>
  <c r="CE277" i="119"/>
  <c r="CE275" i="119"/>
  <c r="BF206" i="30" s="1"/>
  <c r="BX277" i="119"/>
  <c r="BX275" i="119"/>
  <c r="AY206" i="30" s="1"/>
  <c r="CS275" i="119"/>
  <c r="BT206" i="30" s="1"/>
  <c r="CS277" i="119"/>
  <c r="DB277" i="119"/>
  <c r="DB275" i="119"/>
  <c r="CC206" i="30" s="1"/>
  <c r="BP21" i="30"/>
  <c r="CO19" i="119"/>
  <c r="BP19" i="30" s="1"/>
  <c r="R269" i="119"/>
  <c r="R200" i="30" s="1"/>
  <c r="R30" i="30"/>
  <c r="N269" i="119"/>
  <c r="N200" i="30" s="1"/>
  <c r="N30" i="30"/>
  <c r="CR259" i="119"/>
  <c r="BS192" i="30" s="1"/>
  <c r="BS20" i="30"/>
  <c r="CT277" i="119"/>
  <c r="CT275" i="119"/>
  <c r="BU206" i="30" s="1"/>
  <c r="AA29" i="1"/>
  <c r="AU277" i="119"/>
  <c r="AU275" i="119"/>
  <c r="CB21" i="30"/>
  <c r="DA19" i="119"/>
  <c r="CB19" i="30" s="1"/>
  <c r="G21" i="119"/>
  <c r="G93" i="119"/>
  <c r="G84" i="30" s="1"/>
  <c r="G20" i="119"/>
  <c r="CK259" i="119"/>
  <c r="BL192" i="30" s="1"/>
  <c r="BL20" i="30"/>
  <c r="V128" i="119"/>
  <c r="V119" i="30" s="1"/>
  <c r="V118" i="30"/>
  <c r="V179" i="119"/>
  <c r="X152" i="119"/>
  <c r="W171" i="30"/>
  <c r="X213" i="119"/>
  <c r="W167" i="119"/>
  <c r="V173" i="119"/>
  <c r="W152" i="119"/>
  <c r="X200" i="119"/>
  <c r="W158" i="30"/>
  <c r="V152" i="119"/>
  <c r="DI50" i="119"/>
  <c r="FJ92" i="2"/>
  <c r="X50" i="119" s="1"/>
  <c r="X49" i="119" s="1"/>
  <c r="F256" i="119"/>
  <c r="F189" i="30" s="1"/>
  <c r="F229" i="30"/>
  <c r="S264" i="119"/>
  <c r="S197" i="30" s="1"/>
  <c r="S68" i="30"/>
  <c r="FH53" i="2"/>
  <c r="V70" i="119"/>
  <c r="V66" i="30" s="1"/>
  <c r="ET53" i="2"/>
  <c r="H70" i="119"/>
  <c r="H66" i="30" s="1"/>
  <c r="L256" i="119"/>
  <c r="L189" i="30" s="1"/>
  <c r="L229" i="30"/>
  <c r="W256" i="119"/>
  <c r="W189" i="30" s="1"/>
  <c r="W229" i="30"/>
  <c r="I256" i="119"/>
  <c r="I189" i="30" s="1"/>
  <c r="I229" i="30"/>
  <c r="K256" i="119"/>
  <c r="K189" i="30" s="1"/>
  <c r="K229" i="30"/>
  <c r="CR51" i="2"/>
  <c r="DL65" i="119"/>
  <c r="T256" i="119"/>
  <c r="T189" i="30" s="1"/>
  <c r="T229" i="30"/>
  <c r="EY53" i="2"/>
  <c r="M70" i="119"/>
  <c r="M66" i="30" s="1"/>
  <c r="FG53" i="2"/>
  <c r="U70" i="119"/>
  <c r="U66" i="30" s="1"/>
  <c r="M264" i="119"/>
  <c r="M197" i="30" s="1"/>
  <c r="M68" i="30"/>
  <c r="V256" i="119"/>
  <c r="V189" i="30" s="1"/>
  <c r="V229" i="30"/>
  <c r="J256" i="119"/>
  <c r="J189" i="30" s="1"/>
  <c r="J229" i="30"/>
  <c r="P256" i="119"/>
  <c r="P189" i="30" s="1"/>
  <c r="P229" i="30"/>
  <c r="P264" i="119"/>
  <c r="P197" i="30" s="1"/>
  <c r="P68" i="30"/>
  <c r="U264" i="119"/>
  <c r="U197" i="30" s="1"/>
  <c r="U68" i="30"/>
  <c r="S256" i="119"/>
  <c r="S189" i="30" s="1"/>
  <c r="S229" i="30"/>
  <c r="G256" i="119"/>
  <c r="G189" i="30" s="1"/>
  <c r="G229" i="30"/>
  <c r="N256" i="119"/>
  <c r="N189" i="30" s="1"/>
  <c r="N229" i="30"/>
  <c r="M256" i="119"/>
  <c r="M189" i="30" s="1"/>
  <c r="M229" i="30"/>
  <c r="O256" i="119"/>
  <c r="O189" i="30" s="1"/>
  <c r="O229" i="30"/>
  <c r="ED53" i="119"/>
  <c r="ED81" i="119"/>
  <c r="U256" i="119"/>
  <c r="U189" i="30" s="1"/>
  <c r="U229" i="30"/>
  <c r="R256" i="119"/>
  <c r="R189" i="30" s="1"/>
  <c r="R229" i="30"/>
  <c r="Q256" i="119"/>
  <c r="Q189" i="30" s="1"/>
  <c r="Q229" i="30"/>
  <c r="H256" i="119"/>
  <c r="H189" i="30" s="1"/>
  <c r="H229" i="30"/>
  <c r="AS82" i="1"/>
  <c r="EQ35" i="3"/>
  <c r="BS86" i="6"/>
  <c r="E83" i="1"/>
  <c r="D72" i="2"/>
  <c r="D85" i="2"/>
  <c r="D74" i="2"/>
  <c r="D75" i="2"/>
  <c r="D73" i="2"/>
  <c r="AN125" i="1"/>
  <c r="AN72" i="2"/>
  <c r="AN85" i="2"/>
  <c r="AN74" i="2"/>
  <c r="AN75" i="2"/>
  <c r="AN73" i="2"/>
  <c r="BR125" i="1"/>
  <c r="BQ75" i="2"/>
  <c r="BQ73" i="2"/>
  <c r="BQ85" i="2"/>
  <c r="BQ74" i="2"/>
  <c r="BQ72" i="2"/>
  <c r="CJ125" i="1"/>
  <c r="CJ74" i="2"/>
  <c r="CJ75" i="2"/>
  <c r="CJ72" i="2"/>
  <c r="CJ73" i="2"/>
  <c r="CJ85" i="2"/>
  <c r="AN68" i="1"/>
  <c r="BT104" i="1"/>
  <c r="BP75" i="2"/>
  <c r="BP73" i="2"/>
  <c r="BP85" i="2"/>
  <c r="BP74" i="2"/>
  <c r="BP72" i="2"/>
  <c r="BX85" i="2"/>
  <c r="BX74" i="2"/>
  <c r="BX75" i="2"/>
  <c r="BX72" i="2"/>
  <c r="BX73" i="2"/>
  <c r="AV104" i="1"/>
  <c r="AR75" i="2"/>
  <c r="AR73" i="2"/>
  <c r="AR74" i="2"/>
  <c r="AR72" i="2"/>
  <c r="AR85" i="2"/>
  <c r="AB125" i="1"/>
  <c r="AB72" i="2"/>
  <c r="AB73" i="2"/>
  <c r="AB85" i="2"/>
  <c r="AB74" i="2"/>
  <c r="AB75" i="2"/>
  <c r="AN47" i="1"/>
  <c r="BH74" i="2"/>
  <c r="BH85" i="2"/>
  <c r="BH75" i="2"/>
  <c r="BH73" i="2"/>
  <c r="BH72" i="2"/>
  <c r="T75" i="2"/>
  <c r="T73" i="2"/>
  <c r="T72" i="2"/>
  <c r="T85" i="2"/>
  <c r="T74" i="2"/>
  <c r="M125" i="1"/>
  <c r="M75" i="2"/>
  <c r="M74" i="2"/>
  <c r="M72" i="2"/>
  <c r="M73" i="2"/>
  <c r="P47" i="1"/>
  <c r="P74" i="2"/>
  <c r="P72" i="2"/>
  <c r="P75" i="2"/>
  <c r="P73" i="2"/>
  <c r="P85" i="2"/>
  <c r="I125" i="1"/>
  <c r="I75" i="2"/>
  <c r="I73" i="2"/>
  <c r="I72" i="2"/>
  <c r="I74" i="2"/>
  <c r="X68" i="1"/>
  <c r="X74" i="2"/>
  <c r="X85" i="2"/>
  <c r="X75" i="2"/>
  <c r="X73" i="2"/>
  <c r="X72" i="2"/>
  <c r="FI22" i="51"/>
  <c r="CH191" i="112"/>
  <c r="CH190" i="112"/>
  <c r="CH188" i="112"/>
  <c r="CH187" i="112"/>
  <c r="CH189" i="112"/>
  <c r="CJ191" i="112"/>
  <c r="CJ190" i="112"/>
  <c r="CJ188" i="112"/>
  <c r="CJ189" i="112"/>
  <c r="CJ187" i="112"/>
  <c r="AR125" i="1"/>
  <c r="DC9" i="3"/>
  <c r="DC67" i="3" s="1"/>
  <c r="DC10" i="92"/>
  <c r="DC38" i="1"/>
  <c r="DB9" i="3"/>
  <c r="DB10" i="92"/>
  <c r="DB38" i="1"/>
  <c r="AC46" i="1"/>
  <c r="DI38" i="1"/>
  <c r="DI9" i="51"/>
  <c r="CO8" i="6"/>
  <c r="DI9" i="112"/>
  <c r="DI9" i="113"/>
  <c r="DI9" i="3"/>
  <c r="DI67" i="3" s="1"/>
  <c r="DI10" i="92"/>
  <c r="DE74" i="1"/>
  <c r="DE95" i="1"/>
  <c r="DE116" i="1"/>
  <c r="DE59" i="1"/>
  <c r="GB16" i="1"/>
  <c r="BP104" i="1"/>
  <c r="AV47" i="1"/>
  <c r="CL117" i="1"/>
  <c r="BR86" i="6"/>
  <c r="BO58" i="6"/>
  <c r="BO76" i="6"/>
  <c r="DZ37" i="6"/>
  <c r="DZ59" i="6"/>
  <c r="DZ96" i="6"/>
  <c r="DS37" i="6"/>
  <c r="DS95" i="6" s="1"/>
  <c r="DS96" i="6"/>
  <c r="EE37" i="6"/>
  <c r="EE39" i="6" s="1"/>
  <c r="EE59" i="6"/>
  <c r="EE96" i="6"/>
  <c r="J58" i="6"/>
  <c r="J76" i="6"/>
  <c r="F76" i="6"/>
  <c r="F58" i="6"/>
  <c r="AP58" i="6"/>
  <c r="AP76" i="6"/>
  <c r="S76" i="6"/>
  <c r="S58" i="6"/>
  <c r="L76" i="6"/>
  <c r="L58" i="6"/>
  <c r="FA37" i="6"/>
  <c r="BK58" i="6"/>
  <c r="BK76" i="6"/>
  <c r="T76" i="6"/>
  <c r="T58" i="6"/>
  <c r="AE76" i="6"/>
  <c r="AE58" i="6"/>
  <c r="AH58" i="6"/>
  <c r="AH76" i="6"/>
  <c r="AD76" i="6"/>
  <c r="AD58" i="6"/>
  <c r="BH76" i="6"/>
  <c r="BH58" i="6"/>
  <c r="EA37" i="6"/>
  <c r="EA59" i="6"/>
  <c r="EA96" i="6"/>
  <c r="DY37" i="6"/>
  <c r="DY59" i="6"/>
  <c r="DY96" i="6"/>
  <c r="EG37" i="6"/>
  <c r="EG39" i="6" s="1"/>
  <c r="EG59" i="6"/>
  <c r="EG96" i="6"/>
  <c r="W76" i="6"/>
  <c r="W58" i="6"/>
  <c r="EF37" i="6"/>
  <c r="EF39" i="6" s="1"/>
  <c r="EF59" i="6"/>
  <c r="EF96" i="6"/>
  <c r="DU37" i="6"/>
  <c r="DU59" i="6"/>
  <c r="DU96" i="6"/>
  <c r="DV37" i="6"/>
  <c r="DV59" i="6"/>
  <c r="DV96" i="6"/>
  <c r="AR76" i="6"/>
  <c r="AR58" i="6"/>
  <c r="BQ58" i="6"/>
  <c r="BQ76" i="6"/>
  <c r="AS58" i="6"/>
  <c r="AS76" i="6"/>
  <c r="AM76" i="6"/>
  <c r="AM58" i="6"/>
  <c r="AT58" i="6"/>
  <c r="AT76" i="6"/>
  <c r="Y76" i="6"/>
  <c r="Y58" i="6"/>
  <c r="I58" i="6"/>
  <c r="I76" i="6"/>
  <c r="AQ58" i="6"/>
  <c r="AQ76" i="6"/>
  <c r="O76" i="6"/>
  <c r="O58" i="6"/>
  <c r="AG76" i="6"/>
  <c r="AG58" i="6"/>
  <c r="DT37" i="6"/>
  <c r="DT59" i="6"/>
  <c r="DT96" i="6"/>
  <c r="EI37" i="6"/>
  <c r="EI39" i="6" s="1"/>
  <c r="EI96" i="6"/>
  <c r="EI59" i="6"/>
  <c r="ED37" i="6"/>
  <c r="ED39" i="6" s="1"/>
  <c r="ED96" i="6"/>
  <c r="ED59" i="6"/>
  <c r="R76" i="6"/>
  <c r="R58" i="6"/>
  <c r="X76" i="6"/>
  <c r="X58" i="6"/>
  <c r="BP76" i="6"/>
  <c r="BP58" i="6"/>
  <c r="AU76" i="6"/>
  <c r="AU58" i="6"/>
  <c r="M58" i="6"/>
  <c r="M76" i="6"/>
  <c r="AV76" i="6"/>
  <c r="AV58" i="6"/>
  <c r="EY37" i="6"/>
  <c r="EY95" i="6" s="1"/>
  <c r="BC58" i="6"/>
  <c r="BC76" i="6"/>
  <c r="Q76" i="6"/>
  <c r="Q58" i="6"/>
  <c r="BM76" i="6"/>
  <c r="BM58" i="6"/>
  <c r="BF76" i="6"/>
  <c r="BF58" i="6"/>
  <c r="AA58" i="6"/>
  <c r="AA76" i="6"/>
  <c r="Z76" i="6"/>
  <c r="Z58" i="6"/>
  <c r="AJ58" i="6"/>
  <c r="AJ76" i="6"/>
  <c r="V58" i="6"/>
  <c r="V76" i="6"/>
  <c r="AK58" i="6"/>
  <c r="AK76" i="6"/>
  <c r="AY58" i="6"/>
  <c r="AY76" i="6"/>
  <c r="BL58" i="6"/>
  <c r="BL76" i="6"/>
  <c r="BN76" i="6"/>
  <c r="BN58" i="6"/>
  <c r="AZ76" i="6"/>
  <c r="AZ58" i="6"/>
  <c r="AC76" i="6"/>
  <c r="AC58" i="6"/>
  <c r="K76" i="6"/>
  <c r="K58" i="6"/>
  <c r="E76" i="6"/>
  <c r="C76" i="6"/>
  <c r="EC37" i="6"/>
  <c r="EC96" i="6"/>
  <c r="EC59" i="6"/>
  <c r="DX37" i="6"/>
  <c r="DX96" i="6"/>
  <c r="DX59" i="6"/>
  <c r="EB37" i="6"/>
  <c r="EB59" i="6"/>
  <c r="EB96" i="6"/>
  <c r="DW37" i="6"/>
  <c r="DW96" i="6"/>
  <c r="DW59" i="6"/>
  <c r="FA59" i="6"/>
  <c r="FA96" i="6"/>
  <c r="EH37" i="6"/>
  <c r="EH39" i="6" s="1"/>
  <c r="EH59" i="6"/>
  <c r="EH96" i="6"/>
  <c r="BE76" i="6"/>
  <c r="BE58" i="6"/>
  <c r="BJ76" i="6"/>
  <c r="BJ58" i="6"/>
  <c r="U76" i="6"/>
  <c r="U58" i="6"/>
  <c r="BD76" i="6"/>
  <c r="BD58" i="6"/>
  <c r="G58" i="6"/>
  <c r="G76" i="6"/>
  <c r="BA76" i="6"/>
  <c r="BA58" i="6"/>
  <c r="AX76" i="6"/>
  <c r="AX58" i="6"/>
  <c r="BI58" i="6"/>
  <c r="BI76" i="6"/>
  <c r="AW58" i="6"/>
  <c r="AW76" i="6"/>
  <c r="AB58" i="6"/>
  <c r="AB76" i="6"/>
  <c r="N76" i="6"/>
  <c r="N58" i="6"/>
  <c r="AL76" i="6"/>
  <c r="AL58" i="6"/>
  <c r="AF76" i="6"/>
  <c r="AF58" i="6"/>
  <c r="AO76" i="6"/>
  <c r="AO58" i="6"/>
  <c r="P58" i="6"/>
  <c r="P76" i="6"/>
  <c r="EZ37" i="6"/>
  <c r="BG76" i="6"/>
  <c r="BG58" i="6"/>
  <c r="H76" i="6"/>
  <c r="H58" i="6"/>
  <c r="AN58" i="6"/>
  <c r="AN76" i="6"/>
  <c r="AI76" i="6"/>
  <c r="AI58" i="6"/>
  <c r="BB58" i="6"/>
  <c r="BB76" i="6"/>
  <c r="EZ59" i="6"/>
  <c r="EZ96" i="6"/>
  <c r="D76" i="6"/>
  <c r="AO17" i="1"/>
  <c r="AB68" i="1"/>
  <c r="BR83" i="1"/>
  <c r="AO82" i="1"/>
  <c r="AP124" i="1"/>
  <c r="X125" i="1"/>
  <c r="AO67" i="1"/>
  <c r="AO124" i="1"/>
  <c r="BP47" i="1"/>
  <c r="BP68" i="1"/>
  <c r="M35" i="3"/>
  <c r="EP35" i="3"/>
  <c r="CB50" i="3"/>
  <c r="CV108" i="119" s="1"/>
  <c r="BW98" i="30" s="1"/>
  <c r="AS17" i="1"/>
  <c r="BM20" i="119" s="1"/>
  <c r="M80" i="2"/>
  <c r="M85" i="2" s="1"/>
  <c r="X83" i="1"/>
  <c r="BQ83" i="1"/>
  <c r="BQ125" i="1"/>
  <c r="BP125" i="1"/>
  <c r="GG16" i="1"/>
  <c r="GH46" i="1" s="1"/>
  <c r="BT47" i="1"/>
  <c r="AS67" i="1"/>
  <c r="AS124" i="1"/>
  <c r="BP83" i="1"/>
  <c r="BQ68" i="1"/>
  <c r="FD46" i="51"/>
  <c r="FD45" i="51"/>
  <c r="FD41" i="51"/>
  <c r="FD42" i="51"/>
  <c r="FD43" i="51"/>
  <c r="FD40" i="51"/>
  <c r="FB46" i="51"/>
  <c r="FB40" i="51"/>
  <c r="FB41" i="51"/>
  <c r="FB45" i="51"/>
  <c r="FB42" i="51"/>
  <c r="FB43" i="51"/>
  <c r="FC46" i="51"/>
  <c r="FC45" i="51"/>
  <c r="FC40" i="51"/>
  <c r="FC41" i="51"/>
  <c r="FC42" i="51"/>
  <c r="FC43" i="51"/>
  <c r="GN46" i="51"/>
  <c r="GN45" i="51"/>
  <c r="GN43" i="51"/>
  <c r="GN42" i="51"/>
  <c r="GN41" i="51"/>
  <c r="GN40" i="51"/>
  <c r="FD44" i="51"/>
  <c r="FB44" i="51"/>
  <c r="GM46" i="51"/>
  <c r="GM43" i="51"/>
  <c r="GM45" i="51"/>
  <c r="GM40" i="51"/>
  <c r="GM41" i="51"/>
  <c r="GM42" i="51"/>
  <c r="GO46" i="51"/>
  <c r="GO40" i="51"/>
  <c r="GO45" i="51"/>
  <c r="GO43" i="51"/>
  <c r="GO41" i="51"/>
  <c r="GO42" i="51"/>
  <c r="GO44" i="51"/>
  <c r="GF16" i="1"/>
  <c r="GF67" i="1" s="1"/>
  <c r="AO103" i="1"/>
  <c r="AF47" i="1"/>
  <c r="CX59" i="1"/>
  <c r="AS46" i="1"/>
  <c r="CX95" i="1"/>
  <c r="AB104" i="1"/>
  <c r="AS103" i="1"/>
  <c r="AF104" i="1"/>
  <c r="AO46" i="1"/>
  <c r="AB47" i="1"/>
  <c r="AB83" i="1"/>
  <c r="CX74" i="1"/>
  <c r="FB53" i="2"/>
  <c r="E66" i="2"/>
  <c r="E67" i="2"/>
  <c r="DM8" i="1"/>
  <c r="CZ9" i="3"/>
  <c r="CZ9" i="113"/>
  <c r="CZ9" i="112"/>
  <c r="J29" i="1"/>
  <c r="DB9" i="113"/>
  <c r="DB9" i="112"/>
  <c r="DC9" i="113"/>
  <c r="DC9" i="112"/>
  <c r="EX53" i="2"/>
  <c r="EW53" i="2"/>
  <c r="T81" i="2"/>
  <c r="BA81" i="2"/>
  <c r="Y82" i="1"/>
  <c r="Y67" i="1"/>
  <c r="Z124" i="1"/>
  <c r="AN104" i="1"/>
  <c r="CB54" i="3"/>
  <c r="D68" i="1"/>
  <c r="H104" i="1"/>
  <c r="Q103" i="1"/>
  <c r="D83" i="1"/>
  <c r="R124" i="1"/>
  <c r="Y81" i="2"/>
  <c r="H47" i="1"/>
  <c r="Q46" i="1"/>
  <c r="D125" i="1"/>
  <c r="E125" i="1"/>
  <c r="Q82" i="1"/>
  <c r="AR83" i="1"/>
  <c r="P83" i="1"/>
  <c r="EQ24" i="3"/>
  <c r="AR68" i="1"/>
  <c r="P68" i="1"/>
  <c r="BM54" i="3"/>
  <c r="BM55" i="3" s="1"/>
  <c r="FC25" i="3"/>
  <c r="Q96" i="119" s="1"/>
  <c r="Q87" i="30" s="1"/>
  <c r="P104" i="1"/>
  <c r="P125" i="1"/>
  <c r="ET24" i="3"/>
  <c r="H94" i="119" s="1"/>
  <c r="H85" i="30" s="1"/>
  <c r="AR47" i="1"/>
  <c r="AR104" i="1"/>
  <c r="L81" i="2"/>
  <c r="EP24" i="3"/>
  <c r="Y124" i="1"/>
  <c r="AC103" i="1"/>
  <c r="FH35" i="3"/>
  <c r="V101" i="119" s="1"/>
  <c r="V92" i="30" s="1"/>
  <c r="Y17" i="1"/>
  <c r="AS20" i="119" s="1"/>
  <c r="AS259" i="119" s="1"/>
  <c r="FZ16" i="1"/>
  <c r="FZ103" i="1" s="1"/>
  <c r="Q67" i="1"/>
  <c r="Q124" i="1"/>
  <c r="Q17" i="1"/>
  <c r="BQ54" i="3"/>
  <c r="BQ55" i="3" s="1"/>
  <c r="BU81" i="2"/>
  <c r="FI48" i="3"/>
  <c r="EN35" i="3"/>
  <c r="AW48" i="3"/>
  <c r="BQ107" i="119" s="1"/>
  <c r="AR97" i="30" s="1"/>
  <c r="EY38" i="3"/>
  <c r="M103" i="119" s="1"/>
  <c r="M94" i="30" s="1"/>
  <c r="AO81" i="2"/>
  <c r="FG48" i="3"/>
  <c r="U107" i="119" s="1"/>
  <c r="U97" i="30" s="1"/>
  <c r="EV48" i="3"/>
  <c r="J107" i="119" s="1"/>
  <c r="J97" i="30" s="1"/>
  <c r="FC35" i="3"/>
  <c r="Q101" i="119" s="1"/>
  <c r="Q92" i="30" s="1"/>
  <c r="EW24" i="3"/>
  <c r="K94" i="119" s="1"/>
  <c r="K85" i="30" s="1"/>
  <c r="BM50" i="3"/>
  <c r="CG108" i="119" s="1"/>
  <c r="BH98" i="30" s="1"/>
  <c r="ES48" i="3"/>
  <c r="G107" i="119" s="1"/>
  <c r="G97" i="30" s="1"/>
  <c r="CG84" i="2"/>
  <c r="CG81" i="2"/>
  <c r="CK17" i="1"/>
  <c r="CK103" i="1"/>
  <c r="CK67" i="1"/>
  <c r="CL82" i="1"/>
  <c r="CK46" i="1"/>
  <c r="CL124" i="1"/>
  <c r="GP16" i="1"/>
  <c r="GP67" i="1" s="1"/>
  <c r="CC124" i="1"/>
  <c r="CD82" i="1"/>
  <c r="CC67" i="1"/>
  <c r="CD124" i="1"/>
  <c r="CC82" i="1"/>
  <c r="CC17" i="1"/>
  <c r="FH16" i="1"/>
  <c r="W21" i="119" s="1"/>
  <c r="GR16" i="1"/>
  <c r="CK124" i="1"/>
  <c r="CK82" i="1"/>
  <c r="CK84" i="2"/>
  <c r="CK81" i="2"/>
  <c r="CG124" i="1"/>
  <c r="CG67" i="1"/>
  <c r="CG46" i="1"/>
  <c r="CG82" i="1"/>
  <c r="CH82" i="1"/>
  <c r="GQ16" i="1"/>
  <c r="FG16" i="1"/>
  <c r="V21" i="119" s="1"/>
  <c r="CG103" i="1"/>
  <c r="CG17" i="1"/>
  <c r="CH124" i="1"/>
  <c r="FE41" i="51"/>
  <c r="FB26" i="51"/>
  <c r="DI9" i="2"/>
  <c r="AB127" i="1"/>
  <c r="AA11" i="3"/>
  <c r="AV127" i="1"/>
  <c r="AW127" i="1"/>
  <c r="J28" i="1"/>
  <c r="Y127" i="1"/>
  <c r="GI26" i="1"/>
  <c r="GI70" i="1" s="1"/>
  <c r="C127" i="1"/>
  <c r="GF105" i="1"/>
  <c r="GF69" i="1"/>
  <c r="GF48" i="1"/>
  <c r="GQ69" i="1"/>
  <c r="EP105" i="1"/>
  <c r="EP69" i="1"/>
  <c r="EP48" i="1"/>
  <c r="GG105" i="1"/>
  <c r="GG69" i="1"/>
  <c r="GG48" i="1"/>
  <c r="FE105" i="1"/>
  <c r="FE69" i="1"/>
  <c r="FE48" i="1"/>
  <c r="FC105" i="1"/>
  <c r="FC69" i="1"/>
  <c r="FC48" i="1"/>
  <c r="GS112" i="1"/>
  <c r="GS55" i="1"/>
  <c r="EQ105" i="1"/>
  <c r="EQ69" i="1"/>
  <c r="EQ48" i="1"/>
  <c r="GJ105" i="1"/>
  <c r="GJ69" i="1"/>
  <c r="GJ48" i="1"/>
  <c r="GB105" i="1"/>
  <c r="GB69" i="1"/>
  <c r="GB48" i="1"/>
  <c r="GD105" i="1"/>
  <c r="GD69" i="1"/>
  <c r="GD48" i="1"/>
  <c r="FH105" i="1"/>
  <c r="FH48" i="1"/>
  <c r="FH69" i="1"/>
  <c r="ES69" i="1"/>
  <c r="ES105" i="1"/>
  <c r="ES48" i="1"/>
  <c r="EZ105" i="1"/>
  <c r="EZ69" i="1"/>
  <c r="EZ48" i="1"/>
  <c r="ER69" i="1"/>
  <c r="ER48" i="1"/>
  <c r="ER105" i="1"/>
  <c r="EV105" i="1"/>
  <c r="EV69" i="1"/>
  <c r="EV48" i="1"/>
  <c r="GH105" i="1"/>
  <c r="GH69" i="1"/>
  <c r="GH48" i="1"/>
  <c r="FX105" i="1"/>
  <c r="FX48" i="1"/>
  <c r="FX69" i="1"/>
  <c r="AA28" i="1"/>
  <c r="EO105" i="1"/>
  <c r="EO69" i="1"/>
  <c r="EO48" i="1"/>
  <c r="FZ69" i="1"/>
  <c r="FZ105" i="1"/>
  <c r="FZ48" i="1"/>
  <c r="GK70" i="1"/>
  <c r="EY25" i="1"/>
  <c r="N290" i="119" s="1"/>
  <c r="N221" i="30" s="1"/>
  <c r="EY69" i="1"/>
  <c r="EY105" i="1"/>
  <c r="EY48" i="1"/>
  <c r="AA70" i="1"/>
  <c r="GN105" i="1"/>
  <c r="GN69" i="1"/>
  <c r="GN48" i="1"/>
  <c r="ET105" i="1"/>
  <c r="ET69" i="1"/>
  <c r="ET48" i="1"/>
  <c r="EU105" i="1"/>
  <c r="EU48" i="1"/>
  <c r="EU69" i="1"/>
  <c r="GE105" i="1"/>
  <c r="GE69" i="1"/>
  <c r="GE48" i="1"/>
  <c r="GA69" i="1"/>
  <c r="GA105" i="1"/>
  <c r="GA48" i="1"/>
  <c r="FD105" i="1"/>
  <c r="FD69" i="1"/>
  <c r="FD48" i="1"/>
  <c r="GC25" i="1"/>
  <c r="GC105" i="1"/>
  <c r="GC69" i="1"/>
  <c r="GC48" i="1"/>
  <c r="GI105" i="1"/>
  <c r="GI69" i="1"/>
  <c r="GI48" i="1"/>
  <c r="FA105" i="1"/>
  <c r="FA69" i="1"/>
  <c r="FA48" i="1"/>
  <c r="GO25" i="1"/>
  <c r="GO105" i="1"/>
  <c r="GO69" i="1"/>
  <c r="GO48" i="1"/>
  <c r="FW26" i="1"/>
  <c r="FW70" i="1" s="1"/>
  <c r="FW69" i="1"/>
  <c r="FY105" i="1"/>
  <c r="FY69" i="1"/>
  <c r="FY48" i="1"/>
  <c r="FG69" i="1"/>
  <c r="EX69" i="1"/>
  <c r="EX48" i="1"/>
  <c r="EX105" i="1"/>
  <c r="FY67" i="1"/>
  <c r="FY103" i="1"/>
  <c r="FY46" i="1"/>
  <c r="GM69" i="1"/>
  <c r="GM48" i="1"/>
  <c r="GM105" i="1"/>
  <c r="FB105" i="1"/>
  <c r="FB69" i="1"/>
  <c r="FB48" i="1"/>
  <c r="EW105" i="1"/>
  <c r="EW69" i="1"/>
  <c r="EW48" i="1"/>
  <c r="FX67" i="1"/>
  <c r="FX103" i="1"/>
  <c r="FX46" i="1"/>
  <c r="GL69" i="1"/>
  <c r="GL48" i="1"/>
  <c r="GL105" i="1"/>
  <c r="EN25" i="1"/>
  <c r="EN105" i="1"/>
  <c r="EN48" i="1"/>
  <c r="EN69" i="1"/>
  <c r="GK25" i="1"/>
  <c r="GK105" i="1"/>
  <c r="GK69" i="1"/>
  <c r="GK48" i="1"/>
  <c r="GK29" i="1"/>
  <c r="GK30" i="1"/>
  <c r="BW127" i="1"/>
  <c r="M127" i="1"/>
  <c r="BT127" i="1"/>
  <c r="Q127" i="1"/>
  <c r="AZ127" i="1"/>
  <c r="AI127" i="1"/>
  <c r="AR127" i="1"/>
  <c r="CB127" i="1"/>
  <c r="AK127" i="1"/>
  <c r="BK127" i="1"/>
  <c r="BS127" i="1"/>
  <c r="BG127" i="1"/>
  <c r="R127" i="1"/>
  <c r="BX127" i="1"/>
  <c r="K127" i="1"/>
  <c r="AM127" i="1"/>
  <c r="O127" i="1"/>
  <c r="U127" i="1"/>
  <c r="BF127" i="1"/>
  <c r="BC127" i="1"/>
  <c r="AU127" i="1"/>
  <c r="CJ127" i="1"/>
  <c r="AO127" i="1"/>
  <c r="BA127" i="1"/>
  <c r="BM127" i="1"/>
  <c r="CG127" i="1"/>
  <c r="BO127" i="1"/>
  <c r="CI127" i="1"/>
  <c r="AQ127" i="1"/>
  <c r="BJ127" i="1"/>
  <c r="BN106" i="1"/>
  <c r="BN127" i="1"/>
  <c r="BH106" i="1"/>
  <c r="BH127" i="1"/>
  <c r="BQ106" i="1"/>
  <c r="BQ127" i="1"/>
  <c r="AG106" i="1"/>
  <c r="AG127" i="1"/>
  <c r="BD127" i="1"/>
  <c r="BY127" i="1"/>
  <c r="CH127" i="1"/>
  <c r="AP127" i="1"/>
  <c r="BI127" i="1"/>
  <c r="AE106" i="1"/>
  <c r="AE127" i="1"/>
  <c r="G106" i="1"/>
  <c r="G127" i="1"/>
  <c r="BY124" i="1"/>
  <c r="BZ124" i="1"/>
  <c r="BV106" i="1"/>
  <c r="BV127" i="1"/>
  <c r="CE106" i="1"/>
  <c r="CE127" i="1"/>
  <c r="L127" i="1"/>
  <c r="P127" i="1"/>
  <c r="I106" i="1"/>
  <c r="I127" i="1"/>
  <c r="W106" i="1"/>
  <c r="W127" i="1"/>
  <c r="BU127" i="1"/>
  <c r="AD106" i="1"/>
  <c r="AD127" i="1"/>
  <c r="AX127" i="1"/>
  <c r="AY127" i="1"/>
  <c r="BI124" i="1"/>
  <c r="BJ124" i="1"/>
  <c r="AF127" i="1"/>
  <c r="CM96" i="1"/>
  <c r="CM117" i="1"/>
  <c r="AH127" i="1"/>
  <c r="CB104" i="1"/>
  <c r="BX125" i="1"/>
  <c r="H106" i="1"/>
  <c r="H127" i="1"/>
  <c r="S127" i="1"/>
  <c r="U103" i="1"/>
  <c r="U124" i="1"/>
  <c r="V124" i="1"/>
  <c r="E85" i="1"/>
  <c r="D127" i="1"/>
  <c r="BP127" i="1"/>
  <c r="T127" i="1"/>
  <c r="BB127" i="1"/>
  <c r="CF127" i="1"/>
  <c r="V127" i="1"/>
  <c r="BE127" i="1"/>
  <c r="AT127" i="1"/>
  <c r="BZ127" i="1"/>
  <c r="N106" i="1"/>
  <c r="N127" i="1"/>
  <c r="CK106" i="1"/>
  <c r="CK127" i="1"/>
  <c r="AN106" i="1"/>
  <c r="AN127" i="1"/>
  <c r="BL104" i="1"/>
  <c r="BH125" i="1"/>
  <c r="BL127" i="1"/>
  <c r="BU103" i="1"/>
  <c r="BU124" i="1"/>
  <c r="BV124" i="1"/>
  <c r="AC127" i="1"/>
  <c r="AA127" i="1"/>
  <c r="N125" i="1"/>
  <c r="E127" i="1"/>
  <c r="J125" i="1"/>
  <c r="AS127" i="1"/>
  <c r="X127" i="1"/>
  <c r="X104" i="1"/>
  <c r="T125" i="1"/>
  <c r="Z127" i="1"/>
  <c r="AL127" i="1"/>
  <c r="AJ127" i="1"/>
  <c r="BR127" i="1"/>
  <c r="CA127" i="1"/>
  <c r="J127" i="1"/>
  <c r="AW106" i="1"/>
  <c r="AK106" i="1"/>
  <c r="BG106" i="1"/>
  <c r="BU106" i="1"/>
  <c r="BX106" i="1"/>
  <c r="BO106" i="1"/>
  <c r="O106" i="1"/>
  <c r="CJ106" i="1"/>
  <c r="BT106" i="1"/>
  <c r="BF106" i="1"/>
  <c r="BC106" i="1"/>
  <c r="CD106" i="1"/>
  <c r="Z106" i="1"/>
  <c r="BI106" i="1"/>
  <c r="BA106" i="1"/>
  <c r="AX106" i="1"/>
  <c r="R106" i="1"/>
  <c r="AZ106" i="1"/>
  <c r="AO106" i="1"/>
  <c r="T106" i="1"/>
  <c r="AH106" i="1"/>
  <c r="BS106" i="1"/>
  <c r="M106" i="1"/>
  <c r="AU106" i="1"/>
  <c r="Y106" i="1"/>
  <c r="AR106" i="1"/>
  <c r="BM106" i="1"/>
  <c r="AI106" i="1"/>
  <c r="CB106" i="1"/>
  <c r="BY103" i="1"/>
  <c r="CC103" i="1"/>
  <c r="L106" i="1"/>
  <c r="AQ106" i="1"/>
  <c r="AL106" i="1"/>
  <c r="BJ106" i="1"/>
  <c r="V106" i="1"/>
  <c r="AA106" i="1"/>
  <c r="AM106" i="1"/>
  <c r="BW106" i="1"/>
  <c r="BD106" i="1"/>
  <c r="AJ106" i="1"/>
  <c r="AC106" i="1"/>
  <c r="DC9" i="2"/>
  <c r="BE106" i="1"/>
  <c r="AT106" i="1"/>
  <c r="BZ106" i="1"/>
  <c r="S106" i="1"/>
  <c r="K106" i="1"/>
  <c r="BP106" i="1"/>
  <c r="BY106" i="1"/>
  <c r="CH106" i="1"/>
  <c r="Y103" i="1"/>
  <c r="BL106" i="1"/>
  <c r="U106" i="1"/>
  <c r="CI106" i="1"/>
  <c r="AV106" i="1"/>
  <c r="BK106" i="1"/>
  <c r="AY106" i="1"/>
  <c r="BI103" i="1"/>
  <c r="BM103" i="1"/>
  <c r="AF106" i="1"/>
  <c r="P106" i="1"/>
  <c r="F106" i="1"/>
  <c r="AP106" i="1"/>
  <c r="BR106" i="1"/>
  <c r="CA106" i="1"/>
  <c r="J106" i="1"/>
  <c r="Q106" i="1"/>
  <c r="AS106" i="1"/>
  <c r="X106" i="1"/>
  <c r="AB106" i="1"/>
  <c r="BB106" i="1"/>
  <c r="CF106" i="1"/>
  <c r="T83" i="1"/>
  <c r="T104" i="1"/>
  <c r="CL75" i="1"/>
  <c r="CL96" i="1"/>
  <c r="BH83" i="1"/>
  <c r="BH104" i="1"/>
  <c r="M83" i="1"/>
  <c r="M104" i="1"/>
  <c r="CJ104" i="1"/>
  <c r="I83" i="1"/>
  <c r="I104" i="1"/>
  <c r="BX83" i="1"/>
  <c r="BX104" i="1"/>
  <c r="CV74" i="1"/>
  <c r="CV95" i="1"/>
  <c r="CY74" i="1"/>
  <c r="CY95" i="1"/>
  <c r="BR85" i="1"/>
  <c r="N83" i="1"/>
  <c r="J83" i="1"/>
  <c r="AF70" i="1"/>
  <c r="AF85" i="1"/>
  <c r="F70" i="1"/>
  <c r="F85" i="1"/>
  <c r="AS70" i="1"/>
  <c r="AS85" i="1"/>
  <c r="X70" i="1"/>
  <c r="X85" i="1"/>
  <c r="BF70" i="1"/>
  <c r="BF85" i="1"/>
  <c r="AB70" i="1"/>
  <c r="AB85" i="1"/>
  <c r="BB70" i="1"/>
  <c r="BB85" i="1"/>
  <c r="CF70" i="1"/>
  <c r="CF85" i="1"/>
  <c r="CA29" i="1"/>
  <c r="CA85" i="1"/>
  <c r="J70" i="1"/>
  <c r="J85" i="1"/>
  <c r="BI67" i="1"/>
  <c r="BI82" i="1"/>
  <c r="BJ82" i="1"/>
  <c r="Y70" i="1"/>
  <c r="Y85" i="1"/>
  <c r="BN70" i="1"/>
  <c r="BN85" i="1"/>
  <c r="AR70" i="1"/>
  <c r="AR85" i="1"/>
  <c r="BH70" i="1"/>
  <c r="BH85" i="1"/>
  <c r="BL70" i="1"/>
  <c r="BL85" i="1"/>
  <c r="AU70" i="1"/>
  <c r="AU85" i="1"/>
  <c r="AH70" i="1"/>
  <c r="AH85" i="1"/>
  <c r="BS70" i="1"/>
  <c r="BS85" i="1"/>
  <c r="BI70" i="1"/>
  <c r="BI85" i="1"/>
  <c r="CK70" i="1"/>
  <c r="CK85" i="1"/>
  <c r="BK70" i="1"/>
  <c r="BK85" i="1"/>
  <c r="BC70" i="1"/>
  <c r="BC85" i="1"/>
  <c r="CD70" i="1"/>
  <c r="AI70" i="1"/>
  <c r="AI85" i="1"/>
  <c r="BV70" i="1"/>
  <c r="BV85" i="1"/>
  <c r="CE70" i="1"/>
  <c r="CE85" i="1"/>
  <c r="L70" i="1"/>
  <c r="L85" i="1"/>
  <c r="AK70" i="1"/>
  <c r="AK85" i="1"/>
  <c r="Z70" i="1"/>
  <c r="Z85" i="1"/>
  <c r="AQ70" i="1"/>
  <c r="AQ85" i="1"/>
  <c r="AL70" i="1"/>
  <c r="AL85" i="1"/>
  <c r="BJ70" i="1"/>
  <c r="BJ85" i="1"/>
  <c r="CJ68" i="1"/>
  <c r="CJ83" i="1"/>
  <c r="BU67" i="1"/>
  <c r="BU82" i="1"/>
  <c r="BV82" i="1"/>
  <c r="V70" i="1"/>
  <c r="V85" i="1"/>
  <c r="AA85" i="1"/>
  <c r="AN70" i="1"/>
  <c r="AN85" i="1"/>
  <c r="CI70" i="1"/>
  <c r="CI85" i="1"/>
  <c r="AY70" i="1"/>
  <c r="AY85" i="1"/>
  <c r="CM75" i="1"/>
  <c r="P70" i="1"/>
  <c r="P85" i="1"/>
  <c r="I70" i="1"/>
  <c r="I85" i="1"/>
  <c r="AP70" i="1"/>
  <c r="AP85" i="1"/>
  <c r="BT70" i="1"/>
  <c r="BT85" i="1"/>
  <c r="BG70" i="1"/>
  <c r="BG85" i="1"/>
  <c r="AE70" i="1"/>
  <c r="AE85" i="1"/>
  <c r="W70" i="1"/>
  <c r="W85" i="1"/>
  <c r="AO70" i="1"/>
  <c r="AO85" i="1"/>
  <c r="G70" i="1"/>
  <c r="G85" i="1"/>
  <c r="CB70" i="1"/>
  <c r="CB85" i="1"/>
  <c r="BY67" i="1"/>
  <c r="BY82" i="1"/>
  <c r="BZ82" i="1"/>
  <c r="AM70" i="1"/>
  <c r="AM85" i="1"/>
  <c r="R70" i="1"/>
  <c r="R85" i="1"/>
  <c r="BA70" i="1"/>
  <c r="BA85" i="1"/>
  <c r="BW70" i="1"/>
  <c r="BW85" i="1"/>
  <c r="E71" i="1"/>
  <c r="BU70" i="1"/>
  <c r="BU85" i="1"/>
  <c r="C70" i="1"/>
  <c r="C85" i="1"/>
  <c r="AD70" i="1"/>
  <c r="AD85" i="1"/>
  <c r="AX70" i="1"/>
  <c r="AX85" i="1"/>
  <c r="BQ70" i="1"/>
  <c r="BQ85" i="1"/>
  <c r="AG70" i="1"/>
  <c r="AG85" i="1"/>
  <c r="BD70" i="1"/>
  <c r="BD85" i="1"/>
  <c r="BM70" i="1"/>
  <c r="BM85" i="1"/>
  <c r="CG70" i="1"/>
  <c r="CG85" i="1"/>
  <c r="AJ70" i="1"/>
  <c r="AJ85" i="1"/>
  <c r="AC70" i="1"/>
  <c r="AC85" i="1"/>
  <c r="DC9" i="51"/>
  <c r="AW70" i="1"/>
  <c r="AW85" i="1"/>
  <c r="U70" i="1"/>
  <c r="U85" i="1"/>
  <c r="AV70" i="1"/>
  <c r="AV85" i="1"/>
  <c r="Q70" i="1"/>
  <c r="Q85" i="1"/>
  <c r="CJ70" i="1"/>
  <c r="CJ85" i="1"/>
  <c r="BO70" i="1"/>
  <c r="BO85" i="1"/>
  <c r="M70" i="1"/>
  <c r="M85" i="1"/>
  <c r="O70" i="1"/>
  <c r="O85" i="1"/>
  <c r="BX70" i="1"/>
  <c r="BX85" i="1"/>
  <c r="H70" i="1"/>
  <c r="H85" i="1"/>
  <c r="S70" i="1"/>
  <c r="S85" i="1"/>
  <c r="K70" i="1"/>
  <c r="K85" i="1"/>
  <c r="U67" i="1"/>
  <c r="U82" i="1"/>
  <c r="V82" i="1"/>
  <c r="D70" i="1"/>
  <c r="D85" i="1"/>
  <c r="AZ70" i="1"/>
  <c r="AZ85" i="1"/>
  <c r="BP70" i="1"/>
  <c r="BP85" i="1"/>
  <c r="T70" i="1"/>
  <c r="T85" i="1"/>
  <c r="BY70" i="1"/>
  <c r="BY85" i="1"/>
  <c r="CH70" i="1"/>
  <c r="CH85" i="1"/>
  <c r="BE70" i="1"/>
  <c r="BE85" i="1"/>
  <c r="AT85" i="1"/>
  <c r="BZ85" i="1"/>
  <c r="N70" i="1"/>
  <c r="N85" i="1"/>
  <c r="CV59" i="1"/>
  <c r="CY59" i="1"/>
  <c r="CA28" i="1"/>
  <c r="J30" i="1"/>
  <c r="BH47" i="1"/>
  <c r="BH68" i="1"/>
  <c r="M47" i="1"/>
  <c r="M68" i="1"/>
  <c r="CA30" i="1"/>
  <c r="CA70" i="1"/>
  <c r="I47" i="1"/>
  <c r="I68" i="1"/>
  <c r="BX47" i="1"/>
  <c r="BX68" i="1"/>
  <c r="AT70" i="1"/>
  <c r="BZ70" i="1"/>
  <c r="CL64" i="1"/>
  <c r="CL61" i="1"/>
  <c r="CL60" i="1"/>
  <c r="CL63" i="1"/>
  <c r="CL65" i="1"/>
  <c r="CL67" i="1"/>
  <c r="CM39" i="1"/>
  <c r="CM60" i="1"/>
  <c r="CM63" i="1"/>
  <c r="CM64" i="1"/>
  <c r="CM61" i="1"/>
  <c r="CM65" i="1"/>
  <c r="CM67" i="1"/>
  <c r="T47" i="1"/>
  <c r="T68" i="1"/>
  <c r="BR28" i="1"/>
  <c r="CL279" i="119" s="1"/>
  <c r="BR70" i="1"/>
  <c r="DD8" i="1"/>
  <c r="CZ38" i="1"/>
  <c r="CZ116" i="1" s="1"/>
  <c r="BZ28" i="1"/>
  <c r="CT279" i="119" s="1"/>
  <c r="CD49" i="1"/>
  <c r="CD29" i="1"/>
  <c r="CD30" i="1"/>
  <c r="AZ49" i="1"/>
  <c r="AZ29" i="1"/>
  <c r="AZ30" i="1"/>
  <c r="BT281" i="119" s="1"/>
  <c r="AK29" i="1"/>
  <c r="AK30" i="1"/>
  <c r="BE281" i="119" s="1"/>
  <c r="BY29" i="1"/>
  <c r="BY30" i="1"/>
  <c r="CS281" i="119" s="1"/>
  <c r="AP29" i="1"/>
  <c r="AP30" i="1"/>
  <c r="BJ281" i="119" s="1"/>
  <c r="N49" i="1"/>
  <c r="N30" i="1"/>
  <c r="N29" i="1"/>
  <c r="AG29" i="1"/>
  <c r="AG30" i="1"/>
  <c r="BA281" i="119" s="1"/>
  <c r="CF29" i="1"/>
  <c r="CF30" i="1"/>
  <c r="BJ30" i="1"/>
  <c r="CD281" i="119" s="1"/>
  <c r="BJ29" i="1"/>
  <c r="BR29" i="1"/>
  <c r="BR30" i="1"/>
  <c r="CL281" i="119" s="1"/>
  <c r="BX49" i="1"/>
  <c r="BX29" i="1"/>
  <c r="BX30" i="1"/>
  <c r="CR281" i="119" s="1"/>
  <c r="CB30" i="1"/>
  <c r="CB29" i="1"/>
  <c r="BV49" i="1"/>
  <c r="BV30" i="1"/>
  <c r="CP281" i="119" s="1"/>
  <c r="BV29" i="1"/>
  <c r="S29" i="1"/>
  <c r="S30" i="1"/>
  <c r="AM281" i="119" s="1"/>
  <c r="AM260" i="119" s="1"/>
  <c r="BU49" i="1"/>
  <c r="BU29" i="1"/>
  <c r="BU30" i="1"/>
  <c r="CO281" i="119" s="1"/>
  <c r="C30" i="1"/>
  <c r="C29" i="1"/>
  <c r="BH49" i="1"/>
  <c r="BH29" i="1"/>
  <c r="BH30" i="1"/>
  <c r="CB281" i="119" s="1"/>
  <c r="X29" i="1"/>
  <c r="X30" i="1"/>
  <c r="AR281" i="119" s="1"/>
  <c r="AR260" i="119" s="1"/>
  <c r="AV29" i="1"/>
  <c r="AV30" i="1"/>
  <c r="BP281" i="119" s="1"/>
  <c r="BK30" i="1"/>
  <c r="CE281" i="119" s="1"/>
  <c r="BK29" i="1"/>
  <c r="AY49" i="1"/>
  <c r="AY29" i="1"/>
  <c r="AY30" i="1"/>
  <c r="BS281" i="119" s="1"/>
  <c r="AF30" i="1"/>
  <c r="AZ281" i="119" s="1"/>
  <c r="AF29" i="1"/>
  <c r="BB29" i="1"/>
  <c r="BB30" i="1"/>
  <c r="BV281" i="119" s="1"/>
  <c r="F30" i="1"/>
  <c r="F130" i="1" s="1"/>
  <c r="F29" i="1"/>
  <c r="V29" i="1"/>
  <c r="V30" i="1"/>
  <c r="AP281" i="119" s="1"/>
  <c r="AP260" i="119" s="1"/>
  <c r="BI29" i="1"/>
  <c r="BI30" i="1"/>
  <c r="CC281" i="119" s="1"/>
  <c r="AM49" i="1"/>
  <c r="AM29" i="1"/>
  <c r="AM30" i="1"/>
  <c r="BG281" i="119" s="1"/>
  <c r="W49" i="1"/>
  <c r="W29" i="1"/>
  <c r="W30" i="1"/>
  <c r="AQ281" i="119" s="1"/>
  <c r="AQ260" i="119" s="1"/>
  <c r="AO49" i="1"/>
  <c r="AO29" i="1"/>
  <c r="AO30" i="1"/>
  <c r="BI281" i="119" s="1"/>
  <c r="BP49" i="1"/>
  <c r="BP30" i="1"/>
  <c r="CJ281" i="119" s="1"/>
  <c r="BP29" i="1"/>
  <c r="I30" i="1"/>
  <c r="I29" i="1"/>
  <c r="BZ29" i="1"/>
  <c r="BZ30" i="1"/>
  <c r="CT281" i="119" s="1"/>
  <c r="CJ49" i="1"/>
  <c r="CJ29" i="1"/>
  <c r="CJ30" i="1"/>
  <c r="R49" i="1"/>
  <c r="R29" i="1"/>
  <c r="AL280" i="119" s="1"/>
  <c r="R30" i="1"/>
  <c r="AL281" i="119" s="1"/>
  <c r="AL260" i="119" s="1"/>
  <c r="G49" i="1"/>
  <c r="G29" i="1"/>
  <c r="G30" i="1"/>
  <c r="AR49" i="1"/>
  <c r="AR30" i="1"/>
  <c r="BL281" i="119" s="1"/>
  <c r="AR29" i="1"/>
  <c r="AN49" i="1"/>
  <c r="AN29" i="1"/>
  <c r="AN30" i="1"/>
  <c r="BH281" i="119" s="1"/>
  <c r="CI29" i="1"/>
  <c r="CI30" i="1"/>
  <c r="AD29" i="1"/>
  <c r="AD30" i="1"/>
  <c r="AX281" i="119" s="1"/>
  <c r="AX49" i="1"/>
  <c r="AX30" i="1"/>
  <c r="BR281" i="119" s="1"/>
  <c r="AX29" i="1"/>
  <c r="BM29" i="1"/>
  <c r="BM30" i="1"/>
  <c r="CG281" i="119" s="1"/>
  <c r="P29" i="1"/>
  <c r="P30" i="1"/>
  <c r="CK49" i="1"/>
  <c r="CK29" i="1"/>
  <c r="CK30" i="1"/>
  <c r="AH29" i="1"/>
  <c r="AH30" i="1"/>
  <c r="BB281" i="119" s="1"/>
  <c r="BS29" i="1"/>
  <c r="BS30" i="1"/>
  <c r="CM281" i="119" s="1"/>
  <c r="BG49" i="1"/>
  <c r="BG29" i="1"/>
  <c r="BG30" i="1"/>
  <c r="CA281" i="119" s="1"/>
  <c r="BC49" i="1"/>
  <c r="BC29" i="1"/>
  <c r="BC30" i="1"/>
  <c r="BW281" i="119" s="1"/>
  <c r="BA49" i="1"/>
  <c r="BA29" i="1"/>
  <c r="BA30" i="1"/>
  <c r="BU281" i="119" s="1"/>
  <c r="BW49" i="1"/>
  <c r="BW29" i="1"/>
  <c r="BW30" i="1"/>
  <c r="CQ281" i="119" s="1"/>
  <c r="N28" i="1"/>
  <c r="K29" i="1"/>
  <c r="K30" i="1"/>
  <c r="D29" i="1"/>
  <c r="D30" i="1"/>
  <c r="BF49" i="1"/>
  <c r="BF29" i="1"/>
  <c r="BF30" i="1"/>
  <c r="BZ281" i="119" s="1"/>
  <c r="AB29" i="1"/>
  <c r="AB30" i="1"/>
  <c r="CG29" i="1"/>
  <c r="CG30" i="1"/>
  <c r="AJ29" i="1"/>
  <c r="AJ30" i="1"/>
  <c r="BD281" i="119" s="1"/>
  <c r="AC29" i="1"/>
  <c r="AC30" i="1"/>
  <c r="AW281" i="119" s="1"/>
  <c r="AW260" i="119" s="1"/>
  <c r="Y49" i="1"/>
  <c r="Y29" i="1"/>
  <c r="Y30" i="1"/>
  <c r="AS281" i="119" s="1"/>
  <c r="AS260" i="119" s="1"/>
  <c r="AS30" i="1"/>
  <c r="BM281" i="119" s="1"/>
  <c r="AS29" i="1"/>
  <c r="Z30" i="1"/>
  <c r="AT281" i="119" s="1"/>
  <c r="AT260" i="119" s="1"/>
  <c r="Z29" i="1"/>
  <c r="AQ29" i="1"/>
  <c r="AQ30" i="1"/>
  <c r="BK281" i="119" s="1"/>
  <c r="AL30" i="1"/>
  <c r="BF281" i="119" s="1"/>
  <c r="AL29" i="1"/>
  <c r="BE29" i="1"/>
  <c r="BE30" i="1"/>
  <c r="BY281" i="119" s="1"/>
  <c r="AT29" i="1"/>
  <c r="AT30" i="1"/>
  <c r="BN281" i="119" s="1"/>
  <c r="BN49" i="1"/>
  <c r="BN29" i="1"/>
  <c r="BN30" i="1"/>
  <c r="CH281" i="119" s="1"/>
  <c r="T49" i="1"/>
  <c r="T30" i="1"/>
  <c r="AN281" i="119" s="1"/>
  <c r="AN260" i="119" s="1"/>
  <c r="T29" i="1"/>
  <c r="BQ29" i="1"/>
  <c r="BQ30" i="1"/>
  <c r="CK281" i="119" s="1"/>
  <c r="BD30" i="1"/>
  <c r="BX281" i="119" s="1"/>
  <c r="BD29" i="1"/>
  <c r="AT28" i="1"/>
  <c r="BN279" i="119" s="1"/>
  <c r="BO49" i="1"/>
  <c r="BO29" i="1"/>
  <c r="BO30" i="1"/>
  <c r="CI281" i="119" s="1"/>
  <c r="M49" i="1"/>
  <c r="M29" i="1"/>
  <c r="M30" i="1"/>
  <c r="O49" i="1"/>
  <c r="O29" i="1"/>
  <c r="O30" i="1"/>
  <c r="CE49" i="1"/>
  <c r="CE29" i="1"/>
  <c r="CE30" i="1"/>
  <c r="AU29" i="1"/>
  <c r="AU30" i="1"/>
  <c r="BO281" i="119" s="1"/>
  <c r="AE49" i="1"/>
  <c r="AE29" i="1"/>
  <c r="AE30" i="1"/>
  <c r="AY281" i="119" s="1"/>
  <c r="AI29" i="1"/>
  <c r="AI30" i="1"/>
  <c r="BC281" i="119" s="1"/>
  <c r="BT49" i="1"/>
  <c r="BT29" i="1"/>
  <c r="BT30" i="1"/>
  <c r="CN281" i="119" s="1"/>
  <c r="Q29" i="1"/>
  <c r="Q30" i="1"/>
  <c r="H49" i="1"/>
  <c r="H30" i="1"/>
  <c r="H29" i="1"/>
  <c r="E31" i="1"/>
  <c r="E32" i="1"/>
  <c r="N11" i="3"/>
  <c r="N25" i="3" s="1"/>
  <c r="N54" i="3" s="1"/>
  <c r="N55" i="3" s="1"/>
  <c r="AW29" i="1"/>
  <c r="AW30" i="1"/>
  <c r="BQ281" i="119" s="1"/>
  <c r="U29" i="1"/>
  <c r="U30" i="1"/>
  <c r="AO281" i="119" s="1"/>
  <c r="AO260" i="119" s="1"/>
  <c r="L29" i="1"/>
  <c r="L30" i="1"/>
  <c r="BL29" i="1"/>
  <c r="BL30" i="1"/>
  <c r="CF281" i="119" s="1"/>
  <c r="CH30" i="1"/>
  <c r="CH29" i="1"/>
  <c r="B30" i="1"/>
  <c r="B29" i="1"/>
  <c r="BI49" i="1"/>
  <c r="X49" i="1"/>
  <c r="AV49" i="1"/>
  <c r="CL39" i="1"/>
  <c r="BK49" i="1"/>
  <c r="BM28" i="1"/>
  <c r="CG279" i="119" s="1"/>
  <c r="BM49" i="1"/>
  <c r="CF49" i="1"/>
  <c r="P11" i="3"/>
  <c r="P25" i="3" s="1"/>
  <c r="P50" i="3" s="1"/>
  <c r="P49" i="1"/>
  <c r="CJ47" i="1"/>
  <c r="GN16" i="1"/>
  <c r="BU46" i="1"/>
  <c r="AH49" i="1"/>
  <c r="BS49" i="1"/>
  <c r="BZ49" i="1"/>
  <c r="CB47" i="1"/>
  <c r="K49" i="1"/>
  <c r="U17" i="1"/>
  <c r="AO20" i="119" s="1"/>
  <c r="AO259" i="119" s="1"/>
  <c r="U46" i="1"/>
  <c r="BI17" i="1"/>
  <c r="CC20" i="119" s="1"/>
  <c r="BI46" i="1"/>
  <c r="BM46" i="1"/>
  <c r="AF11" i="3"/>
  <c r="AF49" i="1"/>
  <c r="BB28" i="1"/>
  <c r="BV279" i="119" s="1"/>
  <c r="BB49" i="1"/>
  <c r="BJ49" i="1"/>
  <c r="AU49" i="1"/>
  <c r="AJ49" i="1"/>
  <c r="F49" i="1"/>
  <c r="V11" i="3"/>
  <c r="V49" i="1"/>
  <c r="BL47" i="1"/>
  <c r="AT11" i="3"/>
  <c r="AT49" i="1"/>
  <c r="Y46" i="1"/>
  <c r="CB49" i="1"/>
  <c r="BY17" i="1"/>
  <c r="CS20" i="119" s="1"/>
  <c r="BY46" i="1"/>
  <c r="CC46" i="1"/>
  <c r="S49" i="1"/>
  <c r="AW49" i="1"/>
  <c r="U49" i="1"/>
  <c r="L49" i="1"/>
  <c r="AB49" i="1"/>
  <c r="CH49" i="1"/>
  <c r="AC49" i="1"/>
  <c r="AS49" i="1"/>
  <c r="AK11" i="3"/>
  <c r="AK49" i="1"/>
  <c r="Z49" i="1"/>
  <c r="BL49" i="1"/>
  <c r="I11" i="3"/>
  <c r="I25" i="3" s="1"/>
  <c r="I49" i="1"/>
  <c r="J49" i="1"/>
  <c r="AI49" i="1"/>
  <c r="Q49" i="1"/>
  <c r="CI49" i="1"/>
  <c r="AD49" i="1"/>
  <c r="BQ49" i="1"/>
  <c r="AQ49" i="1"/>
  <c r="AL49" i="1"/>
  <c r="AP49" i="1"/>
  <c r="BE49" i="1"/>
  <c r="X47" i="1"/>
  <c r="BR49" i="1"/>
  <c r="CA49" i="1"/>
  <c r="AG49" i="1"/>
  <c r="BD49" i="1"/>
  <c r="BY28" i="1"/>
  <c r="CS279" i="119" s="1"/>
  <c r="BY49" i="1"/>
  <c r="AA49" i="1"/>
  <c r="AF28" i="1"/>
  <c r="AZ279" i="119" s="1"/>
  <c r="CZ10" i="92"/>
  <c r="BS28" i="1"/>
  <c r="CM279" i="119" s="1"/>
  <c r="CZ9" i="51"/>
  <c r="CF8" i="6"/>
  <c r="AP11" i="3"/>
  <c r="CZ9" i="2"/>
  <c r="GC26" i="1"/>
  <c r="BE28" i="1"/>
  <c r="BY279" i="119" s="1"/>
  <c r="AH11" i="3"/>
  <c r="BI28" i="1"/>
  <c r="CC279" i="119" s="1"/>
  <c r="AH28" i="1"/>
  <c r="BB279" i="119" s="1"/>
  <c r="V28" i="1"/>
  <c r="AP279" i="119" s="1"/>
  <c r="FC25" i="1"/>
  <c r="R290" i="119" s="1"/>
  <c r="R221" i="30" s="1"/>
  <c r="FC26" i="1"/>
  <c r="AC28" i="1"/>
  <c r="AW279" i="119" s="1"/>
  <c r="AU28" i="1"/>
  <c r="BO279" i="119" s="1"/>
  <c r="AC11" i="3"/>
  <c r="I28" i="1"/>
  <c r="EY26" i="1"/>
  <c r="B28" i="1"/>
  <c r="B71" i="1" s="1"/>
  <c r="AP28" i="1"/>
  <c r="BJ279" i="119" s="1"/>
  <c r="B11" i="3"/>
  <c r="B25" i="3" s="1"/>
  <c r="DG8" i="1"/>
  <c r="CI8" i="6"/>
  <c r="CH8" i="6"/>
  <c r="DB9" i="2"/>
  <c r="DB9" i="51"/>
  <c r="M48" i="3"/>
  <c r="EP43" i="3"/>
  <c r="EP48" i="3" s="1"/>
  <c r="F11" i="3"/>
  <c r="F25" i="3" s="1"/>
  <c r="F50" i="3" s="1"/>
  <c r="AJ28" i="1"/>
  <c r="BD279" i="119" s="1"/>
  <c r="F28" i="1"/>
  <c r="CF28" i="1"/>
  <c r="AJ11" i="3"/>
  <c r="P28" i="1"/>
  <c r="EN26" i="1"/>
  <c r="BQ50" i="3"/>
  <c r="CK108" i="119" s="1"/>
  <c r="BL98" i="30" s="1"/>
  <c r="FX34" i="3"/>
  <c r="AG81" i="2"/>
  <c r="CW22" i="51"/>
  <c r="FW25" i="1"/>
  <c r="DF8" i="1"/>
  <c r="CU43" i="2"/>
  <c r="CV41" i="2"/>
  <c r="CH28" i="1"/>
  <c r="BU17" i="1"/>
  <c r="CO20" i="119" s="1"/>
  <c r="GO26" i="51"/>
  <c r="GP41" i="51"/>
  <c r="GM26" i="51"/>
  <c r="BJ28" i="1"/>
  <c r="CD279" i="119" s="1"/>
  <c r="FE48" i="3"/>
  <c r="S107" i="119" s="1"/>
  <c r="S97" i="30" s="1"/>
  <c r="AL11" i="3"/>
  <c r="FB48" i="3"/>
  <c r="P107" i="119" s="1"/>
  <c r="P97" i="30" s="1"/>
  <c r="EU24" i="3"/>
  <c r="I94" i="119" s="1"/>
  <c r="I85" i="30" s="1"/>
  <c r="FA34" i="3"/>
  <c r="O100" i="119" s="1"/>
  <c r="O91" i="30" s="1"/>
  <c r="CT22" i="51"/>
  <c r="GA25" i="1"/>
  <c r="GA26" i="1"/>
  <c r="CO21" i="51"/>
  <c r="GG25" i="1"/>
  <c r="GG26" i="1"/>
  <c r="FL42" i="2"/>
  <c r="FK33" i="2"/>
  <c r="CS33" i="51"/>
  <c r="FW95" i="51" s="1"/>
  <c r="BS55" i="3"/>
  <c r="BD28" i="1"/>
  <c r="BX279" i="119" s="1"/>
  <c r="FD35" i="3"/>
  <c r="FK37" i="2"/>
  <c r="EO35" i="3"/>
  <c r="FE25" i="3"/>
  <c r="S96" i="119" s="1"/>
  <c r="S87" i="30" s="1"/>
  <c r="AU11" i="3"/>
  <c r="CG28" i="1"/>
  <c r="EV53" i="2"/>
  <c r="AQ11" i="3"/>
  <c r="AQ28" i="1"/>
  <c r="BK279" i="119" s="1"/>
  <c r="AD28" i="1"/>
  <c r="AX279" i="119" s="1"/>
  <c r="AG11" i="3"/>
  <c r="AL28" i="1"/>
  <c r="BF279" i="119" s="1"/>
  <c r="GQ25" i="1"/>
  <c r="GQ26" i="1"/>
  <c r="AG28" i="1"/>
  <c r="BA279" i="119" s="1"/>
  <c r="FK43" i="2"/>
  <c r="FD53" i="2"/>
  <c r="BL28" i="1"/>
  <c r="CF279" i="119" s="1"/>
  <c r="BQ28" i="1"/>
  <c r="CK279" i="119" s="1"/>
  <c r="GO26" i="1"/>
  <c r="GL26" i="1"/>
  <c r="GL25" i="1"/>
  <c r="CM11" i="1"/>
  <c r="CJ25" i="51"/>
  <c r="CK36" i="51"/>
  <c r="FQ128" i="51" s="1"/>
  <c r="CN25" i="51"/>
  <c r="CJ36" i="51"/>
  <c r="FP128" i="51" s="1"/>
  <c r="GS16" i="51"/>
  <c r="GS67" i="51" s="1"/>
  <c r="CJ45" i="51"/>
  <c r="BS17" i="6"/>
  <c r="CM62" i="2"/>
  <c r="GN26" i="51"/>
  <c r="CT101" i="92"/>
  <c r="BQ81" i="2"/>
  <c r="BA35" i="3"/>
  <c r="BU101" i="119" s="1"/>
  <c r="AV92" i="30" s="1"/>
  <c r="CT12" i="51"/>
  <c r="GK16" i="1"/>
  <c r="CA55" i="3"/>
  <c r="FH25" i="1"/>
  <c r="W290" i="119" s="1"/>
  <c r="W221" i="30" s="1"/>
  <c r="FH26" i="1"/>
  <c r="BI81" i="2"/>
  <c r="FG25" i="3"/>
  <c r="Z28" i="1"/>
  <c r="AT279" i="119" s="1"/>
  <c r="FA24" i="3"/>
  <c r="O94" i="119" s="1"/>
  <c r="O85" i="30" s="1"/>
  <c r="BK28" i="1"/>
  <c r="CE279" i="119" s="1"/>
  <c r="AY28" i="1"/>
  <c r="BS279" i="119" s="1"/>
  <c r="AY11" i="3"/>
  <c r="AV28" i="1"/>
  <c r="BP279" i="119" s="1"/>
  <c r="CO35" i="3"/>
  <c r="Z11" i="3"/>
  <c r="BE24" i="3"/>
  <c r="BY94" i="119" s="1"/>
  <c r="AZ85" i="30" s="1"/>
  <c r="FZ25" i="1"/>
  <c r="GR9" i="1"/>
  <c r="Q81" i="2"/>
  <c r="AB11" i="3"/>
  <c r="AB28" i="1"/>
  <c r="AV279" i="119" s="1"/>
  <c r="EZ28" i="3"/>
  <c r="N100" i="119" s="1"/>
  <c r="N91" i="30" s="1"/>
  <c r="BO55" i="3"/>
  <c r="EX25" i="1"/>
  <c r="M290" i="119" s="1"/>
  <c r="M221" i="30" s="1"/>
  <c r="EX26" i="1"/>
  <c r="AS81" i="2"/>
  <c r="FF48" i="3"/>
  <c r="T107" i="119" s="1"/>
  <c r="T97" i="30" s="1"/>
  <c r="AV11" i="3"/>
  <c r="FZ26" i="1"/>
  <c r="GP46" i="51"/>
  <c r="FE42" i="51"/>
  <c r="FE53" i="2"/>
  <c r="GP40" i="51"/>
  <c r="FE45" i="51"/>
  <c r="FD26" i="51"/>
  <c r="GR26" i="51"/>
  <c r="BR17" i="6"/>
  <c r="CL11" i="1"/>
  <c r="CL62" i="2"/>
  <c r="CR16" i="51"/>
  <c r="CS16" i="51"/>
  <c r="CQ16" i="51"/>
  <c r="FF26" i="51"/>
  <c r="CU13" i="51"/>
  <c r="GP45" i="51"/>
  <c r="GP44" i="51"/>
  <c r="FE46" i="51"/>
  <c r="FE26" i="51"/>
  <c r="GQ26" i="51"/>
  <c r="GP42" i="51"/>
  <c r="FE43" i="51"/>
  <c r="FE44" i="51"/>
  <c r="GP43" i="51"/>
  <c r="FE40" i="51"/>
  <c r="GR44" i="51"/>
  <c r="GP26" i="51"/>
  <c r="GR41" i="51"/>
  <c r="CO32" i="51"/>
  <c r="FQ111" i="51" s="1"/>
  <c r="FF44" i="51"/>
  <c r="FF41" i="51"/>
  <c r="FF42" i="51"/>
  <c r="FF45" i="51"/>
  <c r="FF43" i="51"/>
  <c r="FF40" i="51"/>
  <c r="FF46" i="51"/>
  <c r="GQ45" i="51"/>
  <c r="GQ46" i="51"/>
  <c r="GQ44" i="51"/>
  <c r="GQ40" i="51"/>
  <c r="GQ43" i="51"/>
  <c r="GQ41" i="51"/>
  <c r="GQ42" i="51"/>
  <c r="FC26" i="51"/>
  <c r="BF28" i="1"/>
  <c r="BZ279" i="119" s="1"/>
  <c r="AX28" i="1"/>
  <c r="BR279" i="119" s="1"/>
  <c r="AX11" i="3"/>
  <c r="GK28" i="1"/>
  <c r="FD25" i="1"/>
  <c r="S290" i="119" s="1"/>
  <c r="S221" i="30" s="1"/>
  <c r="AK28" i="1"/>
  <c r="BE279" i="119" s="1"/>
  <c r="EO25" i="1"/>
  <c r="EO26" i="1"/>
  <c r="U28" i="1"/>
  <c r="AO279" i="119" s="1"/>
  <c r="FD26" i="1"/>
  <c r="AD11" i="3"/>
  <c r="GA16" i="1"/>
  <c r="GO16" i="1"/>
  <c r="FA53" i="2"/>
  <c r="FA26" i="1"/>
  <c r="FA25" i="1"/>
  <c r="P290" i="119" s="1"/>
  <c r="P221" i="30" s="1"/>
  <c r="L28" i="1"/>
  <c r="L11" i="3"/>
  <c r="L25" i="3" s="1"/>
  <c r="FX26" i="1"/>
  <c r="FX25" i="1"/>
  <c r="EV26" i="1"/>
  <c r="EV25" i="1"/>
  <c r="K290" i="119" s="1"/>
  <c r="K221" i="30" s="1"/>
  <c r="GH26" i="1"/>
  <c r="GH25" i="1"/>
  <c r="T11" i="3"/>
  <c r="T28" i="1"/>
  <c r="AN279" i="119" s="1"/>
  <c r="X11" i="3"/>
  <c r="X28" i="1"/>
  <c r="AR279" i="119" s="1"/>
  <c r="FF53" i="2"/>
  <c r="GU13" i="51"/>
  <c r="GR40" i="51"/>
  <c r="GR46" i="51"/>
  <c r="GR45" i="51"/>
  <c r="GR42" i="51"/>
  <c r="GR43" i="51"/>
  <c r="FJ13" i="51"/>
  <c r="FJ63" i="51" s="1"/>
  <c r="CT33" i="51"/>
  <c r="FT96" i="51" s="1"/>
  <c r="CS22" i="51"/>
  <c r="GD25" i="1"/>
  <c r="GD26" i="1"/>
  <c r="CI28" i="1"/>
  <c r="AN11" i="3"/>
  <c r="AN28" i="1"/>
  <c r="BH279" i="119" s="1"/>
  <c r="FG25" i="1"/>
  <c r="V290" i="119" s="1"/>
  <c r="V221" i="30" s="1"/>
  <c r="FG26" i="1"/>
  <c r="BP28" i="1"/>
  <c r="CJ279" i="119" s="1"/>
  <c r="BH28" i="1"/>
  <c r="CB279" i="119" s="1"/>
  <c r="GB25" i="1"/>
  <c r="GB26" i="1"/>
  <c r="AZ11" i="3"/>
  <c r="AZ28" i="1"/>
  <c r="BT279" i="119" s="1"/>
  <c r="EP26" i="1"/>
  <c r="EP25" i="1"/>
  <c r="ER25" i="1"/>
  <c r="G290" i="119" s="1"/>
  <c r="G221" i="30" s="1"/>
  <c r="ER26" i="1"/>
  <c r="FI53" i="2"/>
  <c r="AR28" i="1"/>
  <c r="BL279" i="119" s="1"/>
  <c r="AR11" i="3"/>
  <c r="D28" i="1"/>
  <c r="D11" i="3"/>
  <c r="D25" i="3" s="1"/>
  <c r="CE28" i="1"/>
  <c r="FG35" i="3"/>
  <c r="U101" i="119" s="1"/>
  <c r="U92" i="30" s="1"/>
  <c r="FI35" i="3"/>
  <c r="W101" i="119" s="1"/>
  <c r="W92" i="30" s="1"/>
  <c r="FB35" i="3"/>
  <c r="P101" i="119" s="1"/>
  <c r="P92" i="30" s="1"/>
  <c r="AC81" i="2"/>
  <c r="AG35" i="3"/>
  <c r="BA101" i="119" s="1"/>
  <c r="AB92" i="30" s="1"/>
  <c r="U84" i="2"/>
  <c r="U81" i="2"/>
  <c r="BK55" i="3"/>
  <c r="EX24" i="3"/>
  <c r="L94" i="119" s="1"/>
  <c r="L85" i="30" s="1"/>
  <c r="U48" i="3"/>
  <c r="AO107" i="119" s="1"/>
  <c r="ER38" i="3"/>
  <c r="F103" i="119" s="1"/>
  <c r="F94" i="30" s="1"/>
  <c r="ER28" i="3"/>
  <c r="F100" i="119" s="1"/>
  <c r="F91" i="30" s="1"/>
  <c r="U35" i="3"/>
  <c r="AO101" i="119" s="1"/>
  <c r="FG43" i="51"/>
  <c r="FG42" i="51"/>
  <c r="FG40" i="51"/>
  <c r="FG26" i="51"/>
  <c r="FG41" i="51"/>
  <c r="FG44" i="51"/>
  <c r="FG45" i="51"/>
  <c r="FG46" i="51"/>
  <c r="FI12" i="51"/>
  <c r="FI64" i="51" s="1"/>
  <c r="GT12" i="51"/>
  <c r="GT21" i="51" s="1"/>
  <c r="CP32" i="51"/>
  <c r="FN112" i="51" s="1"/>
  <c r="CS12" i="51"/>
  <c r="U11" i="3"/>
  <c r="AS28" i="1"/>
  <c r="BM279" i="119" s="1"/>
  <c r="AS11" i="3"/>
  <c r="AW11" i="3"/>
  <c r="AW28" i="1"/>
  <c r="BQ279" i="119" s="1"/>
  <c r="Y28" i="1"/>
  <c r="AS279" i="119" s="1"/>
  <c r="Y11" i="3"/>
  <c r="K28" i="1"/>
  <c r="K11" i="3"/>
  <c r="K25" i="3" s="1"/>
  <c r="C28" i="1"/>
  <c r="C11" i="3"/>
  <c r="C25" i="3" s="1"/>
  <c r="BU28" i="1"/>
  <c r="CO279" i="119" s="1"/>
  <c r="BN28" i="1"/>
  <c r="CH279" i="119" s="1"/>
  <c r="CD28" i="1"/>
  <c r="CP92" i="2"/>
  <c r="DJ50" i="119" s="1"/>
  <c r="CO91" i="2"/>
  <c r="E25" i="3"/>
  <c r="J54" i="3"/>
  <c r="J55" i="3" s="1"/>
  <c r="J50" i="3"/>
  <c r="EM25" i="1"/>
  <c r="EM26" i="1"/>
  <c r="GE26" i="1"/>
  <c r="GE25" i="1"/>
  <c r="FK22" i="2"/>
  <c r="BV28" i="1"/>
  <c r="CP279" i="119" s="1"/>
  <c r="EZ26" i="1"/>
  <c r="EZ25" i="1"/>
  <c r="O290" i="119" s="1"/>
  <c r="O221" i="30" s="1"/>
  <c r="GN26" i="1"/>
  <c r="GN25" i="1"/>
  <c r="EW26" i="1"/>
  <c r="EW25" i="1"/>
  <c r="L290" i="119" s="1"/>
  <c r="L221" i="30" s="1"/>
  <c r="S28" i="1"/>
  <c r="AM279" i="119" s="1"/>
  <c r="S11" i="3"/>
  <c r="GF25" i="1"/>
  <c r="GF26" i="1"/>
  <c r="CF50" i="3"/>
  <c r="CF54" i="3"/>
  <c r="BI50" i="3"/>
  <c r="CC108" i="119" s="1"/>
  <c r="BD98" i="30" s="1"/>
  <c r="BI54" i="3"/>
  <c r="BI55" i="3" s="1"/>
  <c r="FH25" i="3"/>
  <c r="V96" i="119" s="1"/>
  <c r="V87" i="30" s="1"/>
  <c r="CG54" i="3"/>
  <c r="CG50" i="3"/>
  <c r="BY50" i="3"/>
  <c r="CS108" i="119" s="1"/>
  <c r="BT98" i="30" s="1"/>
  <c r="BY54" i="3"/>
  <c r="BM81" i="2"/>
  <c r="BT54" i="3"/>
  <c r="BT50" i="3"/>
  <c r="CN108" i="119" s="1"/>
  <c r="BO98" i="30" s="1"/>
  <c r="BY84" i="2"/>
  <c r="BY81" i="2"/>
  <c r="BP50" i="3"/>
  <c r="CJ108" i="119" s="1"/>
  <c r="BK98" i="30" s="1"/>
  <c r="BP54" i="3"/>
  <c r="BD54" i="3"/>
  <c r="BD55" i="3" s="1"/>
  <c r="BD50" i="3"/>
  <c r="BX108" i="119" s="1"/>
  <c r="AY98" i="30" s="1"/>
  <c r="FF25" i="3"/>
  <c r="T96" i="119" s="1"/>
  <c r="T87" i="30" s="1"/>
  <c r="FA48" i="3"/>
  <c r="O107" i="119" s="1"/>
  <c r="O97" i="30" s="1"/>
  <c r="CE55" i="3"/>
  <c r="CC50" i="3"/>
  <c r="CW108" i="119" s="1"/>
  <c r="BX98" i="30" s="1"/>
  <c r="BU25" i="3"/>
  <c r="CO96" i="119" s="1"/>
  <c r="BP87" i="30" s="1"/>
  <c r="BC54" i="3"/>
  <c r="BC55" i="3" s="1"/>
  <c r="BC50" i="3"/>
  <c r="BW108" i="119" s="1"/>
  <c r="AX98" i="30" s="1"/>
  <c r="FB25" i="3"/>
  <c r="P96" i="119" s="1"/>
  <c r="P87" i="30" s="1"/>
  <c r="FJ24" i="2"/>
  <c r="X54" i="119" s="1"/>
  <c r="CC81" i="2"/>
  <c r="CK28" i="1"/>
  <c r="BG28" i="1"/>
  <c r="CA279" i="119" s="1"/>
  <c r="EQ25" i="1"/>
  <c r="F290" i="119" s="1"/>
  <c r="F221" i="30" s="1"/>
  <c r="EQ26" i="1"/>
  <c r="AE11" i="3"/>
  <c r="AY305" i="119" s="1"/>
  <c r="Z236" i="30" s="1"/>
  <c r="AE28" i="1"/>
  <c r="AY279" i="119" s="1"/>
  <c r="O11" i="3"/>
  <c r="O28" i="1"/>
  <c r="Q11" i="3"/>
  <c r="Q25" i="3" s="1"/>
  <c r="Q28" i="1"/>
  <c r="EU25" i="1"/>
  <c r="J290" i="119" s="1"/>
  <c r="J221" i="30" s="1"/>
  <c r="EU26" i="1"/>
  <c r="H28" i="1"/>
  <c r="H11" i="3"/>
  <c r="H25" i="3" s="1"/>
  <c r="GJ25" i="1"/>
  <c r="GJ26" i="1"/>
  <c r="GK106" i="1" s="1"/>
  <c r="ES25" i="1"/>
  <c r="H290" i="119" s="1"/>
  <c r="H221" i="30" s="1"/>
  <c r="ES26" i="1"/>
  <c r="ET25" i="1"/>
  <c r="I290" i="119" s="1"/>
  <c r="I221" i="30" s="1"/>
  <c r="ET26" i="1"/>
  <c r="BT28" i="1"/>
  <c r="CN279" i="119" s="1"/>
  <c r="AM11" i="3"/>
  <c r="BG305" i="119" s="1"/>
  <c r="AH236" i="30" s="1"/>
  <c r="AM28" i="1"/>
  <c r="BG279" i="119" s="1"/>
  <c r="CJ28" i="1"/>
  <c r="R28" i="1"/>
  <c r="AL279" i="119" s="1"/>
  <c r="R11" i="3"/>
  <c r="AL305" i="119" s="1"/>
  <c r="M28" i="1"/>
  <c r="M11" i="3"/>
  <c r="AO28" i="1"/>
  <c r="BI279" i="119" s="1"/>
  <c r="AO11" i="3"/>
  <c r="BX28" i="1"/>
  <c r="CR279" i="119" s="1"/>
  <c r="BA28" i="1"/>
  <c r="BU279" i="119" s="1"/>
  <c r="BA11" i="3"/>
  <c r="BU305" i="119" s="1"/>
  <c r="AV236" i="30" s="1"/>
  <c r="BO28" i="1"/>
  <c r="CI279" i="119" s="1"/>
  <c r="W11" i="3"/>
  <c r="AQ305" i="119" s="1"/>
  <c r="W28" i="1"/>
  <c r="AQ279" i="119" s="1"/>
  <c r="FE26" i="1"/>
  <c r="FE25" i="1"/>
  <c r="T290" i="119" s="1"/>
  <c r="T221" i="30" s="1"/>
  <c r="BC28" i="1"/>
  <c r="BW279" i="119" s="1"/>
  <c r="GM25" i="1"/>
  <c r="GM26" i="1"/>
  <c r="AI11" i="3"/>
  <c r="BC305" i="119" s="1"/>
  <c r="AD236" i="30" s="1"/>
  <c r="AI28" i="1"/>
  <c r="BC279" i="119" s="1"/>
  <c r="FB26" i="1"/>
  <c r="FB25" i="1"/>
  <c r="Q290" i="119" s="1"/>
  <c r="Q221" i="30" s="1"/>
  <c r="G11" i="3"/>
  <c r="G28" i="1"/>
  <c r="FY26" i="1"/>
  <c r="FY25" i="1"/>
  <c r="BW28" i="1"/>
  <c r="CQ279" i="119" s="1"/>
  <c r="CB28" i="1"/>
  <c r="ES53" i="2"/>
  <c r="ER53" i="2"/>
  <c r="CR93" i="2"/>
  <c r="CR57" i="2"/>
  <c r="CS100" i="92"/>
  <c r="FK48" i="2"/>
  <c r="CA20" i="30" l="1"/>
  <c r="DD259" i="119"/>
  <c r="CE192" i="30" s="1"/>
  <c r="BW20" i="30"/>
  <c r="CX279" i="119"/>
  <c r="CX283" i="119" s="1"/>
  <c r="BY214" i="30" s="1"/>
  <c r="CS67" i="51"/>
  <c r="CY281" i="119"/>
  <c r="BZ212" i="30" s="1"/>
  <c r="DA281" i="119"/>
  <c r="DA260" i="119" s="1"/>
  <c r="CB193" i="30" s="1"/>
  <c r="DD281" i="119"/>
  <c r="CE212" i="30" s="1"/>
  <c r="CZ281" i="119"/>
  <c r="CZ260" i="119" s="1"/>
  <c r="CA193" i="30" s="1"/>
  <c r="CZ279" i="119"/>
  <c r="CZ283" i="119" s="1"/>
  <c r="CA214" i="30" s="1"/>
  <c r="DA20" i="119"/>
  <c r="DA259" i="119" s="1"/>
  <c r="CB192" i="30" s="1"/>
  <c r="CC55" i="3"/>
  <c r="CV279" i="119"/>
  <c r="CV282" i="119" s="1"/>
  <c r="BW213" i="30" s="1"/>
  <c r="CR67" i="51"/>
  <c r="CY279" i="119"/>
  <c r="CY283" i="119" s="1"/>
  <c r="BZ214" i="30" s="1"/>
  <c r="DB281" i="119"/>
  <c r="CC212" i="30" s="1"/>
  <c r="DA279" i="119"/>
  <c r="CB210" i="30" s="1"/>
  <c r="DE281" i="119"/>
  <c r="CF212" i="30" s="1"/>
  <c r="DC281" i="119"/>
  <c r="CD212" i="30" s="1"/>
  <c r="CV281" i="119"/>
  <c r="BW212" i="30" s="1"/>
  <c r="CX281" i="119"/>
  <c r="CX260" i="119" s="1"/>
  <c r="BY193" i="30" s="1"/>
  <c r="CU281" i="119"/>
  <c r="CU260" i="119" s="1"/>
  <c r="BV193" i="30" s="1"/>
  <c r="CU279" i="119"/>
  <c r="CU282" i="119" s="1"/>
  <c r="BV213" i="30" s="1"/>
  <c r="CW20" i="119"/>
  <c r="CW259" i="119" s="1"/>
  <c r="BX192" i="30" s="1"/>
  <c r="DE20" i="119"/>
  <c r="DE259" i="119" s="1"/>
  <c r="CF192" i="30" s="1"/>
  <c r="CQ67" i="51"/>
  <c r="CB55" i="3"/>
  <c r="G130" i="1"/>
  <c r="DB67" i="3"/>
  <c r="EY35" i="3"/>
  <c r="M101" i="119" s="1"/>
  <c r="M92" i="30" s="1"/>
  <c r="AL125" i="1"/>
  <c r="CZ67" i="3"/>
  <c r="AK83" i="1"/>
  <c r="AK125" i="1"/>
  <c r="AK74" i="2"/>
  <c r="AL83" i="1"/>
  <c r="AK72" i="2"/>
  <c r="BE19" i="119"/>
  <c r="AF19" i="30" s="1"/>
  <c r="AF20" i="30"/>
  <c r="AK75" i="2"/>
  <c r="AK68" i="1"/>
  <c r="AK73" i="2"/>
  <c r="AK85" i="2"/>
  <c r="EX35" i="3"/>
  <c r="L101" i="119" s="1"/>
  <c r="L92" i="30" s="1"/>
  <c r="H21" i="30"/>
  <c r="ES35" i="3"/>
  <c r="G101" i="119" s="1"/>
  <c r="G92" i="30" s="1"/>
  <c r="BE74" i="2"/>
  <c r="BF83" i="1"/>
  <c r="BE85" i="2"/>
  <c r="BE104" i="1"/>
  <c r="CQ190" i="112"/>
  <c r="O19" i="119"/>
  <c r="O19" i="30" s="1"/>
  <c r="CQ191" i="112"/>
  <c r="CQ189" i="112"/>
  <c r="CQ187" i="112"/>
  <c r="BM85" i="2"/>
  <c r="H259" i="119"/>
  <c r="H192" i="30" s="1"/>
  <c r="ET35" i="3"/>
  <c r="H101" i="119" s="1"/>
  <c r="H92" i="30" s="1"/>
  <c r="BE68" i="1"/>
  <c r="BE83" i="1"/>
  <c r="BF125" i="1"/>
  <c r="BE72" i="2"/>
  <c r="BE47" i="1"/>
  <c r="BE73" i="2"/>
  <c r="BE75" i="2"/>
  <c r="AZ20" i="30"/>
  <c r="BE125" i="1"/>
  <c r="I19" i="119"/>
  <c r="I19" i="30" s="1"/>
  <c r="I81" i="2"/>
  <c r="BQ104" i="1"/>
  <c r="BM73" i="2"/>
  <c r="BN83" i="1"/>
  <c r="AG125" i="1"/>
  <c r="GJ103" i="1"/>
  <c r="BQ47" i="1"/>
  <c r="BM72" i="2"/>
  <c r="AG68" i="1"/>
  <c r="GJ46" i="1"/>
  <c r="BM68" i="1"/>
  <c r="BN125" i="1"/>
  <c r="BM74" i="2"/>
  <c r="AG74" i="2"/>
  <c r="BH20" i="30"/>
  <c r="AK104" i="1"/>
  <c r="GE46" i="1"/>
  <c r="BM125" i="1"/>
  <c r="AG85" i="2"/>
  <c r="BM83" i="1"/>
  <c r="BM75" i="2"/>
  <c r="AH83" i="1"/>
  <c r="GE103" i="1"/>
  <c r="AG73" i="2"/>
  <c r="AH125" i="1"/>
  <c r="AG75" i="2"/>
  <c r="AB20" i="30"/>
  <c r="AG83" i="1"/>
  <c r="GM103" i="1"/>
  <c r="AK47" i="1"/>
  <c r="AG72" i="2"/>
  <c r="FD54" i="3"/>
  <c r="FD55" i="3" s="1"/>
  <c r="EX48" i="3"/>
  <c r="L107" i="119" s="1"/>
  <c r="L97" i="30" s="1"/>
  <c r="GC46" i="1"/>
  <c r="GD103" i="1"/>
  <c r="EW35" i="3"/>
  <c r="K101" i="119" s="1"/>
  <c r="K92" i="30" s="1"/>
  <c r="GM67" i="1"/>
  <c r="GM46" i="1"/>
  <c r="AA129" i="1"/>
  <c r="GD46" i="1"/>
  <c r="AC125" i="1"/>
  <c r="EU35" i="3"/>
  <c r="I101" i="119" s="1"/>
  <c r="I92" i="30" s="1"/>
  <c r="AB129" i="1"/>
  <c r="AG104" i="1"/>
  <c r="AG47" i="1"/>
  <c r="AQ282" i="119"/>
  <c r="AQ283" i="119"/>
  <c r="L275" i="119"/>
  <c r="L206" i="30" s="1"/>
  <c r="L277" i="119"/>
  <c r="CO282" i="119"/>
  <c r="BP213" i="30" s="1"/>
  <c r="BP210" i="30"/>
  <c r="CO283" i="119"/>
  <c r="BP214" i="30" s="1"/>
  <c r="AM210" i="30"/>
  <c r="BL283" i="119"/>
  <c r="AM214" i="30" s="1"/>
  <c r="BL282" i="119"/>
  <c r="AM213" i="30" s="1"/>
  <c r="K275" i="119"/>
  <c r="K206" i="30" s="1"/>
  <c r="K277" i="119"/>
  <c r="AP25" i="3"/>
  <c r="BJ305" i="119"/>
  <c r="AK236" i="30" s="1"/>
  <c r="AP212" i="30"/>
  <c r="BO260" i="119"/>
  <c r="AP193" i="30" s="1"/>
  <c r="AE212" i="30"/>
  <c r="BD260" i="119"/>
  <c r="AE193" i="30" s="1"/>
  <c r="AJ212" i="30"/>
  <c r="BI260" i="119"/>
  <c r="AJ193" i="30" s="1"/>
  <c r="AA212" i="30"/>
  <c r="AZ260" i="119"/>
  <c r="AA193" i="30" s="1"/>
  <c r="BM280" i="119"/>
  <c r="AN211" i="30" s="1"/>
  <c r="BM267" i="119"/>
  <c r="AN198" i="30" s="1"/>
  <c r="AN208" i="30"/>
  <c r="BH280" i="119"/>
  <c r="AI211" i="30" s="1"/>
  <c r="AI208" i="30"/>
  <c r="BH267" i="119"/>
  <c r="AI198" i="30" s="1"/>
  <c r="CG19" i="119"/>
  <c r="BH19" i="30" s="1"/>
  <c r="BH21" i="30"/>
  <c r="BL208" i="30"/>
  <c r="CK280" i="119"/>
  <c r="BL211" i="30" s="1"/>
  <c r="CK267" i="119"/>
  <c r="BL198" i="30" s="1"/>
  <c r="CI280" i="119"/>
  <c r="BJ211" i="30" s="1"/>
  <c r="BJ208" i="30"/>
  <c r="CI267" i="119"/>
  <c r="BJ198" i="30" s="1"/>
  <c r="BP280" i="119"/>
  <c r="AQ211" i="30" s="1"/>
  <c r="AQ208" i="30"/>
  <c r="BP267" i="119"/>
  <c r="AQ198" i="30" s="1"/>
  <c r="BG282" i="119"/>
  <c r="AH213" i="30" s="1"/>
  <c r="AH210" i="30"/>
  <c r="BG283" i="119"/>
  <c r="AH214" i="30" s="1"/>
  <c r="AV282" i="119"/>
  <c r="AV283" i="119"/>
  <c r="BA282" i="119"/>
  <c r="AB213" i="30" s="1"/>
  <c r="AB210" i="30"/>
  <c r="BA283" i="119"/>
  <c r="AB214" i="30" s="1"/>
  <c r="BK260" i="119"/>
  <c r="AL193" i="30" s="1"/>
  <c r="AL212" i="30"/>
  <c r="AT212" i="30"/>
  <c r="BS260" i="119"/>
  <c r="AT193" i="30" s="1"/>
  <c r="AN280" i="119"/>
  <c r="AN267" i="119"/>
  <c r="CN280" i="119"/>
  <c r="BO211" i="30" s="1"/>
  <c r="BO208" i="30"/>
  <c r="CN267" i="119"/>
  <c r="BO198" i="30" s="1"/>
  <c r="CV280" i="119"/>
  <c r="BW211" i="30" s="1"/>
  <c r="BW208" i="30"/>
  <c r="CV267" i="119"/>
  <c r="BW198" i="30" s="1"/>
  <c r="BI19" i="119"/>
  <c r="AJ19" i="30" s="1"/>
  <c r="AJ21" i="30"/>
  <c r="CY280" i="119"/>
  <c r="BZ211" i="30" s="1"/>
  <c r="BZ208" i="30"/>
  <c r="CY267" i="119"/>
  <c r="BZ198" i="30" s="1"/>
  <c r="F259" i="119"/>
  <c r="F192" i="30" s="1"/>
  <c r="F20" i="30"/>
  <c r="CI282" i="119"/>
  <c r="BJ213" i="30" s="1"/>
  <c r="BJ210" i="30"/>
  <c r="CI283" i="119"/>
  <c r="BJ214" i="30" s="1"/>
  <c r="G277" i="119"/>
  <c r="G275" i="119"/>
  <c r="G206" i="30" s="1"/>
  <c r="BZ282" i="119"/>
  <c r="BA213" i="30" s="1"/>
  <c r="BA210" i="30"/>
  <c r="BZ283" i="119"/>
  <c r="BA214" i="30" s="1"/>
  <c r="DB279" i="119"/>
  <c r="BJ283" i="119"/>
  <c r="AK214" i="30" s="1"/>
  <c r="AK210" i="30"/>
  <c r="BJ282" i="119"/>
  <c r="AK213" i="30" s="1"/>
  <c r="CS282" i="119"/>
  <c r="BT213" i="30" s="1"/>
  <c r="BT210" i="30"/>
  <c r="CS283" i="119"/>
  <c r="BT214" i="30" s="1"/>
  <c r="AT25" i="3"/>
  <c r="BN96" i="119" s="1"/>
  <c r="AO87" i="30" s="1"/>
  <c r="BN305" i="119"/>
  <c r="AO236" i="30" s="1"/>
  <c r="BN282" i="119"/>
  <c r="AO213" i="30" s="1"/>
  <c r="AO210" i="30"/>
  <c r="BN283" i="119"/>
  <c r="AO214" i="30" s="1"/>
  <c r="BR212" i="30"/>
  <c r="CQ260" i="119"/>
  <c r="BR193" i="30" s="1"/>
  <c r="AX212" i="30"/>
  <c r="BW260" i="119"/>
  <c r="AX193" i="30" s="1"/>
  <c r="BN212" i="30"/>
  <c r="CM260" i="119"/>
  <c r="BN193" i="30" s="1"/>
  <c r="AI212" i="30"/>
  <c r="BH260" i="119"/>
  <c r="AI193" i="30" s="1"/>
  <c r="AA71" i="1"/>
  <c r="AU279" i="119"/>
  <c r="V21" i="30"/>
  <c r="V19" i="119"/>
  <c r="V19" i="30" s="1"/>
  <c r="W21" i="30"/>
  <c r="W19" i="119"/>
  <c r="W19" i="30" s="1"/>
  <c r="AO104" i="1"/>
  <c r="BI20" i="119"/>
  <c r="G259" i="119"/>
  <c r="G192" i="30" s="1"/>
  <c r="G20" i="30"/>
  <c r="CS280" i="119"/>
  <c r="BT211" i="30" s="1"/>
  <c r="BT208" i="30"/>
  <c r="CS267" i="119"/>
  <c r="BT198" i="30" s="1"/>
  <c r="AY280" i="119"/>
  <c r="Z211" i="30" s="1"/>
  <c r="Z208" i="30"/>
  <c r="AY267" i="119"/>
  <c r="Z198" i="30" s="1"/>
  <c r="BR280" i="119"/>
  <c r="AS211" i="30" s="1"/>
  <c r="AS208" i="30"/>
  <c r="BR267" i="119"/>
  <c r="AS198" i="30" s="1"/>
  <c r="Q259" i="119"/>
  <c r="Q192" i="30" s="1"/>
  <c r="Q20" i="30"/>
  <c r="DE280" i="119"/>
  <c r="CF211" i="30" s="1"/>
  <c r="CF208" i="30"/>
  <c r="DE267" i="119"/>
  <c r="CF198" i="30" s="1"/>
  <c r="AH208" i="30"/>
  <c r="BG280" i="119"/>
  <c r="AH211" i="30" s="1"/>
  <c r="BG267" i="119"/>
  <c r="AH198" i="30" s="1"/>
  <c r="BN280" i="119"/>
  <c r="AO211" i="30" s="1"/>
  <c r="AO208" i="30"/>
  <c r="BN267" i="119"/>
  <c r="AO198" i="30" s="1"/>
  <c r="BJ280" i="119"/>
  <c r="AK211" i="30" s="1"/>
  <c r="AK208" i="30"/>
  <c r="BJ267" i="119"/>
  <c r="AK198" i="30" s="1"/>
  <c r="AT280" i="119"/>
  <c r="AT267" i="119"/>
  <c r="AM280" i="119"/>
  <c r="AM267" i="119"/>
  <c r="BW280" i="119"/>
  <c r="AX211" i="30" s="1"/>
  <c r="AX208" i="30"/>
  <c r="BW267" i="119"/>
  <c r="AX198" i="30" s="1"/>
  <c r="K21" i="30"/>
  <c r="K19" i="119"/>
  <c r="K19" i="30" s="1"/>
  <c r="F19" i="119"/>
  <c r="F19" i="30" s="1"/>
  <c r="F21" i="30"/>
  <c r="CP280" i="119"/>
  <c r="BQ211" i="30" s="1"/>
  <c r="BQ208" i="30"/>
  <c r="CP267" i="119"/>
  <c r="BQ198" i="30" s="1"/>
  <c r="H277" i="119"/>
  <c r="H275" i="119"/>
  <c r="H206" i="30" s="1"/>
  <c r="AY282" i="119"/>
  <c r="Z213" i="30" s="1"/>
  <c r="Z210" i="30"/>
  <c r="AY283" i="119"/>
  <c r="Z214" i="30" s="1"/>
  <c r="BT282" i="119"/>
  <c r="AU213" i="30" s="1"/>
  <c r="AU210" i="30"/>
  <c r="BT283" i="119"/>
  <c r="AU214" i="30" s="1"/>
  <c r="AO282" i="119"/>
  <c r="AO283" i="119"/>
  <c r="CE282" i="119"/>
  <c r="BF213" i="30" s="1"/>
  <c r="BF210" i="30"/>
  <c r="CE283" i="119"/>
  <c r="BF214" i="30" s="1"/>
  <c r="AC25" i="3"/>
  <c r="AW96" i="119" s="1"/>
  <c r="AW305" i="119"/>
  <c r="AG212" i="30"/>
  <c r="BF260" i="119"/>
  <c r="AG193" i="30" s="1"/>
  <c r="AH212" i="30"/>
  <c r="BG260" i="119"/>
  <c r="AH193" i="30" s="1"/>
  <c r="BK280" i="119"/>
  <c r="AL211" i="30" s="1"/>
  <c r="AL208" i="30"/>
  <c r="BK267" i="119"/>
  <c r="AL198" i="30" s="1"/>
  <c r="AZ280" i="119"/>
  <c r="AA211" i="30" s="1"/>
  <c r="AA208" i="30"/>
  <c r="AZ267" i="119"/>
  <c r="AA198" i="30" s="1"/>
  <c r="BR208" i="30"/>
  <c r="CQ280" i="119"/>
  <c r="BR211" i="30" s="1"/>
  <c r="CQ267" i="119"/>
  <c r="BR198" i="30" s="1"/>
  <c r="AN283" i="119"/>
  <c r="AN282" i="119"/>
  <c r="AL25" i="3"/>
  <c r="AL50" i="3" s="1"/>
  <c r="BF108" i="119" s="1"/>
  <c r="AG98" i="30" s="1"/>
  <c r="BF305" i="119"/>
  <c r="AG236" i="30" s="1"/>
  <c r="AJ25" i="3"/>
  <c r="BD96" i="119" s="1"/>
  <c r="AE87" i="30" s="1"/>
  <c r="BD305" i="119"/>
  <c r="AE236" i="30" s="1"/>
  <c r="CC282" i="119"/>
  <c r="BD213" i="30" s="1"/>
  <c r="BD210" i="30"/>
  <c r="CC283" i="119"/>
  <c r="BD214" i="30" s="1"/>
  <c r="AF25" i="3"/>
  <c r="AZ96" i="119" s="1"/>
  <c r="AA87" i="30" s="1"/>
  <c r="AZ305" i="119"/>
  <c r="AA236" i="30" s="1"/>
  <c r="AD212" i="30"/>
  <c r="BC260" i="119"/>
  <c r="AD193" i="30" s="1"/>
  <c r="AF212" i="30"/>
  <c r="BE260" i="119"/>
  <c r="AF193" i="30" s="1"/>
  <c r="BF208" i="30"/>
  <c r="CE280" i="119"/>
  <c r="BF211" i="30" s="1"/>
  <c r="CE267" i="119"/>
  <c r="BF198" i="30" s="1"/>
  <c r="AS280" i="119"/>
  <c r="AS267" i="119"/>
  <c r="T21" i="30"/>
  <c r="T19" i="119"/>
  <c r="T19" i="30" s="1"/>
  <c r="AW280" i="119"/>
  <c r="AW267" i="119"/>
  <c r="U21" i="30"/>
  <c r="U19" i="119"/>
  <c r="U19" i="30" s="1"/>
  <c r="K259" i="119"/>
  <c r="K192" i="30" s="1"/>
  <c r="K20" i="30"/>
  <c r="F277" i="119"/>
  <c r="F275" i="119"/>
  <c r="F206" i="30" s="1"/>
  <c r="AW25" i="3"/>
  <c r="BQ96" i="119" s="1"/>
  <c r="AR87" i="30" s="1"/>
  <c r="BQ305" i="119"/>
  <c r="AR236" i="30" s="1"/>
  <c r="BH282" i="119"/>
  <c r="AI213" i="30" s="1"/>
  <c r="AI210" i="30"/>
  <c r="BH283" i="119"/>
  <c r="AI214" i="30" s="1"/>
  <c r="CU63" i="51"/>
  <c r="AW282" i="119"/>
  <c r="AW283" i="119"/>
  <c r="AH25" i="3"/>
  <c r="BB96" i="119" s="1"/>
  <c r="AC87" i="30" s="1"/>
  <c r="BB305" i="119"/>
  <c r="AC236" i="30" s="1"/>
  <c r="AS212" i="30"/>
  <c r="BR260" i="119"/>
  <c r="AS193" i="30" s="1"/>
  <c r="BW282" i="119"/>
  <c r="AX213" i="30" s="1"/>
  <c r="AX210" i="30"/>
  <c r="BW283" i="119"/>
  <c r="AX214" i="30" s="1"/>
  <c r="BO210" i="30"/>
  <c r="CN283" i="119"/>
  <c r="BO214" i="30" s="1"/>
  <c r="CN282" i="119"/>
  <c r="BO213" i="30" s="1"/>
  <c r="S25" i="3"/>
  <c r="AM96" i="119" s="1"/>
  <c r="AM305" i="119"/>
  <c r="AS25" i="3"/>
  <c r="BM96" i="119" s="1"/>
  <c r="AN87" i="30" s="1"/>
  <c r="BM305" i="119"/>
  <c r="AN236" i="30" s="1"/>
  <c r="AN25" i="3"/>
  <c r="BH96" i="119" s="1"/>
  <c r="AI87" i="30" s="1"/>
  <c r="BH305" i="119"/>
  <c r="AI236" i="30" s="1"/>
  <c r="BE282" i="119"/>
  <c r="AF213" i="30" s="1"/>
  <c r="AF210" i="30"/>
  <c r="BE283" i="119"/>
  <c r="AF214" i="30" s="1"/>
  <c r="M277" i="119"/>
  <c r="M275" i="119"/>
  <c r="M206" i="30" s="1"/>
  <c r="AQ210" i="30"/>
  <c r="BP283" i="119"/>
  <c r="AQ214" i="30" s="1"/>
  <c r="BP282" i="119"/>
  <c r="AQ213" i="30" s="1"/>
  <c r="AT283" i="119"/>
  <c r="AT282" i="119"/>
  <c r="CK282" i="119"/>
  <c r="BL213" i="30" s="1"/>
  <c r="BL210" i="30"/>
  <c r="CK283" i="119"/>
  <c r="BL214" i="30" s="1"/>
  <c r="BE210" i="30"/>
  <c r="CD283" i="119"/>
  <c r="BE214" i="30" s="1"/>
  <c r="CD282" i="119"/>
  <c r="BE213" i="30" s="1"/>
  <c r="R277" i="119"/>
  <c r="R275" i="119"/>
  <c r="R206" i="30" s="1"/>
  <c r="BY282" i="119"/>
  <c r="AZ213" i="30" s="1"/>
  <c r="AZ210" i="30"/>
  <c r="BY283" i="119"/>
  <c r="AZ214" i="30" s="1"/>
  <c r="CM282" i="119"/>
  <c r="BN213" i="30" s="1"/>
  <c r="BN210" i="30"/>
  <c r="CM283" i="119"/>
  <c r="BN214" i="30" s="1"/>
  <c r="Z212" i="30"/>
  <c r="AY260" i="119"/>
  <c r="Z193" i="30" s="1"/>
  <c r="AZ212" i="30"/>
  <c r="BY260" i="119"/>
  <c r="AZ193" i="30" s="1"/>
  <c r="BD212" i="30"/>
  <c r="CC260" i="119"/>
  <c r="BD193" i="30" s="1"/>
  <c r="AW212" i="30"/>
  <c r="BV260" i="119"/>
  <c r="AW193" i="30" s="1"/>
  <c r="BP212" i="30"/>
  <c r="CO260" i="119"/>
  <c r="BP193" i="30" s="1"/>
  <c r="BQ212" i="30"/>
  <c r="CP260" i="119"/>
  <c r="BQ193" i="30" s="1"/>
  <c r="AK212" i="30"/>
  <c r="BJ260" i="119"/>
  <c r="AK193" i="30" s="1"/>
  <c r="AU212" i="30"/>
  <c r="BT260" i="119"/>
  <c r="AU193" i="30" s="1"/>
  <c r="CT283" i="119"/>
  <c r="BU214" i="30" s="1"/>
  <c r="BU210" i="30"/>
  <c r="CT282" i="119"/>
  <c r="BU213" i="30" s="1"/>
  <c r="CL282" i="119"/>
  <c r="BM213" i="30" s="1"/>
  <c r="BM210" i="30"/>
  <c r="CL283" i="119"/>
  <c r="BM214" i="30" s="1"/>
  <c r="CT280" i="119"/>
  <c r="BU211" i="30" s="1"/>
  <c r="BU208" i="30"/>
  <c r="CT267" i="119"/>
  <c r="BU198" i="30" s="1"/>
  <c r="BZ280" i="119"/>
  <c r="BA211" i="30" s="1"/>
  <c r="BA208" i="30"/>
  <c r="BZ267" i="119"/>
  <c r="BA198" i="30" s="1"/>
  <c r="AW20" i="119"/>
  <c r="AW259" i="119" s="1"/>
  <c r="AC74" i="2"/>
  <c r="AC73" i="2"/>
  <c r="AD83" i="1"/>
  <c r="AC72" i="2"/>
  <c r="AC75" i="2"/>
  <c r="AD125" i="1"/>
  <c r="AC68" i="1"/>
  <c r="CU280" i="119"/>
  <c r="BV211" i="30" s="1"/>
  <c r="BV208" i="30"/>
  <c r="CU267" i="119"/>
  <c r="BV198" i="30" s="1"/>
  <c r="BD280" i="119"/>
  <c r="AE211" i="30" s="1"/>
  <c r="AE208" i="30"/>
  <c r="BD267" i="119"/>
  <c r="AE198" i="30" s="1"/>
  <c r="BI280" i="119"/>
  <c r="AJ211" i="30" s="1"/>
  <c r="AJ208" i="30"/>
  <c r="BI267" i="119"/>
  <c r="AJ198" i="30" s="1"/>
  <c r="S259" i="119"/>
  <c r="S192" i="30" s="1"/>
  <c r="S20" i="30"/>
  <c r="Q21" i="30"/>
  <c r="Q19" i="119"/>
  <c r="Q19" i="30" s="1"/>
  <c r="AC85" i="2"/>
  <c r="CO280" i="119"/>
  <c r="BP211" i="30" s="1"/>
  <c r="BP208" i="30"/>
  <c r="CO267" i="119"/>
  <c r="BP198" i="30" s="1"/>
  <c r="AR280" i="119"/>
  <c r="AR267" i="119"/>
  <c r="R259" i="119"/>
  <c r="R192" i="30" s="1"/>
  <c r="R20" i="30"/>
  <c r="BH259" i="119"/>
  <c r="AI192" i="30" s="1"/>
  <c r="AI20" i="30"/>
  <c r="CC280" i="119"/>
  <c r="BD211" i="30" s="1"/>
  <c r="BD208" i="30"/>
  <c r="CC267" i="119"/>
  <c r="BD198" i="30" s="1"/>
  <c r="BU280" i="119"/>
  <c r="AV211" i="30" s="1"/>
  <c r="AV208" i="30"/>
  <c r="BU267" i="119"/>
  <c r="AV198" i="30" s="1"/>
  <c r="AQ280" i="119"/>
  <c r="AQ267" i="119"/>
  <c r="CX280" i="119"/>
  <c r="BY211" i="30" s="1"/>
  <c r="BY208" i="30"/>
  <c r="CX267" i="119"/>
  <c r="BY198" i="30" s="1"/>
  <c r="DD279" i="119"/>
  <c r="J275" i="119"/>
  <c r="J206" i="30" s="1"/>
  <c r="J277" i="119"/>
  <c r="CS64" i="51"/>
  <c r="AX25" i="3"/>
  <c r="BR96" i="119" s="1"/>
  <c r="AS87" i="30" s="1"/>
  <c r="BR305" i="119"/>
  <c r="AS236" i="30" s="1"/>
  <c r="Y210" i="30"/>
  <c r="AX283" i="119"/>
  <c r="Y214" i="30" s="1"/>
  <c r="AX282" i="119"/>
  <c r="Y213" i="30" s="1"/>
  <c r="BB282" i="119"/>
  <c r="AC213" i="30" s="1"/>
  <c r="BB283" i="119"/>
  <c r="AC214" i="30" s="1"/>
  <c r="AC210" i="30"/>
  <c r="AR212" i="30"/>
  <c r="BQ260" i="119"/>
  <c r="AR193" i="30" s="1"/>
  <c r="AN212" i="30"/>
  <c r="BM260" i="119"/>
  <c r="AN193" i="30" s="1"/>
  <c r="AQ212" i="30"/>
  <c r="BP260" i="119"/>
  <c r="AQ193" i="30" s="1"/>
  <c r="AZ208" i="30"/>
  <c r="BY280" i="119"/>
  <c r="AZ211" i="30" s="1"/>
  <c r="BY267" i="119"/>
  <c r="AZ198" i="30" s="1"/>
  <c r="BT280" i="119"/>
  <c r="AU211" i="30" s="1"/>
  <c r="AU208" i="30"/>
  <c r="BT267" i="119"/>
  <c r="AU198" i="30" s="1"/>
  <c r="BV280" i="119"/>
  <c r="AW211" i="30" s="1"/>
  <c r="AW208" i="30"/>
  <c r="BV267" i="119"/>
  <c r="AW198" i="30" s="1"/>
  <c r="BC280" i="119"/>
  <c r="AD211" i="30" s="1"/>
  <c r="AD208" i="30"/>
  <c r="BC267" i="119"/>
  <c r="AD198" i="30" s="1"/>
  <c r="CF280" i="119"/>
  <c r="BG211" i="30" s="1"/>
  <c r="BG208" i="30"/>
  <c r="CF267" i="119"/>
  <c r="BG198" i="30" s="1"/>
  <c r="BI282" i="119"/>
  <c r="AJ213" i="30" s="1"/>
  <c r="AJ210" i="30"/>
  <c r="BI283" i="119"/>
  <c r="AJ214" i="30" s="1"/>
  <c r="BR283" i="119"/>
  <c r="AS214" i="30" s="1"/>
  <c r="AS210" i="30"/>
  <c r="BR282" i="119"/>
  <c r="AS213" i="30" s="1"/>
  <c r="BK282" i="119"/>
  <c r="AL213" i="30" s="1"/>
  <c r="AL210" i="30"/>
  <c r="BK283" i="119"/>
  <c r="AL214" i="30" s="1"/>
  <c r="CO259" i="119"/>
  <c r="BP192" i="30" s="1"/>
  <c r="BP20" i="30"/>
  <c r="CG282" i="119"/>
  <c r="BH213" i="30" s="1"/>
  <c r="BH210" i="30"/>
  <c r="CG283" i="119"/>
  <c r="BH214" i="30" s="1"/>
  <c r="BE212" i="30"/>
  <c r="CD260" i="119"/>
  <c r="BE193" i="30" s="1"/>
  <c r="CG280" i="119"/>
  <c r="BH211" i="30" s="1"/>
  <c r="BH208" i="30"/>
  <c r="CG267" i="119"/>
  <c r="BH198" i="30" s="1"/>
  <c r="AP280" i="119"/>
  <c r="AP267" i="119"/>
  <c r="CO50" i="3"/>
  <c r="FX50" i="3" s="1"/>
  <c r="DI101" i="119"/>
  <c r="AQ25" i="3"/>
  <c r="BK96" i="119" s="1"/>
  <c r="AL87" i="30" s="1"/>
  <c r="BK305" i="119"/>
  <c r="AL236" i="30" s="1"/>
  <c r="CQ282" i="119"/>
  <c r="BR213" i="30" s="1"/>
  <c r="BR210" i="30"/>
  <c r="CQ283" i="119"/>
  <c r="BR214" i="30" s="1"/>
  <c r="Q277" i="119"/>
  <c r="Q275" i="119"/>
  <c r="Q206" i="30" s="1"/>
  <c r="CA282" i="119"/>
  <c r="BB213" i="30" s="1"/>
  <c r="BB210" i="30"/>
  <c r="CA283" i="119"/>
  <c r="BB214" i="30" s="1"/>
  <c r="AM282" i="119"/>
  <c r="AM283" i="119"/>
  <c r="O277" i="119"/>
  <c r="O275" i="119"/>
  <c r="O206" i="30" s="1"/>
  <c r="BM282" i="119"/>
  <c r="AN213" i="30" s="1"/>
  <c r="AN210" i="30"/>
  <c r="BM283" i="119"/>
  <c r="AN214" i="30" s="1"/>
  <c r="CB283" i="119"/>
  <c r="BC214" i="30" s="1"/>
  <c r="BC210" i="30"/>
  <c r="CB282" i="119"/>
  <c r="BC213" i="30" s="1"/>
  <c r="DC279" i="119"/>
  <c r="AD25" i="3"/>
  <c r="AX96" i="119" s="1"/>
  <c r="Y87" i="30" s="1"/>
  <c r="AX305" i="119"/>
  <c r="Y236" i="30" s="1"/>
  <c r="AY25" i="3"/>
  <c r="BS96" i="119" s="1"/>
  <c r="AT87" i="30" s="1"/>
  <c r="BS305" i="119"/>
  <c r="AT236" i="30" s="1"/>
  <c r="FG54" i="3"/>
  <c r="FG55" i="3" s="1"/>
  <c r="U96" i="119"/>
  <c r="U87" i="30" s="1"/>
  <c r="CT64" i="51"/>
  <c r="CF282" i="119"/>
  <c r="BG213" i="30" s="1"/>
  <c r="BG210" i="30"/>
  <c r="CF283" i="119"/>
  <c r="BG214" i="30" s="1"/>
  <c r="AG210" i="30"/>
  <c r="BF283" i="119"/>
  <c r="AG214" i="30" s="1"/>
  <c r="BF282" i="119"/>
  <c r="AG213" i="30" s="1"/>
  <c r="FD50" i="3"/>
  <c r="R108" i="119" s="1"/>
  <c r="R98" i="30" s="1"/>
  <c r="R101" i="119"/>
  <c r="R92" i="30" s="1"/>
  <c r="AE210" i="30"/>
  <c r="BD283" i="119"/>
  <c r="AE214" i="30" s="1"/>
  <c r="BD282" i="119"/>
  <c r="AE213" i="30" s="1"/>
  <c r="N277" i="119"/>
  <c r="N275" i="119"/>
  <c r="N206" i="30" s="1"/>
  <c r="CS259" i="119"/>
  <c r="BT192" i="30" s="1"/>
  <c r="BT20" i="30"/>
  <c r="CC259" i="119"/>
  <c r="BD192" i="30" s="1"/>
  <c r="BD20" i="30"/>
  <c r="BO212" i="30"/>
  <c r="CN260" i="119"/>
  <c r="BO193" i="30" s="1"/>
  <c r="AY212" i="30"/>
  <c r="BX260" i="119"/>
  <c r="AY193" i="30" s="1"/>
  <c r="BI212" i="30"/>
  <c r="CH260" i="119"/>
  <c r="BI193" i="30" s="1"/>
  <c r="AB130" i="1"/>
  <c r="AV281" i="119"/>
  <c r="AV260" i="119" s="1"/>
  <c r="AC212" i="30"/>
  <c r="BB260" i="119"/>
  <c r="AC193" i="30" s="1"/>
  <c r="Y212" i="30"/>
  <c r="AX260" i="119"/>
  <c r="Y193" i="30" s="1"/>
  <c r="BK212" i="30"/>
  <c r="CJ260" i="119"/>
  <c r="BK193" i="30" s="1"/>
  <c r="BC212" i="30"/>
  <c r="CB260" i="119"/>
  <c r="BC193" i="30" s="1"/>
  <c r="BM212" i="30"/>
  <c r="CL260" i="119"/>
  <c r="BM193" i="30" s="1"/>
  <c r="AB212" i="30"/>
  <c r="BA260" i="119"/>
  <c r="AB193" i="30" s="1"/>
  <c r="G21" i="30"/>
  <c r="G19" i="119"/>
  <c r="G19" i="30" s="1"/>
  <c r="AU280" i="119"/>
  <c r="AU267" i="119"/>
  <c r="BE280" i="119"/>
  <c r="AF211" i="30" s="1"/>
  <c r="AF208" i="30"/>
  <c r="BE267" i="119"/>
  <c r="AF198" i="30" s="1"/>
  <c r="CD208" i="30"/>
  <c r="DC280" i="119"/>
  <c r="CD211" i="30" s="1"/>
  <c r="DC267" i="119"/>
  <c r="CD198" i="30" s="1"/>
  <c r="DD280" i="119"/>
  <c r="CE211" i="30" s="1"/>
  <c r="CE208" i="30"/>
  <c r="DD267" i="119"/>
  <c r="CE198" i="30" s="1"/>
  <c r="J100" i="119"/>
  <c r="J91" i="30" s="1"/>
  <c r="EV35" i="3"/>
  <c r="J101" i="119" s="1"/>
  <c r="J92" i="30" s="1"/>
  <c r="AN21" i="30"/>
  <c r="BM19" i="119"/>
  <c r="AN19" i="30" s="1"/>
  <c r="BF280" i="119"/>
  <c r="AG211" i="30" s="1"/>
  <c r="AG208" i="30"/>
  <c r="BF267" i="119"/>
  <c r="AG198" i="30" s="1"/>
  <c r="AV280" i="119"/>
  <c r="AV267" i="119"/>
  <c r="CJ280" i="119"/>
  <c r="BK211" i="30" s="1"/>
  <c r="BK208" i="30"/>
  <c r="CJ267" i="119"/>
  <c r="BK198" i="30" s="1"/>
  <c r="CL280" i="119"/>
  <c r="BM211" i="30" s="1"/>
  <c r="BM208" i="30"/>
  <c r="CL267" i="119"/>
  <c r="BM198" i="30" s="1"/>
  <c r="P259" i="119"/>
  <c r="P192" i="30" s="1"/>
  <c r="P20" i="30"/>
  <c r="AX280" i="119"/>
  <c r="Y211" i="30" s="1"/>
  <c r="Y208" i="30"/>
  <c r="AX267" i="119"/>
  <c r="Y198" i="30" s="1"/>
  <c r="BQ280" i="119"/>
  <c r="AR211" i="30" s="1"/>
  <c r="AR208" i="30"/>
  <c r="BQ267" i="119"/>
  <c r="AR198" i="30" s="1"/>
  <c r="AO280" i="119"/>
  <c r="AO267" i="119"/>
  <c r="R19" i="119"/>
  <c r="R19" i="30" s="1"/>
  <c r="R21" i="30"/>
  <c r="AB208" i="30"/>
  <c r="BA267" i="119"/>
  <c r="AB198" i="30" s="1"/>
  <c r="BA280" i="119"/>
  <c r="AB211" i="30" s="1"/>
  <c r="BL280" i="119"/>
  <c r="AM211" i="30" s="1"/>
  <c r="AM208" i="30"/>
  <c r="BL267" i="119"/>
  <c r="AM198" i="30" s="1"/>
  <c r="AT208" i="30"/>
  <c r="BS280" i="119"/>
  <c r="AT211" i="30" s="1"/>
  <c r="BS267" i="119"/>
  <c r="AT198" i="30" s="1"/>
  <c r="AO25" i="3"/>
  <c r="BI96" i="119" s="1"/>
  <c r="AJ87" i="30" s="1"/>
  <c r="BI305" i="119"/>
  <c r="AJ236" i="30" s="1"/>
  <c r="AS282" i="119"/>
  <c r="AS283" i="119"/>
  <c r="V275" i="119"/>
  <c r="V206" i="30" s="1"/>
  <c r="V277" i="119"/>
  <c r="X25" i="3"/>
  <c r="AR96" i="119" s="1"/>
  <c r="AR305" i="119"/>
  <c r="P275" i="119"/>
  <c r="P206" i="30" s="1"/>
  <c r="P277" i="119"/>
  <c r="AV25" i="3"/>
  <c r="BP96" i="119" s="1"/>
  <c r="AQ87" i="30" s="1"/>
  <c r="BP305" i="119"/>
  <c r="AQ236" i="30" s="1"/>
  <c r="W275" i="119"/>
  <c r="W206" i="30" s="1"/>
  <c r="W277" i="119"/>
  <c r="BG212" i="30"/>
  <c r="CF260" i="119"/>
  <c r="BG193" i="30" s="1"/>
  <c r="BA212" i="30"/>
  <c r="BZ260" i="119"/>
  <c r="BA193" i="30" s="1"/>
  <c r="AM212" i="30"/>
  <c r="BL260" i="119"/>
  <c r="AM193" i="30" s="1"/>
  <c r="AA25" i="3"/>
  <c r="AU96" i="119" s="1"/>
  <c r="AU305" i="119"/>
  <c r="CR280" i="119"/>
  <c r="BS211" i="30" s="1"/>
  <c r="BS208" i="30"/>
  <c r="CR267" i="119"/>
  <c r="BS198" i="30" s="1"/>
  <c r="N103" i="119"/>
  <c r="N94" i="30" s="1"/>
  <c r="EZ48" i="3"/>
  <c r="N107" i="119" s="1"/>
  <c r="N97" i="30" s="1"/>
  <c r="P21" i="30"/>
  <c r="P19" i="119"/>
  <c r="P19" i="30" s="1"/>
  <c r="L19" i="119"/>
  <c r="L19" i="30" s="1"/>
  <c r="L21" i="30"/>
  <c r="CH280" i="119"/>
  <c r="BI211" i="30" s="1"/>
  <c r="BI208" i="30"/>
  <c r="CH267" i="119"/>
  <c r="BI198" i="30" s="1"/>
  <c r="BQ282" i="119"/>
  <c r="AR213" i="30" s="1"/>
  <c r="AR210" i="30"/>
  <c r="BQ283" i="119"/>
  <c r="AR214" i="30" s="1"/>
  <c r="AZ25" i="3"/>
  <c r="BT96" i="119" s="1"/>
  <c r="AU87" i="30" s="1"/>
  <c r="BT305" i="119"/>
  <c r="AU236" i="30" s="1"/>
  <c r="Z25" i="3"/>
  <c r="AT96" i="119" s="1"/>
  <c r="AT305" i="119"/>
  <c r="BO282" i="119"/>
  <c r="AP213" i="30" s="1"/>
  <c r="AP210" i="30"/>
  <c r="BO283" i="119"/>
  <c r="AP214" i="30" s="1"/>
  <c r="AO212" i="30"/>
  <c r="BN260" i="119"/>
  <c r="AO193" i="30" s="1"/>
  <c r="BS212" i="30"/>
  <c r="CR260" i="119"/>
  <c r="BS193" i="30" s="1"/>
  <c r="DB280" i="119"/>
  <c r="CC211" i="30" s="1"/>
  <c r="CC208" i="30"/>
  <c r="DB267" i="119"/>
  <c r="CC198" i="30" s="1"/>
  <c r="CZ280" i="119"/>
  <c r="CA211" i="30" s="1"/>
  <c r="CA208" i="30"/>
  <c r="CZ267" i="119"/>
  <c r="CA198" i="30" s="1"/>
  <c r="BB280" i="119"/>
  <c r="AC211" i="30" s="1"/>
  <c r="AC208" i="30"/>
  <c r="BB267" i="119"/>
  <c r="AC198" i="30" s="1"/>
  <c r="T25" i="3"/>
  <c r="AN96" i="119" s="1"/>
  <c r="AN305" i="119"/>
  <c r="AB25" i="3"/>
  <c r="AV96" i="119" s="1"/>
  <c r="AV305" i="119"/>
  <c r="BU282" i="119"/>
  <c r="AV213" i="30" s="1"/>
  <c r="AV210" i="30"/>
  <c r="BU283" i="119"/>
  <c r="AV214" i="30" s="1"/>
  <c r="I277" i="119"/>
  <c r="I275" i="119"/>
  <c r="I206" i="30" s="1"/>
  <c r="BC282" i="119"/>
  <c r="AD213" i="30" s="1"/>
  <c r="AD210" i="30"/>
  <c r="BC283" i="119"/>
  <c r="AD214" i="30" s="1"/>
  <c r="T277" i="119"/>
  <c r="T275" i="119"/>
  <c r="T206" i="30" s="1"/>
  <c r="CR282" i="119"/>
  <c r="BS213" i="30" s="1"/>
  <c r="BS210" i="30"/>
  <c r="CR283" i="119"/>
  <c r="BS214" i="30" s="1"/>
  <c r="DE279" i="119"/>
  <c r="BQ210" i="30"/>
  <c r="CP283" i="119"/>
  <c r="BQ214" i="30" s="1"/>
  <c r="CP282" i="119"/>
  <c r="BQ213" i="30" s="1"/>
  <c r="BI210" i="30"/>
  <c r="CH283" i="119"/>
  <c r="BI214" i="30" s="1"/>
  <c r="CH282" i="119"/>
  <c r="BI213" i="30" s="1"/>
  <c r="Y25" i="3"/>
  <c r="AS96" i="119" s="1"/>
  <c r="AS305" i="119"/>
  <c r="U25" i="3"/>
  <c r="AO96" i="119" s="1"/>
  <c r="AO305" i="119"/>
  <c r="AR25" i="3"/>
  <c r="AR54" i="3" s="1"/>
  <c r="AR55" i="3" s="1"/>
  <c r="BL305" i="119"/>
  <c r="AM236" i="30" s="1"/>
  <c r="CJ283" i="119"/>
  <c r="BK214" i="30" s="1"/>
  <c r="BK210" i="30"/>
  <c r="CJ282" i="119"/>
  <c r="BK213" i="30" s="1"/>
  <c r="AR283" i="119"/>
  <c r="AR282" i="119"/>
  <c r="S277" i="119"/>
  <c r="S275" i="119"/>
  <c r="S206" i="30" s="1"/>
  <c r="BS282" i="119"/>
  <c r="AT213" i="30" s="1"/>
  <c r="AT210" i="30"/>
  <c r="BS283" i="119"/>
  <c r="AT214" i="30" s="1"/>
  <c r="AG25" i="3"/>
  <c r="BA96" i="119" s="1"/>
  <c r="AB87" i="30" s="1"/>
  <c r="BA305" i="119"/>
  <c r="AB236" i="30" s="1"/>
  <c r="AU25" i="3"/>
  <c r="BO96" i="119" s="1"/>
  <c r="AP87" i="30" s="1"/>
  <c r="BO305" i="119"/>
  <c r="AP236" i="30" s="1"/>
  <c r="AY210" i="30"/>
  <c r="BX283" i="119"/>
  <c r="AY214" i="30" s="1"/>
  <c r="BX282" i="119"/>
  <c r="AY213" i="30" s="1"/>
  <c r="AP282" i="119"/>
  <c r="AP283" i="119"/>
  <c r="AZ283" i="119"/>
  <c r="AA214" i="30" s="1"/>
  <c r="AA210" i="30"/>
  <c r="AZ282" i="119"/>
  <c r="AA213" i="30" s="1"/>
  <c r="AK25" i="3"/>
  <c r="BE96" i="119" s="1"/>
  <c r="AF87" i="30" s="1"/>
  <c r="BE305" i="119"/>
  <c r="AF236" i="30" s="1"/>
  <c r="V25" i="3"/>
  <c r="V54" i="3" s="1"/>
  <c r="V55" i="3" s="1"/>
  <c r="AP305" i="119"/>
  <c r="AW210" i="30"/>
  <c r="BV283" i="119"/>
  <c r="AW214" i="30" s="1"/>
  <c r="BV282" i="119"/>
  <c r="AW213" i="30" s="1"/>
  <c r="BJ212" i="30"/>
  <c r="CI260" i="119"/>
  <c r="BJ193" i="30" s="1"/>
  <c r="BL212" i="30"/>
  <c r="CK260" i="119"/>
  <c r="BL193" i="30" s="1"/>
  <c r="AV212" i="30"/>
  <c r="BU260" i="119"/>
  <c r="AV193" i="30" s="1"/>
  <c r="BB212" i="30"/>
  <c r="CA260" i="119"/>
  <c r="BB193" i="30" s="1"/>
  <c r="BH212" i="30"/>
  <c r="CG260" i="119"/>
  <c r="BH193" i="30" s="1"/>
  <c r="BU212" i="30"/>
  <c r="CT260" i="119"/>
  <c r="BU193" i="30" s="1"/>
  <c r="BF212" i="30"/>
  <c r="CE260" i="119"/>
  <c r="BF193" i="30" s="1"/>
  <c r="BT212" i="30"/>
  <c r="CS260" i="119"/>
  <c r="BT193" i="30" s="1"/>
  <c r="BM259" i="119"/>
  <c r="AN192" i="30" s="1"/>
  <c r="AN20" i="30"/>
  <c r="V180" i="119"/>
  <c r="W180" i="119" s="1"/>
  <c r="X180" i="119" s="1"/>
  <c r="Y180" i="119" s="1"/>
  <c r="Z180" i="119" s="1"/>
  <c r="AA180" i="119" s="1"/>
  <c r="AB180" i="119" s="1"/>
  <c r="W179" i="119"/>
  <c r="X179" i="119" s="1"/>
  <c r="Y179" i="119" s="1"/>
  <c r="Z179" i="119" s="1"/>
  <c r="AA179" i="119" s="1"/>
  <c r="AB179" i="119" s="1"/>
  <c r="BX280" i="119"/>
  <c r="AY211" i="30" s="1"/>
  <c r="AY208" i="30"/>
  <c r="BX267" i="119"/>
  <c r="AY198" i="30" s="1"/>
  <c r="BO280" i="119"/>
  <c r="AP211" i="30" s="1"/>
  <c r="AP208" i="30"/>
  <c r="BO267" i="119"/>
  <c r="AP198" i="30" s="1"/>
  <c r="T259" i="119"/>
  <c r="T192" i="30" s="1"/>
  <c r="T20" i="30"/>
  <c r="CA280" i="119"/>
  <c r="BB211" i="30" s="1"/>
  <c r="BB208" i="30"/>
  <c r="CA267" i="119"/>
  <c r="BB198" i="30" s="1"/>
  <c r="S21" i="30"/>
  <c r="S19" i="119"/>
  <c r="S19" i="30" s="1"/>
  <c r="U259" i="119"/>
  <c r="U192" i="30" s="1"/>
  <c r="U20" i="30"/>
  <c r="CD280" i="119"/>
  <c r="BE211" i="30" s="1"/>
  <c r="BE208" i="30"/>
  <c r="CD267" i="119"/>
  <c r="BE198" i="30" s="1"/>
  <c r="L259" i="119"/>
  <c r="L192" i="30" s="1"/>
  <c r="L20" i="30"/>
  <c r="CB280" i="119"/>
  <c r="BC211" i="30" s="1"/>
  <c r="CB267" i="119"/>
  <c r="BC198" i="30" s="1"/>
  <c r="BC208" i="30"/>
  <c r="CM280" i="119"/>
  <c r="BN211" i="30" s="1"/>
  <c r="BN208" i="30"/>
  <c r="CM267" i="119"/>
  <c r="BN198" i="30" s="1"/>
  <c r="DA280" i="119"/>
  <c r="CB211" i="30" s="1"/>
  <c r="CB208" i="30"/>
  <c r="DA267" i="119"/>
  <c r="CB198" i="30" s="1"/>
  <c r="BL21" i="30"/>
  <c r="CK19" i="119"/>
  <c r="BL19" i="30" s="1"/>
  <c r="DI49" i="119"/>
  <c r="FJ91" i="2"/>
  <c r="EE53" i="119"/>
  <c r="EE81" i="119"/>
  <c r="CR53" i="2"/>
  <c r="DL70" i="119"/>
  <c r="GB67" i="1"/>
  <c r="GC103" i="1"/>
  <c r="BU85" i="2"/>
  <c r="BU73" i="2"/>
  <c r="BU72" i="2"/>
  <c r="BU75" i="2"/>
  <c r="BU74" i="2"/>
  <c r="AO125" i="1"/>
  <c r="AO74" i="2"/>
  <c r="AO85" i="2"/>
  <c r="AO75" i="2"/>
  <c r="AO73" i="2"/>
  <c r="AO72" i="2"/>
  <c r="U75" i="2"/>
  <c r="U73" i="2"/>
  <c r="U72" i="2"/>
  <c r="U85" i="2"/>
  <c r="U74" i="2"/>
  <c r="AO83" i="1"/>
  <c r="Q125" i="1"/>
  <c r="Q74" i="2"/>
  <c r="Q75" i="2"/>
  <c r="Q73" i="2"/>
  <c r="Q85" i="2"/>
  <c r="Q72" i="2"/>
  <c r="AP125" i="1"/>
  <c r="AO68" i="1"/>
  <c r="CK83" i="1"/>
  <c r="CK74" i="2"/>
  <c r="CK72" i="2"/>
  <c r="CK75" i="2"/>
  <c r="CK73" i="2"/>
  <c r="CK85" i="2"/>
  <c r="AT125" i="1"/>
  <c r="AS75" i="2"/>
  <c r="AS73" i="2"/>
  <c r="AS72" i="2"/>
  <c r="AS85" i="2"/>
  <c r="AS74" i="2"/>
  <c r="AO47" i="1"/>
  <c r="AP83" i="1"/>
  <c r="CG85" i="2"/>
  <c r="CG75" i="2"/>
  <c r="CG74" i="2"/>
  <c r="CG73" i="2"/>
  <c r="CG72" i="2"/>
  <c r="BY74" i="2"/>
  <c r="BY72" i="2"/>
  <c r="BY85" i="2"/>
  <c r="BY75" i="2"/>
  <c r="BY73" i="2"/>
  <c r="BI85" i="2"/>
  <c r="BI75" i="2"/>
  <c r="BI74" i="2"/>
  <c r="BI73" i="2"/>
  <c r="BI72" i="2"/>
  <c r="CC75" i="2"/>
  <c r="CC73" i="2"/>
  <c r="CC72" i="2"/>
  <c r="CC85" i="2"/>
  <c r="CC74" i="2"/>
  <c r="Z125" i="1"/>
  <c r="Y85" i="2"/>
  <c r="Y75" i="2"/>
  <c r="Y74" i="2"/>
  <c r="Y73" i="2"/>
  <c r="Y72" i="2"/>
  <c r="FI21" i="51"/>
  <c r="AA31" i="1"/>
  <c r="DB116" i="1"/>
  <c r="DB59" i="1"/>
  <c r="DB74" i="1"/>
  <c r="DB95" i="1"/>
  <c r="AA32" i="1"/>
  <c r="AH130" i="1"/>
  <c r="DD9" i="3"/>
  <c r="DD10" i="92"/>
  <c r="DD38" i="1"/>
  <c r="DM9" i="3"/>
  <c r="DM67" i="3" s="1"/>
  <c r="DM9" i="112"/>
  <c r="DM9" i="113"/>
  <c r="DM10" i="92"/>
  <c r="DM38" i="1"/>
  <c r="DM9" i="51"/>
  <c r="DF9" i="112"/>
  <c r="DF10" i="92"/>
  <c r="DF9" i="113"/>
  <c r="CL8" i="6"/>
  <c r="DF9" i="3"/>
  <c r="DF38" i="1"/>
  <c r="DF9" i="51"/>
  <c r="DC116" i="1"/>
  <c r="DC59" i="1"/>
  <c r="DC74" i="1"/>
  <c r="DC95" i="1"/>
  <c r="DG10" i="92"/>
  <c r="DG9" i="113"/>
  <c r="CM8" i="6"/>
  <c r="DG9" i="51"/>
  <c r="DG9" i="3"/>
  <c r="DG67" i="3" s="1"/>
  <c r="DG9" i="112"/>
  <c r="DG38" i="1"/>
  <c r="DI95" i="1"/>
  <c r="DI116" i="1"/>
  <c r="DI59" i="1"/>
  <c r="DI74" i="1"/>
  <c r="GF103" i="1"/>
  <c r="K129" i="1"/>
  <c r="GI29" i="1"/>
  <c r="T129" i="1"/>
  <c r="BZ129" i="1"/>
  <c r="GI30" i="1"/>
  <c r="DQ8" i="1"/>
  <c r="DU8" i="1" s="1"/>
  <c r="DY8" i="1" s="1"/>
  <c r="DM9" i="2"/>
  <c r="CS8" i="6"/>
  <c r="BW130" i="1"/>
  <c r="EB95" i="6"/>
  <c r="EB58" i="6"/>
  <c r="EC95" i="6"/>
  <c r="EC58" i="6"/>
  <c r="EI95" i="6"/>
  <c r="EI58" i="6"/>
  <c r="DV95" i="6"/>
  <c r="DV58" i="6"/>
  <c r="EF58" i="6"/>
  <c r="EF95" i="6"/>
  <c r="EG58" i="6"/>
  <c r="EG95" i="6"/>
  <c r="EA95" i="6"/>
  <c r="EA58" i="6"/>
  <c r="DZ58" i="6"/>
  <c r="DZ95" i="6"/>
  <c r="DW95" i="6"/>
  <c r="DW58" i="6"/>
  <c r="DX58" i="6"/>
  <c r="DX95" i="6"/>
  <c r="FA58" i="6"/>
  <c r="FA95" i="6"/>
  <c r="EE58" i="6"/>
  <c r="EE95" i="6"/>
  <c r="EZ95" i="6"/>
  <c r="EZ58" i="6"/>
  <c r="EH95" i="6"/>
  <c r="EH58" i="6"/>
  <c r="ED58" i="6"/>
  <c r="ED95" i="6"/>
  <c r="DT58" i="6"/>
  <c r="DT95" i="6"/>
  <c r="DU95" i="6"/>
  <c r="DU58" i="6"/>
  <c r="DY58" i="6"/>
  <c r="DY95" i="6"/>
  <c r="AS83" i="1"/>
  <c r="AS68" i="1"/>
  <c r="AS125" i="1"/>
  <c r="AW47" i="1"/>
  <c r="AS47" i="1"/>
  <c r="AS104" i="1"/>
  <c r="GF46" i="1"/>
  <c r="AT83" i="1"/>
  <c r="AW104" i="1"/>
  <c r="GG46" i="1"/>
  <c r="GG103" i="1"/>
  <c r="M81" i="2"/>
  <c r="GH103" i="1"/>
  <c r="GG67" i="1"/>
  <c r="GS25" i="51"/>
  <c r="AV66" i="2"/>
  <c r="AV67" i="2"/>
  <c r="BR31" i="1"/>
  <c r="BR66" i="2"/>
  <c r="BR67" i="2"/>
  <c r="CB66" i="2"/>
  <c r="CB67" i="2"/>
  <c r="BO66" i="2"/>
  <c r="BO67" i="2"/>
  <c r="BU66" i="2"/>
  <c r="BU67" i="2"/>
  <c r="C66" i="2"/>
  <c r="C67" i="2"/>
  <c r="AS66" i="2"/>
  <c r="AS67" i="2"/>
  <c r="AN66" i="2"/>
  <c r="AN67" i="2"/>
  <c r="X66" i="2"/>
  <c r="X67" i="2"/>
  <c r="T66" i="2"/>
  <c r="T67" i="2"/>
  <c r="BF66" i="2"/>
  <c r="BF67" i="2"/>
  <c r="AQ66" i="2"/>
  <c r="AQ67" i="2"/>
  <c r="AP66" i="2"/>
  <c r="AP67" i="2"/>
  <c r="BI66" i="2"/>
  <c r="BI67" i="2"/>
  <c r="BS66" i="2"/>
  <c r="BS67" i="2"/>
  <c r="AF66" i="2"/>
  <c r="AF67" i="2"/>
  <c r="O66" i="2"/>
  <c r="O67" i="2"/>
  <c r="AI66" i="2"/>
  <c r="AI67" i="2"/>
  <c r="R66" i="2"/>
  <c r="R67" i="2"/>
  <c r="AE66" i="2"/>
  <c r="AE67" i="2"/>
  <c r="BG66" i="2"/>
  <c r="BG67" i="2"/>
  <c r="CD66" i="2"/>
  <c r="CD67" i="2"/>
  <c r="BN66" i="2"/>
  <c r="BN67" i="2"/>
  <c r="CE66" i="2"/>
  <c r="CE67" i="2"/>
  <c r="AZ66" i="2"/>
  <c r="AZ67" i="2"/>
  <c r="AB128" i="1"/>
  <c r="AB66" i="2"/>
  <c r="AB67" i="2"/>
  <c r="BK66" i="2"/>
  <c r="BK67" i="2"/>
  <c r="BQ66" i="2"/>
  <c r="BQ67" i="2"/>
  <c r="BL66" i="2"/>
  <c r="BL67" i="2"/>
  <c r="BD66" i="2"/>
  <c r="BD67" i="2"/>
  <c r="CF66" i="2"/>
  <c r="CF67" i="2"/>
  <c r="AU66" i="2"/>
  <c r="AU67" i="2"/>
  <c r="M66" i="2"/>
  <c r="M67" i="2"/>
  <c r="BW66" i="2"/>
  <c r="BW67" i="2"/>
  <c r="BA66" i="2"/>
  <c r="BA67" i="2"/>
  <c r="S66" i="2"/>
  <c r="S67" i="2"/>
  <c r="BH66" i="2"/>
  <c r="BH67" i="2"/>
  <c r="CI66" i="2"/>
  <c r="CI67" i="2"/>
  <c r="AK66" i="2"/>
  <c r="AK67" i="2"/>
  <c r="Z66" i="2"/>
  <c r="Z67" i="2"/>
  <c r="F66" i="2"/>
  <c r="F67" i="2"/>
  <c r="BY66" i="2"/>
  <c r="BY67" i="2"/>
  <c r="N66" i="2"/>
  <c r="N67" i="2"/>
  <c r="CA66" i="2"/>
  <c r="CA67" i="2"/>
  <c r="AW66" i="2"/>
  <c r="AW67" i="2"/>
  <c r="U66" i="2"/>
  <c r="U67" i="2"/>
  <c r="AY66" i="2"/>
  <c r="AY67" i="2"/>
  <c r="J71" i="1"/>
  <c r="J66" i="2"/>
  <c r="J67" i="2"/>
  <c r="BX66" i="2"/>
  <c r="BX67" i="2"/>
  <c r="AO66" i="2"/>
  <c r="AO67" i="2"/>
  <c r="CJ66" i="2"/>
  <c r="CJ67" i="2"/>
  <c r="Q66" i="2"/>
  <c r="Q67" i="2"/>
  <c r="CK66" i="2"/>
  <c r="CK67" i="2"/>
  <c r="AR128" i="1"/>
  <c r="AR66" i="2"/>
  <c r="AR67" i="2"/>
  <c r="AX66" i="2"/>
  <c r="AX67" i="2"/>
  <c r="AJ66" i="2"/>
  <c r="AJ67" i="2"/>
  <c r="I66" i="2"/>
  <c r="I67" i="2"/>
  <c r="AC66" i="2"/>
  <c r="AC67" i="2"/>
  <c r="V66" i="2"/>
  <c r="V67" i="2"/>
  <c r="AT66" i="2"/>
  <c r="AT67" i="2"/>
  <c r="BZ66" i="2"/>
  <c r="BZ67" i="2"/>
  <c r="AA66" i="2"/>
  <c r="AA67" i="2"/>
  <c r="BC66" i="2"/>
  <c r="BC67" i="2"/>
  <c r="BV66" i="2"/>
  <c r="BV67" i="2"/>
  <c r="K66" i="2"/>
  <c r="K67" i="2"/>
  <c r="BP66" i="2"/>
  <c r="BP67" i="2"/>
  <c r="AD66" i="2"/>
  <c r="AD67" i="2"/>
  <c r="CH66" i="2"/>
  <c r="CH67" i="2"/>
  <c r="BE66" i="2"/>
  <c r="BE67" i="2"/>
  <c r="BB66" i="2"/>
  <c r="BB67" i="2"/>
  <c r="G66" i="2"/>
  <c r="G67" i="2"/>
  <c r="W66" i="2"/>
  <c r="W67" i="2"/>
  <c r="AM66" i="2"/>
  <c r="AM67" i="2"/>
  <c r="BT66" i="2"/>
  <c r="BT67" i="2"/>
  <c r="H66" i="2"/>
  <c r="H67" i="2"/>
  <c r="Y66" i="2"/>
  <c r="Y67" i="2"/>
  <c r="D66" i="2"/>
  <c r="D67" i="2"/>
  <c r="L66" i="2"/>
  <c r="L67" i="2"/>
  <c r="AG66" i="2"/>
  <c r="AG67" i="2"/>
  <c r="AL66" i="2"/>
  <c r="AL67" i="2"/>
  <c r="CG66" i="2"/>
  <c r="CG67" i="2"/>
  <c r="BJ128" i="1"/>
  <c r="BJ66" i="2"/>
  <c r="BJ67" i="2"/>
  <c r="P66" i="2"/>
  <c r="P67" i="2"/>
  <c r="AH66" i="2"/>
  <c r="AH67" i="2"/>
  <c r="BM66" i="2"/>
  <c r="BM67" i="2"/>
  <c r="DH8" i="1"/>
  <c r="DD9" i="112"/>
  <c r="DD9" i="113"/>
  <c r="FW28" i="1"/>
  <c r="FZ46" i="1"/>
  <c r="Y68" i="1"/>
  <c r="Y47" i="1"/>
  <c r="AC47" i="1"/>
  <c r="Z83" i="1"/>
  <c r="Y125" i="1"/>
  <c r="Y83" i="1"/>
  <c r="AC104" i="1"/>
  <c r="FC54" i="3"/>
  <c r="FC55" i="3" s="1"/>
  <c r="FZ67" i="1"/>
  <c r="Q47" i="1"/>
  <c r="R83" i="1"/>
  <c r="Q83" i="1"/>
  <c r="GR103" i="1"/>
  <c r="Q68" i="1"/>
  <c r="R125" i="1"/>
  <c r="Q104" i="1"/>
  <c r="GR46" i="1"/>
  <c r="EY48" i="3"/>
  <c r="M107" i="119" s="1"/>
  <c r="M97" i="30" s="1"/>
  <c r="FC50" i="3"/>
  <c r="Q108" i="119" s="1"/>
  <c r="Q98" i="30" s="1"/>
  <c r="FH17" i="1"/>
  <c r="W20" i="119" s="1"/>
  <c r="FA35" i="3"/>
  <c r="O101" i="119" s="1"/>
  <c r="O92" i="30" s="1"/>
  <c r="FA25" i="3"/>
  <c r="O96" i="119" s="1"/>
  <c r="O87" i="30" s="1"/>
  <c r="FH103" i="1"/>
  <c r="FG103" i="1"/>
  <c r="FG67" i="1"/>
  <c r="CK104" i="1"/>
  <c r="CK68" i="1"/>
  <c r="CK47" i="1"/>
  <c r="FH67" i="1"/>
  <c r="GQ46" i="1"/>
  <c r="GQ103" i="1"/>
  <c r="GQ67" i="1"/>
  <c r="CC125" i="1"/>
  <c r="CD125" i="1"/>
  <c r="CD83" i="1"/>
  <c r="CC68" i="1"/>
  <c r="CC83" i="1"/>
  <c r="FH46" i="1"/>
  <c r="FG50" i="3"/>
  <c r="U108" i="119" s="1"/>
  <c r="U98" i="30" s="1"/>
  <c r="CK125" i="1"/>
  <c r="CH125" i="1"/>
  <c r="CG104" i="1"/>
  <c r="FG17" i="1"/>
  <c r="V20" i="119" s="1"/>
  <c r="GQ17" i="1"/>
  <c r="CH83" i="1"/>
  <c r="CG68" i="1"/>
  <c r="CG47" i="1"/>
  <c r="CG125" i="1"/>
  <c r="CG83" i="1"/>
  <c r="K128" i="1"/>
  <c r="J31" i="1"/>
  <c r="J32" i="1"/>
  <c r="BN128" i="1"/>
  <c r="CB130" i="1"/>
  <c r="FW29" i="1"/>
  <c r="GI28" i="1"/>
  <c r="GI31" i="1" s="1"/>
  <c r="AK128" i="1"/>
  <c r="BK128" i="1"/>
  <c r="GK71" i="1"/>
  <c r="EZ106" i="1"/>
  <c r="EZ70" i="1"/>
  <c r="EZ49" i="1"/>
  <c r="FH70" i="1"/>
  <c r="FH106" i="1"/>
  <c r="FH49" i="1"/>
  <c r="GA106" i="1"/>
  <c r="GA70" i="1"/>
  <c r="GA49" i="1"/>
  <c r="GM106" i="1"/>
  <c r="GM70" i="1"/>
  <c r="GM49" i="1"/>
  <c r="FE106" i="1"/>
  <c r="FE70" i="1"/>
  <c r="FE49" i="1"/>
  <c r="ES106" i="1"/>
  <c r="ES49" i="1"/>
  <c r="ES70" i="1"/>
  <c r="GN106" i="1"/>
  <c r="GN70" i="1"/>
  <c r="GN49" i="1"/>
  <c r="GB106" i="1"/>
  <c r="GB70" i="1"/>
  <c r="GB49" i="1"/>
  <c r="FA70" i="1"/>
  <c r="FA49" i="1"/>
  <c r="FA106" i="1"/>
  <c r="GA103" i="1"/>
  <c r="GA67" i="1"/>
  <c r="GA46" i="1"/>
  <c r="FD106" i="1"/>
  <c r="FD49" i="1"/>
  <c r="FD70" i="1"/>
  <c r="GR60" i="1"/>
  <c r="GR96" i="1"/>
  <c r="GR39" i="1"/>
  <c r="GR63" i="1"/>
  <c r="GR64" i="1"/>
  <c r="GR61" i="1"/>
  <c r="GR65" i="1"/>
  <c r="GK67" i="1"/>
  <c r="GK46" i="1"/>
  <c r="GK103" i="1"/>
  <c r="GL103" i="1"/>
  <c r="GL46" i="1"/>
  <c r="GC106" i="1"/>
  <c r="GC70" i="1"/>
  <c r="GC49" i="1"/>
  <c r="FW30" i="1"/>
  <c r="GB46" i="1"/>
  <c r="GG106" i="1"/>
  <c r="GG70" i="1"/>
  <c r="GG49" i="1"/>
  <c r="EX106" i="1"/>
  <c r="EX70" i="1"/>
  <c r="EX49" i="1"/>
  <c r="GO106" i="1"/>
  <c r="GO70" i="1"/>
  <c r="GO49" i="1"/>
  <c r="AQ129" i="1"/>
  <c r="BA129" i="1"/>
  <c r="GR67" i="1"/>
  <c r="GK49" i="1"/>
  <c r="ER106" i="1"/>
  <c r="ER70" i="1"/>
  <c r="ER49" i="1"/>
  <c r="FG70" i="1"/>
  <c r="GH106" i="1"/>
  <c r="GH70" i="1"/>
  <c r="GH49" i="1"/>
  <c r="GI106" i="1"/>
  <c r="GE106" i="1"/>
  <c r="GE70" i="1"/>
  <c r="GE49" i="1"/>
  <c r="GD106" i="1"/>
  <c r="GD70" i="1"/>
  <c r="GD49" i="1"/>
  <c r="FY70" i="1"/>
  <c r="FY49" i="1"/>
  <c r="FY106" i="1"/>
  <c r="EM70" i="1"/>
  <c r="EM29" i="1"/>
  <c r="BC128" i="1"/>
  <c r="ET106" i="1"/>
  <c r="ET70" i="1"/>
  <c r="ET49" i="1"/>
  <c r="EO70" i="1"/>
  <c r="EO49" i="1"/>
  <c r="EO106" i="1"/>
  <c r="FZ106" i="1"/>
  <c r="FZ70" i="1"/>
  <c r="FZ49" i="1"/>
  <c r="GL106" i="1"/>
  <c r="GL70" i="1"/>
  <c r="GL49" i="1"/>
  <c r="GQ70" i="1"/>
  <c r="EN106" i="1"/>
  <c r="EN49" i="1"/>
  <c r="EN70" i="1"/>
  <c r="FC106" i="1"/>
  <c r="FC49" i="1"/>
  <c r="FC70" i="1"/>
  <c r="CG129" i="1"/>
  <c r="GB103" i="1"/>
  <c r="GI49" i="1"/>
  <c r="GJ70" i="1"/>
  <c r="GJ106" i="1"/>
  <c r="GJ49" i="1"/>
  <c r="EW106" i="1"/>
  <c r="EW49" i="1"/>
  <c r="EW70" i="1"/>
  <c r="EP70" i="1"/>
  <c r="EP106" i="1"/>
  <c r="EP49" i="1"/>
  <c r="EY106" i="1"/>
  <c r="EY70" i="1"/>
  <c r="EY49" i="1"/>
  <c r="GO103" i="1"/>
  <c r="GO46" i="1"/>
  <c r="GO67" i="1"/>
  <c r="GP46" i="1"/>
  <c r="GP103" i="1"/>
  <c r="EQ106" i="1"/>
  <c r="EQ49" i="1"/>
  <c r="EQ70" i="1"/>
  <c r="EV106" i="1"/>
  <c r="EV70" i="1"/>
  <c r="EV49" i="1"/>
  <c r="FB70" i="1"/>
  <c r="FB106" i="1"/>
  <c r="FB49" i="1"/>
  <c r="EU106" i="1"/>
  <c r="EU70" i="1"/>
  <c r="EU49" i="1"/>
  <c r="GF106" i="1"/>
  <c r="GF70" i="1"/>
  <c r="GF49" i="1"/>
  <c r="FX106" i="1"/>
  <c r="FX49" i="1"/>
  <c r="FX70" i="1"/>
  <c r="GN103" i="1"/>
  <c r="GN46" i="1"/>
  <c r="GN67" i="1"/>
  <c r="GJ29" i="1"/>
  <c r="GK108" i="1" s="1"/>
  <c r="GJ30" i="1"/>
  <c r="GM29" i="1"/>
  <c r="GM30" i="1"/>
  <c r="GN30" i="1"/>
  <c r="GN29" i="1"/>
  <c r="GH30" i="1"/>
  <c r="GH29" i="1"/>
  <c r="GK32" i="1"/>
  <c r="GK31" i="1"/>
  <c r="FZ29" i="1"/>
  <c r="FZ30" i="1"/>
  <c r="GL29" i="1"/>
  <c r="GL30" i="1"/>
  <c r="GQ29" i="1"/>
  <c r="GQ30" i="1"/>
  <c r="GE29" i="1"/>
  <c r="GE30" i="1"/>
  <c r="FX30" i="1"/>
  <c r="FX29" i="1"/>
  <c r="FY29" i="1"/>
  <c r="FY30" i="1"/>
  <c r="GD29" i="1"/>
  <c r="GD30" i="1"/>
  <c r="GG28" i="1"/>
  <c r="GG30" i="1"/>
  <c r="GG29" i="1"/>
  <c r="GA30" i="1"/>
  <c r="GA29" i="1"/>
  <c r="GB30" i="1"/>
  <c r="GB29" i="1"/>
  <c r="GC30" i="1"/>
  <c r="GC29" i="1"/>
  <c r="GF29" i="1"/>
  <c r="GF30" i="1"/>
  <c r="GO30" i="1"/>
  <c r="GO29" i="1"/>
  <c r="ET29" i="1"/>
  <c r="I280" i="119" s="1"/>
  <c r="I211" i="30" s="1"/>
  <c r="ET30" i="1"/>
  <c r="ES29" i="1"/>
  <c r="H280" i="119" s="1"/>
  <c r="H211" i="30" s="1"/>
  <c r="ES30" i="1"/>
  <c r="EQ30" i="1"/>
  <c r="EQ29" i="1"/>
  <c r="F280" i="119" s="1"/>
  <c r="F211" i="30" s="1"/>
  <c r="EP30" i="1"/>
  <c r="G15" i="114" s="1"/>
  <c r="EP29" i="1"/>
  <c r="FB30" i="1"/>
  <c r="Q281" i="119" s="1"/>
  <c r="FB29" i="1"/>
  <c r="Q280" i="119" s="1"/>
  <c r="Q211" i="30" s="1"/>
  <c r="EU30" i="1"/>
  <c r="EU29" i="1"/>
  <c r="J280" i="119" s="1"/>
  <c r="J211" i="30" s="1"/>
  <c r="FA30" i="1"/>
  <c r="FA29" i="1"/>
  <c r="P280" i="119" s="1"/>
  <c r="P211" i="30" s="1"/>
  <c r="FD30" i="1"/>
  <c r="FD29" i="1"/>
  <c r="S280" i="119" s="1"/>
  <c r="S211" i="30" s="1"/>
  <c r="FH30" i="1"/>
  <c r="W281" i="119" s="1"/>
  <c r="FH29" i="1"/>
  <c r="W280" i="119" s="1"/>
  <c r="W211" i="30" s="1"/>
  <c r="EY28" i="1"/>
  <c r="N279" i="119" s="1"/>
  <c r="N210" i="30" s="1"/>
  <c r="EY29" i="1"/>
  <c r="N280" i="119" s="1"/>
  <c r="N211" i="30" s="1"/>
  <c r="EY30" i="1"/>
  <c r="FE29" i="1"/>
  <c r="T280" i="119" s="1"/>
  <c r="T211" i="30" s="1"/>
  <c r="FE30" i="1"/>
  <c r="ER29" i="1"/>
  <c r="G280" i="119" s="1"/>
  <c r="G211" i="30" s="1"/>
  <c r="ER30" i="1"/>
  <c r="FG30" i="1"/>
  <c r="FG29" i="1"/>
  <c r="V280" i="119" s="1"/>
  <c r="V211" i="30" s="1"/>
  <c r="FC30" i="1"/>
  <c r="R281" i="119" s="1"/>
  <c r="FC29" i="1"/>
  <c r="R280" i="119" s="1"/>
  <c r="R211" i="30" s="1"/>
  <c r="EW30" i="1"/>
  <c r="EW29" i="1"/>
  <c r="L280" i="119" s="1"/>
  <c r="L211" i="30" s="1"/>
  <c r="EV30" i="1"/>
  <c r="EV29" i="1"/>
  <c r="K280" i="119" s="1"/>
  <c r="K211" i="30" s="1"/>
  <c r="EZ29" i="1"/>
  <c r="O280" i="119" s="1"/>
  <c r="O211" i="30" s="1"/>
  <c r="EZ30" i="1"/>
  <c r="EO29" i="1"/>
  <c r="EO30" i="1"/>
  <c r="F15" i="114" s="1"/>
  <c r="EX29" i="1"/>
  <c r="M280" i="119" s="1"/>
  <c r="M211" i="30" s="1"/>
  <c r="EX30" i="1"/>
  <c r="EN28" i="1"/>
  <c r="EN29" i="1"/>
  <c r="L129" i="1"/>
  <c r="Y129" i="1"/>
  <c r="AU130" i="1"/>
  <c r="BN130" i="1"/>
  <c r="C128" i="1"/>
  <c r="BC129" i="1"/>
  <c r="W130" i="1"/>
  <c r="CB128" i="1"/>
  <c r="G128" i="1"/>
  <c r="BD130" i="1"/>
  <c r="Q128" i="1"/>
  <c r="AQ128" i="1"/>
  <c r="BW128" i="1"/>
  <c r="AU128" i="1"/>
  <c r="U130" i="1"/>
  <c r="AM128" i="1"/>
  <c r="BT128" i="1"/>
  <c r="BF128" i="1"/>
  <c r="BL129" i="1"/>
  <c r="AO128" i="1"/>
  <c r="CI128" i="1"/>
  <c r="AV128" i="1"/>
  <c r="AS128" i="1"/>
  <c r="CB129" i="1"/>
  <c r="Y128" i="1"/>
  <c r="BS128" i="1"/>
  <c r="AC129" i="1"/>
  <c r="D129" i="1"/>
  <c r="BS129" i="1"/>
  <c r="AP130" i="1"/>
  <c r="AS130" i="1"/>
  <c r="AI130" i="1"/>
  <c r="T130" i="1"/>
  <c r="Y130" i="1"/>
  <c r="AU129" i="1"/>
  <c r="CE130" i="1"/>
  <c r="Z130" i="1"/>
  <c r="BC130" i="1"/>
  <c r="BO130" i="1"/>
  <c r="AW130" i="1"/>
  <c r="BO129" i="1"/>
  <c r="AL129" i="1"/>
  <c r="P130" i="1"/>
  <c r="AN129" i="1"/>
  <c r="G129" i="1"/>
  <c r="BP129" i="1"/>
  <c r="BI130" i="1"/>
  <c r="AY130" i="1"/>
  <c r="BO128" i="1"/>
  <c r="BG128" i="1"/>
  <c r="BP128" i="1"/>
  <c r="BL128" i="1"/>
  <c r="AL130" i="1"/>
  <c r="BI129" i="1"/>
  <c r="R128" i="1"/>
  <c r="AW128" i="1"/>
  <c r="AD128" i="1"/>
  <c r="AQ130" i="1"/>
  <c r="BF130" i="1"/>
  <c r="BA130" i="1"/>
  <c r="AD129" i="1"/>
  <c r="X129" i="1"/>
  <c r="BJ129" i="1"/>
  <c r="BY130" i="1"/>
  <c r="CK128" i="1"/>
  <c r="AZ128" i="1"/>
  <c r="CG128" i="1"/>
  <c r="BL130" i="1"/>
  <c r="BD129" i="1"/>
  <c r="AT129" i="1"/>
  <c r="CG130" i="1"/>
  <c r="BF129" i="1"/>
  <c r="CK130" i="1"/>
  <c r="AR130" i="1"/>
  <c r="AO130" i="1"/>
  <c r="BY129" i="1"/>
  <c r="AI107" i="1"/>
  <c r="AI128" i="1"/>
  <c r="BX128" i="1"/>
  <c r="AE107" i="1"/>
  <c r="AE128" i="1"/>
  <c r="BU128" i="1"/>
  <c r="CE128" i="1"/>
  <c r="BH128" i="1"/>
  <c r="AN128" i="1"/>
  <c r="L128" i="1"/>
  <c r="Z128" i="1"/>
  <c r="CF128" i="1"/>
  <c r="AH128" i="1"/>
  <c r="BY128" i="1"/>
  <c r="BB128" i="1"/>
  <c r="BM128" i="1"/>
  <c r="CH108" i="1"/>
  <c r="CH129" i="1"/>
  <c r="H129" i="1"/>
  <c r="BT129" i="1"/>
  <c r="CE108" i="1"/>
  <c r="CE129" i="1"/>
  <c r="O108" i="1"/>
  <c r="O129" i="1"/>
  <c r="BQ109" i="1"/>
  <c r="BQ130" i="1"/>
  <c r="BN108" i="1"/>
  <c r="BN129" i="1"/>
  <c r="BE129" i="1"/>
  <c r="AC130" i="1"/>
  <c r="CK129" i="1"/>
  <c r="AX129" i="1"/>
  <c r="CI129" i="1"/>
  <c r="I108" i="1"/>
  <c r="I129" i="1"/>
  <c r="AO108" i="1"/>
  <c r="AO129" i="1"/>
  <c r="AM129" i="1"/>
  <c r="J108" i="1"/>
  <c r="F129" i="1"/>
  <c r="AF130" i="1"/>
  <c r="BK130" i="1"/>
  <c r="BH130" i="1"/>
  <c r="BU129" i="1"/>
  <c r="BV129" i="1"/>
  <c r="BX129" i="1"/>
  <c r="N109" i="1"/>
  <c r="N130" i="1"/>
  <c r="AK130" i="1"/>
  <c r="BZ128" i="1"/>
  <c r="BR32" i="1"/>
  <c r="BR128" i="1"/>
  <c r="J130" i="1"/>
  <c r="CA31" i="1"/>
  <c r="CA128" i="1"/>
  <c r="J129" i="1"/>
  <c r="E129" i="1"/>
  <c r="O107" i="1"/>
  <c r="O128" i="1"/>
  <c r="CJ107" i="1"/>
  <c r="CJ128" i="1"/>
  <c r="H107" i="1"/>
  <c r="H128" i="1"/>
  <c r="BV107" i="1"/>
  <c r="BV128" i="1"/>
  <c r="CM98" i="1"/>
  <c r="CM119" i="1"/>
  <c r="BQ107" i="1"/>
  <c r="BQ128" i="1"/>
  <c r="J107" i="1"/>
  <c r="F128" i="1"/>
  <c r="BE128" i="1"/>
  <c r="U104" i="1"/>
  <c r="U125" i="1"/>
  <c r="V125" i="1"/>
  <c r="CH130" i="1"/>
  <c r="L109" i="1"/>
  <c r="L130" i="1"/>
  <c r="AW108" i="1"/>
  <c r="AW129" i="1"/>
  <c r="H109" i="1"/>
  <c r="H130" i="1"/>
  <c r="BQ108" i="1"/>
  <c r="BQ129" i="1"/>
  <c r="AS129" i="1"/>
  <c r="D130" i="1"/>
  <c r="BS130" i="1"/>
  <c r="AX130" i="1"/>
  <c r="AN130" i="1"/>
  <c r="CJ109" i="1"/>
  <c r="CJ130" i="1"/>
  <c r="I109" i="1"/>
  <c r="I130" i="1"/>
  <c r="AV130" i="1"/>
  <c r="BH129" i="1"/>
  <c r="BV130" i="1"/>
  <c r="CF130" i="1"/>
  <c r="AK129" i="1"/>
  <c r="CA129" i="1"/>
  <c r="AA130" i="1"/>
  <c r="AA128" i="1"/>
  <c r="X107" i="1"/>
  <c r="X128" i="1"/>
  <c r="T107" i="1"/>
  <c r="T128" i="1"/>
  <c r="CL98" i="1"/>
  <c r="CL119" i="1"/>
  <c r="AG107" i="1"/>
  <c r="AG128" i="1"/>
  <c r="AJ107" i="1"/>
  <c r="AJ128" i="1"/>
  <c r="BI128" i="1"/>
  <c r="M109" i="1"/>
  <c r="M130" i="1"/>
  <c r="AJ130" i="1"/>
  <c r="BW108" i="1"/>
  <c r="BW129" i="1"/>
  <c r="CJ108" i="1"/>
  <c r="CJ129" i="1"/>
  <c r="AV129" i="1"/>
  <c r="BR130" i="1"/>
  <c r="CF129" i="1"/>
  <c r="AZ130" i="1"/>
  <c r="M107" i="1"/>
  <c r="M128" i="1"/>
  <c r="W107" i="1"/>
  <c r="W128" i="1"/>
  <c r="BA107" i="1"/>
  <c r="BA128" i="1"/>
  <c r="E86" i="1"/>
  <c r="D128" i="1"/>
  <c r="U128" i="1"/>
  <c r="CH128" i="1"/>
  <c r="P128" i="1"/>
  <c r="BY125" i="1"/>
  <c r="BZ125" i="1"/>
  <c r="Q130" i="1"/>
  <c r="AI129" i="1"/>
  <c r="M129" i="1"/>
  <c r="AT128" i="1"/>
  <c r="AT130" i="1"/>
  <c r="AJ129" i="1"/>
  <c r="K109" i="1"/>
  <c r="K130" i="1"/>
  <c r="P129" i="1"/>
  <c r="AD130" i="1"/>
  <c r="BP130" i="1"/>
  <c r="W129" i="1"/>
  <c r="BB130" i="1"/>
  <c r="AY129" i="1"/>
  <c r="X130" i="1"/>
  <c r="C129" i="1"/>
  <c r="S130" i="1"/>
  <c r="BR129" i="1"/>
  <c r="AG130" i="1"/>
  <c r="AP129" i="1"/>
  <c r="AZ129" i="1"/>
  <c r="AX107" i="1"/>
  <c r="AX128" i="1"/>
  <c r="AY128" i="1"/>
  <c r="AL128" i="1"/>
  <c r="BU104" i="1"/>
  <c r="BU125" i="1"/>
  <c r="BV125" i="1"/>
  <c r="AP128" i="1"/>
  <c r="I107" i="1"/>
  <c r="I128" i="1"/>
  <c r="AC128" i="1"/>
  <c r="AF128" i="1"/>
  <c r="Q108" i="1"/>
  <c r="Q129" i="1"/>
  <c r="AE109" i="1"/>
  <c r="AE130" i="1"/>
  <c r="BG130" i="1"/>
  <c r="AH108" i="1"/>
  <c r="AH129" i="1"/>
  <c r="BM130" i="1"/>
  <c r="AR129" i="1"/>
  <c r="R130" i="1"/>
  <c r="BZ109" i="1"/>
  <c r="BZ130" i="1"/>
  <c r="V130" i="1"/>
  <c r="BB129" i="1"/>
  <c r="C130" i="1"/>
  <c r="S129" i="1"/>
  <c r="AG129" i="1"/>
  <c r="E128" i="1"/>
  <c r="S128" i="1"/>
  <c r="BD128" i="1"/>
  <c r="V128" i="1"/>
  <c r="BI125" i="1"/>
  <c r="BJ125" i="1"/>
  <c r="U129" i="1"/>
  <c r="BT109" i="1"/>
  <c r="BT130" i="1"/>
  <c r="AE108" i="1"/>
  <c r="AE129" i="1"/>
  <c r="O109" i="1"/>
  <c r="O130" i="1"/>
  <c r="BE130" i="1"/>
  <c r="Z129" i="1"/>
  <c r="N107" i="1"/>
  <c r="N128" i="1"/>
  <c r="BG129" i="1"/>
  <c r="BM129" i="1"/>
  <c r="CI130" i="1"/>
  <c r="R108" i="1"/>
  <c r="R129" i="1"/>
  <c r="AM130" i="1"/>
  <c r="V129" i="1"/>
  <c r="AF129" i="1"/>
  <c r="BK129" i="1"/>
  <c r="BU130" i="1"/>
  <c r="BX130" i="1"/>
  <c r="BJ130" i="1"/>
  <c r="N108" i="1"/>
  <c r="N129" i="1"/>
  <c r="CA130" i="1"/>
  <c r="J128" i="1"/>
  <c r="E130" i="1"/>
  <c r="Y107" i="1"/>
  <c r="AZ107" i="1"/>
  <c r="BP107" i="1"/>
  <c r="AL107" i="1"/>
  <c r="T108" i="1"/>
  <c r="BW107" i="1"/>
  <c r="BX107" i="1"/>
  <c r="CD107" i="1"/>
  <c r="BF107" i="1"/>
  <c r="AT108" i="1"/>
  <c r="BN107" i="1"/>
  <c r="CE107" i="1"/>
  <c r="AK107" i="1"/>
  <c r="AU108" i="1"/>
  <c r="AL109" i="1"/>
  <c r="AJ109" i="1"/>
  <c r="BC108" i="1"/>
  <c r="BS108" i="1"/>
  <c r="G108" i="1"/>
  <c r="W109" i="1"/>
  <c r="AV108" i="1"/>
  <c r="CK107" i="1"/>
  <c r="BO107" i="1"/>
  <c r="AO107" i="1"/>
  <c r="BF109" i="1"/>
  <c r="BG109" i="1"/>
  <c r="AR107" i="1"/>
  <c r="BM108" i="1"/>
  <c r="AR109" i="1"/>
  <c r="AO109" i="1"/>
  <c r="BY108" i="1"/>
  <c r="AN108" i="1"/>
  <c r="AY109" i="1"/>
  <c r="BR109" i="1"/>
  <c r="CF108" i="1"/>
  <c r="AZ109" i="1"/>
  <c r="W108" i="1"/>
  <c r="AU107" i="1"/>
  <c r="BI107" i="1"/>
  <c r="BE109" i="1"/>
  <c r="BF108" i="1"/>
  <c r="Z109" i="1"/>
  <c r="BU107" i="1"/>
  <c r="AW107" i="1"/>
  <c r="AD107" i="1"/>
  <c r="BD107" i="1"/>
  <c r="BE108" i="1"/>
  <c r="CB107" i="1"/>
  <c r="M108" i="1"/>
  <c r="AS108" i="1"/>
  <c r="AS109" i="1"/>
  <c r="P109" i="1"/>
  <c r="BI109" i="1"/>
  <c r="BC107" i="1"/>
  <c r="BN109" i="1"/>
  <c r="AJ108" i="1"/>
  <c r="BB109" i="1"/>
  <c r="R107" i="1"/>
  <c r="BT107" i="1"/>
  <c r="AQ108" i="1"/>
  <c r="R109" i="1"/>
  <c r="BB108" i="1"/>
  <c r="Q107" i="1"/>
  <c r="AM107" i="1"/>
  <c r="AS107" i="1"/>
  <c r="BH107" i="1"/>
  <c r="AN107" i="1"/>
  <c r="L107" i="1"/>
  <c r="BK107" i="1"/>
  <c r="AQ107" i="1"/>
  <c r="P107" i="1"/>
  <c r="BS107" i="1"/>
  <c r="DD9" i="51"/>
  <c r="BY107" i="1"/>
  <c r="BB107" i="1"/>
  <c r="BM107" i="1"/>
  <c r="U108" i="1"/>
  <c r="BD109" i="1"/>
  <c r="AT109" i="1"/>
  <c r="P108" i="1"/>
  <c r="AD109" i="1"/>
  <c r="BP109" i="1"/>
  <c r="BI108" i="1"/>
  <c r="AY108" i="1"/>
  <c r="X109" i="1"/>
  <c r="S109" i="1"/>
  <c r="BR108" i="1"/>
  <c r="AP108" i="1"/>
  <c r="AZ108" i="1"/>
  <c r="G107" i="1"/>
  <c r="S107" i="1"/>
  <c r="AB107" i="1"/>
  <c r="AP107" i="1"/>
  <c r="AC107" i="1"/>
  <c r="CJ8" i="6"/>
  <c r="AW109" i="1"/>
  <c r="H108" i="1"/>
  <c r="BT108" i="1"/>
  <c r="BA109" i="1"/>
  <c r="BM109" i="1"/>
  <c r="AD108" i="1"/>
  <c r="AR108" i="1"/>
  <c r="V109" i="1"/>
  <c r="X108" i="1"/>
  <c r="S108" i="1"/>
  <c r="BJ108" i="1"/>
  <c r="Y104" i="1"/>
  <c r="AA108" i="1"/>
  <c r="BI104" i="1"/>
  <c r="BM104" i="1"/>
  <c r="AA109" i="1"/>
  <c r="AV107" i="1"/>
  <c r="BL107" i="1"/>
  <c r="V107" i="1"/>
  <c r="BA108" i="1"/>
  <c r="BG108" i="1"/>
  <c r="CK109" i="1"/>
  <c r="CI109" i="1"/>
  <c r="AM109" i="1"/>
  <c r="V108" i="1"/>
  <c r="AF108" i="1"/>
  <c r="BK108" i="1"/>
  <c r="BU109" i="1"/>
  <c r="BX109" i="1"/>
  <c r="BJ109" i="1"/>
  <c r="CD109" i="1"/>
  <c r="CA109" i="1"/>
  <c r="BP108" i="1"/>
  <c r="AP109" i="1"/>
  <c r="BG107" i="1"/>
  <c r="CI107" i="1"/>
  <c r="U107" i="1"/>
  <c r="BJ107" i="1"/>
  <c r="CF107" i="1"/>
  <c r="AH107" i="1"/>
  <c r="BY104" i="1"/>
  <c r="CC104" i="1"/>
  <c r="AI109" i="1"/>
  <c r="AC109" i="1"/>
  <c r="CK108" i="1"/>
  <c r="AX108" i="1"/>
  <c r="CI108" i="1"/>
  <c r="AM108" i="1"/>
  <c r="F108" i="1"/>
  <c r="AF109" i="1"/>
  <c r="BK109" i="1"/>
  <c r="BH109" i="1"/>
  <c r="BU108" i="1"/>
  <c r="BV108" i="1"/>
  <c r="BX108" i="1"/>
  <c r="AK109" i="1"/>
  <c r="CD108" i="1"/>
  <c r="BZ107" i="1"/>
  <c r="BR107" i="1"/>
  <c r="J109" i="1"/>
  <c r="K107" i="1"/>
  <c r="AY107" i="1"/>
  <c r="CH107" i="1"/>
  <c r="F107" i="1"/>
  <c r="BE107" i="1"/>
  <c r="AF107" i="1"/>
  <c r="Q109" i="1"/>
  <c r="AI108" i="1"/>
  <c r="AU109" i="1"/>
  <c r="AT107" i="1"/>
  <c r="T109" i="1"/>
  <c r="AC108" i="1"/>
  <c r="BC109" i="1"/>
  <c r="BS109" i="1"/>
  <c r="AX109" i="1"/>
  <c r="AN109" i="1"/>
  <c r="AV109" i="1"/>
  <c r="BH108" i="1"/>
  <c r="BV109" i="1"/>
  <c r="CF109" i="1"/>
  <c r="AK108" i="1"/>
  <c r="CA108" i="1"/>
  <c r="AA107" i="1"/>
  <c r="AA86" i="1"/>
  <c r="Z107" i="1"/>
  <c r="CH88" i="1"/>
  <c r="CH109" i="1"/>
  <c r="BL88" i="1"/>
  <c r="BL109" i="1"/>
  <c r="BL87" i="1"/>
  <c r="BL108" i="1"/>
  <c r="L87" i="1"/>
  <c r="L108" i="1"/>
  <c r="U88" i="1"/>
  <c r="U109" i="1"/>
  <c r="CE88" i="1"/>
  <c r="CE109" i="1"/>
  <c r="BO88" i="1"/>
  <c r="BO109" i="1"/>
  <c r="BO87" i="1"/>
  <c r="BO108" i="1"/>
  <c r="BD87" i="1"/>
  <c r="BD108" i="1"/>
  <c r="AL87" i="1"/>
  <c r="AL108" i="1"/>
  <c r="AQ88" i="1"/>
  <c r="AQ109" i="1"/>
  <c r="AA87" i="1"/>
  <c r="Z108" i="1"/>
  <c r="Y88" i="1"/>
  <c r="Y109" i="1"/>
  <c r="Y87" i="1"/>
  <c r="Y108" i="1"/>
  <c r="AB88" i="1"/>
  <c r="AB109" i="1"/>
  <c r="AB87" i="1"/>
  <c r="AB108" i="1"/>
  <c r="K87" i="1"/>
  <c r="K108" i="1"/>
  <c r="BW88" i="1"/>
  <c r="BW109" i="1"/>
  <c r="AH88" i="1"/>
  <c r="AH109" i="1"/>
  <c r="G88" i="1"/>
  <c r="G109" i="1"/>
  <c r="BZ87" i="1"/>
  <c r="BZ108" i="1"/>
  <c r="F88" i="1"/>
  <c r="F109" i="1"/>
  <c r="CB87" i="1"/>
  <c r="CB108" i="1"/>
  <c r="CB88" i="1"/>
  <c r="CB109" i="1"/>
  <c r="AG109" i="1"/>
  <c r="AG87" i="1"/>
  <c r="AG108" i="1"/>
  <c r="BY88" i="1"/>
  <c r="BY109" i="1"/>
  <c r="CA32" i="1"/>
  <c r="CA107" i="1"/>
  <c r="Q87" i="1"/>
  <c r="AE88" i="1"/>
  <c r="D87" i="1"/>
  <c r="BS87" i="1"/>
  <c r="H87" i="1"/>
  <c r="BQ88" i="1"/>
  <c r="AQ87" i="1"/>
  <c r="BA88" i="1"/>
  <c r="X87" i="1"/>
  <c r="C88" i="1"/>
  <c r="BJ87" i="1"/>
  <c r="L88" i="1"/>
  <c r="AW87" i="1"/>
  <c r="BQ87" i="1"/>
  <c r="BE88" i="1"/>
  <c r="CG87" i="1"/>
  <c r="BF87" i="1"/>
  <c r="BA87" i="1"/>
  <c r="AR88" i="1"/>
  <c r="AM88" i="1"/>
  <c r="AI88" i="1"/>
  <c r="Z88" i="1"/>
  <c r="Q88" i="1"/>
  <c r="AU88" i="1"/>
  <c r="T88" i="1"/>
  <c r="AC87" i="1"/>
  <c r="H52" i="1"/>
  <c r="BC88" i="1"/>
  <c r="BS88" i="1"/>
  <c r="AX88" i="1"/>
  <c r="CZ74" i="1"/>
  <c r="CZ95" i="1"/>
  <c r="AX52" i="1"/>
  <c r="BT88" i="1"/>
  <c r="O88" i="1"/>
  <c r="AL88" i="1"/>
  <c r="AN87" i="1"/>
  <c r="G87" i="1"/>
  <c r="BP87" i="1"/>
  <c r="BI88" i="1"/>
  <c r="AW88" i="1"/>
  <c r="K88" i="1"/>
  <c r="AA88" i="1"/>
  <c r="H88" i="1"/>
  <c r="AT87" i="1"/>
  <c r="CG88" i="1"/>
  <c r="BF88" i="1"/>
  <c r="BM88" i="1"/>
  <c r="AD87" i="1"/>
  <c r="R88" i="1"/>
  <c r="V88" i="1"/>
  <c r="BB87" i="1"/>
  <c r="S87" i="1"/>
  <c r="BX88" i="1"/>
  <c r="BJ88" i="1"/>
  <c r="BY87" i="1"/>
  <c r="CK88" i="1"/>
  <c r="BM87" i="1"/>
  <c r="AO88" i="1"/>
  <c r="BC71" i="1"/>
  <c r="BC86" i="1"/>
  <c r="Q71" i="1"/>
  <c r="Q86" i="1"/>
  <c r="O71" i="1"/>
  <c r="O86" i="1"/>
  <c r="M71" i="1"/>
  <c r="M86" i="1"/>
  <c r="H71" i="1"/>
  <c r="H86" i="1"/>
  <c r="BV71" i="1"/>
  <c r="BV86" i="1"/>
  <c r="CD71" i="1"/>
  <c r="K71" i="1"/>
  <c r="K86" i="1"/>
  <c r="AW71" i="1"/>
  <c r="AW86" i="1"/>
  <c r="AZ71" i="1"/>
  <c r="AZ86" i="1"/>
  <c r="BP71" i="1"/>
  <c r="BP86" i="1"/>
  <c r="BJ71" i="1"/>
  <c r="BJ86" i="1"/>
  <c r="CF71" i="1"/>
  <c r="CF86" i="1"/>
  <c r="AH71" i="1"/>
  <c r="AH86" i="1"/>
  <c r="BG88" i="1"/>
  <c r="AH51" i="1"/>
  <c r="AH87" i="1"/>
  <c r="AR87" i="1"/>
  <c r="BZ88" i="1"/>
  <c r="AM71" i="1"/>
  <c r="AM86" i="1"/>
  <c r="BN71" i="1"/>
  <c r="BN86" i="1"/>
  <c r="BU71" i="1"/>
  <c r="BU86" i="1"/>
  <c r="C71" i="1"/>
  <c r="C86" i="1"/>
  <c r="CE71" i="1"/>
  <c r="CE86" i="1"/>
  <c r="AX71" i="1"/>
  <c r="AX86" i="1"/>
  <c r="AY71" i="1"/>
  <c r="AY86" i="1"/>
  <c r="AL71" i="1"/>
  <c r="AL86" i="1"/>
  <c r="CH71" i="1"/>
  <c r="CH86" i="1"/>
  <c r="F71" i="1"/>
  <c r="F86" i="1"/>
  <c r="BE71" i="1"/>
  <c r="BE86" i="1"/>
  <c r="AF71" i="1"/>
  <c r="AF86" i="1"/>
  <c r="BY83" i="1"/>
  <c r="BZ83" i="1"/>
  <c r="M88" i="1"/>
  <c r="T87" i="1"/>
  <c r="Z51" i="1"/>
  <c r="Z87" i="1"/>
  <c r="N86" i="1"/>
  <c r="BG87" i="1"/>
  <c r="CI88" i="1"/>
  <c r="R51" i="1"/>
  <c r="R87" i="1"/>
  <c r="V87" i="1"/>
  <c r="AF87" i="1"/>
  <c r="BK87" i="1"/>
  <c r="BU88" i="1"/>
  <c r="N51" i="1"/>
  <c r="N87" i="1"/>
  <c r="CA88" i="1"/>
  <c r="W71" i="1"/>
  <c r="W86" i="1"/>
  <c r="BW71" i="1"/>
  <c r="BW86" i="1"/>
  <c r="G71" i="1"/>
  <c r="G86" i="1"/>
  <c r="AI71" i="1"/>
  <c r="AI86" i="1"/>
  <c r="R71" i="1"/>
  <c r="R86" i="1"/>
  <c r="BT71" i="1"/>
  <c r="BT86" i="1"/>
  <c r="AS71" i="1"/>
  <c r="AS86" i="1"/>
  <c r="BH71" i="1"/>
  <c r="BH86" i="1"/>
  <c r="AN71" i="1"/>
  <c r="AN86" i="1"/>
  <c r="L71" i="1"/>
  <c r="L86" i="1"/>
  <c r="AK71" i="1"/>
  <c r="AK86" i="1"/>
  <c r="AD71" i="1"/>
  <c r="AD86" i="1"/>
  <c r="BD71" i="1"/>
  <c r="BD86" i="1"/>
  <c r="BU83" i="1"/>
  <c r="BV83" i="1"/>
  <c r="AJ71" i="1"/>
  <c r="AJ86" i="1"/>
  <c r="AU71" i="1"/>
  <c r="AU86" i="1"/>
  <c r="BI71" i="1"/>
  <c r="BI86" i="1"/>
  <c r="AI87" i="1"/>
  <c r="M87" i="1"/>
  <c r="AT71" i="1"/>
  <c r="AT86" i="1"/>
  <c r="BE87" i="1"/>
  <c r="AC88" i="1"/>
  <c r="CK87" i="1"/>
  <c r="AX87" i="1"/>
  <c r="CI87" i="1"/>
  <c r="I51" i="1"/>
  <c r="I87" i="1"/>
  <c r="AO87" i="1"/>
  <c r="AM87" i="1"/>
  <c r="J51" i="1"/>
  <c r="F87" i="1"/>
  <c r="AF88" i="1"/>
  <c r="BK88" i="1"/>
  <c r="BH88" i="1"/>
  <c r="BU87" i="1"/>
  <c r="BV87" i="1"/>
  <c r="BX87" i="1"/>
  <c r="N52" i="1"/>
  <c r="N88" i="1"/>
  <c r="AK88" i="1"/>
  <c r="BZ86" i="1"/>
  <c r="BR71" i="1"/>
  <c r="BR86" i="1"/>
  <c r="J88" i="1"/>
  <c r="CA71" i="1"/>
  <c r="CA86" i="1"/>
  <c r="BK71" i="1"/>
  <c r="BK86" i="1"/>
  <c r="Z71" i="1"/>
  <c r="Z86" i="1"/>
  <c r="AQ71" i="1"/>
  <c r="AQ86" i="1"/>
  <c r="CG71" i="1"/>
  <c r="CG86" i="1"/>
  <c r="P71" i="1"/>
  <c r="P86" i="1"/>
  <c r="BS71" i="1"/>
  <c r="BS86" i="1"/>
  <c r="BY71" i="1"/>
  <c r="BY86" i="1"/>
  <c r="BI83" i="1"/>
  <c r="BJ83" i="1"/>
  <c r="AU87" i="1"/>
  <c r="AS87" i="1"/>
  <c r="D88" i="1"/>
  <c r="AN88" i="1"/>
  <c r="CJ88" i="1"/>
  <c r="I88" i="1"/>
  <c r="AV88" i="1"/>
  <c r="BH87" i="1"/>
  <c r="BV88" i="1"/>
  <c r="CF88" i="1"/>
  <c r="AK87" i="1"/>
  <c r="BA71" i="1"/>
  <c r="BA86" i="1"/>
  <c r="BX71" i="1"/>
  <c r="BX86" i="1"/>
  <c r="CK71" i="1"/>
  <c r="CK86" i="1"/>
  <c r="S71" i="1"/>
  <c r="S86" i="1"/>
  <c r="BO71" i="1"/>
  <c r="BO86" i="1"/>
  <c r="AO71" i="1"/>
  <c r="AO86" i="1"/>
  <c r="X71" i="1"/>
  <c r="X86" i="1"/>
  <c r="T71" i="1"/>
  <c r="T86" i="1"/>
  <c r="AB71" i="1"/>
  <c r="AB86" i="1"/>
  <c r="CM62" i="1"/>
  <c r="CM59" i="51" s="1"/>
  <c r="CM77" i="1"/>
  <c r="BQ71" i="1"/>
  <c r="BQ86" i="1"/>
  <c r="AP71" i="1"/>
  <c r="AP86" i="1"/>
  <c r="I71" i="1"/>
  <c r="I86" i="1"/>
  <c r="AC71" i="1"/>
  <c r="AC86" i="1"/>
  <c r="BB71" i="1"/>
  <c r="BB86" i="1"/>
  <c r="BM71" i="1"/>
  <c r="BM86" i="1"/>
  <c r="U87" i="1"/>
  <c r="AE51" i="1"/>
  <c r="AE87" i="1"/>
  <c r="BD88" i="1"/>
  <c r="BN88" i="1"/>
  <c r="AS88" i="1"/>
  <c r="AJ88" i="1"/>
  <c r="BW51" i="1"/>
  <c r="BW87" i="1"/>
  <c r="BC87" i="1"/>
  <c r="P88" i="1"/>
  <c r="CJ51" i="1"/>
  <c r="CJ87" i="1"/>
  <c r="W88" i="1"/>
  <c r="AY88" i="1"/>
  <c r="AV87" i="1"/>
  <c r="BR88" i="1"/>
  <c r="CF87" i="1"/>
  <c r="AP88" i="1"/>
  <c r="AZ88" i="1"/>
  <c r="J86" i="1"/>
  <c r="CA87" i="1"/>
  <c r="CB71" i="1"/>
  <c r="CB86" i="1"/>
  <c r="CJ71" i="1"/>
  <c r="CJ86" i="1"/>
  <c r="AE71" i="1"/>
  <c r="AE86" i="1"/>
  <c r="BG71" i="1"/>
  <c r="BG86" i="1"/>
  <c r="Y71" i="1"/>
  <c r="Y86" i="1"/>
  <c r="D71" i="1"/>
  <c r="D86" i="1"/>
  <c r="AR71" i="1"/>
  <c r="AR86" i="1"/>
  <c r="CI71" i="1"/>
  <c r="CI86" i="1"/>
  <c r="U71" i="1"/>
  <c r="U86" i="1"/>
  <c r="BF71" i="1"/>
  <c r="BF86" i="1"/>
  <c r="CL62" i="1"/>
  <c r="CL77" i="1"/>
  <c r="AV71" i="1"/>
  <c r="AV86" i="1"/>
  <c r="BL71" i="1"/>
  <c r="BL86" i="1"/>
  <c r="AG71" i="1"/>
  <c r="AG86" i="1"/>
  <c r="V71" i="1"/>
  <c r="V86" i="1"/>
  <c r="U83" i="1"/>
  <c r="V83" i="1"/>
  <c r="CH87" i="1"/>
  <c r="BT87" i="1"/>
  <c r="CE51" i="1"/>
  <c r="CE87" i="1"/>
  <c r="O87" i="1"/>
  <c r="BN87" i="1"/>
  <c r="AT88" i="1"/>
  <c r="AJ87" i="1"/>
  <c r="P87" i="1"/>
  <c r="AD88" i="1"/>
  <c r="BP88" i="1"/>
  <c r="AA51" i="1"/>
  <c r="W87" i="1"/>
  <c r="BI87" i="1"/>
  <c r="BB88" i="1"/>
  <c r="AY87" i="1"/>
  <c r="X88" i="1"/>
  <c r="C87" i="1"/>
  <c r="S88" i="1"/>
  <c r="BR87" i="1"/>
  <c r="AG88" i="1"/>
  <c r="AP87" i="1"/>
  <c r="AZ87" i="1"/>
  <c r="E87" i="1"/>
  <c r="E88" i="1"/>
  <c r="J87" i="1"/>
  <c r="CK52" i="1"/>
  <c r="CZ59" i="1"/>
  <c r="CE52" i="1"/>
  <c r="AO51" i="1"/>
  <c r="BZ31" i="1"/>
  <c r="BZ71" i="1"/>
  <c r="BI68" i="1"/>
  <c r="U47" i="1"/>
  <c r="U68" i="1"/>
  <c r="BU47" i="1"/>
  <c r="BU68" i="1"/>
  <c r="BY68" i="1"/>
  <c r="N50" i="1"/>
  <c r="N71" i="1"/>
  <c r="BE51" i="1"/>
  <c r="AX51" i="1"/>
  <c r="BH52" i="1"/>
  <c r="P54" i="3"/>
  <c r="P55" i="3" s="1"/>
  <c r="M52" i="1"/>
  <c r="BC51" i="1"/>
  <c r="T51" i="1"/>
  <c r="BZ32" i="1"/>
  <c r="AN51" i="1"/>
  <c r="G51" i="1"/>
  <c r="CF51" i="1"/>
  <c r="AI51" i="1"/>
  <c r="M51" i="1"/>
  <c r="AQ51" i="1"/>
  <c r="Y51" i="1"/>
  <c r="BB51" i="1"/>
  <c r="G52" i="1"/>
  <c r="S51" i="1"/>
  <c r="BJ51" i="1"/>
  <c r="AG51" i="1"/>
  <c r="BL51" i="1"/>
  <c r="Y52" i="1"/>
  <c r="AR52" i="1"/>
  <c r="BZ51" i="1"/>
  <c r="BA51" i="1"/>
  <c r="BN52" i="1"/>
  <c r="I52" i="1"/>
  <c r="L51" i="1"/>
  <c r="DK8" i="1"/>
  <c r="DJ8" i="1"/>
  <c r="CH51" i="1"/>
  <c r="BO51" i="1"/>
  <c r="AS51" i="1"/>
  <c r="BS51" i="1"/>
  <c r="BP51" i="1"/>
  <c r="BM52" i="1"/>
  <c r="AV51" i="1"/>
  <c r="DD9" i="2"/>
  <c r="AJ51" i="1"/>
  <c r="AB51" i="1"/>
  <c r="W51" i="1"/>
  <c r="AY51" i="1"/>
  <c r="X52" i="1"/>
  <c r="CB51" i="1"/>
  <c r="BR51" i="1"/>
  <c r="AP51" i="1"/>
  <c r="CB31" i="1"/>
  <c r="CB32" i="1"/>
  <c r="H50" i="1"/>
  <c r="H31" i="1"/>
  <c r="H32" i="1"/>
  <c r="BN32" i="1"/>
  <c r="BN31" i="1"/>
  <c r="K31" i="1"/>
  <c r="K32" i="1"/>
  <c r="AG32" i="1"/>
  <c r="AG31" i="1"/>
  <c r="BX32" i="1"/>
  <c r="BX31" i="1"/>
  <c r="AM32" i="1"/>
  <c r="AM31" i="1"/>
  <c r="Q31" i="1"/>
  <c r="Q32" i="1"/>
  <c r="N50" i="3"/>
  <c r="C32" i="1"/>
  <c r="C31" i="1"/>
  <c r="D32" i="1"/>
  <c r="D31" i="1"/>
  <c r="L31" i="1"/>
  <c r="L32" i="1"/>
  <c r="AX31" i="1"/>
  <c r="AX32" i="1"/>
  <c r="CF32" i="1"/>
  <c r="CF31" i="1"/>
  <c r="AC32" i="1"/>
  <c r="AC31" i="1"/>
  <c r="AT32" i="1"/>
  <c r="AT31" i="1"/>
  <c r="BI51" i="1"/>
  <c r="R31" i="1"/>
  <c r="R32" i="1"/>
  <c r="AR31" i="1"/>
  <c r="AR32" i="1"/>
  <c r="X32" i="1"/>
  <c r="X31" i="1"/>
  <c r="BJ31" i="1"/>
  <c r="BJ32" i="1"/>
  <c r="BY32" i="1"/>
  <c r="BY31" i="1"/>
  <c r="Q51" i="1"/>
  <c r="K51" i="1"/>
  <c r="BW32" i="1"/>
  <c r="BW31" i="1"/>
  <c r="G31" i="1"/>
  <c r="G32" i="1"/>
  <c r="BC31" i="1"/>
  <c r="BC32" i="1"/>
  <c r="O50" i="1"/>
  <c r="O32" i="1"/>
  <c r="O31" i="1"/>
  <c r="BZ52" i="1"/>
  <c r="I54" i="3"/>
  <c r="I55" i="3" s="1"/>
  <c r="CD52" i="1"/>
  <c r="AS32" i="1"/>
  <c r="AS31" i="1"/>
  <c r="CE31" i="1"/>
  <c r="CE32" i="1"/>
  <c r="AZ32" i="1"/>
  <c r="AZ31" i="1"/>
  <c r="CI32" i="1"/>
  <c r="CI31" i="1"/>
  <c r="T31" i="1"/>
  <c r="T32" i="1"/>
  <c r="BK32" i="1"/>
  <c r="BK31" i="1"/>
  <c r="Z31" i="1"/>
  <c r="Z32" i="1"/>
  <c r="AD32" i="1"/>
  <c r="AD31" i="1"/>
  <c r="BD31" i="1"/>
  <c r="BD32" i="1"/>
  <c r="CH31" i="1"/>
  <c r="CH32" i="1"/>
  <c r="AJ31" i="1"/>
  <c r="AJ32" i="1"/>
  <c r="AH32" i="1"/>
  <c r="AH31" i="1"/>
  <c r="U51" i="1"/>
  <c r="CA51" i="1"/>
  <c r="BF51" i="1"/>
  <c r="N31" i="1"/>
  <c r="N32" i="1"/>
  <c r="BG51" i="1"/>
  <c r="BM51" i="1"/>
  <c r="V51" i="1"/>
  <c r="AF51" i="1"/>
  <c r="BK51" i="1"/>
  <c r="BY51" i="1"/>
  <c r="BU31" i="1"/>
  <c r="BU32" i="1"/>
  <c r="AP32" i="1"/>
  <c r="AP31" i="1"/>
  <c r="P51" i="1"/>
  <c r="AZ51" i="1"/>
  <c r="BO32" i="1"/>
  <c r="BO31" i="1"/>
  <c r="AO32" i="1"/>
  <c r="AO31" i="1"/>
  <c r="BT32" i="1"/>
  <c r="BT31" i="1"/>
  <c r="I50" i="3"/>
  <c r="AL31" i="1"/>
  <c r="AL32" i="1"/>
  <c r="V32" i="1"/>
  <c r="V31" i="1"/>
  <c r="AU51" i="1"/>
  <c r="BD51" i="1"/>
  <c r="AR51" i="1"/>
  <c r="AI31" i="1"/>
  <c r="AI32" i="1"/>
  <c r="CK32" i="1"/>
  <c r="CK31" i="1"/>
  <c r="BP31" i="1"/>
  <c r="BP32" i="1"/>
  <c r="AB32" i="1"/>
  <c r="AB31" i="1"/>
  <c r="BQ32" i="1"/>
  <c r="BQ31" i="1"/>
  <c r="AQ31" i="1"/>
  <c r="AQ32" i="1"/>
  <c r="CG31" i="1"/>
  <c r="CG32" i="1"/>
  <c r="P32" i="1"/>
  <c r="P31" i="1"/>
  <c r="BE32" i="1"/>
  <c r="BE31" i="1"/>
  <c r="H51" i="1"/>
  <c r="BT51" i="1"/>
  <c r="O51" i="1"/>
  <c r="BN51" i="1"/>
  <c r="AL51" i="1"/>
  <c r="CK51" i="1"/>
  <c r="CI51" i="1"/>
  <c r="AM51" i="1"/>
  <c r="F51" i="1"/>
  <c r="BU51" i="1"/>
  <c r="BV51" i="1"/>
  <c r="BX51" i="1"/>
  <c r="CD51" i="1"/>
  <c r="BH32" i="1"/>
  <c r="BH31" i="1"/>
  <c r="AN32" i="1"/>
  <c r="AN31" i="1"/>
  <c r="AW32" i="1"/>
  <c r="AW31" i="1"/>
  <c r="AY32" i="1"/>
  <c r="AY31" i="1"/>
  <c r="I50" i="1"/>
  <c r="I32" i="1"/>
  <c r="I31" i="1"/>
  <c r="BS31" i="1"/>
  <c r="BS32" i="1"/>
  <c r="BM32" i="1"/>
  <c r="BM31" i="1"/>
  <c r="BV31" i="1"/>
  <c r="BV32" i="1"/>
  <c r="AK31" i="1"/>
  <c r="AK32" i="1"/>
  <c r="F50" i="1"/>
  <c r="F31" i="1"/>
  <c r="F32" i="1"/>
  <c r="AD51" i="1"/>
  <c r="X51" i="1"/>
  <c r="W32" i="1"/>
  <c r="W31" i="1"/>
  <c r="BA31" i="1"/>
  <c r="BA32" i="1"/>
  <c r="M31" i="1"/>
  <c r="M32" i="1"/>
  <c r="CJ32" i="1"/>
  <c r="CJ31" i="1"/>
  <c r="AE32" i="1"/>
  <c r="AE31" i="1"/>
  <c r="BG32" i="1"/>
  <c r="BG31" i="1"/>
  <c r="S31" i="1"/>
  <c r="S32" i="1"/>
  <c r="CD32" i="1"/>
  <c r="CD31" i="1"/>
  <c r="Y31" i="1"/>
  <c r="Y32" i="1"/>
  <c r="U32" i="1"/>
  <c r="U31" i="1"/>
  <c r="BF32" i="1"/>
  <c r="BF31" i="1"/>
  <c r="AV32" i="1"/>
  <c r="AV31" i="1"/>
  <c r="BL32" i="1"/>
  <c r="BL31" i="1"/>
  <c r="B31" i="1"/>
  <c r="B32" i="1"/>
  <c r="AU32" i="1"/>
  <c r="AU31" i="1"/>
  <c r="BI31" i="1"/>
  <c r="BI32" i="1"/>
  <c r="AF31" i="1"/>
  <c r="AF32" i="1"/>
  <c r="BB31" i="1"/>
  <c r="BB32" i="1"/>
  <c r="AW51" i="1"/>
  <c r="BQ51" i="1"/>
  <c r="AT51" i="1"/>
  <c r="AC51" i="1"/>
  <c r="BH51" i="1"/>
  <c r="AK51" i="1"/>
  <c r="AL52" i="1"/>
  <c r="G50" i="1"/>
  <c r="BA52" i="1"/>
  <c r="AZ52" i="1"/>
  <c r="BP52" i="1"/>
  <c r="AY52" i="1"/>
  <c r="O52" i="1"/>
  <c r="BU52" i="1"/>
  <c r="AW52" i="1"/>
  <c r="M50" i="1"/>
  <c r="S50" i="1"/>
  <c r="W50" i="1"/>
  <c r="BX50" i="1"/>
  <c r="AM52" i="1"/>
  <c r="BT52" i="1"/>
  <c r="Q50" i="1"/>
  <c r="AE50" i="1"/>
  <c r="BV50" i="1"/>
  <c r="AW50" i="1"/>
  <c r="BP50" i="1"/>
  <c r="AX50" i="1"/>
  <c r="AV52" i="1"/>
  <c r="BK50" i="1"/>
  <c r="AQ50" i="1"/>
  <c r="BD50" i="1"/>
  <c r="AU52" i="1"/>
  <c r="Z52" i="1"/>
  <c r="AP50" i="1"/>
  <c r="BS52" i="1"/>
  <c r="V52" i="1"/>
  <c r="BE52" i="1"/>
  <c r="F52" i="1"/>
  <c r="BI47" i="1"/>
  <c r="BM47" i="1"/>
  <c r="AT50" i="1"/>
  <c r="BW50" i="1"/>
  <c r="W52" i="1"/>
  <c r="CJ50" i="1"/>
  <c r="BT50" i="1"/>
  <c r="BG50" i="1"/>
  <c r="CK50" i="1"/>
  <c r="BV52" i="1"/>
  <c r="CD50" i="1"/>
  <c r="CI52" i="1"/>
  <c r="X50" i="1"/>
  <c r="L52" i="1"/>
  <c r="U50" i="1"/>
  <c r="AV50" i="1"/>
  <c r="BK52" i="1"/>
  <c r="AG50" i="1"/>
  <c r="CF52" i="1"/>
  <c r="AJ52" i="1"/>
  <c r="AC52" i="1"/>
  <c r="AF50" i="1"/>
  <c r="BB50" i="1"/>
  <c r="AI50" i="1"/>
  <c r="BA50" i="1"/>
  <c r="BW52" i="1"/>
  <c r="BC52" i="1"/>
  <c r="AO50" i="1"/>
  <c r="R52" i="1"/>
  <c r="CJ52" i="1"/>
  <c r="Q52" i="1"/>
  <c r="AE52" i="1"/>
  <c r="S52" i="1"/>
  <c r="BN50" i="1"/>
  <c r="BH50" i="1"/>
  <c r="CI50" i="1"/>
  <c r="T50" i="1"/>
  <c r="L50" i="1"/>
  <c r="AB52" i="1"/>
  <c r="Z50" i="1"/>
  <c r="AF52" i="1"/>
  <c r="AQ52" i="1"/>
  <c r="BY52" i="1"/>
  <c r="AP52" i="1"/>
  <c r="AU50" i="1"/>
  <c r="V50" i="1"/>
  <c r="AT52" i="1"/>
  <c r="AS50" i="1"/>
  <c r="AN50" i="1"/>
  <c r="BQ52" i="1"/>
  <c r="CM41" i="1"/>
  <c r="BQ50" i="1"/>
  <c r="P52" i="1"/>
  <c r="BJ50" i="1"/>
  <c r="CF50" i="1"/>
  <c r="BL52" i="1"/>
  <c r="AH50" i="1"/>
  <c r="AH52" i="1"/>
  <c r="BS50" i="1"/>
  <c r="BD52" i="1"/>
  <c r="BR50" i="1"/>
  <c r="AA52" i="1"/>
  <c r="BY47" i="1"/>
  <c r="CC47" i="1"/>
  <c r="CB52" i="1"/>
  <c r="BG52" i="1"/>
  <c r="CB50" i="1"/>
  <c r="BC50" i="1"/>
  <c r="BO50" i="1"/>
  <c r="R50" i="1"/>
  <c r="AM50" i="1"/>
  <c r="BU50" i="1"/>
  <c r="K50" i="1"/>
  <c r="Y50" i="1"/>
  <c r="U52" i="1"/>
  <c r="AZ50" i="1"/>
  <c r="AN52" i="1"/>
  <c r="T52" i="1"/>
  <c r="AK50" i="1"/>
  <c r="AD52" i="1"/>
  <c r="BF52" i="1"/>
  <c r="AY50" i="1"/>
  <c r="BL50" i="1"/>
  <c r="AL50" i="1"/>
  <c r="CH50" i="1"/>
  <c r="AC50" i="1"/>
  <c r="BE50" i="1"/>
  <c r="BZ50" i="1"/>
  <c r="AA50" i="1"/>
  <c r="BR52" i="1"/>
  <c r="CA50" i="1"/>
  <c r="AI52" i="1"/>
  <c r="BO52" i="1"/>
  <c r="BX52" i="1"/>
  <c r="AO52" i="1"/>
  <c r="K52" i="1"/>
  <c r="AS52" i="1"/>
  <c r="CE50" i="1"/>
  <c r="AR50" i="1"/>
  <c r="AK52" i="1"/>
  <c r="BF50" i="1"/>
  <c r="CL41" i="1"/>
  <c r="AB50" i="1"/>
  <c r="AD50" i="1"/>
  <c r="CH52" i="1"/>
  <c r="P50" i="1"/>
  <c r="AJ50" i="1"/>
  <c r="BB52" i="1"/>
  <c r="BI52" i="1"/>
  <c r="BI50" i="1"/>
  <c r="BY50" i="1"/>
  <c r="AG52" i="1"/>
  <c r="J50" i="1"/>
  <c r="J52" i="1"/>
  <c r="BJ52" i="1"/>
  <c r="CA52" i="1"/>
  <c r="BM50" i="1"/>
  <c r="GC28" i="1"/>
  <c r="FC28" i="1"/>
  <c r="R279" i="119" s="1"/>
  <c r="R210" i="30" s="1"/>
  <c r="B50" i="3"/>
  <c r="B51" i="3" s="1"/>
  <c r="EN51" i="3" s="1"/>
  <c r="B54" i="3"/>
  <c r="B55" i="3" s="1"/>
  <c r="DG9" i="2"/>
  <c r="EN30" i="1"/>
  <c r="E15" i="114" s="1"/>
  <c r="FZ28" i="1"/>
  <c r="CW25" i="51"/>
  <c r="F54" i="3"/>
  <c r="F55" i="3" s="1"/>
  <c r="CY22" i="51"/>
  <c r="FX35" i="3"/>
  <c r="CV43" i="2"/>
  <c r="CW41" i="2"/>
  <c r="CW21" i="51"/>
  <c r="DF9" i="2"/>
  <c r="CQ53" i="51"/>
  <c r="CR53" i="51"/>
  <c r="CV25" i="51"/>
  <c r="CH11" i="3"/>
  <c r="CS53" i="51"/>
  <c r="BE25" i="3"/>
  <c r="BY96" i="119" s="1"/>
  <c r="AZ87" i="30" s="1"/>
  <c r="FM42" i="2"/>
  <c r="DE42" i="2"/>
  <c r="DF42" i="2" s="1"/>
  <c r="DG42" i="2" s="1"/>
  <c r="DH42" i="2" s="1"/>
  <c r="DI42" i="2" s="1"/>
  <c r="DJ42" i="2" s="1"/>
  <c r="DK42" i="2" s="1"/>
  <c r="DL42" i="2" s="1"/>
  <c r="DM42" i="2" s="1"/>
  <c r="DN42" i="2" s="1"/>
  <c r="DO42" i="2" s="1"/>
  <c r="DP42" i="2" s="1"/>
  <c r="CM15" i="1"/>
  <c r="CM68" i="2"/>
  <c r="CS58" i="51"/>
  <c r="GA28" i="1"/>
  <c r="CU12" i="51"/>
  <c r="FE54" i="3"/>
  <c r="FE55" i="3" s="1"/>
  <c r="FE50" i="3"/>
  <c r="S108" i="119" s="1"/>
  <c r="S98" i="30" s="1"/>
  <c r="CR36" i="51"/>
  <c r="FP130" i="51" s="1"/>
  <c r="FH28" i="1"/>
  <c r="W279" i="119" s="1"/>
  <c r="W210" i="30" s="1"/>
  <c r="GQ28" i="1"/>
  <c r="CU101" i="92"/>
  <c r="GO28" i="1"/>
  <c r="GL28" i="1"/>
  <c r="CQ58" i="51"/>
  <c r="FK44" i="3"/>
  <c r="Y104" i="119" s="1"/>
  <c r="CJ24" i="51"/>
  <c r="CJ35" i="51"/>
  <c r="CJ44" i="51"/>
  <c r="CT21" i="51"/>
  <c r="GR11" i="1"/>
  <c r="CL68" i="2"/>
  <c r="FD28" i="1"/>
  <c r="S279" i="119" s="1"/>
  <c r="S210" i="30" s="1"/>
  <c r="ET11" i="3"/>
  <c r="EZ35" i="3"/>
  <c r="N101" i="119" s="1"/>
  <c r="N92" i="30" s="1"/>
  <c r="EX28" i="1"/>
  <c r="M279" i="119" s="1"/>
  <c r="M210" i="30" s="1"/>
  <c r="CL15" i="1"/>
  <c r="GU22" i="51"/>
  <c r="FJ22" i="51"/>
  <c r="CR25" i="51"/>
  <c r="CU16" i="51"/>
  <c r="CQ25" i="51"/>
  <c r="CS36" i="51"/>
  <c r="FQ130" i="51" s="1"/>
  <c r="CS25" i="51"/>
  <c r="CP16" i="51"/>
  <c r="CU33" i="51"/>
  <c r="FU96" i="51" s="1"/>
  <c r="CU22" i="51"/>
  <c r="EO28" i="1"/>
  <c r="EX11" i="3"/>
  <c r="FX28" i="1"/>
  <c r="L50" i="3"/>
  <c r="L54" i="3"/>
  <c r="L55" i="3" s="1"/>
  <c r="FA28" i="1"/>
  <c r="P279" i="119" s="1"/>
  <c r="P210" i="30" s="1"/>
  <c r="GH28" i="1"/>
  <c r="EV28" i="1"/>
  <c r="K279" i="119" s="1"/>
  <c r="K210" i="30" s="1"/>
  <c r="FG28" i="1"/>
  <c r="V279" i="119" s="1"/>
  <c r="V210" i="30" s="1"/>
  <c r="GD28" i="1"/>
  <c r="ER28" i="1"/>
  <c r="G279" i="119" s="1"/>
  <c r="G210" i="30" s="1"/>
  <c r="EP28" i="1"/>
  <c r="GB28" i="1"/>
  <c r="D54" i="3"/>
  <c r="D55" i="3" s="1"/>
  <c r="D50" i="3"/>
  <c r="ER48" i="3"/>
  <c r="F107" i="119" s="1"/>
  <c r="F97" i="30" s="1"/>
  <c r="ER35" i="3"/>
  <c r="F101" i="119" s="1"/>
  <c r="F92" i="30" s="1"/>
  <c r="EY11" i="3"/>
  <c r="EN11" i="3"/>
  <c r="EN25" i="3" s="1"/>
  <c r="EN54" i="3" s="1"/>
  <c r="EN55" i="3" s="1"/>
  <c r="FJ12" i="51"/>
  <c r="FJ64" i="51" s="1"/>
  <c r="CS32" i="51"/>
  <c r="FQ112" i="51" s="1"/>
  <c r="GU12" i="51"/>
  <c r="CS21" i="51"/>
  <c r="CT32" i="51"/>
  <c r="FN113" i="51" s="1"/>
  <c r="K50" i="3"/>
  <c r="K54" i="3"/>
  <c r="K55" i="3" s="1"/>
  <c r="C54" i="3"/>
  <c r="C55" i="3" s="1"/>
  <c r="C50" i="3"/>
  <c r="C52" i="3" s="1"/>
  <c r="CQ92" i="2"/>
  <c r="DK50" i="119" s="1"/>
  <c r="CP91" i="2"/>
  <c r="DJ49" i="119" s="1"/>
  <c r="FK12" i="2"/>
  <c r="E54" i="3"/>
  <c r="E55" i="3" s="1"/>
  <c r="E50" i="3"/>
  <c r="GE28" i="1"/>
  <c r="EM30" i="1"/>
  <c r="D15" i="114" s="1"/>
  <c r="D31" i="114" s="1"/>
  <c r="EM28" i="1"/>
  <c r="GF28" i="1"/>
  <c r="GN28" i="1"/>
  <c r="EZ28" i="1"/>
  <c r="O279" i="119" s="1"/>
  <c r="O210" i="30" s="1"/>
  <c r="EW28" i="1"/>
  <c r="L279" i="119" s="1"/>
  <c r="L210" i="30" s="1"/>
  <c r="BU50" i="3"/>
  <c r="CO108" i="119" s="1"/>
  <c r="BP98" i="30" s="1"/>
  <c r="BU54" i="3"/>
  <c r="BY55" i="3"/>
  <c r="BT55" i="3"/>
  <c r="FH54" i="3"/>
  <c r="FH65" i="3" s="1"/>
  <c r="FH50" i="3"/>
  <c r="BP55" i="3"/>
  <c r="CG55" i="3"/>
  <c r="FB54" i="3"/>
  <c r="FB55" i="3" s="1"/>
  <c r="FB50" i="3"/>
  <c r="P108" i="119" s="1"/>
  <c r="P98" i="30" s="1"/>
  <c r="FF54" i="3"/>
  <c r="FF65" i="3" s="1"/>
  <c r="FF50" i="3"/>
  <c r="T108" i="119" s="1"/>
  <c r="T98" i="30" s="1"/>
  <c r="CF55" i="3"/>
  <c r="FY28" i="1"/>
  <c r="FB28" i="1"/>
  <c r="Q279" i="119" s="1"/>
  <c r="Q210" i="30" s="1"/>
  <c r="GM28" i="1"/>
  <c r="FE28" i="1"/>
  <c r="T279" i="119" s="1"/>
  <c r="T210" i="30" s="1"/>
  <c r="Q50" i="3"/>
  <c r="Q54" i="3"/>
  <c r="Q55" i="3" s="1"/>
  <c r="M25" i="3"/>
  <c r="EP11" i="3"/>
  <c r="EP25" i="3" s="1"/>
  <c r="ES28" i="1"/>
  <c r="H279" i="119" s="1"/>
  <c r="H210" i="30" s="1"/>
  <c r="H50" i="3"/>
  <c r="H54" i="3"/>
  <c r="H55" i="3" s="1"/>
  <c r="EQ28" i="1"/>
  <c r="F279" i="119" s="1"/>
  <c r="F210" i="30" s="1"/>
  <c r="G25" i="3"/>
  <c r="EO11" i="3"/>
  <c r="EO25" i="3" s="1"/>
  <c r="AI25" i="3"/>
  <c r="BC96" i="119" s="1"/>
  <c r="AD87" i="30" s="1"/>
  <c r="EV11" i="3"/>
  <c r="W25" i="3"/>
  <c r="AQ96" i="119" s="1"/>
  <c r="ES11" i="3"/>
  <c r="BA25" i="3"/>
  <c r="BU96" i="119" s="1"/>
  <c r="AV87" i="30" s="1"/>
  <c r="EZ11" i="3"/>
  <c r="R25" i="3"/>
  <c r="AL96" i="119" s="1"/>
  <c r="ER11" i="3"/>
  <c r="ET28" i="1"/>
  <c r="I279" i="119" s="1"/>
  <c r="I210" i="30" s="1"/>
  <c r="AE25" i="3"/>
  <c r="AY96" i="119" s="1"/>
  <c r="Z87" i="30" s="1"/>
  <c r="EU11" i="3"/>
  <c r="AM25" i="3"/>
  <c r="BG96" i="119" s="1"/>
  <c r="AH87" i="30" s="1"/>
  <c r="EW11" i="3"/>
  <c r="GJ28" i="1"/>
  <c r="EU28" i="1"/>
  <c r="J279" i="119" s="1"/>
  <c r="J210" i="30" s="1"/>
  <c r="O25" i="3"/>
  <c r="EQ11" i="3"/>
  <c r="EQ25" i="3" s="1"/>
  <c r="CN11" i="51"/>
  <c r="CS93" i="2"/>
  <c r="FK93" i="2" s="1"/>
  <c r="FK23" i="2"/>
  <c r="Y51" i="119" s="1"/>
  <c r="FL22" i="2"/>
  <c r="CT100" i="92"/>
  <c r="FK34" i="2"/>
  <c r="Y57" i="119" s="1"/>
  <c r="FK20" i="2"/>
  <c r="Y53" i="119" s="1"/>
  <c r="FK38" i="2"/>
  <c r="Y61" i="119" s="1"/>
  <c r="CS57" i="2"/>
  <c r="FK41" i="2"/>
  <c r="BV212" i="30" l="1"/>
  <c r="FW71" i="1"/>
  <c r="BY210" i="30"/>
  <c r="CX282" i="119"/>
  <c r="BY213" i="30" s="1"/>
  <c r="DB260" i="119"/>
  <c r="CC193" i="30" s="1"/>
  <c r="DA283" i="119"/>
  <c r="CB214" i="30" s="1"/>
  <c r="DA282" i="119"/>
  <c r="CB213" i="30" s="1"/>
  <c r="CA210" i="30"/>
  <c r="CU283" i="119"/>
  <c r="BV214" i="30" s="1"/>
  <c r="DQ42" i="2"/>
  <c r="DR42" i="2" s="1"/>
  <c r="DS42" i="2" s="1"/>
  <c r="DT42" i="2" s="1"/>
  <c r="DU42" i="2" s="1"/>
  <c r="DV42" i="2" s="1"/>
  <c r="DW42" i="2" s="1"/>
  <c r="DX42" i="2" s="1"/>
  <c r="DY42" i="2" s="1"/>
  <c r="DZ42" i="2" s="1"/>
  <c r="EA42" i="2" s="1"/>
  <c r="EB42" i="2" s="1"/>
  <c r="EC42" i="2" s="1"/>
  <c r="ED42" i="2" s="1"/>
  <c r="EE42" i="2" s="1"/>
  <c r="EF42" i="2" s="1"/>
  <c r="EG42" i="2" s="1"/>
  <c r="EH42" i="2" s="1"/>
  <c r="EI42" i="2" s="1"/>
  <c r="EJ42" i="2" s="1"/>
  <c r="EK42" i="2" s="1"/>
  <c r="BV210" i="30"/>
  <c r="CB20" i="30"/>
  <c r="BX20" i="30"/>
  <c r="DC260" i="119"/>
  <c r="CD193" i="30" s="1"/>
  <c r="CA212" i="30"/>
  <c r="CF20" i="30"/>
  <c r="BY212" i="30"/>
  <c r="CV283" i="119"/>
  <c r="BW214" i="30" s="1"/>
  <c r="BZ210" i="30"/>
  <c r="DD260" i="119"/>
  <c r="CE193" i="30" s="1"/>
  <c r="CV260" i="119"/>
  <c r="BW193" i="30" s="1"/>
  <c r="CY282" i="119"/>
  <c r="BZ213" i="30" s="1"/>
  <c r="CB212" i="30"/>
  <c r="DE260" i="119"/>
  <c r="CF193" i="30" s="1"/>
  <c r="BW210" i="30"/>
  <c r="CZ282" i="119"/>
  <c r="CA213" i="30" s="1"/>
  <c r="CY260" i="119"/>
  <c r="BZ193" i="30" s="1"/>
  <c r="CP67" i="51"/>
  <c r="CU67" i="51"/>
  <c r="FD65" i="3"/>
  <c r="FG65" i="3"/>
  <c r="FE65" i="3"/>
  <c r="CL59" i="51"/>
  <c r="DL8" i="1"/>
  <c r="DF67" i="3"/>
  <c r="DD67" i="3"/>
  <c r="AN50" i="3"/>
  <c r="BH108" i="119" s="1"/>
  <c r="AI98" i="30" s="1"/>
  <c r="U54" i="3"/>
  <c r="U55" i="3" s="1"/>
  <c r="AA54" i="3"/>
  <c r="AA55" i="3" s="1"/>
  <c r="AT54" i="3"/>
  <c r="AT55" i="3" s="1"/>
  <c r="AT50" i="3"/>
  <c r="BN108" i="119" s="1"/>
  <c r="AO98" i="30" s="1"/>
  <c r="AN54" i="3"/>
  <c r="AN55" i="3" s="1"/>
  <c r="U50" i="3"/>
  <c r="AO108" i="119" s="1"/>
  <c r="AF54" i="3"/>
  <c r="AF55" i="3" s="1"/>
  <c r="AF50" i="3"/>
  <c r="AZ108" i="119" s="1"/>
  <c r="AA98" i="30" s="1"/>
  <c r="X50" i="3"/>
  <c r="AR108" i="119" s="1"/>
  <c r="AK50" i="3"/>
  <c r="BE108" i="119" s="1"/>
  <c r="AF98" i="30" s="1"/>
  <c r="AO54" i="3"/>
  <c r="AO55" i="3" s="1"/>
  <c r="AO50" i="3"/>
  <c r="BI108" i="119" s="1"/>
  <c r="AJ98" i="30" s="1"/>
  <c r="AG50" i="3"/>
  <c r="BA108" i="119" s="1"/>
  <c r="AB98" i="30" s="1"/>
  <c r="AK54" i="3"/>
  <c r="AK55" i="3" s="1"/>
  <c r="AA50" i="3"/>
  <c r="AU108" i="119" s="1"/>
  <c r="Z50" i="3"/>
  <c r="AT108" i="119" s="1"/>
  <c r="X54" i="3"/>
  <c r="X55" i="3" s="1"/>
  <c r="AG54" i="3"/>
  <c r="AG55" i="3" s="1"/>
  <c r="Z54" i="3"/>
  <c r="Z55" i="3" s="1"/>
  <c r="AW50" i="3"/>
  <c r="BQ108" i="119" s="1"/>
  <c r="AR98" i="30" s="1"/>
  <c r="AY50" i="3"/>
  <c r="BS108" i="119" s="1"/>
  <c r="AT98" i="30" s="1"/>
  <c r="GI52" i="1"/>
  <c r="AW54" i="3"/>
  <c r="AW55" i="3" s="1"/>
  <c r="T54" i="3"/>
  <c r="T55" i="3" s="1"/>
  <c r="AY54" i="3"/>
  <c r="AY55" i="3" s="1"/>
  <c r="T50" i="3"/>
  <c r="AN108" i="119" s="1"/>
  <c r="AU54" i="3"/>
  <c r="AU55" i="3" s="1"/>
  <c r="S54" i="3"/>
  <c r="S55" i="3" s="1"/>
  <c r="AX50" i="3"/>
  <c r="BR108" i="119" s="1"/>
  <c r="AS98" i="30" s="1"/>
  <c r="S50" i="3"/>
  <c r="AM108" i="119" s="1"/>
  <c r="AX54" i="3"/>
  <c r="AX55" i="3" s="1"/>
  <c r="AJ54" i="3"/>
  <c r="AJ55" i="3" s="1"/>
  <c r="AQ50" i="3"/>
  <c r="BK108" i="119" s="1"/>
  <c r="AL98" i="30" s="1"/>
  <c r="AJ50" i="3"/>
  <c r="BD108" i="119" s="1"/>
  <c r="AE98" i="30" s="1"/>
  <c r="AQ54" i="3"/>
  <c r="AQ55" i="3" s="1"/>
  <c r="ER25" i="3"/>
  <c r="F96" i="119" s="1"/>
  <c r="F87" i="30" s="1"/>
  <c r="F305" i="119"/>
  <c r="F236" i="30" s="1"/>
  <c r="DF23" i="119"/>
  <c r="DF268" i="119" s="1"/>
  <c r="V208" i="30"/>
  <c r="V267" i="119"/>
  <c r="V198" i="30" s="1"/>
  <c r="AL54" i="3"/>
  <c r="AL55" i="3" s="1"/>
  <c r="BF96" i="119"/>
  <c r="AG87" i="30" s="1"/>
  <c r="Q15" i="114"/>
  <c r="Q31" i="114" s="1"/>
  <c r="O281" i="119"/>
  <c r="L15" i="114"/>
  <c r="L31" i="114" s="1"/>
  <c r="J281" i="119"/>
  <c r="J208" i="30"/>
  <c r="J267" i="119"/>
  <c r="J198" i="30" s="1"/>
  <c r="EZ25" i="3"/>
  <c r="N96" i="119" s="1"/>
  <c r="N87" i="30" s="1"/>
  <c r="N305" i="119"/>
  <c r="N236" i="30" s="1"/>
  <c r="AV50" i="3"/>
  <c r="BP108" i="119" s="1"/>
  <c r="AQ98" i="30" s="1"/>
  <c r="Y54" i="3"/>
  <c r="Y55" i="3" s="1"/>
  <c r="AZ50" i="3"/>
  <c r="BT108" i="119" s="1"/>
  <c r="AU98" i="30" s="1"/>
  <c r="EX25" i="3"/>
  <c r="L96" i="119" s="1"/>
  <c r="L87" i="30" s="1"/>
  <c r="L305" i="119"/>
  <c r="L236" i="30" s="1"/>
  <c r="AU50" i="3"/>
  <c r="BO108" i="119" s="1"/>
  <c r="AP98" i="30" s="1"/>
  <c r="CH25" i="3"/>
  <c r="DB96" i="119" s="1"/>
  <c r="CC87" i="30" s="1"/>
  <c r="DB305" i="119"/>
  <c r="CC236" i="30" s="1"/>
  <c r="AH54" i="3"/>
  <c r="AH55" i="3" s="1"/>
  <c r="R212" i="30"/>
  <c r="R260" i="119"/>
  <c r="R193" i="30" s="1"/>
  <c r="J15" i="114"/>
  <c r="H281" i="119"/>
  <c r="S208" i="30"/>
  <c r="S267" i="119"/>
  <c r="S198" i="30" s="1"/>
  <c r="DE282" i="119"/>
  <c r="CF213" i="30" s="1"/>
  <c r="CF210" i="30"/>
  <c r="DE283" i="119"/>
  <c r="CF214" i="30" s="1"/>
  <c r="T208" i="30"/>
  <c r="T267" i="119"/>
  <c r="T198" i="30" s="1"/>
  <c r="P208" i="30"/>
  <c r="P267" i="119"/>
  <c r="P198" i="30" s="1"/>
  <c r="DC282" i="119"/>
  <c r="CD213" i="30" s="1"/>
  <c r="CD210" i="30"/>
  <c r="DC283" i="119"/>
  <c r="CD214" i="30" s="1"/>
  <c r="O208" i="30"/>
  <c r="O267" i="119"/>
  <c r="O198" i="30" s="1"/>
  <c r="BI259" i="119"/>
  <c r="AJ192" i="30" s="1"/>
  <c r="AJ20" i="30"/>
  <c r="AU282" i="119"/>
  <c r="AU283" i="119"/>
  <c r="K208" i="30"/>
  <c r="K267" i="119"/>
  <c r="K198" i="30" s="1"/>
  <c r="EV25" i="3"/>
  <c r="J96" i="119" s="1"/>
  <c r="J87" i="30" s="1"/>
  <c r="J305" i="119"/>
  <c r="J236" i="30" s="1"/>
  <c r="EY25" i="3"/>
  <c r="M96" i="119" s="1"/>
  <c r="M87" i="30" s="1"/>
  <c r="M305" i="119"/>
  <c r="M236" i="30" s="1"/>
  <c r="W212" i="30"/>
  <c r="W260" i="119"/>
  <c r="W193" i="30" s="1"/>
  <c r="AV54" i="3"/>
  <c r="AV55" i="3" s="1"/>
  <c r="Y50" i="3"/>
  <c r="AS108" i="119" s="1"/>
  <c r="AZ54" i="3"/>
  <c r="AZ55" i="3" s="1"/>
  <c r="AD50" i="3"/>
  <c r="AX108" i="119" s="1"/>
  <c r="Y98" i="30" s="1"/>
  <c r="AB54" i="3"/>
  <c r="AB55" i="3" s="1"/>
  <c r="DG23" i="119"/>
  <c r="DG268" i="119" s="1"/>
  <c r="AC50" i="3"/>
  <c r="AW108" i="119" s="1"/>
  <c r="AH50" i="3"/>
  <c r="BB108" i="119" s="1"/>
  <c r="AC98" i="30" s="1"/>
  <c r="R132" i="1"/>
  <c r="AL283" i="119"/>
  <c r="O15" i="114"/>
  <c r="M281" i="119"/>
  <c r="P15" i="114"/>
  <c r="P31" i="114" s="1"/>
  <c r="N281" i="119"/>
  <c r="U15" i="114"/>
  <c r="U31" i="114" s="1"/>
  <c r="S281" i="119"/>
  <c r="Q212" i="30"/>
  <c r="Q260" i="119"/>
  <c r="Q193" i="30" s="1"/>
  <c r="AR50" i="3"/>
  <c r="BL108" i="119" s="1"/>
  <c r="AM98" i="30" s="1"/>
  <c r="BL96" i="119"/>
  <c r="AM87" i="30" s="1"/>
  <c r="N208" i="30"/>
  <c r="N267" i="119"/>
  <c r="N198" i="30" s="1"/>
  <c r="Q208" i="30"/>
  <c r="Q267" i="119"/>
  <c r="Q198" i="30" s="1"/>
  <c r="DD282" i="119"/>
  <c r="CE213" i="30" s="1"/>
  <c r="CE210" i="30"/>
  <c r="DD283" i="119"/>
  <c r="CE214" i="30" s="1"/>
  <c r="DB283" i="119"/>
  <c r="CC214" i="30" s="1"/>
  <c r="CC210" i="30"/>
  <c r="DB282" i="119"/>
  <c r="CC213" i="30" s="1"/>
  <c r="G267" i="119"/>
  <c r="G198" i="30" s="1"/>
  <c r="G208" i="30"/>
  <c r="N15" i="114"/>
  <c r="L281" i="119"/>
  <c r="V15" i="114"/>
  <c r="V31" i="114" s="1"/>
  <c r="T281" i="119"/>
  <c r="V50" i="3"/>
  <c r="AP108" i="119" s="1"/>
  <c r="AP96" i="119"/>
  <c r="I208" i="30"/>
  <c r="I267" i="119"/>
  <c r="I198" i="30" s="1"/>
  <c r="H208" i="30"/>
  <c r="H267" i="119"/>
  <c r="H198" i="30" s="1"/>
  <c r="AP54" i="3"/>
  <c r="AP55" i="3" s="1"/>
  <c r="BJ96" i="119"/>
  <c r="AK87" i="30" s="1"/>
  <c r="AS54" i="3"/>
  <c r="AS55" i="3" s="1"/>
  <c r="AD54" i="3"/>
  <c r="AD55" i="3" s="1"/>
  <c r="AB50" i="3"/>
  <c r="AV108" i="119" s="1"/>
  <c r="R131" i="1"/>
  <c r="AL282" i="119"/>
  <c r="M15" i="114"/>
  <c r="K281" i="119"/>
  <c r="X15" i="114"/>
  <c r="X31" i="114" s="1"/>
  <c r="V281" i="119"/>
  <c r="K15" i="114"/>
  <c r="K31" i="114" s="1"/>
  <c r="I281" i="119"/>
  <c r="W208" i="30"/>
  <c r="W267" i="119"/>
  <c r="W198" i="30" s="1"/>
  <c r="R208" i="30"/>
  <c r="R267" i="119"/>
  <c r="R198" i="30" s="1"/>
  <c r="L208" i="30"/>
  <c r="L267" i="119"/>
  <c r="L198" i="30" s="1"/>
  <c r="CN62" i="51"/>
  <c r="EU25" i="3"/>
  <c r="I96" i="119" s="1"/>
  <c r="I87" i="30" s="1"/>
  <c r="I305" i="119"/>
  <c r="I236" i="30" s="1"/>
  <c r="AC54" i="3"/>
  <c r="AC55" i="3" s="1"/>
  <c r="H15" i="114"/>
  <c r="H17" i="114" s="1"/>
  <c r="F281" i="119"/>
  <c r="ES25" i="3"/>
  <c r="G96" i="119" s="1"/>
  <c r="G87" i="30" s="1"/>
  <c r="G305" i="119"/>
  <c r="G236" i="30" s="1"/>
  <c r="EW25" i="3"/>
  <c r="K96" i="119" s="1"/>
  <c r="K87" i="30" s="1"/>
  <c r="K305" i="119"/>
  <c r="K236" i="30" s="1"/>
  <c r="AS50" i="3"/>
  <c r="BM108" i="119" s="1"/>
  <c r="AN98" i="30" s="1"/>
  <c r="ET25" i="3"/>
  <c r="H96" i="119" s="1"/>
  <c r="H87" i="30" s="1"/>
  <c r="H305" i="119"/>
  <c r="H236" i="30" s="1"/>
  <c r="CU64" i="51"/>
  <c r="AP50" i="3"/>
  <c r="BJ108" i="119" s="1"/>
  <c r="AK98" i="30" s="1"/>
  <c r="I15" i="114"/>
  <c r="G281" i="119"/>
  <c r="R15" i="114"/>
  <c r="P281" i="119"/>
  <c r="V259" i="119"/>
  <c r="V192" i="30" s="1"/>
  <c r="V20" i="30"/>
  <c r="W259" i="119"/>
  <c r="W192" i="30" s="1"/>
  <c r="W20" i="30"/>
  <c r="M208" i="30"/>
  <c r="M267" i="119"/>
  <c r="M198" i="30" s="1"/>
  <c r="F267" i="119"/>
  <c r="F198" i="30" s="1"/>
  <c r="F208" i="30"/>
  <c r="Y87" i="119"/>
  <c r="Y81" i="119"/>
  <c r="EF53" i="119"/>
  <c r="EF81" i="119"/>
  <c r="FW31" i="1"/>
  <c r="DY38" i="1"/>
  <c r="DY10" i="92"/>
  <c r="DY9" i="2"/>
  <c r="DY9" i="3"/>
  <c r="DY67" i="3" s="1"/>
  <c r="EC8" i="1"/>
  <c r="DY9" i="112"/>
  <c r="DE8" i="6"/>
  <c r="DY9" i="51"/>
  <c r="DY9" i="113"/>
  <c r="BQ131" i="1"/>
  <c r="AB131" i="1"/>
  <c r="AA131" i="1"/>
  <c r="AI132" i="1"/>
  <c r="X23" i="114"/>
  <c r="FH75" i="2"/>
  <c r="FH74" i="2"/>
  <c r="FH73" i="2"/>
  <c r="FH72" i="2"/>
  <c r="FI74" i="2"/>
  <c r="FI72" i="2"/>
  <c r="FI75" i="2"/>
  <c r="FI73" i="2"/>
  <c r="DH9" i="2"/>
  <c r="DJ9" i="113"/>
  <c r="DJ38" i="1"/>
  <c r="DJ9" i="51"/>
  <c r="AA6" i="115" s="1"/>
  <c r="DJ10" i="92"/>
  <c r="DJ9" i="3"/>
  <c r="DJ67" i="3" s="1"/>
  <c r="DJ9" i="112"/>
  <c r="DU38" i="1"/>
  <c r="DU9" i="51"/>
  <c r="DU9" i="112"/>
  <c r="DU10" i="92"/>
  <c r="DU9" i="3"/>
  <c r="DU67" i="3" s="1"/>
  <c r="DU9" i="113"/>
  <c r="DH10" i="92"/>
  <c r="DH9" i="113"/>
  <c r="DH38" i="1"/>
  <c r="DH9" i="51"/>
  <c r="CN8" i="6"/>
  <c r="DH9" i="3"/>
  <c r="DH9" i="112"/>
  <c r="DK38" i="1"/>
  <c r="DK9" i="51"/>
  <c r="DK9" i="112"/>
  <c r="DK9" i="113"/>
  <c r="DK10" i="92"/>
  <c r="DK9" i="3"/>
  <c r="DK67" i="3" s="1"/>
  <c r="DG74" i="1"/>
  <c r="DG59" i="1"/>
  <c r="DG95" i="1"/>
  <c r="DG116" i="1"/>
  <c r="DF74" i="1"/>
  <c r="DF116" i="1"/>
  <c r="DF95" i="1"/>
  <c r="DF59" i="1"/>
  <c r="DD116" i="1"/>
  <c r="DD74" i="1"/>
  <c r="DD59" i="1"/>
  <c r="DD95" i="1"/>
  <c r="AB132" i="1"/>
  <c r="DQ10" i="92"/>
  <c r="DQ9" i="113"/>
  <c r="DQ9" i="112"/>
  <c r="DQ38" i="1"/>
  <c r="DQ9" i="51"/>
  <c r="DQ9" i="3"/>
  <c r="DQ67" i="3" s="1"/>
  <c r="DM116" i="1"/>
  <c r="DM59" i="1"/>
  <c r="DM74" i="1"/>
  <c r="DM95" i="1"/>
  <c r="S132" i="1"/>
  <c r="AD132" i="1"/>
  <c r="K132" i="1"/>
  <c r="K131" i="1"/>
  <c r="J131" i="1"/>
  <c r="CQ8" i="6"/>
  <c r="DK9" i="2"/>
  <c r="CP8" i="6"/>
  <c r="DJ9" i="2"/>
  <c r="DU9" i="2"/>
  <c r="DA8" i="6"/>
  <c r="CW8" i="6"/>
  <c r="DQ9" i="2"/>
  <c r="BS131" i="1"/>
  <c r="E16" i="114"/>
  <c r="E31" i="114"/>
  <c r="S15" i="114"/>
  <c r="T15" i="114"/>
  <c r="Y15" i="114"/>
  <c r="G17" i="114"/>
  <c r="G16" i="114"/>
  <c r="G31" i="114"/>
  <c r="FH68" i="1"/>
  <c r="Y23" i="114"/>
  <c r="F16" i="114"/>
  <c r="F31" i="114"/>
  <c r="FR12" i="2"/>
  <c r="FQ12" i="2"/>
  <c r="FW32" i="1"/>
  <c r="FA66" i="2"/>
  <c r="FA67" i="2"/>
  <c r="FD66" i="2"/>
  <c r="FD67" i="2"/>
  <c r="FF66" i="2"/>
  <c r="FF67" i="2"/>
  <c r="EV66" i="2"/>
  <c r="EV67" i="2"/>
  <c r="EU66" i="2"/>
  <c r="EU67" i="2"/>
  <c r="FC66" i="2"/>
  <c r="FC67" i="2"/>
  <c r="ES66" i="2"/>
  <c r="ES67" i="2"/>
  <c r="FH66" i="2"/>
  <c r="FH67" i="2"/>
  <c r="EW66" i="2"/>
  <c r="EW67" i="2"/>
  <c r="FB66" i="2"/>
  <c r="FB67" i="2"/>
  <c r="EP66" i="2"/>
  <c r="EP67" i="2"/>
  <c r="EQ66" i="2"/>
  <c r="EQ67" i="2"/>
  <c r="ET66" i="2"/>
  <c r="ET67" i="2"/>
  <c r="EX66" i="2"/>
  <c r="EX67" i="2"/>
  <c r="ER66" i="2"/>
  <c r="ER67" i="2"/>
  <c r="EY66" i="2"/>
  <c r="EY67" i="2"/>
  <c r="FE66" i="2"/>
  <c r="FE67" i="2"/>
  <c r="FI66" i="2"/>
  <c r="FI67" i="2"/>
  <c r="EO66" i="2"/>
  <c r="EO67" i="2"/>
  <c r="EZ66" i="2"/>
  <c r="EZ67" i="2"/>
  <c r="FA54" i="3"/>
  <c r="FA55" i="3" s="1"/>
  <c r="FH104" i="1"/>
  <c r="FA50" i="3"/>
  <c r="O108" i="119" s="1"/>
  <c r="O98" i="30" s="1"/>
  <c r="GQ104" i="1"/>
  <c r="GQ68" i="1"/>
  <c r="BE50" i="3"/>
  <c r="BY108" i="119" s="1"/>
  <c r="AZ98" i="30" s="1"/>
  <c r="FG68" i="1"/>
  <c r="FG104" i="1"/>
  <c r="BE54" i="3"/>
  <c r="BE55" i="3" s="1"/>
  <c r="FH47" i="1"/>
  <c r="GI50" i="1"/>
  <c r="GI71" i="1"/>
  <c r="GI32" i="1"/>
  <c r="DN8" i="1"/>
  <c r="DO8" i="1"/>
  <c r="FG71" i="1"/>
  <c r="FA51" i="1"/>
  <c r="FA108" i="1"/>
  <c r="GM108" i="1"/>
  <c r="GM51" i="1"/>
  <c r="EN109" i="1"/>
  <c r="EN52" i="1"/>
  <c r="EX108" i="1"/>
  <c r="EX51" i="1"/>
  <c r="EV109" i="1"/>
  <c r="EV52" i="1"/>
  <c r="FE109" i="1"/>
  <c r="FE52" i="1"/>
  <c r="FH109" i="1"/>
  <c r="FH52" i="1"/>
  <c r="FA109" i="1"/>
  <c r="FA52" i="1"/>
  <c r="EP109" i="1"/>
  <c r="EP52" i="1"/>
  <c r="ET108" i="1"/>
  <c r="ET51" i="1"/>
  <c r="GB109" i="1"/>
  <c r="GB52" i="1"/>
  <c r="GD109" i="1"/>
  <c r="GD52" i="1"/>
  <c r="FX108" i="1"/>
  <c r="FX51" i="1"/>
  <c r="GL109" i="1"/>
  <c r="GL52" i="1"/>
  <c r="GH108" i="1"/>
  <c r="GH51" i="1"/>
  <c r="GJ109" i="1"/>
  <c r="GJ52" i="1"/>
  <c r="GJ107" i="1"/>
  <c r="GJ71" i="1"/>
  <c r="GJ50" i="1"/>
  <c r="EW107" i="1"/>
  <c r="EW71" i="1"/>
  <c r="EW50" i="1"/>
  <c r="GN107" i="1"/>
  <c r="GN71" i="1"/>
  <c r="GN50" i="1"/>
  <c r="FZ107" i="1"/>
  <c r="FZ50" i="1"/>
  <c r="FZ71" i="1"/>
  <c r="BI132" i="1"/>
  <c r="EO109" i="1"/>
  <c r="EO52" i="1"/>
  <c r="EW108" i="1"/>
  <c r="EW51" i="1"/>
  <c r="FE108" i="1"/>
  <c r="FE51" i="1"/>
  <c r="EU108" i="1"/>
  <c r="EU51" i="1"/>
  <c r="EQ108" i="1"/>
  <c r="EQ51" i="1"/>
  <c r="GF109" i="1"/>
  <c r="GF52" i="1"/>
  <c r="GA108" i="1"/>
  <c r="GA51" i="1"/>
  <c r="GD108" i="1"/>
  <c r="GD51" i="1"/>
  <c r="FX109" i="1"/>
  <c r="FX52" i="1"/>
  <c r="GL108" i="1"/>
  <c r="GL51" i="1"/>
  <c r="GH109" i="1"/>
  <c r="GH52" i="1"/>
  <c r="GJ108" i="1"/>
  <c r="GJ51" i="1"/>
  <c r="GI107" i="1"/>
  <c r="GI109" i="1"/>
  <c r="GK52" i="1"/>
  <c r="EU107" i="1"/>
  <c r="EU71" i="1"/>
  <c r="EU50" i="1"/>
  <c r="EV108" i="1"/>
  <c r="EV51" i="1"/>
  <c r="FH108" i="1"/>
  <c r="FH51" i="1"/>
  <c r="ET109" i="1"/>
  <c r="ET52" i="1"/>
  <c r="GG107" i="1"/>
  <c r="GG71" i="1"/>
  <c r="GG50" i="1"/>
  <c r="ES71" i="1"/>
  <c r="ES107" i="1"/>
  <c r="ES50" i="1"/>
  <c r="GL107" i="1"/>
  <c r="GL71" i="1"/>
  <c r="GL50" i="1"/>
  <c r="FE107" i="1"/>
  <c r="FE71" i="1"/>
  <c r="FE50" i="1"/>
  <c r="GF107" i="1"/>
  <c r="GF50" i="1"/>
  <c r="GF71" i="1"/>
  <c r="EP107" i="1"/>
  <c r="EP71" i="1"/>
  <c r="EP50" i="1"/>
  <c r="EV107" i="1"/>
  <c r="EV71" i="1"/>
  <c r="EV50" i="1"/>
  <c r="FA107" i="1"/>
  <c r="FA71" i="1"/>
  <c r="FA50" i="1"/>
  <c r="FH107" i="1"/>
  <c r="FH71" i="1"/>
  <c r="FH50" i="1"/>
  <c r="GA107" i="1"/>
  <c r="GA50" i="1"/>
  <c r="GA71" i="1"/>
  <c r="EO51" i="1"/>
  <c r="EO108" i="1"/>
  <c r="EW109" i="1"/>
  <c r="EW52" i="1"/>
  <c r="ER52" i="1"/>
  <c r="ER109" i="1"/>
  <c r="EY109" i="1"/>
  <c r="EY52" i="1"/>
  <c r="FD108" i="1"/>
  <c r="FD51" i="1"/>
  <c r="EU109" i="1"/>
  <c r="EU52" i="1"/>
  <c r="EQ109" i="1"/>
  <c r="EQ52" i="1"/>
  <c r="GF51" i="1"/>
  <c r="GF108" i="1"/>
  <c r="GA109" i="1"/>
  <c r="GA52" i="1"/>
  <c r="FY109" i="1"/>
  <c r="FY52" i="1"/>
  <c r="GE109" i="1"/>
  <c r="GE52" i="1"/>
  <c r="FZ109" i="1"/>
  <c r="FZ52" i="1"/>
  <c r="GN108" i="1"/>
  <c r="GN51" i="1"/>
  <c r="GI51" i="1"/>
  <c r="GK109" i="1"/>
  <c r="GK50" i="1"/>
  <c r="EQ107" i="1"/>
  <c r="EQ71" i="1"/>
  <c r="EQ50" i="1"/>
  <c r="FY107" i="1"/>
  <c r="FY71" i="1"/>
  <c r="FY50" i="1"/>
  <c r="EM71" i="1"/>
  <c r="EM31" i="1"/>
  <c r="EM32" i="1"/>
  <c r="D19" i="114" s="1"/>
  <c r="D32" i="114" s="1"/>
  <c r="GM107" i="1"/>
  <c r="GM71" i="1"/>
  <c r="GM50" i="1"/>
  <c r="FD107" i="1"/>
  <c r="FD71" i="1"/>
  <c r="FD50" i="1"/>
  <c r="GO107" i="1"/>
  <c r="GO71" i="1"/>
  <c r="GO50" i="1"/>
  <c r="EN108" i="1"/>
  <c r="EN51" i="1"/>
  <c r="EZ109" i="1"/>
  <c r="EZ52" i="1"/>
  <c r="FC108" i="1"/>
  <c r="FC51" i="1"/>
  <c r="ER108" i="1"/>
  <c r="ER51" i="1"/>
  <c r="EY108" i="1"/>
  <c r="EY51" i="1"/>
  <c r="FD109" i="1"/>
  <c r="FD52" i="1"/>
  <c r="FB108" i="1"/>
  <c r="FB51" i="1"/>
  <c r="ES109" i="1"/>
  <c r="ES52" i="1"/>
  <c r="GO108" i="1"/>
  <c r="GO51" i="1"/>
  <c r="GC108" i="1"/>
  <c r="GC51" i="1"/>
  <c r="GG51" i="1"/>
  <c r="GG108" i="1"/>
  <c r="FY108" i="1"/>
  <c r="FY51" i="1"/>
  <c r="GE108" i="1"/>
  <c r="GE51" i="1"/>
  <c r="FZ108" i="1"/>
  <c r="FZ51" i="1"/>
  <c r="GN109" i="1"/>
  <c r="GN52" i="1"/>
  <c r="GI108" i="1"/>
  <c r="FB107" i="1"/>
  <c r="FB50" i="1"/>
  <c r="FB71" i="1"/>
  <c r="ER71" i="1"/>
  <c r="ER50" i="1"/>
  <c r="ER107" i="1"/>
  <c r="FX107" i="1"/>
  <c r="FX50" i="1"/>
  <c r="FX71" i="1"/>
  <c r="FC107" i="1"/>
  <c r="FC71" i="1"/>
  <c r="FC50" i="1"/>
  <c r="EX52" i="1"/>
  <c r="EX109" i="1"/>
  <c r="EP108" i="1"/>
  <c r="EP51" i="1"/>
  <c r="GB108" i="1"/>
  <c r="GB51" i="1"/>
  <c r="EZ107" i="1"/>
  <c r="EZ71" i="1"/>
  <c r="EZ50" i="1"/>
  <c r="GD107" i="1"/>
  <c r="GD71" i="1"/>
  <c r="GD50" i="1"/>
  <c r="EX71" i="1"/>
  <c r="EX50" i="1"/>
  <c r="EX107" i="1"/>
  <c r="ET107" i="1"/>
  <c r="ET71" i="1"/>
  <c r="ET50" i="1"/>
  <c r="GE107" i="1"/>
  <c r="GE71" i="1"/>
  <c r="GE50" i="1"/>
  <c r="GB107" i="1"/>
  <c r="GB71" i="1"/>
  <c r="GB50" i="1"/>
  <c r="GH71" i="1"/>
  <c r="GH50" i="1"/>
  <c r="GH107" i="1"/>
  <c r="EO107" i="1"/>
  <c r="EO50" i="1"/>
  <c r="EO71" i="1"/>
  <c r="GR98" i="1"/>
  <c r="GR41" i="1"/>
  <c r="GR62" i="1"/>
  <c r="GQ71" i="1"/>
  <c r="GC107" i="1"/>
  <c r="GC71" i="1"/>
  <c r="GC50" i="1"/>
  <c r="BE131" i="1"/>
  <c r="EN107" i="1"/>
  <c r="EN71" i="1"/>
  <c r="EN50" i="1"/>
  <c r="EZ108" i="1"/>
  <c r="EZ51" i="1"/>
  <c r="FC109" i="1"/>
  <c r="FC52" i="1"/>
  <c r="EY71" i="1"/>
  <c r="EY107" i="1"/>
  <c r="EY50" i="1"/>
  <c r="FB109" i="1"/>
  <c r="FB52" i="1"/>
  <c r="ES108" i="1"/>
  <c r="ES51" i="1"/>
  <c r="GO109" i="1"/>
  <c r="GO52" i="1"/>
  <c r="GC109" i="1"/>
  <c r="GC52" i="1"/>
  <c r="GG109" i="1"/>
  <c r="GG52" i="1"/>
  <c r="GM109" i="1"/>
  <c r="GM52" i="1"/>
  <c r="GK51" i="1"/>
  <c r="GK107" i="1"/>
  <c r="FX31" i="1"/>
  <c r="FX32" i="1"/>
  <c r="GM32" i="1"/>
  <c r="GM31" i="1"/>
  <c r="GO31" i="1"/>
  <c r="GO32" i="1"/>
  <c r="GE32" i="1"/>
  <c r="GE31" i="1"/>
  <c r="GH32" i="1"/>
  <c r="GH31" i="1"/>
  <c r="GI110" i="1" s="1"/>
  <c r="GQ31" i="1"/>
  <c r="GQ32" i="1"/>
  <c r="GC31" i="1"/>
  <c r="GC32" i="1"/>
  <c r="FY31" i="1"/>
  <c r="FY32" i="1"/>
  <c r="GD31" i="1"/>
  <c r="GD32" i="1"/>
  <c r="GL32" i="1"/>
  <c r="GL31" i="1"/>
  <c r="GG32" i="1"/>
  <c r="GG31" i="1"/>
  <c r="GB31" i="1"/>
  <c r="GB32" i="1"/>
  <c r="GJ31" i="1"/>
  <c r="GK53" i="1" s="1"/>
  <c r="GJ32" i="1"/>
  <c r="GK111" i="1" s="1"/>
  <c r="GN32" i="1"/>
  <c r="GN31" i="1"/>
  <c r="FZ32" i="1"/>
  <c r="FZ31" i="1"/>
  <c r="GF32" i="1"/>
  <c r="GF31" i="1"/>
  <c r="GA32" i="1"/>
  <c r="GA31" i="1"/>
  <c r="ER31" i="1"/>
  <c r="G282" i="119" s="1"/>
  <c r="G213" i="30" s="1"/>
  <c r="ER32" i="1"/>
  <c r="FE32" i="1"/>
  <c r="FE31" i="1"/>
  <c r="T282" i="119" s="1"/>
  <c r="T213" i="30" s="1"/>
  <c r="EP32" i="1"/>
  <c r="G19" i="114" s="1"/>
  <c r="EP31" i="1"/>
  <c r="FG31" i="1"/>
  <c r="V282" i="119" s="1"/>
  <c r="V213" i="30" s="1"/>
  <c r="FG32" i="1"/>
  <c r="EO31" i="1"/>
  <c r="EO32" i="1"/>
  <c r="F19" i="114" s="1"/>
  <c r="FC32" i="1"/>
  <c r="FC31" i="1"/>
  <c r="R282" i="119" s="1"/>
  <c r="R213" i="30" s="1"/>
  <c r="ES31" i="1"/>
  <c r="H282" i="119" s="1"/>
  <c r="H213" i="30" s="1"/>
  <c r="ES32" i="1"/>
  <c r="FB32" i="1"/>
  <c r="FB31" i="1"/>
  <c r="Q282" i="119" s="1"/>
  <c r="Q213" i="30" s="1"/>
  <c r="FD31" i="1"/>
  <c r="S282" i="119" s="1"/>
  <c r="S213" i="30" s="1"/>
  <c r="FD32" i="1"/>
  <c r="ET31" i="1"/>
  <c r="I282" i="119" s="1"/>
  <c r="I213" i="30" s="1"/>
  <c r="ET32" i="1"/>
  <c r="EW32" i="1"/>
  <c r="EW31" i="1"/>
  <c r="L282" i="119" s="1"/>
  <c r="L213" i="30" s="1"/>
  <c r="EZ31" i="1"/>
  <c r="O282" i="119" s="1"/>
  <c r="O213" i="30" s="1"/>
  <c r="EZ32" i="1"/>
  <c r="FH32" i="1"/>
  <c r="FH31" i="1"/>
  <c r="W282" i="119" s="1"/>
  <c r="W213" i="30" s="1"/>
  <c r="EY31" i="1"/>
  <c r="N282" i="119" s="1"/>
  <c r="N213" i="30" s="1"/>
  <c r="EY32" i="1"/>
  <c r="EU32" i="1"/>
  <c r="EU31" i="1"/>
  <c r="J282" i="119" s="1"/>
  <c r="J213" i="30" s="1"/>
  <c r="EV32" i="1"/>
  <c r="EV31" i="1"/>
  <c r="K282" i="119" s="1"/>
  <c r="K213" i="30" s="1"/>
  <c r="EX32" i="1"/>
  <c r="EX31" i="1"/>
  <c r="M282" i="119" s="1"/>
  <c r="M213" i="30" s="1"/>
  <c r="EQ32" i="1"/>
  <c r="EQ31" i="1"/>
  <c r="F282" i="119" s="1"/>
  <c r="F213" i="30" s="1"/>
  <c r="FA31" i="1"/>
  <c r="P282" i="119" s="1"/>
  <c r="P213" i="30" s="1"/>
  <c r="FA32" i="1"/>
  <c r="EN32" i="1"/>
  <c r="EN31" i="1"/>
  <c r="BK132" i="1"/>
  <c r="BA131" i="1"/>
  <c r="AN132" i="1"/>
  <c r="P131" i="1"/>
  <c r="AC131" i="1"/>
  <c r="P132" i="1"/>
  <c r="AY132" i="1"/>
  <c r="BU132" i="1"/>
  <c r="AU131" i="1"/>
  <c r="AK132" i="1"/>
  <c r="M131" i="1"/>
  <c r="U132" i="1"/>
  <c r="AK131" i="1"/>
  <c r="I132" i="1"/>
  <c r="AQ131" i="1"/>
  <c r="BP132" i="1"/>
  <c r="CK132" i="1"/>
  <c r="AH131" i="1"/>
  <c r="CB131" i="1"/>
  <c r="AF131" i="1"/>
  <c r="BD131" i="1"/>
  <c r="CB132" i="1"/>
  <c r="BF132" i="1"/>
  <c r="CJ132" i="1"/>
  <c r="BS132" i="1"/>
  <c r="BB132" i="1"/>
  <c r="BG131" i="1"/>
  <c r="Y131" i="1"/>
  <c r="AT132" i="1"/>
  <c r="L132" i="1"/>
  <c r="BB131" i="1"/>
  <c r="BG132" i="1"/>
  <c r="CH132" i="1"/>
  <c r="CI131" i="1"/>
  <c r="G132" i="1"/>
  <c r="AG132" i="1"/>
  <c r="BM132" i="1"/>
  <c r="BQ132" i="1"/>
  <c r="AU132" i="1"/>
  <c r="AQ132" i="1"/>
  <c r="BO131" i="1"/>
  <c r="Z132" i="1"/>
  <c r="AS131" i="1"/>
  <c r="BC132" i="1"/>
  <c r="BX132" i="1"/>
  <c r="BT131" i="1"/>
  <c r="BK131" i="1"/>
  <c r="BY131" i="1"/>
  <c r="CF131" i="1"/>
  <c r="BL131" i="1"/>
  <c r="U131" i="1"/>
  <c r="CJ131" i="1"/>
  <c r="AY131" i="1"/>
  <c r="BH131" i="1"/>
  <c r="V132" i="1"/>
  <c r="BT132" i="1"/>
  <c r="AH132" i="1"/>
  <c r="AZ132" i="1"/>
  <c r="X132" i="1"/>
  <c r="CF132" i="1"/>
  <c r="D132" i="1"/>
  <c r="AM131" i="1"/>
  <c r="AE111" i="1"/>
  <c r="AE132" i="1"/>
  <c r="J110" i="1"/>
  <c r="F131" i="1"/>
  <c r="BM131" i="1"/>
  <c r="BP131" i="1"/>
  <c r="V110" i="1"/>
  <c r="V131" i="1"/>
  <c r="N111" i="1"/>
  <c r="N132" i="1"/>
  <c r="BD132" i="1"/>
  <c r="AZ131" i="1"/>
  <c r="X131" i="1"/>
  <c r="E89" i="1"/>
  <c r="D131" i="1"/>
  <c r="Q131" i="1"/>
  <c r="H131" i="1"/>
  <c r="CA132" i="1"/>
  <c r="E131" i="1"/>
  <c r="BR131" i="1"/>
  <c r="AA110" i="1"/>
  <c r="W131" i="1"/>
  <c r="N110" i="1"/>
  <c r="N131" i="1"/>
  <c r="O131" i="1"/>
  <c r="G131" i="1"/>
  <c r="BY132" i="1"/>
  <c r="BR132" i="1"/>
  <c r="BI131" i="1"/>
  <c r="BL111" i="1"/>
  <c r="BL132" i="1"/>
  <c r="S110" i="1"/>
  <c r="S131" i="1"/>
  <c r="W132" i="1"/>
  <c r="BH132" i="1"/>
  <c r="CG132" i="1"/>
  <c r="AI131" i="1"/>
  <c r="AL132" i="1"/>
  <c r="AO131" i="1"/>
  <c r="AP131" i="1"/>
  <c r="AJ132" i="1"/>
  <c r="AD131" i="1"/>
  <c r="T132" i="1"/>
  <c r="CE132" i="1"/>
  <c r="O132" i="1"/>
  <c r="BW131" i="1"/>
  <c r="BJ132" i="1"/>
  <c r="AR132" i="1"/>
  <c r="AT131" i="1"/>
  <c r="AX132" i="1"/>
  <c r="C131" i="1"/>
  <c r="AM132" i="1"/>
  <c r="BZ132" i="1"/>
  <c r="E132" i="1"/>
  <c r="AV110" i="1"/>
  <c r="AV131" i="1"/>
  <c r="Y132" i="1"/>
  <c r="M132" i="1"/>
  <c r="AW131" i="1"/>
  <c r="CG131" i="1"/>
  <c r="AL131" i="1"/>
  <c r="AO132" i="1"/>
  <c r="AP132" i="1"/>
  <c r="AJ131" i="1"/>
  <c r="T131" i="1"/>
  <c r="CE110" i="1"/>
  <c r="CE131" i="1"/>
  <c r="BW132" i="1"/>
  <c r="BJ131" i="1"/>
  <c r="AR131" i="1"/>
  <c r="AX131" i="1"/>
  <c r="C132" i="1"/>
  <c r="BX131" i="1"/>
  <c r="BN131" i="1"/>
  <c r="AV132" i="1"/>
  <c r="BV111" i="1"/>
  <c r="BV132" i="1"/>
  <c r="I110" i="1"/>
  <c r="I131" i="1"/>
  <c r="AW132" i="1"/>
  <c r="BN132" i="1"/>
  <c r="CA89" i="1"/>
  <c r="BZ131" i="1"/>
  <c r="CA131" i="1"/>
  <c r="CL102" i="1"/>
  <c r="CL123" i="1"/>
  <c r="CM102" i="1"/>
  <c r="CM123" i="1"/>
  <c r="AF132" i="1"/>
  <c r="BF131" i="1"/>
  <c r="AE110" i="1"/>
  <c r="AE131" i="1"/>
  <c r="BA132" i="1"/>
  <c r="J111" i="1"/>
  <c r="F132" i="1"/>
  <c r="BV110" i="1"/>
  <c r="BV131" i="1"/>
  <c r="AN131" i="1"/>
  <c r="BE132" i="1"/>
  <c r="CK131" i="1"/>
  <c r="BO132" i="1"/>
  <c r="BU131" i="1"/>
  <c r="CH131" i="1"/>
  <c r="Z131" i="1"/>
  <c r="CI132" i="1"/>
  <c r="AS132" i="1"/>
  <c r="BC131" i="1"/>
  <c r="AC132" i="1"/>
  <c r="L131" i="1"/>
  <c r="Q132" i="1"/>
  <c r="AG131" i="1"/>
  <c r="H132" i="1"/>
  <c r="J132" i="1"/>
  <c r="AA132" i="1"/>
  <c r="AN110" i="1"/>
  <c r="BA110" i="1"/>
  <c r="CD111" i="1"/>
  <c r="BI110" i="1"/>
  <c r="W111" i="1"/>
  <c r="AY111" i="1"/>
  <c r="AL111" i="1"/>
  <c r="AO110" i="1"/>
  <c r="AP110" i="1"/>
  <c r="P110" i="1"/>
  <c r="U110" i="1"/>
  <c r="V111" i="1"/>
  <c r="O110" i="1"/>
  <c r="G110" i="1"/>
  <c r="BY111" i="1"/>
  <c r="X111" i="1"/>
  <c r="CF111" i="1"/>
  <c r="U111" i="1"/>
  <c r="BH111" i="1"/>
  <c r="BG110" i="1"/>
  <c r="AL110" i="1"/>
  <c r="AX110" i="1"/>
  <c r="AV111" i="1"/>
  <c r="AW111" i="1"/>
  <c r="AQ111" i="1"/>
  <c r="BU111" i="1"/>
  <c r="L111" i="1"/>
  <c r="BF111" i="1"/>
  <c r="L110" i="1"/>
  <c r="BI111" i="1"/>
  <c r="P111" i="1"/>
  <c r="AJ111" i="1"/>
  <c r="BK111" i="1"/>
  <c r="AZ111" i="1"/>
  <c r="CA111" i="1"/>
  <c r="AW110" i="1"/>
  <c r="Y111" i="1"/>
  <c r="AO111" i="1"/>
  <c r="AP111" i="1"/>
  <c r="AJ110" i="1"/>
  <c r="T111" i="1"/>
  <c r="CE111" i="1"/>
  <c r="O111" i="1"/>
  <c r="BW110" i="1"/>
  <c r="BJ111" i="1"/>
  <c r="AR111" i="1"/>
  <c r="AT110" i="1"/>
  <c r="AX111" i="1"/>
  <c r="AM111" i="1"/>
  <c r="BZ111" i="1"/>
  <c r="AM110" i="1"/>
  <c r="BE110" i="1"/>
  <c r="T110" i="1"/>
  <c r="BW111" i="1"/>
  <c r="BJ110" i="1"/>
  <c r="AR110" i="1"/>
  <c r="AT111" i="1"/>
  <c r="BX110" i="1"/>
  <c r="BN110" i="1"/>
  <c r="BF110" i="1"/>
  <c r="BA111" i="1"/>
  <c r="BE111" i="1"/>
  <c r="AQ110" i="1"/>
  <c r="CK110" i="1"/>
  <c r="BU110" i="1"/>
  <c r="CH111" i="1"/>
  <c r="Z111" i="1"/>
  <c r="CI110" i="1"/>
  <c r="AS110" i="1"/>
  <c r="BC111" i="1"/>
  <c r="AC110" i="1"/>
  <c r="BX111" i="1"/>
  <c r="BN111" i="1"/>
  <c r="BZ110" i="1"/>
  <c r="F110" i="1"/>
  <c r="BM110" i="1"/>
  <c r="AN111" i="1"/>
  <c r="BP110" i="1"/>
  <c r="CK111" i="1"/>
  <c r="BT110" i="1"/>
  <c r="CH110" i="1"/>
  <c r="Z110" i="1"/>
  <c r="CI111" i="1"/>
  <c r="AS111" i="1"/>
  <c r="BC110" i="1"/>
  <c r="AC111" i="1"/>
  <c r="Q111" i="1"/>
  <c r="AG110" i="1"/>
  <c r="H111" i="1"/>
  <c r="AA111" i="1"/>
  <c r="AF110" i="1"/>
  <c r="BM111" i="1"/>
  <c r="AY110" i="1"/>
  <c r="BH110" i="1"/>
  <c r="BT111" i="1"/>
  <c r="BK110" i="1"/>
  <c r="AZ110" i="1"/>
  <c r="G111" i="1"/>
  <c r="BY110" i="1"/>
  <c r="X110" i="1"/>
  <c r="CF110" i="1"/>
  <c r="Q110" i="1"/>
  <c r="AG111" i="1"/>
  <c r="H110" i="1"/>
  <c r="BR111" i="1"/>
  <c r="BR110" i="1"/>
  <c r="CA110" i="1"/>
  <c r="BB90" i="1"/>
  <c r="BB111" i="1"/>
  <c r="BB89" i="1"/>
  <c r="BB110" i="1"/>
  <c r="AF90" i="1"/>
  <c r="AF111" i="1"/>
  <c r="AU89" i="1"/>
  <c r="AU110" i="1"/>
  <c r="AU90" i="1"/>
  <c r="AU111" i="1"/>
  <c r="BL89" i="1"/>
  <c r="BL110" i="1"/>
  <c r="Y89" i="1"/>
  <c r="Y110" i="1"/>
  <c r="CD110" i="1"/>
  <c r="S90" i="1"/>
  <c r="S111" i="1"/>
  <c r="BG90" i="1"/>
  <c r="BG111" i="1"/>
  <c r="CJ89" i="1"/>
  <c r="CJ110" i="1"/>
  <c r="CJ90" i="1"/>
  <c r="CJ111" i="1"/>
  <c r="M90" i="1"/>
  <c r="M111" i="1"/>
  <c r="M89" i="1"/>
  <c r="M110" i="1"/>
  <c r="W89" i="1"/>
  <c r="W110" i="1"/>
  <c r="F90" i="1"/>
  <c r="F111" i="1"/>
  <c r="AK90" i="1"/>
  <c r="AK111" i="1"/>
  <c r="AK89" i="1"/>
  <c r="AK110" i="1"/>
  <c r="BS90" i="1"/>
  <c r="BS111" i="1"/>
  <c r="BS89" i="1"/>
  <c r="BS110" i="1"/>
  <c r="J90" i="1"/>
  <c r="I111" i="1"/>
  <c r="CG90" i="1"/>
  <c r="CG89" i="1"/>
  <c r="BQ89" i="1"/>
  <c r="BQ110" i="1"/>
  <c r="BQ90" i="1"/>
  <c r="BQ111" i="1"/>
  <c r="AB89" i="1"/>
  <c r="AB110" i="1"/>
  <c r="AB90" i="1"/>
  <c r="AB111" i="1"/>
  <c r="BP90" i="1"/>
  <c r="BP111" i="1"/>
  <c r="AI90" i="1"/>
  <c r="AI111" i="1"/>
  <c r="AI89" i="1"/>
  <c r="AI110" i="1"/>
  <c r="BO89" i="1"/>
  <c r="BO110" i="1"/>
  <c r="BO90" i="1"/>
  <c r="BO111" i="1"/>
  <c r="AH89" i="1"/>
  <c r="AH110" i="1"/>
  <c r="AH90" i="1"/>
  <c r="AH111" i="1"/>
  <c r="BD90" i="1"/>
  <c r="BD111" i="1"/>
  <c r="BD89" i="1"/>
  <c r="BD110" i="1"/>
  <c r="AD89" i="1"/>
  <c r="AD110" i="1"/>
  <c r="AD90" i="1"/>
  <c r="AD111" i="1"/>
  <c r="R90" i="1"/>
  <c r="R111" i="1"/>
  <c r="R89" i="1"/>
  <c r="R110" i="1"/>
  <c r="K90" i="1"/>
  <c r="K111" i="1"/>
  <c r="K89" i="1"/>
  <c r="K110" i="1"/>
  <c r="CB90" i="1"/>
  <c r="CB111" i="1"/>
  <c r="CB89" i="1"/>
  <c r="CB110" i="1"/>
  <c r="Y90" i="1"/>
  <c r="BG89" i="1"/>
  <c r="AO90" i="1"/>
  <c r="T90" i="1"/>
  <c r="O90" i="1"/>
  <c r="BW89" i="1"/>
  <c r="BJ90" i="1"/>
  <c r="AR90" i="1"/>
  <c r="AT89" i="1"/>
  <c r="AX90" i="1"/>
  <c r="C89" i="1"/>
  <c r="BF89" i="1"/>
  <c r="BE90" i="1"/>
  <c r="BF90" i="1"/>
  <c r="BA89" i="1"/>
  <c r="BP89" i="1"/>
  <c r="CI90" i="1"/>
  <c r="U89" i="1"/>
  <c r="AY89" i="1"/>
  <c r="BK89" i="1"/>
  <c r="BY89" i="1"/>
  <c r="BR89" i="1"/>
  <c r="BI89" i="1"/>
  <c r="S89" i="1"/>
  <c r="AY90" i="1"/>
  <c r="BH90" i="1"/>
  <c r="AO89" i="1"/>
  <c r="AJ90" i="1"/>
  <c r="BK90" i="1"/>
  <c r="O89" i="1"/>
  <c r="G89" i="1"/>
  <c r="BY90" i="1"/>
  <c r="X90" i="1"/>
  <c r="CF90" i="1"/>
  <c r="D90" i="1"/>
  <c r="AM89" i="1"/>
  <c r="AV89" i="1"/>
  <c r="AL90" i="1"/>
  <c r="AP89" i="1"/>
  <c r="AZ90" i="1"/>
  <c r="AV90" i="1"/>
  <c r="AW89" i="1"/>
  <c r="AL89" i="1"/>
  <c r="AP90" i="1"/>
  <c r="AJ89" i="1"/>
  <c r="CE54" i="1"/>
  <c r="CE90" i="1"/>
  <c r="AM90" i="1"/>
  <c r="AE53" i="1"/>
  <c r="AE89" i="1"/>
  <c r="BA54" i="1"/>
  <c r="BA90" i="1"/>
  <c r="CA53" i="1"/>
  <c r="BV54" i="1"/>
  <c r="BV90" i="1"/>
  <c r="I53" i="1"/>
  <c r="I89" i="1"/>
  <c r="AW90" i="1"/>
  <c r="BE89" i="1"/>
  <c r="AQ54" i="1"/>
  <c r="AQ90" i="1"/>
  <c r="BU90" i="1"/>
  <c r="T89" i="1"/>
  <c r="CE53" i="1"/>
  <c r="CE89" i="1"/>
  <c r="BW90" i="1"/>
  <c r="BJ89" i="1"/>
  <c r="AR89" i="1"/>
  <c r="AT90" i="1"/>
  <c r="AX89" i="1"/>
  <c r="C90" i="1"/>
  <c r="BX89" i="1"/>
  <c r="BR53" i="1"/>
  <c r="BN89" i="1"/>
  <c r="E90" i="1"/>
  <c r="CL66" i="1"/>
  <c r="CL81" i="1"/>
  <c r="AF89" i="1"/>
  <c r="CD54" i="1"/>
  <c r="AE54" i="1"/>
  <c r="AE90" i="1"/>
  <c r="BV53" i="1"/>
  <c r="BV89" i="1"/>
  <c r="I54" i="1"/>
  <c r="I90" i="1"/>
  <c r="AN89" i="1"/>
  <c r="AQ89" i="1"/>
  <c r="CK89" i="1"/>
  <c r="BU89" i="1"/>
  <c r="CH90" i="1"/>
  <c r="Z90" i="1"/>
  <c r="CI89" i="1"/>
  <c r="AS89" i="1"/>
  <c r="BC90" i="1"/>
  <c r="AC89" i="1"/>
  <c r="L90" i="1"/>
  <c r="BX90" i="1"/>
  <c r="BR54" i="1"/>
  <c r="BN90" i="1"/>
  <c r="BZ90" i="1"/>
  <c r="CA90" i="1"/>
  <c r="J89" i="1"/>
  <c r="BI90" i="1"/>
  <c r="J53" i="1"/>
  <c r="F89" i="1"/>
  <c r="BM89" i="1"/>
  <c r="AN90" i="1"/>
  <c r="P89" i="1"/>
  <c r="CK90" i="1"/>
  <c r="V89" i="1"/>
  <c r="BT89" i="1"/>
  <c r="N54" i="1"/>
  <c r="N90" i="1"/>
  <c r="CH89" i="1"/>
  <c r="Z89" i="1"/>
  <c r="AS90" i="1"/>
  <c r="BC89" i="1"/>
  <c r="AC90" i="1"/>
  <c r="L89" i="1"/>
  <c r="Q90" i="1"/>
  <c r="AG89" i="1"/>
  <c r="H90" i="1"/>
  <c r="BR90" i="1"/>
  <c r="CM81" i="1"/>
  <c r="BL90" i="1"/>
  <c r="U90" i="1"/>
  <c r="AA54" i="1"/>
  <c r="W90" i="1"/>
  <c r="BM90" i="1"/>
  <c r="BH89" i="1"/>
  <c r="P90" i="1"/>
  <c r="V90" i="1"/>
  <c r="BT90" i="1"/>
  <c r="N53" i="1"/>
  <c r="N89" i="1"/>
  <c r="AZ89" i="1"/>
  <c r="G90" i="1"/>
  <c r="X89" i="1"/>
  <c r="CF89" i="1"/>
  <c r="D89" i="1"/>
  <c r="Q89" i="1"/>
  <c r="AG90" i="1"/>
  <c r="H89" i="1"/>
  <c r="BZ89" i="1"/>
  <c r="AA90" i="1"/>
  <c r="AA89" i="1"/>
  <c r="U54" i="1"/>
  <c r="V54" i="1"/>
  <c r="BG53" i="1"/>
  <c r="CD53" i="1"/>
  <c r="L54" i="1"/>
  <c r="BI54" i="1"/>
  <c r="BB53" i="1"/>
  <c r="P54" i="1"/>
  <c r="CM45" i="1"/>
  <c r="CM66" i="1"/>
  <c r="BO54" i="1"/>
  <c r="AN54" i="1"/>
  <c r="S53" i="1"/>
  <c r="O54" i="1"/>
  <c r="AU53" i="1"/>
  <c r="BS54" i="1"/>
  <c r="BD54" i="1"/>
  <c r="G54" i="1"/>
  <c r="CF53" i="1"/>
  <c r="CF54" i="1"/>
  <c r="BL54" i="1"/>
  <c r="BH53" i="1"/>
  <c r="AF54" i="1"/>
  <c r="AW54" i="1"/>
  <c r="BO53" i="1"/>
  <c r="AL53" i="1"/>
  <c r="AG54" i="1"/>
  <c r="BA53" i="1"/>
  <c r="BU54" i="1"/>
  <c r="AD53" i="1"/>
  <c r="T54" i="1"/>
  <c r="CB54" i="1"/>
  <c r="AK53" i="1"/>
  <c r="Q53" i="1"/>
  <c r="BL53" i="1"/>
  <c r="W53" i="1"/>
  <c r="BM53" i="1"/>
  <c r="P53" i="1"/>
  <c r="AD54" i="1"/>
  <c r="AY53" i="1"/>
  <c r="BD53" i="1"/>
  <c r="BY54" i="1"/>
  <c r="K54" i="1"/>
  <c r="V53" i="1"/>
  <c r="AJ53" i="1"/>
  <c r="BW53" i="1"/>
  <c r="AR54" i="1"/>
  <c r="AM54" i="1"/>
  <c r="K53" i="1"/>
  <c r="BH54" i="1"/>
  <c r="AA53" i="1"/>
  <c r="T53" i="1"/>
  <c r="BW54" i="1"/>
  <c r="BF53" i="1"/>
  <c r="AB53" i="1"/>
  <c r="AL54" i="1"/>
  <c r="AO53" i="1"/>
  <c r="Z54" i="1"/>
  <c r="BC54" i="1"/>
  <c r="BF54" i="1"/>
  <c r="AO54" i="1"/>
  <c r="Z53" i="1"/>
  <c r="X54" i="1"/>
  <c r="AF53" i="1"/>
  <c r="F54" i="1"/>
  <c r="AP53" i="1"/>
  <c r="S54" i="1"/>
  <c r="F53" i="1"/>
  <c r="AP54" i="1"/>
  <c r="AS53" i="1"/>
  <c r="BI53" i="1"/>
  <c r="CJ54" i="1"/>
  <c r="W54" i="1"/>
  <c r="BM54" i="1"/>
  <c r="BE54" i="1"/>
  <c r="AQ53" i="1"/>
  <c r="BP54" i="1"/>
  <c r="CK53" i="1"/>
  <c r="AH53" i="1"/>
  <c r="CH53" i="1"/>
  <c r="CI54" i="1"/>
  <c r="AS54" i="1"/>
  <c r="BC53" i="1"/>
  <c r="BZ53" i="1"/>
  <c r="J54" i="1"/>
  <c r="AX53" i="1"/>
  <c r="BX53" i="1"/>
  <c r="BN53" i="1"/>
  <c r="CB53" i="1"/>
  <c r="AB54" i="1"/>
  <c r="BJ54" i="1"/>
  <c r="AM53" i="1"/>
  <c r="U53" i="1"/>
  <c r="AN53" i="1"/>
  <c r="BE53" i="1"/>
  <c r="BJ53" i="1"/>
  <c r="AR53" i="1"/>
  <c r="AT54" i="1"/>
  <c r="AX54" i="1"/>
  <c r="BB54" i="1"/>
  <c r="AV53" i="1"/>
  <c r="Y54" i="1"/>
  <c r="M54" i="1"/>
  <c r="AK54" i="1"/>
  <c r="AY54" i="1"/>
  <c r="BQ53" i="1"/>
  <c r="BP53" i="1"/>
  <c r="CK54" i="1"/>
  <c r="BT53" i="1"/>
  <c r="BU53" i="1"/>
  <c r="BZ54" i="1"/>
  <c r="AH54" i="1"/>
  <c r="BK53" i="1"/>
  <c r="AZ53" i="1"/>
  <c r="R54" i="1"/>
  <c r="AC53" i="1"/>
  <c r="BX54" i="1"/>
  <c r="BN54" i="1"/>
  <c r="AI53" i="1"/>
  <c r="H53" i="1"/>
  <c r="AT53" i="1"/>
  <c r="CJ53" i="1"/>
  <c r="CH54" i="1"/>
  <c r="CI53" i="1"/>
  <c r="AU54" i="1"/>
  <c r="AV54" i="1"/>
  <c r="Y53" i="1"/>
  <c r="BG54" i="1"/>
  <c r="M53" i="1"/>
  <c r="BS53" i="1"/>
  <c r="AW53" i="1"/>
  <c r="BQ54" i="1"/>
  <c r="AI54" i="1"/>
  <c r="BT54" i="1"/>
  <c r="CA54" i="1"/>
  <c r="AJ54" i="1"/>
  <c r="BK54" i="1"/>
  <c r="AZ54" i="1"/>
  <c r="O53" i="1"/>
  <c r="G53" i="1"/>
  <c r="BY53" i="1"/>
  <c r="X53" i="1"/>
  <c r="R53" i="1"/>
  <c r="AC54" i="1"/>
  <c r="L53" i="1"/>
  <c r="Q54" i="1"/>
  <c r="AG53" i="1"/>
  <c r="H54" i="1"/>
  <c r="CL45" i="1"/>
  <c r="FP12" i="2"/>
  <c r="CY25" i="51"/>
  <c r="CY21" i="51"/>
  <c r="CW43" i="2"/>
  <c r="FL43" i="2" s="1"/>
  <c r="CX41" i="2"/>
  <c r="FN42" i="2"/>
  <c r="CI11" i="3"/>
  <c r="CV12" i="51"/>
  <c r="CU58" i="51"/>
  <c r="CU53" i="51"/>
  <c r="CV36" i="51"/>
  <c r="FP131" i="51" s="1"/>
  <c r="CV13" i="51"/>
  <c r="DB25" i="51"/>
  <c r="DD25" i="51"/>
  <c r="CP53" i="51"/>
  <c r="CU32" i="51"/>
  <c r="FO113" i="51" s="1"/>
  <c r="GW16" i="51"/>
  <c r="DB36" i="51"/>
  <c r="FN133" i="51" s="1"/>
  <c r="DE25" i="51"/>
  <c r="CM17" i="1"/>
  <c r="BS38" i="6"/>
  <c r="BS96" i="6" s="1"/>
  <c r="CM23" i="1"/>
  <c r="DG30" i="119" s="1"/>
  <c r="DG269" i="119" s="1"/>
  <c r="CU21" i="51"/>
  <c r="CN20" i="51"/>
  <c r="CV101" i="92"/>
  <c r="GR15" i="1"/>
  <c r="CT21" i="1"/>
  <c r="DN24" i="119" s="1"/>
  <c r="DN26" i="119" s="1"/>
  <c r="GU21" i="51"/>
  <c r="CL17" i="1"/>
  <c r="BR38" i="6"/>
  <c r="BR96" i="6" s="1"/>
  <c r="CL23" i="1"/>
  <c r="FL16" i="51"/>
  <c r="FJ16" i="51"/>
  <c r="CP25" i="51"/>
  <c r="GT16" i="51"/>
  <c r="GT25" i="51" s="1"/>
  <c r="CP36" i="51"/>
  <c r="FN130" i="51" s="1"/>
  <c r="CQ36" i="51"/>
  <c r="FO130" i="51" s="1"/>
  <c r="CU25" i="51"/>
  <c r="GV16" i="51"/>
  <c r="CT16" i="51"/>
  <c r="EN50" i="3"/>
  <c r="EN52" i="3" s="1"/>
  <c r="FJ21" i="51"/>
  <c r="D51" i="3"/>
  <c r="D52" i="3" s="1"/>
  <c r="CR92" i="2"/>
  <c r="DL50" i="119" s="1"/>
  <c r="CQ91" i="2"/>
  <c r="DK49" i="119" s="1"/>
  <c r="CO14" i="51"/>
  <c r="CO11" i="51"/>
  <c r="CQ14" i="51"/>
  <c r="BU55" i="3"/>
  <c r="FF55" i="3"/>
  <c r="FH55" i="3"/>
  <c r="EQ54" i="3"/>
  <c r="EQ55" i="3" s="1"/>
  <c r="EQ50" i="3"/>
  <c r="AM54" i="3"/>
  <c r="AM55" i="3" s="1"/>
  <c r="AM50" i="3"/>
  <c r="BG108" i="119" s="1"/>
  <c r="AH98" i="30" s="1"/>
  <c r="AI50" i="3"/>
  <c r="BC108" i="119" s="1"/>
  <c r="AD98" i="30" s="1"/>
  <c r="AI54" i="3"/>
  <c r="AI55" i="3" s="1"/>
  <c r="EP50" i="3"/>
  <c r="EP54" i="3"/>
  <c r="EP55" i="3" s="1"/>
  <c r="R50" i="3"/>
  <c r="AL108" i="119" s="1"/>
  <c r="R54" i="3"/>
  <c r="R55" i="3" s="1"/>
  <c r="O50" i="3"/>
  <c r="O54" i="3"/>
  <c r="O55" i="3" s="1"/>
  <c r="AE54" i="3"/>
  <c r="AE55" i="3" s="1"/>
  <c r="AE50" i="3"/>
  <c r="AY108" i="119" s="1"/>
  <c r="Z98" i="30" s="1"/>
  <c r="BA50" i="3"/>
  <c r="BU108" i="119" s="1"/>
  <c r="AV98" i="30" s="1"/>
  <c r="BA54" i="3"/>
  <c r="BA55" i="3" s="1"/>
  <c r="EO54" i="3"/>
  <c r="EO55" i="3" s="1"/>
  <c r="EO50" i="3"/>
  <c r="M50" i="3"/>
  <c r="M54" i="3"/>
  <c r="M55" i="3" s="1"/>
  <c r="W54" i="3"/>
  <c r="W55" i="3" s="1"/>
  <c r="W50" i="3"/>
  <c r="AQ108" i="119" s="1"/>
  <c r="G50" i="3"/>
  <c r="G54" i="3"/>
  <c r="G55" i="3" s="1"/>
  <c r="CN31" i="51"/>
  <c r="FP94" i="51" s="1"/>
  <c r="CN15" i="51"/>
  <c r="CT93" i="2"/>
  <c r="FK39" i="2"/>
  <c r="Y63" i="119" s="1"/>
  <c r="FK57" i="2"/>
  <c r="CT57" i="2"/>
  <c r="CU100" i="92"/>
  <c r="FJ22" i="1"/>
  <c r="Y25" i="119" s="1"/>
  <c r="FJ33" i="1"/>
  <c r="Y286" i="119" s="1"/>
  <c r="Y288" i="119" s="1"/>
  <c r="CV61" i="51" l="1"/>
  <c r="E19" i="114"/>
  <c r="F20" i="114" s="1"/>
  <c r="DG20" i="119"/>
  <c r="DG259" i="119" s="1"/>
  <c r="CT67" i="51"/>
  <c r="DF20" i="119"/>
  <c r="DF259" i="119" s="1"/>
  <c r="DL9" i="3"/>
  <c r="DL67" i="3" s="1"/>
  <c r="CR8" i="6"/>
  <c r="DL9" i="113"/>
  <c r="DL9" i="2"/>
  <c r="DL10" i="92"/>
  <c r="DL38" i="1"/>
  <c r="DL116" i="1" s="1"/>
  <c r="DL9" i="51"/>
  <c r="DP8" i="1"/>
  <c r="DP9" i="113" s="1"/>
  <c r="DL9" i="112"/>
  <c r="M17" i="114"/>
  <c r="EX50" i="3"/>
  <c r="L108" i="119" s="1"/>
  <c r="L98" i="30" s="1"/>
  <c r="I16" i="114"/>
  <c r="R17" i="114"/>
  <c r="EW54" i="3"/>
  <c r="EW55" i="3" s="1"/>
  <c r="EZ50" i="3"/>
  <c r="N108" i="119" s="1"/>
  <c r="N98" i="30" s="1"/>
  <c r="CH54" i="3"/>
  <c r="ET50" i="3"/>
  <c r="H108" i="119" s="1"/>
  <c r="H98" i="30" s="1"/>
  <c r="ET54" i="3"/>
  <c r="ET55" i="3" s="1"/>
  <c r="CH50" i="3"/>
  <c r="O17" i="114"/>
  <c r="ES54" i="3"/>
  <c r="ES55" i="3" s="1"/>
  <c r="O31" i="114"/>
  <c r="R31" i="114"/>
  <c r="N17" i="114"/>
  <c r="EZ54" i="3"/>
  <c r="EZ55" i="3" s="1"/>
  <c r="EX54" i="3"/>
  <c r="EX55" i="3" s="1"/>
  <c r="K16" i="114"/>
  <c r="X17" i="114"/>
  <c r="ER54" i="3"/>
  <c r="ER55" i="3" s="1"/>
  <c r="L17" i="114"/>
  <c r="I31" i="114"/>
  <c r="U16" i="114"/>
  <c r="I17" i="114"/>
  <c r="N16" i="114"/>
  <c r="J16" i="114"/>
  <c r="N31" i="114"/>
  <c r="ER50" i="3"/>
  <c r="F108" i="119" s="1"/>
  <c r="F98" i="30" s="1"/>
  <c r="ES50" i="3"/>
  <c r="G108" i="119" s="1"/>
  <c r="G98" i="30" s="1"/>
  <c r="Q17" i="114"/>
  <c r="U17" i="114"/>
  <c r="EY54" i="3"/>
  <c r="EY55" i="3" s="1"/>
  <c r="J31" i="114"/>
  <c r="V16" i="114"/>
  <c r="V17" i="114"/>
  <c r="EY50" i="3"/>
  <c r="M108" i="119" s="1"/>
  <c r="M98" i="30" s="1"/>
  <c r="J17" i="114"/>
  <c r="P17" i="114"/>
  <c r="H16" i="114"/>
  <c r="L16" i="114"/>
  <c r="Q19" i="114"/>
  <c r="O283" i="119"/>
  <c r="O214" i="30" s="1"/>
  <c r="H19" i="114"/>
  <c r="H20" i="114" s="1"/>
  <c r="F283" i="119"/>
  <c r="F214" i="30" s="1"/>
  <c r="P212" i="30"/>
  <c r="P260" i="119"/>
  <c r="P193" i="30" s="1"/>
  <c r="P19" i="114"/>
  <c r="P32" i="114" s="1"/>
  <c r="N283" i="119"/>
  <c r="N214" i="30" s="1"/>
  <c r="I260" i="119"/>
  <c r="I193" i="30" s="1"/>
  <c r="I212" i="30"/>
  <c r="H212" i="30"/>
  <c r="H260" i="119"/>
  <c r="H193" i="30" s="1"/>
  <c r="O212" i="30"/>
  <c r="O260" i="119"/>
  <c r="O193" i="30" s="1"/>
  <c r="U19" i="114"/>
  <c r="U32" i="114" s="1"/>
  <c r="S283" i="119"/>
  <c r="S214" i="30" s="1"/>
  <c r="J212" i="30"/>
  <c r="J260" i="119"/>
  <c r="J193" i="30" s="1"/>
  <c r="L19" i="114"/>
  <c r="J283" i="119"/>
  <c r="J214" i="30" s="1"/>
  <c r="Q16" i="114"/>
  <c r="T212" i="30"/>
  <c r="T260" i="119"/>
  <c r="T193" i="30" s="1"/>
  <c r="EU54" i="3"/>
  <c r="EU55" i="3" s="1"/>
  <c r="EU50" i="3"/>
  <c r="I108" i="119" s="1"/>
  <c r="I98" i="30" s="1"/>
  <c r="EV54" i="3"/>
  <c r="EV55" i="3" s="1"/>
  <c r="CQ65" i="51"/>
  <c r="CL126" i="1"/>
  <c r="DF30" i="119"/>
  <c r="DF269" i="119" s="1"/>
  <c r="CV64" i="51"/>
  <c r="O19" i="114"/>
  <c r="M283" i="119"/>
  <c r="M214" i="30" s="1"/>
  <c r="N19" i="114"/>
  <c r="N32" i="114" s="1"/>
  <c r="L283" i="119"/>
  <c r="L214" i="30" s="1"/>
  <c r="S19" i="114"/>
  <c r="S32" i="114" s="1"/>
  <c r="Q283" i="119"/>
  <c r="Q214" i="30" s="1"/>
  <c r="V19" i="114"/>
  <c r="T283" i="119"/>
  <c r="T214" i="30" s="1"/>
  <c r="M31" i="114"/>
  <c r="P16" i="114"/>
  <c r="R16" i="114"/>
  <c r="DH67" i="3"/>
  <c r="G212" i="30"/>
  <c r="G260" i="119"/>
  <c r="G193" i="30" s="1"/>
  <c r="L212" i="30"/>
  <c r="L260" i="119"/>
  <c r="L193" i="30" s="1"/>
  <c r="S212" i="30"/>
  <c r="S260" i="119"/>
  <c r="S193" i="30" s="1"/>
  <c r="K212" i="30"/>
  <c r="K260" i="119"/>
  <c r="K193" i="30" s="1"/>
  <c r="T19" i="114"/>
  <c r="R283" i="119"/>
  <c r="R214" i="30" s="1"/>
  <c r="M212" i="30"/>
  <c r="M260" i="119"/>
  <c r="M193" i="30" s="1"/>
  <c r="CN66" i="51"/>
  <c r="EW50" i="3"/>
  <c r="K108" i="119" s="1"/>
  <c r="K98" i="30" s="1"/>
  <c r="CO62" i="51"/>
  <c r="CI25" i="3"/>
  <c r="DC96" i="119" s="1"/>
  <c r="CD87" i="30" s="1"/>
  <c r="DC305" i="119"/>
  <c r="CD236" i="30" s="1"/>
  <c r="R19" i="114"/>
  <c r="R32" i="114" s="1"/>
  <c r="P283" i="119"/>
  <c r="P214" i="30" s="1"/>
  <c r="K19" i="114"/>
  <c r="I283" i="119"/>
  <c r="I214" i="30" s="1"/>
  <c r="J19" i="114"/>
  <c r="J32" i="114" s="1"/>
  <c r="H283" i="119"/>
  <c r="H214" i="30" s="1"/>
  <c r="X19" i="114"/>
  <c r="X32" i="114" s="1"/>
  <c r="V283" i="119"/>
  <c r="V214" i="30" s="1"/>
  <c r="I19" i="114"/>
  <c r="G283" i="119"/>
  <c r="G214" i="30" s="1"/>
  <c r="M16" i="114"/>
  <c r="O16" i="114"/>
  <c r="H31" i="114"/>
  <c r="K17" i="114"/>
  <c r="F212" i="30"/>
  <c r="F260" i="119"/>
  <c r="F193" i="30" s="1"/>
  <c r="V212" i="30"/>
  <c r="V260" i="119"/>
  <c r="V193" i="30" s="1"/>
  <c r="CO65" i="51"/>
  <c r="EV50" i="3"/>
  <c r="J108" i="119" s="1"/>
  <c r="J98" i="30" s="1"/>
  <c r="CV63" i="51"/>
  <c r="M19" i="114"/>
  <c r="K283" i="119"/>
  <c r="K214" i="30" s="1"/>
  <c r="Y19" i="114"/>
  <c r="W283" i="119"/>
  <c r="W214" i="30" s="1"/>
  <c r="N212" i="30"/>
  <c r="N260" i="119"/>
  <c r="N193" i="30" s="1"/>
  <c r="AE87" i="119"/>
  <c r="EG53" i="119"/>
  <c r="EG81" i="119"/>
  <c r="AF87" i="119"/>
  <c r="Y64" i="119"/>
  <c r="AD87" i="119"/>
  <c r="FL67" i="51"/>
  <c r="FJ67" i="51"/>
  <c r="EC10" i="92"/>
  <c r="EC9" i="3"/>
  <c r="EC67" i="3" s="1"/>
  <c r="EG8" i="1"/>
  <c r="EG9" i="113" s="1"/>
  <c r="EC9" i="2"/>
  <c r="EC38" i="1"/>
  <c r="DY116" i="1"/>
  <c r="DY59" i="1"/>
  <c r="DY95" i="1"/>
  <c r="DY74" i="1"/>
  <c r="EC9" i="113"/>
  <c r="DI8" i="6"/>
  <c r="EC9" i="112"/>
  <c r="EC9" i="51"/>
  <c r="Y24" i="114"/>
  <c r="CL125" i="1"/>
  <c r="CL74" i="2"/>
  <c r="CL72" i="2"/>
  <c r="CL85" i="2"/>
  <c r="CL73" i="2"/>
  <c r="CL75" i="2"/>
  <c r="CM85" i="2"/>
  <c r="CM73" i="2"/>
  <c r="CM72" i="2"/>
  <c r="CM75" i="2"/>
  <c r="CM74" i="2"/>
  <c r="FM25" i="51"/>
  <c r="CZ22" i="51"/>
  <c r="CZ21" i="51"/>
  <c r="DQ74" i="1"/>
  <c r="DQ95" i="1"/>
  <c r="DQ116" i="1"/>
  <c r="DQ59" i="1"/>
  <c r="DO9" i="3"/>
  <c r="DO67" i="3" s="1"/>
  <c r="DO9" i="112"/>
  <c r="DO9" i="113"/>
  <c r="DO10" i="92"/>
  <c r="DO9" i="51"/>
  <c r="DO38" i="1"/>
  <c r="DN9" i="51"/>
  <c r="AB6" i="115" s="1"/>
  <c r="DN9" i="3"/>
  <c r="DN67" i="3" s="1"/>
  <c r="DN9" i="112"/>
  <c r="DN10" i="92"/>
  <c r="DN9" i="113"/>
  <c r="DN38" i="1"/>
  <c r="DH95" i="1"/>
  <c r="DH74" i="1"/>
  <c r="DH116" i="1"/>
  <c r="DH59" i="1"/>
  <c r="DK95" i="1"/>
  <c r="DK116" i="1"/>
  <c r="DK59" i="1"/>
  <c r="DK74" i="1"/>
  <c r="DJ74" i="1"/>
  <c r="DJ95" i="1"/>
  <c r="DJ116" i="1"/>
  <c r="DJ59" i="1"/>
  <c r="DU95" i="1"/>
  <c r="DU116" i="1"/>
  <c r="DU59" i="1"/>
  <c r="DU74" i="1"/>
  <c r="DO9" i="2"/>
  <c r="CU8" i="6"/>
  <c r="DN9" i="2"/>
  <c r="CT8" i="6"/>
  <c r="Y17" i="114"/>
  <c r="Y16" i="114"/>
  <c r="Y31" i="114"/>
  <c r="F32" i="114"/>
  <c r="G21" i="114"/>
  <c r="G34" i="114" s="1"/>
  <c r="G20" i="114"/>
  <c r="G32" i="114"/>
  <c r="S17" i="114"/>
  <c r="S16" i="114"/>
  <c r="S31" i="114"/>
  <c r="T16" i="114"/>
  <c r="T17" i="114"/>
  <c r="T31" i="114"/>
  <c r="BS77" i="6"/>
  <c r="BS59" i="6"/>
  <c r="BR56" i="6"/>
  <c r="BR77" i="6"/>
  <c r="BR59" i="6"/>
  <c r="BS37" i="6"/>
  <c r="BS95" i="6" s="1"/>
  <c r="BS56" i="6"/>
  <c r="GI111" i="1"/>
  <c r="DS8" i="1"/>
  <c r="DW8" i="1" s="1"/>
  <c r="DR8" i="1"/>
  <c r="DV8" i="1" s="1"/>
  <c r="GK54" i="1"/>
  <c r="FJ112" i="1"/>
  <c r="FJ55" i="1"/>
  <c r="EX54" i="1"/>
  <c r="EX111" i="1"/>
  <c r="EW111" i="1"/>
  <c r="EW54" i="1"/>
  <c r="ES110" i="1"/>
  <c r="ES53" i="1"/>
  <c r="GA54" i="1"/>
  <c r="GA111" i="1"/>
  <c r="FE110" i="1"/>
  <c r="FE53" i="1"/>
  <c r="GN110" i="1"/>
  <c r="GN53" i="1"/>
  <c r="GG110" i="1"/>
  <c r="GG53" i="1"/>
  <c r="GH110" i="1"/>
  <c r="GH53" i="1"/>
  <c r="EQ110" i="1"/>
  <c r="EQ53" i="1"/>
  <c r="EV110" i="1"/>
  <c r="EV53" i="1"/>
  <c r="EY111" i="1"/>
  <c r="EY54" i="1"/>
  <c r="EZ111" i="1"/>
  <c r="EZ54" i="1"/>
  <c r="ET111" i="1"/>
  <c r="ET54" i="1"/>
  <c r="FB53" i="1"/>
  <c r="FB110" i="1"/>
  <c r="FC110" i="1"/>
  <c r="FC53" i="1"/>
  <c r="FE111" i="1"/>
  <c r="FE54" i="1"/>
  <c r="ER54" i="1"/>
  <c r="ER111" i="1"/>
  <c r="GN111" i="1"/>
  <c r="GN54" i="1"/>
  <c r="GG111" i="1"/>
  <c r="GG54" i="1"/>
  <c r="FY110" i="1"/>
  <c r="FY53" i="1"/>
  <c r="GH111" i="1"/>
  <c r="GH54" i="1"/>
  <c r="GM54" i="1"/>
  <c r="GM111" i="1"/>
  <c r="FY111" i="1"/>
  <c r="FY54" i="1"/>
  <c r="GM110" i="1"/>
  <c r="GM53" i="1"/>
  <c r="EN110" i="1"/>
  <c r="EN53" i="1"/>
  <c r="EQ111" i="1"/>
  <c r="EQ54" i="1"/>
  <c r="EV111" i="1"/>
  <c r="EV54" i="1"/>
  <c r="EY110" i="1"/>
  <c r="EY53" i="1"/>
  <c r="EZ110" i="1"/>
  <c r="EZ53" i="1"/>
  <c r="ET110" i="1"/>
  <c r="ET53" i="1"/>
  <c r="FB111" i="1"/>
  <c r="FB54" i="1"/>
  <c r="FC111" i="1"/>
  <c r="FC54" i="1"/>
  <c r="ER110" i="1"/>
  <c r="ER53" i="1"/>
  <c r="GF110" i="1"/>
  <c r="GF53" i="1"/>
  <c r="GJ111" i="1"/>
  <c r="GJ54" i="1"/>
  <c r="GL110" i="1"/>
  <c r="GL53" i="1"/>
  <c r="GC111" i="1"/>
  <c r="GC54" i="1"/>
  <c r="GE110" i="1"/>
  <c r="GE53" i="1"/>
  <c r="FX111" i="1"/>
  <c r="FX54" i="1"/>
  <c r="EU111" i="1"/>
  <c r="EU54" i="1"/>
  <c r="FZ54" i="1"/>
  <c r="FZ111" i="1"/>
  <c r="GD110" i="1"/>
  <c r="GD53" i="1"/>
  <c r="GR102" i="1"/>
  <c r="GR66" i="1"/>
  <c r="GR45" i="1"/>
  <c r="EN111" i="1"/>
  <c r="EN54" i="1"/>
  <c r="EP110" i="1"/>
  <c r="EP53" i="1"/>
  <c r="GF111" i="1"/>
  <c r="GF54" i="1"/>
  <c r="GJ110" i="1"/>
  <c r="GJ53" i="1"/>
  <c r="GL54" i="1"/>
  <c r="GL111" i="1"/>
  <c r="GC53" i="1"/>
  <c r="GC110" i="1"/>
  <c r="GE111" i="1"/>
  <c r="GE54" i="1"/>
  <c r="FX110" i="1"/>
  <c r="FX53" i="1"/>
  <c r="GK110" i="1"/>
  <c r="FA53" i="1"/>
  <c r="FA110" i="1"/>
  <c r="FH111" i="1"/>
  <c r="FH54" i="1"/>
  <c r="FD110" i="1"/>
  <c r="FD53" i="1"/>
  <c r="EO53" i="1"/>
  <c r="EO110" i="1"/>
  <c r="GB53" i="1"/>
  <c r="GB110" i="1"/>
  <c r="GO110" i="1"/>
  <c r="GO53" i="1"/>
  <c r="FA111" i="1"/>
  <c r="FA54" i="1"/>
  <c r="EX110" i="1"/>
  <c r="EX53" i="1"/>
  <c r="EU110" i="1"/>
  <c r="EU53" i="1"/>
  <c r="FH110" i="1"/>
  <c r="FH53" i="1"/>
  <c r="EW110" i="1"/>
  <c r="EW53" i="1"/>
  <c r="FD111" i="1"/>
  <c r="FD54" i="1"/>
  <c r="ES111" i="1"/>
  <c r="ES54" i="1"/>
  <c r="EO111" i="1"/>
  <c r="EO54" i="1"/>
  <c r="EP111" i="1"/>
  <c r="EP54" i="1"/>
  <c r="GA110" i="1"/>
  <c r="GA53" i="1"/>
  <c r="FZ110" i="1"/>
  <c r="FZ53" i="1"/>
  <c r="GB111" i="1"/>
  <c r="GB54" i="1"/>
  <c r="GD111" i="1"/>
  <c r="GD54" i="1"/>
  <c r="GO111" i="1"/>
  <c r="GO54" i="1"/>
  <c r="GI53" i="1"/>
  <c r="GI54" i="1"/>
  <c r="CM104" i="1"/>
  <c r="CM125" i="1"/>
  <c r="CM105" i="1"/>
  <c r="CM126" i="1"/>
  <c r="CL84" i="1"/>
  <c r="CL105" i="1"/>
  <c r="CL83" i="1"/>
  <c r="CL104" i="1"/>
  <c r="CM84" i="1"/>
  <c r="CM68" i="1"/>
  <c r="CM83" i="1"/>
  <c r="CL48" i="1"/>
  <c r="CL69" i="1"/>
  <c r="CL47" i="1"/>
  <c r="CL68" i="1"/>
  <c r="CM48" i="1"/>
  <c r="CM69" i="1"/>
  <c r="CM47" i="1"/>
  <c r="CM26" i="1"/>
  <c r="FP20" i="2"/>
  <c r="AD53" i="119" s="1"/>
  <c r="FO42" i="2"/>
  <c r="CU21" i="1"/>
  <c r="DO24" i="119" s="1"/>
  <c r="DO26" i="119" s="1"/>
  <c r="CX43" i="2"/>
  <c r="CY41" i="2"/>
  <c r="GT58" i="51"/>
  <c r="CX25" i="51"/>
  <c r="CW32" i="51"/>
  <c r="FQ113" i="51" s="1"/>
  <c r="CW33" i="51"/>
  <c r="FW96" i="51" s="1"/>
  <c r="CJ11" i="3"/>
  <c r="FJ53" i="51"/>
  <c r="GT53" i="51"/>
  <c r="CN52" i="51"/>
  <c r="CV33" i="51"/>
  <c r="FV96" i="51" s="1"/>
  <c r="CV22" i="51"/>
  <c r="CV21" i="51"/>
  <c r="CV32" i="51"/>
  <c r="FP113" i="51" s="1"/>
  <c r="GW25" i="51"/>
  <c r="CT53" i="51"/>
  <c r="CT58" i="51"/>
  <c r="CT61" i="51" s="1"/>
  <c r="GR23" i="1"/>
  <c r="CM25" i="1"/>
  <c r="DG290" i="119" s="1"/>
  <c r="CO20" i="51"/>
  <c r="CN57" i="51"/>
  <c r="CN60" i="51" s="1"/>
  <c r="CO23" i="51"/>
  <c r="BR37" i="6"/>
  <c r="BR95" i="6" s="1"/>
  <c r="FB38" i="6"/>
  <c r="FJ34" i="1"/>
  <c r="Y287" i="119" s="1"/>
  <c r="CN24" i="51"/>
  <c r="GR17" i="1"/>
  <c r="CL26" i="1"/>
  <c r="CL25" i="1"/>
  <c r="DF290" i="119" s="1"/>
  <c r="CT36" i="51"/>
  <c r="FN131" i="51" s="1"/>
  <c r="CT25" i="51"/>
  <c r="FK16" i="51"/>
  <c r="GU16" i="51"/>
  <c r="FJ25" i="51"/>
  <c r="CU36" i="51"/>
  <c r="FO131" i="51" s="1"/>
  <c r="CU14" i="51"/>
  <c r="E51" i="3"/>
  <c r="E52" i="3" s="1"/>
  <c r="CS92" i="2"/>
  <c r="CR91" i="2"/>
  <c r="DL49" i="119" s="1"/>
  <c r="FL37" i="2"/>
  <c r="CO15" i="51"/>
  <c r="CS14" i="51"/>
  <c r="FI11" i="51"/>
  <c r="FI62" i="51" s="1"/>
  <c r="CO34" i="51"/>
  <c r="FW111" i="51" s="1"/>
  <c r="FI14" i="51"/>
  <c r="FI65" i="51" s="1"/>
  <c r="CO31" i="51"/>
  <c r="FQ94" i="51" s="1"/>
  <c r="CQ23" i="51"/>
  <c r="GT33" i="1"/>
  <c r="FK34" i="3"/>
  <c r="Y100" i="119" s="1"/>
  <c r="CN35" i="51"/>
  <c r="CN17" i="51"/>
  <c r="CU93" i="2"/>
  <c r="CV100" i="92"/>
  <c r="GT22" i="1"/>
  <c r="CN88" i="2"/>
  <c r="DH47" i="119" s="1"/>
  <c r="FJ32" i="2"/>
  <c r="CU61" i="51" l="1"/>
  <c r="E32" i="114"/>
  <c r="E20" i="114"/>
  <c r="DP38" i="1"/>
  <c r="DP74" i="1" s="1"/>
  <c r="CV8" i="6"/>
  <c r="DL95" i="1"/>
  <c r="DL74" i="1"/>
  <c r="DL59" i="1"/>
  <c r="DP9" i="112"/>
  <c r="DP10" i="92"/>
  <c r="CH55" i="3"/>
  <c r="DT8" i="1"/>
  <c r="DP9" i="3"/>
  <c r="DP67" i="3" s="1"/>
  <c r="DP9" i="2"/>
  <c r="DP9" i="51"/>
  <c r="T21" i="114"/>
  <c r="T34" i="114" s="1"/>
  <c r="M20" i="114"/>
  <c r="J21" i="114"/>
  <c r="J34" i="114" s="1"/>
  <c r="X21" i="114"/>
  <c r="X34" i="114" s="1"/>
  <c r="Q21" i="114"/>
  <c r="Q34" i="114" s="1"/>
  <c r="Q32" i="114"/>
  <c r="R20" i="114"/>
  <c r="T32" i="114"/>
  <c r="J20" i="114"/>
  <c r="N21" i="114"/>
  <c r="N34" i="114" s="1"/>
  <c r="V20" i="114"/>
  <c r="CI50" i="3"/>
  <c r="CI54" i="3"/>
  <c r="M21" i="114"/>
  <c r="M34" i="114" s="1"/>
  <c r="S21" i="114"/>
  <c r="S34" i="114" s="1"/>
  <c r="Y21" i="114"/>
  <c r="Y34" i="114" s="1"/>
  <c r="L20" i="114"/>
  <c r="K32" i="114"/>
  <c r="EG9" i="51"/>
  <c r="O21" i="114"/>
  <c r="O34" i="114" s="1"/>
  <c r="H32" i="114"/>
  <c r="H21" i="114"/>
  <c r="H34" i="114" s="1"/>
  <c r="U21" i="114"/>
  <c r="U34" i="114" s="1"/>
  <c r="M32" i="114"/>
  <c r="I20" i="114"/>
  <c r="N20" i="114"/>
  <c r="L32" i="114"/>
  <c r="V21" i="114"/>
  <c r="V34" i="114" s="1"/>
  <c r="R21" i="114"/>
  <c r="R34" i="114" s="1"/>
  <c r="T20" i="114"/>
  <c r="CK11" i="3"/>
  <c r="DE305" i="119" s="1"/>
  <c r="CF236" i="30" s="1"/>
  <c r="DD305" i="119"/>
  <c r="CE236" i="30" s="1"/>
  <c r="P20" i="114"/>
  <c r="CN68" i="51"/>
  <c r="CS65" i="51"/>
  <c r="CO66" i="51"/>
  <c r="O32" i="114"/>
  <c r="K21" i="114"/>
  <c r="K34" i="114" s="1"/>
  <c r="Y32" i="114"/>
  <c r="I32" i="114"/>
  <c r="U20" i="114"/>
  <c r="S20" i="114"/>
  <c r="CU65" i="51"/>
  <c r="L21" i="114"/>
  <c r="L34" i="114" s="1"/>
  <c r="O20" i="114"/>
  <c r="Y20" i="114"/>
  <c r="I21" i="114"/>
  <c r="I34" i="114" s="1"/>
  <c r="P21" i="114"/>
  <c r="P34" i="114" s="1"/>
  <c r="K20" i="114"/>
  <c r="DF277" i="119"/>
  <c r="DF275" i="119"/>
  <c r="DG277" i="119"/>
  <c r="DG275" i="119"/>
  <c r="V32" i="114"/>
  <c r="Q20" i="114"/>
  <c r="DM8" i="6"/>
  <c r="EH53" i="119"/>
  <c r="EH81" i="119"/>
  <c r="EI53" i="119"/>
  <c r="EI81" i="119"/>
  <c r="AD81" i="119"/>
  <c r="DM50" i="119"/>
  <c r="FK92" i="2"/>
  <c r="Y50" i="119" s="1"/>
  <c r="Y49" i="119" s="1"/>
  <c r="FK67" i="51"/>
  <c r="DV38" i="1"/>
  <c r="DV10" i="92"/>
  <c r="DV9" i="2"/>
  <c r="DV9" i="3"/>
  <c r="DV67" i="3" s="1"/>
  <c r="DZ8" i="1"/>
  <c r="EC116" i="1"/>
  <c r="EC59" i="1"/>
  <c r="EC95" i="1"/>
  <c r="EC74" i="1"/>
  <c r="EG38" i="1"/>
  <c r="EG10" i="92"/>
  <c r="EG9" i="3"/>
  <c r="EG67" i="3" s="1"/>
  <c r="EK8" i="1"/>
  <c r="EG9" i="2"/>
  <c r="DW38" i="1"/>
  <c r="DW9" i="3"/>
  <c r="DW67" i="3" s="1"/>
  <c r="EA8" i="1"/>
  <c r="DW10" i="92"/>
  <c r="DW9" i="2"/>
  <c r="EG9" i="112"/>
  <c r="DV9" i="51"/>
  <c r="DV9" i="113"/>
  <c r="DV9" i="112"/>
  <c r="DB8" i="6"/>
  <c r="DW9" i="113"/>
  <c r="DW9" i="112"/>
  <c r="DW9" i="51"/>
  <c r="DC8" i="6"/>
  <c r="FL25" i="51"/>
  <c r="FI23" i="51"/>
  <c r="DS10" i="92"/>
  <c r="DS9" i="113"/>
  <c r="DS9" i="51"/>
  <c r="DS9" i="3"/>
  <c r="DS67" i="3" s="1"/>
  <c r="DS38" i="1"/>
  <c r="DS9" i="112"/>
  <c r="DN95" i="1"/>
  <c r="DN116" i="1"/>
  <c r="DN59" i="1"/>
  <c r="DN74" i="1"/>
  <c r="DO116" i="1"/>
  <c r="DO59" i="1"/>
  <c r="DO74" i="1"/>
  <c r="DO95" i="1"/>
  <c r="DR9" i="112"/>
  <c r="DR10" i="92"/>
  <c r="DR9" i="113"/>
  <c r="DR38" i="1"/>
  <c r="DR9" i="51"/>
  <c r="DR9" i="3"/>
  <c r="DR67" i="3" s="1"/>
  <c r="CY8" i="6"/>
  <c r="DS9" i="2"/>
  <c r="CX8" i="6"/>
  <c r="DR9" i="2"/>
  <c r="BS76" i="6"/>
  <c r="BS58" i="6"/>
  <c r="FB59" i="6"/>
  <c r="FB96" i="6"/>
  <c r="FB37" i="6"/>
  <c r="BR76" i="6"/>
  <c r="BR58" i="6"/>
  <c r="FP42" i="2"/>
  <c r="GR105" i="1"/>
  <c r="GR69" i="1"/>
  <c r="GR48" i="1"/>
  <c r="GR104" i="1"/>
  <c r="GR68" i="1"/>
  <c r="GR47" i="1"/>
  <c r="GT112" i="1"/>
  <c r="GT55" i="1"/>
  <c r="FJ113" i="1"/>
  <c r="FJ56" i="1"/>
  <c r="CM127" i="1"/>
  <c r="CL106" i="1"/>
  <c r="CL127" i="1"/>
  <c r="CM106" i="1"/>
  <c r="CM85" i="1"/>
  <c r="CL70" i="1"/>
  <c r="CL85" i="1"/>
  <c r="CM70" i="1"/>
  <c r="CM28" i="1"/>
  <c r="CM49" i="1"/>
  <c r="CM29" i="1"/>
  <c r="CM30" i="1"/>
  <c r="CL49" i="1"/>
  <c r="CL29" i="1"/>
  <c r="CL30" i="1"/>
  <c r="CV21" i="1"/>
  <c r="DP24" i="119" s="1"/>
  <c r="DP26" i="119" s="1"/>
  <c r="CZ41" i="2"/>
  <c r="CY43" i="2"/>
  <c r="CJ25" i="3"/>
  <c r="DD96" i="119" s="1"/>
  <c r="CE87" i="30" s="1"/>
  <c r="CN54" i="51"/>
  <c r="CY23" i="51"/>
  <c r="CX13" i="51"/>
  <c r="CX12" i="51"/>
  <c r="CW23" i="51"/>
  <c r="GV25" i="51"/>
  <c r="CV115" i="2"/>
  <c r="CO52" i="51"/>
  <c r="CX101" i="92"/>
  <c r="GR26" i="1"/>
  <c r="CU23" i="51"/>
  <c r="GR25" i="1"/>
  <c r="FM37" i="2"/>
  <c r="DE37" i="2"/>
  <c r="CO35" i="51"/>
  <c r="CO24" i="51"/>
  <c r="GT34" i="1"/>
  <c r="CW101" i="92"/>
  <c r="FL33" i="2"/>
  <c r="FK12" i="51"/>
  <c r="FK64" i="51" s="1"/>
  <c r="FK13" i="51"/>
  <c r="FK63" i="51" s="1"/>
  <c r="CU57" i="2"/>
  <c r="FK41" i="3"/>
  <c r="FK64" i="3" s="1"/>
  <c r="FI20" i="51"/>
  <c r="GU25" i="51"/>
  <c r="CL28" i="1"/>
  <c r="CR11" i="51"/>
  <c r="FK25" i="51"/>
  <c r="CP11" i="51"/>
  <c r="CN9" i="1"/>
  <c r="F51" i="3"/>
  <c r="CT92" i="2"/>
  <c r="DN50" i="119" s="1"/>
  <c r="CS91" i="2"/>
  <c r="DM49" i="119" s="1"/>
  <c r="CP14" i="51"/>
  <c r="CO17" i="51"/>
  <c r="CS23" i="51"/>
  <c r="FI15" i="51"/>
  <c r="FI66" i="51" s="1"/>
  <c r="FK24" i="2"/>
  <c r="Y54" i="119" s="1"/>
  <c r="CN46" i="51"/>
  <c r="CN37" i="51"/>
  <c r="CN45" i="51"/>
  <c r="CN44" i="51"/>
  <c r="CN41" i="51"/>
  <c r="CN42" i="51"/>
  <c r="CN40" i="51"/>
  <c r="CN43" i="51"/>
  <c r="CN26" i="51"/>
  <c r="CV93" i="2"/>
  <c r="CW100" i="92"/>
  <c r="FJ22" i="3"/>
  <c r="DP116" i="1" l="1"/>
  <c r="DP95" i="1"/>
  <c r="DP59" i="1"/>
  <c r="DT38" i="1"/>
  <c r="DT59" i="1" s="1"/>
  <c r="DG281" i="119"/>
  <c r="DG260" i="119" s="1"/>
  <c r="DT9" i="51"/>
  <c r="DT9" i="2"/>
  <c r="DX8" i="1"/>
  <c r="DT9" i="113"/>
  <c r="DT10" i="92"/>
  <c r="DT9" i="3"/>
  <c r="DT67" i="3" s="1"/>
  <c r="CZ8" i="6"/>
  <c r="DT9" i="112"/>
  <c r="CI55" i="3"/>
  <c r="EK9" i="51"/>
  <c r="DG280" i="119"/>
  <c r="DG267" i="119"/>
  <c r="DH11" i="119"/>
  <c r="DH270" i="119" s="1"/>
  <c r="FK48" i="3"/>
  <c r="Y284" i="119"/>
  <c r="Y102" i="119"/>
  <c r="DF280" i="119"/>
  <c r="DF267" i="119"/>
  <c r="CX64" i="51"/>
  <c r="CO68" i="51"/>
  <c r="CP62" i="51"/>
  <c r="FI11" i="3"/>
  <c r="W305" i="119" s="1"/>
  <c r="W236" i="30" s="1"/>
  <c r="CP65" i="51"/>
  <c r="CK25" i="3"/>
  <c r="DE96" i="119" s="1"/>
  <c r="CF87" i="30" s="1"/>
  <c r="CR62" i="51"/>
  <c r="CX63" i="51"/>
  <c r="DF279" i="119"/>
  <c r="CL130" i="1"/>
  <c r="DF281" i="119"/>
  <c r="DF260" i="119" s="1"/>
  <c r="DG279" i="119"/>
  <c r="EJ53" i="119"/>
  <c r="EJ81" i="119"/>
  <c r="FK91" i="2"/>
  <c r="EK9" i="112"/>
  <c r="DZ9" i="2"/>
  <c r="DZ10" i="92"/>
  <c r="DZ9" i="3"/>
  <c r="DZ67" i="3" s="1"/>
  <c r="ED8" i="1"/>
  <c r="DZ38" i="1"/>
  <c r="DQ8" i="6"/>
  <c r="EA38" i="1"/>
  <c r="EA10" i="92"/>
  <c r="EA9" i="3"/>
  <c r="EA67" i="3" s="1"/>
  <c r="EE8" i="1"/>
  <c r="EA9" i="2"/>
  <c r="EG116" i="1"/>
  <c r="EG95" i="1"/>
  <c r="EG74" i="1"/>
  <c r="EG59" i="1"/>
  <c r="EK38" i="1"/>
  <c r="EK9" i="3"/>
  <c r="EK10" i="92"/>
  <c r="EK9" i="2"/>
  <c r="EK9" i="113"/>
  <c r="DW116" i="1"/>
  <c r="DW74" i="1"/>
  <c r="DW95" i="1"/>
  <c r="DW59" i="1"/>
  <c r="DV74" i="1"/>
  <c r="DV116" i="1"/>
  <c r="DV59" i="1"/>
  <c r="DV95" i="1"/>
  <c r="DZ9" i="112"/>
  <c r="DZ9" i="51"/>
  <c r="DZ9" i="113"/>
  <c r="DF8" i="6"/>
  <c r="EA9" i="51"/>
  <c r="EA9" i="113"/>
  <c r="DG8" i="6"/>
  <c r="EA9" i="112"/>
  <c r="FI52" i="51"/>
  <c r="FI57" i="51"/>
  <c r="CS27" i="51"/>
  <c r="DS74" i="1"/>
  <c r="DS95" i="1"/>
  <c r="DS116" i="1"/>
  <c r="DS59" i="1"/>
  <c r="DR74" i="1"/>
  <c r="DR116" i="1"/>
  <c r="DR59" i="1"/>
  <c r="DR95" i="1"/>
  <c r="DE39" i="2"/>
  <c r="DE44" i="2" s="1"/>
  <c r="DY65" i="119" s="1"/>
  <c r="CN117" i="1"/>
  <c r="BT86" i="6"/>
  <c r="FB95" i="6"/>
  <c r="FB58" i="6"/>
  <c r="FS42" i="2"/>
  <c r="FQ42" i="2"/>
  <c r="CL66" i="2"/>
  <c r="CL67" i="2"/>
  <c r="CM66" i="2"/>
  <c r="CM67" i="2"/>
  <c r="GT56" i="1"/>
  <c r="GT113" i="1"/>
  <c r="GR106" i="1"/>
  <c r="GR70" i="1"/>
  <c r="GR49" i="1"/>
  <c r="GR29" i="1"/>
  <c r="GR30" i="1"/>
  <c r="CM109" i="1"/>
  <c r="CM130" i="1"/>
  <c r="CL107" i="1"/>
  <c r="CL128" i="1"/>
  <c r="CM108" i="1"/>
  <c r="CM129" i="1"/>
  <c r="CM107" i="1"/>
  <c r="CM128" i="1"/>
  <c r="CL108" i="1"/>
  <c r="CL129" i="1"/>
  <c r="CN75" i="1"/>
  <c r="CN96" i="1"/>
  <c r="CL88" i="1"/>
  <c r="CL109" i="1"/>
  <c r="CL52" i="1"/>
  <c r="CM31" i="1"/>
  <c r="CM86" i="1"/>
  <c r="CL71" i="1"/>
  <c r="CL86" i="1"/>
  <c r="CL51" i="1"/>
  <c r="CL87" i="1"/>
  <c r="CM51" i="1"/>
  <c r="CM87" i="1"/>
  <c r="CM52" i="1"/>
  <c r="CM88" i="1"/>
  <c r="CM50" i="1"/>
  <c r="CN63" i="1"/>
  <c r="CN64" i="1"/>
  <c r="CN61" i="1"/>
  <c r="CN60" i="1"/>
  <c r="CN65" i="1"/>
  <c r="CN67" i="1"/>
  <c r="CM71" i="1"/>
  <c r="CM32" i="1"/>
  <c r="CL32" i="1"/>
  <c r="CL31" i="1"/>
  <c r="CN39" i="1"/>
  <c r="CL50" i="1"/>
  <c r="CZ43" i="2"/>
  <c r="DA41" i="2"/>
  <c r="CJ54" i="3"/>
  <c r="CJ50" i="3"/>
  <c r="FY55" i="3"/>
  <c r="CY33" i="51"/>
  <c r="FU97" i="51" s="1"/>
  <c r="CY32" i="51"/>
  <c r="FO114" i="51" s="1"/>
  <c r="CX21" i="1"/>
  <c r="DR24" i="119" s="1"/>
  <c r="DR26" i="119" s="1"/>
  <c r="CX14" i="51"/>
  <c r="CX21" i="51"/>
  <c r="CX32" i="51"/>
  <c r="FN114" i="51" s="1"/>
  <c r="CX33" i="51"/>
  <c r="FT97" i="51" s="1"/>
  <c r="CX22" i="51"/>
  <c r="GR28" i="1"/>
  <c r="FN37" i="2"/>
  <c r="DF37" i="2"/>
  <c r="DF39" i="2" s="1"/>
  <c r="CY101" i="92"/>
  <c r="GV12" i="51"/>
  <c r="GV21" i="51" s="1"/>
  <c r="CO54" i="51"/>
  <c r="CV20" i="51"/>
  <c r="CV14" i="51"/>
  <c r="FK22" i="51"/>
  <c r="FK21" i="51"/>
  <c r="GV13" i="51"/>
  <c r="CV59" i="2"/>
  <c r="CR20" i="51"/>
  <c r="CQ11" i="51"/>
  <c r="CP20" i="51"/>
  <c r="CP31" i="51"/>
  <c r="FN95" i="51" s="1"/>
  <c r="GT11" i="51"/>
  <c r="GT20" i="51" s="1"/>
  <c r="CN11" i="1"/>
  <c r="CN62" i="2"/>
  <c r="BT17" i="6"/>
  <c r="CP15" i="51"/>
  <c r="CO46" i="51"/>
  <c r="CO9" i="1"/>
  <c r="CR14" i="51"/>
  <c r="CO41" i="51"/>
  <c r="CO40" i="51"/>
  <c r="FI17" i="51"/>
  <c r="CO42" i="51"/>
  <c r="CO45" i="51"/>
  <c r="CO37" i="51"/>
  <c r="CO44" i="51"/>
  <c r="CO43" i="51"/>
  <c r="F52" i="3"/>
  <c r="EO51" i="3"/>
  <c r="EO52" i="3" s="1"/>
  <c r="FL12" i="2"/>
  <c r="CU92" i="2"/>
  <c r="DO50" i="119" s="1"/>
  <c r="CT91" i="2"/>
  <c r="DN49" i="119" s="1"/>
  <c r="CT14" i="51"/>
  <c r="GT14" i="51"/>
  <c r="GT23" i="51" s="1"/>
  <c r="CP34" i="51"/>
  <c r="FT112" i="51" s="1"/>
  <c r="CQ34" i="51"/>
  <c r="FU112" i="51" s="1"/>
  <c r="CP23" i="51"/>
  <c r="FL23" i="2"/>
  <c r="Z51" i="119" s="1"/>
  <c r="FL20" i="2"/>
  <c r="Z53" i="119" s="1"/>
  <c r="FL34" i="2"/>
  <c r="Z57" i="119" s="1"/>
  <c r="FL41" i="2"/>
  <c r="DT116" i="1" l="1"/>
  <c r="DT95" i="1"/>
  <c r="EB8" i="1"/>
  <c r="DT74" i="1"/>
  <c r="DX9" i="3"/>
  <c r="DX9" i="51"/>
  <c r="DX38" i="1"/>
  <c r="DX74" i="1" s="1"/>
  <c r="DD8" i="6"/>
  <c r="DX9" i="2"/>
  <c r="DX9" i="112"/>
  <c r="DX10" i="92"/>
  <c r="DX9" i="113"/>
  <c r="CS184" i="112"/>
  <c r="CS187" i="112" s="1"/>
  <c r="CK50" i="3"/>
  <c r="CK54" i="3"/>
  <c r="CR65" i="51"/>
  <c r="FI25" i="3"/>
  <c r="W96" i="119" s="1"/>
  <c r="W87" i="30" s="1"/>
  <c r="CP66" i="51"/>
  <c r="DG282" i="119"/>
  <c r="DG283" i="119"/>
  <c r="DF283" i="119"/>
  <c r="DF282" i="119"/>
  <c r="DI11" i="119"/>
  <c r="DI270" i="119" s="1"/>
  <c r="CT65" i="51"/>
  <c r="CQ62" i="51"/>
  <c r="CV65" i="51"/>
  <c r="CX65" i="51"/>
  <c r="EK67" i="3"/>
  <c r="EK53" i="119"/>
  <c r="EK81" i="119"/>
  <c r="DG37" i="2"/>
  <c r="DG39" i="2" s="1"/>
  <c r="DY63" i="119"/>
  <c r="Z87" i="119"/>
  <c r="Z81" i="119"/>
  <c r="DY64" i="119"/>
  <c r="FI68" i="51"/>
  <c r="FT42" i="2"/>
  <c r="DZ95" i="1"/>
  <c r="DZ74" i="1"/>
  <c r="DZ116" i="1"/>
  <c r="DZ59" i="1"/>
  <c r="EE10" i="92"/>
  <c r="EE9" i="3"/>
  <c r="EE67" i="3" s="1"/>
  <c r="EI8" i="1"/>
  <c r="EE9" i="2"/>
  <c r="EE38" i="1"/>
  <c r="EK95" i="1"/>
  <c r="EK74" i="1"/>
  <c r="EK116" i="1"/>
  <c r="EK59" i="1"/>
  <c r="ED10" i="92"/>
  <c r="ED9" i="3"/>
  <c r="ED67" i="3" s="1"/>
  <c r="ED9" i="2"/>
  <c r="ED38" i="1"/>
  <c r="EH8" i="1"/>
  <c r="EA95" i="1"/>
  <c r="EA59" i="1"/>
  <c r="EA116" i="1"/>
  <c r="EA74" i="1"/>
  <c r="EE9" i="112"/>
  <c r="EE9" i="113"/>
  <c r="EE9" i="51"/>
  <c r="DK8" i="6"/>
  <c r="ED9" i="112"/>
  <c r="ED9" i="113"/>
  <c r="ED9" i="51"/>
  <c r="DJ8" i="6"/>
  <c r="FR42" i="2"/>
  <c r="CO117" i="1"/>
  <c r="BU86" i="6"/>
  <c r="FQ20" i="2"/>
  <c r="FI59" i="51"/>
  <c r="GR107" i="1"/>
  <c r="GR71" i="1"/>
  <c r="GR50" i="1"/>
  <c r="GR51" i="1"/>
  <c r="GR108" i="1"/>
  <c r="GR109" i="1"/>
  <c r="GR52" i="1"/>
  <c r="GR32" i="1"/>
  <c r="GR31" i="1"/>
  <c r="CJ55" i="3"/>
  <c r="CM111" i="1"/>
  <c r="CM132" i="1"/>
  <c r="CM110" i="1"/>
  <c r="CM131" i="1"/>
  <c r="CL110" i="1"/>
  <c r="CL131" i="1"/>
  <c r="CN98" i="1"/>
  <c r="CN119" i="1"/>
  <c r="CL111" i="1"/>
  <c r="CL132" i="1"/>
  <c r="CO75" i="1"/>
  <c r="CO96" i="1"/>
  <c r="CN62" i="1"/>
  <c r="CN77" i="1"/>
  <c r="CL54" i="1"/>
  <c r="CL90" i="1"/>
  <c r="CM54" i="1"/>
  <c r="CM90" i="1"/>
  <c r="CL53" i="1"/>
  <c r="CL89" i="1"/>
  <c r="CM53" i="1"/>
  <c r="CM89" i="1"/>
  <c r="CO64" i="1"/>
  <c r="CO61" i="1"/>
  <c r="CO63" i="1"/>
  <c r="CO60" i="1"/>
  <c r="CN41" i="1"/>
  <c r="CO39" i="1"/>
  <c r="DB41" i="2"/>
  <c r="DA43" i="2"/>
  <c r="FM43" i="2" s="1"/>
  <c r="FI54" i="51"/>
  <c r="CZ23" i="51"/>
  <c r="CX15" i="51"/>
  <c r="CY34" i="51"/>
  <c r="FU114" i="51" s="1"/>
  <c r="CX23" i="51"/>
  <c r="CX34" i="51"/>
  <c r="FT114" i="51" s="1"/>
  <c r="CW34" i="51"/>
  <c r="FW113" i="51" s="1"/>
  <c r="CZ101" i="92"/>
  <c r="CV23" i="51"/>
  <c r="CV34" i="51"/>
  <c r="FV113" i="51" s="1"/>
  <c r="CV15" i="51"/>
  <c r="CV55" i="3"/>
  <c r="CP52" i="51"/>
  <c r="FI44" i="51"/>
  <c r="FI40" i="51"/>
  <c r="FL44" i="3"/>
  <c r="Z104" i="119" s="1"/>
  <c r="GV22" i="51"/>
  <c r="CX100" i="92"/>
  <c r="FJ14" i="51"/>
  <c r="FJ65" i="51" s="1"/>
  <c r="CR15" i="51"/>
  <c r="CQ20" i="51"/>
  <c r="CR31" i="51"/>
  <c r="FP95" i="51" s="1"/>
  <c r="CQ31" i="51"/>
  <c r="FO95" i="51" s="1"/>
  <c r="CQ15" i="51"/>
  <c r="CN15" i="1"/>
  <c r="CP17" i="51"/>
  <c r="GT15" i="51"/>
  <c r="CP24" i="51"/>
  <c r="CP35" i="51"/>
  <c r="CO62" i="2"/>
  <c r="BU17" i="6"/>
  <c r="CO11" i="1"/>
  <c r="CT11" i="51"/>
  <c r="FI46" i="51"/>
  <c r="FI42" i="51"/>
  <c r="FI43" i="51"/>
  <c r="FI41" i="51"/>
  <c r="FI45" i="51"/>
  <c r="FI9" i="1"/>
  <c r="X11" i="119" s="1"/>
  <c r="X270" i="119" s="1"/>
  <c r="FJ32" i="3"/>
  <c r="X97" i="119" s="1"/>
  <c r="CR23" i="51"/>
  <c r="CR34" i="51"/>
  <c r="FV112" i="51" s="1"/>
  <c r="CS34" i="51"/>
  <c r="FW112" i="51" s="1"/>
  <c r="GV14" i="51"/>
  <c r="G51" i="3"/>
  <c r="G52" i="3" s="1"/>
  <c r="CV92" i="2"/>
  <c r="CU91" i="2"/>
  <c r="DO49" i="119" s="1"/>
  <c r="CT34" i="51"/>
  <c r="FT113" i="51" s="1"/>
  <c r="CT23" i="51"/>
  <c r="CU34" i="51"/>
  <c r="FU113" i="51" s="1"/>
  <c r="GU14" i="51"/>
  <c r="FK14" i="51"/>
  <c r="FK65" i="51" s="1"/>
  <c r="FJ13" i="2"/>
  <c r="X42" i="119" s="1"/>
  <c r="FJ19" i="3"/>
  <c r="FL39" i="2"/>
  <c r="Z63" i="119" s="1"/>
  <c r="EB9" i="3" l="1"/>
  <c r="EB10" i="92"/>
  <c r="EB9" i="2"/>
  <c r="DH8" i="6"/>
  <c r="EB9" i="51"/>
  <c r="EB9" i="112"/>
  <c r="EB9" i="113"/>
  <c r="EB38" i="1"/>
  <c r="EB116" i="1" s="1"/>
  <c r="EF8" i="1"/>
  <c r="DX67" i="3"/>
  <c r="DX116" i="1"/>
  <c r="DX95" i="1"/>
  <c r="DX59" i="1"/>
  <c r="CN59" i="51"/>
  <c r="CK55" i="3"/>
  <c r="CS189" i="112"/>
  <c r="CS190" i="112"/>
  <c r="CS188" i="112"/>
  <c r="CS191" i="112"/>
  <c r="FI54" i="3"/>
  <c r="CV66" i="51"/>
  <c r="CT62" i="51"/>
  <c r="CP68" i="51"/>
  <c r="CX66" i="51"/>
  <c r="CR66" i="51"/>
  <c r="DH23" i="119"/>
  <c r="DH268" i="119" s="1"/>
  <c r="FI50" i="3"/>
  <c r="CQ66" i="51"/>
  <c r="CW92" i="2"/>
  <c r="DP50" i="119"/>
  <c r="DH37" i="2"/>
  <c r="DH39" i="2" s="1"/>
  <c r="AE53" i="119"/>
  <c r="AE81" i="119"/>
  <c r="FU42" i="2"/>
  <c r="EH38" i="1"/>
  <c r="EH10" i="92"/>
  <c r="EH9" i="2"/>
  <c r="EH9" i="3"/>
  <c r="EI38" i="1"/>
  <c r="EI10" i="92"/>
  <c r="EI9" i="2"/>
  <c r="EI9" i="3"/>
  <c r="EI67" i="3" s="1"/>
  <c r="ED74" i="1"/>
  <c r="ED95" i="1"/>
  <c r="ED116" i="1"/>
  <c r="ED59" i="1"/>
  <c r="EE74" i="1"/>
  <c r="EE116" i="1"/>
  <c r="EE95" i="1"/>
  <c r="EE59" i="1"/>
  <c r="EH9" i="112"/>
  <c r="EH9" i="113"/>
  <c r="EH9" i="51"/>
  <c r="DN8" i="6"/>
  <c r="EI9" i="112"/>
  <c r="EI9" i="113"/>
  <c r="EI9" i="51"/>
  <c r="DO8" i="6"/>
  <c r="CN123" i="1"/>
  <c r="CX35" i="51"/>
  <c r="CT27" i="51"/>
  <c r="FJ62" i="2"/>
  <c r="FI96" i="1"/>
  <c r="FI39" i="1"/>
  <c r="FI60" i="1"/>
  <c r="GR110" i="1"/>
  <c r="GR53" i="1"/>
  <c r="GR111" i="1"/>
  <c r="GR54" i="1"/>
  <c r="CO98" i="1"/>
  <c r="CO119" i="1"/>
  <c r="CN81" i="1"/>
  <c r="CN102" i="1"/>
  <c r="CO62" i="1"/>
  <c r="CO59" i="51" s="1"/>
  <c r="CO77" i="1"/>
  <c r="CN45" i="1"/>
  <c r="CN66" i="1"/>
  <c r="CO41" i="1"/>
  <c r="DC41" i="2"/>
  <c r="DB43" i="2"/>
  <c r="CX52" i="51"/>
  <c r="CX57" i="51"/>
  <c r="CX17" i="51"/>
  <c r="CW35" i="51"/>
  <c r="CZ24" i="51"/>
  <c r="DE23" i="51"/>
  <c r="CY35" i="51"/>
  <c r="CY21" i="1"/>
  <c r="DS24" i="119" s="1"/>
  <c r="DS26" i="119" s="1"/>
  <c r="CX20" i="51"/>
  <c r="FK22" i="1"/>
  <c r="Z25" i="119" s="1"/>
  <c r="GT52" i="51"/>
  <c r="CQ52" i="51"/>
  <c r="CR52" i="51"/>
  <c r="CV52" i="51"/>
  <c r="CV24" i="51"/>
  <c r="CV57" i="51"/>
  <c r="CV17" i="51"/>
  <c r="CP54" i="51"/>
  <c r="DB14" i="51"/>
  <c r="DA101" i="92"/>
  <c r="FM33" i="2"/>
  <c r="FL38" i="2"/>
  <c r="CR24" i="51"/>
  <c r="FJ23" i="51"/>
  <c r="CQ57" i="51"/>
  <c r="CY100" i="92"/>
  <c r="GU23" i="51"/>
  <c r="CR17" i="51"/>
  <c r="CQ35" i="51"/>
  <c r="CR35" i="51"/>
  <c r="CQ24" i="51"/>
  <c r="CQ17" i="51"/>
  <c r="GU22" i="1"/>
  <c r="EJ17" i="6"/>
  <c r="CP44" i="51"/>
  <c r="CP40" i="51"/>
  <c r="CP46" i="51"/>
  <c r="CP45" i="51"/>
  <c r="CP41" i="51"/>
  <c r="CP26" i="51"/>
  <c r="CP27" i="51" s="1"/>
  <c r="CP184" i="112" s="1"/>
  <c r="CP9" i="1"/>
  <c r="CP37" i="51"/>
  <c r="CP42" i="51"/>
  <c r="CP43" i="51"/>
  <c r="GT17" i="51"/>
  <c r="GT59" i="51" s="1"/>
  <c r="GT57" i="51" s="1"/>
  <c r="CN23" i="1"/>
  <c r="BT38" i="6"/>
  <c r="BT96" i="6" s="1"/>
  <c r="CN17" i="1"/>
  <c r="FJ17" i="3"/>
  <c r="CT20" i="51"/>
  <c r="CT15" i="51"/>
  <c r="FJ31" i="2"/>
  <c r="X59" i="119" s="1"/>
  <c r="FI12" i="1"/>
  <c r="FI13" i="1"/>
  <c r="CO14" i="1"/>
  <c r="FJ17" i="2"/>
  <c r="FJ16" i="2"/>
  <c r="FJ35" i="3"/>
  <c r="X101" i="119" s="1"/>
  <c r="GV23" i="51"/>
  <c r="H51" i="3"/>
  <c r="H52" i="3" s="1"/>
  <c r="CV91" i="2"/>
  <c r="DP49" i="119" s="1"/>
  <c r="FK23" i="51"/>
  <c r="FJ23" i="3"/>
  <c r="FI10" i="1"/>
  <c r="FL34" i="3"/>
  <c r="Z100" i="119" s="1"/>
  <c r="CN89" i="2"/>
  <c r="FK32" i="2"/>
  <c r="CX60" i="51" l="1"/>
  <c r="CY60" i="51"/>
  <c r="CW60" i="51"/>
  <c r="EB67" i="3"/>
  <c r="EB95" i="1"/>
  <c r="EB59" i="1"/>
  <c r="EB74" i="1"/>
  <c r="EJ8" i="1"/>
  <c r="EF9" i="51"/>
  <c r="EF9" i="112"/>
  <c r="EF10" i="92"/>
  <c r="DL8" i="6"/>
  <c r="EF9" i="2"/>
  <c r="EF9" i="113"/>
  <c r="EF38" i="1"/>
  <c r="EF9" i="3"/>
  <c r="DH20" i="119"/>
  <c r="DH259" i="119" s="1"/>
  <c r="DI18" i="119"/>
  <c r="FI55" i="3"/>
  <c r="FI65" i="3"/>
  <c r="DB184" i="112"/>
  <c r="DB191" i="112" s="1"/>
  <c r="X15" i="119"/>
  <c r="EH67" i="3"/>
  <c r="G25" i="123"/>
  <c r="H25" i="123" s="1"/>
  <c r="CT48" i="113"/>
  <c r="CT49" i="113" s="1"/>
  <c r="X13" i="119"/>
  <c r="X12" i="119"/>
  <c r="X14" i="119"/>
  <c r="CR68" i="51"/>
  <c r="CT66" i="51"/>
  <c r="DJ11" i="119"/>
  <c r="DJ270" i="119" s="1"/>
  <c r="CN126" i="1"/>
  <c r="DH30" i="119"/>
  <c r="DH269" i="119" s="1"/>
  <c r="CX68" i="51"/>
  <c r="CQ68" i="51"/>
  <c r="CV68" i="51"/>
  <c r="DB65" i="51"/>
  <c r="DI65" i="51"/>
  <c r="DI37" i="2"/>
  <c r="Z61" i="119"/>
  <c r="Z64" i="119"/>
  <c r="X44" i="119"/>
  <c r="CW91" i="2"/>
  <c r="DQ50" i="119"/>
  <c r="FL92" i="2"/>
  <c r="Z50" i="119" s="1"/>
  <c r="Z49" i="119" s="1"/>
  <c r="FV42" i="2"/>
  <c r="EI74" i="1"/>
  <c r="EI116" i="1"/>
  <c r="EI59" i="1"/>
  <c r="EI95" i="1"/>
  <c r="EH116" i="1"/>
  <c r="EH59" i="1"/>
  <c r="EH95" i="1"/>
  <c r="EH74" i="1"/>
  <c r="GT54" i="51"/>
  <c r="CX54" i="51"/>
  <c r="CT184" i="112"/>
  <c r="CT191" i="112" s="1"/>
  <c r="CN125" i="1"/>
  <c r="CN75" i="2"/>
  <c r="CN73" i="2"/>
  <c r="CN72" i="2"/>
  <c r="CN85" i="2"/>
  <c r="CN74" i="2"/>
  <c r="CP191" i="112"/>
  <c r="CP190" i="112"/>
  <c r="CP187" i="112"/>
  <c r="CP188" i="112"/>
  <c r="CP189" i="112"/>
  <c r="DC34" i="51"/>
  <c r="FU115" i="51" s="1"/>
  <c r="CP117" i="1"/>
  <c r="BV86" i="6"/>
  <c r="BT77" i="6"/>
  <c r="BT59" i="6"/>
  <c r="BT56" i="6"/>
  <c r="FS20" i="2"/>
  <c r="DI23" i="51"/>
  <c r="CX9" i="1"/>
  <c r="CX40" i="51"/>
  <c r="CX37" i="51"/>
  <c r="CX41" i="51"/>
  <c r="CX43" i="51"/>
  <c r="CX45" i="51"/>
  <c r="FI100" i="1"/>
  <c r="FI64" i="1"/>
  <c r="FI43" i="1"/>
  <c r="FI97" i="1"/>
  <c r="FI61" i="1"/>
  <c r="FI40" i="1"/>
  <c r="FI99" i="1"/>
  <c r="FI63" i="1"/>
  <c r="FI42" i="1"/>
  <c r="CO101" i="1"/>
  <c r="CO122" i="1"/>
  <c r="FQ124" i="1" s="1"/>
  <c r="CN83" i="1"/>
  <c r="CN104" i="1"/>
  <c r="CN84" i="1"/>
  <c r="CN105" i="1"/>
  <c r="CP75" i="1"/>
  <c r="CP96" i="1"/>
  <c r="CO65" i="1"/>
  <c r="CO80" i="1"/>
  <c r="CP64" i="1"/>
  <c r="CP61" i="1"/>
  <c r="CP60" i="1"/>
  <c r="CP63" i="1"/>
  <c r="CN48" i="1"/>
  <c r="CN69" i="1"/>
  <c r="CN47" i="1"/>
  <c r="CN68" i="1"/>
  <c r="CO44" i="1"/>
  <c r="CP39" i="1"/>
  <c r="DD41" i="2"/>
  <c r="DD43" i="2" s="1"/>
  <c r="DC43" i="2"/>
  <c r="CY37" i="51"/>
  <c r="CX46" i="51"/>
  <c r="CX44" i="51"/>
  <c r="CX42" i="51"/>
  <c r="CW37" i="51"/>
  <c r="CZ26" i="51"/>
  <c r="CZ28" i="51" s="1"/>
  <c r="CX24" i="51"/>
  <c r="CW21" i="1"/>
  <c r="DQ24" i="119" s="1"/>
  <c r="DQ26" i="119" s="1"/>
  <c r="CQ54" i="51"/>
  <c r="CV44" i="51"/>
  <c r="CV54" i="51"/>
  <c r="CR54" i="51"/>
  <c r="CV9" i="1"/>
  <c r="CV40" i="51"/>
  <c r="CV26" i="51"/>
  <c r="CV28" i="51" s="1"/>
  <c r="CV46" i="51"/>
  <c r="CV45" i="51"/>
  <c r="CV42" i="51"/>
  <c r="CV41" i="51"/>
  <c r="CV43" i="51"/>
  <c r="DB12" i="51"/>
  <c r="DB13" i="51"/>
  <c r="FN12" i="2"/>
  <c r="DB34" i="51"/>
  <c r="FT115" i="51" s="1"/>
  <c r="DB23" i="51"/>
  <c r="CT52" i="51"/>
  <c r="CT57" i="51"/>
  <c r="GW14" i="51"/>
  <c r="DB101" i="92"/>
  <c r="GT42" i="51"/>
  <c r="FL57" i="2"/>
  <c r="FL12" i="51"/>
  <c r="FL64" i="51" s="1"/>
  <c r="FL13" i="51"/>
  <c r="FL63" i="51" s="1"/>
  <c r="BT37" i="6"/>
  <c r="BT95" i="6" s="1"/>
  <c r="CR44" i="51"/>
  <c r="CR46" i="51"/>
  <c r="CR43" i="51"/>
  <c r="CR9" i="1"/>
  <c r="CR41" i="51"/>
  <c r="CR26" i="51"/>
  <c r="CR28" i="51" s="1"/>
  <c r="CR40" i="51"/>
  <c r="CR45" i="51"/>
  <c r="CR42" i="51"/>
  <c r="CZ100" i="92"/>
  <c r="CT17" i="51"/>
  <c r="FL14" i="51"/>
  <c r="FL65" i="51" s="1"/>
  <c r="BV17" i="6"/>
  <c r="CR37" i="51"/>
  <c r="CP62" i="2"/>
  <c r="CP11" i="1"/>
  <c r="CQ43" i="51"/>
  <c r="CQ44" i="51"/>
  <c r="CQ46" i="51"/>
  <c r="CQ37" i="51"/>
  <c r="CQ42" i="51"/>
  <c r="CQ26" i="51"/>
  <c r="CQ28" i="51" s="1"/>
  <c r="CQ40" i="51"/>
  <c r="CQ41" i="51"/>
  <c r="CQ9" i="1"/>
  <c r="CQ45" i="51"/>
  <c r="CS11" i="51"/>
  <c r="GT46" i="51"/>
  <c r="GT41" i="51"/>
  <c r="GT45" i="51"/>
  <c r="GT40" i="51"/>
  <c r="GT43" i="51"/>
  <c r="GT44" i="51"/>
  <c r="GS9" i="1"/>
  <c r="CN25" i="1"/>
  <c r="DH290" i="119" s="1"/>
  <c r="CN26" i="1"/>
  <c r="FM41" i="2"/>
  <c r="CT24" i="51"/>
  <c r="CO15" i="1"/>
  <c r="FI14" i="1"/>
  <c r="CX92" i="2"/>
  <c r="DR50" i="119" s="1"/>
  <c r="FJ20" i="3"/>
  <c r="I51" i="3"/>
  <c r="I52" i="3" s="1"/>
  <c r="FI11" i="1"/>
  <c r="FJ14" i="2"/>
  <c r="FJ63" i="2" s="1"/>
  <c r="FJ30" i="2"/>
  <c r="CN68" i="2"/>
  <c r="CO88" i="2"/>
  <c r="FJ12" i="3"/>
  <c r="X93" i="119" s="1"/>
  <c r="CO16" i="1"/>
  <c r="CN87" i="2"/>
  <c r="DH46" i="119" s="1"/>
  <c r="FK22" i="3"/>
  <c r="EF67" i="3" l="1"/>
  <c r="EF59" i="1"/>
  <c r="EF116" i="1"/>
  <c r="EF95" i="1"/>
  <c r="EF74" i="1"/>
  <c r="I19" i="118"/>
  <c r="EJ9" i="112"/>
  <c r="EJ9" i="113"/>
  <c r="EJ38" i="1"/>
  <c r="EJ9" i="51"/>
  <c r="EJ10" i="92"/>
  <c r="G19" i="118"/>
  <c r="J19" i="118"/>
  <c r="EJ9" i="2"/>
  <c r="K19" i="118"/>
  <c r="DP8" i="6"/>
  <c r="H19" i="118"/>
  <c r="EJ9" i="3"/>
  <c r="F19" i="118"/>
  <c r="DI39" i="2"/>
  <c r="DJ37" i="2"/>
  <c r="DK37" i="2" s="1"/>
  <c r="DL37" i="2" s="1"/>
  <c r="DM37" i="2" s="1"/>
  <c r="DN37" i="2" s="1"/>
  <c r="DO37" i="2" s="1"/>
  <c r="DP37" i="2" s="1"/>
  <c r="X18" i="119"/>
  <c r="DB188" i="112"/>
  <c r="DB187" i="112"/>
  <c r="DB190" i="112"/>
  <c r="DB189" i="112"/>
  <c r="G23" i="123"/>
  <c r="H23" i="123" s="1"/>
  <c r="G24" i="123"/>
  <c r="H24" i="123" s="1"/>
  <c r="DI23" i="119"/>
  <c r="DI268" i="119" s="1"/>
  <c r="DP11" i="119"/>
  <c r="DP270" i="119" s="1"/>
  <c r="CS62" i="51"/>
  <c r="DK11" i="119"/>
  <c r="DK270" i="119" s="1"/>
  <c r="DR11" i="119"/>
  <c r="DR270" i="119" s="1"/>
  <c r="DH277" i="119"/>
  <c r="DH275" i="119"/>
  <c r="DB63" i="51"/>
  <c r="CT68" i="51"/>
  <c r="DB64" i="51"/>
  <c r="CO124" i="1"/>
  <c r="DI21" i="119"/>
  <c r="DI19" i="119" s="1"/>
  <c r="DL11" i="119"/>
  <c r="DL270" i="119" s="1"/>
  <c r="AG53" i="119"/>
  <c r="AG81" i="119"/>
  <c r="DI47" i="119"/>
  <c r="FJ88" i="2"/>
  <c r="X47" i="119" s="1"/>
  <c r="FL91" i="2"/>
  <c r="DQ49" i="119"/>
  <c r="AB81" i="119"/>
  <c r="AB87" i="119"/>
  <c r="FJ64" i="2"/>
  <c r="X56" i="119"/>
  <c r="X43" i="119"/>
  <c r="FO37" i="2"/>
  <c r="FT20" i="2"/>
  <c r="FJ35" i="2"/>
  <c r="X60" i="119" s="1"/>
  <c r="FR20" i="2"/>
  <c r="CT190" i="112"/>
  <c r="CT187" i="112"/>
  <c r="CT188" i="112"/>
  <c r="CO123" i="1"/>
  <c r="CT189" i="112"/>
  <c r="BX86" i="6"/>
  <c r="CB86" i="6"/>
  <c r="FL23" i="51"/>
  <c r="DC32" i="51"/>
  <c r="FO115" i="51" s="1"/>
  <c r="DC33" i="51"/>
  <c r="FU98" i="51" s="1"/>
  <c r="FJ65" i="2"/>
  <c r="CY117" i="1"/>
  <c r="CD86" i="6"/>
  <c r="CQ117" i="1"/>
  <c r="BW86" i="6"/>
  <c r="BT58" i="6"/>
  <c r="BT76" i="6"/>
  <c r="DQ14" i="51"/>
  <c r="CY75" i="1"/>
  <c r="CX63" i="1"/>
  <c r="CX11" i="1"/>
  <c r="CX60" i="1"/>
  <c r="CX64" i="1"/>
  <c r="CD17" i="6"/>
  <c r="CX61" i="1"/>
  <c r="CX75" i="1"/>
  <c r="CX65" i="1"/>
  <c r="CX117" i="1"/>
  <c r="CX62" i="2"/>
  <c r="CX67" i="1"/>
  <c r="FI98" i="1"/>
  <c r="FI62" i="1"/>
  <c r="FI41" i="1"/>
  <c r="FI101" i="1"/>
  <c r="FI65" i="1"/>
  <c r="FI44" i="1"/>
  <c r="GS60" i="1"/>
  <c r="GS96" i="1"/>
  <c r="GS39" i="1"/>
  <c r="CW117" i="1"/>
  <c r="CN106" i="1"/>
  <c r="CN127" i="1"/>
  <c r="CP98" i="1"/>
  <c r="CP119" i="1"/>
  <c r="CR96" i="1"/>
  <c r="CR117" i="1"/>
  <c r="CO82" i="1"/>
  <c r="CO103" i="1"/>
  <c r="CO81" i="1"/>
  <c r="CO102" i="1"/>
  <c r="CQ75" i="1"/>
  <c r="CQ96" i="1"/>
  <c r="CV96" i="1"/>
  <c r="CZ96" i="1"/>
  <c r="CW75" i="1"/>
  <c r="CN70" i="1"/>
  <c r="CN85" i="1"/>
  <c r="CP62" i="1"/>
  <c r="CP77" i="1"/>
  <c r="CR75" i="1"/>
  <c r="CO46" i="1"/>
  <c r="CO67" i="1"/>
  <c r="CQ64" i="1"/>
  <c r="CQ61" i="1"/>
  <c r="CQ60" i="1"/>
  <c r="CQ63" i="1"/>
  <c r="CQ65" i="1"/>
  <c r="CV64" i="1"/>
  <c r="CV61" i="1"/>
  <c r="CV60" i="1"/>
  <c r="CV63" i="1"/>
  <c r="CV65" i="1"/>
  <c r="CV67" i="1"/>
  <c r="CO45" i="1"/>
  <c r="CO66" i="1"/>
  <c r="CR39" i="1"/>
  <c r="CR61" i="1"/>
  <c r="CR60" i="1"/>
  <c r="CR64" i="1"/>
  <c r="CR63" i="1"/>
  <c r="CR65" i="1"/>
  <c r="CN49" i="1"/>
  <c r="CN30" i="1"/>
  <c r="CN29" i="1"/>
  <c r="CQ39" i="1"/>
  <c r="CV39" i="1"/>
  <c r="CZ39" i="1"/>
  <c r="CP41" i="1"/>
  <c r="DM23" i="51"/>
  <c r="CY92" i="2"/>
  <c r="DB32" i="51"/>
  <c r="FN115" i="51" s="1"/>
  <c r="CX26" i="51"/>
  <c r="CX28" i="51" s="1"/>
  <c r="CW20" i="51"/>
  <c r="CW115" i="2"/>
  <c r="DB33" i="51"/>
  <c r="FT98" i="51" s="1"/>
  <c r="CT54" i="51"/>
  <c r="GW13" i="51"/>
  <c r="CV11" i="1"/>
  <c r="CV62" i="2"/>
  <c r="CB17" i="6"/>
  <c r="GW12" i="51"/>
  <c r="DB21" i="51"/>
  <c r="DB22" i="51"/>
  <c r="GW23" i="51"/>
  <c r="FM14" i="51"/>
  <c r="DB100" i="92"/>
  <c r="DD23" i="51"/>
  <c r="DD34" i="51"/>
  <c r="FV115" i="51" s="1"/>
  <c r="DE34" i="51"/>
  <c r="FW115" i="51" s="1"/>
  <c r="CT9" i="1"/>
  <c r="CS20" i="51"/>
  <c r="CS15" i="51"/>
  <c r="FL22" i="51"/>
  <c r="FL21" i="51"/>
  <c r="CR62" i="2"/>
  <c r="BX17" i="6"/>
  <c r="CR11" i="1"/>
  <c r="BW17" i="6"/>
  <c r="CQ11" i="1"/>
  <c r="CQ62" i="2"/>
  <c r="FM39" i="2"/>
  <c r="AA63" i="119" s="1"/>
  <c r="DA100" i="92"/>
  <c r="FM20" i="2"/>
  <c r="AA53" i="119" s="1"/>
  <c r="CP58" i="51"/>
  <c r="FM34" i="2"/>
  <c r="AA57" i="119" s="1"/>
  <c r="CT31" i="51"/>
  <c r="FN96" i="51" s="1"/>
  <c r="CS31" i="51"/>
  <c r="FQ95" i="51" s="1"/>
  <c r="FJ11" i="51"/>
  <c r="GU11" i="51"/>
  <c r="BU38" i="6"/>
  <c r="BU96" i="6" s="1"/>
  <c r="FM12" i="2"/>
  <c r="FI16" i="1"/>
  <c r="X21" i="119" s="1"/>
  <c r="GS13" i="1"/>
  <c r="CP14" i="1"/>
  <c r="GS12" i="1"/>
  <c r="CN28" i="1"/>
  <c r="CT44" i="51"/>
  <c r="CT41" i="51"/>
  <c r="CT42" i="51"/>
  <c r="CT43" i="51"/>
  <c r="CT46" i="51"/>
  <c r="CT45" i="51"/>
  <c r="CT40" i="51"/>
  <c r="CT26" i="51"/>
  <c r="CT28" i="51" s="1"/>
  <c r="CO17" i="1"/>
  <c r="CO23" i="1"/>
  <c r="CX91" i="2"/>
  <c r="DR49" i="119" s="1"/>
  <c r="J51" i="3"/>
  <c r="FI15" i="1"/>
  <c r="FJ13" i="3"/>
  <c r="X95" i="119" s="1"/>
  <c r="FJ18" i="3"/>
  <c r="FJ21" i="3"/>
  <c r="CO68" i="2"/>
  <c r="DP39" i="2" l="1"/>
  <c r="DP44" i="2" s="1"/>
  <c r="DP51" i="2" s="1"/>
  <c r="DO39" i="2"/>
  <c r="DO44" i="2" s="1"/>
  <c r="CP61" i="51"/>
  <c r="CQ61" i="51"/>
  <c r="DN39" i="2"/>
  <c r="DN44" i="2" s="1"/>
  <c r="DN51" i="2" s="1"/>
  <c r="DN53" i="2" s="1"/>
  <c r="DM39" i="2"/>
  <c r="DM44" i="2" s="1"/>
  <c r="EJ67" i="3"/>
  <c r="H34" i="118"/>
  <c r="H105" i="118" s="1"/>
  <c r="J34" i="118"/>
  <c r="J105" i="118" s="1"/>
  <c r="G34" i="118"/>
  <c r="EJ74" i="1"/>
  <c r="EJ59" i="1"/>
  <c r="EJ95" i="1"/>
  <c r="EJ116" i="1"/>
  <c r="I34" i="118"/>
  <c r="K34" i="118"/>
  <c r="B30" i="118"/>
  <c r="B15" i="118"/>
  <c r="B51" i="118" s="1"/>
  <c r="B86" i="118" s="1"/>
  <c r="C15" i="118"/>
  <c r="B29" i="118"/>
  <c r="DL39" i="2"/>
  <c r="DL44" i="2" s="1"/>
  <c r="DL51" i="2" s="1"/>
  <c r="DK39" i="2"/>
  <c r="DK44" i="2" s="1"/>
  <c r="DK51" i="2" s="1"/>
  <c r="DJ39" i="2"/>
  <c r="DJ44" i="2" s="1"/>
  <c r="DJ51" i="2" s="1"/>
  <c r="X19" i="119"/>
  <c r="DH281" i="119"/>
  <c r="DH260" i="119" s="1"/>
  <c r="DJ18" i="119"/>
  <c r="DI20" i="119"/>
  <c r="DI259" i="119" s="1"/>
  <c r="CP59" i="51"/>
  <c r="DH279" i="119"/>
  <c r="CS66" i="51"/>
  <c r="X23" i="119"/>
  <c r="X268" i="119" s="1"/>
  <c r="FM65" i="51"/>
  <c r="FJ62" i="51"/>
  <c r="DN11" i="119"/>
  <c r="DN270" i="119" s="1"/>
  <c r="CO126" i="1"/>
  <c r="DI30" i="119"/>
  <c r="DI269" i="119" s="1"/>
  <c r="DH280" i="119"/>
  <c r="DH267" i="119"/>
  <c r="CY91" i="2"/>
  <c r="DS49" i="119" s="1"/>
  <c r="DS50" i="119"/>
  <c r="AH53" i="119"/>
  <c r="AH81" i="119"/>
  <c r="AA87" i="119"/>
  <c r="AA81" i="119"/>
  <c r="AF53" i="119"/>
  <c r="AF81" i="119"/>
  <c r="FU20" i="2"/>
  <c r="FI17" i="1"/>
  <c r="FI23" i="1"/>
  <c r="X30" i="119" s="1"/>
  <c r="X269" i="119" s="1"/>
  <c r="CY119" i="1"/>
  <c r="BZ86" i="6"/>
  <c r="CO75" i="2"/>
  <c r="CO73" i="2"/>
  <c r="CO85" i="2"/>
  <c r="CO74" i="2"/>
  <c r="CO72" i="2"/>
  <c r="CW24" i="51"/>
  <c r="DQ23" i="51"/>
  <c r="B25" i="116"/>
  <c r="BU59" i="6"/>
  <c r="BU77" i="6"/>
  <c r="BU56" i="6"/>
  <c r="CN66" i="2"/>
  <c r="CN67" i="2"/>
  <c r="DU14" i="51"/>
  <c r="CX119" i="1"/>
  <c r="CY77" i="1"/>
  <c r="CX77" i="1"/>
  <c r="CX62" i="1"/>
  <c r="CX59" i="51" s="1"/>
  <c r="CX15" i="1"/>
  <c r="FI102" i="1"/>
  <c r="FI45" i="1"/>
  <c r="FI66" i="1"/>
  <c r="GS63" i="1"/>
  <c r="GS99" i="1"/>
  <c r="GS42" i="1"/>
  <c r="GS100" i="1"/>
  <c r="GS64" i="1"/>
  <c r="GS43" i="1"/>
  <c r="FI103" i="1"/>
  <c r="FI46" i="1"/>
  <c r="FI67" i="1"/>
  <c r="CO104" i="1"/>
  <c r="CO125" i="1"/>
  <c r="CQ98" i="1"/>
  <c r="CQ119" i="1"/>
  <c r="CN108" i="1"/>
  <c r="CN129" i="1"/>
  <c r="CR98" i="1"/>
  <c r="CR119" i="1"/>
  <c r="CN109" i="1"/>
  <c r="CN130" i="1"/>
  <c r="CP122" i="1"/>
  <c r="FN125" i="1" s="1"/>
  <c r="CQ122" i="1"/>
  <c r="FO125" i="1" s="1"/>
  <c r="CN107" i="1"/>
  <c r="CN128" i="1"/>
  <c r="CW119" i="1"/>
  <c r="CP101" i="1"/>
  <c r="CT101" i="1"/>
  <c r="CT96" i="1"/>
  <c r="CX96" i="1"/>
  <c r="CO84" i="1"/>
  <c r="CO105" i="1"/>
  <c r="CV98" i="1"/>
  <c r="CZ98" i="1"/>
  <c r="CR77" i="1"/>
  <c r="CQ62" i="1"/>
  <c r="CQ59" i="51" s="1"/>
  <c r="CQ77" i="1"/>
  <c r="CN51" i="1"/>
  <c r="CN87" i="1"/>
  <c r="CN52" i="1"/>
  <c r="CN88" i="1"/>
  <c r="CN71" i="1"/>
  <c r="CN86" i="1"/>
  <c r="CO68" i="1"/>
  <c r="CO83" i="1"/>
  <c r="CP65" i="1"/>
  <c r="CP80" i="1"/>
  <c r="CQ80" i="1"/>
  <c r="CV62" i="1"/>
  <c r="CV59" i="51" s="1"/>
  <c r="CW77" i="1"/>
  <c r="CO48" i="1"/>
  <c r="CO69" i="1"/>
  <c r="CR41" i="1"/>
  <c r="CR62" i="1"/>
  <c r="CR59" i="51" s="1"/>
  <c r="CT64" i="1"/>
  <c r="CT63" i="1"/>
  <c r="CT60" i="1"/>
  <c r="CT61" i="1"/>
  <c r="CT65" i="1"/>
  <c r="CN31" i="1"/>
  <c r="CN32" i="1"/>
  <c r="CT39" i="1"/>
  <c r="CX39" i="1"/>
  <c r="CO47" i="1"/>
  <c r="CV41" i="1"/>
  <c r="CZ41" i="1"/>
  <c r="CQ41" i="1"/>
  <c r="CN50" i="1"/>
  <c r="CP44" i="1"/>
  <c r="CT44" i="1"/>
  <c r="FL22" i="1"/>
  <c r="AA25" i="119" s="1"/>
  <c r="GW22" i="51"/>
  <c r="CV15" i="1"/>
  <c r="GW21" i="51"/>
  <c r="FM44" i="3"/>
  <c r="AA104" i="119" s="1"/>
  <c r="GU20" i="51"/>
  <c r="CS52" i="51"/>
  <c r="CT62" i="2"/>
  <c r="CT11" i="1"/>
  <c r="BZ17" i="6"/>
  <c r="FM23" i="51"/>
  <c r="DD101" i="92"/>
  <c r="DE91" i="92"/>
  <c r="DE41" i="2"/>
  <c r="DE43" i="2" s="1"/>
  <c r="DD33" i="51"/>
  <c r="FV98" i="51" s="1"/>
  <c r="DD22" i="51"/>
  <c r="DD32" i="51"/>
  <c r="FP115" i="51" s="1"/>
  <c r="DD21" i="51"/>
  <c r="CS57" i="51"/>
  <c r="FL24" i="2"/>
  <c r="Z54" i="119" s="1"/>
  <c r="BU37" i="6"/>
  <c r="BU95" i="6" s="1"/>
  <c r="GS14" i="1"/>
  <c r="CR50" i="51"/>
  <c r="CR82" i="51" s="1"/>
  <c r="GU15" i="51"/>
  <c r="CP57" i="51"/>
  <c r="FJ20" i="51"/>
  <c r="FJ15" i="51"/>
  <c r="CT35" i="51"/>
  <c r="CS17" i="51"/>
  <c r="CS24" i="51"/>
  <c r="CS35" i="51"/>
  <c r="CO25" i="1"/>
  <c r="DI290" i="119" s="1"/>
  <c r="EJ38" i="6"/>
  <c r="EJ96" i="6" s="1"/>
  <c r="GS10" i="1"/>
  <c r="CZ92" i="2"/>
  <c r="DT50" i="119" s="1"/>
  <c r="EP51" i="3"/>
  <c r="EP52" i="3" s="1"/>
  <c r="J52" i="3"/>
  <c r="FJ24" i="3"/>
  <c r="X94" i="119" s="1"/>
  <c r="FJ68" i="2"/>
  <c r="FJ44" i="2"/>
  <c r="X65" i="119" s="1"/>
  <c r="FJ21" i="2"/>
  <c r="CO89" i="2"/>
  <c r="FJ89" i="2" s="1"/>
  <c r="FJ46" i="2"/>
  <c r="CP16" i="1"/>
  <c r="CP88" i="2"/>
  <c r="DJ47" i="119" s="1"/>
  <c r="CT60" i="51" l="1"/>
  <c r="CQ60" i="51"/>
  <c r="J70" i="118"/>
  <c r="H70" i="118"/>
  <c r="G105" i="118"/>
  <c r="G70" i="118"/>
  <c r="C30" i="118"/>
  <c r="C51" i="118"/>
  <c r="K70" i="118"/>
  <c r="K105" i="118"/>
  <c r="I70" i="118"/>
  <c r="I105" i="118"/>
  <c r="X20" i="119"/>
  <c r="X259" i="119" s="1"/>
  <c r="CS68" i="51"/>
  <c r="DH283" i="119"/>
  <c r="DH282" i="119"/>
  <c r="DR23" i="119"/>
  <c r="DR268" i="119" s="1"/>
  <c r="FJ66" i="51"/>
  <c r="DP23" i="119"/>
  <c r="DP268" i="119" s="1"/>
  <c r="CP124" i="1"/>
  <c r="DJ21" i="119"/>
  <c r="DJ19" i="119" s="1"/>
  <c r="AI53" i="119"/>
  <c r="AI81" i="119"/>
  <c r="FJ25" i="2"/>
  <c r="X48" i="119"/>
  <c r="X46" i="119" s="1"/>
  <c r="FV20" i="2"/>
  <c r="DY23" i="51"/>
  <c r="CX123" i="1"/>
  <c r="CS54" i="51"/>
  <c r="Z23" i="114"/>
  <c r="Z24" i="114" s="1"/>
  <c r="FJ74" i="2"/>
  <c r="FJ72" i="2"/>
  <c r="FJ73" i="2"/>
  <c r="FJ75" i="2"/>
  <c r="DU23" i="51"/>
  <c r="FN43" i="2"/>
  <c r="D25" i="116"/>
  <c r="E25" i="116" s="1"/>
  <c r="EJ59" i="6"/>
  <c r="BU58" i="6"/>
  <c r="BU76" i="6"/>
  <c r="CX66" i="1"/>
  <c r="CX81" i="1"/>
  <c r="CX17" i="1"/>
  <c r="CD38" i="6"/>
  <c r="CD96" i="6" s="1"/>
  <c r="CX23" i="1"/>
  <c r="CY123" i="1"/>
  <c r="CY81" i="1"/>
  <c r="GS11" i="1"/>
  <c r="GS15" i="1" s="1"/>
  <c r="GS61" i="1"/>
  <c r="GS97" i="1"/>
  <c r="GS40" i="1"/>
  <c r="FI105" i="1"/>
  <c r="FI69" i="1"/>
  <c r="FI48" i="1"/>
  <c r="GS101" i="1"/>
  <c r="GS65" i="1"/>
  <c r="GS44" i="1"/>
  <c r="FI104" i="1"/>
  <c r="FI68" i="1"/>
  <c r="FI47" i="1"/>
  <c r="CN111" i="1"/>
  <c r="CN132" i="1"/>
  <c r="CW123" i="1"/>
  <c r="CN110" i="1"/>
  <c r="CN131" i="1"/>
  <c r="CT98" i="1"/>
  <c r="CX98" i="1"/>
  <c r="CP82" i="1"/>
  <c r="CP103" i="1"/>
  <c r="CZ102" i="1"/>
  <c r="CN53" i="1"/>
  <c r="CN89" i="1"/>
  <c r="CV66" i="1"/>
  <c r="CW81" i="1"/>
  <c r="CT62" i="1"/>
  <c r="CT59" i="51" s="1"/>
  <c r="CN54" i="1"/>
  <c r="CN90" i="1"/>
  <c r="CP46" i="1"/>
  <c r="CP67" i="1"/>
  <c r="CT41" i="1"/>
  <c r="CX41" i="1"/>
  <c r="CB38" i="6"/>
  <c r="CB96" i="6" s="1"/>
  <c r="CZ45" i="1"/>
  <c r="DA92" i="2"/>
  <c r="DA21" i="1"/>
  <c r="DU24" i="119" s="1"/>
  <c r="DU26" i="119" s="1"/>
  <c r="GA34" i="3"/>
  <c r="CW26" i="51"/>
  <c r="CW28" i="51" s="1"/>
  <c r="DF41" i="2"/>
  <c r="DF43" i="2" s="1"/>
  <c r="GU52" i="51"/>
  <c r="CV23" i="1"/>
  <c r="DP30" i="119" s="1"/>
  <c r="DP269" i="119" s="1"/>
  <c r="CV17" i="1"/>
  <c r="FJ52" i="51"/>
  <c r="GV22" i="1"/>
  <c r="DD100" i="92"/>
  <c r="FN33" i="2"/>
  <c r="DE101" i="92"/>
  <c r="FM12" i="51"/>
  <c r="FN41" i="2"/>
  <c r="DE21" i="51"/>
  <c r="DE32" i="51"/>
  <c r="FQ115" i="51" s="1"/>
  <c r="FM38" i="2"/>
  <c r="CS41" i="51"/>
  <c r="EJ37" i="6"/>
  <c r="FM34" i="3"/>
  <c r="AA100" i="119" s="1"/>
  <c r="GU24" i="51"/>
  <c r="CQ15" i="1"/>
  <c r="CT37" i="51"/>
  <c r="CS40" i="51"/>
  <c r="FJ24" i="51"/>
  <c r="CS46" i="51"/>
  <c r="GU17" i="51"/>
  <c r="CS37" i="51"/>
  <c r="CS9" i="1"/>
  <c r="CS42" i="51"/>
  <c r="CS43" i="51"/>
  <c r="CS44" i="51"/>
  <c r="CS45" i="51"/>
  <c r="FJ17" i="51"/>
  <c r="CS26" i="51"/>
  <c r="CS28" i="51" s="1"/>
  <c r="GS16" i="1"/>
  <c r="CP68" i="2"/>
  <c r="CO26" i="1"/>
  <c r="FI24" i="1"/>
  <c r="CZ91" i="2"/>
  <c r="DT49" i="119" s="1"/>
  <c r="K51" i="3"/>
  <c r="K52" i="3" s="1"/>
  <c r="CO87" i="2"/>
  <c r="CQ78" i="2"/>
  <c r="CQ81" i="2" s="1"/>
  <c r="CP25" i="2"/>
  <c r="CP89" i="2"/>
  <c r="D51" i="118" l="1"/>
  <c r="E51" i="118" s="1"/>
  <c r="F51" i="118" s="1"/>
  <c r="G51" i="118" s="1"/>
  <c r="H51" i="118" s="1"/>
  <c r="I51" i="118" s="1"/>
  <c r="J51" i="118" s="1"/>
  <c r="K51" i="118" s="1"/>
  <c r="C86" i="118"/>
  <c r="C66" i="118"/>
  <c r="DP20" i="119"/>
  <c r="DP259" i="119" s="1"/>
  <c r="DR20" i="119"/>
  <c r="DR259" i="119" s="1"/>
  <c r="DI277" i="119"/>
  <c r="DI275" i="119"/>
  <c r="FI26" i="1"/>
  <c r="X273" i="119"/>
  <c r="CY84" i="1"/>
  <c r="DR30" i="119"/>
  <c r="DR269" i="119" s="1"/>
  <c r="FM64" i="51"/>
  <c r="DM11" i="119"/>
  <c r="DM270" i="119" s="1"/>
  <c r="DK23" i="119"/>
  <c r="DK268" i="119" s="1"/>
  <c r="DA91" i="2"/>
  <c r="DU50" i="119"/>
  <c r="FM92" i="2"/>
  <c r="AA50" i="119" s="1"/>
  <c r="AA49" i="119" s="1"/>
  <c r="DI46" i="119"/>
  <c r="FJ87" i="2"/>
  <c r="DF91" i="92"/>
  <c r="DF101" i="92" s="1"/>
  <c r="DZ57" i="119"/>
  <c r="AJ53" i="119"/>
  <c r="AJ81" i="119"/>
  <c r="AA61" i="119"/>
  <c r="AA64" i="119"/>
  <c r="FJ68" i="51"/>
  <c r="EJ39" i="6"/>
  <c r="EJ95" i="6"/>
  <c r="DZ63" i="119"/>
  <c r="BW38" i="6"/>
  <c r="BW96" i="6" s="1"/>
  <c r="FJ54" i="51"/>
  <c r="BY86" i="6"/>
  <c r="CV72" i="2"/>
  <c r="CV73" i="2"/>
  <c r="CV85" i="2"/>
  <c r="CV74" i="2"/>
  <c r="CV75" i="2"/>
  <c r="CX68" i="1"/>
  <c r="CX74" i="2"/>
  <c r="CX72" i="2"/>
  <c r="CX85" i="2"/>
  <c r="CX75" i="2"/>
  <c r="CX73" i="2"/>
  <c r="B23" i="116"/>
  <c r="D23" i="116" s="1"/>
  <c r="E23" i="116" s="1"/>
  <c r="CC77" i="6"/>
  <c r="CF59" i="6"/>
  <c r="CD77" i="6"/>
  <c r="CE77" i="6"/>
  <c r="EK58" i="6"/>
  <c r="EJ58" i="6"/>
  <c r="CB37" i="6"/>
  <c r="CF56" i="6"/>
  <c r="CD37" i="6"/>
  <c r="CX125" i="1"/>
  <c r="CY83" i="1"/>
  <c r="CX83" i="1"/>
  <c r="CX69" i="1"/>
  <c r="CY125" i="1"/>
  <c r="CX84" i="1"/>
  <c r="CX26" i="1"/>
  <c r="CX25" i="1"/>
  <c r="DR290" i="119" s="1"/>
  <c r="CY126" i="1"/>
  <c r="CX126" i="1"/>
  <c r="GS102" i="1"/>
  <c r="GS66" i="1"/>
  <c r="GS45" i="1"/>
  <c r="GS103" i="1"/>
  <c r="GS67" i="1"/>
  <c r="GS46" i="1"/>
  <c r="GS98" i="1"/>
  <c r="GS62" i="1"/>
  <c r="GS41" i="1"/>
  <c r="CS117" i="1"/>
  <c r="CT117" i="1"/>
  <c r="CQ102" i="1"/>
  <c r="CW125" i="1"/>
  <c r="CO106" i="1"/>
  <c r="CO127" i="1"/>
  <c r="CW126" i="1"/>
  <c r="CS96" i="1"/>
  <c r="CW96" i="1"/>
  <c r="CZ104" i="1"/>
  <c r="CZ105" i="1"/>
  <c r="CO70" i="1"/>
  <c r="CO85" i="1"/>
  <c r="CS75" i="1"/>
  <c r="CT75" i="1"/>
  <c r="CV68" i="1"/>
  <c r="CW83" i="1"/>
  <c r="CV69" i="1"/>
  <c r="CW84" i="1"/>
  <c r="CQ45" i="1"/>
  <c r="CQ66" i="1"/>
  <c r="CS60" i="1"/>
  <c r="CS61" i="1"/>
  <c r="CS64" i="1"/>
  <c r="CS63" i="1"/>
  <c r="CO49" i="1"/>
  <c r="CO29" i="1"/>
  <c r="CO30" i="1"/>
  <c r="CZ47" i="1"/>
  <c r="CZ48" i="1"/>
  <c r="CS39" i="1"/>
  <c r="CW39" i="1"/>
  <c r="DG41" i="2"/>
  <c r="DE22" i="51"/>
  <c r="FJ9" i="1"/>
  <c r="DE33" i="51"/>
  <c r="FW98" i="51" s="1"/>
  <c r="FM13" i="51"/>
  <c r="CV26" i="1"/>
  <c r="CV25" i="1"/>
  <c r="DP290" i="119" s="1"/>
  <c r="FN39" i="2"/>
  <c r="AB63" i="119" s="1"/>
  <c r="FN34" i="2"/>
  <c r="AB57" i="119" s="1"/>
  <c r="DE100" i="92"/>
  <c r="FM21" i="51"/>
  <c r="GU26" i="51"/>
  <c r="DB92" i="2"/>
  <c r="DV50" i="119" s="1"/>
  <c r="CS62" i="2"/>
  <c r="CS11" i="1"/>
  <c r="BY17" i="6"/>
  <c r="FM57" i="2"/>
  <c r="CR68" i="2"/>
  <c r="GT9" i="1"/>
  <c r="CQ23" i="1"/>
  <c r="DK30" i="119" s="1"/>
  <c r="DK269" i="119" s="1"/>
  <c r="GU53" i="51"/>
  <c r="GU42" i="51"/>
  <c r="GU43" i="51"/>
  <c r="GU44" i="51"/>
  <c r="GU45" i="51"/>
  <c r="GU40" i="51"/>
  <c r="GU46" i="51"/>
  <c r="GU41" i="51"/>
  <c r="FJ43" i="51"/>
  <c r="FJ41" i="51"/>
  <c r="FJ40" i="51"/>
  <c r="FJ44" i="51"/>
  <c r="FJ26" i="51"/>
  <c r="FJ42" i="51"/>
  <c r="FJ46" i="51"/>
  <c r="FJ45" i="51"/>
  <c r="CP44" i="2"/>
  <c r="DJ65" i="119" s="1"/>
  <c r="GS23" i="1"/>
  <c r="CT15" i="1"/>
  <c r="CO28" i="1"/>
  <c r="FI25" i="1"/>
  <c r="X290" i="119" s="1"/>
  <c r="L51" i="3"/>
  <c r="L52" i="3" s="1"/>
  <c r="CQ16" i="1"/>
  <c r="CQ88" i="2"/>
  <c r="DK47" i="119" s="1"/>
  <c r="CP87" i="2"/>
  <c r="DJ46" i="119" s="1"/>
  <c r="L51" i="118" l="1"/>
  <c r="W20" i="118" s="1"/>
  <c r="D86" i="118"/>
  <c r="E86" i="118" s="1"/>
  <c r="C101" i="118"/>
  <c r="DI281" i="119"/>
  <c r="DI260" i="119" s="1"/>
  <c r="DH41" i="2"/>
  <c r="DH43" i="2" s="1"/>
  <c r="DG43" i="2"/>
  <c r="FM63" i="51"/>
  <c r="X275" i="119"/>
  <c r="X277" i="119"/>
  <c r="X267" i="119" s="1"/>
  <c r="DN23" i="119"/>
  <c r="DN268" i="119" s="1"/>
  <c r="Y11" i="119"/>
  <c r="Y270" i="119" s="1"/>
  <c r="CY127" i="1"/>
  <c r="DR277" i="119"/>
  <c r="DR275" i="119"/>
  <c r="FI28" i="1"/>
  <c r="DI279" i="119"/>
  <c r="CQ124" i="1"/>
  <c r="DK21" i="119"/>
  <c r="DK19" i="119" s="1"/>
  <c r="DP277" i="119"/>
  <c r="DP275" i="119"/>
  <c r="DI280" i="119"/>
  <c r="DI267" i="119"/>
  <c r="FM91" i="2"/>
  <c r="DU49" i="119"/>
  <c r="DG91" i="92"/>
  <c r="FP37" i="2"/>
  <c r="CB95" i="6"/>
  <c r="CB39" i="6"/>
  <c r="CD95" i="6"/>
  <c r="CD39" i="6"/>
  <c r="BW59" i="6"/>
  <c r="BW37" i="6"/>
  <c r="BW56" i="6"/>
  <c r="FM22" i="51"/>
  <c r="B24" i="116"/>
  <c r="CD76" i="6"/>
  <c r="CE76" i="6"/>
  <c r="CC76" i="6"/>
  <c r="CF58" i="6"/>
  <c r="CO66" i="2"/>
  <c r="CO67" i="2"/>
  <c r="CX70" i="1"/>
  <c r="CX85" i="1"/>
  <c r="CX28" i="1"/>
  <c r="CX127" i="1"/>
  <c r="CX30" i="1"/>
  <c r="CX29" i="1"/>
  <c r="CY129" i="1" s="1"/>
  <c r="CY85" i="1"/>
  <c r="FI106" i="1"/>
  <c r="FI70" i="1"/>
  <c r="FI49" i="1"/>
  <c r="GT60" i="1"/>
  <c r="GT96" i="1"/>
  <c r="GT39" i="1"/>
  <c r="FJ96" i="1"/>
  <c r="FJ60" i="1"/>
  <c r="FJ39" i="1"/>
  <c r="GS105" i="1"/>
  <c r="GS69" i="1"/>
  <c r="GS48" i="1"/>
  <c r="FI30" i="1"/>
  <c r="FI29" i="1"/>
  <c r="X280" i="119" s="1"/>
  <c r="CO107" i="1"/>
  <c r="CO128" i="1"/>
  <c r="CS119" i="1"/>
  <c r="CT119" i="1"/>
  <c r="CW127" i="1"/>
  <c r="CO109" i="1"/>
  <c r="CO130" i="1"/>
  <c r="CQ105" i="1"/>
  <c r="CO108" i="1"/>
  <c r="CO129" i="1"/>
  <c r="CQ103" i="1"/>
  <c r="CU103" i="1"/>
  <c r="CS98" i="1"/>
  <c r="CW98" i="1"/>
  <c r="CX102" i="1"/>
  <c r="CZ106" i="1"/>
  <c r="CS62" i="1"/>
  <c r="CS59" i="51" s="1"/>
  <c r="CS77" i="1"/>
  <c r="CT77" i="1"/>
  <c r="CT66" i="1"/>
  <c r="CV70" i="1"/>
  <c r="CW85" i="1"/>
  <c r="CO71" i="1"/>
  <c r="CO86" i="1"/>
  <c r="CO52" i="1"/>
  <c r="CO88" i="1"/>
  <c r="CQ67" i="1"/>
  <c r="CQ82" i="1"/>
  <c r="CO51" i="1"/>
  <c r="CO87" i="1"/>
  <c r="CQ48" i="1"/>
  <c r="CQ69" i="1"/>
  <c r="CO32" i="1"/>
  <c r="CO31" i="1"/>
  <c r="CV29" i="1"/>
  <c r="CV30" i="1"/>
  <c r="CO50" i="1"/>
  <c r="CS41" i="1"/>
  <c r="CW41" i="1"/>
  <c r="CZ49" i="1"/>
  <c r="CQ46" i="1"/>
  <c r="CU46" i="1"/>
  <c r="BZ38" i="6"/>
  <c r="BZ96" i="6" s="1"/>
  <c r="CX45" i="1"/>
  <c r="EA63" i="119"/>
  <c r="EA57" i="119"/>
  <c r="CV28" i="1"/>
  <c r="CT23" i="1"/>
  <c r="DN30" i="119" s="1"/>
  <c r="DN269" i="119" s="1"/>
  <c r="DC92" i="2"/>
  <c r="DW50" i="119" s="1"/>
  <c r="DB91" i="2"/>
  <c r="DV49" i="119" s="1"/>
  <c r="EK17" i="6"/>
  <c r="BY19" i="6"/>
  <c r="CS120" i="1"/>
  <c r="CS121" i="1"/>
  <c r="CS14" i="1"/>
  <c r="CQ25" i="1"/>
  <c r="DK290" i="119" s="1"/>
  <c r="CQ26" i="1"/>
  <c r="GT12" i="1"/>
  <c r="FK17" i="2"/>
  <c r="FK16" i="2"/>
  <c r="FK31" i="2"/>
  <c r="Y59" i="119" s="1"/>
  <c r="FJ12" i="1"/>
  <c r="FK13" i="2"/>
  <c r="Y42" i="119" s="1"/>
  <c r="CQ44" i="2"/>
  <c r="DK65" i="119" s="1"/>
  <c r="CQ68" i="2"/>
  <c r="CQ17" i="1"/>
  <c r="FK17" i="3"/>
  <c r="M51" i="3"/>
  <c r="M52" i="3" s="1"/>
  <c r="F86" i="118" l="1"/>
  <c r="G86" i="118" s="1"/>
  <c r="H86" i="118" s="1"/>
  <c r="I86" i="118" s="1"/>
  <c r="J86" i="118" s="1"/>
  <c r="K86" i="118" s="1"/>
  <c r="X281" i="119"/>
  <c r="X260" i="119" s="1"/>
  <c r="DM18" i="119"/>
  <c r="DK20" i="119"/>
  <c r="DK259" i="119" s="1"/>
  <c r="DP281" i="119"/>
  <c r="DP260" i="119" s="1"/>
  <c r="DI41" i="2"/>
  <c r="DJ41" i="2" s="1"/>
  <c r="DG101" i="92"/>
  <c r="EB63" i="119"/>
  <c r="Y44" i="119"/>
  <c r="DP279" i="119"/>
  <c r="Y15" i="119"/>
  <c r="DR279" i="119"/>
  <c r="CX88" i="1"/>
  <c r="DR281" i="119"/>
  <c r="DR260" i="119" s="1"/>
  <c r="DK275" i="119"/>
  <c r="DK277" i="119"/>
  <c r="DP267" i="119"/>
  <c r="DP280" i="119"/>
  <c r="X279" i="119"/>
  <c r="DI282" i="119"/>
  <c r="DI283" i="119"/>
  <c r="DR280" i="119"/>
  <c r="DR267" i="119"/>
  <c r="BW95" i="6"/>
  <c r="BW39" i="6"/>
  <c r="BW58" i="6"/>
  <c r="CQ74" i="2"/>
  <c r="CQ72" i="2"/>
  <c r="CQ85" i="2"/>
  <c r="CQ75" i="2"/>
  <c r="CQ73" i="2"/>
  <c r="FK62" i="2"/>
  <c r="D24" i="116"/>
  <c r="E24" i="116" s="1"/>
  <c r="CD59" i="6"/>
  <c r="CD56" i="6"/>
  <c r="BZ37" i="6"/>
  <c r="Z15" i="114"/>
  <c r="DZ54" i="119"/>
  <c r="DH91" i="92"/>
  <c r="DH101" i="92" s="1"/>
  <c r="CX128" i="1"/>
  <c r="CX66" i="2"/>
  <c r="CX67" i="2"/>
  <c r="CV66" i="2"/>
  <c r="CV67" i="2"/>
  <c r="CX71" i="1"/>
  <c r="CY128" i="1"/>
  <c r="CY86" i="1"/>
  <c r="CX31" i="1"/>
  <c r="CX131" i="1" s="1"/>
  <c r="CX32" i="1"/>
  <c r="CX86" i="1"/>
  <c r="CX130" i="1"/>
  <c r="CY130" i="1"/>
  <c r="CX87" i="1"/>
  <c r="CY88" i="1"/>
  <c r="CX129" i="1"/>
  <c r="CY87" i="1"/>
  <c r="GT99" i="1"/>
  <c r="GT63" i="1"/>
  <c r="GT42" i="1"/>
  <c r="FI108" i="1"/>
  <c r="FI51" i="1"/>
  <c r="FI109" i="1"/>
  <c r="FI52" i="1"/>
  <c r="FI107" i="1"/>
  <c r="FI71" i="1"/>
  <c r="FI50" i="1"/>
  <c r="FJ63" i="1"/>
  <c r="FJ99" i="1"/>
  <c r="FJ42" i="1"/>
  <c r="FI32" i="1"/>
  <c r="FI31" i="1"/>
  <c r="X282" i="119" s="1"/>
  <c r="CS122" i="1"/>
  <c r="FQ125" i="1" s="1"/>
  <c r="CT122" i="1"/>
  <c r="FN126" i="1" s="1"/>
  <c r="CW130" i="1"/>
  <c r="CW128" i="1"/>
  <c r="CW129" i="1"/>
  <c r="CQ106" i="1"/>
  <c r="CO110" i="1"/>
  <c r="CO131" i="1"/>
  <c r="CO111" i="1"/>
  <c r="CO132" i="1"/>
  <c r="CQ104" i="1"/>
  <c r="CS101" i="1"/>
  <c r="CW101" i="1"/>
  <c r="CX105" i="1"/>
  <c r="CZ107" i="1"/>
  <c r="CZ109" i="1"/>
  <c r="CZ108" i="1"/>
  <c r="CV71" i="1"/>
  <c r="CW86" i="1"/>
  <c r="CW87" i="1"/>
  <c r="CW88" i="1"/>
  <c r="CQ70" i="1"/>
  <c r="CT69" i="1"/>
  <c r="CO53" i="1"/>
  <c r="CO89" i="1"/>
  <c r="CO54" i="1"/>
  <c r="CO90" i="1"/>
  <c r="CS65" i="1"/>
  <c r="CS80" i="1"/>
  <c r="CT80" i="1"/>
  <c r="CQ47" i="1"/>
  <c r="CQ68" i="1"/>
  <c r="CQ49" i="1"/>
  <c r="CQ29" i="1"/>
  <c r="CQ30" i="1"/>
  <c r="CZ51" i="1"/>
  <c r="CV32" i="1"/>
  <c r="CV31" i="1"/>
  <c r="CX48" i="1"/>
  <c r="CS44" i="1"/>
  <c r="CW44" i="1"/>
  <c r="CZ52" i="1"/>
  <c r="CZ50" i="1"/>
  <c r="BB71" i="51"/>
  <c r="BB74" i="51"/>
  <c r="BB72" i="51"/>
  <c r="BB73" i="51"/>
  <c r="BB76" i="51"/>
  <c r="BB75" i="51"/>
  <c r="BB77" i="51"/>
  <c r="GB34" i="3"/>
  <c r="EB57" i="119"/>
  <c r="FN34" i="3"/>
  <c r="AB100" i="119" s="1"/>
  <c r="CT26" i="1"/>
  <c r="CT25" i="1"/>
  <c r="DN290" i="119" s="1"/>
  <c r="DD92" i="2"/>
  <c r="DX50" i="119" s="1"/>
  <c r="DC91" i="2"/>
  <c r="DW49" i="119" s="1"/>
  <c r="FM24" i="2"/>
  <c r="AA54" i="119" s="1"/>
  <c r="CQ28" i="1"/>
  <c r="FK19" i="3"/>
  <c r="FK23" i="3"/>
  <c r="GT10" i="1"/>
  <c r="FJ10" i="1"/>
  <c r="FJ11" i="3"/>
  <c r="X305" i="119" s="1"/>
  <c r="CT68" i="2"/>
  <c r="N51" i="3"/>
  <c r="CQ25" i="2"/>
  <c r="CQ89" i="2"/>
  <c r="FJ47" i="2"/>
  <c r="L86" i="118" l="1"/>
  <c r="U20" i="118" s="1"/>
  <c r="DJ43" i="2"/>
  <c r="DK41" i="2"/>
  <c r="DK281" i="119"/>
  <c r="DK260" i="119" s="1"/>
  <c r="DI43" i="2"/>
  <c r="FO41" i="2"/>
  <c r="EC63" i="119"/>
  <c r="DK279" i="119"/>
  <c r="Y12" i="119"/>
  <c r="DK280" i="119"/>
  <c r="DK267" i="119"/>
  <c r="X283" i="119"/>
  <c r="DR283" i="119"/>
  <c r="DR282" i="119"/>
  <c r="DP282" i="119"/>
  <c r="DP283" i="119"/>
  <c r="DN277" i="119"/>
  <c r="DN275" i="119"/>
  <c r="BZ95" i="6"/>
  <c r="BZ39" i="6"/>
  <c r="Z19" i="114"/>
  <c r="Z32" i="114" s="1"/>
  <c r="CY90" i="1"/>
  <c r="CD58" i="6"/>
  <c r="Z16" i="114"/>
  <c r="Z31" i="114"/>
  <c r="DI91" i="92"/>
  <c r="DI101" i="92" s="1"/>
  <c r="EA54" i="119"/>
  <c r="CX132" i="1"/>
  <c r="CX90" i="1"/>
  <c r="CY132" i="1"/>
  <c r="CY89" i="1"/>
  <c r="CX89" i="1"/>
  <c r="CY131" i="1"/>
  <c r="FI111" i="1"/>
  <c r="FI54" i="1"/>
  <c r="FI110" i="1"/>
  <c r="FI53" i="1"/>
  <c r="FJ61" i="1"/>
  <c r="FJ97" i="1"/>
  <c r="FJ40" i="1"/>
  <c r="GT11" i="1"/>
  <c r="GT97" i="1"/>
  <c r="GT61" i="1"/>
  <c r="GT40" i="1"/>
  <c r="CW131" i="1"/>
  <c r="CQ107" i="1"/>
  <c r="CW132" i="1"/>
  <c r="CQ109" i="1"/>
  <c r="CQ108" i="1"/>
  <c r="CX106" i="1"/>
  <c r="CZ110" i="1"/>
  <c r="CZ111" i="1"/>
  <c r="CQ71" i="1"/>
  <c r="CW90" i="1"/>
  <c r="CQ51" i="1"/>
  <c r="CT70" i="1"/>
  <c r="CW89" i="1"/>
  <c r="CT30" i="1"/>
  <c r="CT29" i="1"/>
  <c r="CQ50" i="1"/>
  <c r="CQ31" i="1"/>
  <c r="CQ32" i="1"/>
  <c r="CZ53" i="1"/>
  <c r="CZ54" i="1"/>
  <c r="CX49" i="1"/>
  <c r="FO33" i="2"/>
  <c r="DE92" i="2"/>
  <c r="DD91" i="2"/>
  <c r="DX49" i="119" s="1"/>
  <c r="CQ52" i="1"/>
  <c r="CS68" i="2"/>
  <c r="GU50" i="51"/>
  <c r="GU59" i="51" s="1"/>
  <c r="FJ50" i="51"/>
  <c r="FJ59" i="51" s="1"/>
  <c r="FK30" i="2"/>
  <c r="Y56" i="119" s="1"/>
  <c r="FK14" i="2"/>
  <c r="FJ11" i="1"/>
  <c r="FK13" i="3"/>
  <c r="Y95" i="119" s="1"/>
  <c r="FJ25" i="3"/>
  <c r="X96" i="119" s="1"/>
  <c r="N52" i="3"/>
  <c r="EQ51" i="3"/>
  <c r="EQ52" i="3" s="1"/>
  <c r="CQ87" i="2"/>
  <c r="DK46" i="119" s="1"/>
  <c r="FJ49" i="2"/>
  <c r="DK43" i="2" l="1"/>
  <c r="DL41" i="2"/>
  <c r="DN281" i="119"/>
  <c r="DN260" i="119" s="1"/>
  <c r="ED63" i="119"/>
  <c r="FO43" i="2"/>
  <c r="FO39" i="2"/>
  <c r="AC63" i="119" s="1"/>
  <c r="ED57" i="119"/>
  <c r="DN280" i="119"/>
  <c r="DN267" i="119"/>
  <c r="DK282" i="119"/>
  <c r="DK283" i="119"/>
  <c r="DY50" i="119"/>
  <c r="FN92" i="2"/>
  <c r="AB50" i="119" s="1"/>
  <c r="AB49" i="119" s="1"/>
  <c r="DQ37" i="2"/>
  <c r="X67" i="119"/>
  <c r="X298" i="119" s="1"/>
  <c r="X256" i="119" s="1"/>
  <c r="X69" i="119"/>
  <c r="X271" i="119" s="1"/>
  <c r="Y43" i="119"/>
  <c r="EC57" i="119"/>
  <c r="FK64" i="2"/>
  <c r="FK35" i="2"/>
  <c r="Y60" i="119" s="1"/>
  <c r="Z20" i="114"/>
  <c r="FK65" i="2"/>
  <c r="EB54" i="119"/>
  <c r="DJ91" i="92"/>
  <c r="DJ101" i="92" s="1"/>
  <c r="FJ66" i="2"/>
  <c r="FJ98" i="1"/>
  <c r="FJ62" i="1"/>
  <c r="FJ41" i="1"/>
  <c r="GT62" i="1"/>
  <c r="GT98" i="1"/>
  <c r="GT41" i="1"/>
  <c r="CQ111" i="1"/>
  <c r="CQ110" i="1"/>
  <c r="CX109" i="1"/>
  <c r="CX108" i="1"/>
  <c r="CQ54" i="1"/>
  <c r="CQ53" i="1"/>
  <c r="CX51" i="1"/>
  <c r="FO34" i="2"/>
  <c r="AC57" i="119" s="1"/>
  <c r="DI100" i="92"/>
  <c r="DF92" i="2"/>
  <c r="DZ50" i="119" s="1"/>
  <c r="DE91" i="2"/>
  <c r="DY49" i="119" s="1"/>
  <c r="FK21" i="3"/>
  <c r="FK18" i="3"/>
  <c r="FK46" i="2"/>
  <c r="FJ54" i="3"/>
  <c r="FJ50" i="3"/>
  <c r="O51" i="3"/>
  <c r="O52" i="3" s="1"/>
  <c r="FJ51" i="2"/>
  <c r="X70" i="119" s="1"/>
  <c r="DL43" i="2" l="1"/>
  <c r="DM41" i="2"/>
  <c r="EE63" i="119"/>
  <c r="FJ65" i="3"/>
  <c r="FQ37" i="2"/>
  <c r="DQ22" i="3"/>
  <c r="FQ22" i="3" s="1"/>
  <c r="DR37" i="2"/>
  <c r="EE57" i="119"/>
  <c r="FN91" i="2"/>
  <c r="DK91" i="92"/>
  <c r="DK101" i="92" s="1"/>
  <c r="EC54" i="119"/>
  <c r="FO34" i="3"/>
  <c r="DG92" i="2"/>
  <c r="EA50" i="119" s="1"/>
  <c r="DF91" i="2"/>
  <c r="DZ49" i="119" s="1"/>
  <c r="FN24" i="2"/>
  <c r="AB54" i="119" s="1"/>
  <c r="FK44" i="2"/>
  <c r="Y65" i="119" s="1"/>
  <c r="FJ55" i="3"/>
  <c r="P51" i="3"/>
  <c r="P52" i="3" s="1"/>
  <c r="DM43" i="2" l="1"/>
  <c r="DN41" i="2"/>
  <c r="FP41" i="2"/>
  <c r="EF63" i="119"/>
  <c r="EF57" i="119"/>
  <c r="DS37" i="2"/>
  <c r="DR22" i="3"/>
  <c r="GE22" i="3" s="1"/>
  <c r="ED54" i="119"/>
  <c r="DL91" i="92"/>
  <c r="BC71" i="51"/>
  <c r="BC72" i="51"/>
  <c r="BC74" i="51"/>
  <c r="BC73" i="51"/>
  <c r="BC76" i="51"/>
  <c r="BC75" i="51"/>
  <c r="BC77" i="51"/>
  <c r="DH92" i="2"/>
  <c r="EB50" i="119" s="1"/>
  <c r="DG91" i="2"/>
  <c r="EA49" i="119" s="1"/>
  <c r="Q51" i="3"/>
  <c r="Q52" i="3" s="1"/>
  <c r="DN43" i="2" l="1"/>
  <c r="DO41" i="2"/>
  <c r="DL101" i="92"/>
  <c r="FP43" i="2"/>
  <c r="DM91" i="92"/>
  <c r="DM101" i="92" s="1"/>
  <c r="EG57" i="119"/>
  <c r="DT37" i="2"/>
  <c r="DS22" i="3"/>
  <c r="EE54" i="119"/>
  <c r="FP33" i="2"/>
  <c r="DI92" i="2"/>
  <c r="DH91" i="2"/>
  <c r="EB49" i="119" s="1"/>
  <c r="R51" i="3"/>
  <c r="DO43" i="2" l="1"/>
  <c r="DP41" i="2"/>
  <c r="DP43" i="2" s="1"/>
  <c r="EG63" i="119"/>
  <c r="FP39" i="2"/>
  <c r="AD63" i="119" s="1"/>
  <c r="EH63" i="119"/>
  <c r="DU37" i="2"/>
  <c r="DT22" i="3"/>
  <c r="EC50" i="119"/>
  <c r="FO92" i="2"/>
  <c r="AC50" i="119" s="1"/>
  <c r="AC49" i="119" s="1"/>
  <c r="EF54" i="119"/>
  <c r="DN91" i="92"/>
  <c r="DN101" i="92" s="1"/>
  <c r="FP34" i="2"/>
  <c r="AD57" i="119" s="1"/>
  <c r="EH57" i="119"/>
  <c r="DJ92" i="2"/>
  <c r="ED50" i="119" s="1"/>
  <c r="DI91" i="2"/>
  <c r="EC49" i="119" s="1"/>
  <c r="ER51" i="3"/>
  <c r="ER52" i="3" s="1"/>
  <c r="R52" i="3"/>
  <c r="DQ41" i="2" l="1"/>
  <c r="FQ41" i="2" s="1"/>
  <c r="EI63" i="119"/>
  <c r="DV37" i="2"/>
  <c r="DU22" i="3"/>
  <c r="FR37" i="2"/>
  <c r="FO91" i="2"/>
  <c r="FQ34" i="3"/>
  <c r="EG54" i="119"/>
  <c r="EI57" i="119"/>
  <c r="DO91" i="92"/>
  <c r="FP34" i="3"/>
  <c r="DK92" i="2"/>
  <c r="DJ91" i="2"/>
  <c r="ED49" i="119" s="1"/>
  <c r="FO24" i="2"/>
  <c r="AC54" i="119" s="1"/>
  <c r="S51" i="3"/>
  <c r="S52" i="3" s="1"/>
  <c r="DR41" i="2" l="1"/>
  <c r="DS41" i="2" s="1"/>
  <c r="DO101" i="92"/>
  <c r="EE50" i="119"/>
  <c r="DL92" i="2"/>
  <c r="DL91" i="2" s="1"/>
  <c r="DQ43" i="2"/>
  <c r="EJ63" i="119"/>
  <c r="DW37" i="2"/>
  <c r="DV22" i="3"/>
  <c r="GF22" i="3" s="1"/>
  <c r="FR22" i="3"/>
  <c r="EH54" i="119"/>
  <c r="FR34" i="3"/>
  <c r="EJ57" i="119"/>
  <c r="DP91" i="92"/>
  <c r="DT41" i="2"/>
  <c r="DQ33" i="2"/>
  <c r="DK91" i="2"/>
  <c r="EE49" i="119" s="1"/>
  <c r="BD72" i="51"/>
  <c r="BD71" i="51"/>
  <c r="BD76" i="51"/>
  <c r="BD73" i="51"/>
  <c r="BD74" i="51"/>
  <c r="BD75" i="51"/>
  <c r="BD77" i="51"/>
  <c r="T51" i="3"/>
  <c r="T52" i="3" s="1"/>
  <c r="DP101" i="92" l="1"/>
  <c r="EF50" i="119"/>
  <c r="FQ43" i="2"/>
  <c r="DR43" i="2"/>
  <c r="DQ39" i="2"/>
  <c r="FQ33" i="2"/>
  <c r="DW22" i="3"/>
  <c r="DX37" i="2"/>
  <c r="EI54" i="119"/>
  <c r="DQ34" i="2"/>
  <c r="FQ34" i="2" s="1"/>
  <c r="DR33" i="2"/>
  <c r="DQ91" i="92"/>
  <c r="DQ101" i="92" s="1"/>
  <c r="DU41" i="2"/>
  <c r="DV41" i="2" s="1"/>
  <c r="DM92" i="2"/>
  <c r="DN92" i="2" s="1"/>
  <c r="DN91" i="2" s="1"/>
  <c r="EF49" i="119"/>
  <c r="U51" i="3"/>
  <c r="U52" i="3" s="1"/>
  <c r="DS33" i="2" l="1"/>
  <c r="DT33" i="2" s="1"/>
  <c r="EK63" i="119"/>
  <c r="FQ39" i="2"/>
  <c r="AE63" i="119" s="1"/>
  <c r="DS43" i="2"/>
  <c r="DR39" i="2"/>
  <c r="EL63" i="119" s="1"/>
  <c r="DY37" i="2"/>
  <c r="DX22" i="3"/>
  <c r="EH50" i="119"/>
  <c r="EG50" i="119"/>
  <c r="FP92" i="2"/>
  <c r="AD50" i="119" s="1"/>
  <c r="AD49" i="119" s="1"/>
  <c r="EK57" i="119"/>
  <c r="AE57" i="119"/>
  <c r="EJ54" i="119"/>
  <c r="DW41" i="2"/>
  <c r="FR41" i="2"/>
  <c r="DR34" i="2"/>
  <c r="EL57" i="119" s="1"/>
  <c r="DQ100" i="92"/>
  <c r="DR91" i="92"/>
  <c r="DR101" i="92" s="1"/>
  <c r="DM91" i="2"/>
  <c r="EG49" i="119" s="1"/>
  <c r="V51" i="3"/>
  <c r="DS91" i="92" l="1"/>
  <c r="DS101" i="92" s="1"/>
  <c r="DT43" i="2"/>
  <c r="DS39" i="2"/>
  <c r="EM63" i="119" s="1"/>
  <c r="DO92" i="2"/>
  <c r="EI50" i="119" s="1"/>
  <c r="EH49" i="119"/>
  <c r="FS37" i="2"/>
  <c r="DY22" i="3"/>
  <c r="DZ37" i="2"/>
  <c r="FP91" i="2"/>
  <c r="DQ24" i="2"/>
  <c r="EK54" i="119" s="1"/>
  <c r="DX41" i="2"/>
  <c r="DS34" i="2"/>
  <c r="EM57" i="119" s="1"/>
  <c r="DR100" i="92"/>
  <c r="DT91" i="92"/>
  <c r="DT101" i="92" s="1"/>
  <c r="DU33" i="2"/>
  <c r="FP24" i="2"/>
  <c r="AD54" i="119" s="1"/>
  <c r="V52" i="3"/>
  <c r="ES51" i="3"/>
  <c r="ES52" i="3" s="1"/>
  <c r="DV33" i="2" l="1"/>
  <c r="DV91" i="92" s="1"/>
  <c r="DU43" i="2"/>
  <c r="DT39" i="2"/>
  <c r="EN63" i="119" s="1"/>
  <c r="DO91" i="2"/>
  <c r="EI49" i="119" s="1"/>
  <c r="DP92" i="2"/>
  <c r="EJ50" i="119" s="1"/>
  <c r="DZ22" i="3"/>
  <c r="GG22" i="3" s="1"/>
  <c r="EA37" i="2"/>
  <c r="FS22" i="3"/>
  <c r="FQ24" i="2"/>
  <c r="AE54" i="119" s="1"/>
  <c r="DR24" i="2"/>
  <c r="DY41" i="2"/>
  <c r="FS41" i="2" s="1"/>
  <c r="FR33" i="2"/>
  <c r="DT34" i="2"/>
  <c r="EN57" i="119" s="1"/>
  <c r="DS100" i="92"/>
  <c r="DU91" i="92"/>
  <c r="DU101" i="92" s="1"/>
  <c r="BE73" i="51"/>
  <c r="BE71" i="51"/>
  <c r="BE72" i="51"/>
  <c r="BE76" i="51"/>
  <c r="BE74" i="51"/>
  <c r="BE75" i="51"/>
  <c r="BE77" i="51"/>
  <c r="W51" i="3"/>
  <c r="W52" i="3" s="1"/>
  <c r="DW33" i="2" l="1"/>
  <c r="DX33" i="2" s="1"/>
  <c r="DS24" i="2"/>
  <c r="EL54" i="119"/>
  <c r="DP91" i="2"/>
  <c r="EJ49" i="119" s="1"/>
  <c r="FR43" i="2"/>
  <c r="DV43" i="2"/>
  <c r="DU39" i="2"/>
  <c r="DQ92" i="2"/>
  <c r="EK50" i="119" s="1"/>
  <c r="EA22" i="3"/>
  <c r="EB37" i="2"/>
  <c r="DV101" i="92"/>
  <c r="DZ41" i="2"/>
  <c r="DU34" i="2"/>
  <c r="DT100" i="92"/>
  <c r="X51" i="3"/>
  <c r="X52" i="3" s="1"/>
  <c r="DW91" i="92" l="1"/>
  <c r="DW101" i="92" s="1"/>
  <c r="DT24" i="2"/>
  <c r="EM54" i="119"/>
  <c r="FR39" i="2"/>
  <c r="AF63" i="119" s="1"/>
  <c r="EO63" i="119"/>
  <c r="DV34" i="2"/>
  <c r="EP57" i="119" s="1"/>
  <c r="EO57" i="119"/>
  <c r="DW43" i="2"/>
  <c r="DV39" i="2"/>
  <c r="EP63" i="119" s="1"/>
  <c r="DR92" i="2"/>
  <c r="DQ91" i="2"/>
  <c r="EK49" i="119" s="1"/>
  <c r="FQ92" i="2"/>
  <c r="AE50" i="119" s="1"/>
  <c r="AE49" i="119" s="1"/>
  <c r="EC37" i="2"/>
  <c r="EB22" i="3"/>
  <c r="DX91" i="92"/>
  <c r="DY33" i="2"/>
  <c r="EA41" i="2"/>
  <c r="FR34" i="2"/>
  <c r="AF57" i="119" s="1"/>
  <c r="DU100" i="92"/>
  <c r="Y51" i="3"/>
  <c r="Y52" i="3" s="1"/>
  <c r="DR91" i="2" l="1"/>
  <c r="EL49" i="119" s="1"/>
  <c r="EL50" i="119"/>
  <c r="DV100" i="92"/>
  <c r="DW34" i="2"/>
  <c r="EQ57" i="119" s="1"/>
  <c r="FS33" i="2"/>
  <c r="DU24" i="2"/>
  <c r="EN54" i="119"/>
  <c r="DS92" i="2"/>
  <c r="DX43" i="2"/>
  <c r="DW39" i="2"/>
  <c r="EQ63" i="119" s="1"/>
  <c r="FQ91" i="2"/>
  <c r="FT37" i="2"/>
  <c r="EC22" i="3"/>
  <c r="ED37" i="2"/>
  <c r="EB41" i="2"/>
  <c r="DY91" i="92"/>
  <c r="DZ33" i="2"/>
  <c r="DX101" i="92"/>
  <c r="Z51" i="3"/>
  <c r="EO54" i="119" l="1"/>
  <c r="FR24" i="2"/>
  <c r="AF54" i="119" s="1"/>
  <c r="DV24" i="2"/>
  <c r="DX34" i="2"/>
  <c r="ER57" i="119" s="1"/>
  <c r="DW100" i="92"/>
  <c r="DS91" i="2"/>
  <c r="EM49" i="119" s="1"/>
  <c r="EM50" i="119"/>
  <c r="DT92" i="2"/>
  <c r="DY43" i="2"/>
  <c r="DX39" i="2"/>
  <c r="ER63" i="119" s="1"/>
  <c r="EE37" i="2"/>
  <c r="ED22" i="3"/>
  <c r="GH22" i="3" s="1"/>
  <c r="FT22" i="3"/>
  <c r="DY101" i="92"/>
  <c r="EC41" i="2"/>
  <c r="FT41" i="2" s="1"/>
  <c r="DZ91" i="92"/>
  <c r="EA33" i="2"/>
  <c r="BF76" i="51"/>
  <c r="BF72" i="51"/>
  <c r="BF74" i="51"/>
  <c r="BF73" i="51"/>
  <c r="BF71" i="51"/>
  <c r="BF75" i="51"/>
  <c r="BF77" i="51"/>
  <c r="Z52" i="3"/>
  <c r="ET51" i="3"/>
  <c r="ET52" i="3" s="1"/>
  <c r="DW24" i="2" l="1"/>
  <c r="EP54" i="119"/>
  <c r="DY34" i="2"/>
  <c r="DY100" i="92" s="1"/>
  <c r="DX100" i="92"/>
  <c r="DU92" i="2"/>
  <c r="EO50" i="119" s="1"/>
  <c r="EN50" i="119"/>
  <c r="DT91" i="2"/>
  <c r="EN49" i="119" s="1"/>
  <c r="DZ43" i="2"/>
  <c r="FS43" i="2"/>
  <c r="DY39" i="2"/>
  <c r="EE22" i="3"/>
  <c r="EF37" i="2"/>
  <c r="ED41" i="2"/>
  <c r="DZ101" i="92"/>
  <c r="EA91" i="92"/>
  <c r="EB33" i="2"/>
  <c r="AA51" i="3"/>
  <c r="AA52" i="3" s="1"/>
  <c r="DZ34" i="2" l="1"/>
  <c r="ET57" i="119" s="1"/>
  <c r="FR92" i="2"/>
  <c r="AF50" i="119" s="1"/>
  <c r="AF49" i="119" s="1"/>
  <c r="DV92" i="2"/>
  <c r="FS34" i="2"/>
  <c r="AG57" i="119" s="1"/>
  <c r="ES57" i="119"/>
  <c r="FS39" i="2"/>
  <c r="AG63" i="119" s="1"/>
  <c r="ES63" i="119"/>
  <c r="DU91" i="2"/>
  <c r="DX24" i="2"/>
  <c r="EQ54" i="119"/>
  <c r="EA43" i="2"/>
  <c r="DZ39" i="2"/>
  <c r="ET63" i="119" s="1"/>
  <c r="EF22" i="3"/>
  <c r="EG37" i="2"/>
  <c r="EE41" i="2"/>
  <c r="EB91" i="92"/>
  <c r="EC33" i="2"/>
  <c r="EA101" i="92"/>
  <c r="AB51" i="3"/>
  <c r="AB52" i="3" s="1"/>
  <c r="EA34" i="2" l="1"/>
  <c r="EU57" i="119" s="1"/>
  <c r="DZ100" i="92"/>
  <c r="FR91" i="2"/>
  <c r="EO49" i="119"/>
  <c r="DW92" i="2"/>
  <c r="EP50" i="119"/>
  <c r="DY24" i="2"/>
  <c r="ER54" i="119"/>
  <c r="DV91" i="2"/>
  <c r="EP49" i="119" s="1"/>
  <c r="FT33" i="2"/>
  <c r="EB43" i="2"/>
  <c r="EA39" i="2"/>
  <c r="EU63" i="119" s="1"/>
  <c r="FU37" i="2"/>
  <c r="EH37" i="2"/>
  <c r="EG22" i="3"/>
  <c r="FU22" i="3" s="1"/>
  <c r="EC91" i="92"/>
  <c r="ED33" i="2"/>
  <c r="EB101" i="92"/>
  <c r="EF41" i="2"/>
  <c r="AC51" i="3"/>
  <c r="AC52" i="3" s="1"/>
  <c r="EA100" i="92" l="1"/>
  <c r="EB34" i="2"/>
  <c r="EV57" i="119" s="1"/>
  <c r="EQ50" i="119"/>
  <c r="DX92" i="2"/>
  <c r="DW91" i="2"/>
  <c r="EQ49" i="119" s="1"/>
  <c r="ES54" i="119"/>
  <c r="FS24" i="2"/>
  <c r="AG54" i="119" s="1"/>
  <c r="DZ24" i="2"/>
  <c r="EC43" i="2"/>
  <c r="EB39" i="2"/>
  <c r="EV63" i="119" s="1"/>
  <c r="EI37" i="2"/>
  <c r="EH22" i="3"/>
  <c r="GI22" i="3" s="1"/>
  <c r="ED91" i="92"/>
  <c r="EE33" i="2"/>
  <c r="EG41" i="2"/>
  <c r="FU41" i="2" s="1"/>
  <c r="EC101" i="92"/>
  <c r="BG71" i="51"/>
  <c r="BG73" i="51"/>
  <c r="BG74" i="51"/>
  <c r="BG76" i="51"/>
  <c r="BG72" i="51"/>
  <c r="BG75" i="51"/>
  <c r="BG77" i="51"/>
  <c r="AD51" i="3"/>
  <c r="EC34" i="2" l="1"/>
  <c r="EW57" i="119" s="1"/>
  <c r="EB100" i="92"/>
  <c r="EA24" i="2"/>
  <c r="ET54" i="119"/>
  <c r="ER50" i="119"/>
  <c r="DY92" i="2"/>
  <c r="DX91" i="2"/>
  <c r="ER49" i="119" s="1"/>
  <c r="FT43" i="2"/>
  <c r="ED43" i="2"/>
  <c r="EC39" i="2"/>
  <c r="EJ37" i="2"/>
  <c r="EI22" i="3"/>
  <c r="EH41" i="2"/>
  <c r="EE91" i="92"/>
  <c r="EF33" i="2"/>
  <c r="ED101" i="92"/>
  <c r="AD52" i="3"/>
  <c r="EU51" i="3"/>
  <c r="EU52" i="3" s="1"/>
  <c r="ED34" i="2" l="1"/>
  <c r="EX57" i="119" s="1"/>
  <c r="FT34" i="2"/>
  <c r="AH57" i="119" s="1"/>
  <c r="EC100" i="92"/>
  <c r="FS92" i="2"/>
  <c r="AG50" i="119" s="1"/>
  <c r="AG49" i="119" s="1"/>
  <c r="ES50" i="119"/>
  <c r="DZ92" i="2"/>
  <c r="DY91" i="2"/>
  <c r="EB24" i="2"/>
  <c r="EU54" i="119"/>
  <c r="FT39" i="2"/>
  <c r="AH63" i="119" s="1"/>
  <c r="EW63" i="119"/>
  <c r="EE43" i="2"/>
  <c r="ED39" i="2"/>
  <c r="EX63" i="119" s="1"/>
  <c r="EK37" i="2"/>
  <c r="EJ22" i="3"/>
  <c r="EF91" i="92"/>
  <c r="EG33" i="2"/>
  <c r="EE101" i="92"/>
  <c r="EI41" i="2"/>
  <c r="AE51" i="3"/>
  <c r="AE52" i="3" s="1"/>
  <c r="ED100" i="92" l="1"/>
  <c r="EE34" i="2"/>
  <c r="EY57" i="119" s="1"/>
  <c r="EC24" i="2"/>
  <c r="EV54" i="119"/>
  <c r="FS91" i="2"/>
  <c r="ES49" i="119"/>
  <c r="ET50" i="119"/>
  <c r="DZ91" i="2"/>
  <c r="ET49" i="119" s="1"/>
  <c r="EA92" i="2"/>
  <c r="FU33" i="2"/>
  <c r="EF43" i="2"/>
  <c r="EE39" i="2"/>
  <c r="EY63" i="119" s="1"/>
  <c r="FV37" i="2"/>
  <c r="EK22" i="3"/>
  <c r="FV22" i="3" s="1"/>
  <c r="EJ41" i="2"/>
  <c r="EG91" i="92"/>
  <c r="EH33" i="2"/>
  <c r="EF101" i="92"/>
  <c r="AF51" i="3"/>
  <c r="AF52" i="3" s="1"/>
  <c r="EE100" i="92" l="1"/>
  <c r="EF34" i="2"/>
  <c r="EZ57" i="119" s="1"/>
  <c r="EU50" i="119"/>
  <c r="EA91" i="2"/>
  <c r="EU49" i="119" s="1"/>
  <c r="EB92" i="2"/>
  <c r="EW54" i="119"/>
  <c r="FT24" i="2"/>
  <c r="AH54" i="119" s="1"/>
  <c r="ED24" i="2"/>
  <c r="EG43" i="2"/>
  <c r="EF39" i="2"/>
  <c r="EZ63" i="119" s="1"/>
  <c r="EG101" i="92"/>
  <c r="EK41" i="2"/>
  <c r="FV41" i="2" s="1"/>
  <c r="EH91" i="92"/>
  <c r="EI33" i="2"/>
  <c r="BH71" i="51"/>
  <c r="BH73" i="51"/>
  <c r="BH74" i="51"/>
  <c r="BH76" i="51"/>
  <c r="BH72" i="51"/>
  <c r="BH75" i="51"/>
  <c r="BH77" i="51"/>
  <c r="AG51" i="3"/>
  <c r="AG52" i="3" s="1"/>
  <c r="EG34" i="2" l="1"/>
  <c r="FU34" i="2" s="1"/>
  <c r="AI57" i="119" s="1"/>
  <c r="EF100" i="92"/>
  <c r="EV50" i="119"/>
  <c r="EC92" i="2"/>
  <c r="EB91" i="2"/>
  <c r="EV49" i="119" s="1"/>
  <c r="EE24" i="2"/>
  <c r="EX54" i="119"/>
  <c r="EH43" i="2"/>
  <c r="FU43" i="2"/>
  <c r="EG39" i="2"/>
  <c r="EH101" i="92"/>
  <c r="EI91" i="92"/>
  <c r="EJ33" i="2"/>
  <c r="AH51" i="3"/>
  <c r="EH34" i="2" l="1"/>
  <c r="FB57" i="119" s="1"/>
  <c r="EG100" i="92"/>
  <c r="FA57" i="119"/>
  <c r="FU39" i="2"/>
  <c r="AI63" i="119" s="1"/>
  <c r="FA63" i="119"/>
  <c r="EF24" i="2"/>
  <c r="EY54" i="119"/>
  <c r="FT92" i="2"/>
  <c r="AH50" i="119" s="1"/>
  <c r="AH49" i="119" s="1"/>
  <c r="EW50" i="119"/>
  <c r="ED92" i="2"/>
  <c r="EC91" i="2"/>
  <c r="EI43" i="2"/>
  <c r="EH39" i="2"/>
  <c r="FB63" i="119" s="1"/>
  <c r="EJ91" i="92"/>
  <c r="EK33" i="2"/>
  <c r="EI101" i="92"/>
  <c r="EV51" i="3"/>
  <c r="EV52" i="3" s="1"/>
  <c r="AH52" i="3"/>
  <c r="EH100" i="92" l="1"/>
  <c r="EI34" i="2"/>
  <c r="FC57" i="119" s="1"/>
  <c r="FT91" i="2"/>
  <c r="EW49" i="119"/>
  <c r="EG24" i="2"/>
  <c r="EZ54" i="119"/>
  <c r="FV33" i="2"/>
  <c r="EX50" i="119"/>
  <c r="EE92" i="2"/>
  <c r="ED91" i="2"/>
  <c r="EX49" i="119" s="1"/>
  <c r="EJ43" i="2"/>
  <c r="EI39" i="2"/>
  <c r="FC63" i="119" s="1"/>
  <c r="EK91" i="92"/>
  <c r="EK101" i="92" s="1"/>
  <c r="EJ101" i="92"/>
  <c r="AI51" i="3"/>
  <c r="AI52" i="3" s="1"/>
  <c r="EI100" i="92" l="1"/>
  <c r="EJ34" i="2"/>
  <c r="FD57" i="119" s="1"/>
  <c r="FA54" i="119"/>
  <c r="EH24" i="2"/>
  <c r="FU24" i="2"/>
  <c r="AI54" i="119" s="1"/>
  <c r="EY50" i="119"/>
  <c r="EF92" i="2"/>
  <c r="EE91" i="2"/>
  <c r="EY49" i="119" s="1"/>
  <c r="EK43" i="2"/>
  <c r="EJ39" i="2"/>
  <c r="FD63" i="119" s="1"/>
  <c r="EJ100" i="92"/>
  <c r="EK34" i="2"/>
  <c r="BI74" i="51"/>
  <c r="BI73" i="51"/>
  <c r="BI76" i="51"/>
  <c r="BI71" i="51"/>
  <c r="BI72" i="51"/>
  <c r="BI75" i="51"/>
  <c r="BI77" i="51"/>
  <c r="AJ51" i="3"/>
  <c r="AJ52" i="3" s="1"/>
  <c r="EI24" i="2" l="1"/>
  <c r="FB54" i="119"/>
  <c r="FV34" i="2"/>
  <c r="AJ57" i="119" s="1"/>
  <c r="FE57" i="119"/>
  <c r="EZ50" i="119"/>
  <c r="EG92" i="2"/>
  <c r="EF91" i="2"/>
  <c r="EZ49" i="119" s="1"/>
  <c r="FV43" i="2"/>
  <c r="EK39" i="2"/>
  <c r="EK100" i="92"/>
  <c r="AK51" i="3"/>
  <c r="AK52" i="3" s="1"/>
  <c r="FU92" i="2" l="1"/>
  <c r="AI50" i="119" s="1"/>
  <c r="AI49" i="119" s="1"/>
  <c r="FA50" i="119"/>
  <c r="EG91" i="2"/>
  <c r="EH92" i="2"/>
  <c r="FV39" i="2"/>
  <c r="AJ63" i="119" s="1"/>
  <c r="FE63" i="119"/>
  <c r="EJ24" i="2"/>
  <c r="FC54" i="119"/>
  <c r="AL51" i="3"/>
  <c r="FB50" i="119" l="1"/>
  <c r="EI92" i="2"/>
  <c r="EH91" i="2"/>
  <c r="FB49" i="119" s="1"/>
  <c r="FU91" i="2"/>
  <c r="FA49" i="119"/>
  <c r="EK24" i="2"/>
  <c r="FD54" i="119"/>
  <c r="AL52" i="3"/>
  <c r="EW51" i="3"/>
  <c r="EW52" i="3" s="1"/>
  <c r="FV24" i="2" l="1"/>
  <c r="AJ54" i="119" s="1"/>
  <c r="FE54" i="119"/>
  <c r="FC50" i="119"/>
  <c r="EJ92" i="2"/>
  <c r="EI91" i="2"/>
  <c r="FC49" i="119" s="1"/>
  <c r="BJ71" i="51"/>
  <c r="BJ76" i="51"/>
  <c r="BJ72" i="51"/>
  <c r="BJ73" i="51"/>
  <c r="BJ74" i="51"/>
  <c r="BJ75" i="51"/>
  <c r="BJ77" i="51"/>
  <c r="AM51" i="3"/>
  <c r="AM52" i="3" s="1"/>
  <c r="FD50" i="119" l="1"/>
  <c r="EK92" i="2"/>
  <c r="EJ91" i="2"/>
  <c r="FD49" i="119" s="1"/>
  <c r="AN51" i="3"/>
  <c r="AN52" i="3" s="1"/>
  <c r="FE50" i="119" l="1"/>
  <c r="FV92" i="2"/>
  <c r="AJ50" i="119" s="1"/>
  <c r="AJ49" i="119" s="1"/>
  <c r="EK91" i="2"/>
  <c r="AO51" i="3"/>
  <c r="AO52" i="3" s="1"/>
  <c r="FV91" i="2" l="1"/>
  <c r="FE49" i="119"/>
  <c r="AP51" i="3"/>
  <c r="BK71" i="51" l="1"/>
  <c r="BK73" i="51"/>
  <c r="BK74" i="51"/>
  <c r="BK76" i="51"/>
  <c r="BK72" i="51"/>
  <c r="BK75" i="51"/>
  <c r="BK77" i="51"/>
  <c r="AP52" i="3"/>
  <c r="EX51" i="3"/>
  <c r="EX52" i="3" s="1"/>
  <c r="AQ51" i="3" l="1"/>
  <c r="AQ52" i="3" s="1"/>
  <c r="AR51" i="3" l="1"/>
  <c r="AR52" i="3" s="1"/>
  <c r="AS51" i="3" l="1"/>
  <c r="AS52" i="3" s="1"/>
  <c r="BL73" i="51" l="1"/>
  <c r="BL71" i="51"/>
  <c r="BL74" i="51"/>
  <c r="BL76" i="51"/>
  <c r="BL72" i="51"/>
  <c r="BL75" i="51"/>
  <c r="BL77" i="51"/>
  <c r="AT51" i="3"/>
  <c r="AT52" i="3" l="1"/>
  <c r="EY51" i="3"/>
  <c r="EY52" i="3" s="1"/>
  <c r="AU51" i="3" l="1"/>
  <c r="AU52" i="3" s="1"/>
  <c r="AV51" i="3" l="1"/>
  <c r="AV52" i="3" s="1"/>
  <c r="BM77" i="51" l="1"/>
  <c r="BM76" i="51"/>
  <c r="BM74" i="51"/>
  <c r="BM73" i="51"/>
  <c r="BM72" i="51"/>
  <c r="BM71" i="51"/>
  <c r="BM75" i="51"/>
  <c r="AW51" i="3"/>
  <c r="AW52" i="3" s="1"/>
  <c r="AX51" i="3" l="1"/>
  <c r="AX52" i="3" l="1"/>
  <c r="EZ51" i="3"/>
  <c r="EZ52" i="3" s="1"/>
  <c r="AY51" i="3" l="1"/>
  <c r="AY52" i="3" s="1"/>
  <c r="BN73" i="51" l="1"/>
  <c r="BN74" i="51"/>
  <c r="BN75" i="51"/>
  <c r="BN72" i="51"/>
  <c r="BN76" i="51"/>
  <c r="BN71" i="51"/>
  <c r="BN77" i="51"/>
  <c r="AZ51" i="3"/>
  <c r="AZ52" i="3" s="1"/>
  <c r="BA51" i="3" l="1"/>
  <c r="BA52" i="3" s="1"/>
  <c r="BB51" i="3" l="1"/>
  <c r="FA51" i="3" l="1"/>
  <c r="FA52" i="3" s="1"/>
  <c r="BB52" i="3"/>
  <c r="BO74" i="51" l="1"/>
  <c r="BO75" i="51"/>
  <c r="BO76" i="51"/>
  <c r="BO71" i="51"/>
  <c r="BO77" i="51"/>
  <c r="BO72" i="51"/>
  <c r="BO73" i="51"/>
  <c r="BC51" i="3"/>
  <c r="BC52" i="3" s="1"/>
  <c r="FB51" i="3"/>
  <c r="FB52" i="3" s="1"/>
  <c r="FC51" i="3" l="1"/>
  <c r="FC52" i="3" s="1"/>
  <c r="BD51" i="3"/>
  <c r="BD52" i="3" s="1"/>
  <c r="BE51" i="3" l="1"/>
  <c r="BE52" i="3" s="1"/>
  <c r="FD51" i="3"/>
  <c r="FD52" i="3" s="1"/>
  <c r="FE51" i="3" l="1"/>
  <c r="FE52" i="3" s="1"/>
  <c r="BF51" i="3"/>
  <c r="BF52" i="3" s="1"/>
  <c r="BP76" i="51" l="1"/>
  <c r="BP71" i="51"/>
  <c r="BP77" i="51"/>
  <c r="BP72" i="51"/>
  <c r="BP74" i="51"/>
  <c r="BP73" i="51"/>
  <c r="BP75" i="51"/>
  <c r="BG51" i="3"/>
  <c r="BG52" i="3" s="1"/>
  <c r="FF51" i="3"/>
  <c r="FF52" i="3" s="1"/>
  <c r="FG51" i="3" l="1"/>
  <c r="BH51" i="3"/>
  <c r="BH52" i="3" s="1"/>
  <c r="BI51" i="3" l="1"/>
  <c r="BI52" i="3" s="1"/>
  <c r="FG52" i="3"/>
  <c r="FH51" i="3" l="1"/>
  <c r="BJ51" i="3"/>
  <c r="BJ52" i="3" s="1"/>
  <c r="BQ75" i="51" l="1"/>
  <c r="BQ74" i="51"/>
  <c r="BQ71" i="51"/>
  <c r="BQ76" i="51"/>
  <c r="BQ73" i="51"/>
  <c r="BQ72" i="51"/>
  <c r="BQ77" i="51"/>
  <c r="BK51" i="3"/>
  <c r="BK52" i="3" s="1"/>
  <c r="FH52" i="3"/>
  <c r="FI51" i="3" l="1"/>
  <c r="BL51" i="3"/>
  <c r="BL52" i="3" s="1"/>
  <c r="BM51" i="3" l="1"/>
  <c r="BM52" i="3" s="1"/>
  <c r="FI52" i="3"/>
  <c r="FJ51" i="3" l="1"/>
  <c r="BN51" i="3"/>
  <c r="BN52" i="3" s="1"/>
  <c r="BR76" i="51" l="1"/>
  <c r="BR72" i="51"/>
  <c r="BR77" i="51"/>
  <c r="BR74" i="51"/>
  <c r="BR73" i="51"/>
  <c r="BR71" i="51"/>
  <c r="BR75" i="51"/>
  <c r="FJ52" i="3"/>
  <c r="BO51" i="3"/>
  <c r="BO52" i="3" s="1"/>
  <c r="BP51" i="3" l="1"/>
  <c r="BP52" i="3" s="1"/>
  <c r="FK51" i="3"/>
  <c r="BQ51" i="3" l="1"/>
  <c r="BQ52" i="3" s="1"/>
  <c r="BR51" i="3" l="1"/>
  <c r="BR52" i="3" s="1"/>
  <c r="BS77" i="51" l="1"/>
  <c r="BS76" i="51"/>
  <c r="BS74" i="51"/>
  <c r="BS73" i="51"/>
  <c r="BS72" i="51"/>
  <c r="BS71" i="51"/>
  <c r="BS75" i="51"/>
  <c r="BS51" i="3"/>
  <c r="BS52" i="3" s="1"/>
  <c r="BT51" i="3" l="1"/>
  <c r="BT52" i="3" s="1"/>
  <c r="BU51" i="3" l="1"/>
  <c r="BU52" i="3" s="1"/>
  <c r="BV51" i="3" l="1"/>
  <c r="BV52" i="3" s="1"/>
  <c r="BT77" i="51" l="1"/>
  <c r="BT76" i="51"/>
  <c r="BT74" i="51"/>
  <c r="BT73" i="51"/>
  <c r="BT72" i="51"/>
  <c r="BT71" i="51"/>
  <c r="BT75" i="51"/>
  <c r="BW51" i="3"/>
  <c r="BW52" i="3" s="1"/>
  <c r="BX51" i="3" l="1"/>
  <c r="BX52" i="3" s="1"/>
  <c r="BY51" i="3" l="1"/>
  <c r="BY52" i="3" s="1"/>
  <c r="BZ51" i="3" l="1"/>
  <c r="BZ52" i="3" s="1"/>
  <c r="BU77" i="51" l="1"/>
  <c r="BU76" i="51"/>
  <c r="BU74" i="51"/>
  <c r="BU73" i="51"/>
  <c r="BU72" i="51"/>
  <c r="BU71" i="51"/>
  <c r="BU75" i="51"/>
  <c r="CA51" i="3"/>
  <c r="CA52" i="3" s="1"/>
  <c r="CB51" i="3" l="1"/>
  <c r="CB52" i="3" s="1"/>
  <c r="CC51" i="3" l="1"/>
  <c r="CC52" i="3" s="1"/>
  <c r="CD51" i="3" s="1"/>
  <c r="CD52" i="3" l="1"/>
  <c r="BV74" i="51" l="1"/>
  <c r="BV72" i="51"/>
  <c r="BV75" i="51"/>
  <c r="BV77" i="51"/>
  <c r="BV76" i="51"/>
  <c r="BV73" i="51"/>
  <c r="BV71" i="51"/>
  <c r="CD57" i="3"/>
  <c r="CE51" i="3"/>
  <c r="CE52" i="3" s="1"/>
  <c r="CX107" i="119" l="1"/>
  <c r="BY97" i="30" s="1"/>
  <c r="CX108" i="119"/>
  <c r="BY98" i="30" s="1"/>
  <c r="CX106" i="119"/>
  <c r="BY96" i="30" s="1"/>
  <c r="CE57" i="3"/>
  <c r="CD58" i="3"/>
  <c r="CD59" i="3" s="1"/>
  <c r="CF51" i="3"/>
  <c r="CE58" i="3" l="1"/>
  <c r="CE59" i="3" s="1"/>
  <c r="CY107" i="119"/>
  <c r="BZ97" i="30" s="1"/>
  <c r="CY108" i="119"/>
  <c r="BZ98" i="30" s="1"/>
  <c r="CF52" i="3"/>
  <c r="CF57" i="3" l="1"/>
  <c r="CG51" i="3"/>
  <c r="CF58" i="3" l="1"/>
  <c r="CF59" i="3" s="1"/>
  <c r="CZ107" i="119"/>
  <c r="CA97" i="30" s="1"/>
  <c r="CZ108" i="119"/>
  <c r="CA98" i="30" s="1"/>
  <c r="BW77" i="51"/>
  <c r="BW76" i="51"/>
  <c r="BW74" i="51"/>
  <c r="BW73" i="51"/>
  <c r="BW72" i="51"/>
  <c r="BW71" i="51"/>
  <c r="BW75" i="51"/>
  <c r="CG52" i="3"/>
  <c r="CG57" i="3" l="1"/>
  <c r="CH51" i="3"/>
  <c r="CG58" i="3" l="1"/>
  <c r="CG59" i="3" s="1"/>
  <c r="DA108" i="119"/>
  <c r="CB98" i="30" s="1"/>
  <c r="DA107" i="119"/>
  <c r="CB97" i="30" s="1"/>
  <c r="FH57" i="3"/>
  <c r="CH52" i="3"/>
  <c r="V107" i="119" l="1"/>
  <c r="V97" i="30" s="1"/>
  <c r="V106" i="119"/>
  <c r="V96" i="30" s="1"/>
  <c r="V108" i="119"/>
  <c r="V98" i="30" s="1"/>
  <c r="CH57" i="3"/>
  <c r="FH58" i="3"/>
  <c r="FH59" i="3" s="1"/>
  <c r="CI51" i="3"/>
  <c r="DB108" i="119" l="1"/>
  <c r="CC98" i="30" s="1"/>
  <c r="DB107" i="119"/>
  <c r="CC97" i="30" s="1"/>
  <c r="BX77" i="51"/>
  <c r="BX76" i="51"/>
  <c r="BX74" i="51"/>
  <c r="BX73" i="51"/>
  <c r="BX72" i="51"/>
  <c r="BX71" i="51"/>
  <c r="BX75" i="51"/>
  <c r="CH58" i="3"/>
  <c r="CH59" i="3" s="1"/>
  <c r="CI52" i="3"/>
  <c r="CI57" i="3" l="1"/>
  <c r="CJ51" i="3"/>
  <c r="DC108" i="119" l="1"/>
  <c r="CD98" i="30" s="1"/>
  <c r="DC107" i="119"/>
  <c r="CD97" i="30" s="1"/>
  <c r="CI58" i="3"/>
  <c r="CI59" i="3" s="1"/>
  <c r="CJ52" i="3"/>
  <c r="CJ57" i="3" l="1"/>
  <c r="CK51" i="3"/>
  <c r="CJ58" i="3" l="1"/>
  <c r="CJ59" i="3" s="1"/>
  <c r="DD107" i="119"/>
  <c r="CE97" i="30" s="1"/>
  <c r="DD108" i="119"/>
  <c r="CE98" i="30" s="1"/>
  <c r="BY77" i="51"/>
  <c r="BY76" i="51"/>
  <c r="BY74" i="51"/>
  <c r="BY73" i="51"/>
  <c r="BY72" i="51"/>
  <c r="BY71" i="51"/>
  <c r="BY75" i="51"/>
  <c r="CK52" i="3"/>
  <c r="CK57" i="3" l="1"/>
  <c r="CL51" i="3"/>
  <c r="CN56" i="2"/>
  <c r="DE107" i="119" l="1"/>
  <c r="CF97" i="30" s="1"/>
  <c r="DE108" i="119"/>
  <c r="CF98" i="30" s="1"/>
  <c r="FI57" i="3"/>
  <c r="CK58" i="3"/>
  <c r="CK59" i="3" s="1"/>
  <c r="CN114" i="2"/>
  <c r="CN115" i="2" s="1"/>
  <c r="CL52" i="3"/>
  <c r="CN61" i="2"/>
  <c r="CN58" i="2"/>
  <c r="DH76" i="119" s="1"/>
  <c r="DH264" i="119" s="1"/>
  <c r="W108" i="119" l="1"/>
  <c r="W98" i="30" s="1"/>
  <c r="W107" i="119"/>
  <c r="W97" i="30" s="1"/>
  <c r="CL57" i="3"/>
  <c r="FI58" i="3"/>
  <c r="FI59" i="3" s="1"/>
  <c r="CM51" i="3"/>
  <c r="FX51" i="3" s="1"/>
  <c r="FX52" i="3" s="1"/>
  <c r="CN59" i="2"/>
  <c r="CL58" i="3" l="1"/>
  <c r="CL59" i="3" s="1"/>
  <c r="DF108" i="119"/>
  <c r="DF107" i="119"/>
  <c r="GP73" i="51"/>
  <c r="GP74" i="51"/>
  <c r="GP76" i="51"/>
  <c r="GP72" i="51"/>
  <c r="CM52" i="3"/>
  <c r="GP77" i="51" l="1"/>
  <c r="GP71" i="51"/>
  <c r="GP75" i="51"/>
  <c r="BZ75" i="51"/>
  <c r="BZ71" i="51"/>
  <c r="BZ73" i="51"/>
  <c r="BZ72" i="51"/>
  <c r="BZ74" i="51"/>
  <c r="BZ76" i="51"/>
  <c r="BZ77" i="51"/>
  <c r="CM57" i="3"/>
  <c r="CN51" i="3"/>
  <c r="DG108" i="119" l="1"/>
  <c r="DG107" i="119"/>
  <c r="CM58" i="3"/>
  <c r="CM59" i="3" s="1"/>
  <c r="CN52" i="3"/>
  <c r="CN57" i="3" l="1"/>
  <c r="CO51" i="3"/>
  <c r="CO52" i="3" s="1"/>
  <c r="CN58" i="3" l="1"/>
  <c r="CN59" i="3" s="1"/>
  <c r="DH108" i="119"/>
  <c r="DH107" i="119"/>
  <c r="CO57" i="3"/>
  <c r="CP51" i="3"/>
  <c r="CP52" i="3" s="1"/>
  <c r="CO58" i="3" l="1"/>
  <c r="CO59" i="3" s="1"/>
  <c r="DI108" i="119"/>
  <c r="DI107" i="119"/>
  <c r="CA73" i="51"/>
  <c r="CA75" i="51"/>
  <c r="CA74" i="51"/>
  <c r="CA71" i="51"/>
  <c r="CA76" i="51"/>
  <c r="CA72" i="51"/>
  <c r="CA77" i="51"/>
  <c r="FJ57" i="3"/>
  <c r="CQ51" i="3"/>
  <c r="CP57" i="3"/>
  <c r="X108" i="119" l="1"/>
  <c r="X107" i="119"/>
  <c r="CP58" i="3"/>
  <c r="CP59" i="3" s="1"/>
  <c r="DJ107" i="119"/>
  <c r="DJ108" i="119"/>
  <c r="CQ52" i="3"/>
  <c r="CQ57" i="3" s="1"/>
  <c r="FY51" i="3"/>
  <c r="FY52" i="3" s="1"/>
  <c r="FJ58" i="3"/>
  <c r="CO56" i="2"/>
  <c r="FJ11" i="2"/>
  <c r="X41" i="119" s="1"/>
  <c r="X265" i="119" s="1"/>
  <c r="CO114" i="2" l="1"/>
  <c r="CO115" i="2" s="1"/>
  <c r="DK106" i="119"/>
  <c r="DK108" i="119"/>
  <c r="DK107" i="119"/>
  <c r="CR51" i="3"/>
  <c r="CR52" i="3" s="1"/>
  <c r="CS51" i="3" s="1"/>
  <c r="CS52" i="3" s="1"/>
  <c r="CQ58" i="3"/>
  <c r="CQ59" i="3" s="1"/>
  <c r="FJ59" i="3"/>
  <c r="FJ56" i="2"/>
  <c r="FJ18" i="2"/>
  <c r="X45" i="119" s="1"/>
  <c r="CO58" i="2"/>
  <c r="DI76" i="119" s="1"/>
  <c r="DI264" i="119" s="1"/>
  <c r="CO61" i="2"/>
  <c r="CR57" i="3" l="1"/>
  <c r="CB77" i="51"/>
  <c r="CB76" i="51"/>
  <c r="CB74" i="51"/>
  <c r="CB73" i="51"/>
  <c r="CB72" i="51"/>
  <c r="CB71" i="51"/>
  <c r="CB75" i="51"/>
  <c r="CS57" i="3"/>
  <c r="CT51" i="3"/>
  <c r="CT52" i="3" s="1"/>
  <c r="CU51" i="3" s="1"/>
  <c r="FJ58" i="2"/>
  <c r="X76" i="119" s="1"/>
  <c r="X264" i="119" s="1"/>
  <c r="CO59" i="2"/>
  <c r="FJ61" i="2"/>
  <c r="FJ27" i="2"/>
  <c r="X55" i="119" s="1"/>
  <c r="DM108" i="119" l="1"/>
  <c r="DM107" i="119"/>
  <c r="DM106" i="119"/>
  <c r="DL106" i="119"/>
  <c r="DL107" i="119"/>
  <c r="DL108" i="119"/>
  <c r="CR58" i="3"/>
  <c r="CR59" i="3" s="1"/>
  <c r="FJ67" i="2"/>
  <c r="CU52" i="3"/>
  <c r="CV51" i="3" s="1"/>
  <c r="CV52" i="3" s="1"/>
  <c r="CW51" i="3" s="1"/>
  <c r="CW52" i="3" s="1"/>
  <c r="CX51" i="3" s="1"/>
  <c r="CX52" i="3" s="1"/>
  <c r="CY51" i="3" s="1"/>
  <c r="CY52" i="3" s="1"/>
  <c r="CZ51" i="3" s="1"/>
  <c r="CZ52" i="3" s="1"/>
  <c r="DA51" i="3" s="1"/>
  <c r="DA52" i="3" s="1"/>
  <c r="FZ51" i="3"/>
  <c r="FK57" i="3"/>
  <c r="FJ53" i="2"/>
  <c r="FJ59" i="2"/>
  <c r="Y106" i="119" l="1"/>
  <c r="Y107" i="119"/>
  <c r="DA57" i="3"/>
  <c r="DB51" i="3"/>
  <c r="DB52" i="3" s="1"/>
  <c r="CU57" i="3"/>
  <c r="CU58" i="3" l="1"/>
  <c r="CU59" i="3" s="1"/>
  <c r="DA58" i="3"/>
  <c r="DA59" i="3" s="1"/>
  <c r="DB57" i="3"/>
  <c r="DC51" i="3"/>
  <c r="DC52" i="3" s="1"/>
  <c r="DV107" i="119" l="1"/>
  <c r="DV108" i="119"/>
  <c r="DV106" i="119"/>
  <c r="DB58" i="3"/>
  <c r="DB59" i="3" s="1"/>
  <c r="DC57" i="3"/>
  <c r="DD51" i="3"/>
  <c r="DD52" i="3" s="1"/>
  <c r="DD57" i="3" s="1"/>
  <c r="CC77" i="51"/>
  <c r="CC76" i="51"/>
  <c r="CC74" i="51"/>
  <c r="CC73" i="51"/>
  <c r="CC72" i="51"/>
  <c r="CC71" i="51"/>
  <c r="CC75" i="51"/>
  <c r="DX106" i="119" l="1"/>
  <c r="DX107" i="119"/>
  <c r="DX108" i="119"/>
  <c r="DW106" i="119"/>
  <c r="DW108" i="119"/>
  <c r="DW107" i="119"/>
  <c r="DD58" i="3"/>
  <c r="DD59" i="3" s="1"/>
  <c r="DC58" i="3"/>
  <c r="DC59" i="3" s="1"/>
  <c r="GQ76" i="51"/>
  <c r="GQ74" i="51"/>
  <c r="GQ72" i="51"/>
  <c r="GQ77" i="51"/>
  <c r="GQ73" i="51"/>
  <c r="CD77" i="51"/>
  <c r="CD76" i="51"/>
  <c r="CD74" i="51"/>
  <c r="CD73" i="51"/>
  <c r="CD72" i="51"/>
  <c r="CD71" i="51"/>
  <c r="CD75" i="51"/>
  <c r="GQ75" i="51" l="1"/>
  <c r="GQ71" i="51"/>
  <c r="CE77" i="51" l="1"/>
  <c r="CE74" i="51"/>
  <c r="CE72" i="51"/>
  <c r="CE71" i="51"/>
  <c r="CE75" i="51"/>
  <c r="CE73" i="51"/>
  <c r="CE76" i="51"/>
  <c r="CF77" i="51" l="1"/>
  <c r="CF74" i="51"/>
  <c r="CF72" i="51"/>
  <c r="CF71" i="51"/>
  <c r="CF75" i="51"/>
  <c r="CF76" i="51"/>
  <c r="CF73" i="51"/>
  <c r="CG77" i="51" l="1"/>
  <c r="CG76" i="51"/>
  <c r="CG74" i="51"/>
  <c r="CG73" i="51"/>
  <c r="CG72" i="51"/>
  <c r="CG71" i="51"/>
  <c r="CG75" i="51"/>
  <c r="GR77" i="51" l="1"/>
  <c r="GR74" i="51"/>
  <c r="GR73" i="51"/>
  <c r="GR72" i="51"/>
  <c r="CH77" i="51"/>
  <c r="CH76" i="51"/>
  <c r="CH74" i="51"/>
  <c r="CH73" i="51"/>
  <c r="CH72" i="51"/>
  <c r="CH71" i="51"/>
  <c r="CH75" i="51"/>
  <c r="CH142" i="113" l="1"/>
  <c r="GR75" i="51"/>
  <c r="GR71" i="51"/>
  <c r="GR76" i="51"/>
  <c r="GQ142" i="113" l="1"/>
  <c r="CH13" i="113"/>
  <c r="CH146" i="113"/>
  <c r="GQ146" i="113" l="1"/>
  <c r="GQ144" i="113"/>
  <c r="CH54" i="113"/>
  <c r="CH39" i="113"/>
  <c r="GQ13" i="113"/>
  <c r="GQ26" i="113" s="1"/>
  <c r="CI74" i="51" l="1"/>
  <c r="CI143" i="113"/>
  <c r="CI73" i="51"/>
  <c r="CI72" i="51"/>
  <c r="CI76" i="51"/>
  <c r="CI71" i="51"/>
  <c r="CI77" i="51"/>
  <c r="CI75" i="51"/>
  <c r="CI71" i="113" l="1"/>
  <c r="CI142" i="113"/>
  <c r="CI13" i="113" l="1"/>
  <c r="CI146" i="113"/>
  <c r="CI54" i="113" l="1"/>
  <c r="CI39" i="113"/>
  <c r="CI20" i="113"/>
  <c r="CJ77" i="51" l="1"/>
  <c r="CJ143" i="113"/>
  <c r="CJ73" i="51"/>
  <c r="CJ74" i="51"/>
  <c r="CJ75" i="51"/>
  <c r="CJ71" i="51"/>
  <c r="CJ76" i="51"/>
  <c r="CJ72" i="51"/>
  <c r="CJ71" i="113" l="1"/>
  <c r="CJ72" i="113" s="1"/>
  <c r="CJ142" i="113"/>
  <c r="CJ13" i="113" l="1"/>
  <c r="CJ146" i="113"/>
  <c r="CJ54" i="113" l="1"/>
  <c r="CJ39" i="113"/>
  <c r="CJ20" i="113"/>
  <c r="CJ61" i="113" l="1"/>
  <c r="CK143" i="113"/>
  <c r="FH143" i="113" s="1"/>
  <c r="CK75" i="51"/>
  <c r="CK76" i="51"/>
  <c r="CK74" i="51"/>
  <c r="CK73" i="51"/>
  <c r="CK72" i="51"/>
  <c r="CK77" i="51"/>
  <c r="CK71" i="51"/>
  <c r="CK71" i="113" l="1"/>
  <c r="CK142" i="113"/>
  <c r="CK72" i="113" l="1"/>
  <c r="FH72" i="113" s="1"/>
  <c r="FH71" i="113"/>
  <c r="CK13" i="113"/>
  <c r="CK146" i="113"/>
  <c r="FH142" i="113"/>
  <c r="FH144" i="113" l="1"/>
  <c r="FH146" i="113"/>
  <c r="CK54" i="113"/>
  <c r="CK39" i="113"/>
  <c r="CK20" i="113"/>
  <c r="FH13" i="113"/>
  <c r="AP23" i="6"/>
  <c r="BV23" i="6"/>
  <c r="BV24" i="6" s="1"/>
  <c r="BZ23" i="6"/>
  <c r="AQ23" i="6"/>
  <c r="AU23" i="6"/>
  <c r="AU24" i="6" s="1"/>
  <c r="AY23" i="6"/>
  <c r="AY24" i="6" s="1"/>
  <c r="BC23" i="6"/>
  <c r="BG23" i="6"/>
  <c r="BK23" i="6"/>
  <c r="BO23" i="6"/>
  <c r="BW23" i="6"/>
  <c r="AS23" i="6"/>
  <c r="BA23" i="6"/>
  <c r="BA24" i="6" s="1"/>
  <c r="BI23" i="6"/>
  <c r="BI24" i="6" s="1"/>
  <c r="BQ23" i="6"/>
  <c r="BQ24" i="6" s="1"/>
  <c r="BY23" i="6"/>
  <c r="AR23" i="6"/>
  <c r="AV23" i="6"/>
  <c r="AV24" i="6" s="1"/>
  <c r="AZ23" i="6"/>
  <c r="AZ24" i="6" s="1"/>
  <c r="BD23" i="6"/>
  <c r="BD24" i="6" s="1"/>
  <c r="BH23" i="6"/>
  <c r="BH24" i="6" s="1"/>
  <c r="BL23" i="6"/>
  <c r="BL24" i="6" s="1"/>
  <c r="BP23" i="6"/>
  <c r="BP24" i="6" s="1"/>
  <c r="BT23" i="6"/>
  <c r="BT24" i="6" s="1"/>
  <c r="BX23" i="6"/>
  <c r="AW23" i="6"/>
  <c r="AW24" i="6" s="1"/>
  <c r="BE23" i="6"/>
  <c r="BE24" i="6" s="1"/>
  <c r="BM23" i="6"/>
  <c r="BM24" i="6" s="1"/>
  <c r="BU23" i="6"/>
  <c r="BU24" i="6" s="1"/>
  <c r="FH26" i="113" l="1"/>
  <c r="CK61" i="113"/>
  <c r="BY24" i="6"/>
  <c r="BK24" i="6"/>
  <c r="BG24" i="6"/>
  <c r="BW24" i="6"/>
  <c r="FD23" i="6"/>
  <c r="BO24" i="6"/>
  <c r="BX24" i="6"/>
  <c r="BC24" i="6"/>
  <c r="BZ24" i="6"/>
  <c r="BS23" i="6"/>
  <c r="FC23" i="6" s="1"/>
  <c r="EK40" i="6"/>
  <c r="EK25" i="6"/>
  <c r="EK41" i="6"/>
  <c r="EH40" i="6"/>
  <c r="BJ23" i="6"/>
  <c r="BJ24" i="6" s="1"/>
  <c r="ED40" i="6"/>
  <c r="AT23" i="6"/>
  <c r="AT24" i="6" s="1"/>
  <c r="BF23" i="6"/>
  <c r="BF24" i="6" s="1"/>
  <c r="EG40" i="6"/>
  <c r="BR23" i="6"/>
  <c r="FB23" i="6" s="1"/>
  <c r="EJ40" i="6"/>
  <c r="BB23" i="6"/>
  <c r="BB24" i="6" s="1"/>
  <c r="EF40" i="6"/>
  <c r="EI40" i="6"/>
  <c r="BN23" i="6"/>
  <c r="BN24" i="6" s="1"/>
  <c r="EE40" i="6"/>
  <c r="AX23" i="6"/>
  <c r="AX24" i="6" s="1"/>
  <c r="EF41" i="6"/>
  <c r="EE41" i="6"/>
  <c r="EG25" i="6"/>
  <c r="ED41" i="6"/>
  <c r="EI41" i="6"/>
  <c r="EG41" i="6"/>
  <c r="EJ41" i="6"/>
  <c r="EH41" i="6"/>
  <c r="EY23" i="6" l="1"/>
  <c r="EY24" i="6"/>
  <c r="FA23" i="6"/>
  <c r="FA24" i="6"/>
  <c r="FD24" i="6"/>
  <c r="EZ23" i="6"/>
  <c r="EZ24" i="6"/>
  <c r="BR24" i="6"/>
  <c r="FB24" i="6" s="1"/>
  <c r="EK23" i="6"/>
  <c r="EK24" i="6" s="1"/>
  <c r="BS24" i="6"/>
  <c r="FC24" i="6" s="1"/>
  <c r="EJ25" i="6"/>
  <c r="EK26" i="6"/>
  <c r="EH25" i="6"/>
  <c r="EE23" i="6"/>
  <c r="ED23" i="6"/>
  <c r="EF23" i="6"/>
  <c r="EI23" i="6"/>
  <c r="EH23" i="6"/>
  <c r="EH24" i="6" s="1"/>
  <c r="EJ23" i="6"/>
  <c r="EJ24" i="6" s="1"/>
  <c r="EG23" i="6"/>
  <c r="ED25" i="6"/>
  <c r="EF25" i="6"/>
  <c r="EE25" i="6"/>
  <c r="EG26" i="6"/>
  <c r="EI25" i="6"/>
  <c r="EJ26" i="6" l="1"/>
  <c r="EH26" i="6"/>
  <c r="EF26" i="6"/>
  <c r="EI24" i="6"/>
  <c r="EG24" i="6"/>
  <c r="EE26" i="6"/>
  <c r="EI26" i="6"/>
  <c r="GS74" i="51" l="1"/>
  <c r="CL143" i="113"/>
  <c r="GR143" i="113" s="1"/>
  <c r="GR145" i="113" s="1"/>
  <c r="CL77" i="51"/>
  <c r="CL75" i="51"/>
  <c r="CL76" i="51"/>
  <c r="CL73" i="51"/>
  <c r="CL74" i="51"/>
  <c r="CL71" i="51"/>
  <c r="GS72" i="51"/>
  <c r="CL72" i="51"/>
  <c r="GS73" i="51"/>
  <c r="CL71" i="113" l="1"/>
  <c r="CL142" i="113"/>
  <c r="GS71" i="51"/>
  <c r="GS76" i="51"/>
  <c r="CL72" i="113" l="1"/>
  <c r="GR71" i="113"/>
  <c r="CL13" i="113"/>
  <c r="CL146" i="113"/>
  <c r="GR142" i="113"/>
  <c r="GR146" i="113" l="1"/>
  <c r="GR144" i="113"/>
  <c r="CL26" i="113"/>
  <c r="CL39" i="113"/>
  <c r="CL54" i="113"/>
  <c r="CL20" i="113"/>
  <c r="GR13" i="113"/>
  <c r="GR39" i="113" l="1"/>
  <c r="GR26" i="113"/>
  <c r="CM76" i="51"/>
  <c r="CM143" i="113"/>
  <c r="CL61" i="113"/>
  <c r="GR20" i="113"/>
  <c r="CM73" i="51"/>
  <c r="CM75" i="51"/>
  <c r="CM72" i="51"/>
  <c r="CM77" i="51"/>
  <c r="CM74" i="51"/>
  <c r="CM71" i="51"/>
  <c r="CM71" i="113" l="1"/>
  <c r="CM72" i="113" s="1"/>
  <c r="CM142" i="113"/>
  <c r="CM13" i="113" l="1"/>
  <c r="CM146" i="113"/>
  <c r="CM26" i="113" l="1"/>
  <c r="CM39" i="113"/>
  <c r="CM54" i="113"/>
  <c r="CM20" i="113"/>
  <c r="CM33" i="113" l="1"/>
  <c r="CN76" i="51"/>
  <c r="CN143" i="113"/>
  <c r="CM61" i="113"/>
  <c r="CM46" i="113"/>
  <c r="CN71" i="51"/>
  <c r="CN72" i="51"/>
  <c r="CN73" i="51"/>
  <c r="CN77" i="51"/>
  <c r="CN75" i="51"/>
  <c r="CN74" i="51"/>
  <c r="CN71" i="113" l="1"/>
  <c r="CN72" i="113" s="1"/>
  <c r="CN142" i="113"/>
  <c r="CN13" i="113" l="1"/>
  <c r="CN146" i="113"/>
  <c r="CN26" i="113" l="1"/>
  <c r="CN39" i="113"/>
  <c r="CN54" i="113"/>
  <c r="CN20" i="113"/>
  <c r="CN33" i="113" l="1"/>
  <c r="CN46" i="113"/>
  <c r="CN61" i="113"/>
  <c r="CO143" i="113"/>
  <c r="FI143" i="113" s="1"/>
  <c r="CO76" i="51"/>
  <c r="CO77" i="51"/>
  <c r="CO74" i="51"/>
  <c r="CO72" i="51"/>
  <c r="CO73" i="51"/>
  <c r="CO75" i="51"/>
  <c r="CO71" i="51"/>
  <c r="CO71" i="113" l="1"/>
  <c r="CO142" i="113"/>
  <c r="CO72" i="113" l="1"/>
  <c r="FI72" i="113" s="1"/>
  <c r="FI71" i="113"/>
  <c r="CO13" i="113"/>
  <c r="CO146" i="113"/>
  <c r="FI142" i="113"/>
  <c r="FI144" i="113" l="1"/>
  <c r="FI146" i="113"/>
  <c r="CO26" i="113"/>
  <c r="CO54" i="113"/>
  <c r="CO39" i="113"/>
  <c r="CO20" i="113"/>
  <c r="FI13" i="113"/>
  <c r="FI26" i="113" l="1"/>
  <c r="CO33" i="113"/>
  <c r="CO61" i="113"/>
  <c r="CO46" i="113"/>
  <c r="FI20" i="113"/>
  <c r="CP15" i="1"/>
  <c r="DJ23" i="119" l="1"/>
  <c r="DJ268" i="119" s="1"/>
  <c r="CP123" i="1"/>
  <c r="CQ123" i="1"/>
  <c r="CP102" i="1"/>
  <c r="CT102" i="1"/>
  <c r="CP66" i="1"/>
  <c r="CP81" i="1"/>
  <c r="CQ81" i="1"/>
  <c r="CP45" i="1"/>
  <c r="CT45" i="1"/>
  <c r="BV38" i="6"/>
  <c r="BV96" i="6" s="1"/>
  <c r="CP23" i="1"/>
  <c r="DJ30" i="119" s="1"/>
  <c r="DJ269" i="119" s="1"/>
  <c r="CP17" i="1"/>
  <c r="DJ20" i="119" l="1"/>
  <c r="DJ259" i="119" s="1"/>
  <c r="CP85" i="2"/>
  <c r="CP74" i="2"/>
  <c r="CP75" i="2"/>
  <c r="CP72" i="2"/>
  <c r="CP73" i="2"/>
  <c r="BV77" i="6"/>
  <c r="BV59" i="6"/>
  <c r="BW77" i="6"/>
  <c r="BZ59" i="6"/>
  <c r="BV56" i="6"/>
  <c r="BZ56" i="6"/>
  <c r="CP126" i="1"/>
  <c r="CQ126" i="1"/>
  <c r="CP104" i="1"/>
  <c r="CP125" i="1"/>
  <c r="CQ125" i="1"/>
  <c r="CP105" i="1"/>
  <c r="CT105" i="1"/>
  <c r="CP68" i="1"/>
  <c r="CP83" i="1"/>
  <c r="CQ83" i="1"/>
  <c r="CP69" i="1"/>
  <c r="CP84" i="1"/>
  <c r="CQ84" i="1"/>
  <c r="CP48" i="1"/>
  <c r="CT48" i="1"/>
  <c r="CP47" i="1"/>
  <c r="BV37" i="6"/>
  <c r="FC38" i="6"/>
  <c r="CP25" i="1"/>
  <c r="DJ290" i="119" s="1"/>
  <c r="CP26" i="1"/>
  <c r="GS17" i="1"/>
  <c r="GS24" i="1"/>
  <c r="DJ277" i="119" l="1"/>
  <c r="DJ275" i="119"/>
  <c r="BV95" i="6"/>
  <c r="BV39" i="6"/>
  <c r="FC96" i="6"/>
  <c r="FC59" i="6"/>
  <c r="BV76" i="6"/>
  <c r="BV58" i="6"/>
  <c r="BW76" i="6"/>
  <c r="BZ58" i="6"/>
  <c r="GS104" i="1"/>
  <c r="GS68" i="1"/>
  <c r="GS47" i="1"/>
  <c r="CP127" i="1"/>
  <c r="CQ127" i="1"/>
  <c r="CP106" i="1"/>
  <c r="CT106" i="1"/>
  <c r="CP70" i="1"/>
  <c r="CP85" i="1"/>
  <c r="CQ85" i="1"/>
  <c r="CP29" i="1"/>
  <c r="CP30" i="1"/>
  <c r="CP49" i="1"/>
  <c r="CT49" i="1"/>
  <c r="FC37" i="6"/>
  <c r="CP28" i="1"/>
  <c r="GS25" i="1"/>
  <c r="GS26" i="1"/>
  <c r="DJ281" i="119" l="1"/>
  <c r="DJ260" i="119" s="1"/>
  <c r="DJ279" i="119"/>
  <c r="DJ280" i="119"/>
  <c r="DJ267" i="119"/>
  <c r="FC95" i="6"/>
  <c r="FC58" i="6"/>
  <c r="GS106" i="1"/>
  <c r="GS70" i="1"/>
  <c r="GS49" i="1"/>
  <c r="GS30" i="1"/>
  <c r="GS29" i="1"/>
  <c r="CP107" i="1"/>
  <c r="CP128" i="1"/>
  <c r="CQ128" i="1"/>
  <c r="CP130" i="1"/>
  <c r="CQ130" i="1"/>
  <c r="CP129" i="1"/>
  <c r="CQ129" i="1"/>
  <c r="CP109" i="1"/>
  <c r="CT109" i="1"/>
  <c r="CP108" i="1"/>
  <c r="CT108" i="1"/>
  <c r="CP87" i="1"/>
  <c r="CQ87" i="1"/>
  <c r="CP71" i="1"/>
  <c r="CP86" i="1"/>
  <c r="CQ86" i="1"/>
  <c r="CP88" i="1"/>
  <c r="CQ88" i="1"/>
  <c r="CP52" i="1"/>
  <c r="CP32" i="1"/>
  <c r="CP31" i="1"/>
  <c r="CP51" i="1"/>
  <c r="CT51" i="1"/>
  <c r="CP50" i="1"/>
  <c r="GS28" i="1"/>
  <c r="DJ282" i="119" l="1"/>
  <c r="DJ283" i="119"/>
  <c r="GS107" i="1"/>
  <c r="GS71" i="1"/>
  <c r="GS50" i="1"/>
  <c r="GS51" i="1"/>
  <c r="GS108" i="1"/>
  <c r="GS109" i="1"/>
  <c r="GS52" i="1"/>
  <c r="GS32" i="1"/>
  <c r="GS31" i="1"/>
  <c r="CP110" i="1"/>
  <c r="CP131" i="1"/>
  <c r="CQ131" i="1"/>
  <c r="CP111" i="1"/>
  <c r="CP132" i="1"/>
  <c r="CQ132" i="1"/>
  <c r="CP53" i="1"/>
  <c r="CP89" i="1"/>
  <c r="CQ89" i="1"/>
  <c r="CP54" i="1"/>
  <c r="CP90" i="1"/>
  <c r="CQ90" i="1"/>
  <c r="CP49" i="2"/>
  <c r="DJ69" i="119" l="1"/>
  <c r="DJ271" i="119" s="1"/>
  <c r="DJ67" i="119"/>
  <c r="DJ298" i="119" s="1"/>
  <c r="DJ256" i="119" s="1"/>
  <c r="CP66" i="2"/>
  <c r="GS110" i="1"/>
  <c r="GS53" i="1"/>
  <c r="GS111" i="1"/>
  <c r="GS54" i="1"/>
  <c r="CQ49" i="2"/>
  <c r="CP51" i="2"/>
  <c r="DJ70" i="119" s="1"/>
  <c r="DK67" i="119" l="1"/>
  <c r="DK298" i="119" s="1"/>
  <c r="DK256" i="119" s="1"/>
  <c r="DK69" i="119"/>
  <c r="DK271" i="119" s="1"/>
  <c r="CQ66" i="2"/>
  <c r="CQ51" i="2"/>
  <c r="DK70" i="119" s="1"/>
  <c r="CP18" i="2" l="1"/>
  <c r="DJ45" i="119" s="1"/>
  <c r="CP56" i="2"/>
  <c r="CP114" i="2" l="1"/>
  <c r="CP115" i="2" s="1"/>
  <c r="CP61" i="2"/>
  <c r="CP27" i="2"/>
  <c r="DJ55" i="119" s="1"/>
  <c r="CP58" i="2"/>
  <c r="DJ76" i="119" s="1"/>
  <c r="DJ264" i="119" s="1"/>
  <c r="CP67" i="2" l="1"/>
  <c r="CQ56" i="2"/>
  <c r="CP59" i="2"/>
  <c r="CP53" i="2"/>
  <c r="CQ114" i="2" l="1"/>
  <c r="CQ58" i="2"/>
  <c r="DK76" i="119" s="1"/>
  <c r="DK264" i="119" s="1"/>
  <c r="CQ27" i="2"/>
  <c r="DK55" i="119" s="1"/>
  <c r="CQ61" i="2"/>
  <c r="CQ67" i="2" l="1"/>
  <c r="CQ59" i="2"/>
  <c r="CQ53" i="2"/>
  <c r="CO57" i="51" l="1"/>
  <c r="CO60" i="51" l="1"/>
  <c r="CP60" i="51"/>
  <c r="GS15" i="51"/>
  <c r="GS66" i="51" s="1"/>
  <c r="CK35" i="51"/>
  <c r="CK26" i="51"/>
  <c r="GS24" i="51" l="1"/>
  <c r="GT24" i="51"/>
  <c r="CK41" i="51"/>
  <c r="CK44" i="51"/>
  <c r="CO26" i="51"/>
  <c r="CO28" i="51" s="1"/>
  <c r="CK45" i="51"/>
  <c r="CK43" i="51"/>
  <c r="GS17" i="51"/>
  <c r="CK46" i="51"/>
  <c r="CK42" i="51"/>
  <c r="CK40" i="51"/>
  <c r="CK37" i="51"/>
  <c r="GS68" i="51" l="1"/>
  <c r="GS77" i="51" s="1"/>
  <c r="GS75" i="51"/>
  <c r="GS46" i="51"/>
  <c r="GS42" i="51"/>
  <c r="GS40" i="51"/>
  <c r="GS45" i="51"/>
  <c r="GS26" i="51"/>
  <c r="GT26" i="51"/>
  <c r="GS43" i="51"/>
  <c r="GS41" i="51"/>
  <c r="GS44" i="51"/>
  <c r="GT14" i="1" l="1"/>
  <c r="FJ14" i="1"/>
  <c r="CR15" i="1"/>
  <c r="Y18" i="119" l="1"/>
  <c r="DL23" i="119"/>
  <c r="DL268" i="119" s="1"/>
  <c r="CR123" i="1"/>
  <c r="BX38" i="6"/>
  <c r="FJ65" i="1"/>
  <c r="FJ101" i="1"/>
  <c r="FJ44" i="1"/>
  <c r="GT101" i="1"/>
  <c r="GT65" i="1"/>
  <c r="GT44" i="1"/>
  <c r="CR102" i="1"/>
  <c r="CV102" i="1"/>
  <c r="CR66" i="1"/>
  <c r="CR81" i="1"/>
  <c r="CR45" i="1"/>
  <c r="CV45" i="1"/>
  <c r="FJ15" i="1"/>
  <c r="GT15" i="1"/>
  <c r="FJ13" i="1"/>
  <c r="GT13" i="1"/>
  <c r="Y23" i="119" l="1"/>
  <c r="Y268" i="119" s="1"/>
  <c r="Y13" i="119"/>
  <c r="Y14" i="119"/>
  <c r="BX37" i="6"/>
  <c r="BX39" i="6" s="1"/>
  <c r="BX77" i="6"/>
  <c r="BX96" i="6"/>
  <c r="BX59" i="6"/>
  <c r="BX56" i="6"/>
  <c r="CB56" i="6"/>
  <c r="CB59" i="6"/>
  <c r="GT100" i="1"/>
  <c r="GT43" i="1"/>
  <c r="GT64" i="1"/>
  <c r="FJ100" i="1"/>
  <c r="FJ64" i="1"/>
  <c r="FJ43" i="1"/>
  <c r="GT102" i="1"/>
  <c r="GT66" i="1"/>
  <c r="GT45" i="1"/>
  <c r="FJ102" i="1"/>
  <c r="FJ66" i="1"/>
  <c r="FJ45" i="1"/>
  <c r="EK38" i="6"/>
  <c r="EK39" i="6" l="1"/>
  <c r="EK96" i="6"/>
  <c r="BX76" i="6"/>
  <c r="BX95" i="6"/>
  <c r="BX58" i="6"/>
  <c r="CB58" i="6"/>
  <c r="EK59" i="6"/>
  <c r="CQ115" i="2" l="1"/>
  <c r="FJ20" i="1" l="1"/>
  <c r="CR23" i="1" l="1"/>
  <c r="CR126" i="1" l="1"/>
  <c r="DL30" i="119"/>
  <c r="DL269" i="119" s="1"/>
  <c r="CR105" i="1"/>
  <c r="CV105" i="1"/>
  <c r="CR69" i="1"/>
  <c r="CR84" i="1"/>
  <c r="CR48" i="1"/>
  <c r="CV48" i="1"/>
  <c r="GT20" i="1"/>
  <c r="FK19" i="1"/>
  <c r="CR25" i="1"/>
  <c r="DL290" i="119" s="1"/>
  <c r="GU19" i="1" l="1"/>
  <c r="GU20" i="1"/>
  <c r="FK20" i="1"/>
  <c r="FK21" i="1" s="1"/>
  <c r="CR26" i="1"/>
  <c r="FK18" i="1" l="1"/>
  <c r="Z24" i="119"/>
  <c r="Z26" i="119" s="1"/>
  <c r="CR127" i="1"/>
  <c r="DL275" i="119"/>
  <c r="DL277" i="119"/>
  <c r="GU21" i="1"/>
  <c r="GU18" i="1" s="1"/>
  <c r="CR106" i="1"/>
  <c r="CV106" i="1"/>
  <c r="CR70" i="1"/>
  <c r="CR85" i="1"/>
  <c r="CR29" i="1"/>
  <c r="CR30" i="1"/>
  <c r="CR49" i="1"/>
  <c r="CV49" i="1"/>
  <c r="CR28" i="1"/>
  <c r="DL281" i="119" l="1"/>
  <c r="DL260" i="119" s="1"/>
  <c r="DL267" i="119"/>
  <c r="DL280" i="119"/>
  <c r="DL279" i="119"/>
  <c r="CR128" i="1"/>
  <c r="CR66" i="2"/>
  <c r="CR67" i="2"/>
  <c r="CV108" i="1"/>
  <c r="CR129" i="1"/>
  <c r="CV109" i="1"/>
  <c r="CR130" i="1"/>
  <c r="CR107" i="1"/>
  <c r="CV107" i="1"/>
  <c r="CR88" i="1"/>
  <c r="CR109" i="1"/>
  <c r="CR87" i="1"/>
  <c r="CR108" i="1"/>
  <c r="CR71" i="1"/>
  <c r="CR86" i="1"/>
  <c r="CR32" i="1"/>
  <c r="CR31" i="1"/>
  <c r="CR51" i="1"/>
  <c r="CV51" i="1"/>
  <c r="CR50" i="1"/>
  <c r="CV50" i="1"/>
  <c r="CR52" i="1"/>
  <c r="CV52" i="1"/>
  <c r="DL283" i="119" l="1"/>
  <c r="DL282" i="119"/>
  <c r="CV110" i="1"/>
  <c r="CR131" i="1"/>
  <c r="CV111" i="1"/>
  <c r="CR132" i="1"/>
  <c r="CR89" i="1"/>
  <c r="CR110" i="1"/>
  <c r="CR90" i="1"/>
  <c r="CR111" i="1"/>
  <c r="CR53" i="1"/>
  <c r="CV53" i="1"/>
  <c r="CR54" i="1"/>
  <c r="CV54" i="1"/>
  <c r="GV20" i="1" l="1"/>
  <c r="GV21" i="1" s="1"/>
  <c r="GV18" i="1" s="1"/>
  <c r="FL20" i="1"/>
  <c r="FL21" i="1" s="1"/>
  <c r="FL18" i="1" l="1"/>
  <c r="B21" i="118" s="1"/>
  <c r="B57" i="118" s="1"/>
  <c r="B92" i="118" s="1"/>
  <c r="AA24" i="119"/>
  <c r="AA26" i="119" s="1"/>
  <c r="FM20" i="1"/>
  <c r="CQ84" i="2" l="1"/>
  <c r="CR89" i="2" l="1"/>
  <c r="CR56" i="2" l="1"/>
  <c r="CR61" i="2" l="1"/>
  <c r="CR58" i="2"/>
  <c r="DL76" i="119" s="1"/>
  <c r="DL264" i="119" s="1"/>
  <c r="CR114" i="2"/>
  <c r="CR115" i="2" l="1"/>
  <c r="CR59" i="2"/>
  <c r="GU48" i="51" l="1"/>
  <c r="FJ48" i="51"/>
  <c r="FK63" i="2" s="1"/>
  <c r="FK68" i="2" s="1"/>
  <c r="CR58" i="51"/>
  <c r="GU49" i="51"/>
  <c r="GU58" i="51" s="1"/>
  <c r="CR57" i="51"/>
  <c r="FJ49" i="51"/>
  <c r="FJ58" i="51" s="1"/>
  <c r="CR61" i="51" l="1"/>
  <c r="CS61" i="51"/>
  <c r="CR60" i="51"/>
  <c r="CS60" i="51"/>
  <c r="GU57" i="51"/>
  <c r="FJ57" i="51"/>
  <c r="CR88" i="2" l="1"/>
  <c r="DL47" i="119" s="1"/>
  <c r="CR80" i="2"/>
  <c r="CR16" i="1"/>
  <c r="CR79" i="2"/>
  <c r="CR124" i="1" l="1"/>
  <c r="DL21" i="119"/>
  <c r="DL19" i="119" s="1"/>
  <c r="CR103" i="1"/>
  <c r="CV103" i="1"/>
  <c r="CR67" i="1"/>
  <c r="CR82" i="1"/>
  <c r="CR17" i="1"/>
  <c r="CR46" i="1"/>
  <c r="CV46" i="1"/>
  <c r="CR81" i="2"/>
  <c r="CR84" i="2"/>
  <c r="CR87" i="2"/>
  <c r="DL46" i="119" s="1"/>
  <c r="DL20" i="119" l="1"/>
  <c r="DL259" i="119" s="1"/>
  <c r="CR125" i="1"/>
  <c r="CR74" i="2"/>
  <c r="CR72" i="2"/>
  <c r="CR85" i="2"/>
  <c r="CR75" i="2"/>
  <c r="CR73" i="2"/>
  <c r="CR104" i="1"/>
  <c r="CV104" i="1"/>
  <c r="CR68" i="1"/>
  <c r="CR83" i="1"/>
  <c r="CR47" i="1"/>
  <c r="CV47" i="1"/>
  <c r="FK32" i="3"/>
  <c r="Y97" i="119" s="1"/>
  <c r="FK20" i="3"/>
  <c r="FK35" i="3" l="1"/>
  <c r="Y101" i="119" s="1"/>
  <c r="FK24" i="3"/>
  <c r="Y94" i="119" s="1"/>
  <c r="FK12" i="3"/>
  <c r="Y93" i="119" s="1"/>
  <c r="CS16" i="1"/>
  <c r="CS88" i="2"/>
  <c r="CS124" i="1" l="1"/>
  <c r="DM21" i="119"/>
  <c r="DM19" i="119" s="1"/>
  <c r="DM47" i="119"/>
  <c r="FK88" i="2"/>
  <c r="Y47" i="119" s="1"/>
  <c r="CS103" i="1"/>
  <c r="CW103" i="1"/>
  <c r="CS67" i="1"/>
  <c r="CS82" i="1"/>
  <c r="CS46" i="1"/>
  <c r="CW46" i="1"/>
  <c r="FK21" i="2"/>
  <c r="Y48" i="119" s="1"/>
  <c r="CS89" i="2"/>
  <c r="FK89" i="2" s="1"/>
  <c r="FJ16" i="1"/>
  <c r="Y46" i="119" l="1"/>
  <c r="FJ17" i="1"/>
  <c r="Y21" i="119"/>
  <c r="Y19" i="119" s="1"/>
  <c r="FJ67" i="1"/>
  <c r="FJ103" i="1"/>
  <c r="FJ46" i="1"/>
  <c r="CT88" i="2"/>
  <c r="DN47" i="119" s="1"/>
  <c r="CS87" i="2"/>
  <c r="FK25" i="2"/>
  <c r="Y20" i="119" l="1"/>
  <c r="Y259" i="119" s="1"/>
  <c r="DM46" i="119"/>
  <c r="FK87" i="2"/>
  <c r="CT16" i="1"/>
  <c r="DN21" i="119" s="1"/>
  <c r="DN19" i="119" s="1"/>
  <c r="CT89" i="2"/>
  <c r="CT124" i="1" l="1"/>
  <c r="CU124" i="1"/>
  <c r="CT103" i="1"/>
  <c r="CX103" i="1"/>
  <c r="CT67" i="1"/>
  <c r="CT82" i="1"/>
  <c r="CU82" i="1"/>
  <c r="CT17" i="1"/>
  <c r="CT46" i="1"/>
  <c r="CX46" i="1"/>
  <c r="GT16" i="1"/>
  <c r="CT87" i="2"/>
  <c r="DN46" i="119" s="1"/>
  <c r="CU88" i="2"/>
  <c r="DO47" i="119" s="1"/>
  <c r="DN20" i="119" l="1"/>
  <c r="DN259" i="119" s="1"/>
  <c r="CT75" i="2"/>
  <c r="CT73" i="2"/>
  <c r="CT74" i="2"/>
  <c r="CT72" i="2"/>
  <c r="CT85" i="2"/>
  <c r="GT103" i="1"/>
  <c r="GT67" i="1"/>
  <c r="GT46" i="1"/>
  <c r="CT104" i="1"/>
  <c r="CX104" i="1"/>
  <c r="CT68" i="1"/>
  <c r="CT47" i="1"/>
  <c r="CX47" i="1"/>
  <c r="CS15" i="1" l="1"/>
  <c r="DM23" i="119" l="1"/>
  <c r="DM268" i="119" s="1"/>
  <c r="BY38" i="6"/>
  <c r="CC56" i="6" s="1"/>
  <c r="CS123" i="1"/>
  <c r="CT123" i="1"/>
  <c r="CS102" i="1"/>
  <c r="CW102" i="1"/>
  <c r="CS66" i="1"/>
  <c r="CS81" i="1"/>
  <c r="CT81" i="1"/>
  <c r="CS45" i="1"/>
  <c r="CW45" i="1"/>
  <c r="CS17" i="1"/>
  <c r="CS23" i="1"/>
  <c r="DM30" i="119" s="1"/>
  <c r="DM269" i="119" s="1"/>
  <c r="DM20" i="119" l="1"/>
  <c r="DM259" i="119" s="1"/>
  <c r="BY37" i="6"/>
  <c r="BY39" i="6" s="1"/>
  <c r="BY77" i="6"/>
  <c r="BZ77" i="6"/>
  <c r="BY56" i="6"/>
  <c r="CC59" i="6"/>
  <c r="BY59" i="6"/>
  <c r="BY96" i="6"/>
  <c r="FD38" i="6"/>
  <c r="FD59" i="6" s="1"/>
  <c r="CS85" i="2"/>
  <c r="CS75" i="2"/>
  <c r="CS74" i="2"/>
  <c r="CS73" i="2"/>
  <c r="CS72" i="2"/>
  <c r="CS126" i="1"/>
  <c r="CT126" i="1"/>
  <c r="CS125" i="1"/>
  <c r="CT125" i="1"/>
  <c r="CS104" i="1"/>
  <c r="CW104" i="1"/>
  <c r="CS105" i="1"/>
  <c r="CW105" i="1"/>
  <c r="CS69" i="1"/>
  <c r="CS84" i="1"/>
  <c r="CT84" i="1"/>
  <c r="CS68" i="1"/>
  <c r="CS83" i="1"/>
  <c r="CT83" i="1"/>
  <c r="CS48" i="1"/>
  <c r="CW48" i="1"/>
  <c r="CS47" i="1"/>
  <c r="CW47" i="1"/>
  <c r="CS25" i="1"/>
  <c r="DM290" i="119" s="1"/>
  <c r="CS26" i="1"/>
  <c r="GT17" i="1"/>
  <c r="BY58" i="6" l="1"/>
  <c r="BY76" i="6"/>
  <c r="FD37" i="6"/>
  <c r="FD95" i="6" s="1"/>
  <c r="BZ76" i="6"/>
  <c r="FD96" i="6"/>
  <c r="BY95" i="6"/>
  <c r="DM275" i="119"/>
  <c r="DM277" i="119"/>
  <c r="CC58" i="6"/>
  <c r="AA23" i="114"/>
  <c r="AA24" i="114" s="1"/>
  <c r="FK73" i="2"/>
  <c r="FK74" i="2"/>
  <c r="FK72" i="2"/>
  <c r="FK75" i="2"/>
  <c r="FJ104" i="1"/>
  <c r="FJ68" i="1"/>
  <c r="FJ47" i="1"/>
  <c r="GT104" i="1"/>
  <c r="GT68" i="1"/>
  <c r="GT47" i="1"/>
  <c r="CS127" i="1"/>
  <c r="CT127" i="1"/>
  <c r="CS106" i="1"/>
  <c r="CW106" i="1"/>
  <c r="CS70" i="1"/>
  <c r="CS85" i="1"/>
  <c r="CT85" i="1"/>
  <c r="CS29" i="1"/>
  <c r="CS30" i="1"/>
  <c r="CS49" i="1"/>
  <c r="CW49" i="1"/>
  <c r="CS28" i="1"/>
  <c r="FJ24" i="1"/>
  <c r="Y273" i="119" s="1"/>
  <c r="DM281" i="119" l="1"/>
  <c r="DM260" i="119" s="1"/>
  <c r="FD58" i="6"/>
  <c r="DM280" i="119"/>
  <c r="DM267" i="119"/>
  <c r="DM279" i="119"/>
  <c r="AA25" i="114"/>
  <c r="CS128" i="1"/>
  <c r="CS66" i="2"/>
  <c r="CS130" i="1"/>
  <c r="CT130" i="1"/>
  <c r="CS129" i="1"/>
  <c r="CT129" i="1"/>
  <c r="CS107" i="1"/>
  <c r="CW107" i="1"/>
  <c r="CS108" i="1"/>
  <c r="CW108" i="1"/>
  <c r="CS109" i="1"/>
  <c r="CW109" i="1"/>
  <c r="CS88" i="1"/>
  <c r="CT88" i="1"/>
  <c r="CS87" i="1"/>
  <c r="CT87" i="1"/>
  <c r="CS71" i="1"/>
  <c r="CS86" i="1"/>
  <c r="CS31" i="1"/>
  <c r="CS32" i="1"/>
  <c r="CS51" i="1"/>
  <c r="CW51" i="1"/>
  <c r="CS50" i="1"/>
  <c r="CW50" i="1"/>
  <c r="CS52" i="1"/>
  <c r="CW52" i="1"/>
  <c r="GT24" i="1"/>
  <c r="DM282" i="119" l="1"/>
  <c r="DM283" i="119"/>
  <c r="CW111" i="1"/>
  <c r="CS132" i="1"/>
  <c r="CW110" i="1"/>
  <c r="CS131" i="1"/>
  <c r="CS90" i="1"/>
  <c r="CS111" i="1"/>
  <c r="CS89" i="1"/>
  <c r="CS110" i="1"/>
  <c r="CS54" i="1"/>
  <c r="CW54" i="1"/>
  <c r="CS53" i="1"/>
  <c r="CW53" i="1"/>
  <c r="CT28" i="1"/>
  <c r="CT52" i="1"/>
  <c r="FK11" i="3"/>
  <c r="Y305" i="119" s="1"/>
  <c r="DN279" i="119" l="1"/>
  <c r="CT128" i="1"/>
  <c r="CT66" i="2"/>
  <c r="CT107" i="1"/>
  <c r="CX107" i="1"/>
  <c r="CT71" i="1"/>
  <c r="CT86" i="1"/>
  <c r="CT31" i="1"/>
  <c r="CT32" i="1"/>
  <c r="CT50" i="1"/>
  <c r="CX50" i="1"/>
  <c r="FK47" i="2"/>
  <c r="FK25" i="3"/>
  <c r="Y96" i="119" s="1"/>
  <c r="DN283" i="119" l="1"/>
  <c r="DN282" i="119"/>
  <c r="CX111" i="1"/>
  <c r="CT132" i="1"/>
  <c r="CX110" i="1"/>
  <c r="CT131" i="1"/>
  <c r="CT90" i="1"/>
  <c r="CT111" i="1"/>
  <c r="CT89" i="1"/>
  <c r="CT110" i="1"/>
  <c r="CT54" i="1"/>
  <c r="CX54" i="1"/>
  <c r="CT53" i="1"/>
  <c r="CX53" i="1"/>
  <c r="FK54" i="3"/>
  <c r="FK50" i="3"/>
  <c r="Y108" i="119" s="1"/>
  <c r="FK49" i="2"/>
  <c r="FK65" i="3" l="1"/>
  <c r="Y69" i="119"/>
  <c r="Y271" i="119" s="1"/>
  <c r="Y67" i="119"/>
  <c r="Y298" i="119" s="1"/>
  <c r="Y256" i="119" s="1"/>
  <c r="FK55" i="3"/>
  <c r="FK51" i="2"/>
  <c r="Y70" i="119" s="1"/>
  <c r="FK52" i="3"/>
  <c r="CS58" i="3"/>
  <c r="AA27" i="114" l="1"/>
  <c r="AA29" i="114" s="1"/>
  <c r="FK58" i="3"/>
  <c r="FL51" i="3"/>
  <c r="CS59" i="3"/>
  <c r="CS56" i="2"/>
  <c r="FK11" i="2"/>
  <c r="Y41" i="119" s="1"/>
  <c r="Y265" i="119" s="1"/>
  <c r="AA28" i="114" l="1"/>
  <c r="AA34" i="114"/>
  <c r="FK59" i="3"/>
  <c r="FK56" i="2"/>
  <c r="FK18" i="2"/>
  <c r="Y45" i="119" s="1"/>
  <c r="CS61" i="2"/>
  <c r="CS27" i="2"/>
  <c r="DM55" i="119" s="1"/>
  <c r="CS114" i="2"/>
  <c r="CS58" i="2"/>
  <c r="DM76" i="119" s="1"/>
  <c r="DM264" i="119" s="1"/>
  <c r="CT67" i="2" l="1"/>
  <c r="CS67" i="2"/>
  <c r="FK58" i="2"/>
  <c r="Y76" i="119" s="1"/>
  <c r="Y264" i="119" s="1"/>
  <c r="CS59" i="2"/>
  <c r="CS53" i="2"/>
  <c r="FK61" i="2"/>
  <c r="FK27" i="2"/>
  <c r="Y55" i="119" s="1"/>
  <c r="FK53" i="2" l="1"/>
  <c r="FK59" i="2"/>
  <c r="GU54" i="51" l="1"/>
  <c r="FI24" i="51" l="1"/>
  <c r="FH17" i="51"/>
  <c r="FH68" i="51" l="1"/>
  <c r="FH59" i="51"/>
  <c r="FH41" i="51"/>
  <c r="FH44" i="51"/>
  <c r="FI26" i="51"/>
  <c r="FH43" i="51"/>
  <c r="FH26" i="51"/>
  <c r="FH40" i="51"/>
  <c r="FH45" i="51"/>
  <c r="FH42" i="51"/>
  <c r="FH46" i="51"/>
  <c r="CP71" i="51" l="1"/>
  <c r="CP143" i="113"/>
  <c r="GS143" i="113" s="1"/>
  <c r="GS145" i="113" s="1"/>
  <c r="CP74" i="51"/>
  <c r="CP77" i="51"/>
  <c r="CP76" i="51"/>
  <c r="CP75" i="51"/>
  <c r="CP72" i="51"/>
  <c r="CP73" i="51"/>
  <c r="CP71" i="113" l="1"/>
  <c r="CP142" i="113"/>
  <c r="CP72" i="113" l="1"/>
  <c r="GS71" i="113"/>
  <c r="GS72" i="113" s="1"/>
  <c r="CP13" i="113"/>
  <c r="CP146" i="113"/>
  <c r="GS142" i="113"/>
  <c r="CT61" i="2"/>
  <c r="CT53" i="2"/>
  <c r="CT56" i="2"/>
  <c r="CT57" i="3"/>
  <c r="CP20" i="113" l="1"/>
  <c r="DN108" i="119"/>
  <c r="DN107" i="119"/>
  <c r="DN106" i="119"/>
  <c r="DO108" i="119"/>
  <c r="DO106" i="119"/>
  <c r="DO107" i="119"/>
  <c r="GS144" i="113"/>
  <c r="GS146" i="113"/>
  <c r="CP26" i="113"/>
  <c r="CP39" i="113"/>
  <c r="CP54" i="113"/>
  <c r="GS13" i="113"/>
  <c r="CT114" i="2"/>
  <c r="CT115" i="2" s="1"/>
  <c r="CT58" i="2"/>
  <c r="DN76" i="119" s="1"/>
  <c r="DN264" i="119" s="1"/>
  <c r="CT58" i="3"/>
  <c r="CT59" i="3" s="1"/>
  <c r="CP33" i="113" l="1"/>
  <c r="GS39" i="113"/>
  <c r="GS26" i="113"/>
  <c r="CP46" i="113"/>
  <c r="CP61" i="113"/>
  <c r="GS20" i="113"/>
  <c r="CT59" i="2"/>
  <c r="GS46" i="113" l="1"/>
  <c r="GS33" i="113"/>
  <c r="FJ19" i="1"/>
  <c r="FJ21" i="1" s="1"/>
  <c r="GT19" i="1"/>
  <c r="GT21" i="1" s="1"/>
  <c r="GT18" i="1" s="1"/>
  <c r="CS115" i="2"/>
  <c r="CS21" i="1"/>
  <c r="DM24" i="119" s="1"/>
  <c r="DM26" i="119" s="1"/>
  <c r="FJ18" i="1" l="1"/>
  <c r="FJ23" i="1" s="1"/>
  <c r="Y24" i="119"/>
  <c r="Y26" i="119" s="1"/>
  <c r="FJ26" i="1" l="1"/>
  <c r="Y30" i="119"/>
  <c r="Y269" i="119" s="1"/>
  <c r="GT23" i="1"/>
  <c r="Y277" i="119" l="1"/>
  <c r="Y267" i="119" s="1"/>
  <c r="Y275" i="119"/>
  <c r="FJ28" i="1"/>
  <c r="GT105" i="1"/>
  <c r="GT69" i="1"/>
  <c r="GT48" i="1"/>
  <c r="GT25" i="1"/>
  <c r="GT26" i="1"/>
  <c r="Y279" i="119" l="1"/>
  <c r="GT106" i="1"/>
  <c r="GT70" i="1"/>
  <c r="GT49" i="1"/>
  <c r="FJ69" i="1"/>
  <c r="FJ48" i="1"/>
  <c r="FJ105" i="1"/>
  <c r="GT30" i="1"/>
  <c r="GT29" i="1"/>
  <c r="GT28" i="1"/>
  <c r="FJ25" i="1"/>
  <c r="Y290" i="119" s="1"/>
  <c r="FJ106" i="1" l="1"/>
  <c r="FJ70" i="1"/>
  <c r="FJ49" i="1"/>
  <c r="GT71" i="1"/>
  <c r="GT107" i="1"/>
  <c r="GT50" i="1"/>
  <c r="GT108" i="1"/>
  <c r="GT51" i="1"/>
  <c r="GT109" i="1"/>
  <c r="GT52" i="1"/>
  <c r="GT31" i="1"/>
  <c r="GT32" i="1"/>
  <c r="FJ29" i="1"/>
  <c r="Y280" i="119" s="1"/>
  <c r="FJ30" i="1"/>
  <c r="Y281" i="119" l="1"/>
  <c r="Y260" i="119" s="1"/>
  <c r="AA15" i="114"/>
  <c r="AA17" i="114" s="1"/>
  <c r="FK66" i="2"/>
  <c r="FK67" i="2"/>
  <c r="FJ71" i="1"/>
  <c r="FJ50" i="1"/>
  <c r="FJ107" i="1"/>
  <c r="FJ52" i="1"/>
  <c r="FJ109" i="1"/>
  <c r="FJ108" i="1"/>
  <c r="FJ51" i="1"/>
  <c r="GT111" i="1"/>
  <c r="GT54" i="1"/>
  <c r="GT110" i="1"/>
  <c r="GT53" i="1"/>
  <c r="FJ32" i="1"/>
  <c r="FJ31" i="1"/>
  <c r="Y282" i="119" s="1"/>
  <c r="AA31" i="114" l="1"/>
  <c r="AA16" i="114"/>
  <c r="Y283" i="119"/>
  <c r="AA19" i="114"/>
  <c r="AA21" i="114" s="1"/>
  <c r="FJ110" i="1"/>
  <c r="FJ53" i="1"/>
  <c r="FJ54" i="1"/>
  <c r="FJ111" i="1"/>
  <c r="AA32" i="114" l="1"/>
  <c r="AA20" i="114"/>
  <c r="CU11" i="51" l="1"/>
  <c r="CU62" i="51" l="1"/>
  <c r="CY20" i="51"/>
  <c r="CV31" i="51"/>
  <c r="FP96" i="51" s="1"/>
  <c r="CU31" i="51"/>
  <c r="FO96" i="51" s="1"/>
  <c r="CU15" i="51"/>
  <c r="CU20" i="51"/>
  <c r="CU66" i="51" l="1"/>
  <c r="CY24" i="51"/>
  <c r="CU57" i="51"/>
  <c r="CU52" i="51"/>
  <c r="CV35" i="51"/>
  <c r="CU35" i="51"/>
  <c r="CU17" i="51"/>
  <c r="CU24" i="51"/>
  <c r="CU60" i="51" l="1"/>
  <c r="CV60" i="51"/>
  <c r="CU68" i="51"/>
  <c r="CY26" i="51"/>
  <c r="CY28" i="51" s="1"/>
  <c r="CU54" i="51"/>
  <c r="CV37" i="51"/>
  <c r="CU44" i="51"/>
  <c r="CU37" i="51"/>
  <c r="CU46" i="51"/>
  <c r="CU26" i="51"/>
  <c r="CU28" i="51" s="1"/>
  <c r="CU43" i="51"/>
  <c r="CU9" i="1"/>
  <c r="CU41" i="51"/>
  <c r="CU42" i="51"/>
  <c r="CU45" i="51"/>
  <c r="CU40" i="51"/>
  <c r="DO11" i="119" l="1"/>
  <c r="DO270" i="119" s="1"/>
  <c r="CA86" i="6"/>
  <c r="CU117" i="1"/>
  <c r="CV117" i="1"/>
  <c r="CU96" i="1"/>
  <c r="CY96" i="1"/>
  <c r="CU75" i="1"/>
  <c r="CV75" i="1"/>
  <c r="CU64" i="1"/>
  <c r="CU63" i="1"/>
  <c r="CU61" i="1"/>
  <c r="CU60" i="1"/>
  <c r="CU65" i="1"/>
  <c r="CU67" i="1"/>
  <c r="CU39" i="1"/>
  <c r="CY39" i="1"/>
  <c r="CA17" i="6"/>
  <c r="CU62" i="2"/>
  <c r="CU11" i="1"/>
  <c r="CU119" i="1" l="1"/>
  <c r="CV119" i="1"/>
  <c r="CU98" i="1"/>
  <c r="CY98" i="1"/>
  <c r="CU62" i="1"/>
  <c r="CU59" i="51" s="1"/>
  <c r="CU77" i="1"/>
  <c r="CV77" i="1"/>
  <c r="CU41" i="1"/>
  <c r="CY41" i="1"/>
  <c r="CU15" i="1"/>
  <c r="DO23" i="119" l="1"/>
  <c r="DO268" i="119" s="1"/>
  <c r="CU123" i="1"/>
  <c r="CV123" i="1"/>
  <c r="CU102" i="1"/>
  <c r="CY102" i="1"/>
  <c r="CU66" i="1"/>
  <c r="CU81" i="1"/>
  <c r="CV81" i="1"/>
  <c r="CU45" i="1"/>
  <c r="CY45" i="1"/>
  <c r="CA38" i="6"/>
  <c r="CA96" i="6" s="1"/>
  <c r="CU17" i="1"/>
  <c r="DO20" i="119" l="1"/>
  <c r="DO259" i="119" s="1"/>
  <c r="CU75" i="2"/>
  <c r="CU73" i="2"/>
  <c r="CU72" i="2"/>
  <c r="CU85" i="2"/>
  <c r="CU74" i="2"/>
  <c r="CA77" i="6"/>
  <c r="CA59" i="6"/>
  <c r="CE59" i="6"/>
  <c r="CB77" i="6"/>
  <c r="CA56" i="6"/>
  <c r="CE56" i="6"/>
  <c r="CA37" i="6"/>
  <c r="FE38" i="6"/>
  <c r="CU125" i="1"/>
  <c r="CV125" i="1"/>
  <c r="CU104" i="1"/>
  <c r="CY104" i="1"/>
  <c r="CU68" i="1"/>
  <c r="CU83" i="1"/>
  <c r="CV83" i="1"/>
  <c r="CU47" i="1"/>
  <c r="CY47" i="1"/>
  <c r="FZ17" i="3"/>
  <c r="CV88" i="2"/>
  <c r="DP47" i="119" s="1"/>
  <c r="CU23" i="1"/>
  <c r="DO30" i="119" s="1"/>
  <c r="DO269" i="119" s="1"/>
  <c r="DB11" i="51"/>
  <c r="CU89" i="2"/>
  <c r="FL13" i="2"/>
  <c r="Z42" i="119" s="1"/>
  <c r="G22" i="123" l="1"/>
  <c r="H22" i="123" s="1"/>
  <c r="DB62" i="51"/>
  <c r="CA95" i="6"/>
  <c r="CA39" i="6"/>
  <c r="DC31" i="51"/>
  <c r="FO98" i="51" s="1"/>
  <c r="FE96" i="6"/>
  <c r="FE59" i="6"/>
  <c r="FE37" i="6"/>
  <c r="CA58" i="6"/>
  <c r="CA76" i="6"/>
  <c r="CE58" i="6"/>
  <c r="CB76" i="6"/>
  <c r="CU126" i="1"/>
  <c r="CV126" i="1"/>
  <c r="CU105" i="1"/>
  <c r="CY105" i="1"/>
  <c r="CU69" i="1"/>
  <c r="CU84" i="1"/>
  <c r="CV84" i="1"/>
  <c r="CU48" i="1"/>
  <c r="CY48" i="1"/>
  <c r="CW88" i="2"/>
  <c r="CU26" i="1"/>
  <c r="CU25" i="1"/>
  <c r="DO290" i="119" s="1"/>
  <c r="CU68" i="2"/>
  <c r="CU87" i="2"/>
  <c r="DO46" i="119" s="1"/>
  <c r="FZ32" i="3"/>
  <c r="DB20" i="51"/>
  <c r="DB15" i="51"/>
  <c r="DB31" i="51"/>
  <c r="FN98" i="51" s="1"/>
  <c r="G26" i="123" l="1"/>
  <c r="H26" i="123" s="1"/>
  <c r="DB66" i="51"/>
  <c r="DO277" i="119"/>
  <c r="DO275" i="119"/>
  <c r="CW87" i="2"/>
  <c r="DQ47" i="119"/>
  <c r="FL88" i="2"/>
  <c r="Z47" i="119" s="1"/>
  <c r="DC35" i="51"/>
  <c r="FE58" i="6"/>
  <c r="FE95" i="6"/>
  <c r="CU127" i="1"/>
  <c r="CV127" i="1"/>
  <c r="CU106" i="1"/>
  <c r="CY106" i="1"/>
  <c r="CU70" i="1"/>
  <c r="CU85" i="1"/>
  <c r="CV85" i="1"/>
  <c r="CU30" i="1"/>
  <c r="CU29" i="1"/>
  <c r="CU49" i="1"/>
  <c r="CY49" i="1"/>
  <c r="DB52" i="51"/>
  <c r="DB57" i="51"/>
  <c r="CU28" i="1"/>
  <c r="FL30" i="2"/>
  <c r="Z56" i="119" s="1"/>
  <c r="DB35" i="51"/>
  <c r="DB24" i="51"/>
  <c r="DB17" i="51"/>
  <c r="FL14" i="2"/>
  <c r="CZ50" i="51"/>
  <c r="CZ82" i="51" s="1"/>
  <c r="DB60" i="51" l="1"/>
  <c r="DC60" i="51"/>
  <c r="DF184" i="112"/>
  <c r="DF191" i="112" s="1"/>
  <c r="DO281" i="119"/>
  <c r="DO260" i="119" s="1"/>
  <c r="Z43" i="119"/>
  <c r="G28" i="123"/>
  <c r="G30" i="123"/>
  <c r="G34" i="123" s="1"/>
  <c r="DO279" i="119"/>
  <c r="DB68" i="51"/>
  <c r="DO280" i="119"/>
  <c r="DO267" i="119"/>
  <c r="DQ46" i="119"/>
  <c r="FL87" i="2"/>
  <c r="DB54" i="51"/>
  <c r="CU66" i="2"/>
  <c r="CU67" i="2"/>
  <c r="CU128" i="1"/>
  <c r="CV128" i="1"/>
  <c r="CU129" i="1"/>
  <c r="CV129" i="1"/>
  <c r="CU130" i="1"/>
  <c r="CV130" i="1"/>
  <c r="CU107" i="1"/>
  <c r="CY107" i="1"/>
  <c r="CU108" i="1"/>
  <c r="CY108" i="1"/>
  <c r="CU109" i="1"/>
  <c r="CY109" i="1"/>
  <c r="CU87" i="1"/>
  <c r="CV87" i="1"/>
  <c r="CU88" i="1"/>
  <c r="CV88" i="1"/>
  <c r="CU71" i="1"/>
  <c r="CU86" i="1"/>
  <c r="CV86" i="1"/>
  <c r="CU32" i="1"/>
  <c r="CU31" i="1"/>
  <c r="CU51" i="1"/>
  <c r="CY51" i="1"/>
  <c r="CU52" i="1"/>
  <c r="CY52" i="1"/>
  <c r="CU50" i="1"/>
  <c r="CY50" i="1"/>
  <c r="DC37" i="51"/>
  <c r="DB9" i="1"/>
  <c r="FZ35" i="3"/>
  <c r="CX68" i="2"/>
  <c r="FZ21" i="3"/>
  <c r="FZ18" i="3"/>
  <c r="DB43" i="51"/>
  <c r="DB45" i="51"/>
  <c r="DB41" i="51"/>
  <c r="DB26" i="51"/>
  <c r="DB28" i="51" s="1"/>
  <c r="DB42" i="51"/>
  <c r="DB46" i="51"/>
  <c r="DB37" i="51"/>
  <c r="DB40" i="51"/>
  <c r="DB44" i="51"/>
  <c r="FK53" i="51"/>
  <c r="DF190" i="112" l="1"/>
  <c r="DF187" i="112"/>
  <c r="G32" i="123"/>
  <c r="G36" i="123" s="1"/>
  <c r="G4" i="123"/>
  <c r="H4" i="123" s="1"/>
  <c r="DV11" i="119"/>
  <c r="DV270" i="119" s="1"/>
  <c r="DO282" i="119"/>
  <c r="DO283" i="119"/>
  <c r="CH86" i="6"/>
  <c r="DB96" i="1"/>
  <c r="DB117" i="1"/>
  <c r="DC117" i="1"/>
  <c r="CU131" i="1"/>
  <c r="CV131" i="1"/>
  <c r="CU132" i="1"/>
  <c r="CV132" i="1"/>
  <c r="CU110" i="1"/>
  <c r="CY110" i="1"/>
  <c r="CU111" i="1"/>
  <c r="CY111" i="1"/>
  <c r="DB75" i="1"/>
  <c r="DC75" i="1"/>
  <c r="CU89" i="1"/>
  <c r="CV89" i="1"/>
  <c r="CU90" i="1"/>
  <c r="CV90" i="1"/>
  <c r="DB39" i="1"/>
  <c r="DB64" i="1"/>
  <c r="DB61" i="1"/>
  <c r="DB60" i="1"/>
  <c r="DB63" i="1"/>
  <c r="DB67" i="1"/>
  <c r="DB65" i="1"/>
  <c r="CU53" i="1"/>
  <c r="CY53" i="1"/>
  <c r="CU54" i="1"/>
  <c r="CY54" i="1"/>
  <c r="DB62" i="2"/>
  <c r="DR62" i="2" s="1"/>
  <c r="DV62" i="2" s="1"/>
  <c r="DZ62" i="2" s="1"/>
  <c r="ED62" i="2" s="1"/>
  <c r="EH62" i="2" s="1"/>
  <c r="CH17" i="6"/>
  <c r="DB11" i="1"/>
  <c r="FZ13" i="3"/>
  <c r="FM31" i="2"/>
  <c r="FM13" i="2"/>
  <c r="AA42" i="119" s="1"/>
  <c r="GV53" i="51"/>
  <c r="G6" i="123" l="1"/>
  <c r="H6" i="123" s="1"/>
  <c r="DB98" i="1"/>
  <c r="DB119" i="1"/>
  <c r="DC119" i="1"/>
  <c r="DB62" i="1"/>
  <c r="DB59" i="51" s="1"/>
  <c r="DB77" i="1"/>
  <c r="DC77" i="1"/>
  <c r="DB41" i="1"/>
  <c r="DB15" i="1"/>
  <c r="FK33" i="1"/>
  <c r="Z286" i="119" s="1"/>
  <c r="Z288" i="119" s="1"/>
  <c r="CZ68" i="2"/>
  <c r="G10" i="123" l="1"/>
  <c r="H10" i="123" s="1"/>
  <c r="DV23" i="119"/>
  <c r="DV268" i="119" s="1"/>
  <c r="CH38" i="6"/>
  <c r="FF38" i="6" s="1"/>
  <c r="FK112" i="1"/>
  <c r="FK55" i="1"/>
  <c r="DB102" i="1"/>
  <c r="DB123" i="1"/>
  <c r="DC123" i="1"/>
  <c r="DB66" i="1"/>
  <c r="DB81" i="1"/>
  <c r="DC81" i="1"/>
  <c r="DB45" i="1"/>
  <c r="DB23" i="1"/>
  <c r="G12" i="123" s="1"/>
  <c r="H12" i="123" s="1"/>
  <c r="DB17" i="1"/>
  <c r="FZ11" i="3"/>
  <c r="FK34" i="1"/>
  <c r="Z287" i="119" s="1"/>
  <c r="FM30" i="2"/>
  <c r="AA56" i="119" s="1"/>
  <c r="FM14" i="2"/>
  <c r="AA43" i="119" l="1"/>
  <c r="DV20" i="119"/>
  <c r="DV259" i="119" s="1"/>
  <c r="G20" i="123"/>
  <c r="H20" i="123" s="1"/>
  <c r="DV30" i="119"/>
  <c r="DV269" i="119" s="1"/>
  <c r="CH96" i="6"/>
  <c r="CI77" i="6"/>
  <c r="CH77" i="6"/>
  <c r="CH37" i="6"/>
  <c r="CH39" i="6" s="1"/>
  <c r="CH56" i="6"/>
  <c r="CH59" i="6"/>
  <c r="DB74" i="2"/>
  <c r="DR74" i="2" s="1"/>
  <c r="DV74" i="2" s="1"/>
  <c r="DZ74" i="2" s="1"/>
  <c r="ED74" i="2" s="1"/>
  <c r="EH74" i="2" s="1"/>
  <c r="DB75" i="2"/>
  <c r="DR75" i="2" s="1"/>
  <c r="DV75" i="2" s="1"/>
  <c r="DZ75" i="2" s="1"/>
  <c r="ED75" i="2" s="1"/>
  <c r="EH75" i="2" s="1"/>
  <c r="DB72" i="2"/>
  <c r="DB73" i="2"/>
  <c r="DR73" i="2" s="1"/>
  <c r="DV73" i="2" s="1"/>
  <c r="DZ73" i="2" s="1"/>
  <c r="ED73" i="2" s="1"/>
  <c r="EH73" i="2" s="1"/>
  <c r="DB85" i="2"/>
  <c r="FF96" i="6"/>
  <c r="FF59" i="6"/>
  <c r="FK113" i="1"/>
  <c r="FK56" i="1"/>
  <c r="DB105" i="1"/>
  <c r="DB126" i="1"/>
  <c r="DC126" i="1"/>
  <c r="DB104" i="1"/>
  <c r="DC125" i="1"/>
  <c r="DC83" i="1"/>
  <c r="DB84" i="1"/>
  <c r="DC84" i="1"/>
  <c r="DB48" i="1"/>
  <c r="DB69" i="1"/>
  <c r="DB47" i="1"/>
  <c r="DB68" i="1"/>
  <c r="DB26" i="1"/>
  <c r="G14" i="123" s="1"/>
  <c r="H14" i="123" s="1"/>
  <c r="DB25" i="1"/>
  <c r="DV290" i="119" s="1"/>
  <c r="FL41" i="3"/>
  <c r="FL64" i="3" l="1"/>
  <c r="Z284" i="119"/>
  <c r="Z102" i="119"/>
  <c r="DV277" i="119"/>
  <c r="DV275" i="119"/>
  <c r="CH76" i="6"/>
  <c r="CH95" i="6"/>
  <c r="CI76" i="6"/>
  <c r="FF37" i="6"/>
  <c r="FF95" i="6" s="1"/>
  <c r="CK37" i="6"/>
  <c r="CK76" i="6" s="1"/>
  <c r="CH58" i="6"/>
  <c r="DB106" i="1"/>
  <c r="DB127" i="1"/>
  <c r="DC127" i="1"/>
  <c r="DB70" i="1"/>
  <c r="DB85" i="1"/>
  <c r="DC85" i="1"/>
  <c r="DB49" i="1"/>
  <c r="DB29" i="1"/>
  <c r="DB30" i="1"/>
  <c r="DB28" i="1"/>
  <c r="FL48" i="3"/>
  <c r="FL53" i="51"/>
  <c r="DB68" i="2"/>
  <c r="G16" i="123" l="1"/>
  <c r="H16" i="123" s="1"/>
  <c r="G15" i="123"/>
  <c r="H15" i="123" s="1"/>
  <c r="DV279" i="119"/>
  <c r="DV280" i="119"/>
  <c r="DV267" i="119"/>
  <c r="DV281" i="119"/>
  <c r="DV260" i="119" s="1"/>
  <c r="CK58" i="6"/>
  <c r="CK95" i="6"/>
  <c r="CK39" i="6"/>
  <c r="FF58" i="6"/>
  <c r="DB66" i="2"/>
  <c r="DB67" i="2"/>
  <c r="DB109" i="1"/>
  <c r="DB130" i="1"/>
  <c r="DC130" i="1"/>
  <c r="DB107" i="1"/>
  <c r="DB128" i="1"/>
  <c r="DC128" i="1"/>
  <c r="DB108" i="1"/>
  <c r="DB129" i="1"/>
  <c r="DC129" i="1"/>
  <c r="DB51" i="1"/>
  <c r="DB87" i="1"/>
  <c r="DC87" i="1"/>
  <c r="DB71" i="1"/>
  <c r="DB86" i="1"/>
  <c r="DC86" i="1"/>
  <c r="DB88" i="1"/>
  <c r="DC88" i="1"/>
  <c r="DB50" i="1"/>
  <c r="DB32" i="1"/>
  <c r="DB31" i="1"/>
  <c r="CU56" i="2"/>
  <c r="GW53" i="51"/>
  <c r="G17" i="123" l="1"/>
  <c r="H17" i="123" s="1"/>
  <c r="DV282" i="119"/>
  <c r="DV283" i="119"/>
  <c r="DB110" i="1"/>
  <c r="DB131" i="1"/>
  <c r="DC131" i="1"/>
  <c r="DB111" i="1"/>
  <c r="DB132" i="1"/>
  <c r="DC132" i="1"/>
  <c r="DB53" i="1"/>
  <c r="DB89" i="1"/>
  <c r="DC89" i="1"/>
  <c r="DB54" i="1"/>
  <c r="DB90" i="1"/>
  <c r="DC90" i="1"/>
  <c r="CU61" i="2"/>
  <c r="CU114" i="2"/>
  <c r="CU115" i="2" s="1"/>
  <c r="CU58" i="2"/>
  <c r="DO76" i="119" s="1"/>
  <c r="DO264" i="119" s="1"/>
  <c r="CU59" i="2" l="1"/>
  <c r="CU53" i="2"/>
  <c r="FM53" i="51" l="1"/>
  <c r="B31" i="116" l="1"/>
  <c r="B35" i="116" s="1"/>
  <c r="D31" i="116" l="1"/>
  <c r="E31" i="116" s="1"/>
  <c r="FK11" i="51"/>
  <c r="GV11" i="51"/>
  <c r="GV20" i="51" s="1"/>
  <c r="FK62" i="51" l="1"/>
  <c r="FK20" i="51"/>
  <c r="GV15" i="51"/>
  <c r="FK15" i="51"/>
  <c r="FK66" i="51" l="1"/>
  <c r="FK24" i="51"/>
  <c r="GV24" i="51"/>
  <c r="GV17" i="51"/>
  <c r="FK17" i="51"/>
  <c r="GV52" i="51"/>
  <c r="FK52" i="51"/>
  <c r="GV48" i="51"/>
  <c r="FK48" i="51"/>
  <c r="FL63" i="2" s="1"/>
  <c r="FK68" i="51" l="1"/>
  <c r="GU9" i="1"/>
  <c r="FK9" i="1"/>
  <c r="GV44" i="51"/>
  <c r="GV43" i="51"/>
  <c r="GV42" i="51"/>
  <c r="GV46" i="51"/>
  <c r="GV40" i="51"/>
  <c r="GV41" i="51"/>
  <c r="GV26" i="51"/>
  <c r="GV45" i="51"/>
  <c r="FK54" i="51"/>
  <c r="GV54" i="51"/>
  <c r="FK26" i="51"/>
  <c r="FK42" i="51"/>
  <c r="FK40" i="51"/>
  <c r="FK44" i="51"/>
  <c r="FK45" i="51"/>
  <c r="FK46" i="51"/>
  <c r="FK43" i="51"/>
  <c r="FK41" i="51"/>
  <c r="Z11" i="119" l="1"/>
  <c r="Z270" i="119" s="1"/>
  <c r="FL62" i="2"/>
  <c r="EL17" i="6"/>
  <c r="FK96" i="1"/>
  <c r="FK39" i="1"/>
  <c r="FK60" i="1"/>
  <c r="GU60" i="1"/>
  <c r="GU96" i="1"/>
  <c r="GU39" i="1"/>
  <c r="GU11" i="1"/>
  <c r="GU12" i="1"/>
  <c r="FK12" i="1"/>
  <c r="Z15" i="119" l="1"/>
  <c r="FK63" i="1"/>
  <c r="FK99" i="1"/>
  <c r="FK42" i="1"/>
  <c r="GU63" i="1"/>
  <c r="GU99" i="1"/>
  <c r="GU42" i="1"/>
  <c r="GU62" i="1"/>
  <c r="GU98" i="1"/>
  <c r="GU41" i="1"/>
  <c r="FL16" i="2"/>
  <c r="FL31" i="2"/>
  <c r="FZ23" i="3"/>
  <c r="FZ19" i="3"/>
  <c r="FL17" i="2"/>
  <c r="FL32" i="3"/>
  <c r="Z97" i="119" s="1"/>
  <c r="FL23" i="3"/>
  <c r="FL20" i="3"/>
  <c r="FL17" i="3"/>
  <c r="FK10" i="1"/>
  <c r="GU10" i="1"/>
  <c r="FL19" i="3"/>
  <c r="FL32" i="2"/>
  <c r="FL22" i="3"/>
  <c r="Z12" i="119" l="1"/>
  <c r="FL35" i="2"/>
  <c r="Z60" i="119" s="1"/>
  <c r="Z59" i="119"/>
  <c r="Z44" i="119"/>
  <c r="FL65" i="2"/>
  <c r="FL64" i="2"/>
  <c r="GU97" i="1"/>
  <c r="GU61" i="1"/>
  <c r="GU40" i="1"/>
  <c r="FK61" i="1"/>
  <c r="FK97" i="1"/>
  <c r="FK40" i="1"/>
  <c r="FZ20" i="3"/>
  <c r="FL12" i="3"/>
  <c r="Z93" i="119" s="1"/>
  <c r="FK50" i="51"/>
  <c r="FK59" i="51" s="1"/>
  <c r="GV50" i="51"/>
  <c r="GV59" i="51" s="1"/>
  <c r="FL35" i="3"/>
  <c r="Z101" i="119" s="1"/>
  <c r="FK11" i="1"/>
  <c r="CV89" i="2"/>
  <c r="FL68" i="2" l="1"/>
  <c r="FK98" i="1"/>
  <c r="FK62" i="1"/>
  <c r="FK41" i="1"/>
  <c r="FK16" i="1"/>
  <c r="Z21" i="119" s="1"/>
  <c r="FL18" i="3"/>
  <c r="CV87" i="2"/>
  <c r="DP46" i="119" s="1"/>
  <c r="GV49" i="51"/>
  <c r="GV58" i="51" s="1"/>
  <c r="FK49" i="51"/>
  <c r="FK58" i="51" s="1"/>
  <c r="FL21" i="3"/>
  <c r="FL13" i="3"/>
  <c r="Z95" i="119" s="1"/>
  <c r="CV68" i="2"/>
  <c r="FL44" i="2"/>
  <c r="Z65" i="119" s="1"/>
  <c r="FK67" i="1" l="1"/>
  <c r="FK103" i="1"/>
  <c r="FK46" i="1"/>
  <c r="FL21" i="2"/>
  <c r="FL46" i="2"/>
  <c r="FK57" i="51"/>
  <c r="FL24" i="3"/>
  <c r="Z94" i="119" s="1"/>
  <c r="GV57" i="51"/>
  <c r="CX88" i="2"/>
  <c r="FL25" i="2" l="1"/>
  <c r="Z48" i="119"/>
  <c r="Z46" i="119" s="1"/>
  <c r="CY88" i="2"/>
  <c r="DR47" i="119"/>
  <c r="FM16" i="2"/>
  <c r="CX89" i="2"/>
  <c r="GU16" i="1"/>
  <c r="CY87" i="2" l="1"/>
  <c r="DS46" i="119" s="1"/>
  <c r="DS47" i="119"/>
  <c r="GU103" i="1"/>
  <c r="GU67" i="1"/>
  <c r="GU46" i="1"/>
  <c r="CX87" i="2"/>
  <c r="DR46" i="119" s="1"/>
  <c r="FK13" i="1" l="1"/>
  <c r="GU13" i="1"/>
  <c r="Z13" i="119" l="1"/>
  <c r="Z14" i="119"/>
  <c r="GU100" i="1"/>
  <c r="GU43" i="1"/>
  <c r="GU64" i="1"/>
  <c r="FK100" i="1"/>
  <c r="FK43" i="1"/>
  <c r="FK64" i="1"/>
  <c r="FK14" i="1"/>
  <c r="GU14" i="1"/>
  <c r="Z18" i="119" l="1"/>
  <c r="Z19" i="119" s="1"/>
  <c r="GU65" i="1"/>
  <c r="GU101" i="1"/>
  <c r="GU44" i="1"/>
  <c r="FK65" i="1"/>
  <c r="FK101" i="1"/>
  <c r="FK44" i="1"/>
  <c r="FK15" i="1"/>
  <c r="GU15" i="1"/>
  <c r="Z23" i="119" l="1"/>
  <c r="Z268" i="119" s="1"/>
  <c r="FK23" i="1"/>
  <c r="Z30" i="119" s="1"/>
  <c r="Z269" i="119" s="1"/>
  <c r="FK17" i="1"/>
  <c r="GU102" i="1"/>
  <c r="GU66" i="1"/>
  <c r="GU45" i="1"/>
  <c r="FK102" i="1"/>
  <c r="FK45" i="1"/>
  <c r="FK66" i="1"/>
  <c r="EL38" i="6"/>
  <c r="GU17" i="1"/>
  <c r="GU23" i="1"/>
  <c r="Z20" i="119" l="1"/>
  <c r="Z259" i="119" s="1"/>
  <c r="EL39" i="6"/>
  <c r="EL96" i="6"/>
  <c r="AB23" i="114"/>
  <c r="AB25" i="114" s="1"/>
  <c r="FL75" i="2"/>
  <c r="FL73" i="2"/>
  <c r="FL74" i="2"/>
  <c r="FL72" i="2"/>
  <c r="EL59" i="6"/>
  <c r="GU105" i="1"/>
  <c r="GU69" i="1"/>
  <c r="GU48" i="1"/>
  <c r="GU104" i="1"/>
  <c r="GU68" i="1"/>
  <c r="GU47" i="1"/>
  <c r="FK104" i="1"/>
  <c r="FK47" i="1"/>
  <c r="FK68" i="1"/>
  <c r="FK69" i="1"/>
  <c r="FK105" i="1"/>
  <c r="FK48" i="1"/>
  <c r="GU26" i="1"/>
  <c r="FK24" i="1"/>
  <c r="Z273" i="119" s="1"/>
  <c r="GU24" i="1"/>
  <c r="FK26" i="1" l="1"/>
  <c r="AB24" i="114"/>
  <c r="GU106" i="1"/>
  <c r="GU70" i="1"/>
  <c r="GU49" i="1"/>
  <c r="GU25" i="1"/>
  <c r="FK25" i="1"/>
  <c r="Z290" i="119" s="1"/>
  <c r="GU28" i="1"/>
  <c r="Z277" i="119" l="1"/>
  <c r="Z267" i="119" s="1"/>
  <c r="Z275" i="119"/>
  <c r="FK28" i="1"/>
  <c r="GU71" i="1"/>
  <c r="GU107" i="1"/>
  <c r="GU50" i="1"/>
  <c r="FK106" i="1"/>
  <c r="FK70" i="1"/>
  <c r="FK49" i="1"/>
  <c r="FK29" i="1"/>
  <c r="Z280" i="119" s="1"/>
  <c r="FK30" i="1"/>
  <c r="FL11" i="3"/>
  <c r="Z281" i="119" l="1"/>
  <c r="Z260" i="119" s="1"/>
  <c r="FL25" i="3"/>
  <c r="Z96" i="119" s="1"/>
  <c r="Z305" i="119"/>
  <c r="Z279" i="119"/>
  <c r="AB15" i="114"/>
  <c r="AB16" i="114" s="1"/>
  <c r="FK71" i="1"/>
  <c r="FK107" i="1"/>
  <c r="FK50" i="1"/>
  <c r="FK109" i="1"/>
  <c r="FK52" i="1"/>
  <c r="FK108" i="1"/>
  <c r="FK51" i="1"/>
  <c r="FK31" i="1"/>
  <c r="Z282" i="119" s="1"/>
  <c r="FK32" i="1"/>
  <c r="FL47" i="2"/>
  <c r="FL54" i="3" l="1"/>
  <c r="FL50" i="3"/>
  <c r="FL52" i="3" s="1"/>
  <c r="AB17" i="114"/>
  <c r="Z283" i="119"/>
  <c r="AB31" i="114"/>
  <c r="AB19" i="114"/>
  <c r="AB21" i="114" s="1"/>
  <c r="FK54" i="1"/>
  <c r="FK111" i="1"/>
  <c r="FK110" i="1"/>
  <c r="FK53" i="1"/>
  <c r="FL55" i="3" l="1"/>
  <c r="AB27" i="114" s="1"/>
  <c r="AB28" i="114" s="1"/>
  <c r="FL65" i="3"/>
  <c r="AB32" i="114"/>
  <c r="AB20" i="114"/>
  <c r="FM51" i="3"/>
  <c r="AB29" i="114" l="1"/>
  <c r="AB34" i="114"/>
  <c r="CV53" i="2"/>
  <c r="CV57" i="3"/>
  <c r="DP107" i="119" l="1"/>
  <c r="DP106" i="119"/>
  <c r="DP108" i="119"/>
  <c r="CV58" i="3"/>
  <c r="CV59" i="3" s="1"/>
  <c r="FL11" i="2" l="1"/>
  <c r="FL48" i="2"/>
  <c r="FL49" i="2" s="1"/>
  <c r="CW57" i="3"/>
  <c r="DQ106" i="119" l="1"/>
  <c r="DQ107" i="119"/>
  <c r="DQ108" i="119"/>
  <c r="FL66" i="2"/>
  <c r="Z69" i="119"/>
  <c r="Z271" i="119" s="1"/>
  <c r="Z67" i="119"/>
  <c r="Z298" i="119" s="1"/>
  <c r="Z256" i="119" s="1"/>
  <c r="FL56" i="2"/>
  <c r="Z41" i="119"/>
  <c r="Z265" i="119" s="1"/>
  <c r="CW58" i="3"/>
  <c r="CW59" i="3" s="1"/>
  <c r="FL51" i="2"/>
  <c r="Z70" i="119" s="1"/>
  <c r="FL57" i="3"/>
  <c r="FL18" i="2"/>
  <c r="Z45" i="119" s="1"/>
  <c r="FL58" i="2" l="1"/>
  <c r="Z108" i="119"/>
  <c r="Z107" i="119"/>
  <c r="Z106" i="119"/>
  <c r="FL58" i="3"/>
  <c r="FL59" i="3" s="1"/>
  <c r="FL27" i="2"/>
  <c r="FL61" i="2"/>
  <c r="Z76" i="119" l="1"/>
  <c r="Z264" i="119" s="1"/>
  <c r="FL59" i="2"/>
  <c r="FL67" i="2"/>
  <c r="Z55" i="119"/>
  <c r="FL53" i="2"/>
  <c r="GU33" i="1" l="1"/>
  <c r="CX59" i="2"/>
  <c r="GU29" i="1" l="1"/>
  <c r="GU31" i="1"/>
  <c r="GU112" i="1"/>
  <c r="GU55" i="1"/>
  <c r="CX55" i="3"/>
  <c r="GU34" i="1"/>
  <c r="FZ41" i="3"/>
  <c r="GU110" i="1" l="1"/>
  <c r="GU53" i="1"/>
  <c r="GU30" i="1"/>
  <c r="GU32" i="1"/>
  <c r="GU108" i="1"/>
  <c r="GU51" i="1"/>
  <c r="GU56" i="1"/>
  <c r="GU113" i="1"/>
  <c r="CX52" i="1"/>
  <c r="DB52" i="1"/>
  <c r="FZ48" i="3"/>
  <c r="GU54" i="1" l="1"/>
  <c r="GU111" i="1"/>
  <c r="GU52" i="1"/>
  <c r="GU109" i="1"/>
  <c r="FL11" i="51" l="1"/>
  <c r="GW11" i="51"/>
  <c r="FL62" i="51" l="1"/>
  <c r="GW20" i="51"/>
  <c r="GW15" i="51"/>
  <c r="FL15" i="51"/>
  <c r="FL20" i="51"/>
  <c r="FL66" i="51" l="1"/>
  <c r="B14" i="118"/>
  <c r="B50" i="118" s="1"/>
  <c r="CQ77" i="51"/>
  <c r="CQ143" i="113"/>
  <c r="DD20" i="51"/>
  <c r="DD35" i="51"/>
  <c r="DD31" i="51"/>
  <c r="FP98" i="51" s="1"/>
  <c r="CQ74" i="51"/>
  <c r="CQ75" i="51"/>
  <c r="CQ71" i="51"/>
  <c r="CQ76" i="51"/>
  <c r="CQ72" i="51"/>
  <c r="CQ73" i="51"/>
  <c r="GW17" i="51"/>
  <c r="GW44" i="51" s="1"/>
  <c r="FL17" i="51"/>
  <c r="FZ22" i="3"/>
  <c r="FL24" i="51"/>
  <c r="GW24" i="51"/>
  <c r="GW52" i="51"/>
  <c r="FL52" i="51"/>
  <c r="FL48" i="51"/>
  <c r="FM63" i="2" s="1"/>
  <c r="GW48" i="51"/>
  <c r="B85" i="118" l="1"/>
  <c r="B52" i="118"/>
  <c r="B87" i="118" s="1"/>
  <c r="FL68" i="51"/>
  <c r="FL44" i="51"/>
  <c r="CQ71" i="113"/>
  <c r="CQ72" i="113" s="1"/>
  <c r="CQ142" i="113"/>
  <c r="DE20" i="51"/>
  <c r="DE31" i="51"/>
  <c r="FQ98" i="51" s="1"/>
  <c r="DD24" i="51"/>
  <c r="DD37" i="51"/>
  <c r="FM11" i="51"/>
  <c r="FL46" i="51"/>
  <c r="FL42" i="51"/>
  <c r="FL26" i="51"/>
  <c r="FL41" i="51"/>
  <c r="FL45" i="51"/>
  <c r="FL43" i="51"/>
  <c r="FL40" i="51"/>
  <c r="GW41" i="51"/>
  <c r="GW45" i="51"/>
  <c r="GW42" i="51"/>
  <c r="GW43" i="51"/>
  <c r="GW26" i="51"/>
  <c r="GW46" i="51"/>
  <c r="GW40" i="51"/>
  <c r="FL54" i="51"/>
  <c r="GW54" i="51"/>
  <c r="FZ24" i="3"/>
  <c r="GV9" i="1"/>
  <c r="FL9" i="1"/>
  <c r="B16" i="118" l="1"/>
  <c r="AA11" i="119"/>
  <c r="AA270" i="119" s="1"/>
  <c r="FM62" i="51"/>
  <c r="B22" i="116"/>
  <c r="D22" i="116" s="1"/>
  <c r="E22" i="116" s="1"/>
  <c r="CQ13" i="113"/>
  <c r="CQ146" i="113"/>
  <c r="FM62" i="2"/>
  <c r="EM17" i="6"/>
  <c r="FL96" i="1"/>
  <c r="FL60" i="1"/>
  <c r="FL39" i="1"/>
  <c r="GV96" i="1"/>
  <c r="GV60" i="1"/>
  <c r="GV39" i="1"/>
  <c r="DD46" i="51"/>
  <c r="DD26" i="51"/>
  <c r="DD28" i="51" s="1"/>
  <c r="DD45" i="51"/>
  <c r="DD43" i="51"/>
  <c r="DD41" i="51"/>
  <c r="DD42" i="51"/>
  <c r="DD40" i="51"/>
  <c r="DD44" i="51"/>
  <c r="FM20" i="51"/>
  <c r="DE35" i="51"/>
  <c r="DE24" i="51"/>
  <c r="FM15" i="51"/>
  <c r="CI17" i="6"/>
  <c r="FZ25" i="3"/>
  <c r="FZ54" i="3" s="1"/>
  <c r="FZ55" i="3" s="1"/>
  <c r="FM32" i="2"/>
  <c r="GV12" i="1"/>
  <c r="FL12" i="1"/>
  <c r="GV11" i="1"/>
  <c r="FL11" i="1"/>
  <c r="GV13" i="1"/>
  <c r="FL13" i="1"/>
  <c r="AA15" i="119" l="1"/>
  <c r="AA13" i="119"/>
  <c r="FM66" i="51"/>
  <c r="C14" i="118"/>
  <c r="CQ20" i="113"/>
  <c r="FM35" i="2"/>
  <c r="AA60" i="119" s="1"/>
  <c r="AA59" i="119"/>
  <c r="CQ26" i="113"/>
  <c r="B26" i="116"/>
  <c r="D26" i="116" s="1"/>
  <c r="E26" i="116" s="1"/>
  <c r="CQ54" i="113"/>
  <c r="CQ39" i="113"/>
  <c r="DE50" i="51"/>
  <c r="DE82" i="51" s="1"/>
  <c r="FL100" i="1"/>
  <c r="FL64" i="1"/>
  <c r="FL43" i="1"/>
  <c r="GV64" i="1"/>
  <c r="GV100" i="1"/>
  <c r="GV43" i="1"/>
  <c r="FL98" i="1"/>
  <c r="FL62" i="1"/>
  <c r="FL41" i="1"/>
  <c r="GV98" i="1"/>
  <c r="GV62" i="1"/>
  <c r="GV41" i="1"/>
  <c r="FL99" i="1"/>
  <c r="FL42" i="1"/>
  <c r="FL63" i="1"/>
  <c r="GV99" i="1"/>
  <c r="GV63" i="1"/>
  <c r="GV42" i="1"/>
  <c r="FM52" i="51"/>
  <c r="DE42" i="51"/>
  <c r="DE46" i="51"/>
  <c r="DE26" i="51"/>
  <c r="DE28" i="51" s="1"/>
  <c r="DE37" i="51"/>
  <c r="DE45" i="51"/>
  <c r="DE43" i="51"/>
  <c r="DE41" i="51"/>
  <c r="DE40" i="51"/>
  <c r="FM17" i="51"/>
  <c r="FM24" i="51"/>
  <c r="DE44" i="51"/>
  <c r="FM48" i="51"/>
  <c r="CZ61" i="2"/>
  <c r="CY50" i="51"/>
  <c r="CY82" i="51" s="1"/>
  <c r="GV10" i="1"/>
  <c r="FL10" i="1"/>
  <c r="GA22" i="3"/>
  <c r="GA17" i="3"/>
  <c r="FM17" i="3"/>
  <c r="GA19" i="3"/>
  <c r="FM19" i="3"/>
  <c r="FL14" i="1"/>
  <c r="GV14" i="1"/>
  <c r="FZ50" i="3"/>
  <c r="FZ52" i="3" s="1"/>
  <c r="FM22" i="3"/>
  <c r="B19" i="118" l="1"/>
  <c r="B55" i="118" s="1"/>
  <c r="B90" i="118" s="1"/>
  <c r="AA18" i="119"/>
  <c r="AA12" i="119"/>
  <c r="AA14" i="119"/>
  <c r="B17" i="118"/>
  <c r="C50" i="118"/>
  <c r="C29" i="118"/>
  <c r="FM68" i="51"/>
  <c r="B30" i="116"/>
  <c r="D30" i="116" s="1"/>
  <c r="E30" i="116" s="1"/>
  <c r="CQ33" i="113"/>
  <c r="CQ46" i="113"/>
  <c r="CQ61" i="113"/>
  <c r="CR74" i="51"/>
  <c r="CR143" i="113"/>
  <c r="FM44" i="51"/>
  <c r="B28" i="116"/>
  <c r="FM64" i="2"/>
  <c r="FM65" i="2"/>
  <c r="DE117" i="1"/>
  <c r="CR77" i="51"/>
  <c r="GV101" i="1"/>
  <c r="GV65" i="1"/>
  <c r="GV44" i="1"/>
  <c r="FL101" i="1"/>
  <c r="FL65" i="1"/>
  <c r="FL44" i="1"/>
  <c r="FL97" i="1"/>
  <c r="FL61" i="1"/>
  <c r="FL40" i="1"/>
  <c r="GV97" i="1"/>
  <c r="GV61" i="1"/>
  <c r="GV40" i="1"/>
  <c r="DE75" i="1"/>
  <c r="DE96" i="1"/>
  <c r="DE39" i="1"/>
  <c r="DE60" i="1"/>
  <c r="DE63" i="1"/>
  <c r="DE64" i="1"/>
  <c r="CR71" i="51"/>
  <c r="CR72" i="51"/>
  <c r="CR73" i="51"/>
  <c r="CR75" i="51"/>
  <c r="CR76" i="51"/>
  <c r="FM54" i="51"/>
  <c r="FM26" i="51"/>
  <c r="FM40" i="51"/>
  <c r="FM45" i="51"/>
  <c r="FM46" i="51"/>
  <c r="FM42" i="51"/>
  <c r="FM41" i="51"/>
  <c r="FM43" i="51"/>
  <c r="FM9" i="1"/>
  <c r="GW50" i="51"/>
  <c r="GW59" i="51" s="1"/>
  <c r="GA23" i="3"/>
  <c r="FM23" i="3"/>
  <c r="CZ44" i="2"/>
  <c r="DT65" i="119" s="1"/>
  <c r="FM17" i="2"/>
  <c r="AA44" i="119" s="1"/>
  <c r="FM21" i="3"/>
  <c r="FL50" i="51"/>
  <c r="FL59" i="51" s="1"/>
  <c r="FL15" i="1"/>
  <c r="GV15" i="1"/>
  <c r="FM44" i="2"/>
  <c r="AA65" i="119" s="1"/>
  <c r="GA51" i="3"/>
  <c r="GW49" i="51"/>
  <c r="GW58" i="51" s="1"/>
  <c r="FL49" i="51"/>
  <c r="FL58" i="51" s="1"/>
  <c r="CY68" i="2"/>
  <c r="B53" i="118" l="1"/>
  <c r="B88" i="118" s="1"/>
  <c r="B18" i="118"/>
  <c r="AA23" i="119"/>
  <c r="AA268" i="119" s="1"/>
  <c r="C16" i="118"/>
  <c r="C52" i="118" s="1"/>
  <c r="AB11" i="119"/>
  <c r="AB270" i="119" s="1"/>
  <c r="C85" i="118"/>
  <c r="C65" i="118"/>
  <c r="FL23" i="1"/>
  <c r="AA30" i="119" s="1"/>
  <c r="AA269" i="119" s="1"/>
  <c r="B34" i="116"/>
  <c r="B32" i="116"/>
  <c r="B36" i="116" s="1"/>
  <c r="CR71" i="113"/>
  <c r="CR72" i="113" s="1"/>
  <c r="CR142" i="113"/>
  <c r="B4" i="116"/>
  <c r="D4" i="116" s="1"/>
  <c r="E4" i="116" s="1"/>
  <c r="EN17" i="6"/>
  <c r="D28" i="116"/>
  <c r="E28" i="116" s="1"/>
  <c r="DE119" i="1"/>
  <c r="FM68" i="2"/>
  <c r="GV102" i="1"/>
  <c r="GV45" i="1"/>
  <c r="GV66" i="1"/>
  <c r="FL102" i="1"/>
  <c r="FL66" i="1"/>
  <c r="FL45" i="1"/>
  <c r="FM96" i="1"/>
  <c r="FM60" i="1"/>
  <c r="FM39" i="1"/>
  <c r="DE77" i="1"/>
  <c r="DE98" i="1"/>
  <c r="DE41" i="1"/>
  <c r="DE62" i="1"/>
  <c r="DE59" i="51" s="1"/>
  <c r="GW57" i="51"/>
  <c r="FM13" i="1"/>
  <c r="FN19" i="3"/>
  <c r="FN31" i="2"/>
  <c r="GW12" i="1"/>
  <c r="FN13" i="2"/>
  <c r="FM11" i="1"/>
  <c r="FM12" i="1"/>
  <c r="FN16" i="2"/>
  <c r="DC68" i="2"/>
  <c r="EM38" i="6"/>
  <c r="EM96" i="6" s="1"/>
  <c r="GA21" i="3"/>
  <c r="FM18" i="3"/>
  <c r="GA18" i="3"/>
  <c r="FL57" i="51"/>
  <c r="GV23" i="1"/>
  <c r="GA13" i="3"/>
  <c r="FM13" i="3"/>
  <c r="AA95" i="119" s="1"/>
  <c r="CZ88" i="2"/>
  <c r="DT47" i="119" s="1"/>
  <c r="C31" i="118" l="1"/>
  <c r="C41" i="118"/>
  <c r="C100" i="118"/>
  <c r="D100" i="118"/>
  <c r="D85" i="118" s="1"/>
  <c r="AB15" i="119"/>
  <c r="B54" i="118"/>
  <c r="B89" i="118" s="1"/>
  <c r="B20" i="118"/>
  <c r="AB13" i="119"/>
  <c r="FN62" i="2"/>
  <c r="AB42" i="119"/>
  <c r="C67" i="118"/>
  <c r="C77" i="118"/>
  <c r="C87" i="118"/>
  <c r="B7" i="116"/>
  <c r="D7" i="116" s="1"/>
  <c r="E7" i="116" s="1"/>
  <c r="B8" i="116"/>
  <c r="D8" i="116" s="1"/>
  <c r="E8" i="116" s="1"/>
  <c r="D32" i="116"/>
  <c r="E32" i="116" s="1"/>
  <c r="B6" i="116"/>
  <c r="D6" i="116" s="1"/>
  <c r="E6" i="116" s="1"/>
  <c r="CR13" i="113"/>
  <c r="CR146" i="113"/>
  <c r="EM39" i="6"/>
  <c r="DE122" i="1"/>
  <c r="FQ128" i="1" s="1"/>
  <c r="EM59" i="6"/>
  <c r="GV105" i="1"/>
  <c r="GV48" i="1"/>
  <c r="GV69" i="1"/>
  <c r="FL105" i="1"/>
  <c r="FL69" i="1"/>
  <c r="FL48" i="1"/>
  <c r="FM99" i="1"/>
  <c r="FM42" i="1"/>
  <c r="FM63" i="1"/>
  <c r="FM98" i="1"/>
  <c r="FM62" i="1"/>
  <c r="FM41" i="1"/>
  <c r="GW99" i="1"/>
  <c r="GW42" i="1"/>
  <c r="FM100" i="1"/>
  <c r="FM64" i="1"/>
  <c r="FM43" i="1"/>
  <c r="DE97" i="1"/>
  <c r="DE118" i="1"/>
  <c r="DE80" i="1"/>
  <c r="DE101" i="1"/>
  <c r="DE61" i="1"/>
  <c r="DE76" i="1"/>
  <c r="DE44" i="1"/>
  <c r="DE65" i="1"/>
  <c r="FM10" i="1"/>
  <c r="DE40" i="1"/>
  <c r="FM50" i="51"/>
  <c r="FM59" i="51" s="1"/>
  <c r="FM14" i="1"/>
  <c r="FN17" i="3"/>
  <c r="FN23" i="3"/>
  <c r="GW13" i="1"/>
  <c r="DD68" i="2"/>
  <c r="GV24" i="1"/>
  <c r="FL24" i="1"/>
  <c r="FN32" i="2"/>
  <c r="AB59" i="119" s="1"/>
  <c r="FM46" i="2"/>
  <c r="AA273" i="119" l="1"/>
  <c r="B23" i="118"/>
  <c r="B59" i="118" s="1"/>
  <c r="B94" i="118" s="1"/>
  <c r="B9" i="116"/>
  <c r="D9" i="116" s="1"/>
  <c r="E9" i="116" s="1"/>
  <c r="C19" i="118"/>
  <c r="E85" i="118"/>
  <c r="D87" i="118"/>
  <c r="D112" i="118" s="1"/>
  <c r="B56" i="118"/>
  <c r="B91" i="118" s="1"/>
  <c r="B22" i="118"/>
  <c r="AB18" i="119"/>
  <c r="AB12" i="119"/>
  <c r="AB14" i="119"/>
  <c r="C17" i="118"/>
  <c r="CR20" i="113"/>
  <c r="C112" i="118"/>
  <c r="C102" i="118"/>
  <c r="B5" i="116"/>
  <c r="D5" i="116" s="1"/>
  <c r="E5" i="116" s="1"/>
  <c r="FL26" i="1"/>
  <c r="CR26" i="113"/>
  <c r="CR39" i="113"/>
  <c r="CR54" i="113"/>
  <c r="GW100" i="1"/>
  <c r="GW43" i="1"/>
  <c r="FM101" i="1"/>
  <c r="FM65" i="1"/>
  <c r="FM44" i="1"/>
  <c r="FM97" i="1"/>
  <c r="FM61" i="1"/>
  <c r="FM40" i="1"/>
  <c r="DE102" i="1"/>
  <c r="DE123" i="1"/>
  <c r="DF101" i="1"/>
  <c r="DF122" i="1"/>
  <c r="FN129" i="1" s="1"/>
  <c r="DF80" i="1"/>
  <c r="DE66" i="1"/>
  <c r="DE81" i="1"/>
  <c r="DF44" i="1"/>
  <c r="DE45" i="1"/>
  <c r="FN21" i="3"/>
  <c r="FN30" i="2"/>
  <c r="FM15" i="1"/>
  <c r="FN18" i="3"/>
  <c r="FN14" i="2"/>
  <c r="FN63" i="2" s="1"/>
  <c r="FM49" i="51"/>
  <c r="FM58" i="51" s="1"/>
  <c r="FM57" i="51" s="1"/>
  <c r="GW14" i="1"/>
  <c r="GV26" i="1"/>
  <c r="GV28" i="1"/>
  <c r="GV25" i="1"/>
  <c r="FL25" i="1"/>
  <c r="AA290" i="119" s="1"/>
  <c r="FN22" i="3"/>
  <c r="CZ25" i="2"/>
  <c r="CZ89" i="2"/>
  <c r="GB22" i="3"/>
  <c r="DG80" i="1" l="1"/>
  <c r="D102" i="118"/>
  <c r="F85" i="118"/>
  <c r="E87" i="118"/>
  <c r="AA277" i="119"/>
  <c r="AA267" i="119" s="1"/>
  <c r="AA275" i="119"/>
  <c r="B58" i="118"/>
  <c r="B93" i="118" s="1"/>
  <c r="B24" i="118"/>
  <c r="C34" i="118"/>
  <c r="C55" i="118"/>
  <c r="C44" i="118"/>
  <c r="AB23" i="119"/>
  <c r="AB268" i="119" s="1"/>
  <c r="C53" i="118"/>
  <c r="C32" i="118"/>
  <c r="C42" i="118"/>
  <c r="C18" i="118"/>
  <c r="AB43" i="119"/>
  <c r="FN35" i="2"/>
  <c r="AB60" i="119" s="1"/>
  <c r="AB56" i="119"/>
  <c r="FL28" i="1"/>
  <c r="CR33" i="113"/>
  <c r="CS76" i="51"/>
  <c r="CS143" i="113"/>
  <c r="FJ143" i="113" s="1"/>
  <c r="CR46" i="113"/>
  <c r="CR61" i="113"/>
  <c r="B10" i="116"/>
  <c r="D10" i="116" s="1"/>
  <c r="E10" i="116" s="1"/>
  <c r="EN38" i="6"/>
  <c r="EN96" i="6" s="1"/>
  <c r="FN64" i="2"/>
  <c r="FN65" i="2"/>
  <c r="FL106" i="1"/>
  <c r="FL70" i="1"/>
  <c r="FL49" i="1"/>
  <c r="GV107" i="1"/>
  <c r="GV71" i="1"/>
  <c r="GV50" i="1"/>
  <c r="GV70" i="1"/>
  <c r="GV49" i="1"/>
  <c r="GV106" i="1"/>
  <c r="GW101" i="1"/>
  <c r="GW44" i="1"/>
  <c r="FM102" i="1"/>
  <c r="FM66" i="1"/>
  <c r="FM45" i="1"/>
  <c r="DG101" i="1"/>
  <c r="DG122" i="1"/>
  <c r="FO129" i="1" s="1"/>
  <c r="DG44" i="1"/>
  <c r="CS74" i="51"/>
  <c r="FN46" i="2"/>
  <c r="CS77" i="51"/>
  <c r="FN13" i="3"/>
  <c r="AB95" i="119" s="1"/>
  <c r="FN12" i="1"/>
  <c r="CS71" i="51"/>
  <c r="CS73" i="51"/>
  <c r="FJ76" i="51"/>
  <c r="CS75" i="51"/>
  <c r="CS72" i="51"/>
  <c r="FN17" i="2"/>
  <c r="AB44" i="119" s="1"/>
  <c r="CZ87" i="2"/>
  <c r="DT46" i="119" s="1"/>
  <c r="DH122" i="1" l="1"/>
  <c r="FP129" i="1" s="1"/>
  <c r="FN68" i="2"/>
  <c r="L85" i="118"/>
  <c r="G85" i="118"/>
  <c r="F87" i="118"/>
  <c r="C68" i="118"/>
  <c r="C88" i="118"/>
  <c r="C78" i="118"/>
  <c r="B60" i="118"/>
  <c r="B95" i="118" s="1"/>
  <c r="AC15" i="119"/>
  <c r="C33" i="118"/>
  <c r="C54" i="118"/>
  <c r="C20" i="118"/>
  <c r="C43" i="118"/>
  <c r="AA279" i="119"/>
  <c r="C90" i="118"/>
  <c r="C70" i="118"/>
  <c r="C80" i="118"/>
  <c r="E112" i="118"/>
  <c r="E102" i="118"/>
  <c r="F7" i="116"/>
  <c r="CS71" i="113"/>
  <c r="CS142" i="113"/>
  <c r="EN39" i="6"/>
  <c r="EN59" i="6"/>
  <c r="FJ73" i="51"/>
  <c r="FJ71" i="51"/>
  <c r="FL107" i="1"/>
  <c r="FL50" i="1"/>
  <c r="FL71" i="1"/>
  <c r="FN99" i="1"/>
  <c r="FN42" i="1"/>
  <c r="DH80" i="1"/>
  <c r="DH101" i="1"/>
  <c r="DH44" i="1"/>
  <c r="FJ74" i="51"/>
  <c r="FJ75" i="51"/>
  <c r="FJ72" i="51"/>
  <c r="GX13" i="1"/>
  <c r="FN13" i="1"/>
  <c r="DI14" i="1"/>
  <c r="FJ77" i="51"/>
  <c r="FM11" i="3"/>
  <c r="AA305" i="119" s="1"/>
  <c r="GA11" i="3"/>
  <c r="DJ122" i="1" l="1"/>
  <c r="FN130" i="1" s="1"/>
  <c r="G9" i="115"/>
  <c r="H7" i="116"/>
  <c r="I7" i="116" s="1"/>
  <c r="C45" i="118"/>
  <c r="C56" i="118"/>
  <c r="C35" i="118"/>
  <c r="F112" i="118"/>
  <c r="F102" i="118"/>
  <c r="C103" i="118"/>
  <c r="C113" i="118"/>
  <c r="C69" i="118"/>
  <c r="C89" i="118"/>
  <c r="C79" i="118"/>
  <c r="H85" i="118"/>
  <c r="G87" i="118"/>
  <c r="AC13" i="119"/>
  <c r="C105" i="118"/>
  <c r="C115" i="118"/>
  <c r="U19" i="118"/>
  <c r="L87" i="118"/>
  <c r="CS72" i="113"/>
  <c r="FJ72" i="113" s="1"/>
  <c r="FJ71" i="113"/>
  <c r="CS13" i="113"/>
  <c r="CS146" i="113"/>
  <c r="FJ142" i="113"/>
  <c r="F8" i="116"/>
  <c r="FN43" i="1"/>
  <c r="GY43" i="1"/>
  <c r="GY100" i="1"/>
  <c r="FN100" i="1"/>
  <c r="GX100" i="1"/>
  <c r="GX43" i="1"/>
  <c r="DI101" i="1"/>
  <c r="DI122" i="1"/>
  <c r="FQ129" i="1" s="1"/>
  <c r="DI80" i="1"/>
  <c r="DI44" i="1"/>
  <c r="FN14" i="1"/>
  <c r="GX12" i="1"/>
  <c r="FM21" i="2"/>
  <c r="AA48" i="119" s="1"/>
  <c r="AA46" i="119" s="1"/>
  <c r="FO32" i="2"/>
  <c r="P10" i="115" l="1"/>
  <c r="U10" i="115"/>
  <c r="H8" i="116"/>
  <c r="I8" i="116" s="1"/>
  <c r="L112" i="118"/>
  <c r="U21" i="118"/>
  <c r="U37" i="118" s="1"/>
  <c r="V38" i="118" s="1"/>
  <c r="F9" i="116"/>
  <c r="H9" i="116" s="1"/>
  <c r="I9" i="116" s="1"/>
  <c r="D19" i="118"/>
  <c r="D34" i="118" s="1"/>
  <c r="U70" i="118"/>
  <c r="V71" i="118" s="1"/>
  <c r="G112" i="118"/>
  <c r="G102" i="118"/>
  <c r="I85" i="118"/>
  <c r="H87" i="118"/>
  <c r="C114" i="118"/>
  <c r="C104" i="118"/>
  <c r="C91" i="118"/>
  <c r="C71" i="118"/>
  <c r="C81" i="118"/>
  <c r="CS20" i="113"/>
  <c r="FJ144" i="113"/>
  <c r="FJ146" i="113"/>
  <c r="CS26" i="113"/>
  <c r="CS39" i="113"/>
  <c r="CS54" i="113"/>
  <c r="FJ13" i="113"/>
  <c r="GY42" i="1"/>
  <c r="GY99" i="1"/>
  <c r="DN101" i="1"/>
  <c r="DN44" i="1"/>
  <c r="GX99" i="1"/>
  <c r="GX42" i="1"/>
  <c r="FN101" i="1"/>
  <c r="FN44" i="1"/>
  <c r="DJ80" i="1"/>
  <c r="DJ101" i="1"/>
  <c r="DJ44" i="1"/>
  <c r="GX14" i="1"/>
  <c r="GC22" i="3"/>
  <c r="FO22" i="3"/>
  <c r="FM25" i="2"/>
  <c r="C106" i="118" l="1"/>
  <c r="C116" i="118"/>
  <c r="H112" i="118"/>
  <c r="H102" i="118"/>
  <c r="J85" i="118"/>
  <c r="I87" i="118"/>
  <c r="D105" i="118"/>
  <c r="D90" i="118" s="1"/>
  <c r="D70" i="118"/>
  <c r="D55" i="118" s="1"/>
  <c r="CS33" i="113"/>
  <c r="FJ39" i="113"/>
  <c r="FJ26" i="113"/>
  <c r="FJ20" i="113"/>
  <c r="CS46" i="113"/>
  <c r="CS61" i="113"/>
  <c r="CT75" i="51"/>
  <c r="CT143" i="113"/>
  <c r="GT143" i="113" s="1"/>
  <c r="GT145" i="113" s="1"/>
  <c r="DO101" i="1"/>
  <c r="DO44" i="1"/>
  <c r="GX101" i="1"/>
  <c r="GX44" i="1"/>
  <c r="DK101" i="1"/>
  <c r="DK80" i="1"/>
  <c r="DK44" i="1"/>
  <c r="CT71" i="51"/>
  <c r="FO12" i="1"/>
  <c r="CT72" i="51"/>
  <c r="CT74" i="51"/>
  <c r="CT76" i="51"/>
  <c r="CT77" i="51"/>
  <c r="CT73" i="51"/>
  <c r="AD15" i="119" l="1"/>
  <c r="I112" i="118"/>
  <c r="I102" i="118"/>
  <c r="D115" i="118"/>
  <c r="K85" i="118"/>
  <c r="K87" i="118" s="1"/>
  <c r="J87" i="118"/>
  <c r="FJ46" i="113"/>
  <c r="FJ33" i="113"/>
  <c r="CT71" i="113"/>
  <c r="CT142" i="113"/>
  <c r="FP99" i="1"/>
  <c r="J7" i="116"/>
  <c r="FO42" i="1"/>
  <c r="FP42" i="1"/>
  <c r="DL122" i="1"/>
  <c r="FP130" i="1" s="1"/>
  <c r="DP101" i="1"/>
  <c r="DP44" i="1"/>
  <c r="FO99" i="1"/>
  <c r="DL80" i="1"/>
  <c r="DL101" i="1"/>
  <c r="DL44" i="1"/>
  <c r="H9" i="115"/>
  <c r="FO13" i="1"/>
  <c r="E9" i="115" l="1"/>
  <c r="F9" i="115" s="1"/>
  <c r="P19" i="118"/>
  <c r="O19" i="118"/>
  <c r="L7" i="116"/>
  <c r="M7" i="116" s="1"/>
  <c r="AD13" i="119"/>
  <c r="K102" i="118"/>
  <c r="U80" i="118"/>
  <c r="V81" i="118" s="1"/>
  <c r="K112" i="118"/>
  <c r="J112" i="118"/>
  <c r="J102" i="118"/>
  <c r="GY14" i="1"/>
  <c r="GZ101" i="1" s="1"/>
  <c r="Q19" i="118"/>
  <c r="CT72" i="113"/>
  <c r="GT71" i="113"/>
  <c r="GT72" i="113" s="1"/>
  <c r="CT13" i="113"/>
  <c r="CT146" i="113"/>
  <c r="GT142" i="113"/>
  <c r="FP100" i="1"/>
  <c r="J8" i="116"/>
  <c r="FO43" i="1"/>
  <c r="FP43" i="1"/>
  <c r="DN80" i="1"/>
  <c r="DQ101" i="1"/>
  <c r="DQ44" i="1"/>
  <c r="FO100" i="1"/>
  <c r="DM101" i="1"/>
  <c r="DM122" i="1"/>
  <c r="FQ130" i="1" s="1"/>
  <c r="DM80" i="1"/>
  <c r="DM44" i="1"/>
  <c r="FO14" i="1"/>
  <c r="FP32" i="2"/>
  <c r="FP22" i="3"/>
  <c r="E19" i="118" l="1"/>
  <c r="E34" i="118" s="1"/>
  <c r="L19" i="118"/>
  <c r="L8" i="116"/>
  <c r="M8" i="116" s="1"/>
  <c r="GY101" i="1"/>
  <c r="GZ44" i="1"/>
  <c r="GY44" i="1"/>
  <c r="CT20" i="113"/>
  <c r="GD22" i="3"/>
  <c r="GT144" i="113"/>
  <c r="GT146" i="113"/>
  <c r="CT26" i="113"/>
  <c r="CT39" i="113"/>
  <c r="CT54" i="113"/>
  <c r="GT13" i="113"/>
  <c r="FP101" i="1"/>
  <c r="J9" i="116"/>
  <c r="FO44" i="1"/>
  <c r="FP44" i="1"/>
  <c r="FO101" i="1"/>
  <c r="F34" i="118" l="1"/>
  <c r="F70" i="118" s="1"/>
  <c r="E105" i="118"/>
  <c r="E90" i="118" s="1"/>
  <c r="E70" i="118"/>
  <c r="E55" i="118" s="1"/>
  <c r="CT33" i="113"/>
  <c r="GT39" i="113"/>
  <c r="GT26" i="113"/>
  <c r="CT61" i="113"/>
  <c r="CT46" i="113"/>
  <c r="GT20" i="113"/>
  <c r="CU77" i="51"/>
  <c r="CU143" i="113"/>
  <c r="CV145" i="113" s="1"/>
  <c r="L9" i="116"/>
  <c r="M9" i="116" s="1"/>
  <c r="CU73" i="51"/>
  <c r="CU72" i="51"/>
  <c r="CU74" i="51"/>
  <c r="CU75" i="51"/>
  <c r="CU71" i="51"/>
  <c r="CU76" i="51"/>
  <c r="F105" i="118" l="1"/>
  <c r="F90" i="118" s="1"/>
  <c r="F55" i="118"/>
  <c r="G55" i="118" s="1"/>
  <c r="H55" i="118" s="1"/>
  <c r="I55" i="118" s="1"/>
  <c r="J55" i="118" s="1"/>
  <c r="K55" i="118" s="1"/>
  <c r="E115" i="118"/>
  <c r="GT46" i="113"/>
  <c r="GT33" i="113"/>
  <c r="CU71" i="113"/>
  <c r="CU72" i="113" s="1"/>
  <c r="CU142" i="113"/>
  <c r="L55" i="118" l="1"/>
  <c r="L90" i="118"/>
  <c r="L115" i="118" s="1"/>
  <c r="G90" i="118"/>
  <c r="F115" i="118"/>
  <c r="CU13" i="113"/>
  <c r="CU146" i="113"/>
  <c r="H90" i="118" l="1"/>
  <c r="G115" i="118"/>
  <c r="CU20" i="113"/>
  <c r="CU26" i="113"/>
  <c r="CU39" i="113"/>
  <c r="CU54" i="113"/>
  <c r="I90" i="118" l="1"/>
  <c r="H115" i="118"/>
  <c r="CU33" i="113"/>
  <c r="CU61" i="113"/>
  <c r="CU46" i="113"/>
  <c r="CV143" i="113"/>
  <c r="FK145" i="113" s="1"/>
  <c r="CV72" i="51"/>
  <c r="CV74" i="51"/>
  <c r="CV75" i="51"/>
  <c r="CV76" i="51"/>
  <c r="CV71" i="51"/>
  <c r="CV77" i="51"/>
  <c r="CV73" i="51"/>
  <c r="J90" i="118" l="1"/>
  <c r="I115" i="118"/>
  <c r="CV71" i="113"/>
  <c r="CV72" i="113" s="1"/>
  <c r="CV142" i="113"/>
  <c r="K90" i="118" l="1"/>
  <c r="K115" i="118" s="1"/>
  <c r="J115" i="118"/>
  <c r="CV13" i="113"/>
  <c r="CV146" i="113"/>
  <c r="CV20" i="113" l="1"/>
  <c r="CV26" i="113"/>
  <c r="CV54" i="113"/>
  <c r="CV39" i="113"/>
  <c r="CV33" i="113" l="1"/>
  <c r="CV46" i="113"/>
  <c r="CV61" i="113"/>
  <c r="CW77" i="51"/>
  <c r="CW143" i="113"/>
  <c r="FK143" i="113" s="1"/>
  <c r="CW76" i="51"/>
  <c r="CW74" i="51"/>
  <c r="CW71" i="51"/>
  <c r="CW75" i="51"/>
  <c r="FK76" i="51"/>
  <c r="CW72" i="51"/>
  <c r="CW73" i="51"/>
  <c r="CW71" i="113" l="1"/>
  <c r="CW142" i="113"/>
  <c r="FK75" i="51"/>
  <c r="FK74" i="51"/>
  <c r="FK77" i="51"/>
  <c r="FK71" i="51"/>
  <c r="FK73" i="51"/>
  <c r="FK72" i="51"/>
  <c r="CW72" i="113" l="1"/>
  <c r="FK72" i="113" s="1"/>
  <c r="FK71" i="113"/>
  <c r="CW13" i="113"/>
  <c r="CW146" i="113"/>
  <c r="FK142" i="113"/>
  <c r="CW20" i="113" l="1"/>
  <c r="FK144" i="113"/>
  <c r="FK146" i="113"/>
  <c r="CW26" i="113"/>
  <c r="CW39" i="113"/>
  <c r="CW54" i="113"/>
  <c r="FK13" i="113"/>
  <c r="CW33" i="113" l="1"/>
  <c r="FK39" i="113"/>
  <c r="FK26" i="113"/>
  <c r="CW46" i="113"/>
  <c r="CW61" i="113"/>
  <c r="FK20" i="113"/>
  <c r="FK46" i="113" l="1"/>
  <c r="FK33" i="113"/>
  <c r="CX71" i="51" l="1"/>
  <c r="CX143" i="113"/>
  <c r="GU143" i="113" s="1"/>
  <c r="GU145" i="113" s="1"/>
  <c r="CX72" i="51"/>
  <c r="CX73" i="51"/>
  <c r="CX74" i="51"/>
  <c r="CX71" i="113" l="1"/>
  <c r="CX142" i="113"/>
  <c r="CX77" i="51"/>
  <c r="CX75" i="51"/>
  <c r="CX76" i="51"/>
  <c r="CX72" i="113" l="1"/>
  <c r="GU71" i="113"/>
  <c r="GU72" i="113" s="1"/>
  <c r="CX13" i="113"/>
  <c r="CX146" i="113"/>
  <c r="GU142" i="113"/>
  <c r="CX20" i="113" l="1"/>
  <c r="GU144" i="113"/>
  <c r="GU146" i="113"/>
  <c r="CX26" i="113"/>
  <c r="CX54" i="113"/>
  <c r="CX39" i="113"/>
  <c r="GU13" i="113"/>
  <c r="CY143" i="113"/>
  <c r="CX33" i="113" l="1"/>
  <c r="GU39" i="113"/>
  <c r="GU26" i="113"/>
  <c r="CX46" i="113"/>
  <c r="CX61" i="113"/>
  <c r="GU20" i="113"/>
  <c r="CY71" i="113"/>
  <c r="CY72" i="113" s="1"/>
  <c r="CY142" i="113"/>
  <c r="CY72" i="51"/>
  <c r="CY71" i="51"/>
  <c r="CY74" i="51"/>
  <c r="CY73" i="51"/>
  <c r="GU46" i="113" l="1"/>
  <c r="GU33" i="113"/>
  <c r="CY13" i="113"/>
  <c r="CY146" i="113"/>
  <c r="CY75" i="51"/>
  <c r="CY77" i="51"/>
  <c r="CY76" i="51"/>
  <c r="CY20" i="113" l="1"/>
  <c r="CY26" i="113"/>
  <c r="CY39" i="113"/>
  <c r="CY54" i="113"/>
  <c r="CY33" i="113" l="1"/>
  <c r="CY46" i="113"/>
  <c r="CY61" i="113"/>
  <c r="CZ143" i="113"/>
  <c r="CZ71" i="113" l="1"/>
  <c r="CZ72" i="113" s="1"/>
  <c r="CZ142" i="113"/>
  <c r="CZ71" i="51"/>
  <c r="CZ73" i="51"/>
  <c r="CZ72" i="51"/>
  <c r="CZ74" i="51"/>
  <c r="CZ13" i="113" l="1"/>
  <c r="CZ146" i="113"/>
  <c r="CZ75" i="51"/>
  <c r="CZ77" i="51"/>
  <c r="CZ76" i="51"/>
  <c r="CZ20" i="113" l="1"/>
  <c r="CZ26" i="113"/>
  <c r="CZ39" i="113"/>
  <c r="CZ54" i="113"/>
  <c r="CZ33" i="113" l="1"/>
  <c r="CZ61" i="113"/>
  <c r="CZ46" i="113"/>
  <c r="DA143" i="113"/>
  <c r="FL143" i="113" s="1"/>
  <c r="DA71" i="113" l="1"/>
  <c r="DA142" i="113"/>
  <c r="DA72" i="51"/>
  <c r="DA71" i="51"/>
  <c r="DA74" i="51"/>
  <c r="DA73" i="51"/>
  <c r="DA72" i="113" l="1"/>
  <c r="FL72" i="113" s="1"/>
  <c r="FL71" i="113"/>
  <c r="DA13" i="113"/>
  <c r="DA146" i="113"/>
  <c r="FL142" i="113"/>
  <c r="FL74" i="51"/>
  <c r="FL71" i="51"/>
  <c r="FL72" i="51"/>
  <c r="FL76" i="51"/>
  <c r="FL75" i="51"/>
  <c r="FL77" i="51"/>
  <c r="FL73" i="51"/>
  <c r="DA75" i="51"/>
  <c r="DA77" i="51"/>
  <c r="DA76" i="51"/>
  <c r="DA20" i="113" l="1"/>
  <c r="FL144" i="113"/>
  <c r="FL146" i="113"/>
  <c r="DA26" i="113"/>
  <c r="DA54" i="113"/>
  <c r="DA39" i="113"/>
  <c r="FL13" i="113"/>
  <c r="DA33" i="113" l="1"/>
  <c r="FL39" i="113"/>
  <c r="FL26" i="113"/>
  <c r="DA61" i="113"/>
  <c r="DA46" i="113"/>
  <c r="FL20" i="113"/>
  <c r="FL46" i="113" l="1"/>
  <c r="FL33" i="113"/>
  <c r="DB143" i="113" l="1"/>
  <c r="GV143" i="113" s="1"/>
  <c r="GV145" i="113" s="1"/>
  <c r="DB71" i="113" l="1"/>
  <c r="DB142" i="113"/>
  <c r="DB71" i="51"/>
  <c r="DB74" i="51"/>
  <c r="DB72" i="51"/>
  <c r="DB73" i="51"/>
  <c r="DB72" i="113" l="1"/>
  <c r="GV71" i="113"/>
  <c r="GV72" i="113" s="1"/>
  <c r="DB13" i="113"/>
  <c r="DB146" i="113"/>
  <c r="GV142" i="113"/>
  <c r="DC143" i="113"/>
  <c r="DB76" i="51"/>
  <c r="DB75" i="51"/>
  <c r="DB77" i="51"/>
  <c r="DB20" i="113" l="1"/>
  <c r="GV144" i="113"/>
  <c r="GV146" i="113"/>
  <c r="DB26" i="113"/>
  <c r="DC71" i="113"/>
  <c r="DC72" i="113" s="1"/>
  <c r="DC142" i="113"/>
  <c r="GV13" i="113"/>
  <c r="DB54" i="113"/>
  <c r="DB39" i="113"/>
  <c r="DC71" i="51"/>
  <c r="DC72" i="51"/>
  <c r="DC74" i="51"/>
  <c r="DC73" i="51"/>
  <c r="DD143" i="113"/>
  <c r="DB33" i="113" l="1"/>
  <c r="GV39" i="113"/>
  <c r="GV26" i="113"/>
  <c r="DD71" i="113"/>
  <c r="DD72" i="113" s="1"/>
  <c r="DD142" i="113"/>
  <c r="DC13" i="113"/>
  <c r="DC146" i="113"/>
  <c r="DB61" i="113"/>
  <c r="DB46" i="113"/>
  <c r="GV20" i="113"/>
  <c r="DC75" i="51"/>
  <c r="DC77" i="51"/>
  <c r="DC76" i="51"/>
  <c r="DD71" i="51"/>
  <c r="DD73" i="51"/>
  <c r="DD74" i="51"/>
  <c r="DD72" i="51"/>
  <c r="DC20" i="113" l="1"/>
  <c r="DC26" i="113"/>
  <c r="GV46" i="113"/>
  <c r="GV33" i="113"/>
  <c r="DE71" i="51"/>
  <c r="DC39" i="113"/>
  <c r="DC54" i="113"/>
  <c r="DD13" i="113"/>
  <c r="DD146" i="113"/>
  <c r="DE73" i="51"/>
  <c r="DE74" i="51"/>
  <c r="DE75" i="51"/>
  <c r="DE77" i="51"/>
  <c r="DE72" i="51"/>
  <c r="FM73" i="51"/>
  <c r="DD75" i="51"/>
  <c r="DD76" i="51"/>
  <c r="DD77" i="51"/>
  <c r="DD20" i="113" l="1"/>
  <c r="DD26" i="113"/>
  <c r="DC33" i="113"/>
  <c r="DC46" i="113"/>
  <c r="DC61" i="113"/>
  <c r="DD39" i="113"/>
  <c r="DD54" i="113"/>
  <c r="FM76" i="51"/>
  <c r="DE76" i="51"/>
  <c r="FM71" i="51"/>
  <c r="FM72" i="51"/>
  <c r="FM77" i="51"/>
  <c r="FM74" i="51"/>
  <c r="FM75" i="51"/>
  <c r="DD33" i="113" l="1"/>
  <c r="DD46" i="113"/>
  <c r="DD61" i="113"/>
  <c r="DI74" i="51" l="1"/>
  <c r="CX57" i="3" l="1"/>
  <c r="DR106" i="119" l="1"/>
  <c r="DR108" i="119"/>
  <c r="DR107" i="119"/>
  <c r="CX58" i="3"/>
  <c r="CX59" i="3" s="1"/>
  <c r="CY57" i="3" l="1"/>
  <c r="DS108" i="119" l="1"/>
  <c r="DS106" i="119"/>
  <c r="DS107" i="119"/>
  <c r="CY58" i="3"/>
  <c r="CY59" i="3" s="1"/>
  <c r="FL33" i="1" l="1"/>
  <c r="AA286" i="119" s="1"/>
  <c r="AA288" i="119" s="1"/>
  <c r="FL29" i="1" l="1"/>
  <c r="AA280" i="119" s="1"/>
  <c r="FL31" i="1"/>
  <c r="AA282" i="119" s="1"/>
  <c r="FL112" i="1"/>
  <c r="FL55" i="1"/>
  <c r="FL34" i="1"/>
  <c r="AA287" i="119" l="1"/>
  <c r="B25" i="118"/>
  <c r="FL110" i="1"/>
  <c r="FL53" i="1"/>
  <c r="FL30" i="1"/>
  <c r="FL32" i="1"/>
  <c r="FL108" i="1"/>
  <c r="FL51" i="1"/>
  <c r="FL113" i="1"/>
  <c r="FL56" i="1"/>
  <c r="GV34" i="1"/>
  <c r="GV33" i="1"/>
  <c r="FM41" i="3"/>
  <c r="FM64" i="3" l="1"/>
  <c r="AA281" i="119"/>
  <c r="AA260" i="119" s="1"/>
  <c r="AA283" i="119"/>
  <c r="B61" i="118"/>
  <c r="B96" i="118" s="1"/>
  <c r="B26" i="118"/>
  <c r="B62" i="118" s="1"/>
  <c r="B97" i="118" s="1"/>
  <c r="AA284" i="119"/>
  <c r="AA102" i="119"/>
  <c r="AC15" i="114"/>
  <c r="AC17" i="114" s="1"/>
  <c r="AC19" i="114"/>
  <c r="AC21" i="114" s="1"/>
  <c r="FL109" i="1"/>
  <c r="FL52" i="1"/>
  <c r="FL111" i="1"/>
  <c r="FL54" i="1"/>
  <c r="GV31" i="1"/>
  <c r="GV29" i="1"/>
  <c r="GV30" i="1"/>
  <c r="GV32" i="1"/>
  <c r="GV55" i="1"/>
  <c r="GV112" i="1"/>
  <c r="GV113" i="1"/>
  <c r="GV56" i="1"/>
  <c r="FM47" i="2"/>
  <c r="FM48" i="3"/>
  <c r="AC32" i="114" l="1"/>
  <c r="AC20" i="114"/>
  <c r="AC31" i="114"/>
  <c r="AC16" i="114"/>
  <c r="GV53" i="1"/>
  <c r="GV110" i="1"/>
  <c r="GV111" i="1"/>
  <c r="GV54" i="1"/>
  <c r="GV51" i="1"/>
  <c r="GV108" i="1"/>
  <c r="GV109" i="1"/>
  <c r="GV52" i="1"/>
  <c r="GA41" i="3"/>
  <c r="FM34" i="1"/>
  <c r="FM33" i="1"/>
  <c r="AB286" i="119" s="1"/>
  <c r="AB288" i="119" s="1"/>
  <c r="GA48" i="3"/>
  <c r="AB287" i="119" l="1"/>
  <c r="C25" i="118"/>
  <c r="B18" i="116"/>
  <c r="D18" i="116" s="1"/>
  <c r="E18" i="116" s="1"/>
  <c r="FM112" i="1"/>
  <c r="FM55" i="1"/>
  <c r="FM113" i="1"/>
  <c r="FM56" i="1"/>
  <c r="FN41" i="3"/>
  <c r="FN64" i="3" l="1"/>
  <c r="AB284" i="119"/>
  <c r="AB102" i="119"/>
  <c r="C37" i="118"/>
  <c r="C61" i="118"/>
  <c r="CZ27" i="2"/>
  <c r="DT55" i="119" s="1"/>
  <c r="CZ57" i="3"/>
  <c r="C96" i="118" l="1"/>
  <c r="C73" i="118"/>
  <c r="DT108" i="119"/>
  <c r="DT107" i="119"/>
  <c r="DT106" i="119"/>
  <c r="DU108" i="119"/>
  <c r="DU107" i="119"/>
  <c r="DU106" i="119"/>
  <c r="CZ58" i="3"/>
  <c r="CZ59" i="3" s="1"/>
  <c r="DA67" i="2"/>
  <c r="CZ67" i="2"/>
  <c r="CZ51" i="2"/>
  <c r="DT70" i="119" s="1"/>
  <c r="C108" i="118" l="1"/>
  <c r="FM11" i="2"/>
  <c r="FM57" i="3"/>
  <c r="CZ53" i="2"/>
  <c r="AA107" i="119" l="1"/>
  <c r="AA106" i="119"/>
  <c r="FM56" i="2"/>
  <c r="AA41" i="119"/>
  <c r="AA265" i="119" s="1"/>
  <c r="FM18" i="2"/>
  <c r="FM58" i="2" l="1"/>
  <c r="AA76" i="119" s="1"/>
  <c r="AA264" i="119" s="1"/>
  <c r="FM61" i="2"/>
  <c r="AA45" i="119"/>
  <c r="FM27" i="2"/>
  <c r="FM59" i="2" l="1"/>
  <c r="FM67" i="2"/>
  <c r="AA55" i="119"/>
  <c r="FM48" i="2"/>
  <c r="FM49" i="2" s="1"/>
  <c r="FM66" i="2" l="1"/>
  <c r="AA69" i="119"/>
  <c r="AA271" i="119" s="1"/>
  <c r="AA67" i="119"/>
  <c r="AA298" i="119" s="1"/>
  <c r="AA256" i="119" s="1"/>
  <c r="FM51" i="2"/>
  <c r="AA70" i="119" s="1"/>
  <c r="FM53" i="2" l="1"/>
  <c r="DA16" i="1" l="1"/>
  <c r="DU21" i="119" s="1"/>
  <c r="DU19" i="119" s="1"/>
  <c r="DA103" i="1" l="1"/>
  <c r="DA124" i="1"/>
  <c r="DB124" i="1"/>
  <c r="DA82" i="1"/>
  <c r="DB82" i="1"/>
  <c r="DA46" i="1"/>
  <c r="DA67" i="1"/>
  <c r="FL16" i="1"/>
  <c r="DA17" i="1"/>
  <c r="DA87" i="2"/>
  <c r="FM12" i="3"/>
  <c r="AA93" i="119" s="1"/>
  <c r="DU20" i="119" l="1"/>
  <c r="DU259" i="119" s="1"/>
  <c r="FL17" i="1"/>
  <c r="AA21" i="119"/>
  <c r="AA19" i="119" s="1"/>
  <c r="DU46" i="119"/>
  <c r="FM87" i="2"/>
  <c r="DA75" i="2"/>
  <c r="DA73" i="2"/>
  <c r="DA85" i="2"/>
  <c r="DA74" i="2"/>
  <c r="DA72" i="2"/>
  <c r="FL103" i="1"/>
  <c r="FL67" i="1"/>
  <c r="FL46" i="1"/>
  <c r="DA104" i="1"/>
  <c r="DA125" i="1"/>
  <c r="DB125" i="1"/>
  <c r="DA68" i="1"/>
  <c r="DA83" i="1"/>
  <c r="DB83" i="1"/>
  <c r="DA47" i="1"/>
  <c r="GA12" i="3"/>
  <c r="AA20" i="119" l="1"/>
  <c r="AA259" i="119" s="1"/>
  <c r="AC23" i="114"/>
  <c r="FM75" i="2"/>
  <c r="FM73" i="2"/>
  <c r="FM72" i="2"/>
  <c r="FM74" i="2"/>
  <c r="FL104" i="1"/>
  <c r="FL68" i="1"/>
  <c r="FL47" i="1"/>
  <c r="GV16" i="1"/>
  <c r="AC25" i="114" l="1"/>
  <c r="AC24" i="114"/>
  <c r="GV67" i="1"/>
  <c r="GV46" i="1"/>
  <c r="GV103" i="1"/>
  <c r="GV17" i="1"/>
  <c r="GV104" i="1" l="1"/>
  <c r="GV68" i="1"/>
  <c r="GV47" i="1"/>
  <c r="FM20" i="3" l="1"/>
  <c r="FM24" i="3" s="1"/>
  <c r="FM32" i="3"/>
  <c r="AA97" i="119" s="1"/>
  <c r="FM25" i="3" l="1"/>
  <c r="AA96" i="119" s="1"/>
  <c r="AA94" i="119"/>
  <c r="GA32" i="3"/>
  <c r="FM35" i="3"/>
  <c r="AA101" i="119" s="1"/>
  <c r="FM54" i="3" l="1"/>
  <c r="GA20" i="3"/>
  <c r="GA24" i="3"/>
  <c r="FM50" i="3"/>
  <c r="AA108" i="119" s="1"/>
  <c r="GA35" i="3"/>
  <c r="FM79" i="3" l="1"/>
  <c r="FM65" i="3"/>
  <c r="FM55" i="3"/>
  <c r="DB89" i="2"/>
  <c r="FM52" i="3"/>
  <c r="DC89" i="2"/>
  <c r="GA25" i="3"/>
  <c r="GA54" i="3" s="1"/>
  <c r="GA55" i="3" s="1"/>
  <c r="AC27" i="114" l="1"/>
  <c r="DB87" i="2"/>
  <c r="DV46" i="119" s="1"/>
  <c r="DC87" i="2"/>
  <c r="DW46" i="119" s="1"/>
  <c r="FN51" i="3"/>
  <c r="FM58" i="3"/>
  <c r="FM59" i="3" s="1"/>
  <c r="GA50" i="3"/>
  <c r="GA52" i="3" s="1"/>
  <c r="AC29" i="114" l="1"/>
  <c r="AC28" i="114"/>
  <c r="AC34" i="114"/>
  <c r="DE78" i="2"/>
  <c r="DE84" i="2" s="1"/>
  <c r="GB51" i="3" l="1"/>
  <c r="DD89" i="2"/>
  <c r="DE51" i="3" l="1"/>
  <c r="DD16" i="1"/>
  <c r="DX21" i="119" s="1"/>
  <c r="DX19" i="119" s="1"/>
  <c r="DD80" i="2"/>
  <c r="DD79" i="2"/>
  <c r="DD81" i="2" l="1"/>
  <c r="DD84" i="2"/>
  <c r="DD103" i="1"/>
  <c r="DD124" i="1"/>
  <c r="DD67" i="1"/>
  <c r="DD82" i="1"/>
  <c r="DD17" i="1"/>
  <c r="DX20" i="119" s="1"/>
  <c r="DX259" i="119" s="1"/>
  <c r="DD46" i="1"/>
  <c r="DD87" i="2"/>
  <c r="DX46" i="119" s="1"/>
  <c r="DD74" i="2" l="1"/>
  <c r="DD72" i="2"/>
  <c r="DD85" i="2"/>
  <c r="DD73" i="2"/>
  <c r="DD75" i="2"/>
  <c r="DD104" i="1"/>
  <c r="DD125" i="1"/>
  <c r="DD68" i="1"/>
  <c r="DD83" i="1"/>
  <c r="DD47" i="1"/>
  <c r="FN20" i="3"/>
  <c r="FN24" i="3" s="1"/>
  <c r="AB94" i="119" s="1"/>
  <c r="DE16" i="1" l="1"/>
  <c r="FN12" i="3"/>
  <c r="AB93" i="119" s="1"/>
  <c r="DE124" i="1" l="1"/>
  <c r="DY21" i="119"/>
  <c r="DY19" i="119" s="1"/>
  <c r="FN32" i="3"/>
  <c r="AB97" i="119" s="1"/>
  <c r="DE82" i="1"/>
  <c r="DE103" i="1"/>
  <c r="DE46" i="1"/>
  <c r="DE67" i="1"/>
  <c r="DE25" i="2"/>
  <c r="FN21" i="2"/>
  <c r="AB48" i="119" s="1"/>
  <c r="AB46" i="119" s="1"/>
  <c r="DE89" i="2"/>
  <c r="FN89" i="2" s="1"/>
  <c r="DE17" i="1"/>
  <c r="DY20" i="119" s="1"/>
  <c r="DY259" i="119" s="1"/>
  <c r="FM16" i="1"/>
  <c r="FM17" i="1" l="1"/>
  <c r="AB21" i="119"/>
  <c r="AB19" i="119" s="1"/>
  <c r="DE85" i="2"/>
  <c r="DE73" i="2"/>
  <c r="DE72" i="2"/>
  <c r="DE75" i="2"/>
  <c r="DE74" i="2"/>
  <c r="DE125" i="1"/>
  <c r="FN35" i="3"/>
  <c r="AB101" i="119" s="1"/>
  <c r="FM103" i="1"/>
  <c r="FM67" i="1"/>
  <c r="FM46" i="1"/>
  <c r="DE83" i="1"/>
  <c r="DE104" i="1"/>
  <c r="DE47" i="1"/>
  <c r="DE68" i="1"/>
  <c r="FN25" i="2"/>
  <c r="DE87" i="2"/>
  <c r="AB20" i="119" l="1"/>
  <c r="AB259" i="119" s="1"/>
  <c r="DY46" i="119"/>
  <c r="FN87" i="2"/>
  <c r="FN72" i="2"/>
  <c r="FN75" i="2"/>
  <c r="FN74" i="2"/>
  <c r="FN73" i="2"/>
  <c r="AD23" i="114"/>
  <c r="AD25" i="114" s="1"/>
  <c r="B20" i="116"/>
  <c r="FM104" i="1"/>
  <c r="FM68" i="1"/>
  <c r="FM47" i="1"/>
  <c r="AD24" i="114" l="1"/>
  <c r="D20" i="116"/>
  <c r="E20" i="116" s="1"/>
  <c r="DH65" i="51" l="1"/>
  <c r="DH74" i="51" s="1"/>
  <c r="DG65" i="51"/>
  <c r="DG74" i="51" s="1"/>
  <c r="DH23" i="51"/>
  <c r="DI34" i="51"/>
  <c r="FW116" i="51" s="1"/>
  <c r="DH34" i="51"/>
  <c r="FV116" i="51" s="1"/>
  <c r="DG23" i="51"/>
  <c r="M114" i="125" l="1"/>
  <c r="X114" i="125" s="1"/>
  <c r="E59" i="115"/>
  <c r="F59" i="115" s="1"/>
  <c r="H59" i="115"/>
  <c r="DF65" i="51"/>
  <c r="DF74" i="51" s="1"/>
  <c r="DG34" i="51"/>
  <c r="FU116" i="51" s="1"/>
  <c r="DS14" i="51"/>
  <c r="DK23" i="51"/>
  <c r="GX14" i="51"/>
  <c r="DF23" i="51"/>
  <c r="DF34" i="51"/>
  <c r="FT116" i="51" s="1"/>
  <c r="FN14" i="51"/>
  <c r="Y114" i="125" l="1"/>
  <c r="DJ65" i="51"/>
  <c r="DJ74" i="51" s="1"/>
  <c r="FN65" i="51"/>
  <c r="FN74" i="51" s="1"/>
  <c r="DW23" i="51"/>
  <c r="F25" i="116"/>
  <c r="DJ23" i="51"/>
  <c r="DJ34" i="51"/>
  <c r="FT117" i="51" s="1"/>
  <c r="GY14" i="51"/>
  <c r="FN23" i="51"/>
  <c r="GX23" i="51"/>
  <c r="DO23" i="51"/>
  <c r="DS23" i="51"/>
  <c r="DK34" i="51"/>
  <c r="FU117" i="51" s="1"/>
  <c r="AB11" i="115" l="1"/>
  <c r="AC11" i="115" s="1"/>
  <c r="H25" i="116"/>
  <c r="I25" i="116" s="1"/>
  <c r="DO34" i="51"/>
  <c r="FU118" i="51" s="1"/>
  <c r="DN34" i="51"/>
  <c r="FT118" i="51" s="1"/>
  <c r="GY23" i="51"/>
  <c r="BP86" i="113" l="1"/>
  <c r="BQ86" i="113" s="1"/>
  <c r="BR86" i="113" s="1"/>
  <c r="CP95" i="113" l="1"/>
  <c r="CH89" i="113"/>
  <c r="FH89" i="113" s="1"/>
  <c r="FH91" i="113" s="1"/>
  <c r="CF90" i="113"/>
  <c r="CE90" i="113" l="1"/>
  <c r="CF89" i="113" s="1"/>
  <c r="CF12" i="113" s="1"/>
  <c r="CJ25" i="113" s="1"/>
  <c r="CG89" i="113"/>
  <c r="CG12" i="113" s="1"/>
  <c r="CK25" i="113" s="1"/>
  <c r="CH12" i="113"/>
  <c r="FH12" i="113" l="1"/>
  <c r="CL25" i="113"/>
  <c r="CG53" i="113"/>
  <c r="CH53" i="113"/>
  <c r="CI53" i="113"/>
  <c r="CL38" i="113"/>
  <c r="CG38" i="113"/>
  <c r="CK38" i="113"/>
  <c r="CF38" i="113"/>
  <c r="CJ38" i="113"/>
  <c r="CH20" i="113"/>
  <c r="CG20" i="113"/>
  <c r="CF20" i="113"/>
  <c r="CD90" i="113"/>
  <c r="CE89" i="113" l="1"/>
  <c r="GQ89" i="113" s="1"/>
  <c r="GP90" i="113"/>
  <c r="FH20" i="113"/>
  <c r="CL33" i="113"/>
  <c r="CJ33" i="113"/>
  <c r="CK33" i="113"/>
  <c r="FI25" i="113"/>
  <c r="FI38" i="113"/>
  <c r="CH61" i="113"/>
  <c r="CI61" i="113"/>
  <c r="CG61" i="113"/>
  <c r="CJ46" i="113"/>
  <c r="CK46" i="113"/>
  <c r="CL46" i="113"/>
  <c r="CD89" i="113"/>
  <c r="GQ91" i="113" l="1"/>
  <c r="CE12" i="113"/>
  <c r="CI38" i="113" s="1"/>
  <c r="GP92" i="113"/>
  <c r="GQ92" i="113"/>
  <c r="FI33" i="113"/>
  <c r="FI46" i="113"/>
  <c r="FG89" i="113"/>
  <c r="FG91" i="113" s="1"/>
  <c r="GP89" i="113"/>
  <c r="CD12" i="113"/>
  <c r="CF53" i="113" l="1"/>
  <c r="CE38" i="113"/>
  <c r="CI25" i="113"/>
  <c r="GQ12" i="113"/>
  <c r="GR38" i="113" s="1"/>
  <c r="CE20" i="113"/>
  <c r="CI46" i="113" s="1"/>
  <c r="FG12" i="113"/>
  <c r="CH25" i="113"/>
  <c r="CD53" i="113"/>
  <c r="GP12" i="113"/>
  <c r="CE53" i="113"/>
  <c r="CD38" i="113"/>
  <c r="CH38" i="113"/>
  <c r="CD20" i="113"/>
  <c r="GQ38" i="113" l="1"/>
  <c r="GR25" i="113"/>
  <c r="CF61" i="113"/>
  <c r="CI33" i="113"/>
  <c r="GQ20" i="113"/>
  <c r="GR46" i="113" s="1"/>
  <c r="GQ25" i="113"/>
  <c r="FH38" i="113"/>
  <c r="FH25" i="113"/>
  <c r="FG20" i="113"/>
  <c r="CH33" i="113"/>
  <c r="CE61" i="113"/>
  <c r="CH46" i="113"/>
  <c r="CC11" i="113"/>
  <c r="CA11" i="113"/>
  <c r="CB11" i="113"/>
  <c r="BZ11" i="113"/>
  <c r="CD180" i="113"/>
  <c r="CH180" i="113" s="1"/>
  <c r="GR33" i="113" l="1"/>
  <c r="FH46" i="113"/>
  <c r="CE24" i="113"/>
  <c r="CG24" i="113"/>
  <c r="FH33" i="113"/>
  <c r="CD24" i="113"/>
  <c r="BX11" i="113"/>
  <c r="BX85" i="113" s="1"/>
  <c r="BX172" i="113" s="1"/>
  <c r="CF24" i="113"/>
  <c r="FF11" i="113"/>
  <c r="BW11" i="113"/>
  <c r="GP11" i="113"/>
  <c r="BZ75" i="113"/>
  <c r="CB85" i="113"/>
  <c r="CB52" i="113"/>
  <c r="CA85" i="113"/>
  <c r="CA52" i="113"/>
  <c r="CC85" i="113"/>
  <c r="CD52" i="113"/>
  <c r="CC52" i="113"/>
  <c r="BZ20" i="113"/>
  <c r="CB75" i="113"/>
  <c r="CC20" i="113"/>
  <c r="CA75" i="113"/>
  <c r="CH183" i="113"/>
  <c r="CB20" i="113"/>
  <c r="BY11" i="113"/>
  <c r="CC24" i="113" s="1"/>
  <c r="BZ85" i="113"/>
  <c r="CC75" i="113"/>
  <c r="CD183" i="113"/>
  <c r="CA20" i="113"/>
  <c r="BX75" i="113" l="1"/>
  <c r="BX20" i="113"/>
  <c r="CB33" i="113" s="1"/>
  <c r="CB24" i="113"/>
  <c r="CE33" i="113"/>
  <c r="FG37" i="113"/>
  <c r="FG24" i="113"/>
  <c r="BY52" i="113"/>
  <c r="CG33" i="113"/>
  <c r="GQ24" i="113"/>
  <c r="CD33" i="113"/>
  <c r="CF33" i="113"/>
  <c r="BW20" i="113"/>
  <c r="CA33" i="113" s="1"/>
  <c r="CA24" i="113"/>
  <c r="CB77" i="113"/>
  <c r="CF78" i="113" s="1"/>
  <c r="CC182" i="113"/>
  <c r="CC176" i="113" s="1"/>
  <c r="BX52" i="113"/>
  <c r="GP75" i="113"/>
  <c r="BW85" i="113"/>
  <c r="BW172" i="113" s="1"/>
  <c r="BW171" i="113" s="1"/>
  <c r="BW192" i="113" s="1"/>
  <c r="FF75" i="113"/>
  <c r="FF20" i="113"/>
  <c r="GQ37" i="113"/>
  <c r="BX77" i="113"/>
  <c r="CN80" i="113" s="1"/>
  <c r="CA182" i="113"/>
  <c r="CA176" i="113" s="1"/>
  <c r="GP85" i="113"/>
  <c r="FF85" i="113"/>
  <c r="GO11" i="113"/>
  <c r="GP37" i="113" s="1"/>
  <c r="BW75" i="113"/>
  <c r="BX180" i="113"/>
  <c r="CB180" i="113" s="1"/>
  <c r="CA61" i="113"/>
  <c r="GP20" i="113"/>
  <c r="CB61" i="113"/>
  <c r="BZ52" i="113"/>
  <c r="CB182" i="113"/>
  <c r="CB176" i="113" s="1"/>
  <c r="CC77" i="113"/>
  <c r="CG78" i="113" s="1"/>
  <c r="CA77" i="113"/>
  <c r="CC61" i="113"/>
  <c r="CD61" i="113"/>
  <c r="CD46" i="113"/>
  <c r="CE46" i="113"/>
  <c r="CF46" i="113"/>
  <c r="CG46" i="113"/>
  <c r="BX171" i="113"/>
  <c r="BX192" i="113" s="1"/>
  <c r="BY85" i="113"/>
  <c r="BY75" i="113"/>
  <c r="BY20" i="113"/>
  <c r="BZ61" i="113" s="1"/>
  <c r="BU11" i="113"/>
  <c r="BU24" i="113" s="1"/>
  <c r="BZ182" i="113"/>
  <c r="BZ176" i="113" s="1"/>
  <c r="BZ77" i="113"/>
  <c r="BX76" i="113" l="1"/>
  <c r="CB46" i="113"/>
  <c r="CB76" i="113"/>
  <c r="GP24" i="113"/>
  <c r="CC33" i="113"/>
  <c r="CA46" i="113"/>
  <c r="BX61" i="113"/>
  <c r="FG33" i="113"/>
  <c r="BY24" i="113"/>
  <c r="GQ33" i="113"/>
  <c r="BW180" i="113"/>
  <c r="CA180" i="113" s="1"/>
  <c r="CB181" i="113" s="1"/>
  <c r="CR80" i="113"/>
  <c r="GO85" i="113"/>
  <c r="CB78" i="113"/>
  <c r="BW77" i="113"/>
  <c r="CA78" i="113" s="1"/>
  <c r="FF77" i="113"/>
  <c r="CB79" i="113"/>
  <c r="GP77" i="113"/>
  <c r="GP76" i="113" s="1"/>
  <c r="FG46" i="113"/>
  <c r="GO20" i="113"/>
  <c r="GP46" i="113" s="1"/>
  <c r="GP182" i="113"/>
  <c r="GO75" i="113"/>
  <c r="CE78" i="113"/>
  <c r="GQ46" i="113"/>
  <c r="BX183" i="113"/>
  <c r="CA79" i="113"/>
  <c r="CD79" i="113"/>
  <c r="CS80" i="113"/>
  <c r="CC79" i="113"/>
  <c r="CC76" i="113"/>
  <c r="CA76" i="113"/>
  <c r="CQ80" i="113"/>
  <c r="CC46" i="113"/>
  <c r="BY61" i="113"/>
  <c r="GO182" i="113"/>
  <c r="FF182" i="113"/>
  <c r="BU85" i="113"/>
  <c r="BT11" i="113"/>
  <c r="BU75" i="113"/>
  <c r="BV11" i="113"/>
  <c r="BY77" i="113"/>
  <c r="BY172" i="113"/>
  <c r="CP80" i="113"/>
  <c r="CD78" i="113"/>
  <c r="BZ76" i="113"/>
  <c r="CB183" i="113"/>
  <c r="CF180" i="113"/>
  <c r="CA183" i="113" l="1"/>
  <c r="CA181" i="113"/>
  <c r="BX181" i="113"/>
  <c r="FF76" i="113"/>
  <c r="FG78" i="113"/>
  <c r="CE180" i="113"/>
  <c r="CI180" i="113" s="1"/>
  <c r="FE11" i="113"/>
  <c r="BV24" i="113"/>
  <c r="BZ24" i="113"/>
  <c r="GP33" i="113"/>
  <c r="BT24" i="113"/>
  <c r="BX24" i="113"/>
  <c r="BW183" i="113"/>
  <c r="GO77" i="113"/>
  <c r="GO76" i="113" s="1"/>
  <c r="CM80" i="113"/>
  <c r="BX79" i="113"/>
  <c r="BW76" i="113"/>
  <c r="BV52" i="113"/>
  <c r="BW52" i="113"/>
  <c r="CO80" i="113"/>
  <c r="BY79" i="113"/>
  <c r="CC78" i="113"/>
  <c r="BZ79" i="113"/>
  <c r="CB193" i="113"/>
  <c r="BX195" i="113"/>
  <c r="BX194" i="113"/>
  <c r="BX185" i="113"/>
  <c r="BY76" i="113"/>
  <c r="BV20" i="113"/>
  <c r="BV75" i="113"/>
  <c r="FE75" i="113" s="1"/>
  <c r="BV85" i="113"/>
  <c r="FE85" i="113" s="1"/>
  <c r="CF183" i="113"/>
  <c r="BS11" i="113"/>
  <c r="BW24" i="113" s="1"/>
  <c r="BT85" i="113"/>
  <c r="BT75" i="113"/>
  <c r="BY171" i="113"/>
  <c r="BY192" i="113" s="1"/>
  <c r="GO172" i="113"/>
  <c r="BU180" i="113"/>
  <c r="BU77" i="113"/>
  <c r="CA193" i="113"/>
  <c r="BW185" i="113"/>
  <c r="BW195" i="113"/>
  <c r="CF181" i="113" l="1"/>
  <c r="CE183" i="113"/>
  <c r="CE181" i="113"/>
  <c r="FE20" i="113"/>
  <c r="BZ33" i="113"/>
  <c r="FF37" i="113"/>
  <c r="FF24" i="113"/>
  <c r="BW188" i="113"/>
  <c r="CA189" i="113" s="1"/>
  <c r="CA186" i="113"/>
  <c r="BX188" i="113"/>
  <c r="CB189" i="113" s="1"/>
  <c r="BX187" i="113"/>
  <c r="CB186" i="113"/>
  <c r="BW61" i="113"/>
  <c r="BZ46" i="113"/>
  <c r="BV61" i="113"/>
  <c r="CI181" i="113"/>
  <c r="CI183" i="113"/>
  <c r="CK80" i="113"/>
  <c r="BU78" i="113"/>
  <c r="BU76" i="113"/>
  <c r="BU37" i="113"/>
  <c r="BU183" i="113"/>
  <c r="BY180" i="113"/>
  <c r="BY78" i="113"/>
  <c r="BT180" i="113"/>
  <c r="BT77" i="113"/>
  <c r="BU79" i="113" s="1"/>
  <c r="GO171" i="113"/>
  <c r="BS75" i="113"/>
  <c r="BS85" i="113"/>
  <c r="BV180" i="113"/>
  <c r="BV172" i="113"/>
  <c r="BV77" i="113"/>
  <c r="FE77" i="113" s="1"/>
  <c r="FE76" i="113" l="1"/>
  <c r="FF78" i="113"/>
  <c r="FF46" i="113"/>
  <c r="FF33" i="113"/>
  <c r="BX190" i="113"/>
  <c r="BT76" i="113"/>
  <c r="GN75" i="113"/>
  <c r="FD75" i="113"/>
  <c r="GN85" i="113"/>
  <c r="GN86" i="113" s="1"/>
  <c r="GO86" i="113" s="1"/>
  <c r="GP86" i="113" s="1"/>
  <c r="GQ86" i="113" s="1"/>
  <c r="GR86" i="113" s="1"/>
  <c r="GS86" i="113" s="1"/>
  <c r="GT86" i="113" s="1"/>
  <c r="GU86" i="113" s="1"/>
  <c r="GV86" i="113" s="1"/>
  <c r="GW86" i="113" s="1"/>
  <c r="GX86" i="113" s="1"/>
  <c r="GY86" i="113" s="1"/>
  <c r="FD85" i="113"/>
  <c r="FD86" i="113" s="1"/>
  <c r="FE86" i="113" s="1"/>
  <c r="FF86" i="113" s="1"/>
  <c r="FG86" i="113" s="1"/>
  <c r="FH86" i="113" s="1"/>
  <c r="FI86" i="113" s="1"/>
  <c r="FJ86" i="113" s="1"/>
  <c r="FK86" i="113" s="1"/>
  <c r="FL86" i="113" s="1"/>
  <c r="FM86" i="113" s="1"/>
  <c r="FN86" i="113" s="1"/>
  <c r="FO86" i="113" s="1"/>
  <c r="BT37" i="113"/>
  <c r="BT183" i="113"/>
  <c r="BX37" i="113"/>
  <c r="CC180" i="113"/>
  <c r="BY183" i="113"/>
  <c r="BZ181" i="113"/>
  <c r="BY181" i="113"/>
  <c r="GO180" i="113"/>
  <c r="CL80" i="113"/>
  <c r="BV78" i="113"/>
  <c r="BV79" i="113"/>
  <c r="BW79" i="113"/>
  <c r="BZ78" i="113"/>
  <c r="BU181" i="113"/>
  <c r="FE172" i="113"/>
  <c r="BV171" i="113"/>
  <c r="BV192" i="113" s="1"/>
  <c r="BZ37" i="113"/>
  <c r="BV37" i="113"/>
  <c r="BV181" i="113"/>
  <c r="FE180" i="113"/>
  <c r="BV183" i="113"/>
  <c r="BW181" i="113"/>
  <c r="BY194" i="113"/>
  <c r="BY185" i="113"/>
  <c r="BY195" i="113"/>
  <c r="BZ194" i="113"/>
  <c r="CC193" i="113"/>
  <c r="GO192" i="113"/>
  <c r="GP193" i="113" s="1"/>
  <c r="BS86" i="113"/>
  <c r="BT86" i="113" s="1"/>
  <c r="BU86" i="113" s="1"/>
  <c r="BV86" i="113" s="1"/>
  <c r="BW86" i="113" s="1"/>
  <c r="BX86" i="113" s="1"/>
  <c r="BY86" i="113" s="1"/>
  <c r="BS180" i="113"/>
  <c r="BT181" i="113" s="1"/>
  <c r="BS77" i="113"/>
  <c r="BT79" i="113" s="1"/>
  <c r="CJ80" i="113"/>
  <c r="BT78" i="113"/>
  <c r="BX78" i="113"/>
  <c r="BV76" i="113"/>
  <c r="BY188" i="113" l="1"/>
  <c r="CC189" i="113" s="1"/>
  <c r="BY187" i="113"/>
  <c r="BZ187" i="113"/>
  <c r="CC186" i="113"/>
  <c r="BS76" i="113"/>
  <c r="GN77" i="113"/>
  <c r="GN76" i="113" s="1"/>
  <c r="FD77" i="113"/>
  <c r="BZ86" i="113"/>
  <c r="GO183" i="113"/>
  <c r="CC181" i="113"/>
  <c r="CC183" i="113"/>
  <c r="CG180" i="113"/>
  <c r="CD181" i="113"/>
  <c r="GP180" i="113"/>
  <c r="FF180" i="113"/>
  <c r="FE183" i="113"/>
  <c r="FE171" i="113"/>
  <c r="BS79" i="113"/>
  <c r="CI80" i="113"/>
  <c r="BW78" i="113"/>
  <c r="BS183" i="113"/>
  <c r="BS181" i="113"/>
  <c r="BW37" i="113"/>
  <c r="GO185" i="113"/>
  <c r="FD76" i="113" l="1"/>
  <c r="FD78" i="113"/>
  <c r="FE78" i="113"/>
  <c r="GO188" i="113"/>
  <c r="GP186" i="113"/>
  <c r="BY190" i="113"/>
  <c r="BZ190" i="113"/>
  <c r="BZ193" i="113"/>
  <c r="FE192" i="113"/>
  <c r="FF193" i="113" s="1"/>
  <c r="BV185" i="113"/>
  <c r="BV195" i="113"/>
  <c r="BW194" i="113"/>
  <c r="CG181" i="113"/>
  <c r="CH181" i="113"/>
  <c r="GQ180" i="113"/>
  <c r="FG180" i="113"/>
  <c r="GP183" i="113"/>
  <c r="FF183" i="113"/>
  <c r="CA86" i="113"/>
  <c r="CB86" i="113" s="1"/>
  <c r="CC86" i="113" s="1"/>
  <c r="BV188" i="113" l="1"/>
  <c r="BZ189" i="113" s="1"/>
  <c r="BZ186" i="113"/>
  <c r="BW187" i="113"/>
  <c r="CD86" i="113"/>
  <c r="FE185" i="113"/>
  <c r="FE188" i="113" l="1"/>
  <c r="FF186" i="113"/>
  <c r="BW190" i="113"/>
  <c r="CE86" i="113"/>
  <c r="CF86" i="113" s="1"/>
  <c r="CG86" i="113" s="1"/>
  <c r="CH86" i="113" l="1"/>
  <c r="CI86" i="113" l="1"/>
  <c r="CJ86" i="113" s="1"/>
  <c r="CK86" i="113" s="1"/>
  <c r="CL86" i="113" s="1"/>
  <c r="CM86" i="113" s="1"/>
  <c r="CN86" i="113" s="1"/>
  <c r="CO86" i="113" s="1"/>
  <c r="CP86" i="113" s="1"/>
  <c r="CQ86" i="113" s="1"/>
  <c r="CR86" i="113" s="1"/>
  <c r="CS86" i="113" s="1"/>
  <c r="CT86" i="113" s="1"/>
  <c r="CU86" i="113" s="1"/>
  <c r="CV86" i="113" s="1"/>
  <c r="CW86" i="113" s="1"/>
  <c r="CX86" i="113" s="1"/>
  <c r="CY86" i="113" s="1"/>
  <c r="CZ86" i="113" s="1"/>
  <c r="DA86" i="113" s="1"/>
  <c r="DB86" i="113" s="1"/>
  <c r="DC86" i="113" s="1"/>
  <c r="DD86" i="113" s="1"/>
  <c r="DE86" i="113" s="1"/>
  <c r="DF86" i="113" s="1"/>
  <c r="DG86" i="113" s="1"/>
  <c r="DH86" i="113" s="1"/>
  <c r="DI86" i="113" s="1"/>
  <c r="DJ86" i="113" s="1"/>
  <c r="DK86" i="113" s="1"/>
  <c r="DL86" i="113" s="1"/>
  <c r="DM86" i="113" s="1"/>
  <c r="DN86" i="113" s="1"/>
  <c r="GA44" i="3" l="1"/>
  <c r="CP209" i="92"/>
  <c r="CO209" i="92"/>
  <c r="DD103" i="92"/>
  <c r="CP211" i="92"/>
  <c r="CQ209" i="92"/>
  <c r="CO211" i="92"/>
  <c r="CP102" i="92" l="1"/>
  <c r="CP103" i="92" s="1"/>
  <c r="CO102" i="92"/>
  <c r="CO103" i="92" s="1"/>
  <c r="CQ102" i="92"/>
  <c r="CQ103" i="92" s="1"/>
  <c r="CQ118" i="92"/>
  <c r="CQ211" i="92"/>
  <c r="CP118" i="92"/>
  <c r="DB103" i="92"/>
  <c r="CS53" i="92" l="1"/>
  <c r="CR209" i="92"/>
  <c r="CR102" i="92" l="1"/>
  <c r="CR103" i="92" s="1"/>
  <c r="CR211" i="92"/>
  <c r="CR118" i="92"/>
  <c r="CS111" i="92"/>
  <c r="CS109" i="92" s="1"/>
  <c r="CT53" i="92"/>
  <c r="CS24" i="92" l="1"/>
  <c r="CS116" i="92"/>
  <c r="CT111" i="92"/>
  <c r="CT109" i="92" s="1"/>
  <c r="CU53" i="92"/>
  <c r="CT24" i="92" l="1"/>
  <c r="CT116" i="92"/>
  <c r="CS97" i="92"/>
  <c r="CS207" i="92"/>
  <c r="CS209" i="92" s="1"/>
  <c r="CU111" i="92"/>
  <c r="CU109" i="92" s="1"/>
  <c r="CU24" i="92" l="1"/>
  <c r="CU116" i="92"/>
  <c r="CS118" i="92"/>
  <c r="CS102" i="92"/>
  <c r="CS103" i="92" s="1"/>
  <c r="CS211" i="92"/>
  <c r="CT97" i="92"/>
  <c r="CT207" i="92"/>
  <c r="CT209" i="92" s="1"/>
  <c r="CT118" i="92" l="1"/>
  <c r="CT102" i="92"/>
  <c r="CT103" i="92" s="1"/>
  <c r="CT211" i="92"/>
  <c r="CV24" i="92"/>
  <c r="CU207" i="92"/>
  <c r="CU209" i="92" s="1"/>
  <c r="CU97" i="92"/>
  <c r="CU118" i="92" l="1"/>
  <c r="CU102" i="92"/>
  <c r="CU103" i="92" s="1"/>
  <c r="CU211" i="92"/>
  <c r="CW24" i="92"/>
  <c r="CV26" i="92"/>
  <c r="CV97" i="92" s="1"/>
  <c r="CV207" i="92" l="1"/>
  <c r="CV209" i="92" s="1"/>
  <c r="CV102" i="92"/>
  <c r="CV103" i="92" s="1"/>
  <c r="CV211" i="92"/>
  <c r="CV118" i="92"/>
  <c r="CX24" i="92"/>
  <c r="CW26" i="92"/>
  <c r="CW97" i="92" s="1"/>
  <c r="CW207" i="92" l="1"/>
  <c r="CW209" i="92" s="1"/>
  <c r="CW211" i="92"/>
  <c r="CW118" i="92"/>
  <c r="CW102" i="92"/>
  <c r="CW103" i="92" s="1"/>
  <c r="CY24" i="92"/>
  <c r="CX26" i="92"/>
  <c r="CX97" i="92" s="1"/>
  <c r="CX207" i="92" l="1"/>
  <c r="CX209" i="92" s="1"/>
  <c r="CZ24" i="92"/>
  <c r="CY26" i="92"/>
  <c r="CZ26" i="92" s="1"/>
  <c r="DA26" i="92" s="1"/>
  <c r="DB26" i="92" s="1"/>
  <c r="DC26" i="92" s="1"/>
  <c r="DD26" i="92" s="1"/>
  <c r="DE26" i="92" s="1"/>
  <c r="DF26" i="92" s="1"/>
  <c r="DG26" i="92" s="1"/>
  <c r="DH26" i="92" s="1"/>
  <c r="DI26" i="92" s="1"/>
  <c r="DJ26" i="92" s="1"/>
  <c r="DK26" i="92" s="1"/>
  <c r="DL26" i="92" s="1"/>
  <c r="DM26" i="92" s="1"/>
  <c r="DN26" i="92" s="1"/>
  <c r="DO26" i="92" s="1"/>
  <c r="DP26" i="92" s="1"/>
  <c r="DQ26" i="92" s="1"/>
  <c r="DR26" i="92" s="1"/>
  <c r="DS26" i="92" s="1"/>
  <c r="DT26" i="92" s="1"/>
  <c r="DU26" i="92" s="1"/>
  <c r="DV26" i="92" s="1"/>
  <c r="DW26" i="92" s="1"/>
  <c r="DX26" i="92" s="1"/>
  <c r="DY26" i="92" s="1"/>
  <c r="DZ26" i="92" s="1"/>
  <c r="EA26" i="92" s="1"/>
  <c r="EB26" i="92" s="1"/>
  <c r="EC26" i="92" s="1"/>
  <c r="ED26" i="92" s="1"/>
  <c r="EE26" i="92" s="1"/>
  <c r="EF26" i="92" s="1"/>
  <c r="EG26" i="92" s="1"/>
  <c r="EH26" i="92" s="1"/>
  <c r="EI26" i="92" s="1"/>
  <c r="EJ26" i="92" s="1"/>
  <c r="EK26" i="92" s="1"/>
  <c r="CX102" i="92"/>
  <c r="CX103" i="92" s="1"/>
  <c r="CX211" i="92"/>
  <c r="CX118" i="92"/>
  <c r="CY97" i="92" l="1"/>
  <c r="CY207" i="92"/>
  <c r="CY209" i="92" s="1"/>
  <c r="DA24" i="92"/>
  <c r="CZ109" i="92"/>
  <c r="CZ207" i="92"/>
  <c r="CZ209" i="92" s="1"/>
  <c r="CZ115" i="92" l="1"/>
  <c r="CZ96" i="92" s="1"/>
  <c r="CZ97" i="92" s="1"/>
  <c r="DB24" i="92"/>
  <c r="DA109" i="92"/>
  <c r="DA207" i="92"/>
  <c r="DA209" i="92" s="1"/>
  <c r="CY102" i="92"/>
  <c r="CY103" i="92" s="1"/>
  <c r="CY118" i="92"/>
  <c r="CY211" i="92"/>
  <c r="CZ116" i="92" l="1"/>
  <c r="DA115" i="92"/>
  <c r="DA96" i="92" s="1"/>
  <c r="DC24" i="92"/>
  <c r="DB109" i="92"/>
  <c r="DB207" i="92"/>
  <c r="DB209" i="92" s="1"/>
  <c r="CZ102" i="92"/>
  <c r="CZ103" i="92" s="1"/>
  <c r="CZ211" i="92"/>
  <c r="CZ118" i="92"/>
  <c r="DD24" i="92" l="1"/>
  <c r="DC109" i="92"/>
  <c r="DC207" i="92"/>
  <c r="DC209" i="92" s="1"/>
  <c r="DB96" i="92"/>
  <c r="DA97" i="92"/>
  <c r="DA116" i="92"/>
  <c r="DC96" i="92" l="1"/>
  <c r="DB115" i="92"/>
  <c r="DB116" i="92" s="1"/>
  <c r="DB97" i="92"/>
  <c r="DE24" i="92"/>
  <c r="DD109" i="92"/>
  <c r="DD207" i="92"/>
  <c r="DD209" i="92" s="1"/>
  <c r="DA211" i="92"/>
  <c r="DA102" i="92"/>
  <c r="DA103" i="92" s="1"/>
  <c r="DA118" i="92"/>
  <c r="DF24" i="92" l="1"/>
  <c r="DF207" i="92" s="1"/>
  <c r="DF209" i="92" s="1"/>
  <c r="DE109" i="92"/>
  <c r="DE115" i="92" s="1"/>
  <c r="DE96" i="92" s="1"/>
  <c r="DE207" i="92"/>
  <c r="DE209" i="92" s="1"/>
  <c r="DB118" i="92"/>
  <c r="DB99" i="92"/>
  <c r="DB211" i="92"/>
  <c r="DD96" i="92"/>
  <c r="DC115" i="92"/>
  <c r="DC116" i="92" s="1"/>
  <c r="DC97" i="92"/>
  <c r="DC118" i="92" l="1"/>
  <c r="DC99" i="92"/>
  <c r="DC211" i="92"/>
  <c r="DD115" i="92"/>
  <c r="DD116" i="92" s="1"/>
  <c r="DD97" i="92"/>
  <c r="DG24" i="92"/>
  <c r="DG207" i="92" s="1"/>
  <c r="DF109" i="92"/>
  <c r="DZ25" i="119" l="1"/>
  <c r="FM22" i="1"/>
  <c r="AB25" i="119" s="1"/>
  <c r="DH24" i="92"/>
  <c r="DH207" i="92" s="1"/>
  <c r="DH209" i="92" s="1"/>
  <c r="DG109" i="92"/>
  <c r="DD118" i="92"/>
  <c r="DD99" i="92"/>
  <c r="DD211" i="92"/>
  <c r="DF96" i="92"/>
  <c r="DE116" i="92"/>
  <c r="DE97" i="92"/>
  <c r="DE99" i="92" s="1"/>
  <c r="DE23" i="1" l="1"/>
  <c r="DG96" i="92"/>
  <c r="DF115" i="92"/>
  <c r="DF116" i="92" s="1"/>
  <c r="DF97" i="92"/>
  <c r="DF99" i="92" s="1"/>
  <c r="DI24" i="92"/>
  <c r="DH109" i="92"/>
  <c r="GW22" i="1"/>
  <c r="DE118" i="92"/>
  <c r="DE211" i="92"/>
  <c r="DY30" i="119" l="1"/>
  <c r="DY269" i="119" s="1"/>
  <c r="DE25" i="1"/>
  <c r="DY290" i="119" s="1"/>
  <c r="DE48" i="3"/>
  <c r="FN44" i="3"/>
  <c r="AB104" i="119" s="1"/>
  <c r="DE48" i="1"/>
  <c r="DE69" i="1"/>
  <c r="DE105" i="1"/>
  <c r="DE126" i="1"/>
  <c r="DE84" i="1"/>
  <c r="DH96" i="92"/>
  <c r="DG115" i="92"/>
  <c r="DG116" i="92" s="1"/>
  <c r="DG97" i="92"/>
  <c r="DG99" i="92" s="1"/>
  <c r="DJ24" i="92"/>
  <c r="DI109" i="92"/>
  <c r="DI207" i="92"/>
  <c r="DI209" i="92" s="1"/>
  <c r="DF118" i="92"/>
  <c r="GB44" i="3" s="1"/>
  <c r="DF211" i="92"/>
  <c r="DE26" i="1" l="1"/>
  <c r="FM24" i="1"/>
  <c r="DG118" i="92"/>
  <c r="FN38" i="2"/>
  <c r="DE57" i="2"/>
  <c r="DI96" i="92"/>
  <c r="DH115" i="92"/>
  <c r="DH116" i="92" s="1"/>
  <c r="DH97" i="92"/>
  <c r="DH99" i="92" s="1"/>
  <c r="DK24" i="92"/>
  <c r="DJ109" i="92"/>
  <c r="DJ207" i="92"/>
  <c r="FN48" i="3"/>
  <c r="B13" i="116" l="1"/>
  <c r="D13" i="116" s="1"/>
  <c r="E13" i="116" s="1"/>
  <c r="AB273" i="119"/>
  <c r="C23" i="118"/>
  <c r="DY275" i="119"/>
  <c r="DY277" i="119"/>
  <c r="AB61" i="119"/>
  <c r="AB64" i="119"/>
  <c r="DZ61" i="119"/>
  <c r="DZ64" i="119"/>
  <c r="DF57" i="2"/>
  <c r="DH118" i="92"/>
  <c r="EB104" i="119" s="1"/>
  <c r="FN44" i="2"/>
  <c r="AB65" i="119" s="1"/>
  <c r="FN57" i="2"/>
  <c r="DL24" i="92"/>
  <c r="DK109" i="92"/>
  <c r="DK207" i="92"/>
  <c r="DK209" i="92" s="1"/>
  <c r="DJ96" i="92"/>
  <c r="DI115" i="92"/>
  <c r="DI116" i="92" s="1"/>
  <c r="DI97" i="92"/>
  <c r="DI99" i="92" s="1"/>
  <c r="DE30" i="1"/>
  <c r="DE28" i="1"/>
  <c r="DE29" i="1"/>
  <c r="DE85" i="1"/>
  <c r="DE127" i="1"/>
  <c r="DE49" i="1"/>
  <c r="DE70" i="1"/>
  <c r="DE106" i="1"/>
  <c r="DL109" i="92" l="1"/>
  <c r="DL207" i="92"/>
  <c r="DL209" i="92" s="1"/>
  <c r="DY281" i="119"/>
  <c r="DY260" i="119" s="1"/>
  <c r="C59" i="118"/>
  <c r="DY280" i="119"/>
  <c r="DY267" i="119"/>
  <c r="DY279" i="119"/>
  <c r="EA61" i="119"/>
  <c r="EA64" i="119"/>
  <c r="DG57" i="2"/>
  <c r="DE109" i="1"/>
  <c r="DE52" i="1"/>
  <c r="DE130" i="1"/>
  <c r="DE88" i="1"/>
  <c r="DI118" i="92"/>
  <c r="DE31" i="1"/>
  <c r="DE49" i="2"/>
  <c r="DE128" i="1"/>
  <c r="DE86" i="1"/>
  <c r="DE50" i="1"/>
  <c r="DE32" i="1"/>
  <c r="DE71" i="1"/>
  <c r="DE107" i="1"/>
  <c r="DE129" i="1"/>
  <c r="DE87" i="1"/>
  <c r="DE108" i="1"/>
  <c r="DE51" i="1"/>
  <c r="DK96" i="92"/>
  <c r="DJ115" i="92"/>
  <c r="DJ116" i="92" s="1"/>
  <c r="DJ97" i="92"/>
  <c r="DJ99" i="92" s="1"/>
  <c r="DM24" i="92"/>
  <c r="DY282" i="119" l="1"/>
  <c r="DY283" i="119"/>
  <c r="C94" i="118"/>
  <c r="C117" i="118" s="1"/>
  <c r="C82" i="118"/>
  <c r="EB61" i="119"/>
  <c r="EB64" i="119"/>
  <c r="DE66" i="2"/>
  <c r="DY67" i="119"/>
  <c r="DY298" i="119" s="1"/>
  <c r="DY256" i="119" s="1"/>
  <c r="DY69" i="119"/>
  <c r="DY271" i="119" s="1"/>
  <c r="FN11" i="3"/>
  <c r="DJ118" i="92"/>
  <c r="DL96" i="92"/>
  <c r="DL115" i="92" s="1"/>
  <c r="DL116" i="92" s="1"/>
  <c r="DK115" i="92"/>
  <c r="DK116" i="92" s="1"/>
  <c r="DK97" i="92"/>
  <c r="DK99" i="92" s="1"/>
  <c r="DE132" i="1"/>
  <c r="DE111" i="1"/>
  <c r="DE90" i="1"/>
  <c r="DE54" i="1"/>
  <c r="DH57" i="2"/>
  <c r="DN24" i="92"/>
  <c r="DM109" i="92"/>
  <c r="DM207" i="92"/>
  <c r="DE53" i="1"/>
  <c r="DE89" i="1"/>
  <c r="DE131" i="1"/>
  <c r="DE110" i="1"/>
  <c r="FN25" i="3" l="1"/>
  <c r="AB96" i="119" s="1"/>
  <c r="AB305" i="119"/>
  <c r="GC44" i="3"/>
  <c r="DM96" i="92"/>
  <c r="DL97" i="92"/>
  <c r="FN47" i="2"/>
  <c r="DO24" i="92"/>
  <c r="DO207" i="92" s="1"/>
  <c r="DO209" i="92" s="1"/>
  <c r="DN109" i="92"/>
  <c r="DN207" i="92"/>
  <c r="DN209" i="92" s="1"/>
  <c r="FO44" i="3"/>
  <c r="AC104" i="119" s="1"/>
  <c r="DK118" i="92"/>
  <c r="DE50" i="3"/>
  <c r="DE54" i="3"/>
  <c r="DL211" i="92" l="1"/>
  <c r="DL99" i="92"/>
  <c r="DE65" i="3"/>
  <c r="FN54" i="3"/>
  <c r="FN50" i="3"/>
  <c r="FN52" i="3" s="1"/>
  <c r="FO38" i="2"/>
  <c r="AC61" i="119" s="1"/>
  <c r="DI57" i="2"/>
  <c r="DE55" i="3"/>
  <c r="ED61" i="119"/>
  <c r="ED64" i="119"/>
  <c r="EC61" i="119"/>
  <c r="EC64" i="119"/>
  <c r="DE52" i="3"/>
  <c r="DE57" i="3" s="1"/>
  <c r="DL118" i="92"/>
  <c r="DN96" i="92"/>
  <c r="DM115" i="92"/>
  <c r="DM116" i="92" s="1"/>
  <c r="DM97" i="92"/>
  <c r="DM99" i="92" s="1"/>
  <c r="DJ57" i="2"/>
  <c r="DP24" i="92"/>
  <c r="DP207" i="92" s="1"/>
  <c r="DP209" i="92" s="1"/>
  <c r="DO109" i="92"/>
  <c r="FN55" i="3" l="1"/>
  <c r="AD27" i="114" s="1"/>
  <c r="AD34" i="114" s="1"/>
  <c r="AC64" i="119"/>
  <c r="FO57" i="2"/>
  <c r="FN65" i="3"/>
  <c r="DY108" i="119"/>
  <c r="DY107" i="119"/>
  <c r="DY106" i="119"/>
  <c r="FN57" i="3"/>
  <c r="DO96" i="92"/>
  <c r="DN115" i="92"/>
  <c r="DN116" i="92" s="1"/>
  <c r="DN97" i="92"/>
  <c r="DN99" i="92" s="1"/>
  <c r="DQ24" i="92"/>
  <c r="DP109" i="92"/>
  <c r="FO51" i="3"/>
  <c r="DM118" i="92"/>
  <c r="DF51" i="3"/>
  <c r="DE58" i="3"/>
  <c r="AD28" i="114" l="1"/>
  <c r="AD29" i="114"/>
  <c r="EE61" i="119"/>
  <c r="EE64" i="119"/>
  <c r="AB107" i="119"/>
  <c r="AB106" i="119"/>
  <c r="AB108" i="119"/>
  <c r="FN58" i="3"/>
  <c r="DN118" i="92"/>
  <c r="DR24" i="92"/>
  <c r="DQ109" i="92"/>
  <c r="DQ207" i="92"/>
  <c r="DE59" i="3"/>
  <c r="DE56" i="2"/>
  <c r="FN11" i="2"/>
  <c r="AB41" i="119" s="1"/>
  <c r="AB265" i="119" s="1"/>
  <c r="DK57" i="2"/>
  <c r="DP96" i="92"/>
  <c r="DO115" i="92"/>
  <c r="DO116" i="92" s="1"/>
  <c r="DO97" i="92"/>
  <c r="DO211" i="92" l="1"/>
  <c r="DO99" i="92"/>
  <c r="DE114" i="2"/>
  <c r="EF61" i="119"/>
  <c r="EF64" i="119"/>
  <c r="GD44" i="3"/>
  <c r="DQ96" i="92"/>
  <c r="DP115" i="92"/>
  <c r="DP116" i="92" s="1"/>
  <c r="DP97" i="92"/>
  <c r="DP99" i="92" s="1"/>
  <c r="FN18" i="2"/>
  <c r="AB45" i="119" s="1"/>
  <c r="FN59" i="3"/>
  <c r="FN56" i="2"/>
  <c r="DE58" i="2"/>
  <c r="DY76" i="119" s="1"/>
  <c r="DY264" i="119" s="1"/>
  <c r="DE27" i="2"/>
  <c r="FP44" i="3"/>
  <c r="DS24" i="92"/>
  <c r="DR109" i="92"/>
  <c r="DR207" i="92"/>
  <c r="DO118" i="92"/>
  <c r="FN58" i="2" l="1"/>
  <c r="AB76" i="119" s="1"/>
  <c r="AB264" i="119" s="1"/>
  <c r="DE67" i="2"/>
  <c r="DY55" i="119"/>
  <c r="EG61" i="119"/>
  <c r="EG64" i="119"/>
  <c r="FP38" i="2"/>
  <c r="DT24" i="92"/>
  <c r="DS109" i="92"/>
  <c r="DS207" i="92"/>
  <c r="DP118" i="92"/>
  <c r="DE59" i="2"/>
  <c r="DR96" i="92"/>
  <c r="DQ115" i="92"/>
  <c r="DQ116" i="92" s="1"/>
  <c r="DQ97" i="92"/>
  <c r="FN27" i="2"/>
  <c r="AB55" i="119" s="1"/>
  <c r="FN61" i="2"/>
  <c r="FN59" i="2" l="1"/>
  <c r="FP57" i="2"/>
  <c r="AD61" i="119"/>
  <c r="AD64" i="119"/>
  <c r="EH61" i="119"/>
  <c r="EH64" i="119"/>
  <c r="DE51" i="2"/>
  <c r="DY70" i="119" s="1"/>
  <c r="FN48" i="2"/>
  <c r="FN49" i="2" s="1"/>
  <c r="DU24" i="92"/>
  <c r="DV24" i="92" s="1"/>
  <c r="DT109" i="92"/>
  <c r="DT207" i="92"/>
  <c r="DQ118" i="92"/>
  <c r="DQ44" i="3" s="1"/>
  <c r="DS96" i="92"/>
  <c r="DR115" i="92"/>
  <c r="DR116" i="92" s="1"/>
  <c r="DR97" i="92"/>
  <c r="DW24" i="92" l="1"/>
  <c r="DV109" i="92"/>
  <c r="DV207" i="92"/>
  <c r="AB67" i="119"/>
  <c r="AB298" i="119" s="1"/>
  <c r="AB256" i="119" s="1"/>
  <c r="AB69" i="119"/>
  <c r="AB271" i="119" s="1"/>
  <c r="EI61" i="119"/>
  <c r="EI64" i="119"/>
  <c r="FQ44" i="3"/>
  <c r="DT96" i="92"/>
  <c r="DS115" i="92"/>
  <c r="DS116" i="92" s="1"/>
  <c r="DS97" i="92"/>
  <c r="FN51" i="2"/>
  <c r="AB70" i="119" s="1"/>
  <c r="DU207" i="92"/>
  <c r="DU109" i="92"/>
  <c r="DE53" i="2"/>
  <c r="DR118" i="92"/>
  <c r="DR44" i="3" s="1"/>
  <c r="GE44" i="3" s="1"/>
  <c r="DX24" i="92" l="1"/>
  <c r="DW109" i="92"/>
  <c r="DW207" i="92"/>
  <c r="EJ61" i="119"/>
  <c r="EJ64" i="119"/>
  <c r="FN53" i="2"/>
  <c r="DQ38" i="2"/>
  <c r="DS118" i="92"/>
  <c r="DS44" i="3" s="1"/>
  <c r="DU96" i="92"/>
  <c r="DV96" i="92" s="1"/>
  <c r="DT115" i="92"/>
  <c r="DT116" i="92" s="1"/>
  <c r="DT97" i="92"/>
  <c r="DW96" i="92" l="1"/>
  <c r="DV115" i="92"/>
  <c r="DV116" i="92" s="1"/>
  <c r="DV97" i="92"/>
  <c r="DY24" i="92"/>
  <c r="DX109" i="92"/>
  <c r="DX207" i="92"/>
  <c r="FQ38" i="2"/>
  <c r="EK61" i="119"/>
  <c r="EK64" i="119"/>
  <c r="DU115" i="92"/>
  <c r="DU116" i="92" s="1"/>
  <c r="DU97" i="92"/>
  <c r="DQ57" i="2"/>
  <c r="DR38" i="2"/>
  <c r="DT118" i="92"/>
  <c r="DT44" i="3" s="1"/>
  <c r="EL61" i="119" l="1"/>
  <c r="EL64" i="119"/>
  <c r="DV118" i="92"/>
  <c r="DV44" i="3" s="1"/>
  <c r="DY109" i="92"/>
  <c r="DZ24" i="92"/>
  <c r="DY207" i="92"/>
  <c r="DX96" i="92"/>
  <c r="DW115" i="92"/>
  <c r="DW116" i="92" s="1"/>
  <c r="DW97" i="92"/>
  <c r="FQ57" i="2"/>
  <c r="AE61" i="119"/>
  <c r="AE64" i="119"/>
  <c r="DR57" i="2"/>
  <c r="DS38" i="2"/>
  <c r="DU118" i="92"/>
  <c r="DU44" i="3" s="1"/>
  <c r="EM61" i="119" l="1"/>
  <c r="EM64" i="119"/>
  <c r="GF44" i="3"/>
  <c r="DZ109" i="92"/>
  <c r="EA24" i="92"/>
  <c r="DZ207" i="92"/>
  <c r="DY96" i="92"/>
  <c r="DX115" i="92"/>
  <c r="DX116" i="92" s="1"/>
  <c r="DX97" i="92"/>
  <c r="DW118" i="92"/>
  <c r="DW44" i="3" s="1"/>
  <c r="FR44" i="3"/>
  <c r="DS57" i="2"/>
  <c r="DT38" i="2"/>
  <c r="EN61" i="119" l="1"/>
  <c r="EN64" i="119"/>
  <c r="EA109" i="92"/>
  <c r="EB24" i="92"/>
  <c r="EA207" i="92"/>
  <c r="DZ96" i="92"/>
  <c r="DY115" i="92"/>
  <c r="DY116" i="92" s="1"/>
  <c r="DY97" i="92"/>
  <c r="DX118" i="92"/>
  <c r="DX44" i="3" s="1"/>
  <c r="DU38" i="2"/>
  <c r="DT57" i="2"/>
  <c r="DV38" i="2" l="1"/>
  <c r="DV57" i="2" s="1"/>
  <c r="EO61" i="119"/>
  <c r="EO64" i="119"/>
  <c r="DY118" i="92"/>
  <c r="DY44" i="3" s="1"/>
  <c r="FS44" i="3" s="1"/>
  <c r="EB109" i="92"/>
  <c r="EC24" i="92"/>
  <c r="EB207" i="92"/>
  <c r="EA96" i="92"/>
  <c r="DZ115" i="92"/>
  <c r="DZ116" i="92" s="1"/>
  <c r="DZ97" i="92"/>
  <c r="FR38" i="2"/>
  <c r="DU57" i="2"/>
  <c r="DW38" i="2" l="1"/>
  <c r="EQ61" i="119" s="1"/>
  <c r="EP61" i="119"/>
  <c r="EP64" i="119"/>
  <c r="EC109" i="92"/>
  <c r="ED24" i="92"/>
  <c r="EC207" i="92"/>
  <c r="DZ118" i="92"/>
  <c r="DZ44" i="3" s="1"/>
  <c r="GG44" i="3" s="1"/>
  <c r="EB96" i="92"/>
  <c r="EA115" i="92"/>
  <c r="EA116" i="92" s="1"/>
  <c r="EA97" i="92"/>
  <c r="FR57" i="2"/>
  <c r="AF61" i="119"/>
  <c r="AF64" i="119"/>
  <c r="FO48" i="2"/>
  <c r="DX38" i="2" l="1"/>
  <c r="DX57" i="2" s="1"/>
  <c r="DW57" i="2"/>
  <c r="EQ64" i="119"/>
  <c r="EA118" i="92"/>
  <c r="EA44" i="3" s="1"/>
  <c r="EE24" i="92"/>
  <c r="ED109" i="92"/>
  <c r="ED207" i="92"/>
  <c r="EC96" i="92"/>
  <c r="EB115" i="92"/>
  <c r="EB116" i="92" s="1"/>
  <c r="EB97" i="92"/>
  <c r="FP48" i="2"/>
  <c r="ER64" i="119" l="1"/>
  <c r="ER61" i="119"/>
  <c r="DY38" i="2"/>
  <c r="DY57" i="2" s="1"/>
  <c r="EB118" i="92"/>
  <c r="EB44" i="3" s="1"/>
  <c r="EF24" i="92"/>
  <c r="EE109" i="92"/>
  <c r="EE207" i="92"/>
  <c r="ED96" i="92"/>
  <c r="EC115" i="92"/>
  <c r="EC116" i="92" s="1"/>
  <c r="EC97" i="92"/>
  <c r="FQ48" i="2"/>
  <c r="ES64" i="119" l="1"/>
  <c r="ES61" i="119"/>
  <c r="FS38" i="2"/>
  <c r="AG61" i="119" s="1"/>
  <c r="FS57" i="2"/>
  <c r="DZ38" i="2"/>
  <c r="DZ57" i="2" s="1"/>
  <c r="EE96" i="92"/>
  <c r="ED115" i="92"/>
  <c r="ED116" i="92" s="1"/>
  <c r="ED97" i="92"/>
  <c r="EC118" i="92"/>
  <c r="EC44" i="3" s="1"/>
  <c r="FT44" i="3" s="1"/>
  <c r="EF109" i="92"/>
  <c r="EG24" i="92"/>
  <c r="EF207" i="92"/>
  <c r="FR48" i="2"/>
  <c r="CC22" i="1"/>
  <c r="CW25" i="119" s="1"/>
  <c r="BX25" i="30" s="1"/>
  <c r="FF18" i="1"/>
  <c r="FF23" i="1" s="1"/>
  <c r="U30" i="119" s="1"/>
  <c r="CC21" i="1"/>
  <c r="CW24" i="119" s="1"/>
  <c r="AG64" i="119" l="1"/>
  <c r="EA38" i="2"/>
  <c r="EA57" i="2" s="1"/>
  <c r="ET61" i="119"/>
  <c r="ET64" i="119"/>
  <c r="U269" i="119"/>
  <c r="U200" i="30" s="1"/>
  <c r="U30" i="30"/>
  <c r="ED118" i="92"/>
  <c r="ED44" i="3" s="1"/>
  <c r="GH44" i="3" s="1"/>
  <c r="BX24" i="30"/>
  <c r="CW26" i="119"/>
  <c r="BX26" i="30" s="1"/>
  <c r="EH24" i="92"/>
  <c r="EG109" i="92"/>
  <c r="EG207" i="92"/>
  <c r="EF96" i="92"/>
  <c r="EE115" i="92"/>
  <c r="EE116" i="92" s="1"/>
  <c r="EE97" i="92"/>
  <c r="FF25" i="1"/>
  <c r="U290" i="119" s="1"/>
  <c r="U221" i="30" s="1"/>
  <c r="FF26" i="1"/>
  <c r="FG105" i="1"/>
  <c r="FF48" i="1"/>
  <c r="FG48" i="1"/>
  <c r="GP22" i="1"/>
  <c r="FF105" i="1"/>
  <c r="GP21" i="1"/>
  <c r="CC18" i="1"/>
  <c r="CC23" i="1" s="1"/>
  <c r="CW30" i="119" s="1"/>
  <c r="FF69" i="1"/>
  <c r="EB38" i="2" l="1"/>
  <c r="EB57" i="2" s="1"/>
  <c r="EU61" i="119"/>
  <c r="EU64" i="119"/>
  <c r="EE118" i="92"/>
  <c r="EE44" i="3" s="1"/>
  <c r="EH109" i="92"/>
  <c r="EI24" i="92"/>
  <c r="EH207" i="92"/>
  <c r="CW269" i="119"/>
  <c r="BX200" i="30" s="1"/>
  <c r="BX30" i="30"/>
  <c r="U277" i="119"/>
  <c r="U275" i="119"/>
  <c r="U206" i="30" s="1"/>
  <c r="EG96" i="92"/>
  <c r="EF115" i="92"/>
  <c r="EF116" i="92" s="1"/>
  <c r="EF97" i="92"/>
  <c r="FF70" i="1"/>
  <c r="FF29" i="1"/>
  <c r="FG108" i="1" s="1"/>
  <c r="FF28" i="1"/>
  <c r="FG106" i="1"/>
  <c r="FG49" i="1"/>
  <c r="FF30" i="1"/>
  <c r="FF106" i="1"/>
  <c r="FF49" i="1"/>
  <c r="GP18" i="1"/>
  <c r="GP23" i="1" s="1"/>
  <c r="GQ48" i="1" s="1"/>
  <c r="CC84" i="1"/>
  <c r="CC26" i="1"/>
  <c r="CC48" i="1"/>
  <c r="CC69" i="1"/>
  <c r="CC25" i="1"/>
  <c r="CW290" i="119" s="1"/>
  <c r="BX221" i="30" s="1"/>
  <c r="CD126" i="1"/>
  <c r="CD84" i="1"/>
  <c r="CC105" i="1"/>
  <c r="CC126" i="1"/>
  <c r="CG105" i="1"/>
  <c r="CG48" i="1"/>
  <c r="EV61" i="119" l="1"/>
  <c r="EV64" i="119"/>
  <c r="EC38" i="2"/>
  <c r="FF107" i="1"/>
  <c r="FG52" i="1"/>
  <c r="FF32" i="1"/>
  <c r="FG111" i="1" s="1"/>
  <c r="U279" i="119"/>
  <c r="U210" i="30" s="1"/>
  <c r="EH96" i="92"/>
  <c r="EG115" i="92"/>
  <c r="EG116" i="92" s="1"/>
  <c r="EG97" i="92"/>
  <c r="EI109" i="92"/>
  <c r="EJ24" i="92"/>
  <c r="EI207" i="92"/>
  <c r="FF51" i="1"/>
  <c r="U280" i="119"/>
  <c r="U211" i="30" s="1"/>
  <c r="EF118" i="92"/>
  <c r="EF44" i="3" s="1"/>
  <c r="U267" i="119"/>
  <c r="U198" i="30" s="1"/>
  <c r="U208" i="30"/>
  <c r="CW277" i="119"/>
  <c r="CW275" i="119"/>
  <c r="BX206" i="30" s="1"/>
  <c r="W15" i="114"/>
  <c r="W17" i="114" s="1"/>
  <c r="U281" i="119"/>
  <c r="FG50" i="1"/>
  <c r="FF108" i="1"/>
  <c r="FG51" i="1"/>
  <c r="FF71" i="1"/>
  <c r="FG66" i="2"/>
  <c r="FG107" i="1"/>
  <c r="FF50" i="1"/>
  <c r="FG67" i="2"/>
  <c r="FF31" i="1"/>
  <c r="U282" i="119" s="1"/>
  <c r="U213" i="30" s="1"/>
  <c r="FG109" i="1"/>
  <c r="GP69" i="1"/>
  <c r="FF109" i="1"/>
  <c r="GP26" i="1"/>
  <c r="GQ106" i="1" s="1"/>
  <c r="GP25" i="1"/>
  <c r="FF52" i="1"/>
  <c r="GP105" i="1"/>
  <c r="GP48" i="1"/>
  <c r="GQ105" i="1"/>
  <c r="CC85" i="1"/>
  <c r="CD85" i="1"/>
  <c r="CC29" i="1"/>
  <c r="CD127" i="1"/>
  <c r="CC49" i="1"/>
  <c r="CG49" i="1"/>
  <c r="CC127" i="1"/>
  <c r="CC106" i="1"/>
  <c r="CC30" i="1"/>
  <c r="CG106" i="1"/>
  <c r="CC28" i="1"/>
  <c r="CC70" i="1"/>
  <c r="FT38" i="2" l="1"/>
  <c r="EW61" i="119"/>
  <c r="EW64" i="119"/>
  <c r="EC57" i="2"/>
  <c r="ED38" i="2"/>
  <c r="CW281" i="119"/>
  <c r="CW260" i="119" s="1"/>
  <c r="BX193" i="30" s="1"/>
  <c r="CW279" i="119"/>
  <c r="BX210" i="30" s="1"/>
  <c r="FG54" i="1"/>
  <c r="FF111" i="1"/>
  <c r="FF54" i="1"/>
  <c r="X16" i="114"/>
  <c r="FG53" i="1"/>
  <c r="W31" i="114"/>
  <c r="GP70" i="1"/>
  <c r="FF110" i="1"/>
  <c r="GP49" i="1"/>
  <c r="FF53" i="1"/>
  <c r="FG110" i="1"/>
  <c r="EI96" i="92"/>
  <c r="EH115" i="92"/>
  <c r="EH116" i="92" s="1"/>
  <c r="EH97" i="92"/>
  <c r="U212" i="30"/>
  <c r="U260" i="119"/>
  <c r="U193" i="30" s="1"/>
  <c r="EJ109" i="92"/>
  <c r="EK24" i="92"/>
  <c r="EJ207" i="92"/>
  <c r="W19" i="114"/>
  <c r="U283" i="119"/>
  <c r="U214" i="30" s="1"/>
  <c r="GP30" i="1"/>
  <c r="GP109" i="1" s="1"/>
  <c r="Z17" i="114"/>
  <c r="W16" i="114"/>
  <c r="BX208" i="30"/>
  <c r="CW280" i="119"/>
  <c r="BX211" i="30" s="1"/>
  <c r="CW267" i="119"/>
  <c r="BX198" i="30" s="1"/>
  <c r="EG118" i="92"/>
  <c r="EG44" i="3" s="1"/>
  <c r="FU44" i="3" s="1"/>
  <c r="GP106" i="1"/>
  <c r="GQ49" i="1"/>
  <c r="GP28" i="1"/>
  <c r="GP31" i="1" s="1"/>
  <c r="GP29" i="1"/>
  <c r="GQ108" i="1" s="1"/>
  <c r="CC107" i="1"/>
  <c r="CD86" i="1"/>
  <c r="CC31" i="1"/>
  <c r="CC128" i="1"/>
  <c r="CC71" i="1"/>
  <c r="CC66" i="2"/>
  <c r="CC67" i="2"/>
  <c r="CC32" i="1"/>
  <c r="CG50" i="1"/>
  <c r="CG107" i="1"/>
  <c r="CD128" i="1"/>
  <c r="CC50" i="1"/>
  <c r="CC86" i="1"/>
  <c r="CC130" i="1"/>
  <c r="CC52" i="1"/>
  <c r="CD130" i="1"/>
  <c r="CD88" i="1"/>
  <c r="CC88" i="1"/>
  <c r="CC109" i="1"/>
  <c r="CG52" i="1"/>
  <c r="CG109" i="1"/>
  <c r="CC129" i="1"/>
  <c r="CD129" i="1"/>
  <c r="CD87" i="1"/>
  <c r="CC51" i="1"/>
  <c r="CG108" i="1"/>
  <c r="CC108" i="1"/>
  <c r="CG51" i="1"/>
  <c r="CC87" i="1"/>
  <c r="FT57" i="2" l="1"/>
  <c r="BX212" i="30"/>
  <c r="EX64" i="119"/>
  <c r="ED57" i="2"/>
  <c r="EE38" i="2"/>
  <c r="EX61" i="119"/>
  <c r="AH61" i="119"/>
  <c r="AH64" i="119"/>
  <c r="CW282" i="119"/>
  <c r="BX213" i="30" s="1"/>
  <c r="CW283" i="119"/>
  <c r="BX214" i="30" s="1"/>
  <c r="GP50" i="1"/>
  <c r="GQ109" i="1"/>
  <c r="GP71" i="1"/>
  <c r="GP52" i="1"/>
  <c r="GQ52" i="1"/>
  <c r="GQ50" i="1"/>
  <c r="W21" i="114"/>
  <c r="W34" i="114" s="1"/>
  <c r="W20" i="114"/>
  <c r="W32" i="114"/>
  <c r="X20" i="114"/>
  <c r="Z21" i="114"/>
  <c r="Z34" i="114" s="1"/>
  <c r="EK109" i="92"/>
  <c r="EK207" i="92"/>
  <c r="EH118" i="92"/>
  <c r="EH44" i="3" s="1"/>
  <c r="GI44" i="3" s="1"/>
  <c r="EJ96" i="92"/>
  <c r="EI115" i="92"/>
  <c r="EI116" i="92" s="1"/>
  <c r="EI97" i="92"/>
  <c r="GP108" i="1"/>
  <c r="GQ107" i="1"/>
  <c r="GQ51" i="1"/>
  <c r="GP107" i="1"/>
  <c r="GP51" i="1"/>
  <c r="GP32" i="1"/>
  <c r="GP54" i="1" s="1"/>
  <c r="CD89" i="1"/>
  <c r="CC131" i="1"/>
  <c r="CG110" i="1"/>
  <c r="CD131" i="1"/>
  <c r="CC53" i="1"/>
  <c r="CG53" i="1"/>
  <c r="CC89" i="1"/>
  <c r="CC110" i="1"/>
  <c r="CG54" i="1"/>
  <c r="CC90" i="1"/>
  <c r="CC132" i="1"/>
  <c r="CC111" i="1"/>
  <c r="CG111" i="1"/>
  <c r="CD132" i="1"/>
  <c r="CC54" i="1"/>
  <c r="CD90" i="1"/>
  <c r="GP110" i="1"/>
  <c r="GP53" i="1"/>
  <c r="GQ110" i="1"/>
  <c r="GQ53" i="1"/>
  <c r="EY61" i="119" l="1"/>
  <c r="EF38" i="2"/>
  <c r="EY64" i="119"/>
  <c r="EE57" i="2"/>
  <c r="EI118" i="92"/>
  <c r="EI44" i="3" s="1"/>
  <c r="EK96" i="92"/>
  <c r="EJ115" i="92"/>
  <c r="EJ116" i="92" s="1"/>
  <c r="EJ97" i="92"/>
  <c r="GP111" i="1"/>
  <c r="GQ54" i="1"/>
  <c r="GQ111" i="1"/>
  <c r="EF57" i="2" l="1"/>
  <c r="EZ61" i="119"/>
  <c r="EZ64" i="119"/>
  <c r="EG38" i="2"/>
  <c r="EJ118" i="92"/>
  <c r="EJ44" i="3" s="1"/>
  <c r="EK115" i="92"/>
  <c r="EK116" i="92" s="1"/>
  <c r="EK97" i="92"/>
  <c r="DI120" i="112"/>
  <c r="DI127" i="112"/>
  <c r="DH127" i="112"/>
  <c r="DG127" i="112"/>
  <c r="DE189" i="112"/>
  <c r="DI113" i="112"/>
  <c r="DF127" i="112"/>
  <c r="FA64" i="119" l="1"/>
  <c r="FU38" i="2"/>
  <c r="EG57" i="2"/>
  <c r="EH38" i="2"/>
  <c r="FA61" i="119"/>
  <c r="EK118" i="92"/>
  <c r="EK44" i="3" s="1"/>
  <c r="FV44" i="3" s="1"/>
  <c r="DM113" i="112"/>
  <c r="DN120" i="112"/>
  <c r="DN113" i="112"/>
  <c r="DM120" i="112"/>
  <c r="DF24" i="112"/>
  <c r="DF189" i="112"/>
  <c r="FU57" i="2" l="1"/>
  <c r="FB61" i="119"/>
  <c r="FB64" i="119"/>
  <c r="EI38" i="2"/>
  <c r="EH57" i="2"/>
  <c r="AI61" i="119"/>
  <c r="AI64" i="119"/>
  <c r="GY13" i="112"/>
  <c r="DF99" i="113"/>
  <c r="DF35" i="112"/>
  <c r="FP158" i="112"/>
  <c r="DR113" i="112"/>
  <c r="DQ120" i="112"/>
  <c r="DR120" i="112"/>
  <c r="DQ113" i="112"/>
  <c r="DO127" i="112"/>
  <c r="DQ127" i="112"/>
  <c r="DN127" i="112"/>
  <c r="DP127" i="112"/>
  <c r="DG179" i="112"/>
  <c r="FC61" i="119" l="1"/>
  <c r="FC64" i="119"/>
  <c r="EJ38" i="2"/>
  <c r="EI57" i="2"/>
  <c r="DF63" i="51"/>
  <c r="DF72" i="51" s="1"/>
  <c r="DS127" i="112"/>
  <c r="DR127" i="112"/>
  <c r="DU120" i="112"/>
  <c r="DU127" i="112"/>
  <c r="FQ158" i="112"/>
  <c r="DU113" i="112"/>
  <c r="DT127" i="112"/>
  <c r="GY24" i="112"/>
  <c r="DF22" i="51"/>
  <c r="GX13" i="51"/>
  <c r="DF33" i="51"/>
  <c r="FT99" i="51" s="1"/>
  <c r="DH179" i="112"/>
  <c r="DG24" i="112"/>
  <c r="DG35" i="112"/>
  <c r="DG99" i="113"/>
  <c r="GW99" i="113"/>
  <c r="GW106" i="113" s="1"/>
  <c r="EJ57" i="2" l="1"/>
  <c r="EK38" i="2"/>
  <c r="FD61" i="119"/>
  <c r="FD64" i="119"/>
  <c r="DG63" i="51"/>
  <c r="DG72" i="51" s="1"/>
  <c r="FR165" i="112"/>
  <c r="FQ165" i="112"/>
  <c r="DH99" i="113"/>
  <c r="DH24" i="112"/>
  <c r="DH35" i="112"/>
  <c r="DI179" i="112"/>
  <c r="DG22" i="51"/>
  <c r="DG33" i="51"/>
  <c r="FU99" i="51" s="1"/>
  <c r="FQ106" i="112"/>
  <c r="FQ120" i="112"/>
  <c r="GX22" i="51"/>
  <c r="FE64" i="119" l="1"/>
  <c r="EK57" i="2"/>
  <c r="FV38" i="2"/>
  <c r="FE61" i="119"/>
  <c r="DH63" i="51"/>
  <c r="DH72" i="51" s="1"/>
  <c r="DH22" i="51"/>
  <c r="DH33" i="51"/>
  <c r="FV99" i="51" s="1"/>
  <c r="DI35" i="112"/>
  <c r="DI99" i="113"/>
  <c r="FN99" i="113" s="1"/>
  <c r="DI24" i="112"/>
  <c r="FN13" i="112"/>
  <c r="FV57" i="2" l="1"/>
  <c r="AJ61" i="119"/>
  <c r="AJ64" i="119"/>
  <c r="DI63" i="51"/>
  <c r="DI72" i="51" s="1"/>
  <c r="GZ13" i="112"/>
  <c r="FN106" i="113"/>
  <c r="DI33" i="51"/>
  <c r="FW99" i="51" s="1"/>
  <c r="DI22" i="51"/>
  <c r="FN13" i="51"/>
  <c r="DJ99" i="113"/>
  <c r="GX99" i="113" s="1"/>
  <c r="GX106" i="113" s="1"/>
  <c r="DJ35" i="112"/>
  <c r="FN24" i="112"/>
  <c r="FN63" i="51" l="1"/>
  <c r="FN72" i="51" s="1"/>
  <c r="DJ63" i="51"/>
  <c r="DJ72" i="51" s="1"/>
  <c r="GZ24" i="112"/>
  <c r="HB106" i="113"/>
  <c r="GY13" i="51"/>
  <c r="DK35" i="112"/>
  <c r="DK99" i="113"/>
  <c r="DJ33" i="51"/>
  <c r="FT100" i="51" s="1"/>
  <c r="DJ22" i="51"/>
  <c r="FN22" i="51"/>
  <c r="F24" i="116"/>
  <c r="M112" i="125" l="1"/>
  <c r="Y112" i="125" s="1"/>
  <c r="F47" i="116"/>
  <c r="GY22" i="51"/>
  <c r="H24" i="116"/>
  <c r="I24" i="116" s="1"/>
  <c r="DK22" i="51"/>
  <c r="DK33" i="51"/>
  <c r="FU100" i="51" s="1"/>
  <c r="X112" i="125" l="1"/>
  <c r="H47" i="116"/>
  <c r="I47" i="116" s="1"/>
  <c r="DM99" i="113"/>
  <c r="DN179" i="112"/>
  <c r="DN35" i="112" l="1"/>
  <c r="DN99" i="113"/>
  <c r="DM22" i="51"/>
  <c r="DO179" i="112"/>
  <c r="AB10" i="115" l="1"/>
  <c r="AC10" i="115" s="1"/>
  <c r="DO35" i="112"/>
  <c r="DO99" i="113"/>
  <c r="DN33" i="51"/>
  <c r="FT101" i="51" s="1"/>
  <c r="DP179" i="112"/>
  <c r="DQ179" i="112" l="1"/>
  <c r="DO22" i="51"/>
  <c r="DO33" i="51"/>
  <c r="FU101" i="51" s="1"/>
  <c r="DP35" i="112"/>
  <c r="DP99" i="113"/>
  <c r="DR179" i="112" l="1"/>
  <c r="DQ13" i="51"/>
  <c r="DQ99" i="113"/>
  <c r="DQ35" i="112"/>
  <c r="DQ24" i="112"/>
  <c r="FP13" i="112"/>
  <c r="DP33" i="51"/>
  <c r="FV101" i="51" s="1"/>
  <c r="M112" i="115" l="1"/>
  <c r="M126" i="115" s="1"/>
  <c r="X126" i="115" s="1"/>
  <c r="DQ22" i="51"/>
  <c r="DQ33" i="51"/>
  <c r="FW101" i="51" s="1"/>
  <c r="DR13" i="51"/>
  <c r="DR24" i="112"/>
  <c r="DR35" i="112"/>
  <c r="DR99" i="113"/>
  <c r="HB13" i="112"/>
  <c r="DS179" i="112"/>
  <c r="FP13" i="51"/>
  <c r="FP99" i="113"/>
  <c r="FP106" i="113" s="1"/>
  <c r="O112" i="115" l="1"/>
  <c r="X112" i="115"/>
  <c r="Z112" i="115"/>
  <c r="DV22" i="51"/>
  <c r="HD106" i="113"/>
  <c r="HC24" i="112"/>
  <c r="HA13" i="51"/>
  <c r="GZ99" i="113"/>
  <c r="GZ106" i="113" s="1"/>
  <c r="DT179" i="112"/>
  <c r="DS35" i="112"/>
  <c r="DS24" i="112"/>
  <c r="DS99" i="113"/>
  <c r="DS13" i="51"/>
  <c r="N24" i="116"/>
  <c r="AG56" i="116" s="1"/>
  <c r="HB158" i="112"/>
  <c r="DR33" i="51"/>
  <c r="FT102" i="51" s="1"/>
  <c r="DR22" i="51"/>
  <c r="AG24" i="116" l="1"/>
  <c r="N47" i="116"/>
  <c r="AG47" i="116" s="1"/>
  <c r="HC165" i="112"/>
  <c r="DW22" i="51"/>
  <c r="P24" i="116"/>
  <c r="Q24" i="116" s="1"/>
  <c r="DS33" i="51"/>
  <c r="FU102" i="51" s="1"/>
  <c r="DS22" i="51"/>
  <c r="DU179" i="112"/>
  <c r="FQ13" i="112"/>
  <c r="FR24" i="112" s="1"/>
  <c r="DT13" i="51"/>
  <c r="DT99" i="113"/>
  <c r="DT35" i="112"/>
  <c r="DT24" i="112"/>
  <c r="P47" i="116" l="1"/>
  <c r="Q47" i="116" s="1"/>
  <c r="DX22" i="51"/>
  <c r="FQ24" i="112"/>
  <c r="DU13" i="51"/>
  <c r="DU24" i="112"/>
  <c r="DU35" i="112"/>
  <c r="DU99" i="113"/>
  <c r="HA99" i="113" s="1"/>
  <c r="HA106" i="113" s="1"/>
  <c r="DT33" i="51"/>
  <c r="FV102" i="51" s="1"/>
  <c r="DT22" i="51"/>
  <c r="HB13" i="51" l="1"/>
  <c r="DV33" i="51"/>
  <c r="DY22" i="51"/>
  <c r="FQ13" i="51"/>
  <c r="DU22" i="51"/>
  <c r="DU33" i="51"/>
  <c r="FW102" i="51" s="1"/>
  <c r="FQ99" i="113"/>
  <c r="FQ106" i="113" s="1"/>
  <c r="R24" i="116" l="1"/>
  <c r="AH56" i="116" s="1"/>
  <c r="HB22" i="51"/>
  <c r="HC22" i="51"/>
  <c r="FR22" i="51"/>
  <c r="FQ22" i="51"/>
  <c r="FM19" i="1"/>
  <c r="FM21" i="1" s="1"/>
  <c r="DE116" i="2"/>
  <c r="DE115" i="2" s="1"/>
  <c r="R47" i="116" l="1"/>
  <c r="AH47" i="116" s="1"/>
  <c r="AH24" i="116"/>
  <c r="FM18" i="1"/>
  <c r="C21" i="118" s="1"/>
  <c r="AB24" i="119"/>
  <c r="AB26" i="119" s="1"/>
  <c r="T24" i="116"/>
  <c r="U24" i="116" s="1"/>
  <c r="T47" i="116" l="1"/>
  <c r="U47" i="116" s="1"/>
  <c r="FM23" i="1"/>
  <c r="B11" i="116"/>
  <c r="D11" i="116" s="1"/>
  <c r="E11" i="116" s="1"/>
  <c r="C57" i="118"/>
  <c r="C92" i="118" s="1"/>
  <c r="C22" i="118"/>
  <c r="AB30" i="119" l="1"/>
  <c r="AB269" i="119" s="1"/>
  <c r="FM25" i="1"/>
  <c r="AB290" i="119" s="1"/>
  <c r="FM69" i="1"/>
  <c r="FM48" i="1"/>
  <c r="FM105" i="1"/>
  <c r="B12" i="116"/>
  <c r="D12" i="116" s="1"/>
  <c r="E12" i="116" s="1"/>
  <c r="FM26" i="1"/>
  <c r="GW19" i="1"/>
  <c r="C58" i="118"/>
  <c r="C93" i="118" s="1"/>
  <c r="C24" i="118"/>
  <c r="C46" i="118"/>
  <c r="GW20" i="1"/>
  <c r="DZ24" i="119"/>
  <c r="DZ26" i="119" s="1"/>
  <c r="FM49" i="1" l="1"/>
  <c r="FM28" i="1"/>
  <c r="AB275" i="119"/>
  <c r="B14" i="116"/>
  <c r="D14" i="116" s="1"/>
  <c r="E14" i="116" s="1"/>
  <c r="FM30" i="1"/>
  <c r="FM70" i="1"/>
  <c r="AB277" i="119"/>
  <c r="AB267" i="119" s="1"/>
  <c r="FM106" i="1"/>
  <c r="FM29" i="1"/>
  <c r="AB280" i="119" s="1"/>
  <c r="GW21" i="1"/>
  <c r="GW18" i="1" s="1"/>
  <c r="C36" i="118"/>
  <c r="C60" i="118"/>
  <c r="C26" i="118"/>
  <c r="C47" i="118"/>
  <c r="AB281" i="119" l="1"/>
  <c r="AB260" i="119" s="1"/>
  <c r="AB279" i="119"/>
  <c r="FM71" i="1"/>
  <c r="FN66" i="2"/>
  <c r="FM31" i="1"/>
  <c r="AB282" i="119" s="1"/>
  <c r="FM107" i="1"/>
  <c r="FM109" i="1"/>
  <c r="B16" i="116"/>
  <c r="D16" i="116" s="1"/>
  <c r="E16" i="116" s="1"/>
  <c r="FN67" i="2"/>
  <c r="B15" i="116"/>
  <c r="D15" i="116" s="1"/>
  <c r="E15" i="116" s="1"/>
  <c r="FM50" i="1"/>
  <c r="FM32" i="1"/>
  <c r="AD15" i="114"/>
  <c r="AD16" i="114" s="1"/>
  <c r="FM52" i="1"/>
  <c r="FM108" i="1"/>
  <c r="FM51" i="1"/>
  <c r="C95" i="118"/>
  <c r="C107" i="118" s="1"/>
  <c r="C72" i="118"/>
  <c r="C62" i="118"/>
  <c r="C38" i="118"/>
  <c r="DE81" i="2"/>
  <c r="FM110" i="1" l="1"/>
  <c r="FM53" i="1"/>
  <c r="FM111" i="1"/>
  <c r="AB283" i="119"/>
  <c r="AD31" i="114"/>
  <c r="AD17" i="114"/>
  <c r="B17" i="116"/>
  <c r="D17" i="116" s="1"/>
  <c r="E17" i="116" s="1"/>
  <c r="AD19" i="114"/>
  <c r="AD32" i="114" s="1"/>
  <c r="FM54" i="1"/>
  <c r="C97" i="118"/>
  <c r="C109" i="118" s="1"/>
  <c r="C74" i="118"/>
  <c r="DZ93" i="119"/>
  <c r="AD21" i="114" l="1"/>
  <c r="AD20" i="114"/>
  <c r="GB12" i="3"/>
  <c r="E35" i="117" s="1"/>
  <c r="DZ47" i="119"/>
  <c r="DZ21" i="119"/>
  <c r="DF124" i="1" l="1"/>
  <c r="DF103" i="1"/>
  <c r="DF82" i="1"/>
  <c r="DF46" i="1"/>
  <c r="GW16" i="1"/>
  <c r="GW46" i="1" l="1"/>
  <c r="GW103" i="1"/>
  <c r="DF177" i="112" l="1"/>
  <c r="DF170" i="112"/>
  <c r="DF98" i="113" l="1"/>
  <c r="DF33" i="112"/>
  <c r="GY11" i="112"/>
  <c r="DF62" i="51" l="1"/>
  <c r="DF71" i="51" s="1"/>
  <c r="GW98" i="113"/>
  <c r="GW105" i="113" s="1"/>
  <c r="GY22" i="112"/>
  <c r="GY151" i="112"/>
  <c r="DF31" i="51"/>
  <c r="FN99" i="51" s="1"/>
  <c r="GX11" i="51"/>
  <c r="DF20" i="51"/>
  <c r="GY163" i="112" l="1"/>
  <c r="GX20" i="51"/>
  <c r="DS11" i="51" l="1"/>
  <c r="DW20" i="51" l="1"/>
  <c r="DS20" i="51"/>
  <c r="DS22" i="112"/>
  <c r="DS98" i="113"/>
  <c r="DO98" i="113"/>
  <c r="DE103" i="92" l="1"/>
  <c r="DI103" i="92" l="1"/>
  <c r="DM103" i="92" l="1"/>
  <c r="DN103" i="92" l="1"/>
  <c r="DQ99" i="92" l="1"/>
  <c r="DP103" i="92"/>
  <c r="DQ102" i="92" l="1"/>
  <c r="DQ103" i="92" s="1"/>
  <c r="DR99" i="92"/>
  <c r="DS99" i="92" l="1"/>
  <c r="DR102" i="92"/>
  <c r="DR103" i="92" s="1"/>
  <c r="DT99" i="92" l="1"/>
  <c r="DS102" i="92"/>
  <c r="DS103" i="92" s="1"/>
  <c r="DT102" i="92" l="1"/>
  <c r="DT103" i="92" s="1"/>
  <c r="DU99" i="92"/>
  <c r="DV99" i="92" s="1"/>
  <c r="DE188" i="112"/>
  <c r="DW99" i="92" l="1"/>
  <c r="DV102" i="92"/>
  <c r="DV103" i="92" s="1"/>
  <c r="DU102" i="92"/>
  <c r="DU103" i="92" s="1"/>
  <c r="DE232" i="112"/>
  <c r="FM93" i="112"/>
  <c r="DE171" i="112"/>
  <c r="DF171" i="112"/>
  <c r="DF178" i="112"/>
  <c r="DF188" i="112"/>
  <c r="DE178" i="112"/>
  <c r="DF145" i="113" l="1"/>
  <c r="DE242" i="112"/>
  <c r="DE237" i="112"/>
  <c r="DE80" i="51"/>
  <c r="DE145" i="113"/>
  <c r="DE143" i="113" s="1"/>
  <c r="FM232" i="112"/>
  <c r="DX99" i="92"/>
  <c r="DW102" i="92"/>
  <c r="DW103" i="92" s="1"/>
  <c r="DG178" i="112"/>
  <c r="DE126" i="112"/>
  <c r="DE105" i="112"/>
  <c r="DI152" i="112"/>
  <c r="DC126" i="112"/>
  <c r="DF112" i="112"/>
  <c r="DF119" i="112"/>
  <c r="DE112" i="112"/>
  <c r="GY93" i="112"/>
  <c r="DB126" i="112"/>
  <c r="DE119" i="112"/>
  <c r="DD126" i="112"/>
  <c r="DF19" i="112"/>
  <c r="DJ30" i="112" s="1"/>
  <c r="DF34" i="112"/>
  <c r="GY12" i="112"/>
  <c r="DF100" i="113"/>
  <c r="DF23" i="112"/>
  <c r="DM164" i="112" l="1"/>
  <c r="DI164" i="112"/>
  <c r="DJ171" i="112"/>
  <c r="DI171" i="112"/>
  <c r="FN93" i="112"/>
  <c r="DF242" i="112"/>
  <c r="DF143" i="113"/>
  <c r="DF71" i="113" s="1"/>
  <c r="DF64" i="51"/>
  <c r="DF73" i="51" s="1"/>
  <c r="DF237" i="112"/>
  <c r="DG232" i="112"/>
  <c r="DF80" i="51"/>
  <c r="FM237" i="112"/>
  <c r="FM242" i="112"/>
  <c r="FM145" i="113"/>
  <c r="FM80" i="51"/>
  <c r="DY99" i="92"/>
  <c r="DX102" i="92"/>
  <c r="DX103" i="92" s="1"/>
  <c r="FM143" i="113"/>
  <c r="DE71" i="113"/>
  <c r="DF30" i="112"/>
  <c r="DF41" i="112"/>
  <c r="FM152" i="112"/>
  <c r="FM119" i="112"/>
  <c r="FM105" i="112"/>
  <c r="DG100" i="113"/>
  <c r="DG34" i="112"/>
  <c r="DG23" i="112"/>
  <c r="DF21" i="51"/>
  <c r="GX12" i="51"/>
  <c r="DF32" i="51"/>
  <c r="FN116" i="51" s="1"/>
  <c r="GY105" i="112"/>
  <c r="GY119" i="112"/>
  <c r="DH126" i="112"/>
  <c r="DJ112" i="112"/>
  <c r="DJ119" i="112"/>
  <c r="DI119" i="112"/>
  <c r="DI126" i="112"/>
  <c r="DG126" i="112"/>
  <c r="DF126" i="112"/>
  <c r="DI112" i="112"/>
  <c r="DF102" i="113"/>
  <c r="GW100" i="113"/>
  <c r="GW107" i="113" s="1"/>
  <c r="GY19" i="112"/>
  <c r="GY30" i="112" s="1"/>
  <c r="GY152" i="112"/>
  <c r="GY164" i="112" s="1"/>
  <c r="GY23" i="112"/>
  <c r="DH178" i="112"/>
  <c r="F42" i="116" l="1"/>
  <c r="DF72" i="113"/>
  <c r="DG237" i="112"/>
  <c r="FO93" i="112"/>
  <c r="DG64" i="51"/>
  <c r="DG73" i="51" s="1"/>
  <c r="DH232" i="112"/>
  <c r="DF66" i="51"/>
  <c r="DF75" i="51" s="1"/>
  <c r="DG80" i="51"/>
  <c r="DG242" i="112"/>
  <c r="DG145" i="113"/>
  <c r="DG143" i="113" s="1"/>
  <c r="DG71" i="113" s="1"/>
  <c r="DG72" i="113" s="1"/>
  <c r="DZ99" i="92"/>
  <c r="DY102" i="92"/>
  <c r="DY103" i="92" s="1"/>
  <c r="GW143" i="113"/>
  <c r="GW145" i="113" s="1"/>
  <c r="FM71" i="113"/>
  <c r="DE72" i="113"/>
  <c r="FM72" i="113" s="1"/>
  <c r="DF35" i="51"/>
  <c r="DF24" i="51"/>
  <c r="GX15" i="51"/>
  <c r="DH100" i="113"/>
  <c r="DH23" i="112"/>
  <c r="DH34" i="112"/>
  <c r="GZ119" i="112"/>
  <c r="GZ105" i="112"/>
  <c r="DI178" i="112"/>
  <c r="DF15" i="113"/>
  <c r="GW102" i="113"/>
  <c r="GW109" i="113" s="1"/>
  <c r="DF109" i="113"/>
  <c r="FN119" i="112"/>
  <c r="FN105" i="112"/>
  <c r="DK126" i="112"/>
  <c r="DN112" i="112"/>
  <c r="DM119" i="112"/>
  <c r="DM126" i="112"/>
  <c r="DN119" i="112"/>
  <c r="DQ93" i="112"/>
  <c r="DL126" i="112"/>
  <c r="DJ126" i="112"/>
  <c r="DM112" i="112"/>
  <c r="GX21" i="51"/>
  <c r="DG32" i="51"/>
  <c r="FO116" i="51" s="1"/>
  <c r="DG21" i="51"/>
  <c r="FM164" i="112"/>
  <c r="M121" i="115" l="1"/>
  <c r="X121" i="115" s="1"/>
  <c r="DQ152" i="112"/>
  <c r="H42" i="116"/>
  <c r="I42" i="116" s="1"/>
  <c r="J42" i="116"/>
  <c r="FN12" i="112"/>
  <c r="E30" i="123"/>
  <c r="F30" i="123" s="1"/>
  <c r="K20" i="123"/>
  <c r="H30" i="123"/>
  <c r="DH242" i="112"/>
  <c r="DH145" i="113"/>
  <c r="DH143" i="113" s="1"/>
  <c r="DH71" i="113" s="1"/>
  <c r="DH72" i="113" s="1"/>
  <c r="FN72" i="113" s="1"/>
  <c r="DH80" i="51"/>
  <c r="DI232" i="112"/>
  <c r="DH237" i="112"/>
  <c r="DH64" i="51"/>
  <c r="DH73" i="51" s="1"/>
  <c r="EA99" i="92"/>
  <c r="DZ102" i="92"/>
  <c r="DZ103" i="92" s="1"/>
  <c r="GW71" i="113"/>
  <c r="GW72" i="113" s="1"/>
  <c r="DF28" i="113"/>
  <c r="HA119" i="112"/>
  <c r="HA105" i="112"/>
  <c r="FO119" i="112"/>
  <c r="FO105" i="112"/>
  <c r="DU93" i="112"/>
  <c r="DQ126" i="112"/>
  <c r="DR112" i="112"/>
  <c r="DN126" i="112"/>
  <c r="DO126" i="112"/>
  <c r="DR119" i="112"/>
  <c r="GX52" i="51"/>
  <c r="DH32" i="51"/>
  <c r="FP116" i="51" s="1"/>
  <c r="DH21" i="51"/>
  <c r="DI100" i="113"/>
  <c r="DI34" i="112"/>
  <c r="DI23" i="112"/>
  <c r="DF56" i="113"/>
  <c r="DF41" i="113"/>
  <c r="GW15" i="113"/>
  <c r="DJ178" i="112"/>
  <c r="GX24" i="51"/>
  <c r="O121" i="115" l="1"/>
  <c r="DU152" i="112"/>
  <c r="DI71" i="113"/>
  <c r="FN71" i="113" s="1"/>
  <c r="L42" i="116"/>
  <c r="M42" i="116" s="1"/>
  <c r="GZ12" i="112"/>
  <c r="GZ152" i="112" s="1"/>
  <c r="GZ164" i="112" s="1"/>
  <c r="H34" i="123"/>
  <c r="F34" i="123"/>
  <c r="K24" i="123"/>
  <c r="R20" i="123"/>
  <c r="Q20" i="123"/>
  <c r="N20" i="123"/>
  <c r="M20" i="123"/>
  <c r="FN232" i="112"/>
  <c r="DI80" i="51"/>
  <c r="DI237" i="112"/>
  <c r="DI242" i="112"/>
  <c r="DI145" i="113"/>
  <c r="FN145" i="113" s="1"/>
  <c r="DI64" i="51"/>
  <c r="DI73" i="51" s="1"/>
  <c r="EB99" i="92"/>
  <c r="EA102" i="92"/>
  <c r="EA103" i="92" s="1"/>
  <c r="DY93" i="112"/>
  <c r="DV112" i="112"/>
  <c r="DV119" i="112"/>
  <c r="GW68" i="113"/>
  <c r="GW69" i="113" s="1"/>
  <c r="GW41" i="113"/>
  <c r="GW28" i="113"/>
  <c r="FN12" i="51"/>
  <c r="FN100" i="113"/>
  <c r="FN107" i="113" s="1"/>
  <c r="DJ100" i="113"/>
  <c r="GX100" i="113" s="1"/>
  <c r="GX107" i="113" s="1"/>
  <c r="DJ34" i="112"/>
  <c r="FN152" i="112"/>
  <c r="FN23" i="112"/>
  <c r="DI32" i="51"/>
  <c r="FQ116" i="51" s="1"/>
  <c r="DI21" i="51"/>
  <c r="GX48" i="51"/>
  <c r="DK178" i="112"/>
  <c r="DY152" i="112" l="1"/>
  <c r="DJ71" i="113"/>
  <c r="GX71" i="113" s="1"/>
  <c r="GX72" i="113" s="1"/>
  <c r="GZ23" i="112"/>
  <c r="FN237" i="112"/>
  <c r="FN242" i="112"/>
  <c r="Q24" i="123"/>
  <c r="M24" i="123"/>
  <c r="FN80" i="51"/>
  <c r="DI143" i="113"/>
  <c r="DI68" i="113" s="1"/>
  <c r="DJ64" i="51"/>
  <c r="DJ73" i="51" s="1"/>
  <c r="FN64" i="51"/>
  <c r="FN73" i="51" s="1"/>
  <c r="EC93" i="112"/>
  <c r="EC99" i="92"/>
  <c r="EB102" i="92"/>
  <c r="EB103" i="92" s="1"/>
  <c r="DZ112" i="112"/>
  <c r="DZ119" i="112"/>
  <c r="FN21" i="51"/>
  <c r="F23" i="116"/>
  <c r="GY12" i="51"/>
  <c r="GY21" i="51" s="1"/>
  <c r="FN164" i="112"/>
  <c r="DK34" i="112"/>
  <c r="DK100" i="113"/>
  <c r="DJ32" i="51"/>
  <c r="FN117" i="51" s="1"/>
  <c r="DJ21" i="51"/>
  <c r="M113" i="125" l="1"/>
  <c r="Y113" i="125" s="1"/>
  <c r="EC152" i="112"/>
  <c r="DY12" i="112"/>
  <c r="DK71" i="113"/>
  <c r="DL71" i="113" s="1"/>
  <c r="DM71" i="113" s="1"/>
  <c r="DN71" i="113" s="1"/>
  <c r="DO71" i="113" s="1"/>
  <c r="DP71" i="113" s="1"/>
  <c r="DQ71" i="113" s="1"/>
  <c r="DR71" i="113" s="1"/>
  <c r="GZ71" i="113" s="1"/>
  <c r="FN68" i="113"/>
  <c r="F48" i="116"/>
  <c r="FN143" i="113"/>
  <c r="ED119" i="112"/>
  <c r="EG93" i="112"/>
  <c r="ED112" i="112"/>
  <c r="ED99" i="92"/>
  <c r="EC102" i="92"/>
  <c r="EC103" i="92" s="1"/>
  <c r="H23" i="116"/>
  <c r="I23" i="116" s="1"/>
  <c r="DK21" i="51"/>
  <c r="DK32" i="51"/>
  <c r="FO117" i="51" s="1"/>
  <c r="DY100" i="113" l="1"/>
  <c r="M127" i="125"/>
  <c r="Y127" i="125" s="1"/>
  <c r="X113" i="125"/>
  <c r="EC12" i="112"/>
  <c r="DY12" i="51"/>
  <c r="EG152" i="112"/>
  <c r="DS71" i="113"/>
  <c r="HA71" i="113" s="1"/>
  <c r="HA72" i="113" s="1"/>
  <c r="FP71" i="113"/>
  <c r="FO71" i="113"/>
  <c r="GY71" i="113"/>
  <c r="GY72" i="113" s="1"/>
  <c r="H48" i="116"/>
  <c r="I48" i="116" s="1"/>
  <c r="EK93" i="112"/>
  <c r="EH119" i="112"/>
  <c r="EH112" i="112"/>
  <c r="EE99" i="92"/>
  <c r="ED102" i="92"/>
  <c r="ED103" i="92" s="1"/>
  <c r="DM100" i="113"/>
  <c r="AB9" i="115"/>
  <c r="AC9" i="115" s="1"/>
  <c r="X127" i="125" l="1"/>
  <c r="EC12" i="51"/>
  <c r="EC100" i="113"/>
  <c r="DT71" i="113"/>
  <c r="DU71" i="113" s="1"/>
  <c r="FQ71" i="113" s="1"/>
  <c r="EC23" i="112"/>
  <c r="EG12" i="112"/>
  <c r="EK152" i="112"/>
  <c r="GZ72" i="113"/>
  <c r="EF99" i="92"/>
  <c r="EE102" i="92"/>
  <c r="EE103" i="92" s="1"/>
  <c r="DM21" i="51"/>
  <c r="DN100" i="113"/>
  <c r="DN34" i="112"/>
  <c r="EC21" i="51" l="1"/>
  <c r="DV71" i="113"/>
  <c r="DW71" i="113" s="1"/>
  <c r="DX71" i="113" s="1"/>
  <c r="DY71" i="113" s="1"/>
  <c r="FR71" i="113" s="1"/>
  <c r="EG12" i="51"/>
  <c r="HC71" i="113"/>
  <c r="EG100" i="113"/>
  <c r="EG23" i="112"/>
  <c r="EK12" i="112"/>
  <c r="EG99" i="92"/>
  <c r="EF102" i="92"/>
  <c r="EF103" i="92" s="1"/>
  <c r="DN32" i="51"/>
  <c r="FN118" i="51" s="1"/>
  <c r="DO19" i="112"/>
  <c r="DO34" i="112"/>
  <c r="DO100" i="113"/>
  <c r="EG21" i="51" l="1"/>
  <c r="EK12" i="51"/>
  <c r="EK100" i="113"/>
  <c r="EK23" i="112"/>
  <c r="DZ71" i="113"/>
  <c r="EH99" i="92"/>
  <c r="EG102" i="92"/>
  <c r="EG103" i="92" s="1"/>
  <c r="DO21" i="51"/>
  <c r="DO32" i="51"/>
  <c r="FO118" i="51" s="1"/>
  <c r="DO102" i="113"/>
  <c r="DQ12" i="112"/>
  <c r="EK21" i="51" l="1"/>
  <c r="EA71" i="113"/>
  <c r="EB71" i="113" s="1"/>
  <c r="EC71" i="113" s="1"/>
  <c r="HB71" i="113"/>
  <c r="EI99" i="92"/>
  <c r="EH102" i="92"/>
  <c r="EH103" i="92" s="1"/>
  <c r="DQ100" i="113"/>
  <c r="DQ12" i="51"/>
  <c r="DQ23" i="112"/>
  <c r="DO109" i="113"/>
  <c r="DO15" i="113"/>
  <c r="HB72" i="113" l="1"/>
  <c r="HC72" i="113"/>
  <c r="ED71" i="113"/>
  <c r="EE71" i="113" s="1"/>
  <c r="EF71" i="113" s="1"/>
  <c r="EG71" i="113" s="1"/>
  <c r="FS71" i="113"/>
  <c r="EJ99" i="92"/>
  <c r="EI102" i="92"/>
  <c r="EI103" i="92" s="1"/>
  <c r="DQ21" i="51"/>
  <c r="DS12" i="112"/>
  <c r="EH71" i="113" l="1"/>
  <c r="FT71" i="113"/>
  <c r="DW23" i="112"/>
  <c r="EK99" i="92"/>
  <c r="EK102" i="92" s="1"/>
  <c r="EK103" i="92" s="1"/>
  <c r="EJ102" i="92"/>
  <c r="EJ103" i="92" s="1"/>
  <c r="DS100" i="113"/>
  <c r="DS19" i="112"/>
  <c r="DW30" i="112" s="1"/>
  <c r="DS23" i="112"/>
  <c r="DS12" i="51"/>
  <c r="EI71" i="113" l="1"/>
  <c r="EJ71" i="113" s="1"/>
  <c r="EK71" i="113" s="1"/>
  <c r="FU71" i="113" s="1"/>
  <c r="HD71" i="113"/>
  <c r="HD72" i="113" s="1"/>
  <c r="DS102" i="113"/>
  <c r="DS109" i="113" s="1"/>
  <c r="DW21" i="51"/>
  <c r="DS15" i="51"/>
  <c r="DS21" i="51"/>
  <c r="DU12" i="112"/>
  <c r="DS30" i="112"/>
  <c r="DS15" i="113" l="1"/>
  <c r="DW24" i="51"/>
  <c r="DY23" i="112"/>
  <c r="DU100" i="113"/>
  <c r="DU12" i="51"/>
  <c r="DU23" i="112"/>
  <c r="DS24" i="51"/>
  <c r="DW28" i="113" l="1"/>
  <c r="DS28" i="113"/>
  <c r="DW41" i="113"/>
  <c r="DS41" i="113"/>
  <c r="DY21" i="51"/>
  <c r="DU21" i="51"/>
  <c r="DF172" i="112" l="1"/>
  <c r="DE179" i="112"/>
  <c r="DE172" i="112"/>
  <c r="DF179" i="112"/>
  <c r="DI165" i="112"/>
  <c r="DF120" i="112"/>
  <c r="GY106" i="112" l="1"/>
  <c r="DI106" i="112"/>
  <c r="GY120" i="112"/>
  <c r="DE127" i="112"/>
  <c r="GY158" i="112"/>
  <c r="DC127" i="112"/>
  <c r="DE113" i="112"/>
  <c r="DE120" i="112"/>
  <c r="DF113" i="112"/>
  <c r="DE106" i="112"/>
  <c r="DB127" i="112"/>
  <c r="DD127" i="112"/>
  <c r="FM106" i="112" l="1"/>
  <c r="FN120" i="112"/>
  <c r="FM120" i="112"/>
  <c r="FN106" i="112"/>
  <c r="GY165" i="112"/>
  <c r="FN165" i="112" l="1"/>
  <c r="FM165" i="112"/>
  <c r="DE67" i="113" l="1"/>
  <c r="FM67" i="113" s="1"/>
  <c r="DE69" i="113"/>
  <c r="FM69" i="113" s="1"/>
  <c r="DE142" i="113" l="1"/>
  <c r="FM142" i="113" l="1"/>
  <c r="DE146" i="113"/>
  <c r="DE13" i="113"/>
  <c r="DE20" i="113" l="1"/>
  <c r="FM144" i="113"/>
  <c r="FM146" i="113"/>
  <c r="DE26" i="113"/>
  <c r="DE54" i="113"/>
  <c r="DE39" i="113"/>
  <c r="FM13" i="113"/>
  <c r="DE33" i="113" l="1"/>
  <c r="FM39" i="113"/>
  <c r="FM26" i="113"/>
  <c r="FM20" i="113"/>
  <c r="DE61" i="113"/>
  <c r="DE46" i="113"/>
  <c r="FM46" i="113" l="1"/>
  <c r="FM33" i="113"/>
  <c r="DG69" i="113" l="1"/>
  <c r="DF142" i="113" l="1"/>
  <c r="DG142" i="113"/>
  <c r="DH142" i="113" l="1"/>
  <c r="DH69" i="113"/>
  <c r="DG13" i="113"/>
  <c r="GW142" i="113"/>
  <c r="DF13" i="113"/>
  <c r="DF146" i="113"/>
  <c r="DF20" i="113" l="1"/>
  <c r="GW146" i="113"/>
  <c r="GW144" i="113"/>
  <c r="DG26" i="113"/>
  <c r="DF26" i="113"/>
  <c r="DG39" i="113"/>
  <c r="DG54" i="113"/>
  <c r="DI69" i="113"/>
  <c r="FN69" i="113" s="1"/>
  <c r="DI142" i="113"/>
  <c r="GW13" i="113"/>
  <c r="DF54" i="113"/>
  <c r="DF39" i="113"/>
  <c r="DH13" i="113"/>
  <c r="DF61" i="113" l="1"/>
  <c r="DF46" i="113"/>
  <c r="GW20" i="113"/>
  <c r="GW46" i="113" s="1"/>
  <c r="DF33" i="113"/>
  <c r="DH26" i="113"/>
  <c r="DF34" i="113"/>
  <c r="GW39" i="113"/>
  <c r="GW26" i="113"/>
  <c r="DF67" i="51"/>
  <c r="GW21" i="113"/>
  <c r="DF62" i="113"/>
  <c r="DF47" i="113"/>
  <c r="DF49" i="113" s="1"/>
  <c r="GW67" i="113"/>
  <c r="DI13" i="113"/>
  <c r="FN142" i="113"/>
  <c r="DH39" i="113"/>
  <c r="DH54" i="113"/>
  <c r="GW33" i="113" l="1"/>
  <c r="FN144" i="113"/>
  <c r="DI26" i="113"/>
  <c r="GW47" i="113"/>
  <c r="GW34" i="113"/>
  <c r="DI54" i="113"/>
  <c r="DI39" i="113"/>
  <c r="FN13" i="113"/>
  <c r="DF17" i="51"/>
  <c r="DF25" i="51"/>
  <c r="GX16" i="51"/>
  <c r="DF36" i="51"/>
  <c r="FN134" i="51" s="1"/>
  <c r="DF76" i="51"/>
  <c r="G28" i="125" l="1"/>
  <c r="P26" i="125" s="1"/>
  <c r="G31" i="115"/>
  <c r="E31" i="123"/>
  <c r="F31" i="123" s="1"/>
  <c r="K21" i="123"/>
  <c r="H31" i="123"/>
  <c r="E28" i="123"/>
  <c r="F28" i="123" s="1"/>
  <c r="H28" i="123"/>
  <c r="K18" i="123"/>
  <c r="DF68" i="51"/>
  <c r="DF77" i="51" s="1"/>
  <c r="DF50" i="51"/>
  <c r="FN39" i="113"/>
  <c r="FN26" i="113"/>
  <c r="DF45" i="51"/>
  <c r="GX17" i="51"/>
  <c r="GX45" i="51" s="1"/>
  <c r="DF26" i="51"/>
  <c r="DF28" i="51" s="1"/>
  <c r="DF40" i="51"/>
  <c r="DF41" i="51"/>
  <c r="DF42" i="51"/>
  <c r="DF43" i="51"/>
  <c r="DF44" i="51"/>
  <c r="DF46" i="51"/>
  <c r="DF37" i="51"/>
  <c r="GX53" i="51"/>
  <c r="GX25" i="51"/>
  <c r="H28" i="125" l="1"/>
  <c r="G63" i="125"/>
  <c r="L26" i="125"/>
  <c r="G36" i="125"/>
  <c r="H36" i="125" s="1"/>
  <c r="U26" i="125"/>
  <c r="P29" i="115"/>
  <c r="G35" i="115"/>
  <c r="U29" i="115"/>
  <c r="H32" i="123"/>
  <c r="K22" i="123"/>
  <c r="E32" i="123"/>
  <c r="F32" i="123" s="1"/>
  <c r="N21" i="123"/>
  <c r="M21" i="123"/>
  <c r="R21" i="123"/>
  <c r="Q21" i="123"/>
  <c r="N18" i="123"/>
  <c r="M18" i="123"/>
  <c r="R18" i="123"/>
  <c r="Q18" i="123"/>
  <c r="F35" i="123"/>
  <c r="H35" i="123"/>
  <c r="K25" i="123"/>
  <c r="CL85" i="6"/>
  <c r="DZ176" i="119" s="1"/>
  <c r="DZ11" i="119"/>
  <c r="DZ270" i="119" s="1"/>
  <c r="CL94" i="6"/>
  <c r="CL49" i="6"/>
  <c r="CL86" i="6"/>
  <c r="CL67" i="6"/>
  <c r="GX49" i="51"/>
  <c r="GX58" i="51" s="1"/>
  <c r="GX41" i="51"/>
  <c r="GX44" i="51"/>
  <c r="GX43" i="51"/>
  <c r="GX26" i="51"/>
  <c r="GX40" i="51"/>
  <c r="GX46" i="51"/>
  <c r="GX42" i="51"/>
  <c r="DZ42" i="119"/>
  <c r="GW9" i="1"/>
  <c r="DF60" i="1"/>
  <c r="DF63" i="1"/>
  <c r="DF64" i="1"/>
  <c r="DF65" i="1"/>
  <c r="DF67" i="1"/>
  <c r="DF75" i="1"/>
  <c r="DF39" i="1"/>
  <c r="DF117" i="1"/>
  <c r="DF96" i="1"/>
  <c r="GX50" i="51"/>
  <c r="GX59" i="51" s="1"/>
  <c r="GX54" i="51"/>
  <c r="P34" i="125" l="1"/>
  <c r="U34" i="125"/>
  <c r="L34" i="125"/>
  <c r="U33" i="115"/>
  <c r="P33" i="115"/>
  <c r="Q25" i="123"/>
  <c r="M25" i="123"/>
  <c r="H36" i="123"/>
  <c r="K26" i="123"/>
  <c r="F36" i="123"/>
  <c r="Q22" i="123"/>
  <c r="N22" i="123"/>
  <c r="M22" i="123"/>
  <c r="R22" i="123"/>
  <c r="DF82" i="51"/>
  <c r="DZ18" i="119"/>
  <c r="DZ19" i="119" s="1"/>
  <c r="DZ14" i="119"/>
  <c r="DZ12" i="119"/>
  <c r="CL64" i="6"/>
  <c r="CL82" i="6"/>
  <c r="GX57" i="51"/>
  <c r="DZ56" i="119"/>
  <c r="DZ43" i="119"/>
  <c r="GW10" i="1"/>
  <c r="DF61" i="1"/>
  <c r="DF40" i="1"/>
  <c r="DF76" i="1"/>
  <c r="DF118" i="1"/>
  <c r="DF97" i="1"/>
  <c r="GW39" i="1"/>
  <c r="GW96" i="1"/>
  <c r="GW60" i="1"/>
  <c r="GW63" i="1"/>
  <c r="GW64" i="1"/>
  <c r="GW65" i="1"/>
  <c r="GW67" i="1"/>
  <c r="Q26" i="123" l="1"/>
  <c r="M26" i="123"/>
  <c r="CL65" i="6"/>
  <c r="DZ169" i="119"/>
  <c r="DZ163" i="119"/>
  <c r="CL83" i="6"/>
  <c r="CL71" i="6"/>
  <c r="CL63" i="6"/>
  <c r="CL62" i="6"/>
  <c r="CL50" i="6"/>
  <c r="CL80" i="6"/>
  <c r="CL81" i="6"/>
  <c r="CL69" i="6"/>
  <c r="CL70" i="6"/>
  <c r="CL52" i="6"/>
  <c r="GB17" i="3"/>
  <c r="GW40" i="1"/>
  <c r="GW97" i="1"/>
  <c r="GW61" i="1"/>
  <c r="GW11" i="1"/>
  <c r="DF62" i="1"/>
  <c r="DF59" i="51" s="1"/>
  <c r="DF41" i="1"/>
  <c r="DF77" i="1"/>
  <c r="DF119" i="1"/>
  <c r="DF98" i="1"/>
  <c r="DZ164" i="119" l="1"/>
  <c r="DZ23" i="119"/>
  <c r="DZ268" i="119" s="1"/>
  <c r="DZ167" i="119"/>
  <c r="DZ153" i="119"/>
  <c r="DZ149" i="119"/>
  <c r="DZ154" i="119"/>
  <c r="DZ150" i="119"/>
  <c r="DZ151" i="119"/>
  <c r="DZ148" i="119"/>
  <c r="DZ145" i="119"/>
  <c r="DZ142" i="119"/>
  <c r="DZ139" i="119"/>
  <c r="DZ146" i="119"/>
  <c r="DZ143" i="119"/>
  <c r="DZ140" i="119"/>
  <c r="DZ147" i="119"/>
  <c r="DZ144" i="119"/>
  <c r="DZ141" i="119"/>
  <c r="DZ138" i="119"/>
  <c r="DZ129" i="119"/>
  <c r="DZ135" i="119"/>
  <c r="CL53" i="6"/>
  <c r="CL68" i="6"/>
  <c r="CL84" i="6"/>
  <c r="CL66" i="6"/>
  <c r="CL35" i="6"/>
  <c r="CL51" i="6"/>
  <c r="CL38" i="6"/>
  <c r="CL56" i="6" s="1"/>
  <c r="GW15" i="1"/>
  <c r="E31" i="117" s="1"/>
  <c r="DF66" i="1"/>
  <c r="DF81" i="1"/>
  <c r="DZ30" i="119"/>
  <c r="DZ269" i="119" s="1"/>
  <c r="DF45" i="1"/>
  <c r="DF123" i="1"/>
  <c r="DF102" i="1"/>
  <c r="DZ20" i="119"/>
  <c r="DZ259" i="119" s="1"/>
  <c r="GW98" i="1"/>
  <c r="GW62" i="1"/>
  <c r="GW41" i="1"/>
  <c r="GB13" i="3"/>
  <c r="GB18" i="3"/>
  <c r="GB21" i="3"/>
  <c r="DZ128" i="119" l="1"/>
  <c r="DZ174" i="119"/>
  <c r="DZ165" i="119"/>
  <c r="DZ170" i="119"/>
  <c r="DZ166" i="119"/>
  <c r="DZ152" i="119"/>
  <c r="CL54" i="6"/>
  <c r="CL72" i="6"/>
  <c r="CL74" i="6"/>
  <c r="CL93" i="6"/>
  <c r="CL96" i="6"/>
  <c r="CL77" i="6"/>
  <c r="CL59" i="6"/>
  <c r="CL37" i="6"/>
  <c r="CL58" i="6" s="1"/>
  <c r="DZ59" i="119"/>
  <c r="GW102" i="1"/>
  <c r="GW66" i="1"/>
  <c r="GW45" i="1"/>
  <c r="DF48" i="1"/>
  <c r="DF69" i="1"/>
  <c r="GW23" i="1"/>
  <c r="DZ273" i="119"/>
  <c r="DF126" i="1"/>
  <c r="DF105" i="1"/>
  <c r="DF84" i="1"/>
  <c r="DF47" i="1"/>
  <c r="DF68" i="1"/>
  <c r="DF83" i="1"/>
  <c r="GW17" i="1"/>
  <c r="E56" i="117" s="1"/>
  <c r="DF125" i="1"/>
  <c r="DF104" i="1"/>
  <c r="DZ44" i="119" l="1"/>
  <c r="DZ173" i="119"/>
  <c r="CL95" i="6"/>
  <c r="CL76" i="6"/>
  <c r="CL39" i="6"/>
  <c r="DZ97" i="119"/>
  <c r="GB20" i="3"/>
  <c r="GB19" i="3"/>
  <c r="GB23" i="3"/>
  <c r="DF35" i="2"/>
  <c r="DZ60" i="119" s="1"/>
  <c r="DZ286" i="119"/>
  <c r="DZ288" i="119" s="1"/>
  <c r="GW24" i="1"/>
  <c r="GW48" i="1"/>
  <c r="GW69" i="1"/>
  <c r="GW105" i="1"/>
  <c r="GW47" i="1"/>
  <c r="GW68" i="1"/>
  <c r="GW104" i="1"/>
  <c r="FO13" i="3"/>
  <c r="AC95" i="119" s="1"/>
  <c r="DZ275" i="119" l="1"/>
  <c r="DZ277" i="119"/>
  <c r="DF44" i="2"/>
  <c r="DZ65" i="119" s="1"/>
  <c r="DZ48" i="119"/>
  <c r="DG78" i="2"/>
  <c r="GB32" i="3"/>
  <c r="E36" i="117" s="1"/>
  <c r="DF35" i="3"/>
  <c r="DZ101" i="119" s="1"/>
  <c r="EA286" i="119"/>
  <c r="EA288" i="119" s="1"/>
  <c r="DH68" i="3"/>
  <c r="GW26" i="1"/>
  <c r="DF49" i="1"/>
  <c r="DF70" i="1"/>
  <c r="DF85" i="1"/>
  <c r="DF106" i="1"/>
  <c r="DF127" i="1"/>
  <c r="GW25" i="1"/>
  <c r="GW33" i="1"/>
  <c r="DF55" i="1"/>
  <c r="DF91" i="1"/>
  <c r="DF112" i="1"/>
  <c r="DF133" i="1"/>
  <c r="EA93" i="119" l="1"/>
  <c r="DG84" i="2"/>
  <c r="DG81" i="2"/>
  <c r="DZ287" i="119"/>
  <c r="AP8" i="114"/>
  <c r="DZ279" i="119"/>
  <c r="DZ282" i="119" s="1"/>
  <c r="GB24" i="3"/>
  <c r="E37" i="117" s="1"/>
  <c r="DZ94" i="119"/>
  <c r="DZ267" i="119"/>
  <c r="DZ280" i="119"/>
  <c r="EA47" i="119"/>
  <c r="EA21" i="119"/>
  <c r="DF89" i="2"/>
  <c r="DF25" i="2"/>
  <c r="GB35" i="3"/>
  <c r="DF51" i="1"/>
  <c r="DF129" i="1"/>
  <c r="DF108" i="1"/>
  <c r="DF87" i="1"/>
  <c r="GW29" i="1"/>
  <c r="GW49" i="1"/>
  <c r="GW70" i="1"/>
  <c r="GW106" i="1"/>
  <c r="GW34" i="1"/>
  <c r="GW30" i="1" s="1"/>
  <c r="E63" i="117" s="1"/>
  <c r="DF56" i="1"/>
  <c r="DF92" i="1"/>
  <c r="DF134" i="1"/>
  <c r="DF113" i="1"/>
  <c r="GW55" i="1"/>
  <c r="GW112" i="1"/>
  <c r="DZ305" i="119"/>
  <c r="GW28" i="1"/>
  <c r="DF50" i="1"/>
  <c r="DF71" i="1"/>
  <c r="DF86" i="1"/>
  <c r="DF128" i="1"/>
  <c r="DF107" i="1"/>
  <c r="DZ281" i="119"/>
  <c r="DZ260" i="119" s="1"/>
  <c r="FO46" i="2"/>
  <c r="DI68" i="3"/>
  <c r="EB286" i="119"/>
  <c r="EB288" i="119" s="1"/>
  <c r="DG55" i="1"/>
  <c r="DG91" i="1"/>
  <c r="DG112" i="1"/>
  <c r="DG133" i="1"/>
  <c r="EA287" i="119" l="1"/>
  <c r="DZ283" i="119"/>
  <c r="C5" i="118"/>
  <c r="E253" i="119"/>
  <c r="DZ284" i="119"/>
  <c r="DZ102" i="119"/>
  <c r="DG82" i="1"/>
  <c r="DG124" i="1"/>
  <c r="DG46" i="1"/>
  <c r="DG103" i="1"/>
  <c r="DF87" i="2"/>
  <c r="DZ46" i="119" s="1"/>
  <c r="GW52" i="1"/>
  <c r="GW109" i="1"/>
  <c r="GB11" i="3"/>
  <c r="DZ96" i="119"/>
  <c r="DF52" i="1"/>
  <c r="DF88" i="1"/>
  <c r="DF109" i="1"/>
  <c r="DF130" i="1"/>
  <c r="DH55" i="1"/>
  <c r="DH91" i="1"/>
  <c r="DH112" i="1"/>
  <c r="DH133" i="1"/>
  <c r="FP13" i="3"/>
  <c r="AD95" i="119" s="1"/>
  <c r="DG56" i="1"/>
  <c r="DG92" i="1"/>
  <c r="DG134" i="1"/>
  <c r="DG113" i="1"/>
  <c r="GW51" i="1"/>
  <c r="GW108" i="1"/>
  <c r="DF54" i="1"/>
  <c r="DF132" i="1"/>
  <c r="DF111" i="1"/>
  <c r="DF90" i="1"/>
  <c r="GB41" i="3"/>
  <c r="DF48" i="3"/>
  <c r="GW56" i="1"/>
  <c r="GW113" i="1"/>
  <c r="DF53" i="1"/>
  <c r="DF89" i="1"/>
  <c r="DF131" i="1"/>
  <c r="DF110" i="1"/>
  <c r="GW31" i="1"/>
  <c r="GW32" i="1"/>
  <c r="GW50" i="1"/>
  <c r="GW71" i="1"/>
  <c r="GW107" i="1"/>
  <c r="EB287" i="119" l="1"/>
  <c r="EA284" i="119"/>
  <c r="EA102" i="119"/>
  <c r="FN33" i="1"/>
  <c r="AC286" i="119" s="1"/>
  <c r="AC288" i="119" s="1"/>
  <c r="EC286" i="119"/>
  <c r="EC288" i="119" s="1"/>
  <c r="GW54" i="1"/>
  <c r="GW111" i="1"/>
  <c r="DF49" i="2"/>
  <c r="DF66" i="2" s="1"/>
  <c r="DH56" i="1"/>
  <c r="DH113" i="1"/>
  <c r="DH92" i="1"/>
  <c r="DH134" i="1"/>
  <c r="GW53" i="1"/>
  <c r="GW110" i="1"/>
  <c r="GB25" i="3"/>
  <c r="GB54" i="3" s="1"/>
  <c r="DF50" i="3"/>
  <c r="DF54" i="3"/>
  <c r="DI91" i="1"/>
  <c r="DI112" i="1"/>
  <c r="DI55" i="1"/>
  <c r="DI133" i="1"/>
  <c r="DG48" i="3"/>
  <c r="GB48" i="3"/>
  <c r="GB55" i="3" l="1"/>
  <c r="E59" i="117" s="1"/>
  <c r="DF65" i="3"/>
  <c r="FN34" i="1"/>
  <c r="EC287" i="119"/>
  <c r="EB102" i="119"/>
  <c r="EB284" i="119"/>
  <c r="GX33" i="1"/>
  <c r="GX55" i="1" s="1"/>
  <c r="ED286" i="119"/>
  <c r="ED288" i="119" s="1"/>
  <c r="FN55" i="1"/>
  <c r="FN112" i="1"/>
  <c r="DZ69" i="119"/>
  <c r="DZ271" i="119" s="1"/>
  <c r="DZ67" i="119"/>
  <c r="DZ298" i="119" s="1"/>
  <c r="DZ256" i="119" s="1"/>
  <c r="DF55" i="3"/>
  <c r="DF52" i="3"/>
  <c r="GB50" i="3"/>
  <c r="GB52" i="3" s="1"/>
  <c r="DH48" i="3"/>
  <c r="DL68" i="3"/>
  <c r="EE286" i="119"/>
  <c r="EE288" i="119" s="1"/>
  <c r="DF51" i="2"/>
  <c r="DZ70" i="119" s="1"/>
  <c r="DJ91" i="1"/>
  <c r="DJ112" i="1"/>
  <c r="DJ55" i="1"/>
  <c r="DI113" i="1"/>
  <c r="DI56" i="1"/>
  <c r="DI92" i="1"/>
  <c r="DI134" i="1"/>
  <c r="ED287" i="119" l="1"/>
  <c r="GX112" i="1"/>
  <c r="FN113" i="1"/>
  <c r="FN56" i="1"/>
  <c r="F18" i="116"/>
  <c r="H18" i="116" s="1"/>
  <c r="I18" i="116" s="1"/>
  <c r="EC284" i="119"/>
  <c r="EC102" i="119"/>
  <c r="AC287" i="119"/>
  <c r="D25" i="118"/>
  <c r="D37" i="118" s="1"/>
  <c r="DI48" i="3"/>
  <c r="FO41" i="3"/>
  <c r="DK91" i="1"/>
  <c r="DK112" i="1"/>
  <c r="DK55" i="1"/>
  <c r="DG51" i="3"/>
  <c r="GC51" i="3" s="1"/>
  <c r="EF286" i="119"/>
  <c r="EF288" i="119" s="1"/>
  <c r="DJ113" i="1"/>
  <c r="DJ56" i="1"/>
  <c r="DJ92" i="1"/>
  <c r="GX34" i="1"/>
  <c r="FP46" i="2"/>
  <c r="FO64" i="3" l="1"/>
  <c r="AC284" i="119"/>
  <c r="AC102" i="119"/>
  <c r="D108" i="118"/>
  <c r="D96" i="118" s="1"/>
  <c r="D73" i="118"/>
  <c r="D61" i="118" s="1"/>
  <c r="EE287" i="119"/>
  <c r="GC41" i="3"/>
  <c r="ED284" i="119"/>
  <c r="ED102" i="119"/>
  <c r="DK92" i="1"/>
  <c r="DK113" i="1"/>
  <c r="DK56" i="1"/>
  <c r="GX113" i="1"/>
  <c r="GX56" i="1"/>
  <c r="FO48" i="3"/>
  <c r="DL55" i="1"/>
  <c r="DL112" i="1"/>
  <c r="DL91" i="1"/>
  <c r="DL133" i="1"/>
  <c r="EE284" i="119" l="1"/>
  <c r="EE102" i="119"/>
  <c r="EF287" i="119"/>
  <c r="GC48" i="3"/>
  <c r="FQ13" i="3"/>
  <c r="AE95" i="119" s="1"/>
  <c r="DL56" i="1"/>
  <c r="DL92" i="1"/>
  <c r="DL113" i="1"/>
  <c r="DL134" i="1"/>
  <c r="EF102" i="119" l="1"/>
  <c r="EF284" i="119"/>
  <c r="DQ46" i="2"/>
  <c r="DR46" i="2" l="1"/>
  <c r="FQ46" i="2"/>
  <c r="DS46" i="2" l="1"/>
  <c r="FR13" i="3" l="1"/>
  <c r="AF95" i="119" s="1"/>
  <c r="DT46" i="2"/>
  <c r="DU46" i="2" l="1"/>
  <c r="DV46" i="2" s="1"/>
  <c r="DW46" i="2" s="1"/>
  <c r="DX46" i="2" s="1"/>
  <c r="DY46" i="2" s="1"/>
  <c r="FS46" i="2" s="1"/>
  <c r="DZ46" i="2" l="1"/>
  <c r="EA46" i="2" s="1"/>
  <c r="EB46" i="2" s="1"/>
  <c r="EC46" i="2" s="1"/>
  <c r="FT46" i="2" s="1"/>
  <c r="FR46" i="2"/>
  <c r="ED46" i="2" l="1"/>
  <c r="EE46" i="2" s="1"/>
  <c r="EF46" i="2" s="1"/>
  <c r="EG46" i="2" s="1"/>
  <c r="FU46" i="2" s="1"/>
  <c r="EH46" i="2" l="1"/>
  <c r="EI46" i="2" s="1"/>
  <c r="EJ46" i="2" s="1"/>
  <c r="EK46" i="2" s="1"/>
  <c r="FV46" i="2" s="1"/>
  <c r="CG171" i="113" l="1"/>
  <c r="FG171" i="113" s="1"/>
  <c r="CG179" i="113"/>
  <c r="GQ179" i="113" s="1"/>
  <c r="FG192" i="113"/>
  <c r="FG193" i="113" s="1"/>
  <c r="GQ192" i="113"/>
  <c r="GQ193" i="113" s="1"/>
  <c r="CG193" i="113"/>
  <c r="CG194" i="113"/>
  <c r="FG179" i="113" l="1"/>
  <c r="CG173" i="113"/>
  <c r="CG183" i="113"/>
  <c r="GQ171" i="113"/>
  <c r="FG183" i="113" l="1"/>
  <c r="GQ183" i="113"/>
  <c r="CG175" i="113"/>
  <c r="FG173" i="113"/>
  <c r="FG174" i="113" s="1"/>
  <c r="CG176" i="113"/>
  <c r="GQ173" i="113"/>
  <c r="GQ174" i="113" s="1"/>
  <c r="CG174" i="113"/>
  <c r="DF56" i="2" l="1"/>
  <c r="DF18" i="2"/>
  <c r="DF61" i="2" s="1"/>
  <c r="DZ41" i="119"/>
  <c r="DZ265" i="119" s="1"/>
  <c r="DF57" i="3"/>
  <c r="DF58" i="3" s="1"/>
  <c r="DF59" i="3" s="1"/>
  <c r="DF58" i="2" l="1"/>
  <c r="DF114" i="2"/>
  <c r="DF115" i="2" s="1"/>
  <c r="DZ45" i="119"/>
  <c r="DZ107" i="119"/>
  <c r="DZ108" i="119"/>
  <c r="DF27" i="2"/>
  <c r="DF67" i="2" s="1"/>
  <c r="DZ76" i="119" l="1"/>
  <c r="DZ264" i="119" s="1"/>
  <c r="DF59" i="2"/>
  <c r="DF53" i="2"/>
  <c r="DZ55" i="119"/>
  <c r="M61" i="115" l="1"/>
  <c r="X61" i="115" l="1"/>
  <c r="EB290" i="119" l="1"/>
  <c r="ED290" i="119" l="1"/>
  <c r="EE290" i="119" l="1"/>
  <c r="EF290" i="119" l="1"/>
  <c r="EG290" i="119" l="1"/>
  <c r="EH290" i="119" l="1"/>
  <c r="EI290" i="119" l="1"/>
  <c r="EJ290" i="119" l="1"/>
  <c r="EK290" i="119" l="1"/>
  <c r="DG191" i="112" l="1"/>
  <c r="DG190" i="112"/>
  <c r="DG189" i="112"/>
  <c r="DG188" i="112"/>
  <c r="DG59" i="112"/>
  <c r="DG69" i="112" s="1"/>
  <c r="DG70" i="112" l="1"/>
  <c r="DG150" i="112"/>
  <c r="DG33" i="112" l="1"/>
  <c r="DG98" i="113"/>
  <c r="DG102" i="113" l="1"/>
  <c r="DG41" i="112"/>
  <c r="DG30" i="112"/>
  <c r="DG146" i="113"/>
  <c r="DG163" i="112"/>
  <c r="DG170" i="112"/>
  <c r="DG177" i="112"/>
  <c r="DG62" i="51"/>
  <c r="DG71" i="51" s="1"/>
  <c r="DG20" i="51"/>
  <c r="DG31" i="51"/>
  <c r="FO99" i="51" s="1"/>
  <c r="DG187" i="112" l="1"/>
  <c r="DG66" i="51"/>
  <c r="DG75" i="51" s="1"/>
  <c r="DG35" i="51"/>
  <c r="DG24" i="51"/>
  <c r="DG109" i="113"/>
  <c r="DG15" i="113"/>
  <c r="DG28" i="113" l="1"/>
  <c r="DG56" i="113"/>
  <c r="DG41" i="113"/>
  <c r="DG47" i="113" l="1"/>
  <c r="DG49" i="113" s="1"/>
  <c r="DG67" i="113"/>
  <c r="DG34" i="113"/>
  <c r="DG62" i="113"/>
  <c r="DG25" i="51" l="1"/>
  <c r="DG36" i="51"/>
  <c r="FO134" i="51" s="1"/>
  <c r="DG67" i="51"/>
  <c r="DG76" i="51" s="1"/>
  <c r="DG17" i="51"/>
  <c r="DK184" i="112" l="1"/>
  <c r="DG46" i="51"/>
  <c r="DG26" i="51"/>
  <c r="DG28" i="51" s="1"/>
  <c r="DG41" i="51"/>
  <c r="DG42" i="51"/>
  <c r="DG37" i="51"/>
  <c r="DG43" i="51"/>
  <c r="DG68" i="51"/>
  <c r="DG77" i="51" s="1"/>
  <c r="DG40" i="51"/>
  <c r="DG44" i="51"/>
  <c r="DG45" i="51"/>
  <c r="DG67" i="1" l="1"/>
  <c r="DG63" i="1"/>
  <c r="DG65" i="1"/>
  <c r="DG75" i="1"/>
  <c r="DG64" i="1"/>
  <c r="DG117" i="1"/>
  <c r="DG39" i="1"/>
  <c r="DG96" i="1"/>
  <c r="DG60" i="1"/>
  <c r="EA11" i="119"/>
  <c r="EA270" i="119" s="1"/>
  <c r="CM94" i="6"/>
  <c r="CM85" i="6"/>
  <c r="EA176" i="119" s="1"/>
  <c r="CM86" i="6"/>
  <c r="CM49" i="6"/>
  <c r="CM67" i="6"/>
  <c r="EA42" i="119" l="1"/>
  <c r="DW58" i="51"/>
  <c r="EA58" i="51" s="1"/>
  <c r="EE58" i="51" s="1"/>
  <c r="EI58" i="51" s="1"/>
  <c r="CM64" i="6" l="1"/>
  <c r="CM82" i="6"/>
  <c r="CM81" i="6"/>
  <c r="CM63" i="6"/>
  <c r="CM83" i="6"/>
  <c r="CM65" i="6"/>
  <c r="CM62" i="6"/>
  <c r="CM80" i="6"/>
  <c r="EA164" i="119" l="1"/>
  <c r="EA154" i="119"/>
  <c r="EA146" i="119"/>
  <c r="EA138" i="119"/>
  <c r="EA149" i="119"/>
  <c r="EA150" i="119"/>
  <c r="EA143" i="119"/>
  <c r="EA145" i="119"/>
  <c r="EA151" i="119"/>
  <c r="EA140" i="119"/>
  <c r="EA142" i="119"/>
  <c r="EA148" i="119"/>
  <c r="EA147" i="119"/>
  <c r="EA139" i="119"/>
  <c r="EA153" i="119"/>
  <c r="EA144" i="119"/>
  <c r="EA141" i="119"/>
  <c r="CM53" i="6"/>
  <c r="CM71" i="6"/>
  <c r="CM50" i="6"/>
  <c r="CM68" i="6"/>
  <c r="DG118" i="1"/>
  <c r="DG76" i="1"/>
  <c r="DG61" i="1"/>
  <c r="DG97" i="1"/>
  <c r="EA14" i="119"/>
  <c r="EA12" i="119"/>
  <c r="DG40" i="1"/>
  <c r="EA18" i="119"/>
  <c r="EA19" i="119" s="1"/>
  <c r="EA169" i="119"/>
  <c r="EA163" i="119"/>
  <c r="EA129" i="119"/>
  <c r="EA135" i="119"/>
  <c r="CM84" i="6"/>
  <c r="CM66" i="6"/>
  <c r="CM69" i="6"/>
  <c r="CM51" i="6"/>
  <c r="CM52" i="6"/>
  <c r="CM70" i="6"/>
  <c r="EA167" i="119" l="1"/>
  <c r="EA128" i="119"/>
  <c r="EA152" i="119"/>
  <c r="EA165" i="119"/>
  <c r="EA170" i="119"/>
  <c r="EA174" i="119"/>
  <c r="EA166" i="119"/>
  <c r="EA43" i="119"/>
  <c r="CM72" i="6"/>
  <c r="CM54" i="6"/>
  <c r="DG119" i="1"/>
  <c r="DG77" i="1"/>
  <c r="DG41" i="1"/>
  <c r="DG98" i="1"/>
  <c r="DG62" i="1"/>
  <c r="DG59" i="51" s="1"/>
  <c r="EA56" i="119"/>
  <c r="CM35" i="6"/>
  <c r="EA173" i="119" l="1"/>
  <c r="DG123" i="1"/>
  <c r="DG102" i="1"/>
  <c r="CM38" i="6"/>
  <c r="DG66" i="1"/>
  <c r="EA23" i="119"/>
  <c r="EA268" i="119" s="1"/>
  <c r="DG45" i="1"/>
  <c r="DG81" i="1"/>
  <c r="DG23" i="1"/>
  <c r="CM93" i="6"/>
  <c r="CM74" i="6"/>
  <c r="DI60" i="112" l="1"/>
  <c r="FN60" i="112" s="1"/>
  <c r="FN141" i="112" s="1"/>
  <c r="DG25" i="1"/>
  <c r="EA290" i="119" s="1"/>
  <c r="DG48" i="1"/>
  <c r="DG84" i="1"/>
  <c r="EA30" i="119"/>
  <c r="EA269" i="119" s="1"/>
  <c r="DG105" i="1"/>
  <c r="DG26" i="1"/>
  <c r="DG69" i="1"/>
  <c r="DG126" i="1"/>
  <c r="CM96" i="6"/>
  <c r="CM59" i="6"/>
  <c r="CM56" i="6"/>
  <c r="CM77" i="6"/>
  <c r="CM37" i="6"/>
  <c r="DG47" i="1"/>
  <c r="DG104" i="1"/>
  <c r="EA20" i="119"/>
  <c r="EA259" i="119" s="1"/>
  <c r="DG68" i="1"/>
  <c r="DG83" i="1"/>
  <c r="DG125" i="1"/>
  <c r="DI189" i="112" l="1"/>
  <c r="DI190" i="112"/>
  <c r="DI191" i="112"/>
  <c r="DI188" i="112"/>
  <c r="DH189" i="112"/>
  <c r="DH188" i="112"/>
  <c r="DH191" i="112"/>
  <c r="DH190" i="112"/>
  <c r="DI59" i="112"/>
  <c r="CM58" i="6"/>
  <c r="CM76" i="6"/>
  <c r="CM95" i="6"/>
  <c r="CM39" i="6"/>
  <c r="DG106" i="1"/>
  <c r="DG30" i="1"/>
  <c r="DG70" i="1"/>
  <c r="DG28" i="1"/>
  <c r="DG127" i="1"/>
  <c r="DG85" i="1"/>
  <c r="EA275" i="119"/>
  <c r="DG49" i="1"/>
  <c r="DG29" i="1"/>
  <c r="EA277" i="119"/>
  <c r="EA44" i="119"/>
  <c r="EA273" i="119"/>
  <c r="EA59" i="119"/>
  <c r="DG35" i="2"/>
  <c r="DI69" i="112" l="1"/>
  <c r="DH70" i="112"/>
  <c r="FN59" i="112"/>
  <c r="FN140" i="112" s="1"/>
  <c r="GZ59" i="112"/>
  <c r="DI19" i="112"/>
  <c r="DI98" i="113"/>
  <c r="DI102" i="113" s="1"/>
  <c r="DI22" i="112"/>
  <c r="EA97" i="119"/>
  <c r="DG35" i="3"/>
  <c r="EA267" i="119"/>
  <c r="EA280" i="119"/>
  <c r="DG128" i="1"/>
  <c r="DG50" i="1"/>
  <c r="DG32" i="1"/>
  <c r="DG86" i="1"/>
  <c r="DG31" i="1"/>
  <c r="EA279" i="119"/>
  <c r="DG107" i="1"/>
  <c r="DG71" i="1"/>
  <c r="EA60" i="119"/>
  <c r="DG44" i="2"/>
  <c r="EA65" i="119" s="1"/>
  <c r="DG24" i="3"/>
  <c r="DG129" i="1"/>
  <c r="DG108" i="1"/>
  <c r="DG51" i="1"/>
  <c r="DG87" i="1"/>
  <c r="DG88" i="1"/>
  <c r="DG130" i="1"/>
  <c r="DG109" i="1"/>
  <c r="DG52" i="1"/>
  <c r="EA281" i="119"/>
  <c r="EA260" i="119" s="1"/>
  <c r="DH78" i="2"/>
  <c r="DI150" i="112" l="1"/>
  <c r="FN69" i="112"/>
  <c r="GZ69" i="112"/>
  <c r="DI70" i="112"/>
  <c r="FN70" i="112" s="1"/>
  <c r="DI109" i="113"/>
  <c r="DI15" i="113"/>
  <c r="DI30" i="112"/>
  <c r="DI146" i="113"/>
  <c r="DI15" i="51"/>
  <c r="DI20" i="51"/>
  <c r="DI62" i="51"/>
  <c r="DI71" i="51" s="1"/>
  <c r="DG25" i="3"/>
  <c r="DG49" i="2"/>
  <c r="EA305" i="119"/>
  <c r="EA94" i="119"/>
  <c r="DG111" i="1"/>
  <c r="DG90" i="1"/>
  <c r="DG54" i="1"/>
  <c r="DG132" i="1"/>
  <c r="EA48" i="119"/>
  <c r="DG89" i="2"/>
  <c r="DG87" i="2" s="1"/>
  <c r="EA46" i="119" s="1"/>
  <c r="DG25" i="2"/>
  <c r="EA282" i="119"/>
  <c r="EA283" i="119"/>
  <c r="DG131" i="1"/>
  <c r="DG89" i="1"/>
  <c r="DG110" i="1"/>
  <c r="DG53" i="1"/>
  <c r="EA101" i="119"/>
  <c r="G26" i="115" l="1"/>
  <c r="D67" i="115" s="1"/>
  <c r="DI20" i="113"/>
  <c r="DI57" i="51"/>
  <c r="DI52" i="51"/>
  <c r="DG66" i="2"/>
  <c r="DI24" i="51"/>
  <c r="DI66" i="51"/>
  <c r="DI75" i="51" s="1"/>
  <c r="DH22" i="112"/>
  <c r="DH98" i="113"/>
  <c r="DH33" i="112"/>
  <c r="FN11" i="112"/>
  <c r="DI33" i="112"/>
  <c r="DI41" i="113"/>
  <c r="DI28" i="113"/>
  <c r="DG54" i="3"/>
  <c r="DG50" i="3"/>
  <c r="EA96" i="119"/>
  <c r="EA69" i="119"/>
  <c r="EA271" i="119" s="1"/>
  <c r="EA67" i="119"/>
  <c r="EA298" i="119" s="1"/>
  <c r="EA256" i="119" s="1"/>
  <c r="DG51" i="2"/>
  <c r="EA70" i="119" s="1"/>
  <c r="G30" i="115" l="1"/>
  <c r="G34" i="115" s="1"/>
  <c r="U24" i="115"/>
  <c r="P24" i="115"/>
  <c r="DG65" i="3"/>
  <c r="DI46" i="113"/>
  <c r="DI33" i="113"/>
  <c r="DI54" i="51"/>
  <c r="DG55" i="3"/>
  <c r="FN22" i="112"/>
  <c r="FN19" i="112"/>
  <c r="DH30" i="112"/>
  <c r="DH146" i="113"/>
  <c r="DH41" i="112"/>
  <c r="DI41" i="112"/>
  <c r="DI34" i="113"/>
  <c r="DI67" i="113"/>
  <c r="FN67" i="113" s="1"/>
  <c r="DI47" i="113"/>
  <c r="DI49" i="113" s="1"/>
  <c r="DH102" i="113"/>
  <c r="FN98" i="113"/>
  <c r="FN105" i="113" s="1"/>
  <c r="DH20" i="51"/>
  <c r="DH31" i="51"/>
  <c r="FP99" i="51" s="1"/>
  <c r="DH62" i="51"/>
  <c r="DH71" i="51" s="1"/>
  <c r="FN11" i="51"/>
  <c r="DI31" i="51"/>
  <c r="FQ99" i="51" s="1"/>
  <c r="DG52" i="3"/>
  <c r="P28" i="115" l="1"/>
  <c r="U28" i="115"/>
  <c r="G32" i="115"/>
  <c r="P30" i="115" s="1"/>
  <c r="U32" i="115"/>
  <c r="P32" i="115"/>
  <c r="FN62" i="51"/>
  <c r="FN71" i="51" s="1"/>
  <c r="FN20" i="51"/>
  <c r="F22" i="116"/>
  <c r="FN30" i="112"/>
  <c r="FN146" i="113"/>
  <c r="DH15" i="113"/>
  <c r="DH109" i="113"/>
  <c r="FN102" i="113"/>
  <c r="FN109" i="113" s="1"/>
  <c r="DH24" i="51"/>
  <c r="DH66" i="51"/>
  <c r="DH75" i="51" s="1"/>
  <c r="DH35" i="51"/>
  <c r="FN15" i="51"/>
  <c r="DI35" i="51"/>
  <c r="DI25" i="51"/>
  <c r="DI67" i="51"/>
  <c r="DI76" i="51" s="1"/>
  <c r="DI17" i="51"/>
  <c r="DH51" i="3"/>
  <c r="DM184" i="112" l="1"/>
  <c r="U30" i="115"/>
  <c r="Z94" i="115"/>
  <c r="DH20" i="113"/>
  <c r="FN24" i="51"/>
  <c r="D14" i="118"/>
  <c r="D29" i="118" s="1"/>
  <c r="D65" i="118" s="1"/>
  <c r="D50" i="118" s="1"/>
  <c r="D52" i="118" s="1"/>
  <c r="F26" i="116"/>
  <c r="FN66" i="51"/>
  <c r="FN75" i="51" s="1"/>
  <c r="DH28" i="113"/>
  <c r="DH41" i="113"/>
  <c r="DH56" i="113"/>
  <c r="FN15" i="113"/>
  <c r="DI56" i="113"/>
  <c r="DI45" i="51"/>
  <c r="DI42" i="51"/>
  <c r="DI41" i="51"/>
  <c r="DI68" i="51"/>
  <c r="DI77" i="51" s="1"/>
  <c r="DI26" i="51"/>
  <c r="DI28" i="51" s="1"/>
  <c r="DI46" i="51"/>
  <c r="DI43" i="51"/>
  <c r="DI40" i="51"/>
  <c r="DI44" i="51"/>
  <c r="FN52" i="51"/>
  <c r="H22" i="116"/>
  <c r="I22" i="116" s="1"/>
  <c r="DH46" i="113" l="1"/>
  <c r="DH33" i="113"/>
  <c r="DI61" i="113"/>
  <c r="F30" i="116"/>
  <c r="DI50" i="51"/>
  <c r="CO85" i="6"/>
  <c r="EC176" i="119" s="1"/>
  <c r="CO86" i="6"/>
  <c r="CO94" i="6"/>
  <c r="DI64" i="1"/>
  <c r="DI60" i="1"/>
  <c r="DI65" i="1"/>
  <c r="DI39" i="1"/>
  <c r="EC11" i="119"/>
  <c r="EC270" i="119" s="1"/>
  <c r="DI63" i="1"/>
  <c r="DI96" i="1"/>
  <c r="FN41" i="113"/>
  <c r="FN28" i="113"/>
  <c r="DH67" i="113"/>
  <c r="DH34" i="113"/>
  <c r="DH47" i="113"/>
  <c r="DH49" i="113" s="1"/>
  <c r="FN21" i="113"/>
  <c r="DH62" i="113"/>
  <c r="DI62" i="113"/>
  <c r="H26" i="116"/>
  <c r="I26" i="116" s="1"/>
  <c r="FN48" i="51"/>
  <c r="D77" i="118"/>
  <c r="D67" i="118"/>
  <c r="D80" i="118"/>
  <c r="H30" i="116" l="1"/>
  <c r="I30" i="116" s="1"/>
  <c r="F34" i="116"/>
  <c r="I34" i="116" s="1"/>
  <c r="DI11" i="1"/>
  <c r="FN34" i="113"/>
  <c r="FN47" i="113"/>
  <c r="DU58" i="51"/>
  <c r="DY58" i="51" s="1"/>
  <c r="EC58" i="51" s="1"/>
  <c r="EG58" i="51" s="1"/>
  <c r="EK58" i="51" s="1"/>
  <c r="DH25" i="51"/>
  <c r="DH67" i="51"/>
  <c r="DH76" i="51" s="1"/>
  <c r="DH36" i="51"/>
  <c r="FP134" i="51" s="1"/>
  <c r="FN16" i="51"/>
  <c r="DH17" i="51"/>
  <c r="DI36" i="51"/>
  <c r="FQ134" i="51" s="1"/>
  <c r="DI40" i="1"/>
  <c r="DI61" i="1"/>
  <c r="EC12" i="119"/>
  <c r="EC14" i="119"/>
  <c r="DI97" i="1"/>
  <c r="EC18" i="119"/>
  <c r="EC42" i="119"/>
  <c r="FO13" i="2"/>
  <c r="G6" i="115" l="1"/>
  <c r="P9" i="115" s="1"/>
  <c r="G28" i="115"/>
  <c r="U26" i="115" s="1"/>
  <c r="DJ119" i="1"/>
  <c r="DI98" i="1"/>
  <c r="DI41" i="1"/>
  <c r="DI15" i="1"/>
  <c r="DI62" i="1"/>
  <c r="DI59" i="51" s="1"/>
  <c r="DH45" i="51"/>
  <c r="CO80" i="6"/>
  <c r="EC43" i="119"/>
  <c r="FO14" i="2"/>
  <c r="CO83" i="6"/>
  <c r="DI64" i="2"/>
  <c r="DI68" i="2" s="1"/>
  <c r="EC56" i="119"/>
  <c r="FO30" i="2"/>
  <c r="FN25" i="51"/>
  <c r="FN67" i="51"/>
  <c r="FN76" i="51" s="1"/>
  <c r="D15" i="118"/>
  <c r="D30" i="118" s="1"/>
  <c r="F27" i="116"/>
  <c r="DH68" i="51"/>
  <c r="DH77" i="51" s="1"/>
  <c r="DH41" i="51"/>
  <c r="DH26" i="51"/>
  <c r="DH28" i="51" s="1"/>
  <c r="DH42" i="51"/>
  <c r="DH46" i="51"/>
  <c r="DH43" i="51"/>
  <c r="FN17" i="51"/>
  <c r="DH37" i="51"/>
  <c r="DH40" i="51"/>
  <c r="DH44" i="51"/>
  <c r="DI37" i="51"/>
  <c r="CO82" i="6"/>
  <c r="CO81" i="6"/>
  <c r="AC42" i="119"/>
  <c r="EC164" i="119" l="1"/>
  <c r="U9" i="115"/>
  <c r="G10" i="115"/>
  <c r="U11" i="115" s="1"/>
  <c r="G63" i="115"/>
  <c r="P26" i="115"/>
  <c r="G36" i="115"/>
  <c r="U34" i="115" s="1"/>
  <c r="DJ123" i="1"/>
  <c r="DI45" i="1"/>
  <c r="CO38" i="6"/>
  <c r="CO56" i="6" s="1"/>
  <c r="DI102" i="1"/>
  <c r="DI66" i="1"/>
  <c r="EC23" i="119"/>
  <c r="EC268" i="119" s="1"/>
  <c r="FN45" i="51"/>
  <c r="F28" i="116"/>
  <c r="FN43" i="51"/>
  <c r="FN68" i="51"/>
  <c r="FN77" i="51" s="1"/>
  <c r="FN46" i="51"/>
  <c r="FN41" i="51"/>
  <c r="FN42" i="51"/>
  <c r="FN26" i="51"/>
  <c r="FN40" i="51"/>
  <c r="FN44" i="51"/>
  <c r="H27" i="116"/>
  <c r="I27" i="116" s="1"/>
  <c r="EC135" i="119"/>
  <c r="EC129" i="119"/>
  <c r="FO63" i="2"/>
  <c r="AC43" i="119"/>
  <c r="EC141" i="119"/>
  <c r="EC148" i="119"/>
  <c r="EC154" i="119"/>
  <c r="EC151" i="119"/>
  <c r="EC144" i="119"/>
  <c r="EC150" i="119"/>
  <c r="EC145" i="119"/>
  <c r="EC147" i="119"/>
  <c r="EC146" i="119"/>
  <c r="EC153" i="119"/>
  <c r="EC149" i="119"/>
  <c r="EC140" i="119"/>
  <c r="EC138" i="119"/>
  <c r="EC139" i="119"/>
  <c r="EC143" i="119"/>
  <c r="EC142" i="119"/>
  <c r="CO84" i="6"/>
  <c r="FN53" i="51"/>
  <c r="EC169" i="119"/>
  <c r="EC163" i="119"/>
  <c r="EB11" i="119"/>
  <c r="EB270" i="119" s="1"/>
  <c r="DH64" i="1"/>
  <c r="DH96" i="1"/>
  <c r="DH63" i="1"/>
  <c r="DH39" i="1"/>
  <c r="DH60" i="1"/>
  <c r="DH65" i="1"/>
  <c r="DH117" i="1"/>
  <c r="FN9" i="1"/>
  <c r="DH75" i="1"/>
  <c r="DI75" i="1"/>
  <c r="DI117" i="1"/>
  <c r="CN85" i="6"/>
  <c r="EB176" i="119" s="1"/>
  <c r="CN49" i="6"/>
  <c r="CN86" i="6"/>
  <c r="CN94" i="6"/>
  <c r="EO16" i="6"/>
  <c r="CN67" i="6"/>
  <c r="CO67" i="6"/>
  <c r="AC56" i="119"/>
  <c r="G37" i="115" l="1"/>
  <c r="U35" i="115" s="1"/>
  <c r="P11" i="115"/>
  <c r="P34" i="115"/>
  <c r="CO96" i="6"/>
  <c r="CO59" i="6"/>
  <c r="F31" i="116"/>
  <c r="H31" i="116" s="1"/>
  <c r="I31" i="116" s="1"/>
  <c r="FN54" i="51"/>
  <c r="EC128" i="119"/>
  <c r="EC167" i="119"/>
  <c r="EC152" i="119"/>
  <c r="EB42" i="119"/>
  <c r="DT58" i="51"/>
  <c r="DX58" i="51" s="1"/>
  <c r="EB58" i="51" s="1"/>
  <c r="EF58" i="51" s="1"/>
  <c r="EJ58" i="51" s="1"/>
  <c r="EO86" i="6"/>
  <c r="EO85" i="6"/>
  <c r="AC176" i="119" s="1"/>
  <c r="EO17" i="6"/>
  <c r="EO94" i="6"/>
  <c r="EO49" i="6"/>
  <c r="FN63" i="1"/>
  <c r="FN96" i="1"/>
  <c r="D16" i="118"/>
  <c r="AC11" i="119"/>
  <c r="AC270" i="119" s="1"/>
  <c r="FN60" i="1"/>
  <c r="FN65" i="1"/>
  <c r="FN39" i="1"/>
  <c r="FN64" i="1"/>
  <c r="F4" i="116"/>
  <c r="FO62" i="2"/>
  <c r="H28" i="116"/>
  <c r="I28" i="116" s="1"/>
  <c r="DH50" i="51"/>
  <c r="FN49" i="51"/>
  <c r="FN58" i="51" s="1"/>
  <c r="EC165" i="119"/>
  <c r="EC170" i="119"/>
  <c r="EC166" i="119"/>
  <c r="EC174" i="119"/>
  <c r="P35" i="115" l="1"/>
  <c r="F35" i="116"/>
  <c r="F32" i="116"/>
  <c r="EC173" i="119"/>
  <c r="D41" i="118"/>
  <c r="D44" i="118"/>
  <c r="D31" i="118"/>
  <c r="FO17" i="3"/>
  <c r="H4" i="116"/>
  <c r="I4" i="116" s="1"/>
  <c r="FN50" i="51"/>
  <c r="FN59" i="51" s="1"/>
  <c r="FN57" i="51" s="1"/>
  <c r="CN82" i="6"/>
  <c r="CN64" i="6"/>
  <c r="EO11" i="6"/>
  <c r="CO64" i="6"/>
  <c r="CN81" i="6"/>
  <c r="EO10" i="6"/>
  <c r="CN63" i="6"/>
  <c r="CO63" i="6"/>
  <c r="CN80" i="6"/>
  <c r="EO9" i="6"/>
  <c r="CN62" i="6"/>
  <c r="CO62" i="6"/>
  <c r="CN83" i="6"/>
  <c r="CN65" i="6"/>
  <c r="EO12" i="6"/>
  <c r="CO65" i="6"/>
  <c r="CO18" i="6" l="1"/>
  <c r="CO19" i="6" s="1"/>
  <c r="CN18" i="6"/>
  <c r="CN19" i="6" s="1"/>
  <c r="CM18" i="6"/>
  <c r="CM19" i="6" s="1"/>
  <c r="CL18" i="6"/>
  <c r="CL19" i="6" s="1"/>
  <c r="EB164" i="119"/>
  <c r="I35" i="116"/>
  <c r="F36" i="116"/>
  <c r="H32" i="116"/>
  <c r="I32" i="116" s="1"/>
  <c r="EO81" i="6"/>
  <c r="EO45" i="6"/>
  <c r="EB143" i="119"/>
  <c r="EB144" i="119"/>
  <c r="EB150" i="119"/>
  <c r="EB154" i="119"/>
  <c r="EB145" i="119"/>
  <c r="EB148" i="119"/>
  <c r="EB146" i="119"/>
  <c r="EB153" i="119"/>
  <c r="EB147" i="119"/>
  <c r="EB138" i="119"/>
  <c r="EB151" i="119"/>
  <c r="EB139" i="119"/>
  <c r="EB142" i="119"/>
  <c r="EB149" i="119"/>
  <c r="EB140" i="119"/>
  <c r="EB141" i="119"/>
  <c r="CN51" i="6"/>
  <c r="CN69" i="6"/>
  <c r="EO83" i="6"/>
  <c r="AC164" i="119" s="1"/>
  <c r="EO47" i="6"/>
  <c r="EB163" i="119"/>
  <c r="EB169" i="119"/>
  <c r="DH97" i="1"/>
  <c r="EB18" i="119"/>
  <c r="EB12" i="119"/>
  <c r="DH61" i="1"/>
  <c r="EB14" i="119"/>
  <c r="DH40" i="1"/>
  <c r="DH118" i="1"/>
  <c r="DH76" i="1"/>
  <c r="FN10" i="1"/>
  <c r="DI76" i="1"/>
  <c r="DI118" i="1"/>
  <c r="CN53" i="6"/>
  <c r="CN71" i="6"/>
  <c r="CN35" i="6"/>
  <c r="CN84" i="6"/>
  <c r="CN48" i="6"/>
  <c r="CN66" i="6"/>
  <c r="EO13" i="6"/>
  <c r="CO66" i="6"/>
  <c r="CN52" i="6"/>
  <c r="CN70" i="6"/>
  <c r="CN50" i="6"/>
  <c r="CN68" i="6"/>
  <c r="EO15" i="6"/>
  <c r="EO82" i="6"/>
  <c r="EO46" i="6"/>
  <c r="EO44" i="6"/>
  <c r="EO19" i="6"/>
  <c r="EO80" i="6"/>
  <c r="EB135" i="119"/>
  <c r="EB129" i="119"/>
  <c r="I36" i="116" l="1"/>
  <c r="EB128" i="119"/>
  <c r="EB152" i="119"/>
  <c r="EB167" i="119"/>
  <c r="CN54" i="6"/>
  <c r="CN72" i="6"/>
  <c r="F5" i="116"/>
  <c r="H5" i="116" s="1"/>
  <c r="I5" i="116" s="1"/>
  <c r="FN61" i="1"/>
  <c r="AC12" i="119"/>
  <c r="AC18" i="119"/>
  <c r="D17" i="118"/>
  <c r="FN97" i="1"/>
  <c r="FN40" i="1"/>
  <c r="AC14" i="119"/>
  <c r="FO64" i="2"/>
  <c r="FO68" i="2" s="1"/>
  <c r="FO65" i="2"/>
  <c r="EB56" i="119"/>
  <c r="AC129" i="119"/>
  <c r="AC135" i="119"/>
  <c r="EB43" i="119"/>
  <c r="AC151" i="119"/>
  <c r="AC147" i="119"/>
  <c r="AC146" i="119"/>
  <c r="AC153" i="119"/>
  <c r="AC143" i="119"/>
  <c r="AC138" i="119"/>
  <c r="AC154" i="119"/>
  <c r="AC144" i="119"/>
  <c r="AC145" i="119"/>
  <c r="AC150" i="119"/>
  <c r="AC148" i="119"/>
  <c r="AC149" i="119"/>
  <c r="AC139" i="119"/>
  <c r="AC140" i="119"/>
  <c r="AC142" i="119"/>
  <c r="AC141" i="119"/>
  <c r="CN93" i="6"/>
  <c r="CN74" i="6"/>
  <c r="EO51" i="6"/>
  <c r="EO88" i="6"/>
  <c r="AC163" i="119"/>
  <c r="AC169" i="119"/>
  <c r="EO87" i="6"/>
  <c r="EO50" i="6"/>
  <c r="EO90" i="6"/>
  <c r="EO53" i="6"/>
  <c r="DH41" i="1"/>
  <c r="DH62" i="1"/>
  <c r="DH98" i="1"/>
  <c r="FN11" i="1"/>
  <c r="DH77" i="1"/>
  <c r="DH119" i="1"/>
  <c r="DI119" i="1"/>
  <c r="DI77" i="1"/>
  <c r="EO89" i="6"/>
  <c r="EO52" i="6"/>
  <c r="EB166" i="119"/>
  <c r="EB174" i="119"/>
  <c r="EB165" i="119"/>
  <c r="EB170" i="119"/>
  <c r="EO48" i="6"/>
  <c r="EO84" i="6"/>
  <c r="DH59" i="51" l="1"/>
  <c r="AC128" i="119"/>
  <c r="EB173" i="119"/>
  <c r="AC167" i="119"/>
  <c r="AC152" i="119"/>
  <c r="EO54" i="6"/>
  <c r="EO91" i="6"/>
  <c r="FO18" i="3"/>
  <c r="FO21" i="3"/>
  <c r="FN62" i="1"/>
  <c r="F6" i="116"/>
  <c r="FN41" i="1"/>
  <c r="FN98" i="1"/>
  <c r="EO35" i="6"/>
  <c r="AC165" i="119"/>
  <c r="AC174" i="119"/>
  <c r="AC166" i="119"/>
  <c r="AC170" i="119"/>
  <c r="DH102" i="1"/>
  <c r="CN38" i="6"/>
  <c r="DH66" i="1"/>
  <c r="DH45" i="1"/>
  <c r="EB23" i="119"/>
  <c r="EB268" i="119" s="1"/>
  <c r="DH123" i="1"/>
  <c r="DH81" i="1"/>
  <c r="FN15" i="1"/>
  <c r="DI123" i="1"/>
  <c r="DI81" i="1"/>
  <c r="D42" i="118"/>
  <c r="D32" i="118"/>
  <c r="D18" i="118"/>
  <c r="AC173" i="119" l="1"/>
  <c r="EO93" i="6"/>
  <c r="EO56" i="6"/>
  <c r="D43" i="118"/>
  <c r="D20" i="118"/>
  <c r="D33" i="118"/>
  <c r="EO38" i="6"/>
  <c r="AC23" i="119"/>
  <c r="AC268" i="119" s="1"/>
  <c r="FN102" i="1"/>
  <c r="FN66" i="1"/>
  <c r="F10" i="116"/>
  <c r="FN45" i="1"/>
  <c r="CN59" i="6"/>
  <c r="CN56" i="6"/>
  <c r="CN96" i="6"/>
  <c r="CN37" i="6"/>
  <c r="CN77" i="6"/>
  <c r="CO77" i="6"/>
  <c r="H6" i="116"/>
  <c r="I6" i="116" s="1"/>
  <c r="DJ48" i="113" l="1"/>
  <c r="DJ184" i="112" s="1"/>
  <c r="CN58" i="6"/>
  <c r="CN95" i="6"/>
  <c r="CN76" i="6"/>
  <c r="CN39" i="6"/>
  <c r="D114" i="118"/>
  <c r="D89" i="118" s="1"/>
  <c r="D79" i="118"/>
  <c r="D54" i="118" s="1"/>
  <c r="D45" i="118"/>
  <c r="D35" i="118"/>
  <c r="H10" i="116"/>
  <c r="I10" i="116" s="1"/>
  <c r="EO96" i="6"/>
  <c r="EO59" i="6"/>
  <c r="DH35" i="2"/>
  <c r="EB59" i="119"/>
  <c r="EB44" i="119"/>
  <c r="DK60" i="112" l="1"/>
  <c r="DJ191" i="112"/>
  <c r="DJ188" i="112"/>
  <c r="DJ190" i="112"/>
  <c r="GZ60" i="112"/>
  <c r="DI78" i="2"/>
  <c r="DI84" i="2" s="1"/>
  <c r="EO58" i="6"/>
  <c r="EO95" i="6"/>
  <c r="EO39" i="6"/>
  <c r="EB60" i="119"/>
  <c r="DH44" i="2"/>
  <c r="EB65" i="119" s="1"/>
  <c r="D88" i="118"/>
  <c r="D104" i="118"/>
  <c r="D91" i="118"/>
  <c r="D69" i="118"/>
  <c r="D56" i="118"/>
  <c r="D53" i="118"/>
  <c r="DM60" i="112" l="1"/>
  <c r="DL184" i="112"/>
  <c r="GZ70" i="112"/>
  <c r="DK188" i="112"/>
  <c r="DK191" i="112"/>
  <c r="DK190" i="112"/>
  <c r="D71" i="118"/>
  <c r="D81" i="118"/>
  <c r="D68" i="118"/>
  <c r="D78" i="118"/>
  <c r="D113" i="118"/>
  <c r="D103" i="118"/>
  <c r="DH25" i="2"/>
  <c r="EB48" i="119"/>
  <c r="DH89" i="2"/>
  <c r="D116" i="118"/>
  <c r="D106" i="118"/>
  <c r="DL191" i="112" l="1"/>
  <c r="DL190" i="112"/>
  <c r="DM188" i="112"/>
  <c r="DM190" i="112"/>
  <c r="DM189" i="112"/>
  <c r="DM191" i="112"/>
  <c r="DJ98" i="113"/>
  <c r="DJ33" i="112"/>
  <c r="GZ11" i="112"/>
  <c r="FO60" i="112"/>
  <c r="FO141" i="112" s="1"/>
  <c r="FN18" i="113"/>
  <c r="DG20" i="113"/>
  <c r="DG31" i="113"/>
  <c r="DG59" i="113"/>
  <c r="DG44" i="113"/>
  <c r="DH59" i="113"/>
  <c r="DN141" i="112" l="1"/>
  <c r="DN60" i="112" s="1"/>
  <c r="DN69" i="112" s="1"/>
  <c r="DN150" i="112" s="1"/>
  <c r="GX98" i="113"/>
  <c r="GX105" i="113" s="1"/>
  <c r="DJ102" i="113"/>
  <c r="DJ163" i="112"/>
  <c r="DJ31" i="51"/>
  <c r="FN100" i="51" s="1"/>
  <c r="DJ20" i="51"/>
  <c r="GY11" i="51"/>
  <c r="DJ62" i="51"/>
  <c r="DJ71" i="51" s="1"/>
  <c r="GZ19" i="112"/>
  <c r="GZ22" i="112"/>
  <c r="DJ41" i="112"/>
  <c r="FN44" i="113"/>
  <c r="DG61" i="113"/>
  <c r="DG33" i="113"/>
  <c r="FN20" i="113"/>
  <c r="DG46" i="113"/>
  <c r="FN31" i="113"/>
  <c r="DH61" i="113"/>
  <c r="DN70" i="112" l="1"/>
  <c r="FP69" i="112"/>
  <c r="FP150" i="112" s="1"/>
  <c r="GY15" i="51"/>
  <c r="DJ66" i="51"/>
  <c r="DJ75" i="51" s="1"/>
  <c r="DJ35" i="51"/>
  <c r="DJ24" i="51"/>
  <c r="GZ30" i="112"/>
  <c r="GX102" i="113"/>
  <c r="GX109" i="113" s="1"/>
  <c r="DJ109" i="113"/>
  <c r="DJ15" i="113"/>
  <c r="GY20" i="51"/>
  <c r="DJ187" i="112"/>
  <c r="DR142" i="112"/>
  <c r="DV143" i="112" s="1"/>
  <c r="FN33" i="113"/>
  <c r="FN46" i="113"/>
  <c r="DJ41" i="113" l="1"/>
  <c r="GY48" i="51"/>
  <c r="HA60" i="112"/>
  <c r="DR61" i="112"/>
  <c r="GY24" i="51"/>
  <c r="GX15" i="113"/>
  <c r="DJ28" i="113"/>
  <c r="DJ56" i="113"/>
  <c r="GY52" i="51"/>
  <c r="DJ62" i="113" l="1"/>
  <c r="GX21" i="113"/>
  <c r="DJ34" i="113"/>
  <c r="DJ49" i="113"/>
  <c r="DV62" i="112"/>
  <c r="DZ144" i="112"/>
  <c r="HB61" i="112"/>
  <c r="DR70" i="112"/>
  <c r="GX28" i="113"/>
  <c r="GX41" i="113"/>
  <c r="DO33" i="112" l="1"/>
  <c r="DN98" i="113"/>
  <c r="DR11" i="112"/>
  <c r="GX34" i="113"/>
  <c r="GX47" i="113"/>
  <c r="DZ63" i="112"/>
  <c r="ED145" i="112"/>
  <c r="DV70" i="112"/>
  <c r="HC62" i="112"/>
  <c r="GY16" i="51"/>
  <c r="DJ25" i="51"/>
  <c r="DJ67" i="51"/>
  <c r="DJ76" i="51" s="1"/>
  <c r="DJ36" i="51"/>
  <c r="FN135" i="51" s="1"/>
  <c r="DJ45" i="51" l="1"/>
  <c r="GY25" i="51"/>
  <c r="GY53" i="51"/>
  <c r="EH146" i="112"/>
  <c r="EH65" i="112" s="1"/>
  <c r="ED64" i="112"/>
  <c r="HD63" i="112"/>
  <c r="DZ70" i="112"/>
  <c r="DO31" i="51"/>
  <c r="FO101" i="51" s="1"/>
  <c r="DV11" i="112"/>
  <c r="DR11" i="51"/>
  <c r="DR151" i="112"/>
  <c r="DS33" i="112"/>
  <c r="DR98" i="113"/>
  <c r="DR22" i="112"/>
  <c r="DJ37" i="51"/>
  <c r="GY17" i="51"/>
  <c r="GY45" i="51" s="1"/>
  <c r="DJ68" i="51"/>
  <c r="DJ77" i="51" s="1"/>
  <c r="DJ43" i="51"/>
  <c r="DJ26" i="51"/>
  <c r="DJ28" i="51" s="1"/>
  <c r="DJ41" i="51"/>
  <c r="DJ42" i="51"/>
  <c r="DJ46" i="51"/>
  <c r="DJ40" i="51"/>
  <c r="DJ44" i="51"/>
  <c r="DO177" i="112"/>
  <c r="DO170" i="112"/>
  <c r="GY49" i="51" l="1"/>
  <c r="GY58" i="51" s="1"/>
  <c r="DN191" i="112"/>
  <c r="DN190" i="112"/>
  <c r="DS177" i="112"/>
  <c r="DS170" i="112"/>
  <c r="DR163" i="112"/>
  <c r="DJ60" i="1"/>
  <c r="DJ65" i="1"/>
  <c r="DJ75" i="1"/>
  <c r="DJ39" i="1"/>
  <c r="GX9" i="1"/>
  <c r="DJ96" i="1"/>
  <c r="DJ64" i="1"/>
  <c r="ED11" i="119"/>
  <c r="ED270" i="119" s="1"/>
  <c r="DJ63" i="1"/>
  <c r="GY43" i="51"/>
  <c r="GY42" i="51"/>
  <c r="GY41" i="51"/>
  <c r="GY26" i="51"/>
  <c r="GY46" i="51"/>
  <c r="GY40" i="51"/>
  <c r="GY44" i="51"/>
  <c r="DR20" i="51"/>
  <c r="DS31" i="51"/>
  <c r="FO102" i="51" s="1"/>
  <c r="DW33" i="112"/>
  <c r="DV22" i="112"/>
  <c r="DV151" i="112"/>
  <c r="DV11" i="51"/>
  <c r="DV98" i="113"/>
  <c r="DO35" i="51"/>
  <c r="ED70" i="112"/>
  <c r="HE64" i="112"/>
  <c r="GY50" i="51"/>
  <c r="GY59" i="51" s="1"/>
  <c r="DN187" i="112"/>
  <c r="CP67" i="6"/>
  <c r="CP85" i="6"/>
  <c r="ED176" i="119" s="1"/>
  <c r="CP86" i="6"/>
  <c r="CP94" i="6"/>
  <c r="DZ11" i="112"/>
  <c r="EH70" i="112"/>
  <c r="HF65" i="112"/>
  <c r="GY54" i="51"/>
  <c r="GY57" i="51" l="1"/>
  <c r="DZ98" i="113"/>
  <c r="DZ11" i="51"/>
  <c r="EA33" i="112"/>
  <c r="DZ22" i="112"/>
  <c r="DZ151" i="112"/>
  <c r="ED12" i="119"/>
  <c r="ED18" i="119"/>
  <c r="ED14" i="119"/>
  <c r="DJ61" i="1"/>
  <c r="DJ76" i="1"/>
  <c r="DJ40" i="1"/>
  <c r="DJ97" i="1"/>
  <c r="GX10" i="1"/>
  <c r="GX60" i="1"/>
  <c r="GX96" i="1"/>
  <c r="GX64" i="1"/>
  <c r="GX39" i="1"/>
  <c r="GX65" i="1"/>
  <c r="GX63" i="1"/>
  <c r="ED42" i="119"/>
  <c r="GC17" i="3"/>
  <c r="EH11" i="112"/>
  <c r="ED11" i="112"/>
  <c r="DV20" i="51"/>
  <c r="DW31" i="51"/>
  <c r="DW177" i="112"/>
  <c r="DW170" i="112"/>
  <c r="DV163" i="112"/>
  <c r="ED98" i="113" l="1"/>
  <c r="ED22" i="112"/>
  <c r="EE33" i="112"/>
  <c r="ED11" i="51"/>
  <c r="ED151" i="112"/>
  <c r="EI33" i="112"/>
  <c r="EH22" i="112"/>
  <c r="EH151" i="112"/>
  <c r="EH11" i="51"/>
  <c r="EH98" i="113"/>
  <c r="CP64" i="6"/>
  <c r="CP82" i="6"/>
  <c r="GX40" i="1"/>
  <c r="GX97" i="1"/>
  <c r="GX61" i="1"/>
  <c r="CP81" i="6"/>
  <c r="CP63" i="6"/>
  <c r="CP83" i="6"/>
  <c r="CP65" i="6"/>
  <c r="DV187" i="112"/>
  <c r="DJ41" i="1"/>
  <c r="DJ98" i="1"/>
  <c r="DJ62" i="1"/>
  <c r="DJ59" i="51" s="1"/>
  <c r="DJ77" i="1"/>
  <c r="GX11" i="1"/>
  <c r="ED56" i="119"/>
  <c r="GC21" i="3"/>
  <c r="CP62" i="6"/>
  <c r="CP80" i="6"/>
  <c r="EA170" i="112"/>
  <c r="EA177" i="112"/>
  <c r="DZ163" i="112"/>
  <c r="ED43" i="119"/>
  <c r="GC18" i="3"/>
  <c r="DZ20" i="51"/>
  <c r="EA31" i="51"/>
  <c r="ED164" i="119" l="1"/>
  <c r="CP50" i="6"/>
  <c r="EE177" i="112"/>
  <c r="EE170" i="112"/>
  <c r="ED163" i="112"/>
  <c r="DZ187" i="112"/>
  <c r="ED129" i="119"/>
  <c r="ED135" i="119"/>
  <c r="GX98" i="1"/>
  <c r="GX41" i="1"/>
  <c r="GX62" i="1"/>
  <c r="CP53" i="6"/>
  <c r="CP51" i="6"/>
  <c r="EI31" i="51"/>
  <c r="EH20" i="51"/>
  <c r="EE31" i="51"/>
  <c r="ED20" i="51"/>
  <c r="ED149" i="119"/>
  <c r="ED139" i="119"/>
  <c r="ED148" i="119"/>
  <c r="ED145" i="119"/>
  <c r="ED141" i="119"/>
  <c r="ED138" i="119"/>
  <c r="ED142" i="119"/>
  <c r="ED150" i="119"/>
  <c r="ED140" i="119"/>
  <c r="ED151" i="119"/>
  <c r="ED154" i="119"/>
  <c r="ED147" i="119"/>
  <c r="ED146" i="119"/>
  <c r="ED153" i="119"/>
  <c r="ED143" i="119"/>
  <c r="ED144" i="119"/>
  <c r="CP52" i="6"/>
  <c r="EI177" i="112"/>
  <c r="EI170" i="112"/>
  <c r="EH163" i="112"/>
  <c r="CP66" i="6"/>
  <c r="CP84" i="6"/>
  <c r="ED169" i="119"/>
  <c r="ED163" i="119"/>
  <c r="CP38" i="6"/>
  <c r="ED23" i="119"/>
  <c r="ED268" i="119" s="1"/>
  <c r="DJ66" i="1"/>
  <c r="DJ102" i="1"/>
  <c r="DJ45" i="1"/>
  <c r="DJ81" i="1"/>
  <c r="GX15" i="1"/>
  <c r="ED167" i="119" l="1"/>
  <c r="ED128" i="119"/>
  <c r="ED152" i="119"/>
  <c r="CP77" i="6"/>
  <c r="CP56" i="6"/>
  <c r="CP59" i="6"/>
  <c r="CP96" i="6"/>
  <c r="ED187" i="112"/>
  <c r="CP35" i="6"/>
  <c r="CP37" i="6" s="1"/>
  <c r="CP54" i="6"/>
  <c r="GX45" i="1"/>
  <c r="GX66" i="1"/>
  <c r="F31" i="117"/>
  <c r="GX102" i="1"/>
  <c r="ED170" i="119"/>
  <c r="ED166" i="119"/>
  <c r="ED174" i="119"/>
  <c r="ED165" i="119"/>
  <c r="EH187" i="112"/>
  <c r="ED173" i="119" l="1"/>
  <c r="CP95" i="6"/>
  <c r="CP58" i="6"/>
  <c r="CP93" i="6"/>
  <c r="CP39" i="6"/>
  <c r="EA25" i="119" l="1"/>
  <c r="DG208" i="92"/>
  <c r="DG211" i="92" s="1"/>
  <c r="DG21" i="1"/>
  <c r="EA24" i="119" s="1"/>
  <c r="EA26" i="119" l="1"/>
  <c r="DG209" i="92"/>
  <c r="DH211" i="92" l="1"/>
  <c r="EB25" i="119" l="1"/>
  <c r="DG56" i="2" l="1"/>
  <c r="DG18" i="2"/>
  <c r="DG61" i="2" s="1"/>
  <c r="EA41" i="119"/>
  <c r="EA265" i="119" s="1"/>
  <c r="DG57" i="3"/>
  <c r="EA108" i="119" s="1"/>
  <c r="DG58" i="2" l="1"/>
  <c r="EA76" i="119" s="1"/>
  <c r="EA264" i="119" s="1"/>
  <c r="EA107" i="119"/>
  <c r="EA45" i="119"/>
  <c r="DG114" i="2"/>
  <c r="DG115" i="2" s="1"/>
  <c r="DG27" i="2"/>
  <c r="DG67" i="2" s="1"/>
  <c r="DG58" i="3"/>
  <c r="DG59" i="3" s="1"/>
  <c r="DG59" i="2" l="1"/>
  <c r="EA55" i="119"/>
  <c r="DG53" i="2"/>
  <c r="EB24" i="119" l="1"/>
  <c r="EB26" i="119" s="1"/>
  <c r="DH69" i="1"/>
  <c r="DH105" i="1" l="1"/>
  <c r="EB30" i="119"/>
  <c r="EB269" i="119" s="1"/>
  <c r="DH84" i="1"/>
  <c r="DH126" i="1"/>
  <c r="DH48" i="1"/>
  <c r="EB273" i="119" l="1"/>
  <c r="DH26" i="1"/>
  <c r="DH28" i="1" l="1"/>
  <c r="DH127" i="1"/>
  <c r="DH106" i="1"/>
  <c r="DH30" i="1"/>
  <c r="EB277" i="119"/>
  <c r="EB267" i="119" s="1"/>
  <c r="DH49" i="1"/>
  <c r="DH29" i="1"/>
  <c r="DH87" i="1" s="1"/>
  <c r="EB275" i="119"/>
  <c r="DH70" i="1"/>
  <c r="DH85" i="1"/>
  <c r="DH31" i="1" l="1"/>
  <c r="DH110" i="1" s="1"/>
  <c r="DH50" i="1"/>
  <c r="EB280" i="119"/>
  <c r="DH71" i="1"/>
  <c r="EB279" i="119"/>
  <c r="EB282" i="119" s="1"/>
  <c r="DH86" i="1"/>
  <c r="DH107" i="1"/>
  <c r="DH32" i="1"/>
  <c r="DH128" i="1"/>
  <c r="DH109" i="1"/>
  <c r="DH88" i="1"/>
  <c r="DH108" i="1"/>
  <c r="DH129" i="1"/>
  <c r="DH51" i="1"/>
  <c r="EB281" i="119"/>
  <c r="EB260" i="119" s="1"/>
  <c r="DH130" i="1"/>
  <c r="DH52" i="1"/>
  <c r="DH53" i="1" l="1"/>
  <c r="DH89" i="1"/>
  <c r="DH131" i="1"/>
  <c r="DH132" i="1"/>
  <c r="EB283" i="119"/>
  <c r="EB305" i="119"/>
  <c r="DH54" i="1"/>
  <c r="DH111" i="1"/>
  <c r="DH90" i="1"/>
  <c r="DH49" i="2"/>
  <c r="DH66" i="2" s="1"/>
  <c r="EB69" i="119" l="1"/>
  <c r="EB271" i="119" s="1"/>
  <c r="DH51" i="2"/>
  <c r="EB70" i="119" s="1"/>
  <c r="EB67" i="119"/>
  <c r="EB298" i="119" s="1"/>
  <c r="EB256" i="119" s="1"/>
  <c r="DH56" i="2" l="1"/>
  <c r="EB41" i="119"/>
  <c r="EB265" i="119" s="1"/>
  <c r="DH18" i="2"/>
  <c r="DH61" i="2" l="1"/>
  <c r="DH27" i="2"/>
  <c r="DH67" i="2" s="1"/>
  <c r="EB45" i="119"/>
  <c r="DH58" i="2"/>
  <c r="DH114" i="2"/>
  <c r="EB76" i="119" l="1"/>
  <c r="EB264" i="119" s="1"/>
  <c r="DH59" i="2"/>
  <c r="EB55" i="119"/>
  <c r="DH53" i="2"/>
  <c r="DH163" i="112" l="1"/>
  <c r="DH177" i="112"/>
  <c r="DH170" i="112"/>
  <c r="DH201" i="112"/>
  <c r="AN41" i="116"/>
  <c r="AN42" i="116" s="1"/>
  <c r="DH111" i="112"/>
  <c r="DH118" i="112"/>
  <c r="DH91" i="112"/>
  <c r="DH104" i="112"/>
  <c r="DH208" i="112" l="1"/>
  <c r="DH187" i="112"/>
  <c r="DH203" i="112"/>
  <c r="DH204" i="112" s="1"/>
  <c r="DH150" i="112"/>
  <c r="DH205" i="112" l="1"/>
  <c r="EB93" i="119" l="1"/>
  <c r="DH16" i="1"/>
  <c r="DH124" i="1" s="1"/>
  <c r="DH79" i="2"/>
  <c r="DH84" i="2" s="1"/>
  <c r="DH17" i="1" l="1"/>
  <c r="EB47" i="119"/>
  <c r="DH87" i="2"/>
  <c r="EB46" i="119" s="1"/>
  <c r="DH103" i="1"/>
  <c r="DH46" i="1"/>
  <c r="DH67" i="1"/>
  <c r="EB21" i="119"/>
  <c r="EB19" i="119" s="1"/>
  <c r="DH82" i="1"/>
  <c r="DH72" i="2" l="1"/>
  <c r="DH73" i="2"/>
  <c r="DT73" i="2" s="1"/>
  <c r="DX73" i="2" s="1"/>
  <c r="EB73" i="2" s="1"/>
  <c r="EF73" i="2" s="1"/>
  <c r="EJ73" i="2" s="1"/>
  <c r="DH75" i="2"/>
  <c r="DT75" i="2" s="1"/>
  <c r="DX75" i="2" s="1"/>
  <c r="EB75" i="2" s="1"/>
  <c r="EF75" i="2" s="1"/>
  <c r="EJ75" i="2" s="1"/>
  <c r="DH47" i="1"/>
  <c r="DH83" i="1"/>
  <c r="DH68" i="1"/>
  <c r="DH104" i="1"/>
  <c r="DH74" i="2"/>
  <c r="DT74" i="2" s="1"/>
  <c r="DX74" i="2" s="1"/>
  <c r="EB74" i="2" s="1"/>
  <c r="EF74" i="2" s="1"/>
  <c r="EJ74" i="2" s="1"/>
  <c r="EB20" i="119"/>
  <c r="EB259" i="119" s="1"/>
  <c r="DH125" i="1"/>
  <c r="FO12" i="3" l="1"/>
  <c r="EC93" i="119"/>
  <c r="DI16" i="1"/>
  <c r="DJ124" i="1" s="1"/>
  <c r="EC47" i="119" l="1"/>
  <c r="FO88" i="2"/>
  <c r="AC47" i="119" s="1"/>
  <c r="DI82" i="1"/>
  <c r="DI124" i="1"/>
  <c r="DI103" i="1"/>
  <c r="EC21" i="119"/>
  <c r="EC19" i="119" s="1"/>
  <c r="DI67" i="1"/>
  <c r="DI46" i="1"/>
  <c r="DI17" i="1"/>
  <c r="DJ125" i="1" s="1"/>
  <c r="FN16" i="1"/>
  <c r="AC93" i="119"/>
  <c r="DI72" i="2" l="1"/>
  <c r="DI74" i="2"/>
  <c r="DQ74" i="2" s="1"/>
  <c r="DU74" i="2" s="1"/>
  <c r="DY74" i="2" s="1"/>
  <c r="EC74" i="2" s="1"/>
  <c r="EG74" i="2" s="1"/>
  <c r="EK74" i="2" s="1"/>
  <c r="DI73" i="2"/>
  <c r="DQ73" i="2" s="1"/>
  <c r="DU73" i="2" s="1"/>
  <c r="DY73" i="2" s="1"/>
  <c r="EC73" i="2" s="1"/>
  <c r="EG73" i="2" s="1"/>
  <c r="EK73" i="2" s="1"/>
  <c r="DI75" i="2"/>
  <c r="DU75" i="2" s="1"/>
  <c r="DY75" i="2" s="1"/>
  <c r="EC75" i="2" s="1"/>
  <c r="EG75" i="2" s="1"/>
  <c r="EK75" i="2" s="1"/>
  <c r="DI85" i="2"/>
  <c r="FN103" i="1"/>
  <c r="FN67" i="1"/>
  <c r="FN46" i="1"/>
  <c r="AC21" i="119"/>
  <c r="AC19" i="119" s="1"/>
  <c r="FN17" i="1"/>
  <c r="EC20" i="119"/>
  <c r="EC259" i="119" s="1"/>
  <c r="DI68" i="1"/>
  <c r="DI47" i="1"/>
  <c r="DI125" i="1"/>
  <c r="DI104" i="1"/>
  <c r="DI83" i="1"/>
  <c r="FO15" i="2"/>
  <c r="FO17" i="2" l="1"/>
  <c r="EC44" i="119"/>
  <c r="F20" i="116"/>
  <c r="AC20" i="119"/>
  <c r="AC259" i="119" s="1"/>
  <c r="FN104" i="1"/>
  <c r="AE23" i="114"/>
  <c r="FN47" i="1"/>
  <c r="FN68" i="1"/>
  <c r="FO31" i="2"/>
  <c r="EC59" i="119"/>
  <c r="DI35" i="2"/>
  <c r="FO72" i="2"/>
  <c r="FO16" i="2"/>
  <c r="FO73" i="2" s="1"/>
  <c r="FO23" i="3" l="1"/>
  <c r="DI24" i="3"/>
  <c r="FO19" i="3"/>
  <c r="FO35" i="2"/>
  <c r="AC60" i="119" s="1"/>
  <c r="AC59" i="119"/>
  <c r="FO75" i="2"/>
  <c r="H20" i="116"/>
  <c r="I20" i="116" s="1"/>
  <c r="EC60" i="119"/>
  <c r="DI44" i="2"/>
  <c r="AE24" i="114"/>
  <c r="AE25" i="114"/>
  <c r="DI35" i="3"/>
  <c r="EC101" i="119" s="1"/>
  <c r="EC97" i="119"/>
  <c r="AC44" i="119"/>
  <c r="FO74" i="2"/>
  <c r="FO21" i="2" l="1"/>
  <c r="AC48" i="119" s="1"/>
  <c r="AC46" i="119" s="1"/>
  <c r="DI89" i="2"/>
  <c r="DI25" i="2"/>
  <c r="FO25" i="2" s="1"/>
  <c r="EC48" i="119"/>
  <c r="EC94" i="119"/>
  <c r="FO44" i="2"/>
  <c r="AC65" i="119" s="1"/>
  <c r="EC65" i="119"/>
  <c r="DI87" i="2" l="1"/>
  <c r="FO89" i="2"/>
  <c r="EC46" i="119" l="1"/>
  <c r="FO87" i="2"/>
  <c r="FO20" i="3" l="1"/>
  <c r="FO24" i="3" s="1"/>
  <c r="DH24" i="3"/>
  <c r="EB94" i="119" l="1"/>
  <c r="DH25" i="3"/>
  <c r="AC94" i="119"/>
  <c r="EB96" i="119" l="1"/>
  <c r="DH54" i="3"/>
  <c r="FO32" i="3"/>
  <c r="EB97" i="119"/>
  <c r="DH80" i="2"/>
  <c r="DH35" i="3"/>
  <c r="DH65" i="3" l="1"/>
  <c r="DH55" i="3"/>
  <c r="FO35" i="3"/>
  <c r="AC101" i="119" s="1"/>
  <c r="EB101" i="119"/>
  <c r="AC97" i="119"/>
  <c r="DH50" i="3"/>
  <c r="DH52" i="3" s="1"/>
  <c r="DI51" i="3" s="1"/>
  <c r="DH85" i="2"/>
  <c r="DH81" i="2"/>
  <c r="DH57" i="3" l="1"/>
  <c r="EB107" i="119" l="1"/>
  <c r="EB108" i="119"/>
  <c r="DH58" i="3"/>
  <c r="DH59" i="3" s="1"/>
  <c r="DH115" i="2" l="1"/>
  <c r="DI23" i="1" l="1"/>
  <c r="G12" i="115" s="1"/>
  <c r="FN18" i="1"/>
  <c r="P13" i="115" l="1"/>
  <c r="G14" i="115"/>
  <c r="U13" i="115"/>
  <c r="DI25" i="1"/>
  <c r="EC290" i="119" s="1"/>
  <c r="DJ126" i="1"/>
  <c r="D21" i="118"/>
  <c r="FN23" i="1"/>
  <c r="F11" i="116"/>
  <c r="DI48" i="1"/>
  <c r="DI105" i="1"/>
  <c r="DI69" i="1"/>
  <c r="DI126" i="1"/>
  <c r="DI84" i="1"/>
  <c r="DI26" i="1"/>
  <c r="EC30" i="119"/>
  <c r="EC269" i="119" s="1"/>
  <c r="DJ127" i="1" l="1"/>
  <c r="G15" i="115"/>
  <c r="DI106" i="1"/>
  <c r="DI28" i="1"/>
  <c r="DI85" i="1"/>
  <c r="DI29" i="1"/>
  <c r="DJ129" i="1" s="1"/>
  <c r="DI70" i="1"/>
  <c r="EC275" i="119"/>
  <c r="EC277" i="119"/>
  <c r="DI30" i="1"/>
  <c r="DI49" i="1"/>
  <c r="DI127" i="1"/>
  <c r="FN48" i="1"/>
  <c r="AC30" i="119"/>
  <c r="AC269" i="119" s="1"/>
  <c r="FN105" i="1"/>
  <c r="F12" i="116"/>
  <c r="FN69" i="1"/>
  <c r="D22" i="118"/>
  <c r="D57" i="118"/>
  <c r="D58" i="118" s="1"/>
  <c r="D92" i="118"/>
  <c r="D93" i="118" s="1"/>
  <c r="FN24" i="1"/>
  <c r="EC273" i="119"/>
  <c r="H11" i="116"/>
  <c r="I11" i="116" s="1"/>
  <c r="U16" i="115" l="1"/>
  <c r="P16" i="115"/>
  <c r="G16" i="115"/>
  <c r="DJ130" i="1"/>
  <c r="G17" i="115"/>
  <c r="P17" i="115" s="1"/>
  <c r="DJ128" i="1"/>
  <c r="DI108" i="1"/>
  <c r="DI87" i="1"/>
  <c r="DI129" i="1"/>
  <c r="DI51" i="1"/>
  <c r="EC281" i="119"/>
  <c r="EC260" i="119" s="1"/>
  <c r="DI88" i="1"/>
  <c r="DI52" i="1"/>
  <c r="DI109" i="1"/>
  <c r="DI130" i="1"/>
  <c r="DI31" i="1"/>
  <c r="DJ131" i="1" s="1"/>
  <c r="DI71" i="1"/>
  <c r="DI128" i="1"/>
  <c r="DI50" i="1"/>
  <c r="EC279" i="119"/>
  <c r="DI32" i="1"/>
  <c r="DI107" i="1"/>
  <c r="DI86" i="1"/>
  <c r="H12" i="116"/>
  <c r="I12" i="116" s="1"/>
  <c r="FN25" i="1"/>
  <c r="AC290" i="119" s="1"/>
  <c r="D23" i="118"/>
  <c r="D46" i="118" s="1"/>
  <c r="F13" i="116"/>
  <c r="H13" i="116" s="1"/>
  <c r="I13" i="116" s="1"/>
  <c r="AC273" i="119"/>
  <c r="EC267" i="119"/>
  <c r="EC280" i="119"/>
  <c r="FN26" i="1"/>
  <c r="G18" i="115" l="1"/>
  <c r="DJ132" i="1"/>
  <c r="D24" i="118"/>
  <c r="DI90" i="1"/>
  <c r="DI132" i="1"/>
  <c r="DI54" i="1"/>
  <c r="DI111" i="1"/>
  <c r="FN29" i="1"/>
  <c r="AC277" i="119"/>
  <c r="AC267" i="119" s="1"/>
  <c r="FN70" i="1"/>
  <c r="FN28" i="1"/>
  <c r="F14" i="116"/>
  <c r="H14" i="116" s="1"/>
  <c r="I14" i="116" s="1"/>
  <c r="AC275" i="119"/>
  <c r="FN30" i="1"/>
  <c r="FN106" i="1"/>
  <c r="FN49" i="1"/>
  <c r="DI89" i="1"/>
  <c r="DI110" i="1"/>
  <c r="DI131" i="1"/>
  <c r="DI53" i="1"/>
  <c r="EC282" i="119"/>
  <c r="EC283" i="119"/>
  <c r="DI25" i="3"/>
  <c r="FO11" i="3"/>
  <c r="EC305" i="119"/>
  <c r="D117" i="118"/>
  <c r="D94" i="118" s="1"/>
  <c r="D95" i="118" s="1"/>
  <c r="D82" i="118"/>
  <c r="D59" i="118" s="1"/>
  <c r="D60" i="118" s="1"/>
  <c r="U17" i="115" l="1"/>
  <c r="FN32" i="1"/>
  <c r="FN31" i="1"/>
  <c r="AC279" i="119"/>
  <c r="FN71" i="1"/>
  <c r="FN107" i="1"/>
  <c r="F15" i="116"/>
  <c r="FN50" i="1"/>
  <c r="DI54" i="3"/>
  <c r="EC96" i="119"/>
  <c r="DI50" i="3"/>
  <c r="FO47" i="2"/>
  <c r="DI49" i="2"/>
  <c r="DJ66" i="2" s="1"/>
  <c r="D72" i="118"/>
  <c r="D62" i="118"/>
  <c r="D74" i="118" s="1"/>
  <c r="D97" i="118"/>
  <c r="D109" i="118" s="1"/>
  <c r="D107" i="118"/>
  <c r="AC305" i="119"/>
  <c r="FO25" i="3"/>
  <c r="F16" i="116"/>
  <c r="AE15" i="114"/>
  <c r="AC281" i="119"/>
  <c r="AC260" i="119" s="1"/>
  <c r="FN52" i="1"/>
  <c r="FN109" i="1"/>
  <c r="FN51" i="1"/>
  <c r="FN108" i="1"/>
  <c r="AC280" i="119"/>
  <c r="D26" i="118"/>
  <c r="D38" i="118" s="1"/>
  <c r="D47" i="118"/>
  <c r="D36" i="118"/>
  <c r="DI65" i="3" l="1"/>
  <c r="DI55" i="3"/>
  <c r="FO54" i="3"/>
  <c r="AC96" i="119"/>
  <c r="FO50" i="3"/>
  <c r="FO49" i="2"/>
  <c r="DI51" i="2"/>
  <c r="EC69" i="119"/>
  <c r="EC271" i="119" s="1"/>
  <c r="DI66" i="2"/>
  <c r="FO66" i="2" s="1"/>
  <c r="EC67" i="119"/>
  <c r="EC298" i="119" s="1"/>
  <c r="EC256" i="119" s="1"/>
  <c r="FN53" i="1"/>
  <c r="AC282" i="119"/>
  <c r="FN110" i="1"/>
  <c r="DI52" i="3"/>
  <c r="AE19" i="114"/>
  <c r="F17" i="116"/>
  <c r="FN54" i="1"/>
  <c r="FN111" i="1"/>
  <c r="AC283" i="119"/>
  <c r="H16" i="116"/>
  <c r="I16" i="116" s="1"/>
  <c r="H15" i="116"/>
  <c r="I15" i="116" s="1"/>
  <c r="AE31" i="114"/>
  <c r="AE16" i="114"/>
  <c r="AE17" i="114"/>
  <c r="DI57" i="3" l="1"/>
  <c r="EC108" i="119" s="1"/>
  <c r="DJ51" i="3"/>
  <c r="DJ52" i="3" s="1"/>
  <c r="AC69" i="119"/>
  <c r="AC271" i="119" s="1"/>
  <c r="AC67" i="119"/>
  <c r="AC298" i="119" s="1"/>
  <c r="AC256" i="119" s="1"/>
  <c r="FO51" i="2"/>
  <c r="AC70" i="119" s="1"/>
  <c r="EC70" i="119"/>
  <c r="FO52" i="3"/>
  <c r="H17" i="116"/>
  <c r="I17" i="116" s="1"/>
  <c r="AE32" i="114"/>
  <c r="AE20" i="114"/>
  <c r="AE21" i="114"/>
  <c r="FO65" i="3"/>
  <c r="FO55" i="3"/>
  <c r="DJ57" i="3" l="1"/>
  <c r="DJ58" i="3" s="1"/>
  <c r="DJ59" i="3" s="1"/>
  <c r="DK51" i="3"/>
  <c r="DK52" i="3" s="1"/>
  <c r="EC107" i="119"/>
  <c r="FO57" i="3"/>
  <c r="AC107" i="119" s="1"/>
  <c r="DI58" i="3"/>
  <c r="DI59" i="3" s="1"/>
  <c r="AE27" i="114"/>
  <c r="AE28" i="114" s="1"/>
  <c r="FP51" i="3"/>
  <c r="DI18" i="2"/>
  <c r="FO11" i="2"/>
  <c r="EC41" i="119"/>
  <c r="EC265" i="119" s="1"/>
  <c r="DI56" i="2"/>
  <c r="DK57" i="3" l="1"/>
  <c r="DK58" i="3" s="1"/>
  <c r="DK59" i="3" s="1"/>
  <c r="DL51" i="3"/>
  <c r="DL52" i="3" s="1"/>
  <c r="DM51" i="3" s="1"/>
  <c r="DM52" i="3" s="1"/>
  <c r="DN51" i="3" s="1"/>
  <c r="DN52" i="3" s="1"/>
  <c r="DN57" i="3" s="1"/>
  <c r="DN58" i="3" s="1"/>
  <c r="DN59" i="3" s="1"/>
  <c r="ED107" i="119"/>
  <c r="AC108" i="119"/>
  <c r="FO58" i="3"/>
  <c r="FO59" i="3" s="1"/>
  <c r="DI114" i="2"/>
  <c r="DI115" i="2" s="1"/>
  <c r="AE34" i="114"/>
  <c r="AE29" i="114"/>
  <c r="DI61" i="2"/>
  <c r="EC45" i="119"/>
  <c r="DI27" i="2"/>
  <c r="DJ67" i="2" s="1"/>
  <c r="FO18" i="2"/>
  <c r="FO56" i="2"/>
  <c r="DI58" i="2"/>
  <c r="AC41" i="119"/>
  <c r="AC265" i="119" s="1"/>
  <c r="DM57" i="3" l="1"/>
  <c r="DM58" i="3" s="1"/>
  <c r="DM59" i="3" s="1"/>
  <c r="EE107" i="119"/>
  <c r="DL57" i="3"/>
  <c r="FO61" i="2"/>
  <c r="AC45" i="119"/>
  <c r="FO27" i="2"/>
  <c r="EC55" i="119"/>
  <c r="DI67" i="2"/>
  <c r="FO67" i="2" s="1"/>
  <c r="DI53" i="2"/>
  <c r="FO58" i="2"/>
  <c r="AC76" i="119" s="1"/>
  <c r="AC264" i="119" s="1"/>
  <c r="EC76" i="119"/>
  <c r="EC264" i="119" s="1"/>
  <c r="DI59" i="2"/>
  <c r="FO59" i="2" s="1"/>
  <c r="EF107" i="119" l="1"/>
  <c r="DL58" i="3"/>
  <c r="DL59" i="3" s="1"/>
  <c r="FP57" i="3"/>
  <c r="FO53" i="2"/>
  <c r="AC55" i="119"/>
  <c r="DI81" i="2" l="1"/>
  <c r="GC12" i="3" l="1"/>
  <c r="F35" i="117" s="1"/>
  <c r="ED93" i="119"/>
  <c r="ED47" i="119" l="1"/>
  <c r="DJ103" i="1"/>
  <c r="GX16" i="1"/>
  <c r="DJ82" i="1"/>
  <c r="DJ67" i="1"/>
  <c r="DJ46" i="1"/>
  <c r="ED21" i="119"/>
  <c r="ED19" i="119" s="1"/>
  <c r="GX46" i="1" l="1"/>
  <c r="GX67" i="1"/>
  <c r="GX103" i="1"/>
  <c r="DJ68" i="1"/>
  <c r="DJ83" i="1"/>
  <c r="GX17" i="1"/>
  <c r="DJ104" i="1"/>
  <c r="DJ47" i="1"/>
  <c r="ED20" i="119"/>
  <c r="ED259" i="119" s="1"/>
  <c r="ED44" i="119" l="1"/>
  <c r="F56" i="117"/>
  <c r="GX68" i="1"/>
  <c r="GX47" i="1"/>
  <c r="GX104" i="1"/>
  <c r="ED59" i="119"/>
  <c r="ED60" i="119" l="1"/>
  <c r="GC19" i="3"/>
  <c r="GC23" i="3"/>
  <c r="GC20" i="3"/>
  <c r="DK78" i="2"/>
  <c r="ED97" i="119"/>
  <c r="GC32" i="3"/>
  <c r="F36" i="117" s="1"/>
  <c r="DK84" i="2" l="1"/>
  <c r="DQ84" i="2" s="1"/>
  <c r="DR84" i="2" s="1"/>
  <c r="DS84" i="2" s="1"/>
  <c r="DT84" i="2" s="1"/>
  <c r="DU84" i="2" s="1"/>
  <c r="DV84" i="2" s="1"/>
  <c r="DW84" i="2" s="1"/>
  <c r="DX84" i="2" s="1"/>
  <c r="DY84" i="2" s="1"/>
  <c r="DZ84" i="2" s="1"/>
  <c r="EA84" i="2" s="1"/>
  <c r="EB84" i="2" s="1"/>
  <c r="EC84" i="2" s="1"/>
  <c r="ED84" i="2" s="1"/>
  <c r="EE84" i="2" s="1"/>
  <c r="EF84" i="2" s="1"/>
  <c r="EG84" i="2" s="1"/>
  <c r="EH84" i="2" s="1"/>
  <c r="EI84" i="2" s="1"/>
  <c r="EJ84" i="2" s="1"/>
  <c r="EK84" i="2" s="1"/>
  <c r="DK81" i="2"/>
  <c r="ED101" i="119"/>
  <c r="GC35" i="3"/>
  <c r="GC24" i="3"/>
  <c r="F37" i="117" s="1"/>
  <c r="ED94" i="119"/>
  <c r="ED46" i="119"/>
  <c r="ED48" i="119"/>
  <c r="DK16" i="1"/>
  <c r="ED65" i="119"/>
  <c r="DK124" i="1" l="1"/>
  <c r="DK17" i="1"/>
  <c r="EE93" i="119"/>
  <c r="DK125" i="1" l="1"/>
  <c r="DK75" i="2"/>
  <c r="DS75" i="2" s="1"/>
  <c r="DW75" i="2" s="1"/>
  <c r="EA75" i="2" s="1"/>
  <c r="EE75" i="2" s="1"/>
  <c r="EI75" i="2" s="1"/>
  <c r="DK74" i="2"/>
  <c r="DS74" i="2" s="1"/>
  <c r="DW74" i="2" s="1"/>
  <c r="EA74" i="2" s="1"/>
  <c r="EE74" i="2" s="1"/>
  <c r="EI74" i="2" s="1"/>
  <c r="DK73" i="2"/>
  <c r="DS73" i="2" s="1"/>
  <c r="DW73" i="2" s="1"/>
  <c r="EA73" i="2" s="1"/>
  <c r="EE73" i="2" s="1"/>
  <c r="EI73" i="2" s="1"/>
  <c r="DK72" i="2"/>
  <c r="DK85" i="2"/>
  <c r="DK103" i="1"/>
  <c r="EE21" i="119"/>
  <c r="DK46" i="1"/>
  <c r="DK82" i="1"/>
  <c r="EE47" i="119"/>
  <c r="FN19" i="1" l="1"/>
  <c r="FN91" i="112" l="1"/>
  <c r="FN150" i="112" s="1"/>
  <c r="GZ91" i="112"/>
  <c r="GZ92" i="112" s="1"/>
  <c r="DI151" i="112"/>
  <c r="DM163" i="112" l="1"/>
  <c r="DG125" i="112"/>
  <c r="FN92" i="112"/>
  <c r="GZ151" i="112"/>
  <c r="GZ104" i="112"/>
  <c r="GZ208" i="112" s="1"/>
  <c r="DH125" i="112"/>
  <c r="DJ170" i="112"/>
  <c r="DJ177" i="112"/>
  <c r="DI163" i="112"/>
  <c r="DI177" i="112"/>
  <c r="DI170" i="112"/>
  <c r="DI111" i="112"/>
  <c r="DJ118" i="112"/>
  <c r="DI104" i="112"/>
  <c r="AO41" i="116"/>
  <c r="AO42" i="116" s="1"/>
  <c r="DI125" i="112"/>
  <c r="DJ111" i="112"/>
  <c r="DF125" i="112"/>
  <c r="DI118" i="112"/>
  <c r="DI201" i="112"/>
  <c r="GZ118" i="112"/>
  <c r="DI187" i="112" l="1"/>
  <c r="DI208" i="112"/>
  <c r="F40" i="116"/>
  <c r="F46" i="116" s="1"/>
  <c r="H46" i="116" s="1"/>
  <c r="I46" i="116" s="1"/>
  <c r="FN104" i="112"/>
  <c r="FN151" i="112"/>
  <c r="FN118" i="112"/>
  <c r="GZ163" i="112"/>
  <c r="DI203" i="112"/>
  <c r="DI204" i="112" s="1"/>
  <c r="FN201" i="112"/>
  <c r="FN163" i="112" l="1"/>
  <c r="H40" i="116"/>
  <c r="I40" i="116" s="1"/>
  <c r="FN203" i="112"/>
  <c r="FN204" i="112" s="1"/>
  <c r="FN208" i="112"/>
  <c r="DI205" i="112"/>
  <c r="FN205" i="112" s="1"/>
  <c r="DJ204" i="112"/>
  <c r="DI21" i="1" l="1"/>
  <c r="DI211" i="92"/>
  <c r="FN22" i="1" l="1"/>
  <c r="AC25" i="119" s="1"/>
  <c r="EC25" i="119"/>
  <c r="GX20" i="1" l="1"/>
  <c r="FN20" i="1"/>
  <c r="EC24" i="119" l="1"/>
  <c r="EC26" i="119" s="1"/>
  <c r="FN21" i="1"/>
  <c r="AC24" i="119" s="1"/>
  <c r="AC26" i="119" s="1"/>
  <c r="DJ84" i="1" l="1"/>
  <c r="DJ105" i="1"/>
  <c r="DJ48" i="1"/>
  <c r="GX23" i="1"/>
  <c r="DJ69" i="1"/>
  <c r="ED30" i="119"/>
  <c r="ED269" i="119" s="1"/>
  <c r="ED273" i="119" l="1"/>
  <c r="GX24" i="1"/>
  <c r="GX25" i="1" s="1"/>
  <c r="GX48" i="1"/>
  <c r="GX105" i="1"/>
  <c r="GX69" i="1"/>
  <c r="ED275" i="119" l="1"/>
  <c r="GX26" i="1"/>
  <c r="DJ49" i="1"/>
  <c r="ED277" i="119"/>
  <c r="DJ106" i="1"/>
  <c r="DJ85" i="1"/>
  <c r="DJ70" i="1"/>
  <c r="DJ71" i="1" l="1"/>
  <c r="DJ50" i="1"/>
  <c r="GX28" i="1"/>
  <c r="ED279" i="119"/>
  <c r="DJ107" i="1"/>
  <c r="DJ86" i="1"/>
  <c r="ED267" i="119"/>
  <c r="ED280" i="119"/>
  <c r="DJ87" i="1"/>
  <c r="DJ108" i="1"/>
  <c r="DJ51" i="1"/>
  <c r="GX49" i="1"/>
  <c r="GX106" i="1"/>
  <c r="GX29" i="1"/>
  <c r="GX70" i="1"/>
  <c r="GX30" i="1"/>
  <c r="DJ88" i="1"/>
  <c r="ED281" i="119"/>
  <c r="ED260" i="119" s="1"/>
  <c r="DJ52" i="1"/>
  <c r="DJ109" i="1"/>
  <c r="GX107" i="1" l="1"/>
  <c r="GX32" i="1"/>
  <c r="GX50" i="1"/>
  <c r="GX31" i="1"/>
  <c r="GX71" i="1"/>
  <c r="ED305" i="119"/>
  <c r="GC11" i="3"/>
  <c r="F63" i="117"/>
  <c r="GX109" i="1"/>
  <c r="GX52" i="1"/>
  <c r="GX108" i="1"/>
  <c r="GX51" i="1"/>
  <c r="ED283" i="119"/>
  <c r="ED282" i="119"/>
  <c r="DJ111" i="1"/>
  <c r="DJ54" i="1"/>
  <c r="DJ90" i="1"/>
  <c r="DJ89" i="1"/>
  <c r="DJ53" i="1"/>
  <c r="DJ110" i="1"/>
  <c r="GC25" i="3" l="1"/>
  <c r="GC54" i="3" s="1"/>
  <c r="GC55" i="3" s="1"/>
  <c r="F59" i="117" s="1"/>
  <c r="ED96" i="119"/>
  <c r="GX111" i="1"/>
  <c r="GX54" i="1"/>
  <c r="GX53" i="1"/>
  <c r="GX110" i="1"/>
  <c r="ED70" i="119"/>
  <c r="ED67" i="119"/>
  <c r="ED298" i="119" s="1"/>
  <c r="ED256" i="119" s="1"/>
  <c r="ED69" i="119"/>
  <c r="ED271" i="119" s="1"/>
  <c r="ED108" i="119" l="1"/>
  <c r="GC50" i="3"/>
  <c r="GC52" i="3" s="1"/>
  <c r="GD51" i="3" l="1"/>
  <c r="DJ56" i="2" l="1"/>
  <c r="ED41" i="119"/>
  <c r="ED265" i="119" s="1"/>
  <c r="DJ114" i="2" l="1"/>
  <c r="ED45" i="119"/>
  <c r="DJ58" i="2"/>
  <c r="ED76" i="119" l="1"/>
  <c r="ED264" i="119" s="1"/>
  <c r="DJ59" i="2"/>
  <c r="ED55" i="119"/>
  <c r="DJ53" i="2"/>
  <c r="DM59" i="112" l="1"/>
  <c r="HA59" i="112" s="1"/>
  <c r="FO59" i="112" l="1"/>
  <c r="FO140" i="112" s="1"/>
  <c r="CO71" i="6" l="1"/>
  <c r="CO53" i="6"/>
  <c r="CP71" i="6"/>
  <c r="CO51" i="6" l="1"/>
  <c r="CO69" i="6"/>
  <c r="CP69" i="6"/>
  <c r="CO72" i="6" l="1"/>
  <c r="CO54" i="6"/>
  <c r="CP72" i="6"/>
  <c r="CO70" i="6" l="1"/>
  <c r="CP70" i="6"/>
  <c r="CO52" i="6"/>
  <c r="CO35" i="6" l="1"/>
  <c r="CO93" i="6" s="1"/>
  <c r="CO68" i="6"/>
  <c r="CO50" i="6"/>
  <c r="CO87" i="6"/>
  <c r="CP68" i="6"/>
  <c r="CP74" i="6" l="1"/>
  <c r="CO74" i="6"/>
  <c r="CO37" i="6"/>
  <c r="CO39" i="6" s="1"/>
  <c r="CP76" i="6" l="1"/>
  <c r="CO95" i="6"/>
  <c r="CO76" i="6"/>
  <c r="CO58" i="6"/>
  <c r="DM58" i="112" l="1"/>
  <c r="DL58" i="112"/>
  <c r="HA80" i="112"/>
  <c r="M119" i="115"/>
  <c r="O119" i="115" s="1"/>
  <c r="DK58" i="112"/>
  <c r="DK69" i="112" s="1"/>
  <c r="FO80" i="112"/>
  <c r="DM69" i="112" l="1"/>
  <c r="DM150" i="112" s="1"/>
  <c r="AR41" i="116"/>
  <c r="AR42" i="116" s="1"/>
  <c r="HA58" i="112"/>
  <c r="DM118" i="112"/>
  <c r="DN111" i="112"/>
  <c r="X119" i="115"/>
  <c r="DM111" i="112"/>
  <c r="FO58" i="112"/>
  <c r="FO139" i="112" s="1"/>
  <c r="DN118" i="112"/>
  <c r="AS41" i="116"/>
  <c r="AS42" i="116" s="1"/>
  <c r="DM104" i="112"/>
  <c r="DM201" i="112"/>
  <c r="DL201" i="112"/>
  <c r="DK70" i="112"/>
  <c r="DQ104" i="112"/>
  <c r="DM98" i="113"/>
  <c r="DM102" i="113" s="1"/>
  <c r="DN33" i="112"/>
  <c r="DM19" i="112"/>
  <c r="DM30" i="112" s="1"/>
  <c r="DM70" i="112" l="1"/>
  <c r="DP208" i="112"/>
  <c r="DM208" i="112"/>
  <c r="DL208" i="112"/>
  <c r="DQ208" i="112"/>
  <c r="DQ209" i="112" s="1"/>
  <c r="DN31" i="51"/>
  <c r="FN101" i="51" s="1"/>
  <c r="DM20" i="51"/>
  <c r="DM15" i="113"/>
  <c r="DM109" i="113"/>
  <c r="DN170" i="112"/>
  <c r="DN177" i="112"/>
  <c r="DM41" i="113" l="1"/>
  <c r="DM202" i="112"/>
  <c r="DL202" i="112"/>
  <c r="DM187" i="112"/>
  <c r="DM28" i="113"/>
  <c r="DN35" i="51"/>
  <c r="DM24" i="51"/>
  <c r="DK33" i="112"/>
  <c r="DK19" i="112"/>
  <c r="DK98" i="113"/>
  <c r="DK30" i="112" l="1"/>
  <c r="DO184" i="112"/>
  <c r="DO30" i="112"/>
  <c r="DL203" i="112"/>
  <c r="DL215" i="112"/>
  <c r="DP202" i="112"/>
  <c r="DT202" i="112" s="1"/>
  <c r="DT215" i="112" s="1"/>
  <c r="DM215" i="112"/>
  <c r="DQ202" i="112"/>
  <c r="DU202" i="112" s="1"/>
  <c r="DU215" i="112" s="1"/>
  <c r="DM203" i="112"/>
  <c r="M111" i="125"/>
  <c r="DK41" i="112"/>
  <c r="DK20" i="51"/>
  <c r="DO20" i="51"/>
  <c r="DK31" i="51"/>
  <c r="FO100" i="51" s="1"/>
  <c r="DK102" i="113"/>
  <c r="DL212" i="112" l="1"/>
  <c r="DM214" i="112"/>
  <c r="DT203" i="112"/>
  <c r="DP215" i="112"/>
  <c r="DP203" i="112"/>
  <c r="DL214" i="112"/>
  <c r="DY202" i="112"/>
  <c r="DY203" i="112" s="1"/>
  <c r="DU203" i="112"/>
  <c r="DQ215" i="112"/>
  <c r="DQ203" i="112"/>
  <c r="DX202" i="112"/>
  <c r="EB202" i="112" s="1"/>
  <c r="DM227" i="112"/>
  <c r="DM213" i="112"/>
  <c r="DM212" i="112"/>
  <c r="DL213" i="112"/>
  <c r="DL227" i="112"/>
  <c r="M115" i="125"/>
  <c r="M92" i="125"/>
  <c r="X111" i="125"/>
  <c r="Y111" i="125"/>
  <c r="DK24" i="51"/>
  <c r="DO24" i="51"/>
  <c r="DK35" i="51"/>
  <c r="DU213" i="112"/>
  <c r="DU214" i="112"/>
  <c r="DU212" i="112"/>
  <c r="DK15" i="113"/>
  <c r="DK109" i="113"/>
  <c r="DT214" i="112"/>
  <c r="DT212" i="112"/>
  <c r="DT213" i="112"/>
  <c r="DO41" i="113" l="1"/>
  <c r="DU227" i="112"/>
  <c r="DK41" i="113"/>
  <c r="DT227" i="112"/>
  <c r="DP212" i="112"/>
  <c r="DX215" i="112"/>
  <c r="EC202" i="112"/>
  <c r="EG202" i="112" s="1"/>
  <c r="DY215" i="112"/>
  <c r="DP227" i="112"/>
  <c r="DL225" i="112"/>
  <c r="DQ227" i="112"/>
  <c r="DP214" i="112"/>
  <c r="DM225" i="112"/>
  <c r="DM226" i="112"/>
  <c r="DL226" i="112"/>
  <c r="DL224" i="112"/>
  <c r="DQ212" i="112"/>
  <c r="DP213" i="112"/>
  <c r="DX203" i="112"/>
  <c r="DQ213" i="112"/>
  <c r="DQ214" i="112"/>
  <c r="DM224" i="112"/>
  <c r="M95" i="125"/>
  <c r="Y92" i="125"/>
  <c r="X92" i="125"/>
  <c r="X115" i="125"/>
  <c r="Y115" i="125"/>
  <c r="EF202" i="112"/>
  <c r="EB203" i="112"/>
  <c r="EB215" i="112"/>
  <c r="DO28" i="113"/>
  <c r="DK56" i="113"/>
  <c r="DK28" i="113"/>
  <c r="DX214" i="112" l="1"/>
  <c r="DT224" i="112"/>
  <c r="EC215" i="112"/>
  <c r="DX212" i="112"/>
  <c r="DX227" i="112"/>
  <c r="DP224" i="112"/>
  <c r="DX213" i="112"/>
  <c r="EC203" i="112"/>
  <c r="DU226" i="112"/>
  <c r="DY227" i="112"/>
  <c r="DT225" i="112"/>
  <c r="DT226" i="112"/>
  <c r="DY212" i="112"/>
  <c r="DY214" i="112"/>
  <c r="DU224" i="112"/>
  <c r="DY213" i="112"/>
  <c r="DQ226" i="112"/>
  <c r="DQ225" i="112"/>
  <c r="DP226" i="112"/>
  <c r="DP225" i="112"/>
  <c r="DU225" i="112"/>
  <c r="DQ224" i="112"/>
  <c r="Y95" i="125"/>
  <c r="X95" i="125"/>
  <c r="EB227" i="112"/>
  <c r="EB213" i="112"/>
  <c r="EB214" i="112"/>
  <c r="EB212" i="112"/>
  <c r="EG215" i="112"/>
  <c r="EG203" i="112"/>
  <c r="EK202" i="112"/>
  <c r="EJ202" i="112"/>
  <c r="EF215" i="112"/>
  <c r="EF203" i="112"/>
  <c r="DX226" i="112" l="1"/>
  <c r="EC213" i="112"/>
  <c r="EC214" i="112"/>
  <c r="EC227" i="112"/>
  <c r="DY226" i="112"/>
  <c r="EC212" i="112"/>
  <c r="DX225" i="112"/>
  <c r="DX224" i="112"/>
  <c r="DY224" i="112"/>
  <c r="DY225" i="112"/>
  <c r="EB226" i="112"/>
  <c r="EB225" i="112"/>
  <c r="EG214" i="112"/>
  <c r="EG213" i="112"/>
  <c r="EG212" i="112"/>
  <c r="EG227" i="112"/>
  <c r="EF227" i="112"/>
  <c r="EF213" i="112"/>
  <c r="EF212" i="112"/>
  <c r="EF214" i="112"/>
  <c r="EB224" i="112"/>
  <c r="EJ215" i="112"/>
  <c r="EJ203" i="112"/>
  <c r="EK203" i="112"/>
  <c r="EK215" i="112"/>
  <c r="EC225" i="112" l="1"/>
  <c r="EC226" i="112"/>
  <c r="EC224" i="112"/>
  <c r="EF226" i="112"/>
  <c r="EG226" i="112"/>
  <c r="EF225" i="112"/>
  <c r="EG225" i="112"/>
  <c r="EK212" i="112"/>
  <c r="EK214" i="112"/>
  <c r="EK227" i="112"/>
  <c r="EK213" i="112"/>
  <c r="EF224" i="112"/>
  <c r="EG224" i="112"/>
  <c r="EJ212" i="112"/>
  <c r="EJ227" i="112"/>
  <c r="EJ213" i="112"/>
  <c r="EJ214" i="112"/>
  <c r="EJ225" i="112" l="1"/>
  <c r="EK225" i="112"/>
  <c r="EJ224" i="112"/>
  <c r="EK226" i="112"/>
  <c r="EJ226" i="112"/>
  <c r="EK224" i="112"/>
  <c r="GZ98" i="112" l="1"/>
  <c r="GZ99" i="112" s="1"/>
  <c r="DJ157" i="112"/>
  <c r="DJ106" i="112" l="1"/>
  <c r="C51" i="125"/>
  <c r="GZ158" i="112"/>
  <c r="GZ165" i="112" s="1"/>
  <c r="DJ120" i="112"/>
  <c r="GZ106" i="112"/>
  <c r="GZ120" i="112"/>
  <c r="DJ158" i="112"/>
  <c r="DN106" i="112"/>
  <c r="DJ113" i="112"/>
  <c r="C57" i="125" l="1"/>
  <c r="E51" i="125"/>
  <c r="F51" i="125" s="1"/>
  <c r="K75" i="125"/>
  <c r="H51" i="125"/>
  <c r="DJ165" i="112"/>
  <c r="DN165" i="112"/>
  <c r="DJ172" i="112"/>
  <c r="DJ179" i="112"/>
  <c r="DJ80" i="51"/>
  <c r="DJ237" i="112"/>
  <c r="DJ242" i="112"/>
  <c r="DJ189" i="112" l="1"/>
  <c r="DN189" i="112"/>
  <c r="T75" i="125"/>
  <c r="S75" i="125"/>
  <c r="O75" i="125"/>
  <c r="N75" i="125"/>
  <c r="K81" i="125"/>
  <c r="H57" i="125"/>
  <c r="E57" i="125"/>
  <c r="F57" i="125" s="1"/>
  <c r="DJ143" i="113"/>
  <c r="T81" i="125" l="1"/>
  <c r="O81" i="125"/>
  <c r="N81" i="125"/>
  <c r="S81" i="125"/>
  <c r="GX143" i="113"/>
  <c r="GX145" i="113" s="1"/>
  <c r="DJ142" i="113"/>
  <c r="DJ68" i="113"/>
  <c r="DJ146" i="113" l="1"/>
  <c r="GX142" i="113"/>
  <c r="DJ13" i="113"/>
  <c r="DJ67" i="113"/>
  <c r="GX67" i="113" s="1"/>
  <c r="DJ69" i="113"/>
  <c r="GX68" i="113"/>
  <c r="GX69" i="113" s="1"/>
  <c r="DJ39" i="113" l="1"/>
  <c r="GX13" i="113"/>
  <c r="DJ54" i="113"/>
  <c r="DJ26" i="113"/>
  <c r="GX144" i="113"/>
  <c r="GX146" i="113"/>
  <c r="GX39" i="113" l="1"/>
  <c r="GX26" i="113"/>
  <c r="DK62" i="113" l="1"/>
  <c r="DK34" i="113"/>
  <c r="M93" i="125" l="1"/>
  <c r="DK36" i="51"/>
  <c r="FO135" i="51" s="1"/>
  <c r="DK25" i="51"/>
  <c r="M96" i="125" l="1"/>
  <c r="DK45" i="51"/>
  <c r="X93" i="125"/>
  <c r="Y93" i="125"/>
  <c r="DK43" i="51"/>
  <c r="DK46" i="51"/>
  <c r="DK44" i="51"/>
  <c r="DK37" i="51"/>
  <c r="DK40" i="51"/>
  <c r="DK41" i="51"/>
  <c r="DK42" i="51"/>
  <c r="DK26" i="51"/>
  <c r="DK28" i="51" s="1"/>
  <c r="M94" i="125" l="1"/>
  <c r="M97" i="125"/>
  <c r="X96" i="125"/>
  <c r="Y96" i="125"/>
  <c r="DK67" i="1"/>
  <c r="EE11" i="119"/>
  <c r="EE270" i="119" s="1"/>
  <c r="DK75" i="1"/>
  <c r="DK63" i="1"/>
  <c r="DK39" i="1"/>
  <c r="DK64" i="1"/>
  <c r="DK60" i="1"/>
  <c r="DK96" i="1"/>
  <c r="DK65" i="1"/>
  <c r="DO188" i="112"/>
  <c r="DO191" i="112"/>
  <c r="DO190" i="112"/>
  <c r="CQ67" i="6"/>
  <c r="CQ85" i="6"/>
  <c r="EE176" i="119" s="1"/>
  <c r="CQ94" i="6"/>
  <c r="CQ86" i="6"/>
  <c r="Y97" i="125" l="1"/>
  <c r="X97" i="125"/>
  <c r="M98" i="125"/>
  <c r="Y94" i="125"/>
  <c r="X94" i="125"/>
  <c r="EE42" i="119"/>
  <c r="CQ50" i="6" l="1"/>
  <c r="CQ80" i="6"/>
  <c r="CQ62" i="6"/>
  <c r="CQ81" i="6"/>
  <c r="CQ51" i="6"/>
  <c r="CQ63" i="6"/>
  <c r="CQ64" i="6"/>
  <c r="CQ82" i="6"/>
  <c r="CQ52" i="6"/>
  <c r="DK97" i="1"/>
  <c r="DK76" i="1"/>
  <c r="DK40" i="1"/>
  <c r="EE14" i="119"/>
  <c r="EE18" i="119"/>
  <c r="EE19" i="119" s="1"/>
  <c r="DK61" i="1"/>
  <c r="EE12" i="119"/>
  <c r="CQ65" i="6"/>
  <c r="CQ83" i="6"/>
  <c r="CQ53" i="6"/>
  <c r="EE164" i="119" l="1"/>
  <c r="CR51" i="6"/>
  <c r="CR63" i="6"/>
  <c r="CQ68" i="6"/>
  <c r="EE56" i="119"/>
  <c r="CQ69" i="6"/>
  <c r="DK98" i="1"/>
  <c r="DK77" i="1"/>
  <c r="DK62" i="1"/>
  <c r="DK59" i="51" s="1"/>
  <c r="DK41" i="1"/>
  <c r="CQ66" i="6"/>
  <c r="CQ84" i="6"/>
  <c r="CQ70" i="6"/>
  <c r="EE43" i="119"/>
  <c r="CQ71" i="6"/>
  <c r="CR52" i="6"/>
  <c r="CR64" i="6"/>
  <c r="EE169" i="119"/>
  <c r="EE163" i="119"/>
  <c r="EE149" i="119"/>
  <c r="EE150" i="119"/>
  <c r="EE143" i="119"/>
  <c r="EE154" i="119"/>
  <c r="EE147" i="119"/>
  <c r="EE140" i="119"/>
  <c r="EE153" i="119"/>
  <c r="EE146" i="119"/>
  <c r="EE139" i="119"/>
  <c r="EE145" i="119"/>
  <c r="EE151" i="119"/>
  <c r="EE148" i="119"/>
  <c r="EE142" i="119"/>
  <c r="EE138" i="119"/>
  <c r="EE144" i="119"/>
  <c r="EE141" i="119"/>
  <c r="EE135" i="119"/>
  <c r="EE129" i="119"/>
  <c r="CQ35" i="6" l="1"/>
  <c r="CQ93" i="6" s="1"/>
  <c r="CQ54" i="6"/>
  <c r="M102" i="125"/>
  <c r="EE152" i="119"/>
  <c r="EE128" i="119"/>
  <c r="EE167" i="119"/>
  <c r="DK102" i="1"/>
  <c r="CQ38" i="6"/>
  <c r="DK81" i="1"/>
  <c r="DK45" i="1"/>
  <c r="DK66" i="1"/>
  <c r="EE23" i="119"/>
  <c r="EE268" i="119" s="1"/>
  <c r="CR69" i="6"/>
  <c r="CQ72" i="6"/>
  <c r="CR70" i="6"/>
  <c r="EE166" i="119"/>
  <c r="EE174" i="119"/>
  <c r="EE165" i="119"/>
  <c r="EE170" i="119"/>
  <c r="CQ74" i="6" l="1"/>
  <c r="CQ59" i="6"/>
  <c r="CQ56" i="6"/>
  <c r="Y102" i="125"/>
  <c r="X102" i="125"/>
  <c r="EE173" i="119"/>
  <c r="EE20" i="119"/>
  <c r="EE259" i="119" s="1"/>
  <c r="DK47" i="1"/>
  <c r="DK68" i="1"/>
  <c r="DK83" i="1"/>
  <c r="DK104" i="1"/>
  <c r="CQ77" i="6"/>
  <c r="CQ37" i="6"/>
  <c r="CQ58" i="6" s="1"/>
  <c r="CQ96" i="6"/>
  <c r="CQ76" i="6" l="1"/>
  <c r="CQ95" i="6"/>
  <c r="CQ39" i="6"/>
  <c r="EE44" i="119"/>
  <c r="EE59" i="119"/>
  <c r="EE60" i="119" l="1"/>
  <c r="EE65" i="119"/>
  <c r="EE97" i="119"/>
  <c r="EE101" i="119" l="1"/>
  <c r="EE94" i="119"/>
  <c r="DK89" i="2"/>
  <c r="DK87" i="2" s="1"/>
  <c r="EE46" i="119" s="1"/>
  <c r="EE48" i="119"/>
  <c r="EF93" i="119" l="1"/>
  <c r="EF47" i="119" l="1"/>
  <c r="DL46" i="1"/>
  <c r="DL124" i="1"/>
  <c r="DL103" i="1"/>
  <c r="EF21" i="119"/>
  <c r="DL82" i="1"/>
  <c r="DJ31" i="113" l="1"/>
  <c r="DJ59" i="113"/>
  <c r="GX18" i="113"/>
  <c r="DJ20" i="113"/>
  <c r="DJ44" i="113"/>
  <c r="DJ33" i="113" l="1"/>
  <c r="DJ61" i="113"/>
  <c r="GX44" i="113"/>
  <c r="GX31" i="113"/>
  <c r="GX20" i="113"/>
  <c r="DJ46" i="113"/>
  <c r="GX46" i="113" l="1"/>
  <c r="GX33" i="113"/>
  <c r="ED24" i="119" l="1"/>
  <c r="DJ116" i="2"/>
  <c r="DJ115" i="2" s="1"/>
  <c r="GX19" i="1"/>
  <c r="GX21" i="1" s="1"/>
  <c r="EE24" i="119" l="1"/>
  <c r="GX22" i="1"/>
  <c r="GX18" i="1" s="1"/>
  <c r="ED25" i="119"/>
  <c r="ED26" i="119" s="1"/>
  <c r="DJ208" i="92"/>
  <c r="DJ211" i="92" s="1"/>
  <c r="DJ209" i="92" l="1"/>
  <c r="EE25" i="119" s="1"/>
  <c r="EE26" i="119" s="1"/>
  <c r="DK211" i="92" l="1"/>
  <c r="M104" i="125" l="1"/>
  <c r="M103" i="125"/>
  <c r="DK48" i="1"/>
  <c r="EE30" i="119"/>
  <c r="EE269" i="119" s="1"/>
  <c r="DK69" i="1"/>
  <c r="DK84" i="1"/>
  <c r="DK105" i="1"/>
  <c r="Y103" i="125" l="1"/>
  <c r="X103" i="125"/>
  <c r="M105" i="125"/>
  <c r="X104" i="125"/>
  <c r="Y104" i="125"/>
  <c r="DK106" i="1"/>
  <c r="EF25" i="119"/>
  <c r="EE273" i="119"/>
  <c r="DK71" i="1" l="1"/>
  <c r="EE277" i="119"/>
  <c r="EE267" i="119" s="1"/>
  <c r="EE275" i="119"/>
  <c r="DK70" i="1"/>
  <c r="DK49" i="1"/>
  <c r="DK85" i="1"/>
  <c r="DK87" i="1"/>
  <c r="M106" i="125"/>
  <c r="Y105" i="125"/>
  <c r="X105" i="125"/>
  <c r="DK88" i="1"/>
  <c r="DK109" i="1"/>
  <c r="DK107" i="1"/>
  <c r="DK50" i="1"/>
  <c r="EE279" i="119"/>
  <c r="DK86" i="1"/>
  <c r="EE281" i="119" l="1"/>
  <c r="EE260" i="119" s="1"/>
  <c r="DK52" i="1"/>
  <c r="M107" i="125"/>
  <c r="X107" i="125" s="1"/>
  <c r="EE280" i="119"/>
  <c r="DK51" i="1"/>
  <c r="DK108" i="1"/>
  <c r="M108" i="125"/>
  <c r="X106" i="125"/>
  <c r="Y106" i="125"/>
  <c r="EE283" i="119"/>
  <c r="EE282" i="119"/>
  <c r="EE305" i="119"/>
  <c r="DK53" i="1"/>
  <c r="DK89" i="1"/>
  <c r="DK110" i="1"/>
  <c r="DK111" i="1"/>
  <c r="DK90" i="1"/>
  <c r="DK54" i="1"/>
  <c r="Y107" i="125" l="1"/>
  <c r="Y108" i="125"/>
  <c r="X108" i="125"/>
  <c r="EE96" i="119"/>
  <c r="EE67" i="119" l="1"/>
  <c r="EE298" i="119" s="1"/>
  <c r="EE256" i="119" s="1"/>
  <c r="EE69" i="119"/>
  <c r="EE271" i="119" s="1"/>
  <c r="EE70" i="119"/>
  <c r="EE108" i="119"/>
  <c r="EE41" i="119" l="1"/>
  <c r="EE265" i="119" s="1"/>
  <c r="DK56" i="2"/>
  <c r="DK58" i="2" l="1"/>
  <c r="DK114" i="2"/>
  <c r="EE45" i="119"/>
  <c r="DK115" i="2" l="1"/>
  <c r="DK53" i="2"/>
  <c r="EE55" i="119"/>
  <c r="DK59" i="2"/>
  <c r="EE76" i="119"/>
  <c r="EE264" i="119" s="1"/>
  <c r="EF24" i="119" l="1"/>
  <c r="EF26" i="119" s="1"/>
  <c r="FO18" i="113" l="1"/>
  <c r="DK59" i="113"/>
  <c r="DL59" i="113"/>
  <c r="DK44" i="113"/>
  <c r="DK31" i="113"/>
  <c r="FO31" i="113" l="1"/>
  <c r="DP59" i="113"/>
  <c r="DO31" i="113"/>
  <c r="DS18" i="113"/>
  <c r="FO44" i="113"/>
  <c r="DW18" i="113" l="1"/>
  <c r="EA18" i="113" l="1"/>
  <c r="EE18" i="113" l="1"/>
  <c r="EI18" i="113" l="1"/>
  <c r="AQ41" i="116" l="1"/>
  <c r="AQ42" i="116" s="1"/>
  <c r="DO104" i="112"/>
  <c r="M119" i="125"/>
  <c r="X119" i="125" s="1"/>
  <c r="DL118" i="112"/>
  <c r="DM125" i="112"/>
  <c r="DJ125" i="112"/>
  <c r="DK118" i="112"/>
  <c r="DL111" i="112"/>
  <c r="DK125" i="112"/>
  <c r="DL125" i="112"/>
  <c r="DK111" i="112"/>
  <c r="C50" i="115"/>
  <c r="H50" i="115" s="1"/>
  <c r="DK201" i="112"/>
  <c r="FO201" i="112" s="1"/>
  <c r="DK91" i="112"/>
  <c r="DK150" i="112" s="1"/>
  <c r="DK104" i="112"/>
  <c r="DK208" i="112" l="1"/>
  <c r="DO208" i="112"/>
  <c r="DO209" i="112" s="1"/>
  <c r="DO187" i="112"/>
  <c r="DK202" i="112"/>
  <c r="M125" i="125"/>
  <c r="X125" i="125" s="1"/>
  <c r="HA91" i="112"/>
  <c r="HA92" i="112" s="1"/>
  <c r="FO91" i="112"/>
  <c r="DK177" i="112"/>
  <c r="DK170" i="112"/>
  <c r="DK163" i="112"/>
  <c r="FO208" i="112"/>
  <c r="FP208" i="112"/>
  <c r="K74" i="115"/>
  <c r="E50" i="115"/>
  <c r="F50" i="115" s="1"/>
  <c r="Y119" i="125"/>
  <c r="DK187" i="112" l="1"/>
  <c r="DO202" i="112"/>
  <c r="DO215" i="112" s="1"/>
  <c r="DK215" i="112"/>
  <c r="FO202" i="112"/>
  <c r="FO209" i="112" s="1"/>
  <c r="DK203" i="112"/>
  <c r="DK204" i="112" s="1"/>
  <c r="DK205" i="112" s="1"/>
  <c r="DJ205" i="112"/>
  <c r="Y125" i="125"/>
  <c r="HB118" i="112"/>
  <c r="HA104" i="112"/>
  <c r="HA208" i="112" s="1"/>
  <c r="HB104" i="112"/>
  <c r="HB208" i="112" s="1"/>
  <c r="HA118" i="112"/>
  <c r="O74" i="115"/>
  <c r="N74" i="115"/>
  <c r="T74" i="115"/>
  <c r="W74" i="115"/>
  <c r="S74" i="115"/>
  <c r="FO92" i="112"/>
  <c r="DK227" i="112" l="1"/>
  <c r="DO203" i="112"/>
  <c r="DS202" i="112"/>
  <c r="FQ202" i="112" s="1"/>
  <c r="DK212" i="112"/>
  <c r="FP202" i="112"/>
  <c r="FP203" i="112" s="1"/>
  <c r="FO215" i="112"/>
  <c r="DK214" i="112"/>
  <c r="DK213" i="112"/>
  <c r="FO203" i="112"/>
  <c r="FO204" i="112" s="1"/>
  <c r="DL204" i="112"/>
  <c r="DL205" i="112" s="1"/>
  <c r="DO227" i="112"/>
  <c r="DO214" i="112"/>
  <c r="DO212" i="112"/>
  <c r="DO213" i="112"/>
  <c r="FP215" i="112"/>
  <c r="FO118" i="112"/>
  <c r="FP104" i="112"/>
  <c r="J40" i="116"/>
  <c r="FP118" i="112"/>
  <c r="FO104" i="112"/>
  <c r="FO213" i="112" l="1"/>
  <c r="DN240" i="112"/>
  <c r="DN241" i="112" s="1"/>
  <c r="DS203" i="112"/>
  <c r="DL240" i="112"/>
  <c r="DL241" i="112" s="1"/>
  <c r="DM240" i="112"/>
  <c r="DM241" i="112" s="1"/>
  <c r="FO212" i="112"/>
  <c r="DW202" i="112"/>
  <c r="FR202" i="112" s="1"/>
  <c r="DS215" i="112"/>
  <c r="DK240" i="112"/>
  <c r="DK241" i="112" s="1"/>
  <c r="DK224" i="112"/>
  <c r="FP209" i="112"/>
  <c r="DK226" i="112"/>
  <c r="DK225" i="112"/>
  <c r="FO214" i="112"/>
  <c r="FO227" i="112"/>
  <c r="FO221" i="112"/>
  <c r="DK230" i="112"/>
  <c r="DK231" i="112"/>
  <c r="FP204" i="112"/>
  <c r="DM204" i="112"/>
  <c r="DN204" i="112" s="1"/>
  <c r="DO225" i="112"/>
  <c r="FP213" i="112"/>
  <c r="L40" i="116"/>
  <c r="M40" i="116" s="1"/>
  <c r="FP221" i="112"/>
  <c r="FP227" i="112"/>
  <c r="FQ209" i="112"/>
  <c r="FQ203" i="112"/>
  <c r="DO224" i="112"/>
  <c r="FP212" i="112"/>
  <c r="DO226" i="112"/>
  <c r="FP214" i="112"/>
  <c r="FO219" i="112" l="1"/>
  <c r="FO225" i="112"/>
  <c r="DK235" i="112"/>
  <c r="FO218" i="112"/>
  <c r="FO220" i="112"/>
  <c r="DS227" i="112"/>
  <c r="FO226" i="112"/>
  <c r="FO240" i="112"/>
  <c r="FO241" i="112" s="1"/>
  <c r="DW203" i="112"/>
  <c r="DS214" i="112"/>
  <c r="FO224" i="112"/>
  <c r="FQ215" i="112"/>
  <c r="DW215" i="112"/>
  <c r="DS212" i="112"/>
  <c r="EA202" i="112"/>
  <c r="FS202" i="112" s="1"/>
  <c r="DS213" i="112"/>
  <c r="DK79" i="51"/>
  <c r="DK68" i="51" s="1"/>
  <c r="DK77" i="51" s="1"/>
  <c r="DO240" i="112"/>
  <c r="DO241" i="112" s="1"/>
  <c r="DL230" i="112"/>
  <c r="DK244" i="112"/>
  <c r="DK245" i="112" s="1"/>
  <c r="DK236" i="112"/>
  <c r="DL231" i="112"/>
  <c r="DK94" i="113"/>
  <c r="DK92" i="113" s="1"/>
  <c r="DM205" i="112"/>
  <c r="FO205" i="112" s="1"/>
  <c r="FQ204" i="112"/>
  <c r="FP220" i="112"/>
  <c r="FP226" i="112"/>
  <c r="DO204" i="112"/>
  <c r="DN205" i="112"/>
  <c r="FR203" i="112"/>
  <c r="FR209" i="112"/>
  <c r="FP225" i="112"/>
  <c r="FP219" i="112"/>
  <c r="FP218" i="112"/>
  <c r="FP224" i="112"/>
  <c r="DL236" i="112" l="1"/>
  <c r="DM230" i="112"/>
  <c r="FQ227" i="112"/>
  <c r="FR215" i="112"/>
  <c r="FQ212" i="112"/>
  <c r="DS225" i="112"/>
  <c r="DS226" i="112"/>
  <c r="EA215" i="112"/>
  <c r="DS224" i="112"/>
  <c r="FQ213" i="112"/>
  <c r="EA203" i="112"/>
  <c r="EE202" i="112"/>
  <c r="EE215" i="112" s="1"/>
  <c r="FQ214" i="112"/>
  <c r="DW214" i="112"/>
  <c r="DW212" i="112"/>
  <c r="FQ221" i="112"/>
  <c r="DW213" i="112"/>
  <c r="DW227" i="112"/>
  <c r="DL235" i="112"/>
  <c r="DK64" i="51"/>
  <c r="DK73" i="51" s="1"/>
  <c r="DK63" i="51"/>
  <c r="DK72" i="51" s="1"/>
  <c r="DK66" i="51"/>
  <c r="DK75" i="51" s="1"/>
  <c r="DK65" i="51"/>
  <c r="DK74" i="51" s="1"/>
  <c r="DK62" i="51"/>
  <c r="DK71" i="51" s="1"/>
  <c r="DK67" i="51"/>
  <c r="DK76" i="51" s="1"/>
  <c r="DL94" i="113"/>
  <c r="DL92" i="113" s="1"/>
  <c r="DL79" i="51"/>
  <c r="DP240" i="112"/>
  <c r="DP241" i="112" s="1"/>
  <c r="FR204" i="112"/>
  <c r="DM231" i="112"/>
  <c r="DL244" i="112"/>
  <c r="DL245" i="112" s="1"/>
  <c r="DK93" i="113"/>
  <c r="DK90" i="113"/>
  <c r="FS203" i="112"/>
  <c r="FS209" i="112"/>
  <c r="DO205" i="112"/>
  <c r="DP204" i="112"/>
  <c r="FR227" i="112" l="1"/>
  <c r="DN231" i="112"/>
  <c r="FR221" i="112"/>
  <c r="DQ240" i="112"/>
  <c r="DQ241" i="112" s="1"/>
  <c r="FO230" i="112"/>
  <c r="DN230" i="112"/>
  <c r="DM235" i="112"/>
  <c r="EA227" i="112"/>
  <c r="FQ218" i="112"/>
  <c r="FQ225" i="112"/>
  <c r="FQ224" i="112"/>
  <c r="EA214" i="112"/>
  <c r="EA212" i="112"/>
  <c r="FS215" i="112"/>
  <c r="EA213" i="112"/>
  <c r="DM79" i="51"/>
  <c r="DM66" i="51" s="1"/>
  <c r="DM75" i="51" s="1"/>
  <c r="FQ219" i="112"/>
  <c r="FQ226" i="112"/>
  <c r="DW225" i="112"/>
  <c r="DW224" i="112"/>
  <c r="FR214" i="112"/>
  <c r="FT202" i="112"/>
  <c r="FT203" i="112" s="1"/>
  <c r="EE203" i="112"/>
  <c r="EI202" i="112"/>
  <c r="EI203" i="112" s="1"/>
  <c r="FQ220" i="112"/>
  <c r="DW226" i="112"/>
  <c r="FR212" i="112"/>
  <c r="FR213" i="112"/>
  <c r="FO231" i="112"/>
  <c r="DL93" i="113"/>
  <c r="DM236" i="112"/>
  <c r="DM94" i="113"/>
  <c r="DM92" i="113" s="1"/>
  <c r="FO92" i="113" s="1"/>
  <c r="DM244" i="112"/>
  <c r="DM245" i="112" s="1"/>
  <c r="FS204" i="112"/>
  <c r="DP205" i="112"/>
  <c r="DQ204" i="112"/>
  <c r="DK95" i="113"/>
  <c r="DK89" i="113"/>
  <c r="DL90" i="113"/>
  <c r="EE214" i="112"/>
  <c r="FT215" i="112"/>
  <c r="EE213" i="112"/>
  <c r="EE212" i="112"/>
  <c r="EE227" i="112"/>
  <c r="DO231" i="112" l="1"/>
  <c r="DN235" i="112"/>
  <c r="DR240" i="112"/>
  <c r="DR241" i="112" s="1"/>
  <c r="FP240" i="112"/>
  <c r="FP241" i="112" s="1"/>
  <c r="FO235" i="112"/>
  <c r="EA226" i="112"/>
  <c r="DO230" i="112"/>
  <c r="FS214" i="112"/>
  <c r="EA225" i="112"/>
  <c r="FS221" i="112"/>
  <c r="EA224" i="112"/>
  <c r="FS212" i="112"/>
  <c r="FT209" i="112"/>
  <c r="FS227" i="112"/>
  <c r="FU202" i="112"/>
  <c r="FU209" i="112" s="1"/>
  <c r="DM65" i="51"/>
  <c r="DM74" i="51" s="1"/>
  <c r="FS213" i="112"/>
  <c r="DM62" i="51"/>
  <c r="DM71" i="51" s="1"/>
  <c r="FR219" i="112"/>
  <c r="DN236" i="112"/>
  <c r="DM63" i="51"/>
  <c r="DM72" i="51" s="1"/>
  <c r="FR218" i="112"/>
  <c r="DM64" i="51"/>
  <c r="DM73" i="51" s="1"/>
  <c r="FR220" i="112"/>
  <c r="FR226" i="112"/>
  <c r="FO236" i="112"/>
  <c r="EI215" i="112"/>
  <c r="FR224" i="112"/>
  <c r="FO79" i="51"/>
  <c r="FR225" i="112"/>
  <c r="FO244" i="112"/>
  <c r="FO245" i="112" s="1"/>
  <c r="FO94" i="113"/>
  <c r="DM93" i="113"/>
  <c r="FO93" i="113" s="1"/>
  <c r="DN79" i="51"/>
  <c r="DN66" i="51" s="1"/>
  <c r="DN75" i="51" s="1"/>
  <c r="DN244" i="112"/>
  <c r="DN245" i="112" s="1"/>
  <c r="DN94" i="113"/>
  <c r="FT204" i="112"/>
  <c r="EE226" i="112"/>
  <c r="FT214" i="112"/>
  <c r="DL95" i="113"/>
  <c r="DL89" i="113"/>
  <c r="DL12" i="113" s="1"/>
  <c r="DM90" i="113"/>
  <c r="DQ205" i="112"/>
  <c r="FP205" i="112" s="1"/>
  <c r="DR204" i="112"/>
  <c r="DK12" i="113"/>
  <c r="FT221" i="112"/>
  <c r="FT227" i="112"/>
  <c r="EE224" i="112"/>
  <c r="FT212" i="112"/>
  <c r="EE225" i="112"/>
  <c r="FT213" i="112"/>
  <c r="DP231" i="112" l="1"/>
  <c r="DP94" i="113" s="1"/>
  <c r="DP230" i="112"/>
  <c r="DO235" i="112"/>
  <c r="DS240" i="112"/>
  <c r="DS241" i="112" s="1"/>
  <c r="EI227" i="112"/>
  <c r="FS218" i="112"/>
  <c r="FS220" i="112"/>
  <c r="FS226" i="112"/>
  <c r="FU203" i="112"/>
  <c r="FS224" i="112"/>
  <c r="EI214" i="112"/>
  <c r="FS225" i="112"/>
  <c r="FS219" i="112"/>
  <c r="FU215" i="112"/>
  <c r="EI213" i="112"/>
  <c r="EI212" i="112"/>
  <c r="DL38" i="113"/>
  <c r="DN93" i="113"/>
  <c r="GY93" i="113" s="1"/>
  <c r="GY94" i="113" s="1"/>
  <c r="DO79" i="51"/>
  <c r="DO63" i="51" s="1"/>
  <c r="DO72" i="51" s="1"/>
  <c r="DO244" i="112"/>
  <c r="DO245" i="112" s="1"/>
  <c r="DN63" i="51"/>
  <c r="DN72" i="51" s="1"/>
  <c r="DN62" i="51"/>
  <c r="DN71" i="51" s="1"/>
  <c r="DN65" i="51"/>
  <c r="DN74" i="51" s="1"/>
  <c r="DN92" i="113"/>
  <c r="DN90" i="113" s="1"/>
  <c r="DO236" i="112"/>
  <c r="DO94" i="113"/>
  <c r="DO92" i="113" s="1"/>
  <c r="DN64" i="51"/>
  <c r="DN73" i="51" s="1"/>
  <c r="FT218" i="112"/>
  <c r="FT224" i="112"/>
  <c r="FT225" i="112"/>
  <c r="FT219" i="112"/>
  <c r="FT226" i="112"/>
  <c r="FT220" i="112"/>
  <c r="DK38" i="113"/>
  <c r="DK25" i="113"/>
  <c r="DK53" i="113"/>
  <c r="FO90" i="113"/>
  <c r="DM95" i="113"/>
  <c r="DM89" i="113"/>
  <c r="DR205" i="112"/>
  <c r="DS204" i="112"/>
  <c r="DL53" i="113"/>
  <c r="DL25" i="113"/>
  <c r="DQ231" i="112" l="1"/>
  <c r="DT240" i="112"/>
  <c r="DT241" i="112" s="1"/>
  <c r="DQ230" i="112"/>
  <c r="DP235" i="112"/>
  <c r="EI226" i="112"/>
  <c r="FU214" i="112"/>
  <c r="DP79" i="51"/>
  <c r="FU204" i="112"/>
  <c r="FU212" i="112"/>
  <c r="FU227" i="112"/>
  <c r="FU221" i="112"/>
  <c r="EI224" i="112"/>
  <c r="EI225" i="112"/>
  <c r="DP244" i="112"/>
  <c r="DP245" i="112" s="1"/>
  <c r="FU213" i="112"/>
  <c r="DP236" i="112"/>
  <c r="DP92" i="113"/>
  <c r="DO65" i="51"/>
  <c r="DO74" i="51" s="1"/>
  <c r="DO62" i="51"/>
  <c r="DO71" i="51" s="1"/>
  <c r="DO66" i="51"/>
  <c r="DO75" i="51" s="1"/>
  <c r="DO93" i="113"/>
  <c r="DO64" i="51"/>
  <c r="DO73" i="51" s="1"/>
  <c r="DM12" i="113"/>
  <c r="FO89" i="113"/>
  <c r="FO91" i="113" s="1"/>
  <c r="GY90" i="113"/>
  <c r="DN95" i="113"/>
  <c r="DN89" i="113"/>
  <c r="GY89" i="113" s="1"/>
  <c r="DO90" i="113"/>
  <c r="DT204" i="112"/>
  <c r="DS205" i="112"/>
  <c r="DR231" i="112" l="1"/>
  <c r="FP230" i="112"/>
  <c r="DU240" i="112"/>
  <c r="DU241" i="112" s="1"/>
  <c r="DR230" i="112"/>
  <c r="DQ235" i="112"/>
  <c r="DM38" i="113"/>
  <c r="FU225" i="112"/>
  <c r="FU220" i="112"/>
  <c r="FU226" i="112"/>
  <c r="FU224" i="112"/>
  <c r="DP63" i="51"/>
  <c r="FU218" i="112"/>
  <c r="DQ236" i="112"/>
  <c r="DQ244" i="112"/>
  <c r="DQ245" i="112" s="1"/>
  <c r="DQ79" i="51"/>
  <c r="DQ65" i="51" s="1"/>
  <c r="DQ74" i="51" s="1"/>
  <c r="FP231" i="112"/>
  <c r="DQ94" i="113"/>
  <c r="DQ92" i="113" s="1"/>
  <c r="FP92" i="113" s="1"/>
  <c r="DP93" i="113"/>
  <c r="FU219" i="112"/>
  <c r="GY91" i="113"/>
  <c r="DO95" i="113"/>
  <c r="DO89" i="113"/>
  <c r="DP90" i="113"/>
  <c r="DN12" i="113"/>
  <c r="DT205" i="112"/>
  <c r="DU204" i="112"/>
  <c r="DM53" i="113"/>
  <c r="DM25" i="113"/>
  <c r="FO12" i="113"/>
  <c r="GY95" i="113"/>
  <c r="GY92" i="113"/>
  <c r="DS231" i="112" l="1"/>
  <c r="FQ240" i="112"/>
  <c r="FQ241" i="112" s="1"/>
  <c r="FP235" i="112"/>
  <c r="DN38" i="113"/>
  <c r="DR235" i="112"/>
  <c r="DV240" i="112"/>
  <c r="DV241" i="112" s="1"/>
  <c r="DS230" i="112"/>
  <c r="FP244" i="112"/>
  <c r="FP245" i="112" s="1"/>
  <c r="FP236" i="112"/>
  <c r="DR244" i="112"/>
  <c r="DR245" i="112" s="1"/>
  <c r="DQ63" i="51"/>
  <c r="DQ72" i="51" s="1"/>
  <c r="DQ64" i="51"/>
  <c r="DQ73" i="51" s="1"/>
  <c r="DR79" i="51"/>
  <c r="DR63" i="51"/>
  <c r="DR72" i="51" s="1"/>
  <c r="DR94" i="113"/>
  <c r="DR92" i="113" s="1"/>
  <c r="DR236" i="112"/>
  <c r="FP79" i="51"/>
  <c r="DR62" i="51"/>
  <c r="DR71" i="51" s="1"/>
  <c r="DQ93" i="113"/>
  <c r="FP93" i="113" s="1"/>
  <c r="FP94" i="113"/>
  <c r="DN25" i="113"/>
  <c r="DN53" i="113"/>
  <c r="DP95" i="113"/>
  <c r="DQ90" i="113"/>
  <c r="DP89" i="113"/>
  <c r="DO12" i="113"/>
  <c r="DU205" i="112"/>
  <c r="FQ205" i="112" s="1"/>
  <c r="DV204" i="112"/>
  <c r="GY12" i="113"/>
  <c r="FO38" i="113"/>
  <c r="FO25" i="113"/>
  <c r="DT231" i="112" l="1"/>
  <c r="DO38" i="113"/>
  <c r="DW240" i="112"/>
  <c r="DW241" i="112" s="1"/>
  <c r="DT230" i="112"/>
  <c r="DS235" i="112"/>
  <c r="DS244" i="112"/>
  <c r="DS245" i="112" s="1"/>
  <c r="DS63" i="51"/>
  <c r="DS72" i="51" s="1"/>
  <c r="DS79" i="51"/>
  <c r="DS94" i="113"/>
  <c r="DS92" i="113" s="1"/>
  <c r="DS66" i="51"/>
  <c r="DS75" i="51" s="1"/>
  <c r="DS65" i="51"/>
  <c r="DS74" i="51" s="1"/>
  <c r="DS236" i="112"/>
  <c r="DS64" i="51"/>
  <c r="DS73" i="51" s="1"/>
  <c r="DR93" i="113"/>
  <c r="GZ93" i="113" s="1"/>
  <c r="GZ94" i="113" s="1"/>
  <c r="DS62" i="51"/>
  <c r="DS71" i="51" s="1"/>
  <c r="FP63" i="51"/>
  <c r="DP12" i="113"/>
  <c r="DP38" i="113" s="1"/>
  <c r="GY38" i="113"/>
  <c r="GY25" i="113"/>
  <c r="DV205" i="112"/>
  <c r="DW204" i="112"/>
  <c r="DQ95" i="113"/>
  <c r="FP90" i="113"/>
  <c r="DQ89" i="113"/>
  <c r="DR90" i="113"/>
  <c r="DO25" i="113"/>
  <c r="DO53" i="113"/>
  <c r="DU231" i="112" l="1"/>
  <c r="DU230" i="112"/>
  <c r="DT235" i="112"/>
  <c r="DX240" i="112"/>
  <c r="DX241" i="112" s="1"/>
  <c r="DT79" i="51"/>
  <c r="DT63" i="51"/>
  <c r="DT72" i="51" s="1"/>
  <c r="DT244" i="112"/>
  <c r="DT245" i="112" s="1"/>
  <c r="DT236" i="112"/>
  <c r="DT94" i="113"/>
  <c r="DT92" i="113" s="1"/>
  <c r="DS93" i="113"/>
  <c r="HA93" i="113" s="1"/>
  <c r="HA94" i="113" s="1"/>
  <c r="DQ12" i="113"/>
  <c r="DW205" i="112"/>
  <c r="DX204" i="112"/>
  <c r="FP89" i="113"/>
  <c r="FP91" i="113" s="1"/>
  <c r="DP25" i="113"/>
  <c r="DP53" i="113"/>
  <c r="GZ90" i="113"/>
  <c r="DR95" i="113"/>
  <c r="DR89" i="113"/>
  <c r="DS90" i="113"/>
  <c r="DV231" i="112" l="1"/>
  <c r="FQ230" i="112"/>
  <c r="DY240" i="112"/>
  <c r="DY241" i="112" s="1"/>
  <c r="DV230" i="112"/>
  <c r="DU235" i="112"/>
  <c r="DU64" i="51"/>
  <c r="DU73" i="51" s="1"/>
  <c r="DU244" i="112"/>
  <c r="DU245" i="112" s="1"/>
  <c r="DU236" i="112"/>
  <c r="DU63" i="51"/>
  <c r="DU72" i="51" s="1"/>
  <c r="DU94" i="113"/>
  <c r="DU92" i="113" s="1"/>
  <c r="FQ92" i="113" s="1"/>
  <c r="DU65" i="51"/>
  <c r="DU74" i="51" s="1"/>
  <c r="FQ231" i="112"/>
  <c r="DU79" i="51"/>
  <c r="DT93" i="113"/>
  <c r="FP12" i="113"/>
  <c r="HA90" i="113"/>
  <c r="DS95" i="113"/>
  <c r="DS89" i="113"/>
  <c r="DT90" i="113"/>
  <c r="DR12" i="113"/>
  <c r="GZ89" i="113"/>
  <c r="GZ91" i="113" s="1"/>
  <c r="DQ53" i="113"/>
  <c r="DQ38" i="113"/>
  <c r="DQ25" i="113"/>
  <c r="GZ95" i="113"/>
  <c r="GZ92" i="113"/>
  <c r="DY204" i="112"/>
  <c r="DX205" i="112"/>
  <c r="DW231" i="112" l="1"/>
  <c r="DV235" i="112"/>
  <c r="FR240" i="112"/>
  <c r="FR241" i="112" s="1"/>
  <c r="FQ235" i="112"/>
  <c r="DZ240" i="112"/>
  <c r="DZ241" i="112" s="1"/>
  <c r="DW230" i="112"/>
  <c r="FQ236" i="112"/>
  <c r="FQ79" i="51"/>
  <c r="FQ244" i="112"/>
  <c r="FQ245" i="112" s="1"/>
  <c r="DV79" i="51"/>
  <c r="DV94" i="113"/>
  <c r="DV92" i="113" s="1"/>
  <c r="DV236" i="112"/>
  <c r="DU93" i="113"/>
  <c r="FQ93" i="113" s="1"/>
  <c r="FQ94" i="113"/>
  <c r="DV62" i="51"/>
  <c r="DV71" i="51" s="1"/>
  <c r="DV244" i="112"/>
  <c r="DV245" i="112" s="1"/>
  <c r="DV63" i="51"/>
  <c r="DV72" i="51" s="1"/>
  <c r="FP38" i="113"/>
  <c r="FP25" i="113"/>
  <c r="GZ12" i="113"/>
  <c r="GZ25" i="113" s="1"/>
  <c r="DT95" i="113"/>
  <c r="DT89" i="113"/>
  <c r="DT12" i="113" s="1"/>
  <c r="DU90" i="113"/>
  <c r="DY205" i="112"/>
  <c r="FR205" i="112" s="1"/>
  <c r="DZ204" i="112"/>
  <c r="DR25" i="113"/>
  <c r="DR38" i="113"/>
  <c r="DR53" i="113"/>
  <c r="DS12" i="113"/>
  <c r="HA92" i="113"/>
  <c r="HA95" i="113"/>
  <c r="DX231" i="112" l="1"/>
  <c r="DW235" i="112"/>
  <c r="DX230" i="112"/>
  <c r="EA240" i="112"/>
  <c r="EA241" i="112" s="1"/>
  <c r="DW62" i="51"/>
  <c r="DW71" i="51" s="1"/>
  <c r="FQ63" i="51"/>
  <c r="FQ72" i="51" s="1"/>
  <c r="DW94" i="113"/>
  <c r="DW92" i="113" s="1"/>
  <c r="HC93" i="113"/>
  <c r="DW244" i="112"/>
  <c r="DW245" i="112" s="1"/>
  <c r="DW65" i="51"/>
  <c r="DW74" i="51" s="1"/>
  <c r="DV93" i="113"/>
  <c r="DW64" i="51"/>
  <c r="DW73" i="51" s="1"/>
  <c r="DW63" i="51"/>
  <c r="DW72" i="51" s="1"/>
  <c r="DW236" i="112"/>
  <c r="DW79" i="51"/>
  <c r="DW66" i="51"/>
  <c r="DW75" i="51" s="1"/>
  <c r="GZ38" i="113"/>
  <c r="HC90" i="113"/>
  <c r="FQ90" i="113"/>
  <c r="DU95" i="113"/>
  <c r="DV90" i="113"/>
  <c r="DU89" i="113"/>
  <c r="DU12" i="113" s="1"/>
  <c r="DT53" i="113"/>
  <c r="DT25" i="113"/>
  <c r="DT38" i="113"/>
  <c r="DS53" i="113"/>
  <c r="DS25" i="113"/>
  <c r="DS38" i="113"/>
  <c r="DZ205" i="112"/>
  <c r="EA204" i="112"/>
  <c r="DY231" i="112" l="1"/>
  <c r="DY230" i="112"/>
  <c r="DX235" i="112"/>
  <c r="EB240" i="112"/>
  <c r="EB241" i="112" s="1"/>
  <c r="DW93" i="113"/>
  <c r="DX63" i="51"/>
  <c r="DX72" i="51" s="1"/>
  <c r="DX236" i="112"/>
  <c r="DX94" i="113"/>
  <c r="DX92" i="113" s="1"/>
  <c r="DX79" i="51"/>
  <c r="DX244" i="112"/>
  <c r="DX245" i="112" s="1"/>
  <c r="FQ12" i="113"/>
  <c r="EA205" i="112"/>
  <c r="EB204" i="112"/>
  <c r="HC95" i="113"/>
  <c r="FQ89" i="113"/>
  <c r="DU53" i="113"/>
  <c r="DU25" i="113"/>
  <c r="DU38" i="113"/>
  <c r="DV95" i="113"/>
  <c r="DV89" i="113"/>
  <c r="DW90" i="113"/>
  <c r="DZ231" i="112" l="1"/>
  <c r="DZ230" i="112"/>
  <c r="DY235" i="112"/>
  <c r="FR230" i="112"/>
  <c r="EC240" i="112"/>
  <c r="EC241" i="112" s="1"/>
  <c r="DY63" i="51"/>
  <c r="DY72" i="51" s="1"/>
  <c r="DX93" i="113"/>
  <c r="DY65" i="51"/>
  <c r="DY74" i="51" s="1"/>
  <c r="FR231" i="112"/>
  <c r="DY94" i="113"/>
  <c r="DY92" i="113" s="1"/>
  <c r="FR92" i="113" s="1"/>
  <c r="DY244" i="112"/>
  <c r="DY245" i="112" s="1"/>
  <c r="DY236" i="112"/>
  <c r="DY64" i="51"/>
  <c r="DY73" i="51" s="1"/>
  <c r="DY79" i="51"/>
  <c r="FQ25" i="113"/>
  <c r="FQ38" i="113"/>
  <c r="DW95" i="113"/>
  <c r="DW89" i="113"/>
  <c r="DX90" i="113"/>
  <c r="DV12" i="113"/>
  <c r="HA89" i="113"/>
  <c r="HA91" i="113" s="1"/>
  <c r="FQ91" i="113"/>
  <c r="EB205" i="112"/>
  <c r="EC204" i="112"/>
  <c r="FR235" i="112" l="1"/>
  <c r="EA231" i="112"/>
  <c r="ED240" i="112"/>
  <c r="ED241" i="112" s="1"/>
  <c r="FS240" i="112"/>
  <c r="FS241" i="112" s="1"/>
  <c r="DZ235" i="112"/>
  <c r="EA230" i="112"/>
  <c r="DZ94" i="113"/>
  <c r="DZ92" i="113" s="1"/>
  <c r="DZ236" i="112"/>
  <c r="DZ79" i="51"/>
  <c r="DZ63" i="51"/>
  <c r="DZ72" i="51" s="1"/>
  <c r="DZ62" i="51"/>
  <c r="DZ71" i="51" s="1"/>
  <c r="DZ244" i="112"/>
  <c r="DZ245" i="112" s="1"/>
  <c r="FR79" i="51"/>
  <c r="FR94" i="113"/>
  <c r="DY93" i="113"/>
  <c r="FR93" i="113" s="1"/>
  <c r="FR236" i="112"/>
  <c r="FR244" i="112"/>
  <c r="FR245" i="112" s="1"/>
  <c r="EC205" i="112"/>
  <c r="FS205" i="112" s="1"/>
  <c r="ED204" i="112"/>
  <c r="DV38" i="113"/>
  <c r="DV25" i="113"/>
  <c r="DV53" i="113"/>
  <c r="HA12" i="113"/>
  <c r="DX95" i="113"/>
  <c r="DY90" i="113"/>
  <c r="DX89" i="113"/>
  <c r="DW12" i="113"/>
  <c r="EA235" i="112" l="1"/>
  <c r="EB231" i="112"/>
  <c r="EE240" i="112"/>
  <c r="EE241" i="112" s="1"/>
  <c r="EB230" i="112"/>
  <c r="EA244" i="112"/>
  <c r="EA245" i="112" s="1"/>
  <c r="EA64" i="51"/>
  <c r="EA73" i="51" s="1"/>
  <c r="EA94" i="113"/>
  <c r="EA92" i="113" s="1"/>
  <c r="EA63" i="51"/>
  <c r="EA72" i="51" s="1"/>
  <c r="EA236" i="112"/>
  <c r="EA62" i="51"/>
  <c r="EA71" i="51" s="1"/>
  <c r="EA65" i="51"/>
  <c r="EA74" i="51" s="1"/>
  <c r="EA79" i="51"/>
  <c r="EA66" i="51"/>
  <c r="EA75" i="51" s="1"/>
  <c r="DZ93" i="113"/>
  <c r="HB93" i="113" s="1"/>
  <c r="HB94" i="113" s="1"/>
  <c r="FR63" i="51"/>
  <c r="FR72" i="51" s="1"/>
  <c r="DW25" i="113"/>
  <c r="DW53" i="113"/>
  <c r="DW38" i="113"/>
  <c r="DX12" i="113"/>
  <c r="DY95" i="113"/>
  <c r="FR90" i="113"/>
  <c r="DY89" i="113"/>
  <c r="DZ90" i="113"/>
  <c r="HA38" i="113"/>
  <c r="HA25" i="113"/>
  <c r="ED205" i="112"/>
  <c r="EE204" i="112"/>
  <c r="EC231" i="112" l="1"/>
  <c r="EC230" i="112"/>
  <c r="EF240" i="112"/>
  <c r="EF241" i="112" s="1"/>
  <c r="EB235" i="112"/>
  <c r="EB79" i="51"/>
  <c r="EB63" i="51"/>
  <c r="EB72" i="51" s="1"/>
  <c r="EB236" i="112"/>
  <c r="EB94" i="113"/>
  <c r="EB92" i="113" s="1"/>
  <c r="EB244" i="112"/>
  <c r="EB245" i="112" s="1"/>
  <c r="HC94" i="113"/>
  <c r="EA93" i="113"/>
  <c r="DX25" i="113"/>
  <c r="DX38" i="113"/>
  <c r="DX53" i="113"/>
  <c r="DY12" i="113"/>
  <c r="EF204" i="112"/>
  <c r="EE205" i="112"/>
  <c r="HB90" i="113"/>
  <c r="DZ95" i="113"/>
  <c r="EA90" i="113"/>
  <c r="DZ89" i="113"/>
  <c r="FR89" i="113"/>
  <c r="FR91" i="113" s="1"/>
  <c r="FS230" i="112" l="1"/>
  <c r="FS235" i="112" s="1"/>
  <c r="EG240" i="112"/>
  <c r="EG241" i="112" s="1"/>
  <c r="EC235" i="112"/>
  <c r="ED231" i="112"/>
  <c r="ED230" i="112"/>
  <c r="EC64" i="51"/>
  <c r="EC73" i="51" s="1"/>
  <c r="EC94" i="113"/>
  <c r="EC92" i="113" s="1"/>
  <c r="FS92" i="113" s="1"/>
  <c r="EC244" i="112"/>
  <c r="FS244" i="112" s="1"/>
  <c r="FS245" i="112" s="1"/>
  <c r="FS231" i="112"/>
  <c r="EC63" i="51"/>
  <c r="EC72" i="51" s="1"/>
  <c r="EC65" i="51"/>
  <c r="EC74" i="51" s="1"/>
  <c r="EC79" i="51"/>
  <c r="EC236" i="112"/>
  <c r="EB93" i="113"/>
  <c r="FR12" i="113"/>
  <c r="DZ12" i="113"/>
  <c r="FT240" i="112"/>
  <c r="FT241" i="112" s="1"/>
  <c r="DY38" i="113"/>
  <c r="DY53" i="113"/>
  <c r="DY25" i="113"/>
  <c r="EA95" i="113"/>
  <c r="EA89" i="113"/>
  <c r="EB90" i="113"/>
  <c r="EG204" i="112"/>
  <c r="EF205" i="112"/>
  <c r="HB95" i="113"/>
  <c r="HB92" i="113"/>
  <c r="HC92" i="113"/>
  <c r="HB89" i="113"/>
  <c r="HB91" i="113" s="1"/>
  <c r="EH240" i="112" l="1"/>
  <c r="EH241" i="112" s="1"/>
  <c r="EE230" i="112"/>
  <c r="EI240" i="112" s="1"/>
  <c r="EI241" i="112" s="1"/>
  <c r="ED235" i="112"/>
  <c r="EE231" i="112"/>
  <c r="FS79" i="51"/>
  <c r="FS94" i="113"/>
  <c r="EC245" i="112"/>
  <c r="ED62" i="51"/>
  <c r="ED71" i="51" s="1"/>
  <c r="EC93" i="113"/>
  <c r="FS93" i="113" s="1"/>
  <c r="FS236" i="112"/>
  <c r="ED94" i="113"/>
  <c r="ED79" i="51"/>
  <c r="ED63" i="51"/>
  <c r="ED72" i="51" s="1"/>
  <c r="ED244" i="112"/>
  <c r="ED245" i="112" s="1"/>
  <c r="ED236" i="112"/>
  <c r="FR38" i="113"/>
  <c r="FR25" i="113"/>
  <c r="HB12" i="113"/>
  <c r="HB25" i="113" s="1"/>
  <c r="DZ25" i="113"/>
  <c r="DZ53" i="113"/>
  <c r="DZ38" i="113"/>
  <c r="EB95" i="113"/>
  <c r="EB89" i="113"/>
  <c r="EB12" i="113" s="1"/>
  <c r="EC90" i="113"/>
  <c r="EG205" i="112"/>
  <c r="FT205" i="112" s="1"/>
  <c r="EH204" i="112"/>
  <c r="EA12" i="113"/>
  <c r="EE235" i="112" l="1"/>
  <c r="EF230" i="112"/>
  <c r="EJ240" i="112" s="1"/>
  <c r="EJ241" i="112" s="1"/>
  <c r="EF231" i="112"/>
  <c r="ED93" i="113"/>
  <c r="FS63" i="51"/>
  <c r="FS72" i="51" s="1"/>
  <c r="EE64" i="51"/>
  <c r="EE73" i="51" s="1"/>
  <c r="ED92" i="113"/>
  <c r="ED90" i="113" s="1"/>
  <c r="EE66" i="51"/>
  <c r="EE75" i="51" s="1"/>
  <c r="EE244" i="112"/>
  <c r="EE245" i="112" s="1"/>
  <c r="EE79" i="51"/>
  <c r="EE236" i="112"/>
  <c r="EE94" i="113"/>
  <c r="EE92" i="113" s="1"/>
  <c r="EE62" i="51"/>
  <c r="EE71" i="51" s="1"/>
  <c r="EE63" i="51"/>
  <c r="EE72" i="51" s="1"/>
  <c r="EE65" i="51"/>
  <c r="EE74" i="51" s="1"/>
  <c r="HB38" i="113"/>
  <c r="EH205" i="112"/>
  <c r="EI204" i="112"/>
  <c r="EA38" i="113"/>
  <c r="EA25" i="113"/>
  <c r="EA53" i="113"/>
  <c r="EC95" i="113"/>
  <c r="FS90" i="113"/>
  <c r="EC89" i="113"/>
  <c r="FS89" i="113" s="1"/>
  <c r="EB53" i="113"/>
  <c r="EB25" i="113"/>
  <c r="EB38" i="113"/>
  <c r="EF235" i="112" l="1"/>
  <c r="EG230" i="112"/>
  <c r="FT230" i="112" s="1"/>
  <c r="EG231" i="112"/>
  <c r="EF236" i="112"/>
  <c r="EF94" i="113"/>
  <c r="EF92" i="113" s="1"/>
  <c r="EE93" i="113"/>
  <c r="EF244" i="112"/>
  <c r="EF245" i="112" s="1"/>
  <c r="EF63" i="51"/>
  <c r="EF72" i="51" s="1"/>
  <c r="EF79" i="51"/>
  <c r="FS91" i="113"/>
  <c r="ED95" i="113"/>
  <c r="ED89" i="113"/>
  <c r="HC89" i="113" s="1"/>
  <c r="HC91" i="113" s="1"/>
  <c r="EE90" i="113"/>
  <c r="EG235" i="112"/>
  <c r="EH230" i="112"/>
  <c r="EK240" i="112"/>
  <c r="EK241" i="112" s="1"/>
  <c r="EC12" i="113"/>
  <c r="EJ204" i="112"/>
  <c r="EI205" i="112"/>
  <c r="EH231" i="112" l="1"/>
  <c r="EG63" i="51"/>
  <c r="EG72" i="51" s="1"/>
  <c r="EF93" i="113"/>
  <c r="EG64" i="51"/>
  <c r="EG73" i="51" s="1"/>
  <c r="EG244" i="112"/>
  <c r="EG245" i="112" s="1"/>
  <c r="EG79" i="51"/>
  <c r="EG236" i="112"/>
  <c r="EG94" i="113"/>
  <c r="EG92" i="113" s="1"/>
  <c r="FT92" i="113" s="1"/>
  <c r="FT231" i="112"/>
  <c r="EG65" i="51"/>
  <c r="EG74" i="51" s="1"/>
  <c r="EH235" i="112"/>
  <c r="EI230" i="112"/>
  <c r="ED12" i="113"/>
  <c r="EK204" i="112"/>
  <c r="EK205" i="112" s="1"/>
  <c r="FU205" i="112" s="1"/>
  <c r="EJ205" i="112"/>
  <c r="EE95" i="113"/>
  <c r="EE89" i="113"/>
  <c r="EF90" i="113"/>
  <c r="EC25" i="113"/>
  <c r="EC53" i="113"/>
  <c r="EC38" i="113"/>
  <c r="FS12" i="113"/>
  <c r="FT235" i="112"/>
  <c r="FU240" i="112"/>
  <c r="FU241" i="112" s="1"/>
  <c r="EI231" i="112" l="1"/>
  <c r="FT236" i="112"/>
  <c r="EG93" i="113"/>
  <c r="FT93" i="113" s="1"/>
  <c r="EH94" i="113"/>
  <c r="EH92" i="113" s="1"/>
  <c r="EH62" i="51"/>
  <c r="EH71" i="51" s="1"/>
  <c r="EH63" i="51"/>
  <c r="EH72" i="51" s="1"/>
  <c r="FT244" i="112"/>
  <c r="FT245" i="112" s="1"/>
  <c r="EH244" i="112"/>
  <c r="EH245" i="112" s="1"/>
  <c r="EH236" i="112"/>
  <c r="EH79" i="51"/>
  <c r="FT79" i="51"/>
  <c r="FT94" i="113"/>
  <c r="ED53" i="113"/>
  <c r="ED25" i="113"/>
  <c r="ED38" i="113"/>
  <c r="EI235" i="112"/>
  <c r="EJ230" i="112"/>
  <c r="HC12" i="113"/>
  <c r="EF95" i="113"/>
  <c r="EG90" i="113"/>
  <c r="EF89" i="113"/>
  <c r="FS25" i="113"/>
  <c r="FS38" i="113"/>
  <c r="EE12" i="113"/>
  <c r="EJ231" i="112" l="1"/>
  <c r="EI64" i="51"/>
  <c r="EI73" i="51" s="1"/>
  <c r="EI236" i="112"/>
  <c r="EI65" i="51"/>
  <c r="EI74" i="51" s="1"/>
  <c r="EI62" i="51"/>
  <c r="EI71" i="51" s="1"/>
  <c r="EI94" i="113"/>
  <c r="EI92" i="113" s="1"/>
  <c r="EI66" i="51"/>
  <c r="EI75" i="51" s="1"/>
  <c r="EI244" i="112"/>
  <c r="EI245" i="112" s="1"/>
  <c r="EI63" i="51"/>
  <c r="EI72" i="51" s="1"/>
  <c r="EH93" i="113"/>
  <c r="HD93" i="113" s="1"/>
  <c r="HD94" i="113" s="1"/>
  <c r="EI79" i="51"/>
  <c r="FT63" i="51"/>
  <c r="FT72" i="51" s="1"/>
  <c r="EF12" i="113"/>
  <c r="EJ235" i="112"/>
  <c r="EK230" i="112"/>
  <c r="EG95" i="113"/>
  <c r="FT90" i="113"/>
  <c r="EH90" i="113"/>
  <c r="EG89" i="113"/>
  <c r="EG12" i="113" s="1"/>
  <c r="EE25" i="113"/>
  <c r="EE38" i="113"/>
  <c r="EE53" i="113"/>
  <c r="HC38" i="113"/>
  <c r="HC25" i="113"/>
  <c r="EK231" i="112" l="1"/>
  <c r="EJ63" i="51"/>
  <c r="EJ72" i="51" s="1"/>
  <c r="EJ244" i="112"/>
  <c r="EJ245" i="112" s="1"/>
  <c r="EJ236" i="112"/>
  <c r="EJ94" i="113"/>
  <c r="EJ92" i="113" s="1"/>
  <c r="EJ79" i="51"/>
  <c r="EI93" i="113"/>
  <c r="FT12" i="113"/>
  <c r="EG53" i="113"/>
  <c r="EG25" i="113"/>
  <c r="EG38" i="113"/>
  <c r="EF25" i="113"/>
  <c r="EF53" i="113"/>
  <c r="EF38" i="113"/>
  <c r="HD90" i="113"/>
  <c r="EH95" i="113"/>
  <c r="EI90" i="113"/>
  <c r="EH89" i="113"/>
  <c r="FU230" i="112"/>
  <c r="EK235" i="112"/>
  <c r="FT89" i="113"/>
  <c r="FT91" i="113" s="1"/>
  <c r="EK94" i="113" l="1"/>
  <c r="FU94" i="113" s="1"/>
  <c r="EJ93" i="113"/>
  <c r="EK64" i="51"/>
  <c r="EK73" i="51" s="1"/>
  <c r="FU231" i="112"/>
  <c r="EK63" i="51"/>
  <c r="EK72" i="51" s="1"/>
  <c r="EK79" i="51"/>
  <c r="EK244" i="112"/>
  <c r="EK245" i="112" s="1"/>
  <c r="EK65" i="51"/>
  <c r="EK74" i="51" s="1"/>
  <c r="EK236" i="112"/>
  <c r="FT38" i="113"/>
  <c r="FT25" i="113"/>
  <c r="FU235" i="112"/>
  <c r="HD92" i="113"/>
  <c r="HD95" i="113"/>
  <c r="EH12" i="113"/>
  <c r="HD89" i="113"/>
  <c r="HD91" i="113" s="1"/>
  <c r="EI95" i="113"/>
  <c r="EI89" i="113"/>
  <c r="EI12" i="113" s="1"/>
  <c r="EJ90" i="113"/>
  <c r="FU236" i="112" l="1"/>
  <c r="FU79" i="51"/>
  <c r="EK92" i="113"/>
  <c r="FU92" i="113" s="1"/>
  <c r="EK93" i="113"/>
  <c r="FU93" i="113" s="1"/>
  <c r="FU244" i="112"/>
  <c r="FU245" i="112" s="1"/>
  <c r="EH38" i="113"/>
  <c r="EH53" i="113"/>
  <c r="EH25" i="113"/>
  <c r="HD12" i="113"/>
  <c r="EJ95" i="113"/>
  <c r="EJ89" i="113"/>
  <c r="EJ12" i="113" s="1"/>
  <c r="EI53" i="113"/>
  <c r="EI38" i="113"/>
  <c r="EI25" i="113"/>
  <c r="EK90" i="113" l="1"/>
  <c r="FU90" i="113" s="1"/>
  <c r="FU63" i="51"/>
  <c r="FU72" i="51" s="1"/>
  <c r="EJ53" i="113"/>
  <c r="EJ38" i="113"/>
  <c r="EJ25" i="113"/>
  <c r="HD38" i="113"/>
  <c r="HD25" i="113"/>
  <c r="EK89" i="113" l="1"/>
  <c r="EK12" i="113" s="1"/>
  <c r="EK95" i="113"/>
  <c r="HA98" i="112"/>
  <c r="HA99" i="112" s="1"/>
  <c r="FO98" i="112"/>
  <c r="FO99" i="112" s="1"/>
  <c r="DK232" i="112"/>
  <c r="DK113" i="112"/>
  <c r="DK120" i="112"/>
  <c r="DL120" i="112"/>
  <c r="DK127" i="112"/>
  <c r="DM127" i="112"/>
  <c r="FU12" i="113" l="1"/>
  <c r="EK38" i="113"/>
  <c r="EK25" i="113"/>
  <c r="EK53" i="113"/>
  <c r="FU89" i="113"/>
  <c r="FU91" i="113" s="1"/>
  <c r="HB120" i="112"/>
  <c r="FO106" i="112"/>
  <c r="FP106" i="112"/>
  <c r="DK237" i="112"/>
  <c r="DK80" i="51"/>
  <c r="DK242" i="112"/>
  <c r="DL232" i="112"/>
  <c r="M120" i="125"/>
  <c r="C51" i="115"/>
  <c r="DL113" i="112"/>
  <c r="DJ127" i="112"/>
  <c r="DL127" i="112"/>
  <c r="DO106" i="112"/>
  <c r="HA106" i="112"/>
  <c r="J41" i="116"/>
  <c r="FO120" i="112"/>
  <c r="HA120" i="112"/>
  <c r="FP120" i="112"/>
  <c r="HB106" i="112"/>
  <c r="FU38" i="113" l="1"/>
  <c r="FU25" i="113"/>
  <c r="X120" i="125"/>
  <c r="M126" i="125"/>
  <c r="Y120" i="125"/>
  <c r="DK143" i="113"/>
  <c r="DL242" i="112"/>
  <c r="DL237" i="112"/>
  <c r="DL145" i="113"/>
  <c r="DL80" i="51"/>
  <c r="DM232" i="112"/>
  <c r="L41" i="116"/>
  <c r="M41" i="116" s="1"/>
  <c r="DK172" i="112"/>
  <c r="DK179" i="112"/>
  <c r="DK165" i="112"/>
  <c r="H51" i="115"/>
  <c r="K75" i="115"/>
  <c r="E51" i="115"/>
  <c r="F51" i="115" s="1"/>
  <c r="DK189" i="112" l="1"/>
  <c r="DO189" i="112"/>
  <c r="DK68" i="113"/>
  <c r="DK142" i="113"/>
  <c r="DL143" i="113"/>
  <c r="DM242" i="112"/>
  <c r="DM145" i="113"/>
  <c r="FO145" i="113" s="1"/>
  <c r="FO232" i="112"/>
  <c r="DM237" i="112"/>
  <c r="DM80" i="51"/>
  <c r="Y126" i="125"/>
  <c r="X126" i="125"/>
  <c r="S75" i="115"/>
  <c r="T75" i="115"/>
  <c r="W75" i="115"/>
  <c r="N75" i="115"/>
  <c r="O75" i="115"/>
  <c r="DN237" i="112" l="1"/>
  <c r="DN145" i="113"/>
  <c r="DN80" i="51"/>
  <c r="DN242" i="112"/>
  <c r="DO232" i="112"/>
  <c r="DL68" i="113"/>
  <c r="DL142" i="113"/>
  <c r="DM143" i="113"/>
  <c r="DK146" i="113"/>
  <c r="DK13" i="113"/>
  <c r="FO242" i="112"/>
  <c r="FO80" i="51"/>
  <c r="FO237" i="112"/>
  <c r="DK69" i="113"/>
  <c r="DK67" i="113"/>
  <c r="DL69" i="113" l="1"/>
  <c r="DO80" i="51"/>
  <c r="DO242" i="112"/>
  <c r="DO237" i="112"/>
  <c r="DO145" i="113"/>
  <c r="DK39" i="113"/>
  <c r="DK26" i="113"/>
  <c r="DK54" i="113"/>
  <c r="DK20" i="113"/>
  <c r="DM68" i="113"/>
  <c r="FO143" i="113"/>
  <c r="DM142" i="113"/>
  <c r="DN143" i="113"/>
  <c r="DL13" i="113"/>
  <c r="DL39" i="113" l="1"/>
  <c r="DK33" i="113"/>
  <c r="DK61" i="113"/>
  <c r="DK46" i="113"/>
  <c r="GY143" i="113"/>
  <c r="GY145" i="113" s="1"/>
  <c r="DN68" i="113"/>
  <c r="DO143" i="113"/>
  <c r="DN142" i="113"/>
  <c r="DL26" i="113"/>
  <c r="DL54" i="113"/>
  <c r="DM146" i="113"/>
  <c r="DM13" i="113"/>
  <c r="FO142" i="113"/>
  <c r="FO68" i="113"/>
  <c r="DM69" i="113"/>
  <c r="FO69" i="113" s="1"/>
  <c r="DM39" i="113" l="1"/>
  <c r="DM20" i="113"/>
  <c r="FO144" i="113"/>
  <c r="DN13" i="113"/>
  <c r="DM54" i="113"/>
  <c r="DM26" i="113"/>
  <c r="GY142" i="113"/>
  <c r="DO68" i="113"/>
  <c r="DO142" i="113"/>
  <c r="GY68" i="113"/>
  <c r="GY69" i="113" s="1"/>
  <c r="DN69" i="113"/>
  <c r="FO13" i="113"/>
  <c r="DN39" i="113" l="1"/>
  <c r="DM46" i="113"/>
  <c r="DQ20" i="113"/>
  <c r="DM33" i="113"/>
  <c r="GY13" i="113"/>
  <c r="GY39" i="113" s="1"/>
  <c r="DO69" i="113"/>
  <c r="FO39" i="113"/>
  <c r="FO26" i="113"/>
  <c r="DM67" i="113"/>
  <c r="FO67" i="113" s="1"/>
  <c r="DM34" i="113"/>
  <c r="DO146" i="113"/>
  <c r="DO13" i="113"/>
  <c r="GY144" i="113"/>
  <c r="DN26" i="113"/>
  <c r="DN54" i="113"/>
  <c r="DO39" i="113" l="1"/>
  <c r="DQ33" i="113"/>
  <c r="DU20" i="113"/>
  <c r="GY26" i="113"/>
  <c r="DM67" i="51"/>
  <c r="DM76" i="51" s="1"/>
  <c r="DM25" i="51"/>
  <c r="DO54" i="113"/>
  <c r="DO26" i="113"/>
  <c r="DY20" i="113" l="1"/>
  <c r="DU33" i="113"/>
  <c r="DM45" i="51"/>
  <c r="EF11" i="119"/>
  <c r="EF270" i="119" s="1"/>
  <c r="DL117" i="1"/>
  <c r="DL39" i="1"/>
  <c r="DL65" i="1"/>
  <c r="DL75" i="1"/>
  <c r="DL67" i="1"/>
  <c r="DL63" i="1"/>
  <c r="DL60" i="1"/>
  <c r="DL96" i="1"/>
  <c r="DL64" i="1"/>
  <c r="DN67" i="51"/>
  <c r="DN76" i="51" s="1"/>
  <c r="DN36" i="51"/>
  <c r="FN136" i="51" s="1"/>
  <c r="DM26" i="51"/>
  <c r="DM28" i="51" s="1"/>
  <c r="DM43" i="51"/>
  <c r="DM44" i="51"/>
  <c r="DM41" i="51"/>
  <c r="DM46" i="51"/>
  <c r="DM68" i="51"/>
  <c r="DM77" i="51" s="1"/>
  <c r="DM42" i="51"/>
  <c r="DM40" i="51"/>
  <c r="DY33" i="113" l="1"/>
  <c r="EC20" i="113"/>
  <c r="DM97" i="1"/>
  <c r="DM40" i="1"/>
  <c r="FO9" i="1"/>
  <c r="DM118" i="1"/>
  <c r="EG14" i="119"/>
  <c r="FP14" i="2"/>
  <c r="EG18" i="119"/>
  <c r="FP30" i="2"/>
  <c r="EG12" i="119"/>
  <c r="DN68" i="51"/>
  <c r="DN77" i="51" s="1"/>
  <c r="DN43" i="51"/>
  <c r="DN46" i="51"/>
  <c r="DN42" i="51"/>
  <c r="DN40" i="51"/>
  <c r="DN26" i="51"/>
  <c r="DN28" i="51" s="1"/>
  <c r="DN41" i="51"/>
  <c r="DN44" i="51"/>
  <c r="DN37" i="51"/>
  <c r="EF42" i="119"/>
  <c r="DM64" i="1"/>
  <c r="DM65" i="1"/>
  <c r="DM39" i="1"/>
  <c r="DM75" i="1"/>
  <c r="DM63" i="1"/>
  <c r="EG11" i="119"/>
  <c r="EG270" i="119" s="1"/>
  <c r="DM96" i="1"/>
  <c r="DM117" i="1"/>
  <c r="DM60" i="1"/>
  <c r="CS85" i="6"/>
  <c r="EG176" i="119" s="1"/>
  <c r="CS94" i="6"/>
  <c r="CS86" i="6"/>
  <c r="EF18" i="119"/>
  <c r="EF19" i="119" s="1"/>
  <c r="DL40" i="1"/>
  <c r="DL118" i="1"/>
  <c r="DL76" i="1"/>
  <c r="DL97" i="1"/>
  <c r="EF14" i="119"/>
  <c r="DL61" i="1"/>
  <c r="EF12" i="119"/>
  <c r="FO10" i="1"/>
  <c r="DM76" i="1"/>
  <c r="DN45" i="51"/>
  <c r="DM61" i="1"/>
  <c r="EG20" i="113" l="1"/>
  <c r="EC33" i="113"/>
  <c r="CT17" i="6"/>
  <c r="EG43" i="119"/>
  <c r="E16" i="118"/>
  <c r="E44" i="118" s="1"/>
  <c r="FO96" i="1"/>
  <c r="J4" i="116"/>
  <c r="FO63" i="1"/>
  <c r="FO39" i="1"/>
  <c r="FO65" i="1"/>
  <c r="FO64" i="1"/>
  <c r="AD11" i="119"/>
  <c r="AD270" i="119" s="1"/>
  <c r="FO60" i="1"/>
  <c r="EG56" i="119"/>
  <c r="EH11" i="119"/>
  <c r="EH270" i="119" s="1"/>
  <c r="DN65" i="1"/>
  <c r="DN39" i="1"/>
  <c r="DN75" i="1"/>
  <c r="DN96" i="1"/>
  <c r="DN60" i="1"/>
  <c r="DN64" i="1"/>
  <c r="DN63" i="1"/>
  <c r="J5" i="116"/>
  <c r="L5" i="116" s="1"/>
  <c r="M5" i="116" s="1"/>
  <c r="E17" i="118"/>
  <c r="FO61" i="1"/>
  <c r="AD12" i="119"/>
  <c r="FO97" i="1"/>
  <c r="FO40" i="1"/>
  <c r="AD18" i="119"/>
  <c r="AD14" i="119"/>
  <c r="DM62" i="1"/>
  <c r="DM59" i="51" s="1"/>
  <c r="DM119" i="1"/>
  <c r="DM41" i="1"/>
  <c r="DM98" i="1"/>
  <c r="DM77" i="1"/>
  <c r="CT85" i="6"/>
  <c r="EH176" i="119" s="1"/>
  <c r="CT67" i="6"/>
  <c r="CT86" i="6"/>
  <c r="CT94" i="6"/>
  <c r="CT49" i="6"/>
  <c r="FP13" i="2"/>
  <c r="EG42" i="119"/>
  <c r="AD43" i="119"/>
  <c r="FP17" i="3"/>
  <c r="EF56" i="119"/>
  <c r="DL62" i="1"/>
  <c r="DL59" i="51" s="1"/>
  <c r="DL119" i="1"/>
  <c r="DL77" i="1"/>
  <c r="DL98" i="1"/>
  <c r="DL41" i="1"/>
  <c r="FO11" i="1"/>
  <c r="CR62" i="6"/>
  <c r="CR50" i="6"/>
  <c r="EF43" i="119"/>
  <c r="AD56" i="119"/>
  <c r="FP64" i="2"/>
  <c r="FP65" i="2"/>
  <c r="GY9" i="1"/>
  <c r="EK20" i="113" l="1"/>
  <c r="EG33" i="113"/>
  <c r="L4" i="116"/>
  <c r="M4" i="116" s="1"/>
  <c r="E18" i="118"/>
  <c r="E43" i="118" s="1"/>
  <c r="E41" i="118"/>
  <c r="E31" i="118"/>
  <c r="EP9" i="6"/>
  <c r="GD17" i="3"/>
  <c r="CS83" i="6"/>
  <c r="EF23" i="119"/>
  <c r="EF268" i="119" s="1"/>
  <c r="DL102" i="1"/>
  <c r="DL66" i="1"/>
  <c r="DL123" i="1"/>
  <c r="DL81" i="1"/>
  <c r="CR38" i="6"/>
  <c r="DL45" i="1"/>
  <c r="FO15" i="1"/>
  <c r="CS64" i="6"/>
  <c r="CS82" i="6"/>
  <c r="EP11" i="6"/>
  <c r="FO41" i="1"/>
  <c r="J6" i="116"/>
  <c r="FO62" i="1"/>
  <c r="FO98" i="1"/>
  <c r="FP21" i="3"/>
  <c r="EH14" i="119"/>
  <c r="DN76" i="1"/>
  <c r="DN61" i="1"/>
  <c r="DN40" i="1"/>
  <c r="DN97" i="1"/>
  <c r="EH12" i="119"/>
  <c r="EH18" i="119"/>
  <c r="GY10" i="1"/>
  <c r="GY65" i="1"/>
  <c r="GY60" i="1"/>
  <c r="GY63" i="1"/>
  <c r="GY39" i="1"/>
  <c r="GY96" i="1"/>
  <c r="GY64" i="1"/>
  <c r="CR68" i="6"/>
  <c r="EH42" i="119"/>
  <c r="CS80" i="6"/>
  <c r="CS62" i="6"/>
  <c r="E42" i="118"/>
  <c r="E32" i="118"/>
  <c r="FP18" i="3"/>
  <c r="FP62" i="2"/>
  <c r="AD42" i="119"/>
  <c r="EG23" i="119"/>
  <c r="EG268" i="119" s="1"/>
  <c r="CS38" i="6"/>
  <c r="DM66" i="1"/>
  <c r="DM45" i="1"/>
  <c r="DM123" i="1"/>
  <c r="DM102" i="1"/>
  <c r="DM81" i="1"/>
  <c r="CS63" i="6"/>
  <c r="CS81" i="6"/>
  <c r="EP10" i="6"/>
  <c r="EG164" i="119" l="1"/>
  <c r="EK33" i="113"/>
  <c r="EP19" i="6"/>
  <c r="CS18" i="6"/>
  <c r="CR18" i="6"/>
  <c r="CQ18" i="6"/>
  <c r="CP18" i="6"/>
  <c r="E20" i="118"/>
  <c r="E35" i="118" s="1"/>
  <c r="E33" i="118"/>
  <c r="EP44" i="6"/>
  <c r="EG163" i="119"/>
  <c r="EG169" i="119"/>
  <c r="AD23" i="119"/>
  <c r="AD268" i="119" s="1"/>
  <c r="J10" i="116"/>
  <c r="EP38" i="6"/>
  <c r="FO102" i="1"/>
  <c r="FO45" i="1"/>
  <c r="FO66" i="1"/>
  <c r="DN62" i="1"/>
  <c r="DN59" i="51" s="1"/>
  <c r="DN41" i="1"/>
  <c r="DN77" i="1"/>
  <c r="DN98" i="1"/>
  <c r="GY11" i="1"/>
  <c r="L6" i="116"/>
  <c r="M6" i="116" s="1"/>
  <c r="CR59" i="6"/>
  <c r="CR56" i="6"/>
  <c r="CR77" i="6"/>
  <c r="CT82" i="6"/>
  <c r="CT64" i="6"/>
  <c r="EH43" i="119"/>
  <c r="EH56" i="119"/>
  <c r="CS84" i="6"/>
  <c r="E79" i="118"/>
  <c r="E114" i="118"/>
  <c r="E89" i="118" s="1"/>
  <c r="EG135" i="119"/>
  <c r="EG129" i="119"/>
  <c r="CT80" i="6"/>
  <c r="CT62" i="6"/>
  <c r="GY61" i="1"/>
  <c r="GY40" i="1"/>
  <c r="GY97" i="1"/>
  <c r="EF30" i="119"/>
  <c r="EF269" i="119" s="1"/>
  <c r="DL84" i="1"/>
  <c r="DL105" i="1"/>
  <c r="DL126" i="1"/>
  <c r="DL48" i="1"/>
  <c r="DL69" i="1"/>
  <c r="CT83" i="6"/>
  <c r="CT65" i="6"/>
  <c r="EP45" i="6"/>
  <c r="EG141" i="119"/>
  <c r="EG149" i="119"/>
  <c r="EG143" i="119"/>
  <c r="EG138" i="119"/>
  <c r="EG140" i="119"/>
  <c r="EG146" i="119"/>
  <c r="EG144" i="119"/>
  <c r="EG142" i="119"/>
  <c r="EG148" i="119"/>
  <c r="EG145" i="119"/>
  <c r="EG153" i="119"/>
  <c r="EG154" i="119"/>
  <c r="EG139" i="119"/>
  <c r="EG147" i="119"/>
  <c r="EG150" i="119"/>
  <c r="EG151" i="119"/>
  <c r="CS56" i="6"/>
  <c r="CS59" i="6"/>
  <c r="CS77" i="6"/>
  <c r="CS96" i="6"/>
  <c r="CT81" i="6"/>
  <c r="CT63" i="6"/>
  <c r="EP46" i="6"/>
  <c r="EF20" i="119"/>
  <c r="EF259" i="119" s="1"/>
  <c r="DL104" i="1"/>
  <c r="DL125" i="1"/>
  <c r="DL68" i="1"/>
  <c r="DL83" i="1"/>
  <c r="DL47" i="1"/>
  <c r="EH164" i="119" l="1"/>
  <c r="CP19" i="6"/>
  <c r="CQ19" i="6"/>
  <c r="CR19" i="6"/>
  <c r="CS19" i="6"/>
  <c r="E45" i="118"/>
  <c r="EG128" i="119"/>
  <c r="EG152" i="119"/>
  <c r="EG167" i="119"/>
  <c r="CT53" i="6"/>
  <c r="CT51" i="6"/>
  <c r="GD18" i="3"/>
  <c r="EF44" i="119"/>
  <c r="EH154" i="119"/>
  <c r="EH153" i="119"/>
  <c r="EH142" i="119"/>
  <c r="EH145" i="119"/>
  <c r="EH148" i="119"/>
  <c r="EH143" i="119"/>
  <c r="EH147" i="119"/>
  <c r="EH140" i="119"/>
  <c r="EH138" i="119"/>
  <c r="EH144" i="119"/>
  <c r="EH141" i="119"/>
  <c r="EH139" i="119"/>
  <c r="EH150" i="119"/>
  <c r="EH146" i="119"/>
  <c r="EH151" i="119"/>
  <c r="EH149" i="119"/>
  <c r="EF273" i="119"/>
  <c r="EH129" i="119"/>
  <c r="EH135" i="119"/>
  <c r="E104" i="118"/>
  <c r="E88" i="118"/>
  <c r="E91" i="118"/>
  <c r="CT52" i="6"/>
  <c r="EP59" i="6"/>
  <c r="CT84" i="6"/>
  <c r="CT66" i="6"/>
  <c r="CT35" i="6"/>
  <c r="EH163" i="119"/>
  <c r="EH169" i="119"/>
  <c r="L10" i="116"/>
  <c r="M10" i="116" s="1"/>
  <c r="GD21" i="3"/>
  <c r="GY41" i="1"/>
  <c r="GY62" i="1"/>
  <c r="GY98" i="1"/>
  <c r="EF59" i="119"/>
  <c r="CT50" i="6"/>
  <c r="EG165" i="119"/>
  <c r="EG166" i="119"/>
  <c r="EG170" i="119"/>
  <c r="EG174" i="119"/>
  <c r="CU64" i="6"/>
  <c r="EH23" i="119"/>
  <c r="EH268" i="119" s="1"/>
  <c r="CT38" i="6"/>
  <c r="DN45" i="1"/>
  <c r="DN102" i="1"/>
  <c r="DN81" i="1"/>
  <c r="DN66" i="1"/>
  <c r="GY15" i="1"/>
  <c r="C42" i="115" l="1"/>
  <c r="H42" i="115" s="1"/>
  <c r="DL49" i="1"/>
  <c r="DL127" i="1"/>
  <c r="DL106" i="1"/>
  <c r="EF277" i="119"/>
  <c r="EF267" i="119" s="1"/>
  <c r="DL85" i="1"/>
  <c r="EF275" i="119"/>
  <c r="DL70" i="1"/>
  <c r="EH167" i="119"/>
  <c r="EH128" i="119"/>
  <c r="EH152" i="119"/>
  <c r="EG173" i="119"/>
  <c r="E116" i="118"/>
  <c r="E106" i="118"/>
  <c r="DL130" i="1"/>
  <c r="CW11" i="6"/>
  <c r="EF97" i="119"/>
  <c r="CT54" i="6"/>
  <c r="E113" i="118"/>
  <c r="E103" i="118"/>
  <c r="EH170" i="119"/>
  <c r="EH166" i="119"/>
  <c r="EH174" i="119"/>
  <c r="EH165" i="119"/>
  <c r="GY45" i="1"/>
  <c r="G31" i="117"/>
  <c r="GY102" i="1"/>
  <c r="GY66" i="1"/>
  <c r="DL108" i="1"/>
  <c r="DL87" i="1"/>
  <c r="DL129" i="1"/>
  <c r="DL51" i="1"/>
  <c r="CT93" i="6"/>
  <c r="CT56" i="6"/>
  <c r="CT96" i="6"/>
  <c r="CT59" i="6"/>
  <c r="CT77" i="6"/>
  <c r="CT37" i="6"/>
  <c r="CU70" i="6"/>
  <c r="CU52" i="6"/>
  <c r="EF60" i="119"/>
  <c r="EF65" i="119"/>
  <c r="CV31" i="6"/>
  <c r="CV64" i="6"/>
  <c r="K40" i="115" l="1"/>
  <c r="L40" i="115" s="1"/>
  <c r="E42" i="115"/>
  <c r="F42" i="115" s="1"/>
  <c r="EF280" i="119"/>
  <c r="DL88" i="1"/>
  <c r="EF281" i="119"/>
  <c r="EF260" i="119" s="1"/>
  <c r="DL52" i="1"/>
  <c r="DL109" i="1"/>
  <c r="DL107" i="1"/>
  <c r="DL86" i="1"/>
  <c r="DL71" i="1"/>
  <c r="DL128" i="1"/>
  <c r="EF305" i="119"/>
  <c r="DL110" i="1"/>
  <c r="DL50" i="1"/>
  <c r="EF279" i="119"/>
  <c r="EF283" i="119" s="1"/>
  <c r="EQ11" i="6"/>
  <c r="EH173" i="119"/>
  <c r="EF94" i="119"/>
  <c r="CW64" i="6"/>
  <c r="DL132" i="1"/>
  <c r="DL54" i="1"/>
  <c r="DL90" i="1"/>
  <c r="DL111" i="1"/>
  <c r="CT58" i="6"/>
  <c r="CT95" i="6"/>
  <c r="EF48" i="119"/>
  <c r="EF46" i="119"/>
  <c r="EF101" i="119"/>
  <c r="CV70" i="6"/>
  <c r="CV52" i="6"/>
  <c r="CT39" i="6"/>
  <c r="N40" i="115" l="1"/>
  <c r="W40" i="115"/>
  <c r="O40" i="115"/>
  <c r="DL89" i="1"/>
  <c r="DL53" i="1"/>
  <c r="EF282" i="119"/>
  <c r="DL131" i="1"/>
  <c r="EQ46" i="6"/>
  <c r="FP12" i="3"/>
  <c r="AD93" i="119" s="1"/>
  <c r="EG93" i="119"/>
  <c r="EF96" i="119" l="1"/>
  <c r="EF69" i="119"/>
  <c r="EF271" i="119" s="1"/>
  <c r="EF67" i="119"/>
  <c r="EF298" i="119" s="1"/>
  <c r="EF256" i="119" s="1"/>
  <c r="EF70" i="119"/>
  <c r="EG47" i="119"/>
  <c r="FP88" i="2"/>
  <c r="AD47" i="119" s="1"/>
  <c r="EF108" i="119"/>
  <c r="FO16" i="1"/>
  <c r="DM124" i="1"/>
  <c r="DM103" i="1"/>
  <c r="DM46" i="1"/>
  <c r="DM67" i="1"/>
  <c r="EG21" i="119"/>
  <c r="EG19" i="119" s="1"/>
  <c r="DM82" i="1"/>
  <c r="FO46" i="1" l="1"/>
  <c r="AD21" i="119"/>
  <c r="AD19" i="119" s="1"/>
  <c r="FO67" i="1"/>
  <c r="FO103" i="1"/>
  <c r="FO17" i="1"/>
  <c r="EG20" i="119"/>
  <c r="EG259" i="119" s="1"/>
  <c r="DM47" i="1"/>
  <c r="FP15" i="2"/>
  <c r="DM104" i="1"/>
  <c r="DM83" i="1"/>
  <c r="DM125" i="1"/>
  <c r="DM68" i="1"/>
  <c r="FP17" i="2" l="1"/>
  <c r="EG44" i="119"/>
  <c r="FP31" i="2"/>
  <c r="EG59" i="119"/>
  <c r="FP72" i="2"/>
  <c r="AD20" i="119"/>
  <c r="AD259" i="119" s="1"/>
  <c r="FO68" i="1"/>
  <c r="AF23" i="114"/>
  <c r="J20" i="116"/>
  <c r="FO47" i="1"/>
  <c r="FO104" i="1"/>
  <c r="EF41" i="119"/>
  <c r="EF265" i="119" s="1"/>
  <c r="FP16" i="2"/>
  <c r="FP73" i="2" s="1"/>
  <c r="L20" i="116" l="1"/>
  <c r="M20" i="116" s="1"/>
  <c r="AF25" i="114"/>
  <c r="AF24" i="114"/>
  <c r="FP20" i="3"/>
  <c r="EG97" i="119"/>
  <c r="FP32" i="3"/>
  <c r="EG60" i="119"/>
  <c r="FP19" i="3"/>
  <c r="FP23" i="3"/>
  <c r="AD59" i="119"/>
  <c r="FP35" i="2"/>
  <c r="AD60" i="119" s="1"/>
  <c r="FP75" i="2"/>
  <c r="EF45" i="119"/>
  <c r="FP74" i="2"/>
  <c r="AD44" i="119"/>
  <c r="EG101" i="119" l="1"/>
  <c r="EG94" i="119"/>
  <c r="FP35" i="3"/>
  <c r="AD101" i="119" s="1"/>
  <c r="AD97" i="119"/>
  <c r="FO19" i="1"/>
  <c r="FP21" i="2"/>
  <c r="AD48" i="119" s="1"/>
  <c r="AD46" i="119" s="1"/>
  <c r="FP25" i="2"/>
  <c r="EG48" i="119"/>
  <c r="EF76" i="119"/>
  <c r="EF264" i="119" s="1"/>
  <c r="DL53" i="2"/>
  <c r="EF55" i="119"/>
  <c r="FP24" i="3"/>
  <c r="AD94" i="119" s="1"/>
  <c r="EG65" i="119"/>
  <c r="FP44" i="2"/>
  <c r="AD65" i="119" s="1"/>
  <c r="FP89" i="2" l="1"/>
  <c r="EH93" i="119"/>
  <c r="GD12" i="3"/>
  <c r="G35" i="117" s="1"/>
  <c r="FO18" i="1" l="1"/>
  <c r="EH21" i="119"/>
  <c r="EH19" i="119" s="1"/>
  <c r="DN82" i="1"/>
  <c r="DN103" i="1"/>
  <c r="DN67" i="1"/>
  <c r="DN46" i="1"/>
  <c r="GY16" i="1"/>
  <c r="EH47" i="119"/>
  <c r="EG46" i="119"/>
  <c r="FP87" i="2"/>
  <c r="EG30" i="119" l="1"/>
  <c r="EG269" i="119" s="1"/>
  <c r="DM126" i="1"/>
  <c r="DM69" i="1"/>
  <c r="DM105" i="1"/>
  <c r="DM84" i="1"/>
  <c r="DM48" i="1"/>
  <c r="J11" i="116"/>
  <c r="E21" i="118"/>
  <c r="FO23" i="1"/>
  <c r="EH20" i="119"/>
  <c r="EH259" i="119" s="1"/>
  <c r="DN68" i="1"/>
  <c r="DN83" i="1"/>
  <c r="DN104" i="1"/>
  <c r="DN47" i="1"/>
  <c r="GY17" i="1"/>
  <c r="GY67" i="1"/>
  <c r="GY46" i="1"/>
  <c r="GY103" i="1"/>
  <c r="EG273" i="119" l="1"/>
  <c r="FO24" i="1"/>
  <c r="FO26" i="1" s="1"/>
  <c r="EH59" i="119"/>
  <c r="L11" i="116"/>
  <c r="M11" i="116" s="1"/>
  <c r="EH44" i="119"/>
  <c r="G56" i="117"/>
  <c r="GY104" i="1"/>
  <c r="GY47" i="1"/>
  <c r="GY68" i="1"/>
  <c r="AD30" i="119"/>
  <c r="AD269" i="119" s="1"/>
  <c r="FO48" i="1"/>
  <c r="J12" i="116"/>
  <c r="FO105" i="1"/>
  <c r="FO69" i="1"/>
  <c r="E92" i="118"/>
  <c r="E57" i="118"/>
  <c r="E22" i="118"/>
  <c r="DM70" i="1" l="1"/>
  <c r="DM85" i="1"/>
  <c r="EG277" i="119"/>
  <c r="DM49" i="1"/>
  <c r="EG275" i="119"/>
  <c r="DM127" i="1"/>
  <c r="DM106" i="1"/>
  <c r="EH65" i="119"/>
  <c r="EH60" i="119"/>
  <c r="GD19" i="3"/>
  <c r="FO25" i="1"/>
  <c r="AD290" i="119" s="1"/>
  <c r="J13" i="116"/>
  <c r="L13" i="116" s="1"/>
  <c r="M13" i="116" s="1"/>
  <c r="AD273" i="119"/>
  <c r="E23" i="118"/>
  <c r="E46" i="118" s="1"/>
  <c r="L92" i="118"/>
  <c r="E93" i="118"/>
  <c r="GD23" i="3"/>
  <c r="GD20" i="3"/>
  <c r="J14" i="116"/>
  <c r="L14" i="116" s="1"/>
  <c r="M14" i="116" s="1"/>
  <c r="AD275" i="119"/>
  <c r="FO49" i="1"/>
  <c r="FO70" i="1"/>
  <c r="AD277" i="119"/>
  <c r="AD267" i="119" s="1"/>
  <c r="FO106" i="1"/>
  <c r="FO28" i="1"/>
  <c r="F57" i="118"/>
  <c r="L57" i="118" s="1"/>
  <c r="EH97" i="119"/>
  <c r="GD32" i="3"/>
  <c r="G36" i="117" s="1"/>
  <c r="L12" i="116"/>
  <c r="M12" i="116" s="1"/>
  <c r="DM50" i="1" l="1"/>
  <c r="EG267" i="119"/>
  <c r="EG279" i="119"/>
  <c r="DM128" i="1"/>
  <c r="DM71" i="1"/>
  <c r="DM86" i="1"/>
  <c r="DM107" i="1"/>
  <c r="E24" i="118"/>
  <c r="E36" i="118" s="1"/>
  <c r="AD279" i="119"/>
  <c r="FO50" i="1"/>
  <c r="J15" i="116"/>
  <c r="FO71" i="1"/>
  <c r="FO107" i="1"/>
  <c r="EH94" i="119"/>
  <c r="GD24" i="3"/>
  <c r="G37" i="117" s="1"/>
  <c r="EH101" i="119"/>
  <c r="GD35" i="3"/>
  <c r="G57" i="118"/>
  <c r="EH48" i="119"/>
  <c r="EH46" i="119"/>
  <c r="E117" i="118"/>
  <c r="E94" i="118" s="1"/>
  <c r="E82" i="118"/>
  <c r="FP11" i="3" l="1"/>
  <c r="AD305" i="119" s="1"/>
  <c r="EG305" i="119"/>
  <c r="E47" i="118"/>
  <c r="EI93" i="119"/>
  <c r="L15" i="116"/>
  <c r="M15" i="116" s="1"/>
  <c r="H57" i="118"/>
  <c r="I57" i="118" s="1"/>
  <c r="J57" i="118" s="1"/>
  <c r="K57" i="118" s="1"/>
  <c r="E95" i="118"/>
  <c r="EG96" i="119" l="1"/>
  <c r="FP25" i="3"/>
  <c r="AD96" i="119" s="1"/>
  <c r="E107" i="118"/>
  <c r="EI47" i="119"/>
  <c r="DO46" i="1"/>
  <c r="DO124" i="1"/>
  <c r="EI21" i="119"/>
  <c r="DO82" i="1"/>
  <c r="DO103" i="1"/>
  <c r="FP54" i="3" l="1"/>
  <c r="DK49" i="112" l="1"/>
  <c r="DK157" i="112"/>
  <c r="DL67" i="51" l="1"/>
  <c r="DL76" i="51" s="1"/>
  <c r="GZ14" i="51"/>
  <c r="GZ17" i="51"/>
  <c r="GZ46" i="51" s="1"/>
  <c r="DM32" i="51"/>
  <c r="FQ117" i="51" s="1"/>
  <c r="FO17" i="51"/>
  <c r="DL68" i="51"/>
  <c r="DL77" i="51" s="1"/>
  <c r="DM36" i="51"/>
  <c r="FQ135" i="51" s="1"/>
  <c r="DL64" i="51"/>
  <c r="DL63" i="51"/>
  <c r="DL72" i="51" s="1"/>
  <c r="GZ15" i="51"/>
  <c r="GZ24" i="51" s="1"/>
  <c r="DM31" i="51"/>
  <c r="FQ100" i="51" s="1"/>
  <c r="DL62" i="51"/>
  <c r="DL71" i="51" s="1"/>
  <c r="DL65" i="51"/>
  <c r="DL74" i="51" s="1"/>
  <c r="DM37" i="51"/>
  <c r="DL46" i="51"/>
  <c r="DL37" i="51"/>
  <c r="GZ16" i="51"/>
  <c r="CS67" i="6"/>
  <c r="GZ49" i="51"/>
  <c r="DL26" i="51"/>
  <c r="DL28" i="51" s="1"/>
  <c r="FO16" i="51"/>
  <c r="E15" i="118" s="1"/>
  <c r="E30" i="118" s="1"/>
  <c r="DL25" i="51"/>
  <c r="DL36" i="51"/>
  <c r="FP135" i="51" s="1"/>
  <c r="DL45" i="51"/>
  <c r="GZ52" i="51"/>
  <c r="DL66" i="51"/>
  <c r="DL75" i="51" s="1"/>
  <c r="DM33" i="51"/>
  <c r="FW100" i="51" s="1"/>
  <c r="GZ11" i="51"/>
  <c r="FO48" i="51"/>
  <c r="FP63" i="2" s="1"/>
  <c r="FP68" i="2" s="1"/>
  <c r="FO15" i="51"/>
  <c r="FO11" i="51"/>
  <c r="DL44" i="51"/>
  <c r="DL24" i="51"/>
  <c r="DM35" i="51"/>
  <c r="DL35" i="51"/>
  <c r="GZ12" i="51"/>
  <c r="DL40" i="51"/>
  <c r="DL31" i="51"/>
  <c r="FP100" i="51" s="1"/>
  <c r="DL20" i="51"/>
  <c r="GZ13" i="51"/>
  <c r="HA22" i="51" s="1"/>
  <c r="DL43" i="51"/>
  <c r="DL23" i="51"/>
  <c r="DL34" i="51"/>
  <c r="FV117" i="51" s="1"/>
  <c r="FO12" i="51"/>
  <c r="FO13" i="51"/>
  <c r="C23" i="115"/>
  <c r="K67" i="115" s="1"/>
  <c r="FO14" i="51"/>
  <c r="DL21" i="51"/>
  <c r="DL32" i="51"/>
  <c r="FP117" i="51" s="1"/>
  <c r="DL41" i="51"/>
  <c r="DL12" i="112"/>
  <c r="DL42" i="51"/>
  <c r="DP22" i="51"/>
  <c r="DL33" i="51"/>
  <c r="FV100" i="51" s="1"/>
  <c r="DL13" i="112"/>
  <c r="DP24" i="112" s="1"/>
  <c r="DL22" i="51"/>
  <c r="DM34" i="51"/>
  <c r="FW117" i="51" s="1"/>
  <c r="DL14" i="112"/>
  <c r="DL25" i="112" s="1"/>
  <c r="DL11" i="112"/>
  <c r="DM34" i="112" l="1"/>
  <c r="FO20" i="51"/>
  <c r="J24" i="116"/>
  <c r="E14" i="118"/>
  <c r="E29" i="118" s="1"/>
  <c r="E65" i="118" s="1"/>
  <c r="E50" i="118" s="1"/>
  <c r="E52" i="118" s="1"/>
  <c r="J23" i="116"/>
  <c r="L23" i="116" s="1"/>
  <c r="M23" i="116" s="1"/>
  <c r="DL100" i="113"/>
  <c r="FO100" i="113" s="1"/>
  <c r="FO67" i="51"/>
  <c r="FO76" i="51" s="1"/>
  <c r="J27" i="116"/>
  <c r="FO11" i="112"/>
  <c r="DL22" i="112"/>
  <c r="DL151" i="112"/>
  <c r="DP163" i="112" s="1"/>
  <c r="DL69" i="112"/>
  <c r="DL70" i="112" s="1"/>
  <c r="DL34" i="112"/>
  <c r="DL23" i="112"/>
  <c r="DL152" i="112"/>
  <c r="DP164" i="112" s="1"/>
  <c r="FO64" i="51"/>
  <c r="HA13" i="112"/>
  <c r="HA158" i="112" s="1"/>
  <c r="DL24" i="112"/>
  <c r="DL48" i="112"/>
  <c r="DL157" i="112" s="1"/>
  <c r="GZ40" i="51"/>
  <c r="FO45" i="51"/>
  <c r="GZ58" i="51"/>
  <c r="FO53" i="51"/>
  <c r="FO13" i="112"/>
  <c r="FO24" i="112" s="1"/>
  <c r="DL35" i="112"/>
  <c r="FO46" i="51"/>
  <c r="FO21" i="51"/>
  <c r="FO12" i="112"/>
  <c r="FO23" i="112" s="1"/>
  <c r="HA12" i="112"/>
  <c r="DM33" i="112"/>
  <c r="CR94" i="6"/>
  <c r="FO62" i="51"/>
  <c r="FO71" i="51" s="1"/>
  <c r="CR96" i="6"/>
  <c r="HA11" i="112"/>
  <c r="FO52" i="51"/>
  <c r="FO24" i="51"/>
  <c r="GZ26" i="51"/>
  <c r="DL33" i="112"/>
  <c r="FO44" i="51"/>
  <c r="GZ41" i="51"/>
  <c r="S67" i="115"/>
  <c r="N67" i="115"/>
  <c r="T67" i="115"/>
  <c r="W67" i="115"/>
  <c r="DL19" i="112"/>
  <c r="DL30" i="112" s="1"/>
  <c r="DL158" i="112"/>
  <c r="DP165" i="112" s="1"/>
  <c r="DL99" i="113"/>
  <c r="DM35" i="112"/>
  <c r="O67" i="115"/>
  <c r="FO42" i="51"/>
  <c r="FO63" i="51"/>
  <c r="FP22" i="51"/>
  <c r="FO22" i="51"/>
  <c r="GZ45" i="51"/>
  <c r="FO25" i="51"/>
  <c r="GZ43" i="51"/>
  <c r="FO49" i="51"/>
  <c r="FO58" i="51" s="1"/>
  <c r="C57" i="115"/>
  <c r="E23" i="115"/>
  <c r="F23" i="115" s="1"/>
  <c r="K21" i="115"/>
  <c r="GZ48" i="51"/>
  <c r="GZ44" i="51"/>
  <c r="FO14" i="112"/>
  <c r="FO25" i="112" s="1"/>
  <c r="DL36" i="112"/>
  <c r="DL16" i="112"/>
  <c r="DL101" i="113"/>
  <c r="DM36" i="112"/>
  <c r="FO68" i="51"/>
  <c r="FO77" i="51" s="1"/>
  <c r="FO41" i="51"/>
  <c r="FO26" i="51"/>
  <c r="J28" i="116"/>
  <c r="J25" i="116"/>
  <c r="FO23" i="51"/>
  <c r="FO65" i="51"/>
  <c r="FO74" i="51" s="1"/>
  <c r="FO43" i="51"/>
  <c r="H23" i="115"/>
  <c r="GZ21" i="51"/>
  <c r="J22" i="116"/>
  <c r="FO40" i="51"/>
  <c r="GZ20" i="51"/>
  <c r="DP72" i="51"/>
  <c r="GZ42" i="51"/>
  <c r="J26" i="116"/>
  <c r="CR86" i="6"/>
  <c r="GZ25" i="51"/>
  <c r="DL73" i="51"/>
  <c r="GZ23" i="51"/>
  <c r="GZ22" i="51"/>
  <c r="DL98" i="113"/>
  <c r="GZ53" i="51"/>
  <c r="CR67" i="6"/>
  <c r="CR81" i="6"/>
  <c r="CR82" i="6"/>
  <c r="EP16" i="6"/>
  <c r="FO66" i="51"/>
  <c r="FO75" i="51" s="1"/>
  <c r="CR80" i="6"/>
  <c r="CR85" i="6"/>
  <c r="EF176" i="119" s="1"/>
  <c r="DL27" i="112" l="1"/>
  <c r="DP27" i="112"/>
  <c r="J47" i="116"/>
  <c r="L24" i="116"/>
  <c r="M24" i="116" s="1"/>
  <c r="FO22" i="112"/>
  <c r="L27" i="116"/>
  <c r="M27" i="116" s="1"/>
  <c r="DL163" i="112"/>
  <c r="DL165" i="112"/>
  <c r="J48" i="116"/>
  <c r="L48" i="116" s="1"/>
  <c r="M48" i="116" s="1"/>
  <c r="J30" i="116"/>
  <c r="J31" i="116"/>
  <c r="FP24" i="112"/>
  <c r="FO107" i="113"/>
  <c r="GY100" i="113"/>
  <c r="GY107" i="113" s="1"/>
  <c r="HA22" i="112"/>
  <c r="DL170" i="112"/>
  <c r="DM170" i="112"/>
  <c r="DM177" i="112"/>
  <c r="HA24" i="112"/>
  <c r="DL177" i="112"/>
  <c r="HC106" i="113"/>
  <c r="HB24" i="112"/>
  <c r="FO73" i="51"/>
  <c r="DL49" i="112"/>
  <c r="FO48" i="112"/>
  <c r="FO157" i="112" s="1"/>
  <c r="HA48" i="112"/>
  <c r="HA151" i="112"/>
  <c r="FO152" i="112"/>
  <c r="DL164" i="112"/>
  <c r="DL171" i="112"/>
  <c r="DM171" i="112"/>
  <c r="DL178" i="112"/>
  <c r="DM178" i="112"/>
  <c r="HA23" i="112"/>
  <c r="HA152" i="112"/>
  <c r="CR83" i="6"/>
  <c r="CS65" i="6"/>
  <c r="EP12" i="6"/>
  <c r="CR53" i="6"/>
  <c r="CR65" i="6"/>
  <c r="FO54" i="51"/>
  <c r="GZ54" i="51"/>
  <c r="L26" i="116"/>
  <c r="M26" i="116" s="1"/>
  <c r="L25" i="116"/>
  <c r="M25" i="116" s="1"/>
  <c r="DM38" i="112"/>
  <c r="FO16" i="112"/>
  <c r="FO27" i="112" s="1"/>
  <c r="DL38" i="112"/>
  <c r="HB165" i="112"/>
  <c r="HA165" i="112"/>
  <c r="GY99" i="113"/>
  <c r="GY106" i="113" s="1"/>
  <c r="FO99" i="113"/>
  <c r="FO106" i="113" s="1"/>
  <c r="FO50" i="51"/>
  <c r="FO59" i="51" s="1"/>
  <c r="FO57" i="51" s="1"/>
  <c r="GZ50" i="51"/>
  <c r="GZ59" i="51" s="1"/>
  <c r="GZ57" i="51" s="1"/>
  <c r="DL172" i="112"/>
  <c r="DM179" i="112"/>
  <c r="DM172" i="112"/>
  <c r="DL179" i="112"/>
  <c r="T21" i="115"/>
  <c r="S21" i="115"/>
  <c r="W21" i="115"/>
  <c r="L21" i="115"/>
  <c r="O21" i="115"/>
  <c r="N21" i="115"/>
  <c r="FO72" i="51"/>
  <c r="FP72" i="51"/>
  <c r="DL146" i="113"/>
  <c r="DL41" i="112"/>
  <c r="DM41" i="112"/>
  <c r="EP49" i="6"/>
  <c r="EP17" i="6"/>
  <c r="EP81" i="6"/>
  <c r="EP96" i="6"/>
  <c r="EP85" i="6"/>
  <c r="AD176" i="119" s="1"/>
  <c r="EP82" i="6"/>
  <c r="EP80" i="6"/>
  <c r="EP86" i="6"/>
  <c r="EP94" i="6"/>
  <c r="DL102" i="113"/>
  <c r="GY98" i="113"/>
  <c r="GY105" i="113" s="1"/>
  <c r="FO98" i="113"/>
  <c r="FO105" i="113" s="1"/>
  <c r="J46" i="116"/>
  <c r="L22" i="116"/>
  <c r="M22" i="116" s="1"/>
  <c r="L28" i="116"/>
  <c r="M28" i="116" s="1"/>
  <c r="E67" i="118"/>
  <c r="E80" i="118"/>
  <c r="E77" i="118"/>
  <c r="E54" i="118"/>
  <c r="EF169" i="119"/>
  <c r="EF163" i="119"/>
  <c r="EF135" i="119"/>
  <c r="EF129" i="119"/>
  <c r="EF151" i="119"/>
  <c r="EF141" i="119"/>
  <c r="EF147" i="119"/>
  <c r="EF140" i="119"/>
  <c r="EF149" i="119"/>
  <c r="EF138" i="119"/>
  <c r="EF148" i="119"/>
  <c r="EF143" i="119"/>
  <c r="EF139" i="119"/>
  <c r="EF150" i="119"/>
  <c r="EF144" i="119"/>
  <c r="EF153" i="119"/>
  <c r="EF142" i="119"/>
  <c r="EF154" i="119"/>
  <c r="EF146" i="119"/>
  <c r="EF145" i="119"/>
  <c r="FO101" i="113"/>
  <c r="FO108" i="113" s="1"/>
  <c r="E57" i="115"/>
  <c r="F57" i="115" s="1"/>
  <c r="H57" i="115"/>
  <c r="K81" i="115"/>
  <c r="FO19" i="112"/>
  <c r="EF164" i="119" l="1"/>
  <c r="L47" i="116"/>
  <c r="M47" i="116" s="1"/>
  <c r="DL189" i="112"/>
  <c r="DL187" i="112"/>
  <c r="DL188" i="112"/>
  <c r="J34" i="116"/>
  <c r="L30" i="116"/>
  <c r="M30" i="116" s="1"/>
  <c r="J35" i="116"/>
  <c r="M35" i="116" s="1"/>
  <c r="J32" i="116"/>
  <c r="FO164" i="112"/>
  <c r="L31" i="116"/>
  <c r="M31" i="116" s="1"/>
  <c r="HA163" i="112"/>
  <c r="DP171" i="112"/>
  <c r="DT152" i="112"/>
  <c r="DQ171" i="112"/>
  <c r="DP178" i="112"/>
  <c r="DQ178" i="112"/>
  <c r="FO49" i="112"/>
  <c r="FO158" i="112" s="1"/>
  <c r="HA49" i="112"/>
  <c r="EF128" i="119"/>
  <c r="HA164" i="112"/>
  <c r="EF152" i="119"/>
  <c r="EF167" i="119"/>
  <c r="E56" i="118"/>
  <c r="E69" i="118"/>
  <c r="L46" i="116"/>
  <c r="M46" i="116" s="1"/>
  <c r="AD140" i="119"/>
  <c r="AD146" i="119"/>
  <c r="AD139" i="119"/>
  <c r="AD149" i="119"/>
  <c r="AD141" i="119"/>
  <c r="AD142" i="119"/>
  <c r="AD154" i="119"/>
  <c r="AD153" i="119"/>
  <c r="AD150" i="119"/>
  <c r="AD138" i="119"/>
  <c r="AD143" i="119"/>
  <c r="AD144" i="119"/>
  <c r="AD151" i="119"/>
  <c r="AD148" i="119"/>
  <c r="AD147" i="119"/>
  <c r="AD145" i="119"/>
  <c r="DT16" i="112"/>
  <c r="DQ38" i="112"/>
  <c r="DP38" i="112"/>
  <c r="EP47" i="6"/>
  <c r="EP83" i="6"/>
  <c r="AD164" i="119" s="1"/>
  <c r="AD129" i="119"/>
  <c r="AD135" i="119"/>
  <c r="CS66" i="6"/>
  <c r="EP13" i="6"/>
  <c r="CR54" i="6"/>
  <c r="CR84" i="6"/>
  <c r="CR66" i="6"/>
  <c r="CR71" i="6"/>
  <c r="FO146" i="113"/>
  <c r="FO30" i="112"/>
  <c r="E53" i="118"/>
  <c r="AD169" i="119"/>
  <c r="AD163" i="119"/>
  <c r="T81" i="115"/>
  <c r="W81" i="115"/>
  <c r="O81" i="115"/>
  <c r="S81" i="115"/>
  <c r="N81" i="115"/>
  <c r="FO102" i="113"/>
  <c r="FO109" i="113" s="1"/>
  <c r="DL15" i="113"/>
  <c r="DL109" i="113"/>
  <c r="EP15" i="6"/>
  <c r="M34" i="116" l="1"/>
  <c r="L32" i="116"/>
  <c r="M32" i="116" s="1"/>
  <c r="J36" i="116"/>
  <c r="CR35" i="6"/>
  <c r="CR37" i="6" s="1"/>
  <c r="DL41" i="113"/>
  <c r="DL20" i="113"/>
  <c r="DT171" i="112"/>
  <c r="DX152" i="112"/>
  <c r="DU171" i="112"/>
  <c r="DT178" i="112"/>
  <c r="DU178" i="112"/>
  <c r="DP100" i="113"/>
  <c r="DP34" i="112"/>
  <c r="FP12" i="112"/>
  <c r="DQ34" i="112"/>
  <c r="DP23" i="112"/>
  <c r="FO165" i="112"/>
  <c r="FP165" i="112"/>
  <c r="AD128" i="119"/>
  <c r="AD167" i="119"/>
  <c r="AD152" i="119"/>
  <c r="DL56" i="113"/>
  <c r="FO15" i="113"/>
  <c r="DM56" i="113"/>
  <c r="DL28" i="113"/>
  <c r="EF165" i="119"/>
  <c r="EF166" i="119"/>
  <c r="EF174" i="119"/>
  <c r="EF170" i="119"/>
  <c r="DP36" i="112"/>
  <c r="DP25" i="112"/>
  <c r="DP101" i="113"/>
  <c r="DQ36" i="112"/>
  <c r="CR72" i="6"/>
  <c r="EP84" i="6"/>
  <c r="EP48" i="6"/>
  <c r="DT38" i="112"/>
  <c r="DT14" i="112"/>
  <c r="DX16" i="112"/>
  <c r="DU38" i="112"/>
  <c r="E68" i="118"/>
  <c r="E78" i="118"/>
  <c r="E71" i="118"/>
  <c r="E58" i="118"/>
  <c r="E81" i="118"/>
  <c r="C24" i="115" l="1"/>
  <c r="C25" i="115"/>
  <c r="E25" i="115" s="1"/>
  <c r="F25" i="115" s="1"/>
  <c r="M113" i="115"/>
  <c r="X113" i="115" s="1"/>
  <c r="M114" i="115"/>
  <c r="O114" i="115" s="1"/>
  <c r="M36" i="116"/>
  <c r="CR93" i="6"/>
  <c r="CR74" i="6"/>
  <c r="FP23" i="112"/>
  <c r="DP32" i="51"/>
  <c r="FP118" i="51" s="1"/>
  <c r="DQ32" i="51"/>
  <c r="FQ118" i="51" s="1"/>
  <c r="FP12" i="51"/>
  <c r="DP64" i="51"/>
  <c r="DP73" i="51" s="1"/>
  <c r="DP21" i="51"/>
  <c r="FP100" i="113"/>
  <c r="FP107" i="113" s="1"/>
  <c r="DL46" i="113"/>
  <c r="DL33" i="113"/>
  <c r="DM61" i="113"/>
  <c r="DL61" i="113"/>
  <c r="FO20" i="113"/>
  <c r="EB152" i="112"/>
  <c r="DX178" i="112"/>
  <c r="DX171" i="112"/>
  <c r="DY178" i="112"/>
  <c r="DY171" i="112"/>
  <c r="EF173" i="119"/>
  <c r="AD166" i="119"/>
  <c r="AD174" i="119"/>
  <c r="AD170" i="119"/>
  <c r="AD165" i="119"/>
  <c r="E59" i="118"/>
  <c r="E60" i="118" s="1"/>
  <c r="EB16" i="112"/>
  <c r="DY38" i="112"/>
  <c r="DX14" i="112"/>
  <c r="DX38" i="112"/>
  <c r="CR58" i="6"/>
  <c r="CR95" i="6"/>
  <c r="CR76" i="6"/>
  <c r="DQ34" i="51"/>
  <c r="FW118" i="51" s="1"/>
  <c r="DP65" i="51"/>
  <c r="DP74" i="51" s="1"/>
  <c r="DP34" i="51"/>
  <c r="FV118" i="51" s="1"/>
  <c r="FP14" i="51"/>
  <c r="DP23" i="51"/>
  <c r="DL62" i="113"/>
  <c r="FO21" i="113"/>
  <c r="DL67" i="113"/>
  <c r="DM62" i="113"/>
  <c r="DL34" i="113"/>
  <c r="CR39" i="6"/>
  <c r="DU36" i="112"/>
  <c r="DT14" i="51"/>
  <c r="DT36" i="112"/>
  <c r="DT101" i="113"/>
  <c r="DT25" i="112"/>
  <c r="FO28" i="113"/>
  <c r="FO41" i="113"/>
  <c r="H24" i="115" l="1"/>
  <c r="K68" i="115"/>
  <c r="S68" i="115" s="1"/>
  <c r="K23" i="115"/>
  <c r="S23" i="115" s="1"/>
  <c r="K22" i="115"/>
  <c r="T22" i="115" s="1"/>
  <c r="E24" i="115"/>
  <c r="F24" i="115" s="1"/>
  <c r="H25" i="115"/>
  <c r="K69" i="115"/>
  <c r="S69" i="115" s="1"/>
  <c r="X114" i="115"/>
  <c r="Z113" i="115"/>
  <c r="O113" i="115"/>
  <c r="M127" i="115"/>
  <c r="X127" i="115" s="1"/>
  <c r="Z114" i="115"/>
  <c r="N23" i="116"/>
  <c r="AG55" i="116" s="1"/>
  <c r="FP64" i="51"/>
  <c r="FP73" i="51" s="1"/>
  <c r="FP21" i="51"/>
  <c r="EB178" i="112"/>
  <c r="EB171" i="112"/>
  <c r="EF152" i="112"/>
  <c r="EC178" i="112"/>
  <c r="EC171" i="112"/>
  <c r="FO33" i="113"/>
  <c r="FO46" i="113"/>
  <c r="AD173" i="119"/>
  <c r="E72" i="118"/>
  <c r="DT34" i="51"/>
  <c r="FV119" i="51" s="1"/>
  <c r="DU34" i="51"/>
  <c r="FW119" i="51" s="1"/>
  <c r="DT65" i="51"/>
  <c r="DT74" i="51" s="1"/>
  <c r="DT23" i="51"/>
  <c r="EB14" i="112"/>
  <c r="EC38" i="112"/>
  <c r="EF16" i="112"/>
  <c r="EB38" i="112"/>
  <c r="DX25" i="112"/>
  <c r="DX101" i="113"/>
  <c r="DY36" i="112"/>
  <c r="DX14" i="51"/>
  <c r="DX36" i="112"/>
  <c r="FO34" i="113"/>
  <c r="FO47" i="113"/>
  <c r="N25" i="116"/>
  <c r="FP65" i="51"/>
  <c r="FP74" i="51" s="1"/>
  <c r="FP23" i="51"/>
  <c r="O69" i="115" l="1"/>
  <c r="N23" i="115"/>
  <c r="O23" i="115"/>
  <c r="L22" i="115"/>
  <c r="S22" i="115"/>
  <c r="W68" i="115"/>
  <c r="T68" i="115"/>
  <c r="N68" i="115"/>
  <c r="N22" i="115"/>
  <c r="O68" i="115"/>
  <c r="O22" i="115"/>
  <c r="W22" i="115"/>
  <c r="T23" i="115"/>
  <c r="L23" i="115"/>
  <c r="T69" i="115"/>
  <c r="W23" i="115"/>
  <c r="N69" i="115"/>
  <c r="W69" i="115"/>
  <c r="AG25" i="116"/>
  <c r="AG57" i="116"/>
  <c r="AG23" i="116"/>
  <c r="EF171" i="112"/>
  <c r="EF178" i="112"/>
  <c r="EJ152" i="112"/>
  <c r="EG171" i="112"/>
  <c r="EG178" i="112"/>
  <c r="P23" i="116"/>
  <c r="Q23" i="116" s="1"/>
  <c r="EF14" i="112"/>
  <c r="EG38" i="112"/>
  <c r="EJ16" i="112"/>
  <c r="EF38" i="112"/>
  <c r="P25" i="116"/>
  <c r="Q25" i="116" s="1"/>
  <c r="EC36" i="112"/>
  <c r="EB25" i="112"/>
  <c r="EB36" i="112"/>
  <c r="EB14" i="51"/>
  <c r="EB101" i="113"/>
  <c r="DX23" i="51"/>
  <c r="DX65" i="51"/>
  <c r="DX74" i="51" s="1"/>
  <c r="DY34" i="51"/>
  <c r="DX34" i="51"/>
  <c r="EJ178" i="112" l="1"/>
  <c r="EJ171" i="112"/>
  <c r="EK178" i="112"/>
  <c r="EK171" i="112"/>
  <c r="EF101" i="113"/>
  <c r="EF25" i="112"/>
  <c r="EF14" i="51"/>
  <c r="EG36" i="112"/>
  <c r="EF36" i="112"/>
  <c r="EB65" i="51"/>
  <c r="EB74" i="51" s="1"/>
  <c r="EB34" i="51"/>
  <c r="EB23" i="51"/>
  <c r="EC34" i="51"/>
  <c r="EJ38" i="112"/>
  <c r="EJ14" i="112"/>
  <c r="EK38" i="112"/>
  <c r="EF65" i="51" l="1"/>
  <c r="EF74" i="51" s="1"/>
  <c r="EF34" i="51"/>
  <c r="EG34" i="51"/>
  <c r="EF23" i="51"/>
  <c r="EJ36" i="112"/>
  <c r="EJ14" i="51"/>
  <c r="EK36" i="112"/>
  <c r="EJ101" i="113"/>
  <c r="EJ25" i="112"/>
  <c r="EK34" i="51" l="1"/>
  <c r="EJ34" i="51"/>
  <c r="EJ65" i="51"/>
  <c r="EJ74" i="51" s="1"/>
  <c r="EJ23" i="51"/>
  <c r="FO69" i="112" l="1"/>
  <c r="FO150" i="112" s="1"/>
  <c r="FO70" i="112"/>
  <c r="FO151" i="112" s="1"/>
  <c r="HA69" i="112"/>
  <c r="DL150" i="112"/>
  <c r="HA70" i="112"/>
  <c r="FO163" i="112" l="1"/>
  <c r="DM68" i="3"/>
  <c r="DN68" i="3" l="1"/>
  <c r="DN74" i="3" s="1"/>
  <c r="DP73" i="3"/>
  <c r="DQ73" i="3" l="1"/>
  <c r="GY33" i="1"/>
  <c r="EG286" i="119"/>
  <c r="FO33" i="1"/>
  <c r="DM55" i="1"/>
  <c r="DM112" i="1"/>
  <c r="DM91" i="1"/>
  <c r="DM133" i="1"/>
  <c r="GY55" i="1" l="1"/>
  <c r="GY112" i="1"/>
  <c r="DM134" i="1"/>
  <c r="DM56" i="1"/>
  <c r="DM113" i="1"/>
  <c r="EG287" i="119"/>
  <c r="EG283" i="119" s="1"/>
  <c r="DM92" i="1"/>
  <c r="FO34" i="1"/>
  <c r="DP68" i="3"/>
  <c r="DP74" i="3" s="1"/>
  <c r="FO31" i="1"/>
  <c r="FO29" i="1"/>
  <c r="AD286" i="119"/>
  <c r="AD288" i="119" s="1"/>
  <c r="FO112" i="1"/>
  <c r="FO55" i="1"/>
  <c r="DN55" i="1"/>
  <c r="EH286" i="119"/>
  <c r="EH288" i="119" s="1"/>
  <c r="DN112" i="1"/>
  <c r="DN91" i="1"/>
  <c r="EG288" i="119"/>
  <c r="EG280" i="119"/>
  <c r="EG282" i="119"/>
  <c r="DR73" i="3"/>
  <c r="DM87" i="1"/>
  <c r="DM51" i="1"/>
  <c r="DM108" i="1"/>
  <c r="DM129" i="1"/>
  <c r="DM89" i="1"/>
  <c r="DM53" i="1"/>
  <c r="DM110" i="1"/>
  <c r="DM131" i="1"/>
  <c r="DM132" i="1" l="1"/>
  <c r="DM90" i="1"/>
  <c r="DM111" i="1"/>
  <c r="DM54" i="1"/>
  <c r="FO51" i="1"/>
  <c r="AD280" i="119"/>
  <c r="FO108" i="1"/>
  <c r="AD282" i="119"/>
  <c r="FO110" i="1"/>
  <c r="FO53" i="1"/>
  <c r="FP41" i="3"/>
  <c r="DM64" i="3"/>
  <c r="DM65" i="3" s="1"/>
  <c r="EG284" i="119"/>
  <c r="EG102" i="119"/>
  <c r="DO91" i="1"/>
  <c r="DO133" i="1"/>
  <c r="DO55" i="1"/>
  <c r="DO112" i="1"/>
  <c r="EI286" i="119"/>
  <c r="EI288" i="119" s="1"/>
  <c r="DQ68" i="3"/>
  <c r="DQ74" i="3" s="1"/>
  <c r="DS73" i="3"/>
  <c r="DM130" i="1"/>
  <c r="DM88" i="1"/>
  <c r="DM109" i="1"/>
  <c r="EG281" i="119"/>
  <c r="EG260" i="119" s="1"/>
  <c r="DM52" i="1"/>
  <c r="DN113" i="1"/>
  <c r="DN92" i="1"/>
  <c r="DN56" i="1"/>
  <c r="EH287" i="119"/>
  <c r="FO32" i="1"/>
  <c r="FO56" i="1"/>
  <c r="FO113" i="1"/>
  <c r="FP55" i="3"/>
  <c r="AF27" i="114" s="1"/>
  <c r="FO30" i="1"/>
  <c r="E25" i="118"/>
  <c r="J18" i="116"/>
  <c r="L18" i="116" s="1"/>
  <c r="M18" i="116" s="1"/>
  <c r="AD287" i="119"/>
  <c r="GY34" i="1"/>
  <c r="EG107" i="119" l="1"/>
  <c r="EH284" i="119"/>
  <c r="DN64" i="3"/>
  <c r="EH107" i="119"/>
  <c r="EH102" i="119"/>
  <c r="AF29" i="114"/>
  <c r="AF28" i="114"/>
  <c r="AF34" i="114"/>
  <c r="DT73" i="3"/>
  <c r="GY113" i="1"/>
  <c r="GY56" i="1"/>
  <c r="GD41" i="3"/>
  <c r="EJ286" i="119"/>
  <c r="EJ288" i="119" s="1"/>
  <c r="DP112" i="1"/>
  <c r="DP91" i="1"/>
  <c r="DP55" i="1"/>
  <c r="E26" i="118"/>
  <c r="E38" i="118" s="1"/>
  <c r="E37" i="118"/>
  <c r="FP47" i="2"/>
  <c r="AF15" i="114"/>
  <c r="FO109" i="1"/>
  <c r="FO52" i="1"/>
  <c r="AD281" i="119"/>
  <c r="AD260" i="119" s="1"/>
  <c r="J16" i="116"/>
  <c r="EI287" i="119"/>
  <c r="DO56" i="1"/>
  <c r="DO113" i="1"/>
  <c r="C19" i="115"/>
  <c r="E19" i="115" s="1"/>
  <c r="F19" i="115" s="1"/>
  <c r="DO134" i="1"/>
  <c r="DO92" i="1"/>
  <c r="AD283" i="119"/>
  <c r="FO54" i="1"/>
  <c r="AF19" i="114"/>
  <c r="FO111" i="1"/>
  <c r="J17" i="116"/>
  <c r="DQ33" i="1"/>
  <c r="DR68" i="3"/>
  <c r="DR74" i="3" s="1"/>
  <c r="FP48" i="3"/>
  <c r="AD102" i="119"/>
  <c r="AD284" i="119"/>
  <c r="FP64" i="3"/>
  <c r="FP65" i="3" s="1"/>
  <c r="H19" i="115" l="1"/>
  <c r="GD48" i="3"/>
  <c r="E73" i="118"/>
  <c r="E61" i="118" s="1"/>
  <c r="E108" i="118"/>
  <c r="E96" i="118" s="1"/>
  <c r="DQ55" i="1"/>
  <c r="DQ112" i="1"/>
  <c r="DQ133" i="1"/>
  <c r="DQ91" i="1"/>
  <c r="EK286" i="119"/>
  <c r="EK288" i="119" s="1"/>
  <c r="FP33" i="1"/>
  <c r="AF17" i="114"/>
  <c r="AF31" i="114"/>
  <c r="AF16" i="114"/>
  <c r="EG108" i="119"/>
  <c r="DR33" i="1"/>
  <c r="DS68" i="3"/>
  <c r="DS74" i="3" s="1"/>
  <c r="DO48" i="3"/>
  <c r="EI284" i="119"/>
  <c r="DO64" i="3"/>
  <c r="EI102" i="119"/>
  <c r="L17" i="116"/>
  <c r="M17" i="116" s="1"/>
  <c r="L16" i="116"/>
  <c r="M16" i="116" s="1"/>
  <c r="AD107" i="119"/>
  <c r="FP50" i="3"/>
  <c r="AF21" i="114"/>
  <c r="AF20" i="114"/>
  <c r="AF32" i="114"/>
  <c r="DP113" i="1"/>
  <c r="EJ287" i="119"/>
  <c r="DP56" i="1"/>
  <c r="DP92" i="1"/>
  <c r="DQ34" i="1"/>
  <c r="EG69" i="119"/>
  <c r="EG271" i="119" s="1"/>
  <c r="DM51" i="2"/>
  <c r="EG67" i="119"/>
  <c r="EG298" i="119" s="1"/>
  <c r="EG256" i="119" s="1"/>
  <c r="FP66" i="2"/>
  <c r="FP49" i="2"/>
  <c r="DU73" i="3"/>
  <c r="DV73" i="3" l="1"/>
  <c r="AD108" i="119"/>
  <c r="FP52" i="3"/>
  <c r="DT68" i="3"/>
  <c r="DT74" i="3" s="1"/>
  <c r="DS33" i="1"/>
  <c r="DQ113" i="1"/>
  <c r="DR34" i="1"/>
  <c r="GZ34" i="1" s="1"/>
  <c r="EK287" i="119"/>
  <c r="DQ56" i="1"/>
  <c r="DQ41" i="3"/>
  <c r="DQ92" i="1"/>
  <c r="DQ134" i="1"/>
  <c r="EJ284" i="119"/>
  <c r="EJ102" i="119"/>
  <c r="DP64" i="3"/>
  <c r="DR91" i="1"/>
  <c r="EL286" i="119"/>
  <c r="EL288" i="119" s="1"/>
  <c r="DR55" i="1"/>
  <c r="DR133" i="1"/>
  <c r="DR112" i="1"/>
  <c r="GZ33" i="1"/>
  <c r="FP112" i="1"/>
  <c r="FP55" i="1"/>
  <c r="AE286" i="119"/>
  <c r="AE288" i="119" s="1"/>
  <c r="E97" i="118"/>
  <c r="E109" i="118" s="1"/>
  <c r="AD67" i="119"/>
  <c r="AD298" i="119" s="1"/>
  <c r="AD256" i="119" s="1"/>
  <c r="AD69" i="119"/>
  <c r="AD271" i="119" s="1"/>
  <c r="FP34" i="1"/>
  <c r="EG70" i="119"/>
  <c r="FP51" i="2"/>
  <c r="AD70" i="119" s="1"/>
  <c r="E62" i="118"/>
  <c r="E74" i="118" s="1"/>
  <c r="FQ41" i="3" l="1"/>
  <c r="EK102" i="119"/>
  <c r="DQ64" i="3"/>
  <c r="DQ48" i="3"/>
  <c r="EK284" i="119"/>
  <c r="DU68" i="3"/>
  <c r="DU74" i="3" s="1"/>
  <c r="DT33" i="1"/>
  <c r="F25" i="118"/>
  <c r="F37" i="118" s="1"/>
  <c r="FP56" i="1"/>
  <c r="N18" i="116"/>
  <c r="P18" i="116" s="1"/>
  <c r="Q18" i="116" s="1"/>
  <c r="AE287" i="119"/>
  <c r="FP113" i="1"/>
  <c r="EG41" i="119"/>
  <c r="EG265" i="119" s="1"/>
  <c r="FP11" i="2"/>
  <c r="FQ51" i="3"/>
  <c r="FP58" i="3"/>
  <c r="GZ56" i="1"/>
  <c r="GZ113" i="1"/>
  <c r="DS112" i="1"/>
  <c r="DS133" i="1"/>
  <c r="DS55" i="1"/>
  <c r="DS91" i="1"/>
  <c r="EM286" i="119"/>
  <c r="EM288" i="119" s="1"/>
  <c r="GZ55" i="1"/>
  <c r="GZ112" i="1"/>
  <c r="DR134" i="1"/>
  <c r="DS34" i="1"/>
  <c r="EL287" i="119"/>
  <c r="DR41" i="3"/>
  <c r="DR92" i="1"/>
  <c r="DR113" i="1"/>
  <c r="DR56" i="1"/>
  <c r="DW73" i="3"/>
  <c r="FQ48" i="3" l="1"/>
  <c r="AE102" i="119"/>
  <c r="FQ64" i="3"/>
  <c r="AE284" i="119"/>
  <c r="GE41" i="3"/>
  <c r="FP56" i="2"/>
  <c r="DS134" i="1"/>
  <c r="DS41" i="3"/>
  <c r="DS92" i="1"/>
  <c r="EM287" i="119"/>
  <c r="DT34" i="1"/>
  <c r="DS56" i="1"/>
  <c r="DS113" i="1"/>
  <c r="FP18" i="2"/>
  <c r="EG45" i="119"/>
  <c r="DM27" i="2"/>
  <c r="DU33" i="1"/>
  <c r="DV68" i="3"/>
  <c r="DV74" i="3" s="1"/>
  <c r="DR48" i="3"/>
  <c r="EL102" i="119"/>
  <c r="EL284" i="119"/>
  <c r="DR64" i="3"/>
  <c r="DX73" i="3"/>
  <c r="FP59" i="3"/>
  <c r="AD41" i="119"/>
  <c r="AD265" i="119" s="1"/>
  <c r="F108" i="118"/>
  <c r="F96" i="118" s="1"/>
  <c r="F73" i="118"/>
  <c r="F61" i="118" s="1"/>
  <c r="DT133" i="1"/>
  <c r="EN286" i="119"/>
  <c r="EN288" i="119" s="1"/>
  <c r="DT55" i="1"/>
  <c r="DT112" i="1"/>
  <c r="DT91" i="1"/>
  <c r="AP10" i="114" l="1"/>
  <c r="DM67" i="2"/>
  <c r="FP67" i="2" s="1"/>
  <c r="DN67" i="2"/>
  <c r="DY73" i="3"/>
  <c r="DW68" i="3"/>
  <c r="DW74" i="3" s="1"/>
  <c r="DV33" i="1"/>
  <c r="HA33" i="1" s="1"/>
  <c r="FP61" i="2"/>
  <c r="AD45" i="119"/>
  <c r="FP59" i="2"/>
  <c r="FP58" i="2"/>
  <c r="AD76" i="119" s="1"/>
  <c r="AD264" i="119" s="1"/>
  <c r="EG76" i="119"/>
  <c r="EG264" i="119" s="1"/>
  <c r="GE48" i="3"/>
  <c r="GY19" i="1"/>
  <c r="L61" i="118"/>
  <c r="W30" i="118" s="1"/>
  <c r="DU55" i="1"/>
  <c r="DU91" i="1"/>
  <c r="DU133" i="1"/>
  <c r="EO286" i="119"/>
  <c r="EO288" i="119" s="1"/>
  <c r="DU112" i="1"/>
  <c r="FQ33" i="1"/>
  <c r="EN287" i="119"/>
  <c r="DT113" i="1"/>
  <c r="DT92" i="1"/>
  <c r="DT41" i="3"/>
  <c r="DT134" i="1"/>
  <c r="DT56" i="1"/>
  <c r="DU34" i="1"/>
  <c r="FQ34" i="1" s="1"/>
  <c r="R18" i="116" s="1"/>
  <c r="L96" i="118"/>
  <c r="U30" i="118" s="1"/>
  <c r="FP27" i="2"/>
  <c r="DM53" i="2"/>
  <c r="EG55" i="119"/>
  <c r="EM284" i="119"/>
  <c r="DS48" i="3"/>
  <c r="DS64" i="3"/>
  <c r="EM102" i="119"/>
  <c r="B6" i="114" l="1"/>
  <c r="C7" i="118"/>
  <c r="O25" i="118"/>
  <c r="HA55" i="1"/>
  <c r="HA112" i="1"/>
  <c r="EN284" i="119"/>
  <c r="DT64" i="3"/>
  <c r="EN102" i="119"/>
  <c r="DT48" i="3"/>
  <c r="DV91" i="1"/>
  <c r="DV55" i="1"/>
  <c r="DV133" i="1"/>
  <c r="EP286" i="119"/>
  <c r="EP288" i="119" s="1"/>
  <c r="DV112" i="1"/>
  <c r="AD55" i="119"/>
  <c r="FP53" i="2"/>
  <c r="FQ55" i="1"/>
  <c r="FQ112" i="1"/>
  <c r="AF286" i="119"/>
  <c r="AF288" i="119" s="1"/>
  <c r="AF287" i="119"/>
  <c r="FQ113" i="1"/>
  <c r="FQ56" i="1"/>
  <c r="T18" i="116"/>
  <c r="U18" i="116" s="1"/>
  <c r="G25" i="118"/>
  <c r="G37" i="118" s="1"/>
  <c r="DX68" i="3"/>
  <c r="DX74" i="3" s="1"/>
  <c r="DW33" i="1"/>
  <c r="EO287" i="119"/>
  <c r="DU56" i="1"/>
  <c r="DU134" i="1"/>
  <c r="DU113" i="1"/>
  <c r="DU41" i="3"/>
  <c r="DU92" i="1"/>
  <c r="DV34" i="1"/>
  <c r="HA34" i="1" s="1"/>
  <c r="EH24" i="119"/>
  <c r="DZ73" i="3"/>
  <c r="P25" i="118" l="1"/>
  <c r="I16" i="117"/>
  <c r="B7" i="114"/>
  <c r="C19" i="117" s="1"/>
  <c r="C20" i="117" s="1"/>
  <c r="AM40" i="114"/>
  <c r="HA56" i="1"/>
  <c r="HA113" i="1"/>
  <c r="DV56" i="1"/>
  <c r="DV134" i="1"/>
  <c r="DV92" i="1"/>
  <c r="EP287" i="119"/>
  <c r="DV41" i="3"/>
  <c r="DV113" i="1"/>
  <c r="DW34" i="1"/>
  <c r="Q25" i="118" s="1"/>
  <c r="EA73" i="3"/>
  <c r="G73" i="118"/>
  <c r="G61" i="118" s="1"/>
  <c r="G108" i="118"/>
  <c r="G96" i="118" s="1"/>
  <c r="DX33" i="1"/>
  <c r="DY68" i="3"/>
  <c r="DY74" i="3" s="1"/>
  <c r="DU64" i="3"/>
  <c r="EO102" i="119"/>
  <c r="EO284" i="119"/>
  <c r="DU48" i="3"/>
  <c r="DW91" i="1"/>
  <c r="DW55" i="1"/>
  <c r="DW133" i="1"/>
  <c r="DW112" i="1"/>
  <c r="EQ286" i="119"/>
  <c r="EQ288" i="119" s="1"/>
  <c r="FR41" i="3"/>
  <c r="GF41" i="3" l="1"/>
  <c r="AF102" i="119"/>
  <c r="AF284" i="119"/>
  <c r="FR48" i="3"/>
  <c r="FR64" i="3"/>
  <c r="DZ68" i="3"/>
  <c r="DZ74" i="3" s="1"/>
  <c r="DY33" i="1"/>
  <c r="FR33" i="1" s="1"/>
  <c r="ER286" i="119"/>
  <c r="ER288" i="119" s="1"/>
  <c r="DX112" i="1"/>
  <c r="DX91" i="1"/>
  <c r="DX55" i="1"/>
  <c r="DX133" i="1"/>
  <c r="DW113" i="1"/>
  <c r="EQ287" i="119"/>
  <c r="DW134" i="1"/>
  <c r="DX34" i="1"/>
  <c r="R25" i="118" s="1"/>
  <c r="L25" i="118" s="1"/>
  <c r="V30" i="118" s="1"/>
  <c r="DW41" i="3"/>
  <c r="DW56" i="1"/>
  <c r="DW92" i="1"/>
  <c r="EP284" i="119"/>
  <c r="EP102" i="119"/>
  <c r="DV64" i="3"/>
  <c r="DV48" i="3"/>
  <c r="EB73" i="3"/>
  <c r="EA68" i="3" l="1"/>
  <c r="EA74" i="3" s="1"/>
  <c r="DZ33" i="1"/>
  <c r="DW64" i="3"/>
  <c r="EQ284" i="119"/>
  <c r="EQ102" i="119"/>
  <c r="DW48" i="3"/>
  <c r="FR55" i="1"/>
  <c r="AG286" i="119"/>
  <c r="AG288" i="119" s="1"/>
  <c r="FR112" i="1"/>
  <c r="DX113" i="1"/>
  <c r="DX134" i="1"/>
  <c r="DX56" i="1"/>
  <c r="ER287" i="119"/>
  <c r="DX41" i="3"/>
  <c r="DY34" i="1"/>
  <c r="FR34" i="1" s="1"/>
  <c r="DX92" i="1"/>
  <c r="GF48" i="3"/>
  <c r="EC73" i="3"/>
  <c r="DY133" i="1"/>
  <c r="DY112" i="1"/>
  <c r="DY91" i="1"/>
  <c r="DY55" i="1"/>
  <c r="ES286" i="119"/>
  <c r="ES288" i="119" s="1"/>
  <c r="V18" i="116" l="1"/>
  <c r="X18" i="116" s="1"/>
  <c r="Y18" i="116" s="1"/>
  <c r="AG287" i="119"/>
  <c r="FR113" i="1"/>
  <c r="H25" i="118"/>
  <c r="H37" i="118" s="1"/>
  <c r="FR56" i="1"/>
  <c r="ED73" i="3"/>
  <c r="ES287" i="119"/>
  <c r="DY134" i="1"/>
  <c r="DY92" i="1"/>
  <c r="DY56" i="1"/>
  <c r="DY41" i="3"/>
  <c r="DZ34" i="1"/>
  <c r="HB34" i="1" s="1"/>
  <c r="DY113" i="1"/>
  <c r="DZ112" i="1"/>
  <c r="DZ133" i="1"/>
  <c r="DZ91" i="1"/>
  <c r="DZ55" i="1"/>
  <c r="ET286" i="119"/>
  <c r="ET288" i="119" s="1"/>
  <c r="HB33" i="1"/>
  <c r="DX64" i="3"/>
  <c r="DX48" i="3"/>
  <c r="ER284" i="119"/>
  <c r="ER102" i="119"/>
  <c r="EA33" i="1"/>
  <c r="EB68" i="3"/>
  <c r="EB74" i="3" s="1"/>
  <c r="FS41" i="3" l="1"/>
  <c r="EE73" i="3"/>
  <c r="EC68" i="3"/>
  <c r="EC74" i="3" s="1"/>
  <c r="EB33" i="1"/>
  <c r="ET287" i="119"/>
  <c r="DZ92" i="1"/>
  <c r="DZ113" i="1"/>
  <c r="DZ134" i="1"/>
  <c r="DZ56" i="1"/>
  <c r="EA34" i="1"/>
  <c r="DZ41" i="3"/>
  <c r="HB113" i="1"/>
  <c r="HB56" i="1"/>
  <c r="ES102" i="119"/>
  <c r="DY48" i="3"/>
  <c r="ES284" i="119"/>
  <c r="DY64" i="3"/>
  <c r="EA133" i="1"/>
  <c r="EA112" i="1"/>
  <c r="EA91" i="1"/>
  <c r="EA55" i="1"/>
  <c r="EU286" i="119"/>
  <c r="EU288" i="119" s="1"/>
  <c r="H73" i="118"/>
  <c r="H61" i="118" s="1"/>
  <c r="H108" i="118"/>
  <c r="H96" i="118" s="1"/>
  <c r="HB55" i="1"/>
  <c r="HB112" i="1"/>
  <c r="AG102" i="119" l="1"/>
  <c r="FS48" i="3"/>
  <c r="AG284" i="119"/>
  <c r="FS64" i="3"/>
  <c r="GG41" i="3"/>
  <c r="EF73" i="3"/>
  <c r="ET102" i="119"/>
  <c r="ET284" i="119"/>
  <c r="DZ64" i="3"/>
  <c r="DZ48" i="3"/>
  <c r="EU287" i="119"/>
  <c r="EA134" i="1"/>
  <c r="EA113" i="1"/>
  <c r="EA56" i="1"/>
  <c r="EA92" i="1"/>
  <c r="EB34" i="1"/>
  <c r="EA41" i="3"/>
  <c r="EB91" i="1"/>
  <c r="EB133" i="1"/>
  <c r="EB112" i="1"/>
  <c r="EV286" i="119"/>
  <c r="EV288" i="119" s="1"/>
  <c r="EB55" i="1"/>
  <c r="ED68" i="3"/>
  <c r="ED74" i="3" s="1"/>
  <c r="EC33" i="1"/>
  <c r="FS33" i="1" s="1"/>
  <c r="FS112" i="1" l="1"/>
  <c r="AH286" i="119"/>
  <c r="AH288" i="119" s="1"/>
  <c r="FS55" i="1"/>
  <c r="EU102" i="119"/>
  <c r="EA64" i="3"/>
  <c r="EU284" i="119"/>
  <c r="EA48" i="3"/>
  <c r="EB92" i="1"/>
  <c r="EB56" i="1"/>
  <c r="EB134" i="1"/>
  <c r="EB113" i="1"/>
  <c r="EV287" i="119"/>
  <c r="EB41" i="3"/>
  <c r="EC34" i="1"/>
  <c r="EG73" i="3"/>
  <c r="EC91" i="1"/>
  <c r="EC55" i="1"/>
  <c r="EC112" i="1"/>
  <c r="EC133" i="1"/>
  <c r="EW286" i="119"/>
  <c r="EW288" i="119" s="1"/>
  <c r="ED33" i="1"/>
  <c r="HC33" i="1" s="1"/>
  <c r="EE68" i="3"/>
  <c r="EE74" i="3" s="1"/>
  <c r="GG48" i="3"/>
  <c r="HC112" i="1" l="1"/>
  <c r="HC55" i="1"/>
  <c r="EV284" i="119"/>
  <c r="EV102" i="119"/>
  <c r="EB48" i="3"/>
  <c r="EB64" i="3"/>
  <c r="ED91" i="1"/>
  <c r="ED112" i="1"/>
  <c r="ED133" i="1"/>
  <c r="EX286" i="119"/>
  <c r="EX288" i="119" s="1"/>
  <c r="ED55" i="1"/>
  <c r="EC113" i="1"/>
  <c r="EW287" i="119"/>
  <c r="EC56" i="1"/>
  <c r="EC92" i="1"/>
  <c r="EC134" i="1"/>
  <c r="ED34" i="1"/>
  <c r="HC34" i="1" s="1"/>
  <c r="EC41" i="3"/>
  <c r="EH73" i="3"/>
  <c r="EF68" i="3"/>
  <c r="EF74" i="3" s="1"/>
  <c r="EE33" i="1"/>
  <c r="FS34" i="1"/>
  <c r="EG68" i="3" l="1"/>
  <c r="EG74" i="3" s="1"/>
  <c r="EF33" i="1"/>
  <c r="FT41" i="3"/>
  <c r="HC56" i="1"/>
  <c r="HC113" i="1"/>
  <c r="EW284" i="119"/>
  <c r="EW102" i="119"/>
  <c r="EC48" i="3"/>
  <c r="EC64" i="3"/>
  <c r="ED92" i="1"/>
  <c r="ED134" i="1"/>
  <c r="ED113" i="1"/>
  <c r="EX287" i="119"/>
  <c r="EE34" i="1"/>
  <c r="ED41" i="3"/>
  <c r="ED56" i="1"/>
  <c r="AH287" i="119"/>
  <c r="FS113" i="1"/>
  <c r="FS56" i="1"/>
  <c r="I25" i="118"/>
  <c r="I37" i="118" s="1"/>
  <c r="EE55" i="1"/>
  <c r="EE112" i="1"/>
  <c r="EE133" i="1"/>
  <c r="EY286" i="119"/>
  <c r="EY288" i="119" s="1"/>
  <c r="EE91" i="1"/>
  <c r="EI73" i="3"/>
  <c r="FT64" i="3" l="1"/>
  <c r="AH284" i="119"/>
  <c r="AH102" i="119"/>
  <c r="FT48" i="3"/>
  <c r="EJ73" i="3"/>
  <c r="EE113" i="1"/>
  <c r="EE41" i="3"/>
  <c r="EE134" i="1"/>
  <c r="EE56" i="1"/>
  <c r="EE92" i="1"/>
  <c r="EY287" i="119"/>
  <c r="EF34" i="1"/>
  <c r="EF55" i="1"/>
  <c r="EF133" i="1"/>
  <c r="EF91" i="1"/>
  <c r="EZ286" i="119"/>
  <c r="EZ288" i="119" s="1"/>
  <c r="EF112" i="1"/>
  <c r="I108" i="118"/>
  <c r="I96" i="118" s="1"/>
  <c r="I73" i="118"/>
  <c r="I61" i="118" s="1"/>
  <c r="EX102" i="119"/>
  <c r="ED64" i="3"/>
  <c r="EX284" i="119"/>
  <c r="ED48" i="3"/>
  <c r="EH68" i="3"/>
  <c r="EH74" i="3" s="1"/>
  <c r="EG33" i="1"/>
  <c r="FT33" i="1" s="1"/>
  <c r="GH41" i="3"/>
  <c r="GH48" i="3" l="1"/>
  <c r="EI68" i="3"/>
  <c r="EI74" i="3" s="1"/>
  <c r="EH33" i="1"/>
  <c r="EK73" i="3"/>
  <c r="AI286" i="119"/>
  <c r="AI288" i="119" s="1"/>
  <c r="FT112" i="1"/>
  <c r="FT55" i="1"/>
  <c r="EF134" i="1"/>
  <c r="EF92" i="1"/>
  <c r="EF41" i="3"/>
  <c r="EF113" i="1"/>
  <c r="EF56" i="1"/>
  <c r="EZ287" i="119"/>
  <c r="EG34" i="1"/>
  <c r="FT34" i="1" s="1"/>
  <c r="EY102" i="119"/>
  <c r="EY284" i="119"/>
  <c r="EE64" i="3"/>
  <c r="EE48" i="3"/>
  <c r="EG55" i="1"/>
  <c r="EG133" i="1"/>
  <c r="EG91" i="1"/>
  <c r="FA286" i="119"/>
  <c r="FA288" i="119" s="1"/>
  <c r="EG112" i="1"/>
  <c r="EH91" i="1" l="1"/>
  <c r="FB286" i="119"/>
  <c r="FB288" i="119" s="1"/>
  <c r="EH55" i="1"/>
  <c r="EH112" i="1"/>
  <c r="EH133" i="1"/>
  <c r="HD33" i="1"/>
  <c r="EJ68" i="3"/>
  <c r="EJ74" i="3" s="1"/>
  <c r="EI33" i="1"/>
  <c r="EZ102" i="119"/>
  <c r="EZ284" i="119"/>
  <c r="EF48" i="3"/>
  <c r="EF64" i="3"/>
  <c r="AI287" i="119"/>
  <c r="FT56" i="1"/>
  <c r="FT113" i="1"/>
  <c r="J25" i="118"/>
  <c r="J37" i="118" s="1"/>
  <c r="EG134" i="1"/>
  <c r="FA287" i="119"/>
  <c r="EG92" i="1"/>
  <c r="EG113" i="1"/>
  <c r="EG56" i="1"/>
  <c r="EG41" i="3"/>
  <c r="EH34" i="1"/>
  <c r="HD34" i="1" s="1"/>
  <c r="HD56" i="1" l="1"/>
  <c r="HD113" i="1"/>
  <c r="EH134" i="1"/>
  <c r="EI34" i="1"/>
  <c r="EH92" i="1"/>
  <c r="FB287" i="119"/>
  <c r="EH56" i="1"/>
  <c r="EH41" i="3"/>
  <c r="EH113" i="1"/>
  <c r="FA284" i="119"/>
  <c r="FA102" i="119"/>
  <c r="EG64" i="3"/>
  <c r="EG48" i="3"/>
  <c r="FU41" i="3"/>
  <c r="EI91" i="1"/>
  <c r="FC286" i="119"/>
  <c r="FC288" i="119" s="1"/>
  <c r="EI55" i="1"/>
  <c r="EI133" i="1"/>
  <c r="EI112" i="1"/>
  <c r="EJ33" i="1"/>
  <c r="EK68" i="3"/>
  <c r="EK74" i="3" s="1"/>
  <c r="EK33" i="1" s="1"/>
  <c r="J73" i="118"/>
  <c r="J61" i="118" s="1"/>
  <c r="J108" i="118"/>
  <c r="J96" i="118" s="1"/>
  <c r="HD55" i="1"/>
  <c r="HD112" i="1"/>
  <c r="EJ55" i="1" l="1"/>
  <c r="EJ91" i="1"/>
  <c r="FD286" i="119"/>
  <c r="FD288" i="119" s="1"/>
  <c r="EJ133" i="1"/>
  <c r="EJ112" i="1"/>
  <c r="FU33" i="1"/>
  <c r="AI284" i="119"/>
  <c r="FU64" i="3"/>
  <c r="FU48" i="3"/>
  <c r="AI102" i="119"/>
  <c r="FB284" i="119"/>
  <c r="EH64" i="3"/>
  <c r="FB102" i="119"/>
  <c r="EH48" i="3"/>
  <c r="GI41" i="3"/>
  <c r="EK112" i="1"/>
  <c r="EK133" i="1"/>
  <c r="EK55" i="1"/>
  <c r="EK91" i="1"/>
  <c r="FE286" i="119"/>
  <c r="FE288" i="119" s="1"/>
  <c r="FC287" i="119"/>
  <c r="EJ34" i="1"/>
  <c r="EI113" i="1"/>
  <c r="EI41" i="3"/>
  <c r="EI92" i="1"/>
  <c r="EI56" i="1"/>
  <c r="EI134" i="1"/>
  <c r="FC284" i="119" l="1"/>
  <c r="EI48" i="3"/>
  <c r="FC102" i="119"/>
  <c r="EI64" i="3"/>
  <c r="AJ286" i="119"/>
  <c r="AJ288" i="119" s="1"/>
  <c r="FU55" i="1"/>
  <c r="FU112" i="1"/>
  <c r="EK34" i="1"/>
  <c r="FU34" i="1" s="1"/>
  <c r="EJ92" i="1"/>
  <c r="EJ41" i="3"/>
  <c r="FD287" i="119"/>
  <c r="EJ113" i="1"/>
  <c r="EJ134" i="1"/>
  <c r="EJ56" i="1"/>
  <c r="GI48" i="3"/>
  <c r="FU113" i="1" l="1"/>
  <c r="FU56" i="1"/>
  <c r="AJ287" i="119"/>
  <c r="K25" i="118"/>
  <c r="K37" i="118" s="1"/>
  <c r="EJ64" i="3"/>
  <c r="EJ48" i="3"/>
  <c r="FD284" i="119"/>
  <c r="FD102" i="119"/>
  <c r="FE287" i="119"/>
  <c r="EK134" i="1"/>
  <c r="EK41" i="3"/>
  <c r="EK113" i="1"/>
  <c r="EK92" i="1"/>
  <c r="EK56" i="1"/>
  <c r="FE284" i="119" l="1"/>
  <c r="EK48" i="3"/>
  <c r="EK64" i="3"/>
  <c r="FE102" i="119"/>
  <c r="FV41" i="3"/>
  <c r="K73" i="118"/>
  <c r="K61" i="118" s="1"/>
  <c r="K108" i="118"/>
  <c r="K96" i="118" s="1"/>
  <c r="AJ284" i="119" l="1"/>
  <c r="AJ102" i="119"/>
  <c r="FV64" i="3"/>
  <c r="FV48" i="3"/>
  <c r="F23" i="118" l="1"/>
  <c r="Q23" i="118" l="1"/>
  <c r="R23" i="118" l="1"/>
  <c r="G23" i="118" l="1"/>
  <c r="H23" i="118" l="1"/>
  <c r="I23" i="118" l="1"/>
  <c r="J23" i="118" l="1"/>
  <c r="K23" i="118" l="1"/>
  <c r="AB13" i="115" l="1"/>
  <c r="AB14" i="115"/>
  <c r="AB12" i="115" l="1"/>
  <c r="AC12" i="115" s="1"/>
  <c r="AB8" i="115" l="1"/>
  <c r="AC8" i="115" s="1"/>
  <c r="P23" i="118"/>
  <c r="O23" i="118"/>
  <c r="DM21" i="1"/>
  <c r="DM20" i="1" s="1"/>
  <c r="EG25" i="119"/>
  <c r="DM208" i="92"/>
  <c r="DM211" i="92" s="1"/>
  <c r="FO22" i="1"/>
  <c r="AD25" i="119" s="1"/>
  <c r="FO21" i="1" l="1"/>
  <c r="AD24" i="119" s="1"/>
  <c r="AD26" i="119" s="1"/>
  <c r="EG24" i="119"/>
  <c r="EG26" i="119" s="1"/>
  <c r="GY20" i="1"/>
  <c r="GY21" i="1" s="1"/>
  <c r="FO20" i="1"/>
  <c r="L23" i="118"/>
  <c r="DM209" i="92"/>
  <c r="DN211" i="92" l="1"/>
  <c r="GY22" i="1" l="1"/>
  <c r="GY18" i="1" s="1"/>
  <c r="EH25" i="119"/>
  <c r="EH26" i="119" s="1"/>
  <c r="DQ209" i="92"/>
  <c r="EI25" i="119" l="1"/>
  <c r="DR209" i="92"/>
  <c r="DQ208" i="92"/>
  <c r="DP211" i="92"/>
  <c r="EJ25" i="119" l="1"/>
  <c r="DQ22" i="1"/>
  <c r="FP22" i="1" s="1"/>
  <c r="AE25" i="119" s="1"/>
  <c r="DQ211" i="92"/>
  <c r="DN105" i="1"/>
  <c r="DN69" i="1"/>
  <c r="DN84" i="1"/>
  <c r="DN48" i="1"/>
  <c r="GY23" i="1"/>
  <c r="EH30" i="119"/>
  <c r="EH269" i="119" s="1"/>
  <c r="DS209" i="92"/>
  <c r="DR208" i="92"/>
  <c r="EK25" i="119" l="1"/>
  <c r="GY69" i="1"/>
  <c r="GY48" i="1"/>
  <c r="GY105" i="1"/>
  <c r="DR22" i="1"/>
  <c r="DR211" i="92"/>
  <c r="DT209" i="92"/>
  <c r="DS208" i="92"/>
  <c r="EH273" i="119"/>
  <c r="GY24" i="1"/>
  <c r="GY25" i="1" s="1"/>
  <c r="EL25" i="119" l="1"/>
  <c r="GZ22" i="1"/>
  <c r="DS22" i="1"/>
  <c r="DS211" i="92"/>
  <c r="DT208" i="92"/>
  <c r="DU209" i="92"/>
  <c r="DN106" i="1"/>
  <c r="EH277" i="119"/>
  <c r="DN49" i="1"/>
  <c r="GY26" i="1"/>
  <c r="DN70" i="1"/>
  <c r="EH275" i="119"/>
  <c r="DN85" i="1"/>
  <c r="EM25" i="119" l="1"/>
  <c r="DN88" i="1"/>
  <c r="DN52" i="1"/>
  <c r="EH281" i="119"/>
  <c r="EH260" i="119" s="1"/>
  <c r="DN109" i="1"/>
  <c r="DN51" i="1"/>
  <c r="DN87" i="1"/>
  <c r="DN108" i="1"/>
  <c r="DN86" i="1"/>
  <c r="DN71" i="1"/>
  <c r="EH279" i="119"/>
  <c r="DN107" i="1"/>
  <c r="GY28" i="1"/>
  <c r="DN50" i="1"/>
  <c r="DV209" i="92"/>
  <c r="DU208" i="92"/>
  <c r="GY106" i="1"/>
  <c r="GY49" i="1"/>
  <c r="GY29" i="1"/>
  <c r="GY30" i="1"/>
  <c r="GY70" i="1"/>
  <c r="EH267" i="119"/>
  <c r="EH280" i="119"/>
  <c r="DT22" i="1"/>
  <c r="DT211" i="92"/>
  <c r="GY108" i="1" l="1"/>
  <c r="GY51" i="1"/>
  <c r="EN25" i="119"/>
  <c r="GY71" i="1"/>
  <c r="GY32" i="1"/>
  <c r="GY107" i="1"/>
  <c r="GY31" i="1"/>
  <c r="GY50" i="1"/>
  <c r="DN53" i="1"/>
  <c r="DN110" i="1"/>
  <c r="DN89" i="1"/>
  <c r="DN54" i="1"/>
  <c r="DN90" i="1"/>
  <c r="DN111" i="1"/>
  <c r="GD11" i="3"/>
  <c r="EH305" i="119"/>
  <c r="DU211" i="92"/>
  <c r="DU22" i="1"/>
  <c r="FQ22" i="1" s="1"/>
  <c r="AF25" i="119" s="1"/>
  <c r="DW209" i="92"/>
  <c r="DV208" i="92"/>
  <c r="GY52" i="1"/>
  <c r="GY109" i="1"/>
  <c r="G63" i="117"/>
  <c r="EH283" i="119"/>
  <c r="EH282" i="119"/>
  <c r="GY54" i="1" l="1"/>
  <c r="GY111" i="1"/>
  <c r="DV211" i="92"/>
  <c r="DV22" i="1"/>
  <c r="DW208" i="92"/>
  <c r="DX209" i="92"/>
  <c r="GD25" i="3"/>
  <c r="GD54" i="3" s="1"/>
  <c r="GD55" i="3" s="1"/>
  <c r="G59" i="117" s="1"/>
  <c r="EH96" i="119"/>
  <c r="EO25" i="119"/>
  <c r="GY110" i="1"/>
  <c r="GY53" i="1"/>
  <c r="DY209" i="92" l="1"/>
  <c r="DX208" i="92"/>
  <c r="EH108" i="119"/>
  <c r="GD50" i="3"/>
  <c r="GD52" i="3" s="1"/>
  <c r="DW22" i="1"/>
  <c r="DW211" i="92"/>
  <c r="EH67" i="119"/>
  <c r="EH298" i="119" s="1"/>
  <c r="EH256" i="119" s="1"/>
  <c r="EH69" i="119"/>
  <c r="EH271" i="119" s="1"/>
  <c r="EH70" i="119"/>
  <c r="FQ66" i="2"/>
  <c r="DN65" i="3"/>
  <c r="EP25" i="119"/>
  <c r="HA22" i="1"/>
  <c r="EQ25" i="119" l="1"/>
  <c r="DO51" i="3"/>
  <c r="GE51" i="3" s="1"/>
  <c r="DX22" i="1"/>
  <c r="DX211" i="92"/>
  <c r="DY208" i="92"/>
  <c r="DZ209" i="92"/>
  <c r="DY22" i="1" l="1"/>
  <c r="DY211" i="92"/>
  <c r="EA209" i="92"/>
  <c r="DZ208" i="92"/>
  <c r="ER25" i="119"/>
  <c r="EH41" i="119"/>
  <c r="EH265" i="119" s="1"/>
  <c r="DZ211" i="92" l="1"/>
  <c r="DZ22" i="1"/>
  <c r="EA208" i="92"/>
  <c r="EB209" i="92"/>
  <c r="EH45" i="119"/>
  <c r="DN114" i="2"/>
  <c r="ES25" i="119"/>
  <c r="FR22" i="1"/>
  <c r="AG25" i="119" s="1"/>
  <c r="DN115" i="2" l="1"/>
  <c r="DQ115" i="2" s="1"/>
  <c r="DR115" i="2" s="1"/>
  <c r="DS115" i="2" s="1"/>
  <c r="DT115" i="2" s="1"/>
  <c r="DU115" i="2" s="1"/>
  <c r="DV115" i="2" s="1"/>
  <c r="DW115" i="2" s="1"/>
  <c r="DX115" i="2" s="1"/>
  <c r="DY115" i="2" s="1"/>
  <c r="DZ115" i="2" s="1"/>
  <c r="EA115" i="2" s="1"/>
  <c r="EB115" i="2" s="1"/>
  <c r="EC115" i="2" s="1"/>
  <c r="ED115" i="2" s="1"/>
  <c r="EE115" i="2" s="1"/>
  <c r="EF115" i="2" s="1"/>
  <c r="EG115" i="2" s="1"/>
  <c r="EH115" i="2" s="1"/>
  <c r="EI115" i="2" s="1"/>
  <c r="EJ115" i="2" s="1"/>
  <c r="EK115" i="2" s="1"/>
  <c r="EC209" i="92"/>
  <c r="EB208" i="92"/>
  <c r="EH55" i="119"/>
  <c r="FQ67" i="2"/>
  <c r="EA22" i="1"/>
  <c r="EA211" i="92"/>
  <c r="EH76" i="119"/>
  <c r="EH264" i="119" s="1"/>
  <c r="ET25" i="119"/>
  <c r="HB22" i="1"/>
  <c r="EI24" i="119" l="1"/>
  <c r="EI26" i="119" s="1"/>
  <c r="EU25" i="119"/>
  <c r="EB22" i="1"/>
  <c r="EB211" i="92"/>
  <c r="EC208" i="92"/>
  <c r="ED209" i="92"/>
  <c r="EC22" i="1" l="1"/>
  <c r="FS22" i="1" s="1"/>
  <c r="AH25" i="119" s="1"/>
  <c r="EC211" i="92"/>
  <c r="EE209" i="92"/>
  <c r="ED208" i="92"/>
  <c r="EV25" i="119"/>
  <c r="ED22" i="1" l="1"/>
  <c r="HC22" i="1" s="1"/>
  <c r="ED211" i="92"/>
  <c r="EE208" i="92"/>
  <c r="EF209" i="92"/>
  <c r="EW25" i="119"/>
  <c r="EG209" i="92" l="1"/>
  <c r="EF208" i="92"/>
  <c r="EE22" i="1"/>
  <c r="EE211" i="92"/>
  <c r="EX25" i="119"/>
  <c r="EF22" i="1" l="1"/>
  <c r="EF211" i="92"/>
  <c r="EY25" i="119"/>
  <c r="EG208" i="92"/>
  <c r="EH209" i="92"/>
  <c r="EI209" i="92" l="1"/>
  <c r="EH208" i="92"/>
  <c r="EG22" i="1"/>
  <c r="EG211" i="92"/>
  <c r="EZ25" i="119"/>
  <c r="EH22" i="1" l="1"/>
  <c r="EH211" i="92"/>
  <c r="EI208" i="92"/>
  <c r="EJ209" i="92"/>
  <c r="FA25" i="119"/>
  <c r="FT22" i="1"/>
  <c r="AI25" i="119" s="1"/>
  <c r="FB25" i="119" l="1"/>
  <c r="EK209" i="92"/>
  <c r="EK208" i="92" s="1"/>
  <c r="EJ208" i="92"/>
  <c r="HD22" i="1"/>
  <c r="EI22" i="1"/>
  <c r="EI211" i="92"/>
  <c r="EJ22" i="1" l="1"/>
  <c r="EJ211" i="92"/>
  <c r="FC25" i="119"/>
  <c r="EK22" i="1"/>
  <c r="EK211" i="92"/>
  <c r="FU22" i="1" l="1"/>
  <c r="AJ25" i="119" s="1"/>
  <c r="FE25" i="119"/>
  <c r="FD25" i="119"/>
  <c r="EP35" i="6" l="1"/>
  <c r="EP50" i="6"/>
  <c r="EP87" i="6"/>
  <c r="CS29" i="6"/>
  <c r="EP51" i="6"/>
  <c r="CS30" i="6"/>
  <c r="CT69" i="6" s="1"/>
  <c r="EP88" i="6"/>
  <c r="EP89" i="6"/>
  <c r="CS31" i="6"/>
  <c r="EP52" i="6"/>
  <c r="EP90" i="6"/>
  <c r="CS32" i="6"/>
  <c r="CS71" i="6" s="1"/>
  <c r="EP53" i="6"/>
  <c r="EP91" i="6"/>
  <c r="CS33" i="6"/>
  <c r="CS54" i="6" s="1"/>
  <c r="EP54" i="6"/>
  <c r="CS69" i="6" l="1"/>
  <c r="CS72" i="6"/>
  <c r="CS91" i="6"/>
  <c r="CW91" i="6" s="1"/>
  <c r="CS90" i="6"/>
  <c r="CW90" i="6" s="1"/>
  <c r="CT70" i="6"/>
  <c r="CS89" i="6"/>
  <c r="CW89" i="6" s="1"/>
  <c r="CS51" i="6"/>
  <c r="CS88" i="6"/>
  <c r="CW88" i="6" s="1"/>
  <c r="CS50" i="6"/>
  <c r="CS87" i="6"/>
  <c r="CW87" i="6" s="1"/>
  <c r="CT72" i="6"/>
  <c r="CS52" i="6"/>
  <c r="EP93" i="6"/>
  <c r="EP56" i="6"/>
  <c r="CS35" i="6"/>
  <c r="CS53" i="6"/>
  <c r="CT68" i="6"/>
  <c r="CT71" i="6"/>
  <c r="CS68" i="6"/>
  <c r="CS70" i="6"/>
  <c r="DA87" i="6" l="1"/>
  <c r="DA90" i="6"/>
  <c r="DA88" i="6"/>
  <c r="DA89" i="6"/>
  <c r="CW31" i="6"/>
  <c r="DA91" i="6"/>
  <c r="CS93" i="6"/>
  <c r="CS37" i="6"/>
  <c r="CS39" i="6" s="1"/>
  <c r="CT74" i="6"/>
  <c r="CS74" i="6"/>
  <c r="DE88" i="6" l="1"/>
  <c r="DE91" i="6"/>
  <c r="DE90" i="6"/>
  <c r="EQ31" i="6"/>
  <c r="CW70" i="6"/>
  <c r="CW52" i="6"/>
  <c r="DE89" i="6"/>
  <c r="DE87" i="6"/>
  <c r="CS95" i="6"/>
  <c r="CT76" i="6"/>
  <c r="CS58" i="6"/>
  <c r="CS76" i="6"/>
  <c r="DI90" i="6" l="1"/>
  <c r="EQ89" i="6"/>
  <c r="EQ52" i="6"/>
  <c r="DI87" i="6"/>
  <c r="DI88" i="6"/>
  <c r="DI89" i="6"/>
  <c r="DI91" i="6"/>
  <c r="EP95" i="6"/>
  <c r="EP58" i="6"/>
  <c r="EP39" i="6"/>
  <c r="DM88" i="6" l="1"/>
  <c r="DM91" i="6"/>
  <c r="DM90" i="6"/>
  <c r="DM87" i="6"/>
  <c r="DM89" i="6"/>
  <c r="DQ87" i="6" l="1"/>
  <c r="DQ91" i="6"/>
  <c r="DQ90" i="6"/>
  <c r="DQ89" i="6"/>
  <c r="DQ88" i="6"/>
  <c r="FP14" i="112" l="1"/>
  <c r="FP25" i="112" s="1"/>
  <c r="HA14" i="112"/>
  <c r="DN101" i="113"/>
  <c r="FP101" i="113" s="1"/>
  <c r="DN19" i="112"/>
  <c r="DN30" i="112" s="1"/>
  <c r="DN36" i="112"/>
  <c r="DN16" i="112"/>
  <c r="DO36" i="112"/>
  <c r="DN146" i="113" l="1"/>
  <c r="GY101" i="113"/>
  <c r="GY108" i="113" s="1"/>
  <c r="HA16" i="112"/>
  <c r="HA27" i="112" s="1"/>
  <c r="DN27" i="112"/>
  <c r="FP108" i="113"/>
  <c r="DR16" i="112"/>
  <c r="DV16" i="112" s="1"/>
  <c r="DO38" i="112"/>
  <c r="DN38" i="112"/>
  <c r="FP16" i="112"/>
  <c r="FP27" i="112" s="1"/>
  <c r="DN41" i="112"/>
  <c r="DN102" i="113"/>
  <c r="HA25" i="112"/>
  <c r="HA19" i="112"/>
  <c r="DO41" i="112"/>
  <c r="DR14" i="112" l="1"/>
  <c r="DR25" i="112" s="1"/>
  <c r="DR38" i="112"/>
  <c r="DN15" i="113"/>
  <c r="DN109" i="113"/>
  <c r="GY102" i="113"/>
  <c r="GY109" i="113" s="1"/>
  <c r="HB16" i="112"/>
  <c r="HB27" i="112" s="1"/>
  <c r="DS38" i="112"/>
  <c r="FQ16" i="112"/>
  <c r="FQ27" i="112" s="1"/>
  <c r="GY146" i="113"/>
  <c r="HA30" i="112"/>
  <c r="HC16" i="112"/>
  <c r="DW38" i="112"/>
  <c r="DV14" i="112"/>
  <c r="DV38" i="112"/>
  <c r="DZ16" i="112"/>
  <c r="FR16" i="112"/>
  <c r="DR14" i="51" l="1"/>
  <c r="HB14" i="112"/>
  <c r="HB25" i="112" s="1"/>
  <c r="DR36" i="112"/>
  <c r="FQ14" i="112"/>
  <c r="FQ25" i="112" s="1"/>
  <c r="DR101" i="113"/>
  <c r="GZ101" i="113" s="1"/>
  <c r="GZ108" i="113" s="1"/>
  <c r="DN41" i="113"/>
  <c r="DS36" i="112"/>
  <c r="FR27" i="112"/>
  <c r="HC27" i="112"/>
  <c r="DN28" i="113"/>
  <c r="DO56" i="113"/>
  <c r="GY15" i="113"/>
  <c r="DN56" i="113"/>
  <c r="DZ38" i="112"/>
  <c r="FS16" i="112"/>
  <c r="FS27" i="112" s="1"/>
  <c r="EA38" i="112"/>
  <c r="HD16" i="112"/>
  <c r="HD27" i="112" s="1"/>
  <c r="ED16" i="112"/>
  <c r="DZ14" i="112"/>
  <c r="DV14" i="51"/>
  <c r="DW36" i="112"/>
  <c r="FR14" i="112"/>
  <c r="DV36" i="112"/>
  <c r="DV25" i="112"/>
  <c r="HC14" i="112"/>
  <c r="DV101" i="113"/>
  <c r="DR65" i="51" l="1"/>
  <c r="DR74" i="51" s="1"/>
  <c r="HA14" i="51"/>
  <c r="HA23" i="51" s="1"/>
  <c r="DR34" i="51"/>
  <c r="FT119" i="51" s="1"/>
  <c r="DR23" i="51"/>
  <c r="DS34" i="51"/>
  <c r="FU119" i="51" s="1"/>
  <c r="FQ14" i="51"/>
  <c r="FQ23" i="51" s="1"/>
  <c r="FQ101" i="113"/>
  <c r="FQ108" i="113" s="1"/>
  <c r="DN47" i="113"/>
  <c r="DN49" i="113" s="1"/>
  <c r="DN34" i="113"/>
  <c r="GY21" i="113"/>
  <c r="DN67" i="113"/>
  <c r="GY67" i="113" s="1"/>
  <c r="DN62" i="113"/>
  <c r="GY41" i="113"/>
  <c r="GY28" i="113"/>
  <c r="FR25" i="112"/>
  <c r="DZ14" i="51"/>
  <c r="DZ25" i="112"/>
  <c r="DZ101" i="113"/>
  <c r="FS14" i="112"/>
  <c r="DZ36" i="112"/>
  <c r="EA36" i="112"/>
  <c r="HD14" i="112"/>
  <c r="R25" i="116"/>
  <c r="HC25" i="112"/>
  <c r="EE38" i="112"/>
  <c r="ED38" i="112"/>
  <c r="FT16" i="112"/>
  <c r="FT27" i="112" s="1"/>
  <c r="HE16" i="112"/>
  <c r="HE27" i="112" s="1"/>
  <c r="ED14" i="112"/>
  <c r="EH16" i="112"/>
  <c r="HA101" i="113"/>
  <c r="HA108" i="113" s="1"/>
  <c r="FR101" i="113"/>
  <c r="FR108" i="113" s="1"/>
  <c r="FR14" i="51"/>
  <c r="DV65" i="51"/>
  <c r="DV74" i="51" s="1"/>
  <c r="HB14" i="51"/>
  <c r="DW34" i="51"/>
  <c r="DV34" i="51"/>
  <c r="DV23" i="51"/>
  <c r="FQ65" i="51" l="1"/>
  <c r="FQ74" i="51" s="1"/>
  <c r="GY47" i="113"/>
  <c r="GY34" i="113"/>
  <c r="FR65" i="51"/>
  <c r="V25" i="116"/>
  <c r="FR23" i="51"/>
  <c r="EI38" i="112"/>
  <c r="FU16" i="112"/>
  <c r="FU27" i="112" s="1"/>
  <c r="EH38" i="112"/>
  <c r="HF16" i="112"/>
  <c r="HF27" i="112" s="1"/>
  <c r="EH14" i="112"/>
  <c r="FS25" i="112"/>
  <c r="HD25" i="112"/>
  <c r="DZ65" i="51"/>
  <c r="DZ74" i="51" s="1"/>
  <c r="HC14" i="51"/>
  <c r="DZ23" i="51"/>
  <c r="EA34" i="51"/>
  <c r="FS14" i="51"/>
  <c r="DZ34" i="51"/>
  <c r="HB23" i="51"/>
  <c r="ED14" i="51"/>
  <c r="EE36" i="112"/>
  <c r="ED25" i="112"/>
  <c r="FT14" i="112"/>
  <c r="HE14" i="112"/>
  <c r="ED36" i="112"/>
  <c r="ED101" i="113"/>
  <c r="AH25" i="116"/>
  <c r="T25" i="116"/>
  <c r="U25" i="116" s="1"/>
  <c r="AH57" i="116"/>
  <c r="HB101" i="113"/>
  <c r="HB108" i="113" s="1"/>
  <c r="FS101" i="113"/>
  <c r="FS108" i="113" s="1"/>
  <c r="FR74" i="51" l="1"/>
  <c r="HE25" i="112"/>
  <c r="FS23" i="51"/>
  <c r="FS65" i="51"/>
  <c r="FS74" i="51" s="1"/>
  <c r="FT25" i="112"/>
  <c r="HC101" i="113"/>
  <c r="HC108" i="113" s="1"/>
  <c r="FT101" i="113"/>
  <c r="FT108" i="113" s="1"/>
  <c r="ED65" i="51"/>
  <c r="ED74" i="51" s="1"/>
  <c r="FT14" i="51"/>
  <c r="EE34" i="51"/>
  <c r="HD14" i="51"/>
  <c r="ED34" i="51"/>
  <c r="ED23" i="51"/>
  <c r="HC23" i="51"/>
  <c r="EH101" i="113"/>
  <c r="EH36" i="112"/>
  <c r="EH25" i="112"/>
  <c r="HF14" i="112"/>
  <c r="FU14" i="112"/>
  <c r="EI36" i="112"/>
  <c r="EH14" i="51"/>
  <c r="AI25" i="116"/>
  <c r="X25" i="116"/>
  <c r="Y25" i="116" s="1"/>
  <c r="AI57" i="116"/>
  <c r="HD101" i="113" l="1"/>
  <c r="HD108" i="113" s="1"/>
  <c r="FU101" i="113"/>
  <c r="FU108" i="113" s="1"/>
  <c r="FT23" i="51"/>
  <c r="FT65" i="51"/>
  <c r="FT74" i="51" s="1"/>
  <c r="FU25" i="112"/>
  <c r="EI34" i="51"/>
  <c r="EH23" i="51"/>
  <c r="HE14" i="51"/>
  <c r="EH65" i="51"/>
  <c r="EH74" i="51" s="1"/>
  <c r="FU14" i="51"/>
  <c r="EH34" i="51"/>
  <c r="HF25" i="112"/>
  <c r="HD23" i="51"/>
  <c r="FU65" i="51" l="1"/>
  <c r="FU74" i="51" s="1"/>
  <c r="FU23" i="51"/>
  <c r="HE23" i="51"/>
  <c r="DR152" i="112"/>
  <c r="DO178" i="112"/>
  <c r="DN178" i="112"/>
  <c r="DN171" i="112"/>
  <c r="DN164" i="112"/>
  <c r="DO171" i="112"/>
  <c r="DV152" i="112" l="1"/>
  <c r="DN188" i="112"/>
  <c r="DS171" i="112"/>
  <c r="DR12" i="112"/>
  <c r="DS178" i="112"/>
  <c r="DR171" i="112"/>
  <c r="DR178" i="112"/>
  <c r="DV171" i="112" l="1"/>
  <c r="DZ152" i="112"/>
  <c r="DW178" i="112"/>
  <c r="DV178" i="112"/>
  <c r="DW171" i="112"/>
  <c r="DV12" i="112"/>
  <c r="HB12" i="112"/>
  <c r="DR19" i="112"/>
  <c r="DR100" i="113"/>
  <c r="DS34" i="112"/>
  <c r="DR34" i="112"/>
  <c r="DR12" i="51"/>
  <c r="DR23" i="112"/>
  <c r="DZ12" i="112" l="1"/>
  <c r="DZ178" i="112"/>
  <c r="DZ171" i="112"/>
  <c r="EA171" i="112"/>
  <c r="EA178" i="112"/>
  <c r="ED152" i="112"/>
  <c r="DV19" i="112"/>
  <c r="DV30" i="112" s="1"/>
  <c r="DW34" i="112"/>
  <c r="DV100" i="113"/>
  <c r="DV12" i="51"/>
  <c r="DV34" i="112"/>
  <c r="DV23" i="112"/>
  <c r="HB23" i="112"/>
  <c r="DS41" i="112"/>
  <c r="DR30" i="112"/>
  <c r="HA12" i="51"/>
  <c r="DR32" i="51"/>
  <c r="FN119" i="51" s="1"/>
  <c r="DR21" i="51"/>
  <c r="DR64" i="51"/>
  <c r="DR73" i="51" s="1"/>
  <c r="DR15" i="51"/>
  <c r="DS32" i="51"/>
  <c r="FO119" i="51" s="1"/>
  <c r="DR102" i="113"/>
  <c r="GZ100" i="113"/>
  <c r="GZ107" i="113" s="1"/>
  <c r="DZ34" i="112" l="1"/>
  <c r="DZ12" i="51"/>
  <c r="DZ23" i="112"/>
  <c r="DZ19" i="112"/>
  <c r="DZ100" i="113"/>
  <c r="EA34" i="112"/>
  <c r="EE178" i="112"/>
  <c r="EE171" i="112"/>
  <c r="ED171" i="112"/>
  <c r="ED12" i="112"/>
  <c r="EH152" i="112"/>
  <c r="ED178" i="112"/>
  <c r="DW41" i="112"/>
  <c r="DV32" i="51"/>
  <c r="DV15" i="51"/>
  <c r="DV64" i="51"/>
  <c r="DV73" i="51" s="1"/>
  <c r="DW32" i="51"/>
  <c r="DV102" i="113"/>
  <c r="DV21" i="51"/>
  <c r="HA21" i="51"/>
  <c r="DR24" i="51"/>
  <c r="DR66" i="51"/>
  <c r="DR75" i="51" s="1"/>
  <c r="DS35" i="51"/>
  <c r="DR109" i="113"/>
  <c r="DR15" i="113"/>
  <c r="DZ32" i="51" l="1"/>
  <c r="EA32" i="51"/>
  <c r="DZ21" i="51"/>
  <c r="DZ15" i="51"/>
  <c r="DZ66" i="51" s="1"/>
  <c r="DZ64" i="51"/>
  <c r="DZ73" i="51" s="1"/>
  <c r="DZ30" i="112"/>
  <c r="EA41" i="112"/>
  <c r="DZ102" i="113"/>
  <c r="DZ15" i="113" s="1"/>
  <c r="ED12" i="51"/>
  <c r="DV24" i="51"/>
  <c r="EI171" i="112"/>
  <c r="EH178" i="112"/>
  <c r="EI178" i="112"/>
  <c r="ED23" i="112"/>
  <c r="ED34" i="112"/>
  <c r="EE34" i="112"/>
  <c r="EH171" i="112"/>
  <c r="ED19" i="112"/>
  <c r="EE41" i="112" s="1"/>
  <c r="ED100" i="113"/>
  <c r="ED102" i="113" s="1"/>
  <c r="EH12" i="112"/>
  <c r="DW35" i="51"/>
  <c r="DV66" i="51"/>
  <c r="DV75" i="51" s="1"/>
  <c r="DV15" i="113"/>
  <c r="DV109" i="113"/>
  <c r="DS56" i="113"/>
  <c r="DR41" i="113"/>
  <c r="DR28" i="113"/>
  <c r="DZ24" i="51" l="1"/>
  <c r="EA35" i="51"/>
  <c r="DZ109" i="113"/>
  <c r="ED21" i="51"/>
  <c r="ED64" i="51"/>
  <c r="ED73" i="51" s="1"/>
  <c r="EE32" i="51"/>
  <c r="ED32" i="51"/>
  <c r="ED15" i="51"/>
  <c r="DV41" i="113"/>
  <c r="DV28" i="113"/>
  <c r="ED30" i="112"/>
  <c r="EH100" i="113"/>
  <c r="EH102" i="113" s="1"/>
  <c r="EH34" i="112"/>
  <c r="EH19" i="112"/>
  <c r="EI34" i="112"/>
  <c r="EH23" i="112"/>
  <c r="EH12" i="51"/>
  <c r="DZ75" i="51"/>
  <c r="DW56" i="113"/>
  <c r="ED15" i="113"/>
  <c r="ED109" i="113"/>
  <c r="EA56" i="113"/>
  <c r="DZ28" i="113"/>
  <c r="DZ41" i="113"/>
  <c r="EE35" i="51" l="1"/>
  <c r="ED66" i="51"/>
  <c r="ED75" i="51" s="1"/>
  <c r="ED24" i="51"/>
  <c r="EH21" i="51"/>
  <c r="EH64" i="51"/>
  <c r="EH73" i="51" s="1"/>
  <c r="EH15" i="51"/>
  <c r="EI41" i="112"/>
  <c r="EH30" i="112"/>
  <c r="EH32" i="51"/>
  <c r="EI32" i="51"/>
  <c r="ED28" i="113"/>
  <c r="EE56" i="113"/>
  <c r="ED41" i="113"/>
  <c r="EH109" i="113"/>
  <c r="EH15" i="113"/>
  <c r="EH66" i="51" l="1"/>
  <c r="EH75" i="51" s="1"/>
  <c r="EH24" i="51"/>
  <c r="EI35" i="51"/>
  <c r="EI56" i="113"/>
  <c r="EH41" i="113"/>
  <c r="EH28" i="113"/>
  <c r="DR18" i="113" l="1"/>
  <c r="FP18" i="113"/>
  <c r="GY18" i="113"/>
  <c r="GY31" i="113" s="1"/>
  <c r="DO59" i="113"/>
  <c r="DN59" i="113"/>
  <c r="DN31" i="113"/>
  <c r="DN44" i="113"/>
  <c r="DN20" i="113"/>
  <c r="FP44" i="113" l="1"/>
  <c r="DR20" i="113"/>
  <c r="FQ18" i="113"/>
  <c r="GY44" i="113"/>
  <c r="GZ18" i="113"/>
  <c r="GZ44" i="113" s="1"/>
  <c r="DN46" i="113"/>
  <c r="GY20" i="113"/>
  <c r="GY33" i="113" s="1"/>
  <c r="DN61" i="113"/>
  <c r="FP31" i="113"/>
  <c r="DV18" i="113"/>
  <c r="DN33" i="113"/>
  <c r="DR33" i="113" l="1"/>
  <c r="FQ31" i="113"/>
  <c r="FQ44" i="113"/>
  <c r="DV20" i="113"/>
  <c r="DR61" i="113"/>
  <c r="GZ31" i="113"/>
  <c r="GY46" i="113"/>
  <c r="FR18" i="113"/>
  <c r="DZ18" i="113"/>
  <c r="HA18" i="113"/>
  <c r="DZ20" i="113" l="1"/>
  <c r="DV33" i="113"/>
  <c r="DV61" i="113"/>
  <c r="FR31" i="113"/>
  <c r="FR44" i="113"/>
  <c r="HA31" i="113"/>
  <c r="HA44" i="113"/>
  <c r="FS18" i="113"/>
  <c r="HB18" i="113"/>
  <c r="ED18" i="113"/>
  <c r="DZ33" i="113" l="1"/>
  <c r="DZ61" i="113"/>
  <c r="ED20" i="113"/>
  <c r="HC18" i="113"/>
  <c r="FT18" i="113"/>
  <c r="EH18" i="113"/>
  <c r="HB44" i="113"/>
  <c r="HB31" i="113"/>
  <c r="FS31" i="113"/>
  <c r="FS44" i="113"/>
  <c r="ED33" i="113" l="1"/>
  <c r="ED61" i="113"/>
  <c r="EH20" i="113"/>
  <c r="HD18" i="113"/>
  <c r="FU18" i="113"/>
  <c r="FT44" i="113"/>
  <c r="FT31" i="113"/>
  <c r="HC44" i="113"/>
  <c r="HC31" i="113"/>
  <c r="EH61" i="113" l="1"/>
  <c r="EH33" i="113"/>
  <c r="HD31" i="113"/>
  <c r="HD44" i="113"/>
  <c r="FU44" i="113"/>
  <c r="FU31" i="113"/>
  <c r="DP48" i="113" l="1"/>
  <c r="DP184" i="112" s="1"/>
  <c r="DP191" i="112" l="1"/>
  <c r="DP190" i="112"/>
  <c r="DP189" i="112"/>
  <c r="DP188" i="112"/>
  <c r="DT142" i="112"/>
  <c r="DX143" i="112" l="1"/>
  <c r="DT61" i="112"/>
  <c r="DT70" i="112" l="1"/>
  <c r="EB144" i="112"/>
  <c r="DX62" i="112"/>
  <c r="DP33" i="112" l="1"/>
  <c r="DP98" i="113"/>
  <c r="DP22" i="112"/>
  <c r="DX70" i="112"/>
  <c r="EF145" i="112"/>
  <c r="EB63" i="112"/>
  <c r="DT11" i="112"/>
  <c r="C22" i="115" l="1"/>
  <c r="DT151" i="112"/>
  <c r="DT11" i="51"/>
  <c r="DT98" i="113"/>
  <c r="DT22" i="112"/>
  <c r="DT33" i="112"/>
  <c r="EB70" i="112"/>
  <c r="EJ146" i="112"/>
  <c r="EJ65" i="112" s="1"/>
  <c r="EF64" i="112"/>
  <c r="DX11" i="112"/>
  <c r="DP30" i="112"/>
  <c r="DP41" i="112"/>
  <c r="DP102" i="113"/>
  <c r="DP31" i="51"/>
  <c r="FP101" i="51" s="1"/>
  <c r="DP62" i="51"/>
  <c r="DP71" i="51" s="1"/>
  <c r="DP20" i="51"/>
  <c r="DP177" i="112"/>
  <c r="DP170" i="112"/>
  <c r="C26" i="115" l="1"/>
  <c r="E22" i="115"/>
  <c r="F22" i="115" s="1"/>
  <c r="H22" i="115"/>
  <c r="K20" i="115"/>
  <c r="K66" i="115"/>
  <c r="C56" i="115"/>
  <c r="DP187" i="112"/>
  <c r="Q14" i="118"/>
  <c r="DP66" i="51"/>
  <c r="DP75" i="51" s="1"/>
  <c r="DP24" i="51"/>
  <c r="DP35" i="51"/>
  <c r="DP109" i="113"/>
  <c r="DP15" i="113"/>
  <c r="DP41" i="113" s="1"/>
  <c r="DX11" i="51"/>
  <c r="DX151" i="112"/>
  <c r="DX98" i="113"/>
  <c r="DX33" i="112"/>
  <c r="DX22" i="112"/>
  <c r="EF70" i="112"/>
  <c r="EJ70" i="112"/>
  <c r="EB11" i="112"/>
  <c r="DT31" i="51"/>
  <c r="FP102" i="51" s="1"/>
  <c r="DT20" i="51"/>
  <c r="DT62" i="51"/>
  <c r="DT71" i="51" s="1"/>
  <c r="DT163" i="112"/>
  <c r="DT177" i="112"/>
  <c r="DT170" i="112"/>
  <c r="C30" i="115" l="1"/>
  <c r="E30" i="115" s="1"/>
  <c r="F30" i="115" s="1"/>
  <c r="W66" i="115"/>
  <c r="N66" i="115"/>
  <c r="S66" i="115"/>
  <c r="T66" i="115"/>
  <c r="O66" i="115"/>
  <c r="W20" i="115"/>
  <c r="N20" i="115"/>
  <c r="S20" i="115"/>
  <c r="T20" i="115"/>
  <c r="L20" i="115"/>
  <c r="O20" i="115"/>
  <c r="H26" i="115"/>
  <c r="K49" i="115"/>
  <c r="K70" i="115"/>
  <c r="K24" i="115"/>
  <c r="E26" i="115"/>
  <c r="F26" i="115" s="1"/>
  <c r="K80" i="115"/>
  <c r="E56" i="115"/>
  <c r="F56" i="115" s="1"/>
  <c r="H56" i="115"/>
  <c r="EB11" i="51"/>
  <c r="EB151" i="112"/>
  <c r="EB98" i="113"/>
  <c r="EB22" i="112"/>
  <c r="EB33" i="112"/>
  <c r="EJ11" i="112"/>
  <c r="EF11" i="112"/>
  <c r="DX170" i="112"/>
  <c r="DX177" i="112"/>
  <c r="DX163" i="112"/>
  <c r="DX31" i="51"/>
  <c r="DX20" i="51"/>
  <c r="DX62" i="51"/>
  <c r="DX71" i="51" s="1"/>
  <c r="DP28" i="113"/>
  <c r="DP56" i="113"/>
  <c r="C34" i="115" l="1"/>
  <c r="H34" i="115" s="1"/>
  <c r="K28" i="115"/>
  <c r="N28" i="115" s="1"/>
  <c r="K52" i="115"/>
  <c r="S52" i="115" s="1"/>
  <c r="H30" i="115"/>
  <c r="W80" i="115"/>
  <c r="S80" i="115"/>
  <c r="O80" i="115"/>
  <c r="N80" i="115"/>
  <c r="T80" i="115"/>
  <c r="N24" i="115"/>
  <c r="S24" i="115"/>
  <c r="T24" i="115"/>
  <c r="O24" i="115"/>
  <c r="L24" i="115"/>
  <c r="W24" i="115"/>
  <c r="W70" i="115"/>
  <c r="N70" i="115"/>
  <c r="S70" i="115"/>
  <c r="O70" i="115"/>
  <c r="T70" i="115"/>
  <c r="N49" i="115"/>
  <c r="T49" i="115"/>
  <c r="O49" i="115"/>
  <c r="S49" i="115"/>
  <c r="W49" i="115"/>
  <c r="DX187" i="112"/>
  <c r="DP34" i="113"/>
  <c r="DP49" i="113"/>
  <c r="EF11" i="51"/>
  <c r="EF151" i="112"/>
  <c r="EF98" i="113"/>
  <c r="EF22" i="112"/>
  <c r="EF33" i="112"/>
  <c r="EJ98" i="113"/>
  <c r="EJ33" i="112"/>
  <c r="EJ151" i="112"/>
  <c r="EJ22" i="112"/>
  <c r="EJ11" i="51"/>
  <c r="EB163" i="112"/>
  <c r="EB170" i="112"/>
  <c r="EB177" i="112"/>
  <c r="EB20" i="51"/>
  <c r="EB31" i="51"/>
  <c r="EB62" i="51"/>
  <c r="EB71" i="51" s="1"/>
  <c r="F34" i="115" l="1"/>
  <c r="K32" i="115"/>
  <c r="W32" i="115" s="1"/>
  <c r="O52" i="115"/>
  <c r="W28" i="115"/>
  <c r="L28" i="115"/>
  <c r="O28" i="115"/>
  <c r="S28" i="115"/>
  <c r="T28" i="115"/>
  <c r="N52" i="115"/>
  <c r="T52" i="115"/>
  <c r="W52" i="115"/>
  <c r="EB187" i="112"/>
  <c r="EJ31" i="51"/>
  <c r="EJ20" i="51"/>
  <c r="EJ62" i="51"/>
  <c r="EJ163" i="112"/>
  <c r="EJ177" i="112"/>
  <c r="EJ170" i="112"/>
  <c r="EF163" i="112"/>
  <c r="EF177" i="112"/>
  <c r="EF170" i="112"/>
  <c r="EF20" i="51"/>
  <c r="EF31" i="51"/>
  <c r="EF62" i="51"/>
  <c r="EF71" i="51" s="1"/>
  <c r="DP67" i="51"/>
  <c r="DP76" i="51" s="1"/>
  <c r="DP25" i="51"/>
  <c r="S32" i="115" l="1"/>
  <c r="L32" i="115"/>
  <c r="N32" i="115"/>
  <c r="EJ187" i="112"/>
  <c r="EF187" i="112"/>
  <c r="DP45" i="51"/>
  <c r="EJ71" i="51"/>
  <c r="DP40" i="51"/>
  <c r="DP44" i="51"/>
  <c r="DP42" i="51"/>
  <c r="DP68" i="51"/>
  <c r="DP77" i="51" s="1"/>
  <c r="DP46" i="51"/>
  <c r="DP26" i="51"/>
  <c r="DP28" i="51" s="1"/>
  <c r="DP41" i="51"/>
  <c r="DP43" i="51"/>
  <c r="C4" i="115" l="1"/>
  <c r="CV94" i="6"/>
  <c r="CV86" i="6"/>
  <c r="CV85" i="6"/>
  <c r="EJ176" i="119" s="1"/>
  <c r="CV17" i="6"/>
  <c r="CV82" i="6"/>
  <c r="DP63" i="1"/>
  <c r="DP65" i="1"/>
  <c r="DP64" i="1"/>
  <c r="EJ11" i="119"/>
  <c r="EJ270" i="119" s="1"/>
  <c r="DP39" i="1"/>
  <c r="DP60" i="1"/>
  <c r="DP96" i="1"/>
  <c r="C5" i="115" l="1"/>
  <c r="DP97" i="1"/>
  <c r="EJ12" i="119"/>
  <c r="EJ14" i="119"/>
  <c r="DP61" i="1"/>
  <c r="DP40" i="1"/>
  <c r="EJ18" i="119"/>
  <c r="EJ169" i="119"/>
  <c r="EJ163" i="119"/>
  <c r="EJ42" i="119"/>
  <c r="C6" i="115" l="1"/>
  <c r="DP62" i="1"/>
  <c r="DP59" i="51" s="1"/>
  <c r="DP41" i="1"/>
  <c r="DP98" i="1"/>
  <c r="EJ167" i="119"/>
  <c r="CV83" i="6"/>
  <c r="CV32" i="6"/>
  <c r="CV30" i="6"/>
  <c r="CV81" i="6"/>
  <c r="CV29" i="6"/>
  <c r="CV80" i="6"/>
  <c r="EJ43" i="119"/>
  <c r="EJ56" i="119"/>
  <c r="EJ164" i="119" l="1"/>
  <c r="C10" i="115"/>
  <c r="DP102" i="1"/>
  <c r="DP66" i="1"/>
  <c r="DP45" i="1"/>
  <c r="EJ23" i="119"/>
  <c r="EJ268" i="119" s="1"/>
  <c r="CV38" i="6"/>
  <c r="EJ129" i="119"/>
  <c r="EJ135" i="119"/>
  <c r="CV50" i="6"/>
  <c r="CV51" i="6"/>
  <c r="CV53" i="6"/>
  <c r="CV84" i="6"/>
  <c r="CV33" i="6"/>
  <c r="CV35" i="6" s="1"/>
  <c r="EJ141" i="119"/>
  <c r="EJ149" i="119"/>
  <c r="EJ151" i="119"/>
  <c r="EJ146" i="119"/>
  <c r="EJ140" i="119"/>
  <c r="EJ154" i="119"/>
  <c r="EJ145" i="119"/>
  <c r="EJ142" i="119"/>
  <c r="EJ147" i="119"/>
  <c r="EJ148" i="119"/>
  <c r="EJ153" i="119"/>
  <c r="EJ143" i="119"/>
  <c r="EJ150" i="119"/>
  <c r="EJ138" i="119"/>
  <c r="EJ144" i="119"/>
  <c r="EJ139" i="119"/>
  <c r="CV37" i="6" l="1"/>
  <c r="CV95" i="6" s="1"/>
  <c r="CV96" i="6"/>
  <c r="CV59" i="6"/>
  <c r="CV56" i="6"/>
  <c r="EJ128" i="119"/>
  <c r="EJ152" i="119"/>
  <c r="CV93" i="6"/>
  <c r="EJ165" i="119"/>
  <c r="EJ170" i="119"/>
  <c r="EJ174" i="119"/>
  <c r="EJ166" i="119"/>
  <c r="CV54" i="6"/>
  <c r="CV39" i="6" l="1"/>
  <c r="CV58" i="6"/>
  <c r="EJ173" i="119"/>
  <c r="DO85" i="113" l="1"/>
  <c r="DO86" i="113" s="1"/>
  <c r="DP86" i="113" s="1"/>
  <c r="DQ86" i="113" s="1"/>
  <c r="DR86" i="113" s="1"/>
  <c r="DS77" i="113"/>
  <c r="DS79" i="113" s="1"/>
  <c r="DO75" i="113"/>
  <c r="GZ75" i="113" s="1"/>
  <c r="GZ77" i="113"/>
  <c r="GZ78" i="113" s="1"/>
  <c r="FP77" i="113"/>
  <c r="FP78" i="113" s="1"/>
  <c r="DO79" i="113"/>
  <c r="DO78" i="113"/>
  <c r="DO80" i="113"/>
  <c r="GZ76" i="113" l="1"/>
  <c r="FP85" i="113"/>
  <c r="FP86" i="113" s="1"/>
  <c r="DT79" i="113"/>
  <c r="DS75" i="113"/>
  <c r="FQ77" i="113"/>
  <c r="FQ78" i="113" s="1"/>
  <c r="GZ85" i="113"/>
  <c r="GZ86" i="113" s="1"/>
  <c r="HA77" i="113"/>
  <c r="HA78" i="113" s="1"/>
  <c r="FP75" i="113"/>
  <c r="FP76" i="113" s="1"/>
  <c r="DO11" i="113"/>
  <c r="DS80" i="113"/>
  <c r="DW77" i="113"/>
  <c r="DW79" i="113" s="1"/>
  <c r="DS85" i="113"/>
  <c r="DO37" i="113" l="1"/>
  <c r="DO20" i="113"/>
  <c r="FP11" i="113"/>
  <c r="DO52" i="113"/>
  <c r="DP52" i="113"/>
  <c r="DW85" i="113"/>
  <c r="FR85" i="113" s="1"/>
  <c r="DX79" i="113"/>
  <c r="HA75" i="113"/>
  <c r="HA76" i="113" s="1"/>
  <c r="FQ75" i="113"/>
  <c r="FQ76" i="113" s="1"/>
  <c r="DS11" i="113"/>
  <c r="EA77" i="113"/>
  <c r="EA80" i="113" s="1"/>
  <c r="FR77" i="113"/>
  <c r="FR78" i="113" s="1"/>
  <c r="GZ11" i="113"/>
  <c r="DO24" i="113"/>
  <c r="HA85" i="113"/>
  <c r="HA86" i="113" s="1"/>
  <c r="FQ85" i="113"/>
  <c r="FQ86" i="113" s="1"/>
  <c r="DS86" i="113"/>
  <c r="DT86" i="113" s="1"/>
  <c r="DU86" i="113" s="1"/>
  <c r="DV86" i="113" s="1"/>
  <c r="DW75" i="113"/>
  <c r="HB77" i="113"/>
  <c r="HB78" i="113" s="1"/>
  <c r="DW80" i="113"/>
  <c r="DW86" i="113" l="1"/>
  <c r="DX86" i="113" s="1"/>
  <c r="DY86" i="113" s="1"/>
  <c r="DZ86" i="113" s="1"/>
  <c r="DO46" i="113"/>
  <c r="DO33" i="113"/>
  <c r="DS20" i="113"/>
  <c r="DO61" i="113"/>
  <c r="FS77" i="113"/>
  <c r="FS78" i="113" s="1"/>
  <c r="EB79" i="113"/>
  <c r="FP24" i="113"/>
  <c r="FP37" i="113"/>
  <c r="HB85" i="113"/>
  <c r="HB86" i="113" s="1"/>
  <c r="EE77" i="113"/>
  <c r="EE85" i="113" s="1"/>
  <c r="HC77" i="113"/>
  <c r="HC78" i="113" s="1"/>
  <c r="EA85" i="113"/>
  <c r="EA86" i="113" s="1"/>
  <c r="EB86" i="113" s="1"/>
  <c r="EC86" i="113" s="1"/>
  <c r="ED86" i="113" s="1"/>
  <c r="EA75" i="113"/>
  <c r="FS75" i="113" s="1"/>
  <c r="FR86" i="113"/>
  <c r="EA79" i="113"/>
  <c r="FQ11" i="113"/>
  <c r="DS37" i="113"/>
  <c r="HA11" i="113"/>
  <c r="DS52" i="113"/>
  <c r="DT52" i="113"/>
  <c r="DS24" i="113"/>
  <c r="DO49" i="113"/>
  <c r="DP62" i="113"/>
  <c r="DO62" i="113"/>
  <c r="DO67" i="113"/>
  <c r="DO34" i="113"/>
  <c r="GZ24" i="113"/>
  <c r="GZ37" i="113"/>
  <c r="DW11" i="113"/>
  <c r="HB75" i="113"/>
  <c r="HB76" i="113" s="1"/>
  <c r="FR75" i="113"/>
  <c r="FR76" i="113" s="1"/>
  <c r="DW20" i="113" l="1"/>
  <c r="DS33" i="113"/>
  <c r="DS61" i="113"/>
  <c r="FS76" i="113"/>
  <c r="EI77" i="113"/>
  <c r="FU77" i="113" s="1"/>
  <c r="EE75" i="113"/>
  <c r="FT75" i="113" s="1"/>
  <c r="HD77" i="113"/>
  <c r="HD78" i="113" s="1"/>
  <c r="EF79" i="113"/>
  <c r="EE79" i="113"/>
  <c r="FT77" i="113"/>
  <c r="FT78" i="113" s="1"/>
  <c r="FS85" i="113"/>
  <c r="FS86" i="113" s="1"/>
  <c r="HC85" i="113"/>
  <c r="HC86" i="113" s="1"/>
  <c r="EE80" i="113"/>
  <c r="HC75" i="113"/>
  <c r="HC76" i="113" s="1"/>
  <c r="EA11" i="113"/>
  <c r="HA37" i="113"/>
  <c r="HA24" i="113"/>
  <c r="DO25" i="51"/>
  <c r="DP36" i="51"/>
  <c r="FP136" i="51" s="1"/>
  <c r="DO36" i="51"/>
  <c r="FO136" i="51" s="1"/>
  <c r="C27" i="115"/>
  <c r="DO67" i="51"/>
  <c r="DO76" i="51" s="1"/>
  <c r="FQ37" i="113"/>
  <c r="FQ24" i="113"/>
  <c r="HB11" i="113"/>
  <c r="DW37" i="113"/>
  <c r="DW24" i="113"/>
  <c r="DW52" i="113"/>
  <c r="FR11" i="113"/>
  <c r="DX52" i="113"/>
  <c r="HD85" i="113"/>
  <c r="FT85" i="113"/>
  <c r="EE86" i="113"/>
  <c r="EF86" i="113" s="1"/>
  <c r="EG86" i="113" s="1"/>
  <c r="EH86" i="113" s="1"/>
  <c r="EI79" i="113" l="1"/>
  <c r="EI75" i="113"/>
  <c r="EA37" i="113"/>
  <c r="EI85" i="113"/>
  <c r="FU85" i="113" s="1"/>
  <c r="HD75" i="113"/>
  <c r="HD76" i="113" s="1"/>
  <c r="EE11" i="113"/>
  <c r="EI80" i="113"/>
  <c r="EJ79" i="113"/>
  <c r="EB52" i="113"/>
  <c r="HC11" i="113"/>
  <c r="HC37" i="113" s="1"/>
  <c r="DW33" i="113"/>
  <c r="EA20" i="113"/>
  <c r="DW61" i="113"/>
  <c r="FT76" i="113"/>
  <c r="FU78" i="113"/>
  <c r="EA52" i="113"/>
  <c r="FT86" i="113"/>
  <c r="FS11" i="113"/>
  <c r="FS37" i="113" s="1"/>
  <c r="HD86" i="113"/>
  <c r="EA24" i="113"/>
  <c r="DO42" i="51"/>
  <c r="DO44" i="51"/>
  <c r="C28" i="115"/>
  <c r="DO26" i="51"/>
  <c r="DO28" i="51" s="1"/>
  <c r="DP37" i="51"/>
  <c r="DO41" i="51"/>
  <c r="DO40" i="51"/>
  <c r="DO43" i="51"/>
  <c r="DO37" i="51"/>
  <c r="DO68" i="51"/>
  <c r="DO77" i="51" s="1"/>
  <c r="DO46" i="51"/>
  <c r="C31" i="115"/>
  <c r="DO45" i="51"/>
  <c r="H27" i="115"/>
  <c r="K50" i="115"/>
  <c r="K25" i="115"/>
  <c r="E27" i="115"/>
  <c r="F27" i="115" s="1"/>
  <c r="FR37" i="113"/>
  <c r="FR24" i="113"/>
  <c r="HB24" i="113"/>
  <c r="HB37" i="113"/>
  <c r="FU75" i="113"/>
  <c r="FU76" i="113" s="1"/>
  <c r="EI11" i="113"/>
  <c r="EE37" i="113" l="1"/>
  <c r="EI86" i="113"/>
  <c r="EJ86" i="113" s="1"/>
  <c r="EK86" i="113" s="1"/>
  <c r="HD11" i="113"/>
  <c r="EE52" i="113"/>
  <c r="EF52" i="113"/>
  <c r="HC24" i="113"/>
  <c r="EE24" i="113"/>
  <c r="FU86" i="113"/>
  <c r="FT11" i="113"/>
  <c r="FT24" i="113" s="1"/>
  <c r="EE20" i="113"/>
  <c r="EA33" i="113"/>
  <c r="EA61" i="113"/>
  <c r="FS24" i="113"/>
  <c r="C32" i="115"/>
  <c r="L25" i="115"/>
  <c r="T25" i="115"/>
  <c r="W25" i="115"/>
  <c r="O25" i="115"/>
  <c r="N25" i="115"/>
  <c r="S25" i="115"/>
  <c r="C35" i="115"/>
  <c r="H31" i="115"/>
  <c r="K29" i="115"/>
  <c r="K53" i="115"/>
  <c r="E31" i="115"/>
  <c r="F31" i="115" s="1"/>
  <c r="CU86" i="6"/>
  <c r="CU85" i="6"/>
  <c r="EI176" i="119" s="1"/>
  <c r="CV67" i="6"/>
  <c r="CU49" i="6"/>
  <c r="CU94" i="6"/>
  <c r="CU67" i="6"/>
  <c r="CU82" i="6"/>
  <c r="H28" i="115"/>
  <c r="E28" i="115"/>
  <c r="F28" i="115" s="1"/>
  <c r="K51" i="115"/>
  <c r="K26" i="115"/>
  <c r="W50" i="115"/>
  <c r="O50" i="115"/>
  <c r="T50" i="115"/>
  <c r="S50" i="115"/>
  <c r="N50" i="115"/>
  <c r="DO60" i="1"/>
  <c r="DO75" i="1"/>
  <c r="DO67" i="1"/>
  <c r="DO65" i="1"/>
  <c r="DO117" i="1"/>
  <c r="DO96" i="1"/>
  <c r="DO64" i="1"/>
  <c r="DO39" i="1"/>
  <c r="EI11" i="119"/>
  <c r="EI270" i="119" s="1"/>
  <c r="DO63" i="1"/>
  <c r="DP75" i="1"/>
  <c r="HD24" i="113"/>
  <c r="HD37" i="113"/>
  <c r="EJ52" i="113"/>
  <c r="EI24" i="113"/>
  <c r="FU11" i="113"/>
  <c r="EI37" i="113"/>
  <c r="EI52" i="113"/>
  <c r="FT37" i="113" l="1"/>
  <c r="EI20" i="113"/>
  <c r="EE33" i="113"/>
  <c r="EE61" i="113"/>
  <c r="S51" i="115"/>
  <c r="N51" i="115"/>
  <c r="O51" i="115"/>
  <c r="T51" i="115"/>
  <c r="W51" i="115"/>
  <c r="C36" i="115"/>
  <c r="E32" i="115"/>
  <c r="F32" i="115" s="1"/>
  <c r="H32" i="115"/>
  <c r="K30" i="115"/>
  <c r="K54" i="115"/>
  <c r="E4" i="115"/>
  <c r="F4" i="115" s="1"/>
  <c r="H4" i="115"/>
  <c r="K8" i="115"/>
  <c r="N53" i="115"/>
  <c r="S53" i="115"/>
  <c r="T53" i="115"/>
  <c r="O53" i="115"/>
  <c r="W53" i="115"/>
  <c r="EI42" i="119"/>
  <c r="L29" i="115"/>
  <c r="S29" i="115"/>
  <c r="T29" i="115"/>
  <c r="N29" i="115"/>
  <c r="W29" i="115"/>
  <c r="O29" i="115"/>
  <c r="EI163" i="119"/>
  <c r="EI169" i="119"/>
  <c r="F35" i="115"/>
  <c r="K33" i="115"/>
  <c r="H35" i="115"/>
  <c r="W26" i="115"/>
  <c r="L26" i="115"/>
  <c r="T26" i="115"/>
  <c r="K43" i="115"/>
  <c r="N26" i="115"/>
  <c r="O26" i="115"/>
  <c r="S26" i="115"/>
  <c r="FU37" i="113"/>
  <c r="FU24" i="113"/>
  <c r="EI33" i="113" l="1"/>
  <c r="EI61" i="113"/>
  <c r="EI167" i="119"/>
  <c r="W8" i="115"/>
  <c r="L8" i="115"/>
  <c r="T8" i="115"/>
  <c r="O8" i="115"/>
  <c r="N8" i="115"/>
  <c r="S8" i="115"/>
  <c r="K34" i="115"/>
  <c r="H36" i="115"/>
  <c r="F36" i="115"/>
  <c r="W43" i="115"/>
  <c r="O43" i="115"/>
  <c r="S43" i="115"/>
  <c r="N43" i="115"/>
  <c r="T43" i="115"/>
  <c r="L43" i="115"/>
  <c r="EI14" i="119"/>
  <c r="DO76" i="1"/>
  <c r="DO61" i="1"/>
  <c r="DO118" i="1"/>
  <c r="DP76" i="1"/>
  <c r="EI18" i="119"/>
  <c r="EI19" i="119" s="1"/>
  <c r="DO97" i="1"/>
  <c r="EI12" i="119"/>
  <c r="DO40" i="1"/>
  <c r="CU63" i="6"/>
  <c r="CV63" i="6"/>
  <c r="CU81" i="6"/>
  <c r="C41" i="115"/>
  <c r="W33" i="115"/>
  <c r="N33" i="115"/>
  <c r="S33" i="115"/>
  <c r="L33" i="115"/>
  <c r="N54" i="115"/>
  <c r="S54" i="115"/>
  <c r="W54" i="115"/>
  <c r="T54" i="115"/>
  <c r="O54" i="115"/>
  <c r="CU62" i="6"/>
  <c r="C40" i="115"/>
  <c r="CV62" i="6"/>
  <c r="CU80" i="6"/>
  <c r="T30" i="115"/>
  <c r="L30" i="115"/>
  <c r="S30" i="115"/>
  <c r="O30" i="115"/>
  <c r="W30" i="115"/>
  <c r="N30" i="115"/>
  <c r="C43" i="115"/>
  <c r="CU83" i="6"/>
  <c r="CU65" i="6"/>
  <c r="CV65" i="6"/>
  <c r="EI164" i="119" l="1"/>
  <c r="CU69" i="6"/>
  <c r="CV69" i="6"/>
  <c r="CU51" i="6"/>
  <c r="EI56" i="119"/>
  <c r="CU53" i="6"/>
  <c r="CV71" i="6"/>
  <c r="CU71" i="6"/>
  <c r="CV68" i="6"/>
  <c r="CU50" i="6"/>
  <c r="CU68" i="6"/>
  <c r="CU48" i="6"/>
  <c r="C44" i="115"/>
  <c r="C45" i="115" s="1"/>
  <c r="CU66" i="6"/>
  <c r="CV66" i="6"/>
  <c r="CU84" i="6"/>
  <c r="H43" i="115"/>
  <c r="E43" i="115"/>
  <c r="F43" i="115" s="1"/>
  <c r="K41" i="115"/>
  <c r="EI129" i="119"/>
  <c r="EI135" i="119"/>
  <c r="K39" i="115"/>
  <c r="E41" i="115"/>
  <c r="F41" i="115" s="1"/>
  <c r="H41" i="115"/>
  <c r="EI43" i="119"/>
  <c r="EI138" i="119"/>
  <c r="EI140" i="119"/>
  <c r="EI154" i="119"/>
  <c r="EI146" i="119"/>
  <c r="EI139" i="119"/>
  <c r="EI141" i="119"/>
  <c r="EI150" i="119"/>
  <c r="EI147" i="119"/>
  <c r="EI149" i="119"/>
  <c r="EI151" i="119"/>
  <c r="EI143" i="119"/>
  <c r="EI153" i="119"/>
  <c r="EI148" i="119"/>
  <c r="EI145" i="119"/>
  <c r="EI144" i="119"/>
  <c r="EI142" i="119"/>
  <c r="DO62" i="1"/>
  <c r="DO59" i="51" s="1"/>
  <c r="DO41" i="1"/>
  <c r="DO119" i="1"/>
  <c r="DO98" i="1"/>
  <c r="DO77" i="1"/>
  <c r="DP77" i="1"/>
  <c r="S34" i="115"/>
  <c r="W34" i="115"/>
  <c r="N34" i="115"/>
  <c r="L34" i="115"/>
  <c r="H40" i="115"/>
  <c r="E40" i="115"/>
  <c r="F40" i="115" s="1"/>
  <c r="K38" i="115"/>
  <c r="H5" i="115"/>
  <c r="E5" i="115"/>
  <c r="F5" i="115" s="1"/>
  <c r="EI128" i="119" l="1"/>
  <c r="EI152" i="119"/>
  <c r="W41" i="115"/>
  <c r="L41" i="115"/>
  <c r="O41" i="115"/>
  <c r="N41" i="115"/>
  <c r="E45" i="115"/>
  <c r="H45" i="115"/>
  <c r="C63" i="115"/>
  <c r="H6" i="115"/>
  <c r="E6" i="115"/>
  <c r="F6" i="115" s="1"/>
  <c r="K9" i="115"/>
  <c r="DO66" i="1"/>
  <c r="EI23" i="119"/>
  <c r="EI268" i="119" s="1"/>
  <c r="CU38" i="6"/>
  <c r="DO45" i="1"/>
  <c r="DO123" i="1"/>
  <c r="DO102" i="1"/>
  <c r="DP81" i="1"/>
  <c r="DO81" i="1"/>
  <c r="O39" i="115"/>
  <c r="W39" i="115"/>
  <c r="N39" i="115"/>
  <c r="L39" i="115"/>
  <c r="E44" i="115"/>
  <c r="F44" i="115" s="1"/>
  <c r="K42" i="115"/>
  <c r="H44" i="115"/>
  <c r="CU72" i="6"/>
  <c r="CV72" i="6"/>
  <c r="CU54" i="6"/>
  <c r="W38" i="115"/>
  <c r="N38" i="115"/>
  <c r="O38" i="115"/>
  <c r="L38" i="115"/>
  <c r="EI165" i="119"/>
  <c r="EI170" i="119"/>
  <c r="EI166" i="119"/>
  <c r="EI174" i="119"/>
  <c r="CU35" i="6"/>
  <c r="EI173" i="119" l="1"/>
  <c r="DO69" i="1"/>
  <c r="EI30" i="119"/>
  <c r="EI269" i="119" s="1"/>
  <c r="DO105" i="1"/>
  <c r="DO126" i="1"/>
  <c r="DO84" i="1"/>
  <c r="DO48" i="1"/>
  <c r="CV77" i="6"/>
  <c r="CU56" i="6"/>
  <c r="CU96" i="6"/>
  <c r="CU59" i="6"/>
  <c r="CU37" i="6"/>
  <c r="CU39" i="6" s="1"/>
  <c r="CU77" i="6"/>
  <c r="F45" i="115"/>
  <c r="E63" i="115"/>
  <c r="W42" i="115"/>
  <c r="N42" i="115"/>
  <c r="O42" i="115"/>
  <c r="L42" i="115"/>
  <c r="CU74" i="6"/>
  <c r="CU93" i="6"/>
  <c r="CV74" i="6"/>
  <c r="DO47" i="1"/>
  <c r="DO83" i="1"/>
  <c r="DO104" i="1"/>
  <c r="DO68" i="1"/>
  <c r="EI20" i="119"/>
  <c r="EI259" i="119" s="1"/>
  <c r="DO125" i="1"/>
  <c r="K11" i="115"/>
  <c r="H10" i="115"/>
  <c r="K57" i="115"/>
  <c r="C37" i="115"/>
  <c r="E10" i="115"/>
  <c r="F10" i="115" s="1"/>
  <c r="K45" i="115"/>
  <c r="O9" i="115"/>
  <c r="W9" i="115"/>
  <c r="T9" i="115"/>
  <c r="L9" i="115"/>
  <c r="S9" i="115"/>
  <c r="N9" i="115"/>
  <c r="K10" i="115" l="1"/>
  <c r="W11" i="115"/>
  <c r="L11" i="115"/>
  <c r="K35" i="115"/>
  <c r="S11" i="115"/>
  <c r="T11" i="115"/>
  <c r="O11" i="115"/>
  <c r="N11" i="115"/>
  <c r="EI44" i="119"/>
  <c r="EI59" i="119"/>
  <c r="EI273" i="119"/>
  <c r="T57" i="115"/>
  <c r="N57" i="115"/>
  <c r="W57" i="115"/>
  <c r="S57" i="115"/>
  <c r="O57" i="115"/>
  <c r="F37" i="115"/>
  <c r="H37" i="115"/>
  <c r="CV76" i="6"/>
  <c r="CU58" i="6"/>
  <c r="CU76" i="6"/>
  <c r="CU95" i="6"/>
  <c r="DQ141" i="112" l="1"/>
  <c r="DQ48" i="113"/>
  <c r="DQ184" i="112" s="1"/>
  <c r="EI94" i="119"/>
  <c r="EI101" i="119"/>
  <c r="EI97" i="119"/>
  <c r="L10" i="115"/>
  <c r="S10" i="115"/>
  <c r="N10" i="115"/>
  <c r="T10" i="115"/>
  <c r="O10" i="115"/>
  <c r="W10" i="115"/>
  <c r="EI65" i="119"/>
  <c r="EI60" i="119"/>
  <c r="S35" i="115"/>
  <c r="N35" i="115"/>
  <c r="L35" i="115"/>
  <c r="W35" i="115"/>
  <c r="DO85" i="1"/>
  <c r="EI275" i="119"/>
  <c r="DO106" i="1"/>
  <c r="EI277" i="119"/>
  <c r="DO127" i="1"/>
  <c r="DO70" i="1"/>
  <c r="DO49" i="1"/>
  <c r="DQ191" i="112" l="1"/>
  <c r="DQ188" i="112"/>
  <c r="DQ189" i="112"/>
  <c r="DQ190" i="112"/>
  <c r="DU142" i="112"/>
  <c r="DQ60" i="112"/>
  <c r="DR48" i="113"/>
  <c r="DR184" i="112"/>
  <c r="EI48" i="119"/>
  <c r="EI46" i="119"/>
  <c r="DO87" i="1"/>
  <c r="DO51" i="1"/>
  <c r="DO108" i="1"/>
  <c r="DO129" i="1"/>
  <c r="EI280" i="119"/>
  <c r="EI267" i="119"/>
  <c r="DO88" i="1"/>
  <c r="DO52" i="1"/>
  <c r="EI281" i="119"/>
  <c r="EI260" i="119" s="1"/>
  <c r="DO130" i="1"/>
  <c r="DO109" i="1"/>
  <c r="EI279" i="119"/>
  <c r="DO86" i="1"/>
  <c r="DO71" i="1"/>
  <c r="DO107" i="1"/>
  <c r="DO50" i="1"/>
  <c r="DO128" i="1"/>
  <c r="DP88" i="2"/>
  <c r="EJ47" i="119" s="1"/>
  <c r="EJ93" i="119"/>
  <c r="HB60" i="112" l="1"/>
  <c r="DQ70" i="112"/>
  <c r="FP60" i="112"/>
  <c r="FP141" i="112" s="1"/>
  <c r="DY143" i="112"/>
  <c r="DU61" i="112"/>
  <c r="DR187" i="112"/>
  <c r="DR188" i="112"/>
  <c r="DR189" i="112"/>
  <c r="DR191" i="112"/>
  <c r="DR190" i="112"/>
  <c r="DP103" i="1"/>
  <c r="DP82" i="1"/>
  <c r="DP46" i="1"/>
  <c r="EJ21" i="119"/>
  <c r="EJ19" i="119" s="1"/>
  <c r="DP67" i="1"/>
  <c r="EI305" i="119"/>
  <c r="DO25" i="3"/>
  <c r="DO131" i="1"/>
  <c r="DO53" i="1"/>
  <c r="DO110" i="1"/>
  <c r="DO89" i="1"/>
  <c r="DO90" i="1"/>
  <c r="DO54" i="1"/>
  <c r="DO111" i="1"/>
  <c r="DO132" i="1"/>
  <c r="EI283" i="119"/>
  <c r="EI282" i="119"/>
  <c r="FQ61" i="112" l="1"/>
  <c r="FQ142" i="112" s="1"/>
  <c r="HC61" i="112"/>
  <c r="DU70" i="112"/>
  <c r="DY62" i="112"/>
  <c r="EC144" i="112"/>
  <c r="DS48" i="113"/>
  <c r="DS184" i="112"/>
  <c r="DQ11" i="112"/>
  <c r="HB70" i="112"/>
  <c r="FP70" i="112"/>
  <c r="FP151" i="112" s="1"/>
  <c r="DP47" i="1"/>
  <c r="DP83" i="1"/>
  <c r="EJ20" i="119"/>
  <c r="EJ259" i="119" s="1"/>
  <c r="DP68" i="1"/>
  <c r="DP104" i="1"/>
  <c r="FR66" i="2"/>
  <c r="EI69" i="119"/>
  <c r="EI271" i="119" s="1"/>
  <c r="EI67" i="119"/>
  <c r="EI298" i="119" s="1"/>
  <c r="EI256" i="119" s="1"/>
  <c r="DO51" i="2"/>
  <c r="EI70" i="119" s="1"/>
  <c r="DO50" i="3"/>
  <c r="EI96" i="119"/>
  <c r="DO54" i="3"/>
  <c r="FP163" i="112" l="1"/>
  <c r="DT48" i="113"/>
  <c r="DT184" i="112"/>
  <c r="DQ98" i="113"/>
  <c r="DQ151" i="112"/>
  <c r="DQ19" i="112"/>
  <c r="DQ33" i="112"/>
  <c r="DR33" i="112"/>
  <c r="FP11" i="112"/>
  <c r="DQ22" i="112"/>
  <c r="HB11" i="112"/>
  <c r="DQ11" i="51"/>
  <c r="FR62" i="112"/>
  <c r="FR143" i="112" s="1"/>
  <c r="HD62" i="112"/>
  <c r="DY70" i="112"/>
  <c r="DU11" i="112"/>
  <c r="FQ70" i="112"/>
  <c r="FQ151" i="112" s="1"/>
  <c r="HC70" i="112"/>
  <c r="DS187" i="112"/>
  <c r="DS191" i="112"/>
  <c r="DS190" i="112"/>
  <c r="DS189" i="112"/>
  <c r="DS188" i="112"/>
  <c r="EG145" i="112"/>
  <c r="EC63" i="112"/>
  <c r="DO55" i="3"/>
  <c r="DO65" i="3"/>
  <c r="EJ44" i="119"/>
  <c r="DO52" i="3"/>
  <c r="DP51" i="3" s="1"/>
  <c r="DP52" i="3" s="1"/>
  <c r="EJ59" i="119"/>
  <c r="DP57" i="3" l="1"/>
  <c r="DP58" i="3" s="1"/>
  <c r="DP59" i="3" s="1"/>
  <c r="FQ163" i="112"/>
  <c r="EK146" i="112"/>
  <c r="EK65" i="112" s="1"/>
  <c r="EG64" i="112"/>
  <c r="DT191" i="112"/>
  <c r="DT190" i="112"/>
  <c r="DT189" i="112"/>
  <c r="DT188" i="112"/>
  <c r="DT187" i="112"/>
  <c r="EC70" i="112"/>
  <c r="HE63" i="112"/>
  <c r="FS63" i="112"/>
  <c r="HB151" i="112"/>
  <c r="HB163" i="112" s="1"/>
  <c r="HB19" i="112"/>
  <c r="HB22" i="112"/>
  <c r="DQ102" i="113"/>
  <c r="FP98" i="113"/>
  <c r="FP105" i="113" s="1"/>
  <c r="GZ98" i="113"/>
  <c r="GZ105" i="113" s="1"/>
  <c r="DY11" i="112"/>
  <c r="HD70" i="112"/>
  <c r="FR70" i="112"/>
  <c r="FR151" i="112" s="1"/>
  <c r="DU48" i="113"/>
  <c r="DU184" i="112"/>
  <c r="DR177" i="112"/>
  <c r="DR170" i="112"/>
  <c r="DQ177" i="112"/>
  <c r="DQ163" i="112"/>
  <c r="DQ170" i="112"/>
  <c r="FP19" i="112"/>
  <c r="FP22" i="112"/>
  <c r="DU19" i="112"/>
  <c r="DU22" i="112"/>
  <c r="DU11" i="51"/>
  <c r="FQ11" i="112"/>
  <c r="DU151" i="112"/>
  <c r="DV33" i="112"/>
  <c r="DU33" i="112"/>
  <c r="DU98" i="113"/>
  <c r="HC11" i="112"/>
  <c r="DQ31" i="51"/>
  <c r="FQ101" i="51" s="1"/>
  <c r="DQ62" i="51"/>
  <c r="DQ71" i="51" s="1"/>
  <c r="FP11" i="51"/>
  <c r="DQ20" i="51"/>
  <c r="M111" i="115"/>
  <c r="DR31" i="51"/>
  <c r="FN102" i="51" s="1"/>
  <c r="DQ15" i="51"/>
  <c r="DQ57" i="51" s="1"/>
  <c r="HA11" i="51"/>
  <c r="DQ30" i="112"/>
  <c r="DR41" i="112"/>
  <c r="DQ41" i="112"/>
  <c r="EJ94" i="119"/>
  <c r="EJ60" i="119"/>
  <c r="EJ65" i="119"/>
  <c r="EJ101" i="119"/>
  <c r="EJ97" i="119"/>
  <c r="DQ78" i="2"/>
  <c r="DQ79" i="2" s="1"/>
  <c r="DQ12" i="3" s="1"/>
  <c r="DQ187" i="112" l="1"/>
  <c r="FR163" i="112"/>
  <c r="HA20" i="51"/>
  <c r="FP30" i="112"/>
  <c r="DU191" i="112"/>
  <c r="DU190" i="112"/>
  <c r="DU189" i="112"/>
  <c r="DU188" i="112"/>
  <c r="DQ66" i="51"/>
  <c r="DQ75" i="51" s="1"/>
  <c r="DQ35" i="51"/>
  <c r="HA15" i="51"/>
  <c r="DR35" i="51"/>
  <c r="FP15" i="51"/>
  <c r="DQ24" i="51"/>
  <c r="M92" i="115"/>
  <c r="DR57" i="51"/>
  <c r="M115" i="115"/>
  <c r="FQ22" i="112"/>
  <c r="DV41" i="112"/>
  <c r="DU30" i="112"/>
  <c r="DZ33" i="112"/>
  <c r="DY22" i="112"/>
  <c r="DY33" i="112"/>
  <c r="FR11" i="112"/>
  <c r="HD11" i="112"/>
  <c r="DY151" i="112"/>
  <c r="DY19" i="112"/>
  <c r="DY11" i="51"/>
  <c r="DY98" i="113"/>
  <c r="HC22" i="112"/>
  <c r="HC151" i="112"/>
  <c r="HC163" i="112" s="1"/>
  <c r="DU20" i="51"/>
  <c r="DU31" i="51"/>
  <c r="FQ102" i="51" s="1"/>
  <c r="DU15" i="51"/>
  <c r="HB11" i="51"/>
  <c r="DU62" i="51"/>
  <c r="DU71" i="51" s="1"/>
  <c r="FQ11" i="51"/>
  <c r="DV31" i="51"/>
  <c r="DQ15" i="113"/>
  <c r="DQ109" i="113"/>
  <c r="FP102" i="113"/>
  <c r="FP109" i="113" s="1"/>
  <c r="GZ102" i="113"/>
  <c r="GZ109" i="113" s="1"/>
  <c r="FS70" i="112"/>
  <c r="FS151" i="112" s="1"/>
  <c r="HE70" i="112"/>
  <c r="EC11" i="112"/>
  <c r="EG70" i="112"/>
  <c r="FT64" i="112"/>
  <c r="HF64" i="112"/>
  <c r="HB30" i="112"/>
  <c r="N22" i="116"/>
  <c r="FP20" i="51"/>
  <c r="FP62" i="51"/>
  <c r="FP71" i="51" s="1"/>
  <c r="DV170" i="112"/>
  <c r="DV177" i="112"/>
  <c r="DU177" i="112"/>
  <c r="DU163" i="112"/>
  <c r="DU170" i="112"/>
  <c r="O111" i="115"/>
  <c r="Z111" i="115"/>
  <c r="M125" i="115"/>
  <c r="X125" i="115" s="1"/>
  <c r="X111" i="115"/>
  <c r="DU102" i="113"/>
  <c r="FQ98" i="113"/>
  <c r="FQ105" i="113" s="1"/>
  <c r="HA98" i="113"/>
  <c r="HA105" i="113" s="1"/>
  <c r="EK70" i="112"/>
  <c r="FU65" i="112"/>
  <c r="EK93" i="119"/>
  <c r="DQ88" i="2"/>
  <c r="FQ12" i="3"/>
  <c r="AE93" i="119" s="1"/>
  <c r="DQ16" i="1"/>
  <c r="EJ48" i="119"/>
  <c r="DP89" i="2"/>
  <c r="DP87" i="2" s="1"/>
  <c r="EJ46" i="119" s="1"/>
  <c r="DU187" i="112" l="1"/>
  <c r="FS163" i="112"/>
  <c r="DY62" i="51"/>
  <c r="DY71" i="51" s="1"/>
  <c r="HC11" i="51"/>
  <c r="DY15" i="51"/>
  <c r="FR11" i="51"/>
  <c r="DY31" i="51"/>
  <c r="DY20" i="51"/>
  <c r="DZ31" i="51"/>
  <c r="DQ52" i="51"/>
  <c r="FR22" i="112"/>
  <c r="ED33" i="112"/>
  <c r="FS11" i="112"/>
  <c r="EC19" i="112"/>
  <c r="EC22" i="112"/>
  <c r="EC33" i="112"/>
  <c r="EC11" i="51"/>
  <c r="EC151" i="112"/>
  <c r="EC98" i="113"/>
  <c r="HE11" i="112"/>
  <c r="DU66" i="51"/>
  <c r="DU75" i="51" s="1"/>
  <c r="DV35" i="51"/>
  <c r="DU24" i="51"/>
  <c r="P14" i="118"/>
  <c r="EK11" i="112"/>
  <c r="FU70" i="112"/>
  <c r="FU151" i="112" s="1"/>
  <c r="DY30" i="112"/>
  <c r="DZ41" i="112"/>
  <c r="O92" i="115"/>
  <c r="X92" i="115"/>
  <c r="DU15" i="113"/>
  <c r="DU109" i="113"/>
  <c r="HF70" i="112"/>
  <c r="EG11" i="112"/>
  <c r="FT70" i="112"/>
  <c r="FT151" i="112" s="1"/>
  <c r="HB20" i="51"/>
  <c r="N46" i="116"/>
  <c r="AG54" i="116"/>
  <c r="P22" i="116"/>
  <c r="Q22" i="116" s="1"/>
  <c r="AG22" i="116"/>
  <c r="DQ41" i="113"/>
  <c r="DQ56" i="113"/>
  <c r="DQ28" i="113"/>
  <c r="DR56" i="113"/>
  <c r="FP15" i="113"/>
  <c r="GZ15" i="113"/>
  <c r="FR98" i="113"/>
  <c r="FR105" i="113" s="1"/>
  <c r="DY102" i="113"/>
  <c r="HB98" i="113"/>
  <c r="HB105" i="113" s="1"/>
  <c r="HA24" i="51"/>
  <c r="FQ20" i="51"/>
  <c r="R22" i="116"/>
  <c r="FQ62" i="51"/>
  <c r="FQ71" i="51" s="1"/>
  <c r="DZ177" i="112"/>
  <c r="DZ170" i="112"/>
  <c r="DY163" i="112"/>
  <c r="DY170" i="112"/>
  <c r="DY177" i="112"/>
  <c r="X115" i="115"/>
  <c r="Z115" i="115"/>
  <c r="O115" i="115"/>
  <c r="HD22" i="112"/>
  <c r="HD151" i="112"/>
  <c r="HD163" i="112" s="1"/>
  <c r="F14" i="118"/>
  <c r="F29" i="118" s="1"/>
  <c r="F65" i="118" s="1"/>
  <c r="F50" i="118" s="1"/>
  <c r="N26" i="116"/>
  <c r="FP66" i="51"/>
  <c r="FP75" i="51" s="1"/>
  <c r="FP24" i="51"/>
  <c r="DQ103" i="1"/>
  <c r="DQ124" i="1"/>
  <c r="FP16" i="1"/>
  <c r="DQ46" i="1"/>
  <c r="DQ82" i="1"/>
  <c r="EK21" i="119"/>
  <c r="FQ88" i="2"/>
  <c r="AE47" i="119" s="1"/>
  <c r="EK47" i="119"/>
  <c r="DY187" i="112" l="1"/>
  <c r="FT163" i="112"/>
  <c r="FP41" i="113"/>
  <c r="FP28" i="113"/>
  <c r="EC15" i="51"/>
  <c r="FS11" i="51"/>
  <c r="EC20" i="51"/>
  <c r="EC62" i="51"/>
  <c r="EC71" i="51" s="1"/>
  <c r="ED31" i="51"/>
  <c r="EC31" i="51"/>
  <c r="HD11" i="51"/>
  <c r="EG22" i="112"/>
  <c r="EG98" i="113"/>
  <c r="FT11" i="112"/>
  <c r="EH33" i="112"/>
  <c r="EG11" i="51"/>
  <c r="EG19" i="112"/>
  <c r="EG33" i="112"/>
  <c r="EG151" i="112"/>
  <c r="HF11" i="112"/>
  <c r="DS57" i="51"/>
  <c r="DR52" i="51"/>
  <c r="FR20" i="51"/>
  <c r="FR62" i="51"/>
  <c r="FR71" i="51" s="1"/>
  <c r="V22" i="116"/>
  <c r="F52" i="118"/>
  <c r="L50" i="118"/>
  <c r="DY109" i="113"/>
  <c r="DY15" i="113"/>
  <c r="AG46" i="116"/>
  <c r="P46" i="116"/>
  <c r="Q46" i="116" s="1"/>
  <c r="FU163" i="112"/>
  <c r="HE151" i="112"/>
  <c r="HE163" i="112" s="1"/>
  <c r="HE22" i="112"/>
  <c r="EC30" i="112"/>
  <c r="ED41" i="112"/>
  <c r="M95" i="115"/>
  <c r="FP52" i="51"/>
  <c r="N30" i="116" s="1"/>
  <c r="DQ48" i="51"/>
  <c r="DZ35" i="51"/>
  <c r="DY24" i="51"/>
  <c r="DY66" i="51"/>
  <c r="DY75" i="51" s="1"/>
  <c r="T22" i="116"/>
  <c r="U22" i="116" s="1"/>
  <c r="R46" i="116"/>
  <c r="AH54" i="116"/>
  <c r="AH22" i="116"/>
  <c r="DU41" i="113"/>
  <c r="DU28" i="113"/>
  <c r="DV56" i="113"/>
  <c r="EK19" i="112"/>
  <c r="EK33" i="112"/>
  <c r="EK98" i="113"/>
  <c r="EK151" i="112"/>
  <c r="EK11" i="51"/>
  <c r="EK22" i="112"/>
  <c r="FU11" i="112"/>
  <c r="EC102" i="113"/>
  <c r="FS98" i="113"/>
  <c r="FS105" i="113" s="1"/>
  <c r="HC98" i="113"/>
  <c r="HC105" i="113" s="1"/>
  <c r="FS22" i="112"/>
  <c r="HC20" i="51"/>
  <c r="P26" i="116"/>
  <c r="Q26" i="116" s="1"/>
  <c r="AG26" i="116"/>
  <c r="AG58" i="116"/>
  <c r="AG62" i="116"/>
  <c r="GZ28" i="113"/>
  <c r="GZ41" i="113"/>
  <c r="EC163" i="112"/>
  <c r="EC170" i="112"/>
  <c r="EC177" i="112"/>
  <c r="ED177" i="112"/>
  <c r="ED170" i="112"/>
  <c r="FP46" i="1"/>
  <c r="FP103" i="1"/>
  <c r="AE21" i="119"/>
  <c r="EC187" i="112" l="1"/>
  <c r="HA52" i="51"/>
  <c r="HD98" i="113"/>
  <c r="HD105" i="113" s="1"/>
  <c r="EG102" i="113"/>
  <c r="FT98" i="113"/>
  <c r="FT105" i="113" s="1"/>
  <c r="EK20" i="51"/>
  <c r="EK31" i="51"/>
  <c r="EK62" i="51"/>
  <c r="EK15" i="51"/>
  <c r="FU11" i="51"/>
  <c r="AI22" i="116"/>
  <c r="V46" i="116"/>
  <c r="X22" i="116"/>
  <c r="Y22" i="116" s="1"/>
  <c r="AI54" i="116"/>
  <c r="EK170" i="112"/>
  <c r="EK163" i="112"/>
  <c r="EK177" i="112"/>
  <c r="P30" i="116"/>
  <c r="Q30" i="116" s="1"/>
  <c r="AG30" i="116"/>
  <c r="N34" i="116"/>
  <c r="AG65" i="116"/>
  <c r="EH41" i="112"/>
  <c r="EG30" i="112"/>
  <c r="FS62" i="51"/>
  <c r="FS71" i="51" s="1"/>
  <c r="FS20" i="51"/>
  <c r="EH170" i="112"/>
  <c r="EG170" i="112"/>
  <c r="EG177" i="112"/>
  <c r="EG163" i="112"/>
  <c r="EH177" i="112"/>
  <c r="EK102" i="113"/>
  <c r="FU98" i="113"/>
  <c r="FU105" i="113" s="1"/>
  <c r="T46" i="116"/>
  <c r="U46" i="116" s="1"/>
  <c r="AH46" i="116"/>
  <c r="X95" i="115"/>
  <c r="M133" i="115"/>
  <c r="O95" i="115"/>
  <c r="DY41" i="113"/>
  <c r="DZ56" i="113"/>
  <c r="DY28" i="113"/>
  <c r="EG20" i="51"/>
  <c r="EG31" i="51"/>
  <c r="EG15" i="51"/>
  <c r="EG62" i="51"/>
  <c r="EG71" i="51" s="1"/>
  <c r="HE11" i="51"/>
  <c r="EH31" i="51"/>
  <c r="FT11" i="51"/>
  <c r="HD20" i="51"/>
  <c r="EC66" i="51"/>
  <c r="EC75" i="51" s="1"/>
  <c r="ED35" i="51"/>
  <c r="EC24" i="51"/>
  <c r="EC109" i="113"/>
  <c r="EC15" i="113"/>
  <c r="L52" i="118"/>
  <c r="W19" i="118"/>
  <c r="DR48" i="51"/>
  <c r="HA48" i="51" s="1"/>
  <c r="FU22" i="112"/>
  <c r="EK30" i="112"/>
  <c r="FP48" i="51"/>
  <c r="F80" i="118"/>
  <c r="F77" i="118"/>
  <c r="F67" i="118"/>
  <c r="DS52" i="51"/>
  <c r="HF151" i="112"/>
  <c r="HF163" i="112" s="1"/>
  <c r="HF22" i="112"/>
  <c r="FT22" i="112"/>
  <c r="EG187" i="112" l="1"/>
  <c r="EK187" i="112"/>
  <c r="Q34" i="116"/>
  <c r="AG34" i="116"/>
  <c r="L80" i="118"/>
  <c r="W21" i="118"/>
  <c r="L77" i="118"/>
  <c r="EK15" i="113"/>
  <c r="EK109" i="113"/>
  <c r="FU20" i="51"/>
  <c r="FU62" i="51"/>
  <c r="HE20" i="51"/>
  <c r="AI46" i="116"/>
  <c r="X46" i="116"/>
  <c r="Y46" i="116" s="1"/>
  <c r="EK66" i="51"/>
  <c r="EK24" i="51"/>
  <c r="DS48" i="51"/>
  <c r="EK71" i="51"/>
  <c r="EG15" i="113"/>
  <c r="EG109" i="113"/>
  <c r="FT20" i="51"/>
  <c r="FT62" i="51"/>
  <c r="FT71" i="51" s="1"/>
  <c r="ED56" i="113"/>
  <c r="EC28" i="113"/>
  <c r="EC41" i="113"/>
  <c r="EH35" i="51"/>
  <c r="EG24" i="51"/>
  <c r="EG66" i="51"/>
  <c r="EG75" i="51" s="1"/>
  <c r="EK75" i="51" l="1"/>
  <c r="EK41" i="113"/>
  <c r="EK28" i="113"/>
  <c r="FU71" i="51"/>
  <c r="EG41" i="113"/>
  <c r="EG28" i="113"/>
  <c r="EH56" i="113"/>
  <c r="EI41" i="119" l="1"/>
  <c r="EI265" i="119" s="1"/>
  <c r="FR67" i="2"/>
  <c r="EI55" i="119"/>
  <c r="DO53" i="2"/>
  <c r="EI45" i="119"/>
  <c r="DO57" i="3"/>
  <c r="DO58" i="3" s="1"/>
  <c r="DO59" i="3" s="1"/>
  <c r="EI108" i="119" l="1"/>
  <c r="EI107" i="119"/>
  <c r="EI76" i="119"/>
  <c r="EI264" i="119" s="1"/>
  <c r="EJ107" i="119" l="1"/>
  <c r="DQ57" i="3"/>
  <c r="EJ24" i="119"/>
  <c r="EJ26" i="119" s="1"/>
  <c r="C11" i="115"/>
  <c r="K58" i="115" l="1"/>
  <c r="H11" i="115"/>
  <c r="E11" i="115"/>
  <c r="F11" i="115" s="1"/>
  <c r="K12" i="115"/>
  <c r="C12" i="115"/>
  <c r="DR57" i="3"/>
  <c r="EK107" i="119"/>
  <c r="FQ57" i="3"/>
  <c r="AE107" i="119" s="1"/>
  <c r="L12" i="115" l="1"/>
  <c r="N12" i="115"/>
  <c r="O12" i="115"/>
  <c r="T12" i="115"/>
  <c r="S12" i="115"/>
  <c r="W12" i="115"/>
  <c r="K59" i="115"/>
  <c r="K13" i="115"/>
  <c r="E12" i="115"/>
  <c r="F12" i="115" s="1"/>
  <c r="H12" i="115"/>
  <c r="O58" i="115"/>
  <c r="T58" i="115"/>
  <c r="N58" i="115"/>
  <c r="S58" i="115"/>
  <c r="W58" i="115"/>
  <c r="C13" i="115"/>
  <c r="EJ30" i="119"/>
  <c r="EJ269" i="119" s="1"/>
  <c r="DP84" i="1"/>
  <c r="DP48" i="1"/>
  <c r="DP105" i="1"/>
  <c r="DP69" i="1"/>
  <c r="EL107" i="119"/>
  <c r="DS57" i="3"/>
  <c r="C15" i="115" l="1"/>
  <c r="E15" i="115" s="1"/>
  <c r="F15" i="115" s="1"/>
  <c r="W13" i="115"/>
  <c r="S13" i="115"/>
  <c r="N13" i="115"/>
  <c r="T13" i="115"/>
  <c r="O13" i="115"/>
  <c r="L13" i="115"/>
  <c r="K60" i="115"/>
  <c r="E13" i="115"/>
  <c r="F13" i="115" s="1"/>
  <c r="K14" i="115"/>
  <c r="H13" i="115"/>
  <c r="C14" i="115"/>
  <c r="T59" i="115"/>
  <c r="N59" i="115"/>
  <c r="O59" i="115"/>
  <c r="W59" i="115"/>
  <c r="S59" i="115"/>
  <c r="EM107" i="119"/>
  <c r="DT57" i="3"/>
  <c r="EJ273" i="119"/>
  <c r="DP108" i="1" l="1"/>
  <c r="EJ275" i="119"/>
  <c r="EJ277" i="119"/>
  <c r="EJ267" i="119" s="1"/>
  <c r="DP106" i="1"/>
  <c r="C17" i="115"/>
  <c r="H17" i="115" s="1"/>
  <c r="K16" i="115"/>
  <c r="L16" i="115" s="1"/>
  <c r="DP70" i="1"/>
  <c r="H15" i="115"/>
  <c r="DP49" i="1"/>
  <c r="DP85" i="1"/>
  <c r="N14" i="115"/>
  <c r="W14" i="115"/>
  <c r="T14" i="115"/>
  <c r="S14" i="115"/>
  <c r="O14" i="115"/>
  <c r="K15" i="115"/>
  <c r="H14" i="115"/>
  <c r="E14" i="115"/>
  <c r="O60" i="115"/>
  <c r="W60" i="115"/>
  <c r="N60" i="115"/>
  <c r="T60" i="115"/>
  <c r="K61" i="115"/>
  <c r="S60" i="115"/>
  <c r="EN107" i="119"/>
  <c r="DU57" i="3"/>
  <c r="DP87" i="1" l="1"/>
  <c r="DP51" i="1"/>
  <c r="W16" i="115"/>
  <c r="C16" i="115"/>
  <c r="E16" i="115" s="1"/>
  <c r="F16" i="115" s="1"/>
  <c r="DP86" i="1"/>
  <c r="EJ280" i="119"/>
  <c r="DP50" i="1"/>
  <c r="EJ305" i="119"/>
  <c r="DP71" i="1"/>
  <c r="DP53" i="1"/>
  <c r="DP107" i="1"/>
  <c r="EJ279" i="119"/>
  <c r="EJ283" i="119" s="1"/>
  <c r="DP109" i="1"/>
  <c r="N16" i="115"/>
  <c r="EJ281" i="119"/>
  <c r="EJ260" i="119" s="1"/>
  <c r="DP52" i="1"/>
  <c r="DP88" i="1"/>
  <c r="E17" i="115"/>
  <c r="F17" i="115" s="1"/>
  <c r="S16" i="115"/>
  <c r="O16" i="115"/>
  <c r="T16" i="115"/>
  <c r="K17" i="115"/>
  <c r="W17" i="115" s="1"/>
  <c r="W61" i="115"/>
  <c r="N61" i="115"/>
  <c r="S61" i="115"/>
  <c r="T61" i="115"/>
  <c r="N15" i="115"/>
  <c r="W15" i="115"/>
  <c r="FR57" i="3"/>
  <c r="AF107" i="119" s="1"/>
  <c r="EO107" i="119"/>
  <c r="DV57" i="3"/>
  <c r="H16" i="115" l="1"/>
  <c r="K62" i="115"/>
  <c r="N62" i="115" s="1"/>
  <c r="DP89" i="1"/>
  <c r="C18" i="115"/>
  <c r="E18" i="115" s="1"/>
  <c r="F18" i="115" s="1"/>
  <c r="EJ282" i="119"/>
  <c r="DP111" i="1"/>
  <c r="DP90" i="1"/>
  <c r="DP110" i="1"/>
  <c r="DP54" i="1"/>
  <c r="O17" i="115"/>
  <c r="T17" i="115"/>
  <c r="S17" i="115"/>
  <c r="L17" i="115"/>
  <c r="N17" i="115"/>
  <c r="EP107" i="119"/>
  <c r="DW57" i="3"/>
  <c r="T62" i="115" l="1"/>
  <c r="S62" i="115"/>
  <c r="O62" i="115"/>
  <c r="W62" i="115"/>
  <c r="EJ96" i="119"/>
  <c r="K63" i="115"/>
  <c r="T63" i="115" s="1"/>
  <c r="H18" i="115"/>
  <c r="DX57" i="3"/>
  <c r="EQ107" i="119"/>
  <c r="EJ67" i="119"/>
  <c r="EJ298" i="119" s="1"/>
  <c r="EJ256" i="119" s="1"/>
  <c r="EJ70" i="119"/>
  <c r="EJ69" i="119"/>
  <c r="EJ271" i="119" s="1"/>
  <c r="FS66" i="2"/>
  <c r="EJ108" i="119"/>
  <c r="DP65" i="3" l="1"/>
  <c r="N63" i="115"/>
  <c r="S63" i="115"/>
  <c r="O63" i="115"/>
  <c r="W63" i="115"/>
  <c r="DQ51" i="3"/>
  <c r="DY57" i="3"/>
  <c r="ER107" i="119"/>
  <c r="FS57" i="3" l="1"/>
  <c r="AG107" i="119" s="1"/>
  <c r="ES107" i="119"/>
  <c r="DZ57" i="3"/>
  <c r="EJ41" i="119"/>
  <c r="EJ265" i="119" s="1"/>
  <c r="EJ45" i="119" l="1"/>
  <c r="EA57" i="3"/>
  <c r="ET107" i="119"/>
  <c r="DQ116" i="2"/>
  <c r="DQ19" i="1" s="1"/>
  <c r="EJ76" i="119" l="1"/>
  <c r="EJ264" i="119" s="1"/>
  <c r="EU107" i="119"/>
  <c r="EB57" i="3"/>
  <c r="FS67" i="2"/>
  <c r="EJ55" i="119"/>
  <c r="DP53" i="2"/>
  <c r="DQ21" i="1"/>
  <c r="FP19" i="1"/>
  <c r="EV107" i="119" l="1"/>
  <c r="EC57" i="3"/>
  <c r="EK24" i="119"/>
  <c r="EK26" i="119" s="1"/>
  <c r="DQ18" i="1"/>
  <c r="M103" i="115" s="1"/>
  <c r="FP21" i="1"/>
  <c r="AE24" i="119" s="1"/>
  <c r="AE26" i="119" s="1"/>
  <c r="X103" i="115" l="1"/>
  <c r="O103" i="115"/>
  <c r="FP18" i="1"/>
  <c r="ED57" i="3"/>
  <c r="FT57" i="3"/>
  <c r="AH107" i="119" s="1"/>
  <c r="EW107" i="119"/>
  <c r="EE57" i="3" l="1"/>
  <c r="EX107" i="119"/>
  <c r="N11" i="116"/>
  <c r="F21" i="118"/>
  <c r="AG71" i="116" l="1"/>
  <c r="P11" i="116"/>
  <c r="Q11" i="116" s="1"/>
  <c r="EY107" i="119"/>
  <c r="EF57" i="3"/>
  <c r="EZ107" i="119" l="1"/>
  <c r="EG57" i="3"/>
  <c r="FA107" i="119" l="1"/>
  <c r="FU57" i="3"/>
  <c r="AI107" i="119" s="1"/>
  <c r="EH57" i="3"/>
  <c r="EI57" i="3" l="1"/>
  <c r="FB107" i="119"/>
  <c r="EJ57" i="3" l="1"/>
  <c r="FC107" i="119"/>
  <c r="EK57" i="3" l="1"/>
  <c r="FD107" i="119"/>
  <c r="FV57" i="3" l="1"/>
  <c r="AJ107" i="119" s="1"/>
  <c r="FE107" i="119"/>
  <c r="DP232" i="112" l="1"/>
  <c r="DQ232" i="112" s="1"/>
  <c r="HB93" i="112"/>
  <c r="HB105" i="112" s="1"/>
  <c r="FP93" i="112"/>
  <c r="FP119" i="112" s="1"/>
  <c r="C52" i="115"/>
  <c r="C58" i="115" s="1"/>
  <c r="E58" i="115" s="1"/>
  <c r="F58" i="115" s="1"/>
  <c r="DT93" i="112"/>
  <c r="DT12" i="112" s="1"/>
  <c r="HC12" i="112" s="1"/>
  <c r="DQ119" i="112"/>
  <c r="DQ112" i="112"/>
  <c r="DP126" i="112"/>
  <c r="DP112" i="112"/>
  <c r="DP105" i="112"/>
  <c r="DP119" i="112"/>
  <c r="FP105" i="112" l="1"/>
  <c r="DT112" i="112"/>
  <c r="N42" i="116"/>
  <c r="P42" i="116" s="1"/>
  <c r="Q42" i="116" s="1"/>
  <c r="DX93" i="112"/>
  <c r="HD93" i="112" s="1"/>
  <c r="DP80" i="51"/>
  <c r="DU112" i="112"/>
  <c r="HB119" i="112"/>
  <c r="DR126" i="112"/>
  <c r="DU126" i="112"/>
  <c r="HC19" i="112"/>
  <c r="HC30" i="112" s="1"/>
  <c r="HC23" i="112"/>
  <c r="DQ242" i="112"/>
  <c r="DR232" i="112"/>
  <c r="DQ237" i="112"/>
  <c r="DQ80" i="51"/>
  <c r="FP232" i="112"/>
  <c r="DQ145" i="113"/>
  <c r="HB152" i="112"/>
  <c r="HB164" i="112" s="1"/>
  <c r="N48" i="116"/>
  <c r="FR93" i="112"/>
  <c r="DP242" i="112"/>
  <c r="DP145" i="113"/>
  <c r="DU34" i="112"/>
  <c r="FP152" i="112"/>
  <c r="FP164" i="112" s="1"/>
  <c r="K82" i="115"/>
  <c r="DT19" i="112"/>
  <c r="FQ12" i="112"/>
  <c r="DT34" i="112"/>
  <c r="DT12" i="51"/>
  <c r="DT100" i="113"/>
  <c r="DX12" i="112"/>
  <c r="DX119" i="112"/>
  <c r="DY119" i="112"/>
  <c r="DT119" i="112"/>
  <c r="DT126" i="112"/>
  <c r="K76" i="115"/>
  <c r="FQ93" i="112"/>
  <c r="DT23" i="112"/>
  <c r="H58" i="115"/>
  <c r="E52" i="115"/>
  <c r="F52" i="115" s="1"/>
  <c r="DS126" i="112"/>
  <c r="DX126" i="112"/>
  <c r="DP237" i="112"/>
  <c r="DW126" i="112"/>
  <c r="DU119" i="112"/>
  <c r="DX112" i="112"/>
  <c r="DV126" i="112"/>
  <c r="H52" i="115"/>
  <c r="HC93" i="112"/>
  <c r="DY126" i="112" l="1"/>
  <c r="AG42" i="116"/>
  <c r="DY112" i="112"/>
  <c r="EB93" i="112"/>
  <c r="EB112" i="112" s="1"/>
  <c r="FQ19" i="112"/>
  <c r="FQ30" i="112" s="1"/>
  <c r="FQ23" i="112"/>
  <c r="FQ152" i="112"/>
  <c r="FQ164" i="112" s="1"/>
  <c r="DP143" i="113"/>
  <c r="FP145" i="113"/>
  <c r="HC119" i="112"/>
  <c r="HC105" i="112"/>
  <c r="DX23" i="112"/>
  <c r="DX19" i="112"/>
  <c r="DX100" i="113"/>
  <c r="DX34" i="112"/>
  <c r="DX12" i="51"/>
  <c r="FR12" i="112"/>
  <c r="DY34" i="112"/>
  <c r="HD12" i="112"/>
  <c r="FR119" i="112"/>
  <c r="FR105" i="112"/>
  <c r="V42" i="116"/>
  <c r="EC112" i="112"/>
  <c r="FS93" i="112"/>
  <c r="HE93" i="112"/>
  <c r="DZ126" i="112"/>
  <c r="EC126" i="112"/>
  <c r="EF93" i="112"/>
  <c r="EB12" i="112"/>
  <c r="DU41" i="112"/>
  <c r="DT30" i="112"/>
  <c r="DT41" i="112"/>
  <c r="HC152" i="112"/>
  <c r="HC164" i="112" s="1"/>
  <c r="DT102" i="113"/>
  <c r="FQ100" i="113"/>
  <c r="FQ107" i="113" s="1"/>
  <c r="HA100" i="113"/>
  <c r="HA107" i="113" s="1"/>
  <c r="HD119" i="112"/>
  <c r="FQ105" i="112"/>
  <c r="FQ119" i="112"/>
  <c r="R42" i="116"/>
  <c r="FP237" i="112"/>
  <c r="FP242" i="112"/>
  <c r="FP80" i="51"/>
  <c r="T76" i="115"/>
  <c r="W76" i="115"/>
  <c r="O76" i="115"/>
  <c r="S76" i="115"/>
  <c r="N76" i="115"/>
  <c r="HB12" i="51"/>
  <c r="DT21" i="51"/>
  <c r="DT15" i="51"/>
  <c r="DT32" i="51"/>
  <c r="FP119" i="51" s="1"/>
  <c r="FQ12" i="51"/>
  <c r="DT64" i="51"/>
  <c r="DT73" i="51" s="1"/>
  <c r="DU32" i="51"/>
  <c r="FQ119" i="51" s="1"/>
  <c r="T82" i="115"/>
  <c r="S82" i="115"/>
  <c r="N82" i="115"/>
  <c r="O82" i="115"/>
  <c r="W82" i="115"/>
  <c r="AG48" i="116"/>
  <c r="P48" i="116"/>
  <c r="Q48" i="116" s="1"/>
  <c r="DS232" i="112"/>
  <c r="DR80" i="51"/>
  <c r="DR145" i="113"/>
  <c r="DR237" i="112"/>
  <c r="DR242" i="112"/>
  <c r="HD105" i="112"/>
  <c r="EB119" i="112" l="1"/>
  <c r="EB126" i="112"/>
  <c r="EC119" i="112"/>
  <c r="EA126" i="112"/>
  <c r="AI42" i="116"/>
  <c r="X42" i="116"/>
  <c r="Y42" i="116" s="1"/>
  <c r="HC12" i="51"/>
  <c r="DX15" i="51"/>
  <c r="R14" i="118" s="1"/>
  <c r="FR12" i="51"/>
  <c r="DY32" i="51"/>
  <c r="DX32" i="51"/>
  <c r="DX21" i="51"/>
  <c r="DX64" i="51"/>
  <c r="DX73" i="51" s="1"/>
  <c r="T42" i="116"/>
  <c r="U42" i="116" s="1"/>
  <c r="AH42" i="116"/>
  <c r="FQ102" i="113"/>
  <c r="FQ109" i="113" s="1"/>
  <c r="HA102" i="113"/>
  <c r="HA109" i="113" s="1"/>
  <c r="DT15" i="113"/>
  <c r="DT109" i="113"/>
  <c r="EB19" i="112"/>
  <c r="EB23" i="112"/>
  <c r="EB100" i="113"/>
  <c r="EB12" i="51"/>
  <c r="FS12" i="112"/>
  <c r="EB34" i="112"/>
  <c r="EC34" i="112"/>
  <c r="HE12" i="112"/>
  <c r="DT232" i="112"/>
  <c r="DS145" i="113"/>
  <c r="DS80" i="51"/>
  <c r="DS237" i="112"/>
  <c r="DS242" i="112"/>
  <c r="DT57" i="51"/>
  <c r="HB15" i="51"/>
  <c r="DU35" i="51"/>
  <c r="DT66" i="51"/>
  <c r="DT75" i="51" s="1"/>
  <c r="O14" i="118"/>
  <c r="DT35" i="51"/>
  <c r="DT24" i="51"/>
  <c r="FQ15" i="51"/>
  <c r="EG119" i="112"/>
  <c r="EF112" i="112"/>
  <c r="HF93" i="112"/>
  <c r="EF126" i="112"/>
  <c r="EG112" i="112"/>
  <c r="EE126" i="112"/>
  <c r="FT93" i="112"/>
  <c r="ED126" i="112"/>
  <c r="EJ93" i="112"/>
  <c r="EF12" i="112"/>
  <c r="EF119" i="112"/>
  <c r="EG126" i="112"/>
  <c r="FR100" i="113"/>
  <c r="FR107" i="113" s="1"/>
  <c r="DX102" i="113"/>
  <c r="HB100" i="113"/>
  <c r="HB107" i="113" s="1"/>
  <c r="DQ143" i="113"/>
  <c r="DP68" i="113"/>
  <c r="DP142" i="113"/>
  <c r="HD19" i="112"/>
  <c r="HD30" i="112" s="1"/>
  <c r="HD152" i="112"/>
  <c r="HD164" i="112" s="1"/>
  <c r="HD23" i="112"/>
  <c r="DY41" i="112"/>
  <c r="DX41" i="112"/>
  <c r="DX30" i="112"/>
  <c r="R23" i="116"/>
  <c r="FQ64" i="51"/>
  <c r="FQ73" i="51" s="1"/>
  <c r="FQ21" i="51"/>
  <c r="FS105" i="112"/>
  <c r="FS119" i="112"/>
  <c r="HB21" i="51"/>
  <c r="HE119" i="112"/>
  <c r="HE105" i="112"/>
  <c r="FR19" i="112"/>
  <c r="FR30" i="112" s="1"/>
  <c r="FR23" i="112"/>
  <c r="FR152" i="112"/>
  <c r="FR164" i="112" s="1"/>
  <c r="L14" i="118" l="1"/>
  <c r="V19" i="118" s="1"/>
  <c r="W39" i="118" s="1"/>
  <c r="U39" i="118" s="1"/>
  <c r="HB102" i="113"/>
  <c r="HB109" i="113" s="1"/>
  <c r="DX109" i="113"/>
  <c r="DX15" i="113"/>
  <c r="FR102" i="113"/>
  <c r="FR109" i="113" s="1"/>
  <c r="DU57" i="51"/>
  <c r="DT52" i="51"/>
  <c r="HE19" i="112"/>
  <c r="HE30" i="112" s="1"/>
  <c r="HE23" i="112"/>
  <c r="HE152" i="112"/>
  <c r="HE164" i="112" s="1"/>
  <c r="EB30" i="112"/>
  <c r="EC41" i="112"/>
  <c r="EB41" i="112"/>
  <c r="V23" i="116"/>
  <c r="FR21" i="51"/>
  <c r="FR64" i="51"/>
  <c r="FR73" i="51" s="1"/>
  <c r="AH55" i="116"/>
  <c r="AH23" i="116"/>
  <c r="T23" i="116"/>
  <c r="U23" i="116" s="1"/>
  <c r="R48" i="116"/>
  <c r="HC15" i="51"/>
  <c r="DY35" i="51"/>
  <c r="DX66" i="51"/>
  <c r="DX75" i="51" s="1"/>
  <c r="DX35" i="51"/>
  <c r="FR15" i="51"/>
  <c r="DX24" i="51"/>
  <c r="DP67" i="113"/>
  <c r="DP69" i="113"/>
  <c r="FS19" i="112"/>
  <c r="FS30" i="112" s="1"/>
  <c r="FS152" i="112"/>
  <c r="FS164" i="112" s="1"/>
  <c r="FS23" i="112"/>
  <c r="HA15" i="113"/>
  <c r="DT56" i="113"/>
  <c r="FQ15" i="113"/>
  <c r="DU56" i="113"/>
  <c r="DT28" i="113"/>
  <c r="DT41" i="113"/>
  <c r="HC21" i="51"/>
  <c r="DP13" i="113"/>
  <c r="DP146" i="113"/>
  <c r="HF12" i="112"/>
  <c r="EF12" i="51"/>
  <c r="EF19" i="112"/>
  <c r="FT12" i="112"/>
  <c r="EG34" i="112"/>
  <c r="EF34" i="112"/>
  <c r="EF100" i="113"/>
  <c r="EF23" i="112"/>
  <c r="HB24" i="51"/>
  <c r="HD12" i="51"/>
  <c r="EB32" i="51"/>
  <c r="EB15" i="51"/>
  <c r="FS12" i="51"/>
  <c r="EB64" i="51"/>
  <c r="EB73" i="51" s="1"/>
  <c r="EC32" i="51"/>
  <c r="EB21" i="51"/>
  <c r="FT119" i="112"/>
  <c r="FT105" i="112"/>
  <c r="FQ24" i="51"/>
  <c r="G14" i="118"/>
  <c r="FQ66" i="51"/>
  <c r="FQ75" i="51" s="1"/>
  <c r="R26" i="116"/>
  <c r="FP143" i="113"/>
  <c r="DQ68" i="113"/>
  <c r="DR143" i="113"/>
  <c r="DQ142" i="113"/>
  <c r="EK112" i="112"/>
  <c r="FU93" i="112"/>
  <c r="EI126" i="112"/>
  <c r="EJ112" i="112"/>
  <c r="EK119" i="112"/>
  <c r="EK126" i="112"/>
  <c r="EJ119" i="112"/>
  <c r="EJ126" i="112"/>
  <c r="EJ12" i="112"/>
  <c r="EH126" i="112"/>
  <c r="HF119" i="112"/>
  <c r="HF105" i="112"/>
  <c r="DT145" i="113"/>
  <c r="DU232" i="112"/>
  <c r="DT237" i="112"/>
  <c r="DT242" i="112"/>
  <c r="DT80" i="51"/>
  <c r="FS100" i="113"/>
  <c r="FS107" i="113" s="1"/>
  <c r="EB102" i="113"/>
  <c r="HC100" i="113"/>
  <c r="HC107" i="113" s="1"/>
  <c r="W42" i="118" l="1"/>
  <c r="U42" i="118" s="1"/>
  <c r="FQ232" i="112"/>
  <c r="DU237" i="112"/>
  <c r="DU80" i="51"/>
  <c r="DU242" i="112"/>
  <c r="DU145" i="113"/>
  <c r="FQ145" i="113" s="1"/>
  <c r="DV232" i="112"/>
  <c r="FU105" i="112"/>
  <c r="FU119" i="112"/>
  <c r="T26" i="116"/>
  <c r="U26" i="116" s="1"/>
  <c r="AH26" i="116"/>
  <c r="AH58" i="116"/>
  <c r="AH62" i="116"/>
  <c r="HC102" i="113"/>
  <c r="HC109" i="113" s="1"/>
  <c r="EB109" i="113"/>
  <c r="EB15" i="113"/>
  <c r="FS102" i="113"/>
  <c r="FS109" i="113" s="1"/>
  <c r="DT48" i="51"/>
  <c r="G29" i="118"/>
  <c r="G65" i="118" s="1"/>
  <c r="G50" i="118" s="1"/>
  <c r="W72" i="118"/>
  <c r="U72" i="118" s="1"/>
  <c r="DP20" i="113"/>
  <c r="DP54" i="113"/>
  <c r="DP26" i="113"/>
  <c r="DP39" i="113"/>
  <c r="HA41" i="113"/>
  <c r="HA28" i="113"/>
  <c r="DV57" i="51"/>
  <c r="DU52" i="51"/>
  <c r="FQ52" i="51" s="1"/>
  <c r="R30" i="116" s="1"/>
  <c r="DQ146" i="113"/>
  <c r="DQ13" i="113"/>
  <c r="GZ143" i="113"/>
  <c r="GZ145" i="113" s="1"/>
  <c r="DR68" i="113"/>
  <c r="DR142" i="113"/>
  <c r="DS143" i="113"/>
  <c r="FT19" i="112"/>
  <c r="FT30" i="112" s="1"/>
  <c r="FT23" i="112"/>
  <c r="FT152" i="112"/>
  <c r="FT164" i="112" s="1"/>
  <c r="H14" i="118"/>
  <c r="H29" i="118" s="1"/>
  <c r="FR66" i="51"/>
  <c r="FR75" i="51" s="1"/>
  <c r="V26" i="116"/>
  <c r="FR24" i="51"/>
  <c r="HC24" i="51"/>
  <c r="FS64" i="51"/>
  <c r="FS73" i="51" s="1"/>
  <c r="FS21" i="51"/>
  <c r="EG41" i="112"/>
  <c r="EF41" i="112"/>
  <c r="EF30" i="112"/>
  <c r="FP142" i="113"/>
  <c r="HB15" i="113"/>
  <c r="FR15" i="113"/>
  <c r="DX28" i="113"/>
  <c r="DY56" i="113"/>
  <c r="DX41" i="113"/>
  <c r="DX56" i="113"/>
  <c r="HD21" i="51"/>
  <c r="FP68" i="113"/>
  <c r="DQ69" i="113"/>
  <c r="FP69" i="113" s="1"/>
  <c r="EJ100" i="113"/>
  <c r="EJ34" i="112"/>
  <c r="EJ19" i="112"/>
  <c r="FU12" i="112"/>
  <c r="EK34" i="112"/>
  <c r="EJ23" i="112"/>
  <c r="EJ12" i="51"/>
  <c r="HD15" i="51"/>
  <c r="EB66" i="51"/>
  <c r="EB75" i="51" s="1"/>
  <c r="EB24" i="51"/>
  <c r="EC35" i="51"/>
  <c r="EB35" i="51"/>
  <c r="FS15" i="51"/>
  <c r="HE12" i="51"/>
  <c r="EF15" i="51"/>
  <c r="FT12" i="51"/>
  <c r="EG32" i="51"/>
  <c r="EF32" i="51"/>
  <c r="EF64" i="51"/>
  <c r="EF73" i="51" s="1"/>
  <c r="EF21" i="51"/>
  <c r="T48" i="116"/>
  <c r="U48" i="116" s="1"/>
  <c r="AH48" i="116"/>
  <c r="HD100" i="113"/>
  <c r="HD107" i="113" s="1"/>
  <c r="EF102" i="113"/>
  <c r="FT100" i="113"/>
  <c r="FT107" i="113" s="1"/>
  <c r="HF19" i="112"/>
  <c r="HF30" i="112" s="1"/>
  <c r="HF23" i="112"/>
  <c r="HF152" i="112"/>
  <c r="HF164" i="112" s="1"/>
  <c r="FQ41" i="113"/>
  <c r="FQ28" i="113"/>
  <c r="AI55" i="116"/>
  <c r="X23" i="116"/>
  <c r="Y23" i="116" s="1"/>
  <c r="V48" i="116"/>
  <c r="AI23" i="116"/>
  <c r="AH30" i="116" l="1"/>
  <c r="R34" i="116"/>
  <c r="T30" i="116"/>
  <c r="U30" i="116" s="1"/>
  <c r="AH65" i="116"/>
  <c r="HE21" i="51"/>
  <c r="FP20" i="113"/>
  <c r="GZ20" i="113"/>
  <c r="DP33" i="113"/>
  <c r="DT20" i="113"/>
  <c r="DP46" i="113"/>
  <c r="DQ61" i="113"/>
  <c r="DP61" i="113"/>
  <c r="DV242" i="112"/>
  <c r="DV80" i="51"/>
  <c r="DV237" i="112"/>
  <c r="DV145" i="113"/>
  <c r="DW232" i="112"/>
  <c r="FR28" i="113"/>
  <c r="FR41" i="113"/>
  <c r="DQ21" i="113"/>
  <c r="DQ39" i="113"/>
  <c r="DQ26" i="113"/>
  <c r="DQ54" i="113"/>
  <c r="FP13" i="113"/>
  <c r="EJ30" i="112"/>
  <c r="EJ41" i="112"/>
  <c r="EK41" i="112"/>
  <c r="HB28" i="113"/>
  <c r="HB41" i="113"/>
  <c r="AI26" i="116"/>
  <c r="AI58" i="116"/>
  <c r="X26" i="116"/>
  <c r="Y26" i="116" s="1"/>
  <c r="AI62" i="116"/>
  <c r="W75" i="118"/>
  <c r="U75" i="118" s="1"/>
  <c r="G52" i="118"/>
  <c r="FS66" i="51"/>
  <c r="FS75" i="51" s="1"/>
  <c r="FS24" i="51"/>
  <c r="I14" i="118"/>
  <c r="I29" i="118" s="1"/>
  <c r="DS142" i="113"/>
  <c r="DS68" i="113"/>
  <c r="HA143" i="113"/>
  <c r="HA145" i="113" s="1"/>
  <c r="DT143" i="113"/>
  <c r="DU48" i="51"/>
  <c r="HC15" i="113"/>
  <c r="EC56" i="113"/>
  <c r="FS15" i="113"/>
  <c r="EB28" i="113"/>
  <c r="EB56" i="113"/>
  <c r="EB41" i="113"/>
  <c r="FU19" i="112"/>
  <c r="FU30" i="112" s="1"/>
  <c r="FU152" i="112"/>
  <c r="FU164" i="112" s="1"/>
  <c r="FU23" i="112"/>
  <c r="HD24" i="51"/>
  <c r="AI48" i="116"/>
  <c r="X48" i="116"/>
  <c r="Y48" i="116" s="1"/>
  <c r="FP144" i="113"/>
  <c r="FP146" i="113"/>
  <c r="EJ21" i="51"/>
  <c r="EJ15" i="51"/>
  <c r="EK32" i="51"/>
  <c r="EJ32" i="51"/>
  <c r="FU12" i="51"/>
  <c r="EJ64" i="51"/>
  <c r="EJ73" i="51" s="1"/>
  <c r="EJ102" i="113"/>
  <c r="FU100" i="113"/>
  <c r="FU107" i="113" s="1"/>
  <c r="H65" i="118"/>
  <c r="H50" i="118" s="1"/>
  <c r="DR146" i="113"/>
  <c r="DR13" i="113"/>
  <c r="GZ13" i="113" s="1"/>
  <c r="DW57" i="51"/>
  <c r="DV52" i="51"/>
  <c r="HB52" i="51" s="1"/>
  <c r="FT102" i="113"/>
  <c r="FT109" i="113" s="1"/>
  <c r="EF109" i="113"/>
  <c r="HD102" i="113"/>
  <c r="HD109" i="113" s="1"/>
  <c r="EF15" i="113"/>
  <c r="FT21" i="51"/>
  <c r="FT64" i="51"/>
  <c r="FT73" i="51" s="1"/>
  <c r="HE15" i="51"/>
  <c r="FT15" i="51"/>
  <c r="EG35" i="51"/>
  <c r="EF66" i="51"/>
  <c r="EF75" i="51" s="1"/>
  <c r="EF35" i="51"/>
  <c r="EF24" i="51"/>
  <c r="GZ142" i="113"/>
  <c r="DR69" i="113"/>
  <c r="GZ68" i="113"/>
  <c r="GZ69" i="113" s="1"/>
  <c r="FQ237" i="112"/>
  <c r="FQ242" i="112"/>
  <c r="FQ80" i="51"/>
  <c r="H52" i="118" l="1"/>
  <c r="HE24" i="51"/>
  <c r="DR26" i="113"/>
  <c r="DR54" i="113"/>
  <c r="DR39" i="113"/>
  <c r="DR21" i="113"/>
  <c r="GZ21" i="113" s="1"/>
  <c r="DS146" i="113"/>
  <c r="DS13" i="113"/>
  <c r="G77" i="118"/>
  <c r="G67" i="118"/>
  <c r="G80" i="118"/>
  <c r="DW242" i="112"/>
  <c r="DW237" i="112"/>
  <c r="DX232" i="112"/>
  <c r="DW80" i="51"/>
  <c r="DW145" i="113"/>
  <c r="FU64" i="51"/>
  <c r="FU73" i="51" s="1"/>
  <c r="FU21" i="51"/>
  <c r="FS28" i="113"/>
  <c r="FS41" i="113"/>
  <c r="I65" i="118"/>
  <c r="I50" i="118" s="1"/>
  <c r="GZ26" i="113"/>
  <c r="GZ39" i="113"/>
  <c r="HA20" i="113"/>
  <c r="FQ20" i="113"/>
  <c r="DX20" i="113"/>
  <c r="DU61" i="113"/>
  <c r="DT61" i="113"/>
  <c r="DT33" i="113"/>
  <c r="DQ67" i="113"/>
  <c r="FP67" i="113" s="1"/>
  <c r="DQ34" i="113"/>
  <c r="DQ16" i="51"/>
  <c r="DQ62" i="113"/>
  <c r="DQ47" i="113"/>
  <c r="DQ49" i="113" s="1"/>
  <c r="FP21" i="113"/>
  <c r="HC41" i="113"/>
  <c r="HC28" i="113"/>
  <c r="GZ146" i="113"/>
  <c r="GZ144" i="113"/>
  <c r="DV48" i="51"/>
  <c r="GZ46" i="113"/>
  <c r="GZ33" i="113"/>
  <c r="AH34" i="116"/>
  <c r="U34" i="116"/>
  <c r="DT68" i="113"/>
  <c r="DT69" i="113" s="1"/>
  <c r="DT142" i="113"/>
  <c r="DU143" i="113"/>
  <c r="J14" i="118"/>
  <c r="J29" i="118" s="1"/>
  <c r="FT24" i="51"/>
  <c r="FT66" i="51"/>
  <c r="FT75" i="51" s="1"/>
  <c r="FT15" i="113"/>
  <c r="HD15" i="113"/>
  <c r="EF28" i="113"/>
  <c r="EG56" i="113"/>
  <c r="EF41" i="113"/>
  <c r="EF56" i="113"/>
  <c r="DX57" i="51"/>
  <c r="DW52" i="51"/>
  <c r="EJ15" i="113"/>
  <c r="FU102" i="113"/>
  <c r="FU109" i="113" s="1"/>
  <c r="EJ109" i="113"/>
  <c r="FU15" i="51"/>
  <c r="EK35" i="51"/>
  <c r="EJ66" i="51"/>
  <c r="EJ75" i="51" s="1"/>
  <c r="EJ24" i="51"/>
  <c r="EJ35" i="51"/>
  <c r="FQ48" i="51"/>
  <c r="HA68" i="113"/>
  <c r="HA69" i="113" s="1"/>
  <c r="DS69" i="113"/>
  <c r="FP39" i="113"/>
  <c r="FP26" i="113"/>
  <c r="FP33" i="113"/>
  <c r="FP46" i="113"/>
  <c r="I52" i="118" l="1"/>
  <c r="DT13" i="113"/>
  <c r="DT146" i="113"/>
  <c r="HB20" i="113"/>
  <c r="DX33" i="113"/>
  <c r="FR20" i="113"/>
  <c r="EB20" i="113"/>
  <c r="DY61" i="113"/>
  <c r="DX61" i="113"/>
  <c r="FU66" i="51"/>
  <c r="FU75" i="51" s="1"/>
  <c r="K14" i="118"/>
  <c r="FU24" i="51"/>
  <c r="GZ47" i="113"/>
  <c r="GZ34" i="113"/>
  <c r="FP34" i="113"/>
  <c r="FP47" i="113"/>
  <c r="FQ33" i="113"/>
  <c r="FQ46" i="113"/>
  <c r="DR34" i="113"/>
  <c r="DR47" i="113"/>
  <c r="DR49" i="113" s="1"/>
  <c r="DR62" i="113"/>
  <c r="DR16" i="51"/>
  <c r="DR67" i="113"/>
  <c r="GZ67" i="113" s="1"/>
  <c r="DY57" i="51"/>
  <c r="DX52" i="51"/>
  <c r="HA33" i="113"/>
  <c r="HA46" i="113"/>
  <c r="DX80" i="51"/>
  <c r="DX242" i="112"/>
  <c r="DX237" i="112"/>
  <c r="DY232" i="112"/>
  <c r="DX145" i="113"/>
  <c r="HB48" i="51"/>
  <c r="J65" i="118"/>
  <c r="J50" i="118" s="1"/>
  <c r="FT28" i="113"/>
  <c r="FT41" i="113"/>
  <c r="FU15" i="113"/>
  <c r="EJ28" i="113"/>
  <c r="EK56" i="113"/>
  <c r="EJ41" i="113"/>
  <c r="EJ56" i="113"/>
  <c r="DW48" i="51"/>
  <c r="HD28" i="113"/>
  <c r="HD41" i="113"/>
  <c r="FQ143" i="113"/>
  <c r="DU68" i="113"/>
  <c r="DV143" i="113"/>
  <c r="HC143" i="113"/>
  <c r="DU142" i="113"/>
  <c r="M93" i="115"/>
  <c r="DQ25" i="51"/>
  <c r="FP16" i="51"/>
  <c r="DQ53" i="51"/>
  <c r="DQ36" i="51"/>
  <c r="FQ136" i="51" s="1"/>
  <c r="DQ17" i="51"/>
  <c r="DQ67" i="51"/>
  <c r="DQ76" i="51" s="1"/>
  <c r="DS21" i="113"/>
  <c r="DS26" i="113"/>
  <c r="DS39" i="113"/>
  <c r="DS54" i="113"/>
  <c r="H67" i="118"/>
  <c r="H80" i="118"/>
  <c r="H77" i="118"/>
  <c r="J52" i="118" l="1"/>
  <c r="X93" i="115"/>
  <c r="O93" i="115"/>
  <c r="DR53" i="51"/>
  <c r="HA53" i="51" s="1"/>
  <c r="DR36" i="51"/>
  <c r="FN137" i="51" s="1"/>
  <c r="DR17" i="51"/>
  <c r="HA17" i="51" s="1"/>
  <c r="DR67" i="51"/>
  <c r="DR76" i="51" s="1"/>
  <c r="DR25" i="51"/>
  <c r="DQ54" i="51"/>
  <c r="FP53" i="51"/>
  <c r="N31" i="116" s="1"/>
  <c r="M96" i="115"/>
  <c r="DU13" i="113"/>
  <c r="FQ13" i="113" s="1"/>
  <c r="DU146" i="113"/>
  <c r="FS20" i="113"/>
  <c r="HC20" i="113"/>
  <c r="EB33" i="113"/>
  <c r="EB61" i="113"/>
  <c r="EF20" i="113"/>
  <c r="EC61" i="113"/>
  <c r="DT21" i="113"/>
  <c r="DT39" i="113"/>
  <c r="DT26" i="113"/>
  <c r="DT54" i="113"/>
  <c r="K29" i="118"/>
  <c r="K65" i="118" s="1"/>
  <c r="K50" i="118" s="1"/>
  <c r="W82" i="118"/>
  <c r="U82" i="118" s="1"/>
  <c r="FR46" i="113"/>
  <c r="FR33" i="113"/>
  <c r="FU41" i="113"/>
  <c r="FU28" i="113"/>
  <c r="DS34" i="113"/>
  <c r="DS47" i="113"/>
  <c r="DS49" i="113" s="1"/>
  <c r="DS67" i="113"/>
  <c r="HA67" i="113" s="1"/>
  <c r="DS62" i="113"/>
  <c r="DS16" i="51"/>
  <c r="DW143" i="113"/>
  <c r="DV68" i="113"/>
  <c r="DV69" i="113" s="1"/>
  <c r="DV142" i="113"/>
  <c r="DZ232" i="112"/>
  <c r="DY80" i="51"/>
  <c r="DY242" i="112"/>
  <c r="FR232" i="112"/>
  <c r="DY237" i="112"/>
  <c r="DY145" i="113"/>
  <c r="FR145" i="113" s="1"/>
  <c r="HA16" i="51"/>
  <c r="DU69" i="113"/>
  <c r="FQ69" i="113" s="1"/>
  <c r="HC68" i="113"/>
  <c r="FQ68" i="113"/>
  <c r="DZ57" i="51"/>
  <c r="DY52" i="51"/>
  <c r="HB46" i="113"/>
  <c r="HB33" i="113"/>
  <c r="FP67" i="51"/>
  <c r="FP76" i="51" s="1"/>
  <c r="FP25" i="51"/>
  <c r="F15" i="118"/>
  <c r="F30" i="118" s="1"/>
  <c r="N27" i="116"/>
  <c r="DQ49" i="51"/>
  <c r="DX48" i="51"/>
  <c r="DQ46" i="51"/>
  <c r="DQ42" i="51"/>
  <c r="DQ26" i="51"/>
  <c r="DQ28" i="51" s="1"/>
  <c r="FP17" i="51"/>
  <c r="FP45" i="51" s="1"/>
  <c r="CW16" i="6"/>
  <c r="DQ37" i="51"/>
  <c r="DQ68" i="51"/>
  <c r="DQ77" i="51" s="1"/>
  <c r="DQ9" i="1"/>
  <c r="DQ44" i="51"/>
  <c r="DQ40" i="51"/>
  <c r="DQ41" i="51"/>
  <c r="DQ43" i="51"/>
  <c r="DQ45" i="51"/>
  <c r="FQ142" i="113"/>
  <c r="I77" i="118"/>
  <c r="I80" i="118"/>
  <c r="I67" i="118"/>
  <c r="DR45" i="51" l="1"/>
  <c r="DR49" i="51"/>
  <c r="K52" i="118"/>
  <c r="W85" i="118"/>
  <c r="U85" i="118" s="1"/>
  <c r="FQ146" i="113"/>
  <c r="FQ144" i="113"/>
  <c r="EA57" i="51"/>
  <c r="DZ52" i="51"/>
  <c r="HC52" i="51" s="1"/>
  <c r="FR242" i="112"/>
  <c r="FR237" i="112"/>
  <c r="FR80" i="51"/>
  <c r="DY48" i="51"/>
  <c r="FR48" i="51" s="1"/>
  <c r="DV13" i="113"/>
  <c r="HA13" i="113" s="1"/>
  <c r="DV146" i="113"/>
  <c r="DR37" i="51"/>
  <c r="DR41" i="51"/>
  <c r="DR26" i="51"/>
  <c r="DR28" i="51" s="1"/>
  <c r="DR9" i="1"/>
  <c r="GZ9" i="1" s="1"/>
  <c r="DR68" i="51"/>
  <c r="DR77" i="51" s="1"/>
  <c r="DR42" i="51"/>
  <c r="DR43" i="51"/>
  <c r="CX16" i="6"/>
  <c r="DR40" i="51"/>
  <c r="DR44" i="51"/>
  <c r="DR46" i="51"/>
  <c r="DQ65" i="1"/>
  <c r="DQ96" i="1"/>
  <c r="FP9" i="1"/>
  <c r="DQ67" i="1"/>
  <c r="DQ13" i="2"/>
  <c r="DQ39" i="1"/>
  <c r="DQ63" i="1"/>
  <c r="M94" i="115"/>
  <c r="DQ117" i="1"/>
  <c r="DQ60" i="1"/>
  <c r="DQ75" i="1"/>
  <c r="DQ64" i="1"/>
  <c r="EK11" i="119"/>
  <c r="EK270" i="119" s="1"/>
  <c r="HC46" i="113"/>
  <c r="HC33" i="113"/>
  <c r="X96" i="115"/>
  <c r="M134" i="115"/>
  <c r="O96" i="115"/>
  <c r="DQ50" i="51"/>
  <c r="HA49" i="51"/>
  <c r="HA58" i="51" s="1"/>
  <c r="FP49" i="51"/>
  <c r="FP58" i="51" s="1"/>
  <c r="FS46" i="113"/>
  <c r="FS33" i="113"/>
  <c r="N35" i="116"/>
  <c r="P31" i="116"/>
  <c r="Q31" i="116" s="1"/>
  <c r="AG66" i="116"/>
  <c r="AG31" i="116"/>
  <c r="FR52" i="51"/>
  <c r="V30" i="116" s="1"/>
  <c r="HA26" i="51"/>
  <c r="HA40" i="51"/>
  <c r="HA43" i="51"/>
  <c r="HA42" i="51"/>
  <c r="HA44" i="51"/>
  <c r="HA41" i="51"/>
  <c r="HA46" i="51"/>
  <c r="HA142" i="113"/>
  <c r="FP54" i="51"/>
  <c r="N32" i="116" s="1"/>
  <c r="M97" i="115"/>
  <c r="DR50" i="51"/>
  <c r="J77" i="118"/>
  <c r="J67" i="118"/>
  <c r="J80" i="118"/>
  <c r="DX143" i="113"/>
  <c r="DW68" i="113"/>
  <c r="DW69" i="113" s="1"/>
  <c r="DW142" i="113"/>
  <c r="DS25" i="51"/>
  <c r="DS53" i="51"/>
  <c r="DS17" i="51"/>
  <c r="DS67" i="51"/>
  <c r="DS76" i="51" s="1"/>
  <c r="DS36" i="51"/>
  <c r="FO137" i="51" s="1"/>
  <c r="CW17" i="6"/>
  <c r="CW82" i="6"/>
  <c r="CW94" i="6"/>
  <c r="CW49" i="6"/>
  <c r="CW67" i="6"/>
  <c r="CW85" i="6"/>
  <c r="EK176" i="119" s="1"/>
  <c r="EQ16" i="6"/>
  <c r="CW86" i="6"/>
  <c r="P27" i="116"/>
  <c r="Q27" i="116" s="1"/>
  <c r="AG27" i="116"/>
  <c r="AG63" i="116"/>
  <c r="FQ26" i="113"/>
  <c r="FQ39" i="113"/>
  <c r="HD20" i="113"/>
  <c r="FT20" i="113"/>
  <c r="EF33" i="113"/>
  <c r="EF61" i="113"/>
  <c r="EG61" i="113"/>
  <c r="EJ20" i="113"/>
  <c r="DR54" i="51"/>
  <c r="HA54" i="51" s="1"/>
  <c r="DT47" i="113"/>
  <c r="DT49" i="113" s="1"/>
  <c r="DT34" i="113"/>
  <c r="DT62" i="113"/>
  <c r="DT16" i="51"/>
  <c r="DT67" i="113"/>
  <c r="FP46" i="51"/>
  <c r="FP40" i="51"/>
  <c r="FP41" i="51"/>
  <c r="FP43" i="51"/>
  <c r="N28" i="116"/>
  <c r="FP44" i="51"/>
  <c r="FP68" i="51"/>
  <c r="FP77" i="51" s="1"/>
  <c r="FP26" i="51"/>
  <c r="FP42" i="51"/>
  <c r="HA45" i="51"/>
  <c r="HA25" i="51"/>
  <c r="DZ242" i="112"/>
  <c r="DZ80" i="51"/>
  <c r="DZ145" i="113"/>
  <c r="EA232" i="112"/>
  <c r="DZ237" i="112"/>
  <c r="DU21" i="113"/>
  <c r="FQ21" i="113" s="1"/>
  <c r="DU54" i="113"/>
  <c r="DU26" i="113"/>
  <c r="DU39" i="113"/>
  <c r="M131" i="115" l="1"/>
  <c r="FQ34" i="113"/>
  <c r="FQ47" i="113"/>
  <c r="HA39" i="113"/>
  <c r="HA26" i="113"/>
  <c r="EB232" i="112"/>
  <c r="EA145" i="113"/>
  <c r="EA80" i="51"/>
  <c r="EA242" i="112"/>
  <c r="EA237" i="112"/>
  <c r="EQ85" i="6"/>
  <c r="AE176" i="119" s="1"/>
  <c r="EQ18" i="6"/>
  <c r="EQ86" i="6"/>
  <c r="EQ17" i="6"/>
  <c r="EQ49" i="6"/>
  <c r="EQ94" i="6"/>
  <c r="EQ82" i="6"/>
  <c r="DS26" i="51"/>
  <c r="DS28" i="51" s="1"/>
  <c r="DS68" i="51"/>
  <c r="DS77" i="51" s="1"/>
  <c r="DS41" i="51"/>
  <c r="DS9" i="1"/>
  <c r="DS42" i="51"/>
  <c r="DS46" i="51"/>
  <c r="CY16" i="6"/>
  <c r="DS44" i="51"/>
  <c r="DS43" i="51"/>
  <c r="DS40" i="51"/>
  <c r="DS37" i="51"/>
  <c r="DX142" i="113"/>
  <c r="DX68" i="113"/>
  <c r="DX69" i="113" s="1"/>
  <c r="DY143" i="113"/>
  <c r="AG35" i="116"/>
  <c r="Q35" i="116"/>
  <c r="FP39" i="1"/>
  <c r="AE11" i="119"/>
  <c r="AE270" i="119" s="1"/>
  <c r="N4" i="116"/>
  <c r="FP96" i="1"/>
  <c r="FP67" i="1"/>
  <c r="FP65" i="1"/>
  <c r="F16" i="118"/>
  <c r="FP60" i="1"/>
  <c r="FP63" i="1"/>
  <c r="FP64" i="1"/>
  <c r="CX67" i="6"/>
  <c r="CX94" i="6"/>
  <c r="CX86" i="6"/>
  <c r="CX49" i="6"/>
  <c r="DZ48" i="51"/>
  <c r="DS54" i="51"/>
  <c r="DR10" i="1"/>
  <c r="EB57" i="51"/>
  <c r="EA52" i="51"/>
  <c r="X97" i="115"/>
  <c r="O97" i="115"/>
  <c r="M98" i="115"/>
  <c r="O98" i="115" s="1"/>
  <c r="V34" i="116"/>
  <c r="AI30" i="116"/>
  <c r="X30" i="116"/>
  <c r="Y30" i="116" s="1"/>
  <c r="AI65" i="116"/>
  <c r="FQ13" i="2"/>
  <c r="DQ17" i="3"/>
  <c r="EK42" i="119"/>
  <c r="DT25" i="51"/>
  <c r="DT67" i="51"/>
  <c r="DT76" i="51" s="1"/>
  <c r="DT53" i="51"/>
  <c r="DT54" i="51" s="1"/>
  <c r="DT36" i="51"/>
  <c r="FP137" i="51" s="1"/>
  <c r="DT17" i="51"/>
  <c r="DT45" i="51" s="1"/>
  <c r="DU47" i="113"/>
  <c r="DU49" i="113" s="1"/>
  <c r="DU67" i="113"/>
  <c r="DU34" i="113"/>
  <c r="DU16" i="51"/>
  <c r="O15" i="118" s="1"/>
  <c r="DU62" i="113"/>
  <c r="FT46" i="113"/>
  <c r="FT33" i="113"/>
  <c r="CW45" i="6"/>
  <c r="CW10" i="6" s="1"/>
  <c r="CW44" i="6"/>
  <c r="CW9" i="6" s="1"/>
  <c r="CW47" i="6"/>
  <c r="CW12" i="6" s="1"/>
  <c r="DS45" i="51"/>
  <c r="DS49" i="51"/>
  <c r="P28" i="116"/>
  <c r="Q28" i="116" s="1"/>
  <c r="AG64" i="116"/>
  <c r="AG28" i="116"/>
  <c r="EJ61" i="113"/>
  <c r="FU20" i="113"/>
  <c r="EJ33" i="113"/>
  <c r="EK61" i="113"/>
  <c r="HD33" i="113"/>
  <c r="HD46" i="113"/>
  <c r="DW146" i="113"/>
  <c r="DW13" i="113"/>
  <c r="N36" i="116"/>
  <c r="P32" i="116"/>
  <c r="Q32" i="116" s="1"/>
  <c r="AG32" i="116"/>
  <c r="AG67" i="116"/>
  <c r="DR11" i="1"/>
  <c r="DR13" i="2"/>
  <c r="EL11" i="119"/>
  <c r="EL270" i="119" s="1"/>
  <c r="DR39" i="1"/>
  <c r="DR63" i="1"/>
  <c r="DR64" i="1"/>
  <c r="DR60" i="1"/>
  <c r="DR96" i="1"/>
  <c r="DR75" i="1"/>
  <c r="DR117" i="1"/>
  <c r="DR65" i="1"/>
  <c r="EK169" i="119"/>
  <c r="EK163" i="119"/>
  <c r="HA146" i="113"/>
  <c r="HA144" i="113"/>
  <c r="FP50" i="51"/>
  <c r="FP59" i="51" s="1"/>
  <c r="FP57" i="51" s="1"/>
  <c r="DQ10" i="1"/>
  <c r="HA50" i="51"/>
  <c r="HA59" i="51" s="1"/>
  <c r="HA57" i="51" s="1"/>
  <c r="O94" i="115"/>
  <c r="X94" i="115"/>
  <c r="GZ60" i="1"/>
  <c r="GZ96" i="1"/>
  <c r="GZ64" i="1"/>
  <c r="GZ65" i="1"/>
  <c r="GZ39" i="1"/>
  <c r="GZ63" i="1"/>
  <c r="DV39" i="113"/>
  <c r="DV21" i="113"/>
  <c r="DV26" i="113"/>
  <c r="DV54" i="113"/>
  <c r="K67" i="118"/>
  <c r="K77" i="118"/>
  <c r="K80" i="118"/>
  <c r="EK167" i="119" l="1"/>
  <c r="DT49" i="51"/>
  <c r="DT50" i="51" s="1"/>
  <c r="DT10" i="1" s="1"/>
  <c r="DT97" i="1" s="1"/>
  <c r="EA48" i="51"/>
  <c r="F44" i="118"/>
  <c r="F31" i="118"/>
  <c r="F41" i="118"/>
  <c r="AE169" i="119"/>
  <c r="AE163" i="119"/>
  <c r="EB145" i="113"/>
  <c r="EB237" i="112"/>
  <c r="EC232" i="112"/>
  <c r="EB80" i="51"/>
  <c r="EB242" i="112"/>
  <c r="DS50" i="51"/>
  <c r="EC57" i="51"/>
  <c r="EB52" i="51"/>
  <c r="DS96" i="1"/>
  <c r="EM11" i="119"/>
  <c r="EM270" i="119" s="1"/>
  <c r="DS13" i="2"/>
  <c r="DS117" i="1"/>
  <c r="DS75" i="1"/>
  <c r="DS63" i="1"/>
  <c r="DS39" i="1"/>
  <c r="DS64" i="1"/>
  <c r="DS60" i="1"/>
  <c r="DS65" i="1"/>
  <c r="Q36" i="116"/>
  <c r="AG36" i="116"/>
  <c r="CW32" i="6"/>
  <c r="CW83" i="6"/>
  <c r="EK164" i="119" s="1"/>
  <c r="EQ12" i="6"/>
  <c r="CW65" i="6"/>
  <c r="CW13" i="6"/>
  <c r="DT26" i="51"/>
  <c r="DT28" i="51" s="1"/>
  <c r="CZ16" i="6"/>
  <c r="DT40" i="51"/>
  <c r="DT37" i="51"/>
  <c r="DT46" i="51"/>
  <c r="DT9" i="1"/>
  <c r="DT68" i="51"/>
  <c r="DT77" i="51" s="1"/>
  <c r="DT42" i="51"/>
  <c r="DT43" i="51"/>
  <c r="DT41" i="51"/>
  <c r="DT44" i="51"/>
  <c r="FQ17" i="3"/>
  <c r="Y34" i="116"/>
  <c r="AI34" i="116"/>
  <c r="FU46" i="113"/>
  <c r="FU33" i="113"/>
  <c r="EQ9" i="6"/>
  <c r="CU18" i="6" s="1"/>
  <c r="CU19" i="6" s="1"/>
  <c r="CW62" i="6"/>
  <c r="CW29" i="6"/>
  <c r="CW80" i="6"/>
  <c r="DU67" i="51"/>
  <c r="DU76" i="51" s="1"/>
  <c r="DU17" i="51"/>
  <c r="DU45" i="51" s="1"/>
  <c r="DU53" i="51"/>
  <c r="DU49" i="51" s="1"/>
  <c r="DU50" i="51" s="1"/>
  <c r="DU10" i="1" s="1"/>
  <c r="O17" i="118" s="1"/>
  <c r="DU25" i="51"/>
  <c r="DU36" i="51"/>
  <c r="FQ137" i="51" s="1"/>
  <c r="EN18" i="119"/>
  <c r="DT40" i="1"/>
  <c r="FQ62" i="2"/>
  <c r="AE42" i="119"/>
  <c r="EL18" i="119"/>
  <c r="DR14" i="2"/>
  <c r="DR61" i="1"/>
  <c r="DR30" i="2"/>
  <c r="DR118" i="1"/>
  <c r="EL12" i="119"/>
  <c r="EL14" i="119"/>
  <c r="DR97" i="1"/>
  <c r="DR40" i="1"/>
  <c r="DR76" i="1"/>
  <c r="CX44" i="6"/>
  <c r="CX9" i="6" s="1"/>
  <c r="CX46" i="6"/>
  <c r="CX11" i="6" s="1"/>
  <c r="CX45" i="6"/>
  <c r="CX10" i="6" s="1"/>
  <c r="CX47" i="6"/>
  <c r="CX12" i="6" s="1"/>
  <c r="DZ143" i="113"/>
  <c r="DY142" i="113"/>
  <c r="DY68" i="113"/>
  <c r="FR143" i="113"/>
  <c r="DV47" i="113"/>
  <c r="DV49" i="113" s="1"/>
  <c r="DV16" i="51"/>
  <c r="P15" i="118" s="1"/>
  <c r="DV62" i="113"/>
  <c r="DV34" i="113"/>
  <c r="DV67" i="113"/>
  <c r="HA21" i="113"/>
  <c r="FP10" i="1"/>
  <c r="DQ14" i="2"/>
  <c r="GZ10" i="1"/>
  <c r="DQ30" i="2"/>
  <c r="DQ61" i="1"/>
  <c r="EK18" i="119"/>
  <c r="EK19" i="119" s="1"/>
  <c r="EK12" i="119"/>
  <c r="DQ118" i="1"/>
  <c r="EK14" i="119"/>
  <c r="DQ97" i="1"/>
  <c r="DQ40" i="1"/>
  <c r="DQ76" i="1"/>
  <c r="DQ11" i="1"/>
  <c r="DR119" i="1" s="1"/>
  <c r="DS17" i="3"/>
  <c r="EL42" i="119"/>
  <c r="DW21" i="113"/>
  <c r="DW26" i="113"/>
  <c r="DW54" i="113"/>
  <c r="DW39" i="113"/>
  <c r="FQ16" i="51"/>
  <c r="CW30" i="6"/>
  <c r="CW81" i="6"/>
  <c r="CW63" i="6"/>
  <c r="EQ10" i="6"/>
  <c r="HC48" i="51"/>
  <c r="DR17" i="3"/>
  <c r="P4" i="116"/>
  <c r="Q4" i="116" s="1"/>
  <c r="AG4" i="116"/>
  <c r="CY49" i="6"/>
  <c r="CY86" i="6"/>
  <c r="CY94" i="6"/>
  <c r="CY67" i="6"/>
  <c r="EQ21" i="6"/>
  <c r="EQ15" i="6" s="1"/>
  <c r="DR62" i="1"/>
  <c r="DR59" i="51" s="1"/>
  <c r="DR98" i="1"/>
  <c r="DR15" i="1"/>
  <c r="DR41" i="1"/>
  <c r="FQ67" i="113"/>
  <c r="HC67" i="113"/>
  <c r="DX146" i="113"/>
  <c r="DX13" i="113"/>
  <c r="DT30" i="2" l="1"/>
  <c r="EN56" i="119" s="1"/>
  <c r="EN14" i="119"/>
  <c r="DT14" i="2"/>
  <c r="EN12" i="119"/>
  <c r="DT61" i="1"/>
  <c r="AE167" i="119"/>
  <c r="AE18" i="119"/>
  <c r="AE19" i="119" s="1"/>
  <c r="FP40" i="1"/>
  <c r="AE14" i="119"/>
  <c r="FP97" i="1"/>
  <c r="F17" i="118"/>
  <c r="FP61" i="1"/>
  <c r="N5" i="116"/>
  <c r="P5" i="116" s="1"/>
  <c r="Q5" i="116" s="1"/>
  <c r="AE12" i="119"/>
  <c r="DR77" i="1"/>
  <c r="EK143" i="119"/>
  <c r="EK141" i="119"/>
  <c r="EK146" i="119"/>
  <c r="EK140" i="119"/>
  <c r="EK145" i="119"/>
  <c r="EK153" i="119"/>
  <c r="EK147" i="119"/>
  <c r="EK148" i="119"/>
  <c r="EK154" i="119"/>
  <c r="EK150" i="119"/>
  <c r="EK144" i="119"/>
  <c r="EK139" i="119"/>
  <c r="EK142" i="119"/>
  <c r="EK138" i="119"/>
  <c r="EK151" i="119"/>
  <c r="EK149" i="119"/>
  <c r="CX63" i="6"/>
  <c r="CX30" i="6"/>
  <c r="CX81" i="6"/>
  <c r="EL43" i="119"/>
  <c r="DU54" i="51"/>
  <c r="FQ53" i="51"/>
  <c r="R31" i="116" s="1"/>
  <c r="CW69" i="6"/>
  <c r="EQ30" i="6"/>
  <c r="CW51" i="6"/>
  <c r="DW16" i="51"/>
  <c r="Q15" i="118" s="1"/>
  <c r="DW34" i="113"/>
  <c r="DW67" i="113"/>
  <c r="DW47" i="113"/>
  <c r="DW49" i="113" s="1"/>
  <c r="DW62" i="113"/>
  <c r="FQ30" i="2"/>
  <c r="DQ21" i="3"/>
  <c r="EK56" i="119"/>
  <c r="DQ64" i="2"/>
  <c r="DQ68" i="2" s="1"/>
  <c r="CX31" i="6"/>
  <c r="CX64" i="6"/>
  <c r="CX82" i="6"/>
  <c r="CW68" i="6"/>
  <c r="EQ29" i="6"/>
  <c r="CW50" i="6"/>
  <c r="EQ47" i="6"/>
  <c r="EQ83" i="6"/>
  <c r="AE164" i="119" s="1"/>
  <c r="EB48" i="51"/>
  <c r="CY47" i="6"/>
  <c r="CY12" i="6" s="1"/>
  <c r="CY45" i="6"/>
  <c r="CY10" i="6" s="1"/>
  <c r="CY46" i="6"/>
  <c r="CY11" i="6" s="1"/>
  <c r="CY44" i="6"/>
  <c r="CY9" i="6" s="1"/>
  <c r="FQ25" i="51"/>
  <c r="R27" i="116"/>
  <c r="G15" i="118"/>
  <c r="FQ67" i="51"/>
  <c r="FQ76" i="51" s="1"/>
  <c r="GZ40" i="1"/>
  <c r="GZ97" i="1"/>
  <c r="GZ61" i="1"/>
  <c r="FR68" i="113"/>
  <c r="DY69" i="113"/>
  <c r="FR69" i="113" s="1"/>
  <c r="CX80" i="6"/>
  <c r="CX62" i="6"/>
  <c r="CX29" i="6"/>
  <c r="DT64" i="2"/>
  <c r="DT68" i="2" s="1"/>
  <c r="DU43" i="51"/>
  <c r="DU46" i="51"/>
  <c r="DU44" i="51"/>
  <c r="DU9" i="1"/>
  <c r="FQ9" i="1" s="1"/>
  <c r="DU68" i="51"/>
  <c r="DU77" i="51" s="1"/>
  <c r="DU40" i="51"/>
  <c r="DU42" i="51"/>
  <c r="DA16" i="6"/>
  <c r="ER16" i="6" s="1"/>
  <c r="DU37" i="51"/>
  <c r="DU41" i="51"/>
  <c r="DU26" i="51"/>
  <c r="DU28" i="51" s="1"/>
  <c r="FQ17" i="51"/>
  <c r="EC52" i="51"/>
  <c r="FS52" i="51" s="1"/>
  <c r="ED57" i="51"/>
  <c r="EC80" i="51"/>
  <c r="EC242" i="112"/>
  <c r="FS232" i="112"/>
  <c r="EC145" i="113"/>
  <c r="FS145" i="113" s="1"/>
  <c r="ED232" i="112"/>
  <c r="EC237" i="112"/>
  <c r="DX21" i="113"/>
  <c r="DX39" i="113"/>
  <c r="DX26" i="113"/>
  <c r="DX54" i="113"/>
  <c r="EQ81" i="6"/>
  <c r="EQ45" i="6"/>
  <c r="DR18" i="3"/>
  <c r="DQ18" i="3"/>
  <c r="EK43" i="119"/>
  <c r="FQ14" i="2"/>
  <c r="DV53" i="51"/>
  <c r="DV49" i="51" s="1"/>
  <c r="HB49" i="51" s="1"/>
  <c r="DV36" i="51"/>
  <c r="DV25" i="51"/>
  <c r="DV17" i="51"/>
  <c r="DV45" i="51" s="1"/>
  <c r="DV67" i="51"/>
  <c r="DV76" i="51" s="1"/>
  <c r="HB16" i="51"/>
  <c r="DY146" i="113"/>
  <c r="DY13" i="113"/>
  <c r="FR142" i="113"/>
  <c r="DR21" i="3"/>
  <c r="DR64" i="2"/>
  <c r="DR68" i="2" s="1"/>
  <c r="EL56" i="119"/>
  <c r="EN43" i="119"/>
  <c r="EQ80" i="6"/>
  <c r="EQ19" i="6"/>
  <c r="EQ44" i="6"/>
  <c r="GE17" i="3"/>
  <c r="CZ49" i="6"/>
  <c r="CZ94" i="6"/>
  <c r="CZ67" i="6"/>
  <c r="CZ86" i="6"/>
  <c r="FQ49" i="51"/>
  <c r="FQ58" i="51" s="1"/>
  <c r="CV18" i="6"/>
  <c r="EO18" i="119"/>
  <c r="EO12" i="119"/>
  <c r="DU76" i="1"/>
  <c r="EO14" i="119"/>
  <c r="DU14" i="2"/>
  <c r="DU30" i="2"/>
  <c r="DU118" i="1"/>
  <c r="DU40" i="1"/>
  <c r="DU61" i="1"/>
  <c r="DU97" i="1"/>
  <c r="EQ32" i="6"/>
  <c r="CW71" i="6"/>
  <c r="CW53" i="6"/>
  <c r="EM42" i="119"/>
  <c r="DS10" i="1"/>
  <c r="FQ50" i="51"/>
  <c r="CT18" i="6"/>
  <c r="CT19" i="6" s="1"/>
  <c r="DR66" i="1"/>
  <c r="DR45" i="1"/>
  <c r="DR102" i="1"/>
  <c r="CX38" i="6"/>
  <c r="EL23" i="119"/>
  <c r="EL268" i="119" s="1"/>
  <c r="FP11" i="1"/>
  <c r="DQ119" i="1"/>
  <c r="DQ62" i="1"/>
  <c r="DQ59" i="51" s="1"/>
  <c r="DQ77" i="1"/>
  <c r="DQ98" i="1"/>
  <c r="GZ11" i="1"/>
  <c r="DQ41" i="1"/>
  <c r="DQ15" i="1"/>
  <c r="DR123" i="1" s="1"/>
  <c r="DZ68" i="113"/>
  <c r="HB143" i="113"/>
  <c r="EA143" i="113"/>
  <c r="DZ142" i="113"/>
  <c r="HB142" i="113" s="1"/>
  <c r="HA34" i="113"/>
  <c r="HA47" i="113"/>
  <c r="CX32" i="6"/>
  <c r="CX83" i="6"/>
  <c r="EL164" i="119" s="1"/>
  <c r="CX65" i="6"/>
  <c r="CX13" i="6"/>
  <c r="EK135" i="119"/>
  <c r="EK129" i="119"/>
  <c r="DT13" i="2"/>
  <c r="DT17" i="3" s="1"/>
  <c r="DT11" i="1"/>
  <c r="DT75" i="1"/>
  <c r="DT63" i="1"/>
  <c r="O16" i="118"/>
  <c r="DT64" i="1"/>
  <c r="DT60" i="1"/>
  <c r="DT39" i="1"/>
  <c r="DT96" i="1"/>
  <c r="EN11" i="119"/>
  <c r="EN270" i="119" s="1"/>
  <c r="DT117" i="1"/>
  <c r="DT65" i="1"/>
  <c r="EQ13" i="6"/>
  <c r="CW84" i="6"/>
  <c r="CW33" i="6"/>
  <c r="CW66" i="6"/>
  <c r="CW48" i="6"/>
  <c r="EK128" i="119" l="1"/>
  <c r="FQ59" i="51"/>
  <c r="FQ57" i="51" s="1"/>
  <c r="HB58" i="51"/>
  <c r="DR81" i="1"/>
  <c r="EK152" i="119"/>
  <c r="HB146" i="113"/>
  <c r="HB144" i="113"/>
  <c r="FR14" i="2"/>
  <c r="EO43" i="119"/>
  <c r="DV50" i="51"/>
  <c r="FQ68" i="51"/>
  <c r="FQ77" i="51" s="1"/>
  <c r="FQ26" i="51"/>
  <c r="FQ46" i="51"/>
  <c r="R28" i="116"/>
  <c r="FQ42" i="51"/>
  <c r="FQ40" i="51"/>
  <c r="FQ43" i="51"/>
  <c r="FQ41" i="51"/>
  <c r="FQ44" i="51"/>
  <c r="FQ45" i="51"/>
  <c r="AE56" i="119"/>
  <c r="FQ64" i="2"/>
  <c r="FQ65" i="2"/>
  <c r="DW17" i="51"/>
  <c r="DW45" i="51" s="1"/>
  <c r="DW53" i="51"/>
  <c r="DW49" i="51" s="1"/>
  <c r="DW67" i="51"/>
  <c r="DW76" i="51" s="1"/>
  <c r="DW36" i="51"/>
  <c r="DW25" i="51"/>
  <c r="AH31" i="116"/>
  <c r="R35" i="116"/>
  <c r="AH66" i="116"/>
  <c r="T31" i="116"/>
  <c r="U31" i="116" s="1"/>
  <c r="CX51" i="6"/>
  <c r="CX69" i="6"/>
  <c r="F42" i="118"/>
  <c r="F32" i="118"/>
  <c r="F18" i="118"/>
  <c r="CW72" i="6"/>
  <c r="EQ33" i="6"/>
  <c r="EQ35" i="6" s="1"/>
  <c r="CW54" i="6"/>
  <c r="HB145" i="113"/>
  <c r="HC145" i="113"/>
  <c r="DZ69" i="113"/>
  <c r="HB68" i="113"/>
  <c r="CX59" i="6"/>
  <c r="CX96" i="6"/>
  <c r="CX56" i="6"/>
  <c r="AE129" i="119"/>
  <c r="AE135" i="119"/>
  <c r="FR144" i="113"/>
  <c r="FR146" i="113"/>
  <c r="DV54" i="51"/>
  <c r="HB54" i="51" s="1"/>
  <c r="HB53" i="51"/>
  <c r="FS80" i="51"/>
  <c r="FS242" i="112"/>
  <c r="FS237" i="112"/>
  <c r="EL129" i="119"/>
  <c r="EL135" i="119"/>
  <c r="EQ50" i="6"/>
  <c r="EQ87" i="6"/>
  <c r="CX52" i="6"/>
  <c r="CX70" i="6"/>
  <c r="FQ54" i="51"/>
  <c r="R32" i="116" s="1"/>
  <c r="EK174" i="119"/>
  <c r="EK166" i="119"/>
  <c r="EK165" i="119"/>
  <c r="EK170" i="119"/>
  <c r="EQ48" i="6"/>
  <c r="EQ84" i="6"/>
  <c r="DT15" i="1"/>
  <c r="DT62" i="1"/>
  <c r="DT59" i="51" s="1"/>
  <c r="DT98" i="1"/>
  <c r="DT41" i="1"/>
  <c r="DQ23" i="1"/>
  <c r="CW38" i="6"/>
  <c r="CX77" i="6" s="1"/>
  <c r="DQ123" i="1"/>
  <c r="M102" i="115"/>
  <c r="DQ102" i="1"/>
  <c r="DQ66" i="1"/>
  <c r="FP15" i="1"/>
  <c r="EK23" i="119"/>
  <c r="EK268" i="119" s="1"/>
  <c r="DQ17" i="1"/>
  <c r="DQ45" i="1"/>
  <c r="GZ15" i="1"/>
  <c r="DQ81" i="1"/>
  <c r="CV19" i="6"/>
  <c r="CW18" i="6"/>
  <c r="CW19" i="6" s="1"/>
  <c r="DU18" i="3"/>
  <c r="DV41" i="51"/>
  <c r="DV44" i="51"/>
  <c r="DV40" i="51"/>
  <c r="DV26" i="51"/>
  <c r="DV28" i="51" s="1"/>
  <c r="DB16" i="6"/>
  <c r="DV68" i="51"/>
  <c r="DV77" i="51" s="1"/>
  <c r="DV46" i="51"/>
  <c r="DV9" i="1"/>
  <c r="P16" i="118" s="1"/>
  <c r="DV43" i="51"/>
  <c r="DV42" i="51"/>
  <c r="DV37" i="51"/>
  <c r="HB17" i="51"/>
  <c r="HB45" i="51" s="1"/>
  <c r="DX47" i="113"/>
  <c r="DX49" i="113" s="1"/>
  <c r="DX67" i="113"/>
  <c r="DX34" i="113"/>
  <c r="DX62" i="113"/>
  <c r="DX16" i="51"/>
  <c r="R15" i="118" s="1"/>
  <c r="L15" i="118" s="1"/>
  <c r="V20" i="118" s="1"/>
  <c r="DU11" i="1"/>
  <c r="O18" i="118" s="1"/>
  <c r="DU117" i="1"/>
  <c r="EO11" i="119"/>
  <c r="EO270" i="119" s="1"/>
  <c r="DU13" i="2"/>
  <c r="DU17" i="3" s="1"/>
  <c r="FR17" i="3" s="1"/>
  <c r="DU39" i="1"/>
  <c r="DU63" i="1"/>
  <c r="DU65" i="1"/>
  <c r="DU96" i="1"/>
  <c r="DU60" i="1"/>
  <c r="DU64" i="1"/>
  <c r="DU75" i="1"/>
  <c r="CY62" i="6"/>
  <c r="CY80" i="6"/>
  <c r="CY29" i="6"/>
  <c r="EQ51" i="6"/>
  <c r="EQ88" i="6"/>
  <c r="CX66" i="6"/>
  <c r="CX48" i="6"/>
  <c r="CX33" i="6"/>
  <c r="CX35" i="6" s="1"/>
  <c r="CX84" i="6"/>
  <c r="R4" i="116"/>
  <c r="G16" i="118"/>
  <c r="FQ65" i="1"/>
  <c r="FQ64" i="1"/>
  <c r="FQ39" i="1"/>
  <c r="AF11" i="119"/>
  <c r="AF270" i="119" s="1"/>
  <c r="FQ60" i="1"/>
  <c r="FQ63" i="1"/>
  <c r="FQ96" i="1"/>
  <c r="EN42" i="119"/>
  <c r="N6" i="116"/>
  <c r="FP62" i="1"/>
  <c r="FP98" i="1"/>
  <c r="FP41" i="1"/>
  <c r="CZ44" i="6"/>
  <c r="CZ9" i="6" s="1"/>
  <c r="CZ47" i="6"/>
  <c r="CZ12" i="6" s="1"/>
  <c r="CZ46" i="6"/>
  <c r="CZ11" i="6" s="1"/>
  <c r="CZ45" i="6"/>
  <c r="CZ10" i="6" s="1"/>
  <c r="DY21" i="113"/>
  <c r="DY54" i="113"/>
  <c r="DY26" i="113"/>
  <c r="DY39" i="113"/>
  <c r="FR13" i="113"/>
  <c r="FQ63" i="2"/>
  <c r="AE43" i="119"/>
  <c r="CY82" i="6"/>
  <c r="CY64" i="6"/>
  <c r="CY31" i="6"/>
  <c r="DZ146" i="113"/>
  <c r="DZ13" i="113"/>
  <c r="HB13" i="113" s="1"/>
  <c r="GZ41" i="1"/>
  <c r="GZ98" i="1"/>
  <c r="GZ62" i="1"/>
  <c r="ER17" i="6"/>
  <c r="ER85" i="6"/>
  <c r="AF176" i="119" s="1"/>
  <c r="ER49" i="6"/>
  <c r="ER86" i="6"/>
  <c r="ER94" i="6"/>
  <c r="ER18" i="6"/>
  <c r="AE146" i="119"/>
  <c r="AE150" i="119"/>
  <c r="AE153" i="119"/>
  <c r="AE149" i="119"/>
  <c r="AE154" i="119"/>
  <c r="AE138" i="119"/>
  <c r="AE145" i="119"/>
  <c r="AE151" i="119"/>
  <c r="AE144" i="119"/>
  <c r="AE141" i="119"/>
  <c r="AE139" i="119"/>
  <c r="AE140" i="119"/>
  <c r="AE142" i="119"/>
  <c r="AE147" i="119"/>
  <c r="AE143" i="119"/>
  <c r="AE148" i="119"/>
  <c r="ED52" i="51"/>
  <c r="EE57" i="51"/>
  <c r="DA94" i="6"/>
  <c r="DA49" i="6"/>
  <c r="DA86" i="6"/>
  <c r="DA67" i="6"/>
  <c r="G30" i="118"/>
  <c r="W71" i="118"/>
  <c r="U71" i="118" s="1"/>
  <c r="W74" i="118"/>
  <c r="U74" i="118" s="1"/>
  <c r="G8" i="118"/>
  <c r="CY30" i="6"/>
  <c r="CY81" i="6"/>
  <c r="CY63" i="6"/>
  <c r="CX53" i="6"/>
  <c r="CX71" i="6"/>
  <c r="EA142" i="113"/>
  <c r="EA68" i="113"/>
  <c r="EA69" i="113" s="1"/>
  <c r="EB143" i="113"/>
  <c r="EM18" i="119"/>
  <c r="DS30" i="2"/>
  <c r="DS97" i="1"/>
  <c r="DS61" i="1"/>
  <c r="DS14" i="2"/>
  <c r="DS76" i="1"/>
  <c r="DS40" i="1"/>
  <c r="DS118" i="1"/>
  <c r="EM12" i="119"/>
  <c r="EM14" i="119"/>
  <c r="FQ10" i="1"/>
  <c r="DS11" i="1"/>
  <c r="DT118" i="1"/>
  <c r="DT76" i="1"/>
  <c r="EQ90" i="6"/>
  <c r="EQ53" i="6"/>
  <c r="FR30" i="2"/>
  <c r="DU64" i="2"/>
  <c r="DU68" i="2" s="1"/>
  <c r="EO56" i="119"/>
  <c r="DU21" i="3"/>
  <c r="HB25" i="51"/>
  <c r="FQ18" i="3"/>
  <c r="GE18" i="3"/>
  <c r="ED145" i="113"/>
  <c r="ED237" i="112"/>
  <c r="ED242" i="112"/>
  <c r="EE232" i="112"/>
  <c r="ED80" i="51"/>
  <c r="EC48" i="51"/>
  <c r="CX68" i="6"/>
  <c r="CX50" i="6"/>
  <c r="AH27" i="116"/>
  <c r="T27" i="116"/>
  <c r="U27" i="116" s="1"/>
  <c r="AH63" i="116"/>
  <c r="CY32" i="6"/>
  <c r="CY83" i="6"/>
  <c r="EM164" i="119" s="1"/>
  <c r="CY65" i="6"/>
  <c r="CY13" i="6"/>
  <c r="CW35" i="6"/>
  <c r="EL163" i="119"/>
  <c r="EL169" i="119"/>
  <c r="FQ21" i="3"/>
  <c r="GE21" i="3"/>
  <c r="EL146" i="119"/>
  <c r="EL142" i="119"/>
  <c r="EL154" i="119"/>
  <c r="EL140" i="119"/>
  <c r="EL143" i="119"/>
  <c r="EL150" i="119"/>
  <c r="EL139" i="119"/>
  <c r="EL151" i="119"/>
  <c r="EL149" i="119"/>
  <c r="EL138" i="119"/>
  <c r="EL141" i="119"/>
  <c r="EL144" i="119"/>
  <c r="EL153" i="119"/>
  <c r="EL145" i="119"/>
  <c r="EL148" i="119"/>
  <c r="EL147" i="119"/>
  <c r="HA9" i="1"/>
  <c r="EL167" i="119" l="1"/>
  <c r="EK173" i="119"/>
  <c r="EL128" i="119"/>
  <c r="EL152" i="119"/>
  <c r="AE152" i="119"/>
  <c r="AE128" i="119"/>
  <c r="CW93" i="6"/>
  <c r="CW74" i="6"/>
  <c r="EF57" i="51"/>
  <c r="EE52" i="51"/>
  <c r="DV64" i="1"/>
  <c r="DV65" i="1"/>
  <c r="DV75" i="1"/>
  <c r="EP11" i="119"/>
  <c r="EP270" i="119" s="1"/>
  <c r="DV13" i="2"/>
  <c r="DV17" i="3" s="1"/>
  <c r="GF17" i="3" s="1"/>
  <c r="DV117" i="1"/>
  <c r="DV96" i="1"/>
  <c r="DV63" i="1"/>
  <c r="DV39" i="1"/>
  <c r="DV60" i="1"/>
  <c r="CZ38" i="6"/>
  <c r="DT45" i="1"/>
  <c r="DT66" i="1"/>
  <c r="EN23" i="119"/>
  <c r="EN268" i="119" s="1"/>
  <c r="DT102" i="1"/>
  <c r="EQ54" i="6"/>
  <c r="EQ91" i="6"/>
  <c r="DW50" i="51"/>
  <c r="AH28" i="116"/>
  <c r="T28" i="116"/>
  <c r="U28" i="116" s="1"/>
  <c r="AH64" i="116"/>
  <c r="DS21" i="3"/>
  <c r="DS64" i="2"/>
  <c r="DS68" i="2" s="1"/>
  <c r="EM56" i="119"/>
  <c r="DT21" i="3"/>
  <c r="EM143" i="119"/>
  <c r="EM142" i="119"/>
  <c r="EM146" i="119"/>
  <c r="EM145" i="119"/>
  <c r="EM139" i="119"/>
  <c r="EM138" i="119"/>
  <c r="EM150" i="119"/>
  <c r="EM141" i="119"/>
  <c r="EM144" i="119"/>
  <c r="EM148" i="119"/>
  <c r="EM140" i="119"/>
  <c r="EM154" i="119"/>
  <c r="EM153" i="119"/>
  <c r="EM149" i="119"/>
  <c r="EM151" i="119"/>
  <c r="EM147" i="119"/>
  <c r="CY51" i="6"/>
  <c r="CY69" i="6"/>
  <c r="ED48" i="51"/>
  <c r="HD52" i="51"/>
  <c r="DY34" i="113"/>
  <c r="DY16" i="51"/>
  <c r="FR16" i="51" s="1"/>
  <c r="DY67" i="113"/>
  <c r="FR67" i="113" s="1"/>
  <c r="DY47" i="113"/>
  <c r="DY49" i="113" s="1"/>
  <c r="DY62" i="113"/>
  <c r="FR21" i="113"/>
  <c r="G41" i="118"/>
  <c r="G44" i="118"/>
  <c r="G31" i="118"/>
  <c r="H31" i="117"/>
  <c r="GZ66" i="1"/>
  <c r="GZ102" i="1"/>
  <c r="GZ45" i="1"/>
  <c r="AE166" i="119"/>
  <c r="AE170" i="119"/>
  <c r="AE165" i="119"/>
  <c r="AE174" i="119"/>
  <c r="HB69" i="113"/>
  <c r="HC69" i="113"/>
  <c r="DW68" i="51"/>
  <c r="DW77" i="51" s="1"/>
  <c r="DW42" i="51"/>
  <c r="DW37" i="51"/>
  <c r="DW26" i="51"/>
  <c r="DW28" i="51" s="1"/>
  <c r="DC16" i="6"/>
  <c r="DW43" i="51"/>
  <c r="DW44" i="51"/>
  <c r="DW40" i="51"/>
  <c r="DW9" i="1"/>
  <c r="Q16" i="118" s="1"/>
  <c r="DW46" i="51"/>
  <c r="DW41" i="51"/>
  <c r="CX74" i="6"/>
  <c r="CX93" i="6"/>
  <c r="DS62" i="1"/>
  <c r="DS59" i="51" s="1"/>
  <c r="DS15" i="1"/>
  <c r="DT81" i="1" s="1"/>
  <c r="DS41" i="1"/>
  <c r="DS119" i="1"/>
  <c r="DS98" i="1"/>
  <c r="DS77" i="1"/>
  <c r="FQ11" i="1"/>
  <c r="CY52" i="6"/>
  <c r="CY70" i="6"/>
  <c r="HB39" i="113"/>
  <c r="HB26" i="113"/>
  <c r="CZ30" i="6"/>
  <c r="CZ81" i="6"/>
  <c r="CZ63" i="6"/>
  <c r="T4" i="116"/>
  <c r="U4" i="116" s="1"/>
  <c r="AH4" i="116"/>
  <c r="DU119" i="1"/>
  <c r="DU77" i="1"/>
  <c r="DU62" i="1"/>
  <c r="DU59" i="51" s="1"/>
  <c r="DU15" i="1"/>
  <c r="O20" i="118" s="1"/>
  <c r="DU98" i="1"/>
  <c r="DU41" i="1"/>
  <c r="HB46" i="51"/>
  <c r="HB26" i="51"/>
  <c r="HB42" i="51"/>
  <c r="HB43" i="51"/>
  <c r="HB40" i="51"/>
  <c r="HB41" i="51"/>
  <c r="HB44" i="51"/>
  <c r="X102" i="115"/>
  <c r="O102" i="115"/>
  <c r="F20" i="118"/>
  <c r="F43" i="118"/>
  <c r="F33" i="118"/>
  <c r="W41" i="118"/>
  <c r="U41" i="118" s="1"/>
  <c r="W38" i="118"/>
  <c r="U38" i="118" s="1"/>
  <c r="EE237" i="112"/>
  <c r="EE145" i="113"/>
  <c r="EF232" i="112"/>
  <c r="EE80" i="51"/>
  <c r="EE242" i="112"/>
  <c r="CY71" i="6"/>
  <c r="CY53" i="6"/>
  <c r="FR64" i="2"/>
  <c r="FR65" i="2"/>
  <c r="AF56" i="119"/>
  <c r="AF18" i="119"/>
  <c r="FQ61" i="1"/>
  <c r="AF12" i="119"/>
  <c r="FQ97" i="1"/>
  <c r="FQ40" i="1"/>
  <c r="AF14" i="119"/>
  <c r="R5" i="116"/>
  <c r="T5" i="116" s="1"/>
  <c r="U5" i="116" s="1"/>
  <c r="G17" i="118"/>
  <c r="EM43" i="119"/>
  <c r="DT18" i="3"/>
  <c r="DS18" i="3"/>
  <c r="EB68" i="113"/>
  <c r="EB69" i="113" s="1"/>
  <c r="EB142" i="113"/>
  <c r="EC143" i="113"/>
  <c r="DA44" i="6"/>
  <c r="DA9" i="6" s="1"/>
  <c r="ER9" i="6" s="1"/>
  <c r="DA45" i="6"/>
  <c r="DA10" i="6" s="1"/>
  <c r="ER10" i="6" s="1"/>
  <c r="DA46" i="6"/>
  <c r="DA11" i="6" s="1"/>
  <c r="ER11" i="6" s="1"/>
  <c r="DA47" i="6"/>
  <c r="DA12" i="6" s="1"/>
  <c r="ER12" i="6" s="1"/>
  <c r="FR39" i="113"/>
  <c r="FR26" i="113"/>
  <c r="CZ82" i="6"/>
  <c r="CZ64" i="6"/>
  <c r="CZ31" i="6"/>
  <c r="P6" i="116"/>
  <c r="Q6" i="116" s="1"/>
  <c r="AG6" i="116"/>
  <c r="EL174" i="119"/>
  <c r="EL170" i="119"/>
  <c r="EL166" i="119"/>
  <c r="EL165" i="119"/>
  <c r="DX25" i="51"/>
  <c r="DX53" i="51"/>
  <c r="DX49" i="51" s="1"/>
  <c r="DX50" i="51" s="1"/>
  <c r="DX10" i="1" s="1"/>
  <c r="DX67" i="51"/>
  <c r="DX76" i="51" s="1"/>
  <c r="DX36" i="51"/>
  <c r="DX17" i="51"/>
  <c r="DB94" i="6"/>
  <c r="DB49" i="6"/>
  <c r="DB67" i="6"/>
  <c r="DB86" i="6"/>
  <c r="DQ15" i="2"/>
  <c r="FQ15" i="2" s="1"/>
  <c r="DQ16" i="2"/>
  <c r="DQ80" i="2"/>
  <c r="DQ17" i="2"/>
  <c r="DQ83" i="1"/>
  <c r="DQ31" i="2"/>
  <c r="EK20" i="119"/>
  <c r="EK259" i="119" s="1"/>
  <c r="DQ104" i="1"/>
  <c r="DQ68" i="1"/>
  <c r="DQ125" i="1"/>
  <c r="DQ47" i="1"/>
  <c r="R36" i="116"/>
  <c r="AH67" i="116"/>
  <c r="T32" i="116"/>
  <c r="U32" i="116" s="1"/>
  <c r="AH32" i="116"/>
  <c r="EQ56" i="6"/>
  <c r="EQ93" i="6"/>
  <c r="AF43" i="119"/>
  <c r="FR63" i="2"/>
  <c r="CZ65" i="6"/>
  <c r="CZ32" i="6"/>
  <c r="CZ83" i="6"/>
  <c r="EN164" i="119" s="1"/>
  <c r="CZ13" i="6"/>
  <c r="CX54" i="6"/>
  <c r="CX72" i="6"/>
  <c r="CY50" i="6"/>
  <c r="CY68" i="6"/>
  <c r="CW96" i="6"/>
  <c r="CW77" i="6"/>
  <c r="CW56" i="6"/>
  <c r="CW37" i="6"/>
  <c r="CW39" i="6" s="1"/>
  <c r="CW59" i="6"/>
  <c r="DT77" i="1"/>
  <c r="FS48" i="51"/>
  <c r="CX37" i="6"/>
  <c r="AH35" i="116"/>
  <c r="U35" i="116"/>
  <c r="FQ68" i="2"/>
  <c r="HA64" i="1"/>
  <c r="HA65" i="1"/>
  <c r="HA63" i="1"/>
  <c r="HA96" i="1"/>
  <c r="HA60" i="1"/>
  <c r="HA39" i="1"/>
  <c r="CY84" i="6"/>
  <c r="CY66" i="6"/>
  <c r="CY48" i="6"/>
  <c r="CY33" i="6"/>
  <c r="CY35" i="6" s="1"/>
  <c r="EA146" i="113"/>
  <c r="EA13" i="113"/>
  <c r="U73" i="118"/>
  <c r="V72" i="118"/>
  <c r="DZ21" i="113"/>
  <c r="DZ26" i="113"/>
  <c r="DZ54" i="113"/>
  <c r="DZ39" i="113"/>
  <c r="EM163" i="119"/>
  <c r="EM169" i="119"/>
  <c r="CZ80" i="6"/>
  <c r="CZ29" i="6"/>
  <c r="CZ62" i="6"/>
  <c r="EM129" i="119"/>
  <c r="EM135" i="119"/>
  <c r="EO42" i="119"/>
  <c r="FR13" i="2"/>
  <c r="FP23" i="1"/>
  <c r="EQ38" i="6"/>
  <c r="FP17" i="1"/>
  <c r="AE23" i="119"/>
  <c r="AE268" i="119" s="1"/>
  <c r="FP45" i="1"/>
  <c r="N10" i="116"/>
  <c r="FP102" i="1"/>
  <c r="FP66" i="1"/>
  <c r="EK30" i="119"/>
  <c r="EK269" i="119" s="1"/>
  <c r="DQ105" i="1"/>
  <c r="DQ24" i="1"/>
  <c r="DQ26" i="1" s="1"/>
  <c r="DQ48" i="1"/>
  <c r="M104" i="115"/>
  <c r="DQ69" i="1"/>
  <c r="DQ84" i="1"/>
  <c r="DQ126" i="1"/>
  <c r="DT119" i="1"/>
  <c r="DW54" i="51"/>
  <c r="DV10" i="1"/>
  <c r="HB50" i="51"/>
  <c r="HB59" i="51" s="1"/>
  <c r="HB57" i="51" s="1"/>
  <c r="DV11" i="1" l="1"/>
  <c r="P18" i="118" s="1"/>
  <c r="P17" i="118"/>
  <c r="EM128" i="119"/>
  <c r="EM167" i="119"/>
  <c r="AE173" i="119"/>
  <c r="EM152" i="119"/>
  <c r="EL173" i="119"/>
  <c r="EK275" i="119"/>
  <c r="DQ49" i="1"/>
  <c r="DQ85" i="1"/>
  <c r="DQ29" i="1"/>
  <c r="DQ70" i="1"/>
  <c r="EK277" i="119"/>
  <c r="DQ127" i="1"/>
  <c r="DQ106" i="1"/>
  <c r="DQ30" i="1"/>
  <c r="DQ28" i="1"/>
  <c r="CY74" i="6"/>
  <c r="CY93" i="6"/>
  <c r="DV41" i="1"/>
  <c r="CZ68" i="6"/>
  <c r="CZ50" i="6"/>
  <c r="EA21" i="113"/>
  <c r="EA39" i="113"/>
  <c r="EA26" i="113"/>
  <c r="EA54" i="113"/>
  <c r="DQ20" i="3"/>
  <c r="FQ17" i="2"/>
  <c r="EK44" i="119"/>
  <c r="DX43" i="51"/>
  <c r="DX46" i="51"/>
  <c r="DX42" i="51"/>
  <c r="DX9" i="1"/>
  <c r="DX61" i="1" s="1"/>
  <c r="DX37" i="51"/>
  <c r="DX40" i="51"/>
  <c r="DX26" i="51"/>
  <c r="DX28" i="51" s="1"/>
  <c r="DD16" i="6"/>
  <c r="DX68" i="51"/>
  <c r="DX77" i="51" s="1"/>
  <c r="DX41" i="51"/>
  <c r="DX44" i="51"/>
  <c r="DX45" i="51"/>
  <c r="FS143" i="113"/>
  <c r="EC68" i="113"/>
  <c r="EC142" i="113"/>
  <c r="FS142" i="113" s="1"/>
  <c r="ED143" i="113"/>
  <c r="G42" i="118"/>
  <c r="G32" i="118"/>
  <c r="G18" i="118"/>
  <c r="AF42" i="119"/>
  <c r="FR62" i="2"/>
  <c r="FR68" i="2" s="1"/>
  <c r="EN129" i="119"/>
  <c r="EN135" i="119"/>
  <c r="EM166" i="119"/>
  <c r="EM174" i="119"/>
  <c r="EM170" i="119"/>
  <c r="EM165" i="119"/>
  <c r="ER47" i="6"/>
  <c r="ER83" i="6"/>
  <c r="AF164" i="119" s="1"/>
  <c r="ER82" i="6"/>
  <c r="ER46" i="6"/>
  <c r="ER21" i="6"/>
  <c r="ER15" i="6" s="1"/>
  <c r="DQ82" i="2"/>
  <c r="DQ32" i="3"/>
  <c r="EB13" i="113"/>
  <c r="EB146" i="113"/>
  <c r="V39" i="118"/>
  <c r="U40" i="118"/>
  <c r="DA38" i="6"/>
  <c r="DU45" i="1"/>
  <c r="DU66" i="1"/>
  <c r="EO23" i="119"/>
  <c r="EO268" i="119" s="1"/>
  <c r="DU102" i="1"/>
  <c r="DU123" i="1"/>
  <c r="DU81" i="1"/>
  <c r="FR34" i="113"/>
  <c r="FR47" i="113"/>
  <c r="EP42" i="119"/>
  <c r="AG70" i="116"/>
  <c r="P10" i="116"/>
  <c r="Q10" i="116" s="1"/>
  <c r="AG10" i="116"/>
  <c r="EP18" i="119"/>
  <c r="DV14" i="2"/>
  <c r="DV76" i="1"/>
  <c r="EP14" i="119"/>
  <c r="DV61" i="1"/>
  <c r="DV118" i="1"/>
  <c r="EP12" i="119"/>
  <c r="DV40" i="1"/>
  <c r="DV30" i="2"/>
  <c r="DV97" i="1"/>
  <c r="HA10" i="1"/>
  <c r="ER44" i="6"/>
  <c r="ER80" i="6"/>
  <c r="ER19" i="6"/>
  <c r="CZ66" i="6"/>
  <c r="CZ33" i="6"/>
  <c r="CZ48" i="6"/>
  <c r="CZ84" i="6"/>
  <c r="DQ19" i="3"/>
  <c r="FQ16" i="2"/>
  <c r="FQ73" i="2" s="1"/>
  <c r="DB45" i="6"/>
  <c r="DB10" i="6" s="1"/>
  <c r="DB44" i="6"/>
  <c r="DB9" i="6" s="1"/>
  <c r="DB46" i="6"/>
  <c r="DB11" i="6" s="1"/>
  <c r="DB47" i="6"/>
  <c r="DB12" i="6" s="1"/>
  <c r="CZ70" i="6"/>
  <c r="CZ52" i="6"/>
  <c r="DA32" i="6"/>
  <c r="ER32" i="6" s="1"/>
  <c r="DA83" i="6"/>
  <c r="EO164" i="119" s="1"/>
  <c r="DA65" i="6"/>
  <c r="DA13" i="6"/>
  <c r="ER13" i="6" s="1"/>
  <c r="EN148" i="119"/>
  <c r="EN139" i="119"/>
  <c r="EN151" i="119"/>
  <c r="EN140" i="119"/>
  <c r="EN149" i="119"/>
  <c r="EN147" i="119"/>
  <c r="EN154" i="119"/>
  <c r="EN143" i="119"/>
  <c r="EN146" i="119"/>
  <c r="EN141" i="119"/>
  <c r="EN153" i="119"/>
  <c r="EN145" i="119"/>
  <c r="EN138" i="119"/>
  <c r="EN144" i="119"/>
  <c r="EN150" i="119"/>
  <c r="EN142" i="119"/>
  <c r="DS102" i="1"/>
  <c r="DS123" i="1"/>
  <c r="CY38" i="6"/>
  <c r="CZ77" i="6" s="1"/>
  <c r="EM23" i="119"/>
  <c r="EM268" i="119" s="1"/>
  <c r="DS45" i="1"/>
  <c r="DS66" i="1"/>
  <c r="DS81" i="1"/>
  <c r="FQ15" i="1"/>
  <c r="DC86" i="6"/>
  <c r="DC49" i="6"/>
  <c r="DC67" i="6"/>
  <c r="DC94" i="6"/>
  <c r="DT123" i="1"/>
  <c r="EE48" i="51"/>
  <c r="N12" i="116"/>
  <c r="AE30" i="119"/>
  <c r="AE269" i="119" s="1"/>
  <c r="FP105" i="1"/>
  <c r="FP69" i="1"/>
  <c r="FP48" i="1"/>
  <c r="DZ34" i="113"/>
  <c r="DZ16" i="51"/>
  <c r="HC16" i="51" s="1"/>
  <c r="DZ62" i="113"/>
  <c r="DZ67" i="113"/>
  <c r="HB67" i="113" s="1"/>
  <c r="DZ47" i="113"/>
  <c r="DZ49" i="113" s="1"/>
  <c r="HB21" i="113"/>
  <c r="CW58" i="6"/>
  <c r="CW95" i="6"/>
  <c r="EQ37" i="6"/>
  <c r="CW76" i="6"/>
  <c r="FQ72" i="2"/>
  <c r="DX54" i="51"/>
  <c r="DA31" i="6"/>
  <c r="ER31" i="6" s="1"/>
  <c r="DA64" i="6"/>
  <c r="DA82" i="6"/>
  <c r="FR18" i="3"/>
  <c r="FQ41" i="1"/>
  <c r="R6" i="116"/>
  <c r="FQ62" i="1"/>
  <c r="FQ98" i="1"/>
  <c r="CX18" i="6"/>
  <c r="CX19" i="6" s="1"/>
  <c r="FR21" i="3"/>
  <c r="EG57" i="51"/>
  <c r="EF52" i="51"/>
  <c r="ER81" i="6"/>
  <c r="ER45" i="6"/>
  <c r="EK273" i="119"/>
  <c r="M105" i="115"/>
  <c r="FP24" i="1"/>
  <c r="FP26" i="1" s="1"/>
  <c r="N20" i="116"/>
  <c r="FP104" i="1"/>
  <c r="AG23" i="114"/>
  <c r="FP47" i="1"/>
  <c r="AE20" i="119"/>
  <c r="AE259" i="119" s="1"/>
  <c r="FP68" i="1"/>
  <c r="DQ23" i="3"/>
  <c r="DQ35" i="2"/>
  <c r="FQ31" i="2"/>
  <c r="EK59" i="119"/>
  <c r="EN169" i="119"/>
  <c r="EN163" i="119"/>
  <c r="EF242" i="112"/>
  <c r="EF145" i="113"/>
  <c r="EF237" i="112"/>
  <c r="EG232" i="112"/>
  <c r="EF80" i="51"/>
  <c r="F79" i="118"/>
  <c r="F54" i="118" s="1"/>
  <c r="F114" i="118"/>
  <c r="CZ51" i="6"/>
  <c r="CZ69" i="6"/>
  <c r="DW75" i="1"/>
  <c r="DW60" i="1"/>
  <c r="DW63" i="1"/>
  <c r="DW64" i="1"/>
  <c r="DW96" i="1"/>
  <c r="EQ11" i="119"/>
  <c r="EQ270" i="119" s="1"/>
  <c r="DW39" i="1"/>
  <c r="DW13" i="2"/>
  <c r="DW17" i="3" s="1"/>
  <c r="DW65" i="1"/>
  <c r="DW117" i="1"/>
  <c r="CZ18" i="6"/>
  <c r="HD48" i="51"/>
  <c r="CZ56" i="6"/>
  <c r="CZ59" i="6"/>
  <c r="CZ96" i="6"/>
  <c r="CY54" i="6"/>
  <c r="CY72" i="6"/>
  <c r="U36" i="116"/>
  <c r="AH36" i="116"/>
  <c r="ER18" i="119"/>
  <c r="ER14" i="119"/>
  <c r="ER12" i="119"/>
  <c r="DX97" i="1"/>
  <c r="DX14" i="2"/>
  <c r="DX40" i="1"/>
  <c r="DX30" i="2"/>
  <c r="DA30" i="6"/>
  <c r="ER30" i="6" s="1"/>
  <c r="DA81" i="6"/>
  <c r="DA63" i="6"/>
  <c r="X104" i="115"/>
  <c r="O104" i="115"/>
  <c r="EQ59" i="6"/>
  <c r="EQ96" i="6"/>
  <c r="U76" i="118"/>
  <c r="V74" i="118"/>
  <c r="V75" i="118" s="1"/>
  <c r="CX76" i="6"/>
  <c r="CX58" i="6"/>
  <c r="CX95" i="6"/>
  <c r="CZ71" i="6"/>
  <c r="CZ53" i="6"/>
  <c r="FR25" i="51"/>
  <c r="V27" i="116"/>
  <c r="FR67" i="51"/>
  <c r="FR76" i="51" s="1"/>
  <c r="H15" i="118"/>
  <c r="H30" i="118" s="1"/>
  <c r="DA29" i="6"/>
  <c r="DA62" i="6"/>
  <c r="DA80" i="6"/>
  <c r="F22" i="118"/>
  <c r="F35" i="118"/>
  <c r="F45" i="118"/>
  <c r="DY67" i="51"/>
  <c r="DY76" i="51" s="1"/>
  <c r="DY36" i="51"/>
  <c r="DY17" i="51"/>
  <c r="DY45" i="51" s="1"/>
  <c r="DY25" i="51"/>
  <c r="DY53" i="51"/>
  <c r="DY54" i="51" s="1"/>
  <c r="CY18" i="6"/>
  <c r="CY19" i="6" s="1"/>
  <c r="DW10" i="1"/>
  <c r="DW11" i="1" s="1"/>
  <c r="Q18" i="118" s="1"/>
  <c r="R16" i="118" l="1"/>
  <c r="L16" i="118" s="1"/>
  <c r="L44" i="118" s="1"/>
  <c r="DV119" i="1"/>
  <c r="DV62" i="1"/>
  <c r="DV59" i="51" s="1"/>
  <c r="DV77" i="1"/>
  <c r="DV98" i="1"/>
  <c r="HA11" i="1"/>
  <c r="HA62" i="1" s="1"/>
  <c r="DV15" i="1"/>
  <c r="Q17" i="118"/>
  <c r="EN128" i="119"/>
  <c r="DY49" i="51"/>
  <c r="DY50" i="51" s="1"/>
  <c r="DY10" i="1" s="1"/>
  <c r="EN152" i="119"/>
  <c r="EN167" i="119"/>
  <c r="EM173" i="119"/>
  <c r="FP28" i="1"/>
  <c r="FP70" i="1"/>
  <c r="FP29" i="1"/>
  <c r="N14" i="116"/>
  <c r="P14" i="116" s="1"/>
  <c r="Q14" i="116" s="1"/>
  <c r="AE277" i="119"/>
  <c r="AE267" i="119" s="1"/>
  <c r="FP30" i="1"/>
  <c r="FP106" i="1"/>
  <c r="AE275" i="119"/>
  <c r="FP49" i="1"/>
  <c r="ER88" i="6"/>
  <c r="ER51" i="6"/>
  <c r="ER84" i="6"/>
  <c r="ER48" i="6"/>
  <c r="DW62" i="1"/>
  <c r="DW59" i="51" s="1"/>
  <c r="DW77" i="1"/>
  <c r="DW15" i="1"/>
  <c r="Q20" i="118" s="1"/>
  <c r="DW41" i="1"/>
  <c r="DW98" i="1"/>
  <c r="DW119" i="1"/>
  <c r="FR54" i="51"/>
  <c r="V32" i="116" s="1"/>
  <c r="HC25" i="51"/>
  <c r="DY41" i="51"/>
  <c r="DY68" i="51"/>
  <c r="DY77" i="51" s="1"/>
  <c r="DY42" i="51"/>
  <c r="DY9" i="1"/>
  <c r="FR9" i="1" s="1"/>
  <c r="DY40" i="51"/>
  <c r="DY43" i="51"/>
  <c r="DY46" i="51"/>
  <c r="DE16" i="6"/>
  <c r="ES16" i="6" s="1"/>
  <c r="DY37" i="51"/>
  <c r="DY44" i="51"/>
  <c r="DY26" i="51"/>
  <c r="DY28" i="51" s="1"/>
  <c r="DA50" i="6"/>
  <c r="DA68" i="6"/>
  <c r="ER90" i="6"/>
  <c r="ER53" i="6"/>
  <c r="CZ19" i="6"/>
  <c r="DA18" i="6"/>
  <c r="DA19" i="6" s="1"/>
  <c r="DQ44" i="2"/>
  <c r="EK60" i="119"/>
  <c r="R10" i="116"/>
  <c r="ER38" i="6"/>
  <c r="FQ102" i="1"/>
  <c r="AF23" i="119"/>
  <c r="AF268" i="119" s="1"/>
  <c r="FQ45" i="1"/>
  <c r="FQ66" i="1"/>
  <c r="DB31" i="6"/>
  <c r="DB82" i="6"/>
  <c r="DB64" i="6"/>
  <c r="EN166" i="119"/>
  <c r="EN170" i="119"/>
  <c r="EN165" i="119"/>
  <c r="EN174" i="119"/>
  <c r="AF129" i="119"/>
  <c r="AF135" i="119"/>
  <c r="DA96" i="6"/>
  <c r="DA59" i="6"/>
  <c r="DA77" i="6"/>
  <c r="DA56" i="6"/>
  <c r="AF163" i="119"/>
  <c r="AF169" i="119"/>
  <c r="EC13" i="113"/>
  <c r="EC146" i="113"/>
  <c r="DX11" i="1"/>
  <c r="R18" i="118" s="1"/>
  <c r="DX96" i="1"/>
  <c r="DX63" i="1"/>
  <c r="DX117" i="1"/>
  <c r="DX39" i="1"/>
  <c r="DX75" i="1"/>
  <c r="DX60" i="1"/>
  <c r="DX64" i="1"/>
  <c r="DX13" i="2"/>
  <c r="DX17" i="3" s="1"/>
  <c r="DX65" i="1"/>
  <c r="ER11" i="119"/>
  <c r="ER270" i="119" s="1"/>
  <c r="FQ20" i="3"/>
  <c r="EA47" i="113"/>
  <c r="EA49" i="113" s="1"/>
  <c r="EA67" i="113"/>
  <c r="EA62" i="113"/>
  <c r="EA16" i="51"/>
  <c r="EA34" i="113"/>
  <c r="EK280" i="119"/>
  <c r="EK267" i="119"/>
  <c r="DX76" i="1"/>
  <c r="DX118" i="1"/>
  <c r="FT232" i="112"/>
  <c r="EG145" i="113"/>
  <c r="FT145" i="113" s="1"/>
  <c r="EG242" i="112"/>
  <c r="EH232" i="112"/>
  <c r="EG237" i="112"/>
  <c r="EG80" i="51"/>
  <c r="FQ23" i="3"/>
  <c r="P20" i="116"/>
  <c r="Q20" i="116" s="1"/>
  <c r="AG20" i="116"/>
  <c r="AF147" i="119"/>
  <c r="AF144" i="119"/>
  <c r="AF149" i="119"/>
  <c r="AF153" i="119"/>
  <c r="AF151" i="119"/>
  <c r="AF148" i="119"/>
  <c r="AF145" i="119"/>
  <c r="AF141" i="119"/>
  <c r="AF146" i="119"/>
  <c r="AF139" i="119"/>
  <c r="AF140" i="119"/>
  <c r="AF154" i="119"/>
  <c r="AF138" i="119"/>
  <c r="AF142" i="119"/>
  <c r="AF150" i="119"/>
  <c r="AF143" i="119"/>
  <c r="AH6" i="116"/>
  <c r="T6" i="116"/>
  <c r="U6" i="116" s="1"/>
  <c r="EO163" i="119"/>
  <c r="EO169" i="119"/>
  <c r="DA53" i="6"/>
  <c r="DA71" i="6"/>
  <c r="DB80" i="6"/>
  <c r="DB62" i="6"/>
  <c r="DB29" i="6"/>
  <c r="EP43" i="119"/>
  <c r="DV18" i="3"/>
  <c r="EB21" i="113"/>
  <c r="EB39" i="113"/>
  <c r="EB54" i="113"/>
  <c r="EB26" i="113"/>
  <c r="FS68" i="113"/>
  <c r="EC69" i="113"/>
  <c r="FS69" i="113" s="1"/>
  <c r="ER29" i="6"/>
  <c r="DV45" i="1"/>
  <c r="DB38" i="6"/>
  <c r="DV81" i="1"/>
  <c r="DV123" i="1"/>
  <c r="DV102" i="1"/>
  <c r="DV66" i="1"/>
  <c r="EP23" i="119"/>
  <c r="EP268" i="119" s="1"/>
  <c r="M107" i="115"/>
  <c r="DQ128" i="1"/>
  <c r="DQ50" i="1"/>
  <c r="EK279" i="119"/>
  <c r="DQ86" i="1"/>
  <c r="DQ11" i="3"/>
  <c r="DQ71" i="1"/>
  <c r="DQ32" i="1"/>
  <c r="DQ107" i="1"/>
  <c r="DQ31" i="1"/>
  <c r="EO129" i="119"/>
  <c r="EO135" i="119"/>
  <c r="DX64" i="2"/>
  <c r="DX68" i="2" s="1"/>
  <c r="ER56" i="119"/>
  <c r="ER52" i="6"/>
  <c r="ER89" i="6"/>
  <c r="EQ95" i="6"/>
  <c r="EQ58" i="6"/>
  <c r="EQ39" i="6"/>
  <c r="DB63" i="6"/>
  <c r="DB30" i="6"/>
  <c r="DB81" i="6"/>
  <c r="CZ72" i="6"/>
  <c r="CZ54" i="6"/>
  <c r="HA61" i="1"/>
  <c r="HA40" i="1"/>
  <c r="HA97" i="1"/>
  <c r="DQ35" i="3"/>
  <c r="EK97" i="119"/>
  <c r="FQ32" i="3"/>
  <c r="G33" i="118"/>
  <c r="G20" i="118"/>
  <c r="G43" i="118"/>
  <c r="G79" i="118" s="1"/>
  <c r="G54" i="118" s="1"/>
  <c r="DD49" i="6"/>
  <c r="DD94" i="6"/>
  <c r="DD67" i="6"/>
  <c r="DD86" i="6"/>
  <c r="DQ109" i="1"/>
  <c r="EK281" i="119"/>
  <c r="EK260" i="119" s="1"/>
  <c r="DQ130" i="1"/>
  <c r="DQ52" i="1"/>
  <c r="DQ88" i="1"/>
  <c r="DQ87" i="1"/>
  <c r="DQ129" i="1"/>
  <c r="DQ108" i="1"/>
  <c r="DQ51" i="1"/>
  <c r="X27" i="116"/>
  <c r="Y27" i="116" s="1"/>
  <c r="AI63" i="116"/>
  <c r="AI27" i="116"/>
  <c r="EO154" i="119"/>
  <c r="EO150" i="119"/>
  <c r="EO143" i="119"/>
  <c r="EO142" i="119"/>
  <c r="EO146" i="119"/>
  <c r="EO144" i="119"/>
  <c r="EO145" i="119"/>
  <c r="EO140" i="119"/>
  <c r="EO148" i="119"/>
  <c r="EO149" i="119"/>
  <c r="EO147" i="119"/>
  <c r="EO151" i="119"/>
  <c r="EO138" i="119"/>
  <c r="EO153" i="119"/>
  <c r="EO141" i="119"/>
  <c r="EO139" i="119"/>
  <c r="EQ42" i="119"/>
  <c r="N13" i="116"/>
  <c r="FP25" i="1"/>
  <c r="AE290" i="119" s="1"/>
  <c r="AE273" i="119"/>
  <c r="EF48" i="51"/>
  <c r="DA70" i="6"/>
  <c r="DA52" i="6"/>
  <c r="DZ53" i="51"/>
  <c r="DZ25" i="51"/>
  <c r="DZ67" i="51"/>
  <c r="DZ76" i="51" s="1"/>
  <c r="DZ17" i="51"/>
  <c r="DZ45" i="51" s="1"/>
  <c r="DZ36" i="51"/>
  <c r="V41" i="118"/>
  <c r="V42" i="118" s="1"/>
  <c r="U43" i="118"/>
  <c r="DQ21" i="2"/>
  <c r="DR78" i="2"/>
  <c r="CZ35" i="6"/>
  <c r="EQ18" i="119"/>
  <c r="DW30" i="2"/>
  <c r="DW14" i="2"/>
  <c r="DW18" i="3" s="1"/>
  <c r="R17" i="118"/>
  <c r="DW76" i="1"/>
  <c r="DW97" i="1"/>
  <c r="DW40" i="1"/>
  <c r="EQ12" i="119"/>
  <c r="DW61" i="1"/>
  <c r="EQ14" i="119"/>
  <c r="DW118" i="1"/>
  <c r="F46" i="118"/>
  <c r="F24" i="118"/>
  <c r="ER43" i="119"/>
  <c r="G114" i="118"/>
  <c r="F89" i="118"/>
  <c r="X105" i="115"/>
  <c r="M106" i="115"/>
  <c r="O105" i="115"/>
  <c r="EH57" i="51"/>
  <c r="EG52" i="51"/>
  <c r="FT52" i="51" s="1"/>
  <c r="FR53" i="51"/>
  <c r="V31" i="116" s="1"/>
  <c r="DC47" i="6"/>
  <c r="DC12" i="6" s="1"/>
  <c r="DC46" i="6"/>
  <c r="DC11" i="6" s="1"/>
  <c r="DC45" i="6"/>
  <c r="DC10" i="6" s="1"/>
  <c r="DC44" i="6"/>
  <c r="DC9" i="6" s="1"/>
  <c r="DA84" i="6"/>
  <c r="DA48" i="6"/>
  <c r="DA33" i="6"/>
  <c r="DA66" i="6"/>
  <c r="FQ19" i="3"/>
  <c r="DQ24" i="3"/>
  <c r="FS13" i="113"/>
  <c r="DV21" i="3"/>
  <c r="DV64" i="2"/>
  <c r="DV68" i="2" s="1"/>
  <c r="EP56" i="119"/>
  <c r="FR17" i="51"/>
  <c r="DA51" i="6"/>
  <c r="DA69" i="6"/>
  <c r="FS146" i="113"/>
  <c r="FS144" i="113"/>
  <c r="F53" i="118"/>
  <c r="F69" i="118"/>
  <c r="F56" i="118"/>
  <c r="AE59" i="119"/>
  <c r="FQ35" i="2"/>
  <c r="AE60" i="119" s="1"/>
  <c r="FQ75" i="2"/>
  <c r="AG25" i="114"/>
  <c r="AG24" i="114"/>
  <c r="HB34" i="113"/>
  <c r="HB47" i="113"/>
  <c r="AG72" i="116"/>
  <c r="P12" i="116"/>
  <c r="Q12" i="116" s="1"/>
  <c r="CY37" i="6"/>
  <c r="CY96" i="6"/>
  <c r="CY77" i="6"/>
  <c r="CY56" i="6"/>
  <c r="CY59" i="6"/>
  <c r="DB83" i="6"/>
  <c r="EP164" i="119" s="1"/>
  <c r="DB32" i="6"/>
  <c r="DB65" i="6"/>
  <c r="DB13" i="6"/>
  <c r="ED68" i="113"/>
  <c r="ED69" i="113" s="1"/>
  <c r="EE143" i="113"/>
  <c r="ED142" i="113"/>
  <c r="FQ74" i="2"/>
  <c r="AE44" i="119"/>
  <c r="L41" i="118" l="1"/>
  <c r="V21" i="118"/>
  <c r="HA98" i="1"/>
  <c r="HA41" i="1"/>
  <c r="HA15" i="1"/>
  <c r="P20" i="118"/>
  <c r="FR50" i="51"/>
  <c r="FR59" i="51" s="1"/>
  <c r="FR49" i="51"/>
  <c r="FR58" i="51" s="1"/>
  <c r="L17" i="118"/>
  <c r="L42" i="118" s="1"/>
  <c r="FQ24" i="3"/>
  <c r="AE94" i="119" s="1"/>
  <c r="AF167" i="119"/>
  <c r="EN173" i="119"/>
  <c r="EO167" i="119"/>
  <c r="EO128" i="119"/>
  <c r="AF152" i="119"/>
  <c r="AF128" i="119"/>
  <c r="HC17" i="51"/>
  <c r="HC45" i="51" s="1"/>
  <c r="EO152" i="119"/>
  <c r="CY95" i="6"/>
  <c r="CY58" i="6"/>
  <c r="CY76" i="6"/>
  <c r="FS39" i="113"/>
  <c r="FS26" i="113"/>
  <c r="FR60" i="1"/>
  <c r="FR64" i="1"/>
  <c r="AG11" i="119"/>
  <c r="AG270" i="119" s="1"/>
  <c r="FR96" i="1"/>
  <c r="V4" i="116"/>
  <c r="H16" i="118"/>
  <c r="FR65" i="1"/>
  <c r="FR39" i="1"/>
  <c r="FR63" i="1"/>
  <c r="CZ93" i="6"/>
  <c r="CZ74" i="6"/>
  <c r="CZ37" i="6"/>
  <c r="V28" i="116"/>
  <c r="V36" i="116" s="1"/>
  <c r="FR46" i="51"/>
  <c r="FR26" i="51"/>
  <c r="FR40" i="51"/>
  <c r="FR68" i="51"/>
  <c r="FR77" i="51" s="1"/>
  <c r="FR43" i="51"/>
  <c r="FR42" i="51"/>
  <c r="FR41" i="51"/>
  <c r="FR44" i="51"/>
  <c r="FR45" i="51"/>
  <c r="H114" i="118"/>
  <c r="G89" i="118"/>
  <c r="DB71" i="6"/>
  <c r="DB53" i="6"/>
  <c r="F58" i="118"/>
  <c r="F71" i="118"/>
  <c r="F81" i="118"/>
  <c r="DC31" i="6"/>
  <c r="DC82" i="6"/>
  <c r="DC64" i="6"/>
  <c r="DW21" i="3"/>
  <c r="DW64" i="2"/>
  <c r="DW68" i="2" s="1"/>
  <c r="EQ56" i="119"/>
  <c r="G35" i="118"/>
  <c r="G45" i="118"/>
  <c r="DX21" i="3"/>
  <c r="DQ132" i="1"/>
  <c r="DQ90" i="1"/>
  <c r="DQ111" i="1"/>
  <c r="M108" i="115"/>
  <c r="DQ54" i="1"/>
  <c r="FT80" i="51"/>
  <c r="FT237" i="112"/>
  <c r="FT242" i="112"/>
  <c r="DX62" i="1"/>
  <c r="DX59" i="51" s="1"/>
  <c r="DX98" i="1"/>
  <c r="DX15" i="1"/>
  <c r="R20" i="118" s="1"/>
  <c r="DX77" i="1"/>
  <c r="DX41" i="1"/>
  <c r="DX119" i="1"/>
  <c r="FR10" i="1"/>
  <c r="DB52" i="6"/>
  <c r="DB70" i="6"/>
  <c r="ER96" i="6"/>
  <c r="ER59" i="6"/>
  <c r="AE281" i="119"/>
  <c r="AE260" i="119" s="1"/>
  <c r="AG15" i="114"/>
  <c r="FP109" i="1"/>
  <c r="FP52" i="1"/>
  <c r="N16" i="116"/>
  <c r="EE68" i="113"/>
  <c r="EE69" i="113" s="1"/>
  <c r="EE142" i="113"/>
  <c r="EF143" i="113"/>
  <c r="ED146" i="113"/>
  <c r="ED13" i="113"/>
  <c r="GF21" i="3"/>
  <c r="DA72" i="6"/>
  <c r="DA54" i="6"/>
  <c r="DC65" i="6"/>
  <c r="DC83" i="6"/>
  <c r="EQ164" i="119" s="1"/>
  <c r="DC32" i="6"/>
  <c r="DC13" i="6"/>
  <c r="O106" i="115"/>
  <c r="X106" i="115"/>
  <c r="F26" i="118"/>
  <c r="F38" i="118" s="1"/>
  <c r="F36" i="118"/>
  <c r="F47" i="118"/>
  <c r="P13" i="116"/>
  <c r="Q13" i="116" s="1"/>
  <c r="AG73" i="116"/>
  <c r="O107" i="115"/>
  <c r="X107" i="115"/>
  <c r="DB68" i="6"/>
  <c r="DB50" i="6"/>
  <c r="EA36" i="51"/>
  <c r="EA25" i="51"/>
  <c r="EA53" i="51"/>
  <c r="EA49" i="51" s="1"/>
  <c r="EA67" i="51"/>
  <c r="EA76" i="51" s="1"/>
  <c r="EA17" i="51"/>
  <c r="EA45" i="51" s="1"/>
  <c r="HC142" i="113"/>
  <c r="AH10" i="116"/>
  <c r="T10" i="116"/>
  <c r="U10" i="116" s="1"/>
  <c r="AH70" i="116"/>
  <c r="AF170" i="119"/>
  <c r="AF166" i="119"/>
  <c r="AF174" i="119"/>
  <c r="AF165" i="119"/>
  <c r="V35" i="116"/>
  <c r="AI66" i="116"/>
  <c r="AI31" i="116"/>
  <c r="X31" i="116"/>
  <c r="Y31" i="116" s="1"/>
  <c r="F82" i="118"/>
  <c r="F117" i="118"/>
  <c r="DZ54" i="51"/>
  <c r="HC53" i="51"/>
  <c r="DQ47" i="2"/>
  <c r="FQ11" i="3"/>
  <c r="EK305" i="119"/>
  <c r="DQ25" i="3"/>
  <c r="ER87" i="6"/>
  <c r="ER50" i="6"/>
  <c r="DY11" i="1"/>
  <c r="FR11" i="1" s="1"/>
  <c r="DY39" i="1"/>
  <c r="ES11" i="119"/>
  <c r="ES270" i="119" s="1"/>
  <c r="DY75" i="1"/>
  <c r="DY64" i="1"/>
  <c r="DY65" i="1"/>
  <c r="DY13" i="2"/>
  <c r="DY17" i="3" s="1"/>
  <c r="FS17" i="3" s="1"/>
  <c r="DY96" i="1"/>
  <c r="DY60" i="1"/>
  <c r="DY63" i="1"/>
  <c r="DY117" i="1"/>
  <c r="AI67" i="116"/>
  <c r="X32" i="116"/>
  <c r="Y32" i="116" s="1"/>
  <c r="AI32" i="116"/>
  <c r="EQ23" i="119"/>
  <c r="EQ268" i="119" s="1"/>
  <c r="DW45" i="1"/>
  <c r="DW66" i="1"/>
  <c r="DW81" i="1"/>
  <c r="DW102" i="1"/>
  <c r="DW123" i="1"/>
  <c r="DC38" i="6"/>
  <c r="ES18" i="119"/>
  <c r="DY118" i="1"/>
  <c r="DY14" i="2"/>
  <c r="DY97" i="1"/>
  <c r="DY76" i="1"/>
  <c r="DY30" i="2"/>
  <c r="ES14" i="119"/>
  <c r="DY40" i="1"/>
  <c r="DY61" i="1"/>
  <c r="ES12" i="119"/>
  <c r="EO174" i="119"/>
  <c r="EO165" i="119"/>
  <c r="EO166" i="119"/>
  <c r="EO170" i="119"/>
  <c r="FQ35" i="3"/>
  <c r="AE101" i="119" s="1"/>
  <c r="AE97" i="119"/>
  <c r="EP154" i="119"/>
  <c r="EP139" i="119"/>
  <c r="EP140" i="119"/>
  <c r="EP149" i="119"/>
  <c r="EP153" i="119"/>
  <c r="EP150" i="119"/>
  <c r="EP147" i="119"/>
  <c r="EP148" i="119"/>
  <c r="EP146" i="119"/>
  <c r="EP142" i="119"/>
  <c r="EP145" i="119"/>
  <c r="EP141" i="119"/>
  <c r="EP138" i="119"/>
  <c r="EP143" i="119"/>
  <c r="EP144" i="119"/>
  <c r="EP151" i="119"/>
  <c r="DB77" i="6"/>
  <c r="DB56" i="6"/>
  <c r="DB59" i="6"/>
  <c r="DB96" i="6"/>
  <c r="EB67" i="113"/>
  <c r="EB62" i="113"/>
  <c r="EB34" i="113"/>
  <c r="EB16" i="51"/>
  <c r="EB47" i="113"/>
  <c r="EB49" i="113" s="1"/>
  <c r="EH80" i="51"/>
  <c r="EH237" i="112"/>
  <c r="EI232" i="112"/>
  <c r="EH242" i="112"/>
  <c r="EH145" i="113"/>
  <c r="EC21" i="113"/>
  <c r="EC26" i="113"/>
  <c r="EC54" i="113"/>
  <c r="EC39" i="113"/>
  <c r="AE280" i="119"/>
  <c r="FP108" i="1"/>
  <c r="FP51" i="1"/>
  <c r="DB33" i="6"/>
  <c r="DB84" i="6"/>
  <c r="DB66" i="6"/>
  <c r="DB48" i="6"/>
  <c r="EG48" i="51"/>
  <c r="DR79" i="2"/>
  <c r="DR12" i="3" s="1"/>
  <c r="DZ49" i="51"/>
  <c r="DD45" i="6"/>
  <c r="DD10" i="6" s="1"/>
  <c r="DD47" i="6"/>
  <c r="DD12" i="6" s="1"/>
  <c r="DD44" i="6"/>
  <c r="DD9" i="6" s="1"/>
  <c r="DD46" i="6"/>
  <c r="DD11" i="6" s="1"/>
  <c r="DB51" i="6"/>
  <c r="DB69" i="6"/>
  <c r="EK283" i="119"/>
  <c r="EK282" i="119"/>
  <c r="GF18" i="3"/>
  <c r="ER42" i="119"/>
  <c r="EP169" i="119"/>
  <c r="EP163" i="119"/>
  <c r="DE94" i="6"/>
  <c r="DE86" i="6"/>
  <c r="DE67" i="6"/>
  <c r="DE49" i="6"/>
  <c r="L53" i="118"/>
  <c r="F78" i="118"/>
  <c r="F68" i="118"/>
  <c r="EK94" i="119"/>
  <c r="F104" i="118"/>
  <c r="F91" i="118"/>
  <c r="F88" i="118"/>
  <c r="DC29" i="6"/>
  <c r="DC62" i="6"/>
  <c r="DC80" i="6"/>
  <c r="DQ53" i="1"/>
  <c r="DQ89" i="1"/>
  <c r="DQ110" i="1"/>
  <c r="DQ131" i="1"/>
  <c r="EP135" i="119"/>
  <c r="EP129" i="119"/>
  <c r="DC30" i="6"/>
  <c r="DC81" i="6"/>
  <c r="DC63" i="6"/>
  <c r="EI57" i="51"/>
  <c r="EH52" i="51"/>
  <c r="DX18" i="3"/>
  <c r="EQ43" i="119"/>
  <c r="DQ25" i="2"/>
  <c r="FQ25" i="2" s="1"/>
  <c r="DQ89" i="2"/>
  <c r="FQ21" i="2"/>
  <c r="AE48" i="119" s="1"/>
  <c r="AE46" i="119" s="1"/>
  <c r="EK48" i="119"/>
  <c r="DZ9" i="1"/>
  <c r="DZ41" i="51"/>
  <c r="DZ44" i="51"/>
  <c r="DZ37" i="51"/>
  <c r="DZ68" i="51"/>
  <c r="DZ77" i="51" s="1"/>
  <c r="DZ42" i="51"/>
  <c r="DZ26" i="51"/>
  <c r="DZ28" i="51" s="1"/>
  <c r="DZ40" i="51"/>
  <c r="DF16" i="6"/>
  <c r="DZ46" i="51"/>
  <c r="DZ43" i="51"/>
  <c r="ES17" i="6"/>
  <c r="ES49" i="6"/>
  <c r="ES85" i="6"/>
  <c r="AG176" i="119" s="1"/>
  <c r="ES94" i="6"/>
  <c r="ES86" i="6"/>
  <c r="ES18" i="6"/>
  <c r="G69" i="118"/>
  <c r="G56" i="118"/>
  <c r="G53" i="118"/>
  <c r="EK101" i="119"/>
  <c r="ER33" i="6"/>
  <c r="FQ44" i="2"/>
  <c r="AE65" i="119" s="1"/>
  <c r="EK65" i="119"/>
  <c r="DA35" i="6"/>
  <c r="FP71" i="1"/>
  <c r="FP31" i="1"/>
  <c r="AE279" i="119"/>
  <c r="N15" i="116"/>
  <c r="FP32" i="1"/>
  <c r="FP50" i="1"/>
  <c r="FP107" i="1"/>
  <c r="L18" i="118" l="1"/>
  <c r="FR57" i="51"/>
  <c r="HA102" i="1"/>
  <c r="I31" i="117"/>
  <c r="HA66" i="1"/>
  <c r="HA45" i="1"/>
  <c r="HC26" i="51"/>
  <c r="HC40" i="51"/>
  <c r="EP167" i="119"/>
  <c r="EP128" i="119"/>
  <c r="HC42" i="51"/>
  <c r="HC44" i="51"/>
  <c r="HC41" i="51"/>
  <c r="HC46" i="51"/>
  <c r="AF173" i="119"/>
  <c r="EP152" i="119"/>
  <c r="HC43" i="51"/>
  <c r="EO173" i="119"/>
  <c r="EA50" i="51"/>
  <c r="G68" i="118"/>
  <c r="G78" i="118"/>
  <c r="EQ135" i="119"/>
  <c r="EQ129" i="119"/>
  <c r="AE282" i="119"/>
  <c r="FP53" i="1"/>
  <c r="FP110" i="1"/>
  <c r="DZ63" i="1"/>
  <c r="DZ13" i="2"/>
  <c r="DZ17" i="3" s="1"/>
  <c r="GG17" i="3" s="1"/>
  <c r="DZ75" i="1"/>
  <c r="DZ96" i="1"/>
  <c r="DZ117" i="1"/>
  <c r="DZ64" i="1"/>
  <c r="DZ60" i="1"/>
  <c r="DZ65" i="1"/>
  <c r="DZ39" i="1"/>
  <c r="ET11" i="119"/>
  <c r="ET270" i="119" s="1"/>
  <c r="EQ139" i="119"/>
  <c r="EQ148" i="119"/>
  <c r="EQ142" i="119"/>
  <c r="EQ140" i="119"/>
  <c r="EQ144" i="119"/>
  <c r="EQ151" i="119"/>
  <c r="EQ138" i="119"/>
  <c r="EQ143" i="119"/>
  <c r="EQ145" i="119"/>
  <c r="EQ146" i="119"/>
  <c r="EQ149" i="119"/>
  <c r="EQ153" i="119"/>
  <c r="EQ147" i="119"/>
  <c r="EQ154" i="119"/>
  <c r="EQ141" i="119"/>
  <c r="EQ150" i="119"/>
  <c r="DC50" i="6"/>
  <c r="DC68" i="6"/>
  <c r="DE47" i="6"/>
  <c r="DE12" i="6" s="1"/>
  <c r="ES12" i="6" s="1"/>
  <c r="DE45" i="6"/>
  <c r="DE10" i="6" s="1"/>
  <c r="ES10" i="6" s="1"/>
  <c r="DE44" i="6"/>
  <c r="DE9" i="6" s="1"/>
  <c r="ES9" i="6" s="1"/>
  <c r="DE46" i="6"/>
  <c r="DE11" i="6" s="1"/>
  <c r="ES11" i="6" s="1"/>
  <c r="ER91" i="6"/>
  <c r="ER54" i="6"/>
  <c r="DC51" i="6"/>
  <c r="DC69" i="6"/>
  <c r="DZ50" i="51"/>
  <c r="HC49" i="51"/>
  <c r="HC58" i="51" s="1"/>
  <c r="ES43" i="119"/>
  <c r="FS14" i="2"/>
  <c r="DY18" i="3"/>
  <c r="FS18" i="3" s="1"/>
  <c r="AI36" i="116"/>
  <c r="Y36" i="116"/>
  <c r="Z36" i="116" s="1"/>
  <c r="ES42" i="119"/>
  <c r="FS13" i="2"/>
  <c r="DY98" i="1"/>
  <c r="DY119" i="1"/>
  <c r="DY15" i="1"/>
  <c r="DY62" i="1"/>
  <c r="DY59" i="51" s="1"/>
  <c r="DY77" i="1"/>
  <c r="DY41" i="1"/>
  <c r="Y35" i="116"/>
  <c r="AI35" i="116"/>
  <c r="ED54" i="113"/>
  <c r="ED26" i="113"/>
  <c r="ED39" i="113"/>
  <c r="ED21" i="113"/>
  <c r="HC13" i="113"/>
  <c r="I114" i="118"/>
  <c r="H89" i="118"/>
  <c r="AG19" i="114"/>
  <c r="N17" i="116"/>
  <c r="FP111" i="1"/>
  <c r="AE283" i="119"/>
  <c r="FP54" i="1"/>
  <c r="DA93" i="6"/>
  <c r="DA74" i="6"/>
  <c r="DA37" i="6"/>
  <c r="EH48" i="51"/>
  <c r="HE52" i="51"/>
  <c r="DD82" i="6"/>
  <c r="DD31" i="6"/>
  <c r="DD64" i="6"/>
  <c r="DR16" i="1"/>
  <c r="GE12" i="3"/>
  <c r="H35" i="117" s="1"/>
  <c r="EL93" i="119"/>
  <c r="DR88" i="2"/>
  <c r="EP174" i="119"/>
  <c r="EP166" i="119"/>
  <c r="EP165" i="119"/>
  <c r="EP170" i="119"/>
  <c r="FR98" i="1"/>
  <c r="FR41" i="1"/>
  <c r="V6" i="116"/>
  <c r="FR62" i="1"/>
  <c r="EB67" i="51"/>
  <c r="EB76" i="51" s="1"/>
  <c r="EB53" i="51"/>
  <c r="EB54" i="51" s="1"/>
  <c r="EB25" i="51"/>
  <c r="EB36" i="51"/>
  <c r="EB17" i="51"/>
  <c r="HB9" i="1"/>
  <c r="FQ25" i="3"/>
  <c r="AE305" i="119"/>
  <c r="DX123" i="1"/>
  <c r="DX102" i="1"/>
  <c r="DX81" i="1"/>
  <c r="DX45" i="1"/>
  <c r="ER23" i="119"/>
  <c r="ER268" i="119" s="1"/>
  <c r="DD38" i="6"/>
  <c r="DX66" i="1"/>
  <c r="F59" i="118"/>
  <c r="L59" i="118" s="1"/>
  <c r="CZ76" i="6"/>
  <c r="CZ95" i="6"/>
  <c r="CZ58" i="6"/>
  <c r="H41" i="118"/>
  <c r="H31" i="118"/>
  <c r="H44" i="118"/>
  <c r="L88" i="118"/>
  <c r="F113" i="118"/>
  <c r="F103" i="118"/>
  <c r="DD29" i="6"/>
  <c r="DD80" i="6"/>
  <c r="DD62" i="6"/>
  <c r="DB72" i="6"/>
  <c r="DB54" i="6"/>
  <c r="EI145" i="113"/>
  <c r="EI80" i="51"/>
  <c r="EJ232" i="112"/>
  <c r="EI237" i="112"/>
  <c r="EI242" i="112"/>
  <c r="FQ47" i="2"/>
  <c r="DQ49" i="2"/>
  <c r="EA54" i="51"/>
  <c r="DC48" i="6"/>
  <c r="DC66" i="6"/>
  <c r="DC33" i="6"/>
  <c r="DC35" i="6" s="1"/>
  <c r="DC84" i="6"/>
  <c r="EF68" i="113"/>
  <c r="EF69" i="113" s="1"/>
  <c r="EF142" i="113"/>
  <c r="EG143" i="113"/>
  <c r="AG31" i="114"/>
  <c r="AG17" i="114"/>
  <c r="AG16" i="114"/>
  <c r="X108" i="115"/>
  <c r="O108" i="115"/>
  <c r="EQ169" i="119"/>
  <c r="EQ163" i="119"/>
  <c r="AI4" i="116"/>
  <c r="X4" i="116"/>
  <c r="Y4" i="116" s="1"/>
  <c r="F93" i="118"/>
  <c r="F116" i="118"/>
  <c r="F106" i="118"/>
  <c r="L54" i="118"/>
  <c r="L78" i="118"/>
  <c r="V23" i="118"/>
  <c r="V24" i="118" s="1"/>
  <c r="L43" i="118"/>
  <c r="L20" i="118"/>
  <c r="DD32" i="6"/>
  <c r="DD65" i="6"/>
  <c r="DD83" i="6"/>
  <c r="ER164" i="119" s="1"/>
  <c r="DD13" i="6"/>
  <c r="FS30" i="2"/>
  <c r="DY21" i="3"/>
  <c r="FS21" i="3" s="1"/>
  <c r="ES56" i="119"/>
  <c r="DY64" i="2"/>
  <c r="DY68" i="2" s="1"/>
  <c r="ER35" i="6"/>
  <c r="DB35" i="6"/>
  <c r="DC53" i="6"/>
  <c r="DC71" i="6"/>
  <c r="EE13" i="113"/>
  <c r="EE146" i="113"/>
  <c r="AG18" i="119"/>
  <c r="FR97" i="1"/>
  <c r="H17" i="118"/>
  <c r="AG12" i="119"/>
  <c r="FR61" i="1"/>
  <c r="FR40" i="1"/>
  <c r="V5" i="116"/>
  <c r="X5" i="116" s="1"/>
  <c r="Y5" i="116" s="1"/>
  <c r="AG14" i="119"/>
  <c r="ER37" i="6"/>
  <c r="EJ57" i="51"/>
  <c r="EI52" i="51"/>
  <c r="DF86" i="6"/>
  <c r="DF49" i="6"/>
  <c r="DF67" i="6"/>
  <c r="DF94" i="6"/>
  <c r="DQ87" i="2"/>
  <c r="FQ89" i="2"/>
  <c r="G58" i="118"/>
  <c r="G71" i="118"/>
  <c r="G81" i="118"/>
  <c r="DD81" i="6"/>
  <c r="DD63" i="6"/>
  <c r="DD30" i="6"/>
  <c r="DC59" i="6"/>
  <c r="DC77" i="6"/>
  <c r="DC56" i="6"/>
  <c r="DC96" i="6"/>
  <c r="DQ50" i="3"/>
  <c r="EK96" i="119"/>
  <c r="DQ54" i="3"/>
  <c r="HC54" i="51"/>
  <c r="HC146" i="113"/>
  <c r="HC144" i="113"/>
  <c r="DC52" i="6"/>
  <c r="DC70" i="6"/>
  <c r="X28" i="116"/>
  <c r="Y28" i="116" s="1"/>
  <c r="AI28" i="116"/>
  <c r="AI64" i="116"/>
  <c r="P15" i="116"/>
  <c r="Q15" i="116" s="1"/>
  <c r="AG75" i="116"/>
  <c r="AG15" i="116"/>
  <c r="EC67" i="113"/>
  <c r="FS67" i="113" s="1"/>
  <c r="EC34" i="113"/>
  <c r="EC47" i="113"/>
  <c r="EC49" i="113" s="1"/>
  <c r="EC16" i="51"/>
  <c r="EC62" i="113"/>
  <c r="FS21" i="113"/>
  <c r="EA44" i="51"/>
  <c r="EA43" i="51"/>
  <c r="EA9" i="1"/>
  <c r="EA41" i="51"/>
  <c r="EA42" i="51"/>
  <c r="DG16" i="6"/>
  <c r="EA46" i="51"/>
  <c r="EA40" i="51"/>
  <c r="EA68" i="51"/>
  <c r="EA77" i="51" s="1"/>
  <c r="EA37" i="51"/>
  <c r="EA26" i="51"/>
  <c r="EA28" i="51" s="1"/>
  <c r="P16" i="116"/>
  <c r="Q16" i="116" s="1"/>
  <c r="AG16" i="116"/>
  <c r="G104" i="118"/>
  <c r="G88" i="118"/>
  <c r="G91" i="118"/>
  <c r="FT48" i="51"/>
  <c r="EQ167" i="119" l="1"/>
  <c r="EQ128" i="119"/>
  <c r="EP173" i="119"/>
  <c r="EQ152" i="119"/>
  <c r="DC93" i="6"/>
  <c r="DC74" i="6"/>
  <c r="DC37" i="6"/>
  <c r="ES80" i="6"/>
  <c r="ES19" i="6"/>
  <c r="ES44" i="6"/>
  <c r="DG94" i="6"/>
  <c r="DG67" i="6"/>
  <c r="DG86" i="6"/>
  <c r="DG49" i="6"/>
  <c r="DD69" i="6"/>
  <c r="DD51" i="6"/>
  <c r="DB93" i="6"/>
  <c r="DB74" i="6"/>
  <c r="DB37" i="6"/>
  <c r="FS64" i="2"/>
  <c r="FS65" i="2"/>
  <c r="AG56" i="119"/>
  <c r="DD53" i="6"/>
  <c r="DD71" i="6"/>
  <c r="L89" i="118"/>
  <c r="L113" i="118"/>
  <c r="DD56" i="6"/>
  <c r="DD96" i="6"/>
  <c r="DD59" i="6"/>
  <c r="DD77" i="6"/>
  <c r="DH16" i="6"/>
  <c r="EB42" i="51"/>
  <c r="EB9" i="1"/>
  <c r="EB68" i="51"/>
  <c r="EB77" i="51" s="1"/>
  <c r="EB37" i="51"/>
  <c r="EB26" i="51"/>
  <c r="EB28" i="51" s="1"/>
  <c r="EB43" i="51"/>
  <c r="EB40" i="51"/>
  <c r="EB46" i="51"/>
  <c r="EB41" i="51"/>
  <c r="EB44" i="51"/>
  <c r="EB45" i="51"/>
  <c r="ER163" i="119"/>
  <c r="ER169" i="119"/>
  <c r="AG21" i="114"/>
  <c r="AG32" i="114"/>
  <c r="AG20" i="114"/>
  <c r="AG42" i="119"/>
  <c r="FS62" i="2"/>
  <c r="FS63" i="2"/>
  <c r="AG43" i="119"/>
  <c r="DE82" i="6"/>
  <c r="DE64" i="6"/>
  <c r="DE31" i="6"/>
  <c r="ES31" i="6" s="1"/>
  <c r="FQ87" i="2"/>
  <c r="EK46" i="119"/>
  <c r="ES82" i="6"/>
  <c r="ES46" i="6"/>
  <c r="ES21" i="6"/>
  <c r="ES15" i="6" s="1"/>
  <c r="DD84" i="6"/>
  <c r="DD48" i="6"/>
  <c r="DD33" i="6"/>
  <c r="DD35" i="6" s="1"/>
  <c r="DD37" i="6" s="1"/>
  <c r="DD66" i="6"/>
  <c r="V26" i="118"/>
  <c r="V27" i="118" s="1"/>
  <c r="L45" i="118"/>
  <c r="EG142" i="113"/>
  <c r="EG68" i="113"/>
  <c r="FT143" i="113"/>
  <c r="EH143" i="113"/>
  <c r="ER135" i="119"/>
  <c r="ER129" i="119"/>
  <c r="H91" i="118"/>
  <c r="H88" i="118"/>
  <c r="H104" i="118"/>
  <c r="DE80" i="6"/>
  <c r="DE29" i="6"/>
  <c r="DE62" i="6"/>
  <c r="ER141" i="119"/>
  <c r="ER151" i="119"/>
  <c r="ER146" i="119"/>
  <c r="ER143" i="119"/>
  <c r="ER140" i="119"/>
  <c r="ER145" i="119"/>
  <c r="ER144" i="119"/>
  <c r="ER150" i="119"/>
  <c r="ER138" i="119"/>
  <c r="ER142" i="119"/>
  <c r="ER154" i="119"/>
  <c r="ER148" i="119"/>
  <c r="ER149" i="119"/>
  <c r="ER147" i="119"/>
  <c r="ER139" i="119"/>
  <c r="ER153" i="119"/>
  <c r="EI48" i="51"/>
  <c r="ER39" i="6"/>
  <c r="ER56" i="6"/>
  <c r="ER93" i="6"/>
  <c r="ES83" i="6"/>
  <c r="AG164" i="119" s="1"/>
  <c r="ES47" i="6"/>
  <c r="F94" i="118"/>
  <c r="L94" i="118" s="1"/>
  <c r="EF146" i="113"/>
  <c r="EF13" i="113"/>
  <c r="DD68" i="6"/>
  <c r="DD50" i="6"/>
  <c r="F60" i="118"/>
  <c r="X6" i="116"/>
  <c r="Y6" i="116" s="1"/>
  <c r="AI6" i="116"/>
  <c r="DR103" i="1"/>
  <c r="GZ16" i="1"/>
  <c r="EL21" i="119"/>
  <c r="EL19" i="119" s="1"/>
  <c r="DR82" i="1"/>
  <c r="DR46" i="1"/>
  <c r="DR124" i="1"/>
  <c r="DR67" i="1"/>
  <c r="DR17" i="1"/>
  <c r="I89" i="118"/>
  <c r="J114" i="118"/>
  <c r="DE81" i="6"/>
  <c r="DE63" i="6"/>
  <c r="DE30" i="6"/>
  <c r="ES30" i="6" s="1"/>
  <c r="ET42" i="119"/>
  <c r="EA10" i="1"/>
  <c r="EA11" i="1" s="1"/>
  <c r="DQ65" i="3"/>
  <c r="DQ55" i="3"/>
  <c r="G113" i="118"/>
  <c r="G103" i="118"/>
  <c r="FS34" i="113"/>
  <c r="FS47" i="113"/>
  <c r="EA117" i="1"/>
  <c r="EA65" i="1"/>
  <c r="EA60" i="1"/>
  <c r="EA13" i="2"/>
  <c r="EA17" i="3" s="1"/>
  <c r="EA64" i="1"/>
  <c r="EU11" i="119"/>
  <c r="EU270" i="119" s="1"/>
  <c r="EA75" i="1"/>
  <c r="EA39" i="1"/>
  <c r="EA96" i="1"/>
  <c r="EA63" i="1"/>
  <c r="EK57" i="51"/>
  <c r="EK52" i="51" s="1"/>
  <c r="EJ52" i="51"/>
  <c r="EE21" i="113"/>
  <c r="EE39" i="113"/>
  <c r="EE54" i="113"/>
  <c r="EE26" i="113"/>
  <c r="FQ54" i="3"/>
  <c r="AE96" i="119"/>
  <c r="FQ50" i="3"/>
  <c r="HE48" i="51"/>
  <c r="DY123" i="1"/>
  <c r="DY81" i="1"/>
  <c r="DY66" i="1"/>
  <c r="DY102" i="1"/>
  <c r="ES23" i="119"/>
  <c r="ES268" i="119" s="1"/>
  <c r="DE38" i="6"/>
  <c r="DY45" i="1"/>
  <c r="DB18" i="6"/>
  <c r="DB19" i="6" s="1"/>
  <c r="DE83" i="6"/>
  <c r="ES164" i="119" s="1"/>
  <c r="DE32" i="6"/>
  <c r="DE65" i="6"/>
  <c r="DE13" i="6"/>
  <c r="DF46" i="6"/>
  <c r="DF11" i="6" s="1"/>
  <c r="DF47" i="6"/>
  <c r="DF12" i="6" s="1"/>
  <c r="DF45" i="6"/>
  <c r="DF10" i="6" s="1"/>
  <c r="DF44" i="6"/>
  <c r="DF9" i="6" s="1"/>
  <c r="H42" i="118"/>
  <c r="H32" i="118"/>
  <c r="EQ165" i="119"/>
  <c r="EQ170" i="119"/>
  <c r="EQ174" i="119"/>
  <c r="EQ166" i="119"/>
  <c r="EK67" i="119"/>
  <c r="EK298" i="119" s="1"/>
  <c r="EK256" i="119" s="1"/>
  <c r="DQ51" i="2"/>
  <c r="FQ49" i="2"/>
  <c r="DQ66" i="2"/>
  <c r="FT66" i="2" s="1"/>
  <c r="EK69" i="119"/>
  <c r="EK271" i="119" s="1"/>
  <c r="EJ145" i="113"/>
  <c r="EJ80" i="51"/>
  <c r="EK232" i="112"/>
  <c r="EJ237" i="112"/>
  <c r="EJ242" i="112"/>
  <c r="H18" i="118"/>
  <c r="FR15" i="1"/>
  <c r="HB63" i="1"/>
  <c r="HB96" i="1"/>
  <c r="HB39" i="1"/>
  <c r="HB60" i="1"/>
  <c r="HB65" i="1"/>
  <c r="HB64" i="1"/>
  <c r="EB49" i="51"/>
  <c r="EL47" i="119"/>
  <c r="DD70" i="6"/>
  <c r="DD52" i="6"/>
  <c r="HC26" i="113"/>
  <c r="HC39" i="113"/>
  <c r="DC18" i="6"/>
  <c r="DC19" i="6" s="1"/>
  <c r="G93" i="118"/>
  <c r="G106" i="118"/>
  <c r="G116" i="118"/>
  <c r="EC36" i="51"/>
  <c r="EC17" i="51"/>
  <c r="EC45" i="51" s="1"/>
  <c r="EC25" i="51"/>
  <c r="EC53" i="51"/>
  <c r="EC49" i="51" s="1"/>
  <c r="EC50" i="51" s="1"/>
  <c r="EC10" i="1" s="1"/>
  <c r="EC67" i="51"/>
  <c r="EC76" i="51" s="1"/>
  <c r="DQ52" i="3"/>
  <c r="EK108" i="119"/>
  <c r="ER95" i="6"/>
  <c r="ER58" i="6"/>
  <c r="ES45" i="6"/>
  <c r="ES81" i="6"/>
  <c r="L56" i="118"/>
  <c r="L79" i="118"/>
  <c r="W23" i="118"/>
  <c r="W24" i="118" s="1"/>
  <c r="DC54" i="6"/>
  <c r="DC72" i="6"/>
  <c r="FS16" i="51"/>
  <c r="DA95" i="6"/>
  <c r="DA76" i="6"/>
  <c r="DA58" i="6"/>
  <c r="P17" i="116"/>
  <c r="Q17" i="116" s="1"/>
  <c r="AG76" i="116"/>
  <c r="AG17" i="116"/>
  <c r="ED47" i="113"/>
  <c r="ED49" i="113" s="1"/>
  <c r="ED62" i="113"/>
  <c r="ED67" i="113"/>
  <c r="ED34" i="113"/>
  <c r="ED16" i="51"/>
  <c r="HC21" i="113"/>
  <c r="DZ10" i="1"/>
  <c r="HC50" i="51"/>
  <c r="HC59" i="51" s="1"/>
  <c r="HC57" i="51" s="1"/>
  <c r="DD18" i="6"/>
  <c r="ER167" i="119" l="1"/>
  <c r="ER152" i="119"/>
  <c r="ER128" i="119"/>
  <c r="EQ173" i="119"/>
  <c r="ES88" i="6"/>
  <c r="ES51" i="6"/>
  <c r="DD76" i="6"/>
  <c r="DD58" i="6"/>
  <c r="DD95" i="6"/>
  <c r="FU232" i="112"/>
  <c r="EK237" i="112"/>
  <c r="EK242" i="112"/>
  <c r="EK80" i="51"/>
  <c r="EK145" i="113"/>
  <c r="FU145" i="113" s="1"/>
  <c r="FQ51" i="2"/>
  <c r="AE70" i="119" s="1"/>
  <c r="EK70" i="119"/>
  <c r="DF83" i="6"/>
  <c r="ET164" i="119" s="1"/>
  <c r="DF32" i="6"/>
  <c r="DF65" i="6"/>
  <c r="DF13" i="6"/>
  <c r="FQ65" i="3"/>
  <c r="FQ55" i="3"/>
  <c r="AG27" i="114" s="1"/>
  <c r="F95" i="118"/>
  <c r="HC34" i="113"/>
  <c r="HC47" i="113"/>
  <c r="L58" i="118"/>
  <c r="W26" i="118"/>
  <c r="W27" i="118" s="1"/>
  <c r="L81" i="118"/>
  <c r="EC54" i="51"/>
  <c r="FS53" i="51"/>
  <c r="EB50" i="51"/>
  <c r="FS49" i="51"/>
  <c r="FS58" i="51" s="1"/>
  <c r="DF82" i="6"/>
  <c r="DF64" i="6"/>
  <c r="DF31" i="6"/>
  <c r="EE34" i="113"/>
  <c r="EE62" i="113"/>
  <c r="EE47" i="113"/>
  <c r="EE49" i="113" s="1"/>
  <c r="EE16" i="51"/>
  <c r="EE67" i="113"/>
  <c r="ER170" i="119"/>
  <c r="ER165" i="119"/>
  <c r="ER174" i="119"/>
  <c r="ER166" i="119"/>
  <c r="EB13" i="2"/>
  <c r="EB17" i="3" s="1"/>
  <c r="EB96" i="1"/>
  <c r="EB63" i="1"/>
  <c r="EB65" i="1"/>
  <c r="EB39" i="1"/>
  <c r="EV11" i="119"/>
  <c r="EV270" i="119" s="1"/>
  <c r="EB75" i="1"/>
  <c r="EB64" i="1"/>
  <c r="EB117" i="1"/>
  <c r="EB60" i="1"/>
  <c r="DC95" i="6"/>
  <c r="DC76" i="6"/>
  <c r="DC58" i="6"/>
  <c r="EW18" i="119"/>
  <c r="EC30" i="2"/>
  <c r="EC97" i="1"/>
  <c r="EW12" i="119"/>
  <c r="EC14" i="2"/>
  <c r="EC40" i="1"/>
  <c r="EW14" i="119"/>
  <c r="ES52" i="6"/>
  <c r="ES89" i="6"/>
  <c r="FR66" i="1"/>
  <c r="FR45" i="1"/>
  <c r="ES38" i="6"/>
  <c r="FR102" i="1"/>
  <c r="AG23" i="119"/>
  <c r="AG268" i="119" s="1"/>
  <c r="V10" i="116"/>
  <c r="EJ48" i="51"/>
  <c r="EI143" i="113"/>
  <c r="EH68" i="113"/>
  <c r="EH142" i="113"/>
  <c r="HD142" i="113" s="1"/>
  <c r="HD143" i="113"/>
  <c r="HD145" i="113" s="1"/>
  <c r="DE70" i="6"/>
  <c r="DE52" i="6"/>
  <c r="ED53" i="51"/>
  <c r="ED49" i="51" s="1"/>
  <c r="HD49" i="51" s="1"/>
  <c r="ED67" i="51"/>
  <c r="ED76" i="51" s="1"/>
  <c r="ED36" i="51"/>
  <c r="ED25" i="51"/>
  <c r="ED17" i="51"/>
  <c r="ED45" i="51" s="1"/>
  <c r="HD16" i="51"/>
  <c r="DE84" i="6"/>
  <c r="DE66" i="6"/>
  <c r="DE33" i="6"/>
  <c r="ES33" i="6" s="1"/>
  <c r="DE48" i="6"/>
  <c r="DE69" i="6"/>
  <c r="DE51" i="6"/>
  <c r="EC9" i="1"/>
  <c r="DI16" i="6"/>
  <c r="ET16" i="6" s="1"/>
  <c r="EC41" i="51"/>
  <c r="EC43" i="51"/>
  <c r="EC37" i="51"/>
  <c r="EC46" i="51"/>
  <c r="EC68" i="51"/>
  <c r="EC77" i="51" s="1"/>
  <c r="EC40" i="51"/>
  <c r="EC26" i="51"/>
  <c r="EC28" i="51" s="1"/>
  <c r="EC44" i="51"/>
  <c r="EC42" i="51"/>
  <c r="H43" i="118"/>
  <c r="H79" i="118" s="1"/>
  <c r="H54" i="118" s="1"/>
  <c r="H20" i="118"/>
  <c r="H33" i="118"/>
  <c r="EK48" i="51"/>
  <c r="EA41" i="1"/>
  <c r="EA98" i="1"/>
  <c r="EA15" i="1"/>
  <c r="EA62" i="1"/>
  <c r="EA59" i="51" s="1"/>
  <c r="I104" i="118"/>
  <c r="I88" i="118"/>
  <c r="I91" i="118"/>
  <c r="EF21" i="113"/>
  <c r="EF54" i="113"/>
  <c r="EF26" i="113"/>
  <c r="EF39" i="113"/>
  <c r="H103" i="118"/>
  <c r="H113" i="118"/>
  <c r="ES13" i="6"/>
  <c r="DH49" i="6"/>
  <c r="DH67" i="6"/>
  <c r="DH86" i="6"/>
  <c r="DH94" i="6"/>
  <c r="FS68" i="2"/>
  <c r="ET18" i="119"/>
  <c r="DZ14" i="2"/>
  <c r="ET12" i="119"/>
  <c r="DZ61" i="1"/>
  <c r="DZ30" i="2"/>
  <c r="ET14" i="119"/>
  <c r="DZ76" i="1"/>
  <c r="DZ40" i="1"/>
  <c r="DZ118" i="1"/>
  <c r="DZ97" i="1"/>
  <c r="HB10" i="1"/>
  <c r="DZ11" i="1"/>
  <c r="I15" i="118"/>
  <c r="I30" i="118" s="1"/>
  <c r="FS25" i="51"/>
  <c r="FS67" i="51"/>
  <c r="FS76" i="51" s="1"/>
  <c r="K114" i="118"/>
  <c r="K89" i="118" s="1"/>
  <c r="J89" i="118"/>
  <c r="DD19" i="6"/>
  <c r="DE18" i="6"/>
  <c r="DE19" i="6" s="1"/>
  <c r="AG138" i="119"/>
  <c r="AG147" i="119"/>
  <c r="AG149" i="119"/>
  <c r="AG143" i="119"/>
  <c r="AG139" i="119"/>
  <c r="AG148" i="119"/>
  <c r="AG153" i="119"/>
  <c r="AG151" i="119"/>
  <c r="AG140" i="119"/>
  <c r="AG145" i="119"/>
  <c r="AG150" i="119"/>
  <c r="AG142" i="119"/>
  <c r="AG154" i="119"/>
  <c r="AG146" i="119"/>
  <c r="AG144" i="119"/>
  <c r="AG141" i="119"/>
  <c r="DQ58" i="3"/>
  <c r="DQ11" i="2" s="1"/>
  <c r="DR51" i="3"/>
  <c r="DF80" i="6"/>
  <c r="DF29" i="6"/>
  <c r="DF62" i="6"/>
  <c r="DE53" i="6"/>
  <c r="DE71" i="6"/>
  <c r="ES32" i="6"/>
  <c r="DE56" i="6"/>
  <c r="DE96" i="6"/>
  <c r="DE77" i="6"/>
  <c r="DE59" i="6"/>
  <c r="FQ52" i="3"/>
  <c r="AE108" i="119"/>
  <c r="EU42" i="119"/>
  <c r="EU18" i="119"/>
  <c r="EA14" i="2"/>
  <c r="EA61" i="1"/>
  <c r="EA30" i="2"/>
  <c r="EA40" i="1"/>
  <c r="EA97" i="1"/>
  <c r="EU14" i="119"/>
  <c r="EA118" i="1"/>
  <c r="EA76" i="1"/>
  <c r="EU12" i="119"/>
  <c r="ES140" i="119"/>
  <c r="ES147" i="119"/>
  <c r="ES142" i="119"/>
  <c r="ES138" i="119"/>
  <c r="ES150" i="119"/>
  <c r="ES139" i="119"/>
  <c r="ES148" i="119"/>
  <c r="ES153" i="119"/>
  <c r="ES146" i="119"/>
  <c r="ES149" i="119"/>
  <c r="ES145" i="119"/>
  <c r="ES141" i="119"/>
  <c r="ES144" i="119"/>
  <c r="ES143" i="119"/>
  <c r="ES154" i="119"/>
  <c r="ES151" i="119"/>
  <c r="FU52" i="51"/>
  <c r="F72" i="118"/>
  <c r="F62" i="118"/>
  <c r="F74" i="118" s="1"/>
  <c r="DE50" i="6"/>
  <c r="DE68" i="6"/>
  <c r="ES29" i="6"/>
  <c r="H93" i="118"/>
  <c r="H106" i="118"/>
  <c r="H116" i="118"/>
  <c r="EG69" i="113"/>
  <c r="FT69" i="113" s="1"/>
  <c r="FT68" i="113"/>
  <c r="AG169" i="119"/>
  <c r="AG163" i="119"/>
  <c r="ES163" i="119"/>
  <c r="ES169" i="119"/>
  <c r="FS17" i="51"/>
  <c r="FS45" i="51" s="1"/>
  <c r="L114" i="118"/>
  <c r="L91" i="118"/>
  <c r="U23" i="118"/>
  <c r="U24" i="118" s="1"/>
  <c r="DB58" i="6"/>
  <c r="DB76" i="6"/>
  <c r="DB95" i="6"/>
  <c r="DG45" i="6"/>
  <c r="DG10" i="6" s="1"/>
  <c r="DG47" i="6"/>
  <c r="DG12" i="6" s="1"/>
  <c r="DG44" i="6"/>
  <c r="DG9" i="6" s="1"/>
  <c r="DG46" i="6"/>
  <c r="DG11" i="6" s="1"/>
  <c r="AE67" i="119"/>
  <c r="AE298" i="119" s="1"/>
  <c r="AE256" i="119" s="1"/>
  <c r="AE69" i="119"/>
  <c r="AE271" i="119" s="1"/>
  <c r="DF81" i="6"/>
  <c r="DF30" i="6"/>
  <c r="DF63" i="6"/>
  <c r="DR16" i="2"/>
  <c r="DR80" i="2"/>
  <c r="DR31" i="2"/>
  <c r="DR15" i="2"/>
  <c r="DR17" i="2"/>
  <c r="EL20" i="119"/>
  <c r="EL259" i="119" s="1"/>
  <c r="DR125" i="1"/>
  <c r="DR47" i="1"/>
  <c r="DR104" i="1"/>
  <c r="DR83" i="1"/>
  <c r="DR68" i="1"/>
  <c r="GZ17" i="1"/>
  <c r="GZ46" i="1"/>
  <c r="GZ67" i="1"/>
  <c r="GZ103" i="1"/>
  <c r="DD74" i="6"/>
  <c r="DD93" i="6"/>
  <c r="ES135" i="119"/>
  <c r="ES129" i="119"/>
  <c r="EG13" i="113"/>
  <c r="EG146" i="113"/>
  <c r="FT142" i="113"/>
  <c r="DD72" i="6"/>
  <c r="DD54" i="6"/>
  <c r="AG129" i="119"/>
  <c r="AG135" i="119"/>
  <c r="ES167" i="119" l="1"/>
  <c r="DE35" i="6"/>
  <c r="DE37" i="6" s="1"/>
  <c r="ES37" i="6" s="1"/>
  <c r="ES58" i="6" s="1"/>
  <c r="HD58" i="51"/>
  <c r="HD17" i="51"/>
  <c r="HD41" i="51" s="1"/>
  <c r="ER173" i="119"/>
  <c r="HD53" i="51"/>
  <c r="AG152" i="119"/>
  <c r="AG167" i="119"/>
  <c r="ES152" i="119"/>
  <c r="ES128" i="119"/>
  <c r="AG128" i="119"/>
  <c r="ES95" i="6"/>
  <c r="ET85" i="6"/>
  <c r="AH176" i="119" s="1"/>
  <c r="ET49" i="6"/>
  <c r="ET94" i="6"/>
  <c r="ET86" i="6"/>
  <c r="ET18" i="6"/>
  <c r="EL44" i="119"/>
  <c r="DR20" i="3"/>
  <c r="DF69" i="6"/>
  <c r="DF51" i="6"/>
  <c r="EA64" i="2"/>
  <c r="EA68" i="2" s="1"/>
  <c r="EA21" i="3"/>
  <c r="EU56" i="119"/>
  <c r="EC11" i="1"/>
  <c r="EC64" i="1"/>
  <c r="EC13" i="2"/>
  <c r="EC17" i="3" s="1"/>
  <c r="EC60" i="1"/>
  <c r="EC39" i="1"/>
  <c r="EC75" i="1"/>
  <c r="EC96" i="1"/>
  <c r="EC63" i="1"/>
  <c r="EW11" i="119"/>
  <c r="EW270" i="119" s="1"/>
  <c r="EC65" i="1"/>
  <c r="EC117" i="1"/>
  <c r="FS9" i="1"/>
  <c r="FU48" i="51"/>
  <c r="EG21" i="113"/>
  <c r="FT21" i="113" s="1"/>
  <c r="EG39" i="113"/>
  <c r="EG54" i="113"/>
  <c r="EG26" i="113"/>
  <c r="FT13" i="113"/>
  <c r="ET135" i="119"/>
  <c r="ET129" i="119"/>
  <c r="J88" i="118"/>
  <c r="J104" i="118"/>
  <c r="J91" i="118"/>
  <c r="FS54" i="51"/>
  <c r="F97" i="118"/>
  <c r="F109" i="118" s="1"/>
  <c r="F107" i="118"/>
  <c r="DF71" i="6"/>
  <c r="DF53" i="6"/>
  <c r="H56" i="118"/>
  <c r="H69" i="118"/>
  <c r="H53" i="118"/>
  <c r="FR51" i="3"/>
  <c r="FQ58" i="3"/>
  <c r="ES90" i="6"/>
  <c r="ES53" i="6"/>
  <c r="DZ77" i="1"/>
  <c r="DZ41" i="1"/>
  <c r="DZ98" i="1"/>
  <c r="DZ15" i="1"/>
  <c r="EA81" i="1" s="1"/>
  <c r="DZ119" i="1"/>
  <c r="DZ62" i="1"/>
  <c r="DZ59" i="51" s="1"/>
  <c r="HB11" i="1"/>
  <c r="DR23" i="3"/>
  <c r="EL59" i="119"/>
  <c r="DR35" i="2"/>
  <c r="DG32" i="6"/>
  <c r="DG65" i="6"/>
  <c r="DG83" i="6"/>
  <c r="EU164" i="119" s="1"/>
  <c r="DG13" i="6"/>
  <c r="DE93" i="6"/>
  <c r="EU43" i="119"/>
  <c r="K88" i="118"/>
  <c r="K91" i="118"/>
  <c r="K104" i="118"/>
  <c r="HB97" i="1"/>
  <c r="HB40" i="1"/>
  <c r="HB61" i="1"/>
  <c r="DZ21" i="3"/>
  <c r="ET56" i="119"/>
  <c r="DZ64" i="2"/>
  <c r="DZ68" i="2" s="1"/>
  <c r="DH46" i="6"/>
  <c r="DH11" i="6" s="1"/>
  <c r="DH45" i="6"/>
  <c r="DH10" i="6" s="1"/>
  <c r="DH47" i="6"/>
  <c r="DH12" i="6" s="1"/>
  <c r="DH44" i="6"/>
  <c r="DH9" i="6" s="1"/>
  <c r="EA77" i="1"/>
  <c r="AI10" i="116"/>
  <c r="AI70" i="116"/>
  <c r="X10" i="116"/>
  <c r="Y10" i="116" s="1"/>
  <c r="EW56" i="119"/>
  <c r="FT30" i="2"/>
  <c r="EC64" i="2"/>
  <c r="EC68" i="2" s="1"/>
  <c r="AG28" i="114"/>
  <c r="AG29" i="114"/>
  <c r="AG34" i="114"/>
  <c r="ES165" i="119"/>
  <c r="ES166" i="119"/>
  <c r="ES170" i="119"/>
  <c r="ES174" i="119"/>
  <c r="ET163" i="119"/>
  <c r="ET169" i="119"/>
  <c r="ES91" i="6"/>
  <c r="ES54" i="6"/>
  <c r="ET138" i="119"/>
  <c r="ET146" i="119"/>
  <c r="ET153" i="119"/>
  <c r="ET143" i="119"/>
  <c r="ET147" i="119"/>
  <c r="ET144" i="119"/>
  <c r="ET150" i="119"/>
  <c r="ET154" i="119"/>
  <c r="ET151" i="119"/>
  <c r="ET145" i="119"/>
  <c r="ET139" i="119"/>
  <c r="ET140" i="119"/>
  <c r="ET148" i="119"/>
  <c r="ET142" i="119"/>
  <c r="ET141" i="119"/>
  <c r="ET149" i="119"/>
  <c r="DG29" i="6"/>
  <c r="DG80" i="6"/>
  <c r="DG62" i="6"/>
  <c r="DR32" i="3"/>
  <c r="DR82" i="2"/>
  <c r="DG30" i="6"/>
  <c r="DG63" i="6"/>
  <c r="DG81" i="6"/>
  <c r="L93" i="118"/>
  <c r="L116" i="118"/>
  <c r="U26" i="118"/>
  <c r="U27" i="118" s="1"/>
  <c r="ES84" i="6"/>
  <c r="ES48" i="6"/>
  <c r="EF16" i="51"/>
  <c r="EF47" i="113"/>
  <c r="EF49" i="113" s="1"/>
  <c r="EF67" i="113"/>
  <c r="EF34" i="113"/>
  <c r="EF62" i="113"/>
  <c r="DG38" i="6"/>
  <c r="EU23" i="119"/>
  <c r="EU268" i="119" s="1"/>
  <c r="EA102" i="1"/>
  <c r="EA66" i="1"/>
  <c r="EA45" i="1"/>
  <c r="HD25" i="51"/>
  <c r="EH146" i="113"/>
  <c r="EH13" i="113"/>
  <c r="HD13" i="113" s="1"/>
  <c r="EC61" i="1"/>
  <c r="DF52" i="6"/>
  <c r="DF70" i="6"/>
  <c r="DG82" i="6"/>
  <c r="DG31" i="6"/>
  <c r="DG64" i="6"/>
  <c r="DE58" i="6"/>
  <c r="DE76" i="6"/>
  <c r="ET43" i="119"/>
  <c r="EA18" i="3"/>
  <c r="DZ18" i="3"/>
  <c r="FT146" i="113"/>
  <c r="FT144" i="113"/>
  <c r="DR19" i="3"/>
  <c r="I93" i="118"/>
  <c r="I116" i="118"/>
  <c r="I106" i="118"/>
  <c r="EA119" i="1"/>
  <c r="DE54" i="6"/>
  <c r="DE72" i="6"/>
  <c r="ED26" i="51"/>
  <c r="ED28" i="51" s="1"/>
  <c r="ED41" i="51"/>
  <c r="DJ16" i="6"/>
  <c r="ED37" i="51"/>
  <c r="ED68" i="51"/>
  <c r="ED77" i="51" s="1"/>
  <c r="ED46" i="51"/>
  <c r="ED42" i="51"/>
  <c r="ED9" i="1"/>
  <c r="HC9" i="1" s="1"/>
  <c r="ED44" i="51"/>
  <c r="ED43" i="51"/>
  <c r="ED40" i="51"/>
  <c r="ED54" i="51"/>
  <c r="HD68" i="113"/>
  <c r="HD69" i="113" s="1"/>
  <c r="EH69" i="113"/>
  <c r="FT14" i="2"/>
  <c r="EW43" i="119"/>
  <c r="EV42" i="119"/>
  <c r="EE53" i="51"/>
  <c r="EE67" i="51"/>
  <c r="EE76" i="51" s="1"/>
  <c r="EE36" i="51"/>
  <c r="EE17" i="51"/>
  <c r="EE25" i="51"/>
  <c r="EB10" i="1"/>
  <c r="FS50" i="51"/>
  <c r="FS59" i="51" s="1"/>
  <c r="FS57" i="51" s="1"/>
  <c r="L60" i="118"/>
  <c r="L82" i="118"/>
  <c r="HD146" i="113"/>
  <c r="HD144" i="113"/>
  <c r="GZ68" i="1"/>
  <c r="H56" i="117"/>
  <c r="GZ104" i="1"/>
  <c r="GZ47" i="1"/>
  <c r="FS46" i="51"/>
  <c r="FS42" i="51"/>
  <c r="FS68" i="51"/>
  <c r="FS77" i="51" s="1"/>
  <c r="FS43" i="51"/>
  <c r="FS26" i="51"/>
  <c r="FS40" i="51"/>
  <c r="FS41" i="51"/>
  <c r="FS44" i="51"/>
  <c r="ES87" i="6"/>
  <c r="ES35" i="6"/>
  <c r="ES50" i="6"/>
  <c r="DF68" i="6"/>
  <c r="DF50" i="6"/>
  <c r="DQ18" i="2"/>
  <c r="EK41" i="119"/>
  <c r="EK265" i="119" s="1"/>
  <c r="DQ56" i="2"/>
  <c r="DQ59" i="3"/>
  <c r="FQ11" i="2"/>
  <c r="I103" i="118"/>
  <c r="I113" i="118"/>
  <c r="H35" i="118"/>
  <c r="H45" i="118"/>
  <c r="DI94" i="6"/>
  <c r="DI49" i="6"/>
  <c r="DI67" i="6"/>
  <c r="DI86" i="6"/>
  <c r="ED50" i="51"/>
  <c r="EI142" i="113"/>
  <c r="EI68" i="113"/>
  <c r="EI69" i="113" s="1"/>
  <c r="EJ143" i="113"/>
  <c r="ES96" i="6"/>
  <c r="ES59" i="6"/>
  <c r="DF66" i="6"/>
  <c r="DF48" i="6"/>
  <c r="DF33" i="6"/>
  <c r="DF35" i="6" s="1"/>
  <c r="DF84" i="6"/>
  <c r="FU242" i="112"/>
  <c r="FU80" i="51"/>
  <c r="FU237" i="112"/>
  <c r="DE74" i="6" l="1"/>
  <c r="DE95" i="6"/>
  <c r="HD45" i="51"/>
  <c r="HD46" i="51"/>
  <c r="HD42" i="51"/>
  <c r="HD44" i="51"/>
  <c r="HD43" i="51"/>
  <c r="HD40" i="51"/>
  <c r="HD26" i="51"/>
  <c r="ET128" i="119"/>
  <c r="EA123" i="1"/>
  <c r="ET152" i="119"/>
  <c r="ES173" i="119"/>
  <c r="ET167" i="119"/>
  <c r="DF74" i="6"/>
  <c r="DF93" i="6"/>
  <c r="HC65" i="1"/>
  <c r="HC39" i="1"/>
  <c r="HC96" i="1"/>
  <c r="HC60" i="1"/>
  <c r="HC64" i="1"/>
  <c r="HC63" i="1"/>
  <c r="HD26" i="113"/>
  <c r="HD39" i="113"/>
  <c r="EE54" i="51"/>
  <c r="DJ49" i="6"/>
  <c r="DJ67" i="6"/>
  <c r="DJ94" i="6"/>
  <c r="DJ86" i="6"/>
  <c r="EU129" i="119"/>
  <c r="EU135" i="119"/>
  <c r="DH65" i="6"/>
  <c r="DH32" i="6"/>
  <c r="DH83" i="6"/>
  <c r="EV164" i="119" s="1"/>
  <c r="DH13" i="6"/>
  <c r="J93" i="118"/>
  <c r="J106" i="118"/>
  <c r="J116" i="118"/>
  <c r="FT26" i="113"/>
  <c r="FT39" i="113"/>
  <c r="EW42" i="119"/>
  <c r="FT13" i="2"/>
  <c r="DR24" i="3"/>
  <c r="GE19" i="3"/>
  <c r="EI146" i="113"/>
  <c r="EI13" i="113"/>
  <c r="ED10" i="1"/>
  <c r="ED11" i="1" s="1"/>
  <c r="FQ59" i="3"/>
  <c r="AE41" i="119"/>
  <c r="AE265" i="119" s="1"/>
  <c r="FT17" i="3"/>
  <c r="DG51" i="6"/>
  <c r="DG69" i="6"/>
  <c r="HD50" i="51"/>
  <c r="HD59" i="51" s="1"/>
  <c r="HD57" i="51" s="1"/>
  <c r="EE45" i="51"/>
  <c r="DG68" i="6"/>
  <c r="DG50" i="6"/>
  <c r="DH30" i="6"/>
  <c r="DH81" i="6"/>
  <c r="DH63" i="6"/>
  <c r="DI46" i="6"/>
  <c r="DI11" i="6" s="1"/>
  <c r="ET11" i="6" s="1"/>
  <c r="DI45" i="6"/>
  <c r="DI10" i="6" s="1"/>
  <c r="DI44" i="6"/>
  <c r="DI9" i="6" s="1"/>
  <c r="DI47" i="6"/>
  <c r="DI12" i="6" s="1"/>
  <c r="EE46" i="51"/>
  <c r="DK16" i="6"/>
  <c r="EE40" i="51"/>
  <c r="EE26" i="51"/>
  <c r="EE28" i="51" s="1"/>
  <c r="EE42" i="51"/>
  <c r="EE37" i="51"/>
  <c r="EE41" i="51"/>
  <c r="EE43" i="51"/>
  <c r="EE68" i="51"/>
  <c r="EE77" i="51" s="1"/>
  <c r="EE9" i="1"/>
  <c r="EE44" i="51"/>
  <c r="DQ114" i="2"/>
  <c r="DR116" i="2" s="1"/>
  <c r="DR19" i="1" s="1"/>
  <c r="DQ58" i="2"/>
  <c r="FQ56" i="2"/>
  <c r="EV18" i="119"/>
  <c r="EB14" i="2"/>
  <c r="EB30" i="2"/>
  <c r="EB61" i="1"/>
  <c r="EB97" i="1"/>
  <c r="EB118" i="1"/>
  <c r="EB76" i="1"/>
  <c r="EV12" i="119"/>
  <c r="EB40" i="1"/>
  <c r="EV14" i="119"/>
  <c r="EB11" i="1"/>
  <c r="EC119" i="1" s="1"/>
  <c r="FS10" i="1"/>
  <c r="FT65" i="2" s="1"/>
  <c r="EC118" i="1"/>
  <c r="EC76" i="1"/>
  <c r="GG18" i="3"/>
  <c r="EF36" i="51"/>
  <c r="EF67" i="51"/>
  <c r="EF76" i="51" s="1"/>
  <c r="EF25" i="51"/>
  <c r="EF53" i="51"/>
  <c r="EF54" i="51" s="1"/>
  <c r="EF17" i="51"/>
  <c r="DS78" i="2"/>
  <c r="DR21" i="2"/>
  <c r="DH31" i="6"/>
  <c r="DH82" i="6"/>
  <c r="DH64" i="6"/>
  <c r="DG53" i="6"/>
  <c r="DG71" i="6"/>
  <c r="HB41" i="1"/>
  <c r="HB62" i="1"/>
  <c r="HB98" i="1"/>
  <c r="H68" i="118"/>
  <c r="H78" i="118"/>
  <c r="J113" i="118"/>
  <c r="J103" i="118"/>
  <c r="I16" i="118"/>
  <c r="AH11" i="119"/>
  <c r="AH270" i="119" s="1"/>
  <c r="FS65" i="1"/>
  <c r="FS39" i="1"/>
  <c r="FS96" i="1"/>
  <c r="FS64" i="1"/>
  <c r="FS60" i="1"/>
  <c r="FS63" i="1"/>
  <c r="EC15" i="1"/>
  <c r="EC41" i="1"/>
  <c r="EC62" i="1"/>
  <c r="EC59" i="51" s="1"/>
  <c r="EC98" i="1"/>
  <c r="ET166" i="119"/>
  <c r="ET170" i="119"/>
  <c r="ET165" i="119"/>
  <c r="ET174" i="119"/>
  <c r="DF54" i="6"/>
  <c r="DF72" i="6"/>
  <c r="EK143" i="113"/>
  <c r="EJ142" i="113"/>
  <c r="EJ68" i="113"/>
  <c r="EJ69" i="113" s="1"/>
  <c r="EE49" i="51"/>
  <c r="AH43" i="119"/>
  <c r="FT63" i="2"/>
  <c r="DG70" i="6"/>
  <c r="DG52" i="6"/>
  <c r="FT47" i="113"/>
  <c r="FT34" i="113"/>
  <c r="L95" i="118"/>
  <c r="L117" i="118"/>
  <c r="DR35" i="3"/>
  <c r="EL97" i="119"/>
  <c r="GE32" i="3"/>
  <c r="H36" i="117" s="1"/>
  <c r="EL60" i="119"/>
  <c r="DR44" i="2"/>
  <c r="EL65" i="119" s="1"/>
  <c r="GE20" i="3"/>
  <c r="DG96" i="6"/>
  <c r="DG56" i="6"/>
  <c r="DG59" i="6"/>
  <c r="AG174" i="119"/>
  <c r="AG166" i="119"/>
  <c r="AG165" i="119"/>
  <c r="AG170" i="119"/>
  <c r="EU142" i="119"/>
  <c r="EU153" i="119"/>
  <c r="EU141" i="119"/>
  <c r="EU150" i="119"/>
  <c r="EU145" i="119"/>
  <c r="EU143" i="119"/>
  <c r="EU149" i="119"/>
  <c r="EU148" i="119"/>
  <c r="EU154" i="119"/>
  <c r="EU140" i="119"/>
  <c r="EU138" i="119"/>
  <c r="EU147" i="119"/>
  <c r="EU146" i="119"/>
  <c r="EU151" i="119"/>
  <c r="EU139" i="119"/>
  <c r="EU144" i="119"/>
  <c r="AH56" i="119"/>
  <c r="K93" i="118"/>
  <c r="K106" i="118"/>
  <c r="K116" i="118"/>
  <c r="DG33" i="6"/>
  <c r="DG35" i="6" s="1"/>
  <c r="DG48" i="6"/>
  <c r="DG84" i="6"/>
  <c r="DG66" i="6"/>
  <c r="H58" i="118"/>
  <c r="H71" i="118"/>
  <c r="H81" i="118"/>
  <c r="HD54" i="51"/>
  <c r="ET17" i="6"/>
  <c r="DQ61" i="2"/>
  <c r="FQ18" i="2"/>
  <c r="EK45" i="119"/>
  <c r="DQ27" i="2"/>
  <c r="ES39" i="6"/>
  <c r="ES56" i="6"/>
  <c r="ES93" i="6"/>
  <c r="L62" i="118"/>
  <c r="W14" i="118" s="1"/>
  <c r="W16" i="118" s="1"/>
  <c r="W29" i="118"/>
  <c r="ED60" i="1"/>
  <c r="ED63" i="1"/>
  <c r="ED13" i="2"/>
  <c r="ED117" i="1"/>
  <c r="ED96" i="1"/>
  <c r="ED64" i="1"/>
  <c r="ED65" i="1"/>
  <c r="ED39" i="1"/>
  <c r="ED75" i="1"/>
  <c r="EX11" i="119"/>
  <c r="EX270" i="119" s="1"/>
  <c r="EU169" i="119"/>
  <c r="EU163" i="119"/>
  <c r="EH26" i="113"/>
  <c r="EH54" i="113"/>
  <c r="EH21" i="113"/>
  <c r="EH39" i="113"/>
  <c r="DH29" i="6"/>
  <c r="DH80" i="6"/>
  <c r="DH62" i="6"/>
  <c r="GG21" i="3"/>
  <c r="K103" i="118"/>
  <c r="K113" i="118"/>
  <c r="GE23" i="3"/>
  <c r="DZ123" i="1"/>
  <c r="DZ66" i="1"/>
  <c r="ET23" i="119"/>
  <c r="ET268" i="119" s="1"/>
  <c r="DF38" i="6"/>
  <c r="DG77" i="6" s="1"/>
  <c r="DZ45" i="1"/>
  <c r="DZ81" i="1"/>
  <c r="DZ102" i="1"/>
  <c r="HB15" i="1"/>
  <c r="EG67" i="113"/>
  <c r="FT67" i="113" s="1"/>
  <c r="EG34" i="113"/>
  <c r="EG16" i="51"/>
  <c r="EG62" i="113"/>
  <c r="EG47" i="113"/>
  <c r="EG49" i="113" s="1"/>
  <c r="EF49" i="51" l="1"/>
  <c r="EF50" i="51" s="1"/>
  <c r="EF10" i="1" s="1"/>
  <c r="EU167" i="119"/>
  <c r="EC77" i="1"/>
  <c r="HC10" i="1"/>
  <c r="HC61" i="1" s="1"/>
  <c r="ET173" i="119"/>
  <c r="FT64" i="2"/>
  <c r="EU152" i="119"/>
  <c r="AG173" i="119"/>
  <c r="EU128" i="119"/>
  <c r="DG93" i="6"/>
  <c r="DG74" i="6"/>
  <c r="DG37" i="6"/>
  <c r="DI81" i="6"/>
  <c r="DI30" i="6"/>
  <c r="DI63" i="6"/>
  <c r="EI21" i="113"/>
  <c r="EI39" i="113"/>
  <c r="EI26" i="113"/>
  <c r="EI54" i="113"/>
  <c r="EX42" i="119"/>
  <c r="EK142" i="113"/>
  <c r="FU142" i="113" s="1"/>
  <c r="FU143" i="113"/>
  <c r="EK68" i="113"/>
  <c r="I41" i="118"/>
  <c r="I44" i="118"/>
  <c r="I31" i="118"/>
  <c r="EV169" i="119"/>
  <c r="EV163" i="119"/>
  <c r="AH18" i="119"/>
  <c r="FS40" i="1"/>
  <c r="AH14" i="119"/>
  <c r="FS61" i="1"/>
  <c r="AH12" i="119"/>
  <c r="FS97" i="1"/>
  <c r="I17" i="118"/>
  <c r="I18" i="118" s="1"/>
  <c r="DK86" i="6"/>
  <c r="DK94" i="6"/>
  <c r="DK67" i="6"/>
  <c r="DK49" i="6"/>
  <c r="DI31" i="6"/>
  <c r="ET31" i="6" s="1"/>
  <c r="DI82" i="6"/>
  <c r="DI64" i="6"/>
  <c r="ED17" i="3"/>
  <c r="DH66" i="6"/>
  <c r="DH48" i="6"/>
  <c r="DH84" i="6"/>
  <c r="DH33" i="6"/>
  <c r="DH35" i="6" s="1"/>
  <c r="DJ46" i="6"/>
  <c r="DJ11" i="6" s="1"/>
  <c r="DJ45" i="6"/>
  <c r="DJ10" i="6" s="1"/>
  <c r="DJ44" i="6"/>
  <c r="DJ9" i="6" s="1"/>
  <c r="DJ47" i="6"/>
  <c r="DJ12" i="6" s="1"/>
  <c r="ET46" i="6"/>
  <c r="ET82" i="6"/>
  <c r="U5" i="118"/>
  <c r="V10" i="118" s="1"/>
  <c r="W10" i="118" s="1"/>
  <c r="W17" i="118"/>
  <c r="FQ61" i="2"/>
  <c r="AE45" i="119"/>
  <c r="EJ146" i="113"/>
  <c r="EJ13" i="113"/>
  <c r="HC40" i="1"/>
  <c r="DH50" i="6"/>
  <c r="DH68" i="6"/>
  <c r="L97" i="118"/>
  <c r="U14" i="118" s="1"/>
  <c r="U16" i="118" s="1"/>
  <c r="U29" i="118"/>
  <c r="DH70" i="6"/>
  <c r="DH52" i="6"/>
  <c r="EB77" i="1"/>
  <c r="EB41" i="1"/>
  <c r="EB15" i="1"/>
  <c r="EC81" i="1" s="1"/>
  <c r="EB119" i="1"/>
  <c r="EB62" i="1"/>
  <c r="EB59" i="51" s="1"/>
  <c r="EB98" i="1"/>
  <c r="HC11" i="1"/>
  <c r="FS11" i="1"/>
  <c r="DQ59" i="2"/>
  <c r="FQ59" i="2" s="1"/>
  <c r="FQ58" i="2"/>
  <c r="AE76" i="119" s="1"/>
  <c r="AE264" i="119" s="1"/>
  <c r="EK76" i="119"/>
  <c r="EK264" i="119" s="1"/>
  <c r="ET10" i="6"/>
  <c r="EH47" i="113"/>
  <c r="EH49" i="113" s="1"/>
  <c r="EH34" i="113"/>
  <c r="EH16" i="51"/>
  <c r="EH62" i="113"/>
  <c r="EH67" i="113"/>
  <c r="HD67" i="113" s="1"/>
  <c r="HD21" i="113"/>
  <c r="ED119" i="1"/>
  <c r="ED77" i="1"/>
  <c r="ED62" i="1"/>
  <c r="ED59" i="51" s="1"/>
  <c r="ED15" i="1"/>
  <c r="ED98" i="1"/>
  <c r="ED41" i="1"/>
  <c r="FQ27" i="2"/>
  <c r="DQ67" i="2"/>
  <c r="FT67" i="2" s="1"/>
  <c r="EK55" i="119"/>
  <c r="DQ53" i="2"/>
  <c r="ET21" i="6"/>
  <c r="ET15" i="6" s="1"/>
  <c r="J31" i="117"/>
  <c r="HB45" i="1"/>
  <c r="HB102" i="1"/>
  <c r="HB66" i="1"/>
  <c r="EV129" i="119"/>
  <c r="EV135" i="119"/>
  <c r="DG72" i="6"/>
  <c r="DG54" i="6"/>
  <c r="EF43" i="51"/>
  <c r="EF68" i="51"/>
  <c r="EF77" i="51" s="1"/>
  <c r="DL16" i="6"/>
  <c r="EF26" i="51"/>
  <c r="EF28" i="51" s="1"/>
  <c r="EF46" i="51"/>
  <c r="EF9" i="1"/>
  <c r="EF61" i="1" s="1"/>
  <c r="EF37" i="51"/>
  <c r="EF42" i="51"/>
  <c r="EF40" i="51"/>
  <c r="EF41" i="51"/>
  <c r="EF44" i="51"/>
  <c r="EG17" i="51"/>
  <c r="FT17" i="51" s="1"/>
  <c r="EG53" i="51"/>
  <c r="EG54" i="51" s="1"/>
  <c r="FT54" i="51" s="1"/>
  <c r="EG36" i="51"/>
  <c r="EG67" i="51"/>
  <c r="EG76" i="51" s="1"/>
  <c r="EG25" i="51"/>
  <c r="DF56" i="6"/>
  <c r="DF37" i="6"/>
  <c r="DF59" i="6"/>
  <c r="DF96" i="6"/>
  <c r="DF77" i="6"/>
  <c r="EL48" i="119"/>
  <c r="DR25" i="2"/>
  <c r="DR89" i="2"/>
  <c r="DR87" i="2" s="1"/>
  <c r="EL46" i="119" s="1"/>
  <c r="DR21" i="1"/>
  <c r="GZ19" i="1"/>
  <c r="GZ21" i="1" s="1"/>
  <c r="GZ18" i="1" s="1"/>
  <c r="EL94" i="119"/>
  <c r="GE24" i="3"/>
  <c r="H37" i="117" s="1"/>
  <c r="DH71" i="6"/>
  <c r="DH53" i="6"/>
  <c r="EU165" i="119"/>
  <c r="EU166" i="119"/>
  <c r="EU170" i="119"/>
  <c r="EU174" i="119"/>
  <c r="EL101" i="119"/>
  <c r="GE35" i="3"/>
  <c r="EE50" i="51"/>
  <c r="DS79" i="2"/>
  <c r="DS12" i="3" s="1"/>
  <c r="EF45" i="51"/>
  <c r="EB21" i="3"/>
  <c r="EB64" i="2"/>
  <c r="EB68" i="2" s="1"/>
  <c r="EV56" i="119"/>
  <c r="EC21" i="3"/>
  <c r="DI65" i="6"/>
  <c r="DI32" i="6"/>
  <c r="DI83" i="6"/>
  <c r="EW164" i="119" s="1"/>
  <c r="ET12" i="6"/>
  <c r="DI13" i="6"/>
  <c r="ET13" i="6" s="1"/>
  <c r="EV151" i="119"/>
  <c r="EV145" i="119"/>
  <c r="EV150" i="119"/>
  <c r="EV149" i="119"/>
  <c r="EV153" i="119"/>
  <c r="EV143" i="119"/>
  <c r="EV140" i="119"/>
  <c r="EV142" i="119"/>
  <c r="EV146" i="119"/>
  <c r="EV154" i="119"/>
  <c r="EV139" i="119"/>
  <c r="EV144" i="119"/>
  <c r="EV148" i="119"/>
  <c r="EV141" i="119"/>
  <c r="EV147" i="119"/>
  <c r="EV138" i="119"/>
  <c r="EC45" i="1"/>
  <c r="EC102" i="1"/>
  <c r="DI38" i="6"/>
  <c r="EC66" i="1"/>
  <c r="EW23" i="119"/>
  <c r="EW268" i="119" s="1"/>
  <c r="FT16" i="51"/>
  <c r="EZ18" i="119"/>
  <c r="EF30" i="2"/>
  <c r="EF14" i="2"/>
  <c r="EZ12" i="119"/>
  <c r="EF97" i="1"/>
  <c r="EF40" i="1"/>
  <c r="EZ14" i="119"/>
  <c r="EC18" i="3"/>
  <c r="EV43" i="119"/>
  <c r="EB18" i="3"/>
  <c r="EY11" i="119"/>
  <c r="EY270" i="119" s="1"/>
  <c r="EE65" i="1"/>
  <c r="EE75" i="1"/>
  <c r="EE117" i="1"/>
  <c r="EE96" i="1"/>
  <c r="EE13" i="2"/>
  <c r="EE63" i="1"/>
  <c r="EE39" i="1"/>
  <c r="EE64" i="1"/>
  <c r="EE60" i="1"/>
  <c r="DI80" i="6"/>
  <c r="DI29" i="6"/>
  <c r="DI62" i="6"/>
  <c r="ET9" i="6"/>
  <c r="DH69" i="6"/>
  <c r="DH51" i="6"/>
  <c r="EX18" i="119"/>
  <c r="ED61" i="1"/>
  <c r="ED76" i="1"/>
  <c r="EX12" i="119"/>
  <c r="ED14" i="2"/>
  <c r="ED97" i="1"/>
  <c r="EX14" i="119"/>
  <c r="ED40" i="1"/>
  <c r="ED30" i="2"/>
  <c r="ED118" i="1"/>
  <c r="AH42" i="119"/>
  <c r="FT62" i="2"/>
  <c r="FT68" i="2" l="1"/>
  <c r="HC97" i="1"/>
  <c r="FT53" i="51"/>
  <c r="EV152" i="119"/>
  <c r="EG49" i="51"/>
  <c r="EG50" i="51" s="1"/>
  <c r="EG10" i="1" s="1"/>
  <c r="EG40" i="1" s="1"/>
  <c r="EU173" i="119"/>
  <c r="EG45" i="51"/>
  <c r="EV128" i="119"/>
  <c r="EV167" i="119"/>
  <c r="EX43" i="119"/>
  <c r="ED18" i="3"/>
  <c r="GH18" i="3" s="1"/>
  <c r="DI71" i="6"/>
  <c r="DI53" i="6"/>
  <c r="FT21" i="3"/>
  <c r="AE55" i="119"/>
  <c r="FQ53" i="2"/>
  <c r="EH53" i="51"/>
  <c r="EH49" i="51" s="1"/>
  <c r="EH67" i="51"/>
  <c r="EH76" i="51" s="1"/>
  <c r="EH17" i="51"/>
  <c r="EH36" i="51"/>
  <c r="EH25" i="51"/>
  <c r="DJ82" i="6"/>
  <c r="DJ31" i="6"/>
  <c r="DJ64" i="6"/>
  <c r="DK47" i="6"/>
  <c r="DK12" i="6" s="1"/>
  <c r="DK45" i="6"/>
  <c r="DK10" i="6" s="1"/>
  <c r="DK46" i="6"/>
  <c r="DK11" i="6" s="1"/>
  <c r="DK44" i="6"/>
  <c r="DK9" i="6" s="1"/>
  <c r="I33" i="118"/>
  <c r="I20" i="118"/>
  <c r="I43" i="118"/>
  <c r="I79" i="118" s="1"/>
  <c r="I54" i="118" s="1"/>
  <c r="ET32" i="6"/>
  <c r="DI50" i="6"/>
  <c r="DI68" i="6"/>
  <c r="DH38" i="6"/>
  <c r="DI77" i="6" s="1"/>
  <c r="EV23" i="119"/>
  <c r="EV268" i="119" s="1"/>
  <c r="EB102" i="1"/>
  <c r="EB66" i="1"/>
  <c r="EB45" i="1"/>
  <c r="EB81" i="1"/>
  <c r="EB123" i="1"/>
  <c r="HC15" i="1"/>
  <c r="FS15" i="1"/>
  <c r="DH74" i="6"/>
  <c r="DH93" i="6"/>
  <c r="ET48" i="6"/>
  <c r="ET84" i="6"/>
  <c r="EK69" i="113"/>
  <c r="FU69" i="113" s="1"/>
  <c r="FU68" i="113"/>
  <c r="DG76" i="6"/>
  <c r="DG58" i="6"/>
  <c r="DG95" i="6"/>
  <c r="ED64" i="2"/>
  <c r="ED68" i="2" s="1"/>
  <c r="EX56" i="119"/>
  <c r="ED21" i="3"/>
  <c r="GH21" i="3" s="1"/>
  <c r="EW135" i="119"/>
  <c r="EW129" i="119"/>
  <c r="EZ56" i="119"/>
  <c r="EF64" i="2"/>
  <c r="EF68" i="2" s="1"/>
  <c r="DI59" i="6"/>
  <c r="DI96" i="6"/>
  <c r="DI56" i="6"/>
  <c r="DS16" i="1"/>
  <c r="EM93" i="119"/>
  <c r="DS88" i="2"/>
  <c r="FT46" i="51"/>
  <c r="FT26" i="51"/>
  <c r="FT68" i="51"/>
  <c r="FT77" i="51" s="1"/>
  <c r="FT43" i="51"/>
  <c r="FT42" i="51"/>
  <c r="FT40" i="51"/>
  <c r="FT41" i="51"/>
  <c r="FT44" i="51"/>
  <c r="DF58" i="6"/>
  <c r="DF95" i="6"/>
  <c r="DF76" i="6"/>
  <c r="DL86" i="6"/>
  <c r="DL49" i="6"/>
  <c r="DL67" i="6"/>
  <c r="DL94" i="6"/>
  <c r="FS98" i="1"/>
  <c r="FS62" i="1"/>
  <c r="FS41" i="1"/>
  <c r="DH54" i="6"/>
  <c r="DH72" i="6"/>
  <c r="DI69" i="6"/>
  <c r="DI51" i="6"/>
  <c r="ET30" i="6"/>
  <c r="FU146" i="113"/>
  <c r="FU144" i="113"/>
  <c r="DI33" i="6"/>
  <c r="DI84" i="6"/>
  <c r="DI66" i="6"/>
  <c r="DI48" i="6"/>
  <c r="HD47" i="113"/>
  <c r="HD34" i="113"/>
  <c r="HC41" i="1"/>
  <c r="HC98" i="1"/>
  <c r="HC62" i="1"/>
  <c r="DJ65" i="6"/>
  <c r="DJ32" i="6"/>
  <c r="DJ83" i="6"/>
  <c r="EX164" i="119" s="1"/>
  <c r="DJ13" i="6"/>
  <c r="EV166" i="119"/>
  <c r="EV170" i="119"/>
  <c r="EV165" i="119"/>
  <c r="EV174" i="119"/>
  <c r="EK146" i="113"/>
  <c r="EK13" i="113"/>
  <c r="AH169" i="119"/>
  <c r="AH163" i="119"/>
  <c r="ET80" i="6"/>
  <c r="ET19" i="6"/>
  <c r="ET44" i="6"/>
  <c r="DG18" i="6"/>
  <c r="DG19" i="6" s="1"/>
  <c r="DH18" i="6"/>
  <c r="DF18" i="6"/>
  <c r="DF19" i="6" s="1"/>
  <c r="FT18" i="3"/>
  <c r="FT67" i="51"/>
  <c r="FT76" i="51" s="1"/>
  <c r="FT45" i="51"/>
  <c r="FT25" i="51"/>
  <c r="J15" i="118"/>
  <c r="J30" i="118" s="1"/>
  <c r="EC123" i="1"/>
  <c r="ET83" i="6"/>
  <c r="AH164" i="119" s="1"/>
  <c r="ET47" i="6"/>
  <c r="FT49" i="51"/>
  <c r="FT58" i="51" s="1"/>
  <c r="DR18" i="1"/>
  <c r="EL24" i="119"/>
  <c r="EL26" i="119" s="1"/>
  <c r="HE16" i="51"/>
  <c r="ED45" i="1"/>
  <c r="ED81" i="1"/>
  <c r="DJ38" i="6"/>
  <c r="EX23" i="119"/>
  <c r="EX268" i="119" s="1"/>
  <c r="ED66" i="1"/>
  <c r="ED102" i="1"/>
  <c r="ED123" i="1"/>
  <c r="ET81" i="6"/>
  <c r="ET45" i="6"/>
  <c r="ET52" i="6"/>
  <c r="ET89" i="6"/>
  <c r="U17" i="118"/>
  <c r="U3" i="118"/>
  <c r="DJ29" i="6"/>
  <c r="DJ80" i="6"/>
  <c r="DJ62" i="6"/>
  <c r="EW169" i="119"/>
  <c r="EW163" i="119"/>
  <c r="EW146" i="119"/>
  <c r="EW140" i="119"/>
  <c r="EW141" i="119"/>
  <c r="EW142" i="119"/>
  <c r="EW151" i="119"/>
  <c r="EW149" i="119"/>
  <c r="EW139" i="119"/>
  <c r="EW150" i="119"/>
  <c r="EW138" i="119"/>
  <c r="EW147" i="119"/>
  <c r="EW148" i="119"/>
  <c r="EW145" i="119"/>
  <c r="EW144" i="119"/>
  <c r="EW143" i="119"/>
  <c r="EW153" i="119"/>
  <c r="EW154" i="119"/>
  <c r="EJ21" i="113"/>
  <c r="EJ39" i="113"/>
  <c r="EJ26" i="113"/>
  <c r="EJ54" i="113"/>
  <c r="FU13" i="113"/>
  <c r="GH17" i="3"/>
  <c r="EY42" i="119"/>
  <c r="EZ43" i="119"/>
  <c r="EE10" i="1"/>
  <c r="FT50" i="51"/>
  <c r="FT59" i="51" s="1"/>
  <c r="DM16" i="6"/>
  <c r="EG26" i="51"/>
  <c r="EG28" i="51" s="1"/>
  <c r="EG40" i="51"/>
  <c r="EG9" i="1"/>
  <c r="FT9" i="1" s="1"/>
  <c r="EG42" i="51"/>
  <c r="EG68" i="51"/>
  <c r="EG77" i="51" s="1"/>
  <c r="EG37" i="51"/>
  <c r="EG46" i="51"/>
  <c r="EG44" i="51"/>
  <c r="EG43" i="51"/>
  <c r="EG41" i="51"/>
  <c r="EF11" i="1"/>
  <c r="EF60" i="1"/>
  <c r="EF65" i="1"/>
  <c r="EF75" i="1"/>
  <c r="EF96" i="1"/>
  <c r="EF117" i="1"/>
  <c r="EF13" i="2"/>
  <c r="EF17" i="3" s="1"/>
  <c r="EZ11" i="119"/>
  <c r="EZ270" i="119" s="1"/>
  <c r="EF64" i="1"/>
  <c r="EF63" i="1"/>
  <c r="EF39" i="1"/>
  <c r="ET29" i="6"/>
  <c r="DJ81" i="6"/>
  <c r="DJ63" i="6"/>
  <c r="DJ30" i="6"/>
  <c r="DI52" i="6"/>
  <c r="DI70" i="6"/>
  <c r="I32" i="118"/>
  <c r="I42" i="118"/>
  <c r="EE17" i="3"/>
  <c r="EI67" i="113"/>
  <c r="EI34" i="113"/>
  <c r="EI62" i="113"/>
  <c r="EI16" i="51"/>
  <c r="EI47" i="113"/>
  <c r="EI49" i="113" s="1"/>
  <c r="EW128" i="119" l="1"/>
  <c r="FT57" i="51"/>
  <c r="EG76" i="1"/>
  <c r="EG97" i="1"/>
  <c r="FA18" i="119"/>
  <c r="EG118" i="1"/>
  <c r="EG14" i="2"/>
  <c r="EG18" i="3" s="1"/>
  <c r="FA12" i="119"/>
  <c r="FA14" i="119"/>
  <c r="EG30" i="2"/>
  <c r="EG64" i="2" s="1"/>
  <c r="EG68" i="2" s="1"/>
  <c r="EW167" i="119"/>
  <c r="EV173" i="119"/>
  <c r="EW152" i="119"/>
  <c r="AH167" i="119"/>
  <c r="EH50" i="51"/>
  <c r="HE49" i="51"/>
  <c r="HE58" i="51" s="1"/>
  <c r="DJ51" i="6"/>
  <c r="DJ69" i="6"/>
  <c r="EG11" i="1"/>
  <c r="EG39" i="1"/>
  <c r="EG117" i="1"/>
  <c r="EG96" i="1"/>
  <c r="EG13" i="2"/>
  <c r="EG17" i="3" s="1"/>
  <c r="FU17" i="3" s="1"/>
  <c r="EG75" i="1"/>
  <c r="EG63" i="1"/>
  <c r="FA11" i="119"/>
  <c r="FA270" i="119" s="1"/>
  <c r="EG64" i="1"/>
  <c r="EG60" i="1"/>
  <c r="EG65" i="1"/>
  <c r="DR23" i="1"/>
  <c r="EW165" i="119"/>
  <c r="EW174" i="119"/>
  <c r="EW170" i="119"/>
  <c r="EW166" i="119"/>
  <c r="K31" i="117"/>
  <c r="HC102" i="1"/>
  <c r="HC45" i="1"/>
  <c r="HC66" i="1"/>
  <c r="DK29" i="6"/>
  <c r="DK80" i="6"/>
  <c r="DK62" i="6"/>
  <c r="EH40" i="51"/>
  <c r="EH9" i="1"/>
  <c r="EH26" i="51"/>
  <c r="EH28" i="51" s="1"/>
  <c r="EH44" i="51"/>
  <c r="DN16" i="6"/>
  <c r="EH42" i="51"/>
  <c r="EH46" i="51"/>
  <c r="EH37" i="51"/>
  <c r="EH68" i="51"/>
  <c r="EH77" i="51" s="1"/>
  <c r="EH43" i="51"/>
  <c r="EH41" i="51"/>
  <c r="HE17" i="51"/>
  <c r="EG61" i="1"/>
  <c r="EX135" i="119"/>
  <c r="EX129" i="119"/>
  <c r="DI18" i="6"/>
  <c r="DI19" i="6" s="1"/>
  <c r="DH19" i="6"/>
  <c r="DI72" i="6"/>
  <c r="DI54" i="6"/>
  <c r="EM47" i="119"/>
  <c r="AH170" i="119"/>
  <c r="AH165" i="119"/>
  <c r="AH166" i="119"/>
  <c r="AH174" i="119"/>
  <c r="DH56" i="6"/>
  <c r="DH37" i="6"/>
  <c r="DH77" i="6"/>
  <c r="DH59" i="6"/>
  <c r="DH96" i="6"/>
  <c r="DI35" i="6"/>
  <c r="DK31" i="6"/>
  <c r="DK82" i="6"/>
  <c r="DK64" i="6"/>
  <c r="EX163" i="119"/>
  <c r="EX169" i="119"/>
  <c r="EX148" i="119"/>
  <c r="EX147" i="119"/>
  <c r="EX154" i="119"/>
  <c r="EX146" i="119"/>
  <c r="EX144" i="119"/>
  <c r="EX151" i="119"/>
  <c r="EX138" i="119"/>
  <c r="EX142" i="119"/>
  <c r="EX153" i="119"/>
  <c r="EX143" i="119"/>
  <c r="EX140" i="119"/>
  <c r="EX139" i="119"/>
  <c r="EX149" i="119"/>
  <c r="EX141" i="119"/>
  <c r="EX150" i="119"/>
  <c r="EX145" i="119"/>
  <c r="EZ42" i="119"/>
  <c r="J16" i="118"/>
  <c r="FT96" i="1"/>
  <c r="FT63" i="1"/>
  <c r="FT39" i="1"/>
  <c r="FT60" i="1"/>
  <c r="AI11" i="119"/>
  <c r="AI270" i="119" s="1"/>
  <c r="FT65" i="1"/>
  <c r="FT64" i="1"/>
  <c r="EI67" i="51"/>
  <c r="EI76" i="51" s="1"/>
  <c r="EI53" i="51"/>
  <c r="EI54" i="51" s="1"/>
  <c r="EI36" i="51"/>
  <c r="EI25" i="51"/>
  <c r="EI17" i="51"/>
  <c r="EI45" i="51" s="1"/>
  <c r="EJ62" i="113"/>
  <c r="EJ47" i="113"/>
  <c r="EJ49" i="113" s="1"/>
  <c r="EJ34" i="113"/>
  <c r="EJ16" i="51"/>
  <c r="EJ67" i="113"/>
  <c r="DJ68" i="6"/>
  <c r="DJ50" i="6"/>
  <c r="DJ71" i="6"/>
  <c r="DJ53" i="6"/>
  <c r="ET33" i="6"/>
  <c r="ET35" i="6" s="1"/>
  <c r="ET90" i="6"/>
  <c r="ET53" i="6"/>
  <c r="DK81" i="6"/>
  <c r="DK30" i="6"/>
  <c r="DK63" i="6"/>
  <c r="DM49" i="6"/>
  <c r="DM86" i="6"/>
  <c r="DM94" i="6"/>
  <c r="DM67" i="6"/>
  <c r="EU16" i="6"/>
  <c r="HE25" i="51"/>
  <c r="I69" i="118"/>
  <c r="I56" i="118"/>
  <c r="I53" i="118"/>
  <c r="DK32" i="6"/>
  <c r="DK83" i="6"/>
  <c r="EY164" i="119" s="1"/>
  <c r="DK65" i="6"/>
  <c r="DK13" i="6"/>
  <c r="EF15" i="1"/>
  <c r="EF98" i="1"/>
  <c r="EF62" i="1"/>
  <c r="EF59" i="51" s="1"/>
  <c r="EF41" i="1"/>
  <c r="FU39" i="113"/>
  <c r="FU26" i="113"/>
  <c r="AH153" i="119"/>
  <c r="AH141" i="119"/>
  <c r="AH139" i="119"/>
  <c r="AH145" i="119"/>
  <c r="AH151" i="119"/>
  <c r="AH149" i="119"/>
  <c r="AH143" i="119"/>
  <c r="AH150" i="119"/>
  <c r="AH142" i="119"/>
  <c r="AH148" i="119"/>
  <c r="AH138" i="119"/>
  <c r="AH144" i="119"/>
  <c r="AH146" i="119"/>
  <c r="AH140" i="119"/>
  <c r="AH147" i="119"/>
  <c r="AH154" i="119"/>
  <c r="DJ77" i="6"/>
  <c r="DJ96" i="6"/>
  <c r="DJ56" i="6"/>
  <c r="DJ59" i="6"/>
  <c r="EK21" i="113"/>
  <c r="FU21" i="113" s="1"/>
  <c r="EK54" i="113"/>
  <c r="EK39" i="113"/>
  <c r="EK26" i="113"/>
  <c r="I45" i="118"/>
  <c r="I35" i="118"/>
  <c r="EH45" i="51"/>
  <c r="EH54" i="51"/>
  <c r="HE53" i="51"/>
  <c r="ET87" i="6"/>
  <c r="ET50" i="6"/>
  <c r="EY18" i="119"/>
  <c r="EY14" i="119"/>
  <c r="EE14" i="2"/>
  <c r="EY12" i="119"/>
  <c r="EE118" i="1"/>
  <c r="EE76" i="1"/>
  <c r="EE61" i="1"/>
  <c r="EE30" i="2"/>
  <c r="EE40" i="1"/>
  <c r="EE97" i="1"/>
  <c r="EF118" i="1"/>
  <c r="EF76" i="1"/>
  <c r="FT10" i="1"/>
  <c r="EE11" i="1"/>
  <c r="EF119" i="1" s="1"/>
  <c r="U6" i="118"/>
  <c r="V8" i="118"/>
  <c r="W8" i="118" s="1"/>
  <c r="X10" i="118" s="1"/>
  <c r="AH135" i="119"/>
  <c r="AH129" i="119"/>
  <c r="DJ66" i="6"/>
  <c r="DJ33" i="6"/>
  <c r="DJ84" i="6"/>
  <c r="DJ48" i="6"/>
  <c r="ET51" i="6"/>
  <c r="ET88" i="6"/>
  <c r="DL47" i="6"/>
  <c r="DL12" i="6" s="1"/>
  <c r="DL44" i="6"/>
  <c r="DL9" i="6" s="1"/>
  <c r="DL45" i="6"/>
  <c r="DL10" i="6" s="1"/>
  <c r="DL46" i="6"/>
  <c r="DL11" i="6" s="1"/>
  <c r="DS46" i="1"/>
  <c r="DS103" i="1"/>
  <c r="EM21" i="119"/>
  <c r="EM19" i="119" s="1"/>
  <c r="DS67" i="1"/>
  <c r="DS82" i="1"/>
  <c r="DS124" i="1"/>
  <c r="DS17" i="1"/>
  <c r="ET38" i="6"/>
  <c r="AH23" i="119"/>
  <c r="AH268" i="119" s="1"/>
  <c r="FS102" i="1"/>
  <c r="FS45" i="1"/>
  <c r="FS66" i="1"/>
  <c r="DJ52" i="6"/>
  <c r="DJ70" i="6"/>
  <c r="FU14" i="2" l="1"/>
  <c r="FA56" i="119"/>
  <c r="FU30" i="2"/>
  <c r="AI56" i="119" s="1"/>
  <c r="EG21" i="3"/>
  <c r="AH128" i="119"/>
  <c r="FA43" i="119"/>
  <c r="EX128" i="119"/>
  <c r="EX152" i="119"/>
  <c r="EX167" i="119"/>
  <c r="AH173" i="119"/>
  <c r="AH152" i="119"/>
  <c r="EW173" i="119"/>
  <c r="EX170" i="119"/>
  <c r="EX165" i="119"/>
  <c r="EX174" i="119"/>
  <c r="EX166" i="119"/>
  <c r="DL29" i="6"/>
  <c r="DL80" i="6"/>
  <c r="DL62" i="6"/>
  <c r="DJ72" i="6"/>
  <c r="DJ54" i="6"/>
  <c r="ET56" i="6"/>
  <c r="ET93" i="6"/>
  <c r="DK71" i="6"/>
  <c r="DK53" i="6"/>
  <c r="EY153" i="119"/>
  <c r="EY143" i="119"/>
  <c r="EY147" i="119"/>
  <c r="EY151" i="119"/>
  <c r="EY148" i="119"/>
  <c r="EY149" i="119"/>
  <c r="EY154" i="119"/>
  <c r="EY146" i="119"/>
  <c r="EY140" i="119"/>
  <c r="EY142" i="119"/>
  <c r="EY141" i="119"/>
  <c r="EY139" i="119"/>
  <c r="EY144" i="119"/>
  <c r="EY138" i="119"/>
  <c r="EY150" i="119"/>
  <c r="EY145" i="119"/>
  <c r="FU47" i="113"/>
  <c r="FU34" i="113"/>
  <c r="DR105" i="1"/>
  <c r="DR48" i="1"/>
  <c r="DR69" i="1"/>
  <c r="DR24" i="1"/>
  <c r="DR26" i="1" s="1"/>
  <c r="DR126" i="1"/>
  <c r="EL30" i="119"/>
  <c r="EL269" i="119" s="1"/>
  <c r="DR84" i="1"/>
  <c r="GZ23" i="1"/>
  <c r="DL30" i="6"/>
  <c r="DL81" i="6"/>
  <c r="DL63" i="6"/>
  <c r="DM44" i="6"/>
  <c r="DM9" i="6" s="1"/>
  <c r="EU9" i="6" s="1"/>
  <c r="DM47" i="6"/>
  <c r="DM12" i="6" s="1"/>
  <c r="EU12" i="6" s="1"/>
  <c r="DM45" i="6"/>
  <c r="DM10" i="6" s="1"/>
  <c r="EU10" i="6" s="1"/>
  <c r="DM46" i="6"/>
  <c r="DM11" i="6" s="1"/>
  <c r="EU11" i="6" s="1"/>
  <c r="DK51" i="6"/>
  <c r="DK69" i="6"/>
  <c r="DI93" i="6"/>
  <c r="DI74" i="6"/>
  <c r="DI37" i="6"/>
  <c r="ET37" i="6" s="1"/>
  <c r="EF18" i="3"/>
  <c r="EY43" i="119"/>
  <c r="EE18" i="3"/>
  <c r="EU85" i="6"/>
  <c r="AI176" i="119" s="1"/>
  <c r="EU17" i="6"/>
  <c r="EU86" i="6"/>
  <c r="EU49" i="6"/>
  <c r="EU94" i="6"/>
  <c r="EU18" i="6"/>
  <c r="EI49" i="51"/>
  <c r="EH13" i="2"/>
  <c r="EH64" i="1"/>
  <c r="EH60" i="1"/>
  <c r="FB11" i="119"/>
  <c r="FB270" i="119" s="1"/>
  <c r="EH65" i="1"/>
  <c r="EH75" i="1"/>
  <c r="EH63" i="1"/>
  <c r="EH117" i="1"/>
  <c r="EH39" i="1"/>
  <c r="EH96" i="1"/>
  <c r="DK50" i="6"/>
  <c r="DK68" i="6"/>
  <c r="EG15" i="1"/>
  <c r="EG62" i="1"/>
  <c r="EG59" i="51" s="1"/>
  <c r="EG77" i="1"/>
  <c r="EG98" i="1"/>
  <c r="EG119" i="1"/>
  <c r="EG41" i="1"/>
  <c r="DL65" i="6"/>
  <c r="DL32" i="6"/>
  <c r="DL83" i="6"/>
  <c r="EZ164" i="119" s="1"/>
  <c r="DL13" i="6"/>
  <c r="HE54" i="51"/>
  <c r="I78" i="118"/>
  <c r="I68" i="118"/>
  <c r="DS16" i="2"/>
  <c r="DS31" i="2"/>
  <c r="DS17" i="2"/>
  <c r="DS47" i="1"/>
  <c r="DS68" i="1"/>
  <c r="DS104" i="1"/>
  <c r="DS83" i="1"/>
  <c r="DS15" i="2"/>
  <c r="DS80" i="2"/>
  <c r="EM20" i="119"/>
  <c r="EM259" i="119" s="1"/>
  <c r="DS125" i="1"/>
  <c r="EE98" i="1"/>
  <c r="EE41" i="1"/>
  <c r="EE77" i="1"/>
  <c r="EE62" i="1"/>
  <c r="EE59" i="51" s="1"/>
  <c r="EE15" i="1"/>
  <c r="EF123" i="1" s="1"/>
  <c r="EE119" i="1"/>
  <c r="FT11" i="1"/>
  <c r="EE21" i="3"/>
  <c r="EE64" i="2"/>
  <c r="EE68" i="2" s="1"/>
  <c r="EY56" i="119"/>
  <c r="EF21" i="3"/>
  <c r="DK48" i="6"/>
  <c r="DK33" i="6"/>
  <c r="DK35" i="6" s="1"/>
  <c r="DK84" i="6"/>
  <c r="DK66" i="6"/>
  <c r="I58" i="118"/>
  <c r="I81" i="118"/>
  <c r="I71" i="118"/>
  <c r="AI43" i="119"/>
  <c r="FU63" i="2"/>
  <c r="DJ35" i="6"/>
  <c r="EJ36" i="51"/>
  <c r="EJ67" i="51"/>
  <c r="EJ76" i="51" s="1"/>
  <c r="EJ53" i="51"/>
  <c r="EJ54" i="51" s="1"/>
  <c r="EJ25" i="51"/>
  <c r="EJ17" i="51"/>
  <c r="EJ45" i="51" s="1"/>
  <c r="DO16" i="6"/>
  <c r="EI44" i="51"/>
  <c r="EI37" i="51"/>
  <c r="EI43" i="51"/>
  <c r="EI9" i="1"/>
  <c r="EI46" i="51"/>
  <c r="EI26" i="51"/>
  <c r="EI28" i="51" s="1"/>
  <c r="EI41" i="51"/>
  <c r="EI68" i="51"/>
  <c r="EI77" i="51" s="1"/>
  <c r="EI42" i="51"/>
  <c r="EI40" i="51"/>
  <c r="J41" i="118"/>
  <c r="J31" i="118"/>
  <c r="J44" i="118"/>
  <c r="EY169" i="119"/>
  <c r="EY163" i="119"/>
  <c r="HD9" i="1"/>
  <c r="EH10" i="1"/>
  <c r="EH11" i="1" s="1"/>
  <c r="HE50" i="51"/>
  <c r="HE59" i="51" s="1"/>
  <c r="HE57" i="51" s="1"/>
  <c r="EY135" i="119"/>
  <c r="EY129" i="119"/>
  <c r="DK70" i="6"/>
  <c r="DK52" i="6"/>
  <c r="DH95" i="6"/>
  <c r="DH76" i="6"/>
  <c r="DH58" i="6"/>
  <c r="HE43" i="51"/>
  <c r="HE42" i="51"/>
  <c r="HE46" i="51"/>
  <c r="HE40" i="51"/>
  <c r="HE26" i="51"/>
  <c r="HE41" i="51"/>
  <c r="HE44" i="51"/>
  <c r="FU13" i="2"/>
  <c r="FA42" i="119"/>
  <c r="EZ23" i="119"/>
  <c r="EZ268" i="119" s="1"/>
  <c r="EF45" i="1"/>
  <c r="EF66" i="1"/>
  <c r="DL38" i="6"/>
  <c r="EF102" i="1"/>
  <c r="ET96" i="6"/>
  <c r="ET59" i="6"/>
  <c r="AI18" i="119"/>
  <c r="J17" i="118"/>
  <c r="AI12" i="119"/>
  <c r="FT40" i="1"/>
  <c r="FT61" i="1"/>
  <c r="AI14" i="119"/>
  <c r="FT97" i="1"/>
  <c r="DL82" i="6"/>
  <c r="DL64" i="6"/>
  <c r="DL31" i="6"/>
  <c r="EK34" i="113"/>
  <c r="EK62" i="113"/>
  <c r="EK16" i="51"/>
  <c r="EK47" i="113"/>
  <c r="EK49" i="113" s="1"/>
  <c r="EK67" i="113"/>
  <c r="FU67" i="113" s="1"/>
  <c r="EF77" i="1"/>
  <c r="HE45" i="51"/>
  <c r="ET91" i="6"/>
  <c r="ET54" i="6"/>
  <c r="DN67" i="6"/>
  <c r="DN86" i="6"/>
  <c r="DN49" i="6"/>
  <c r="DN94" i="6"/>
  <c r="FU65" i="2" l="1"/>
  <c r="FU64" i="2"/>
  <c r="EF81" i="1"/>
  <c r="EY128" i="119"/>
  <c r="EJ49" i="51"/>
  <c r="EJ50" i="51" s="1"/>
  <c r="EJ10" i="1" s="1"/>
  <c r="FD14" i="119" s="1"/>
  <c r="EY167" i="119"/>
  <c r="EY152" i="119"/>
  <c r="EX173" i="119"/>
  <c r="DK74" i="6"/>
  <c r="DK93" i="6"/>
  <c r="DR127" i="1"/>
  <c r="EL277" i="119"/>
  <c r="EL275" i="119"/>
  <c r="DR70" i="1"/>
  <c r="DR29" i="1"/>
  <c r="DR28" i="1"/>
  <c r="DR106" i="1"/>
  <c r="DR30" i="1"/>
  <c r="DR85" i="1"/>
  <c r="DR49" i="1"/>
  <c r="GZ26" i="1"/>
  <c r="EH62" i="1"/>
  <c r="EH59" i="51" s="1"/>
  <c r="EH98" i="1"/>
  <c r="EH77" i="1"/>
  <c r="EH41" i="1"/>
  <c r="EH15" i="1"/>
  <c r="HD15" i="1" s="1"/>
  <c r="EH119" i="1"/>
  <c r="HD11" i="1"/>
  <c r="FT62" i="1"/>
  <c r="FT98" i="1"/>
  <c r="FT41" i="1"/>
  <c r="DS23" i="3"/>
  <c r="EM59" i="119"/>
  <c r="DS35" i="2"/>
  <c r="EU83" i="6"/>
  <c r="AI164" i="119" s="1"/>
  <c r="EU47" i="6"/>
  <c r="FB42" i="119"/>
  <c r="EU44" i="6"/>
  <c r="EU80" i="6"/>
  <c r="EU19" i="6"/>
  <c r="EM44" i="119"/>
  <c r="DS20" i="3"/>
  <c r="EU82" i="6"/>
  <c r="EU46" i="6"/>
  <c r="J42" i="118"/>
  <c r="J32" i="118"/>
  <c r="ET58" i="6"/>
  <c r="ET95" i="6"/>
  <c r="DO49" i="6"/>
  <c r="DO86" i="6"/>
  <c r="DO67" i="6"/>
  <c r="DO94" i="6"/>
  <c r="DS19" i="3"/>
  <c r="DL84" i="6"/>
  <c r="DL66" i="6"/>
  <c r="DL33" i="6"/>
  <c r="DL35" i="6" s="1"/>
  <c r="DL48" i="6"/>
  <c r="DM82" i="6"/>
  <c r="DM31" i="6"/>
  <c r="DM64" i="6"/>
  <c r="HD65" i="1"/>
  <c r="HD64" i="1"/>
  <c r="HD63" i="1"/>
  <c r="HD60" i="1"/>
  <c r="HD39" i="1"/>
  <c r="HD96" i="1"/>
  <c r="DN45" i="6"/>
  <c r="DN10" i="6" s="1"/>
  <c r="DN47" i="6"/>
  <c r="DN12" i="6" s="1"/>
  <c r="DN46" i="6"/>
  <c r="DN11" i="6" s="1"/>
  <c r="DN44" i="6"/>
  <c r="DN9" i="6" s="1"/>
  <c r="EK67" i="51"/>
  <c r="EK76" i="51" s="1"/>
  <c r="EK17" i="51"/>
  <c r="EK25" i="51"/>
  <c r="EK36" i="51"/>
  <c r="EK53" i="51"/>
  <c r="FU16" i="51"/>
  <c r="DL52" i="6"/>
  <c r="DL70" i="6"/>
  <c r="DL96" i="6"/>
  <c r="DL56" i="6"/>
  <c r="DL59" i="6"/>
  <c r="J18" i="118"/>
  <c r="DP16" i="6"/>
  <c r="EJ42" i="51"/>
  <c r="EJ26" i="51"/>
  <c r="EJ28" i="51" s="1"/>
  <c r="EJ9" i="1"/>
  <c r="EJ46" i="51"/>
  <c r="EJ68" i="51"/>
  <c r="EJ77" i="51" s="1"/>
  <c r="EJ37" i="51"/>
  <c r="EJ40" i="51"/>
  <c r="EJ43" i="51"/>
  <c r="EJ41" i="51"/>
  <c r="EJ44" i="51"/>
  <c r="EE81" i="1"/>
  <c r="EY23" i="119"/>
  <c r="EY268" i="119" s="1"/>
  <c r="DK38" i="6"/>
  <c r="EE66" i="1"/>
  <c r="EE102" i="1"/>
  <c r="EE45" i="1"/>
  <c r="EE123" i="1"/>
  <c r="FT15" i="1"/>
  <c r="EU21" i="6"/>
  <c r="EU15" i="6" s="1"/>
  <c r="DI76" i="6"/>
  <c r="DI58" i="6"/>
  <c r="DI95" i="6"/>
  <c r="DM30" i="6"/>
  <c r="DM81" i="6"/>
  <c r="DM63" i="6"/>
  <c r="EZ143" i="119"/>
  <c r="EZ144" i="119"/>
  <c r="EZ151" i="119"/>
  <c r="EZ141" i="119"/>
  <c r="EZ140" i="119"/>
  <c r="EZ148" i="119"/>
  <c r="EZ139" i="119"/>
  <c r="EZ142" i="119"/>
  <c r="EZ153" i="119"/>
  <c r="EZ150" i="119"/>
  <c r="EZ138" i="119"/>
  <c r="EZ149" i="119"/>
  <c r="EZ145" i="119"/>
  <c r="EZ154" i="119"/>
  <c r="EZ146" i="119"/>
  <c r="EZ147" i="119"/>
  <c r="ET39" i="6"/>
  <c r="DK72" i="6"/>
  <c r="DK54" i="6"/>
  <c r="DM38" i="6"/>
  <c r="EG123" i="1"/>
  <c r="EG81" i="1"/>
  <c r="EG66" i="1"/>
  <c r="EG102" i="1"/>
  <c r="FA23" i="119"/>
  <c r="FA268" i="119" s="1"/>
  <c r="EG45" i="1"/>
  <c r="FU18" i="3"/>
  <c r="EU81" i="6"/>
  <c r="EU45" i="6"/>
  <c r="DL50" i="6"/>
  <c r="DL68" i="6"/>
  <c r="EI60" i="1"/>
  <c r="EI13" i="2"/>
  <c r="EI64" i="1"/>
  <c r="EI117" i="1"/>
  <c r="EI39" i="1"/>
  <c r="EI63" i="1"/>
  <c r="EI96" i="1"/>
  <c r="EI75" i="1"/>
  <c r="FC11" i="119"/>
  <c r="FC270" i="119" s="1"/>
  <c r="EI65" i="1"/>
  <c r="EI50" i="51"/>
  <c r="DM32" i="6"/>
  <c r="EU32" i="6" s="1"/>
  <c r="DM83" i="6"/>
  <c r="FA164" i="119" s="1"/>
  <c r="DM65" i="6"/>
  <c r="DM13" i="6"/>
  <c r="EU13" i="6" s="1"/>
  <c r="DL51" i="6"/>
  <c r="DL69" i="6"/>
  <c r="EL273" i="119"/>
  <c r="GZ24" i="1"/>
  <c r="GZ25" i="1" s="1"/>
  <c r="FB18" i="119"/>
  <c r="EH61" i="1"/>
  <c r="EH40" i="1"/>
  <c r="EH76" i="1"/>
  <c r="FB14" i="119"/>
  <c r="EH118" i="1"/>
  <c r="EH14" i="2"/>
  <c r="EH30" i="2"/>
  <c r="EH97" i="1"/>
  <c r="FB12" i="119"/>
  <c r="HD10" i="1"/>
  <c r="FU21" i="3"/>
  <c r="AI42" i="119"/>
  <c r="FU62" i="2"/>
  <c r="FU68" i="2" s="1"/>
  <c r="DJ93" i="6"/>
  <c r="DJ74" i="6"/>
  <c r="DJ37" i="6"/>
  <c r="EZ169" i="119"/>
  <c r="EZ163" i="119"/>
  <c r="EH17" i="3"/>
  <c r="EY174" i="119"/>
  <c r="EY166" i="119"/>
  <c r="EY170" i="119"/>
  <c r="EY165" i="119"/>
  <c r="DS32" i="3"/>
  <c r="DS82" i="2"/>
  <c r="DL53" i="6"/>
  <c r="DL71" i="6"/>
  <c r="DJ18" i="6"/>
  <c r="DJ19" i="6" s="1"/>
  <c r="DK18" i="6"/>
  <c r="DK19" i="6" s="1"/>
  <c r="DL18" i="6"/>
  <c r="DL19" i="6" s="1"/>
  <c r="DM80" i="6"/>
  <c r="DM29" i="6"/>
  <c r="DM62" i="6"/>
  <c r="GZ69" i="1"/>
  <c r="GZ105" i="1"/>
  <c r="GZ48" i="1"/>
  <c r="EZ135" i="119"/>
  <c r="EZ129" i="119"/>
  <c r="FD18" i="119" l="1"/>
  <c r="EJ40" i="1"/>
  <c r="EJ14" i="2"/>
  <c r="FD12" i="119"/>
  <c r="EJ30" i="2"/>
  <c r="FD56" i="119" s="1"/>
  <c r="EJ97" i="1"/>
  <c r="EZ167" i="119"/>
  <c r="EZ128" i="119"/>
  <c r="EZ152" i="119"/>
  <c r="EY173" i="119"/>
  <c r="DL93" i="6"/>
  <c r="DL74" i="6"/>
  <c r="DL37" i="6"/>
  <c r="EU90" i="6"/>
  <c r="EU53" i="6"/>
  <c r="FU67" i="51"/>
  <c r="FU76" i="51" s="1"/>
  <c r="K15" i="118"/>
  <c r="FU25" i="51"/>
  <c r="EK68" i="51"/>
  <c r="EK77" i="51" s="1"/>
  <c r="EK41" i="51"/>
  <c r="EK43" i="51"/>
  <c r="EK46" i="51"/>
  <c r="DQ16" i="6"/>
  <c r="EV16" i="6" s="1"/>
  <c r="EK9" i="1"/>
  <c r="EK42" i="51"/>
  <c r="EK40" i="51"/>
  <c r="EK26" i="51"/>
  <c r="EK28" i="51" s="1"/>
  <c r="EK37" i="51"/>
  <c r="EK44" i="51"/>
  <c r="FU17" i="51"/>
  <c r="DN81" i="6"/>
  <c r="DN30" i="6"/>
  <c r="DN63" i="6"/>
  <c r="FC42" i="119"/>
  <c r="DM96" i="6"/>
  <c r="DM56" i="6"/>
  <c r="DM77" i="6"/>
  <c r="DM59" i="6"/>
  <c r="DK56" i="6"/>
  <c r="DK96" i="6"/>
  <c r="DK77" i="6"/>
  <c r="DK37" i="6"/>
  <c r="DK59" i="6"/>
  <c r="DP49" i="6"/>
  <c r="DP86" i="6"/>
  <c r="DP67" i="6"/>
  <c r="DP94" i="6"/>
  <c r="DL77" i="6"/>
  <c r="EK54" i="51"/>
  <c r="FU54" i="51" s="1"/>
  <c r="FU53" i="51"/>
  <c r="DL72" i="6"/>
  <c r="DL54" i="6"/>
  <c r="AI135" i="119"/>
  <c r="AI129" i="119"/>
  <c r="DS44" i="2"/>
  <c r="EM65" i="119" s="1"/>
  <c r="EM60" i="119"/>
  <c r="DR88" i="1"/>
  <c r="EL281" i="119"/>
  <c r="EL260" i="119" s="1"/>
  <c r="DR52" i="1"/>
  <c r="DR130" i="1"/>
  <c r="DR109" i="1"/>
  <c r="EL280" i="119"/>
  <c r="EL267" i="119"/>
  <c r="EU84" i="6"/>
  <c r="EU48" i="6"/>
  <c r="DN62" i="6"/>
  <c r="DN80" i="6"/>
  <c r="DN29" i="6"/>
  <c r="DM70" i="6"/>
  <c r="DM52" i="6"/>
  <c r="FD43" i="119"/>
  <c r="HD62" i="1"/>
  <c r="HD98" i="1"/>
  <c r="HD41" i="1"/>
  <c r="FA129" i="119"/>
  <c r="FA135" i="119"/>
  <c r="DM50" i="6"/>
  <c r="DM68" i="6"/>
  <c r="DJ58" i="6"/>
  <c r="DJ76" i="6"/>
  <c r="DJ95" i="6"/>
  <c r="DM53" i="6"/>
  <c r="DM71" i="6"/>
  <c r="FT102" i="1"/>
  <c r="EU38" i="6"/>
  <c r="FT45" i="1"/>
  <c r="AI23" i="119"/>
  <c r="AI268" i="119" s="1"/>
  <c r="FT66" i="1"/>
  <c r="DS21" i="2"/>
  <c r="DT78" i="2"/>
  <c r="AI145" i="119"/>
  <c r="AI143" i="119"/>
  <c r="AI144" i="119"/>
  <c r="AI151" i="119"/>
  <c r="AI147" i="119"/>
  <c r="AI153" i="119"/>
  <c r="AI148" i="119"/>
  <c r="AI146" i="119"/>
  <c r="AI150" i="119"/>
  <c r="AI138" i="119"/>
  <c r="AI140" i="119"/>
  <c r="AI142" i="119"/>
  <c r="AI149" i="119"/>
  <c r="AI139" i="119"/>
  <c r="AI141" i="119"/>
  <c r="AI154" i="119"/>
  <c r="DM51" i="6"/>
  <c r="DM69" i="6"/>
  <c r="EU30" i="6"/>
  <c r="EU31" i="6"/>
  <c r="EK45" i="51"/>
  <c r="DN31" i="6"/>
  <c r="DN82" i="6"/>
  <c r="DN64" i="6"/>
  <c r="FA163" i="119"/>
  <c r="FA169" i="119"/>
  <c r="EZ165" i="119"/>
  <c r="EZ170" i="119"/>
  <c r="EZ174" i="119"/>
  <c r="EZ166" i="119"/>
  <c r="DR107" i="1"/>
  <c r="EL279" i="119"/>
  <c r="DR128" i="1"/>
  <c r="DR86" i="1"/>
  <c r="DR31" i="1"/>
  <c r="DR32" i="1"/>
  <c r="DR50" i="1"/>
  <c r="DR11" i="3"/>
  <c r="DR71" i="1"/>
  <c r="GZ28" i="1"/>
  <c r="HD61" i="1"/>
  <c r="HD40" i="1"/>
  <c r="HD97" i="1"/>
  <c r="FA154" i="119"/>
  <c r="FA143" i="119"/>
  <c r="FA139" i="119"/>
  <c r="FA149" i="119"/>
  <c r="FA148" i="119"/>
  <c r="FA144" i="119"/>
  <c r="FA147" i="119"/>
  <c r="FA140" i="119"/>
  <c r="FA141" i="119"/>
  <c r="FA151" i="119"/>
  <c r="FA142" i="119"/>
  <c r="FA146" i="119"/>
  <c r="FA150" i="119"/>
  <c r="FA145" i="119"/>
  <c r="FA138" i="119"/>
  <c r="FA153" i="119"/>
  <c r="L31" i="117"/>
  <c r="HD66" i="1"/>
  <c r="HD102" i="1"/>
  <c r="HD45" i="1"/>
  <c r="J20" i="118"/>
  <c r="J43" i="118"/>
  <c r="J79" i="118" s="1"/>
  <c r="J54" i="118" s="1"/>
  <c r="J33" i="118"/>
  <c r="FB56" i="119"/>
  <c r="EH21" i="3"/>
  <c r="EH64" i="2"/>
  <c r="EH68" i="2" s="1"/>
  <c r="DM18" i="6"/>
  <c r="DM19" i="6" s="1"/>
  <c r="DS35" i="3"/>
  <c r="EM97" i="119"/>
  <c r="GI17" i="3"/>
  <c r="FB43" i="119"/>
  <c r="EH18" i="3"/>
  <c r="DM48" i="6"/>
  <c r="DM84" i="6"/>
  <c r="DM66" i="6"/>
  <c r="DM33" i="6"/>
  <c r="EI10" i="1"/>
  <c r="EU29" i="6"/>
  <c r="EJ11" i="1"/>
  <c r="EJ63" i="1"/>
  <c r="EJ117" i="1"/>
  <c r="EJ39" i="1"/>
  <c r="EJ13" i="2"/>
  <c r="EJ17" i="3" s="1"/>
  <c r="EJ64" i="1"/>
  <c r="EJ96" i="1"/>
  <c r="FD11" i="119"/>
  <c r="FD270" i="119" s="1"/>
  <c r="EJ65" i="1"/>
  <c r="EJ75" i="1"/>
  <c r="EJ60" i="1"/>
  <c r="EK49" i="51"/>
  <c r="DN83" i="6"/>
  <c r="FB164" i="119" s="1"/>
  <c r="DN65" i="6"/>
  <c r="DN32" i="6"/>
  <c r="DN13" i="6"/>
  <c r="DS24" i="3"/>
  <c r="DO44" i="6"/>
  <c r="DO9" i="6" s="1"/>
  <c r="DO46" i="6"/>
  <c r="DO11" i="6" s="1"/>
  <c r="DO45" i="6"/>
  <c r="DO10" i="6" s="1"/>
  <c r="DO47" i="6"/>
  <c r="DO12" i="6" s="1"/>
  <c r="AI169" i="119"/>
  <c r="AI163" i="119"/>
  <c r="EJ61" i="1"/>
  <c r="EI17" i="3"/>
  <c r="EH123" i="1"/>
  <c r="FB23" i="119"/>
  <c r="FB268" i="119" s="1"/>
  <c r="EH66" i="1"/>
  <c r="EH45" i="1"/>
  <c r="EH81" i="1"/>
  <c r="DN38" i="6"/>
  <c r="EH102" i="1"/>
  <c r="GZ29" i="1"/>
  <c r="GZ49" i="1"/>
  <c r="GZ70" i="1"/>
  <c r="GZ30" i="1"/>
  <c r="GZ106" i="1"/>
  <c r="DR108" i="1"/>
  <c r="DR129" i="1"/>
  <c r="DR87" i="1"/>
  <c r="DR51" i="1"/>
  <c r="EJ64" i="2" l="1"/>
  <c r="EJ68" i="2" s="1"/>
  <c r="AI167" i="119"/>
  <c r="FA128" i="119"/>
  <c r="FA152" i="119"/>
  <c r="AI128" i="119"/>
  <c r="AI152" i="119"/>
  <c r="FA167" i="119"/>
  <c r="EZ173" i="119"/>
  <c r="EV86" i="6"/>
  <c r="EV94" i="6"/>
  <c r="EV49" i="6"/>
  <c r="EV85" i="6"/>
  <c r="AJ176" i="119" s="1"/>
  <c r="EV18" i="6"/>
  <c r="FC18" i="119"/>
  <c r="FC12" i="119"/>
  <c r="EI97" i="1"/>
  <c r="EI14" i="2"/>
  <c r="EI40" i="1"/>
  <c r="EI61" i="1"/>
  <c r="EI118" i="1"/>
  <c r="EI30" i="2"/>
  <c r="EI76" i="1"/>
  <c r="FC14" i="119"/>
  <c r="EJ76" i="1"/>
  <c r="EI11" i="1"/>
  <c r="EJ119" i="1" s="1"/>
  <c r="EJ118" i="1"/>
  <c r="FB163" i="119"/>
  <c r="FB169" i="119"/>
  <c r="H63" i="117"/>
  <c r="GZ52" i="1"/>
  <c r="GZ109" i="1"/>
  <c r="DT79" i="2"/>
  <c r="DT12" i="3" s="1"/>
  <c r="AI170" i="119"/>
  <c r="AI174" i="119"/>
  <c r="AI166" i="119"/>
  <c r="AI165" i="119"/>
  <c r="EU89" i="6"/>
  <c r="EU52" i="6"/>
  <c r="EJ98" i="1"/>
  <c r="EJ15" i="1"/>
  <c r="EJ41" i="1"/>
  <c r="EJ62" i="1"/>
  <c r="EJ59" i="51" s="1"/>
  <c r="EU96" i="6"/>
  <c r="EU59" i="6"/>
  <c r="FB129" i="119"/>
  <c r="FB135" i="119"/>
  <c r="FA166" i="119"/>
  <c r="FA174" i="119"/>
  <c r="FA170" i="119"/>
  <c r="FA165" i="119"/>
  <c r="J56" i="118"/>
  <c r="J69" i="118"/>
  <c r="J53" i="118"/>
  <c r="DN70" i="6"/>
  <c r="DN52" i="6"/>
  <c r="DO81" i="6"/>
  <c r="DO30" i="6"/>
  <c r="DO63" i="6"/>
  <c r="J35" i="118"/>
  <c r="J45" i="118"/>
  <c r="DR131" i="1"/>
  <c r="DR53" i="1"/>
  <c r="DR89" i="1"/>
  <c r="DR110" i="1"/>
  <c r="DS25" i="2"/>
  <c r="EM48" i="119"/>
  <c r="DS89" i="2"/>
  <c r="DS87" i="2" s="1"/>
  <c r="EM46" i="119" s="1"/>
  <c r="DK58" i="6"/>
  <c r="DK76" i="6"/>
  <c r="DK95" i="6"/>
  <c r="DO29" i="6"/>
  <c r="DO80" i="6"/>
  <c r="DO62" i="6"/>
  <c r="GI21" i="3"/>
  <c r="EM94" i="119"/>
  <c r="DP45" i="6"/>
  <c r="DP10" i="6" s="1"/>
  <c r="DP46" i="6"/>
  <c r="DP11" i="6" s="1"/>
  <c r="DP44" i="6"/>
  <c r="DP9" i="6" s="1"/>
  <c r="DP47" i="6"/>
  <c r="DP12" i="6" s="1"/>
  <c r="DO83" i="6"/>
  <c r="FC164" i="119" s="1"/>
  <c r="DO32" i="6"/>
  <c r="DO65" i="6"/>
  <c r="DO13" i="6"/>
  <c r="EK50" i="51"/>
  <c r="FU49" i="51"/>
  <c r="FU58" i="51" s="1"/>
  <c r="EM101" i="119"/>
  <c r="DR90" i="1"/>
  <c r="DR132" i="1"/>
  <c r="DR111" i="1"/>
  <c r="DR54" i="1"/>
  <c r="DN66" i="6"/>
  <c r="DN33" i="6"/>
  <c r="DN84" i="6"/>
  <c r="DN48" i="6"/>
  <c r="FD42" i="119"/>
  <c r="EU50" i="6"/>
  <c r="EU87" i="6"/>
  <c r="GZ108" i="1"/>
  <c r="GZ51" i="1"/>
  <c r="DO31" i="6"/>
  <c r="DO64" i="6"/>
  <c r="DO82" i="6"/>
  <c r="DN71" i="6"/>
  <c r="DN53" i="6"/>
  <c r="GZ50" i="1"/>
  <c r="GZ31" i="1"/>
  <c r="GZ107" i="1"/>
  <c r="GZ32" i="1"/>
  <c r="GZ71" i="1"/>
  <c r="DN51" i="6"/>
  <c r="DN69" i="6"/>
  <c r="FU40" i="51"/>
  <c r="FU26" i="51"/>
  <c r="FU68" i="51"/>
  <c r="FU77" i="51" s="1"/>
  <c r="FU43" i="51"/>
  <c r="FU42" i="51"/>
  <c r="FU46" i="51"/>
  <c r="FU41" i="51"/>
  <c r="FU44" i="51"/>
  <c r="EK13" i="2"/>
  <c r="EK39" i="1"/>
  <c r="EK75" i="1"/>
  <c r="FE11" i="119"/>
  <c r="FE270" i="119" s="1"/>
  <c r="EK65" i="1"/>
  <c r="EK60" i="1"/>
  <c r="EK117" i="1"/>
  <c r="EK63" i="1"/>
  <c r="EK64" i="1"/>
  <c r="EK96" i="1"/>
  <c r="FU9" i="1"/>
  <c r="EV17" i="6" s="1"/>
  <c r="DL76" i="6"/>
  <c r="DL95" i="6"/>
  <c r="DL58" i="6"/>
  <c r="DQ49" i="6"/>
  <c r="DQ86" i="6"/>
  <c r="DQ94" i="6"/>
  <c r="DQ67" i="6"/>
  <c r="K30" i="118"/>
  <c r="W81" i="118"/>
  <c r="U81" i="118" s="1"/>
  <c r="W84" i="118"/>
  <c r="U84" i="118" s="1"/>
  <c r="GI18" i="3"/>
  <c r="FB145" i="119"/>
  <c r="FB140" i="119"/>
  <c r="FB143" i="119"/>
  <c r="FB150" i="119"/>
  <c r="FB147" i="119"/>
  <c r="FB149" i="119"/>
  <c r="FB142" i="119"/>
  <c r="FB151" i="119"/>
  <c r="FB154" i="119"/>
  <c r="FB146" i="119"/>
  <c r="FB138" i="119"/>
  <c r="FB141" i="119"/>
  <c r="FB148" i="119"/>
  <c r="FB139" i="119"/>
  <c r="FB144" i="119"/>
  <c r="FB153" i="119"/>
  <c r="DN59" i="6"/>
  <c r="DN96" i="6"/>
  <c r="DN77" i="6"/>
  <c r="DN56" i="6"/>
  <c r="DM72" i="6"/>
  <c r="DM54" i="6"/>
  <c r="EU33" i="6"/>
  <c r="EU35" i="6" s="1"/>
  <c r="EL305" i="119"/>
  <c r="DR25" i="3"/>
  <c r="GE11" i="3"/>
  <c r="DR47" i="2"/>
  <c r="EL283" i="119"/>
  <c r="EL282" i="119"/>
  <c r="EU88" i="6"/>
  <c r="EU51" i="6"/>
  <c r="DM35" i="6"/>
  <c r="DN68" i="6"/>
  <c r="DN50" i="6"/>
  <c r="FU45" i="51"/>
  <c r="EJ77" i="1" l="1"/>
  <c r="FA173" i="119"/>
  <c r="FB152" i="119"/>
  <c r="FB167" i="119"/>
  <c r="FB128" i="119"/>
  <c r="AI173" i="119"/>
  <c r="DQ44" i="6"/>
  <c r="DQ9" i="6" s="1"/>
  <c r="DQ46" i="6"/>
  <c r="DQ11" i="6" s="1"/>
  <c r="EV11" i="6" s="1"/>
  <c r="DQ45" i="6"/>
  <c r="DQ10" i="6" s="1"/>
  <c r="DQ47" i="6"/>
  <c r="DQ12" i="6" s="1"/>
  <c r="EV12" i="6" s="1"/>
  <c r="U83" i="118"/>
  <c r="V82" i="118"/>
  <c r="FB166" i="119"/>
  <c r="FB165" i="119"/>
  <c r="FB170" i="119"/>
  <c r="FB174" i="119"/>
  <c r="EK10" i="1"/>
  <c r="FU50" i="51"/>
  <c r="FU59" i="51" s="1"/>
  <c r="FU57" i="51" s="1"/>
  <c r="DP80" i="6"/>
  <c r="DP62" i="6"/>
  <c r="DP29" i="6"/>
  <c r="DP38" i="6"/>
  <c r="EJ102" i="1"/>
  <c r="EJ66" i="1"/>
  <c r="EJ45" i="1"/>
  <c r="FD23" i="119"/>
  <c r="FD268" i="119" s="1"/>
  <c r="EI21" i="3"/>
  <c r="FC56" i="119"/>
  <c r="EI64" i="2"/>
  <c r="EI68" i="2" s="1"/>
  <c r="EJ21" i="3"/>
  <c r="GZ111" i="1"/>
  <c r="GZ54" i="1"/>
  <c r="FC169" i="119"/>
  <c r="FC163" i="119"/>
  <c r="DN72" i="6"/>
  <c r="DN54" i="6"/>
  <c r="DO84" i="6"/>
  <c r="DO66" i="6"/>
  <c r="DO33" i="6"/>
  <c r="DO35" i="6" s="1"/>
  <c r="DO48" i="6"/>
  <c r="DP31" i="6"/>
  <c r="DP64" i="6"/>
  <c r="DP82" i="6"/>
  <c r="J68" i="118"/>
  <c r="J78" i="118"/>
  <c r="DR50" i="3"/>
  <c r="DR54" i="3"/>
  <c r="EL96" i="119"/>
  <c r="GE25" i="3"/>
  <c r="GE54" i="3" s="1"/>
  <c r="GE55" i="3" s="1"/>
  <c r="H59" i="117" s="1"/>
  <c r="DP32" i="6"/>
  <c r="DP65" i="6"/>
  <c r="DP83" i="6"/>
  <c r="FD164" i="119" s="1"/>
  <c r="DP13" i="6"/>
  <c r="GZ110" i="1"/>
  <c r="GZ53" i="1"/>
  <c r="EU93" i="6"/>
  <c r="EU56" i="6"/>
  <c r="DN35" i="6"/>
  <c r="EU91" i="6"/>
  <c r="EU54" i="6"/>
  <c r="FV13" i="2"/>
  <c r="FE42" i="119"/>
  <c r="DP63" i="6"/>
  <c r="DP81" i="6"/>
  <c r="DP30" i="6"/>
  <c r="DO69" i="6"/>
  <c r="DO51" i="6"/>
  <c r="EI77" i="1"/>
  <c r="EI62" i="1"/>
  <c r="EI59" i="51" s="1"/>
  <c r="EI119" i="1"/>
  <c r="EI15" i="1"/>
  <c r="EJ123" i="1" s="1"/>
  <c r="EI41" i="1"/>
  <c r="EI98" i="1"/>
  <c r="FC138" i="119"/>
  <c r="FC149" i="119"/>
  <c r="FC146" i="119"/>
  <c r="FC140" i="119"/>
  <c r="FC143" i="119"/>
  <c r="FC151" i="119"/>
  <c r="FC147" i="119"/>
  <c r="FC139" i="119"/>
  <c r="FC150" i="119"/>
  <c r="FC145" i="119"/>
  <c r="FC144" i="119"/>
  <c r="FC142" i="119"/>
  <c r="FC154" i="119"/>
  <c r="FC148" i="119"/>
  <c r="FC153" i="119"/>
  <c r="FC141" i="119"/>
  <c r="J58" i="118"/>
  <c r="J71" i="118"/>
  <c r="J81" i="118"/>
  <c r="DR49" i="2"/>
  <c r="DO52" i="6"/>
  <c r="DO70" i="6"/>
  <c r="DO53" i="6"/>
  <c r="DO71" i="6"/>
  <c r="FC129" i="119"/>
  <c r="FC135" i="119"/>
  <c r="DM93" i="6"/>
  <c r="DM74" i="6"/>
  <c r="DM37" i="6"/>
  <c r="FU60" i="1"/>
  <c r="FU63" i="1"/>
  <c r="FU65" i="1"/>
  <c r="K16" i="118"/>
  <c r="AJ11" i="119"/>
  <c r="AJ270" i="119" s="1"/>
  <c r="FU96" i="1"/>
  <c r="FU64" i="1"/>
  <c r="FU39" i="1"/>
  <c r="EK17" i="3"/>
  <c r="DO50" i="6"/>
  <c r="DO68" i="6"/>
  <c r="EN93" i="119"/>
  <c r="DT16" i="1"/>
  <c r="DT88" i="2"/>
  <c r="EJ18" i="3"/>
  <c r="FC43" i="119"/>
  <c r="EI18" i="3"/>
  <c r="FC167" i="119" l="1"/>
  <c r="FC128" i="119"/>
  <c r="FB173" i="119"/>
  <c r="FC152" i="119"/>
  <c r="EV47" i="6"/>
  <c r="EV83" i="6"/>
  <c r="AJ164" i="119" s="1"/>
  <c r="DP68" i="6"/>
  <c r="DP50" i="6"/>
  <c r="DO74" i="6"/>
  <c r="DO93" i="6"/>
  <c r="DM76" i="6"/>
  <c r="DM58" i="6"/>
  <c r="DM95" i="6"/>
  <c r="EU37" i="6"/>
  <c r="EV46" i="6"/>
  <c r="EV82" i="6"/>
  <c r="EV21" i="6"/>
  <c r="EV15" i="6" s="1"/>
  <c r="FD153" i="119"/>
  <c r="FD148" i="119"/>
  <c r="FD146" i="119"/>
  <c r="FD144" i="119"/>
  <c r="FD143" i="119"/>
  <c r="FD140" i="119"/>
  <c r="FD142" i="119"/>
  <c r="FD141" i="119"/>
  <c r="FD151" i="119"/>
  <c r="FD147" i="119"/>
  <c r="FD150" i="119"/>
  <c r="FD138" i="119"/>
  <c r="FD139" i="119"/>
  <c r="FD145" i="119"/>
  <c r="FD154" i="119"/>
  <c r="FD149" i="119"/>
  <c r="DN93" i="6"/>
  <c r="DN74" i="6"/>
  <c r="DN37" i="6"/>
  <c r="FD163" i="119"/>
  <c r="FD169" i="119"/>
  <c r="FC170" i="119"/>
  <c r="FC166" i="119"/>
  <c r="FC165" i="119"/>
  <c r="FC174" i="119"/>
  <c r="DP56" i="6"/>
  <c r="DP59" i="6"/>
  <c r="DP96" i="6"/>
  <c r="DQ30" i="6"/>
  <c r="EV30" i="6" s="1"/>
  <c r="DQ63" i="6"/>
  <c r="DQ81" i="6"/>
  <c r="EV10" i="6"/>
  <c r="FD135" i="119"/>
  <c r="FD129" i="119"/>
  <c r="DQ31" i="6"/>
  <c r="DQ82" i="6"/>
  <c r="DQ64" i="6"/>
  <c r="K31" i="118"/>
  <c r="K44" i="118"/>
  <c r="K41" i="118"/>
  <c r="EL108" i="119"/>
  <c r="DR52" i="3"/>
  <c r="GE50" i="3"/>
  <c r="GE52" i="3" s="1"/>
  <c r="DQ80" i="6"/>
  <c r="DQ29" i="6"/>
  <c r="DQ62" i="6"/>
  <c r="EV9" i="6"/>
  <c r="EI66" i="1"/>
  <c r="EI102" i="1"/>
  <c r="FC23" i="119"/>
  <c r="FC268" i="119" s="1"/>
  <c r="EI81" i="1"/>
  <c r="DO38" i="6"/>
  <c r="DP77" i="6" s="1"/>
  <c r="EI123" i="1"/>
  <c r="EI45" i="1"/>
  <c r="DR55" i="3"/>
  <c r="DR65" i="3"/>
  <c r="FV62" i="2"/>
  <c r="AJ42" i="119"/>
  <c r="FE18" i="119"/>
  <c r="EK61" i="1"/>
  <c r="EK118" i="1"/>
  <c r="EK97" i="1"/>
  <c r="EK30" i="2"/>
  <c r="FE14" i="119"/>
  <c r="EK40" i="1"/>
  <c r="EK14" i="2"/>
  <c r="EK76" i="1"/>
  <c r="FE12" i="119"/>
  <c r="EK11" i="1"/>
  <c r="FU10" i="1"/>
  <c r="DP69" i="6"/>
  <c r="DP51" i="6"/>
  <c r="DQ83" i="6"/>
  <c r="FE164" i="119" s="1"/>
  <c r="DQ65" i="6"/>
  <c r="DQ32" i="6"/>
  <c r="EV32" i="6" s="1"/>
  <c r="DQ13" i="6"/>
  <c r="EV13" i="6" s="1"/>
  <c r="EN47" i="119"/>
  <c r="DP48" i="6"/>
  <c r="DP84" i="6"/>
  <c r="DP33" i="6"/>
  <c r="DP66" i="6"/>
  <c r="DP70" i="6"/>
  <c r="DP52" i="6"/>
  <c r="FV17" i="3"/>
  <c r="DT46" i="1"/>
  <c r="EN21" i="119"/>
  <c r="EN19" i="119" s="1"/>
  <c r="DT103" i="1"/>
  <c r="DT124" i="1"/>
  <c r="DT67" i="1"/>
  <c r="DT82" i="1"/>
  <c r="DT17" i="1"/>
  <c r="EL67" i="119"/>
  <c r="EL298" i="119" s="1"/>
  <c r="EL256" i="119" s="1"/>
  <c r="EL69" i="119"/>
  <c r="EL271" i="119" s="1"/>
  <c r="DR51" i="2"/>
  <c r="EL70" i="119" s="1"/>
  <c r="DR66" i="2"/>
  <c r="FU66" i="2" s="1"/>
  <c r="DP71" i="6"/>
  <c r="DP53" i="6"/>
  <c r="DO72" i="6"/>
  <c r="DO54" i="6"/>
  <c r="EJ81" i="1"/>
  <c r="V84" i="118"/>
  <c r="V85" i="118" s="1"/>
  <c r="U86" i="118"/>
  <c r="FD128" i="119" l="1"/>
  <c r="FD167" i="119"/>
  <c r="FC173" i="119"/>
  <c r="FD152" i="119"/>
  <c r="DP54" i="6"/>
  <c r="DP72" i="6"/>
  <c r="FE163" i="119"/>
  <c r="FE169" i="119"/>
  <c r="FE141" i="119"/>
  <c r="FE153" i="119"/>
  <c r="FE150" i="119"/>
  <c r="FE154" i="119"/>
  <c r="FE142" i="119"/>
  <c r="FE140" i="119"/>
  <c r="FE138" i="119"/>
  <c r="FE143" i="119"/>
  <c r="FE144" i="119"/>
  <c r="FE146" i="119"/>
  <c r="FE151" i="119"/>
  <c r="FE149" i="119"/>
  <c r="FE148" i="119"/>
  <c r="FE147" i="119"/>
  <c r="FE145" i="119"/>
  <c r="FE139" i="119"/>
  <c r="FD170" i="119"/>
  <c r="FD174" i="119"/>
  <c r="FD166" i="119"/>
  <c r="FD165" i="119"/>
  <c r="EK41" i="1"/>
  <c r="EK98" i="1"/>
  <c r="EK62" i="1"/>
  <c r="EK59" i="51" s="1"/>
  <c r="EK119" i="1"/>
  <c r="EK77" i="1"/>
  <c r="EK15" i="1"/>
  <c r="FU11" i="1"/>
  <c r="FE56" i="119"/>
  <c r="EK64" i="2"/>
  <c r="EK68" i="2" s="1"/>
  <c r="FV30" i="2"/>
  <c r="EK21" i="3"/>
  <c r="FV21" i="3" s="1"/>
  <c r="DQ70" i="6"/>
  <c r="DQ52" i="6"/>
  <c r="EV53" i="6"/>
  <c r="EV90" i="6"/>
  <c r="DQ68" i="6"/>
  <c r="DQ50" i="6"/>
  <c r="DQ51" i="6"/>
  <c r="DQ69" i="6"/>
  <c r="AJ163" i="119"/>
  <c r="AJ169" i="119"/>
  <c r="DP35" i="6"/>
  <c r="EV88" i="6"/>
  <c r="EV51" i="6"/>
  <c r="FE135" i="119"/>
  <c r="FE129" i="119"/>
  <c r="EV31" i="6"/>
  <c r="FV14" i="2"/>
  <c r="FE43" i="119"/>
  <c r="EK18" i="3"/>
  <c r="EU95" i="6"/>
  <c r="EU58" i="6"/>
  <c r="EU39" i="6"/>
  <c r="DQ53" i="6"/>
  <c r="DQ71" i="6"/>
  <c r="AJ18" i="119"/>
  <c r="FU40" i="1"/>
  <c r="FU97" i="1"/>
  <c r="FU61" i="1"/>
  <c r="AJ14" i="119"/>
  <c r="K17" i="118"/>
  <c r="AJ12" i="119"/>
  <c r="DT16" i="2"/>
  <c r="DT68" i="1"/>
  <c r="DT104" i="1"/>
  <c r="DT80" i="2"/>
  <c r="DT47" i="1"/>
  <c r="DT125" i="1"/>
  <c r="DT17" i="2"/>
  <c r="DT15" i="2"/>
  <c r="DT31" i="2"/>
  <c r="EN20" i="119"/>
  <c r="EN259" i="119" s="1"/>
  <c r="DT83" i="1"/>
  <c r="EV84" i="6"/>
  <c r="EV48" i="6"/>
  <c r="DO37" i="6"/>
  <c r="DO77" i="6"/>
  <c r="DO96" i="6"/>
  <c r="DO59" i="6"/>
  <c r="DO56" i="6"/>
  <c r="DQ66" i="6"/>
  <c r="DQ48" i="6"/>
  <c r="DQ84" i="6"/>
  <c r="DQ33" i="6"/>
  <c r="EV33" i="6" s="1"/>
  <c r="EV19" i="6"/>
  <c r="EV80" i="6"/>
  <c r="EV44" i="6"/>
  <c r="DN18" i="6"/>
  <c r="DN19" i="6" s="1"/>
  <c r="DO18" i="6"/>
  <c r="DO19" i="6" s="1"/>
  <c r="DP18" i="6"/>
  <c r="DR58" i="3"/>
  <c r="DR11" i="2" s="1"/>
  <c r="DS51" i="3"/>
  <c r="GF51" i="3" s="1"/>
  <c r="EV81" i="6"/>
  <c r="EV45" i="6"/>
  <c r="DN95" i="6"/>
  <c r="DN58" i="6"/>
  <c r="DN76" i="6"/>
  <c r="EV29" i="6"/>
  <c r="AJ167" i="119" l="1"/>
  <c r="FE128" i="119"/>
  <c r="DQ35" i="6"/>
  <c r="FE167" i="119"/>
  <c r="FE152" i="119"/>
  <c r="FD173" i="119"/>
  <c r="EV54" i="6"/>
  <c r="EV91" i="6"/>
  <c r="AJ154" i="119"/>
  <c r="AJ141" i="119"/>
  <c r="AJ151" i="119"/>
  <c r="AJ139" i="119"/>
  <c r="AJ148" i="119"/>
  <c r="AJ153" i="119"/>
  <c r="AJ147" i="119"/>
  <c r="AJ143" i="119"/>
  <c r="AJ142" i="119"/>
  <c r="AJ150" i="119"/>
  <c r="AJ138" i="119"/>
  <c r="AJ144" i="119"/>
  <c r="AJ140" i="119"/>
  <c r="AJ145" i="119"/>
  <c r="AJ146" i="119"/>
  <c r="AJ149" i="119"/>
  <c r="DT32" i="3"/>
  <c r="DT82" i="2"/>
  <c r="AJ43" i="119"/>
  <c r="FV63" i="2"/>
  <c r="FU98" i="1"/>
  <c r="FU41" i="1"/>
  <c r="FU62" i="1"/>
  <c r="AJ129" i="119"/>
  <c r="AJ135" i="119"/>
  <c r="EV52" i="6"/>
  <c r="EV89" i="6"/>
  <c r="DP74" i="6"/>
  <c r="DP93" i="6"/>
  <c r="DP37" i="6"/>
  <c r="DQ38" i="6"/>
  <c r="EK45" i="1"/>
  <c r="FE23" i="119"/>
  <c r="FE268" i="119" s="1"/>
  <c r="EK81" i="1"/>
  <c r="EK66" i="1"/>
  <c r="EK123" i="1"/>
  <c r="EK102" i="1"/>
  <c r="FU15" i="1"/>
  <c r="DR56" i="2"/>
  <c r="DR18" i="2"/>
  <c r="EL41" i="119"/>
  <c r="EL265" i="119" s="1"/>
  <c r="DR59" i="3"/>
  <c r="AJ174" i="119"/>
  <c r="AJ165" i="119"/>
  <c r="AJ170" i="119"/>
  <c r="AJ166" i="119"/>
  <c r="EN44" i="119"/>
  <c r="DT20" i="3"/>
  <c r="DT35" i="2"/>
  <c r="EN59" i="119"/>
  <c r="DT23" i="3"/>
  <c r="DP19" i="6"/>
  <c r="DQ18" i="6"/>
  <c r="DQ19" i="6" s="1"/>
  <c r="DT19" i="3"/>
  <c r="DQ93" i="6"/>
  <c r="DQ74" i="6"/>
  <c r="DO95" i="6"/>
  <c r="DO76" i="6"/>
  <c r="DO58" i="6"/>
  <c r="FV64" i="2"/>
  <c r="AJ56" i="119"/>
  <c r="FV65" i="2"/>
  <c r="DQ54" i="6"/>
  <c r="DQ72" i="6"/>
  <c r="FV18" i="3"/>
  <c r="EV35" i="6"/>
  <c r="EV50" i="6"/>
  <c r="EV87" i="6"/>
  <c r="FE166" i="119"/>
  <c r="FE174" i="119"/>
  <c r="FE165" i="119"/>
  <c r="FE170" i="119"/>
  <c r="K42" i="118"/>
  <c r="K32" i="118"/>
  <c r="K18" i="118"/>
  <c r="AJ128" i="119" l="1"/>
  <c r="FV68" i="2"/>
  <c r="AJ152" i="119"/>
  <c r="AJ173" i="119"/>
  <c r="FE173" i="119"/>
  <c r="K43" i="118"/>
  <c r="K79" i="118" s="1"/>
  <c r="K54" i="118" s="1"/>
  <c r="K33" i="118"/>
  <c r="K20" i="118"/>
  <c r="DP58" i="6"/>
  <c r="DP95" i="6"/>
  <c r="DP76" i="6"/>
  <c r="DT44" i="2"/>
  <c r="EN65" i="119" s="1"/>
  <c r="EN60" i="119"/>
  <c r="DT21" i="2"/>
  <c r="DU78" i="2"/>
  <c r="DT24" i="3"/>
  <c r="DR114" i="2"/>
  <c r="DS116" i="2" s="1"/>
  <c r="DS19" i="1" s="1"/>
  <c r="DR58" i="2"/>
  <c r="AJ23" i="119"/>
  <c r="AJ268" i="119" s="1"/>
  <c r="FU102" i="1"/>
  <c r="EV38" i="6"/>
  <c r="FU66" i="1"/>
  <c r="FU45" i="1"/>
  <c r="EN97" i="119"/>
  <c r="DT35" i="3"/>
  <c r="EL45" i="119"/>
  <c r="DR61" i="2"/>
  <c r="DR27" i="2"/>
  <c r="EV56" i="6"/>
  <c r="EV93" i="6"/>
  <c r="DQ96" i="6"/>
  <c r="DQ59" i="6"/>
  <c r="DQ77" i="6"/>
  <c r="DQ56" i="6"/>
  <c r="DQ37" i="6"/>
  <c r="EV37" i="6" s="1"/>
  <c r="EV58" i="6" l="1"/>
  <c r="EV95" i="6"/>
  <c r="EV39" i="6"/>
  <c r="DT25" i="2"/>
  <c r="DT89" i="2"/>
  <c r="DT87" i="2" s="1"/>
  <c r="EN46" i="119" s="1"/>
  <c r="EN48" i="119"/>
  <c r="EN101" i="119"/>
  <c r="DS21" i="1"/>
  <c r="K45" i="118"/>
  <c r="K35" i="118"/>
  <c r="DR53" i="2"/>
  <c r="EL55" i="119"/>
  <c r="DR67" i="2"/>
  <c r="FU67" i="2" s="1"/>
  <c r="EN94" i="119"/>
  <c r="EL76" i="119"/>
  <c r="EL264" i="119" s="1"/>
  <c r="DR59" i="2"/>
  <c r="DQ95" i="6"/>
  <c r="DQ76" i="6"/>
  <c r="DQ58" i="6"/>
  <c r="EV59" i="6"/>
  <c r="EV96" i="6"/>
  <c r="DU79" i="2"/>
  <c r="DU12" i="3" s="1"/>
  <c r="K69" i="118"/>
  <c r="K56" i="118"/>
  <c r="K53" i="118"/>
  <c r="EO93" i="119" l="1"/>
  <c r="DU16" i="1"/>
  <c r="FR12" i="3"/>
  <c r="AF93" i="119" s="1"/>
  <c r="DU88" i="2"/>
  <c r="EM24" i="119"/>
  <c r="EM26" i="119" s="1"/>
  <c r="DS18" i="1"/>
  <c r="K68" i="118"/>
  <c r="K78" i="118"/>
  <c r="K58" i="118"/>
  <c r="K71" i="118"/>
  <c r="K81" i="118"/>
  <c r="EO47" i="119" l="1"/>
  <c r="FR88" i="2"/>
  <c r="AF47" i="119" s="1"/>
  <c r="DS23" i="1"/>
  <c r="DU124" i="1"/>
  <c r="DU103" i="1"/>
  <c r="DU46" i="1"/>
  <c r="DU67" i="1"/>
  <c r="EO21" i="119"/>
  <c r="EO19" i="119" s="1"/>
  <c r="DU82" i="1"/>
  <c r="DU17" i="1"/>
  <c r="AP23" i="114" s="1"/>
  <c r="FQ16" i="1"/>
  <c r="DS126" i="1" l="1"/>
  <c r="DS24" i="1"/>
  <c r="DS26" i="1" s="1"/>
  <c r="DS69" i="1"/>
  <c r="DS48" i="1"/>
  <c r="DS84" i="1"/>
  <c r="DS105" i="1"/>
  <c r="EM30" i="119"/>
  <c r="EM269" i="119" s="1"/>
  <c r="FQ46" i="1"/>
  <c r="FQ67" i="1"/>
  <c r="FQ103" i="1"/>
  <c r="AF21" i="119"/>
  <c r="AF19" i="119" s="1"/>
  <c r="FQ17" i="1"/>
  <c r="DU47" i="1"/>
  <c r="DU31" i="2"/>
  <c r="DU125" i="1"/>
  <c r="DU80" i="2"/>
  <c r="DU16" i="2"/>
  <c r="DU104" i="1"/>
  <c r="DU83" i="1"/>
  <c r="EO20" i="119"/>
  <c r="EO259" i="119" s="1"/>
  <c r="DU68" i="1"/>
  <c r="DU17" i="2"/>
  <c r="DU15" i="2"/>
  <c r="FR15" i="2" s="1"/>
  <c r="FR72" i="2" l="1"/>
  <c r="EO59" i="119"/>
  <c r="DU35" i="2"/>
  <c r="DU23" i="3"/>
  <c r="FR31" i="2"/>
  <c r="DU32" i="3"/>
  <c r="DU82" i="2"/>
  <c r="EM273" i="119"/>
  <c r="AH23" i="114"/>
  <c r="AF20" i="119"/>
  <c r="AF259" i="119" s="1"/>
  <c r="R20" i="116"/>
  <c r="FQ47" i="1"/>
  <c r="FQ104" i="1"/>
  <c r="FQ68" i="1"/>
  <c r="DS30" i="1"/>
  <c r="EM277" i="119"/>
  <c r="EM275" i="119"/>
  <c r="DS127" i="1"/>
  <c r="DS106" i="1"/>
  <c r="DS28" i="1"/>
  <c r="DS29" i="1"/>
  <c r="DS70" i="1"/>
  <c r="DS85" i="1"/>
  <c r="DS49" i="1"/>
  <c r="FR17" i="2"/>
  <c r="EO44" i="119"/>
  <c r="DU20" i="3"/>
  <c r="FR16" i="2"/>
  <c r="FR73" i="2" s="1"/>
  <c r="DU19" i="3"/>
  <c r="DU35" i="3" l="1"/>
  <c r="EO97" i="119"/>
  <c r="FR32" i="3"/>
  <c r="DS31" i="1"/>
  <c r="DS50" i="1"/>
  <c r="DS107" i="1"/>
  <c r="DS128" i="1"/>
  <c r="DS86" i="1"/>
  <c r="DS32" i="1"/>
  <c r="DS11" i="3"/>
  <c r="EM279" i="119"/>
  <c r="DS71" i="1"/>
  <c r="DS88" i="1"/>
  <c r="DS109" i="1"/>
  <c r="DS130" i="1"/>
  <c r="EM281" i="119"/>
  <c r="EM260" i="119" s="1"/>
  <c r="DS52" i="1"/>
  <c r="AH25" i="114"/>
  <c r="AH24" i="114"/>
  <c r="FR35" i="2"/>
  <c r="AF60" i="119" s="1"/>
  <c r="AF59" i="119"/>
  <c r="FR75" i="2"/>
  <c r="FR23" i="3"/>
  <c r="FR74" i="2"/>
  <c r="AF44" i="119"/>
  <c r="EO60" i="119"/>
  <c r="DU44" i="2"/>
  <c r="DS129" i="1"/>
  <c r="DS51" i="1"/>
  <c r="DS108" i="1"/>
  <c r="DS87" i="1"/>
  <c r="DU24" i="3"/>
  <c r="FR19" i="3"/>
  <c r="FR20" i="3"/>
  <c r="EM267" i="119"/>
  <c r="EM280" i="119"/>
  <c r="AH20" i="116"/>
  <c r="T20" i="116"/>
  <c r="U20" i="116" s="1"/>
  <c r="DV78" i="2"/>
  <c r="DU21" i="2"/>
  <c r="FR24" i="3" l="1"/>
  <c r="AF94" i="119" s="1"/>
  <c r="DS25" i="3"/>
  <c r="EM305" i="119"/>
  <c r="DS47" i="2"/>
  <c r="DS131" i="1"/>
  <c r="DS53" i="1"/>
  <c r="DS89" i="1"/>
  <c r="DS110" i="1"/>
  <c r="EO94" i="119"/>
  <c r="DS90" i="1"/>
  <c r="DS54" i="1"/>
  <c r="DS132" i="1"/>
  <c r="DS111" i="1"/>
  <c r="DU25" i="2"/>
  <c r="FR25" i="2" s="1"/>
  <c r="EO48" i="119"/>
  <c r="FR21" i="2"/>
  <c r="AF48" i="119" s="1"/>
  <c r="AF46" i="119" s="1"/>
  <c r="DU89" i="2"/>
  <c r="AF97" i="119"/>
  <c r="FR35" i="3"/>
  <c r="AF101" i="119" s="1"/>
  <c r="DV79" i="2"/>
  <c r="DV12" i="3" s="1"/>
  <c r="FR44" i="2"/>
  <c r="AF65" i="119" s="1"/>
  <c r="EO65" i="119"/>
  <c r="EM282" i="119"/>
  <c r="EM283" i="119"/>
  <c r="EO101" i="119"/>
  <c r="DV16" i="1" l="1"/>
  <c r="EP93" i="119"/>
  <c r="GF12" i="3"/>
  <c r="I35" i="117" s="1"/>
  <c r="DV88" i="2"/>
  <c r="DS49" i="2"/>
  <c r="DS54" i="3"/>
  <c r="DS50" i="3"/>
  <c r="EM96" i="119"/>
  <c r="FR89" i="2"/>
  <c r="DU87" i="2"/>
  <c r="FR87" i="2" l="1"/>
  <c r="EO46" i="119"/>
  <c r="EP47" i="119"/>
  <c r="DS52" i="3"/>
  <c r="EM108" i="119"/>
  <c r="DS65" i="3"/>
  <c r="DS55" i="3"/>
  <c r="DS51" i="2"/>
  <c r="EM70" i="119" s="1"/>
  <c r="EM67" i="119"/>
  <c r="EM298" i="119" s="1"/>
  <c r="EM256" i="119" s="1"/>
  <c r="EM69" i="119"/>
  <c r="EM271" i="119" s="1"/>
  <c r="DS66" i="2"/>
  <c r="FV66" i="2" s="1"/>
  <c r="DV46" i="1"/>
  <c r="DV67" i="1"/>
  <c r="DV82" i="1"/>
  <c r="DV103" i="1"/>
  <c r="DV124" i="1"/>
  <c r="EP21" i="119"/>
  <c r="EP19" i="119" s="1"/>
  <c r="DV17" i="1"/>
  <c r="AQ23" i="114" s="1"/>
  <c r="HA16" i="1"/>
  <c r="DT51" i="3" l="1"/>
  <c r="DS58" i="3"/>
  <c r="DS11" i="2" s="1"/>
  <c r="HA103" i="1"/>
  <c r="HA46" i="1"/>
  <c r="HA67" i="1"/>
  <c r="DV31" i="2"/>
  <c r="DV68" i="1"/>
  <c r="DV47" i="1"/>
  <c r="DV16" i="2"/>
  <c r="DV125" i="1"/>
  <c r="DV15" i="2"/>
  <c r="DV80" i="2"/>
  <c r="DV104" i="1"/>
  <c r="DV17" i="2"/>
  <c r="DV83" i="1"/>
  <c r="EP20" i="119"/>
  <c r="EP259" i="119" s="1"/>
  <c r="HA17" i="1"/>
  <c r="HA104" i="1" l="1"/>
  <c r="HA68" i="1"/>
  <c r="HA47" i="1"/>
  <c r="I56" i="117"/>
  <c r="DV23" i="3"/>
  <c r="EP59" i="119"/>
  <c r="DV35" i="2"/>
  <c r="DV19" i="3"/>
  <c r="EP44" i="119"/>
  <c r="DV20" i="3"/>
  <c r="DS56" i="2"/>
  <c r="DS59" i="3"/>
  <c r="EM41" i="119"/>
  <c r="EM265" i="119" s="1"/>
  <c r="DS18" i="2"/>
  <c r="DV32" i="3"/>
  <c r="DV82" i="2"/>
  <c r="DS27" i="2" l="1"/>
  <c r="EM45" i="119"/>
  <c r="DS61" i="2"/>
  <c r="GF23" i="3"/>
  <c r="DV35" i="3"/>
  <c r="EP97" i="119"/>
  <c r="GF32" i="3"/>
  <c r="I36" i="117" s="1"/>
  <c r="GF20" i="3"/>
  <c r="DV24" i="3"/>
  <c r="GF19" i="3"/>
  <c r="DS114" i="2"/>
  <c r="DT116" i="2" s="1"/>
  <c r="DT19" i="1" s="1"/>
  <c r="DS58" i="2"/>
  <c r="DW78" i="2"/>
  <c r="DV21" i="2"/>
  <c r="DV44" i="2"/>
  <c r="EP65" i="119" s="1"/>
  <c r="EP60" i="119"/>
  <c r="DV89" i="2" l="1"/>
  <c r="DV87" i="2" s="1"/>
  <c r="EP46" i="119" s="1"/>
  <c r="DV25" i="2"/>
  <c r="EP48" i="119"/>
  <c r="DW79" i="2"/>
  <c r="DW12" i="3" s="1"/>
  <c r="DS59" i="2"/>
  <c r="EM76" i="119"/>
  <c r="EM264" i="119" s="1"/>
  <c r="DT21" i="1"/>
  <c r="EP94" i="119"/>
  <c r="GF24" i="3"/>
  <c r="I37" i="117" s="1"/>
  <c r="EP101" i="119"/>
  <c r="GF35" i="3"/>
  <c r="EM55" i="119"/>
  <c r="DS53" i="2"/>
  <c r="DS67" i="2"/>
  <c r="FV67" i="2" s="1"/>
  <c r="DW16" i="1" l="1"/>
  <c r="EQ93" i="119"/>
  <c r="DW88" i="2"/>
  <c r="DT18" i="1"/>
  <c r="EN24" i="119"/>
  <c r="EN26" i="119" s="1"/>
  <c r="DT23" i="1" l="1"/>
  <c r="EQ47" i="119"/>
  <c r="DW82" i="1"/>
  <c r="DW46" i="1"/>
  <c r="DW103" i="1"/>
  <c r="EQ21" i="119"/>
  <c r="EQ19" i="119" s="1"/>
  <c r="DW67" i="1"/>
  <c r="DW124" i="1"/>
  <c r="DW17" i="1"/>
  <c r="AR23" i="114" s="1"/>
  <c r="DT105" i="1" l="1"/>
  <c r="EN30" i="119"/>
  <c r="EN269" i="119" s="1"/>
  <c r="DT48" i="1"/>
  <c r="DT24" i="1"/>
  <c r="DT126" i="1"/>
  <c r="DT84" i="1"/>
  <c r="DT69" i="1"/>
  <c r="DW80" i="2"/>
  <c r="DW104" i="1"/>
  <c r="DW125" i="1"/>
  <c r="DW83" i="1"/>
  <c r="DW17" i="2"/>
  <c r="EQ20" i="119"/>
  <c r="EQ259" i="119" s="1"/>
  <c r="DW68" i="1"/>
  <c r="DW31" i="2"/>
  <c r="DW15" i="2"/>
  <c r="DW16" i="2"/>
  <c r="DW47" i="1"/>
  <c r="DW32" i="3" l="1"/>
  <c r="DW82" i="2"/>
  <c r="EQ44" i="119"/>
  <c r="DW20" i="3"/>
  <c r="DW19" i="3"/>
  <c r="EN273" i="119"/>
  <c r="DW23" i="3"/>
  <c r="DW35" i="2"/>
  <c r="EQ59" i="119"/>
  <c r="DT26" i="1"/>
  <c r="DW21" i="2" l="1"/>
  <c r="DX78" i="2"/>
  <c r="EQ60" i="119"/>
  <c r="DW44" i="2"/>
  <c r="EQ65" i="119" s="1"/>
  <c r="DT29" i="1"/>
  <c r="EN275" i="119"/>
  <c r="EN277" i="119"/>
  <c r="DT30" i="1"/>
  <c r="DT28" i="1"/>
  <c r="DT127" i="1"/>
  <c r="DT49" i="1"/>
  <c r="DT85" i="1"/>
  <c r="DT70" i="1"/>
  <c r="DT106" i="1"/>
  <c r="DW24" i="3"/>
  <c r="DW35" i="3"/>
  <c r="EQ97" i="119"/>
  <c r="EN280" i="119" l="1"/>
  <c r="EN267" i="119"/>
  <c r="DX79" i="2"/>
  <c r="DX12" i="3" s="1"/>
  <c r="DT51" i="1"/>
  <c r="DT87" i="1"/>
  <c r="DT108" i="1"/>
  <c r="DT129" i="1"/>
  <c r="DT31" i="1"/>
  <c r="DT86" i="1"/>
  <c r="DT128" i="1"/>
  <c r="EN279" i="119"/>
  <c r="DT11" i="3"/>
  <c r="DT71" i="1"/>
  <c r="DT32" i="1"/>
  <c r="DT50" i="1"/>
  <c r="DT107" i="1"/>
  <c r="EQ101" i="119"/>
  <c r="EQ94" i="119"/>
  <c r="DW89" i="2"/>
  <c r="DW87" i="2" s="1"/>
  <c r="EQ46" i="119" s="1"/>
  <c r="EQ48" i="119"/>
  <c r="DW25" i="2"/>
  <c r="DT130" i="1"/>
  <c r="DT88" i="1"/>
  <c r="DT52" i="1"/>
  <c r="EN281" i="119"/>
  <c r="EN260" i="119" s="1"/>
  <c r="DT109" i="1"/>
  <c r="EN282" i="119" l="1"/>
  <c r="EN283" i="119"/>
  <c r="DX16" i="1"/>
  <c r="ER93" i="119"/>
  <c r="DX88" i="2"/>
  <c r="DT54" i="1"/>
  <c r="DT90" i="1"/>
  <c r="DT132" i="1"/>
  <c r="DT111" i="1"/>
  <c r="DT89" i="1"/>
  <c r="DT110" i="1"/>
  <c r="DT131" i="1"/>
  <c r="DT53" i="1"/>
  <c r="EN305" i="119"/>
  <c r="DT25" i="3"/>
  <c r="DT47" i="2"/>
  <c r="DT49" i="2" l="1"/>
  <c r="DX82" i="1"/>
  <c r="DX124" i="1"/>
  <c r="DX46" i="1"/>
  <c r="DX67" i="1"/>
  <c r="ER21" i="119"/>
  <c r="ER19" i="119" s="1"/>
  <c r="DX103" i="1"/>
  <c r="DX17" i="1"/>
  <c r="AS23" i="114" s="1"/>
  <c r="AM23" i="114" s="1"/>
  <c r="DT54" i="3"/>
  <c r="EN96" i="119"/>
  <c r="DT50" i="3"/>
  <c r="ER47" i="119"/>
  <c r="EN108" i="119" l="1"/>
  <c r="DT52" i="3"/>
  <c r="DX16" i="2"/>
  <c r="DX104" i="1"/>
  <c r="DX80" i="2"/>
  <c r="DX17" i="2"/>
  <c r="DX15" i="2"/>
  <c r="DX31" i="2"/>
  <c r="DX47" i="1"/>
  <c r="DX68" i="1"/>
  <c r="ER20" i="119"/>
  <c r="ER259" i="119" s="1"/>
  <c r="DX83" i="1"/>
  <c r="DX125" i="1"/>
  <c r="DT51" i="2"/>
  <c r="EN70" i="119" s="1"/>
  <c r="EN69" i="119"/>
  <c r="EN271" i="119" s="1"/>
  <c r="EN67" i="119"/>
  <c r="EN298" i="119" s="1"/>
  <c r="EN256" i="119" s="1"/>
  <c r="DT66" i="2"/>
  <c r="DT55" i="3"/>
  <c r="DT65" i="3"/>
  <c r="DX32" i="3" l="1"/>
  <c r="DX82" i="2"/>
  <c r="DX23" i="3"/>
  <c r="DX35" i="2"/>
  <c r="ER59" i="119"/>
  <c r="DX19" i="3"/>
  <c r="DU51" i="3"/>
  <c r="DT58" i="3"/>
  <c r="DT11" i="2" s="1"/>
  <c r="ER44" i="119"/>
  <c r="DX20" i="3"/>
  <c r="DT56" i="2" l="1"/>
  <c r="DT59" i="3"/>
  <c r="DT18" i="2"/>
  <c r="EN41" i="119"/>
  <c r="EN265" i="119" s="1"/>
  <c r="ER60" i="119"/>
  <c r="DX44" i="2"/>
  <c r="ER65" i="119" s="1"/>
  <c r="DY78" i="2"/>
  <c r="DX21" i="2"/>
  <c r="DX24" i="3"/>
  <c r="DX35" i="3"/>
  <c r="ER97" i="119"/>
  <c r="ER101" i="119" l="1"/>
  <c r="DX89" i="2"/>
  <c r="DX87" i="2" s="1"/>
  <c r="ER46" i="119" s="1"/>
  <c r="ER48" i="119"/>
  <c r="DX25" i="2"/>
  <c r="DY79" i="2"/>
  <c r="DY12" i="3" s="1"/>
  <c r="DT27" i="2"/>
  <c r="DT61" i="2"/>
  <c r="EN45" i="119"/>
  <c r="ER94" i="119"/>
  <c r="DT114" i="2"/>
  <c r="DU116" i="2" s="1"/>
  <c r="DU19" i="1" s="1"/>
  <c r="DT58" i="2"/>
  <c r="B8" i="114" s="1"/>
  <c r="I9" i="117" l="1"/>
  <c r="AM38" i="114"/>
  <c r="B9" i="114"/>
  <c r="EN76" i="119"/>
  <c r="EN264" i="119" s="1"/>
  <c r="DT59" i="2"/>
  <c r="DT53" i="2"/>
  <c r="EN55" i="119"/>
  <c r="DT67" i="2"/>
  <c r="DU21" i="1"/>
  <c r="FQ19" i="1"/>
  <c r="DY16" i="1"/>
  <c r="ES93" i="119"/>
  <c r="FS12" i="3"/>
  <c r="AG93" i="119" s="1"/>
  <c r="DY88" i="2"/>
  <c r="M33" i="114" l="1"/>
  <c r="AF33" i="114"/>
  <c r="AG33" i="114"/>
  <c r="Z33" i="114"/>
  <c r="S33" i="114"/>
  <c r="AB33" i="114"/>
  <c r="L33" i="114"/>
  <c r="I33" i="114"/>
  <c r="U33" i="114"/>
  <c r="Q33" i="114"/>
  <c r="Y33" i="114"/>
  <c r="N33" i="114"/>
  <c r="R33" i="114"/>
  <c r="J33" i="114"/>
  <c r="V33" i="114"/>
  <c r="F33" i="114"/>
  <c r="T33" i="114"/>
  <c r="E33" i="114"/>
  <c r="AH33" i="114"/>
  <c r="AA33" i="114"/>
  <c r="AC33" i="114"/>
  <c r="AD33" i="114"/>
  <c r="O33" i="114"/>
  <c r="X33" i="114"/>
  <c r="H33" i="114"/>
  <c r="P33" i="114"/>
  <c r="W33" i="114"/>
  <c r="C33" i="114"/>
  <c r="AE33" i="114"/>
  <c r="D33" i="114"/>
  <c r="G33" i="114"/>
  <c r="K33" i="114"/>
  <c r="AM33" i="114"/>
  <c r="DY103" i="1"/>
  <c r="DY67" i="1"/>
  <c r="DY82" i="1"/>
  <c r="DY124" i="1"/>
  <c r="DY46" i="1"/>
  <c r="ES21" i="119"/>
  <c r="ES19" i="119" s="1"/>
  <c r="DY17" i="1"/>
  <c r="FR16" i="1"/>
  <c r="ES47" i="119"/>
  <c r="FS88" i="2"/>
  <c r="AG47" i="119" s="1"/>
  <c r="DU18" i="1"/>
  <c r="O21" i="118" s="1"/>
  <c r="EO24" i="119"/>
  <c r="EO26" i="119" s="1"/>
  <c r="FQ21" i="1"/>
  <c r="AF24" i="119" s="1"/>
  <c r="AF26" i="119" s="1"/>
  <c r="FR103" i="1" l="1"/>
  <c r="AG21" i="119"/>
  <c r="AG19" i="119" s="1"/>
  <c r="FR46" i="1"/>
  <c r="FR67" i="1"/>
  <c r="FR17" i="1"/>
  <c r="DU23" i="1"/>
  <c r="O22" i="118" s="1"/>
  <c r="FQ18" i="1"/>
  <c r="DY47" i="1"/>
  <c r="DY104" i="1"/>
  <c r="DY31" i="2"/>
  <c r="DY17" i="2"/>
  <c r="DY15" i="2"/>
  <c r="FS15" i="2" s="1"/>
  <c r="ES20" i="119"/>
  <c r="ES259" i="119" s="1"/>
  <c r="DY125" i="1"/>
  <c r="DY80" i="2"/>
  <c r="DY16" i="2"/>
  <c r="DY83" i="1"/>
  <c r="DY68" i="1"/>
  <c r="FS17" i="2" l="1"/>
  <c r="ES44" i="119"/>
  <c r="DY20" i="3"/>
  <c r="FS16" i="2"/>
  <c r="FS73" i="2" s="1"/>
  <c r="DY19" i="3"/>
  <c r="FR47" i="1"/>
  <c r="V20" i="116"/>
  <c r="AI23" i="114"/>
  <c r="AG20" i="119"/>
  <c r="AG259" i="119" s="1"/>
  <c r="FR104" i="1"/>
  <c r="FR68" i="1"/>
  <c r="FS31" i="2"/>
  <c r="ES59" i="119"/>
  <c r="DY35" i="2"/>
  <c r="DY23" i="3"/>
  <c r="DY32" i="3"/>
  <c r="DY82" i="2"/>
  <c r="G21" i="118"/>
  <c r="G22" i="118" s="1"/>
  <c r="R11" i="116"/>
  <c r="FQ23" i="1"/>
  <c r="FS72" i="2"/>
  <c r="EO30" i="119"/>
  <c r="EO269" i="119" s="1"/>
  <c r="DU84" i="1"/>
  <c r="DU24" i="1"/>
  <c r="DU26" i="1" s="1"/>
  <c r="O24" i="118" s="1"/>
  <c r="DU105" i="1"/>
  <c r="DU126" i="1"/>
  <c r="DU48" i="1"/>
  <c r="DU69" i="1"/>
  <c r="FS23" i="3" l="1"/>
  <c r="FS20" i="3"/>
  <c r="DU85" i="1"/>
  <c r="EO275" i="119"/>
  <c r="EO277" i="119"/>
  <c r="DU70" i="1"/>
  <c r="DU49" i="1"/>
  <c r="DU29" i="1"/>
  <c r="DU127" i="1"/>
  <c r="DU30" i="1"/>
  <c r="DU28" i="1"/>
  <c r="DU106" i="1"/>
  <c r="ES60" i="119"/>
  <c r="DY44" i="2"/>
  <c r="G46" i="118"/>
  <c r="G24" i="118"/>
  <c r="FS35" i="2"/>
  <c r="AG60" i="119" s="1"/>
  <c r="AG59" i="119"/>
  <c r="FS75" i="2"/>
  <c r="ES97" i="119"/>
  <c r="DY35" i="3"/>
  <c r="FS32" i="3"/>
  <c r="R12" i="116"/>
  <c r="FQ48" i="1"/>
  <c r="FQ105" i="1"/>
  <c r="AF30" i="119"/>
  <c r="AF269" i="119" s="1"/>
  <c r="FQ69" i="1"/>
  <c r="AI24" i="114"/>
  <c r="AI25" i="114"/>
  <c r="AI33" i="114"/>
  <c r="AH71" i="116"/>
  <c r="T11" i="116"/>
  <c r="U11" i="116" s="1"/>
  <c r="X20" i="116"/>
  <c r="Y20" i="116" s="1"/>
  <c r="AI20" i="116"/>
  <c r="EO273" i="119"/>
  <c r="FQ24" i="1"/>
  <c r="FQ26" i="1" s="1"/>
  <c r="DY21" i="2"/>
  <c r="DZ78" i="2"/>
  <c r="DY24" i="3"/>
  <c r="FS19" i="3"/>
  <c r="FS24" i="3" s="1"/>
  <c r="AG94" i="119" s="1"/>
  <c r="AG44" i="119"/>
  <c r="FS74" i="2"/>
  <c r="O26" i="118" l="1"/>
  <c r="AP15" i="114"/>
  <c r="DU87" i="1"/>
  <c r="DU51" i="1"/>
  <c r="DU129" i="1"/>
  <c r="DU108" i="1"/>
  <c r="DZ79" i="2"/>
  <c r="DZ12" i="3" s="1"/>
  <c r="R14" i="116"/>
  <c r="T14" i="116" s="1"/>
  <c r="U14" i="116" s="1"/>
  <c r="FQ70" i="1"/>
  <c r="FQ28" i="1"/>
  <c r="FQ49" i="1"/>
  <c r="FQ29" i="1"/>
  <c r="AF275" i="119"/>
  <c r="FQ106" i="1"/>
  <c r="FQ30" i="1"/>
  <c r="AF277" i="119"/>
  <c r="AF267" i="119" s="1"/>
  <c r="AG97" i="119"/>
  <c r="FS35" i="3"/>
  <c r="AG101" i="119" s="1"/>
  <c r="G36" i="118"/>
  <c r="G47" i="118"/>
  <c r="G26" i="118"/>
  <c r="G38" i="118" s="1"/>
  <c r="DU31" i="1"/>
  <c r="DU32" i="1"/>
  <c r="AP19" i="114" s="1"/>
  <c r="DU107" i="1"/>
  <c r="EO279" i="119"/>
  <c r="DU71" i="1"/>
  <c r="DU11" i="3"/>
  <c r="DU86" i="1"/>
  <c r="DU128" i="1"/>
  <c r="DU50" i="1"/>
  <c r="FS44" i="2"/>
  <c r="AG65" i="119" s="1"/>
  <c r="ES65" i="119"/>
  <c r="ES94" i="119"/>
  <c r="T12" i="116"/>
  <c r="U12" i="116" s="1"/>
  <c r="AH72" i="116"/>
  <c r="DY25" i="2"/>
  <c r="FS25" i="2" s="1"/>
  <c r="DY89" i="2"/>
  <c r="FS21" i="2"/>
  <c r="AG48" i="119" s="1"/>
  <c r="AG46" i="119" s="1"/>
  <c r="ES48" i="119"/>
  <c r="R13" i="116"/>
  <c r="AF273" i="119"/>
  <c r="FQ25" i="1"/>
  <c r="AF290" i="119" s="1"/>
  <c r="ES101" i="119"/>
  <c r="G117" i="118"/>
  <c r="G94" i="118" s="1"/>
  <c r="G95" i="118" s="1"/>
  <c r="G82" i="118"/>
  <c r="G59" i="118" s="1"/>
  <c r="G60" i="118" s="1"/>
  <c r="DU88" i="1"/>
  <c r="DU109" i="1"/>
  <c r="DU52" i="1"/>
  <c r="EO281" i="119"/>
  <c r="EO260" i="119" s="1"/>
  <c r="DU130" i="1"/>
  <c r="EO280" i="119"/>
  <c r="EO267" i="119"/>
  <c r="ET93" i="119" l="1"/>
  <c r="DZ16" i="1"/>
  <c r="GG12" i="3"/>
  <c r="J35" i="117" s="1"/>
  <c r="DZ88" i="2"/>
  <c r="G72" i="118"/>
  <c r="G62" i="118"/>
  <c r="G74" i="118" s="1"/>
  <c r="T13" i="116"/>
  <c r="U13" i="116" s="1"/>
  <c r="AH73" i="116"/>
  <c r="FQ51" i="1"/>
  <c r="AF280" i="119"/>
  <c r="FQ108" i="1"/>
  <c r="G97" i="118"/>
  <c r="G109" i="118" s="1"/>
  <c r="G107" i="118"/>
  <c r="DU53" i="1"/>
  <c r="DU110" i="1"/>
  <c r="DU131" i="1"/>
  <c r="DU89" i="1"/>
  <c r="FQ32" i="1"/>
  <c r="FQ71" i="1"/>
  <c r="FQ31" i="1"/>
  <c r="R15" i="116"/>
  <c r="FQ107" i="1"/>
  <c r="AF279" i="119"/>
  <c r="FQ50" i="1"/>
  <c r="DY87" i="2"/>
  <c r="FS89" i="2"/>
  <c r="DU25" i="3"/>
  <c r="EO305" i="119"/>
  <c r="FR11" i="3"/>
  <c r="DU47" i="2"/>
  <c r="AH15" i="114"/>
  <c r="AF281" i="119"/>
  <c r="AF260" i="119" s="1"/>
  <c r="FQ52" i="1"/>
  <c r="R16" i="116"/>
  <c r="FQ109" i="1"/>
  <c r="EO283" i="119"/>
  <c r="EO282" i="119"/>
  <c r="DU132" i="1"/>
  <c r="DU54" i="1"/>
  <c r="DU111" i="1"/>
  <c r="DU90" i="1"/>
  <c r="DU54" i="3" l="1"/>
  <c r="DU50" i="3"/>
  <c r="EO96" i="119"/>
  <c r="AH16" i="114"/>
  <c r="AH17" i="114"/>
  <c r="AH31" i="114"/>
  <c r="AH75" i="116"/>
  <c r="T15" i="116"/>
  <c r="U15" i="116" s="1"/>
  <c r="AH15" i="116"/>
  <c r="ET47" i="119"/>
  <c r="ES46" i="119"/>
  <c r="FS87" i="2"/>
  <c r="FQ53" i="1"/>
  <c r="FQ110" i="1"/>
  <c r="AF282" i="119"/>
  <c r="FR47" i="2"/>
  <c r="DU49" i="2"/>
  <c r="DZ103" i="1"/>
  <c r="ET21" i="119"/>
  <c r="ET19" i="119" s="1"/>
  <c r="DZ124" i="1"/>
  <c r="DZ82" i="1"/>
  <c r="DZ67" i="1"/>
  <c r="DZ46" i="1"/>
  <c r="DZ17" i="1"/>
  <c r="HB16" i="1"/>
  <c r="FR25" i="3"/>
  <c r="AF305" i="119"/>
  <c r="AH16" i="116"/>
  <c r="T16" i="116"/>
  <c r="U16" i="116" s="1"/>
  <c r="R17" i="116"/>
  <c r="AF283" i="119"/>
  <c r="AH19" i="114"/>
  <c r="FQ111" i="1"/>
  <c r="FQ54" i="1"/>
  <c r="HB46" i="1" l="1"/>
  <c r="HB67" i="1"/>
  <c r="HB103" i="1"/>
  <c r="T17" i="116"/>
  <c r="U17" i="116" s="1"/>
  <c r="AH17" i="116"/>
  <c r="AH76" i="116"/>
  <c r="DZ15" i="2"/>
  <c r="DZ17" i="2"/>
  <c r="DZ47" i="1"/>
  <c r="DZ83" i="1"/>
  <c r="DZ16" i="2"/>
  <c r="DZ80" i="2"/>
  <c r="DZ31" i="2"/>
  <c r="DZ104" i="1"/>
  <c r="DZ125" i="1"/>
  <c r="ET20" i="119"/>
  <c r="ET259" i="119" s="1"/>
  <c r="DZ68" i="1"/>
  <c r="HB17" i="1"/>
  <c r="DU51" i="2"/>
  <c r="EO69" i="119"/>
  <c r="EO271" i="119" s="1"/>
  <c r="FR49" i="2"/>
  <c r="EO67" i="119"/>
  <c r="EO298" i="119" s="1"/>
  <c r="EO256" i="119" s="1"/>
  <c r="DU66" i="2"/>
  <c r="DU52" i="3"/>
  <c r="EO108" i="119"/>
  <c r="AH21" i="114"/>
  <c r="AH32" i="114"/>
  <c r="AH20" i="114"/>
  <c r="FR54" i="3"/>
  <c r="AF96" i="119"/>
  <c r="FR50" i="3"/>
  <c r="DU55" i="3"/>
  <c r="DU65" i="3"/>
  <c r="AP27" i="114" l="1"/>
  <c r="HB68" i="1"/>
  <c r="HB104" i="1"/>
  <c r="HB47" i="1"/>
  <c r="J56" i="117"/>
  <c r="DZ19" i="3"/>
  <c r="AF67" i="119"/>
  <c r="AF298" i="119" s="1"/>
  <c r="AF256" i="119" s="1"/>
  <c r="AF69" i="119"/>
  <c r="AF271" i="119" s="1"/>
  <c r="DZ32" i="3"/>
  <c r="DZ82" i="2"/>
  <c r="AF108" i="119"/>
  <c r="FR52" i="3"/>
  <c r="ET44" i="119"/>
  <c r="DZ20" i="3"/>
  <c r="FR65" i="3"/>
  <c r="FR55" i="3"/>
  <c r="AH27" i="114" s="1"/>
  <c r="DU58" i="3"/>
  <c r="DU11" i="2" s="1"/>
  <c r="DV51" i="3"/>
  <c r="FR51" i="2"/>
  <c r="AF70" i="119" s="1"/>
  <c r="EO70" i="119"/>
  <c r="DZ23" i="3"/>
  <c r="ET59" i="119"/>
  <c r="DZ35" i="2"/>
  <c r="EA78" i="2" l="1"/>
  <c r="DZ21" i="2"/>
  <c r="DZ44" i="2"/>
  <c r="ET65" i="119" s="1"/>
  <c r="ET60" i="119"/>
  <c r="DZ24" i="3"/>
  <c r="GG19" i="3"/>
  <c r="AH29" i="114"/>
  <c r="AH28" i="114"/>
  <c r="AH34" i="114"/>
  <c r="FR58" i="3"/>
  <c r="FS51" i="3"/>
  <c r="GG20" i="3"/>
  <c r="DZ35" i="3"/>
  <c r="ET97" i="119"/>
  <c r="GG32" i="3"/>
  <c r="J36" i="117" s="1"/>
  <c r="DU18" i="2"/>
  <c r="EO41" i="119"/>
  <c r="EO265" i="119" s="1"/>
  <c r="DU56" i="2"/>
  <c r="FR11" i="2"/>
  <c r="DU59" i="3"/>
  <c r="GG23" i="3"/>
  <c r="ET94" i="119" l="1"/>
  <c r="GG24" i="3"/>
  <c r="J37" i="117" s="1"/>
  <c r="ET101" i="119"/>
  <c r="GG35" i="3"/>
  <c r="DU114" i="2"/>
  <c r="DV116" i="2" s="1"/>
  <c r="DV19" i="1" s="1"/>
  <c r="FR56" i="2"/>
  <c r="DU58" i="2"/>
  <c r="DZ89" i="2"/>
  <c r="DZ87" i="2" s="1"/>
  <c r="ET46" i="119" s="1"/>
  <c r="DZ25" i="2"/>
  <c r="ET48" i="119"/>
  <c r="AF41" i="119"/>
  <c r="AF265" i="119" s="1"/>
  <c r="FR59" i="3"/>
  <c r="FR18" i="2"/>
  <c r="DU27" i="2"/>
  <c r="DU61" i="2"/>
  <c r="EO45" i="119"/>
  <c r="EA79" i="2"/>
  <c r="EA12" i="3" s="1"/>
  <c r="EA16" i="1" l="1"/>
  <c r="EU93" i="119"/>
  <c r="EA88" i="2"/>
  <c r="DV21" i="1"/>
  <c r="HA19" i="1"/>
  <c r="HA21" i="1" s="1"/>
  <c r="HA18" i="1" s="1"/>
  <c r="EO55" i="119"/>
  <c r="DU53" i="2"/>
  <c r="FR27" i="2"/>
  <c r="DU67" i="2"/>
  <c r="AF45" i="119"/>
  <c r="FR61" i="2"/>
  <c r="DU59" i="2"/>
  <c r="FR59" i="2" s="1"/>
  <c r="EO76" i="119"/>
  <c r="EO264" i="119" s="1"/>
  <c r="FR58" i="2"/>
  <c r="AF76" i="119" s="1"/>
  <c r="AF264" i="119" s="1"/>
  <c r="EU47" i="119" l="1"/>
  <c r="EA124" i="1"/>
  <c r="EU21" i="119"/>
  <c r="EU19" i="119" s="1"/>
  <c r="EA82" i="1"/>
  <c r="EA67" i="1"/>
  <c r="EA103" i="1"/>
  <c r="EA46" i="1"/>
  <c r="EA17" i="1"/>
  <c r="AF55" i="119"/>
  <c r="FR53" i="2"/>
  <c r="DV18" i="1"/>
  <c r="P21" i="118" s="1"/>
  <c r="EP24" i="119"/>
  <c r="EP26" i="119" s="1"/>
  <c r="EA15" i="2" l="1"/>
  <c r="EA31" i="2"/>
  <c r="EU20" i="119"/>
  <c r="EU259" i="119" s="1"/>
  <c r="EA16" i="2"/>
  <c r="EA68" i="1"/>
  <c r="EA47" i="1"/>
  <c r="EA83" i="1"/>
  <c r="EA80" i="2"/>
  <c r="EA17" i="2"/>
  <c r="EA104" i="1"/>
  <c r="EA125" i="1"/>
  <c r="DV23" i="1"/>
  <c r="P22" i="118" s="1"/>
  <c r="EA19" i="3" l="1"/>
  <c r="EU44" i="119"/>
  <c r="EA20" i="3"/>
  <c r="DV24" i="1"/>
  <c r="DV26" i="1" s="1"/>
  <c r="P24" i="118" s="1"/>
  <c r="DV126" i="1"/>
  <c r="DV84" i="1"/>
  <c r="EP30" i="119"/>
  <c r="EP269" i="119" s="1"/>
  <c r="DV48" i="1"/>
  <c r="DV105" i="1"/>
  <c r="DV69" i="1"/>
  <c r="HA23" i="1"/>
  <c r="EA32" i="3"/>
  <c r="EA82" i="2"/>
  <c r="EA23" i="3"/>
  <c r="EA35" i="2"/>
  <c r="EU59" i="119"/>
  <c r="EA21" i="2" l="1"/>
  <c r="EB78" i="2"/>
  <c r="DV85" i="1"/>
  <c r="EP277" i="119"/>
  <c r="DV28" i="1"/>
  <c r="DV106" i="1"/>
  <c r="DV29" i="1"/>
  <c r="DV30" i="1"/>
  <c r="DV49" i="1"/>
  <c r="DV127" i="1"/>
  <c r="DV70" i="1"/>
  <c r="EP275" i="119"/>
  <c r="HA26" i="1"/>
  <c r="EP273" i="119"/>
  <c r="HA24" i="1"/>
  <c r="HA25" i="1" s="1"/>
  <c r="EU97" i="119"/>
  <c r="EA35" i="3"/>
  <c r="HA105" i="1"/>
  <c r="HA69" i="1"/>
  <c r="HA48" i="1"/>
  <c r="EA24" i="3"/>
  <c r="EA44" i="2"/>
  <c r="EU65" i="119" s="1"/>
  <c r="EU60" i="119"/>
  <c r="AQ15" i="114" l="1"/>
  <c r="P26" i="118"/>
  <c r="EU101" i="119"/>
  <c r="HA70" i="1"/>
  <c r="HA29" i="1"/>
  <c r="HA106" i="1"/>
  <c r="HA30" i="1"/>
  <c r="HA49" i="1"/>
  <c r="DV88" i="1"/>
  <c r="DV52" i="1"/>
  <c r="EP281" i="119"/>
  <c r="EP260" i="119" s="1"/>
  <c r="DV109" i="1"/>
  <c r="DV130" i="1"/>
  <c r="EB79" i="2"/>
  <c r="EB12" i="3" s="1"/>
  <c r="EU94" i="119"/>
  <c r="EP267" i="119"/>
  <c r="EP280" i="119"/>
  <c r="DV129" i="1"/>
  <c r="DV87" i="1"/>
  <c r="DV51" i="1"/>
  <c r="DV108" i="1"/>
  <c r="DV11" i="3"/>
  <c r="EP279" i="119"/>
  <c r="DV86" i="1"/>
  <c r="DV32" i="1"/>
  <c r="AQ19" i="114" s="1"/>
  <c r="DV71" i="1"/>
  <c r="DV31" i="1"/>
  <c r="DV50" i="1"/>
  <c r="DV107" i="1"/>
  <c r="DV128" i="1"/>
  <c r="HA28" i="1"/>
  <c r="EA89" i="2"/>
  <c r="EA87" i="2" s="1"/>
  <c r="EU46" i="119" s="1"/>
  <c r="EA25" i="2"/>
  <c r="EU48" i="119"/>
  <c r="HA109" i="1" l="1"/>
  <c r="HA52" i="1"/>
  <c r="I63" i="117"/>
  <c r="HA31" i="1"/>
  <c r="HA50" i="1"/>
  <c r="HA32" i="1"/>
  <c r="HA107" i="1"/>
  <c r="HA71" i="1"/>
  <c r="DV132" i="1"/>
  <c r="DV90" i="1"/>
  <c r="DV111" i="1"/>
  <c r="DV54" i="1"/>
  <c r="HA108" i="1"/>
  <c r="HA51" i="1"/>
  <c r="DV131" i="1"/>
  <c r="DV110" i="1"/>
  <c r="DV53" i="1"/>
  <c r="DV89" i="1"/>
  <c r="EP283" i="119"/>
  <c r="EP282" i="119"/>
  <c r="EB16" i="1"/>
  <c r="EV93" i="119"/>
  <c r="EB88" i="2"/>
  <c r="EP305" i="119"/>
  <c r="DV25" i="3"/>
  <c r="GF11" i="3"/>
  <c r="DV47" i="2"/>
  <c r="EV47" i="119" l="1"/>
  <c r="HA53" i="1"/>
  <c r="HA110" i="1"/>
  <c r="EB46" i="1"/>
  <c r="EV21" i="119"/>
  <c r="EV19" i="119" s="1"/>
  <c r="EB103" i="1"/>
  <c r="EB124" i="1"/>
  <c r="EB82" i="1"/>
  <c r="EB67" i="1"/>
  <c r="EB17" i="1"/>
  <c r="HA54" i="1"/>
  <c r="HA111" i="1"/>
  <c r="DV49" i="2"/>
  <c r="EP96" i="119"/>
  <c r="DV50" i="3"/>
  <c r="DV54" i="3"/>
  <c r="GF25" i="3"/>
  <c r="GF54" i="3" s="1"/>
  <c r="GF55" i="3" s="1"/>
  <c r="I59" i="117" s="1"/>
  <c r="EB16" i="2" l="1"/>
  <c r="EB80" i="2"/>
  <c r="EV20" i="119"/>
  <c r="EV259" i="119" s="1"/>
  <c r="EB31" i="2"/>
  <c r="EB47" i="1"/>
  <c r="EB125" i="1"/>
  <c r="EB104" i="1"/>
  <c r="EB15" i="2"/>
  <c r="EB17" i="2"/>
  <c r="EB83" i="1"/>
  <c r="EB68" i="1"/>
  <c r="EP108" i="119"/>
  <c r="DV52" i="3"/>
  <c r="GF50" i="3"/>
  <c r="GF52" i="3" s="1"/>
  <c r="EP67" i="119"/>
  <c r="EP298" i="119" s="1"/>
  <c r="EP256" i="119" s="1"/>
  <c r="DV51" i="2"/>
  <c r="EP70" i="119" s="1"/>
  <c r="EP69" i="119"/>
  <c r="EP271" i="119" s="1"/>
  <c r="DV66" i="2"/>
  <c r="DV65" i="3"/>
  <c r="DV55" i="3"/>
  <c r="AQ27" i="114" l="1"/>
  <c r="EB23" i="3"/>
  <c r="EB35" i="2"/>
  <c r="EV59" i="119"/>
  <c r="EB32" i="3"/>
  <c r="EB82" i="2"/>
  <c r="EV44" i="119"/>
  <c r="EB20" i="3"/>
  <c r="DW51" i="3"/>
  <c r="GG51" i="3" s="1"/>
  <c r="DV58" i="3"/>
  <c r="DV11" i="2" s="1"/>
  <c r="EB19" i="3"/>
  <c r="DV56" i="2" l="1"/>
  <c r="DV18" i="2"/>
  <c r="EP41" i="119"/>
  <c r="EP265" i="119" s="1"/>
  <c r="DV59" i="3"/>
  <c r="EB44" i="2"/>
  <c r="EV65" i="119" s="1"/>
  <c r="EV60" i="119"/>
  <c r="EC78" i="2"/>
  <c r="EB21" i="2"/>
  <c r="EB35" i="3"/>
  <c r="EV97" i="119"/>
  <c r="EB24" i="3"/>
  <c r="EV94" i="119" l="1"/>
  <c r="EB89" i="2"/>
  <c r="EB87" i="2" s="1"/>
  <c r="EV46" i="119" s="1"/>
  <c r="EV48" i="119"/>
  <c r="EB25" i="2"/>
  <c r="DV27" i="2"/>
  <c r="EP45" i="119"/>
  <c r="DV61" i="2"/>
  <c r="EV101" i="119"/>
  <c r="EC79" i="2"/>
  <c r="EC12" i="3" s="1"/>
  <c r="DV58" i="2"/>
  <c r="DV114" i="2"/>
  <c r="DW116" i="2" s="1"/>
  <c r="DW19" i="1" s="1"/>
  <c r="DW21" i="1" l="1"/>
  <c r="DV53" i="2"/>
  <c r="EP55" i="119"/>
  <c r="DV67" i="2"/>
  <c r="EC16" i="1"/>
  <c r="EW93" i="119"/>
  <c r="FT12" i="3"/>
  <c r="AH93" i="119" s="1"/>
  <c r="EC88" i="2"/>
  <c r="EP76" i="119"/>
  <c r="EP264" i="119" s="1"/>
  <c r="DV59" i="2"/>
  <c r="EW47" i="119" l="1"/>
  <c r="FT88" i="2"/>
  <c r="AH47" i="119" s="1"/>
  <c r="EC82" i="1"/>
  <c r="EC124" i="1"/>
  <c r="EC67" i="1"/>
  <c r="EC46" i="1"/>
  <c r="EC103" i="1"/>
  <c r="EW21" i="119"/>
  <c r="EW19" i="119" s="1"/>
  <c r="EC17" i="1"/>
  <c r="FS16" i="1"/>
  <c r="DW18" i="1"/>
  <c r="Q21" i="118" s="1"/>
  <c r="EQ24" i="119"/>
  <c r="EQ26" i="119" s="1"/>
  <c r="FS103" i="1" l="1"/>
  <c r="AH21" i="119"/>
  <c r="AH19" i="119" s="1"/>
  <c r="FS46" i="1"/>
  <c r="FS67" i="1"/>
  <c r="FS17" i="1"/>
  <c r="EC104" i="1"/>
  <c r="EC15" i="2"/>
  <c r="FT15" i="2" s="1"/>
  <c r="EC31" i="2"/>
  <c r="EW20" i="119"/>
  <c r="EW259" i="119" s="1"/>
  <c r="EC17" i="2"/>
  <c r="EC47" i="1"/>
  <c r="EC80" i="2"/>
  <c r="EC68" i="1"/>
  <c r="EC16" i="2"/>
  <c r="EC83" i="1"/>
  <c r="EC125" i="1"/>
  <c r="DW23" i="1"/>
  <c r="Q22" i="118" s="1"/>
  <c r="AJ23" i="114" l="1"/>
  <c r="FS47" i="1"/>
  <c r="FS68" i="1"/>
  <c r="FS104" i="1"/>
  <c r="AH20" i="119"/>
  <c r="AH259" i="119" s="1"/>
  <c r="EC32" i="3"/>
  <c r="EC82" i="2"/>
  <c r="FT17" i="2"/>
  <c r="EW44" i="119"/>
  <c r="EC20" i="3"/>
  <c r="FT16" i="2"/>
  <c r="FT73" i="2" s="1"/>
  <c r="EC19" i="3"/>
  <c r="EC35" i="2"/>
  <c r="EC23" i="3"/>
  <c r="EW59" i="119"/>
  <c r="FT31" i="2"/>
  <c r="DW126" i="1"/>
  <c r="DW105" i="1"/>
  <c r="DW69" i="1"/>
  <c r="DW48" i="1"/>
  <c r="EQ30" i="119"/>
  <c r="EQ269" i="119" s="1"/>
  <c r="DW24" i="1"/>
  <c r="DW84" i="1"/>
  <c r="FT72" i="2"/>
  <c r="EC35" i="3" l="1"/>
  <c r="EW97" i="119"/>
  <c r="FT32" i="3"/>
  <c r="FT23" i="3"/>
  <c r="EQ273" i="119"/>
  <c r="DW26" i="1"/>
  <c r="Q24" i="118" s="1"/>
  <c r="EW60" i="119"/>
  <c r="EC44" i="2"/>
  <c r="AH44" i="119"/>
  <c r="FT74" i="2"/>
  <c r="EC24" i="3"/>
  <c r="FT19" i="3"/>
  <c r="EC21" i="2"/>
  <c r="ED78" i="2"/>
  <c r="AJ25" i="114"/>
  <c r="AJ24" i="114"/>
  <c r="AJ33" i="114"/>
  <c r="FT75" i="2"/>
  <c r="AH59" i="119"/>
  <c r="FT35" i="2"/>
  <c r="AH60" i="119" s="1"/>
  <c r="FT20" i="3"/>
  <c r="FT21" i="2" l="1"/>
  <c r="AH48" i="119" s="1"/>
  <c r="AH46" i="119" s="1"/>
  <c r="EC25" i="2"/>
  <c r="FT25" i="2" s="1"/>
  <c r="EW48" i="119"/>
  <c r="EC89" i="2"/>
  <c r="EW65" i="119"/>
  <c r="FT44" i="2"/>
  <c r="AH65" i="119" s="1"/>
  <c r="FT24" i="3"/>
  <c r="AH94" i="119" s="1"/>
  <c r="DW70" i="1"/>
  <c r="EQ277" i="119"/>
  <c r="DW127" i="1"/>
  <c r="DW29" i="1"/>
  <c r="DW106" i="1"/>
  <c r="DW28" i="1"/>
  <c r="DW85" i="1"/>
  <c r="DW30" i="1"/>
  <c r="EQ275" i="119"/>
  <c r="DW49" i="1"/>
  <c r="EW94" i="119"/>
  <c r="FT35" i="3"/>
  <c r="AH101" i="119" s="1"/>
  <c r="AH97" i="119"/>
  <c r="ED79" i="2"/>
  <c r="ED12" i="3" s="1"/>
  <c r="EW101" i="119"/>
  <c r="AR15" i="114" l="1"/>
  <c r="Q26" i="118"/>
  <c r="ED16" i="1"/>
  <c r="EX93" i="119"/>
  <c r="GH12" i="3"/>
  <c r="K35" i="117" s="1"/>
  <c r="ED88" i="2"/>
  <c r="DW87" i="1"/>
  <c r="DW108" i="1"/>
  <c r="DW129" i="1"/>
  <c r="DW51" i="1"/>
  <c r="DW130" i="1"/>
  <c r="DW52" i="1"/>
  <c r="EQ281" i="119"/>
  <c r="EQ260" i="119" s="1"/>
  <c r="DW88" i="1"/>
  <c r="DW109" i="1"/>
  <c r="EQ280" i="119"/>
  <c r="EQ267" i="119"/>
  <c r="EC87" i="2"/>
  <c r="FT89" i="2"/>
  <c r="DW32" i="1"/>
  <c r="AR19" i="114" s="1"/>
  <c r="DW71" i="1"/>
  <c r="EQ279" i="119"/>
  <c r="DW107" i="1"/>
  <c r="DW128" i="1"/>
  <c r="DW31" i="1"/>
  <c r="DW11" i="3"/>
  <c r="DW86" i="1"/>
  <c r="DW50" i="1"/>
  <c r="EQ283" i="119" l="1"/>
  <c r="EQ282" i="119"/>
  <c r="EX47" i="119"/>
  <c r="DW25" i="3"/>
  <c r="EQ305" i="119"/>
  <c r="DW47" i="2"/>
  <c r="DW111" i="1"/>
  <c r="DW54" i="1"/>
  <c r="DW90" i="1"/>
  <c r="DW132" i="1"/>
  <c r="DW89" i="1"/>
  <c r="DW53" i="1"/>
  <c r="DW131" i="1"/>
  <c r="DW110" i="1"/>
  <c r="ED67" i="1"/>
  <c r="ED82" i="1"/>
  <c r="ED124" i="1"/>
  <c r="ED46" i="1"/>
  <c r="ED103" i="1"/>
  <c r="EX21" i="119"/>
  <c r="EX19" i="119" s="1"/>
  <c r="ED17" i="1"/>
  <c r="HC16" i="1"/>
  <c r="FT87" i="2"/>
  <c r="EW46" i="119"/>
  <c r="ED16" i="2" l="1"/>
  <c r="ED125" i="1"/>
  <c r="ED31" i="2"/>
  <c r="ED83" i="1"/>
  <c r="ED80" i="2"/>
  <c r="ED104" i="1"/>
  <c r="EX20" i="119"/>
  <c r="EX259" i="119" s="1"/>
  <c r="ED15" i="2"/>
  <c r="ED47" i="1"/>
  <c r="ED17" i="2"/>
  <c r="ED68" i="1"/>
  <c r="HC17" i="1"/>
  <c r="DW49" i="2"/>
  <c r="HC103" i="1"/>
  <c r="HC67" i="1"/>
  <c r="HC46" i="1"/>
  <c r="DW54" i="3"/>
  <c r="DW50" i="3"/>
  <c r="EQ96" i="119"/>
  <c r="DW55" i="3" l="1"/>
  <c r="DW65" i="3"/>
  <c r="ED35" i="2"/>
  <c r="EX59" i="119"/>
  <c r="ED23" i="3"/>
  <c r="HC47" i="1"/>
  <c r="HC104" i="1"/>
  <c r="K56" i="117"/>
  <c r="HC68" i="1"/>
  <c r="ED32" i="3"/>
  <c r="ED82" i="2"/>
  <c r="EX44" i="119"/>
  <c r="ED20" i="3"/>
  <c r="EQ108" i="119"/>
  <c r="DW52" i="3"/>
  <c r="EQ67" i="119"/>
  <c r="EQ298" i="119" s="1"/>
  <c r="EQ256" i="119" s="1"/>
  <c r="EQ69" i="119"/>
  <c r="EQ271" i="119" s="1"/>
  <c r="DW51" i="2"/>
  <c r="EQ70" i="119" s="1"/>
  <c r="DW66" i="2"/>
  <c r="ED19" i="3"/>
  <c r="AR27" i="114" l="1"/>
  <c r="EX60" i="119"/>
  <c r="ED44" i="2"/>
  <c r="EX65" i="119" s="1"/>
  <c r="GH20" i="3"/>
  <c r="GH23" i="3"/>
  <c r="ED24" i="3"/>
  <c r="GH19" i="3"/>
  <c r="EE78" i="2"/>
  <c r="ED21" i="2"/>
  <c r="DX51" i="3"/>
  <c r="DW58" i="3"/>
  <c r="DW11" i="2" s="1"/>
  <c r="ED35" i="3"/>
  <c r="EX97" i="119"/>
  <c r="GH32" i="3"/>
  <c r="K36" i="117" s="1"/>
  <c r="ED89" i="2" l="1"/>
  <c r="ED87" i="2" s="1"/>
  <c r="EX46" i="119" s="1"/>
  <c r="EX48" i="119"/>
  <c r="ED25" i="2"/>
  <c r="EX94" i="119"/>
  <c r="GH24" i="3"/>
  <c r="K37" i="117" s="1"/>
  <c r="EE79" i="2"/>
  <c r="EE12" i="3" s="1"/>
  <c r="EX101" i="119"/>
  <c r="GH35" i="3"/>
  <c r="DW18" i="2"/>
  <c r="DW59" i="3"/>
  <c r="EQ41" i="119"/>
  <c r="EQ265" i="119" s="1"/>
  <c r="DW56" i="2"/>
  <c r="DW61" i="2" l="1"/>
  <c r="EQ45" i="119"/>
  <c r="DW27" i="2"/>
  <c r="DW58" i="2"/>
  <c r="DW114" i="2"/>
  <c r="DX116" i="2" s="1"/>
  <c r="DX19" i="1" s="1"/>
  <c r="EE16" i="1"/>
  <c r="EY93" i="119"/>
  <c r="EE88" i="2"/>
  <c r="DX21" i="1" l="1"/>
  <c r="EY47" i="119"/>
  <c r="EQ76" i="119"/>
  <c r="EQ264" i="119" s="1"/>
  <c r="DW59" i="2"/>
  <c r="EQ55" i="119"/>
  <c r="DW53" i="2"/>
  <c r="DW67" i="2"/>
  <c r="EE67" i="1"/>
  <c r="EY21" i="119"/>
  <c r="EY19" i="119" s="1"/>
  <c r="EE103" i="1"/>
  <c r="EE124" i="1"/>
  <c r="EE46" i="1"/>
  <c r="EE82" i="1"/>
  <c r="EE17" i="1"/>
  <c r="EE17" i="2" l="1"/>
  <c r="EE80" i="2"/>
  <c r="EE31" i="2"/>
  <c r="EE15" i="2"/>
  <c r="EE83" i="1"/>
  <c r="EE104" i="1"/>
  <c r="EY20" i="119"/>
  <c r="EY259" i="119" s="1"/>
  <c r="EE68" i="1"/>
  <c r="EE47" i="1"/>
  <c r="EE16" i="2"/>
  <c r="EE125" i="1"/>
  <c r="DX18" i="1"/>
  <c r="R21" i="118" s="1"/>
  <c r="L21" i="118" s="1"/>
  <c r="L22" i="118" s="1"/>
  <c r="ER24" i="119"/>
  <c r="ER26" i="119" s="1"/>
  <c r="L46" i="118" l="1"/>
  <c r="L24" i="118"/>
  <c r="EE19" i="3"/>
  <c r="EE23" i="3"/>
  <c r="EY59" i="119"/>
  <c r="EE35" i="2"/>
  <c r="EE32" i="3"/>
  <c r="EE82" i="2"/>
  <c r="DX23" i="1"/>
  <c r="R22" i="118" s="1"/>
  <c r="EY44" i="119"/>
  <c r="EE20" i="3"/>
  <c r="V29" i="118" l="1"/>
  <c r="L47" i="118"/>
  <c r="DX69" i="1"/>
  <c r="DX84" i="1"/>
  <c r="ER30" i="119"/>
  <c r="ER269" i="119" s="1"/>
  <c r="DX105" i="1"/>
  <c r="DX126" i="1"/>
  <c r="DX48" i="1"/>
  <c r="DX24" i="1"/>
  <c r="DX26" i="1" s="1"/>
  <c r="R24" i="118" s="1"/>
  <c r="EE24" i="3"/>
  <c r="EE35" i="3"/>
  <c r="EY97" i="119"/>
  <c r="EE44" i="2"/>
  <c r="EY65" i="119" s="1"/>
  <c r="EY60" i="119"/>
  <c r="EF78" i="2"/>
  <c r="EE21" i="2"/>
  <c r="EY101" i="119" l="1"/>
  <c r="EE89" i="2"/>
  <c r="EE87" i="2" s="1"/>
  <c r="EY46" i="119" s="1"/>
  <c r="EE25" i="2"/>
  <c r="EY48" i="119"/>
  <c r="DX70" i="1"/>
  <c r="ER277" i="119"/>
  <c r="DX49" i="1"/>
  <c r="DX127" i="1"/>
  <c r="DX85" i="1"/>
  <c r="DX29" i="1"/>
  <c r="DX28" i="1"/>
  <c r="DX106" i="1"/>
  <c r="DX30" i="1"/>
  <c r="ER275" i="119"/>
  <c r="EF79" i="2"/>
  <c r="EF12" i="3" s="1"/>
  <c r="ER273" i="119"/>
  <c r="EY94" i="119"/>
  <c r="R26" i="118" l="1"/>
  <c r="L26" i="118" s="1"/>
  <c r="V14" i="118" s="1"/>
  <c r="V16" i="118" s="1"/>
  <c r="AS15" i="114"/>
  <c r="AM15" i="114" s="1"/>
  <c r="ER280" i="119"/>
  <c r="ER267" i="119"/>
  <c r="EF16" i="1"/>
  <c r="EZ93" i="119"/>
  <c r="EF88" i="2"/>
  <c r="DX128" i="1"/>
  <c r="DX50" i="1"/>
  <c r="DX31" i="1"/>
  <c r="DX71" i="1"/>
  <c r="DX32" i="1"/>
  <c r="AS19" i="114" s="1"/>
  <c r="AM19" i="114" s="1"/>
  <c r="AM32" i="114" s="1"/>
  <c r="DX86" i="1"/>
  <c r="ER279" i="119"/>
  <c r="DX11" i="3"/>
  <c r="DX107" i="1"/>
  <c r="DX87" i="1"/>
  <c r="DX129" i="1"/>
  <c r="DX108" i="1"/>
  <c r="DX51" i="1"/>
  <c r="DX109" i="1"/>
  <c r="DX130" i="1"/>
  <c r="DX52" i="1"/>
  <c r="DX88" i="1"/>
  <c r="ER281" i="119"/>
  <c r="ER260" i="119" s="1"/>
  <c r="AM41" i="114" l="1"/>
  <c r="AM31" i="114"/>
  <c r="V17" i="118"/>
  <c r="U4" i="118"/>
  <c r="V9" i="118" s="1"/>
  <c r="W9" i="118" s="1"/>
  <c r="DX111" i="1"/>
  <c r="DX90" i="1"/>
  <c r="DX132" i="1"/>
  <c r="DX54" i="1"/>
  <c r="DX89" i="1"/>
  <c r="DX110" i="1"/>
  <c r="DX53" i="1"/>
  <c r="DX131" i="1"/>
  <c r="DX25" i="3"/>
  <c r="ER305" i="119"/>
  <c r="DX47" i="2"/>
  <c r="EF67" i="1"/>
  <c r="EF124" i="1"/>
  <c r="EZ21" i="119"/>
  <c r="EZ19" i="119" s="1"/>
  <c r="EF82" i="1"/>
  <c r="EF103" i="1"/>
  <c r="EF46" i="1"/>
  <c r="EF17" i="1"/>
  <c r="ER283" i="119"/>
  <c r="ER282" i="119"/>
  <c r="EZ47" i="119"/>
  <c r="T36" i="114" l="1"/>
  <c r="Y44" i="114"/>
  <c r="AE36" i="114"/>
  <c r="X44" i="114"/>
  <c r="V44" i="114"/>
  <c r="Q36" i="114"/>
  <c r="X36" i="114"/>
  <c r="M44" i="114"/>
  <c r="S36" i="114"/>
  <c r="T44" i="114"/>
  <c r="AM44" i="114"/>
  <c r="H44" i="114"/>
  <c r="AA44" i="114"/>
  <c r="V36" i="114"/>
  <c r="Y36" i="114"/>
  <c r="W44" i="114"/>
  <c r="AD36" i="114"/>
  <c r="AF36" i="114"/>
  <c r="AF44" i="114"/>
  <c r="O44" i="114"/>
  <c r="Z44" i="114"/>
  <c r="P36" i="114"/>
  <c r="K36" i="114"/>
  <c r="AM39" i="114"/>
  <c r="AM37" i="114" s="1"/>
  <c r="AA36" i="114"/>
  <c r="C36" i="114"/>
  <c r="Z36" i="114"/>
  <c r="I36" i="114"/>
  <c r="AE44" i="114"/>
  <c r="B11" i="114"/>
  <c r="P44" i="114"/>
  <c r="F44" i="114"/>
  <c r="F36" i="114"/>
  <c r="AC44" i="114"/>
  <c r="AH36" i="114"/>
  <c r="H36" i="114"/>
  <c r="AC36" i="114"/>
  <c r="AH44" i="114"/>
  <c r="N44" i="114"/>
  <c r="G44" i="114"/>
  <c r="E44" i="114"/>
  <c r="J36" i="114"/>
  <c r="AB44" i="114"/>
  <c r="AG44" i="114"/>
  <c r="I44" i="114"/>
  <c r="R36" i="114"/>
  <c r="U36" i="114"/>
  <c r="AB36" i="114"/>
  <c r="L44" i="114"/>
  <c r="AG36" i="114"/>
  <c r="U44" i="114"/>
  <c r="M36" i="114"/>
  <c r="L36" i="114"/>
  <c r="D36" i="114"/>
  <c r="O36" i="114"/>
  <c r="S44" i="114"/>
  <c r="R44" i="114"/>
  <c r="AD44" i="114"/>
  <c r="E36" i="114"/>
  <c r="K44" i="114"/>
  <c r="G36" i="114"/>
  <c r="C44" i="114"/>
  <c r="N36" i="114"/>
  <c r="W36" i="114"/>
  <c r="J44" i="114"/>
  <c r="D44" i="114"/>
  <c r="Q44" i="114"/>
  <c r="DX54" i="3"/>
  <c r="ER96" i="119"/>
  <c r="DX50" i="3"/>
  <c r="EF47" i="1"/>
  <c r="EF104" i="1"/>
  <c r="EF16" i="2"/>
  <c r="EF80" i="2"/>
  <c r="EF125" i="1"/>
  <c r="EF17" i="2"/>
  <c r="EF68" i="1"/>
  <c r="EF31" i="2"/>
  <c r="EZ20" i="119"/>
  <c r="EZ259" i="119" s="1"/>
  <c r="EF15" i="2"/>
  <c r="EF83" i="1"/>
  <c r="DX49" i="2"/>
  <c r="B12" i="114" l="1"/>
  <c r="E249" i="119"/>
  <c r="K45" i="114"/>
  <c r="T45" i="114"/>
  <c r="AB45" i="114"/>
  <c r="E45" i="114"/>
  <c r="Z45" i="114"/>
  <c r="AH45" i="114"/>
  <c r="P45" i="114"/>
  <c r="W45" i="114"/>
  <c r="AG45" i="114"/>
  <c r="S45" i="114"/>
  <c r="C45" i="114"/>
  <c r="AM45" i="114"/>
  <c r="L45" i="114"/>
  <c r="J45" i="114"/>
  <c r="O45" i="114"/>
  <c r="H45" i="114"/>
  <c r="AC45" i="114"/>
  <c r="V45" i="114"/>
  <c r="R45" i="114"/>
  <c r="X45" i="114"/>
  <c r="AJ45" i="114"/>
  <c r="Q45" i="114"/>
  <c r="AA45" i="114"/>
  <c r="AE45" i="114"/>
  <c r="AI45" i="114"/>
  <c r="F45" i="114"/>
  <c r="AD45" i="114"/>
  <c r="U45" i="114"/>
  <c r="G45" i="114"/>
  <c r="I45" i="114"/>
  <c r="Y45" i="114"/>
  <c r="M45" i="114"/>
  <c r="D45" i="114"/>
  <c r="N45" i="114"/>
  <c r="AF45" i="114"/>
  <c r="EF23" i="3"/>
  <c r="EZ59" i="119"/>
  <c r="EF35" i="2"/>
  <c r="EZ44" i="119"/>
  <c r="EF20" i="3"/>
  <c r="DX52" i="3"/>
  <c r="ER108" i="119"/>
  <c r="DX51" i="2"/>
  <c r="ER70" i="119" s="1"/>
  <c r="ER67" i="119"/>
  <c r="ER298" i="119" s="1"/>
  <c r="ER256" i="119" s="1"/>
  <c r="ER69" i="119"/>
  <c r="ER271" i="119" s="1"/>
  <c r="DX66" i="2"/>
  <c r="EF32" i="3"/>
  <c r="EF82" i="2"/>
  <c r="EF19" i="3"/>
  <c r="DX55" i="3"/>
  <c r="AS27" i="114" s="1"/>
  <c r="AM27" i="114" s="1"/>
  <c r="AM34" i="114" s="1"/>
  <c r="DX65" i="3"/>
  <c r="EF35" i="3" l="1"/>
  <c r="EZ97" i="119"/>
  <c r="EZ60" i="119"/>
  <c r="EF44" i="2"/>
  <c r="EZ65" i="119" s="1"/>
  <c r="EF24" i="3"/>
  <c r="EF21" i="2"/>
  <c r="EG78" i="2"/>
  <c r="DY51" i="3"/>
  <c r="DX58" i="3"/>
  <c r="DX11" i="2" s="1"/>
  <c r="DX18" i="2" l="1"/>
  <c r="ER41" i="119"/>
  <c r="ER265" i="119" s="1"/>
  <c r="DX59" i="3"/>
  <c r="DX56" i="2"/>
  <c r="EZ94" i="119"/>
  <c r="EZ101" i="119"/>
  <c r="EF25" i="2"/>
  <c r="EZ48" i="119"/>
  <c r="EF89" i="2"/>
  <c r="EF87" i="2" s="1"/>
  <c r="EZ46" i="119" s="1"/>
  <c r="EG79" i="2"/>
  <c r="EG12" i="3" s="1"/>
  <c r="DX58" i="2" l="1"/>
  <c r="DX114" i="2"/>
  <c r="DY116" i="2" s="1"/>
  <c r="DY19" i="1" s="1"/>
  <c r="FA93" i="119"/>
  <c r="EG16" i="1"/>
  <c r="FU12" i="3"/>
  <c r="AI93" i="119" s="1"/>
  <c r="EG88" i="2"/>
  <c r="ER45" i="119"/>
  <c r="DX61" i="2"/>
  <c r="DX27" i="2"/>
  <c r="ER55" i="119" l="1"/>
  <c r="DX53" i="2"/>
  <c r="DX67" i="2"/>
  <c r="FA21" i="119"/>
  <c r="FA19" i="119" s="1"/>
  <c r="EG46" i="1"/>
  <c r="EG124" i="1"/>
  <c r="EG82" i="1"/>
  <c r="EG67" i="1"/>
  <c r="EG103" i="1"/>
  <c r="EG17" i="1"/>
  <c r="FT16" i="1"/>
  <c r="DY21" i="1"/>
  <c r="FR19" i="1"/>
  <c r="FA47" i="119"/>
  <c r="FU88" i="2"/>
  <c r="AI47" i="119" s="1"/>
  <c r="DX59" i="2"/>
  <c r="ER76" i="119"/>
  <c r="ER264" i="119" s="1"/>
  <c r="FT46" i="1" l="1"/>
  <c r="FT67" i="1"/>
  <c r="FT103" i="1"/>
  <c r="AI21" i="119"/>
  <c r="AI19" i="119" s="1"/>
  <c r="FT17" i="1"/>
  <c r="DY18" i="1"/>
  <c r="ES24" i="119"/>
  <c r="ES26" i="119" s="1"/>
  <c r="FR21" i="1"/>
  <c r="AG24" i="119" s="1"/>
  <c r="AG26" i="119" s="1"/>
  <c r="EG68" i="1"/>
  <c r="EG31" i="2"/>
  <c r="EG125" i="1"/>
  <c r="EG47" i="1"/>
  <c r="EG17" i="2"/>
  <c r="EG16" i="2"/>
  <c r="EG83" i="1"/>
  <c r="EG104" i="1"/>
  <c r="EG80" i="2"/>
  <c r="EG15" i="2"/>
  <c r="FU15" i="2" s="1"/>
  <c r="FA20" i="119"/>
  <c r="FA259" i="119" s="1"/>
  <c r="FU72" i="2" l="1"/>
  <c r="EG32" i="3"/>
  <c r="EG82" i="2"/>
  <c r="DY23" i="1"/>
  <c r="FR18" i="1"/>
  <c r="FU31" i="2"/>
  <c r="FA59" i="119"/>
  <c r="EG35" i="2"/>
  <c r="EG23" i="3"/>
  <c r="FU16" i="2"/>
  <c r="FU73" i="2" s="1"/>
  <c r="EG19" i="3"/>
  <c r="AI20" i="119"/>
  <c r="AI259" i="119" s="1"/>
  <c r="AK23" i="114"/>
  <c r="FT47" i="1"/>
  <c r="FT104" i="1"/>
  <c r="FT68" i="1"/>
  <c r="FU17" i="2"/>
  <c r="FA44" i="119"/>
  <c r="EG20" i="3"/>
  <c r="EG24" i="3" l="1"/>
  <c r="FU19" i="3"/>
  <c r="V11" i="116"/>
  <c r="H21" i="118"/>
  <c r="H22" i="118" s="1"/>
  <c r="FR23" i="1"/>
  <c r="ES30" i="119"/>
  <c r="ES269" i="119" s="1"/>
  <c r="DY69" i="1"/>
  <c r="DY84" i="1"/>
  <c r="DY24" i="1"/>
  <c r="DY126" i="1"/>
  <c r="DY105" i="1"/>
  <c r="DY48" i="1"/>
  <c r="FU74" i="2"/>
  <c r="AI44" i="119"/>
  <c r="EG21" i="2"/>
  <c r="EH78" i="2"/>
  <c r="FU75" i="2"/>
  <c r="AI59" i="119"/>
  <c r="FU35" i="2"/>
  <c r="AI60" i="119" s="1"/>
  <c r="FU20" i="3"/>
  <c r="FU23" i="3"/>
  <c r="AK24" i="114"/>
  <c r="AK25" i="114"/>
  <c r="AK33" i="114"/>
  <c r="AK45" i="114"/>
  <c r="EG44" i="2"/>
  <c r="FA60" i="119"/>
  <c r="EG35" i="3"/>
  <c r="FA97" i="119"/>
  <c r="FU32" i="3"/>
  <c r="EG89" i="2" l="1"/>
  <c r="FA48" i="119"/>
  <c r="FU21" i="2"/>
  <c r="AI48" i="119" s="1"/>
  <c r="AI46" i="119" s="1"/>
  <c r="EG25" i="2"/>
  <c r="FU25" i="2" s="1"/>
  <c r="AG30" i="119"/>
  <c r="AG269" i="119" s="1"/>
  <c r="V12" i="116"/>
  <c r="FR48" i="1"/>
  <c r="FR105" i="1"/>
  <c r="FR69" i="1"/>
  <c r="ES273" i="119"/>
  <c r="FR24" i="1"/>
  <c r="FR26" i="1" s="1"/>
  <c r="X11" i="116"/>
  <c r="Y11" i="116" s="1"/>
  <c r="AI71" i="116"/>
  <c r="FA101" i="119"/>
  <c r="FU24" i="3"/>
  <c r="AI94" i="119" s="1"/>
  <c r="H46" i="118"/>
  <c r="H24" i="118"/>
  <c r="DY26" i="1"/>
  <c r="AI97" i="119"/>
  <c r="FU35" i="3"/>
  <c r="AI101" i="119" s="1"/>
  <c r="FU44" i="2"/>
  <c r="AI65" i="119" s="1"/>
  <c r="FA65" i="119"/>
  <c r="EH79" i="2"/>
  <c r="EH12" i="3" s="1"/>
  <c r="FA94" i="119"/>
  <c r="FR70" i="1" l="1"/>
  <c r="FR49" i="1"/>
  <c r="FR29" i="1"/>
  <c r="FR30" i="1"/>
  <c r="V14" i="116"/>
  <c r="X14" i="116" s="1"/>
  <c r="Y14" i="116" s="1"/>
  <c r="FR106" i="1"/>
  <c r="FR28" i="1"/>
  <c r="AG277" i="119"/>
  <c r="AG267" i="119" s="1"/>
  <c r="AG275" i="119"/>
  <c r="X12" i="116"/>
  <c r="Y12" i="116" s="1"/>
  <c r="AI72" i="116"/>
  <c r="DY30" i="1"/>
  <c r="ES277" i="119"/>
  <c r="DY106" i="1"/>
  <c r="DY29" i="1"/>
  <c r="ES275" i="119"/>
  <c r="DY49" i="1"/>
  <c r="DY85" i="1"/>
  <c r="DY28" i="1"/>
  <c r="DY127" i="1"/>
  <c r="DY70" i="1"/>
  <c r="H36" i="118"/>
  <c r="H26" i="118"/>
  <c r="H38" i="118" s="1"/>
  <c r="H47" i="118"/>
  <c r="EH16" i="1"/>
  <c r="FB93" i="119"/>
  <c r="GI12" i="3"/>
  <c r="L35" i="117" s="1"/>
  <c r="EH88" i="2"/>
  <c r="H117" i="118"/>
  <c r="H94" i="118" s="1"/>
  <c r="H95" i="118" s="1"/>
  <c r="H82" i="118"/>
  <c r="H59" i="118" s="1"/>
  <c r="H60" i="118" s="1"/>
  <c r="FR25" i="1"/>
  <c r="AG290" i="119" s="1"/>
  <c r="V13" i="116"/>
  <c r="AG273" i="119"/>
  <c r="FU89" i="2"/>
  <c r="EG87" i="2"/>
  <c r="FR109" i="1" l="1"/>
  <c r="V16" i="116"/>
  <c r="AI15" i="114"/>
  <c r="FR52" i="1"/>
  <c r="AG281" i="119"/>
  <c r="AG260" i="119" s="1"/>
  <c r="H72" i="118"/>
  <c r="H62" i="118"/>
  <c r="H74" i="118" s="1"/>
  <c r="EH46" i="1"/>
  <c r="FB21" i="119"/>
  <c r="FB19" i="119" s="1"/>
  <c r="EH124" i="1"/>
  <c r="EH67" i="1"/>
  <c r="EH103" i="1"/>
  <c r="EH82" i="1"/>
  <c r="EH17" i="1"/>
  <c r="HD16" i="1"/>
  <c r="DY87" i="1"/>
  <c r="DY51" i="1"/>
  <c r="DY108" i="1"/>
  <c r="DY129" i="1"/>
  <c r="FR108" i="1"/>
  <c r="FR51" i="1"/>
  <c r="AG280" i="119"/>
  <c r="DY130" i="1"/>
  <c r="DY52" i="1"/>
  <c r="DY88" i="1"/>
  <c r="DY109" i="1"/>
  <c r="ES281" i="119"/>
  <c r="ES260" i="119" s="1"/>
  <c r="AI73" i="116"/>
  <c r="X13" i="116"/>
  <c r="Y13" i="116" s="1"/>
  <c r="H97" i="118"/>
  <c r="H109" i="118" s="1"/>
  <c r="H107" i="118"/>
  <c r="FU87" i="2"/>
  <c r="FA46" i="119"/>
  <c r="FB47" i="119"/>
  <c r="DY86" i="1"/>
  <c r="DY32" i="1"/>
  <c r="ES279" i="119"/>
  <c r="DY71" i="1"/>
  <c r="DY31" i="1"/>
  <c r="DY107" i="1"/>
  <c r="DY128" i="1"/>
  <c r="DY50" i="1"/>
  <c r="DY11" i="3"/>
  <c r="ES267" i="119"/>
  <c r="ES280" i="119"/>
  <c r="FR50" i="1"/>
  <c r="FR31" i="1"/>
  <c r="FR32" i="1"/>
  <c r="AG279" i="119"/>
  <c r="FR71" i="1"/>
  <c r="V15" i="116"/>
  <c r="FR107" i="1"/>
  <c r="DY110" i="1" l="1"/>
  <c r="DY89" i="1"/>
  <c r="DY131" i="1"/>
  <c r="DY53" i="1"/>
  <c r="AI19" i="114"/>
  <c r="FR111" i="1"/>
  <c r="V17" i="116"/>
  <c r="FR54" i="1"/>
  <c r="AG283" i="119"/>
  <c r="DY25" i="3"/>
  <c r="ES305" i="119"/>
  <c r="FS11" i="3"/>
  <c r="DY47" i="2"/>
  <c r="ES282" i="119"/>
  <c r="ES283" i="119"/>
  <c r="EH17" i="2"/>
  <c r="EH15" i="2"/>
  <c r="FB20" i="119"/>
  <c r="FB259" i="119" s="1"/>
  <c r="EH80" i="2"/>
  <c r="EH47" i="1"/>
  <c r="EH16" i="2"/>
  <c r="EH31" i="2"/>
  <c r="EH104" i="1"/>
  <c r="EH68" i="1"/>
  <c r="EH125" i="1"/>
  <c r="EH83" i="1"/>
  <c r="HD17" i="1"/>
  <c r="AI17" i="114"/>
  <c r="AI31" i="114"/>
  <c r="AI16" i="114"/>
  <c r="AI36" i="114"/>
  <c r="HD67" i="1"/>
  <c r="HD103" i="1"/>
  <c r="HD46" i="1"/>
  <c r="AG282" i="119"/>
  <c r="FR110" i="1"/>
  <c r="FR53" i="1"/>
  <c r="DY90" i="1"/>
  <c r="DY132" i="1"/>
  <c r="DY54" i="1"/>
  <c r="DY111" i="1"/>
  <c r="AI16" i="116"/>
  <c r="X16" i="116"/>
  <c r="Y16" i="116" s="1"/>
  <c r="AI75" i="116"/>
  <c r="AI15" i="116"/>
  <c r="X15" i="116"/>
  <c r="Y15" i="116" s="1"/>
  <c r="FB44" i="119" l="1"/>
  <c r="EH20" i="3"/>
  <c r="HD104" i="1"/>
  <c r="L56" i="117"/>
  <c r="HD47" i="1"/>
  <c r="HD68" i="1"/>
  <c r="ES96" i="119"/>
  <c r="DY54" i="3"/>
  <c r="DY50" i="3"/>
  <c r="AI20" i="114"/>
  <c r="AI32" i="114"/>
  <c r="AI21" i="114"/>
  <c r="AI44" i="114"/>
  <c r="EH32" i="3"/>
  <c r="EH82" i="2"/>
  <c r="DY49" i="2"/>
  <c r="FS47" i="2"/>
  <c r="EH35" i="2"/>
  <c r="EH23" i="3"/>
  <c r="FB59" i="119"/>
  <c r="EH19" i="3"/>
  <c r="AG305" i="119"/>
  <c r="FS25" i="3"/>
  <c r="AI17" i="116"/>
  <c r="AI76" i="116"/>
  <c r="X17" i="116"/>
  <c r="Y17" i="116" s="1"/>
  <c r="Z17" i="116" s="1"/>
  <c r="EI78" i="2" l="1"/>
  <c r="EH21" i="2"/>
  <c r="EH35" i="3"/>
  <c r="FB97" i="119"/>
  <c r="GI32" i="3"/>
  <c r="L36" i="117" s="1"/>
  <c r="DY52" i="3"/>
  <c r="ES108" i="119"/>
  <c r="EH44" i="2"/>
  <c r="FB65" i="119" s="1"/>
  <c r="FB60" i="119"/>
  <c r="DY65" i="3"/>
  <c r="DY55" i="3"/>
  <c r="GI20" i="3"/>
  <c r="GI23" i="3"/>
  <c r="FS50" i="3"/>
  <c r="AG96" i="119"/>
  <c r="FS54" i="3"/>
  <c r="EH24" i="3"/>
  <c r="GI19" i="3"/>
  <c r="ES69" i="119"/>
  <c r="ES271" i="119" s="1"/>
  <c r="DY51" i="2"/>
  <c r="FS49" i="2"/>
  <c r="ES67" i="119"/>
  <c r="ES298" i="119" s="1"/>
  <c r="ES256" i="119" s="1"/>
  <c r="DY66" i="2"/>
  <c r="FB94" i="119" l="1"/>
  <c r="GI24" i="3"/>
  <c r="L37" i="117" s="1"/>
  <c r="ES70" i="119"/>
  <c r="FS51" i="2"/>
  <c r="AG70" i="119" s="1"/>
  <c r="FS65" i="3"/>
  <c r="FS55" i="3"/>
  <c r="AI27" i="114" s="1"/>
  <c r="EH89" i="2"/>
  <c r="EH87" i="2" s="1"/>
  <c r="FB46" i="119" s="1"/>
  <c r="EH25" i="2"/>
  <c r="FB48" i="119"/>
  <c r="FS52" i="3"/>
  <c r="AG108" i="119"/>
  <c r="AG69" i="119"/>
  <c r="AG271" i="119" s="1"/>
  <c r="AG67" i="119"/>
  <c r="AG298" i="119" s="1"/>
  <c r="AG256" i="119" s="1"/>
  <c r="FB101" i="119"/>
  <c r="GI35" i="3"/>
  <c r="DZ51" i="3"/>
  <c r="DY58" i="3"/>
  <c r="DY11" i="2" s="1"/>
  <c r="EI79" i="2"/>
  <c r="EI12" i="3" s="1"/>
  <c r="EI16" i="1" l="1"/>
  <c r="FC93" i="119"/>
  <c r="EI88" i="2"/>
  <c r="AI34" i="114"/>
  <c r="AI29" i="114"/>
  <c r="AI28" i="114"/>
  <c r="DY56" i="2"/>
  <c r="ES41" i="119"/>
  <c r="ES265" i="119" s="1"/>
  <c r="FS11" i="2"/>
  <c r="DY59" i="3"/>
  <c r="DY18" i="2"/>
  <c r="FT51" i="3"/>
  <c r="FS58" i="3"/>
  <c r="AG41" i="119" l="1"/>
  <c r="AG265" i="119" s="1"/>
  <c r="FS59" i="3"/>
  <c r="FC47" i="119"/>
  <c r="FS56" i="2"/>
  <c r="DY58" i="2"/>
  <c r="DY114" i="2"/>
  <c r="DZ116" i="2" s="1"/>
  <c r="DZ19" i="1" s="1"/>
  <c r="DY27" i="2"/>
  <c r="ES45" i="119"/>
  <c r="FS18" i="2"/>
  <c r="DY61" i="2"/>
  <c r="FC21" i="119"/>
  <c r="FC19" i="119" s="1"/>
  <c r="EI124" i="1"/>
  <c r="EI82" i="1"/>
  <c r="EI103" i="1"/>
  <c r="EI67" i="1"/>
  <c r="EI46" i="1"/>
  <c r="EI17" i="1"/>
  <c r="FS61" i="2" l="1"/>
  <c r="AG45" i="119"/>
  <c r="ES55" i="119"/>
  <c r="FS27" i="2"/>
  <c r="DY53" i="2"/>
  <c r="DY67" i="2"/>
  <c r="FC20" i="119"/>
  <c r="FC259" i="119" s="1"/>
  <c r="EI104" i="1"/>
  <c r="EI15" i="2"/>
  <c r="EI80" i="2"/>
  <c r="EI31" i="2"/>
  <c r="EI68" i="1"/>
  <c r="EI83" i="1"/>
  <c r="EI17" i="2"/>
  <c r="EI47" i="1"/>
  <c r="EI125" i="1"/>
  <c r="EI16" i="2"/>
  <c r="ES76" i="119"/>
  <c r="ES264" i="119" s="1"/>
  <c r="FS58" i="2"/>
  <c r="AG76" i="119" s="1"/>
  <c r="AG264" i="119" s="1"/>
  <c r="DY59" i="2"/>
  <c r="FS59" i="2" s="1"/>
  <c r="DZ21" i="1"/>
  <c r="HB19" i="1"/>
  <c r="HB21" i="1" s="1"/>
  <c r="HB18" i="1" s="1"/>
  <c r="FC59" i="119" l="1"/>
  <c r="EI23" i="3"/>
  <c r="EI35" i="2"/>
  <c r="EI32" i="3"/>
  <c r="EI82" i="2"/>
  <c r="AG55" i="119"/>
  <c r="FS53" i="2"/>
  <c r="FC44" i="119"/>
  <c r="EI20" i="3"/>
  <c r="EI19" i="3"/>
  <c r="DZ18" i="1"/>
  <c r="ET24" i="119"/>
  <c r="ET26" i="119" s="1"/>
  <c r="FC60" i="119" l="1"/>
  <c r="EI44" i="2"/>
  <c r="FC65" i="119" s="1"/>
  <c r="EI24" i="3"/>
  <c r="FC94" i="119" s="1"/>
  <c r="EI21" i="2"/>
  <c r="EJ78" i="2"/>
  <c r="FC97" i="119"/>
  <c r="EI35" i="3"/>
  <c r="FC101" i="119" s="1"/>
  <c r="DZ23" i="1"/>
  <c r="FC48" i="119" l="1"/>
  <c r="EI25" i="2"/>
  <c r="EI89" i="2"/>
  <c r="EI87" i="2" s="1"/>
  <c r="FC46" i="119" s="1"/>
  <c r="DZ69" i="1"/>
  <c r="DZ48" i="1"/>
  <c r="ET30" i="119"/>
  <c r="ET269" i="119" s="1"/>
  <c r="DZ105" i="1"/>
  <c r="DZ84" i="1"/>
  <c r="DZ126" i="1"/>
  <c r="DZ24" i="1"/>
  <c r="DZ26" i="1" s="1"/>
  <c r="HB23" i="1"/>
  <c r="EJ79" i="2"/>
  <c r="EJ12" i="3" s="1"/>
  <c r="ET277" i="119" l="1"/>
  <c r="DZ106" i="1"/>
  <c r="DZ70" i="1"/>
  <c r="DZ85" i="1"/>
  <c r="DZ30" i="1"/>
  <c r="DZ49" i="1"/>
  <c r="DZ29" i="1"/>
  <c r="DZ28" i="1"/>
  <c r="DZ127" i="1"/>
  <c r="ET275" i="119"/>
  <c r="HB26" i="1"/>
  <c r="HB48" i="1"/>
  <c r="HB105" i="1"/>
  <c r="HB69" i="1"/>
  <c r="ET273" i="119"/>
  <c r="HB24" i="1"/>
  <c r="HB25" i="1" s="1"/>
  <c r="FD93" i="119"/>
  <c r="EJ16" i="1"/>
  <c r="EJ88" i="2"/>
  <c r="FD47" i="119" l="1"/>
  <c r="HB49" i="1"/>
  <c r="HB106" i="1"/>
  <c r="HB30" i="1"/>
  <c r="HB70" i="1"/>
  <c r="HB29" i="1"/>
  <c r="DZ50" i="1"/>
  <c r="DZ32" i="1"/>
  <c r="DZ86" i="1"/>
  <c r="DZ11" i="3"/>
  <c r="ET279" i="119"/>
  <c r="DZ31" i="1"/>
  <c r="DZ128" i="1"/>
  <c r="DZ107" i="1"/>
  <c r="DZ71" i="1"/>
  <c r="HB28" i="1"/>
  <c r="DZ109" i="1"/>
  <c r="DZ88" i="1"/>
  <c r="DZ52" i="1"/>
  <c r="ET281" i="119"/>
  <c r="ET260" i="119" s="1"/>
  <c r="DZ130" i="1"/>
  <c r="FD21" i="119"/>
  <c r="FD19" i="119" s="1"/>
  <c r="EJ103" i="1"/>
  <c r="EJ124" i="1"/>
  <c r="EJ82" i="1"/>
  <c r="EJ67" i="1"/>
  <c r="EJ46" i="1"/>
  <c r="EJ17" i="1"/>
  <c r="DZ51" i="1"/>
  <c r="DZ129" i="1"/>
  <c r="DZ108" i="1"/>
  <c r="DZ87" i="1"/>
  <c r="ET267" i="119"/>
  <c r="ET280" i="119"/>
  <c r="ET283" i="119" l="1"/>
  <c r="ET282" i="119"/>
  <c r="EJ80" i="2"/>
  <c r="EJ31" i="2"/>
  <c r="EJ47" i="1"/>
  <c r="EJ16" i="2"/>
  <c r="EJ125" i="1"/>
  <c r="EJ83" i="1"/>
  <c r="FD20" i="119"/>
  <c r="FD259" i="119" s="1"/>
  <c r="EJ104" i="1"/>
  <c r="EJ17" i="2"/>
  <c r="EJ15" i="2"/>
  <c r="EJ68" i="1"/>
  <c r="DZ25" i="3"/>
  <c r="ET305" i="119"/>
  <c r="GG11" i="3"/>
  <c r="DZ47" i="2"/>
  <c r="DZ90" i="1"/>
  <c r="DZ111" i="1"/>
  <c r="DZ54" i="1"/>
  <c r="DZ132" i="1"/>
  <c r="HB109" i="1"/>
  <c r="J63" i="117"/>
  <c r="HB52" i="1"/>
  <c r="HB107" i="1"/>
  <c r="HB32" i="1"/>
  <c r="HB50" i="1"/>
  <c r="HB31" i="1"/>
  <c r="HB71" i="1"/>
  <c r="DZ131" i="1"/>
  <c r="DZ89" i="1"/>
  <c r="DZ53" i="1"/>
  <c r="DZ110" i="1"/>
  <c r="HB51" i="1"/>
  <c r="HB108" i="1"/>
  <c r="FD44" i="119" l="1"/>
  <c r="EJ20" i="3"/>
  <c r="DZ54" i="3"/>
  <c r="ET96" i="119"/>
  <c r="DZ50" i="3"/>
  <c r="GG25" i="3"/>
  <c r="GG54" i="3" s="1"/>
  <c r="GG55" i="3" s="1"/>
  <c r="J59" i="117" s="1"/>
  <c r="EJ32" i="3"/>
  <c r="EJ82" i="2"/>
  <c r="DZ49" i="2"/>
  <c r="EJ19" i="3"/>
  <c r="HB53" i="1"/>
  <c r="HB110" i="1"/>
  <c r="EJ23" i="3"/>
  <c r="EJ35" i="2"/>
  <c r="FD59" i="119"/>
  <c r="HB54" i="1"/>
  <c r="HB111" i="1"/>
  <c r="EJ44" i="2" l="1"/>
  <c r="FD65" i="119" s="1"/>
  <c r="FD60" i="119"/>
  <c r="DZ55" i="3"/>
  <c r="DZ65" i="3"/>
  <c r="EJ21" i="2"/>
  <c r="EK78" i="2"/>
  <c r="DZ52" i="3"/>
  <c r="ET108" i="119"/>
  <c r="GG50" i="3"/>
  <c r="GG52" i="3" s="1"/>
  <c r="FD97" i="119"/>
  <c r="EJ35" i="3"/>
  <c r="FD101" i="119" s="1"/>
  <c r="ET69" i="119"/>
  <c r="ET271" i="119" s="1"/>
  <c r="ET67" i="119"/>
  <c r="ET298" i="119" s="1"/>
  <c r="ET256" i="119" s="1"/>
  <c r="DZ51" i="2"/>
  <c r="ET70" i="119" s="1"/>
  <c r="DZ66" i="2"/>
  <c r="EJ24" i="3"/>
  <c r="FD94" i="119" s="1"/>
  <c r="EA51" i="3" l="1"/>
  <c r="GH51" i="3" s="1"/>
  <c r="DZ58" i="3"/>
  <c r="DZ11" i="2" s="1"/>
  <c r="EJ25" i="2"/>
  <c r="FD48" i="119"/>
  <c r="EJ89" i="2"/>
  <c r="EJ87" i="2" s="1"/>
  <c r="FD46" i="119" s="1"/>
  <c r="EK79" i="2"/>
  <c r="EK12" i="3" s="1"/>
  <c r="DZ59" i="3" l="1"/>
  <c r="DZ56" i="2"/>
  <c r="DZ18" i="2"/>
  <c r="ET41" i="119"/>
  <c r="ET265" i="119" s="1"/>
  <c r="FE93" i="119"/>
  <c r="EK16" i="1"/>
  <c r="FV12" i="3"/>
  <c r="AJ93" i="119" s="1"/>
  <c r="EK88" i="2"/>
  <c r="ET45" i="119" l="1"/>
  <c r="DZ27" i="2"/>
  <c r="DZ61" i="2"/>
  <c r="FV88" i="2"/>
  <c r="AJ47" i="119" s="1"/>
  <c r="FE47" i="119"/>
  <c r="DZ114" i="2"/>
  <c r="EA116" i="2" s="1"/>
  <c r="EA19" i="1" s="1"/>
  <c r="DZ58" i="2"/>
  <c r="FE21" i="119"/>
  <c r="FE19" i="119" s="1"/>
  <c r="EK103" i="1"/>
  <c r="EK82" i="1"/>
  <c r="EK124" i="1"/>
  <c r="EK46" i="1"/>
  <c r="EK67" i="1"/>
  <c r="EK17" i="1"/>
  <c r="FU16" i="1"/>
  <c r="EA21" i="1" l="1"/>
  <c r="EK80" i="2"/>
  <c r="EK31" i="2"/>
  <c r="FE20" i="119"/>
  <c r="FE259" i="119" s="1"/>
  <c r="EK125" i="1"/>
  <c r="EK17" i="2"/>
  <c r="EK83" i="1"/>
  <c r="EK68" i="1"/>
  <c r="EK104" i="1"/>
  <c r="EK16" i="2"/>
  <c r="EK15" i="2"/>
  <c r="FV15" i="2" s="1"/>
  <c r="EK47" i="1"/>
  <c r="DZ53" i="2"/>
  <c r="ET55" i="119"/>
  <c r="DZ67" i="2"/>
  <c r="FU103" i="1"/>
  <c r="FU46" i="1"/>
  <c r="AJ21" i="119"/>
  <c r="AJ19" i="119" s="1"/>
  <c r="FU67" i="1"/>
  <c r="FU17" i="1"/>
  <c r="ET76" i="119"/>
  <c r="ET264" i="119" s="1"/>
  <c r="DZ59" i="2"/>
  <c r="FV72" i="2" l="1"/>
  <c r="FV16" i="2"/>
  <c r="FV73" i="2" s="1"/>
  <c r="EK19" i="3"/>
  <c r="AL23" i="114"/>
  <c r="FU68" i="1"/>
  <c r="FU47" i="1"/>
  <c r="FU104" i="1"/>
  <c r="AJ20" i="119"/>
  <c r="AJ259" i="119" s="1"/>
  <c r="EK23" i="3"/>
  <c r="FV23" i="3" s="1"/>
  <c r="FE59" i="119"/>
  <c r="FV31" i="2"/>
  <c r="EK35" i="2"/>
  <c r="EK32" i="3"/>
  <c r="EK82" i="2"/>
  <c r="EK21" i="2" s="1"/>
  <c r="FE44" i="119"/>
  <c r="FV17" i="2"/>
  <c r="EK20" i="3"/>
  <c r="FV20" i="3" s="1"/>
  <c r="EU24" i="119"/>
  <c r="EU26" i="119" s="1"/>
  <c r="EA18" i="1"/>
  <c r="EA23" i="1" l="1"/>
  <c r="EK44" i="2"/>
  <c r="FE60" i="119"/>
  <c r="EK35" i="3"/>
  <c r="FE101" i="119" s="1"/>
  <c r="FE97" i="119"/>
  <c r="FV32" i="3"/>
  <c r="FV35" i="2"/>
  <c r="AJ60" i="119" s="1"/>
  <c r="FV75" i="2"/>
  <c r="AJ59" i="119"/>
  <c r="EK24" i="3"/>
  <c r="FE94" i="119" s="1"/>
  <c r="FV19" i="3"/>
  <c r="FV24" i="3" s="1"/>
  <c r="AJ94" i="119" s="1"/>
  <c r="FV74" i="2"/>
  <c r="AJ44" i="119"/>
  <c r="AL25" i="114"/>
  <c r="AL24" i="114"/>
  <c r="AL33" i="114"/>
  <c r="AL45" i="114"/>
  <c r="EK25" i="2"/>
  <c r="FV25" i="2" s="1"/>
  <c r="EK89" i="2"/>
  <c r="FE48" i="119"/>
  <c r="FV21" i="2"/>
  <c r="AJ48" i="119" s="1"/>
  <c r="AJ46" i="119" s="1"/>
  <c r="FE65" i="119" l="1"/>
  <c r="FV44" i="2"/>
  <c r="AJ65" i="119" s="1"/>
  <c r="FV89" i="2"/>
  <c r="EK87" i="2"/>
  <c r="AJ97" i="119"/>
  <c r="FV35" i="3"/>
  <c r="AJ101" i="119" s="1"/>
  <c r="EA69" i="1"/>
  <c r="EA126" i="1"/>
  <c r="EU30" i="119"/>
  <c r="EU269" i="119" s="1"/>
  <c r="EA105" i="1"/>
  <c r="EA24" i="1"/>
  <c r="EA84" i="1"/>
  <c r="EA48" i="1"/>
  <c r="FE46" i="119" l="1"/>
  <c r="FV87" i="2"/>
  <c r="EU273" i="119"/>
  <c r="EA26" i="1"/>
  <c r="EA29" i="1" l="1"/>
  <c r="EA28" i="1"/>
  <c r="EA127" i="1"/>
  <c r="EA106" i="1"/>
  <c r="EU277" i="119"/>
  <c r="EA70" i="1"/>
  <c r="EA49" i="1"/>
  <c r="EU275" i="119"/>
  <c r="EA30" i="1"/>
  <c r="EA85" i="1"/>
  <c r="EA52" i="1" l="1"/>
  <c r="EA130" i="1"/>
  <c r="EA88" i="1"/>
  <c r="EA109" i="1"/>
  <c r="EU281" i="119"/>
  <c r="EU260" i="119" s="1"/>
  <c r="EA128" i="1"/>
  <c r="EA11" i="3"/>
  <c r="EA107" i="1"/>
  <c r="EA31" i="1"/>
  <c r="EA50" i="1"/>
  <c r="EA32" i="1"/>
  <c r="EA86" i="1"/>
  <c r="EU279" i="119"/>
  <c r="EA71" i="1"/>
  <c r="EU280" i="119"/>
  <c r="EU267" i="119"/>
  <c r="EA129" i="1"/>
  <c r="EA51" i="1"/>
  <c r="EA87" i="1"/>
  <c r="EA108" i="1"/>
  <c r="EA111" i="1" l="1"/>
  <c r="EA54" i="1"/>
  <c r="EA90" i="1"/>
  <c r="EA132" i="1"/>
  <c r="EA110" i="1"/>
  <c r="EA53" i="1"/>
  <c r="EA131" i="1"/>
  <c r="EA89" i="1"/>
  <c r="EU305" i="119"/>
  <c r="EA25" i="3"/>
  <c r="EA47" i="2"/>
  <c r="EU282" i="119"/>
  <c r="EU283" i="119"/>
  <c r="EU96" i="119" l="1"/>
  <c r="EA50" i="3"/>
  <c r="EA54" i="3"/>
  <c r="EA49" i="2"/>
  <c r="EA55" i="3" l="1"/>
  <c r="EA65" i="3"/>
  <c r="EA51" i="2"/>
  <c r="EU70" i="119" s="1"/>
  <c r="EU67" i="119"/>
  <c r="EU298" i="119" s="1"/>
  <c r="EU256" i="119" s="1"/>
  <c r="EU69" i="119"/>
  <c r="EU271" i="119" s="1"/>
  <c r="EA66" i="2"/>
  <c r="EA52" i="3"/>
  <c r="EU108" i="119"/>
  <c r="EB51" i="3" l="1"/>
  <c r="EA58" i="3"/>
  <c r="EA11" i="2" s="1"/>
  <c r="EA59" i="3" l="1"/>
  <c r="EA56" i="2"/>
  <c r="EA18" i="2"/>
  <c r="EU41" i="119"/>
  <c r="EU265" i="119" s="1"/>
  <c r="EA114" i="2" l="1"/>
  <c r="EB116" i="2" s="1"/>
  <c r="EB19" i="1" s="1"/>
  <c r="EA58" i="2"/>
  <c r="EA61" i="2"/>
  <c r="EA27" i="2"/>
  <c r="EU45" i="119"/>
  <c r="EA59" i="2" l="1"/>
  <c r="EU76" i="119"/>
  <c r="EU264" i="119" s="1"/>
  <c r="EA53" i="2"/>
  <c r="EU55" i="119"/>
  <c r="EA67" i="2"/>
  <c r="EB21" i="1"/>
  <c r="EB18" i="1" l="1"/>
  <c r="EV24" i="119"/>
  <c r="EV26" i="119" s="1"/>
  <c r="EB23" i="1" l="1"/>
  <c r="EB48" i="1" l="1"/>
  <c r="EB126" i="1"/>
  <c r="EB24" i="1"/>
  <c r="EB26" i="1" s="1"/>
  <c r="EB105" i="1"/>
  <c r="EB69" i="1"/>
  <c r="EV30" i="119"/>
  <c r="EV269" i="119" s="1"/>
  <c r="EB84" i="1"/>
  <c r="EB49" i="1" l="1"/>
  <c r="EV275" i="119"/>
  <c r="EB127" i="1"/>
  <c r="EB106" i="1"/>
  <c r="EB29" i="1"/>
  <c r="EB85" i="1"/>
  <c r="EV277" i="119"/>
  <c r="EB28" i="1"/>
  <c r="EB30" i="1"/>
  <c r="EB70" i="1"/>
  <c r="EV273" i="119"/>
  <c r="EB129" i="1" l="1"/>
  <c r="EB51" i="1"/>
  <c r="EB108" i="1"/>
  <c r="EB87" i="1"/>
  <c r="EB52" i="1"/>
  <c r="EV281" i="119"/>
  <c r="EV260" i="119" s="1"/>
  <c r="EB130" i="1"/>
  <c r="EB109" i="1"/>
  <c r="EB88" i="1"/>
  <c r="EB107" i="1"/>
  <c r="EB128" i="1"/>
  <c r="EV279" i="119"/>
  <c r="EB31" i="1"/>
  <c r="EB86" i="1"/>
  <c r="EB32" i="1"/>
  <c r="EB71" i="1"/>
  <c r="EB11" i="3"/>
  <c r="EB50" i="1"/>
  <c r="EV267" i="119"/>
  <c r="EV280" i="119"/>
  <c r="EB90" i="1" l="1"/>
  <c r="EB132" i="1"/>
  <c r="EB111" i="1"/>
  <c r="EB54" i="1"/>
  <c r="EV283" i="119"/>
  <c r="EV282" i="119"/>
  <c r="EB25" i="3"/>
  <c r="EV305" i="119"/>
  <c r="EB47" i="2"/>
  <c r="EB110" i="1"/>
  <c r="EB89" i="1"/>
  <c r="EB53" i="1"/>
  <c r="EB131" i="1"/>
  <c r="EB49" i="2" l="1"/>
  <c r="EV96" i="119"/>
  <c r="EB54" i="3"/>
  <c r="EB50" i="3"/>
  <c r="EV108" i="119" l="1"/>
  <c r="EB52" i="3"/>
  <c r="EB65" i="3"/>
  <c r="EB55" i="3"/>
  <c r="EB51" i="2"/>
  <c r="EV70" i="119" s="1"/>
  <c r="EV67" i="119"/>
  <c r="EV298" i="119" s="1"/>
  <c r="EV256" i="119" s="1"/>
  <c r="EV69" i="119"/>
  <c r="EV271" i="119" s="1"/>
  <c r="EB66" i="2"/>
  <c r="EC51" i="3" l="1"/>
  <c r="EB58" i="3"/>
  <c r="EB11" i="2" s="1"/>
  <c r="EB56" i="2" l="1"/>
  <c r="EB59" i="3"/>
  <c r="EB18" i="2"/>
  <c r="EV41" i="119"/>
  <c r="EV265" i="119" s="1"/>
  <c r="EB27" i="2" l="1"/>
  <c r="EV45" i="119"/>
  <c r="EB61" i="2"/>
  <c r="EB114" i="2"/>
  <c r="EC116" i="2" s="1"/>
  <c r="EC19" i="1" s="1"/>
  <c r="EB58" i="2"/>
  <c r="EV76" i="119" l="1"/>
  <c r="EV264" i="119" s="1"/>
  <c r="EB59" i="2"/>
  <c r="EC21" i="1"/>
  <c r="FS19" i="1"/>
  <c r="EV55" i="119"/>
  <c r="EB53" i="2"/>
  <c r="EB67" i="2"/>
  <c r="EC18" i="1" l="1"/>
  <c r="EW24" i="119"/>
  <c r="EW26" i="119" s="1"/>
  <c r="FS21" i="1"/>
  <c r="AH24" i="119" s="1"/>
  <c r="AH26" i="119" s="1"/>
  <c r="EC23" i="1" l="1"/>
  <c r="FS18" i="1"/>
  <c r="I21" i="118" l="1"/>
  <c r="I22" i="118" s="1"/>
  <c r="FS23" i="1"/>
  <c r="EC48" i="1"/>
  <c r="EW30" i="119"/>
  <c r="EW269" i="119" s="1"/>
  <c r="EC69" i="1"/>
  <c r="EC24" i="1"/>
  <c r="EC26" i="1" s="1"/>
  <c r="EC126" i="1"/>
  <c r="EC84" i="1"/>
  <c r="EC105" i="1"/>
  <c r="EC127" i="1" l="1"/>
  <c r="EW277" i="119"/>
  <c r="EC28" i="1"/>
  <c r="EC49" i="1"/>
  <c r="EC29" i="1"/>
  <c r="EW275" i="119"/>
  <c r="EC30" i="1"/>
  <c r="EC70" i="1"/>
  <c r="EC106" i="1"/>
  <c r="EC85" i="1"/>
  <c r="EW273" i="119"/>
  <c r="FS24" i="1"/>
  <c r="FS26" i="1" s="1"/>
  <c r="FS105" i="1"/>
  <c r="AH30" i="119"/>
  <c r="AH269" i="119" s="1"/>
  <c r="FS48" i="1"/>
  <c r="FS69" i="1"/>
  <c r="I46" i="118"/>
  <c r="I24" i="118"/>
  <c r="EC108" i="1" l="1"/>
  <c r="EC51" i="1"/>
  <c r="EC129" i="1"/>
  <c r="EC87" i="1"/>
  <c r="FS28" i="1"/>
  <c r="FS49" i="1"/>
  <c r="FS30" i="1"/>
  <c r="FS106" i="1"/>
  <c r="FS70" i="1"/>
  <c r="AH275" i="119"/>
  <c r="FS29" i="1"/>
  <c r="AH277" i="119"/>
  <c r="AH267" i="119" s="1"/>
  <c r="I47" i="118"/>
  <c r="I36" i="118"/>
  <c r="I26" i="118"/>
  <c r="I38" i="118" s="1"/>
  <c r="EW279" i="119"/>
  <c r="EC128" i="1"/>
  <c r="EC11" i="3"/>
  <c r="EC71" i="1"/>
  <c r="EC50" i="1"/>
  <c r="EC32" i="1"/>
  <c r="EC86" i="1"/>
  <c r="EC31" i="1"/>
  <c r="EC107" i="1"/>
  <c r="I117" i="118"/>
  <c r="I94" i="118" s="1"/>
  <c r="I95" i="118" s="1"/>
  <c r="I82" i="118"/>
  <c r="I59" i="118" s="1"/>
  <c r="I60" i="118" s="1"/>
  <c r="FS25" i="1"/>
  <c r="AH290" i="119" s="1"/>
  <c r="AH273" i="119"/>
  <c r="EW267" i="119"/>
  <c r="EW280" i="119"/>
  <c r="EC52" i="1"/>
  <c r="EC109" i="1"/>
  <c r="EW281" i="119"/>
  <c r="EW260" i="119" s="1"/>
  <c r="EC130" i="1"/>
  <c r="EC88" i="1"/>
  <c r="EC89" i="1" l="1"/>
  <c r="EC110" i="1"/>
  <c r="EC131" i="1"/>
  <c r="EC53" i="1"/>
  <c r="FS51" i="1"/>
  <c r="AH280" i="119"/>
  <c r="FS108" i="1"/>
  <c r="FS31" i="1"/>
  <c r="AH279" i="119"/>
  <c r="FS32" i="1"/>
  <c r="FS50" i="1"/>
  <c r="FS71" i="1"/>
  <c r="FS107" i="1"/>
  <c r="EW282" i="119"/>
  <c r="EW283" i="119"/>
  <c r="I62" i="118"/>
  <c r="I74" i="118" s="1"/>
  <c r="I72" i="118"/>
  <c r="I107" i="118"/>
  <c r="I97" i="118"/>
  <c r="I109" i="118" s="1"/>
  <c r="EW305" i="119"/>
  <c r="EC25" i="3"/>
  <c r="FT11" i="3"/>
  <c r="EC47" i="2"/>
  <c r="EC132" i="1"/>
  <c r="EC54" i="1"/>
  <c r="EC90" i="1"/>
  <c r="EC111" i="1"/>
  <c r="AH281" i="119"/>
  <c r="AH260" i="119" s="1"/>
  <c r="FS109" i="1"/>
  <c r="AJ15" i="114"/>
  <c r="FS52" i="1"/>
  <c r="EC49" i="2" l="1"/>
  <c r="FT47" i="2"/>
  <c r="FT25" i="3"/>
  <c r="AH305" i="119"/>
  <c r="FS54" i="1"/>
  <c r="FS111" i="1"/>
  <c r="AJ19" i="114"/>
  <c r="AH283" i="119"/>
  <c r="EC54" i="3"/>
  <c r="EW96" i="119"/>
  <c r="EC50" i="3"/>
  <c r="AH282" i="119"/>
  <c r="FS53" i="1"/>
  <c r="FS110" i="1"/>
  <c r="AJ16" i="114"/>
  <c r="AJ31" i="114"/>
  <c r="AJ17" i="114"/>
  <c r="AJ36" i="114"/>
  <c r="FT54" i="3" l="1"/>
  <c r="AH96" i="119"/>
  <c r="FT50" i="3"/>
  <c r="AJ20" i="114"/>
  <c r="AJ32" i="114"/>
  <c r="AJ21" i="114"/>
  <c r="AJ44" i="114"/>
  <c r="EW108" i="119"/>
  <c r="EC52" i="3"/>
  <c r="EC55" i="3"/>
  <c r="EC65" i="3"/>
  <c r="EW69" i="119"/>
  <c r="EW271" i="119" s="1"/>
  <c r="EC51" i="2"/>
  <c r="FT49" i="2"/>
  <c r="EW67" i="119"/>
  <c r="EW298" i="119" s="1"/>
  <c r="EW256" i="119" s="1"/>
  <c r="EC66" i="2"/>
  <c r="EC58" i="3" l="1"/>
  <c r="EC11" i="2" s="1"/>
  <c r="ED51" i="3"/>
  <c r="AH67" i="119"/>
  <c r="AH298" i="119" s="1"/>
  <c r="AH256" i="119" s="1"/>
  <c r="AH69" i="119"/>
  <c r="AH271" i="119" s="1"/>
  <c r="EW70" i="119"/>
  <c r="FT51" i="2"/>
  <c r="AH70" i="119" s="1"/>
  <c r="FT52" i="3"/>
  <c r="AH108" i="119"/>
  <c r="FT79" i="3"/>
  <c r="FT55" i="3"/>
  <c r="AJ27" i="114" s="1"/>
  <c r="FT65" i="3"/>
  <c r="AJ29" i="114" l="1"/>
  <c r="AJ34" i="114"/>
  <c r="AJ28" i="114"/>
  <c r="FT58" i="3"/>
  <c r="FU51" i="3"/>
  <c r="EC56" i="2"/>
  <c r="EC59" i="3"/>
  <c r="EC18" i="2"/>
  <c r="FT11" i="2"/>
  <c r="EW41" i="119"/>
  <c r="EW265" i="119" s="1"/>
  <c r="EC114" i="2" l="1"/>
  <c r="ED116" i="2" s="1"/>
  <c r="ED19" i="1" s="1"/>
  <c r="FT56" i="2"/>
  <c r="EC58" i="2"/>
  <c r="FT59" i="3"/>
  <c r="AH41" i="119"/>
  <c r="AH265" i="119" s="1"/>
  <c r="FT18" i="2"/>
  <c r="EW45" i="119"/>
  <c r="EC27" i="2"/>
  <c r="EC61" i="2"/>
  <c r="FT61" i="2" l="1"/>
  <c r="AH45" i="119"/>
  <c r="EW76" i="119"/>
  <c r="EW264" i="119" s="1"/>
  <c r="EC59" i="2"/>
  <c r="FT59" i="2" s="1"/>
  <c r="FT58" i="2"/>
  <c r="AH76" i="119" s="1"/>
  <c r="AH264" i="119" s="1"/>
  <c r="EW55" i="119"/>
  <c r="FT27" i="2"/>
  <c r="EC53" i="2"/>
  <c r="EC67" i="2"/>
  <c r="ED21" i="1"/>
  <c r="HC19" i="1"/>
  <c r="HC21" i="1" s="1"/>
  <c r="HC18" i="1" s="1"/>
  <c r="ED18" i="1" l="1"/>
  <c r="EX24" i="119"/>
  <c r="EX26" i="119" s="1"/>
  <c r="FT53" i="2"/>
  <c r="AH55" i="119"/>
  <c r="ED23" i="1" l="1"/>
  <c r="ED24" i="1" l="1"/>
  <c r="ED126" i="1"/>
  <c r="ED69" i="1"/>
  <c r="ED105" i="1"/>
  <c r="EX30" i="119"/>
  <c r="EX269" i="119" s="1"/>
  <c r="ED48" i="1"/>
  <c r="ED84" i="1"/>
  <c r="HC23" i="1"/>
  <c r="HC105" i="1" l="1"/>
  <c r="HC69" i="1"/>
  <c r="HC48" i="1"/>
  <c r="EX273" i="119"/>
  <c r="HC24" i="1"/>
  <c r="HC25" i="1" s="1"/>
  <c r="ED26" i="1"/>
  <c r="EX277" i="119" l="1"/>
  <c r="ED28" i="1"/>
  <c r="ED30" i="1"/>
  <c r="ED49" i="1"/>
  <c r="ED85" i="1"/>
  <c r="ED127" i="1"/>
  <c r="ED29" i="1"/>
  <c r="ED106" i="1"/>
  <c r="ED70" i="1"/>
  <c r="EX275" i="119"/>
  <c r="HC26" i="1"/>
  <c r="HC49" i="1" l="1"/>
  <c r="HC30" i="1"/>
  <c r="HC106" i="1"/>
  <c r="HC70" i="1"/>
  <c r="HC29" i="1"/>
  <c r="ED130" i="1"/>
  <c r="ED52" i="1"/>
  <c r="EX281" i="119"/>
  <c r="EX260" i="119" s="1"/>
  <c r="ED88" i="1"/>
  <c r="ED109" i="1"/>
  <c r="EX279" i="119"/>
  <c r="ED128" i="1"/>
  <c r="ED86" i="1"/>
  <c r="ED50" i="1"/>
  <c r="ED31" i="1"/>
  <c r="ED32" i="1"/>
  <c r="ED107" i="1"/>
  <c r="ED11" i="3"/>
  <c r="ED71" i="1"/>
  <c r="HC28" i="1"/>
  <c r="ED51" i="1"/>
  <c r="ED129" i="1"/>
  <c r="ED87" i="1"/>
  <c r="ED108" i="1"/>
  <c r="EX267" i="119"/>
  <c r="EX280" i="119"/>
  <c r="EX283" i="119" l="1"/>
  <c r="EX282" i="119"/>
  <c r="HC51" i="1"/>
  <c r="HC108" i="1"/>
  <c r="ED132" i="1"/>
  <c r="ED90" i="1"/>
  <c r="ED111" i="1"/>
  <c r="ED54" i="1"/>
  <c r="ED110" i="1"/>
  <c r="ED53" i="1"/>
  <c r="ED131" i="1"/>
  <c r="ED89" i="1"/>
  <c r="HC31" i="1"/>
  <c r="HC50" i="1"/>
  <c r="HC32" i="1"/>
  <c r="HC71" i="1"/>
  <c r="HC107" i="1"/>
  <c r="HC109" i="1"/>
  <c r="K63" i="117"/>
  <c r="HC52" i="1"/>
  <c r="EX305" i="119"/>
  <c r="ED25" i="3"/>
  <c r="GH11" i="3"/>
  <c r="ED47" i="2"/>
  <c r="ED50" i="3" l="1"/>
  <c r="EX96" i="119"/>
  <c r="ED54" i="3"/>
  <c r="GH25" i="3"/>
  <c r="GH54" i="3" s="1"/>
  <c r="GH55" i="3" s="1"/>
  <c r="K59" i="117" s="1"/>
  <c r="HC111" i="1"/>
  <c r="HC54" i="1"/>
  <c r="ED49" i="2"/>
  <c r="HC53" i="1"/>
  <c r="HC110" i="1"/>
  <c r="ED55" i="3" l="1"/>
  <c r="ED65" i="3"/>
  <c r="EX67" i="119"/>
  <c r="EX298" i="119" s="1"/>
  <c r="EX256" i="119" s="1"/>
  <c r="EX69" i="119"/>
  <c r="EX271" i="119" s="1"/>
  <c r="ED51" i="2"/>
  <c r="EX70" i="119" s="1"/>
  <c r="ED66" i="2"/>
  <c r="EX108" i="119"/>
  <c r="ED52" i="3"/>
  <c r="GH50" i="3"/>
  <c r="GH52" i="3" s="1"/>
  <c r="EE51" i="3" l="1"/>
  <c r="GI51" i="3" s="1"/>
  <c r="ED58" i="3"/>
  <c r="ED11" i="2" s="1"/>
  <c r="ED56" i="2" l="1"/>
  <c r="ED18" i="2"/>
  <c r="EX41" i="119"/>
  <c r="EX265" i="119" s="1"/>
  <c r="ED59" i="3"/>
  <c r="EX45" i="119" l="1"/>
  <c r="ED61" i="2"/>
  <c r="ED27" i="2"/>
  <c r="ED114" i="2"/>
  <c r="EE116" i="2" s="1"/>
  <c r="EE19" i="1" s="1"/>
  <c r="ED58" i="2"/>
  <c r="ED59" i="2" l="1"/>
  <c r="EX76" i="119"/>
  <c r="EX264" i="119" s="1"/>
  <c r="EE21" i="1"/>
  <c r="ED53" i="2"/>
  <c r="EX55" i="119"/>
  <c r="ED67" i="2"/>
  <c r="EY24" i="119" l="1"/>
  <c r="EY26" i="119" s="1"/>
  <c r="EE18" i="1"/>
  <c r="EE23" i="1" l="1"/>
  <c r="EE24" i="1" l="1"/>
  <c r="EE26" i="1" s="1"/>
  <c r="EE126" i="1"/>
  <c r="EE48" i="1"/>
  <c r="EE69" i="1"/>
  <c r="EE84" i="1"/>
  <c r="EE105" i="1"/>
  <c r="EY30" i="119"/>
  <c r="EY269" i="119" s="1"/>
  <c r="EY273" i="119" l="1"/>
  <c r="EE70" i="1"/>
  <c r="EY277" i="119"/>
  <c r="EE28" i="1"/>
  <c r="EE29" i="1"/>
  <c r="EY275" i="119"/>
  <c r="EE127" i="1"/>
  <c r="EE30" i="1"/>
  <c r="EE106" i="1"/>
  <c r="EE85" i="1"/>
  <c r="EE49" i="1"/>
  <c r="EE88" i="1" l="1"/>
  <c r="EE109" i="1"/>
  <c r="EE52" i="1"/>
  <c r="EY281" i="119"/>
  <c r="EY260" i="119" s="1"/>
  <c r="EE130" i="1"/>
  <c r="EY267" i="119"/>
  <c r="EY280" i="119"/>
  <c r="EE129" i="1"/>
  <c r="EE108" i="1"/>
  <c r="EE51" i="1"/>
  <c r="EE87" i="1"/>
  <c r="EE31" i="1"/>
  <c r="EE86" i="1"/>
  <c r="EE128" i="1"/>
  <c r="EE32" i="1"/>
  <c r="EY279" i="119"/>
  <c r="EE71" i="1"/>
  <c r="EE107" i="1"/>
  <c r="EE11" i="3"/>
  <c r="EE50" i="1"/>
  <c r="EY282" i="119" l="1"/>
  <c r="EY283" i="119"/>
  <c r="EE54" i="1"/>
  <c r="EE132" i="1"/>
  <c r="EE111" i="1"/>
  <c r="EE90" i="1"/>
  <c r="EY305" i="119"/>
  <c r="EE25" i="3"/>
  <c r="EE47" i="2"/>
  <c r="EE131" i="1"/>
  <c r="EE53" i="1"/>
  <c r="EE110" i="1"/>
  <c r="EE89" i="1"/>
  <c r="EE49" i="2" l="1"/>
  <c r="EE50" i="3"/>
  <c r="EE54" i="3"/>
  <c r="EY96" i="119"/>
  <c r="EE55" i="3" l="1"/>
  <c r="EE65" i="3"/>
  <c r="EY108" i="119"/>
  <c r="EE52" i="3"/>
  <c r="EY67" i="119"/>
  <c r="EY298" i="119" s="1"/>
  <c r="EY256" i="119" s="1"/>
  <c r="EE51" i="2"/>
  <c r="EY70" i="119" s="1"/>
  <c r="EY69" i="119"/>
  <c r="EY271" i="119" s="1"/>
  <c r="EE66" i="2"/>
  <c r="EE58" i="3" l="1"/>
  <c r="EE11" i="2" s="1"/>
  <c r="EF51" i="3"/>
  <c r="EE59" i="3" l="1"/>
  <c r="EY41" i="119"/>
  <c r="EY265" i="119" s="1"/>
  <c r="EE56" i="2"/>
  <c r="EE18" i="2"/>
  <c r="EY45" i="119" l="1"/>
  <c r="EE27" i="2"/>
  <c r="EE61" i="2"/>
  <c r="EE58" i="2"/>
  <c r="EE114" i="2"/>
  <c r="EF116" i="2" s="1"/>
  <c r="EF19" i="1" s="1"/>
  <c r="EF21" i="1" l="1"/>
  <c r="EE59" i="2"/>
  <c r="EY76" i="119"/>
  <c r="EY264" i="119" s="1"/>
  <c r="EE53" i="2"/>
  <c r="EY55" i="119"/>
  <c r="EE67" i="2"/>
  <c r="EZ24" i="119" l="1"/>
  <c r="EZ26" i="119" s="1"/>
  <c r="EF18" i="1"/>
  <c r="EF23" i="1" l="1"/>
  <c r="EF105" i="1" l="1"/>
  <c r="EF48" i="1"/>
  <c r="EF126" i="1"/>
  <c r="EF84" i="1"/>
  <c r="EF24" i="1"/>
  <c r="EZ30" i="119"/>
  <c r="EZ269" i="119" s="1"/>
  <c r="EF69" i="1"/>
  <c r="EZ273" i="119" l="1"/>
  <c r="EF26" i="1"/>
  <c r="EZ277" i="119" l="1"/>
  <c r="EF28" i="1"/>
  <c r="EF127" i="1"/>
  <c r="EF30" i="1"/>
  <c r="EZ275" i="119"/>
  <c r="EF85" i="1"/>
  <c r="EF29" i="1"/>
  <c r="EF70" i="1"/>
  <c r="EF106" i="1"/>
  <c r="EF49" i="1"/>
  <c r="EF88" i="1" l="1"/>
  <c r="EZ281" i="119"/>
  <c r="EZ260" i="119" s="1"/>
  <c r="EF109" i="1"/>
  <c r="EF52" i="1"/>
  <c r="EF130" i="1"/>
  <c r="EF31" i="1"/>
  <c r="EF71" i="1"/>
  <c r="EF32" i="1"/>
  <c r="EZ279" i="119"/>
  <c r="EF107" i="1"/>
  <c r="EF86" i="1"/>
  <c r="EF50" i="1"/>
  <c r="EF128" i="1"/>
  <c r="EF11" i="3"/>
  <c r="EF129" i="1"/>
  <c r="EF51" i="1"/>
  <c r="EF108" i="1"/>
  <c r="EF87" i="1"/>
  <c r="EZ280" i="119"/>
  <c r="EZ267" i="119"/>
  <c r="EF53" i="1" l="1"/>
  <c r="EF131" i="1"/>
  <c r="EF89" i="1"/>
  <c r="EF110" i="1"/>
  <c r="EZ283" i="119"/>
  <c r="EZ282" i="119"/>
  <c r="EF132" i="1"/>
  <c r="EF54" i="1"/>
  <c r="EF111" i="1"/>
  <c r="EF90" i="1"/>
  <c r="EF25" i="3"/>
  <c r="EZ305" i="119"/>
  <c r="EF47" i="2"/>
  <c r="EF54" i="3" l="1"/>
  <c r="EZ96" i="119"/>
  <c r="EF50" i="3"/>
  <c r="EF49" i="2"/>
  <c r="EZ69" i="119" l="1"/>
  <c r="EZ271" i="119" s="1"/>
  <c r="EF51" i="2"/>
  <c r="EZ70" i="119" s="1"/>
  <c r="EZ67" i="119"/>
  <c r="EZ298" i="119" s="1"/>
  <c r="EZ256" i="119" s="1"/>
  <c r="EF66" i="2"/>
  <c r="EF52" i="3"/>
  <c r="EZ108" i="119"/>
  <c r="EF65" i="3"/>
  <c r="EF55" i="3"/>
  <c r="EG51" i="3" l="1"/>
  <c r="EF58" i="3"/>
  <c r="EF11" i="2" s="1"/>
  <c r="EF18" i="2" l="1"/>
  <c r="EZ41" i="119"/>
  <c r="EZ265" i="119" s="1"/>
  <c r="EF56" i="2"/>
  <c r="EF59" i="3"/>
  <c r="EF114" i="2" l="1"/>
  <c r="EG116" i="2" s="1"/>
  <c r="EG19" i="1" s="1"/>
  <c r="EF58" i="2"/>
  <c r="EF61" i="2"/>
  <c r="EZ45" i="119"/>
  <c r="EF27" i="2"/>
  <c r="EZ55" i="119" l="1"/>
  <c r="EF53" i="2"/>
  <c r="EF67" i="2"/>
  <c r="EF59" i="2"/>
  <c r="EZ76" i="119"/>
  <c r="EZ264" i="119" s="1"/>
  <c r="EG21" i="1"/>
  <c r="FT19" i="1"/>
  <c r="EG18" i="1" l="1"/>
  <c r="FA24" i="119"/>
  <c r="FA26" i="119" s="1"/>
  <c r="FT21" i="1"/>
  <c r="AI24" i="119" s="1"/>
  <c r="AI26" i="119" s="1"/>
  <c r="EG23" i="1" l="1"/>
  <c r="FT18" i="1"/>
  <c r="J21" i="118" l="1"/>
  <c r="J22" i="118" s="1"/>
  <c r="FT23" i="1"/>
  <c r="EG105" i="1"/>
  <c r="EG84" i="1"/>
  <c r="EG24" i="1"/>
  <c r="EG26" i="1" s="1"/>
  <c r="EG48" i="1"/>
  <c r="EG69" i="1"/>
  <c r="FA30" i="119"/>
  <c r="FA269" i="119" s="1"/>
  <c r="EG126" i="1"/>
  <c r="EG30" i="1" l="1"/>
  <c r="EG28" i="1"/>
  <c r="EG127" i="1"/>
  <c r="FA275" i="119"/>
  <c r="EG85" i="1"/>
  <c r="EG29" i="1"/>
  <c r="FA277" i="119"/>
  <c r="EG70" i="1"/>
  <c r="EG106" i="1"/>
  <c r="EG49" i="1"/>
  <c r="FA273" i="119"/>
  <c r="FT24" i="1"/>
  <c r="FT26" i="1" s="1"/>
  <c r="FT48" i="1"/>
  <c r="AI30" i="119"/>
  <c r="AI269" i="119" s="1"/>
  <c r="FT69" i="1"/>
  <c r="FT105" i="1"/>
  <c r="J24" i="118"/>
  <c r="J46" i="118"/>
  <c r="EG87" i="1" l="1"/>
  <c r="EG129" i="1"/>
  <c r="EG108" i="1"/>
  <c r="EG51" i="1"/>
  <c r="FT30" i="1"/>
  <c r="AI277" i="119"/>
  <c r="AI267" i="119" s="1"/>
  <c r="FT106" i="1"/>
  <c r="AI275" i="119"/>
  <c r="FT29" i="1"/>
  <c r="FT28" i="1"/>
  <c r="FT70" i="1"/>
  <c r="FT49" i="1"/>
  <c r="J117" i="118"/>
  <c r="J94" i="118" s="1"/>
  <c r="J95" i="118" s="1"/>
  <c r="J82" i="118"/>
  <c r="J59" i="118" s="1"/>
  <c r="J60" i="118" s="1"/>
  <c r="J47" i="118"/>
  <c r="J26" i="118"/>
  <c r="J38" i="118" s="1"/>
  <c r="J36" i="118"/>
  <c r="FT25" i="1"/>
  <c r="AI290" i="119" s="1"/>
  <c r="AI273" i="119"/>
  <c r="EG31" i="1"/>
  <c r="EG86" i="1"/>
  <c r="EG128" i="1"/>
  <c r="FA279" i="119"/>
  <c r="EG107" i="1"/>
  <c r="EG50" i="1"/>
  <c r="EG11" i="3"/>
  <c r="EG32" i="1"/>
  <c r="EG71" i="1"/>
  <c r="FA280" i="119"/>
  <c r="FA267" i="119"/>
  <c r="EG130" i="1"/>
  <c r="FA281" i="119"/>
  <c r="FA260" i="119" s="1"/>
  <c r="EG88" i="1"/>
  <c r="EG52" i="1"/>
  <c r="EG109" i="1"/>
  <c r="FT107" i="1" l="1"/>
  <c r="FT31" i="1"/>
  <c r="AI279" i="119"/>
  <c r="FT32" i="1"/>
  <c r="FT50" i="1"/>
  <c r="FT71" i="1"/>
  <c r="FT52" i="1"/>
  <c r="AK15" i="114"/>
  <c r="AI281" i="119"/>
  <c r="AI260" i="119" s="1"/>
  <c r="FT109" i="1"/>
  <c r="EG54" i="1"/>
  <c r="EG90" i="1"/>
  <c r="EG132" i="1"/>
  <c r="EG111" i="1"/>
  <c r="FT51" i="1"/>
  <c r="FT108" i="1"/>
  <c r="AI280" i="119"/>
  <c r="FA283" i="119"/>
  <c r="FA282" i="119"/>
  <c r="FA305" i="119"/>
  <c r="EG25" i="3"/>
  <c r="FU11" i="3"/>
  <c r="EG47" i="2"/>
  <c r="EG110" i="1"/>
  <c r="EG53" i="1"/>
  <c r="EG89" i="1"/>
  <c r="EG131" i="1"/>
  <c r="J62" i="118"/>
  <c r="J74" i="118" s="1"/>
  <c r="J72" i="118"/>
  <c r="J97" i="118"/>
  <c r="J109" i="118" s="1"/>
  <c r="J107" i="118"/>
  <c r="FU25" i="3" l="1"/>
  <c r="AI305" i="119"/>
  <c r="EG50" i="3"/>
  <c r="EG54" i="3"/>
  <c r="FA96" i="119"/>
  <c r="AK31" i="114"/>
  <c r="AK16" i="114"/>
  <c r="AK17" i="114"/>
  <c r="AK36" i="114"/>
  <c r="FT53" i="1"/>
  <c r="FT110" i="1"/>
  <c r="AI282" i="119"/>
  <c r="FU47" i="2"/>
  <c r="EG49" i="2"/>
  <c r="AK19" i="114"/>
  <c r="FT111" i="1"/>
  <c r="FT54" i="1"/>
  <c r="AI283" i="119"/>
  <c r="AK21" i="114" l="1"/>
  <c r="AK32" i="114"/>
  <c r="AK20" i="114"/>
  <c r="AK44" i="114"/>
  <c r="FU49" i="2"/>
  <c r="FA69" i="119"/>
  <c r="FA271" i="119" s="1"/>
  <c r="EG51" i="2"/>
  <c r="FA67" i="119"/>
  <c r="FA298" i="119" s="1"/>
  <c r="FA256" i="119" s="1"/>
  <c r="EG66" i="2"/>
  <c r="EG55" i="3"/>
  <c r="EG65" i="3"/>
  <c r="FA108" i="119"/>
  <c r="EG52" i="3"/>
  <c r="FU50" i="3"/>
  <c r="AI96" i="119"/>
  <c r="FU54" i="3"/>
  <c r="FU51" i="2" l="1"/>
  <c r="AI70" i="119" s="1"/>
  <c r="FA70" i="119"/>
  <c r="FU55" i="3"/>
  <c r="AK27" i="114" s="1"/>
  <c r="FU65" i="3"/>
  <c r="FU79" i="3"/>
  <c r="AI69" i="119"/>
  <c r="AI271" i="119" s="1"/>
  <c r="AI67" i="119"/>
  <c r="AI298" i="119" s="1"/>
  <c r="AI256" i="119" s="1"/>
  <c r="AI108" i="119"/>
  <c r="FU52" i="3"/>
  <c r="EG58" i="3"/>
  <c r="EG11" i="2" s="1"/>
  <c r="EH51" i="3"/>
  <c r="FU58" i="3" l="1"/>
  <c r="FV51" i="3"/>
  <c r="FU11" i="2"/>
  <c r="EG18" i="2"/>
  <c r="FA41" i="119"/>
  <c r="FA265" i="119" s="1"/>
  <c r="EG56" i="2"/>
  <c r="EG59" i="3"/>
  <c r="AK34" i="114"/>
  <c r="AK29" i="114"/>
  <c r="AK28" i="114"/>
  <c r="AI41" i="119" l="1"/>
  <c r="AI265" i="119" s="1"/>
  <c r="FU59" i="3"/>
  <c r="FU56" i="2"/>
  <c r="EG58" i="2"/>
  <c r="EG114" i="2"/>
  <c r="EH116" i="2" s="1"/>
  <c r="EH19" i="1" s="1"/>
  <c r="FA45" i="119"/>
  <c r="EG61" i="2"/>
  <c r="FU18" i="2"/>
  <c r="EG27" i="2"/>
  <c r="FA76" i="119" l="1"/>
  <c r="FA264" i="119" s="1"/>
  <c r="EG59" i="2"/>
  <c r="FU59" i="2" s="1"/>
  <c r="FU58" i="2"/>
  <c r="AI76" i="119" s="1"/>
  <c r="AI264" i="119" s="1"/>
  <c r="EH21" i="1"/>
  <c r="HD19" i="1"/>
  <c r="HD21" i="1" s="1"/>
  <c r="HD18" i="1" s="1"/>
  <c r="FA55" i="119"/>
  <c r="FU27" i="2"/>
  <c r="EG53" i="2"/>
  <c r="EG67" i="2"/>
  <c r="AI45" i="119"/>
  <c r="FU61" i="2"/>
  <c r="EH18" i="1" l="1"/>
  <c r="FB24" i="119"/>
  <c r="FB26" i="119" s="1"/>
  <c r="FU53" i="2"/>
  <c r="AI55" i="119"/>
  <c r="EH23" i="1" l="1"/>
  <c r="EH105" i="1" l="1"/>
  <c r="FB30" i="119"/>
  <c r="FB269" i="119" s="1"/>
  <c r="EH84" i="1"/>
  <c r="EH69" i="1"/>
  <c r="EH126" i="1"/>
  <c r="EH24" i="1"/>
  <c r="EH26" i="1" s="1"/>
  <c r="EH48" i="1"/>
  <c r="HD23" i="1"/>
  <c r="EH49" i="1" l="1"/>
  <c r="EH127" i="1"/>
  <c r="EH70" i="1"/>
  <c r="FB277" i="119"/>
  <c r="EH28" i="1"/>
  <c r="EH29" i="1"/>
  <c r="EH85" i="1"/>
  <c r="FB275" i="119"/>
  <c r="EH30" i="1"/>
  <c r="EH106" i="1"/>
  <c r="HD26" i="1"/>
  <c r="HD48" i="1"/>
  <c r="HD69" i="1"/>
  <c r="HD105" i="1"/>
  <c r="FB273" i="119"/>
  <c r="HD24" i="1"/>
  <c r="HD25" i="1" s="1"/>
  <c r="EH108" i="1" l="1"/>
  <c r="EH51" i="1"/>
  <c r="EH87" i="1"/>
  <c r="EH129" i="1"/>
  <c r="HD70" i="1"/>
  <c r="HD106" i="1"/>
  <c r="HD30" i="1"/>
  <c r="HD49" i="1"/>
  <c r="HD29" i="1"/>
  <c r="EH71" i="1"/>
  <c r="EH11" i="3"/>
  <c r="EH32" i="1"/>
  <c r="FB279" i="119"/>
  <c r="EH50" i="1"/>
  <c r="EH107" i="1"/>
  <c r="EH128" i="1"/>
  <c r="EH31" i="1"/>
  <c r="EH86" i="1"/>
  <c r="HD28" i="1"/>
  <c r="FB280" i="119"/>
  <c r="FB267" i="119"/>
  <c r="EH130" i="1"/>
  <c r="EH88" i="1"/>
  <c r="EH52" i="1"/>
  <c r="EH109" i="1"/>
  <c r="FB281" i="119"/>
  <c r="FB260" i="119" s="1"/>
  <c r="EH111" i="1" l="1"/>
  <c r="EH132" i="1"/>
  <c r="EH90" i="1"/>
  <c r="EH54" i="1"/>
  <c r="EH131" i="1"/>
  <c r="EH110" i="1"/>
  <c r="EH53" i="1"/>
  <c r="EH89" i="1"/>
  <c r="EH25" i="3"/>
  <c r="FB305" i="119"/>
  <c r="GI11" i="3"/>
  <c r="EH47" i="2"/>
  <c r="HD108" i="1"/>
  <c r="HD51" i="1"/>
  <c r="HD32" i="1"/>
  <c r="HD107" i="1"/>
  <c r="HD71" i="1"/>
  <c r="HD50" i="1"/>
  <c r="HD31" i="1"/>
  <c r="FB282" i="119"/>
  <c r="FB283" i="119"/>
  <c r="L63" i="117"/>
  <c r="HD52" i="1"/>
  <c r="HD109" i="1"/>
  <c r="HD54" i="1" l="1"/>
  <c r="HD111" i="1"/>
  <c r="EH54" i="3"/>
  <c r="EH50" i="3"/>
  <c r="FB96" i="119"/>
  <c r="GI25" i="3"/>
  <c r="GI54" i="3" s="1"/>
  <c r="GI55" i="3" s="1"/>
  <c r="L59" i="117" s="1"/>
  <c r="HD110" i="1"/>
  <c r="HD53" i="1"/>
  <c r="EH49" i="2"/>
  <c r="EH52" i="3" l="1"/>
  <c r="FB108" i="119"/>
  <c r="GI50" i="3"/>
  <c r="GI52" i="3" s="1"/>
  <c r="FB69" i="119"/>
  <c r="FB271" i="119" s="1"/>
  <c r="FB67" i="119"/>
  <c r="FB298" i="119" s="1"/>
  <c r="FB256" i="119" s="1"/>
  <c r="EH51" i="2"/>
  <c r="FB70" i="119" s="1"/>
  <c r="EH66" i="2"/>
  <c r="EH55" i="3"/>
  <c r="EH65" i="3"/>
  <c r="EI51" i="3" l="1"/>
  <c r="EH58" i="3"/>
  <c r="EH11" i="2" s="1"/>
  <c r="EH59" i="3" l="1"/>
  <c r="EH56" i="2"/>
  <c r="EH18" i="2"/>
  <c r="FB41" i="119"/>
  <c r="FB265" i="119" s="1"/>
  <c r="FB45" i="119" l="1"/>
  <c r="EH27" i="2"/>
  <c r="EH61" i="2"/>
  <c r="EH114" i="2"/>
  <c r="EI116" i="2" s="1"/>
  <c r="EI19" i="1" s="1"/>
  <c r="EH58" i="2"/>
  <c r="FB76" i="119" l="1"/>
  <c r="FB264" i="119" s="1"/>
  <c r="EH59" i="2"/>
  <c r="EI21" i="1"/>
  <c r="EH53" i="2"/>
  <c r="FB55" i="119"/>
  <c r="EH67" i="2"/>
  <c r="EI18" i="1" l="1"/>
  <c r="FC24" i="119"/>
  <c r="FC26" i="119" s="1"/>
  <c r="EI23" i="1" l="1"/>
  <c r="EI48" i="1" l="1"/>
  <c r="EI126" i="1"/>
  <c r="FC30" i="119"/>
  <c r="FC269" i="119" s="1"/>
  <c r="EI105" i="1"/>
  <c r="EI69" i="1"/>
  <c r="EI84" i="1"/>
  <c r="EI24" i="1"/>
  <c r="FC273" i="119" l="1"/>
  <c r="EI26" i="1"/>
  <c r="EI70" i="1" l="1"/>
  <c r="EI29" i="1"/>
  <c r="EI28" i="1"/>
  <c r="EI30" i="1"/>
  <c r="FC275" i="119"/>
  <c r="EI85" i="1"/>
  <c r="EI127" i="1"/>
  <c r="FC277" i="119"/>
  <c r="EI49" i="1"/>
  <c r="EI106" i="1"/>
  <c r="EI128" i="1" l="1"/>
  <c r="EI31" i="1"/>
  <c r="EI107" i="1"/>
  <c r="EI32" i="1"/>
  <c r="EI86" i="1"/>
  <c r="EI50" i="1"/>
  <c r="FC279" i="119"/>
  <c r="EI11" i="3"/>
  <c r="EI71" i="1"/>
  <c r="EI130" i="1"/>
  <c r="FC281" i="119"/>
  <c r="FC260" i="119" s="1"/>
  <c r="EI109" i="1"/>
  <c r="EI88" i="1"/>
  <c r="EI52" i="1"/>
  <c r="FC280" i="119"/>
  <c r="FC267" i="119"/>
  <c r="EI129" i="1"/>
  <c r="EI87" i="1"/>
  <c r="EI108" i="1"/>
  <c r="EI51" i="1"/>
  <c r="EI25" i="3" l="1"/>
  <c r="FC305" i="119"/>
  <c r="EI47" i="2"/>
  <c r="EI89" i="1"/>
  <c r="EI131" i="1"/>
  <c r="EI53" i="1"/>
  <c r="EI110" i="1"/>
  <c r="EI111" i="1"/>
  <c r="EI90" i="1"/>
  <c r="EI132" i="1"/>
  <c r="EI54" i="1"/>
  <c r="FC283" i="119"/>
  <c r="FC282" i="119"/>
  <c r="EI49" i="2" l="1"/>
  <c r="FC96" i="119"/>
  <c r="EI54" i="3"/>
  <c r="EI50" i="3"/>
  <c r="EI52" i="3" l="1"/>
  <c r="FC108" i="119"/>
  <c r="EI65" i="3"/>
  <c r="EI55" i="3"/>
  <c r="EI51" i="2"/>
  <c r="FC70" i="119" s="1"/>
  <c r="FC69" i="119"/>
  <c r="FC271" i="119" s="1"/>
  <c r="FC67" i="119"/>
  <c r="FC298" i="119" s="1"/>
  <c r="FC256" i="119" s="1"/>
  <c r="EI66" i="2"/>
  <c r="EJ51" i="3" l="1"/>
  <c r="EI58" i="3"/>
  <c r="EI11" i="2" s="1"/>
  <c r="EI56" i="2" l="1"/>
  <c r="EI18" i="2"/>
  <c r="EI59" i="3"/>
  <c r="FC41" i="119"/>
  <c r="FC265" i="119" s="1"/>
  <c r="EI27" i="2" l="1"/>
  <c r="FC45" i="119"/>
  <c r="EI61" i="2"/>
  <c r="EI114" i="2"/>
  <c r="EJ116" i="2" s="1"/>
  <c r="EJ19" i="1" s="1"/>
  <c r="EI58" i="2"/>
  <c r="FC76" i="119" l="1"/>
  <c r="FC264" i="119" s="1"/>
  <c r="EI59" i="2"/>
  <c r="EJ21" i="1"/>
  <c r="FC55" i="119"/>
  <c r="EI53" i="2"/>
  <c r="EI67" i="2"/>
  <c r="EJ18" i="1" l="1"/>
  <c r="FD24" i="119"/>
  <c r="FD26" i="119" s="1"/>
  <c r="EJ23" i="1" l="1"/>
  <c r="EJ24" i="1" l="1"/>
  <c r="EJ26" i="1" s="1"/>
  <c r="EJ105" i="1"/>
  <c r="EJ84" i="1"/>
  <c r="EJ126" i="1"/>
  <c r="EJ69" i="1"/>
  <c r="FD30" i="119"/>
  <c r="FD269" i="119" s="1"/>
  <c r="EJ48" i="1"/>
  <c r="EJ29" i="1" l="1"/>
  <c r="EJ30" i="1"/>
  <c r="EJ106" i="1"/>
  <c r="EJ127" i="1"/>
  <c r="EJ70" i="1"/>
  <c r="FD277" i="119"/>
  <c r="EJ28" i="1"/>
  <c r="FD275" i="119"/>
  <c r="EJ85" i="1"/>
  <c r="EJ49" i="1"/>
  <c r="FD273" i="119"/>
  <c r="FD280" i="119" l="1"/>
  <c r="FD267" i="119"/>
  <c r="EJ88" i="1"/>
  <c r="FD281" i="119"/>
  <c r="FD260" i="119" s="1"/>
  <c r="EJ130" i="1"/>
  <c r="EJ109" i="1"/>
  <c r="EJ52" i="1"/>
  <c r="EJ32" i="1"/>
  <c r="EJ71" i="1"/>
  <c r="EJ31" i="1"/>
  <c r="EJ107" i="1"/>
  <c r="FD279" i="119"/>
  <c r="EJ50" i="1"/>
  <c r="EJ128" i="1"/>
  <c r="EJ11" i="3"/>
  <c r="EJ86" i="1"/>
  <c r="EJ108" i="1"/>
  <c r="EJ51" i="1"/>
  <c r="EJ87" i="1"/>
  <c r="EJ129" i="1"/>
  <c r="FD283" i="119" l="1"/>
  <c r="FD282" i="119"/>
  <c r="EJ53" i="1"/>
  <c r="EJ89" i="1"/>
  <c r="EJ131" i="1"/>
  <c r="EJ110" i="1"/>
  <c r="EJ111" i="1"/>
  <c r="EJ54" i="1"/>
  <c r="EJ90" i="1"/>
  <c r="EJ132" i="1"/>
  <c r="FD305" i="119"/>
  <c r="EJ25" i="3"/>
  <c r="EJ47" i="2"/>
  <c r="EJ50" i="3" l="1"/>
  <c r="FD96" i="119"/>
  <c r="EJ54" i="3"/>
  <c r="EJ49" i="2"/>
  <c r="FD67" i="119" l="1"/>
  <c r="FD298" i="119" s="1"/>
  <c r="FD256" i="119" s="1"/>
  <c r="EJ51" i="2"/>
  <c r="FD70" i="119" s="1"/>
  <c r="FD69" i="119"/>
  <c r="FD271" i="119" s="1"/>
  <c r="EJ66" i="2"/>
  <c r="EJ65" i="3"/>
  <c r="EJ55" i="3"/>
  <c r="FD108" i="119"/>
  <c r="EJ52" i="3"/>
  <c r="EJ58" i="3" l="1"/>
  <c r="EJ11" i="2" s="1"/>
  <c r="EK51" i="3"/>
  <c r="EJ18" i="2" l="1"/>
  <c r="FD41" i="119"/>
  <c r="FD265" i="119" s="1"/>
  <c r="EJ56" i="2"/>
  <c r="EJ59" i="3"/>
  <c r="EJ114" i="2" l="1"/>
  <c r="EK116" i="2" s="1"/>
  <c r="EK19" i="1" s="1"/>
  <c r="EJ58" i="2"/>
  <c r="EJ27" i="2"/>
  <c r="FD45" i="119"/>
  <c r="EJ61" i="2"/>
  <c r="EJ53" i="2" l="1"/>
  <c r="FD55" i="119"/>
  <c r="EJ67" i="2"/>
  <c r="FD76" i="119"/>
  <c r="FD264" i="119" s="1"/>
  <c r="EJ59" i="2"/>
  <c r="EK21" i="1"/>
  <c r="FU19" i="1"/>
  <c r="EK18" i="1" l="1"/>
  <c r="FE24" i="119"/>
  <c r="FE26" i="119" s="1"/>
  <c r="FU21" i="1"/>
  <c r="AJ24" i="119" s="1"/>
  <c r="AJ26" i="119" s="1"/>
  <c r="EK23" i="1" l="1"/>
  <c r="FU18" i="1"/>
  <c r="K21" i="118" l="1"/>
  <c r="K22" i="118" s="1"/>
  <c r="FU23" i="1"/>
  <c r="EK69" i="1"/>
  <c r="EK48" i="1"/>
  <c r="EK105" i="1"/>
  <c r="EK84" i="1"/>
  <c r="EK24" i="1"/>
  <c r="FE30" i="119"/>
  <c r="FE269" i="119" s="1"/>
  <c r="EK126" i="1"/>
  <c r="FE273" i="119" l="1"/>
  <c r="FU24" i="1"/>
  <c r="FU26" i="1" s="1"/>
  <c r="EK26" i="1"/>
  <c r="FU48" i="1"/>
  <c r="AJ30" i="119"/>
  <c r="AJ269" i="119" s="1"/>
  <c r="FU69" i="1"/>
  <c r="FU105" i="1"/>
  <c r="K46" i="118"/>
  <c r="K24" i="118"/>
  <c r="FU49" i="1" l="1"/>
  <c r="AJ275" i="119"/>
  <c r="FU28" i="1"/>
  <c r="FU30" i="1"/>
  <c r="FU106" i="1"/>
  <c r="AJ277" i="119"/>
  <c r="AJ267" i="119" s="1"/>
  <c r="FU29" i="1"/>
  <c r="FU70" i="1"/>
  <c r="K36" i="118"/>
  <c r="K26" i="118"/>
  <c r="K38" i="118" s="1"/>
  <c r="K47" i="118"/>
  <c r="FU25" i="1"/>
  <c r="AJ273" i="119"/>
  <c r="K82" i="118"/>
  <c r="K59" i="118" s="1"/>
  <c r="K60" i="118" s="1"/>
  <c r="K117" i="118"/>
  <c r="K94" i="118" s="1"/>
  <c r="K95" i="118" s="1"/>
  <c r="EK85" i="1"/>
  <c r="EK49" i="1"/>
  <c r="FE277" i="119"/>
  <c r="EK28" i="1"/>
  <c r="FE275" i="119"/>
  <c r="EK30" i="1"/>
  <c r="EK106" i="1"/>
  <c r="EK70" i="1"/>
  <c r="EK29" i="1"/>
  <c r="EK127" i="1"/>
  <c r="FE280" i="119" l="1"/>
  <c r="FE267" i="119"/>
  <c r="C8" i="117"/>
  <c r="AJ290" i="119"/>
  <c r="FU109" i="1"/>
  <c r="FU52" i="1"/>
  <c r="AL15" i="114"/>
  <c r="AJ281" i="119"/>
  <c r="AJ260" i="119" s="1"/>
  <c r="FE281" i="119"/>
  <c r="FE260" i="119" s="1"/>
  <c r="EK109" i="1"/>
  <c r="EK130" i="1"/>
  <c r="EK52" i="1"/>
  <c r="EK88" i="1"/>
  <c r="FU50" i="1"/>
  <c r="FU32" i="1"/>
  <c r="FU71" i="1"/>
  <c r="AJ279" i="119"/>
  <c r="FU107" i="1"/>
  <c r="FU31" i="1"/>
  <c r="EK87" i="1"/>
  <c r="EK129" i="1"/>
  <c r="EK51" i="1"/>
  <c r="EK108" i="1"/>
  <c r="K97" i="118"/>
  <c r="K109" i="118" s="1"/>
  <c r="K107" i="118"/>
  <c r="K62" i="118"/>
  <c r="K74" i="118" s="1"/>
  <c r="K72" i="118"/>
  <c r="EK128" i="1"/>
  <c r="EK11" i="3"/>
  <c r="FE279" i="119"/>
  <c r="EK31" i="1"/>
  <c r="EK32" i="1"/>
  <c r="EK107" i="1"/>
  <c r="EK86" i="1"/>
  <c r="EK50" i="1"/>
  <c r="EK71" i="1"/>
  <c r="FU51" i="1"/>
  <c r="AJ280" i="119"/>
  <c r="FU108" i="1"/>
  <c r="FE282" i="119" l="1"/>
  <c r="FE283" i="119"/>
  <c r="FU54" i="1"/>
  <c r="AL19" i="114"/>
  <c r="FU111" i="1"/>
  <c r="AJ283" i="119"/>
  <c r="EK132" i="1"/>
  <c r="EK54" i="1"/>
  <c r="EK111" i="1"/>
  <c r="EK90" i="1"/>
  <c r="FE305" i="119"/>
  <c r="EK25" i="3"/>
  <c r="FV11" i="3"/>
  <c r="EK47" i="2"/>
  <c r="C9" i="117"/>
  <c r="C22" i="117" s="1"/>
  <c r="F32" i="117"/>
  <c r="F33" i="117" s="1"/>
  <c r="F39" i="117" s="1"/>
  <c r="J32" i="117"/>
  <c r="J33" i="117" s="1"/>
  <c r="J39" i="117" s="1"/>
  <c r="E32" i="117"/>
  <c r="E33" i="117" s="1"/>
  <c r="E39" i="117" s="1"/>
  <c r="I32" i="117"/>
  <c r="I33" i="117" s="1"/>
  <c r="I39" i="117" s="1"/>
  <c r="K32" i="117"/>
  <c r="K33" i="117" s="1"/>
  <c r="K39" i="117" s="1"/>
  <c r="G32" i="117"/>
  <c r="G33" i="117" s="1"/>
  <c r="G39" i="117" s="1"/>
  <c r="H32" i="117"/>
  <c r="H33" i="117" s="1"/>
  <c r="H39" i="117" s="1"/>
  <c r="L32" i="117"/>
  <c r="L33" i="117" s="1"/>
  <c r="L39" i="117" s="1"/>
  <c r="EK110" i="1"/>
  <c r="EK131" i="1"/>
  <c r="EK53" i="1"/>
  <c r="EK89" i="1"/>
  <c r="AJ282" i="119"/>
  <c r="FU110" i="1"/>
  <c r="FU53" i="1"/>
  <c r="AL16" i="114"/>
  <c r="AL17" i="114"/>
  <c r="AL31" i="114"/>
  <c r="AL36" i="114"/>
  <c r="L40" i="117" l="1"/>
  <c r="N39" i="117"/>
  <c r="N43" i="117" s="1"/>
  <c r="L43" i="117"/>
  <c r="F49" i="117"/>
  <c r="AL32" i="114"/>
  <c r="AL20" i="114"/>
  <c r="AL21" i="114"/>
  <c r="AL44" i="114"/>
  <c r="G40" i="117"/>
  <c r="G43" i="117"/>
  <c r="H43" i="117"/>
  <c r="H40" i="117"/>
  <c r="K40" i="117"/>
  <c r="K43" i="117"/>
  <c r="FV47" i="2"/>
  <c r="EK49" i="2"/>
  <c r="EK54" i="3"/>
  <c r="EK50" i="3"/>
  <c r="FE96" i="119"/>
  <c r="J40" i="117"/>
  <c r="J43" i="117"/>
  <c r="F40" i="117"/>
  <c r="I44" i="117"/>
  <c r="J44" i="117"/>
  <c r="N44" i="117"/>
  <c r="G44" i="117"/>
  <c r="C25" i="117"/>
  <c r="H44" i="117"/>
  <c r="L44" i="117"/>
  <c r="K44" i="117"/>
  <c r="I43" i="117"/>
  <c r="I40" i="117"/>
  <c r="FV25" i="3"/>
  <c r="AJ305" i="119"/>
  <c r="G45" i="117" l="1"/>
  <c r="H45" i="117"/>
  <c r="EK65" i="3"/>
  <c r="EK55" i="3"/>
  <c r="J45" i="117"/>
  <c r="L45" i="117"/>
  <c r="FE108" i="119"/>
  <c r="EK52" i="3"/>
  <c r="EK58" i="3" s="1"/>
  <c r="EK11" i="2" s="1"/>
  <c r="FV50" i="3"/>
  <c r="FV54" i="3"/>
  <c r="AJ96" i="119"/>
  <c r="N45" i="117"/>
  <c r="C26" i="117"/>
  <c r="FE67" i="119"/>
  <c r="FE298" i="119" s="1"/>
  <c r="FE256" i="119" s="1"/>
  <c r="EK51" i="2"/>
  <c r="FV49" i="2"/>
  <c r="FE69" i="119"/>
  <c r="FE271" i="119" s="1"/>
  <c r="EK66" i="2"/>
  <c r="K45" i="117"/>
  <c r="I45" i="117"/>
  <c r="F50" i="117" l="1"/>
  <c r="FV51" i="2"/>
  <c r="AJ70" i="119" s="1"/>
  <c r="FE70" i="119"/>
  <c r="FV79" i="3"/>
  <c r="FV65" i="3"/>
  <c r="FV55" i="3"/>
  <c r="AL27" i="114" s="1"/>
  <c r="FV52" i="3"/>
  <c r="FV58" i="3" s="1"/>
  <c r="AJ108" i="119"/>
  <c r="AJ69" i="119"/>
  <c r="AJ271" i="119" s="1"/>
  <c r="AJ67" i="119"/>
  <c r="AJ298" i="119" s="1"/>
  <c r="AJ256" i="119" s="1"/>
  <c r="EK56" i="2"/>
  <c r="EK18" i="2"/>
  <c r="EK59" i="3"/>
  <c r="FV11" i="2"/>
  <c r="FE41" i="119"/>
  <c r="FE265" i="119" s="1"/>
  <c r="G50" i="117"/>
  <c r="FV18" i="2" l="1"/>
  <c r="EK61" i="2"/>
  <c r="FE45" i="119"/>
  <c r="EK27" i="2"/>
  <c r="EK58" i="2"/>
  <c r="EK114" i="2"/>
  <c r="FV56" i="2"/>
  <c r="AL29" i="114"/>
  <c r="AL28" i="114"/>
  <c r="AL34" i="114"/>
  <c r="H50" i="117"/>
  <c r="FV59" i="3"/>
  <c r="AJ41" i="119"/>
  <c r="AJ265" i="119" s="1"/>
  <c r="I7" i="117"/>
  <c r="H51" i="117" l="1"/>
  <c r="FV27" i="2"/>
  <c r="FE55" i="119"/>
  <c r="EK53" i="2"/>
  <c r="EK67" i="2"/>
  <c r="I12" i="117"/>
  <c r="I14" i="117" s="1"/>
  <c r="I18" i="117" s="1"/>
  <c r="E57" i="117"/>
  <c r="G57" i="117"/>
  <c r="K57" i="117"/>
  <c r="F57" i="117"/>
  <c r="H57" i="117"/>
  <c r="L57" i="117"/>
  <c r="J57" i="117"/>
  <c r="I57" i="117"/>
  <c r="G46" i="117"/>
  <c r="H46" i="117"/>
  <c r="F51" i="117"/>
  <c r="K46" i="117"/>
  <c r="J46" i="117"/>
  <c r="I46" i="117"/>
  <c r="L46" i="117"/>
  <c r="N46" i="117"/>
  <c r="G51" i="117"/>
  <c r="FE76" i="119"/>
  <c r="FE264" i="119" s="1"/>
  <c r="EK59" i="2"/>
  <c r="FV59" i="2" s="1"/>
  <c r="FV58" i="2"/>
  <c r="AJ76" i="119" s="1"/>
  <c r="AJ264" i="119" s="1"/>
  <c r="FV61" i="2"/>
  <c r="AJ45" i="119"/>
  <c r="K64" i="117" l="1"/>
  <c r="E60" i="117"/>
  <c r="E61" i="117" s="1"/>
  <c r="I64" i="117"/>
  <c r="K60" i="117"/>
  <c r="K61" i="117" s="1"/>
  <c r="J64" i="117"/>
  <c r="I60" i="117"/>
  <c r="I61" i="117" s="1"/>
  <c r="H64" i="117"/>
  <c r="E64" i="117"/>
  <c r="J60" i="117"/>
  <c r="J61" i="117" s="1"/>
  <c r="S21" i="117"/>
  <c r="S26" i="117"/>
  <c r="F60" i="117"/>
  <c r="F61" i="117" s="1"/>
  <c r="H60" i="117"/>
  <c r="H61" i="117" s="1"/>
  <c r="G60" i="117"/>
  <c r="G61" i="117" s="1"/>
  <c r="F64" i="117"/>
  <c r="G64" i="117"/>
  <c r="L64" i="117"/>
  <c r="L60" i="117"/>
  <c r="L61" i="117" s="1"/>
  <c r="H49" i="117"/>
  <c r="AJ55" i="119"/>
  <c r="FV5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Person0781, Person1217 </author>
  </authors>
  <commentList>
    <comment ref="A1" authorId="0" shapeId="0" xr:uid="{AA86631E-E615-4E27-B40D-964C604519F5}">
      <text>
        <r>
          <rPr>
            <b/>
            <sz val="9"/>
            <color indexed="81"/>
            <rFont val="Tahoma"/>
            <charset val="1"/>
          </rPr>
          <t>Author:xsd="http://www.w3.org/2001/XMLSchema" xmlns:xsi="http://www.w3.org/2001/XMLSchema-instance" Version="2" Timestamp="1754008292"&gt;&lt;FQL&gt;&lt;Q&gt;Company0006^FE_ESTIMATE(SALES,MEAN,QUARTERLY,2024/1F,NOW,,,'')&lt;/Q&gt;&lt;R&gt;1&lt;/R&gt;&lt;C&gt;1&lt;/C&gt;&lt;D xsi:type="xsd:double"&gt;119575&lt;/D&gt;&lt;/FQL&gt;&lt;FQL&gt;&lt;Q&gt;Company0006^FE_ESTIMATE(GEO_SALES_5,MEAN,QUARTERLY,2024/1F,NOW,,,'')&lt;/Q&gt;&lt;R&gt;1&lt;/R&gt;&lt;C&gt;1&lt;/C&gt;&lt;D xsi:type="xsd:double"&gt;10162&lt;/D&gt;&lt;/FQL&gt;&lt;FQL&gt;&lt;Q&gt;Company0006^FE_ESTIMATE(GEO_SALES_4,MEAN,QUARTERLY,2024/1F,NOW,,,'')&lt;/Q&gt;&lt;R&gt;1&lt;/R&gt;&lt;C&gt;1&lt;/C&gt;&lt;D xsi:type="xsd:double"&gt;7767&lt;/D&gt;&lt;/FQL&gt;&lt;FQL&gt;&lt;Q&gt;Company0006^FE_ESTIMATE(GEO_SALES_3,MEAN,QUARTERLY,2024/1F,NOW,,,'')&lt;/Q&gt;&lt;R&gt;1&lt;/R&gt;&lt;C&gt;1&lt;/C&gt;&lt;D xsi:type="xsd:double"&gt;20819&lt;/D&gt;&lt;/FQL&gt;&lt;FQL&gt;&lt;Q&gt;Company0006^FE_ESTIMATE(GEO_SALES_2,MEAN,QUARTERLY,2024/1F,NOW,,,'')&lt;/Q&gt;&lt;R&gt;1&lt;/R&gt;&lt;C&gt;1&lt;/C&gt;&lt;D xsi:type="xsd:double"&gt;30397&lt;/D&gt;&lt;/FQL&gt;&lt;FQL&gt;&lt;Q&gt;Company0006^FE_ESTIMATE(GEO_SALES_1,MEAN,QUARTERLY,2024/1F,NOW,,,'')&lt;/Q&gt;&lt;R&gt;1&lt;/R&gt;&lt;C&gt;1&lt;/C&gt;&lt;D xsi:type="xsd:double"&gt;50430&lt;/D&gt;&lt;/FQL&gt;&lt;FQL&gt;&lt;Q&gt;Company0006^FE_ESTIMATE(GROSSINCOME,MEAN,QUARTERLY,2024/1F,NOW,,,'')&lt;/Q&gt;&lt;R&gt;1&lt;/R&gt;&lt;C&gt;1&lt;/C&gt;&lt;D xsi:type="xsd:double"&gt;54856.48&lt;/D&gt;&lt;/FQL&gt;&lt;FQL&gt;&lt;Q&gt;Company0006^FE_ESTIMATE(PRODLINE_GROSSINCOME_11,MEAN,QUARTERLY,2024/1F,NOW,,,'')&lt;/Q&gt;&lt;R&gt;1&lt;/R&gt;&lt;C&gt;1&lt;/C&gt;&lt;D xsi:type="xsd:double"&gt;16837&lt;/D&gt;&lt;/FQL&gt;&lt;FQL&gt;&lt;Q&gt;Company0006^FE_ESTIMATE(PRODLINE_GROSSINCOME_14,MEAN,QUARTERLY,2024/1F,NOW,,,'')&lt;/Q&gt;&lt;R&gt;1&lt;/R&gt;&lt;C&gt;1&lt;/C&gt;&lt;D xsi:type="xsd:double"&gt;38018&lt;/D&gt;&lt;/FQL&gt;&lt;FQL&gt;&lt;Q&gt;Company0006^FE_ESTIMATE(PRODLINE_SALES_11,MEAN,QUARTERLY,2024/1F,NOW,,,'')&lt;/Q&gt;&lt;R&gt;1&lt;/R&gt;&lt;C&gt;1&lt;/C&gt;&lt;D xsi:type="xsd:double"&gt;23117&lt;/D&gt;&lt;/FQL&gt;&lt;FQL&gt;&lt;Q&gt;Company0006^FE_ESTIMATE(PRODLINE_SALES_14,MEAN,QUARTERLY,2024/1F,NOW,,,'')&lt;/Q&gt;&lt;R&gt;1&lt;/R&gt;&lt;C&gt;1&lt;/C&gt;&lt;D xsi:type="xsd:double"&gt;96458&lt;/D&gt;&lt;/FQL&gt;&lt;FQL&gt;&lt;Q&gt;Company0006^FE_ESTIMATE(PRODLINE_SALES_9,MEAN,QUARTERLY,2024/1F,NOW,,,'')&lt;/Q&gt;&lt;R&gt;1&lt;/R&gt;&lt;C&gt;1&lt;/C&gt;&lt;D xsi:type="xsd:double"&gt;11953&lt;/D&gt;&lt;/FQL&gt;&lt;FQL&gt;&lt;Q&gt;Company0006^FE_ESTIMATE(PRODLINE_SALES_10,MEAN,QUARTERLY,2024/1F,NOW,,,'')&lt;/Q&gt;&lt;R&gt;1&lt;/R&gt;&lt;C&gt;1&lt;/C&gt;&lt;D xsi:type="xsd:double"&gt;7780&lt;/D&gt;&lt;/FQL&gt;&lt;FQL&gt;&lt;Q&gt;Company0006^FE_ESTIMATE(PRODLINE_SALES_4,MEAN,QUARTERLY,2024/1F,NOW,,,'')&lt;/Q&gt;&lt;R&gt;1&lt;/R&gt;&lt;C&gt;1&lt;/C&gt;&lt;D xsi:type="xsd:double"&gt;7023&lt;/D&gt;&lt;/FQL&gt;&lt;FQL&gt;&lt;Q&gt;Company0006^FE_ESTIMATE(PRODLINE_SALES_5,MEAN,QUARTERLY,2024/1F,NOW,,,'')&lt;/Q&gt;&lt;R&gt;1&lt;/R&gt;&lt;C&gt;1&lt;/C&gt;&lt;D xsi:type="xsd:double"&gt;69702&lt;/D&gt;&lt;/FQL&gt;&lt;FQL&gt;&lt;Q&gt;Company0006^FE_ESTIMATE(EPS,MEAN,QUARTERLY,2024/1F,NOW,,,'')&lt;/Q&gt;&lt;R&gt;1&lt;/R&gt;&lt;C&gt;1&lt;/C&gt;&lt;D xsi:type="xsd:double"&gt;2.18&lt;/D&gt;&lt;/FQL&gt;&lt;FQL&gt;&lt;Q&gt;Company0006^FE_ESTIMATE(NETPROFIT,MEAN,QUARTERLY,2024/1F,NOW,,,'')&lt;/Q&gt;&lt;R&gt;1&lt;/R&gt;&lt;C&gt;1&lt;/C&gt;&lt;D xsi:type="xsd:double"&gt;33916&lt;/D&gt;&lt;/FQL&gt;&lt;FQL&gt;&lt;Q&gt;Company0006^FE_ESTIMATE(TAX_EXPENSE,MEAN,QUARTERLY,2024/1F,NOW,,,'')&lt;/Q&gt;&lt;R&gt;1&lt;/R&gt;&lt;C&gt;1&lt;/C&gt;&lt;D xsi:type="xsd:double"&gt;6407.125&lt;/D&gt;&lt;/FQL&gt;&lt;FQL&gt;&lt;Q&gt;Company0006^FE_ESTIMATE(PTP,MEAN,QUARTERLY,2024/1F,NOW,,,'')&lt;/Q&gt;&lt;R&gt;1&lt;/R&gt;&lt;C&gt;1&lt;/C&gt;&lt;D xsi:type="xsd:double"&gt;40343.28&lt;/D&gt;&lt;/FQL&gt;&lt;FQL&gt;&lt;Q&gt;Company0006^FE_ESTIMATE(EBIT,MEAN,QUARTERLY,2024/1F,NOW,,,'')&lt;/Q&gt;&lt;R&gt;1&lt;/R&gt;&lt;C&gt;1&lt;/C&gt;&lt;D xsi:type="xsd:double"&gt;40391.105&lt;/D&gt;&lt;/FQL&gt;&lt;FQL&gt;&lt;Q&gt;Company0006^FG_PRICE(NOW)&lt;/Q&gt;&lt;R&gt;1&lt;/R&gt;&lt;C&gt;1&lt;/C&gt;&lt;D xsi:type="xsd:double"&gt;209.05&lt;/D&gt;&lt;/FQL&gt;&lt;FQL&gt;&lt;Q&gt;Company0006^FE_ESTIMATE(EPS,MEAN,QUARTERLY,2025/4F,NOW,,,'')&lt;/Q&gt;&lt;R&gt;1&lt;/R&gt;&lt;C&gt;1&lt;/C&gt;&lt;D xsi:type="xsd:double"&gt;1.6470636&lt;/D&gt;&lt;/FQL&gt;&lt;FQL&gt;&lt;Q&gt;Company0006^FE_ESTIMATE(EBIT,MEAN,QUARTERLY,2025/4F,NOW,,,'')&lt;/Q&gt;&lt;R&gt;1&lt;/R&gt;&lt;C&gt;1&lt;/C&gt;&lt;D xsi:type="xsd:double"&gt;29350.66&lt;/D&gt;&lt;/FQL&gt;&lt;FQL&gt;&lt;Q&gt;Company0006^FE_ESTIMATE(GROSSINCOME,MEAN,QUARTERLY,2025/4F,NOW,,,'')&lt;/Q&gt;&lt;R&gt;1&lt;/R&gt;&lt;C&gt;1&lt;/C&gt;&lt;D xsi:type="xsd:double"&gt;44642.7&lt;/D&gt;&lt;/FQL&gt;&lt;FQL&gt;&lt;Q&gt;Company0006^FE_ESTIMATE(SALES,MEAN,QUARTERLY,2025/4F,NOW,,,'')&lt;/Q&gt;&lt;R&gt;1&lt;/R&gt;&lt;C&gt;1&lt;/C&gt;&lt;D xsi:type="xsd:double"&gt;97598.11&lt;/D&gt;&lt;/FQL&gt;&lt;FQL&gt;&lt;Q&gt;Company0006^FE_ESTIMATE(SALES,MEAN,QUARTERLY,2025/3F,NOW,,,'')&lt;/Q&gt;&lt;R&gt;1&lt;/R&gt;&lt;C&gt;1&lt;/C&gt;&lt;D xsi:type="xsd:double"&gt;89349.58&lt;/D&gt;&lt;/FQL&gt;&lt;FQL&gt;&lt;Q&gt;Company0006^FE_ESTIMATE(GROSSINCOME,MEAN,QUARTERLY,2025/3F,NOW,,,'')&lt;/Q&gt;&lt;R&gt;1&lt;/R&gt;&lt;C&gt;1&lt;/C&gt;&lt;D xsi:type="xsd:double"&gt;40995.855&lt;/D&gt;&lt;/FQL&gt;&lt;FQL&gt;&lt;Q&gt;Company0006^FE_ESTIMATE(PRODLINE_GROSSINCOME_11,MEAN,QUARTERLY,2025/3F,NOW,,,'')&lt;/Q&gt;&lt;R&gt;1&lt;/R&gt;&lt;C&gt;1&lt;/C&gt;&lt;D xsi:type="xsd:double"&gt;19725.5&lt;/D&gt;&lt;/FQL&gt;&lt;FQL&gt;&lt;Q&gt;Company0006^FE_ESTIMATE(PRODLINE_GROSSINCOME_14,MEAN,QUARTERLY,2025/3F,NOW,,,'')&lt;/Q&gt;&lt;R&gt;1&lt;/R&gt;&lt;C&gt;1&lt;/C&gt;&lt;D xsi:type="xsd:double"&gt;20863.75&lt;/D&gt;&lt;/FQL&gt;&lt;FQL&gt;&lt;Q&gt;Company0006^FE_ESTIMATE(PRODLINE_SALES_11,MEAN,QUARTERLY,2025/3F,NOW,,,'')&lt;/Q&gt;&lt;R&gt;1&lt;/R&gt;&lt;C&gt;1&lt;/C&gt;&lt;D xsi:type="xsd:double"&gt;26815.25&lt;/D&gt;&lt;/FQL&gt;&lt;FQL&gt;&lt;Q&gt;Company0006^FE_ESTIMATE(PRODLINE_SALES_14,MEAN,QUARTERLY,2025/3F,NOW,,,'')&lt;/Q&gt;&lt;R&gt;1&lt;/R&gt;&lt;C&gt;1&lt;/C&gt;&lt;D xsi:type="xsd:double"&gt;62811.668&lt;/D&gt;&lt;/FQL&gt;&lt;FQL&gt;&lt;Q&gt;Company0006^FE_ESTIMATE(PRODLINE_SALES_9,MEAN,QUARTERLY,2025/3F,NOW,,,'')&lt;/Q&gt;&lt;R&gt;1&lt;/R&gt;&lt;C&gt;1&lt;/C&gt;&lt;D xsi:type="xsd:double"&gt;7744.4614&lt;/D&gt;&lt;/FQL&gt;&lt;FQL&gt;&lt;Q&gt;Company0006^FE_ESTIMATE(PRODLINE_SALES_10,MEAN,QUARTERLY,2025/3F,NOW,,,'')&lt;/Q&gt;&lt;R&gt;1&lt;/R&gt;&lt;C&gt;1&lt;/C&gt;&lt;D xsi:type="xsd:double"&gt;7241&lt;/D&gt;&lt;/FQL&gt;&lt;FQL&gt;&lt;Q&gt;Company0006^FE_ESTIMATE(PRODLINE_SALES_4,MEAN,QUARTERLY,2025/3F,NOW,,,'')&lt;/Q&gt;&lt;R&gt;1&lt;/R&gt;&lt;C&gt;1&lt;/C&gt;&lt;D xsi:type="xsd:double"&gt;7228.077&lt;/D&gt;&lt;/FQL&gt;&lt;FQL&gt;&lt;Q&gt;Company0006^FE_ESTIMATE(PRODLINE_SALES_5,MEAN,QUARTERLY,2025/3F,NOW,,,'')&lt;/Q&gt;&lt;R&gt;1&lt;/R&gt;&lt;C&gt;1&lt;/C&gt;&lt;D xsi:type="xsd:double"&gt;40088.145&lt;/D&gt;&lt;/FQL&gt;&lt;FQL&gt;&lt;Q&gt;Company0006^FE_ESTIMATE(EPS,MEAN,QUARTERLY,2025/3F,NOW,,,'')&lt;/Q&gt;&lt;R&gt;1&lt;/R&gt;&lt;C&gt;1&lt;/C&gt;&lt;D xsi:type="xsd:double"&gt;1.4301676&lt;/D&gt;&lt;/FQL&gt;&lt;FQL&gt;&lt;Q&gt;Company0006^FE_ESTIMATE(NETPROFIT,MEAN,QUARTERLY,2025/3F,NOW,,,'')&lt;/Q&gt;&lt;R&gt;1&lt;/R&gt;&lt;C&gt;1&lt;/C&gt;&lt;D xsi:type="xsd:double"&gt;21395.629&lt;/D&gt;&lt;/FQL&gt;&lt;FQL&gt;&lt;Q&gt;Company0006^FE_ESTIMATE(TAX_EXPENSE,MEAN,QUARTERLY,2025/3F,NOW,,,'')&lt;/Q&gt;&lt;R&gt;1&lt;/R&gt;&lt;C&gt;1&lt;/C&gt;&lt;D xsi:type="xsd:double"&gt;4015.3408&lt;/D&gt;&lt;/FQL&gt;&lt;FQL&gt;&lt;Q&gt;Company0006^FE_ESTIMATE(PTP,MEAN,QUARTERLY,2025/3F,NOW,,,'')&lt;/Q&gt;&lt;R&gt;1&lt;/R&gt;&lt;C&gt;1&lt;/C&gt;&lt;D xsi:type="xsd:double"&gt;25377.52&lt;/D&gt;&lt;/FQL&gt;&lt;FQL&gt;&lt;Q&gt;Company0006^FE_ESTIMATE(EBIT,MEAN,QUARTERLY,2025/3F,NOW,,,'')&lt;/Q&gt;&lt;R&gt;1&lt;/R&gt;&lt;C&gt;1&lt;/C&gt;&lt;D xsi:type="xsd:double"&gt;25735.9&lt;/D&gt;&lt;/FQL&gt;&lt;FQL&gt;&lt;Q&gt;Company0006^FE_ESTIMATE(GROSSINCOME,MEAN,ANNUAL_ROLL, +4,NOW,,,'')&lt;/Q&gt;&lt;R&gt;1&lt;/R&gt;&lt;C&gt;1&lt;/C&gt;&lt;D xsi:type="xsd:double"&gt;194428&lt;/D&gt;&lt;/FQL&gt;&lt;FQL&gt;&lt;Q&gt;Company0006^FE_ESTIMATE(GROSSINCOME,MEAN,ANNUAL_ROLL, +3,NOW,,,'')&lt;/Q&gt;&lt;R&gt;1&lt;/R&gt;&lt;C&gt;1&lt;/C&gt;&lt;D xsi:type="xsd:double"&gt;211332.77&lt;/D&gt;&lt;/FQL&gt;&lt;FQL&gt;&lt;Q&gt;Company0006^FE_ESTIMATE(GROSSINCOME,MEAN,ANNUAL_ROLL, +2,NOW,,,'')&lt;/Q&gt;&lt;R&gt;1&lt;/R&gt;&lt;C&gt;1&lt;/C&gt;&lt;D xsi:type="xsd:double"&gt;199560.8&lt;/D&gt;&lt;/FQL&gt;&lt;FQL&gt;&lt;Q&gt;Company0006^FE_ESTIMATE(GROSSINCOME,MEAN,ANNUAL_ROLL, +1,NOW,,,'')&lt;/Q&gt;&lt;R&gt;1&lt;/R&gt;&lt;C&gt;1&lt;/C&gt;&lt;D xsi:type="xsd:double"&gt;189387.3&lt;/D&gt;&lt;/FQL&gt;&lt;FQL&gt;&lt;Q&gt;Company0006^FE_ESTIMATE(PRODLINE_GROSSINCOME_11,MEAN,ANNUAL_ROLL, +4,NOW,,,'')&lt;/Q&gt;&lt;R&gt;0&lt;/R&gt;&lt;C&gt;0&lt;/C&gt;&lt;/FQL&gt;&lt;FQL&gt;&lt;Q&gt;Company0006^FE_ESTIMATE(PRODLINE_GROSSINCOME_11,MEAN,ANNUAL_ROLL, +3,NOW,,,'')&lt;/Q&gt;&lt;R&gt;0&lt;/R&gt;&lt;C&gt;0&lt;/C&gt;&lt;/FQL&gt;&lt;FQL&gt;&lt;Q&gt;Company0006^FE_ESTIMATE(PRODLINE_GROSSINCOME_11,MEAN,ANNUAL_ROLL, +2,NOW,,,'')&lt;/Q&gt;&lt;R&gt;1&lt;/R&gt;&lt;C&gt;1&lt;/C&gt;&lt;D xsi:type="xsd:double"&gt;91660.664&lt;/D&gt;&lt;/FQL&gt;&lt;FQL&gt;&lt;Q&gt;Company0006^FE_ESTIMATE(PRODLINE_GROSSINCOME_11,MEAN,ANNUAL_ROLL, +1,NOW,,,'')&lt;/Q&gt;&lt;R&gt;1&lt;/R&gt;&lt;C&gt;1&lt;/C&gt;&lt;D xsi:type="xsd:double"&gt;80050.5&lt;/D&gt;&lt;/FQL&gt;&lt;FQL&gt;&lt;Q&gt;Company0006^FE_ESTIMATE(PRODLINE_GROSSINCOME_14,MEAN,ANNUAL_ROLL, +4,NOW,,,'')&lt;/Q&gt;&lt;R&gt;0&lt;/R&gt;&lt;C&gt;0&lt;/C&gt;&lt;/FQL&gt;&lt;FQL&gt;&lt;Q&gt;Company0006^FE_ESTIMATE(PRODLINE_GROSSINCOME_14,MEAN,ANNUAL_ROLL, +3,NOW,,,'')&lt;/Q&gt;&lt;R&gt;0&lt;/R&gt;&lt;C&gt;0&lt;/C&gt;&lt;/FQL&gt;&lt;FQL&gt;&lt;Q&gt;Company0006^FE_ESTIMATE(PRODLINE_GROSSINCOME_14,MEAN,ANNUAL_ROLL, +2,NOW,,,'')&lt;/Q&gt;&lt;R&gt;1&lt;/R&gt;&lt;C&gt;1&lt;/C&gt;&lt;D xsi:type="xsd:double"&gt;111429.664&lt;/D&gt;&lt;/FQL&gt;&lt;FQL&gt;&lt;Q&gt;Company0006^FE_ESTIMATE(PRODLINE_GROSSINCOME_14,MEAN,ANNUAL_ROLL, +1,NOW,,,'')&lt;/Q&gt;&lt;R&gt;1&lt;/R&gt;&lt;C&gt;1&lt;/C&gt;&lt;D xsi:type="xsd:double"&gt;108463.25&lt;/D&gt;&lt;/FQL&gt;&lt;FQL&gt;&lt;Q&gt;Company0006^FE_ESTIMATE(SALES,MEAN,ANNUAL_ROLL, +4,NOW,,,'')&lt;/Q&gt;&lt;R&gt;1&lt;/R&gt;&lt;C&gt;1&lt;/C&gt;&lt;D xsi:type="xsd:double"&gt;455481&lt;/D&gt;&lt;/FQL&gt;&lt;FQL&gt;&lt;Q&gt;Company0006^FE_ESTIMATE(SALES,MEAN,ANNUAL_ROLL, +3,NOW,,,'')&lt;/Q&gt;&lt;R&gt;1&lt;/R&gt;&lt;C&gt;1&lt;/C&gt;&lt;D xsi:type="xsd:double"&gt;454675.3&lt;/D&gt;&lt;/FQL&gt;&lt;FQL&gt;&lt;Q&gt;Company0006^FE_ESTIMATE(SALES,MEAN,ANNUAL_ROLL, +2,NOW,,,'')&lt;/Q&gt;&lt;R&gt;1&lt;/R&gt;&lt;C&gt;1&lt;/C&gt;&lt;D xsi:type="xsd:double"&gt;430610.2&lt;/D&gt;&lt;/FQL&gt;&lt;FQL&gt;&lt;Q&gt;Company0006^FE_ESTIMATE(SALES,MEAN,ANNUAL_ROLL, +1,NOW,,,'')&lt;/Q&gt;&lt;R&gt;1&lt;/R&gt;&lt;C&gt;1&lt;/C&gt;&lt;D xsi:type="xsd:double"&gt;407570.28&lt;/D&gt;&lt;/FQL&gt;&lt;FQL&gt;&lt;Q&gt;Company0006^FE_ESTIMATE(PRODLINE_SALES_11,MEAN,ANNUAL_ROLL, +4,NOW,,,'')&lt;/Q&gt;&lt;R&gt;1&lt;/R&gt;&lt;C&gt;1&lt;/C&gt;&lt;D xsi:type="xsd:double"&gt;124944&lt;/D&gt;&lt;/FQL&gt;&lt;FQL&gt;&lt;Q&gt;Company0006^FE_ESTIMATE(PRODLINE_SALES_11,MEAN,ANNUAL_ROLL, +3,NOW,,,'')&lt;/Q&gt;&lt;R&gt;1&lt;/R&gt;&lt;C&gt;1&lt;/C&gt;&lt;D xsi:type="xsd:double"&gt;129038.57&lt;/D&gt;&lt;/FQL&gt;&lt;FQL&gt;&lt;Q&gt;Company0006^FE_ESTIMATE(PRODLINE_SALES_11,MEAN,ANNUAL_ROLL, +2,NOW,,,'')&lt;/Q&gt;&lt;R&gt;1&lt;/R&gt;&lt;C&gt;1&lt;/C&gt;&lt;D xsi:type="xsd:double"&gt;118914.57&lt;/D&gt;&lt;/FQL&gt;&lt;FQL&gt;&lt;Q&gt;Company0006^FE_ESTIMATE(PRODLINE_SALES_11,MEAN,ANNUAL_ROLL, +1,NOW,,,'')&lt;/Q&gt;&lt;R&gt;1&lt;/R&gt;&lt;C&gt;1&lt;/C&gt;&lt;D xsi:type="xsd:double"&gt;107531.35&lt;/D&gt;&lt;/FQL&gt;&lt;FQL&gt;&lt;Q&gt;Company0006^FE_ESTIMATE(PRODLINE_SALES_14,MEAN,ANNUAL_ROLL, +4,NOW,,,'')&lt;/Q&gt;&lt;R&gt;1&lt;/R&gt;&lt;C&gt;1&lt;/C&gt;&lt;D xsi:type="xsd:double"&gt;306195&lt;/D&gt;&lt;/FQL&gt;&lt;FQL&gt;&lt;Q&gt;Company0006^FE_ESTIMATE(PRODLINE_SALES_14,MEAN,ANNUAL_ROLL, +3,NOW,,,'')&lt;/Q&gt;&lt;R&gt;1&lt;/R&gt;&lt;C&gt;1&lt;/C&gt;&lt;D xsi:type="xsd:double"&gt;305889.5&lt;/D&gt;&lt;/FQL&gt;&lt;FQL&gt;&lt;Q&gt;Company0006^FE_ESTIMATE(PRODLINE_SALES_14,MEAN,ANNUAL_ROLL, +2,NOW,,,'')&lt;/Q&gt;&lt;R&gt;1&lt;/R&gt;&lt;C&gt;1&lt;/C&gt;&lt;D xsi:type="xsd:double"&gt;306849&lt;/D&gt;&lt;/FQL&gt;&lt;FQL&gt;&lt;Q&gt;Company0006^FE_ESTIMATE(PRODLINE_SALES_14,MEAN,ANNUAL_ROLL, +1,NOW,,,'')&lt;/Q&gt;&lt;R&gt;1&lt;/R&gt;&lt;C&gt;1&lt;/C&gt;&lt;D xsi:type="xsd:double"&gt;299305.44&lt;/D&gt;&lt;/FQL&gt;&lt;FQL&gt;&lt;Q&gt;Company0006^FE_ESTIMATE(PRODLINE_SALES_9,MEAN,ANNUAL_ROLL, +4,NOW,,,'')&lt;/Q&gt;&lt;R&gt;0&lt;/R&gt;&lt;C&gt;0&lt;/C&gt;&lt;/FQL&gt;&lt;FQL&gt;&lt;Q&gt;Company0006^FE_ESTIMATE(PRODLINE_SALES_9,MEAN,ANNUAL_ROLL, +3,NOW,,,'')&lt;/Q&gt;&lt;R&gt;1&lt;/R&gt;&lt;C&gt;1&lt;/C&gt;&lt;D xsi:type="xsd:double"&gt;39076.5&lt;/D&gt;&lt;/FQL&gt;&lt;FQL&gt;&lt;Q&gt;Company0006^FE_ESTIMATE(PRODLINE_SALES_9,MEAN,ANNUAL_ROLL, +2,NOW,,,'')&lt;/Q&gt;&lt;R&gt;1&lt;/R&gt;&lt;C&gt;1&lt;/C&gt;&lt;D xsi:type="xsd:double"&gt;37688.91&lt;/D&gt;&lt;/FQL&gt;&lt;FQL&gt;&lt;Q&gt;Company0006^FE_ESTIMATE(PRODLINE_SALES_9,MEAN,ANNUAL_ROLL, +1,NOW,,,'')&lt;/Q&gt;&lt;R&gt;1&lt;/R&gt;&lt;C&gt;1&lt;/C&gt;&lt;D xsi:type="xsd:double"&gt;36097.31&lt;/D&gt;&lt;/FQL&gt;&lt;FQL&gt;&lt;Q&gt;Company0006^FE_ESTIMATE(PRODLINE_SALES_4,MEAN,ANNUAL_ROLL, +4,NOW,,,'')&lt;/Q&gt;&lt;R&gt;0&lt;/R&gt;&lt;C&gt;0&lt;/C&gt;&lt;/FQL&gt;&lt;FQL&gt;&lt;Q&gt;Company0006^FE_ESTIMATE(PRODLINE_SALES_4,MEAN,ANNUAL_ROLL, +3,NOW,,,'')&lt;/Q&gt;&lt;R&gt;1&lt;/R&gt;&lt;C&gt;1&lt;/C&gt;&lt;D xsi:type="xsd:double"&gt;28555.666&lt;/D&gt;&lt;/FQL&gt;&lt;FQL&gt;&lt;Q&gt;Company0006^FE_ESTIMATE(PRODLINE_SALES_4,MEAN,ANNUAL_ROLL, +2,NOW,,,'')&lt;/Q&gt;&lt;R&gt;1&lt;/R&gt;&lt;C&gt;1&lt;/C&gt;&lt;D xsi:type="xsd:double"&gt;28596.273&lt;/D&gt;&lt;/FQL&gt;&lt;FQL&gt;&lt;Q&gt;Company0006^FE_ESTIMATE(PRODLINE_SALES_4,MEAN,ANNUAL_ROLL, +1,NOW,,,'')&lt;/Q&gt;&lt;R&gt;1&lt;/R&gt;&lt;C&gt;1&lt;/C&gt;&lt;D xsi:type="xsd:double"&gt;28566.076&lt;/D&gt;&lt;/FQL&gt;&lt;FQL&gt;&lt;Q&gt;Company0006^FE_ESTIMATE(PRODLINE_SALES_10,MEAN,ANNUAL_ROLL, +4,NOW,,,'')&lt;/Q&gt;&lt;R&gt;0&lt;/R&gt;&lt;C&gt;0&lt;/C&gt;&lt;/FQL&gt;&lt;FQL&gt;&lt;Q&gt;Company0006^FE_ESTIMATE(PRODLINE_SALES_10,MEAN,ANNUAL_ROLL, +3,NOW,,,'')&lt;/Q&gt;&lt;R&gt;1&lt;/R&gt;&lt;C&gt;1&lt;/C&gt;&lt;D xsi:type="xsd:double"&gt;35882.668&lt;/D&gt;&lt;/FQL&gt;&lt;FQL&gt;&lt;Q&gt;Company0006^FE_ESTIMATE(PRODLINE_SALES_10,MEAN,ANNUAL_ROLL, +2,NOW,,,'')&lt;/Q&gt;&lt;R&gt;1&lt;/R&gt;&lt;C&gt;1&lt;/C&gt;&lt;D xsi:type="xsd:double"&gt;33698&lt;/D&gt;&lt;/FQL&gt;&lt;FQL&gt;&lt;Q&gt;Company0006^FE_ESTIMATE(PRODLINE_SALES_10,MEAN,ANNUAL_ROLL, +1,NOW,,,'')&lt;/Q&gt;&lt;R&gt;1&lt;/R&gt;&lt;C&gt;1&lt;/C&gt;&lt;D xsi:type="xsd:double"&gt;32443.154&lt;/D&gt;&lt;/FQL&gt;&lt;FQL&gt;&lt;Q&gt;Company0006^FE_ESTIMATE(PRODLINE_SALES_5,MEAN,ANNUAL_ROLL, +4,NOW,,,'')&lt;/Q&gt;&lt;R&gt;1&lt;/R&gt;&lt;C&gt;1&lt;/C&gt;&lt;D xsi:type="xsd:double"&gt;203028&lt;/D&gt;&lt;/FQL&gt;&lt;FQL&gt;&lt;Q&gt;Company0006^FE_ESTIMATE(PRODLINE_SALES_5,MEAN,ANNUAL_ROLL, +3,NOW,,,'')&lt;/Q&gt;&lt;R&gt;1&lt;/R&gt;&lt;C&gt;1&lt;/C&gt;&lt;D xsi:type="xsd:double"&gt;213308.5&lt;/D&gt;&lt;/FQL&gt;&lt;FQL&gt;&lt;Q&gt;Company0006^FE_ESTIMATE(PRODLINE_SALES_5,MEAN,ANNUAL_ROLL, +2,NOW,,,'')&lt;/Q&gt;&lt;R&gt;1&lt;/R&gt;&lt;C&gt;1&lt;/C&gt;&lt;D xsi:type="xsd:double"&gt;208902.73&lt;/D&gt;&lt;/FQL&gt;&lt;FQL&gt;&lt;Q&gt;Company0006^FE_ESTIMATE(PRODLINE_SALES_5,MEAN,ANNUAL_ROLL, +1,NOW,,,'')&lt;/Q&gt;&lt;R&gt;1&lt;/R&gt;&lt;C&gt;1&lt;/C&gt;&lt;D xsi:type="xsd:double"&gt;202047.58&lt;/D&gt;&lt;/FQL&gt;&lt;FQL&gt;&lt;Q&gt;Company0006^FE_ESTIMATE(EBITDA,MEAN,ANNUAL_ROLL, +4,NOW,,,'')&lt;/Q&gt;&lt;R&gt;0&lt;/R&gt;&lt;C&gt;0&lt;/C&gt;&lt;/FQL&gt;&lt;FQL&gt;&lt;Q&gt;Company0006^FE_ESTIMATE(EBITDA,MEAN,ANNUAL_ROLL, +3,NOW,,,'')&lt;/Q&gt;&lt;R&gt;1&lt;/R&gt;&lt;C&gt;1&lt;/C&gt;&lt;D xsi:type="xsd:double"&gt;153910.06&lt;/D&gt;&lt;/FQL&gt;&lt;FQL&gt;&lt;Q&gt;Company0006^FE_ESTIMATE(EBITDA,MEAN,ANNUAL_ROLL, +2,NOW,,,'')&lt;/Q&gt;&lt;R&gt;1&lt;/R&gt;&lt;C&gt;1&lt;/C&gt;&lt;D xsi:type="xsd:double"&gt;145054.48&lt;/D&gt;&lt;/FQL&gt;&lt;FQL&gt;&lt;Q&gt;Company0006^FE_ESTIMATE(EBITDA,MEAN,ANNUAL_ROLL, +1,NOW,,,'')&lt;/Q&gt;&lt;R&gt;1&lt;/R&gt;&lt;C&gt;1&lt;/C&gt;&lt;D xsi:type="xsd:double"&gt;138216.63&lt;/D&gt;&lt;/FQL&gt;&lt;FQL&gt;&lt;Q&gt;Company0006^FE_ESTIMATE(EPS,MEAN,ANNUAL_ROLL, +4,NOW,,,'')&lt;/Q&gt;&lt;R&gt;1&lt;/R&gt;&lt;C&gt;1&lt;/C&gt;&lt;D xsi:type="xsd:double"&gt;8.695&lt;/D&gt;&lt;/FQL&gt;&lt;FQL&gt;&lt;Q&gt;Company0006^FE_ESTIMATE(EPS,MEAN,ANNUAL_ROLL, +3,NOW,,,'')&lt;/Q&gt;&lt;R&gt;1&lt;/R&gt;&lt;C&gt;1&lt;/C&gt;&lt;D xsi:type="xsd:double"&gt;8.413963&lt;/D&gt;&lt;/FQL&gt;&lt;FQL&gt;&lt;Q&gt;Company0006^FE_ESTIMATE(EPS,MEAN,ANNUAL_ROLL, +2,NOW,,,'')&lt;/Q&gt;&lt;R&gt;1&lt;/R&gt;&lt;C&gt;1&lt;/C&gt;&lt;D xsi:type="xsd:double"&gt;7.772888&lt;/D&gt;&lt;/FQL&gt;&lt;FQL&gt;&lt;Q&gt;Company0006^FE_ESTIMATE(EPS,MEAN,ANNUAL_ROLL, +1,NOW,,,'')&lt;/Q&gt;&lt;R&gt;1&lt;/R&gt;&lt;C&gt;1&lt;/C&gt;&lt;D xsi:type="xsd:double"&gt;7.173004&lt;/D&gt;&lt;/FQL&gt;&lt;FQL&gt;&lt;Q&gt;Company0006^FE_ESTIMATE(NETPROFIT,MEAN,ANNUAL_ROLL, +4,NOW,,,'')&lt;/Q&gt;&lt;R&gt;1&lt;/R&gt;&lt;C&gt;1&lt;/C&gt;&lt;D xsi:type="xsd:double"&gt;130829&lt;/D&gt;&lt;/FQL&gt;&lt;FQL&gt;&lt;Q&gt;Company0006^FE_ESTIMATE(NETPROFIT,MEAN,ANNUAL_ROLL, +3,NOW,,,'')&lt;/Q&gt;&lt;R&gt;1&lt;/R&gt;&lt;C&gt;1&lt;/C&gt;&lt;D xsi:type="xsd:double"&gt;120639.94&lt;/D&gt;&lt;/FQL&gt;&lt;FQL&gt;&lt;Q&gt;Company0006^FE_ESTIMATE(NETPROFIT,MEAN,ANNUAL_ROLL, +2,NOW,,,'')&lt;/Q&gt;&lt;R&gt;1&lt;/R&gt;&lt;C&gt;1&lt;/C&gt;&lt;D xsi:type="xsd:double"&gt;112987.11&lt;/D&gt;&lt;/FQL&gt;&lt;FQL&gt;&lt;Q&gt;Company0006^FE_ESTIMATE(NETPROFIT,MEAN,ANNUAL_ROLL, +1,NOW,,,'')&lt;/Q&gt;&lt;R&gt;1&lt;/R&gt;&lt;C&gt;1&lt;/C&gt;&lt;D xsi:type="xsd:double"&gt;107461.664&lt;/D&gt;&lt;/FQL&gt;&lt;FQL&gt;&lt;Q&gt;Company0006^FE_ESTIMATE(EBIT,MEAN,ANNUAL_ROLL, +4,NOW,,,'')&lt;/Q&gt;&lt;R&gt;1&lt;/R&gt;&lt;C&gt;1&lt;/C&gt;&lt;D xsi:type="xsd:double"&gt;128296&lt;/D&gt;&lt;/FQL&gt;&lt;FQL&gt;&lt;Q&gt;Company0006^FE_ESTIMATE(EBIT,MEAN,ANNUAL_ROLL, +3,NOW,,,'')&lt;/Q&gt;&lt;R&gt;1&lt;/R&gt;&lt;C&gt;1&lt;/C&gt;&lt;D xsi:type="xsd:double"&gt;141857.63&lt;/D&gt;&lt;/FQL&gt;&lt;FQL&gt;&lt;Q&gt;Company0006^FE_ESTIMATE(EBIT,MEAN,ANNUAL_ROLL, +2,NOW,,,'')&lt;/Q&gt;&lt;R&gt;1&lt;/R&gt;&lt;C&gt;1&lt;/C&gt;&lt;D xsi:type="xsd:double"&gt;135058.48&lt;/D&gt;&lt;/FQL&gt;&lt;FQL&gt;&lt;Q&gt;Company0006^FE_ESTIMATE(EBIT,MEAN,ANNUAL_ROLL, +1,NOW,,,'')&lt;/Q&gt;&lt;R&gt;1&lt;/R&gt;&lt;C&gt;1&lt;/C&gt;&lt;D xsi:type="xsd:double"&gt;127897.3&lt;/D&gt;&lt;/FQL&gt;&lt;/Schema&gt;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Person0949, Person0123 </author>
    <author>Person1255, Person1250 </author>
    <author>Person0609, Person0094 </author>
    <author>Person1258, Person0065 </author>
    <author>Person0200, Person0592 </author>
    <author>Person0781, Person1217 </author>
    <author>Person0630, Person0124 </author>
    <author>Author8</author>
    <author>Person0411, Person1205 </author>
  </authors>
  <commentList>
    <comment ref="DF6" authorId="0" shapeId="0" xr:uid="{00000000-0006-0000-0700-000001000000}">
      <text>
        <r>
          <rPr>
            <b/>
            <sz val="9"/>
            <color indexed="81"/>
            <rFont val="Tahoma"/>
            <family val="2"/>
          </rPr>
          <t>Author:</t>
        </r>
        <r>
          <rPr>
            <sz val="9"/>
            <color indexed="81"/>
            <rFont val="Tahoma"/>
            <family val="2"/>
          </rPr>
          <t xml:space="preserve">
"The Company’s fiscal year is the 52- or 53-week period that ends on the last Saturday of September. An additional week is included in the first fiscal quarter every five or six years to realign the Company’s fiscal quarters with calendar quarters.</t>
        </r>
      </text>
    </comment>
    <comment ref="BK8" authorId="0" shapeId="0" xr:uid="{00000000-0006-0000-0700-000002000000}">
      <text>
        <r>
          <rPr>
            <b/>
            <sz val="9"/>
            <color indexed="81"/>
            <rFont val="Tahoma"/>
            <family val="2"/>
          </rPr>
          <t>Author:</t>
        </r>
        <r>
          <rPr>
            <sz val="9"/>
            <color indexed="81"/>
            <rFont val="Tahoma"/>
            <family val="2"/>
          </rPr>
          <t xml:space="preserve">
Company0244 reported re-stated segment numbers starting this quarter. Prior quarters segment numbers estimated
"Under this new format revenue from Product0489, Product0487, Mac and Product0490 sales is presented exclusive of related service and accessory revenue. All revenue from iTunes, stand-alone Company0242 and third party software and services is presented as a single line item and revenue from all Company0242 and third party accessory sales is presented as a single line item."</t>
        </r>
      </text>
    </comment>
    <comment ref="FE9" authorId="1" shapeId="0" xr:uid="{05DE6DCA-8728-4BD8-90DC-90725AA713A4}">
      <text>
        <r>
          <rPr>
            <b/>
            <sz val="9"/>
            <color indexed="81"/>
            <rFont val="Tahoma"/>
            <family val="2"/>
          </rPr>
          <t>Author:</t>
        </r>
        <r>
          <rPr>
            <sz val="9"/>
            <color indexed="81"/>
            <rFont val="Tahoma"/>
            <family val="2"/>
          </rPr>
          <t xml:space="preserve">
&lt;--Accounting change in FQ1'19. Segment level #s below are estimates until FQ4'17, Company0242 restated FY18 and beyond numbers, do not compare to FY12 and prior numbers</t>
        </r>
      </text>
    </comment>
    <comment ref="BV11" authorId="2" shapeId="0" xr:uid="{00000000-0006-0000-0700-000003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11" authorId="2" shapeId="0" xr:uid="{00000000-0006-0000-0700-000004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11" authorId="2" shapeId="0" xr:uid="{00000000-0006-0000-0700-000005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11" authorId="2" shapeId="0" xr:uid="{00000000-0006-0000-0700-000006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CO11" authorId="3" shapeId="0" xr:uid="{D6008B1A-3015-45D7-B7D0-735C80ABBCEA}">
      <text>
        <r>
          <rPr>
            <b/>
            <sz val="9"/>
            <color indexed="81"/>
            <rFont val="Tahoma"/>
            <family val="2"/>
          </rPr>
          <t>Author:</t>
        </r>
        <r>
          <rPr>
            <sz val="9"/>
            <color indexed="81"/>
            <rFont val="Tahoma"/>
            <family val="2"/>
          </rPr>
          <t xml:space="preserve">
4Q18: weak Greater China Product0489 sales</t>
        </r>
      </text>
    </comment>
    <comment ref="DK11" authorId="4" shapeId="0" xr:uid="{D62495CD-2FC1-40A3-ACA6-DC90CC92FA33}">
      <text>
        <r>
          <rPr>
            <b/>
            <sz val="9"/>
            <color indexed="81"/>
            <rFont val="Tahoma"/>
            <family val="2"/>
          </rPr>
          <t>Author:</t>
        </r>
        <r>
          <rPr>
            <sz val="9"/>
            <color indexed="81"/>
            <rFont val="Tahoma"/>
            <family val="2"/>
          </rPr>
          <t xml:space="preserve">
F1Q24: "We estimate that this impact added close to $5 billion to the March quarter's total revenue last year. When we remove this impact from last year's revenue, we expect both our March quarter total company revenue and Product0489 revenue to be similar to a year-ago"</t>
        </r>
      </text>
    </comment>
    <comment ref="FE11" authorId="2" shapeId="0" xr:uid="{00000000-0006-0000-0700-000007000000}">
      <text>
        <r>
          <rPr>
            <b/>
            <sz val="9"/>
            <color indexed="81"/>
            <rFont val="Tahoma"/>
            <family val="2"/>
          </rPr>
          <t>Author:</t>
        </r>
        <r>
          <rPr>
            <sz val="9"/>
            <color indexed="81"/>
            <rFont val="Tahoma"/>
            <family val="2"/>
          </rPr>
          <t xml:space="preserve">
-Accounting change in FQ1'19. Segment level #s below are estimates until FQ4'17, Company0242 restated FY18 and beyond numbers, do not compare to FY12 and prior numbers</t>
        </r>
      </text>
    </comment>
    <comment ref="FH11" authorId="2" shapeId="0" xr:uid="{00000000-0006-0000-0700-000008000000}">
      <text>
        <r>
          <rPr>
            <b/>
            <sz val="9"/>
            <color indexed="81"/>
            <rFont val="Tahoma"/>
            <family val="2"/>
          </rPr>
          <t>Author:</t>
        </r>
        <r>
          <rPr>
            <sz val="9"/>
            <color indexed="81"/>
            <rFont val="Tahoma"/>
            <family val="2"/>
          </rPr>
          <t xml:space="preserve">
FY19 10-K</t>
        </r>
      </text>
    </comment>
    <comment ref="BV12" authorId="2" shapeId="0" xr:uid="{00000000-0006-0000-0700-00000F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12" authorId="2" shapeId="0" xr:uid="{00000000-0006-0000-0700-000010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12" authorId="2" shapeId="0" xr:uid="{00000000-0006-0000-0700-000011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12" authorId="2" shapeId="0" xr:uid="{00000000-0006-0000-0700-000012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DK12" authorId="5" shapeId="0" xr:uid="{C74D4DE2-A227-41D2-B29A-76ACBAE68900}">
      <text>
        <r>
          <rPr>
            <b/>
            <sz val="9"/>
            <color indexed="81"/>
            <rFont val="Tahoma"/>
            <family val="2"/>
          </rPr>
          <t>Author:</t>
        </r>
        <r>
          <rPr>
            <sz val="9"/>
            <color indexed="81"/>
            <rFont val="Tahoma"/>
            <family val="2"/>
          </rPr>
          <t xml:space="preserve">
12.6.23 Bloomberg: • Macbook Air with M3 (March) </t>
        </r>
      </text>
    </comment>
    <comment ref="FE12" authorId="2" shapeId="0" xr:uid="{00000000-0006-0000-0700-000013000000}">
      <text>
        <r>
          <rPr>
            <b/>
            <sz val="9"/>
            <color indexed="81"/>
            <rFont val="Tahoma"/>
            <family val="2"/>
          </rPr>
          <t>Author:</t>
        </r>
        <r>
          <rPr>
            <sz val="9"/>
            <color indexed="81"/>
            <rFont val="Tahoma"/>
            <family val="2"/>
          </rPr>
          <t xml:space="preserve">
-Accounting change in FQ1'19. Segment level #s below are estimates until FQ4'17, Company0242 restated FY18 and beyond numbers, do not compare to FY12 and prior numbers</t>
        </r>
      </text>
    </comment>
    <comment ref="FH12" authorId="2" shapeId="0" xr:uid="{00000000-0006-0000-0700-000014000000}">
      <text>
        <r>
          <rPr>
            <b/>
            <sz val="9"/>
            <color indexed="81"/>
            <rFont val="Tahoma"/>
            <family val="2"/>
          </rPr>
          <t>Author:</t>
        </r>
        <r>
          <rPr>
            <sz val="9"/>
            <color indexed="81"/>
            <rFont val="Tahoma"/>
            <family val="2"/>
          </rPr>
          <t xml:space="preserve">
FY19 10-K</t>
        </r>
      </text>
    </comment>
    <comment ref="BV13" authorId="2" shapeId="0" xr:uid="{00000000-0006-0000-0700-000009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13" authorId="2" shapeId="0" xr:uid="{00000000-0006-0000-0700-00000A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13" authorId="2" shapeId="0" xr:uid="{00000000-0006-0000-0700-00000B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13" authorId="2" shapeId="0" xr:uid="{00000000-0006-0000-0700-00000C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DK13" authorId="5" shapeId="0" xr:uid="{5A7DA029-337B-4405-A739-EC2FDAC76143}">
      <text>
        <r>
          <rPr>
            <b/>
            <sz val="9"/>
            <color indexed="81"/>
            <rFont val="Tahoma"/>
            <family val="2"/>
          </rPr>
          <t>Author:</t>
        </r>
        <r>
          <rPr>
            <sz val="9"/>
            <color indexed="81"/>
            <rFont val="Tahoma"/>
            <family val="2"/>
          </rPr>
          <t xml:space="preserve">
12.6.23 Bloomberg: 
• New Product0487 Air – 2 sizes 12.9” and 10.9” (end of March)
• Product0487 Pro – OLED screens (end of March), 2 sizes as well 
• Preparing new Company0242 Pencil, Magic Keyboard which will sell alongside new Product0487 Pro
</t>
        </r>
      </text>
    </comment>
    <comment ref="FE13" authorId="2" shapeId="0" xr:uid="{00000000-0006-0000-0700-00000D000000}">
      <text>
        <r>
          <rPr>
            <b/>
            <sz val="9"/>
            <color indexed="81"/>
            <rFont val="Tahoma"/>
            <family val="2"/>
          </rPr>
          <t>Author:</t>
        </r>
        <r>
          <rPr>
            <sz val="9"/>
            <color indexed="81"/>
            <rFont val="Tahoma"/>
            <family val="2"/>
          </rPr>
          <t xml:space="preserve">
-Accounting change in FQ1'19. Segment level #s below are estimates until FQ4'17, Company0242 restated FY18 and beyond numbers, do not compare to FY12 and prior numbers</t>
        </r>
      </text>
    </comment>
    <comment ref="FH13" authorId="2" shapeId="0" xr:uid="{00000000-0006-0000-0700-00000E000000}">
      <text>
        <r>
          <rPr>
            <b/>
            <sz val="9"/>
            <color indexed="81"/>
            <rFont val="Tahoma"/>
            <family val="2"/>
          </rPr>
          <t>Author:</t>
        </r>
        <r>
          <rPr>
            <sz val="9"/>
            <color indexed="81"/>
            <rFont val="Tahoma"/>
            <family val="2"/>
          </rPr>
          <t xml:space="preserve">
FY19 10-K</t>
        </r>
      </text>
    </comment>
    <comment ref="BV14" authorId="2" shapeId="0" xr:uid="{00000000-0006-0000-0700-000015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14" authorId="2" shapeId="0" xr:uid="{00000000-0006-0000-0700-000016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14" authorId="2" shapeId="0" xr:uid="{00000000-0006-0000-0700-000017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14" authorId="2" shapeId="0" xr:uid="{00000000-0006-0000-0700-000018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DK14" authorId="5" shapeId="0" xr:uid="{A7F656D2-56DC-470B-B662-5599BE62989C}">
      <text>
        <r>
          <rPr>
            <b/>
            <sz val="9"/>
            <color indexed="81"/>
            <rFont val="Tahoma"/>
            <family val="2"/>
          </rPr>
          <t>Author:</t>
        </r>
        <r>
          <rPr>
            <sz val="9"/>
            <color indexed="81"/>
            <rFont val="Tahoma"/>
            <family val="2"/>
          </rPr>
          <t xml:space="preserve">
12.6.23 Bloomberg:
• Preparing new Company0242 Pencil, Magic Keyboard which will sell alongside new Product0487 Pro</t>
        </r>
      </text>
    </comment>
    <comment ref="FE14" authorId="2" shapeId="0" xr:uid="{00000000-0006-0000-0700-000019000000}">
      <text>
        <r>
          <rPr>
            <b/>
            <sz val="9"/>
            <color indexed="81"/>
            <rFont val="Tahoma"/>
            <family val="2"/>
          </rPr>
          <t>Author:</t>
        </r>
        <r>
          <rPr>
            <sz val="9"/>
            <color indexed="81"/>
            <rFont val="Tahoma"/>
            <family val="2"/>
          </rPr>
          <t xml:space="preserve">
-Accounting change in FQ1'19. Segment level #s below are estimates until FQ4'17, Company0242 restated FY18 and beyond numbers, do not compare to FY12 and prior numbers</t>
        </r>
      </text>
    </comment>
    <comment ref="FH14" authorId="2" shapeId="0" xr:uid="{00000000-0006-0000-0700-00001A000000}">
      <text>
        <r>
          <rPr>
            <b/>
            <sz val="9"/>
            <color indexed="81"/>
            <rFont val="Tahoma"/>
            <family val="2"/>
          </rPr>
          <t>Author:</t>
        </r>
        <r>
          <rPr>
            <sz val="9"/>
            <color indexed="81"/>
            <rFont val="Tahoma"/>
            <family val="2"/>
          </rPr>
          <t xml:space="preserve">
FY19 10-K</t>
        </r>
      </text>
    </comment>
    <comment ref="CO15" authorId="3" shapeId="0" xr:uid="{EB93974E-E96E-4D82-9EA6-AD9364FAFBAC}">
      <text>
        <r>
          <rPr>
            <b/>
            <sz val="9"/>
            <color indexed="81"/>
            <rFont val="Tahoma"/>
            <family val="2"/>
          </rPr>
          <t>Author:</t>
        </r>
        <r>
          <rPr>
            <sz val="9"/>
            <color indexed="81"/>
            <rFont val="Tahoma"/>
            <family val="2"/>
          </rPr>
          <t xml:space="preserve">
4Q: Weak product sales blamed on weak Greater China market (iPhones) &amp; supply chain constraints</t>
        </r>
      </text>
    </comment>
    <comment ref="CZ15" authorId="0" shapeId="0" xr:uid="{00388A0A-7125-4DB3-833D-D442BAB577DC}">
      <text>
        <r>
          <rPr>
            <sz val="9"/>
            <color indexed="81"/>
            <rFont val="Tahoma"/>
            <family val="2"/>
          </rPr>
          <t>Author: Expected: $3bn to 4bn
Actual: "A little less than $3bn"</t>
        </r>
      </text>
    </comment>
    <comment ref="DA15" authorId="0" shapeId="0" xr:uid="{5421E4F1-C848-4102-A3D7-C0A3454E9AC3}">
      <text>
        <r>
          <rPr>
            <b/>
            <sz val="9"/>
            <color indexed="81"/>
            <rFont val="Tahoma"/>
            <family val="2"/>
          </rPr>
          <t xml:space="preserve">Author: </t>
        </r>
        <r>
          <rPr>
            <sz val="9"/>
            <color indexed="81"/>
            <rFont val="Tahoma"/>
            <family val="2"/>
          </rPr>
          <t>At $6bn came in higher than the $4bn expected</t>
        </r>
      </text>
    </comment>
    <comment ref="DB15" authorId="0" shapeId="0" xr:uid="{D4196AA6-07BD-4491-B46C-3ACFD4C6EB4F}">
      <text>
        <r>
          <rPr>
            <b/>
            <sz val="9"/>
            <color indexed="81"/>
            <rFont val="Tahoma"/>
            <family val="2"/>
          </rPr>
          <t xml:space="preserve">Author: </t>
        </r>
        <r>
          <rPr>
            <sz val="9"/>
            <color indexed="81"/>
            <rFont val="Tahoma"/>
            <family val="2"/>
          </rPr>
          <t>Higher than $6bn but lower than $10bn</t>
        </r>
      </text>
    </comment>
    <comment ref="DC15" authorId="0" shapeId="0" xr:uid="{18696CBA-80DA-4D59-B793-DD4AF3359CCD}">
      <text>
        <r>
          <rPr>
            <b/>
            <sz val="9"/>
            <color indexed="81"/>
            <rFont val="Tahoma"/>
            <family val="2"/>
          </rPr>
          <t xml:space="preserve">Author: </t>
        </r>
        <r>
          <rPr>
            <sz val="9"/>
            <color indexed="81"/>
            <rFont val="Tahoma"/>
            <family val="2"/>
          </rPr>
          <t>Came in much less than expected; 
1Q22: expecting &gt;$6bn impact</t>
        </r>
      </text>
    </comment>
    <comment ref="DD15" authorId="0" shapeId="0" xr:uid="{57E8D02F-A7ED-47F4-9103-D7F297D0C2D6}">
      <text>
        <r>
          <rPr>
            <b/>
            <sz val="9"/>
            <color indexed="81"/>
            <rFont val="Tahoma"/>
            <family val="2"/>
          </rPr>
          <t xml:space="preserve">Author: </t>
        </r>
        <r>
          <rPr>
            <sz val="9"/>
            <color indexed="81"/>
            <rFont val="Tahoma"/>
            <family val="2"/>
          </rPr>
          <t>2Q22: $4bn to $8bn - mostly in the Shanghai corridor 
Actual: "slightly below the range"</t>
        </r>
      </text>
    </comment>
    <comment ref="DH15" authorId="1" shapeId="0" xr:uid="{426C6E84-EB3F-4751-A565-979CA03FF77E}">
      <text>
        <r>
          <rPr>
            <b/>
            <sz val="9"/>
            <color indexed="81"/>
            <rFont val="Tahoma"/>
            <family val="2"/>
          </rPr>
          <t>Author:</t>
        </r>
        <r>
          <rPr>
            <sz val="9"/>
            <color indexed="81"/>
            <rFont val="Tahoma"/>
            <family val="2"/>
          </rPr>
          <t xml:space="preserve">
Implied $59.9 bn</t>
        </r>
      </text>
    </comment>
    <comment ref="DK15" authorId="5" shapeId="0" xr:uid="{10AE1D5C-4A10-4142-8725-AC86EA61460D}">
      <text>
        <r>
          <rPr>
            <b/>
            <sz val="9"/>
            <color indexed="81"/>
            <rFont val="Tahoma"/>
            <family val="2"/>
          </rPr>
          <t>Author:</t>
        </r>
        <r>
          <rPr>
            <sz val="9"/>
            <color indexed="81"/>
            <rFont val="Tahoma"/>
            <family val="2"/>
          </rPr>
          <t xml:space="preserve">
12.6.23 Bloomberg: • New Product0487 Air – 2 sizes 12.9” and 10.9” (end of March)
• Product0487 Pro – OLED screens (end of March), 2 sizes as well
• Macbook Air with M3 (March) 
• Preparing new Company0242 Pencil, Magic Keyboard which will sell alongside new Product0487 Pro
</t>
        </r>
      </text>
    </comment>
    <comment ref="BA16" authorId="1" shapeId="0" xr:uid="{1BD8339D-3C2A-4E0E-B38C-E686369CFF63}">
      <text>
        <r>
          <rPr>
            <b/>
            <sz val="9"/>
            <color indexed="81"/>
            <rFont val="Tahoma"/>
            <family val="2"/>
          </rPr>
          <t>Author:</t>
        </r>
        <r>
          <rPr>
            <sz val="9"/>
            <color indexed="81"/>
            <rFont val="Tahoma"/>
            <family val="2"/>
          </rPr>
          <t xml:space="preserve">
Restatements create issues</t>
        </r>
      </text>
    </comment>
    <comment ref="DH16" authorId="1" shapeId="0" xr:uid="{1C2C7A5E-4955-4B1B-85EA-3FFDE21619DB}">
      <text>
        <r>
          <rPr>
            <b/>
            <sz val="9"/>
            <color indexed="81"/>
            <rFont val="Tahoma"/>
            <family val="2"/>
          </rPr>
          <t>Author:</t>
        </r>
        <r>
          <rPr>
            <sz val="9"/>
            <color indexed="81"/>
            <rFont val="Tahoma"/>
            <family val="2"/>
          </rPr>
          <t xml:space="preserve">
Implied $20.6 bn (+5% yoy, same as F2Q23)</t>
        </r>
      </text>
    </comment>
    <comment ref="FH16" authorId="2" shapeId="0" xr:uid="{00000000-0006-0000-0700-00001B000000}">
      <text>
        <r>
          <rPr>
            <b/>
            <sz val="9"/>
            <color indexed="81"/>
            <rFont val="Tahoma"/>
            <family val="2"/>
          </rPr>
          <t>Author:</t>
        </r>
        <r>
          <rPr>
            <sz val="9"/>
            <color indexed="81"/>
            <rFont val="Tahoma"/>
            <family val="2"/>
          </rPr>
          <t xml:space="preserve">
FY19 10-K</t>
        </r>
      </text>
    </comment>
    <comment ref="FK16" authorId="3" shapeId="0" xr:uid="{6399DBA1-D247-4FED-A517-CB7251D09F88}">
      <text>
        <r>
          <rPr>
            <b/>
            <sz val="9"/>
            <color indexed="81"/>
            <rFont val="Tahoma"/>
            <family val="2"/>
          </rPr>
          <t>Author:</t>
        </r>
        <r>
          <rPr>
            <sz val="9"/>
            <color indexed="81"/>
            <rFont val="Tahoma"/>
            <family val="2"/>
          </rPr>
          <t xml:space="preserve">
1Q18: target service revenue to double, implied ~$48B (at ~70% margins)</t>
        </r>
      </text>
    </comment>
    <comment ref="BA17" authorId="1" shapeId="0" xr:uid="{09CBFFCC-FC82-452A-95FE-3A2FE6B65B9B}">
      <text>
        <r>
          <rPr>
            <b/>
            <sz val="9"/>
            <color indexed="81"/>
            <rFont val="Tahoma"/>
            <family val="2"/>
          </rPr>
          <t>Author:</t>
        </r>
        <r>
          <rPr>
            <sz val="9"/>
            <color indexed="81"/>
            <rFont val="Tahoma"/>
            <family val="2"/>
          </rPr>
          <t xml:space="preserve">
Restated revenue</t>
        </r>
      </text>
    </comment>
    <comment ref="CP17" authorId="1" shapeId="0" xr:uid="{BE0854F0-23DD-4566-94F1-8E89D7C29A96}">
      <text>
        <r>
          <rPr>
            <b/>
            <sz val="9"/>
            <color indexed="81"/>
            <rFont val="Tahoma"/>
            <family val="2"/>
          </rPr>
          <t>Author:</t>
        </r>
        <r>
          <rPr>
            <sz val="9"/>
            <color indexed="81"/>
            <rFont val="Tahoma"/>
            <family val="2"/>
          </rPr>
          <t xml:space="preserve">
1/2/19: Preannounced negative to $84 bn (v. guide of $89-$93 bn) on China Product0489 weakness</t>
        </r>
      </text>
    </comment>
    <comment ref="DA17" authorId="0" shapeId="0" xr:uid="{00000000-0006-0000-0700-00001C000000}">
      <text>
        <r>
          <rPr>
            <b/>
            <sz val="9"/>
            <color indexed="81"/>
            <rFont val="Tahoma"/>
            <family val="2"/>
          </rPr>
          <t>Author:</t>
        </r>
        <r>
          <rPr>
            <sz val="9"/>
            <color indexed="81"/>
            <rFont val="Tahoma"/>
            <family val="2"/>
          </rPr>
          <t xml:space="preserve">
FQ4'21 callback: 
FQ1 soft guide is for about 5% to 9% Y/Y growth range or so</t>
        </r>
      </text>
    </comment>
    <comment ref="DB17" authorId="0" shapeId="0" xr:uid="{00000000-0006-0000-0700-00001D000000}">
      <text>
        <r>
          <rPr>
            <b/>
            <sz val="9"/>
            <color indexed="81"/>
            <rFont val="Tahoma"/>
            <family val="2"/>
          </rPr>
          <t>Author:</t>
        </r>
        <r>
          <rPr>
            <sz val="9"/>
            <color indexed="81"/>
            <rFont val="Tahoma"/>
            <family val="2"/>
          </rPr>
          <t xml:space="preserve">
FQ1'22 callback: 
Person0679: FQ2 soft guide is about 4% to 8% Y/Y growth range or so</t>
        </r>
      </text>
    </comment>
    <comment ref="DH17" authorId="1" shapeId="0" xr:uid="{401023E9-9421-4ED6-AA73-C35B1296CDAA}">
      <text>
        <r>
          <rPr>
            <b/>
            <sz val="9"/>
            <color indexed="81"/>
            <rFont val="Tahoma"/>
            <family val="2"/>
          </rPr>
          <t>Author:</t>
        </r>
        <r>
          <rPr>
            <sz val="9"/>
            <color indexed="81"/>
            <rFont val="Tahoma"/>
            <family val="2"/>
          </rPr>
          <t xml:space="preserve">
Implied $80.5 bn (-3% yoy, same as F2Q23)</t>
        </r>
      </text>
    </comment>
    <comment ref="DP17" authorId="1" shapeId="0" xr:uid="{F8EE7023-0202-47D6-83B3-7B1FF4F04AC2}">
      <text>
        <r>
          <rPr>
            <b/>
            <sz val="9"/>
            <color indexed="81"/>
            <rFont val="Tahoma"/>
            <family val="2"/>
          </rPr>
          <t>Author:</t>
        </r>
        <r>
          <rPr>
            <sz val="9"/>
            <color indexed="81"/>
            <rFont val="Tahoma"/>
            <family val="2"/>
          </rPr>
          <t xml:space="preserve">
F3Q25: 1 pp benefit to consolidated revenue growth from pull-ahead, mostly in April.. Mostly in Product0489 and Mac</t>
        </r>
      </text>
    </comment>
    <comment ref="BV20" authorId="2" shapeId="0" xr:uid="{00000000-0006-0000-0700-000028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20" authorId="2" shapeId="0" xr:uid="{00000000-0006-0000-0700-000029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20" authorId="2" shapeId="0" xr:uid="{00000000-0006-0000-0700-00002A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20" authorId="2" shapeId="0" xr:uid="{00000000-0006-0000-0700-00002B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CW20" authorId="3" shapeId="0" xr:uid="{F616C0A3-6D42-47DE-89A2-05DCC1C4E682}">
      <text>
        <r>
          <rPr>
            <b/>
            <sz val="9"/>
            <color indexed="81"/>
            <rFont val="Tahoma"/>
            <family val="2"/>
          </rPr>
          <t>Author:</t>
        </r>
        <r>
          <rPr>
            <sz val="9"/>
            <color indexed="81"/>
            <rFont val="Tahoma"/>
            <family val="2"/>
          </rPr>
          <t xml:space="preserve">
Delayed Product0489 12 launch to 1Q21 (v. Product0489 11 was launched in 4Q19)</t>
        </r>
      </text>
    </comment>
    <comment ref="DC20" authorId="1" shapeId="0" xr:uid="{3DF949B6-8E29-454D-A63C-C28B769D2FFD}">
      <text>
        <r>
          <rPr>
            <b/>
            <sz val="9"/>
            <color indexed="81"/>
            <rFont val="Tahoma"/>
            <family val="2"/>
          </rPr>
          <t>Author:</t>
        </r>
        <r>
          <rPr>
            <sz val="9"/>
            <color indexed="81"/>
            <rFont val="Tahoma"/>
            <family val="2"/>
          </rPr>
          <t xml:space="preserve">
F2Q22: strong demand for Product0489 13 family. </t>
        </r>
      </text>
    </comment>
    <comment ref="DF20" authorId="4" shapeId="0" xr:uid="{55B474CF-B3BD-4B7C-B5C8-1C559B6E5AA1}">
      <text>
        <r>
          <rPr>
            <b/>
            <sz val="9"/>
            <color indexed="81"/>
            <rFont val="Tahoma"/>
            <family val="2"/>
          </rPr>
          <t>Author:</t>
        </r>
        <r>
          <rPr>
            <sz val="9"/>
            <color indexed="81"/>
            <rFont val="Tahoma"/>
            <family val="2"/>
          </rPr>
          <t xml:space="preserve">
F1Q23: roughly flat on a CC basis, estimate that it would have been up ex supply chain challenges in November &amp; December
COVID-19 related challenges significantly impacted the supply of Product0489 14 Pro and Pro Max -- lasted throughout most of December. Had significantly less Pro + Pro Max supply than planned, causing ship times to extend far beyond anticipated. </t>
        </r>
      </text>
    </comment>
    <comment ref="DI20" authorId="1" shapeId="0" xr:uid="{B85C7BBA-143A-4785-989A-ED9762F3669F}">
      <text>
        <r>
          <rPr>
            <b/>
            <sz val="9"/>
            <color indexed="81"/>
            <rFont val="Tahoma"/>
            <family val="2"/>
          </rPr>
          <t>Author:</t>
        </r>
        <r>
          <rPr>
            <sz val="9"/>
            <color indexed="81"/>
            <rFont val="Tahoma"/>
            <family val="2"/>
          </rPr>
          <t xml:space="preserve">
F3Q23: accelerate v. June quarter</t>
        </r>
      </text>
    </comment>
    <comment ref="DJ20" authorId="1" shapeId="0" xr:uid="{FD4DE708-EBEB-4080-8252-6BC62416CB34}">
      <text>
        <r>
          <rPr>
            <b/>
            <sz val="9"/>
            <color indexed="81"/>
            <rFont val="Tahoma"/>
            <family val="2"/>
          </rPr>
          <t>Author:</t>
        </r>
        <r>
          <rPr>
            <sz val="9"/>
            <color indexed="81"/>
            <rFont val="Tahoma"/>
            <family val="2"/>
          </rPr>
          <t xml:space="preserve">
F1Q24: 
Consolidated net 2 pp headwind.
Implies 7pp headwind from extra week (-$4.6 bn) offset by $5.9 bn (5 pp consolidated) benefit from easy supply chain comps... implies Product0489 would have been down $1.3 bn yoy on a like-for-like basis
F4Q23: Product0489 revenue to grow. Would have grown after normalizing for extra week and supply chain isuses</t>
        </r>
      </text>
    </comment>
    <comment ref="DK20" authorId="1" shapeId="0" xr:uid="{740C2F7D-656B-4639-B92F-D0F28AA39423}">
      <text>
        <r>
          <rPr>
            <b/>
            <sz val="9"/>
            <color indexed="81"/>
            <rFont val="Tahoma"/>
            <family val="2"/>
          </rPr>
          <t>Author:</t>
        </r>
        <r>
          <rPr>
            <sz val="9"/>
            <color indexed="81"/>
            <rFont val="Tahoma"/>
            <family val="2"/>
          </rPr>
          <t xml:space="preserve">
F2Q24: flat yoy excluding $5 bn headwind </t>
        </r>
      </text>
    </comment>
    <comment ref="DO20" authorId="1" shapeId="0" xr:uid="{D5AF0123-88C4-48AE-908A-780D4AB58890}">
      <text>
        <r>
          <rPr>
            <b/>
            <sz val="9"/>
            <color indexed="81"/>
            <rFont val="Tahoma"/>
            <family val="2"/>
          </rPr>
          <t>Author:</t>
        </r>
        <r>
          <rPr>
            <sz val="9"/>
            <color indexed="81"/>
            <rFont val="Tahoma"/>
            <family val="2"/>
          </rPr>
          <t xml:space="preserve">
F2Q25: not seeing pull-forward </t>
        </r>
      </text>
    </comment>
    <comment ref="DP20" authorId="1" shapeId="0" xr:uid="{3B0B4FA6-CD1A-4F58-9AB4-30363EDE678D}">
      <text>
        <r>
          <rPr>
            <b/>
            <sz val="9"/>
            <color indexed="81"/>
            <rFont val="Tahoma"/>
            <family val="2"/>
          </rPr>
          <t>Author:</t>
        </r>
        <r>
          <rPr>
            <sz val="9"/>
            <color indexed="81"/>
            <rFont val="Tahoma"/>
            <family val="2"/>
          </rPr>
          <t xml:space="preserve">
Roughly 2pp benefit each to Product0489 and Mac assming 80%/20% split of $860M pull-forward benefit (1% of F3Q24A)</t>
        </r>
      </text>
    </comment>
    <comment ref="FE20" authorId="2" shapeId="0" xr:uid="{00000000-0006-0000-0700-00002C000000}">
      <text>
        <r>
          <rPr>
            <b/>
            <sz val="9"/>
            <color indexed="81"/>
            <rFont val="Tahoma"/>
            <family val="2"/>
          </rPr>
          <t>Author:</t>
        </r>
        <r>
          <rPr>
            <sz val="9"/>
            <color indexed="81"/>
            <rFont val="Tahoma"/>
            <family val="2"/>
          </rPr>
          <t xml:space="preserve">
-Accounting change in FQ1'19. Segment level #s below are estimates until FQ4'17, Company0242 restated FY18 and beyond numbers, do not compare to FY12 and prior numbers</t>
        </r>
      </text>
    </comment>
    <comment ref="FN20" authorId="1" shapeId="0" xr:uid="{FAA35FB3-AE3E-4638-95E3-9762365C6BE1}">
      <text>
        <r>
          <rPr>
            <b/>
            <sz val="9"/>
            <color indexed="81"/>
            <rFont val="Tahoma"/>
            <family val="2"/>
          </rPr>
          <t>Author:</t>
        </r>
        <r>
          <rPr>
            <sz val="9"/>
            <color indexed="81"/>
            <rFont val="Tahoma"/>
            <family val="2"/>
          </rPr>
          <t xml:space="preserve">
Company0174 F4Q23: wireless revenue was -2% yoy ($7.3 bn) and in F2024, wireless revenue should again be stable</t>
        </r>
      </text>
    </comment>
    <comment ref="BV21" authorId="2" shapeId="0" xr:uid="{00000000-0006-0000-0700-000032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21" authorId="2" shapeId="0" xr:uid="{00000000-0006-0000-0700-000033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21" authorId="2" shapeId="0" xr:uid="{00000000-0006-0000-0700-000034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21" authorId="2" shapeId="0" xr:uid="{00000000-0006-0000-0700-000035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CS21" authorId="2" shapeId="0" xr:uid="{214B1A99-0DDA-492C-B4A7-40A9E70A2AC8}">
      <text>
        <r>
          <rPr>
            <b/>
            <sz val="9"/>
            <color indexed="81"/>
            <rFont val="Tahoma"/>
            <family val="2"/>
          </rPr>
          <t>Author:</t>
        </r>
        <r>
          <rPr>
            <sz val="9"/>
            <color indexed="81"/>
            <rFont val="Tahoma"/>
            <family val="2"/>
          </rPr>
          <t xml:space="preserve">
last year MBP models, difficult comps</t>
        </r>
      </text>
    </comment>
    <comment ref="DF21" authorId="4" shapeId="0" xr:uid="{ECDE9737-B640-4530-B70F-E573F2205598}">
      <text>
        <r>
          <rPr>
            <b/>
            <sz val="9"/>
            <color indexed="81"/>
            <rFont val="Tahoma"/>
            <family val="2"/>
          </rPr>
          <t>Author:</t>
        </r>
        <r>
          <rPr>
            <sz val="9"/>
            <color indexed="81"/>
            <rFont val="Tahoma"/>
            <family val="2"/>
          </rPr>
          <t xml:space="preserve">
F1Q23: in-line with expectations.
Year-ago had successful launch of redesigned M1 Product0235 Pros
Macro enviornment hurt
Forex hurt
</t>
        </r>
      </text>
    </comment>
    <comment ref="DG21" authorId="1" shapeId="0" xr:uid="{C3A87EA8-2BFF-4C64-BC4A-BB228559FAD9}">
      <text>
        <r>
          <rPr>
            <b/>
            <sz val="9"/>
            <color indexed="81"/>
            <rFont val="Tahoma"/>
            <family val="2"/>
          </rPr>
          <t>Author:</t>
        </r>
        <r>
          <rPr>
            <sz val="9"/>
            <color indexed="81"/>
            <rFont val="Tahoma"/>
            <family val="2"/>
          </rPr>
          <t xml:space="preserve">
MAcBook Pro Models powered by M2 Pro and M2 Max. </t>
        </r>
      </text>
    </comment>
    <comment ref="DH21" authorId="1" shapeId="0" xr:uid="{71C6637B-EE8E-423A-BFCF-4B447ACA1663}">
      <text>
        <r>
          <rPr>
            <b/>
            <sz val="9"/>
            <color indexed="81"/>
            <rFont val="Tahoma"/>
            <family val="2"/>
          </rPr>
          <t>Author:</t>
        </r>
        <r>
          <rPr>
            <sz val="9"/>
            <color indexed="81"/>
            <rFont val="Tahoma"/>
            <family val="2"/>
          </rPr>
          <t xml:space="preserve">
Product0235 Air 15", Mac Studio M2, Mac Pro M2</t>
        </r>
      </text>
    </comment>
    <comment ref="DI21" authorId="1" shapeId="0" xr:uid="{B8437349-3A91-432E-9125-AC3A8E1DBA10}">
      <text>
        <r>
          <rPr>
            <b/>
            <sz val="9"/>
            <color indexed="81"/>
            <rFont val="Tahoma"/>
            <family val="2"/>
          </rPr>
          <t>Author:</t>
        </r>
        <r>
          <rPr>
            <sz val="9"/>
            <color indexed="81"/>
            <rFont val="Tahoma"/>
            <family val="2"/>
          </rPr>
          <t xml:space="preserve">
F2Q23: Mac and Product0487 down DD% yoy due to tough year-ago comps from supply chain fulfillment (particularly in Mac)</t>
        </r>
      </text>
    </comment>
    <comment ref="DJ21" authorId="1" shapeId="0" xr:uid="{2362E2EB-1ACA-46F7-906A-FFA5F33D020E}">
      <text>
        <r>
          <rPr>
            <b/>
            <sz val="9"/>
            <color indexed="81"/>
            <rFont val="Tahoma"/>
            <family val="2"/>
          </rPr>
          <t>Author:</t>
        </r>
        <r>
          <rPr>
            <sz val="9"/>
            <color indexed="81"/>
            <rFont val="Tahoma"/>
            <family val="2"/>
          </rPr>
          <t xml:space="preserve">
F4Q23: MAC revenue to SIGNIFICANTLY accelerate v. F4Q23 quarter </t>
        </r>
      </text>
    </comment>
    <comment ref="DM21" authorId="1" shapeId="0" xr:uid="{5ECDEE35-A8A8-4CA7-BAED-332703154780}">
      <text>
        <r>
          <rPr>
            <b/>
            <sz val="9"/>
            <color indexed="81"/>
            <rFont val="Tahoma"/>
            <family val="2"/>
          </rPr>
          <t>Author:</t>
        </r>
        <r>
          <rPr>
            <sz val="9"/>
            <color indexed="81"/>
            <rFont val="Tahoma"/>
            <family val="2"/>
          </rPr>
          <t xml:space="preserve">
F3Q24: Mac tough compares year-ago from the Product0235 Air 15" launch</t>
        </r>
      </text>
    </comment>
    <comment ref="FE21" authorId="2" shapeId="0" xr:uid="{00000000-0006-0000-0700-000036000000}">
      <text>
        <r>
          <rPr>
            <b/>
            <sz val="9"/>
            <color indexed="81"/>
            <rFont val="Tahoma"/>
            <family val="2"/>
          </rPr>
          <t>Author:</t>
        </r>
        <r>
          <rPr>
            <sz val="9"/>
            <color indexed="81"/>
            <rFont val="Tahoma"/>
            <family val="2"/>
          </rPr>
          <t xml:space="preserve">
-Accounting change in FQ1'19. Segment level #s below are estimates until FQ4'17, Company0242 restated FY18 and beyond numbers, do not compare to FY12 and prior numbers</t>
        </r>
      </text>
    </comment>
    <comment ref="FM21" authorId="1" shapeId="0" xr:uid="{217F68AC-4118-4609-B388-D95E736FF4AB}">
      <text>
        <r>
          <rPr>
            <b/>
            <sz val="9"/>
            <color indexed="81"/>
            <rFont val="Tahoma"/>
            <family val="2"/>
          </rPr>
          <t>Author:</t>
        </r>
        <r>
          <rPr>
            <sz val="9"/>
            <color indexed="81"/>
            <rFont val="Tahoma"/>
            <family val="2"/>
          </rPr>
          <t xml:space="preserve">
10-K: Laptop sales growth</t>
        </r>
      </text>
    </comment>
    <comment ref="BV22" authorId="2" shapeId="0" xr:uid="{00000000-0006-0000-0700-00002D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22" authorId="2" shapeId="0" xr:uid="{00000000-0006-0000-0700-00002E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22" authorId="2" shapeId="0" xr:uid="{00000000-0006-0000-0700-00002F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22" authorId="2" shapeId="0" xr:uid="{00000000-0006-0000-0700-000030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DH22" authorId="1" shapeId="0" xr:uid="{9BD45404-74E5-4D43-BF01-73C76A796128}">
      <text>
        <r>
          <rPr>
            <b/>
            <sz val="9"/>
            <color indexed="81"/>
            <rFont val="Tahoma"/>
            <family val="2"/>
          </rPr>
          <t>Author:</t>
        </r>
        <r>
          <rPr>
            <sz val="9"/>
            <color indexed="81"/>
            <rFont val="Tahoma"/>
            <family val="2"/>
          </rPr>
          <t xml:space="preserve">
F3Q23: difficult year-ago comps </t>
        </r>
      </text>
    </comment>
    <comment ref="DJ22" authorId="1" shapeId="0" xr:uid="{EBA19D9A-58F2-41F6-B55B-1F265041D3F2}">
      <text>
        <r>
          <rPr>
            <b/>
            <sz val="9"/>
            <color indexed="81"/>
            <rFont val="Tahoma"/>
            <family val="2"/>
          </rPr>
          <t>Author:</t>
        </r>
        <r>
          <rPr>
            <sz val="9"/>
            <color indexed="81"/>
            <rFont val="Tahoma"/>
            <family val="2"/>
          </rPr>
          <t xml:space="preserve">
F4Q23: Product0487 and Company2944 to decelerate significantly v. F4Q23 growth. 
Product0487: tough comps from year-ago Product0487 pro and Product0487 10 gen 
Wearables: tough comps from full-year benefit from Product0032 Pro 2nd gen, Watch SE, Watch Ultra 1</t>
        </r>
      </text>
    </comment>
    <comment ref="DM22" authorId="1" shapeId="0" xr:uid="{95A1E5CB-0666-4F9E-92E5-E2B864C0272B}">
      <text>
        <r>
          <rPr>
            <b/>
            <sz val="9"/>
            <color indexed="81"/>
            <rFont val="Tahoma"/>
            <family val="2"/>
          </rPr>
          <t>Author:</t>
        </r>
        <r>
          <rPr>
            <sz val="9"/>
            <color indexed="81"/>
            <rFont val="Tahoma"/>
            <family val="2"/>
          </rPr>
          <t xml:space="preserve">
F3Q24: Product0487 revenue sequential should consider launches in the June quarter </t>
        </r>
      </text>
    </comment>
    <comment ref="DQ22" authorId="4" shapeId="0" xr:uid="{3D1F633C-2E2C-4118-84D0-9E043C607B8D}">
      <text>
        <r>
          <rPr>
            <b/>
            <sz val="9"/>
            <color indexed="81"/>
            <rFont val="Tahoma"/>
            <family val="2"/>
          </rPr>
          <t>Author:</t>
        </r>
        <r>
          <rPr>
            <sz val="9"/>
            <color indexed="81"/>
            <rFont val="Tahoma"/>
            <family val="2"/>
          </rPr>
          <t xml:space="preserve">
F3Q25: tough Product0487 launch year-ago</t>
        </r>
      </text>
    </comment>
    <comment ref="FE22" authorId="2" shapeId="0" xr:uid="{00000000-0006-0000-0700-000031000000}">
      <text>
        <r>
          <rPr>
            <b/>
            <sz val="9"/>
            <color indexed="81"/>
            <rFont val="Tahoma"/>
            <family val="2"/>
          </rPr>
          <t>Author:</t>
        </r>
        <r>
          <rPr>
            <sz val="9"/>
            <color indexed="81"/>
            <rFont val="Tahoma"/>
            <family val="2"/>
          </rPr>
          <t xml:space="preserve">
-Accounting change in FQ1'19. Segment level #s below are estimates until FQ4'17, Company0242 restated FY18 and beyond numbers, do not compare to FY12 and prior numbers</t>
        </r>
      </text>
    </comment>
    <comment ref="FM22" authorId="1" shapeId="0" xr:uid="{CD114B85-3577-4D76-9E63-A8F075421147}">
      <text>
        <r>
          <rPr>
            <b/>
            <sz val="9"/>
            <color indexed="81"/>
            <rFont val="Tahoma"/>
            <family val="2"/>
          </rPr>
          <t>Author:</t>
        </r>
        <r>
          <rPr>
            <sz val="9"/>
            <color indexed="81"/>
            <rFont val="Tahoma"/>
            <family val="2"/>
          </rPr>
          <t xml:space="preserve">
10-K: Product0487 Pro sales declined yoy</t>
        </r>
      </text>
    </comment>
    <comment ref="BV23" authorId="2" shapeId="0" xr:uid="{00000000-0006-0000-0700-000037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23" authorId="2" shapeId="0" xr:uid="{00000000-0006-0000-0700-000038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23" authorId="2" shapeId="0" xr:uid="{00000000-0006-0000-0700-000039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23" authorId="2" shapeId="0" xr:uid="{00000000-0006-0000-0700-00003A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DC23" authorId="1" shapeId="0" xr:uid="{18D1810A-3257-4F7B-B1FE-8B7B145A2AC1}">
      <text>
        <r>
          <rPr>
            <b/>
            <sz val="9"/>
            <color indexed="81"/>
            <rFont val="Tahoma"/>
            <family val="2"/>
          </rPr>
          <t>Author:</t>
        </r>
        <r>
          <rPr>
            <sz val="9"/>
            <color indexed="81"/>
            <rFont val="Tahoma"/>
            <family val="2"/>
          </rPr>
          <t xml:space="preserve">
F2Q22: Product0049 Series 7, Watch SE. </t>
        </r>
      </text>
    </comment>
    <comment ref="FE23" authorId="2" shapeId="0" xr:uid="{00000000-0006-0000-0700-00003B000000}">
      <text>
        <r>
          <rPr>
            <b/>
            <sz val="9"/>
            <color indexed="81"/>
            <rFont val="Tahoma"/>
            <family val="2"/>
          </rPr>
          <t>Author:</t>
        </r>
        <r>
          <rPr>
            <sz val="9"/>
            <color indexed="81"/>
            <rFont val="Tahoma"/>
            <family val="2"/>
          </rPr>
          <t xml:space="preserve">
-Accounting change in FQ1'19. Segment level #s below are estimates until FQ4'17, Company0242 restated FY18 and beyond numbers, do not compare to FY12 and prior numbers</t>
        </r>
      </text>
    </comment>
    <comment ref="FM23" authorId="1" shapeId="0" xr:uid="{AF2C07C9-F8DF-4BBD-B513-4648B8AB1720}">
      <text>
        <r>
          <rPr>
            <b/>
            <sz val="9"/>
            <color indexed="81"/>
            <rFont val="Tahoma"/>
            <family val="2"/>
          </rPr>
          <t>Author:</t>
        </r>
        <r>
          <rPr>
            <sz val="9"/>
            <color indexed="81"/>
            <rFont val="Tahoma"/>
            <family val="2"/>
          </rPr>
          <t xml:space="preserve">
10-K: growth in Product0049 + Product0035</t>
        </r>
      </text>
    </comment>
    <comment ref="BV24" authorId="2" shapeId="0" xr:uid="{00000000-0006-0000-0700-000023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24" authorId="2" shapeId="0" xr:uid="{00000000-0006-0000-0700-000024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24" authorId="2" shapeId="0" xr:uid="{00000000-0006-0000-0700-000025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24" authorId="2" shapeId="0" xr:uid="{00000000-0006-0000-0700-000026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FE24" authorId="2" shapeId="0" xr:uid="{00000000-0006-0000-0700-000027000000}">
      <text>
        <r>
          <rPr>
            <b/>
            <sz val="9"/>
            <color indexed="81"/>
            <rFont val="Tahoma"/>
            <family val="2"/>
          </rPr>
          <t>Author:</t>
        </r>
        <r>
          <rPr>
            <sz val="9"/>
            <color indexed="81"/>
            <rFont val="Tahoma"/>
            <family val="2"/>
          </rPr>
          <t xml:space="preserve">
-Accounting change in FQ1'19. Segment level #s below are estimates until FQ4'17, Company0242 restated FY18 and beyond numbers, do not compare to FY12 and prior numbers</t>
        </r>
      </text>
    </comment>
    <comment ref="BV25" authorId="2" shapeId="0" xr:uid="{00000000-0006-0000-0700-00003C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25" authorId="2" shapeId="0" xr:uid="{00000000-0006-0000-0700-00003D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25" authorId="2" shapeId="0" xr:uid="{00000000-0006-0000-0700-00003E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25" authorId="2" shapeId="0" xr:uid="{00000000-0006-0000-0700-00003F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CO25" authorId="2" shapeId="0" xr:uid="{00000000-0006-0000-0700-000040000000}">
      <text>
        <r>
          <rPr>
            <b/>
            <sz val="9"/>
            <color indexed="81"/>
            <rFont val="Tahoma"/>
            <family val="2"/>
          </rPr>
          <t>Author:</t>
        </r>
        <r>
          <rPr>
            <sz val="9"/>
            <color indexed="81"/>
            <rFont val="Tahoma"/>
            <family val="2"/>
          </rPr>
          <t xml:space="preserve">
Given on FQ1'19 call</t>
        </r>
      </text>
    </comment>
    <comment ref="DC25" authorId="1" shapeId="0" xr:uid="{27D4EB50-6986-48F0-8A59-89A682DB34C3}">
      <text>
        <r>
          <rPr>
            <b/>
            <sz val="9"/>
            <color indexed="81"/>
            <rFont val="Tahoma"/>
            <family val="2"/>
          </rPr>
          <t>Author:</t>
        </r>
        <r>
          <rPr>
            <sz val="9"/>
            <color indexed="81"/>
            <rFont val="Tahoma"/>
            <family val="2"/>
          </rPr>
          <t xml:space="preserve">
F2Q22: Product0052+ was first streamer to win Best Picture with Product0087. </t>
        </r>
      </text>
    </comment>
    <comment ref="DF25" authorId="4" shapeId="0" xr:uid="{32AE9431-250E-4FC0-971B-DB305D613AD2}">
      <text>
        <r>
          <rPr>
            <b/>
            <sz val="9"/>
            <color indexed="81"/>
            <rFont val="Tahoma"/>
            <family val="2"/>
          </rPr>
          <t>Author:</t>
        </r>
        <r>
          <rPr>
            <sz val="9"/>
            <color indexed="81"/>
            <rFont val="Tahoma"/>
            <family val="2"/>
          </rPr>
          <t xml:space="preserve">
F1Q23: up DD on a CC basis</t>
        </r>
      </text>
    </comment>
    <comment ref="DJ25" authorId="1" shapeId="0" xr:uid="{406444E7-259D-4F6D-8660-D9B8E3FA5425}">
      <text>
        <r>
          <rPr>
            <b/>
            <sz val="9"/>
            <color indexed="81"/>
            <rFont val="Tahoma"/>
            <family val="2"/>
          </rPr>
          <t>Author:</t>
        </r>
        <r>
          <rPr>
            <sz val="9"/>
            <color indexed="81"/>
            <rFont val="Tahoma"/>
            <family val="2"/>
          </rPr>
          <t xml:space="preserve">
Average revenue per week to grow at a similar DD% rate as it did in the F4Q23 quarter</t>
        </r>
      </text>
    </comment>
    <comment ref="DK25" authorId="4" shapeId="0" xr:uid="{2A38220D-C28D-4638-BDFE-60F2C6B4E6D5}">
      <text>
        <r>
          <rPr>
            <b/>
            <sz val="9"/>
            <color indexed="81"/>
            <rFont val="Tahoma"/>
            <family val="2"/>
          </rPr>
          <t>Author:</t>
        </r>
        <r>
          <rPr>
            <sz val="9"/>
            <color indexed="81"/>
            <rFont val="Tahoma"/>
            <family val="2"/>
          </rPr>
          <t xml:space="preserve">
F1Q24: expect double digit growth in line with march quarter. Won't accelerate necessarily grow bc FX headwinds (no material headwinds in december) and more difficutl comps</t>
        </r>
      </text>
    </comment>
    <comment ref="DM25" authorId="4" shapeId="0" xr:uid="{50594A02-611F-4317-A59A-EB16C4511038}">
      <text>
        <r>
          <rPr>
            <b/>
            <sz val="9"/>
            <color indexed="81"/>
            <rFont val="Tahoma"/>
            <family val="2"/>
          </rPr>
          <t>Author:</t>
        </r>
        <r>
          <rPr>
            <sz val="9"/>
            <color indexed="81"/>
            <rFont val="Tahoma"/>
            <family val="2"/>
          </rPr>
          <t xml:space="preserve">
F3Q24: dd% growth in line with first three quarters</t>
        </r>
      </text>
    </comment>
    <comment ref="DN25" authorId="1" shapeId="0" xr:uid="{78FAFC28-0350-4D06-B707-B88F5017DCC8}">
      <text>
        <r>
          <rPr>
            <b/>
            <sz val="9"/>
            <color indexed="81"/>
            <rFont val="Tahoma"/>
            <family val="2"/>
          </rPr>
          <t>Author:</t>
        </r>
        <r>
          <rPr>
            <sz val="9"/>
            <color indexed="81"/>
            <rFont val="Tahoma"/>
            <family val="2"/>
          </rPr>
          <t xml:space="preserve">
F4Q24: +DD% similar to F2024 (+13% yoy)</t>
        </r>
      </text>
    </comment>
    <comment ref="DO25" authorId="4" shapeId="0" xr:uid="{FB422722-FDF0-49A9-8E6E-920FBF3BB80E}">
      <text>
        <r>
          <rPr>
            <b/>
            <sz val="9"/>
            <color indexed="81"/>
            <rFont val="Tahoma"/>
            <family val="2"/>
          </rPr>
          <t>Author:</t>
        </r>
        <r>
          <rPr>
            <sz val="9"/>
            <color indexed="81"/>
            <rFont val="Tahoma"/>
            <family val="2"/>
          </rPr>
          <t xml:space="preserve">
F1Q25: services to grow low DD%</t>
        </r>
      </text>
    </comment>
    <comment ref="DQ25" authorId="4" shapeId="0" xr:uid="{C11A2671-CC57-4B5C-B725-6EB4BAE26584}">
      <text>
        <r>
          <rPr>
            <b/>
            <sz val="9"/>
            <color indexed="81"/>
            <rFont val="Tahoma"/>
            <family val="2"/>
          </rPr>
          <t>Author:</t>
        </r>
        <r>
          <rPr>
            <sz val="9"/>
            <color indexed="81"/>
            <rFont val="Tahoma"/>
            <family val="2"/>
          </rPr>
          <t xml:space="preserve">
F3Q25: services to grow in line with the june rate (13%)</t>
        </r>
      </text>
    </comment>
    <comment ref="FE25" authorId="2" shapeId="0" xr:uid="{00000000-0006-0000-0700-000041000000}">
      <text>
        <r>
          <rPr>
            <b/>
            <sz val="9"/>
            <color indexed="81"/>
            <rFont val="Tahoma"/>
            <family val="2"/>
          </rPr>
          <t>Author:</t>
        </r>
        <r>
          <rPr>
            <sz val="9"/>
            <color indexed="81"/>
            <rFont val="Tahoma"/>
            <family val="2"/>
          </rPr>
          <t xml:space="preserve">
-Accounting change in FQ1'19. Segment level #s below are estimates until FQ4'17, Company0242 restated FY18 and beyond numbers, do not compare to FY12 and prior numbers</t>
        </r>
      </text>
    </comment>
    <comment ref="FI25" authorId="2" shapeId="0" xr:uid="{00000000-0006-0000-0700-000042000000}">
      <text>
        <r>
          <rPr>
            <b/>
            <sz val="9"/>
            <color indexed="81"/>
            <rFont val="Tahoma"/>
            <family val="2"/>
          </rPr>
          <t>Author:</t>
        </r>
        <r>
          <rPr>
            <sz val="9"/>
            <color indexed="81"/>
            <rFont val="Tahoma"/>
            <family val="2"/>
          </rPr>
          <t xml:space="preserve">
22% Given on FQ1'19 call</t>
        </r>
      </text>
    </comment>
    <comment ref="BV26" authorId="2" shapeId="0" xr:uid="{00000000-0006-0000-0700-000043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26" authorId="2" shapeId="0" xr:uid="{00000000-0006-0000-0700-000044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26" authorId="2" shapeId="0" xr:uid="{00000000-0006-0000-0700-000045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26" authorId="2" shapeId="0" xr:uid="{00000000-0006-0000-0700-000046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DD26" authorId="1" shapeId="0" xr:uid="{FBA858D4-5128-4FDC-A998-6E0CF8D57363}">
      <text>
        <r>
          <rPr>
            <b/>
            <sz val="9"/>
            <color indexed="81"/>
            <rFont val="Tahoma"/>
            <family val="2"/>
          </rPr>
          <t>Author:</t>
        </r>
        <r>
          <rPr>
            <sz val="9"/>
            <color indexed="81"/>
            <rFont val="Tahoma"/>
            <family val="2"/>
          </rPr>
          <t xml:space="preserve">
F3Q22: 300 bps headwind from forex 
F2Q22: Russia expected to be a 150 bps headwind. FX 300 bps headwind. 
No commitment to revenue growth on yoy basis. </t>
        </r>
      </text>
    </comment>
    <comment ref="DE26" authorId="1" shapeId="0" xr:uid="{AD5220AE-E9E7-4987-8691-520F33AAF6CA}">
      <text>
        <r>
          <rPr>
            <b/>
            <sz val="9"/>
            <color indexed="81"/>
            <rFont val="Tahoma"/>
            <family val="2"/>
          </rPr>
          <t>Author:</t>
        </r>
        <r>
          <rPr>
            <sz val="9"/>
            <color indexed="81"/>
            <rFont val="Tahoma"/>
            <family val="2"/>
          </rPr>
          <t xml:space="preserve">
F3Q22: FX to be 600 bps headwind in 4Q </t>
        </r>
      </text>
    </comment>
    <comment ref="DF26" authorId="1" shapeId="0" xr:uid="{4E079613-A09F-4F97-AA0F-8F68F516B9DD}">
      <text>
        <r>
          <rPr>
            <b/>
            <sz val="9"/>
            <color indexed="81"/>
            <rFont val="Tahoma"/>
            <family val="2"/>
          </rPr>
          <t>Author:</t>
        </r>
        <r>
          <rPr>
            <sz val="9"/>
            <color indexed="81"/>
            <rFont val="Tahoma"/>
            <family val="2"/>
          </rPr>
          <t xml:space="preserve">
F1Q23: Macro challenges from war in Eastern Europe, enduring impacts of the pandemic. </t>
        </r>
      </text>
    </comment>
    <comment ref="DG26" authorId="1" shapeId="0" xr:uid="{4199AD78-5A92-4986-8436-E70D81E1C068}">
      <text>
        <r>
          <rPr>
            <b/>
            <sz val="9"/>
            <color indexed="81"/>
            <rFont val="Tahoma"/>
            <family val="2"/>
          </rPr>
          <t>Author:</t>
        </r>
        <r>
          <rPr>
            <sz val="9"/>
            <color indexed="81"/>
            <rFont val="Tahoma"/>
            <family val="2"/>
          </rPr>
          <t xml:space="preserve">
F1Q23: revenue to decline similar to F1Q levels</t>
        </r>
      </text>
    </comment>
    <comment ref="DH26" authorId="1" shapeId="0" xr:uid="{69642551-32F1-4BAC-BA12-8A524509A744}">
      <text>
        <r>
          <rPr>
            <b/>
            <sz val="9"/>
            <color indexed="81"/>
            <rFont val="Tahoma"/>
            <family val="2"/>
          </rPr>
          <t>Author:</t>
        </r>
        <r>
          <rPr>
            <sz val="9"/>
            <color indexed="81"/>
            <rFont val="Tahoma"/>
            <family val="2"/>
          </rPr>
          <t xml:space="preserve">
F2Q23: revenue similar to F2Q23 (-3% yoy)</t>
        </r>
      </text>
    </comment>
    <comment ref="DI26" authorId="1" shapeId="0" xr:uid="{8332BFE7-EFB3-4353-ABB5-3A7A6001A6A0}">
      <text>
        <r>
          <rPr>
            <b/>
            <sz val="9"/>
            <color indexed="81"/>
            <rFont val="Tahoma"/>
            <family val="2"/>
          </rPr>
          <t>Author:</t>
        </r>
        <r>
          <rPr>
            <sz val="9"/>
            <color indexed="81"/>
            <rFont val="Tahoma"/>
            <family val="2"/>
          </rPr>
          <t xml:space="preserve">
F3Q23: Similar to F3Q23 revenue performance (-1% yoy or impleid $89.24 bn</t>
        </r>
      </text>
    </comment>
    <comment ref="DJ26" authorId="1" shapeId="0" xr:uid="{12A8A712-E9F8-4A4D-B8C8-61D2BAEE549E}">
      <text>
        <r>
          <rPr>
            <b/>
            <sz val="9"/>
            <color indexed="81"/>
            <rFont val="Tahoma"/>
            <family val="2"/>
          </rPr>
          <t>Author:</t>
        </r>
        <r>
          <rPr>
            <sz val="9"/>
            <color indexed="81"/>
            <rFont val="Tahoma"/>
            <family val="2"/>
          </rPr>
          <t xml:space="preserve">
F1Q24: 2pp net headwind as [all Product0167]: 7 pp headwind from extra offset by 5 pp benefit from easy supply chain comps
F4Q23: flat yoy
year-ago added 7pp to revenue</t>
        </r>
      </text>
    </comment>
    <comment ref="DK26" authorId="1" shapeId="0" xr:uid="{8F21AF22-ADFE-4B07-8DE0-11DA3D79DEA8}">
      <text>
        <r>
          <rPr>
            <b/>
            <sz val="9"/>
            <color indexed="81"/>
            <rFont val="Tahoma"/>
            <family val="2"/>
          </rPr>
          <t>Author:</t>
        </r>
        <r>
          <rPr>
            <sz val="9"/>
            <color indexed="81"/>
            <rFont val="Tahoma"/>
            <family val="2"/>
          </rPr>
          <t xml:space="preserve">
F1Q24: Revenue would be flat yoy excluding $5 bn headwind from Product0489 comp
With Services growing at a similar DD% rate (+11% yoy or +$2 bn), that implies Product0489 revenue -$5 bn, non-Product0489 products $2 bn, and Services +$2 bn </t>
        </r>
      </text>
    </comment>
    <comment ref="DL26" authorId="1" shapeId="0" xr:uid="{C4DB8854-82A9-482D-80DE-233ED51623D3}">
      <text>
        <r>
          <rPr>
            <b/>
            <sz val="9"/>
            <color indexed="81"/>
            <rFont val="Tahoma"/>
            <family val="2"/>
          </rPr>
          <t>Author:</t>
        </r>
        <r>
          <rPr>
            <sz val="9"/>
            <color indexed="81"/>
            <rFont val="Tahoma"/>
            <family val="2"/>
          </rPr>
          <t xml:space="preserve">
F2Q24: +LSD% yoy </t>
        </r>
      </text>
    </comment>
    <comment ref="DM26" authorId="4" shapeId="0" xr:uid="{9A12E7A4-4B75-4960-B75A-35DBFD473EBF}">
      <text>
        <r>
          <rPr>
            <b/>
            <sz val="9"/>
            <color indexed="81"/>
            <rFont val="Tahoma"/>
            <family val="2"/>
          </rPr>
          <t>Author:</t>
        </r>
        <r>
          <rPr>
            <sz val="9"/>
            <color indexed="81"/>
            <rFont val="Tahoma"/>
            <family val="2"/>
          </rPr>
          <t xml:space="preserve">
F3Q24: Similar to F3Q levels (5%)</t>
        </r>
      </text>
    </comment>
    <comment ref="DN26" authorId="1" shapeId="0" xr:uid="{D1C43740-EFC4-4FA6-AD7E-99AF934E153E}">
      <text>
        <r>
          <rPr>
            <b/>
            <sz val="9"/>
            <color indexed="81"/>
            <rFont val="Tahoma"/>
            <family val="2"/>
          </rPr>
          <t>Author:</t>
        </r>
        <r>
          <rPr>
            <sz val="9"/>
            <color indexed="81"/>
            <rFont val="Tahoma"/>
            <family val="2"/>
          </rPr>
          <t xml:space="preserve">
F4Q24: +LSD to +MSD% yoy </t>
        </r>
      </text>
    </comment>
    <comment ref="DO26" authorId="4" shapeId="0" xr:uid="{7471F665-6C65-4067-B7A4-C2279FFEA43A}">
      <text>
        <r>
          <rPr>
            <b/>
            <sz val="9"/>
            <color indexed="81"/>
            <rFont val="Tahoma"/>
            <family val="2"/>
          </rPr>
          <t>Author:</t>
        </r>
        <r>
          <rPr>
            <sz val="9"/>
            <color indexed="81"/>
            <rFont val="Tahoma"/>
            <family val="2"/>
          </rPr>
          <t xml:space="preserve">
F1Q25: Low to mid single digit growth </t>
        </r>
      </text>
    </comment>
    <comment ref="DP26" authorId="1" shapeId="0" xr:uid="{F241AB56-8BE4-420F-AECD-401B21838924}">
      <text>
        <r>
          <rPr>
            <b/>
            <sz val="9"/>
            <color indexed="81"/>
            <rFont val="Tahoma"/>
            <family val="2"/>
          </rPr>
          <t>Author:</t>
        </r>
        <r>
          <rPr>
            <sz val="9"/>
            <color indexed="81"/>
            <rFont val="Tahoma"/>
            <family val="2"/>
          </rPr>
          <t xml:space="preserve">
F2Q25: LSD-MSD revenue growth</t>
        </r>
      </text>
    </comment>
    <comment ref="DQ26" authorId="4" shapeId="0" xr:uid="{D3A5F23C-EE18-4BF6-BBE3-91EAEEA95958}">
      <text>
        <r>
          <rPr>
            <b/>
            <sz val="9"/>
            <color indexed="81"/>
            <rFont val="Tahoma"/>
            <family val="2"/>
          </rPr>
          <t>Author:</t>
        </r>
        <r>
          <rPr>
            <sz val="9"/>
            <color indexed="81"/>
            <rFont val="Tahoma"/>
            <family val="2"/>
          </rPr>
          <t xml:space="preserve">
F3Q25: MSD-HSD%; keep in mind that tariff related pull ahead in 3Q, also September quarter last year had a full Product0487 launch which makes for a tough comp</t>
        </r>
      </text>
    </comment>
    <comment ref="FE26" authorId="2" shapeId="0" xr:uid="{00000000-0006-0000-0700-000047000000}">
      <text>
        <r>
          <rPr>
            <b/>
            <sz val="9"/>
            <color indexed="81"/>
            <rFont val="Tahoma"/>
            <family val="2"/>
          </rPr>
          <t>Author:</t>
        </r>
        <r>
          <rPr>
            <sz val="9"/>
            <color indexed="81"/>
            <rFont val="Tahoma"/>
            <family val="2"/>
          </rPr>
          <t xml:space="preserve">
-Accounting change in FQ1'19. Segment level #s below are estimates until FQ4'17, Company0242 restated FY18 and beyond numbers, do not compare to FY12 and prior numbers</t>
        </r>
      </text>
    </comment>
    <comment ref="FN26" authorId="1" shapeId="0" xr:uid="{A9A2EECD-2F4B-4407-A44B-7BFC97E349B4}">
      <text>
        <r>
          <rPr>
            <b/>
            <sz val="9"/>
            <color indexed="81"/>
            <rFont val="Tahoma"/>
            <family val="2"/>
          </rPr>
          <t>Author:</t>
        </r>
        <r>
          <rPr>
            <sz val="9"/>
            <color indexed="81"/>
            <rFont val="Tahoma"/>
            <family val="2"/>
          </rPr>
          <t xml:space="preserve">
F4Q23: positive on constant currency</t>
        </r>
      </text>
    </comment>
    <comment ref="A27" authorId="1" shapeId="0" xr:uid="{5343BE52-6AED-4D05-BE43-B82F78DA5D3B}">
      <text>
        <r>
          <rPr>
            <b/>
            <sz val="9"/>
            <color indexed="81"/>
            <rFont val="Tahoma"/>
            <family val="2"/>
          </rPr>
          <t>Author:</t>
        </r>
        <r>
          <rPr>
            <sz val="9"/>
            <color indexed="81"/>
            <rFont val="Tahoma"/>
            <family val="2"/>
          </rPr>
          <t xml:space="preserve">
8/3/2023: don't hedge every currency
for currencies hedged:
12-months of coverage
100% hedged for FQ1
75% hedged FQ2
50% hedged FQ3
40% hedged FQ4
Rolling...
</t>
        </r>
      </text>
    </comment>
    <comment ref="CQ27" authorId="2" shapeId="0" xr:uid="{A01E05A6-CDFB-4E75-A5AA-36DBE8560A2E}">
      <text>
        <r>
          <rPr>
            <b/>
            <sz val="9"/>
            <color indexed="81"/>
            <rFont val="Tahoma"/>
            <family val="2"/>
          </rPr>
          <t>Author:</t>
        </r>
        <r>
          <rPr>
            <sz val="9"/>
            <color indexed="81"/>
            <rFont val="Tahoma"/>
            <family val="2"/>
          </rPr>
          <t xml:space="preserve">
FQ1'19 Call: $1.3bn negative impact from FX</t>
        </r>
      </text>
    </comment>
    <comment ref="CR27" authorId="1" shapeId="0" xr:uid="{E846657D-4463-423D-97C4-E7AA195748F2}">
      <text>
        <r>
          <rPr>
            <b/>
            <sz val="9"/>
            <color indexed="81"/>
            <rFont val="Tahoma"/>
            <family val="2"/>
          </rPr>
          <t>Author:</t>
        </r>
        <r>
          <rPr>
            <sz val="9"/>
            <color indexed="81"/>
            <rFont val="Tahoma"/>
            <family val="2"/>
          </rPr>
          <t xml:space="preserve">
F3Q19: forex was a 300 bps headwind</t>
        </r>
      </text>
    </comment>
    <comment ref="CS27" authorId="2" shapeId="0" xr:uid="{147620E3-DF62-4272-AC57-2B2B5D94530B}">
      <text>
        <r>
          <rPr>
            <b/>
            <sz val="9"/>
            <color indexed="81"/>
            <rFont val="Tahoma"/>
            <family val="2"/>
          </rPr>
          <t>Author:</t>
        </r>
        <r>
          <rPr>
            <sz val="9"/>
            <color indexed="81"/>
            <rFont val="Tahoma"/>
            <family val="2"/>
          </rPr>
          <t xml:space="preserve">
FQ4'19 call (10/30/19): ~$1bn negative impact
FQ3'19 call: FQ4'19 revenue guide includes ~$1bn negative impact from FX Y/Y</t>
        </r>
      </text>
    </comment>
    <comment ref="CT27" authorId="2" shapeId="0" xr:uid="{9B50AA26-7E4A-4CAE-A181-D8CD51A4F9A7}">
      <text>
        <r>
          <rPr>
            <b/>
            <sz val="9"/>
            <color indexed="81"/>
            <rFont val="Tahoma"/>
            <family val="2"/>
          </rPr>
          <t>Author:</t>
        </r>
        <r>
          <rPr>
            <sz val="9"/>
            <color indexed="81"/>
            <rFont val="Tahoma"/>
            <family val="2"/>
          </rPr>
          <t xml:space="preserve">
FQ1'20 call (1/28/20): $1bn
FQ4'19 call (10/30/19): ~$1bn negative impact</t>
        </r>
      </text>
    </comment>
    <comment ref="CU27" authorId="1" shapeId="0" xr:uid="{045E527C-5615-4749-BA1F-691CFC992D00}">
      <text>
        <r>
          <rPr>
            <b/>
            <sz val="9"/>
            <color indexed="81"/>
            <rFont val="Tahoma"/>
            <family val="2"/>
          </rPr>
          <t>Author:</t>
        </r>
        <r>
          <rPr>
            <sz val="9"/>
            <color indexed="81"/>
            <rFont val="Tahoma"/>
            <family val="2"/>
          </rPr>
          <t xml:space="preserve">
F3Q20: forex was a 100 bps headwind</t>
        </r>
      </text>
    </comment>
    <comment ref="CV27" authorId="1" shapeId="0" xr:uid="{65F0EFD0-94CD-4E2E-94D2-26CEE11F5D07}">
      <text>
        <r>
          <rPr>
            <b/>
            <sz val="9"/>
            <color indexed="81"/>
            <rFont val="Tahoma"/>
            <family val="2"/>
          </rPr>
          <t>Author:</t>
        </r>
        <r>
          <rPr>
            <sz val="9"/>
            <color indexed="81"/>
            <rFont val="Tahoma"/>
            <family val="2"/>
          </rPr>
          <t xml:space="preserve">
F3Q20: forex was a 300 bps headwind</t>
        </r>
      </text>
    </comment>
    <comment ref="CW27" authorId="1" shapeId="0" xr:uid="{941BA883-5B9F-4F22-818D-D4880C7D2667}">
      <text>
        <r>
          <rPr>
            <b/>
            <sz val="9"/>
            <color indexed="81"/>
            <rFont val="Tahoma"/>
            <family val="2"/>
          </rPr>
          <t>Author:</t>
        </r>
        <r>
          <rPr>
            <sz val="9"/>
            <color indexed="81"/>
            <rFont val="Tahoma"/>
            <family val="2"/>
          </rPr>
          <t xml:space="preserve">
F4Q20: forex was not a headwind</t>
        </r>
      </text>
    </comment>
    <comment ref="CX27" authorId="1" shapeId="0" xr:uid="{88F4BFD1-EC0E-46DD-AC05-FDB73D64F093}">
      <text>
        <r>
          <rPr>
            <b/>
            <sz val="9"/>
            <color indexed="81"/>
            <rFont val="Tahoma"/>
            <family val="2"/>
          </rPr>
          <t>Author:</t>
        </r>
        <r>
          <rPr>
            <sz val="9"/>
            <color indexed="81"/>
            <rFont val="Tahoma"/>
            <family val="2"/>
          </rPr>
          <t xml:space="preserve">
F1Q21: forex did not have any impact qoq or yoy</t>
        </r>
      </text>
    </comment>
    <comment ref="CY27" authorId="1" shapeId="0" xr:uid="{992FEF41-0B29-4F29-9DD6-153A8FFD6812}">
      <text>
        <r>
          <rPr>
            <b/>
            <sz val="9"/>
            <color indexed="81"/>
            <rFont val="Tahoma"/>
            <family val="2"/>
          </rPr>
          <t>Author:</t>
        </r>
        <r>
          <rPr>
            <sz val="9"/>
            <color indexed="81"/>
            <rFont val="Tahoma"/>
            <family val="2"/>
          </rPr>
          <t xml:space="preserve">
F2Q21: Foreign exchange benefit is similar in F2Q and F3Q</t>
        </r>
      </text>
    </comment>
    <comment ref="DA27" authorId="1" shapeId="0" xr:uid="{C8C950EC-9E63-47E0-886F-27F84CB4DE3C}">
      <text>
        <r>
          <rPr>
            <b/>
            <sz val="9"/>
            <color indexed="81"/>
            <rFont val="Tahoma"/>
            <family val="2"/>
          </rPr>
          <t>Author:</t>
        </r>
        <r>
          <rPr>
            <sz val="9"/>
            <color indexed="81"/>
            <rFont val="Tahoma"/>
            <family val="2"/>
          </rPr>
          <t xml:space="preserve">
F3Q21: forex impact on F3Q21 yoy growth rate will be 3pp less favorable</t>
        </r>
      </text>
    </comment>
    <comment ref="DB27" authorId="1" shapeId="0" xr:uid="{D7CE333F-B73A-4DB8-8D3A-D27EDC4007C5}">
      <text>
        <r>
          <rPr>
            <b/>
            <sz val="9"/>
            <color indexed="81"/>
            <rFont val="Tahoma"/>
            <family val="2"/>
          </rPr>
          <t>Author:</t>
        </r>
        <r>
          <rPr>
            <sz val="9"/>
            <color indexed="81"/>
            <rFont val="Tahoma"/>
            <family val="2"/>
          </rPr>
          <t xml:space="preserve">
F1Q22: 100 bps benefit durign December quarter</t>
        </r>
      </text>
    </comment>
    <comment ref="DC27" authorId="1" shapeId="0" xr:uid="{0816BD7B-EB18-4596-9E8A-93F79E459153}">
      <text>
        <r>
          <rPr>
            <b/>
            <sz val="9"/>
            <color indexed="81"/>
            <rFont val="Tahoma"/>
            <family val="2"/>
          </rPr>
          <t>Author:</t>
        </r>
        <r>
          <rPr>
            <sz val="9"/>
            <color indexed="81"/>
            <rFont val="Tahoma"/>
            <family val="2"/>
          </rPr>
          <t xml:space="preserve">
F1Q22: forex will be 2pp headwind yoy</t>
        </r>
      </text>
    </comment>
    <comment ref="DD27" authorId="1" shapeId="0" xr:uid="{D621E65C-11BE-493D-AE83-7771F623E94C}">
      <text>
        <r>
          <rPr>
            <b/>
            <sz val="9"/>
            <color indexed="81"/>
            <rFont val="Tahoma"/>
            <family val="2"/>
          </rPr>
          <t>Author:</t>
        </r>
        <r>
          <rPr>
            <sz val="9"/>
            <color indexed="81"/>
            <rFont val="Tahoma"/>
            <family val="2"/>
          </rPr>
          <t xml:space="preserve">
F3Q22: over 300 bps of foreign exchange headwinds</t>
        </r>
      </text>
    </comment>
    <comment ref="DE27" authorId="1" shapeId="0" xr:uid="{180F42A6-D384-4FD3-BBFF-07A205DF630F}">
      <text>
        <r>
          <rPr>
            <b/>
            <sz val="9"/>
            <color indexed="81"/>
            <rFont val="Tahoma"/>
            <family val="2"/>
          </rPr>
          <t>Author:</t>
        </r>
        <r>
          <rPr>
            <sz val="9"/>
            <color indexed="81"/>
            <rFont val="Tahoma"/>
            <family val="2"/>
          </rPr>
          <t xml:space="preserve">
F3Q22: 600 bps negative forex </t>
        </r>
      </text>
    </comment>
    <comment ref="DF27" authorId="1" shapeId="0" xr:uid="{C885F486-F31F-45B8-8718-AD8E434E7EC7}">
      <text>
        <r>
          <rPr>
            <b/>
            <sz val="9"/>
            <color indexed="81"/>
            <rFont val="Tahoma"/>
            <family val="2"/>
          </rPr>
          <t>Author:</t>
        </r>
        <r>
          <rPr>
            <sz val="9"/>
            <color indexed="81"/>
            <rFont val="Tahoma"/>
            <family val="2"/>
          </rPr>
          <t xml:space="preserve">
F123: nearl 800 bps headwind
F4Q22: nearly 10 pp headwind from forex</t>
        </r>
      </text>
    </comment>
    <comment ref="DG27" authorId="4" shapeId="0" xr:uid="{40741C0E-ED01-42D2-91E2-976B5E05DC50}">
      <text>
        <r>
          <rPr>
            <b/>
            <sz val="9"/>
            <color indexed="81"/>
            <rFont val="Tahoma"/>
            <family val="2"/>
          </rPr>
          <t>Author:</t>
        </r>
        <r>
          <rPr>
            <sz val="9"/>
            <color indexed="81"/>
            <rFont val="Tahoma"/>
            <family val="2"/>
          </rPr>
          <t xml:space="preserve">
F2A23: -500 bps 
F1Q23: 5 pp headwinds from FX</t>
        </r>
      </text>
    </comment>
    <comment ref="DH27" authorId="1" shapeId="0" xr:uid="{0857B397-2345-4027-9471-D4923484A121}">
      <text>
        <r>
          <rPr>
            <b/>
            <sz val="9"/>
            <color indexed="81"/>
            <rFont val="Tahoma"/>
            <family val="2"/>
          </rPr>
          <t>Author:</t>
        </r>
        <r>
          <rPr>
            <sz val="9"/>
            <color indexed="81"/>
            <rFont val="Tahoma"/>
            <family val="2"/>
          </rPr>
          <t xml:space="preserve">
F2Q23: -400 bps 
but only -200 bps in Services </t>
        </r>
      </text>
    </comment>
    <comment ref="DI27" authorId="1" shapeId="0" xr:uid="{C4C8EE8A-D828-4DB3-8631-F949727DD03D}">
      <text>
        <r>
          <rPr>
            <b/>
            <sz val="9"/>
            <color indexed="81"/>
            <rFont val="Tahoma"/>
            <family val="2"/>
          </rPr>
          <t>Author:</t>
        </r>
        <r>
          <rPr>
            <sz val="9"/>
            <color indexed="81"/>
            <rFont val="Tahoma"/>
            <family val="2"/>
          </rPr>
          <t xml:space="preserve">
F4Q23: -200 bps 
F3Q23: -200 bps </t>
        </r>
      </text>
    </comment>
    <comment ref="DJ27" authorId="1" shapeId="0" xr:uid="{3CA9FDF4-C7B4-4AC5-8915-C59B18504BB3}">
      <text>
        <r>
          <rPr>
            <b/>
            <sz val="9"/>
            <color indexed="81"/>
            <rFont val="Tahoma"/>
            <family val="2"/>
          </rPr>
          <t>Author:</t>
        </r>
        <r>
          <rPr>
            <sz val="9"/>
            <color indexed="81"/>
            <rFont val="Tahoma"/>
            <family val="2"/>
          </rPr>
          <t xml:space="preserve">
F4Q23: -100 bps yoy headwind from forex</t>
        </r>
      </text>
    </comment>
    <comment ref="DK27" authorId="1" shapeId="0" xr:uid="{C3D20D24-41BB-4F26-860F-C245B72A7A7B}">
      <text>
        <r>
          <rPr>
            <b/>
            <sz val="9"/>
            <color indexed="81"/>
            <rFont val="Tahoma"/>
            <family val="2"/>
          </rPr>
          <t>Author:</t>
        </r>
        <r>
          <rPr>
            <sz val="9"/>
            <color indexed="81"/>
            <rFont val="Tahoma"/>
            <family val="2"/>
          </rPr>
          <t xml:space="preserve">
F1Q24: 200 bps headwind</t>
        </r>
      </text>
    </comment>
    <comment ref="DL27" authorId="1" shapeId="0" xr:uid="{CC9AEC67-469C-4FC9-B412-8211EA1FF5EB}">
      <text>
        <r>
          <rPr>
            <b/>
            <sz val="9"/>
            <color indexed="81"/>
            <rFont val="Tahoma"/>
            <family val="2"/>
          </rPr>
          <t>Author:</t>
        </r>
        <r>
          <rPr>
            <sz val="9"/>
            <color indexed="81"/>
            <rFont val="Tahoma"/>
            <family val="2"/>
          </rPr>
          <t xml:space="preserve">
F3Q24: -250 bps
F2Q24: -250 bps </t>
        </r>
      </text>
    </comment>
    <comment ref="DM27" authorId="4" shapeId="0" xr:uid="{39B447B3-E3C4-4CD1-BDAF-87979B97D667}">
      <text>
        <r>
          <rPr>
            <b/>
            <sz val="9"/>
            <color indexed="81"/>
            <rFont val="Tahoma"/>
            <family val="2"/>
          </rPr>
          <t>Author:</t>
        </r>
        <r>
          <rPr>
            <sz val="9"/>
            <color indexed="81"/>
            <rFont val="Tahoma"/>
            <family val="2"/>
          </rPr>
          <t xml:space="preserve">
F3Q24: 150 bps headwind</t>
        </r>
      </text>
    </comment>
    <comment ref="DN27" authorId="1" shapeId="0" xr:uid="{567C304A-13C8-40F1-B075-B49AFAC518E5}">
      <text>
        <r>
          <rPr>
            <b/>
            <sz val="9"/>
            <color indexed="81"/>
            <rFont val="Tahoma"/>
            <family val="2"/>
          </rPr>
          <t>Author:</t>
        </r>
        <r>
          <rPr>
            <sz val="9"/>
            <color indexed="81"/>
            <rFont val="Tahoma"/>
            <family val="2"/>
          </rPr>
          <t xml:space="preserve">
F1Q25: minimal impact from forex</t>
        </r>
      </text>
    </comment>
    <comment ref="DO27" authorId="4" shapeId="0" xr:uid="{4D2B2E4F-881A-48B2-BD59-B320DF981FED}">
      <text>
        <r>
          <rPr>
            <b/>
            <sz val="9"/>
            <color indexed="81"/>
            <rFont val="Tahoma"/>
            <family val="2"/>
          </rPr>
          <t>Author:</t>
        </r>
        <r>
          <rPr>
            <sz val="9"/>
            <color indexed="81"/>
            <rFont val="Tahoma"/>
            <family val="2"/>
          </rPr>
          <t xml:space="preserve">
F2Q25: 250 bps headwind… total revenue, 200 bps for Services 
F1Q25: 250 bps headwind</t>
        </r>
      </text>
    </comment>
    <comment ref="DP27" authorId="1" shapeId="0" xr:uid="{497E1E91-4199-4D32-9FCD-1BE4CE5B0B38}">
      <text>
        <r>
          <rPr>
            <b/>
            <sz val="9"/>
            <color indexed="81"/>
            <rFont val="Tahoma"/>
            <family val="2"/>
          </rPr>
          <t>Author:</t>
        </r>
        <r>
          <rPr>
            <sz val="9"/>
            <color indexed="81"/>
            <rFont val="Tahoma"/>
            <family val="2"/>
          </rPr>
          <t xml:space="preserve">
F3Q25: no forex impact on revenue or GM%
F2Q25: forex will be negative yoy (~ 50 bps)</t>
        </r>
      </text>
    </comment>
    <comment ref="DQ27" authorId="4" shapeId="0" xr:uid="{C4D6F576-C54C-46DD-8D6F-A525059A0402}">
      <text>
        <r>
          <rPr>
            <b/>
            <sz val="9"/>
            <color indexed="81"/>
            <rFont val="Tahoma"/>
            <family val="2"/>
          </rPr>
          <t>Author:</t>
        </r>
        <r>
          <rPr>
            <sz val="9"/>
            <color indexed="81"/>
            <rFont val="Tahoma"/>
            <family val="2"/>
          </rPr>
          <t xml:space="preserve">
F3Q25: very minor tailwind for Q3 to Q4</t>
        </r>
      </text>
    </comment>
    <comment ref="CH28" authorId="2" shapeId="0" xr:uid="{00000000-0006-0000-0700-000067000000}">
      <text>
        <r>
          <rPr>
            <b/>
            <sz val="9"/>
            <color indexed="81"/>
            <rFont val="Tahoma"/>
            <family val="2"/>
          </rPr>
          <t>Author:</t>
        </r>
        <r>
          <rPr>
            <sz val="9"/>
            <color indexed="81"/>
            <rFont val="Tahoma"/>
            <family val="2"/>
          </rPr>
          <t xml:space="preserve">
From THE original model</t>
        </r>
      </text>
    </comment>
    <comment ref="CQ28" authorId="2" shapeId="0" xr:uid="{00000000-0006-0000-0700-000068000000}">
      <text>
        <r>
          <rPr>
            <b/>
            <sz val="9"/>
            <color indexed="81"/>
            <rFont val="Tahoma"/>
            <family val="2"/>
          </rPr>
          <t>Author:</t>
        </r>
        <r>
          <rPr>
            <sz val="9"/>
            <color indexed="81"/>
            <rFont val="Tahoma"/>
            <family val="2"/>
          </rPr>
          <t xml:space="preserve">
FQ2'19 Call (4/30/2019): 200bps negative impact</t>
        </r>
      </text>
    </comment>
    <comment ref="CF31" authorId="6" shapeId="0" xr:uid="{29FD75F6-DE5B-4A15-A5C5-B0CB3D0B7B39}">
      <text>
        <r>
          <rPr>
            <b/>
            <sz val="9"/>
            <color indexed="81"/>
            <rFont val="Tahoma"/>
            <family val="2"/>
          </rPr>
          <t>Author:</t>
        </r>
        <r>
          <rPr>
            <sz val="9"/>
            <color indexed="81"/>
            <rFont val="Tahoma"/>
            <family val="2"/>
          </rPr>
          <t xml:space="preserve">
4/26/16: expect seasonal seq. decline in Product0489 sales</t>
        </r>
      </text>
    </comment>
    <comment ref="CG31" authorId="7" shapeId="0" xr:uid="{3223ABFA-8AA6-4973-8969-8298D70CC77A}">
      <text>
        <r>
          <rPr>
            <b/>
            <sz val="9"/>
            <color indexed="81"/>
            <rFont val="Tahoma"/>
            <family val="2"/>
          </rPr>
          <t>Author:</t>
        </r>
        <r>
          <rPr>
            <sz val="9"/>
            <color indexed="81"/>
            <rFont val="Tahoma"/>
            <family val="2"/>
          </rPr>
          <t xml:space="preserve">
7/26/16: Sequential increase of Product0489 units in Sept in-line with past </t>
        </r>
      </text>
    </comment>
    <comment ref="BV32" authorId="2" shapeId="0" xr:uid="{00000000-0006-0000-0700-000054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32" authorId="2" shapeId="0" xr:uid="{00000000-0006-0000-0700-000055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32" authorId="2" shapeId="0" xr:uid="{00000000-0006-0000-0700-000056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32" authorId="2" shapeId="0" xr:uid="{00000000-0006-0000-0700-000057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V33" authorId="2" shapeId="0" xr:uid="{00000000-0006-0000-0700-000050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33" authorId="2" shapeId="0" xr:uid="{00000000-0006-0000-0700-000051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33" authorId="2" shapeId="0" xr:uid="{00000000-0006-0000-0700-000052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33" authorId="2" shapeId="0" xr:uid="{00000000-0006-0000-0700-000053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V34" authorId="2" shapeId="0" xr:uid="{00000000-0006-0000-0700-000058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34" authorId="2" shapeId="0" xr:uid="{00000000-0006-0000-0700-000059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34" authorId="2" shapeId="0" xr:uid="{00000000-0006-0000-0700-00005A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34" authorId="2" shapeId="0" xr:uid="{00000000-0006-0000-0700-00005B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V35" authorId="2" shapeId="0" xr:uid="{00000000-0006-0000-0700-000048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35" authorId="2" shapeId="0" xr:uid="{00000000-0006-0000-0700-000049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35" authorId="2" shapeId="0" xr:uid="{00000000-0006-0000-0700-00004A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35" authorId="2" shapeId="0" xr:uid="{00000000-0006-0000-0700-00004B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V36" authorId="2" shapeId="0" xr:uid="{00000000-0006-0000-0700-00005C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36" authorId="2" shapeId="0" xr:uid="{00000000-0006-0000-0700-00005D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36" authorId="2" shapeId="0" xr:uid="{00000000-0006-0000-0700-00005E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36" authorId="2" shapeId="0" xr:uid="{00000000-0006-0000-0700-00005F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V37" authorId="2" shapeId="0" xr:uid="{00000000-0006-0000-0700-000060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37" authorId="2" shapeId="0" xr:uid="{00000000-0006-0000-0700-000061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37" authorId="2" shapeId="0" xr:uid="{00000000-0006-0000-0700-000062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37" authorId="2" shapeId="0" xr:uid="{00000000-0006-0000-0700-00006300000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A48" authorId="1" shapeId="0" xr:uid="{C32C2DC0-1F2A-4A14-AA32-62D833CFACC0}">
      <text>
        <r>
          <rPr>
            <b/>
            <sz val="9"/>
            <color indexed="81"/>
            <rFont val="Tahoma"/>
            <family val="2"/>
          </rPr>
          <t>Author:</t>
        </r>
        <r>
          <rPr>
            <sz val="9"/>
            <color indexed="81"/>
            <rFont val="Tahoma"/>
            <family val="2"/>
          </rPr>
          <t xml:space="preserve">
According wto Company2965 (1/23/2020) Company0242 pays $10 per modem chip to Company1378 (v. $15 Company2530 pays Company2202). 
iPhones have 25% EBIT margins and takes 75% of smartphone industry profit. 
F22 10-K: substantially all manufacturing based in Asia (e.g., mainland China, India, Japan, S Korea, Taiwan, Vietnam)
Company0242 places component orders in March/April for September Product0489 launches</t>
        </r>
      </text>
    </comment>
    <comment ref="DB48" authorId="1" shapeId="0" xr:uid="{DA7123B4-7629-48C5-9CA8-853DEA8C822C}">
      <text>
        <r>
          <rPr>
            <b/>
            <sz val="9"/>
            <color indexed="81"/>
            <rFont val="Tahoma"/>
            <family val="2"/>
          </rPr>
          <t>Author:</t>
        </r>
        <r>
          <rPr>
            <sz val="9"/>
            <color indexed="81"/>
            <rFont val="Tahoma"/>
            <family val="2"/>
          </rPr>
          <t xml:space="preserve">
11/23/21: Company1941 reports that Company0242 will use Company2698 to make Product0489 modems starting in 2023.
Will also use Company2698 4-nanometer chip production technology for the first Company0242 5G mode chip. Shifting away from Company2202. 
Currently testing with Company2698 5-nanometer technology. 
Company0242 won't commercialize in-house chip until 2023 partially because carriers need time to test the chips. </t>
        </r>
      </text>
    </comment>
    <comment ref="DF48" authorId="1" shapeId="0" xr:uid="{6F3E1566-633C-46B8-AE9A-BD31D947E6DE}">
      <text>
        <r>
          <rPr>
            <b/>
            <sz val="9"/>
            <color indexed="81"/>
            <rFont val="Tahoma"/>
            <family val="2"/>
          </rPr>
          <t>Author:</t>
        </r>
        <r>
          <rPr>
            <sz val="9"/>
            <color indexed="81"/>
            <rFont val="Tahoma"/>
            <family val="2"/>
          </rPr>
          <t xml:space="preserve">
6/1/2022: AAPl moving some Product0487 production to Vietnam from China in response to COVID lockdowns (Company1941)</t>
        </r>
      </text>
    </comment>
    <comment ref="FH48" authorId="2" shapeId="0" xr:uid="{00000000-0006-0000-0700-00006B000000}">
      <text>
        <r>
          <rPr>
            <b/>
            <sz val="9"/>
            <color indexed="81"/>
            <rFont val="Tahoma"/>
            <family val="2"/>
          </rPr>
          <t>Author:</t>
        </r>
        <r>
          <rPr>
            <sz val="9"/>
            <color indexed="81"/>
            <rFont val="Tahoma"/>
            <family val="2"/>
          </rPr>
          <t xml:space="preserve">
FY19 10-K</t>
        </r>
      </text>
    </comment>
    <comment ref="CW49" authorId="1" shapeId="0" xr:uid="{7B657E4D-E6B7-412F-8A13-B20855027FF1}">
      <text>
        <r>
          <rPr>
            <b/>
            <sz val="9"/>
            <color indexed="81"/>
            <rFont val="Tahoma"/>
            <family val="2"/>
          </rPr>
          <t>Author:</t>
        </r>
        <r>
          <rPr>
            <sz val="9"/>
            <color indexed="81"/>
            <rFont val="Tahoma"/>
            <family val="2"/>
          </rPr>
          <t xml:space="preserve">
Morning Show to cost $250 mn for 2X seasons
Ticker0001 turned down 1200 options before greenlighitng first 4-6 scripts </t>
        </r>
      </text>
    </comment>
    <comment ref="FH49" authorId="2" shapeId="0" xr:uid="{00000000-0006-0000-0700-00006C000000}">
      <text>
        <r>
          <rPr>
            <b/>
            <sz val="9"/>
            <color indexed="81"/>
            <rFont val="Tahoma"/>
            <family val="2"/>
          </rPr>
          <t>Author:</t>
        </r>
        <r>
          <rPr>
            <sz val="9"/>
            <color indexed="81"/>
            <rFont val="Tahoma"/>
            <family val="2"/>
          </rPr>
          <t xml:space="preserve">
FY19 10-K</t>
        </r>
      </text>
    </comment>
    <comment ref="A57" authorId="1" shapeId="0" xr:uid="{2A3A3660-0370-4713-8793-D7DAFD485716}">
      <text>
        <r>
          <rPr>
            <b/>
            <sz val="9"/>
            <color indexed="81"/>
            <rFont val="Tahoma"/>
            <family val="2"/>
          </rPr>
          <t>Author:</t>
        </r>
        <r>
          <rPr>
            <sz val="9"/>
            <color indexed="81"/>
            <rFont val="Tahoma"/>
            <family val="2"/>
          </rPr>
          <t xml:space="preserve">
</t>
        </r>
        <r>
          <rPr>
            <b/>
            <sz val="9"/>
            <color indexed="81"/>
            <rFont val="Tahoma"/>
            <family val="2"/>
          </rPr>
          <t xml:space="preserve">4/10/2024 Bloomberg: </t>
        </r>
        <r>
          <rPr>
            <sz val="9"/>
            <color indexed="81"/>
            <rFont val="Tahoma"/>
            <family val="2"/>
          </rPr>
          <t xml:space="preserve">$14 bn or 14% of F2024 iPhones are manufactured in India. Going to 25% by 2025 and 1/2 by 2027. 3 suppliers: 67% Company1035, 17% Company2155, 14% Company2736 (formerly Company3001). </t>
        </r>
        <r>
          <rPr>
            <b/>
            <sz val="9"/>
            <color indexed="81"/>
            <rFont val="Tahoma"/>
            <family val="2"/>
          </rPr>
          <t xml:space="preserve">
</t>
        </r>
        <r>
          <rPr>
            <sz val="9"/>
            <color indexed="81"/>
            <rFont val="Tahoma"/>
            <family val="2"/>
          </rPr>
          <t xml:space="preserve">
The Information 11/29/23:
Company0242 pays $0.30 per Product0489 for ARM royalty payments 
Company0245 chips use Arm architecture
Arm lowered rates to get into nascent smartphone market to show off technology
Company0242 is the onlyone that designs its own cores - Company2202, Company1785, Company2530, Company1153 all rely on Arm off-the-shelf designs
Company0242 deal extends beyond 2040 (v. typical 5-year deals for ARM)
https://example.com/
Company2530 is #2 supplier by payments, only second to #1 Company1035
Glass was 37% of payments to largest 10 suppliers in 2014, per The Information
2/2023: Mac News daily - goal is to have India be 25% of Product0489 manufacturing mix by 2025, 50% by 2027/8. (v. 10-15% in 2022)
- Company2155 to add second facility near Chennai after opening first with an invesmtent of $150 mn to assemble iPhones (September 2022)
- second factory will be smaller than first 
- Company2155 does 10% of Product0489 production in India, per Counterpoint
Reuters 3/15/2023: Company1035 assembles 70% of iPhones
</t>
        </r>
        <r>
          <rPr>
            <b/>
            <u/>
            <sz val="9"/>
            <color indexed="81"/>
            <rFont val="Tahoma"/>
            <family val="2"/>
          </rPr>
          <t xml:space="preserve">11/7/2022 Reuters: </t>
        </r>
        <r>
          <rPr>
            <sz val="9"/>
            <color indexed="81"/>
            <rFont val="Tahoma"/>
            <family val="2"/>
          </rPr>
          <t>Company1035 is Company0244 biggest Product0489 maker, producing 70% of Product0489 shipments globally, which in turn makes up 45% of the Taiwanese firm's revenue, analysts at Taipei-based Company1041 Research said this month.
It also builds the device in India, but its Zhengzhou factory assembles the majority of its global output.
Vast majority of final assembly happens in China, but source components in China, US, Japan, Korea, Vietnam, India
Company2965 12/3/2022: 40-45% L/T target manufacturing mix from India (v. SD% today). 
India has same population as China, but doesn't have government cooridnation that makes it easy to operate - each state and regional government makes things hard
Vietnam can handle 60k person sites, but not 300k like Zhenzhou (Company1035). At one point Zhengzhou made up 85% of Pro production.</t>
        </r>
      </text>
    </comment>
    <comment ref="CO57" authorId="2" shapeId="0" xr:uid="{00000000-0006-0000-0700-00006D000000}">
      <text>
        <r>
          <rPr>
            <b/>
            <sz val="9"/>
            <color indexed="81"/>
            <rFont val="Tahoma"/>
            <family val="2"/>
          </rPr>
          <t>Author:</t>
        </r>
        <r>
          <rPr>
            <sz val="9"/>
            <color indexed="81"/>
            <rFont val="Tahoma"/>
            <family val="2"/>
          </rPr>
          <t xml:space="preserve">
FQ1'19 call (1/29/19): product margins up 0.6pp Q/Q in FQ1'19</t>
        </r>
      </text>
    </comment>
    <comment ref="CQ57" authorId="2" shapeId="0" xr:uid="{00000000-0006-0000-0700-00006E000000}">
      <text>
        <r>
          <rPr>
            <b/>
            <sz val="9"/>
            <color indexed="81"/>
            <rFont val="Tahoma"/>
            <family val="2"/>
          </rPr>
          <t>Author:</t>
        </r>
        <r>
          <rPr>
            <sz val="9"/>
            <color indexed="81"/>
            <rFont val="Tahoma"/>
            <family val="2"/>
          </rPr>
          <t xml:space="preserve">
down q/q due to esasonal loss of leverage and hw from fx</t>
        </r>
      </text>
    </comment>
    <comment ref="CW57" authorId="1" shapeId="0" xr:uid="{39F28EE3-FC4F-4DC4-9CDA-83A90691B4D5}">
      <text>
        <r>
          <rPr>
            <b/>
            <sz val="9"/>
            <color indexed="81"/>
            <rFont val="Tahoma"/>
            <family val="2"/>
          </rPr>
          <t>Author:</t>
        </r>
        <r>
          <rPr>
            <sz val="9"/>
            <color indexed="81"/>
            <rFont val="Tahoma"/>
            <family val="2"/>
          </rPr>
          <t xml:space="preserve">
Company1941 5/10/2020: Costs of 64GB Company0242 Product0489 SE total $217 (54% COGS v. 38% for Product0489 8 and 48% for Product0489 11)</t>
        </r>
      </text>
    </comment>
    <comment ref="DB57" authorId="1" shapeId="0" xr:uid="{E109C62F-5F27-4D4B-B355-669DD4B4F56E}">
      <text>
        <r>
          <rPr>
            <b/>
            <sz val="9"/>
            <color indexed="81"/>
            <rFont val="Tahoma"/>
            <family val="2"/>
          </rPr>
          <t>Author:</t>
        </r>
        <r>
          <rPr>
            <sz val="9"/>
            <color indexed="81"/>
            <rFont val="Tahoma"/>
            <family val="2"/>
          </rPr>
          <t xml:space="preserve">
Reports say that Company0242 could start making iPads in Vietnam middle of 2021, and iPhones 12s in India soon. Moving comptuers to SE Asia, and some macbook production to Vietnam</t>
        </r>
      </text>
    </comment>
    <comment ref="DD57" authorId="1" shapeId="0" xr:uid="{AFCDB151-5475-477A-9EBF-A02F1D4C0889}">
      <text>
        <r>
          <rPr>
            <b/>
            <sz val="9"/>
            <color indexed="81"/>
            <rFont val="Tahoma"/>
            <family val="2"/>
          </rPr>
          <t>Author:</t>
        </r>
        <r>
          <rPr>
            <sz val="9"/>
            <color indexed="81"/>
            <rFont val="Tahoma"/>
            <family val="2"/>
          </rPr>
          <t xml:space="preserve">
Company1941 4/12/22: Company2060, which makes 20-30% of iPhones - has closed its only two sites that makes iPhones due to government regulations in Shanghai and Kunshun. </t>
        </r>
      </text>
    </comment>
    <comment ref="DE57" authorId="1" shapeId="0" xr:uid="{801B5B81-FC26-477F-B44B-4FBB631511C4}">
      <text>
        <r>
          <rPr>
            <b/>
            <sz val="9"/>
            <color indexed="81"/>
            <rFont val="Tahoma"/>
            <family val="2"/>
          </rPr>
          <t>Author:</t>
        </r>
        <r>
          <rPr>
            <sz val="9"/>
            <color indexed="81"/>
            <rFont val="Tahoma"/>
            <family val="2"/>
          </rPr>
          <t xml:space="preserve">
F4Q22: up 10 bps qoq due to fixed cost leverage and mix, partly offset by forex</t>
        </r>
      </text>
    </comment>
    <comment ref="DF57" authorId="1" shapeId="0" xr:uid="{2E55A1C3-9C25-41A5-B961-ADC2E9657FC8}">
      <text>
        <r>
          <rPr>
            <b/>
            <sz val="9"/>
            <color indexed="81"/>
            <rFont val="Tahoma"/>
            <family val="2"/>
          </rPr>
          <t>Author:</t>
        </r>
        <r>
          <rPr>
            <sz val="9"/>
            <color indexed="81"/>
            <rFont val="Tahoma"/>
            <family val="2"/>
          </rPr>
          <t xml:space="preserve">
F1Q23: +240 bps qoq </t>
        </r>
      </text>
    </comment>
    <comment ref="DG57" authorId="1" shapeId="0" xr:uid="{EA07C02D-2D89-4D29-BFB4-C0622FE53182}">
      <text>
        <r>
          <rPr>
            <b/>
            <sz val="9"/>
            <color indexed="81"/>
            <rFont val="Tahoma"/>
            <family val="2"/>
          </rPr>
          <t>Author:</t>
        </r>
        <r>
          <rPr>
            <sz val="9"/>
            <color indexed="81"/>
            <rFont val="Tahoma"/>
            <family val="2"/>
          </rPr>
          <t xml:space="preserve">
F3Q22: F2Q and F3Q has seasonal leverage loss
12/12/22: Heard that Company2530 undergoing vendor qualification process for C1H23 to replace Company3033 supply to Company0242
Company1256 Company1228 saying December production back to normal
76 mn Product0489 units (v. 80-83 mn prior guidance for C4Q). Solid demand for Pro, but standard version demand not as good. </t>
        </r>
      </text>
    </comment>
    <comment ref="DI57" authorId="1" shapeId="0" xr:uid="{A4DCFE96-458A-451A-B2F0-954660825875}">
      <text>
        <r>
          <rPr>
            <b/>
            <sz val="9"/>
            <color indexed="81"/>
            <rFont val="Tahoma"/>
            <family val="2"/>
          </rPr>
          <t>Author:</t>
        </r>
        <r>
          <rPr>
            <sz val="9"/>
            <color indexed="81"/>
            <rFont val="Tahoma"/>
            <family val="2"/>
          </rPr>
          <t xml:space="preserve">
MN  assume seasonal fixed cost leverage and easing forex headwidn</t>
        </r>
      </text>
    </comment>
    <comment ref="DJ57" authorId="1" shapeId="0" xr:uid="{67C1442B-CC92-4422-93A5-FF76446B959D}">
      <text>
        <r>
          <rPr>
            <b/>
            <sz val="9"/>
            <color indexed="81"/>
            <rFont val="Tahoma"/>
            <family val="2"/>
          </rPr>
          <t>Author:</t>
        </r>
        <r>
          <rPr>
            <sz val="9"/>
            <color indexed="81"/>
            <rFont val="Tahoma"/>
            <family val="2"/>
          </rPr>
          <t xml:space="preserve">
2/1/2024: weak consumer electronics markets means Ticker0001 can getter pricing from suppliers
higher end products have higher margins
Mix benefits
Seasonaliy appears to dictate Products gross margins </t>
        </r>
      </text>
    </comment>
    <comment ref="DK57" authorId="1" shapeId="0" xr:uid="{9CAAC7D9-DB30-477A-8CBD-8E3BD56CA8C3}">
      <text>
        <r>
          <rPr>
            <b/>
            <sz val="9"/>
            <color indexed="81"/>
            <rFont val="Tahoma"/>
            <family val="2"/>
          </rPr>
          <t>Author:</t>
        </r>
        <r>
          <rPr>
            <sz val="9"/>
            <color indexed="81"/>
            <rFont val="Tahoma"/>
            <family val="2"/>
          </rPr>
          <t xml:space="preserve">
F2Q24: components costs weree favorable. 
Year-ago benefited from catch-up on Product0489</t>
        </r>
      </text>
    </comment>
    <comment ref="DL57" authorId="1" shapeId="0" xr:uid="{784C1C3D-9535-40CD-AA73-8A6C4A042337}">
      <text>
        <r>
          <rPr>
            <b/>
            <sz val="9"/>
            <color indexed="81"/>
            <rFont val="Tahoma"/>
            <family val="2"/>
          </rPr>
          <t>Author:</t>
        </r>
        <r>
          <rPr>
            <sz val="9"/>
            <color indexed="81"/>
            <rFont val="Tahoma"/>
            <family val="2"/>
          </rPr>
          <t xml:space="preserve">
F2Q24: memory should be slight headwind. Forex will be 30 bps headwidn</t>
        </r>
      </text>
    </comment>
    <comment ref="DN57" authorId="1" shapeId="0" xr:uid="{8E86F899-6C32-4890-9496-232C14FF71D4}">
      <text>
        <r>
          <rPr>
            <b/>
            <sz val="9"/>
            <color indexed="81"/>
            <rFont val="Tahoma"/>
            <family val="2"/>
          </rPr>
          <t>Author:</t>
        </r>
        <r>
          <rPr>
            <sz val="9"/>
            <color indexed="81"/>
            <rFont val="Tahoma"/>
            <family val="2"/>
          </rPr>
          <t xml:space="preserve">
F4Q24: NAND/DRAM headwind, but offset is scale, seasonable leverage, mix, will improve cost struture over time. </t>
        </r>
      </text>
    </comment>
    <comment ref="DP57" authorId="1" shapeId="0" xr:uid="{B94351EB-0F2A-4FB3-B89E-85418CB79015}">
      <text>
        <r>
          <rPr>
            <b/>
            <sz val="9"/>
            <color indexed="81"/>
            <rFont val="Tahoma"/>
            <family val="2"/>
          </rPr>
          <t>Author:</t>
        </r>
        <r>
          <rPr>
            <sz val="9"/>
            <color indexed="81"/>
            <rFont val="Tahoma"/>
            <family val="2"/>
          </rPr>
          <t xml:space="preserve">
F3Q25: $800M tariff headwinds
-140 bps qoq on mix and tariff
F2Q25: $900 mn of tariff-related headwinds, includes some favorability including inventory build
June quarter
- India will be the majority product country of origin for US Product0489 sales
- Vietnam majority product country of origin for US Product0487 and Mac sales
- China majority product country of origin everywhere else
- June quarter faces 20% IEEP related tariffs for China product country of origin products
- 145% tariff on some US Company0242 Care and Accessories biz
- Vast majority of products exempted from reciprocal tariffs: 
Assuming 20% incremental tariffs starting in March 2025 with about 2/3 impact mitigated through suppliers (1/3) , supply chain and redesign (1/3). </t>
        </r>
      </text>
    </comment>
    <comment ref="DQ57" authorId="4" shapeId="0" xr:uid="{0D61D8D1-9EF2-444B-8540-2047E9003F2B}">
      <text>
        <r>
          <rPr>
            <b/>
            <sz val="9"/>
            <color indexed="81"/>
            <rFont val="Tahoma"/>
            <family val="2"/>
          </rPr>
          <t>Author:</t>
        </r>
        <r>
          <rPr>
            <sz val="9"/>
            <color indexed="81"/>
            <rFont val="Tahoma"/>
            <family val="2"/>
          </rPr>
          <t xml:space="preserve">
F3Q25: Expect $1.1 bn in tariff related headwinds in 4Q</t>
        </r>
      </text>
    </comment>
    <comment ref="FN57" authorId="1" shapeId="0" xr:uid="{D30244FA-33C7-4D32-BEB6-F80D6D930E3D}">
      <text>
        <r>
          <rPr>
            <b/>
            <sz val="9"/>
            <color indexed="81"/>
            <rFont val="Tahoma"/>
            <family val="2"/>
          </rPr>
          <t>Author:</t>
        </r>
        <r>
          <rPr>
            <sz val="9"/>
            <color indexed="81"/>
            <rFont val="Tahoma"/>
            <family val="2"/>
          </rPr>
          <t xml:space="preserve">
Company1941/Company1025 Company2745 Solutions
Product0489 15 Pro Max BOM: $558 (+12% yoy)
v. $400-$450 in 2018/21 period. 
15 Pro Max BOM:Price ratio was 47 pp (+1 pp v. 14 Pro Max) 
Display ($115, Company2530, +10% yoy)
Titanium Frame ($50, Company1035, others, +43% yoy)
A17 Pro Chip ($130, Company0242, 3nm designed in-house)
Telephoto camera lens ($30, +280% yoy, Company1549, Company2579, others)
NAND - price was the same
US: 33% (v.32% year-ago) - Company2202, Broadcom communicaton chips
Korea: 29% (v. 25% year-ago) - Company1549 telephoto camera
Japan: 10% (v. 11% year-ago)- Company2530 Display
Taiwan: 9% (v. 7% tyear-ago)
China: 2.5% (v. 4% year-ago)
Others: 16% yoy (v. 21% year-ago). 
Product0489 15 BOM $423 (+16% yoy)
Product0489 15 Plus BOM $442 (+10% yoy)
Product0489 Pr15 Pro BOM $523 (+8% yoy)
BOM:Price is 49% for Plus, 52% for Pro</t>
        </r>
      </text>
    </comment>
    <comment ref="FP57" authorId="1" shapeId="0" xr:uid="{A7B791E6-46CB-42BA-A0A5-BE863252CCD5}">
      <text>
        <r>
          <rPr>
            <b/>
            <sz val="9"/>
            <color indexed="81"/>
            <rFont val="Tahoma"/>
            <family val="2"/>
          </rPr>
          <t>Author:</t>
        </r>
        <r>
          <rPr>
            <sz val="9"/>
            <color indexed="81"/>
            <rFont val="Tahoma"/>
            <family val="2"/>
          </rPr>
          <t xml:space="preserve">
8/12/2024: Reportedly, Company2187 will only supply modems for 20% of Product0489 18 phones. Company0242 modem will be used by all phones outside of the US. Person1185 thinks that its a $4 bn hit to Company2187 revenue. 
2/2024: Company2187 patent license agremeent for 5G modem extended through March 2027. In 2023, Ticker0001 had extended the agreement until 2026.
</t>
        </r>
        <r>
          <rPr>
            <b/>
            <sz val="9"/>
            <color indexed="81"/>
            <rFont val="Tahoma"/>
            <family val="2"/>
          </rPr>
          <t xml:space="preserve">
Ticker0001 replacing Company0174 chip with in-house design in 2025</t>
        </r>
        <r>
          <rPr>
            <sz val="9"/>
            <color indexed="81"/>
            <rFont val="Tahoma"/>
            <family val="2"/>
          </rPr>
          <t xml:space="preserve">
- Company0413 Wi-Fi and Bluetooth chip 
- radio frequency or RF chips were complex to design + manufacture and not easily replaced in near-term
- Company0242 is Company0413 largest customer (~20% of revenue) or $1-$1.5 bn headwind </t>
        </r>
        <r>
          <rPr>
            <b/>
            <sz val="9"/>
            <color indexed="81"/>
            <rFont val="Tahoma"/>
            <family val="2"/>
          </rPr>
          <t xml:space="preserve">
Ticker0001 also looking to hpase out Company2202 5G modems. 
Company0242 moving to replace screens in Product0049 by the end of C2024, maybe C2025... eventually do it for other devices</t>
        </r>
        <r>
          <rPr>
            <sz val="9"/>
            <color indexed="81"/>
            <rFont val="Tahoma"/>
            <family val="2"/>
          </rPr>
          <t xml:space="preserve"> (Bloomberg 1/11/23)
The article reports that the screens upgrade the current OLED standard to microLED, with the move to negatively impact Company2530 Display and Company1549 Display, the two main suppliers of the watch’s screens in addition to Japan Display, Company2553 and Company0325 Technology Group</t>
        </r>
      </text>
    </comment>
    <comment ref="FQ57" authorId="8" shapeId="0" xr:uid="{4CAE6171-1B30-4186-B7AA-DC1E385FDE90}">
      <text>
        <r>
          <rPr>
            <b/>
            <sz val="9"/>
            <color indexed="81"/>
            <rFont val="Tahoma"/>
            <family val="2"/>
          </rPr>
          <t>Author:</t>
        </r>
        <r>
          <rPr>
            <sz val="9"/>
            <color indexed="81"/>
            <rFont val="Tahoma"/>
            <family val="2"/>
          </rPr>
          <t xml:space="preserve">
4.25.2025: Company0242 is reportedly planning to switch assembly of all iPhones for the US market to India as soon as next year as the company seeks to reduce its reliance on a Chinese manufacturing base amid Person0317 Person1132’s trade war.
https://example.com/</t>
        </r>
      </text>
    </comment>
    <comment ref="A58" authorId="1" shapeId="0" xr:uid="{66EF4669-746D-4A6A-8783-08D21ABC91FD}">
      <text>
        <r>
          <rPr>
            <b/>
            <sz val="9"/>
            <color indexed="81"/>
            <rFont val="Tahoma"/>
            <family val="2"/>
          </rPr>
          <t>Author:</t>
        </r>
        <r>
          <rPr>
            <sz val="9"/>
            <color indexed="81"/>
            <rFont val="Tahoma"/>
            <family val="2"/>
          </rPr>
          <t xml:space="preserve">
Ticker0001 has 8 data centers in the US, Denmark, and China w/ 2 more under development in the US and Europe (Ireland). 
US data centers: Reno, NV ($2 bn on 345 acres, 400k sq ft data center); Maiden, NC (500k sq ft w/ add'l 2X 240k data center on 465 acres.. $3 bn); Mesa, AZ ($2 bn, 1.3 mn sq ft); Prineviill, OR (3X 338k data centers); Newark, CA; new construction in Des Moines, IA (6X data centers at 2 mn sq ft, $1.4 bn)
By law, Company0242 has to host data locally. It has 2 data centers in China which are run in partnership with Company1169 Big Data Industry Development - Guiyang and Ulanqab. 
Ticker0001 also does co-location with Digital Company2279 (as of C2Q22, Company0242 was in 26 of Digital Company2284 data center locations)</t>
        </r>
      </text>
    </comment>
    <comment ref="CO58" authorId="2" shapeId="0" xr:uid="{00000000-0006-0000-0700-00006F000000}">
      <text>
        <r>
          <rPr>
            <b/>
            <sz val="9"/>
            <color indexed="81"/>
            <rFont val="Tahoma"/>
            <family val="2"/>
          </rPr>
          <t>Author:</t>
        </r>
        <r>
          <rPr>
            <sz val="9"/>
            <color indexed="81"/>
            <rFont val="Tahoma"/>
            <family val="2"/>
          </rPr>
          <t xml:space="preserve">
FQ1'19 call (1/29/19): services margins up 1.7pp Q/Q in FQ1'19</t>
        </r>
      </text>
    </comment>
    <comment ref="CP58" authorId="1" shapeId="0" xr:uid="{8F9513F2-27A3-49A8-9076-34560080106D}">
      <text>
        <r>
          <rPr>
            <b/>
            <sz val="9"/>
            <color indexed="81"/>
            <rFont val="Tahoma"/>
            <family val="2"/>
          </rPr>
          <t>Author:</t>
        </r>
        <r>
          <rPr>
            <sz val="9"/>
            <color indexed="81"/>
            <rFont val="Tahoma"/>
            <family val="2"/>
          </rPr>
          <t xml:space="preserve">
Services margins disclosed in F1Q19</t>
        </r>
      </text>
    </comment>
    <comment ref="CQ58" authorId="2" shapeId="0" xr:uid="{00000000-0006-0000-0700-000070000000}">
      <text>
        <r>
          <rPr>
            <b/>
            <sz val="9"/>
            <color indexed="81"/>
            <rFont val="Tahoma"/>
            <family val="2"/>
          </rPr>
          <t>Author:</t>
        </r>
        <r>
          <rPr>
            <sz val="9"/>
            <color indexed="81"/>
            <rFont val="Tahoma"/>
            <family val="2"/>
          </rPr>
          <t xml:space="preserve">
up q/q due to mix and leverage form higher rev</t>
        </r>
      </text>
    </comment>
    <comment ref="DD58" authorId="1" shapeId="0" xr:uid="{B54B995E-42B2-4304-B5D1-3842DE03FDA0}">
      <text>
        <r>
          <rPr>
            <b/>
            <sz val="9"/>
            <color indexed="81"/>
            <rFont val="Tahoma"/>
            <family val="2"/>
          </rPr>
          <t>Author:</t>
        </r>
        <r>
          <rPr>
            <sz val="9"/>
            <color indexed="81"/>
            <rFont val="Tahoma"/>
            <family val="2"/>
          </rPr>
          <t xml:space="preserve">
Friday Night Baseball 1st seasno. April - September
$85 mn/season</t>
        </r>
      </text>
    </comment>
    <comment ref="DE58" authorId="1" shapeId="0" xr:uid="{825536A8-26A6-4D80-A6D6-CC4C86C50413}">
      <text>
        <r>
          <rPr>
            <b/>
            <sz val="9"/>
            <color indexed="81"/>
            <rFont val="Tahoma"/>
            <family val="2"/>
          </rPr>
          <t>Author:</t>
        </r>
        <r>
          <rPr>
            <sz val="9"/>
            <color indexed="81"/>
            <rFont val="Tahoma"/>
            <family val="2"/>
          </rPr>
          <t xml:space="preserve">
F4Q22: down 100 bps qoq due to forex</t>
        </r>
      </text>
    </comment>
    <comment ref="DF58" authorId="1" shapeId="0" xr:uid="{82345B9E-210F-473B-B188-237DD2A0363B}">
      <text>
        <r>
          <rPr>
            <b/>
            <sz val="9"/>
            <color indexed="81"/>
            <rFont val="Tahoma"/>
            <family val="2"/>
          </rPr>
          <t>Author:</t>
        </r>
        <r>
          <rPr>
            <sz val="9"/>
            <color indexed="81"/>
            <rFont val="Tahoma"/>
            <family val="2"/>
          </rPr>
          <t xml:space="preserve">
F1Q23: + 30 bps qoq 
10/24/2022: announcing price increases for subscriptions
Music labels charge more for spatial audio, lossless - so Company0242 is recouping some costs
"The subscription prices for Product0046, Product0048+, and Company0242 One will increase beginning today. The change to Product0046 is due to an increase in licensing costs, and in turn, artists and songwriters will earn more for the streaming of their music. We also continue to add innovative features that make Product0046 the world’s best listening experience. We introduced Product0048+ at a very low price because we started with just a few shows and movies. Three years later, Product0048+ is home to an extensive selection of award-winning and broadly acclaimed series, feature films, documentaries, and kids and family entertainment from the world’s most creative storytellers.".
Company0242 clearly believes the prices of its content services remain competitive. Unlike its competitors, Company0242’s services include more features as standard.
For instance, Product0046 includes lossless audio and Spatial Audio at no additional charge, unlike Company2585 which doesn’t offer these features today — and is actually expected to charge extra for them when they are introduced. Similarly, TV+ does not upsell for better video quality; 4K HDR is included as standard.
**********
Product0046
Individual: $10.99 per month (from $9.99)
Family: $16.99 per month (from $14.99)
Individual Annual: $109 per year (from $99)
Product0048+
Monthly: $6.99 per month (from $4.99)
Annual: $69 per year (from $49.99)
Company0242 One
Individual: $16.95 per month (from $14.95)
Family: $22.95 per month (from $19.95)
Premier: $32.95 per month (from $29.95)</t>
        </r>
      </text>
    </comment>
    <comment ref="DG58" authorId="1" shapeId="0" xr:uid="{E8877ED8-D399-4357-983C-193A1A2C9E45}">
      <text>
        <r>
          <rPr>
            <b/>
            <sz val="9"/>
            <color indexed="81"/>
            <rFont val="Tahoma"/>
            <family val="2"/>
          </rPr>
          <t>Author:</t>
        </r>
        <r>
          <rPr>
            <sz val="9"/>
            <color indexed="81"/>
            <rFont val="Tahoma"/>
            <family val="2"/>
          </rPr>
          <t xml:space="preserve">
MLS: $250 per season over 7 months (March-Sept)… real season is end of Feb to beginning of October
(1) 10-year deal for Major League Soccer
2023-2032
Subscribe to new Company1722  Streaming service available through Product0048 app
Select Company1722 and Leagues Cup matches will be available at no cost to Product0052+ subscribers
No regional blackouts
In addition to matches, new weekly live match highlights show
Ticker0001 has called the Company1722 deal a new league deal where it's more win-win and allows for more innovation
$2.5 bn deal over 10 years
$250 mn/year
Company1722 season Pass begins Feb 2023 priced at $14.99/month or $12.99/month for Product0048+ subscribers
https://example.com/
(2) Company1717 to Product0048+ for 2022 season. First 12-weeks of Friday Night Baseball will be avaialble to anyone for free -- without the need for an Product0052+ subscription 
First game will be on April 8, 2022
Company0244 first move into live sports. 
$85 mn per year for 7 years</t>
        </r>
      </text>
    </comment>
    <comment ref="DH58" authorId="1" shapeId="0" xr:uid="{09FCB415-E78A-44F6-81E1-E943FDBF5754}">
      <text>
        <r>
          <rPr>
            <b/>
            <sz val="9"/>
            <color indexed="81"/>
            <rFont val="Tahoma"/>
            <family val="2"/>
          </rPr>
          <t>Author:</t>
        </r>
        <r>
          <rPr>
            <sz val="9"/>
            <color indexed="81"/>
            <rFont val="Tahoma"/>
            <family val="2"/>
          </rPr>
          <t xml:space="preserve">
FX should flip to being a help on margins qoq</t>
        </r>
      </text>
    </comment>
    <comment ref="DK58" authorId="1" shapeId="0" xr:uid="{D82BA4F2-DB33-4A7A-BA01-9DFA6377BA6A}">
      <text>
        <r>
          <rPr>
            <b/>
            <sz val="9"/>
            <color indexed="81"/>
            <rFont val="Tahoma"/>
            <family val="2"/>
          </rPr>
          <t>Author:</t>
        </r>
        <r>
          <rPr>
            <sz val="9"/>
            <color indexed="81"/>
            <rFont val="Tahoma"/>
            <family val="2"/>
          </rPr>
          <t xml:space="preserve">
Price increases to help </t>
        </r>
      </text>
    </comment>
    <comment ref="DN58" authorId="1" shapeId="0" xr:uid="{182E4855-454E-42B2-A990-5357DA084CDF}">
      <text>
        <r>
          <rPr>
            <b/>
            <sz val="9"/>
            <color indexed="81"/>
            <rFont val="Tahoma"/>
            <family val="2"/>
          </rPr>
          <t>Author:</t>
        </r>
        <r>
          <rPr>
            <sz val="9"/>
            <color indexed="81"/>
            <rFont val="Tahoma"/>
            <family val="2"/>
          </rPr>
          <t xml:space="preserve">
F4Q24: structurally higher gross margins (e.g., Product0484 best example, payments, 1P services). </t>
        </r>
      </text>
    </comment>
    <comment ref="DO58" authorId="1" shapeId="0" xr:uid="{6E6D7754-C8B5-4202-B9F7-4485E0B13A3F}">
      <text>
        <r>
          <rPr>
            <b/>
            <sz val="9"/>
            <color indexed="81"/>
            <rFont val="Tahoma"/>
            <family val="2"/>
          </rPr>
          <t>Author:</t>
        </r>
        <r>
          <rPr>
            <sz val="9"/>
            <color indexed="81"/>
            <rFont val="Tahoma"/>
            <family val="2"/>
          </rPr>
          <t xml:space="preserve">
Rumors: Company0242 looking to do $2 bn annual F1 deal, which would be pro-rated as rights come available (staggered ~5-year deals, currently: ESPN -USD, Sky - UK, Company1033 Sports - Australia + Mexico). 
F1 season runs from March-November 
Recall tried to do Company2137-12 but conference broke apart
Bid against Company1153 for Product0389 Ticket</t>
        </r>
      </text>
    </comment>
    <comment ref="DB59" authorId="1" shapeId="0" xr:uid="{B5986748-5A4A-49C6-83B8-C05EB3C9F3CA}">
      <text>
        <r>
          <rPr>
            <b/>
            <sz val="9"/>
            <color indexed="81"/>
            <rFont val="Tahoma"/>
            <family val="2"/>
          </rPr>
          <t>Author:</t>
        </r>
        <r>
          <rPr>
            <sz val="9"/>
            <color indexed="81"/>
            <rFont val="Tahoma"/>
            <family val="2"/>
          </rPr>
          <t xml:space="preserve">
F4Q21: 41.5-42.5%</t>
        </r>
      </text>
    </comment>
    <comment ref="DF59" authorId="1" shapeId="0" xr:uid="{BCD5E0D4-E53A-42BC-989A-35271C2A45C8}">
      <text>
        <r>
          <rPr>
            <b/>
            <sz val="9"/>
            <color indexed="81"/>
            <rFont val="Tahoma"/>
            <family val="2"/>
          </rPr>
          <t>Author:</t>
        </r>
        <r>
          <rPr>
            <sz val="9"/>
            <color indexed="81"/>
            <rFont val="Tahoma"/>
            <family val="2"/>
          </rPr>
          <t xml:space="preserve">
Leverage and favorable mix drive qoq improvement. 
F4Q22: 42.5-43.5%
330 bps negative forex yoy
120 bps negative forex qoq
Positive: commodities is favorable. </t>
        </r>
      </text>
    </comment>
    <comment ref="DG59" authorId="1" shapeId="0" xr:uid="{03D9A6F2-6E44-49CE-BB44-EBC9FB21E400}">
      <text>
        <r>
          <rPr>
            <b/>
            <sz val="9"/>
            <color indexed="81"/>
            <rFont val="Tahoma"/>
            <family val="2"/>
          </rPr>
          <t>Author:</t>
        </r>
        <r>
          <rPr>
            <sz val="9"/>
            <color indexed="81"/>
            <rFont val="Tahoma"/>
            <family val="2"/>
          </rPr>
          <t xml:space="preserve">
F2Q23: 
F1Q23: 43.5%-44.5%
Mix will help within categories + services, as we move away from holiday 
Forex is a 50 bps qoq headwind 
270 bps yoy headwind
F3Q22: F2Q and F3Q has seasonal leverage loss</t>
        </r>
      </text>
    </comment>
    <comment ref="DH59" authorId="1" shapeId="0" xr:uid="{BA35CC57-77D2-4928-99A6-B2660BF1FA1B}">
      <text>
        <r>
          <rPr>
            <b/>
            <sz val="9"/>
            <color indexed="81"/>
            <rFont val="Tahoma"/>
            <family val="2"/>
          </rPr>
          <t>Author:</t>
        </r>
        <r>
          <rPr>
            <sz val="9"/>
            <color indexed="81"/>
            <rFont val="Tahoma"/>
            <family val="2"/>
          </rPr>
          <t xml:space="preserve">
F3Q23: GM%  up qoq and yoy due to cost saves and Services mix shift 
Offset by seasonal loss of leverage. 
F2Q23: 44.0-44.5%
FX flat qoq impact to GM%
component costs continue to delcine </t>
        </r>
      </text>
    </comment>
    <comment ref="DI59" authorId="1" shapeId="0" xr:uid="{A9EB1A74-7D27-4D5D-920F-1A30A1AB65D2}">
      <text>
        <r>
          <rPr>
            <b/>
            <sz val="9"/>
            <color indexed="81"/>
            <rFont val="Tahoma"/>
            <family val="2"/>
          </rPr>
          <t>Author:</t>
        </r>
        <r>
          <rPr>
            <sz val="9"/>
            <color indexed="81"/>
            <rFont val="Tahoma"/>
            <family val="2"/>
          </rPr>
          <t xml:space="preserve">
F4Q23: leverage and mix drives margin expansion 
-Services mix increase helps
- within products: mix shift toward higher end iPhones is helping
- mix shift toward Product0489 (away from Product0487 and Watch is helping)
- commodity environment favorable
- in-house engineering helps as Ticker0001 designs silicon, camera, batteries, sensors, displays, etc. Can pay suppliers less. Do it for strategic reasons, but also get cost benefits. 
F3Q23: 44-45%</t>
        </r>
      </text>
    </comment>
    <comment ref="DJ59" authorId="1" shapeId="0" xr:uid="{ED2D5CFC-ECCD-4725-9287-F68FA4B39FC8}">
      <text>
        <r>
          <rPr>
            <b/>
            <sz val="9"/>
            <color indexed="81"/>
            <rFont val="Tahoma"/>
            <family val="2"/>
          </rPr>
          <t>Author:</t>
        </r>
        <r>
          <rPr>
            <sz val="9"/>
            <color indexed="81"/>
            <rFont val="Tahoma"/>
            <family val="2"/>
          </rPr>
          <t xml:space="preserve">
F4Q23: 45-46%</t>
        </r>
      </text>
    </comment>
    <comment ref="DK59" authorId="4" shapeId="0" xr:uid="{6F8D78EC-0CA9-4F98-A6B8-417FD6D49686}">
      <text>
        <r>
          <rPr>
            <b/>
            <sz val="9"/>
            <color indexed="81"/>
            <rFont val="Tahoma"/>
            <family val="2"/>
          </rPr>
          <t>Author:</t>
        </r>
        <r>
          <rPr>
            <sz val="9"/>
            <color indexed="81"/>
            <rFont val="Tahoma"/>
            <family val="2"/>
          </rPr>
          <t xml:space="preserve">
F1Q24: 46-47%</t>
        </r>
      </text>
    </comment>
    <comment ref="DL59" authorId="1" shapeId="0" xr:uid="{32B84E10-8DF9-4599-8757-7615732669DE}">
      <text>
        <r>
          <rPr>
            <b/>
            <sz val="9"/>
            <color indexed="81"/>
            <rFont val="Tahoma"/>
            <family val="2"/>
          </rPr>
          <t>Author:</t>
        </r>
        <r>
          <rPr>
            <sz val="9"/>
            <color indexed="81"/>
            <rFont val="Tahoma"/>
            <family val="2"/>
          </rPr>
          <t xml:space="preserve">
F3Q24: down qoq in Products due to mix (toward Product0487) partly offset by favorable cost. 
F2Q24: 45.5-46.5%</t>
        </r>
      </text>
    </comment>
    <comment ref="DM59" authorId="4" shapeId="0" xr:uid="{448F9453-0C0E-49E7-BB71-71A63F67E78A}">
      <text>
        <r>
          <rPr>
            <b/>
            <sz val="9"/>
            <color indexed="81"/>
            <rFont val="Tahoma"/>
            <family val="2"/>
          </rPr>
          <t>Author:</t>
        </r>
        <r>
          <rPr>
            <sz val="9"/>
            <color indexed="81"/>
            <rFont val="Tahoma"/>
            <family val="2"/>
          </rPr>
          <t xml:space="preserve">
F3Q24: 45.5%-46.5%</t>
        </r>
      </text>
    </comment>
    <comment ref="DN59" authorId="1" shapeId="0" xr:uid="{2252DE95-06A0-4FB7-AC12-659050ED832F}">
      <text>
        <r>
          <rPr>
            <b/>
            <sz val="9"/>
            <color indexed="81"/>
            <rFont val="Tahoma"/>
            <family val="2"/>
          </rPr>
          <t>Author:</t>
        </r>
        <r>
          <rPr>
            <sz val="9"/>
            <color indexed="81"/>
            <rFont val="Tahoma"/>
            <family val="2"/>
          </rPr>
          <t xml:space="preserve">
F4Q24: 46-47%
Commodities should be favorable </t>
        </r>
      </text>
    </comment>
    <comment ref="DO59" authorId="4" shapeId="0" xr:uid="{40E573F9-54EF-4215-B3F2-5A5177F4EF9E}">
      <text>
        <r>
          <rPr>
            <b/>
            <sz val="9"/>
            <color indexed="81"/>
            <rFont val="Tahoma"/>
            <family val="2"/>
          </rPr>
          <t>Author:</t>
        </r>
        <r>
          <rPr>
            <sz val="9"/>
            <color indexed="81"/>
            <rFont val="Tahoma"/>
            <family val="2"/>
          </rPr>
          <t xml:space="preserve">
F1Q25: 46.5%-47.5%</t>
        </r>
      </text>
    </comment>
    <comment ref="DP59" authorId="4" shapeId="0" xr:uid="{1E4E937C-D96E-4085-AE84-244F37EC2596}">
      <text>
        <r>
          <rPr>
            <b/>
            <sz val="9"/>
            <color indexed="81"/>
            <rFont val="Tahoma"/>
            <family val="2"/>
          </rPr>
          <t>Author:</t>
        </r>
        <r>
          <rPr>
            <sz val="9"/>
            <color indexed="81"/>
            <rFont val="Tahoma"/>
            <family val="2"/>
          </rPr>
          <t xml:space="preserve">
F2Q25: 45.5%-46.5%, includes $900 mn in tariff impacts to COGS </t>
        </r>
      </text>
    </comment>
    <comment ref="DQ59" authorId="4" shapeId="0" xr:uid="{280B6DA9-8263-4172-9AA2-B53012612BCD}">
      <text>
        <r>
          <rPr>
            <b/>
            <sz val="9"/>
            <color indexed="81"/>
            <rFont val="Tahoma"/>
            <family val="2"/>
          </rPr>
          <t>Author:</t>
        </r>
        <r>
          <rPr>
            <sz val="9"/>
            <color indexed="81"/>
            <rFont val="Tahoma"/>
            <family val="2"/>
          </rPr>
          <t xml:space="preserve">
F3Q25: 46-47%</t>
        </r>
      </text>
    </comment>
    <comment ref="CE83" authorId="5" shapeId="0" xr:uid="{20F96E07-DF06-4E38-AF90-534D6833DA7A}">
      <text>
        <r>
          <rPr>
            <b/>
            <sz val="9"/>
            <color indexed="81"/>
            <rFont val="Tahoma"/>
            <family val="2"/>
          </rPr>
          <t>Author:</t>
        </r>
        <r>
          <rPr>
            <sz val="9"/>
            <color indexed="81"/>
            <rFont val="Tahoma"/>
            <family val="2"/>
          </rPr>
          <t xml:space="preserve">
US only, Company0507 estimate 
https://example.com/
</t>
        </r>
      </text>
    </comment>
    <comment ref="DF83" authorId="1" shapeId="0" xr:uid="{6555EF80-59D4-49C7-9D3E-EE421A30A320}">
      <text>
        <r>
          <rPr>
            <b/>
            <sz val="9"/>
            <color indexed="81"/>
            <rFont val="Tahoma"/>
            <family val="2"/>
          </rPr>
          <t>Author:</t>
        </r>
        <r>
          <rPr>
            <sz val="9"/>
            <color indexed="81"/>
            <rFont val="Tahoma"/>
            <family val="2"/>
          </rPr>
          <t xml:space="preserve">
F1q23: Opened Company0242 Pacific Center in Vancouver and American Dream in NJ. </t>
        </r>
      </text>
    </comment>
    <comment ref="DH83" authorId="1" shapeId="0" xr:uid="{DC47A819-65D2-435E-8EFD-2C78C616313A}">
      <text>
        <r>
          <rPr>
            <b/>
            <sz val="9"/>
            <color indexed="81"/>
            <rFont val="Tahoma"/>
            <family val="2"/>
          </rPr>
          <t xml:space="preserve">Author:
Company0507 8/30/2023: </t>
        </r>
        <r>
          <rPr>
            <sz val="9"/>
            <color indexed="81"/>
            <rFont val="Tahoma"/>
            <family val="2"/>
          </rPr>
          <t xml:space="preserve">
In the June 2023 quarter, mobile carriers accounted for 79% of total US Product0489 sales, while Company0242 (stores and online) accounted for 17% of sales. Other outlets had under 5% of sales 
June 16: Company0242 new London store: Company0242 Battersea - marks 40th store in the UK 
- also is Company0244 new UK staff headquarters with offices inside the building 
May 18: Company0242 online store in Vietnam
- online stores precede opening of retail stores
- Company0242 already sells products in Vietnam via licensed vendors and multiple suppliers that assmeble gadgets in the country for export. 
- Company0242 in India launched an online store in 2020 
April 18: Company0242 BKC Mumbai
April 20: Company0242 Saket Delhi</t>
        </r>
      </text>
    </comment>
    <comment ref="DJ83" authorId="1" shapeId="0" xr:uid="{EA4A9296-3DD0-4693-9E2F-57F0E290457F}">
      <text>
        <r>
          <rPr>
            <b/>
            <sz val="9"/>
            <color indexed="81"/>
            <rFont val="Tahoma"/>
            <family val="2"/>
          </rPr>
          <t>Author:</t>
        </r>
        <r>
          <rPr>
            <sz val="9"/>
            <color indexed="81"/>
            <rFont val="Tahoma"/>
            <family val="2"/>
          </rPr>
          <t xml:space="preserve">
46th store in mainland China (Product0247 Wenzhou mall) to open on November 4. 
First store in China opened on July 19, 2008 in Beijing</t>
        </r>
      </text>
    </comment>
    <comment ref="DL83" authorId="1" shapeId="0" xr:uid="{78242DB5-9B29-4B2E-B780-EF6FFE4ED9F6}">
      <text>
        <r>
          <rPr>
            <b/>
            <sz val="9"/>
            <color indexed="81"/>
            <rFont val="Tahoma"/>
            <family val="2"/>
          </rPr>
          <t>Author:</t>
        </r>
        <r>
          <rPr>
            <sz val="9"/>
            <color indexed="81"/>
            <rFont val="Tahoma"/>
            <family val="2"/>
          </rPr>
          <t xml:space="preserve">
F3Q24: first location retail in Malaysia </t>
        </r>
      </text>
    </comment>
    <comment ref="DO83" authorId="5" shapeId="0" xr:uid="{C1D04937-0B0C-4F96-BB1E-EC2B3C15204D}">
      <text>
        <r>
          <rPr>
            <b/>
            <sz val="9"/>
            <color indexed="81"/>
            <rFont val="Tahoma"/>
            <family val="2"/>
          </rPr>
          <t>Author:</t>
        </r>
        <r>
          <rPr>
            <sz val="9"/>
            <color indexed="81"/>
            <rFont val="Tahoma"/>
            <family val="2"/>
          </rPr>
          <t xml:space="preserve">
US only, Company0507 estimate 
https://example.com/</t>
        </r>
      </text>
    </comment>
    <comment ref="DQ83" authorId="1" shapeId="0" xr:uid="{B88B8D8C-C487-423D-A850-516A7B8F0780}">
      <text>
        <r>
          <rPr>
            <b/>
            <sz val="9"/>
            <color indexed="81"/>
            <rFont val="Tahoma"/>
            <family val="2"/>
          </rPr>
          <t>Author:</t>
        </r>
        <r>
          <rPr>
            <sz val="9"/>
            <color indexed="81"/>
            <rFont val="Tahoma"/>
            <family val="2"/>
          </rPr>
          <t xml:space="preserve">
F3Q25: new stores in UAE + India later this year.
New Osaka store in F3Q25A </t>
        </r>
      </text>
    </comment>
    <comment ref="FM83" authorId="1" shapeId="0" xr:uid="{C9A43E43-6F13-434F-82EB-30B6A2399BEE}">
      <text>
        <r>
          <rPr>
            <b/>
            <sz val="9"/>
            <color indexed="81"/>
            <rFont val="Tahoma"/>
            <family val="2"/>
          </rPr>
          <t>Author:</t>
        </r>
        <r>
          <rPr>
            <sz val="9"/>
            <color indexed="81"/>
            <rFont val="Tahoma"/>
            <family val="2"/>
          </rPr>
          <t xml:space="preserve">
Estimate: ~525 globally</t>
        </r>
      </text>
    </comment>
    <comment ref="CE84" authorId="5" shapeId="0" xr:uid="{A689EADB-8E9C-4525-BD87-9FECBE518C16}">
      <text>
        <r>
          <rPr>
            <b/>
            <sz val="9"/>
            <color indexed="81"/>
            <rFont val="Tahoma"/>
            <family val="2"/>
          </rPr>
          <t>Author:</t>
        </r>
        <r>
          <rPr>
            <sz val="9"/>
            <color indexed="81"/>
            <rFont val="Tahoma"/>
            <family val="2"/>
          </rPr>
          <t xml:space="preserve">
US only, Company0507 estimate 
https://example.com/</t>
        </r>
      </text>
    </comment>
    <comment ref="DO84" authorId="5" shapeId="0" xr:uid="{4B13B577-F49D-4235-9FDF-6E2280444941}">
      <text>
        <r>
          <rPr>
            <b/>
            <sz val="9"/>
            <color indexed="81"/>
            <rFont val="Tahoma"/>
            <family val="2"/>
          </rPr>
          <t>Author:</t>
        </r>
        <r>
          <rPr>
            <sz val="9"/>
            <color indexed="81"/>
            <rFont val="Tahoma"/>
            <family val="2"/>
          </rPr>
          <t xml:space="preserve">
US only, Company0507 estimate 
https://example.com/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Person0949, Person0123 </author>
    <author>Person1255, Person1250 </author>
    <author>Person1258, Person0065 </author>
    <author>Person0781, Person1217 </author>
    <author>Author10</author>
    <author>Person0630, Person0124 </author>
    <author>Author11</author>
    <author>Person0609, Person0094 </author>
    <author>Person0200, Person0592 </author>
    <author>Author8</author>
    <author>Person0411, Person1205 </author>
    <author>Author12</author>
    <author>Person0938 Person0586, RK </author>
  </authors>
  <commentList>
    <comment ref="DF6" authorId="0" shapeId="0" xr:uid="{FF9222BB-EACE-4439-8F0D-4800D411DD2E}">
      <text>
        <r>
          <rPr>
            <b/>
            <sz val="9"/>
            <color indexed="81"/>
            <rFont val="Tahoma"/>
            <family val="2"/>
          </rPr>
          <t>Author:</t>
        </r>
        <r>
          <rPr>
            <sz val="9"/>
            <color indexed="81"/>
            <rFont val="Tahoma"/>
            <family val="2"/>
          </rPr>
          <t xml:space="preserve">
"The Company’s fiscal year is the 52- or 53-week period that ends on the last Saturday of September. An additional week is included in the first fiscal quarter every five or six years to realign the Company’s fiscal quarters with calendar quarters.</t>
        </r>
      </text>
    </comment>
    <comment ref="BK8" authorId="0" shapeId="0" xr:uid="{B9030906-8E40-49AA-AE31-8F1A37AAEFB0}">
      <text>
        <r>
          <rPr>
            <b/>
            <sz val="9"/>
            <color indexed="81"/>
            <rFont val="Tahoma"/>
            <family val="2"/>
          </rPr>
          <t>Author:</t>
        </r>
        <r>
          <rPr>
            <sz val="9"/>
            <color indexed="81"/>
            <rFont val="Tahoma"/>
            <family val="2"/>
          </rPr>
          <t xml:space="preserve">
Company0244 reported re-stated segment numbers starting this quarter. Prior quarters segment numbers estimated
"Under this new format revenue from Product0489, Product0487, Mac and Product0490 sales is presented exclusive of related service and accessory revenue. All revenue from iTunes, stand-alone Company0242 and third party software and services is presented as a single line item and revenue from all Company0242 and third party accessory sales is presented as a single line item."</t>
        </r>
      </text>
    </comment>
    <comment ref="FE9" authorId="1" shapeId="0" xr:uid="{1619B191-7641-4E0D-AD9F-D55427EDCCA1}">
      <text>
        <r>
          <rPr>
            <b/>
            <sz val="9"/>
            <color indexed="81"/>
            <rFont val="Tahoma"/>
            <family val="2"/>
          </rPr>
          <t>Author:</t>
        </r>
        <r>
          <rPr>
            <sz val="9"/>
            <color indexed="81"/>
            <rFont val="Tahoma"/>
            <family val="2"/>
          </rPr>
          <t xml:space="preserve">
&lt;--Accounting change in FQ1'19. Segment level #s below are estimates until FQ4'17, Company0242 restated FY18 and beyond numbers, do not compare to FY12 and prior numbers</t>
        </r>
      </text>
    </comment>
    <comment ref="A10" authorId="1" shapeId="0" xr:uid="{EAB51336-D855-48DB-8D03-469C8EE9A605}">
      <text>
        <r>
          <rPr>
            <b/>
            <sz val="9"/>
            <color indexed="81"/>
            <rFont val="Tahoma"/>
            <family val="2"/>
          </rPr>
          <t>Author:</t>
        </r>
        <r>
          <rPr>
            <sz val="9"/>
            <color indexed="81"/>
            <rFont val="Tahoma"/>
            <family val="2"/>
          </rPr>
          <t xml:space="preserve">
Consensus is 40% gross margins for iPhones
mid 20s for Product0487
high 20s for MAC
40s for Company2981</t>
        </r>
      </text>
    </comment>
    <comment ref="CO11" authorId="2" shapeId="0" xr:uid="{8BAFAA9C-1A19-4327-862F-01D013E574F9}">
      <text>
        <r>
          <rPr>
            <b/>
            <sz val="9"/>
            <color indexed="81"/>
            <rFont val="Tahoma"/>
            <family val="2"/>
          </rPr>
          <t>Author:</t>
        </r>
        <r>
          <rPr>
            <sz val="9"/>
            <color indexed="81"/>
            <rFont val="Tahoma"/>
            <family val="2"/>
          </rPr>
          <t xml:space="preserve">
4Q18: lower than anticipated Product0489 revenue due to weakness primarily in Greater China</t>
        </r>
      </text>
    </comment>
    <comment ref="FQ11" authorId="3" shapeId="0" xr:uid="{ED369C14-5976-4F91-B828-276E3AC64CA6}">
      <text>
        <r>
          <rPr>
            <b/>
            <sz val="9"/>
            <color indexed="81"/>
            <rFont val="Tahoma"/>
            <family val="2"/>
          </rPr>
          <t>Author:</t>
        </r>
        <r>
          <rPr>
            <sz val="9"/>
            <color indexed="81"/>
            <rFont val="Tahoma"/>
            <family val="2"/>
          </rPr>
          <t xml:space="preserve">
7/23/24: Product0489 18---&gt;  The Information-- Company0242 reportedly working on a foldable iphone (folds like a clamshell). Company0242 developers have previously mandated the foldable Product0489 to be 1/2 as thin as current Product0489 models. </t>
        </r>
      </text>
    </comment>
    <comment ref="A12" authorId="1" shapeId="0" xr:uid="{42767B44-022F-4A57-BB11-029954E8DD68}">
      <text>
        <r>
          <rPr>
            <b/>
            <sz val="9"/>
            <color indexed="81"/>
            <rFont val="Tahoma"/>
            <family val="2"/>
          </rPr>
          <t>Author:</t>
        </r>
        <r>
          <rPr>
            <sz val="9"/>
            <color indexed="81"/>
            <rFont val="Tahoma"/>
            <family val="2"/>
          </rPr>
          <t xml:space="preserve">
Product0235 Pro supplied by Company2206 Computers in Shanghai</t>
        </r>
      </text>
    </comment>
    <comment ref="CO12" authorId="2" shapeId="0" xr:uid="{F9D630DC-97A8-4CEF-96F5-0F95B7DB5D3A}">
      <text>
        <r>
          <rPr>
            <b/>
            <sz val="9"/>
            <color indexed="81"/>
            <rFont val="Tahoma"/>
            <family val="2"/>
          </rPr>
          <t>Author:</t>
        </r>
        <r>
          <rPr>
            <sz val="9"/>
            <color indexed="81"/>
            <rFont val="Tahoma"/>
            <family val="2"/>
          </rPr>
          <t xml:space="preserve">
4Q18: Product0235 Air sales were constrained</t>
        </r>
      </text>
    </comment>
    <comment ref="DK12" authorId="1" shapeId="0" xr:uid="{C89D961B-B4F7-48E0-9D7C-F52B334FFB1C}">
      <text>
        <r>
          <rPr>
            <b/>
            <sz val="9"/>
            <color indexed="81"/>
            <rFont val="Tahoma"/>
            <family val="2"/>
          </rPr>
          <t>Author:</t>
        </r>
        <r>
          <rPr>
            <sz val="9"/>
            <color indexed="81"/>
            <rFont val="Tahoma"/>
            <family val="2"/>
          </rPr>
          <t xml:space="preserve">
3.4.24: Announced 15 and 13 inch Macbook Product0036 with M3 chip to start selling 3/8/24 -- M3 chip with 16 neural processing cores
NEW Product0223 AIR FEATURES----&gt;15 and 13 inch models, M3 w/ a 16-core Neural Engine,  8-core CPU, up to a 10-core GPU, up to 24 GB of unified memory, Liquid Product0344 (500 nits of brightness), Wifi 6E, 1080p Product0156 HD Camera, Magic Keyboard
F1Q24: non-Product0489 products implied down $2 bn yoy </t>
        </r>
      </text>
    </comment>
    <comment ref="CO13" authorId="2" shapeId="0" xr:uid="{A52EDD43-DE9F-4DAB-92E2-93C49F87A120}">
      <text>
        <r>
          <rPr>
            <b/>
            <sz val="9"/>
            <color indexed="81"/>
            <rFont val="Tahoma"/>
            <family val="2"/>
          </rPr>
          <t>Author:</t>
        </r>
        <r>
          <rPr>
            <sz val="9"/>
            <color indexed="81"/>
            <rFont val="Tahoma"/>
            <family val="2"/>
          </rPr>
          <t xml:space="preserve">
4Q18: Product0487 Pro sales were constrianed by supply chain</t>
        </r>
      </text>
    </comment>
    <comment ref="DC13" authorId="2" shapeId="0" xr:uid="{8458B8D6-2DC0-47C3-9144-004856184011}">
      <text>
        <r>
          <rPr>
            <b/>
            <sz val="9"/>
            <color indexed="81"/>
            <rFont val="Tahoma"/>
            <family val="2"/>
          </rPr>
          <t>Author:</t>
        </r>
        <r>
          <rPr>
            <sz val="9"/>
            <color indexed="81"/>
            <rFont val="Tahoma"/>
            <family val="2"/>
          </rPr>
          <t xml:space="preserve">
2/1/22 (Company1941): Supply chain constraints for Product0487 are still persistent (due to LCD display v. OLED for Watch/Product0489)</t>
        </r>
      </text>
    </comment>
    <comment ref="DK13" authorId="3" shapeId="0" xr:uid="{F5B7D68E-9269-415E-8BD9-A662E2A7FA42}">
      <text>
        <r>
          <rPr>
            <b/>
            <sz val="9"/>
            <color indexed="81"/>
            <rFont val="Tahoma"/>
            <family val="2"/>
          </rPr>
          <t>Author:</t>
        </r>
        <r>
          <rPr>
            <sz val="9"/>
            <color indexed="81"/>
            <rFont val="Tahoma"/>
            <family val="2"/>
          </rPr>
          <t xml:space="preserve">
3.5.24: Street Account - Korea Economic Daily--- Product0487 pro models expected "later this month"
-- Industry sources tell Korea Economic Daily that Company0242 has picked Company2530 Display and Company1549 display to supply 4M &amp; 4.5 mn cells of OLED panels for new Product0487 pro models</t>
        </r>
      </text>
    </comment>
    <comment ref="A14" authorId="4" shapeId="0" xr:uid="{00000000-0006-0000-0700-0000CF000000}">
      <text>
        <r>
          <rPr>
            <b/>
            <sz val="9"/>
            <color indexed="81"/>
            <rFont val="Tahoma"/>
            <family val="2"/>
          </rPr>
          <t>Author:</t>
        </r>
        <r>
          <rPr>
            <sz val="9"/>
            <color indexed="81"/>
            <rFont val="Tahoma"/>
            <family val="2"/>
          </rPr>
          <t xml:space="preserve">
Product0490, Watch, accessories</t>
        </r>
      </text>
    </comment>
    <comment ref="CI14" authorId="5" shapeId="0" xr:uid="{00000000-0006-0000-0700-0000D0000000}">
      <text>
        <r>
          <rPr>
            <b/>
            <sz val="9"/>
            <color indexed="81"/>
            <rFont val="Tahoma"/>
            <family val="2"/>
          </rPr>
          <t>Author:</t>
        </r>
        <r>
          <rPr>
            <sz val="9"/>
            <color indexed="81"/>
            <rFont val="Tahoma"/>
            <family val="2"/>
          </rPr>
          <t xml:space="preserve">
5/2/17: Watch+Product0032+Product0069 (wearables) now as big as a Company1032 500 business</t>
        </r>
      </text>
    </comment>
    <comment ref="CL14" authorId="2" shapeId="0" xr:uid="{8A50FD8B-478D-4669-BDC3-9505E4E18C9F}">
      <text>
        <r>
          <rPr>
            <b/>
            <sz val="9"/>
            <color indexed="81"/>
            <rFont val="Tahoma"/>
            <family val="2"/>
          </rPr>
          <t>Author:</t>
        </r>
        <r>
          <rPr>
            <sz val="9"/>
            <color indexed="81"/>
            <rFont val="Tahoma"/>
            <family val="2"/>
          </rPr>
          <t xml:space="preserve">
2/14/18 Annual Shareholders' Meeting: size of a Company1032 300 company</t>
        </r>
      </text>
    </comment>
    <comment ref="CO14" authorId="2" shapeId="0" xr:uid="{F5D7BE74-95AE-47F2-B2EE-8544B290C763}">
      <text>
        <r>
          <rPr>
            <b/>
            <sz val="9"/>
            <color indexed="81"/>
            <rFont val="Tahoma"/>
            <family val="2"/>
          </rPr>
          <t>Author:</t>
        </r>
        <r>
          <rPr>
            <sz val="9"/>
            <color indexed="81"/>
            <rFont val="Tahoma"/>
            <family val="2"/>
          </rPr>
          <t xml:space="preserve">
4Q18: Product0049 4 sales were supply chain constrained</t>
        </r>
      </text>
    </comment>
    <comment ref="CP14" authorId="2" shapeId="0" xr:uid="{991493D0-6156-4B9F-A253-76FD264258E4}">
      <text>
        <r>
          <rPr>
            <b/>
            <sz val="9"/>
            <color indexed="81"/>
            <rFont val="Tahoma"/>
            <family val="2"/>
          </rPr>
          <t>Author:</t>
        </r>
        <r>
          <rPr>
            <sz val="9"/>
            <color indexed="81"/>
            <rFont val="Tahoma"/>
            <family val="2"/>
          </rPr>
          <t xml:space="preserve">
1Q19: Watch &amp; Product0032 were supply constrained in Q1</t>
        </r>
      </text>
    </comment>
    <comment ref="CT14" authorId="1" shapeId="0" xr:uid="{CF5E32F5-E93F-4C48-B03F-FDF9BDCB3D08}">
      <text>
        <r>
          <rPr>
            <b/>
            <sz val="9"/>
            <color indexed="81"/>
            <rFont val="Tahoma"/>
            <family val="2"/>
          </rPr>
          <t>Author:</t>
        </r>
        <r>
          <rPr>
            <sz val="9"/>
            <color indexed="81"/>
            <rFont val="Tahoma"/>
            <family val="2"/>
          </rPr>
          <t xml:space="preserve">
1Q20: 75% of Watch purchases were from new customers
11/26/2019: Company0242 asks Company1625 to double production of Product0032 Pro to 2m units/month </t>
        </r>
      </text>
    </comment>
    <comment ref="CU14" authorId="1" shapeId="0" xr:uid="{316B0831-2ECB-4820-B639-85413C635AD9}">
      <text>
        <r>
          <rPr>
            <b/>
            <sz val="9"/>
            <color indexed="81"/>
            <rFont val="Tahoma"/>
            <family val="2"/>
          </rPr>
          <t>Author:</t>
        </r>
        <r>
          <rPr>
            <sz val="9"/>
            <color indexed="81"/>
            <rFont val="Tahoma"/>
            <family val="2"/>
          </rPr>
          <t xml:space="preserve">
2/6/2020: 3 manufacturers for Product0035: Company1624 Precision Industry, Company1146, and Company1387 have malted major production since Lunar New Year - have at most 2 weeks worth of materials and coponents. 
Company1941 5/8/2020: Will make 3-4 mn units or 30% of total production of classic Product0035 in Veitnam though production is mostly in China for now. 
Implies 12-13 mn units total </t>
        </r>
      </text>
    </comment>
    <comment ref="DO14" authorId="1" shapeId="0" xr:uid="{F5A199C7-6256-4BD4-881D-1FD097C557B6}">
      <text>
        <r>
          <rPr>
            <b/>
            <sz val="9"/>
            <color indexed="81"/>
            <rFont val="Tahoma"/>
            <family val="2"/>
          </rPr>
          <t>Author:</t>
        </r>
        <r>
          <rPr>
            <sz val="9"/>
            <color indexed="81"/>
            <rFont val="Tahoma"/>
            <family val="2"/>
          </rPr>
          <t xml:space="preserve">
Rumor: Smart home Display to launch in March </t>
        </r>
      </text>
    </comment>
    <comment ref="FS14" authorId="1" shapeId="0" xr:uid="{705E0BF2-49CE-4372-B6B5-189BAF70C8A4}">
      <text>
        <r>
          <rPr>
            <b/>
            <sz val="9"/>
            <color indexed="81"/>
            <rFont val="Tahoma"/>
            <family val="2"/>
          </rPr>
          <t>Author:</t>
        </r>
        <r>
          <rPr>
            <sz val="9"/>
            <color indexed="81"/>
            <rFont val="Tahoma"/>
            <family val="2"/>
          </rPr>
          <t xml:space="preserve">
1/23/24: Bloomberg: 
Project Product0419 underway since 2015. 
- VP Person0611 Person0685 (Project Product0419 lead as of 2021) said launch of first vehilce will be 2028
- Limited autonomy in-line with Company2757 features
- L2+ system (v. L4 ambitions prior)
- reduced scope means that it can move forward successfully</t>
        </r>
      </text>
    </comment>
    <comment ref="CI15" authorId="5" shapeId="0" xr:uid="{00000000-0006-0000-0700-0000D8000000}">
      <text>
        <r>
          <rPr>
            <b/>
            <sz val="9"/>
            <color indexed="81"/>
            <rFont val="Tahoma"/>
            <family val="2"/>
          </rPr>
          <t>Author:</t>
        </r>
        <r>
          <rPr>
            <sz val="9"/>
            <color indexed="81"/>
            <rFont val="Tahoma"/>
            <family val="2"/>
          </rPr>
          <t xml:space="preserve">
5/2/17: sales nearly doubled yoy</t>
        </r>
      </text>
    </comment>
    <comment ref="A16" authorId="6" shapeId="0" xr:uid="{00000000-0006-0000-0700-0000E7000000}">
      <text>
        <r>
          <rPr>
            <sz val="9"/>
            <color indexed="81"/>
            <rFont val="Tahoma"/>
            <family val="2"/>
          </rPr>
          <t xml:space="preserve">Company0242 branded and third-party accessories
</t>
        </r>
        <r>
          <rPr>
            <b/>
            <sz val="9"/>
            <color indexed="81"/>
            <rFont val="Tahoma"/>
            <family val="2"/>
          </rPr>
          <t xml:space="preserve">Author: </t>
        </r>
        <r>
          <rPr>
            <sz val="9"/>
            <color indexed="81"/>
            <rFont val="Tahoma"/>
            <family val="2"/>
          </rPr>
          <t xml:space="preserve">$29 (1X) or $99 (4X) beginning 4/30/2021
</t>
        </r>
        <r>
          <rPr>
            <b/>
            <sz val="9"/>
            <color indexed="81"/>
            <rFont val="Tahoma"/>
            <family val="2"/>
          </rPr>
          <t>Product0048 4K</t>
        </r>
        <r>
          <rPr>
            <sz val="9"/>
            <color indexed="81"/>
            <rFont val="Tahoma"/>
            <family val="2"/>
          </rPr>
          <t>: $179 US starting in April 30, 2021. 
2/2023: Car Key is available in wallet app to unlock cars for certain Company0319, but also testing for Company1281 and Company1513</t>
        </r>
      </text>
    </comment>
    <comment ref="BR16" authorId="1" shapeId="0" xr:uid="{FF23FC01-B85D-4836-8F90-F5B4AF1420AB}">
      <text>
        <r>
          <rPr>
            <b/>
            <sz val="9"/>
            <color indexed="81"/>
            <rFont val="Tahoma"/>
            <family val="2"/>
          </rPr>
          <t>Author:</t>
        </r>
        <r>
          <rPr>
            <sz val="9"/>
            <color indexed="81"/>
            <rFont val="Tahoma"/>
            <family val="2"/>
          </rPr>
          <t xml:space="preserve">
Accessories</t>
        </r>
      </text>
    </comment>
    <comment ref="BV16" authorId="1" shapeId="0" xr:uid="{CF7A1C28-AF4A-459D-9574-C5A1E49740DC}">
      <text>
        <r>
          <rPr>
            <b/>
            <sz val="9"/>
            <color indexed="81"/>
            <rFont val="Tahoma"/>
            <family val="2"/>
          </rPr>
          <t>Author:</t>
        </r>
        <r>
          <rPr>
            <sz val="9"/>
            <color indexed="81"/>
            <rFont val="Tahoma"/>
            <family val="2"/>
          </rPr>
          <t xml:space="preserve">
$1863 reported</t>
        </r>
      </text>
    </comment>
    <comment ref="CY16" authorId="1" shapeId="0" xr:uid="{A57C5A42-2461-4253-A083-67D2E284370D}">
      <text>
        <r>
          <rPr>
            <b/>
            <sz val="9"/>
            <color indexed="81"/>
            <rFont val="Tahoma"/>
            <family val="2"/>
          </rPr>
          <t>Author:</t>
        </r>
        <r>
          <rPr>
            <sz val="9"/>
            <color indexed="81"/>
            <rFont val="Tahoma"/>
            <family val="2"/>
          </rPr>
          <t xml:space="preserve">
Company1281 confirms it's talking to Company0242 about Evs. Company0773 is another. </t>
        </r>
      </text>
    </comment>
    <comment ref="DA16" authorId="1" shapeId="0" xr:uid="{B488FBDA-83FC-4D39-8D7E-6DA474581D92}">
      <text>
        <r>
          <rPr>
            <b/>
            <sz val="9"/>
            <color indexed="81"/>
            <rFont val="Tahoma"/>
            <family val="2"/>
          </rPr>
          <t>Author:</t>
        </r>
        <r>
          <rPr>
            <sz val="9"/>
            <color indexed="81"/>
            <rFont val="Tahoma"/>
            <family val="2"/>
          </rPr>
          <t xml:space="preserve">
9/10/2021: Business Korea says Company0242 is unlikely to partner with car manufacturer to develop, but will still outsource it like they would phones… for 2024. </t>
        </r>
      </text>
    </comment>
    <comment ref="DI16" authorId="1" shapeId="0" xr:uid="{02791687-CA25-4E6C-B1F3-7D49CAC191EB}">
      <text>
        <r>
          <rPr>
            <b/>
            <sz val="9"/>
            <color indexed="81"/>
            <rFont val="Tahoma"/>
            <family val="2"/>
          </rPr>
          <t>Author:</t>
        </r>
        <r>
          <rPr>
            <sz val="9"/>
            <color indexed="81"/>
            <rFont val="Tahoma"/>
            <family val="2"/>
          </rPr>
          <t xml:space="preserve">
Assume up qoq on Product0434 accessories</t>
        </r>
      </text>
    </comment>
    <comment ref="DJ16" authorId="1" shapeId="0" xr:uid="{F5F3E88F-FCB2-4099-807A-A6D2F9D04B46}">
      <text>
        <r>
          <rPr>
            <b/>
            <sz val="9"/>
            <color indexed="81"/>
            <rFont val="Tahoma"/>
            <family val="2"/>
          </rPr>
          <t>Author:</t>
        </r>
        <r>
          <rPr>
            <sz val="9"/>
            <color indexed="81"/>
            <rFont val="Tahoma"/>
            <family val="2"/>
          </rPr>
          <t xml:space="preserve">
Company0242 Pencil Product0434: available in early November ($69 v. $129 for Company0242 Pencil 2nd gen)</t>
        </r>
      </text>
    </comment>
    <comment ref="DK17" authorId="1" shapeId="0" xr:uid="{482701D4-9A14-4569-BF2D-6071D68D11BB}">
      <text>
        <r>
          <rPr>
            <b/>
            <sz val="9"/>
            <color indexed="81"/>
            <rFont val="Tahoma"/>
            <family val="2"/>
          </rPr>
          <t>Author:</t>
        </r>
        <r>
          <rPr>
            <sz val="9"/>
            <color indexed="81"/>
            <rFont val="Tahoma"/>
            <family val="2"/>
          </rPr>
          <t xml:space="preserve">
$3500 256gb
$3700 512gb
$3900 1TB
Prescription lens for $150
Readers $100
Company0242 Care $500</t>
        </r>
      </text>
    </comment>
    <comment ref="DN17" authorId="1" shapeId="0" xr:uid="{9A2D0084-EB80-4938-8B69-F9786B78BD5E}">
      <text>
        <r>
          <rPr>
            <b/>
            <sz val="9"/>
            <color indexed="81"/>
            <rFont val="Tahoma"/>
            <family val="2"/>
          </rPr>
          <t>Author:</t>
        </r>
        <r>
          <rPr>
            <sz val="9"/>
            <color indexed="81"/>
            <rFont val="Tahoma"/>
            <family val="2"/>
          </rPr>
          <t xml:space="preserve">
F1Q25: more countries roll out </t>
        </r>
      </text>
    </comment>
    <comment ref="BZ18" authorId="6" shapeId="0" xr:uid="{00000000-0006-0000-0700-0000D3000000}">
      <text>
        <r>
          <rPr>
            <b/>
            <sz val="9"/>
            <color indexed="81"/>
            <rFont val="Tahoma"/>
            <family val="2"/>
          </rPr>
          <t>Author:</t>
        </r>
        <r>
          <rPr>
            <sz val="9"/>
            <color indexed="81"/>
            <rFont val="Tahoma"/>
            <family val="2"/>
          </rPr>
          <t xml:space="preserve">
Ticker0015 estimate
</t>
        </r>
      </text>
    </comment>
    <comment ref="CA18" authorId="6" shapeId="0" xr:uid="{00000000-0006-0000-0700-0000D4000000}">
      <text>
        <r>
          <rPr>
            <b/>
            <sz val="9"/>
            <color indexed="81"/>
            <rFont val="Tahoma"/>
            <family val="2"/>
          </rPr>
          <t>Author:</t>
        </r>
        <r>
          <rPr>
            <sz val="9"/>
            <color indexed="81"/>
            <rFont val="Tahoma"/>
            <family val="2"/>
          </rPr>
          <t xml:space="preserve">
Ticker0015 estimate
</t>
        </r>
      </text>
    </comment>
    <comment ref="BV19" authorId="7" shapeId="0" xr:uid="{96F48750-32FE-44FA-86D8-EAF365EDD068}">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19" authorId="7" shapeId="0" xr:uid="{9F7438A2-FF16-4B4B-BB14-0A90D86E356A}">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19" authorId="7" shapeId="0" xr:uid="{A71942FE-8124-4DA7-A9B9-49AAC78FE513}">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19" authorId="7" shapeId="0" xr:uid="{F653C2AC-DD65-4223-8352-6AA4301AC6D6}">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CZ19" authorId="0" shapeId="0" xr:uid="{D6D15276-51DA-4B70-8293-CFF69B5D9FC0}">
      <text>
        <r>
          <rPr>
            <b/>
            <sz val="9"/>
            <color indexed="81"/>
            <rFont val="Tahoma"/>
            <family val="2"/>
          </rPr>
          <t>Author:</t>
        </r>
        <r>
          <rPr>
            <sz val="9"/>
            <color indexed="81"/>
            <rFont val="Tahoma"/>
            <family val="2"/>
          </rPr>
          <t xml:space="preserve">
Supply chain headwinds:
Expected: $3bn to 4bn
Actual: "A little less than $3bn"</t>
        </r>
      </text>
    </comment>
    <comment ref="DA19" authorId="0" shapeId="0" xr:uid="{51329BA2-584C-4BB7-9329-1B0AE1CD0C00}">
      <text>
        <r>
          <rPr>
            <b/>
            <sz val="9"/>
            <color indexed="81"/>
            <rFont val="Tahoma"/>
            <family val="2"/>
          </rPr>
          <t>Author:</t>
        </r>
        <r>
          <rPr>
            <sz val="9"/>
            <color indexed="81"/>
            <rFont val="Tahoma"/>
            <family val="2"/>
          </rPr>
          <t xml:space="preserve">
Supply chain headwinds:
At $6bn came in higher than the $4bn expected
3Q21: Q4 to be pressured by some production constraints</t>
        </r>
      </text>
    </comment>
    <comment ref="DB19" authorId="0" shapeId="0" xr:uid="{DABED1C9-0E1E-4807-8228-14A40267B044}">
      <text>
        <r>
          <rPr>
            <b/>
            <sz val="9"/>
            <color indexed="81"/>
            <rFont val="Tahoma"/>
            <family val="2"/>
          </rPr>
          <t xml:space="preserve">
Company0527 10/28/2021: </t>
        </r>
        <r>
          <rPr>
            <sz val="9"/>
            <color indexed="81"/>
            <rFont val="Tahoma"/>
            <family val="2"/>
          </rPr>
          <t xml:space="preserve">Ticker0001 says had estimated supply chain headwinds to be $6 bn. Supply chain constraints driven by industry-wide chip shortages and COVID-related manufacturing disruptions in SE Asia. 
Still expects solid yoy reveue growth in C4Q for consolidated revenue . 
</t>
        </r>
        <r>
          <rPr>
            <b/>
            <sz val="9"/>
            <color indexed="81"/>
            <rFont val="Tahoma"/>
            <family val="2"/>
          </rPr>
          <t xml:space="preserve">
4Q21: </t>
        </r>
        <r>
          <rPr>
            <sz val="9"/>
            <color indexed="81"/>
            <rFont val="Tahoma"/>
            <family val="2"/>
          </rPr>
          <t>Higher than $6bn but lower than $10bn</t>
        </r>
      </text>
    </comment>
    <comment ref="DC19" authorId="0" shapeId="0" xr:uid="{E890B435-F77A-41D4-8364-783E91F1F7AD}">
      <text>
        <r>
          <rPr>
            <b/>
            <sz val="9"/>
            <color indexed="81"/>
            <rFont val="Tahoma"/>
            <family val="2"/>
          </rPr>
          <t>Author:</t>
        </r>
        <r>
          <rPr>
            <sz val="9"/>
            <color indexed="81"/>
            <rFont val="Tahoma"/>
            <family val="2"/>
          </rPr>
          <t xml:space="preserve">
Came in much less than expected; Company0242 was expecting &gt;$6bn impact</t>
        </r>
      </text>
    </comment>
    <comment ref="DD19" authorId="0" shapeId="0" xr:uid="{42CA9EC1-DFAC-412F-9BCC-6E6EFA2CD4D6}">
      <text>
        <r>
          <rPr>
            <b/>
            <sz val="9"/>
            <color indexed="81"/>
            <rFont val="Tahoma"/>
            <family val="2"/>
          </rPr>
          <t>Author:</t>
        </r>
        <r>
          <rPr>
            <sz val="9"/>
            <color indexed="81"/>
            <rFont val="Tahoma"/>
            <family val="2"/>
          </rPr>
          <t xml:space="preserve">
Supply chain headwinds
Actual: "slightly below the range"
2Q22 Expected: $4bn to $8bn</t>
        </r>
      </text>
    </comment>
    <comment ref="FE19" authorId="7" shapeId="0" xr:uid="{1E0F1545-933C-4F98-9947-0D87A5B5B3B5}">
      <text>
        <r>
          <rPr>
            <b/>
            <sz val="9"/>
            <color indexed="81"/>
            <rFont val="Tahoma"/>
            <family val="2"/>
          </rPr>
          <t>Author:</t>
        </r>
        <r>
          <rPr>
            <sz val="9"/>
            <color indexed="81"/>
            <rFont val="Tahoma"/>
            <family val="2"/>
          </rPr>
          <t xml:space="preserve">
-Accounting change in FQ1'19. Segment level #s below are estimates until FQ4'17, Company0242 restated FY18 and beyond numbers, do not compare to FY12 and prior numbers</t>
        </r>
      </text>
    </comment>
    <comment ref="FQ19" authorId="1" shapeId="0" xr:uid="{2BCCA566-4199-438B-93A6-1BFB99F18F7B}">
      <text>
        <r>
          <rPr>
            <b/>
            <sz val="9"/>
            <color indexed="81"/>
            <rFont val="Tahoma"/>
            <family val="2"/>
          </rPr>
          <t>Author:</t>
        </r>
        <r>
          <rPr>
            <sz val="9"/>
            <color indexed="81"/>
            <rFont val="Tahoma"/>
            <family val="2"/>
          </rPr>
          <t xml:space="preserve">
12/6/2022: press reports say Company0242 aims for consumre vehicle &lt;$100k by 2026 (delayed from 2024)</t>
        </r>
      </text>
    </comment>
    <comment ref="BV22" authorId="7" shapeId="0" xr:uid="{21C8B39C-73BF-4A55-9D9D-EF554C3850D5}">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22" authorId="7" shapeId="0" xr:uid="{26746E37-5817-4600-8952-71D4C5296326}">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22" authorId="7" shapeId="0" xr:uid="{3B51086C-957E-45A0-BE66-DE276826E2B1}">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22" authorId="7" shapeId="0" xr:uid="{9A3B3E6C-9404-42F0-8B1C-6A42EB680FA4}">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CO22" authorId="2" shapeId="0" xr:uid="{CA62BAE6-D84F-4B7E-9BBA-ECE97D1E4C1C}">
      <text>
        <r>
          <rPr>
            <b/>
            <sz val="9"/>
            <color indexed="81"/>
            <rFont val="Tahoma"/>
            <family val="2"/>
          </rPr>
          <t>Author:</t>
        </r>
        <r>
          <rPr>
            <sz val="9"/>
            <color indexed="81"/>
            <rFont val="Tahoma"/>
            <family val="2"/>
          </rPr>
          <t xml:space="preserve">
4Q18: growth partially due to introducing most expensive Product0489 (XS/XS Max) in September 2018 vs. November 2017</t>
        </r>
      </text>
    </comment>
    <comment ref="CP22" authorId="1" shapeId="0" xr:uid="{0DCB9A92-8F38-4079-A5D1-7C9869F9932C}">
      <text>
        <r>
          <rPr>
            <b/>
            <sz val="9"/>
            <color indexed="81"/>
            <rFont val="Tahoma"/>
            <family val="2"/>
          </rPr>
          <t>Author:</t>
        </r>
        <r>
          <rPr>
            <sz val="9"/>
            <color indexed="81"/>
            <rFont val="Tahoma"/>
            <family val="2"/>
          </rPr>
          <t xml:space="preserve">
1/2/2019: Weakness in emerging markets led to fewer Product0489 upgrades than anticipated, particularly in China. 
Over 100% of the yoy revenue declined happened in China across Product0489, Mac, Product0487 
China economy began to slow in F2H18. Government reported GDP growth in C3Q was second lowest in last 25 years. 
Lower-than-anticipated Product0489 revenue, primarily in China accounts for all of the revenue shortfall. CAterogires across non-Iphone grew nearly 19% yoy. 
Questions such as - is Company1267 taking more share due to aggressive pricing. US consumer reluctance to upgrade Product0489. 
Per Company2965, phones were upgraded every 24.4 months about 4 years ago... but now that's closer to 36 months in 4Q and 38.7 months this year in F2019</t>
        </r>
      </text>
    </comment>
    <comment ref="CQ22" authorId="1" shapeId="0" xr:uid="{2D681F76-232E-456D-A3F5-53649AE76D1B}">
      <text>
        <r>
          <rPr>
            <b/>
            <sz val="9"/>
            <color indexed="81"/>
            <rFont val="Tahoma"/>
            <family val="2"/>
          </rPr>
          <t>Author:</t>
        </r>
        <r>
          <rPr>
            <sz val="9"/>
            <color indexed="81"/>
            <rFont val="Tahoma"/>
            <family val="2"/>
          </rPr>
          <t xml:space="preserve">
Company1941 said that Product0489 production beign cut by 10% for march quarter
40-43 mn units (v. 47-48 mn units prior)</t>
        </r>
      </text>
    </comment>
    <comment ref="CU22" authorId="1" shapeId="0" xr:uid="{37E5F9C3-195D-47E0-AF8F-8AA66DAC8FAB}">
      <text>
        <r>
          <rPr>
            <b/>
            <sz val="9"/>
            <color indexed="81"/>
            <rFont val="Tahoma"/>
            <family val="2"/>
          </rPr>
          <t>Author:</t>
        </r>
        <r>
          <rPr>
            <sz val="9"/>
            <color indexed="81"/>
            <rFont val="Tahoma"/>
            <family val="2"/>
          </rPr>
          <t xml:space="preserve">
Reuters 3/28/2020: Product0489 orders may decline 18% yoy</t>
        </r>
      </text>
    </comment>
    <comment ref="CV22" authorId="1" shapeId="0" xr:uid="{1CA63765-CE94-48D9-BFD7-878671DEE9BC}">
      <text>
        <r>
          <rPr>
            <b/>
            <sz val="9"/>
            <color indexed="81"/>
            <rFont val="Tahoma"/>
            <family val="2"/>
          </rPr>
          <t>Author:</t>
        </r>
        <r>
          <rPr>
            <sz val="9"/>
            <color indexed="81"/>
            <rFont val="Tahoma"/>
            <family val="2"/>
          </rPr>
          <t xml:space="preserve">
F3Q20: it's a combination of a strong launch with Product0489 SE and some – probably some pickup because of the economic stimulus that hit different countries at different points in time, and probably some of the reopening that took place across the quarter, particularly in May and June as stores started to reopen. And so it's a combination of all of those. And as you know, we've been having a strong cycle with the Product0489 11 and the 11 Pro. And so when you combine a strong cycle plus an Product0489 SE launch plus the reopening of the stores, et cetera, I think there were a lot of things that were going in the right direction there.</t>
        </r>
      </text>
    </comment>
    <comment ref="CW22" authorId="1" shapeId="0" xr:uid="{C60E8C78-7979-4BAB-B8CA-C9E1E62FC9AC}">
      <text>
        <r>
          <rPr>
            <b/>
            <sz val="9"/>
            <color indexed="81"/>
            <rFont val="Tahoma"/>
            <family val="2"/>
          </rPr>
          <t>Author:</t>
        </r>
        <r>
          <rPr>
            <sz val="9"/>
            <color indexed="81"/>
            <rFont val="Tahoma"/>
            <family val="2"/>
          </rPr>
          <t xml:space="preserve">
5G phones delayed into December quarter</t>
        </r>
      </text>
    </comment>
    <comment ref="CX22" authorId="1" shapeId="0" xr:uid="{98875459-66CD-41EA-8E98-E1693FCB1BB0}">
      <text>
        <r>
          <rPr>
            <b/>
            <sz val="9"/>
            <color indexed="81"/>
            <rFont val="Tahoma"/>
            <family val="2"/>
          </rPr>
          <t>Author:</t>
        </r>
        <r>
          <rPr>
            <sz val="9"/>
            <color indexed="81"/>
            <rFont val="Tahoma"/>
            <family val="2"/>
          </rPr>
          <t xml:space="preserve">
F1Q21: Product0489 12 Pro/Pro Max continues to be supply constrained. 
F4Q20: guided to yoy growth for iPhones with other products deliver DD% growth
11/4/2020: Bloomberg reports that power management chips threatens production of Product0489 devices due to shortage of silicon and COVID-related supply chain issues. 
Power-management chips come from TI, Company2493, Company2202, while Company2698 is Company0244 main chipmaker. 
Bulls think 5G will drive Product0489 supercycle. Greater mix of high-end models should help ASPs
</t>
        </r>
      </text>
    </comment>
    <comment ref="DC22" authorId="1" shapeId="0" xr:uid="{E8260C74-C4D5-4D6D-970D-8E4679586BD3}">
      <text>
        <r>
          <rPr>
            <b/>
            <sz val="9"/>
            <color indexed="81"/>
            <rFont val="Tahoma"/>
            <family val="2"/>
          </rPr>
          <t>Author:</t>
        </r>
        <r>
          <rPr>
            <sz val="9"/>
            <color indexed="81"/>
            <rFont val="Tahoma"/>
            <family val="2"/>
          </rPr>
          <t xml:space="preserve">
F2Q22: +5% yoy despite supply constraints thanks to strong response to Product0489 13 family + launch of Product0489 SE. </t>
        </r>
      </text>
    </comment>
    <comment ref="DE22" authorId="1" shapeId="0" xr:uid="{4A135080-C348-4091-8C96-486B9940067D}">
      <text>
        <r>
          <rPr>
            <b/>
            <sz val="9"/>
            <color indexed="81"/>
            <rFont val="Tahoma"/>
            <family val="2"/>
          </rPr>
          <t>Author:</t>
        </r>
        <r>
          <rPr>
            <sz val="9"/>
            <color indexed="81"/>
            <rFont val="Tahoma"/>
            <family val="2"/>
          </rPr>
          <t xml:space="preserve">
F4Q22: Channel inventory below target levels, but that's not abnormal</t>
        </r>
      </text>
    </comment>
    <comment ref="DF22" authorId="1" shapeId="0" xr:uid="{1430BEF4-3A17-4EC1-A844-D53D4FB3BCDF}">
      <text>
        <r>
          <rPr>
            <b/>
            <sz val="9"/>
            <color indexed="81"/>
            <rFont val="Tahoma"/>
            <family val="2"/>
          </rPr>
          <t>Author:</t>
        </r>
        <r>
          <rPr>
            <sz val="9"/>
            <color indexed="81"/>
            <rFont val="Tahoma"/>
            <family val="2"/>
          </rPr>
          <t xml:space="preserve">
F1Q23: exited quarter with channel inventor below target levels;
Flat constant currency. 
</t>
        </r>
        <r>
          <rPr>
            <b/>
            <sz val="9"/>
            <color indexed="81"/>
            <rFont val="Tahoma"/>
            <family val="2"/>
          </rPr>
          <t xml:space="preserve">
Company0242 beleives Product0489 would have grown not for supply shortages. Implies $7 bn headwind</t>
        </r>
        <r>
          <rPr>
            <sz val="9"/>
            <color indexed="81"/>
            <rFont val="Tahoma"/>
            <family val="2"/>
          </rPr>
          <t xml:space="preserve">
1/3/2023: Reuters reports that December shipments from Zhengzhou reached 90% of initial plans
11/28/2022: Bloomberg reports that unrest at Zhengzou plant will result in 6 mn unit deficit in PRO productoion, which is expected to be made up next year. 
</t>
        </r>
        <r>
          <rPr>
            <b/>
            <sz val="9"/>
            <color indexed="81"/>
            <rFont val="Tahoma"/>
            <family val="2"/>
          </rPr>
          <t xml:space="preserve">11/6/2022 8-K: 
</t>
        </r>
        <r>
          <rPr>
            <u/>
            <sz val="9"/>
            <color indexed="81"/>
            <rFont val="Tahoma"/>
            <family val="2"/>
          </rPr>
          <t xml:space="preserve">COVID-19 restrictions have temporarily impacted the primary Product0489® 14 Pro and Product0489 14 Pro Max assembly facility located in Zhengzhou, China. The facility is currently operating at significantly reduced capacity. </t>
        </r>
        <r>
          <rPr>
            <sz val="9"/>
            <color indexed="81"/>
            <rFont val="Tahoma"/>
            <family val="2"/>
          </rPr>
          <t xml:space="preserve">As we have done throughout the COVID-19 pandemic, we are prioritizing the health and safety of the workers in our supply chain.
</t>
        </r>
        <r>
          <rPr>
            <u/>
            <sz val="9"/>
            <color indexed="81"/>
            <rFont val="Tahoma"/>
            <family val="2"/>
          </rPr>
          <t xml:space="preserve">We continue to see strong demand for Product0489 14 Pro and Product0489 14 Pro Max models. </t>
        </r>
        <r>
          <rPr>
            <sz val="9"/>
            <color indexed="81"/>
            <rFont val="Tahoma"/>
            <family val="2"/>
          </rPr>
          <t xml:space="preserve">However, </t>
        </r>
        <r>
          <rPr>
            <b/>
            <u/>
            <sz val="9"/>
            <color indexed="81"/>
            <rFont val="Tahoma"/>
            <family val="2"/>
          </rPr>
          <t xml:space="preserve">we now expect lower Product0489 14 Pro and
Product0489 14 Pro Max shipments than we previously anticipated and customers will experience longer wait times to receive their new products.
</t>
        </r>
        <r>
          <rPr>
            <sz val="9"/>
            <color indexed="81"/>
            <rFont val="Tahoma"/>
            <family val="2"/>
          </rPr>
          <t xml:space="preserve">We are working closely with our supplier to return to normal production levels while ensuring the health and safety of every worker.
10/31/2022: Company0242 to ask Company2155+Company1624 Precision to produce 14Pro 14Pro Max amid COVID issues at Zhengzhou factory (Company1256 Company1228/Company1035). Also Company1256 Company1228 using capacity in Shenzhen to backup Zhengzhou production capacity issues - reports no order loss to peers. 
</t>
        </r>
        <r>
          <rPr>
            <b/>
            <sz val="9"/>
            <color indexed="81"/>
            <rFont val="Tahoma"/>
            <family val="2"/>
          </rPr>
          <t xml:space="preserve">Company2187 C3Q22 earnings: </t>
        </r>
        <r>
          <rPr>
            <sz val="9"/>
            <color indexed="81"/>
            <rFont val="Tahoma"/>
            <family val="2"/>
          </rPr>
          <t xml:space="preserve">Company2202 also reduced its projections for global 5G handset sales in 2022 to around 650 million, down from earlier forecasts of up to 750 million units.
"We believe a weak market, and even a potential inventory correction was likely not entirely unexpected, though the magnitude is probably worse than what some might have had in mind," wrote the financial analysts at Company0383 in a note to investors, according to Reuters.
Company2202 said this week it expects to supply most of the core chipsets for Company0244 Product0489 in 2023, up from its prior expectations of just 20%.
Company0242 is widely expected to shift from Company2202 chips to its own chips – built on Company0244 acquisition of Company1379 smartphone chipset business in 2019 – but that transition appears to be taking longer to implement than initially expected.
</t>
        </r>
      </text>
    </comment>
    <comment ref="DG22" authorId="8" shapeId="0" xr:uid="{38CE3F02-9992-41B6-86C0-FAB41990F62A}">
      <text>
        <r>
          <rPr>
            <b/>
            <sz val="9"/>
            <color indexed="81"/>
            <rFont val="Tahoma"/>
            <family val="2"/>
          </rPr>
          <t>Author:</t>
        </r>
        <r>
          <rPr>
            <sz val="9"/>
            <color indexed="81"/>
            <rFont val="Tahoma"/>
            <family val="2"/>
          </rPr>
          <t xml:space="preserve">
F2Q23: Benefited from a little bit of recapture of sales - hard to quantify. Very comfortable on inventory
Outperformance relaly driven by emerging markets
March qtr records in several markets such as India, Indonesia, Turkey, and the UAE DOUBLING yoy 
(Separately, Company1267 entity list benefited Ticker0001 very little. China high-end yes, but not really ex China). Competition is primarily Company2530. 
F1Q23: 
Product0489 yoy performance to ACCELERATE v. F1Q (-8% yoy)
exited 1Q with lower than target channel inventory; revenue growth expected to accelerate sequentially</t>
        </r>
      </text>
    </comment>
    <comment ref="DH22" authorId="1" shapeId="0" xr:uid="{C3A0BBC5-E7D9-4A2C-A41F-4173AC1B3CC3}">
      <text>
        <r>
          <rPr>
            <b/>
            <sz val="9"/>
            <color indexed="81"/>
            <rFont val="Tahoma"/>
            <family val="2"/>
          </rPr>
          <t>Author:</t>
        </r>
        <r>
          <rPr>
            <sz val="9"/>
            <color indexed="81"/>
            <rFont val="Tahoma"/>
            <family val="2"/>
          </rPr>
          <t xml:space="preserve">
F3Q23: revenue records in India and June qtr records in LatAm, MEA, Italy, UK, Netherlands
Record switchers driven by China 
Grew on FXN basis 
10-Q: Product0489 14 Pro grew offsetting declines elsewhere</t>
        </r>
      </text>
    </comment>
    <comment ref="DI22" authorId="1" shapeId="0" xr:uid="{CEF98734-6BC4-41BC-AD5C-5DC518A8B6D7}">
      <text>
        <r>
          <rPr>
            <b/>
            <sz val="9"/>
            <color indexed="81"/>
            <rFont val="Tahoma"/>
            <family val="2"/>
          </rPr>
          <t>Author:</t>
        </r>
        <r>
          <rPr>
            <sz val="9"/>
            <color indexed="81"/>
            <rFont val="Tahoma"/>
            <family val="2"/>
          </rPr>
          <t xml:space="preserve">
F3Q23: accelerate v. June quarter</t>
        </r>
      </text>
    </comment>
    <comment ref="DJ22" authorId="1" shapeId="0" xr:uid="{67B2DEC7-3AC8-4582-B63B-E4B9CE03D1EF}">
      <text>
        <r>
          <rPr>
            <b/>
            <sz val="9"/>
            <color indexed="81"/>
            <rFont val="Tahoma"/>
            <family val="2"/>
          </rPr>
          <t>Author:</t>
        </r>
        <r>
          <rPr>
            <sz val="9"/>
            <color indexed="81"/>
            <rFont val="Tahoma"/>
            <family val="2"/>
          </rPr>
          <t xml:space="preserve">
F1Q24: China only down Product0489 -MSD% yoy 
10-Q: Pro models up, sales lower for other models
F4Q23: Product0489 revenue to grow. Should grow after normalizing for extra week (+$5 bn) and supply chain isuses (-$6 bn)</t>
        </r>
      </text>
    </comment>
    <comment ref="DK22" authorId="1" shapeId="0" xr:uid="{ABF6FDC4-DA9B-4FB3-B1C4-2430016D67D8}">
      <text>
        <r>
          <rPr>
            <b/>
            <sz val="9"/>
            <color indexed="81"/>
            <rFont val="Tahoma"/>
            <family val="2"/>
          </rPr>
          <t>Author:</t>
        </r>
        <r>
          <rPr>
            <sz val="9"/>
            <color indexed="81"/>
            <rFont val="Tahoma"/>
            <family val="2"/>
          </rPr>
          <t xml:space="preserve">
Flat excluding supply disruption
4/5/2022: Company1035 revenue -9.6% to NT$1.322 tn yoy due to consumer electronics comp. Factory shutdowns. 
F1Q24: Down $5 bn yoy on year-ago sales recapture
Year-ago benefited from some sales recapture</t>
        </r>
      </text>
    </comment>
    <comment ref="DL22" authorId="1" shapeId="0" xr:uid="{162A649E-29D6-4112-BFF7-78885F69EAAF}">
      <text>
        <r>
          <rPr>
            <b/>
            <sz val="9"/>
            <color indexed="81"/>
            <rFont val="Tahoma"/>
            <family val="2"/>
          </rPr>
          <t>Author:</t>
        </r>
        <r>
          <rPr>
            <sz val="9"/>
            <color indexed="81"/>
            <rFont val="Tahoma"/>
            <family val="2"/>
          </rPr>
          <t xml:space="preserve">
F3Q24: grew yoy, ex forex 
Revenue records for June in UK, Spain, Poland, Mexico, Indonesia, Philllipppines. 
</t>
        </r>
      </text>
    </comment>
    <comment ref="DN22" authorId="1" shapeId="0" xr:uid="{4E9C8CD7-2057-4C17-9FDB-01A1A895BBC5}">
      <text>
        <r>
          <rPr>
            <b/>
            <sz val="9"/>
            <color indexed="81"/>
            <rFont val="Tahoma"/>
            <family val="2"/>
          </rPr>
          <t>Author:</t>
        </r>
        <r>
          <rPr>
            <sz val="9"/>
            <color indexed="81"/>
            <rFont val="Tahoma"/>
            <family val="2"/>
          </rPr>
          <t xml:space="preserve">
10/28/2024: Company1549 guided C4Q24 revenue to be up 10% qoq, which would be down yoy - marking the first yoy decline since 2018. </t>
        </r>
      </text>
    </comment>
    <comment ref="FE22" authorId="7" shapeId="0" xr:uid="{1636F416-3AE3-4C9D-9895-07EF837919B9}">
      <text>
        <r>
          <rPr>
            <b/>
            <sz val="9"/>
            <color indexed="81"/>
            <rFont val="Tahoma"/>
            <family val="2"/>
          </rPr>
          <t>Author:</t>
        </r>
        <r>
          <rPr>
            <sz val="9"/>
            <color indexed="81"/>
            <rFont val="Tahoma"/>
            <family val="2"/>
          </rPr>
          <t xml:space="preserve">
-Accounting change in FQ1'19. Segment level #s below are estimates until FQ4'17, Company0242 restated FY18 and beyond numbers, do not compare to FY12 and prior numbers</t>
        </r>
      </text>
    </comment>
    <comment ref="FN22" authorId="1" shapeId="0" xr:uid="{069F8CBE-D5A7-4156-AC60-4757545D9DC8}">
      <text>
        <r>
          <rPr>
            <b/>
            <sz val="9"/>
            <color indexed="81"/>
            <rFont val="Tahoma"/>
            <family val="2"/>
          </rPr>
          <t>Author:</t>
        </r>
        <r>
          <rPr>
            <sz val="9"/>
            <color indexed="81"/>
            <rFont val="Tahoma"/>
            <family val="2"/>
          </rPr>
          <t xml:space="preserve">
Company1424 reiterated mobility down 5% 
Connected Devices down</t>
        </r>
      </text>
    </comment>
    <comment ref="BV23" authorId="7" shapeId="0" xr:uid="{671D7D78-3091-4DB3-AAE3-3838E9C9B78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23" authorId="7" shapeId="0" xr:uid="{F9D9766D-AE1F-4857-BBE9-9040AA70FD26}">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23" authorId="7" shapeId="0" xr:uid="{ED415951-47C5-4DED-BC9F-12E1CD599C77}">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23" authorId="7" shapeId="0" xr:uid="{6F5005E9-8DBB-41BB-921E-3C237F32778A}">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CS23" authorId="7" shapeId="0" xr:uid="{1D315147-55D6-4C74-B65A-8F560AB9A524}">
      <text>
        <r>
          <rPr>
            <b/>
            <sz val="9"/>
            <color indexed="81"/>
            <rFont val="Tahoma"/>
            <family val="2"/>
          </rPr>
          <t>Author:</t>
        </r>
        <r>
          <rPr>
            <sz val="9"/>
            <color indexed="81"/>
            <rFont val="Tahoma"/>
            <family val="2"/>
          </rPr>
          <t xml:space="preserve">
last year MBP models, difficult comps</t>
        </r>
      </text>
    </comment>
    <comment ref="CT23" authorId="1" shapeId="0" xr:uid="{E7C931B6-4339-4725-911E-14F3BBA01D84}">
      <text>
        <r>
          <rPr>
            <b/>
            <sz val="9"/>
            <color indexed="81"/>
            <rFont val="Tahoma"/>
            <family val="2"/>
          </rPr>
          <t>Author:</t>
        </r>
        <r>
          <rPr>
            <sz val="9"/>
            <color indexed="81"/>
            <rFont val="Tahoma"/>
            <family val="2"/>
          </rPr>
          <t xml:space="preserve">
New Macbook Pro announced: $2.4k</t>
        </r>
      </text>
    </comment>
    <comment ref="CW23" authorId="1" shapeId="0" xr:uid="{F6AA6215-445C-467D-9270-EE90A1CC5792}">
      <text>
        <r>
          <rPr>
            <b/>
            <sz val="9"/>
            <color indexed="81"/>
            <rFont val="Tahoma"/>
            <family val="2"/>
          </rPr>
          <t>Author:</t>
        </r>
        <r>
          <rPr>
            <sz val="9"/>
            <color indexed="81"/>
            <rFont val="Tahoma"/>
            <family val="2"/>
          </rPr>
          <t xml:space="preserve">
Product0455 June 2020: Company0242 will ship first Mac with Company0242 silicon by the end of the year. Switching away from Company1378 (Company1335). Will complete transition in 2 years. 
</t>
        </r>
      </text>
    </comment>
    <comment ref="DC23" authorId="1" shapeId="0" xr:uid="{7479C8FE-32A9-4133-ACD4-18F83E13FD69}">
      <text>
        <r>
          <rPr>
            <b/>
            <sz val="9"/>
            <color indexed="81"/>
            <rFont val="Tahoma"/>
            <family val="2"/>
          </rPr>
          <t>Author:</t>
        </r>
        <r>
          <rPr>
            <sz val="9"/>
            <color indexed="81"/>
            <rFont val="Tahoma"/>
            <family val="2"/>
          </rPr>
          <t xml:space="preserve">
F2Q22: helped by M1 Ultra chip - strong consumer response. 
Nearly 1/2 of Mac purchasers were new to product</t>
        </r>
      </text>
    </comment>
    <comment ref="DE23" authorId="1" shapeId="0" xr:uid="{3A590E33-A0BD-44B9-9978-61D7569DCF33}">
      <text>
        <r>
          <rPr>
            <b/>
            <sz val="9"/>
            <color indexed="81"/>
            <rFont val="Tahoma"/>
            <family val="2"/>
          </rPr>
          <t>Author:</t>
        </r>
        <r>
          <rPr>
            <sz val="9"/>
            <color indexed="81"/>
            <rFont val="Tahoma"/>
            <family val="2"/>
          </rPr>
          <t xml:space="preserve">
F4Q22: satisfied supply chain constraints. New Macbook Air wth M2. Filled the channel. Helped by weakness in F3Q22 and heavy backlog. We were able to satisfy all that demand from F3Q in F4Q -- and fill the channel. 
Attracted upgraders and those new to Mac. 
Quarterly record for upgrades. 50% were new to device.
** Backorders, M2, and filling channel - all key contributors **</t>
        </r>
      </text>
    </comment>
    <comment ref="DF23" authorId="1" shapeId="0" xr:uid="{D7091D92-C768-48A5-90B6-6C9D078CAC4D}">
      <text>
        <r>
          <rPr>
            <b/>
            <sz val="9"/>
            <color indexed="81"/>
            <rFont val="Tahoma"/>
            <family val="2"/>
          </rPr>
          <t>Author:</t>
        </r>
        <r>
          <rPr>
            <sz val="9"/>
            <color indexed="81"/>
            <rFont val="Tahoma"/>
            <family val="2"/>
          </rPr>
          <t xml:space="preserve">
F1Q23: came in-line with expectations. Year-ago included launch of M1 Macbook Pro redesign. Remaing confdient in L/T opp'ty
F4Q22: Mac revenue will decline substantially.
Channel fill from year-ago makes tough comps … also F4Q benefited from unfulfilled F3Q orders</t>
        </r>
      </text>
    </comment>
    <comment ref="DG23" authorId="8" shapeId="0" xr:uid="{27851DA0-19CB-47D5-9F7C-7417DC4A8838}">
      <text>
        <r>
          <rPr>
            <b/>
            <sz val="9"/>
            <color indexed="81"/>
            <rFont val="Tahoma"/>
            <family val="2"/>
          </rPr>
          <t>Author:</t>
        </r>
        <r>
          <rPr>
            <sz val="9"/>
            <color indexed="81"/>
            <rFont val="Tahoma"/>
            <family val="2"/>
          </rPr>
          <t xml:space="preserve">
F2Q23: 6/10 buying Mac first time in CHINA.
F1Q23: Mac and Product0487 down DD% due to challenging comps and maco headwinds
</t>
        </r>
      </text>
    </comment>
    <comment ref="DH23" authorId="1" shapeId="0" xr:uid="{5DE7F601-FA1A-4F15-B432-96F120200B30}">
      <text>
        <r>
          <rPr>
            <b/>
            <sz val="9"/>
            <color indexed="81"/>
            <rFont val="Tahoma"/>
            <family val="2"/>
          </rPr>
          <t>Author:</t>
        </r>
        <r>
          <rPr>
            <sz val="9"/>
            <color indexed="81"/>
            <rFont val="Tahoma"/>
            <family val="2"/>
          </rPr>
          <t xml:space="preserve">
F3Q23: completed transition to Company0242 silicon for entire line-up. Almost 1/2 of Mac buyers were new to product. </t>
        </r>
      </text>
    </comment>
    <comment ref="DI23" authorId="1" shapeId="0" xr:uid="{3162854E-0F18-468A-94A6-85932912B0CB}">
      <text>
        <r>
          <rPr>
            <b/>
            <sz val="9"/>
            <color indexed="81"/>
            <rFont val="Tahoma"/>
            <family val="2"/>
          </rPr>
          <t>Author:</t>
        </r>
        <r>
          <rPr>
            <sz val="9"/>
            <color indexed="81"/>
            <rFont val="Tahoma"/>
            <family val="2"/>
          </rPr>
          <t xml:space="preserve">
F4Q23: 1/2 of Mac buyers were new to product
F3Q23: Mac and Product0487 down DD% yoy on tough comps year-ago </t>
        </r>
      </text>
    </comment>
    <comment ref="DJ23" authorId="1" shapeId="0" xr:uid="{9D29B85C-8C22-4C9F-A08D-C6AC777B9CCE}">
      <text>
        <r>
          <rPr>
            <b/>
            <sz val="9"/>
            <color indexed="81"/>
            <rFont val="Tahoma"/>
            <family val="2"/>
          </rPr>
          <t>Author:</t>
        </r>
        <r>
          <rPr>
            <sz val="9"/>
            <color indexed="81"/>
            <rFont val="Tahoma"/>
            <family val="2"/>
          </rPr>
          <t xml:space="preserve">
F4Q23: MAC revenue to SIGNIFICANTLY accelerate v. F4Q23 quarter </t>
        </r>
      </text>
    </comment>
    <comment ref="DL23" authorId="1" shapeId="0" xr:uid="{1E287FAB-9EFF-4141-B528-5B1217571E0F}">
      <text>
        <r>
          <rPr>
            <b/>
            <sz val="9"/>
            <color indexed="81"/>
            <rFont val="Tahoma"/>
            <family val="2"/>
          </rPr>
          <t>Author:</t>
        </r>
        <r>
          <rPr>
            <sz val="9"/>
            <color indexed="81"/>
            <rFont val="Tahoma"/>
            <family val="2"/>
          </rPr>
          <t xml:space="preserve">
F3Q24: Particularly strong in emerging marktes. 1/2 new to Mac </t>
        </r>
      </text>
    </comment>
    <comment ref="DP23" authorId="1" shapeId="0" xr:uid="{B20E821D-98AC-4FD3-81C6-84D24F6AEEDB}">
      <text>
        <r>
          <rPr>
            <b/>
            <sz val="9"/>
            <color indexed="81"/>
            <rFont val="Tahoma"/>
            <family val="2"/>
          </rPr>
          <t>Author:</t>
        </r>
        <r>
          <rPr>
            <sz val="9"/>
            <color indexed="81"/>
            <rFont val="Tahoma"/>
            <family val="2"/>
          </rPr>
          <t xml:space="preserve">
F3Q25: Assume 2 pp benefit from tariff pull-forward in April. 
DD% growth in upgraders + DD% growth in new to Mac</t>
        </r>
      </text>
    </comment>
    <comment ref="FE23" authorId="7" shapeId="0" xr:uid="{42139E32-553B-4B5C-ADE9-815DB20DC880}">
      <text>
        <r>
          <rPr>
            <b/>
            <sz val="9"/>
            <color indexed="81"/>
            <rFont val="Tahoma"/>
            <family val="2"/>
          </rPr>
          <t>Author:</t>
        </r>
        <r>
          <rPr>
            <sz val="9"/>
            <color indexed="81"/>
            <rFont val="Tahoma"/>
            <family val="2"/>
          </rPr>
          <t xml:space="preserve">
-Accounting change in FQ1'19. Segment level #s below are estimates until FQ4'17, Company0242 restated FY18 and beyond numbers, do not compare to FY12 and prior numbers</t>
        </r>
      </text>
    </comment>
    <comment ref="BV24" authorId="7" shapeId="0" xr:uid="{93EF8D73-B5F9-4A38-9109-E2E63EE190A5}">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24" authorId="7" shapeId="0" xr:uid="{C285FD2B-1CAB-4742-B33B-884E1F8929B2}">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24" authorId="7" shapeId="0" xr:uid="{26F39386-8CDC-4BFF-BF9D-46370BC5C027}">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24" authorId="7" shapeId="0" xr:uid="{45899661-5B41-47DD-A40D-115B8B8482D8}">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CP24" authorId="1" shapeId="0" xr:uid="{34623153-C9CE-4015-9E43-85146B9749E3}">
      <text>
        <r>
          <rPr>
            <b/>
            <sz val="9"/>
            <color indexed="81"/>
            <rFont val="Tahoma"/>
            <family val="2"/>
          </rPr>
          <t>Author:</t>
        </r>
        <r>
          <rPr>
            <sz val="9"/>
            <color indexed="81"/>
            <rFont val="Tahoma"/>
            <family val="2"/>
          </rPr>
          <t xml:space="preserve">
Highest growth rate in almost six years, driven by Product0487 Pro, released in November. </t>
        </r>
      </text>
    </comment>
    <comment ref="CQ24" authorId="1" shapeId="0" xr:uid="{4062FA90-C5DF-4DE7-ABE0-6D94713A8903}">
      <text>
        <r>
          <rPr>
            <b/>
            <sz val="9"/>
            <color indexed="81"/>
            <rFont val="Tahoma"/>
            <family val="2"/>
          </rPr>
          <t>Author:</t>
        </r>
        <r>
          <rPr>
            <sz val="9"/>
            <color indexed="81"/>
            <rFont val="Tahoma"/>
            <family val="2"/>
          </rPr>
          <t xml:space="preserve">
F2Q19: Product0487 outperformance driven by strength in Product0487 Pro, offsetting MAC sotness. </t>
        </r>
      </text>
    </comment>
    <comment ref="CW24" authorId="1" shapeId="0" xr:uid="{15F734B1-F831-465D-BA61-48C325A54FC0}">
      <text>
        <r>
          <rPr>
            <b/>
            <sz val="9"/>
            <color indexed="81"/>
            <rFont val="Tahoma"/>
            <family val="2"/>
          </rPr>
          <t>Author:</t>
        </r>
        <r>
          <rPr>
            <sz val="9"/>
            <color indexed="81"/>
            <rFont val="Tahoma"/>
            <family val="2"/>
          </rPr>
          <t xml:space="preserve">
Product0487 and Mac see continued tailwinds from work+education from home</t>
        </r>
      </text>
    </comment>
    <comment ref="DB24" authorId="1" shapeId="0" xr:uid="{30404F83-6E30-41BB-AC5B-548C4D429BB8}">
      <text>
        <r>
          <rPr>
            <b/>
            <sz val="9"/>
            <color indexed="81"/>
            <rFont val="Tahoma"/>
            <family val="2"/>
          </rPr>
          <t>Author:</t>
        </r>
        <r>
          <rPr>
            <sz val="9"/>
            <color indexed="81"/>
            <rFont val="Tahoma"/>
            <family val="2"/>
          </rPr>
          <t xml:space="preserve">
Supply chain constraints </t>
        </r>
      </text>
    </comment>
    <comment ref="DC24" authorId="1" shapeId="0" xr:uid="{86D4090D-9344-44C8-AC7B-F49657B2EF46}">
      <text>
        <r>
          <rPr>
            <b/>
            <sz val="9"/>
            <color indexed="81"/>
            <rFont val="Tahoma"/>
            <family val="2"/>
          </rPr>
          <t>Author:</t>
        </r>
        <r>
          <rPr>
            <sz val="9"/>
            <color indexed="81"/>
            <rFont val="Tahoma"/>
            <family val="2"/>
          </rPr>
          <t xml:space="preserve">
Product0487 Pro didn't launch until October (v. May last year)
Over 1/2 of customers purchasing an Product0487 were new to product </t>
        </r>
      </text>
    </comment>
    <comment ref="DE24" authorId="1" shapeId="0" xr:uid="{BE82829C-0DCA-44DD-8E66-EC41946F5C26}">
      <text>
        <r>
          <rPr>
            <b/>
            <sz val="9"/>
            <color indexed="81"/>
            <rFont val="Tahoma"/>
            <family val="2"/>
          </rPr>
          <t>Author:</t>
        </r>
        <r>
          <rPr>
            <sz val="9"/>
            <color indexed="81"/>
            <rFont val="Tahoma"/>
            <family val="2"/>
          </rPr>
          <t xml:space="preserve">
F4Q22: installed base all-time high. Down yoy because of tough comps. 1/2 of Product0487 purchasers were new to the product. Hurt by FOREX. 
Launch iPads in September last year. This year was October. 
Last year was also first full-quarter of Product0487 Pro. Launches were really key to that performance. </t>
        </r>
      </text>
    </comment>
    <comment ref="DF24" authorId="1" shapeId="0" xr:uid="{92BAC71E-614F-4376-88FB-D8F30806CFF5}">
      <text>
        <r>
          <rPr>
            <b/>
            <sz val="9"/>
            <color indexed="81"/>
            <rFont val="Tahoma"/>
            <family val="2"/>
          </rPr>
          <t>Author:</t>
        </r>
        <r>
          <rPr>
            <sz val="9"/>
            <color indexed="81"/>
            <rFont val="Tahoma"/>
            <family val="2"/>
          </rPr>
          <t xml:space="preserve">
F1Q23: Very strong growth due in part to easy comps from y-ago supply constraints. 
Also, Product0487 and Product0487 Pro pwoered by M2 helped. </t>
        </r>
      </text>
    </comment>
    <comment ref="DG24" authorId="8" shapeId="0" xr:uid="{F631B1E4-1DA3-4436-BE12-D654908E63E1}">
      <text>
        <r>
          <rPr>
            <b/>
            <sz val="9"/>
            <color indexed="81"/>
            <rFont val="Tahoma"/>
            <family val="2"/>
          </rPr>
          <t>Author:</t>
        </r>
        <r>
          <rPr>
            <sz val="9"/>
            <color indexed="81"/>
            <rFont val="Tahoma"/>
            <family val="2"/>
          </rPr>
          <t xml:space="preserve">
F2Q23: &gt;50% new to product 
6/10 new in CHINA
F1Q23: Mac and Product0487 down DD% due to challenging comps and maco headwinds</t>
        </r>
      </text>
    </comment>
    <comment ref="DH24" authorId="1" shapeId="0" xr:uid="{A89CEAC6-C5E8-494A-991C-773D95202AAF}">
      <text>
        <r>
          <rPr>
            <b/>
            <sz val="9"/>
            <color indexed="81"/>
            <rFont val="Tahoma"/>
            <family val="2"/>
          </rPr>
          <t>Author:</t>
        </r>
        <r>
          <rPr>
            <sz val="9"/>
            <color indexed="81"/>
            <rFont val="Tahoma"/>
            <family val="2"/>
          </rPr>
          <t xml:space="preserve">
F3q23: over 1/2 buyers are new to device. Down b/c tough year-ago comps
10-Q: down across most Product0487 models</t>
        </r>
      </text>
    </comment>
    <comment ref="DI24" authorId="1" shapeId="0" xr:uid="{9A81B20A-B9BC-4E97-8FF5-DE73D8F384A1}">
      <text>
        <r>
          <rPr>
            <b/>
            <sz val="9"/>
            <color indexed="81"/>
            <rFont val="Tahoma"/>
            <family val="2"/>
          </rPr>
          <t>Author:</t>
        </r>
        <r>
          <rPr>
            <sz val="9"/>
            <color indexed="81"/>
            <rFont val="Tahoma"/>
            <family val="2"/>
          </rPr>
          <t xml:space="preserve">
F4Q23: 1/2 of Product0487 buyers were new</t>
        </r>
      </text>
    </comment>
    <comment ref="DJ24" authorId="1" shapeId="0" xr:uid="{DFD76979-6CB2-4B0D-88CC-1311163E92B0}">
      <text>
        <r>
          <rPr>
            <b/>
            <sz val="9"/>
            <color indexed="81"/>
            <rFont val="Tahoma"/>
            <family val="2"/>
          </rPr>
          <t>Author:</t>
        </r>
        <r>
          <rPr>
            <sz val="9"/>
            <color indexed="81"/>
            <rFont val="Tahoma"/>
            <family val="2"/>
          </rPr>
          <t xml:space="preserve">
F4Q23: Product0487 and Company2944 to decelerate significantly v. F4Q23 growth. 
Product0487: tough comps from year-ago Product0487 pro and Product0487 10 gen 
Wearables: tough comps from full-year benefit from Product0032 Pro 2nd gen, Watch SE, Watch Ultra 1</t>
        </r>
      </text>
    </comment>
    <comment ref="DL24" authorId="1" shapeId="0" xr:uid="{771AF250-8CBB-4849-8B07-70AB05183644}">
      <text>
        <r>
          <rPr>
            <b/>
            <sz val="9"/>
            <color indexed="81"/>
            <rFont val="Tahoma"/>
            <family val="2"/>
          </rPr>
          <t>Author:</t>
        </r>
        <r>
          <rPr>
            <sz val="9"/>
            <color indexed="81"/>
            <rFont val="Tahoma"/>
            <family val="2"/>
          </rPr>
          <t xml:space="preserve">
F3q24: strong launch for Product0487 11" 13" for Air. Product0487 Pro M4. 
1/2 Product0487 purchasers are new
F2Q24: +DD% yoy 
</t>
        </r>
      </text>
    </comment>
    <comment ref="DP24" authorId="1" shapeId="0" xr:uid="{9E697482-3BD3-4BFF-A80B-496991B53848}">
      <text>
        <r>
          <rPr>
            <b/>
            <sz val="9"/>
            <color indexed="81"/>
            <rFont val="Tahoma"/>
            <family val="2"/>
          </rPr>
          <t>Author:</t>
        </r>
        <r>
          <rPr>
            <sz val="9"/>
            <color indexed="81"/>
            <rFont val="Tahoma"/>
            <family val="2"/>
          </rPr>
          <t xml:space="preserve">
F3Q25: Comps from year-ago Air and Pro launches</t>
        </r>
      </text>
    </comment>
    <comment ref="FE24" authorId="7" shapeId="0" xr:uid="{C6FE4865-A732-4D41-9349-52FE232BC1E0}">
      <text>
        <r>
          <rPr>
            <b/>
            <sz val="9"/>
            <color indexed="81"/>
            <rFont val="Tahoma"/>
            <family val="2"/>
          </rPr>
          <t>Author:</t>
        </r>
        <r>
          <rPr>
            <sz val="9"/>
            <color indexed="81"/>
            <rFont val="Tahoma"/>
            <family val="2"/>
          </rPr>
          <t xml:space="preserve">
-Accounting change in FQ1'19. Segment level #s below are estimates until FQ4'17, Company0242 restated FY18 and beyond numbers, do not compare to FY12 and prior numbers</t>
        </r>
      </text>
    </comment>
    <comment ref="BV25" authorId="7" shapeId="0" xr:uid="{93C61DB3-06CC-4650-BC19-ADAF7DC1C44C}">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25" authorId="7" shapeId="0" xr:uid="{E8BC8E2B-DD0F-4A75-9C21-1269484AF0AD}">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25" authorId="7" shapeId="0" xr:uid="{F6291ED9-9A1D-490A-8FC6-FCA5A2D93772}">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25" authorId="7" shapeId="0" xr:uid="{E6471455-2C30-4C20-BCE3-57B2E6423E2C}">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DE25" authorId="1" shapeId="0" xr:uid="{77332F7D-3D9F-481D-BF17-7BB023C25708}">
      <text>
        <r>
          <rPr>
            <b/>
            <sz val="9"/>
            <color indexed="81"/>
            <rFont val="Tahoma"/>
            <family val="2"/>
          </rPr>
          <t>Author:</t>
        </r>
        <r>
          <rPr>
            <sz val="9"/>
            <color indexed="81"/>
            <rFont val="Tahoma"/>
            <family val="2"/>
          </rPr>
          <t xml:space="preserve">
F4Q22: Helped by Product0034 Pro and Watch.
2/3 of WATCH customers were new to product
New lines helped a lot.
ULTRA was supply constrained and continues to be supply constrained in F1Q23 so far.
We also announced and laucnhed Product0004 PRO in September. Reviews have been off the charts. Getting great reviews. 
Product0049 Ultra 9/23/22 launche date
Headwinds: forex. 
2/3 of the Company0242 Watches that we sold were to customers that are new to product. We're still very much selling to new customers, which is very good for the future. </t>
        </r>
      </text>
    </comment>
    <comment ref="DG25" authorId="1" shapeId="0" xr:uid="{07745E86-CFAE-4BAD-AEC7-B2388D6CBEC6}">
      <text>
        <r>
          <rPr>
            <b/>
            <sz val="9"/>
            <color indexed="81"/>
            <rFont val="Tahoma"/>
            <family val="2"/>
          </rPr>
          <t>Author:</t>
        </r>
        <r>
          <rPr>
            <sz val="9"/>
            <color indexed="81"/>
            <rFont val="Tahoma"/>
            <family val="2"/>
          </rPr>
          <t xml:space="preserve">
10-Q: 6-month Company2944 revenue down due to lower sales of Product0005</t>
        </r>
      </text>
    </comment>
    <comment ref="DH25" authorId="1" shapeId="0" xr:uid="{3E2FCF3C-3C77-423B-A766-89091D24EA5E}">
      <text>
        <r>
          <rPr>
            <b/>
            <sz val="9"/>
            <color indexed="81"/>
            <rFont val="Tahoma"/>
            <family val="2"/>
          </rPr>
          <t>Author:</t>
        </r>
        <r>
          <rPr>
            <sz val="9"/>
            <color indexed="81"/>
            <rFont val="Tahoma"/>
            <family val="2"/>
          </rPr>
          <t xml:space="preserve">
F3Q23: June qtr record in China and strong performance in several EM. 2/3 of WATCH buyers are new. 
10-Q: Product0035, Watch, Product0069 all up.. Accessories down. </t>
        </r>
      </text>
    </comment>
    <comment ref="DI25" authorId="1" shapeId="0" xr:uid="{82AA1583-45AE-4F3D-9D88-C70BDCEA1CDF}">
      <text>
        <r>
          <rPr>
            <b/>
            <sz val="9"/>
            <color indexed="81"/>
            <rFont val="Tahoma"/>
            <family val="2"/>
          </rPr>
          <t>Author:</t>
        </r>
        <r>
          <rPr>
            <sz val="9"/>
            <color indexed="81"/>
            <rFont val="Tahoma"/>
            <family val="2"/>
          </rPr>
          <t xml:space="preserve">
F4q23: 2/3 of Watch is new </t>
        </r>
      </text>
    </comment>
    <comment ref="DP25" authorId="1" shapeId="0" xr:uid="{9C10D48F-A442-4DE0-83B8-E8357F642824}">
      <text>
        <r>
          <rPr>
            <b/>
            <sz val="9"/>
            <color indexed="81"/>
            <rFont val="Tahoma"/>
            <family val="2"/>
          </rPr>
          <t>Author:</t>
        </r>
        <r>
          <rPr>
            <sz val="9"/>
            <color indexed="81"/>
            <rFont val="Tahoma"/>
            <family val="2"/>
          </rPr>
          <t xml:space="preserve">
F3Q25: June quarter upgraders for WATCH</t>
        </r>
      </text>
    </comment>
    <comment ref="FE25" authorId="7" shapeId="0" xr:uid="{9F3C2A3E-3F11-4E66-8515-0494576A7A45}">
      <text>
        <r>
          <rPr>
            <b/>
            <sz val="9"/>
            <color indexed="81"/>
            <rFont val="Tahoma"/>
            <family val="2"/>
          </rPr>
          <t>Author:</t>
        </r>
        <r>
          <rPr>
            <sz val="9"/>
            <color indexed="81"/>
            <rFont val="Tahoma"/>
            <family val="2"/>
          </rPr>
          <t xml:space="preserve">
-Accounting change in FQ1'19. Segment level #s below are estimates until FQ4'17, Company0242 restated FY18 and beyond numbers, do not compare to FY12 and prior numbers</t>
        </r>
      </text>
    </comment>
    <comment ref="DF26" authorId="1" shapeId="0" xr:uid="{F767399E-0580-49F4-87D8-03040B4315CE}">
      <text>
        <r>
          <rPr>
            <b/>
            <sz val="9"/>
            <color indexed="81"/>
            <rFont val="Tahoma"/>
            <family val="2"/>
          </rPr>
          <t>Author:</t>
        </r>
        <r>
          <rPr>
            <sz val="9"/>
            <color indexed="81"/>
            <rFont val="Tahoma"/>
            <family val="2"/>
          </rPr>
          <t xml:space="preserve">
10-Q: Watch up yoy, but Product0031 sales down yoy </t>
        </r>
      </text>
    </comment>
    <comment ref="DG26" authorId="1" shapeId="0" xr:uid="{21DD1FD7-FA7F-4631-93FE-74648CB3DB71}">
      <text>
        <r>
          <rPr>
            <b/>
            <sz val="9"/>
            <color indexed="81"/>
            <rFont val="Tahoma"/>
            <family val="2"/>
          </rPr>
          <t>Author:</t>
        </r>
        <r>
          <rPr>
            <sz val="9"/>
            <color indexed="81"/>
            <rFont val="Tahoma"/>
            <family val="2"/>
          </rPr>
          <t xml:space="preserve">
F2Q23: nearly 2/3 WATCH is new 
75% new in CHINA</t>
        </r>
      </text>
    </comment>
    <comment ref="DL26" authorId="1" shapeId="0" xr:uid="{E2D9177C-17F5-4F4D-BDE3-8A103CE480CE}">
      <text>
        <r>
          <rPr>
            <b/>
            <sz val="9"/>
            <color indexed="81"/>
            <rFont val="Tahoma"/>
            <family val="2"/>
          </rPr>
          <t>Author:</t>
        </r>
        <r>
          <rPr>
            <sz val="9"/>
            <color indexed="81"/>
            <rFont val="Tahoma"/>
            <family val="2"/>
          </rPr>
          <t xml:space="preserve">
F3Q24: 2/3 WATCH purchasers are new </t>
        </r>
      </text>
    </comment>
    <comment ref="FO26" authorId="1" shapeId="0" xr:uid="{3B55B18C-C685-4372-923C-3BFE92F12A80}">
      <text>
        <r>
          <rPr>
            <b/>
            <sz val="9"/>
            <color indexed="81"/>
            <rFont val="Tahoma"/>
            <family val="2"/>
          </rPr>
          <t>Author:</t>
        </r>
        <r>
          <rPr>
            <sz val="9"/>
            <color indexed="81"/>
            <rFont val="Tahoma"/>
            <family val="2"/>
          </rPr>
          <t xml:space="preserve">
10/27/23 MCK: if Product0049 Ultra 3 doesn't come out, Watch shpments could decline 10% yoy to 35 mn units, with ULTRA shipments down 20-30% yoy</t>
        </r>
      </text>
    </comment>
    <comment ref="DD27" authorId="1" shapeId="0" xr:uid="{AB935C64-77E3-49EC-8882-BDCCDF07021F}">
      <text>
        <r>
          <rPr>
            <b/>
            <sz val="9"/>
            <color indexed="81"/>
            <rFont val="Tahoma"/>
            <family val="2"/>
          </rPr>
          <t>Author:</t>
        </r>
        <r>
          <rPr>
            <sz val="9"/>
            <color indexed="81"/>
            <rFont val="Tahoma"/>
            <family val="2"/>
          </rPr>
          <t xml:space="preserve">
F3Q22: Year-ago had Product0037. No comparable launch</t>
        </r>
      </text>
    </comment>
    <comment ref="DG27" authorId="1" shapeId="0" xr:uid="{63620044-3565-4CF9-AA4B-F368567F8054}">
      <text>
        <r>
          <rPr>
            <b/>
            <sz val="9"/>
            <color indexed="81"/>
            <rFont val="Tahoma"/>
            <family val="2"/>
          </rPr>
          <t>Author:</t>
        </r>
        <r>
          <rPr>
            <sz val="9"/>
            <color indexed="81"/>
            <rFont val="Tahoma"/>
            <family val="2"/>
          </rPr>
          <t xml:space="preserve">
Product0186 second-gen available 2/3/2023
Sound
- Spatial audio
S7 chip
Voice recognition
- multiple people can have personalized things
Smarthome Hub
- Smoke, carbon dioxide, temperature, humdity 
Product0186 $299 (v. $349 original launch price)
Product0186 mini $99 </t>
        </r>
      </text>
    </comment>
    <comment ref="DH27" authorId="1" shapeId="0" xr:uid="{1E4A337F-659B-4979-8DC8-5E88635C8287}">
      <text>
        <r>
          <rPr>
            <b/>
            <sz val="9"/>
            <color indexed="81"/>
            <rFont val="Tahoma"/>
            <family val="2"/>
          </rPr>
          <t>Author:</t>
        </r>
        <r>
          <rPr>
            <sz val="9"/>
            <color indexed="81"/>
            <rFont val="Tahoma"/>
            <family val="2"/>
          </rPr>
          <t xml:space="preserve">
New Product0185 rumored to launch in C2023.. Presumably in June v. April prior</t>
        </r>
      </text>
    </comment>
    <comment ref="DI27" authorId="1" shapeId="0" xr:uid="{DF86DAD3-1949-4ED6-857C-B03C85C069C8}">
      <text>
        <r>
          <rPr>
            <b/>
            <sz val="9"/>
            <color indexed="81"/>
            <rFont val="Tahoma"/>
            <family val="2"/>
          </rPr>
          <t>Author:</t>
        </r>
        <r>
          <rPr>
            <sz val="9"/>
            <color indexed="81"/>
            <rFont val="Tahoma"/>
            <family val="2"/>
          </rPr>
          <t xml:space="preserve">
3/30/23 MCK: rumor that mass production pushed back to mid-to-late 3Q23, which means that announcement may be delayed beyond Product0455 2023. 200-300k shipment forecast v. 500k prior 
$3-$4k retail price point
Areas of concern: economic downturn, hardware compromises, app support, high ASP. Can it recreate an Product0489 moment? 
Rumor: 2 years since Product0032 Max were refreshed. Due for an update. 
Rumor2: no Product0032 Max 
Rumor: Company0244 MR headset launch delayed to C2H23 with ~500k units 
Company0398 (1/8/23): mixed reality heatset ("Reality Pro") to be revealed at Product0455 in June
- OS xrOS (code name: Product0079)
- to ship in fall 2023</t>
        </r>
      </text>
    </comment>
    <comment ref="DJ27" authorId="1" shapeId="0" xr:uid="{103FF36D-450F-4B11-9F13-DF0CF39BBCA8}">
      <text>
        <r>
          <rPr>
            <b/>
            <sz val="9"/>
            <color indexed="81"/>
            <rFont val="Tahoma"/>
            <family val="2"/>
          </rPr>
          <t>Author:</t>
        </r>
        <r>
          <rPr>
            <sz val="9"/>
            <color indexed="81"/>
            <rFont val="Tahoma"/>
            <family val="2"/>
          </rPr>
          <t xml:space="preserve">
New Product0100 to launch with late 2023 car line-ups including in instrument area (E.g., speedometer, tachometer) and vehicle controls that are tailored to each vehicle</t>
        </r>
      </text>
    </comment>
    <comment ref="DK27" authorId="8" shapeId="0" xr:uid="{AAFAA07B-9288-4DB8-8D3B-F5F2FA20E282}">
      <text>
        <r>
          <rPr>
            <b/>
            <sz val="9"/>
            <color indexed="81"/>
            <rFont val="Tahoma"/>
            <family val="2"/>
          </rPr>
          <t>Author:</t>
        </r>
        <r>
          <rPr>
            <sz val="9"/>
            <color indexed="81"/>
            <rFont val="Tahoma"/>
            <family val="2"/>
          </rPr>
          <t xml:space="preserve">
Product0448
- expected 400-500k units for year 1 availiability
- $3500 retail ASP
- breakeven rumor 
- Bom expected to be $1600
1/18/23: new Product0048 set top box rumored for 1H24 (Person1245 Person0426)</t>
        </r>
      </text>
    </comment>
    <comment ref="DL27" authorId="1" shapeId="0" xr:uid="{19D2A955-DC75-4479-988E-1013C1094A3A}">
      <text>
        <r>
          <rPr>
            <b/>
            <sz val="9"/>
            <color indexed="81"/>
            <rFont val="Tahoma"/>
            <family val="2"/>
          </rPr>
          <t>Author:</t>
        </r>
        <r>
          <rPr>
            <sz val="9"/>
            <color indexed="81"/>
            <rFont val="Tahoma"/>
            <family val="2"/>
          </rPr>
          <t xml:space="preserve">
Magic Keyboard, pencil attach</t>
        </r>
      </text>
    </comment>
    <comment ref="DM27" authorId="1" shapeId="0" xr:uid="{0D043120-E624-47FD-B2FF-49D5C1803C4D}">
      <text>
        <r>
          <rPr>
            <b/>
            <sz val="9"/>
            <color indexed="81"/>
            <rFont val="Tahoma"/>
            <family val="2"/>
          </rPr>
          <t>Author:</t>
        </r>
        <r>
          <rPr>
            <sz val="9"/>
            <color indexed="81"/>
            <rFont val="Tahoma"/>
            <family val="2"/>
          </rPr>
          <t xml:space="preserve">
Rumor: fall 2024 launch of Product0032 4, Product0032 Max 2; Product0032 Pro upgrade will be in 2025. 
Product0035 4th gen (rumor 2024) - Product0434, H2 chip with Bluetooth 5.3 in battery life, 
3rd gen October 26, 2021
2nd gen March 20, 2019
1st gen December 13, 2016 </t>
        </r>
      </text>
    </comment>
    <comment ref="DO27" authorId="1" shapeId="0" xr:uid="{162B0EAF-F8EB-41EB-9571-6F227F34943D}">
      <text>
        <r>
          <rPr>
            <b/>
            <sz val="9"/>
            <color indexed="81"/>
            <rFont val="Tahoma"/>
            <family val="2"/>
          </rPr>
          <t>Author:</t>
        </r>
        <r>
          <rPr>
            <sz val="9"/>
            <color indexed="81"/>
            <rFont val="Tahoma"/>
            <family val="2"/>
          </rPr>
          <t xml:space="preserve">
7/2024: rumors that Product0032 Pro 3 will come in early 2025
Product0032 Pro - October 30, 2019
Product0032 Pro 2nd gen - September 23, 2022
Product0032 Pro 3rd gen - early C2025 (rumor)
$249 price
</t>
        </r>
      </text>
    </comment>
    <comment ref="DF30" authorId="1" shapeId="0" xr:uid="{43443C01-7D3B-45DC-94C7-B1765F683A0A}">
      <text>
        <r>
          <rPr>
            <b/>
            <sz val="9"/>
            <color indexed="81"/>
            <rFont val="Tahoma"/>
            <family val="2"/>
          </rPr>
          <t>Author:</t>
        </r>
        <r>
          <rPr>
            <sz val="9"/>
            <color indexed="81"/>
            <rFont val="Tahoma"/>
            <family val="2"/>
          </rPr>
          <t xml:space="preserve">
F1Q23: negativeyl imapcted by COVID-19 related challenges: Product0489 14 Pro, Pro Max supply headwinds. Significnatly less 14 Pro and Pro Max supply than planned 
Macro also hurt: inflation, Eastern Europe, pandemic. 
11/10/22 Company1035 - per Company1941 - said 2023 revenue flat given uncertainty re: inflation, pandemic, geopolitical. 
Next year, cloud data center and networking products beign robust growth drivers but consumer electronics, and smart electronic devices. 
Revenue in C4Q22 will decline yoy due to COVID disruption at Product0489 plant in Zhengzhou, which began in October. Will bring capacity back to a normal level by the end of November. 
Company1035 is the sole assembler of high-end iPhones (e.g., Pro, Pro Max), the majority of which are made at the Zhengzhou factory. </t>
        </r>
      </text>
    </comment>
    <comment ref="DG30" authorId="1" shapeId="0" xr:uid="{6A840AA8-3C7D-429F-9019-2A6C36375C3E}">
      <text>
        <r>
          <rPr>
            <b/>
            <sz val="9"/>
            <color indexed="81"/>
            <rFont val="Tahoma"/>
            <family val="2"/>
          </rPr>
          <t>Author:</t>
        </r>
        <r>
          <rPr>
            <sz val="9"/>
            <color indexed="81"/>
            <rFont val="Tahoma"/>
            <family val="2"/>
          </rPr>
          <t xml:space="preserve">
1/3/23: Company1941 reports that Company0242 cutting component orders for WATCH, Product0005, PRODUCT0235 due to sluggish demand for C1Q23
COVID still having an impact on suppliers. Manager at Company2432 hoping that COVID surge will peak in February so that things will return to normal in March</t>
        </r>
      </text>
    </comment>
    <comment ref="DH30" authorId="1" shapeId="0" xr:uid="{A41AE008-B0CC-43BF-8FE9-FB18172C1493}">
      <text>
        <r>
          <rPr>
            <b/>
            <sz val="9"/>
            <color indexed="81"/>
            <rFont val="Tahoma"/>
            <family val="2"/>
          </rPr>
          <t>Author:</t>
        </r>
        <r>
          <rPr>
            <sz val="9"/>
            <color indexed="81"/>
            <rFont val="Tahoma"/>
            <family val="2"/>
          </rPr>
          <t xml:space="preserve">
F3q23: -500 bps forex headwind to Products based on -400 bps consoliated and -200 bps Services
F2Q23: factors to consider: Easy Mac comps, Product0489 recapture in F2Q, Product0489 SE and Product0487 Air comps from year-ago. </t>
        </r>
      </text>
    </comment>
    <comment ref="DI30" authorId="1" shapeId="0" xr:uid="{8BF92E73-5A58-4F9C-86C1-BF0D4AD6A17E}">
      <text>
        <r>
          <rPr>
            <b/>
            <sz val="9"/>
            <color indexed="81"/>
            <rFont val="Tahoma"/>
            <family val="2"/>
          </rPr>
          <t>Author:</t>
        </r>
        <r>
          <rPr>
            <sz val="9"/>
            <color indexed="81"/>
            <rFont val="Tahoma"/>
            <family val="2"/>
          </rPr>
          <t xml:space="preserve">
8/3/2023: ~-2.3% forex headwind to Products based on -200 bps consolidated and -100 bps for Services</t>
        </r>
      </text>
    </comment>
    <comment ref="FM30" authorId="1" shapeId="0" xr:uid="{CC94B70A-5C9D-4529-82CC-E236F196E423}">
      <text>
        <r>
          <rPr>
            <b/>
            <sz val="9"/>
            <color indexed="81"/>
            <rFont val="Tahoma"/>
            <family val="2"/>
          </rPr>
          <t>Author:</t>
        </r>
        <r>
          <rPr>
            <sz val="9"/>
            <color indexed="81"/>
            <rFont val="Tahoma"/>
            <family val="2"/>
          </rPr>
          <t xml:space="preserve">
F4Q22: Enterprising doing well (e.g., Company1027 are enabling automation visual quality inspection in real time, Company0610 is expanding Mac as a choice to all employees to attract top talent - Company0610 choosing Mac 2X as often as other brands). Employees can upgrade to latest devices regularly. </t>
        </r>
      </text>
    </comment>
    <comment ref="FN30" authorId="1" shapeId="0" xr:uid="{81E3F2AC-0606-489A-965C-3CE658072D9B}">
      <text>
        <r>
          <rPr>
            <b/>
            <sz val="9"/>
            <color indexed="81"/>
            <rFont val="Tahoma"/>
            <family val="2"/>
          </rPr>
          <t>Author:</t>
        </r>
        <r>
          <rPr>
            <sz val="9"/>
            <color indexed="81"/>
            <rFont val="Tahoma"/>
            <family val="2"/>
          </rPr>
          <t xml:space="preserve">
Company1035 said revenue flat with weak demand in consumer electronics offset by growth in computing, cloud, networking, and components.
Company1035 assembles 70% of iPhones. </t>
        </r>
      </text>
    </comment>
    <comment ref="BV33" authorId="7" shapeId="0" xr:uid="{88DC0C97-7CA3-4551-A6F0-2E6A28A8A1DE}">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33" authorId="7" shapeId="0" xr:uid="{224A0AF8-3572-4AD1-A801-20DFE527AEB0}">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33" authorId="7" shapeId="0" xr:uid="{54E997AB-3984-4701-86D1-79C21D902492}">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33" authorId="7" shapeId="0" xr:uid="{35BFD9F9-A152-4E26-BC61-EE84790DED31}">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V34" authorId="7" shapeId="0" xr:uid="{5E509B0A-4554-4176-AD92-95B70D320321}">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34" authorId="7" shapeId="0" xr:uid="{A7FF64AE-F23A-407B-A4E7-D02B78C09F8A}">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34" authorId="7" shapeId="0" xr:uid="{70ED27B6-D756-41EC-B743-F4C767EF08B5}">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34" authorId="7" shapeId="0" xr:uid="{63EB5060-6C5A-463F-ABD7-4476D135EC09}">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CS34" authorId="7" shapeId="0" xr:uid="{B8007FE1-6D0B-40F8-89ED-0CA56C618B15}">
      <text>
        <r>
          <rPr>
            <b/>
            <sz val="9"/>
            <color indexed="81"/>
            <rFont val="Tahoma"/>
            <family val="2"/>
          </rPr>
          <t>Author:</t>
        </r>
        <r>
          <rPr>
            <sz val="9"/>
            <color indexed="81"/>
            <rFont val="Tahoma"/>
            <family val="2"/>
          </rPr>
          <t xml:space="preserve">
last year MBP models, difficult comps</t>
        </r>
      </text>
    </comment>
    <comment ref="CV34" authorId="1" shapeId="0" xr:uid="{1D4AE7DF-D8A3-460E-8E79-E5B1C6403B06}">
      <text>
        <r>
          <rPr>
            <b/>
            <sz val="9"/>
            <color indexed="81"/>
            <rFont val="Tahoma"/>
            <family val="2"/>
          </rPr>
          <t>Author:</t>
        </r>
        <r>
          <rPr>
            <sz val="9"/>
            <color indexed="81"/>
            <rFont val="Tahoma"/>
            <family val="2"/>
          </rPr>
          <t xml:space="preserve">
Company0801: Product0235 shipments to increase &gt;20% q/q. </t>
        </r>
      </text>
    </comment>
    <comment ref="BV35" authorId="7" shapeId="0" xr:uid="{B600698D-178F-4266-A001-75CB9E313114}">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35" authorId="7" shapeId="0" xr:uid="{6F11445E-4107-4DBC-85D0-748F9627420F}">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35" authorId="7" shapeId="0" xr:uid="{138746DF-A2F8-4C56-A8B1-25F3875F8FBE}">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35" authorId="7" shapeId="0" xr:uid="{60B1B6A9-F451-4605-B6A9-EECE146692AA}">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V36" authorId="7" shapeId="0" xr:uid="{F0740AA5-6E96-443F-8F65-2F12AE828EB2}">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W36" authorId="7" shapeId="0" xr:uid="{04AE4E67-4002-49AD-B84B-73C41D4D12C4}">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X36" authorId="7" shapeId="0" xr:uid="{2B534077-A65E-4E25-A633-38DBC65DDB99}">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BY36" authorId="7" shapeId="0" xr:uid="{F2397DC4-02C7-4228-AA38-77E972021F3C}">
      <text>
        <r>
          <rPr>
            <b/>
            <sz val="9"/>
            <color indexed="81"/>
            <rFont val="Tahoma"/>
            <family val="2"/>
          </rPr>
          <t>Author:</t>
        </r>
        <r>
          <rPr>
            <sz val="9"/>
            <color indexed="81"/>
            <rFont val="Tahoma"/>
            <family val="2"/>
          </rPr>
          <t xml:space="preserve">
Accounting change in FQ1'19, these are segment level estimates until FQ4'17, Company0242 restated FY18 and beyond numbers, do not compare to FY13 and prior numbers</t>
        </r>
      </text>
    </comment>
    <comment ref="CP37" authorId="1" shapeId="0" xr:uid="{FCDE85E8-7186-4925-9CD3-AE38318F8ECF}">
      <text>
        <r>
          <rPr>
            <b/>
            <sz val="9"/>
            <color indexed="81"/>
            <rFont val="Tahoma"/>
            <family val="2"/>
          </rPr>
          <t>Author:</t>
        </r>
        <r>
          <rPr>
            <sz val="9"/>
            <color indexed="81"/>
            <rFont val="Tahoma"/>
            <family val="2"/>
          </rPr>
          <t xml:space="preserve">
Watch and Product0035 were supply constrained in F1Q19</t>
        </r>
      </text>
    </comment>
    <comment ref="CZ41" authorId="1" shapeId="0" xr:uid="{EF378CC2-42D6-4ECD-B8E8-E016EB90302B}">
      <text>
        <r>
          <rPr>
            <b/>
            <sz val="9"/>
            <color indexed="81"/>
            <rFont val="Tahoma"/>
            <family val="2"/>
          </rPr>
          <t>Author:</t>
        </r>
        <r>
          <rPr>
            <sz val="9"/>
            <color indexed="81"/>
            <rFont val="Tahoma"/>
            <family val="2"/>
          </rPr>
          <t xml:space="preserve">
F2Q21: worse-than-typical seasonality b/c of delayed Product0489 12 launch and constrained supply</t>
        </r>
      </text>
    </comment>
    <comment ref="DJ45" authorId="1" shapeId="0" xr:uid="{A9354929-0A2B-4A4F-A7B1-5D7ED1AE51D4}">
      <text>
        <r>
          <rPr>
            <b/>
            <sz val="9"/>
            <color indexed="81"/>
            <rFont val="Tahoma"/>
            <family val="2"/>
          </rPr>
          <t>Author:</t>
        </r>
        <r>
          <rPr>
            <sz val="9"/>
            <color indexed="81"/>
            <rFont val="Tahoma"/>
            <family val="2"/>
          </rPr>
          <t xml:space="preserve">
10-Q: Pro, Air, and base models all down yoy </t>
        </r>
      </text>
    </comment>
    <comment ref="DF46" authorId="1" shapeId="0" xr:uid="{DF72FB19-92A3-4B80-96C6-1090C6150D53}">
      <text>
        <r>
          <rPr>
            <b/>
            <sz val="9"/>
            <color indexed="81"/>
            <rFont val="Tahoma"/>
            <family val="2"/>
          </rPr>
          <t>Author:</t>
        </r>
        <r>
          <rPr>
            <sz val="9"/>
            <color indexed="81"/>
            <rFont val="Tahoma"/>
            <family val="2"/>
          </rPr>
          <t xml:space="preserve">
10-Q: Product0487 Air and Product0487 up yoy </t>
        </r>
      </text>
    </comment>
    <comment ref="DN46" authorId="1" shapeId="0" xr:uid="{D4AA4A16-9391-4EBB-B686-25DE03CEDF5D}">
      <text>
        <r>
          <rPr>
            <b/>
            <sz val="9"/>
            <color indexed="81"/>
            <rFont val="Tahoma"/>
            <family val="2"/>
          </rPr>
          <t>Author:</t>
        </r>
        <r>
          <rPr>
            <sz val="9"/>
            <color indexed="81"/>
            <rFont val="Tahoma"/>
            <family val="2"/>
          </rPr>
          <t xml:space="preserve">
F1Q25: Growth in iPads were primarily driven by Product0487 Air </t>
        </r>
      </text>
    </comment>
    <comment ref="CO52" authorId="1" shapeId="0" xr:uid="{9CC0FC09-AB5F-4BBB-B089-9F928AE3A9CA}">
      <text>
        <r>
          <rPr>
            <b/>
            <sz val="9"/>
            <color indexed="81"/>
            <rFont val="Tahoma"/>
            <family val="2"/>
          </rPr>
          <t>Author:</t>
        </r>
        <r>
          <rPr>
            <sz val="9"/>
            <color indexed="81"/>
            <rFont val="Tahoma"/>
            <family val="2"/>
          </rPr>
          <t xml:space="preserve">
Product0489 6S discontinued 9/2018</t>
        </r>
      </text>
    </comment>
    <comment ref="CS53" authorId="1" shapeId="0" xr:uid="{7BD7F38E-0FC6-4217-810D-8CECAFF2EB40}">
      <text>
        <r>
          <rPr>
            <b/>
            <sz val="9"/>
            <color indexed="81"/>
            <rFont val="Tahoma"/>
            <family val="2"/>
          </rPr>
          <t>Author:</t>
        </r>
        <r>
          <rPr>
            <sz val="9"/>
            <color indexed="81"/>
            <rFont val="Tahoma"/>
            <family val="2"/>
          </rPr>
          <t xml:space="preserve">
Product0489 7/7+ discontinued 9/2019</t>
        </r>
      </text>
    </comment>
    <comment ref="CK54" authorId="1" shapeId="0" xr:uid="{973610D9-87AF-44E0-8A03-B045A1178E04}">
      <text>
        <r>
          <rPr>
            <b/>
            <sz val="9"/>
            <color indexed="81"/>
            <rFont val="Tahoma"/>
            <family val="2"/>
          </rPr>
          <t>Author:</t>
        </r>
        <r>
          <rPr>
            <sz val="9"/>
            <color indexed="81"/>
            <rFont val="Tahoma"/>
            <family val="2"/>
          </rPr>
          <t xml:space="preserve">
iPhone8 9/22/2017 64 GB $699
Product0489 8Plus 9/22/2017 
64GB $799</t>
        </r>
      </text>
    </comment>
    <comment ref="CV54" authorId="1" shapeId="0" xr:uid="{26B245BD-8900-4757-9B54-243D7CF84CAE}">
      <text>
        <r>
          <rPr>
            <b/>
            <sz val="9"/>
            <color indexed="81"/>
            <rFont val="Tahoma"/>
            <family val="2"/>
          </rPr>
          <t>Author:</t>
        </r>
        <r>
          <rPr>
            <sz val="9"/>
            <color indexed="81"/>
            <rFont val="Tahoma"/>
            <family val="2"/>
          </rPr>
          <t xml:space="preserve">
Product0489 8/8+ discontinued April 15, 2020</t>
        </r>
      </text>
    </comment>
    <comment ref="A55" authorId="2" shapeId="0" xr:uid="{009A2486-2CFC-4DCE-BAA1-8CE09ED39EFD}">
      <text>
        <r>
          <rPr>
            <b/>
            <sz val="9"/>
            <color indexed="81"/>
            <rFont val="Tahoma"/>
            <family val="2"/>
          </rPr>
          <t>Author:</t>
        </r>
        <r>
          <rPr>
            <sz val="9"/>
            <color indexed="81"/>
            <rFont val="Tahoma"/>
            <family val="2"/>
          </rPr>
          <t xml:space="preserve">
2017: X line (alongside Product0489 8)
2018: XR, XS, XS Max line (successor to X)</t>
        </r>
      </text>
    </comment>
    <comment ref="CL55" authorId="1" shapeId="0" xr:uid="{93248881-9F58-424E-9DF1-9FA639601FEC}">
      <text>
        <r>
          <rPr>
            <b/>
            <sz val="9"/>
            <color indexed="81"/>
            <rFont val="Tahoma"/>
            <family val="2"/>
          </rPr>
          <t>Author:</t>
        </r>
        <r>
          <rPr>
            <sz val="9"/>
            <color indexed="81"/>
            <rFont val="Tahoma"/>
            <family val="2"/>
          </rPr>
          <t xml:space="preserve">
Product0489 X 11/3/2017 $999 64GB
Product0489 X 11/3/2017 $999 64GB</t>
        </r>
      </text>
    </comment>
    <comment ref="CO55" authorId="1" shapeId="0" xr:uid="{56AF27A8-3902-4BFA-9EDA-118AB88CBD9B}">
      <text>
        <r>
          <rPr>
            <b/>
            <sz val="9"/>
            <color indexed="81"/>
            <rFont val="Tahoma"/>
            <family val="2"/>
          </rPr>
          <t>Author:</t>
        </r>
        <r>
          <rPr>
            <sz val="9"/>
            <color indexed="81"/>
            <rFont val="Tahoma"/>
            <family val="2"/>
          </rPr>
          <t xml:space="preserve">
Product0489 XS 9/21/2018 $999 64 GB
Product0489 XS 9/21/2018 $999 64 GB</t>
        </r>
      </text>
    </comment>
    <comment ref="CP55" authorId="1" shapeId="0" xr:uid="{77FC5F5F-670B-4601-9018-4CFA155C2A81}">
      <text>
        <r>
          <rPr>
            <b/>
            <sz val="9"/>
            <color indexed="81"/>
            <rFont val="Tahoma"/>
            <family val="2"/>
          </rPr>
          <t>Author:</t>
        </r>
        <r>
          <rPr>
            <sz val="9"/>
            <color indexed="81"/>
            <rFont val="Tahoma"/>
            <family val="2"/>
          </rPr>
          <t xml:space="preserve">
Product0489 XR 64GB 64 gb $749 10/26/2018
Product0489 XS 64GB $999
9/21/2018
Product0489 XS Max 9/21/2018
$1099</t>
        </r>
      </text>
    </comment>
    <comment ref="DA55" authorId="1" shapeId="0" xr:uid="{5DD7BF71-2E5C-485E-8A8D-E402590CA96E}">
      <text>
        <r>
          <rPr>
            <b/>
            <sz val="9"/>
            <color indexed="81"/>
            <rFont val="Tahoma"/>
            <family val="2"/>
          </rPr>
          <t>Author:</t>
        </r>
        <r>
          <rPr>
            <sz val="9"/>
            <color indexed="81"/>
            <rFont val="Tahoma"/>
            <family val="2"/>
          </rPr>
          <t xml:space="preserve">
XR discontinued 9/2021
X discontinued 9/2018
XS discontinued 9/2019</t>
        </r>
      </text>
    </comment>
    <comment ref="CS56" authorId="1" shapeId="0" xr:uid="{BA64800D-E1D4-48B1-81B3-02BDD6F623C5}">
      <text>
        <r>
          <rPr>
            <b/>
            <sz val="9"/>
            <color indexed="81"/>
            <rFont val="Tahoma"/>
            <family val="2"/>
          </rPr>
          <t>Author:</t>
        </r>
        <r>
          <rPr>
            <sz val="9"/>
            <color indexed="81"/>
            <rFont val="Tahoma"/>
            <family val="2"/>
          </rPr>
          <t xml:space="preserve">
Product0489 11 9/20/2019
$699 64GB
Product0489 Pro 9/20/2019
$999 64GB
Product0489 Pro Max 9/20/2019
64GB $1099</t>
        </r>
      </text>
    </comment>
    <comment ref="DE56" authorId="1" shapeId="0" xr:uid="{712A039D-ACA1-408C-AF96-C43EDC84A03C}">
      <text>
        <r>
          <rPr>
            <b/>
            <sz val="9"/>
            <color indexed="81"/>
            <rFont val="Tahoma"/>
            <family val="2"/>
          </rPr>
          <t>Author:</t>
        </r>
        <r>
          <rPr>
            <sz val="9"/>
            <color indexed="81"/>
            <rFont val="Tahoma"/>
            <family val="2"/>
          </rPr>
          <t xml:space="preserve">
Product0489 11 discontinued September 2022
11 Pro/Pro Max discontinued October 2020</t>
        </r>
      </text>
    </comment>
    <comment ref="CX57" authorId="1" shapeId="0" xr:uid="{13D8758C-FB90-4780-A46E-0FDF17CD3FFF}">
      <text>
        <r>
          <rPr>
            <b/>
            <sz val="9"/>
            <color indexed="81"/>
            <rFont val="Tahoma"/>
            <family val="2"/>
          </rPr>
          <t>Author:</t>
        </r>
        <r>
          <rPr>
            <sz val="9"/>
            <color indexed="81"/>
            <rFont val="Tahoma"/>
            <family val="2"/>
          </rPr>
          <t xml:space="preserve">
Product0489 12 10/23/2020
Product0489 12 Mini 11/13/2020
64GB $699
Product0489 12 Pro 10/23/2020
128 GB $999
Product0489 12 Pro Max $1099
128 GB 11/23/2020</t>
        </r>
      </text>
    </comment>
    <comment ref="DE57" authorId="1" shapeId="0" xr:uid="{EFEE6A75-7EC9-4D61-8C43-C4D17FBA7BF4}">
      <text>
        <r>
          <rPr>
            <b/>
            <sz val="9"/>
            <color indexed="81"/>
            <rFont val="Tahoma"/>
            <family val="2"/>
          </rPr>
          <t>Author:</t>
        </r>
        <r>
          <rPr>
            <sz val="9"/>
            <color indexed="81"/>
            <rFont val="Tahoma"/>
            <family val="2"/>
          </rPr>
          <t xml:space="preserve">
Product0489 12, 12Mini discontinued September 2022
12 Pro/Pro Max discontinued 9/2021</t>
        </r>
      </text>
    </comment>
    <comment ref="DA58" authorId="1" shapeId="0" xr:uid="{AD7363BF-590C-4F50-BA9F-84AC27CE2FB0}">
      <text>
        <r>
          <rPr>
            <b/>
            <sz val="9"/>
            <color indexed="81"/>
            <rFont val="Tahoma"/>
            <family val="2"/>
          </rPr>
          <t>Author:</t>
        </r>
        <r>
          <rPr>
            <sz val="9"/>
            <color indexed="81"/>
            <rFont val="Tahoma"/>
            <family val="2"/>
          </rPr>
          <t xml:space="preserve">
Product0489 13 9/24/2021 $799 128GB
Product0489 13 Mini $699 128gb 9/24/2021
Product0489 13 Pro
128 GB
9/24/2021
$999
Product0489 13 Pro Max
9/24/2021
128 GB
$1099</t>
        </r>
      </text>
    </comment>
    <comment ref="DE58" authorId="1" shapeId="0" xr:uid="{CAD984EF-DB59-4612-A502-288BBB4FAF50}">
      <text>
        <r>
          <rPr>
            <b/>
            <sz val="9"/>
            <color indexed="81"/>
            <rFont val="Tahoma"/>
            <family val="2"/>
          </rPr>
          <t>Author:</t>
        </r>
        <r>
          <rPr>
            <sz val="9"/>
            <color indexed="81"/>
            <rFont val="Tahoma"/>
            <family val="2"/>
          </rPr>
          <t xml:space="preserve">
13 Pro/Pro Max discontinued 9/2022</t>
        </r>
      </text>
    </comment>
    <comment ref="DE59" authorId="1" shapeId="0" xr:uid="{53320130-3050-42E6-8182-5E267E5AA1CF}">
      <text>
        <r>
          <rPr>
            <b/>
            <sz val="9"/>
            <color indexed="81"/>
            <rFont val="Tahoma"/>
            <family val="2"/>
          </rPr>
          <t>Author:</t>
        </r>
        <r>
          <rPr>
            <sz val="9"/>
            <color indexed="81"/>
            <rFont val="Tahoma"/>
            <family val="2"/>
          </rPr>
          <t xml:space="preserve">
Product0489 14
9/16/2022
128 GB
$799
Product0489 14 Pro
9/16/2022
128 GB
$999
Product0489 14 Pro Max
9/16/2022
128 GB
$1099</t>
        </r>
      </text>
    </comment>
    <comment ref="DF59" authorId="1" shapeId="0" xr:uid="{496B7C0F-3B4B-4EF9-8830-371C3DBB153F}">
      <text>
        <r>
          <rPr>
            <b/>
            <sz val="9"/>
            <color indexed="81"/>
            <rFont val="Tahoma"/>
            <family val="2"/>
          </rPr>
          <t>Author:</t>
        </r>
        <r>
          <rPr>
            <sz val="9"/>
            <color indexed="81"/>
            <rFont val="Tahoma"/>
            <family val="2"/>
          </rPr>
          <t xml:space="preserve">
Product0489 14 Plus
10/7/2022</t>
        </r>
      </text>
    </comment>
    <comment ref="DI60" authorId="8" shapeId="0" xr:uid="{4FA20C73-6488-48FD-81B3-86E3704D128A}">
      <text>
        <r>
          <rPr>
            <b/>
            <sz val="9"/>
            <color indexed="81"/>
            <rFont val="Tahoma"/>
            <family val="2"/>
          </rPr>
          <t>Author:</t>
        </r>
        <r>
          <rPr>
            <sz val="9"/>
            <color indexed="81"/>
            <rFont val="Tahoma"/>
            <family val="2"/>
          </rPr>
          <t xml:space="preserve">
7/20/23: risk of an October launch for Pro/Max due to screen issues coming out the thinner bezels (or limited inventory at time of launch); The information </t>
        </r>
      </text>
    </comment>
    <comment ref="CO67" authorId="1" shapeId="0" xr:uid="{44946802-4284-4032-9DDB-66123FE8CCF7}">
      <text>
        <r>
          <rPr>
            <b/>
            <sz val="9"/>
            <color indexed="81"/>
            <rFont val="Tahoma"/>
            <family val="2"/>
          </rPr>
          <t>Author:</t>
        </r>
        <r>
          <rPr>
            <sz val="9"/>
            <color indexed="81"/>
            <rFont val="Tahoma"/>
            <family val="2"/>
          </rPr>
          <t xml:space="preserve">
Product0489 SE discontinued</t>
        </r>
      </text>
    </comment>
    <comment ref="CV67" authorId="1" shapeId="0" xr:uid="{F7CC3C7B-A77D-42C7-94D8-559794B24080}">
      <text>
        <r>
          <rPr>
            <b/>
            <sz val="9"/>
            <color indexed="81"/>
            <rFont val="Tahoma"/>
            <family val="2"/>
          </rPr>
          <t>Author:</t>
        </r>
        <r>
          <rPr>
            <sz val="9"/>
            <color indexed="81"/>
            <rFont val="Tahoma"/>
            <family val="2"/>
          </rPr>
          <t xml:space="preserve">
Product0489 SE (2nd gen) 4/24/2020 $399 64GB </t>
        </r>
      </text>
    </comment>
    <comment ref="DC67" authorId="1" shapeId="0" xr:uid="{02188EB4-5443-4693-B622-3803BD31FC21}">
      <text>
        <r>
          <rPr>
            <b/>
            <sz val="9"/>
            <color indexed="81"/>
            <rFont val="Tahoma"/>
            <family val="2"/>
          </rPr>
          <t>Author:</t>
        </r>
        <r>
          <rPr>
            <sz val="9"/>
            <color indexed="81"/>
            <rFont val="Tahoma"/>
            <family val="2"/>
          </rPr>
          <t xml:space="preserve">
Product0489 SE (3rd gen)
3/18/2022
64 GB
$429</t>
        </r>
      </text>
    </comment>
    <comment ref="CO74" authorId="1" shapeId="0" xr:uid="{C4EF57CC-814C-4E1A-AF1C-C68D510B4710}">
      <text>
        <r>
          <rPr>
            <b/>
            <sz val="9"/>
            <color indexed="81"/>
            <rFont val="Tahoma"/>
            <family val="2"/>
          </rPr>
          <t>Author:</t>
        </r>
        <r>
          <rPr>
            <sz val="9"/>
            <color indexed="81"/>
            <rFont val="Tahoma"/>
            <family val="2"/>
          </rPr>
          <t xml:space="preserve">
Product0489 6S discontinued 9/2018</t>
        </r>
      </text>
    </comment>
    <comment ref="CS75" authorId="1" shapeId="0" xr:uid="{E048ACEC-E69C-44E9-A830-D7AC54862298}">
      <text>
        <r>
          <rPr>
            <b/>
            <sz val="9"/>
            <color indexed="81"/>
            <rFont val="Tahoma"/>
            <family val="2"/>
          </rPr>
          <t>Author:</t>
        </r>
        <r>
          <rPr>
            <sz val="9"/>
            <color indexed="81"/>
            <rFont val="Tahoma"/>
            <family val="2"/>
          </rPr>
          <t xml:space="preserve">
Product0489 7/7+ discontinued 9/2019</t>
        </r>
      </text>
    </comment>
    <comment ref="CK76" authorId="1" shapeId="0" xr:uid="{1A324697-D88C-4DAC-966C-FC003C0612CD}">
      <text>
        <r>
          <rPr>
            <b/>
            <sz val="9"/>
            <color indexed="81"/>
            <rFont val="Tahoma"/>
            <family val="2"/>
          </rPr>
          <t>Author:</t>
        </r>
        <r>
          <rPr>
            <sz val="9"/>
            <color indexed="81"/>
            <rFont val="Tahoma"/>
            <family val="2"/>
          </rPr>
          <t xml:space="preserve">
iPhone8 9/22/2017 64 GB $699
Product0489 8Plus 9/22/2017 
64GB $799</t>
        </r>
      </text>
    </comment>
    <comment ref="CV76" authorId="1" shapeId="0" xr:uid="{239EA5C5-B5FB-46CF-8C86-85554572CC79}">
      <text>
        <r>
          <rPr>
            <b/>
            <sz val="9"/>
            <color indexed="81"/>
            <rFont val="Tahoma"/>
            <family val="2"/>
          </rPr>
          <t>Author:</t>
        </r>
        <r>
          <rPr>
            <sz val="9"/>
            <color indexed="81"/>
            <rFont val="Tahoma"/>
            <family val="2"/>
          </rPr>
          <t xml:space="preserve">
Product0489 8/8+ discontinued April 15, 2020</t>
        </r>
      </text>
    </comment>
    <comment ref="A77" authorId="1" shapeId="0" xr:uid="{0AA217C1-CCB1-4890-88E9-106D1C3D064C}">
      <text>
        <r>
          <rPr>
            <b/>
            <sz val="9"/>
            <color indexed="81"/>
            <rFont val="Tahoma"/>
            <family val="2"/>
          </rPr>
          <t>Author:</t>
        </r>
        <r>
          <rPr>
            <sz val="9"/>
            <color indexed="81"/>
            <rFont val="Tahoma"/>
            <family val="2"/>
          </rPr>
          <t xml:space="preserve">
Includes 2 generations: X (2017) and XS/XS Max (2018)</t>
        </r>
      </text>
    </comment>
    <comment ref="CL77" authorId="1" shapeId="0" xr:uid="{880F62F6-4866-43F9-99BE-A830DA68711D}">
      <text>
        <r>
          <rPr>
            <b/>
            <sz val="9"/>
            <color indexed="81"/>
            <rFont val="Tahoma"/>
            <family val="2"/>
          </rPr>
          <t>Author:</t>
        </r>
        <r>
          <rPr>
            <sz val="9"/>
            <color indexed="81"/>
            <rFont val="Tahoma"/>
            <family val="2"/>
          </rPr>
          <t xml:space="preserve">
Product0489 X 11/3/2017 $999 64GB
Product0489 X 11/3/2017 $999 64GB</t>
        </r>
      </text>
    </comment>
    <comment ref="CO77" authorId="1" shapeId="0" xr:uid="{75243798-1040-4C9E-A68B-914F2A17453A}">
      <text>
        <r>
          <rPr>
            <b/>
            <sz val="9"/>
            <color indexed="81"/>
            <rFont val="Tahoma"/>
            <family val="2"/>
          </rPr>
          <t>Author:</t>
        </r>
        <r>
          <rPr>
            <sz val="9"/>
            <color indexed="81"/>
            <rFont val="Tahoma"/>
            <family val="2"/>
          </rPr>
          <t xml:space="preserve">
Product0489 XS 9/21/2018 $999 64 GB
Product0489 XS 9/21/2018 $999 64 GB</t>
        </r>
      </text>
    </comment>
    <comment ref="CP77" authorId="1" shapeId="0" xr:uid="{5C686771-4F5A-4A4B-8394-F2C91F8BB968}">
      <text>
        <r>
          <rPr>
            <b/>
            <sz val="9"/>
            <color indexed="81"/>
            <rFont val="Tahoma"/>
            <family val="2"/>
          </rPr>
          <t>Author:</t>
        </r>
        <r>
          <rPr>
            <sz val="9"/>
            <color indexed="81"/>
            <rFont val="Tahoma"/>
            <family val="2"/>
          </rPr>
          <t xml:space="preserve">
11/12/18: Japan Display revenue misses guidance on slower than expected Product0489 XR ramp due to component supply constraints
11/5/18: (SA) Company0242 tells Company1035 &amp; Company2155 to halt plans for add'l product lines dedicated to XR and produce 20-25% fewer units than expected
Product0489 XR 64GB 64 gb $749 10/26/2018
Product0489 XS 64GB $999
9/21/2018
Product0489 XS Max 9/21/2018
$1099</t>
        </r>
      </text>
    </comment>
    <comment ref="CU77" authorId="2" shapeId="0" xr:uid="{2E0F84DC-682A-4D9F-A2FF-C8898171841E}">
      <text>
        <r>
          <rPr>
            <b/>
            <sz val="9"/>
            <color indexed="81"/>
            <rFont val="Tahoma"/>
            <family val="2"/>
          </rPr>
          <t>Author:</t>
        </r>
        <r>
          <rPr>
            <sz val="9"/>
            <color indexed="81"/>
            <rFont val="Tahoma"/>
            <family val="2"/>
          </rPr>
          <t xml:space="preserve">
1/7/19: (Company2965) weakness in XR sales with sales behind Product0489 models from prior years (6S/8) &amp; has excess XR inventory in China</t>
        </r>
      </text>
    </comment>
    <comment ref="DA77" authorId="1" shapeId="0" xr:uid="{724F325A-A909-40BA-A977-892757179CBF}">
      <text>
        <r>
          <rPr>
            <b/>
            <sz val="9"/>
            <color indexed="81"/>
            <rFont val="Tahoma"/>
            <family val="2"/>
          </rPr>
          <t>Author:</t>
        </r>
        <r>
          <rPr>
            <sz val="9"/>
            <color indexed="81"/>
            <rFont val="Tahoma"/>
            <family val="2"/>
          </rPr>
          <t xml:space="preserve">
XR discontinued 9/2021
X discontinued 9/2018
XS discontinued 9/2019</t>
        </r>
      </text>
    </comment>
    <comment ref="CS78" authorId="1" shapeId="0" xr:uid="{1417EAD0-FE17-44AA-9467-FF652C5A6A99}">
      <text>
        <r>
          <rPr>
            <b/>
            <sz val="9"/>
            <color indexed="81"/>
            <rFont val="Tahoma"/>
            <family val="2"/>
          </rPr>
          <t>Author:</t>
        </r>
        <r>
          <rPr>
            <sz val="9"/>
            <color indexed="81"/>
            <rFont val="Tahoma"/>
            <family val="2"/>
          </rPr>
          <t xml:space="preserve">
Product0489 11 9/20/2019
$699 64GB
Product0489 Pro 9/20/2019
$999 64GB
Product0489 Pro Max 9/20/2019
64GB $1099</t>
        </r>
      </text>
    </comment>
    <comment ref="DE78" authorId="1" shapeId="0" xr:uid="{13A5BA9D-EAB8-4561-BB41-E77BCF9D3877}">
      <text>
        <r>
          <rPr>
            <b/>
            <sz val="9"/>
            <color indexed="81"/>
            <rFont val="Tahoma"/>
            <family val="2"/>
          </rPr>
          <t>Author:</t>
        </r>
        <r>
          <rPr>
            <sz val="9"/>
            <color indexed="81"/>
            <rFont val="Tahoma"/>
            <family val="2"/>
          </rPr>
          <t xml:space="preserve">
Product0489 11 discontinued September 2022
11 Pro/Pro Max discontinued October 2020</t>
        </r>
      </text>
    </comment>
    <comment ref="CX79" authorId="1" shapeId="0" xr:uid="{367D4A2F-0CAA-40A1-9E35-A49C422BE74F}">
      <text>
        <r>
          <rPr>
            <b/>
            <sz val="9"/>
            <color indexed="81"/>
            <rFont val="Tahoma"/>
            <family val="2"/>
          </rPr>
          <t>Author:</t>
        </r>
        <r>
          <rPr>
            <sz val="9"/>
            <color indexed="81"/>
            <rFont val="Tahoma"/>
            <family val="2"/>
          </rPr>
          <t xml:space="preserve">
Product0489 12 10/23/2020
$799
64GB
Product0489 12 Mini 11/13/2020
64GB $699
Product0489 12 Pro 10/23/2020
128 GB $999
Product0489 12 Pro Max $1099
128 GB 11/23/2020</t>
        </r>
      </text>
    </comment>
    <comment ref="DA79" authorId="2" shapeId="0" xr:uid="{F7D30085-EB8D-4DB9-B04A-4967C97C058C}">
      <text>
        <r>
          <rPr>
            <b/>
            <sz val="9"/>
            <color indexed="81"/>
            <rFont val="Tahoma"/>
            <family val="2"/>
          </rPr>
          <t>Author:</t>
        </r>
        <r>
          <rPr>
            <sz val="9"/>
            <color indexed="81"/>
            <rFont val="Tahoma"/>
            <family val="2"/>
          </rPr>
          <t xml:space="preserve">
1/12/21 (Company0801): Company0242 sold 18M Product0489 12s in China in 4Q (achieving market share of more than 20%)</t>
        </r>
      </text>
    </comment>
    <comment ref="DE79" authorId="1" shapeId="0" xr:uid="{2C5EC1BA-B6CC-4F92-B66E-290A9585BF72}">
      <text>
        <r>
          <rPr>
            <b/>
            <sz val="9"/>
            <color indexed="81"/>
            <rFont val="Tahoma"/>
            <family val="2"/>
          </rPr>
          <t>Author:</t>
        </r>
        <r>
          <rPr>
            <sz val="9"/>
            <color indexed="81"/>
            <rFont val="Tahoma"/>
            <family val="2"/>
          </rPr>
          <t xml:space="preserve">
Product0489 12, 12Mini discontinued September 2022
12 Pro/Pro Max discontinued 9/2021</t>
        </r>
      </text>
    </comment>
    <comment ref="DA80" authorId="1" shapeId="0" xr:uid="{BDB012EC-1457-4AEF-BF4B-D769B9E889FC}">
      <text>
        <r>
          <rPr>
            <b/>
            <sz val="9"/>
            <color indexed="81"/>
            <rFont val="Tahoma"/>
            <family val="2"/>
          </rPr>
          <t>Author:</t>
        </r>
        <r>
          <rPr>
            <sz val="9"/>
            <color indexed="81"/>
            <rFont val="Tahoma"/>
            <family val="2"/>
          </rPr>
          <t xml:space="preserve">
Product0489 13 9/24/2021 $799 128GB
Product0489 13 Mini $699 128gb 9/24/2021
Product0489 13 Pro
128 GB
9/24/2021
$999
Product0489 13 Pro Max
9/24/2021
128 GB
$1099</t>
        </r>
      </text>
    </comment>
    <comment ref="DC80" authorId="1" shapeId="0" xr:uid="{A94F3A13-4814-4179-A897-0BEC9F49F8E2}">
      <text>
        <r>
          <rPr>
            <b/>
            <sz val="9"/>
            <color indexed="81"/>
            <rFont val="Tahoma"/>
            <family val="2"/>
          </rPr>
          <t>Author:</t>
        </r>
        <r>
          <rPr>
            <sz val="9"/>
            <color indexed="81"/>
            <rFont val="Tahoma"/>
            <family val="2"/>
          </rPr>
          <t xml:space="preserve">
F2Q22: 2 green finishes to the Product0489 13 line-up and the introduction of Product0489 SE (5G enabled)</t>
        </r>
      </text>
    </comment>
    <comment ref="DE80" authorId="1" shapeId="0" xr:uid="{06439543-A0B4-4257-AC8A-26B8CE7FE860}">
      <text>
        <r>
          <rPr>
            <b/>
            <sz val="9"/>
            <color indexed="81"/>
            <rFont val="Tahoma"/>
            <family val="2"/>
          </rPr>
          <t>Author:</t>
        </r>
        <r>
          <rPr>
            <sz val="9"/>
            <color indexed="81"/>
            <rFont val="Tahoma"/>
            <family val="2"/>
          </rPr>
          <t xml:space="preserve">
13 Pro/Pro Max discontinued 9/2022</t>
        </r>
      </text>
    </comment>
    <comment ref="DE81" authorId="1" shapeId="0" xr:uid="{9D18376E-5E5A-49FB-ABE0-09E2A89CA5D8}">
      <text>
        <r>
          <rPr>
            <b/>
            <sz val="9"/>
            <color indexed="81"/>
            <rFont val="Tahoma"/>
            <family val="2"/>
          </rPr>
          <t>Author:</t>
        </r>
        <r>
          <rPr>
            <sz val="9"/>
            <color indexed="81"/>
            <rFont val="Tahoma"/>
            <family val="2"/>
          </rPr>
          <t xml:space="preserve">
Product0489 14
9/16/2022
128 GB
$799
Product0489 14 Pro
9/16/2022
128 GB
$999
Product0489 14 Pro Max
9/16/2022
128 GB
$1099
Pro model exclusives:
Dynamic island, Always-on display, Product0315, Screen brightness, matte glass, 48 mp camera, improved sensor-shift, LiDAR scanner, night mode portraits, Product0316 suport, Product0317 video, better battery, 1tb stoarage tier
14 Pro Max Uses Company1549 Display OLED
According to Company1941, Product0489 14 Pro Max components cost Company0242 $501 and pricing for the smartphone starts $1099
Heard A16 chip is $50 more to manufacture than A15
A16 was 2X expensiveexpensive than A15 
Titanium chassis is 35X more expensive than stainless steel  </t>
        </r>
      </text>
    </comment>
    <comment ref="DF81" authorId="1" shapeId="0" xr:uid="{7EADF83D-8059-4DEC-9290-76C3EE409909}">
      <text>
        <r>
          <rPr>
            <b/>
            <sz val="9"/>
            <color indexed="81"/>
            <rFont val="Tahoma"/>
            <family val="2"/>
          </rPr>
          <t>Author:</t>
        </r>
        <r>
          <rPr>
            <sz val="9"/>
            <color indexed="81"/>
            <rFont val="Tahoma"/>
            <family val="2"/>
          </rPr>
          <t xml:space="preserve">
F1Q23: impacted by supply chain issues in november and into december
1/3/23: Reuters reports that December was 90% of initial plans
4Q22: expects Pro/Pro Max to be supply constrained throughout year-end
Product0489 14 Plus
10/7/2022
12/4/2022: Company1035 expects Zhengzhou plant to resume full product in late December/early January. November the most impacted period from erpidemic situation. 
Company1035 said November smart consumer electronics biz (includes smartphones) declined yoy due to production disruptions in the factory. 
</t>
        </r>
        <r>
          <rPr>
            <b/>
            <sz val="9"/>
            <color indexed="81"/>
            <rFont val="Tahoma"/>
            <family val="2"/>
          </rPr>
          <t xml:space="preserve">
Analysts believe Company1035 assembles 70% of iPhones and the majority of premium models.</t>
        </r>
        <r>
          <rPr>
            <sz val="9"/>
            <color indexed="81"/>
            <rFont val="Tahoma"/>
            <family val="2"/>
          </rPr>
          <t xml:space="preserve">
If recruitment goes smoothly, takes 3-4 weeks to resume full production. 
https://example.com/
11/6/22  8-K: 70 mn base less Company1258 Company1035 Zhengzhou factory COVID issues. Reuters said Company1035 makes 70% of total output and 30% of production decline… 
</t>
        </r>
      </text>
    </comment>
    <comment ref="DG81" authorId="1" shapeId="0" xr:uid="{FEA13D14-921A-4C0D-A42D-4AA94F9B07AC}">
      <text>
        <r>
          <rPr>
            <b/>
            <sz val="9"/>
            <color indexed="81"/>
            <rFont val="Tahoma"/>
            <family val="2"/>
          </rPr>
          <t>Author:</t>
        </r>
        <r>
          <rPr>
            <sz val="9"/>
            <color indexed="81"/>
            <rFont val="Tahoma"/>
            <family val="2"/>
          </rPr>
          <t xml:space="preserve">
F1Q23: supply chain issues over
Company0507:
In the first quarter of 2023, Product0489 14 Pro Max had 24%, and Product0489 Pro had 22% of the total share, followed by the vanilla Product0489 14 with 19%.</t>
        </r>
      </text>
    </comment>
    <comment ref="DH81" authorId="1" shapeId="0" xr:uid="{FFFEB9E1-BA2E-4733-A9D4-3DF34E164B5D}">
      <text>
        <r>
          <rPr>
            <b/>
            <sz val="9"/>
            <color indexed="81"/>
            <rFont val="Tahoma"/>
            <family val="2"/>
          </rPr>
          <t>Author:</t>
        </r>
        <r>
          <rPr>
            <sz val="9"/>
            <color indexed="81"/>
            <rFont val="Tahoma"/>
            <family val="2"/>
          </rPr>
          <t xml:space="preserve">
In the June 2023 quarter, Product0489 14 and Product0489 14 Plus accounted for 36% of units sold in the US (Chart 1). Product0489 14 Pro and Pro Max together accounted for 43%. In total, Pro models were more popular, but the ratio of Pro to base models showed signs of shifting.</t>
        </r>
      </text>
    </comment>
    <comment ref="FN81" authorId="1" shapeId="0" xr:uid="{8CFEE986-C6FD-4229-8CAA-A60C1F7CBC68}">
      <text>
        <r>
          <rPr>
            <b/>
            <sz val="9"/>
            <color indexed="81"/>
            <rFont val="Tahoma"/>
            <family val="2"/>
          </rPr>
          <t>Author:</t>
        </r>
        <r>
          <rPr>
            <sz val="9"/>
            <color indexed="81"/>
            <rFont val="Tahoma"/>
            <family val="2"/>
          </rPr>
          <t xml:space="preserve">
IDC: 
14: 35/30/27/8: Pro Max/Pro/Base/Plus or Mini
13: 25/44/24/8
12: 25/23/42/11
11: 22/21/57</t>
        </r>
      </text>
    </comment>
    <comment ref="DI82" authorId="1" shapeId="0" xr:uid="{B4058BAA-0153-4781-808F-FA3FDA87189E}">
      <text>
        <r>
          <rPr>
            <b/>
            <sz val="9"/>
            <color indexed="81"/>
            <rFont val="Tahoma"/>
            <family val="2"/>
          </rPr>
          <t>Author:</t>
        </r>
        <r>
          <rPr>
            <sz val="9"/>
            <color indexed="81"/>
            <rFont val="Tahoma"/>
            <family val="2"/>
          </rPr>
          <t xml:space="preserve">
counterpoint 10/16/23:  Product0489 15 sales were -4.5% yoy in China than Product0489 14 sales year-ago (Mate 60 Pro to sell 5-6 mn units in C2023 with threat of DD mn units in C24)
US Product0489 15 sales +DD% yoy 
Pre-order date of 9/15 with ship date of 9/22
Product0489 15, Plus, Pro, Pro Max 
Product0434 
A17
Carrier promotions same as year-ago
2/2023: 8 feature exclusive to the PRO or better
- A17 chip
- titanium frame
-ultra thin curved bezels
- faster Product0434 port (USB 3.2 or thunderbotl 3 support v. USB 2.0 speed for standard models)
- Wi-Fi 6E: Product0489 15 Pro 
- Increased RAM. 8 GB RAM (v. 6 GB RAM)
- SSD
- increased optical Zoom for Pro Max (6X v. 3X for Pro. 
Apparently no more solid state buttons
Rumors that Product0489 15 Pro/Ultra may get delayed to October launch (instead of September).
- Company2698 has said it will delay productions at new chip plant in Arizona to C2025 (v. C2024 prior). 4 nm chip production due to skilled labor shortage. 
11/15/22:
Product0489 Ultra rumored to have dual front-facing cameras and titanium chassis (40% weight of stainless steel but as strong. 35X more expensive).
In addition, periscope lens for better optical zoom. 
Rumored lined-up
15
15 Plus
15 Pro
15 Ultra (replaces Pro Max)
1/3/3:
Rumor:
Regular: 6.1/6.7" sizes,48 MP wide lens, Product0434, A16 chips
Pro: 6.1/6.7" sizes, titanium frame, solid-state buttons, </t>
        </r>
        <r>
          <rPr>
            <b/>
            <sz val="9"/>
            <color indexed="81"/>
            <rFont val="Tahoma"/>
            <family val="2"/>
          </rPr>
          <t xml:space="preserve">A17 bionic </t>
        </r>
        <r>
          <rPr>
            <sz val="9"/>
            <color indexed="81"/>
            <rFont val="Tahoma"/>
            <family val="2"/>
          </rPr>
          <t>(first built on Company2698 next-gen 3 nanometer node, which helps increase processing performance by 10-15%, while reducing power consumption by 30%), 8GB ram (v. 6GB in Product0489 14 Pro), periscope lens, Product0434
- will it be more expensive? The A17 bionic supposed to be built in the US by Company2698 in the new Arizona plant. 
1/9/2023: all sizes the same as Product0489 14. Product0132 Island across all models, Product0434, faster processors. Titanium frame + haptic volume buttons on Pro. 
A/R experiences across new iPhones for Company0242 store first to get add'l informiation. 
12/29/2022 Company1762:
In the last few years, Company0242 has shifted and reevaluated its ‌Product0489‌ lineup a few times. Starting with the ‌Product0489‌ 6 and ‌Product0489‌ 6 Plus, Company0242 began offering small and large-sized iPhones before branching out and offering four models, two standard and two high-end models, with different materials, colors, and camera features. Starting with the Product0489 13 Pro, for example, Company0242 began to offer the same camera systems on the 6.1-inch Pro and 6.7-inch Pro Max model, unlike in previous years where more advanced camera features were reserved for only the largest ‌Product0489‌.
With the ‌Product0489 14‌ and Product0489 14 Pro, Company0242 chose to offer two standard and two high-end models with matching sizes: two 6.1-inch models and two 6.7-inch models. Both the ‌Product0489 14 Pro‌ and ‌Product0489 14 Pro‌ Max feature the same cameras and designs, the only difference being a physically bigger battery in the ‌Product0489 14 Pro‌ Max.
The ‌Product0489 15‌ is still a year away, so it's too early to know what strategy Company0242 will use. In one sign, however, that it's looking to unify the entire lineup, Dynamic Island is expected to come to all Product0489 15 models. For a complete rundown of everything we know so far about the ‌Product0489 15‌, check out our roundup.</t>
        </r>
      </text>
    </comment>
    <comment ref="DJ82" authorId="1" shapeId="0" xr:uid="{150ED991-4D5C-4206-831D-E4C1B7D92A54}">
      <text>
        <r>
          <rPr>
            <b/>
            <sz val="9"/>
            <color indexed="81"/>
            <rFont val="Tahoma"/>
            <family val="2"/>
          </rPr>
          <t>Author:</t>
        </r>
        <r>
          <rPr>
            <sz val="9"/>
            <color indexed="81"/>
            <rFont val="Tahoma"/>
            <family val="2"/>
          </rPr>
          <t xml:space="preserve">
Company0507 said 4Q23 US Product0489 sales mix:
Product0489 15 Pro Max 26% (v. year-ago 28% for 14 Pro Max)
Product0489 15 Pro 16% (v. year-ago 15% for 14 Pro)
Product0489 15 Plus 8% (v. 1% for 14 Plus)
Product0489 15 15% (v. 23% for 14)
= Product0489 15 family: 65% (v. 77% for 14 family)
Product0489 14 + 14 Plus 16%
Product0489 13 11%  (v. 4% year-ago for 12)
SE 7% (v. 5% year-ago)
10/18/23: Company1941 says 85 mn Product0489 15, 2023 Product0489 product of 225 mn (flat yoy)
Person0704 (8/28/2023) thinks  80 mn units v. consensus of 70-80 mn 
Year-ago impacted by Company1035 Zhengzhou COVID factory issues which Reuters reported resulted in a 30% reduction in Company1035 Product0489 output
</t>
        </r>
      </text>
    </comment>
    <comment ref="FO82" authorId="1" shapeId="0" xr:uid="{FE9C1FFE-8DC6-4E60-A21B-AD1752A5CEFF}">
      <text>
        <r>
          <rPr>
            <b/>
            <sz val="9"/>
            <color indexed="81"/>
            <rFont val="Tahoma"/>
            <family val="2"/>
          </rPr>
          <t>Author:</t>
        </r>
        <r>
          <rPr>
            <sz val="9"/>
            <color indexed="81"/>
            <rFont val="Tahoma"/>
            <family val="2"/>
          </rPr>
          <t xml:space="preserve">
Mix is probably 50% Base + Plus / 50% Pro + Max</t>
        </r>
      </text>
    </comment>
    <comment ref="DM83" authorId="1" shapeId="0" xr:uid="{9138861D-D093-4EA5-8DE5-E5B8EE8255E0}">
      <text>
        <r>
          <rPr>
            <b/>
            <sz val="9"/>
            <color indexed="81"/>
            <rFont val="Tahoma"/>
            <family val="2"/>
          </rPr>
          <t>Author:</t>
        </r>
        <r>
          <rPr>
            <sz val="9"/>
            <color indexed="81"/>
            <rFont val="Tahoma"/>
            <family val="2"/>
          </rPr>
          <t xml:space="preserve">
10/31/24 Company0527: "Sales of the Product0489 15 were “stronger than 14 in the year-ago quarter, and 16 was stronger than 15,"
10/23/2024: Person0770 Person0231 Person0632 saiyng C2H24 production is 84 mn (v. 88 mn prior)
10/1/2024: C saying 89
9/18/24: Company2662 Investor Day: "</t>
        </r>
        <r>
          <rPr>
            <b/>
            <sz val="9"/>
            <color indexed="81"/>
            <rFont val="Tahoma"/>
            <family val="2"/>
          </rPr>
          <t>sales are higher than last year,</t>
        </r>
        <r>
          <rPr>
            <sz val="9"/>
            <color indexed="81"/>
            <rFont val="Tahoma"/>
            <family val="2"/>
          </rPr>
          <t xml:space="preserve"> which is saying something because sales year were quite strong. And these are great share taking moments for us. I don't know. You know, I get asked a lot, is this a super cycle? I don't know what that is . And this probably isn't it, but it's vibrant and it's higher than last year. And</t>
        </r>
        <r>
          <rPr>
            <b/>
            <sz val="9"/>
            <color indexed="81"/>
            <rFont val="Tahoma"/>
            <family val="2"/>
          </rPr>
          <t xml:space="preserve"> we suspect that it will be drawn out over time, a little more as people get , the Company0242 intelligence features later start showing their friends and generate later excitement as opposed to in prior years”"</t>
        </r>
        <r>
          <rPr>
            <sz val="9"/>
            <color indexed="81"/>
            <rFont val="Tahoma"/>
            <family val="2"/>
          </rPr>
          <t xml:space="preserve">
9/16/2024: Person0771 Person0632 says Product0489 16 family pre-order sales are 37 mn units (-13% yoy)
8/12/2024: Company1035 hired around 50k new workers in Zhengzhou factory in China ahead of production of Product0489 16. Company0242 reportedly has a target for 90 mn shipments of Product0489 16 (+10% yoy) v. 81 mn units for Product0489 15 (C2H24 v. C2H23). 
7/10/2024: 90 mn Product0489 16 unit shipments in C2H24 (v. 81 Product0489 15 in C2H23)
4/1/2024: Company2698 analyst saying no major content increases in Product0489 for the next 2 years. 
1/2/24: 
</t>
        </r>
        <r>
          <rPr>
            <b/>
            <u/>
            <sz val="9"/>
            <color indexed="81"/>
            <rFont val="Tahoma"/>
            <family val="2"/>
          </rPr>
          <t>Screen sizes</t>
        </r>
        <r>
          <rPr>
            <sz val="9"/>
            <color indexed="81"/>
            <rFont val="Tahoma"/>
            <family val="2"/>
          </rPr>
          <t xml:space="preserve">
- 16 Pro will have 6.27" display and 16 Pro Max will have 6.85" display
- Product0489 16 (6.1")/16 Plus (6.7") will remain the same size 
</t>
        </r>
        <r>
          <rPr>
            <b/>
            <u/>
            <sz val="9"/>
            <color indexed="81"/>
            <rFont val="Tahoma"/>
            <family val="2"/>
          </rPr>
          <t xml:space="preserve">
Mute volume button</t>
        </r>
        <r>
          <rPr>
            <sz val="9"/>
            <color indexed="81"/>
            <rFont val="Tahoma"/>
            <family val="2"/>
          </rPr>
          <t xml:space="preserve">
- Action button to be standard. Built in microphone.
- New capture button for Pro/Pro/max - recording pictures/video easier</t>
        </r>
        <r>
          <rPr>
            <b/>
            <sz val="9"/>
            <color indexed="81"/>
            <rFont val="Tahoma"/>
            <family val="2"/>
          </rPr>
          <t xml:space="preserve">
</t>
        </r>
        <r>
          <rPr>
            <b/>
            <u/>
            <sz val="9"/>
            <color indexed="81"/>
            <rFont val="Tahoma"/>
            <family val="2"/>
          </rPr>
          <t xml:space="preserve">
Chipsets</t>
        </r>
        <r>
          <rPr>
            <sz val="9"/>
            <color indexed="81"/>
            <rFont val="Tahoma"/>
            <family val="2"/>
          </rPr>
          <t xml:space="preserve">
- All Product0489 16 will use A18 chip (as opposed to A17/16 in the Product0489 15 Pro/regular)... though the A18 variant Bionic Pro will be used in the Pro. 3 nm process
</t>
        </r>
        <r>
          <rPr>
            <b/>
            <u/>
            <sz val="9"/>
            <color indexed="81"/>
            <rFont val="Tahoma"/>
            <family val="2"/>
          </rPr>
          <t>Display</t>
        </r>
        <r>
          <rPr>
            <sz val="9"/>
            <color indexed="81"/>
            <rFont val="Tahoma"/>
            <family val="2"/>
          </rPr>
          <t xml:space="preserve">
- No LTPO panel (upgraded OLED)
</t>
        </r>
        <r>
          <rPr>
            <b/>
            <u/>
            <sz val="9"/>
            <color indexed="81"/>
            <rFont val="Tahoma"/>
            <family val="2"/>
          </rPr>
          <t>Camera</t>
        </r>
        <r>
          <rPr>
            <sz val="9"/>
            <color indexed="81"/>
            <rFont val="Tahoma"/>
            <family val="2"/>
          </rPr>
          <t xml:space="preserve">
- Product0489 16 Pro/Pro Max will get telephoto lens with ultrawide camera snesor with more pixels (48MP)
Rumor: foldable Product0489 in 2023/24
Company0242 tends to hold its events on Tuesdays or Wednesdays. The Product0489 15 event was held on Tuesday, Sept. 7. The Product0489 14 event was held on Wednesday, Sept. 7. And the Product0489 13 event was held on Tuesday, Sept. 14.
Product0489 release dates are typically a week and a half after Company0244 announcements. 
In general, new iPhones are released on a Friday, around the third week of September. For the Product0489 13, preorders began Sept. 17 and the phones went on sale Sept. 24.</t>
        </r>
      </text>
    </comment>
    <comment ref="FO83" authorId="8" shapeId="0" xr:uid="{7D1F63A8-ABA6-4371-95F9-C006B1B8929D}">
      <text>
        <r>
          <rPr>
            <b/>
            <sz val="9"/>
            <color indexed="81"/>
            <rFont val="Tahoma"/>
            <family val="2"/>
          </rPr>
          <t>Author:</t>
        </r>
        <r>
          <rPr>
            <sz val="9"/>
            <color indexed="81"/>
            <rFont val="Tahoma"/>
            <family val="2"/>
          </rPr>
          <t xml:space="preserve">
7/1/24: increasing orders at Company2698, expects to sell 90-100 mn Product0489 16 units
</t>
        </r>
      </text>
    </comment>
    <comment ref="DQ84" authorId="1" shapeId="0" xr:uid="{73EF954A-1D45-4526-BF74-E64AC0ACC1E6}">
      <text>
        <r>
          <rPr>
            <b/>
            <sz val="9"/>
            <color indexed="81"/>
            <rFont val="Tahoma"/>
            <family val="2"/>
          </rPr>
          <t>Author:</t>
        </r>
        <r>
          <rPr>
            <sz val="9"/>
            <color indexed="81"/>
            <rFont val="Tahoma"/>
            <family val="2"/>
          </rPr>
          <t xml:space="preserve">
4/29/2025: all Product0489 17 rumored to include 12GB Ram (Product0489 17 base could potentially include 8GB Ram... all Product0489 16 models last year included 8GB RAM)
4/29/2025:
Company0802 also reported Product0489 17 is entering phase I EVT (Engineering Validation Test) and is expected full year shipment to decline by 10% YoY (ED/DT). Next steps include DVT (Design Validation Test) and PVT (Production Validation Test) stages before mass production. Following EVT, there is a window to make smaller specc changes if necessary. 
8/11/2024: Bloomberg "Power On" 
Product0489 17</t>
        </r>
        <r>
          <rPr>
            <b/>
            <sz val="9"/>
            <color indexed="81"/>
            <rFont val="Tahoma"/>
            <family val="2"/>
          </rPr>
          <t xml:space="preserve">
Product0489 17 Air: </t>
        </r>
        <r>
          <rPr>
            <sz val="9"/>
            <color indexed="81"/>
            <rFont val="Tahoma"/>
            <family val="2"/>
          </rPr>
          <t>thinner model with regular features that will have improved design. 
Product0489 17 Pro
Product0489 17 Pro Max
5/17/2024 The Information: thinner version of Product0489 to come in 2025. Will be more expensive than the Product0489 Pro Max ($1200 for Product0489 15). Product0487 Pro 2024 was 5.1 mm (v. Product0489 15 of 7.8 mm). 
Will get rid of Product0489 Plus in C2025.
4/10/2024: Rumors are that 2nm process available with trial production in 2H24, small-sacle production in C2Q25, and mass production in C3Q25 for Product0489 17 Pro models. 
4/1/2024: Company2698 Ticker0015 analyst believes that 2nm chip is in 2026 (2025 not possible). 
Counterpoint Global (2Q23 report) says that 2nm chip to go into mass production by Company2698 in C2025</t>
        </r>
      </text>
    </comment>
    <comment ref="DU85" authorId="1" shapeId="0" xr:uid="{96C5EB4D-78F4-4D2D-9C8A-0834F129D514}">
      <text>
        <r>
          <rPr>
            <b/>
            <sz val="9"/>
            <color indexed="81"/>
            <rFont val="Tahoma"/>
            <family val="2"/>
          </rPr>
          <t>Author:</t>
        </r>
        <r>
          <rPr>
            <sz val="9"/>
            <color indexed="81"/>
            <rFont val="Tahoma"/>
            <family val="2"/>
          </rPr>
          <t xml:space="preserve">
3/18/2025: Product0489 18 potentially to use Company0242 internal modem ("C2"), ditching Company2202 
3/6/2025 MCK: &gt;$2000 ASP, 4.5 mm thick unfolded, 9.5 mm thick folded
7.8" inner display, 5.5" outer display
Invisible crease
2 cameras
Mass production to kick off in C4Q26
Final spec lock-in by C2Q25, project kick off in C3Q25
Product0423 side button, Product0155 absent
Bookstyle design
9/17/2024: 
</t>
        </r>
        <r>
          <rPr>
            <b/>
            <sz val="9"/>
            <color indexed="81"/>
            <rFont val="Tahoma"/>
            <family val="2"/>
          </rPr>
          <t>Company2530 Display (Company2363) is reportedly accelerating the development of foldable devices for Company0242 as the South Korean giant is coordinating preparations with its partners, aiming to establish a supply chain and invest in relevant equipment by the end of 2024.</t>
        </r>
        <r>
          <rPr>
            <sz val="9"/>
            <color indexed="81"/>
            <rFont val="Tahoma"/>
            <family val="2"/>
          </rPr>
          <t xml:space="preserve"> According to industry sources cited by Company3048 Korea, Company2363 and its partners are actively discussing the creation of an "Company0242 foldable device ecosystem."
Company0244 foldable display will require components and materials such as protective glass, hinges, and black PDL (Pixel Define Layer). Reports indicate that Company2363 has largely completed the configuration of the supply chain for Company0244 foldable devices, with industry speculation suggesting that the final supply chain will be confirmed in the fourth quarter of 2024.
</t>
        </r>
        <r>
          <rPr>
            <b/>
            <sz val="9"/>
            <color indexed="81"/>
            <rFont val="Tahoma"/>
            <family val="2"/>
          </rPr>
          <t xml:space="preserve">Previous reports have pointed to Company0244 plans to integrate foldable displays into products such as the Product0489 and Product0487. Most views suggest that Company0244 foldable phone could be launched in the second half of 2026 or the first half of 2027. </t>
        </r>
        <r>
          <rPr>
            <sz val="9"/>
            <color indexed="81"/>
            <rFont val="Tahoma"/>
            <family val="2"/>
          </rPr>
          <t>The screen sizes are expected to range between 7 and 8 inches, similar to a book-like folding format.
9/11/2023: Company2202 Company2746, Inc. today announced that it has entered into an agreement with Company0243. to supply Product0381® 5G Modem‑RF Systems for smartphone launches in 2024, 2025 and 2026. This agreement reinforces Company2203 track record of sustained leadership across 5G technologies and products.</t>
        </r>
      </text>
    </comment>
    <comment ref="CO89" authorId="1" shapeId="0" xr:uid="{55948DDE-3008-4A6B-BED2-B58D831BD8C5}">
      <text>
        <r>
          <rPr>
            <b/>
            <sz val="9"/>
            <color indexed="81"/>
            <rFont val="Tahoma"/>
            <family val="2"/>
          </rPr>
          <t>Author:</t>
        </r>
        <r>
          <rPr>
            <sz val="9"/>
            <color indexed="81"/>
            <rFont val="Tahoma"/>
            <family val="2"/>
          </rPr>
          <t xml:space="preserve">
Product0489 SE discontinued</t>
        </r>
      </text>
    </comment>
    <comment ref="CV89" authorId="1" shapeId="0" xr:uid="{D3C9A65E-1CB9-42FC-9D8D-2C587CF2A041}">
      <text>
        <r>
          <rPr>
            <b/>
            <sz val="9"/>
            <color indexed="81"/>
            <rFont val="Tahoma"/>
            <family val="2"/>
          </rPr>
          <t>Author:</t>
        </r>
        <r>
          <rPr>
            <sz val="9"/>
            <color indexed="81"/>
            <rFont val="Tahoma"/>
            <family val="2"/>
          </rPr>
          <t xml:space="preserve">
Product0489 SE (2nd gen) 4/24/2020 $399 64GB 
F3Q20: The Product0489 SE, it's also clear that from the early data, we're seeing a higher switcher number than we did in the previous year, which we feel very good about, and it also seemed to appeal to some people that were holding on to the device a little longer because they wanted a smaller form factor phone. And so the combination of the smaller form factor and an incredibly affordable price made the Product0489 SE very popular. Product0489 11 is still the most popular smartphone, but Product0489 SE definitely helped our results. And as Person0679 said in his outlook, we do see that continuing into this quarter currently.</t>
        </r>
      </text>
    </comment>
    <comment ref="DC89" authorId="1" shapeId="0" xr:uid="{A106B850-A89A-4E00-B033-CB994BD05337}">
      <text>
        <r>
          <rPr>
            <b/>
            <sz val="9"/>
            <color indexed="81"/>
            <rFont val="Tahoma"/>
            <family val="2"/>
          </rPr>
          <t>Author:</t>
        </r>
        <r>
          <rPr>
            <sz val="9"/>
            <color indexed="81"/>
            <rFont val="Tahoma"/>
            <family val="2"/>
          </rPr>
          <t xml:space="preserve">
Product0489 SE (3rd gen)
3/18/2022
64 GB
$429</t>
        </r>
      </text>
    </comment>
    <comment ref="DK89" authorId="1" shapeId="0" xr:uid="{30A16976-FD6C-448E-A1C9-055EE468311C}">
      <text>
        <r>
          <rPr>
            <b/>
            <sz val="9"/>
            <color indexed="81"/>
            <rFont val="Tahoma"/>
            <family val="2"/>
          </rPr>
          <t>Author:</t>
        </r>
        <r>
          <rPr>
            <sz val="9"/>
            <color indexed="81"/>
            <rFont val="Tahoma"/>
            <family val="2"/>
          </rPr>
          <t xml:space="preserve">
Rumor 1/2/24: SE 2024 pushed to 2025 
Rumor 7/20/2023: Product0489 SE4 will no longer feature Company0242 modem and may continue to rely on Company2202. Company0363 saying it will get delayed to C2025. 
Rumor 3/17: SE 4 will have: 6.1" OLED, A16 Bionic SoC, 4-6 GB Ram, 128 GB storage (maybe 64 GB), Product0434 (2.0 speeds, though), Product0489 14 camera.
SE3 powered by A15 Bionic 
Rumor: 
- 2024 SE revived (February 2023)
-- new model will have Company0244 5G baseband chip, using 4 nm process. Will only suppport sub 6GHZ 5G, not mm wave
- if it works well and Product0487 and Watch switch over to in-house chip, could help hardware gross margins 
- Company2187 has confirmed that it epxects "Company0242 will do their own modem in 2024"
- ASE Technology and Company0229 Technology are bidding to handle final packaging of the 5G modem 
- 2024 SE cancelled (Jnauary 2023)
- 2024 Product0489 SE4 was supposed to use Company0244 in-house baseband chip, replacing Company2203, to test the baseband chip before whether to use it in the iPhone16, resulting in Company2202 losing baseband orders in 2024. 
- 2024 SE cancellation should be positive for Company2187 baseband chip demand. `</t>
        </r>
      </text>
    </comment>
    <comment ref="DO89" authorId="1" shapeId="0" xr:uid="{C074C76B-E1B1-4D0C-8C78-738E72763B8C}">
      <text>
        <r>
          <rPr>
            <b/>
            <sz val="9"/>
            <color indexed="81"/>
            <rFont val="Tahoma"/>
            <family val="2"/>
          </rPr>
          <t>Author:</t>
        </r>
        <r>
          <rPr>
            <sz val="9"/>
            <color indexed="81"/>
            <rFont val="Tahoma"/>
            <family val="2"/>
          </rPr>
          <t xml:space="preserve">
2/19/25: Product0489 16e announced (pre orders on 2/21, shipping 2/28). Starting price of $599; includes C1 modem, supports Company0242 Intelligence
6.1" OLED
A18
48 MP camera
2X optical
Face ID, USB C, Action Button, Company0242 Product0202
$599
What's missing? no Product0241, no Ultrawide camera (needed for spatial video), no UWB chip Product0033 and Product0035 finding harder, no Dynamic Island, no extra GPU core, lower brightness than Product0489 16, no Wi-Fi 7 support, no mmWave support (slower 5G connectivity), no sensor shift optical image stabilization (worse low light camera performance).
Better battery life because of less good components
C1 modem is a global 5G modem, allowing Company0242 to use a single SKU for Product0489 16E worldwide
10/23/2024: 8.6 mn units produced from December 2024-1Q25 
10/1/24: bloomberg reports Product0489 SE expected to support apple intelligence; form factor will look like Product0489 14 (no home button); timing – early next year
9/6/2024: rumors that in-house 5G chip shipments of 35-40 mn in 2025, 90-110 mn in 2026, 60-180 mn in 2027
9/3/2024: rumored that Product0489 SE Gen 4 will have OLED (from LCD). Last phone with LCD. 
</t>
        </r>
        <r>
          <rPr>
            <u/>
            <sz val="9"/>
            <color indexed="81"/>
            <rFont val="Tahoma"/>
            <family val="2"/>
          </rPr>
          <t>Rumors as of 7/2024</t>
        </r>
        <r>
          <rPr>
            <sz val="9"/>
            <color indexed="81"/>
            <rFont val="Tahoma"/>
            <family val="2"/>
          </rPr>
          <t xml:space="preserve">
</t>
        </r>
        <r>
          <rPr>
            <b/>
            <sz val="9"/>
            <color indexed="81"/>
            <rFont val="Tahoma"/>
            <family val="2"/>
          </rPr>
          <t xml:space="preserve">Product0489 SE4
</t>
        </r>
        <r>
          <rPr>
            <sz val="9"/>
            <color indexed="81"/>
            <rFont val="Tahoma"/>
            <family val="2"/>
          </rPr>
          <t xml:space="preserve">8GB RAM (v. 4 GB prior)
Supports Company0242 Product0201
Starts at $499
Face ID (from Product0429 ID) 
The Information (5/17/2024): Product0489 SE reboot coming (V59) in Spring 2025, largely based on design of standard Product0489 14
Bloomberg 1/9/2023: Company0242 aims to drop broadcom chip by 2025 to use in house design
Company0242 is Broadcom’s largest customer and accounted for about 20% of the chipmaker’s revenue in the last fiscal year, amounting to almost $7 billion. Company2202 got 22% of its annual sales from the Product0489 maker, representing nearly $10 billion, though that company has warned for years that its Company0242 reliance will wane. 
The Product0489… helped fuel growth at Broadcom, which refers to Company0242 as its “large North American customer” during earnings calls. The chipmaker makes a combined component that handles both Wi-Fi and Bluetooth functions on Company0242 devices.
Company0242 is developing an in-house replacement for that chip and is aiming to start using it in its devices in 2025, the people said. In addition, it’s already working on a follow-up version that will combine cellular modem, Wi-Fi and Bluetooth capabilities into a single component.
Broadcom still supplies Company0242 with other components — including radio-frequency chips and ones that handle wireless charging — though the Product0489 maker has been working on customizing those parts as well. 
</t>
        </r>
      </text>
    </comment>
    <comment ref="A92" authorId="1" shapeId="0" xr:uid="{70A10359-440D-4035-B844-4A5963D67E3D}">
      <text>
        <r>
          <rPr>
            <b/>
            <sz val="9"/>
            <color indexed="81"/>
            <rFont val="Tahoma"/>
            <family val="2"/>
          </rPr>
          <t>Author:</t>
        </r>
        <r>
          <rPr>
            <sz val="9"/>
            <color indexed="81"/>
            <rFont val="Tahoma"/>
            <family val="2"/>
          </rPr>
          <t xml:space="preserve">
Company0242 typically places component orders in March+April for September launches</t>
        </r>
      </text>
    </comment>
    <comment ref="AV92" authorId="7" shapeId="0" xr:uid="{5D92AA13-04DF-426C-B8A3-7352E7D05861}">
      <text>
        <r>
          <rPr>
            <b/>
            <sz val="9"/>
            <color indexed="81"/>
            <rFont val="Tahoma"/>
            <family val="2"/>
          </rPr>
          <t>Author:</t>
        </r>
        <r>
          <rPr>
            <sz val="9"/>
            <color indexed="81"/>
            <rFont val="Tahoma"/>
            <family val="2"/>
          </rPr>
          <t xml:space="preserve">
06/29/07
2G</t>
        </r>
      </text>
    </comment>
    <comment ref="AZ92" authorId="7" shapeId="0" xr:uid="{FB53E512-FFE2-4ECF-9344-5DB9741CC3A1}">
      <text>
        <r>
          <rPr>
            <b/>
            <sz val="9"/>
            <color indexed="81"/>
            <rFont val="Tahoma"/>
            <family val="2"/>
          </rPr>
          <t>Author:</t>
        </r>
        <r>
          <rPr>
            <sz val="9"/>
            <color indexed="81"/>
            <rFont val="Tahoma"/>
            <family val="2"/>
          </rPr>
          <t xml:space="preserve">
06/11/08
3G</t>
        </r>
      </text>
    </comment>
    <comment ref="BD92" authorId="7" shapeId="0" xr:uid="{25DF6367-C822-4580-9ADE-BFBCF553E9A1}">
      <text>
        <r>
          <rPr>
            <b/>
            <sz val="9"/>
            <color indexed="81"/>
            <rFont val="Tahoma"/>
            <family val="2"/>
          </rPr>
          <t>Author:</t>
        </r>
        <r>
          <rPr>
            <sz val="9"/>
            <color indexed="81"/>
            <rFont val="Tahoma"/>
            <family val="2"/>
          </rPr>
          <t xml:space="preserve">
06/19/09
3GS</t>
        </r>
      </text>
    </comment>
    <comment ref="BH92" authorId="7" shapeId="0" xr:uid="{F646DC66-016C-46F1-A6E7-D9B759515470}">
      <text>
        <r>
          <rPr>
            <b/>
            <sz val="9"/>
            <color indexed="81"/>
            <rFont val="Tahoma"/>
            <family val="2"/>
          </rPr>
          <t>Author:</t>
        </r>
        <r>
          <rPr>
            <sz val="9"/>
            <color indexed="81"/>
            <rFont val="Tahoma"/>
            <family val="2"/>
          </rPr>
          <t xml:space="preserve">
06/21/10
4</t>
        </r>
      </text>
    </comment>
    <comment ref="BN92" authorId="7" shapeId="0" xr:uid="{0B61A44E-CCA1-4F0B-AD44-2FADC9DEF9AC}">
      <text>
        <r>
          <rPr>
            <b/>
            <sz val="9"/>
            <color indexed="81"/>
            <rFont val="Tahoma"/>
            <family val="2"/>
          </rPr>
          <t>Author:</t>
        </r>
        <r>
          <rPr>
            <sz val="9"/>
            <color indexed="81"/>
            <rFont val="Tahoma"/>
            <family val="2"/>
          </rPr>
          <t xml:space="preserve">
10/14/11
4S</t>
        </r>
      </text>
    </comment>
    <comment ref="BQ92" authorId="7" shapeId="0" xr:uid="{A821A014-20CF-46B3-B9BA-6D849EDBD15A}">
      <text>
        <r>
          <rPr>
            <b/>
            <sz val="9"/>
            <color indexed="81"/>
            <rFont val="Tahoma"/>
            <family val="2"/>
          </rPr>
          <t>Author:</t>
        </r>
        <r>
          <rPr>
            <sz val="9"/>
            <color indexed="81"/>
            <rFont val="Tahoma"/>
            <family val="2"/>
          </rPr>
          <t xml:space="preserve">
09/21/12
5</t>
        </r>
      </text>
    </comment>
    <comment ref="BU92" authorId="7" shapeId="0" xr:uid="{14580A93-2350-4291-A3F0-509225286D6B}">
      <text>
        <r>
          <rPr>
            <b/>
            <sz val="9"/>
            <color indexed="81"/>
            <rFont val="Tahoma"/>
            <family val="2"/>
          </rPr>
          <t>Author:</t>
        </r>
        <r>
          <rPr>
            <sz val="9"/>
            <color indexed="81"/>
            <rFont val="Tahoma"/>
            <family val="2"/>
          </rPr>
          <t xml:space="preserve">
09/20/13
5S/5C</t>
        </r>
      </text>
    </comment>
    <comment ref="BY92" authorId="7" shapeId="0" xr:uid="{B5F1BF5F-06CC-41A5-994A-E3BB9B996CE0}">
      <text>
        <r>
          <rPr>
            <b/>
            <sz val="9"/>
            <color indexed="81"/>
            <rFont val="Tahoma"/>
            <family val="2"/>
          </rPr>
          <t>Author:</t>
        </r>
        <r>
          <rPr>
            <sz val="9"/>
            <color indexed="81"/>
            <rFont val="Tahoma"/>
            <family val="2"/>
          </rPr>
          <t xml:space="preserve">
09/19/14
6/6+</t>
        </r>
      </text>
    </comment>
    <comment ref="CC92" authorId="7" shapeId="0" xr:uid="{00C467FD-FF55-4C5C-BB3D-7453A93D09A8}">
      <text>
        <r>
          <rPr>
            <b/>
            <sz val="9"/>
            <color indexed="81"/>
            <rFont val="Tahoma"/>
            <family val="2"/>
          </rPr>
          <t>Author:</t>
        </r>
        <r>
          <rPr>
            <sz val="9"/>
            <color indexed="81"/>
            <rFont val="Tahoma"/>
            <family val="2"/>
          </rPr>
          <t xml:space="preserve">
09/25/15
6s/6s+</t>
        </r>
      </text>
    </comment>
    <comment ref="CE92" authorId="7" shapeId="0" xr:uid="{B94EB1A8-C151-4BEA-A859-F76DE7A26686}">
      <text>
        <r>
          <rPr>
            <b/>
            <sz val="9"/>
            <color indexed="81"/>
            <rFont val="Tahoma"/>
            <family val="2"/>
          </rPr>
          <t>Author:</t>
        </r>
        <r>
          <rPr>
            <sz val="9"/>
            <color indexed="81"/>
            <rFont val="Tahoma"/>
            <family val="2"/>
          </rPr>
          <t xml:space="preserve">
03/31/16
SE</t>
        </r>
      </text>
    </comment>
    <comment ref="CF92" authorId="9" shapeId="0" xr:uid="{00000000-0006-0000-0700-00008A000000}">
      <text>
        <r>
          <rPr>
            <b/>
            <sz val="9"/>
            <color indexed="81"/>
            <rFont val="Tahoma"/>
            <family val="2"/>
          </rPr>
          <t>Author:</t>
        </r>
        <r>
          <rPr>
            <sz val="9"/>
            <color indexed="81"/>
            <rFont val="Tahoma"/>
            <family val="2"/>
          </rPr>
          <t xml:space="preserve">
7/26/16: reduced channel inventory by 4mn</t>
        </r>
      </text>
    </comment>
    <comment ref="CG92" authorId="9" shapeId="0" xr:uid="{00000000-0006-0000-0700-00008B000000}">
      <text>
        <r>
          <rPr>
            <b/>
            <sz val="9"/>
            <color indexed="81"/>
            <rFont val="Tahoma"/>
            <family val="2"/>
          </rPr>
          <t>Author:</t>
        </r>
        <r>
          <rPr>
            <sz val="9"/>
            <color indexed="81"/>
            <rFont val="Tahoma"/>
            <family val="2"/>
          </rPr>
          <t xml:space="preserve">
09/16/16
7/7+
10/25/16: increased channel inventory by 2.5mn units</t>
        </r>
      </text>
    </comment>
    <comment ref="CH92" authorId="9" shapeId="0" xr:uid="{00000000-0006-0000-0700-00008C000000}">
      <text>
        <r>
          <rPr>
            <b/>
            <sz val="9"/>
            <color indexed="81"/>
            <rFont val="Tahoma"/>
            <family val="2"/>
          </rPr>
          <t>Author:</t>
        </r>
        <r>
          <rPr>
            <sz val="9"/>
            <color indexed="81"/>
            <rFont val="Tahoma"/>
            <family val="2"/>
          </rPr>
          <t xml:space="preserve">
1/31/17: sell-through was up 8% yoy; added 1.2mn of channel inventory (3.3mn in year ago)
10/25/16: Expect to reach supply/demand equilibrium for Product0489 7</t>
        </r>
      </text>
    </comment>
    <comment ref="CI92" authorId="9" shapeId="0" xr:uid="{00000000-0006-0000-0700-00008D000000}">
      <text>
        <r>
          <rPr>
            <sz val="9"/>
            <color indexed="81"/>
            <rFont val="Tahoma"/>
            <family val="2"/>
          </rPr>
          <t xml:space="preserve">Author: reduced 1.2mn of channel inventory (-450k last year)
</t>
        </r>
      </text>
    </comment>
    <comment ref="CK92" authorId="7" shapeId="0" xr:uid="{28DA5868-DFFA-4E73-93AF-7BA2ECC9F5F1}">
      <text>
        <r>
          <rPr>
            <b/>
            <sz val="9"/>
            <color indexed="81"/>
            <rFont val="Tahoma"/>
            <family val="2"/>
          </rPr>
          <t>Author:</t>
        </r>
        <r>
          <rPr>
            <sz val="9"/>
            <color indexed="81"/>
            <rFont val="Tahoma"/>
            <family val="2"/>
          </rPr>
          <t xml:space="preserve">
09/22/18
8/8+</t>
        </r>
      </text>
    </comment>
    <comment ref="CL92" authorId="7" shapeId="0" xr:uid="{5945FC0B-BB86-4C15-8933-1410535B0C3E}">
      <text>
        <r>
          <rPr>
            <b/>
            <sz val="9"/>
            <color indexed="81"/>
            <rFont val="Tahoma"/>
            <family val="2"/>
          </rPr>
          <t>Author:</t>
        </r>
        <r>
          <rPr>
            <sz val="9"/>
            <color indexed="81"/>
            <rFont val="Tahoma"/>
            <family val="2"/>
          </rPr>
          <t xml:space="preserve">
11/03/17
X</t>
        </r>
      </text>
    </comment>
    <comment ref="CO92" authorId="7" shapeId="0" xr:uid="{CD97E578-460E-41A6-AB6D-9484C7BB91D8}">
      <text>
        <r>
          <rPr>
            <b/>
            <sz val="9"/>
            <color indexed="81"/>
            <rFont val="Tahoma"/>
            <family val="2"/>
          </rPr>
          <t>Author:</t>
        </r>
        <r>
          <rPr>
            <sz val="9"/>
            <color indexed="81"/>
            <rFont val="Tahoma"/>
            <family val="2"/>
          </rPr>
          <t xml:space="preserve">
09/21/2018
XS Max/XS</t>
        </r>
      </text>
    </comment>
    <comment ref="CP92" authorId="7" shapeId="0" xr:uid="{00000000-0006-0000-0700-00008E000000}">
      <text>
        <r>
          <rPr>
            <b/>
            <sz val="9"/>
            <color indexed="81"/>
            <rFont val="Tahoma"/>
            <family val="2"/>
          </rPr>
          <t>Author:</t>
        </r>
        <r>
          <rPr>
            <sz val="9"/>
            <color indexed="81"/>
            <rFont val="Tahoma"/>
            <family val="2"/>
          </rPr>
          <t xml:space="preserve">
10/26/18
XR
GFK</t>
        </r>
      </text>
    </comment>
    <comment ref="CQ92" authorId="1" shapeId="0" xr:uid="{D1E5A5EE-B6C7-414F-BA75-A3DE55D7FFC2}">
      <text>
        <r>
          <rPr>
            <b/>
            <sz val="9"/>
            <color indexed="81"/>
            <rFont val="Tahoma"/>
            <family val="2"/>
          </rPr>
          <t>Author:</t>
        </r>
        <r>
          <rPr>
            <sz val="9"/>
            <color indexed="81"/>
            <rFont val="Tahoma"/>
            <family val="2"/>
          </rPr>
          <t xml:space="preserve">
Company2965 reporting that XR demand (cheapest version) is weaker than expected. Falling beyind Product0489 6S and Product0489 8. Excess XR inventory in China. Production cut to 30-40 mn units for XR (-50%)</t>
        </r>
      </text>
    </comment>
    <comment ref="CR92" authorId="1" shapeId="0" xr:uid="{B3864B4B-D741-4559-BCC0-B952EE57EC5F}">
      <text>
        <r>
          <rPr>
            <b/>
            <sz val="9"/>
            <color indexed="81"/>
            <rFont val="Tahoma"/>
            <family val="2"/>
          </rPr>
          <t>Author:</t>
        </r>
        <r>
          <rPr>
            <sz val="9"/>
            <color indexed="81"/>
            <rFont val="Tahoma"/>
            <family val="2"/>
          </rPr>
          <t xml:space="preserve">
Bloomberg 7/24/19: Company0242 suppliers making components for 75 mn iPhones and up to 80 mn. </t>
        </r>
      </text>
    </comment>
    <comment ref="CS92" authorId="1" shapeId="0" xr:uid="{A315649F-F8DC-42F7-B0F4-5A94F39A2EFB}">
      <text>
        <r>
          <rPr>
            <b/>
            <sz val="9"/>
            <color indexed="81"/>
            <rFont val="Tahoma"/>
            <family val="2"/>
          </rPr>
          <t>Author:</t>
        </r>
        <r>
          <rPr>
            <sz val="9"/>
            <color indexed="81"/>
            <rFont val="Tahoma"/>
            <family val="2"/>
          </rPr>
          <t xml:space="preserve">
9/20/2019: Product0489 11
11Pro
11Pro Max </t>
        </r>
      </text>
    </comment>
    <comment ref="CU92" authorId="0" shapeId="0" xr:uid="{46135A75-570B-4853-AAFE-9C422303F1D6}">
      <text>
        <r>
          <rPr>
            <b/>
            <sz val="9"/>
            <color indexed="81"/>
            <rFont val="Tahoma"/>
            <family val="2"/>
          </rPr>
          <t>Author:</t>
        </r>
        <r>
          <rPr>
            <sz val="9"/>
            <color indexed="81"/>
            <rFont val="Tahoma"/>
            <family val="2"/>
          </rPr>
          <t xml:space="preserve">
03/09/20 (Reuters/China Academy of Info &amp; Company0685): Company0242 sold less than 500K phones in China due to COVID impact
04/24/2020
SE2 ($399 64GB)</t>
        </r>
      </text>
    </comment>
    <comment ref="CV92" authorId="2" shapeId="0" xr:uid="{624103EA-6018-4564-9E97-D3165D32CDD5}">
      <text>
        <r>
          <rPr>
            <b/>
            <sz val="9"/>
            <color indexed="81"/>
            <rFont val="Tahoma"/>
            <family val="2"/>
          </rPr>
          <t>Author:</t>
        </r>
        <r>
          <rPr>
            <sz val="9"/>
            <color indexed="81"/>
            <rFont val="Tahoma"/>
            <family val="2"/>
          </rPr>
          <t xml:space="preserve">
6/24/20 Company0527/Company0505 Research: Company0242 Product0489 sales in China were 3.6 in May (up from 2.05 year ago) &amp; 3.9 in April </t>
        </r>
      </text>
    </comment>
    <comment ref="CW92" authorId="1" shapeId="0" xr:uid="{5988E3FD-88B3-4CBD-9558-C8F5ECD5099F}">
      <text>
        <r>
          <rPr>
            <b/>
            <sz val="9"/>
            <color indexed="81"/>
            <rFont val="Tahoma"/>
            <family val="2"/>
          </rPr>
          <t>Author:</t>
        </r>
        <r>
          <rPr>
            <sz val="9"/>
            <color indexed="81"/>
            <rFont val="Tahoma"/>
            <family val="2"/>
          </rPr>
          <t xml:space="preserve">
Company1941: 2020 production may be 73-74 mn units v. 80 mn targeted. 
9/1/2020: Asking suppliers to build at least 75 mn units for C2020 and will  launch 4 models in October 
mid 2020: 15-20 mn 5G Product0489 shipments (v. 30-40 mn) in 2020. 
Company0242 to use OLED in all 5G phones - hurts Japan Display, which makes 60% of its revenue from selling apple LCD displays. Company2529 Display dominates the OLED market. Company1549 Display and Company0325 Technology also have OLED businesses 
early 2020: Company1941 says Company0242 hopes to ship more than 200 mn iPhones in 2020 including 80m 5G phones
CP Research: 41.7 mn</t>
        </r>
      </text>
    </comment>
    <comment ref="CX92" authorId="0" shapeId="0" xr:uid="{5CF86AB8-1781-4886-A268-D64BCBF1AB70}">
      <text>
        <r>
          <rPr>
            <b/>
            <sz val="9"/>
            <color indexed="81"/>
            <rFont val="Tahoma"/>
            <family val="2"/>
          </rPr>
          <t>Author:</t>
        </r>
        <r>
          <rPr>
            <sz val="9"/>
            <color indexed="81"/>
            <rFont val="Tahoma"/>
            <family val="2"/>
          </rPr>
          <t xml:space="preserve">
12/12 Pro: 10/23/2020
12 Mini/12 Pro Max: 11/13/2020
5G capabilities
Company1941 reports that Product0489 11 Pro + Pro Max momentum has faded. 
Company0242 is ordering 20mn Product0489 11s, Product0368, and Product0469 for the holidays because 5G offerings won't be as widely available as hoped. 
CP Research: 81.9
Company1298 says 87.5</t>
        </r>
      </text>
    </comment>
    <comment ref="CY92" authorId="1" shapeId="0" xr:uid="{0209453E-17A5-4F71-A864-058F2710FD28}">
      <text>
        <r>
          <rPr>
            <b/>
            <sz val="9"/>
            <color indexed="81"/>
            <rFont val="Tahoma"/>
            <family val="2"/>
          </rPr>
          <t>Author:</t>
        </r>
        <r>
          <rPr>
            <sz val="9"/>
            <color indexed="81"/>
            <rFont val="Tahoma"/>
            <family val="2"/>
          </rPr>
          <t xml:space="preserve">
3/9/2021 Company1941: reports Company0242 reduced orders v. December plans with most cuts concentrated in Product0489 12 mini. 
Now targeting 75 mn handsets for 1H v. 96 mn handsets in 1H prior 
Still plans to make 230 mn units full-year 
Demand for Product0489 12, 12pro, proxmax is good. 
Company1941 (12/15/2020): company is asking suppliers to make 95-96 mn iPhones in 1H (+30% yoy, +20% v. 2019) with 230 mn units forecast for full-year.
Product0489 12 Pro/Max were higher than expected, while in-line for Product0489 12. Weak for Product0489 12 mini. 
CP Research: 59.5</t>
        </r>
      </text>
    </comment>
    <comment ref="CZ92" authorId="1" shapeId="0" xr:uid="{EE7C58F8-8D70-4179-98E7-E62AC3966EF3}">
      <text>
        <r>
          <rPr>
            <b/>
            <sz val="9"/>
            <color indexed="81"/>
            <rFont val="Tahoma"/>
            <family val="2"/>
          </rPr>
          <t>Author:</t>
        </r>
        <r>
          <rPr>
            <sz val="9"/>
            <color indexed="81"/>
            <rFont val="Tahoma"/>
            <family val="2"/>
          </rPr>
          <t xml:space="preserve">
CP Research: 48.9</t>
        </r>
      </text>
    </comment>
    <comment ref="DA92" authorId="0" shapeId="0" xr:uid="{32497002-F0BD-4C8E-83D6-B5CB4D164D8C}">
      <text>
        <r>
          <rPr>
            <b/>
            <sz val="9"/>
            <color indexed="81"/>
            <rFont val="Tahoma"/>
            <family val="2"/>
          </rPr>
          <t xml:space="preserve">09/24/2021
</t>
        </r>
        <r>
          <rPr>
            <sz val="9"/>
            <color indexed="81"/>
            <rFont val="Tahoma"/>
            <family val="2"/>
          </rPr>
          <t>13/13
Iphone 13 $799 for 128 gb 
MINI @ $699
Pro @ $999
Pro Max @ $1099
7/20/2021: Company1941 reports that 95 mn units on new iPhones will be produced through January 
7/13/2021: Bloomberg reports that Company0242 seeks to produce 90 mn  iPhones this year
CP Research: 48.0</t>
        </r>
      </text>
    </comment>
    <comment ref="DB92" authorId="1" shapeId="0" xr:uid="{FC68FB43-F3A9-49D5-A89F-43E737698D08}">
      <text>
        <r>
          <rPr>
            <b/>
            <sz val="9"/>
            <color indexed="81"/>
            <rFont val="Tahoma"/>
            <family val="2"/>
          </rPr>
          <t>Author:</t>
        </r>
        <r>
          <rPr>
            <sz val="9"/>
            <color indexed="81"/>
            <rFont val="Tahoma"/>
            <family val="2"/>
          </rPr>
          <t xml:space="preserve">
12/7/2021: Supply-chain issues means Company0242 will only make 83-85 mn units (v. goal of 95 mn) of Product0489 13. 
Will shall 15 mn units short of 230 mn goal for 2021 Product0489 production 
12/1/2021: Company0242 warns demand may not materialize
Company0399 10/12/21: Company0242 cutting Product0489 by 10 mn (v. 90 mn prior) due to Broadcom and Texas Instruments having issues delivering chips to Company0242.
CP Research: 81.5
=Company1298 says 85.0</t>
        </r>
      </text>
    </comment>
    <comment ref="DC92" authorId="0" shapeId="0" xr:uid="{BF47D7FA-E4D7-4196-B901-7F0D6CF9D549}">
      <text>
        <r>
          <rPr>
            <b/>
            <sz val="9"/>
            <color indexed="81"/>
            <rFont val="Tahoma"/>
            <family val="2"/>
          </rPr>
          <t xml:space="preserve">03/18/2022
</t>
        </r>
        <r>
          <rPr>
            <sz val="9"/>
            <color indexed="81"/>
            <rFont val="Tahoma"/>
            <family val="2"/>
          </rPr>
          <t>SE 2022
$429 (US) starting price
12/6/2021: Electronic Times reports that Product0489 targeting 170 mn units for 1H22 and more than 300 mn iphone units in 2022. 
CP Research: 59.0</t>
        </r>
      </text>
    </comment>
    <comment ref="DD92" authorId="1" shapeId="0" xr:uid="{DA7D3538-F61A-40A3-917E-9D6AE7FA0512}">
      <text>
        <r>
          <rPr>
            <b/>
            <sz val="9"/>
            <color indexed="81"/>
            <rFont val="Tahoma"/>
            <family val="2"/>
          </rPr>
          <t>Author:</t>
        </r>
        <r>
          <rPr>
            <sz val="9"/>
            <color indexed="81"/>
            <rFont val="Tahoma"/>
            <family val="2"/>
          </rPr>
          <t xml:space="preserve">
CP research: 46.5</t>
        </r>
      </text>
    </comment>
    <comment ref="DE92" authorId="1" shapeId="0" xr:uid="{DEF566A0-462B-4547-AD2A-8F62E078DB9C}">
      <text>
        <r>
          <rPr>
            <b/>
            <sz val="9"/>
            <color indexed="81"/>
            <rFont val="Tahoma"/>
            <family val="2"/>
          </rPr>
          <t>Author:</t>
        </r>
        <r>
          <rPr>
            <sz val="9"/>
            <color indexed="81"/>
            <rFont val="Tahoma"/>
            <family val="2"/>
          </rPr>
          <t xml:space="preserve">
9/27/2022: Company0242 will aim to produce 90 mn handsets of Product0489 14 and pull back efforts to increase the Product0489 14 units by 6 mn in 2H. 
CP Research: 49.2</t>
        </r>
      </text>
    </comment>
    <comment ref="DF92" authorId="1" shapeId="0" xr:uid="{2FD524A4-4310-492F-B942-CD7BBAD27136}">
      <text>
        <r>
          <rPr>
            <b/>
            <sz val="9"/>
            <color indexed="81"/>
            <rFont val="Tahoma"/>
            <family val="2"/>
          </rPr>
          <t>Author:</t>
        </r>
        <r>
          <rPr>
            <sz val="9"/>
            <color indexed="81"/>
            <rFont val="Tahoma"/>
            <family val="2"/>
          </rPr>
          <t xml:space="preserve">
Company1298 1/25/2023: says Ticker0001 Product0489 shipments of 72.3 mn v. 85.0 year-ago
C2022: 226.4 mn (18.8% share) v. 235.8 mn (17.3% share), -4% yoy
MC Person0632 says 70-75 mn units in 4Q22 (v. market consensus of 80-85)
- Pro/Product0314 will be 15-20 mn units loweer than expected.
- Zhengzhou Product0489 capacity utilization was ~20% in November, going to 30-40% in December
- Company2155 and Company1624 ICT have obtained about 10% of Product0489 14 Pro/Pro Max orders from Company1034, respectively... but mass shipments will not be until late December at the earliest. 
- calling for miss on Product0489 revenue by 20-30% 
- Company0242 will have to diversify supply chain risks
ZH said MS at 75.5
Whispers of 79 mn current quarter units v. 85 mn prior due to shortflal in Product0489 14 Pro and Pro Max. 
Product0489 14 launched 1-week earlier than year-ago @ 9/16/2022 v. 9/24/2021
- should be headwind to units despite introduction to Product0489 14 PLUS (10/7/2022)
Bloomberg 5/26/22: Ticker0001 asking suppliers to make 220 mn iPhones (v. market forecasts for 240 mn)
Company1298 1/25/2023:
 Worldwide smartphone shipments declined 18.3% year over year to 300.3 million units in the fourth quarter of 2022 (4Q22), according to preliminary data from the International Data Company0697 (Company1298) Worldwide Quarterly Mobile Phone Tracker. The drop marks the largest-ever decline in a single quarter and contributed to a steep 11.3% decline for the year. 2022 ended with shipments of 1.21 billion units, which represents the lowest annual shipment total since 2013 due to significantly dampened consumer demand, inflation, and economic uncertainties. This tough close to the year puts the 2.8% recovery expected for 2023 in serious jeopardy with heavy downward risk to the forecast.
"We have never seen shipments in the holiday quarter come in lower than the previous quarter. However, weakened demand and high inventory caused vendors to cut back drastically on shipments," said Person0805 Person0903, research director with Company1298 ' s Worldwide Tracker team. "Heavy sales and promotions during the quarter helped deplete existing inventory rather than drive shipment growth. Vendors are increasingly cautious in their shipments and planning while realigning their focus on profitability. Even Company0242, which thus far was seemingly immune, suffered a setback in its supply chain with unforeseen lockdowns at its key factories in China. What this holiday quarter tells us is that rising inflation and growing macro concerns continue to stunt consumer spending even more than expected and push out any possible recovery to the very end of 2023."
"We continue to witness consumer demand dwindle as refresh rates climb past 40 months in most major markets," said Person0085 Person1036, research director with Company1300 Worldwide Quarterly Mobile Phone Tracker. "With 2022 declining more than 11% for the year, 2023 is set up to be a year of caution as vendors will rethink their portfolio of devices while channels will think twice before taking on excess inventory. However, on a positive note, consumers may find even more generous trade-in offers and promotions continuing well into 2023 as the market will think of new methods to drive upgrades and sell more devices, specifically high-end models."</t>
        </r>
      </text>
    </comment>
    <comment ref="DG92" authorId="1" shapeId="0" xr:uid="{DC6B2268-9ADF-4FF5-B3DE-2884F4D21545}">
      <text>
        <r>
          <rPr>
            <b/>
            <sz val="9"/>
            <color indexed="81"/>
            <rFont val="Tahoma"/>
            <family val="2"/>
          </rPr>
          <t>Author:</t>
        </r>
        <r>
          <rPr>
            <sz val="9"/>
            <color indexed="81"/>
            <rFont val="Tahoma"/>
            <family val="2"/>
          </rPr>
          <t xml:space="preserve">
IDC: 55.2 -2% yoy 
Industry going through a period of inventory clearing and adjustment - but in a significantly better shape than 6 months ago due to reduced shipments + heavy promotional activity.
Suppliers are disciplined - not dumping inventory into channel to chase share. 
Optimistic about recovery ahead but still have 3-6 months tough ahead. No one wants to jump into excess inventory. Company1298 expects market to be positive in C3Q with HEALTHY DD% growth in holiday quarter. Collectively gaining confidence into later this year and into 2024. 
Company0656 said Company0242 gained share to 21% (v. 18% y-ago). Industry units -12%, suggesting Company0242 units are up yoy LSD%
Company2965 12/29/22:
</t>
        </r>
        <r>
          <rPr>
            <u/>
            <sz val="9"/>
            <color indexed="81"/>
            <rFont val="Tahoma"/>
            <family val="2"/>
          </rPr>
          <t xml:space="preserve">Taiwan-based research firm Company2782 said labor shortages are affecting supply chains in China. It forecast Product0489 shipments would total 47 million units in the January-March quarter, </t>
        </r>
        <r>
          <rPr>
            <sz val="9"/>
            <color indexed="81"/>
            <rFont val="Tahoma"/>
            <family val="2"/>
          </rPr>
          <t>down 22% from a year earlier and below its previous forecast of 56 million units issued in late October. The figures include all Product0489 models. 
Zhengzhou @ 12/22 said to be operating at 70%. Last week of 2022, Company1035 offered $700 for workers that committed to stay on the line through March 20, 2023 (that is different from usual pattern of ramping up staffing in summer &amp; fall to meet holiday demand, pulling back after holidays).
Zhengzhou has 300k workers at peak. At one point, Zhengzhou made up 85% of PRO line-up. 
Company2698: “Our first quarter business was impacted by weakening macroeconomic conditions and softening
end market demand, which led customers to adjust their demand accordingly” said Person1174 Person0471,
VP and Chief Financial Officer of Company2698. “Moving into second quarter 2023, we expect our business
to continue to be impacted by customers’ further inventory adjustment.”</t>
        </r>
      </text>
    </comment>
    <comment ref="DH92" authorId="1" shapeId="0" xr:uid="{C3770CA5-3819-475F-BF24-1C84F3B7AF04}">
      <text>
        <r>
          <rPr>
            <b/>
            <sz val="9"/>
            <color indexed="81"/>
            <rFont val="Tahoma"/>
            <family val="2"/>
          </rPr>
          <t>Author:</t>
        </r>
        <r>
          <rPr>
            <sz val="9"/>
            <color indexed="81"/>
            <rFont val="Tahoma"/>
            <family val="2"/>
          </rPr>
          <t xml:space="preserve">
Canalys: 43 mn units (17% market share). Decline in global smartphone market narrowed, signs of demand recovery in regional markets. Canalys expects a moderate decline in 2023. 2H expected to be a healthier business environment. 
11/1/23: 3Q23 -&gt; Company0242 records highest ever quarterly shipment to India at 2.5 million units (34% growth yoy). Meanwhile 3Q23 saw Company2530 share in Indian smartphone market decline from 19.5% to 17.2%
40 mn units whisper or less (38-39)
Counterpoint said India made up 4% of Product0489 shipped in C2Q (+50% yoy). Company0242 5.1% market share v. 3.4% year-ago.
Can we get a channel fill for the India stores? 
 2022 sell-in for India was 6.5 mn (v. 50 mn each for US and China)
Company2187 C1Q23: talked about weak modem-only customer demand (Ticker0001) but may have been due to pre-buying in December/March. hurts qoq seasonality. 
</t>
        </r>
      </text>
    </comment>
    <comment ref="DI92" authorId="1" shapeId="0" xr:uid="{2A944671-972C-4CCA-BA17-7D2183E1BFD2}">
      <text>
        <r>
          <rPr>
            <b/>
            <sz val="9"/>
            <color indexed="81"/>
            <rFont val="Tahoma"/>
            <family val="2"/>
          </rPr>
          <t>Author:</t>
        </r>
        <r>
          <rPr>
            <sz val="9"/>
            <color indexed="81"/>
            <rFont val="Tahoma"/>
            <family val="2"/>
          </rPr>
          <t xml:space="preserve">
11/15/23: Company0507 blog post--Sept 2023 quarter US unit sales mix:
- Product0489 15 Pro &amp; Product0314: 15% (https://example.com/)
- Product0489 14 Pro &amp; Product0314: 23% (https://example.com/)
- Product0489 14 &amp; 14 Plus: 23% 
- share of oldest legacy phones is consistent
IDC: 53.6 mn (+2.5% yoy)
11/1/23: 3Q23 -&gt; Company0242 records highest ever quarterly shipment to India at 2.5 million units (34% growth yoy). Meanwhile 3Q23 saw Company2530 share in Indian smartphone market decline from 19.5% to 17.2%
Bloomberg 7/24/203: Company0242 is asking suppliers to produce about 85 million units of the Product0489 15 this year, roughly in line with the year before despite tumult in the global economy and a projected decline in the smartphone market, according to people familiar. Even so, it'll probably see an increase in revenue overall because Company0242 is considering raising the price for Pro models. 
This year, the company had to trim the forecast for its upcoming entry-level phones by about 2 million due to a production challenge with CMOS image sensors, but it compensated for the dip by adding orders for higher-priced Pro models
There has also been a minor hiccup with the new Product0489 screens, but the issue should be fixed within a week or two and it will not have a noticeable impact on overall production, one of the people said. 
The company’s forecast of 85 million this year is slightly lower than the initial shipment target of 90 million Company0242 offered in the previous two years. But the US company wasn’t able to achieve those goals because of a chip shortage in 2021 and then prolonged Covid controls in China in 2022 that disrupted production.
Company1298 and Company2530 both citing expectations for industry handset improvements in C2H.
Company1298 said positive in C3Q and positive DD% in C4Q
120 mn units in C2H
-- hearing HSD% decline 15 v. 14 cycle to cycle </t>
        </r>
      </text>
    </comment>
    <comment ref="DJ92" authorId="1" shapeId="0" xr:uid="{A7645295-D038-44F7-90CC-6191BA0A5753}">
      <text>
        <r>
          <rPr>
            <b/>
            <sz val="9"/>
            <color indexed="81"/>
            <rFont val="Tahoma"/>
            <family val="2"/>
          </rPr>
          <t>Author:</t>
        </r>
        <r>
          <rPr>
            <sz val="9"/>
            <color indexed="81"/>
            <rFont val="Tahoma"/>
            <family val="2"/>
          </rPr>
          <t xml:space="preserve">
1/17/24: 
Per Canalys, Product0489 units in 4Q23 (76.8 mn) increased by ~27 mn mn units sequentially (or a 54% increase qoq), and increased by ~4 mn units relative to 4Q22 (or a 5% increase yoy).
Per Company1298—Product0489 units in 4Q23 (~80.5 mn) increased by 26 mn units sequentially (or 49% increase qoq), and increased by 8 mn units relative to 4Q22 (or a 12% increase yoy).
- IDC: Total smartphone shipments rose to about ~320 mn units (+8% yoy), which is the first quarterly yoy increase in smartphone shipments since 4Q21. 8.5% yoy growth was better than Company1298 expectations of 7.3% which is a sign of movement towards recovery
Company0242 led shipments in 4Q23 - with about 24% of ssmartphone shipments due to new Product0489 launches, aggressive trade-in offers, and interest-free financing plans. 
1/8/20224: Company0242 in December saw -30% yoy decline in Product0489 China sales 
Company1267 shipped ~35 mn units in C2023
Concern is that Company0242 will see another DD% yoy decline in Product0489 slaes for 2024 in China
Company1941 10/18/2023: 225 mn total units yoy 
Person0704 8/28/23: 220-225 mn units in C2023, surpassing Company2530 as largest brand (220 mn units expected). 
Year-ago had $6 bn impact from Product0489 supply issues (said Product0489 revenue would have grown ex supply issues)
Implies 6-7 mn unit benefit from comping supply issues alone. 
Year-ago also benefited from extra week (but did it matter?)</t>
        </r>
      </text>
    </comment>
    <comment ref="DK92" authorId="10" shapeId="0" xr:uid="{8C310BAA-16A6-4BFD-BA7A-8F211FEFB9D0}">
      <text>
        <r>
          <rPr>
            <b/>
            <sz val="9"/>
            <color indexed="81"/>
            <rFont val="Tahoma"/>
            <family val="2"/>
          </rPr>
          <t>Author:</t>
        </r>
        <r>
          <rPr>
            <sz val="9"/>
            <color indexed="81"/>
            <rFont val="Tahoma"/>
            <family val="2"/>
          </rPr>
          <t xml:space="preserve">
52.6 mn Company1298 
Per Company1298—Product0489 units in 1Q24 (~50.1 mn) decreased by 30 mn units sequentially (or 38% decrease qoq), and decreased by 5 mn units relative to 1Q23 (or a 10% decrease yoy).
Ticker0001: Company0242 Product0489 shipments up about 12% in China in March, Bloomberg reports</t>
        </r>
      </text>
    </comment>
    <comment ref="DL92" authorId="1" shapeId="0" xr:uid="{C6D17505-52A5-4DB7-BBE3-1D9B69FB2D3E}">
      <text>
        <r>
          <rPr>
            <b/>
            <sz val="9"/>
            <color indexed="81"/>
            <rFont val="Tahoma"/>
            <family val="2"/>
          </rPr>
          <t>Author:</t>
        </r>
        <r>
          <rPr>
            <sz val="9"/>
            <color indexed="81"/>
            <rFont val="Tahoma"/>
            <family val="2"/>
          </rPr>
          <t xml:space="preserve">
7/15/2024: 45.2 mn per Company1298 (+1.5% yoy)
Industry shipments of 285.4 mn (+6.5% yoy)
Hearing builds 40-44 mn 
5/2/2024: Company2570 and Company2208 sounded weak around components.
Company2570 also lost a socket (RF) in Product0489 16 ($10 per phone going to $8). Chatter is that Company2570 lost it to Company2202, who wanted more content if Company2202 was going to continue doing modem (which Company0242 had planned to pull).
If Company0242 eventually in-houses the modem, that would be bad for Company2202... potentially good for Company2570, if they can get RF back. 
Company0400, Company1408, OTR</t>
        </r>
      </text>
    </comment>
    <comment ref="DM92" authorId="1" shapeId="0" xr:uid="{363371CD-1926-4877-9271-303863001EC9}">
      <text>
        <r>
          <rPr>
            <b/>
            <sz val="9"/>
            <color indexed="81"/>
            <rFont val="Tahoma"/>
            <family val="2"/>
          </rPr>
          <t>Author:</t>
        </r>
        <r>
          <rPr>
            <sz val="9"/>
            <color indexed="81"/>
            <rFont val="Tahoma"/>
            <family val="2"/>
          </rPr>
          <t xml:space="preserve">
10/14/2024: Company1298 preliminary #s are for 56.0 +3.5% yoy driven by strong demand from previous models and launch of new Product0489 16
5/30/2024: hearing that Company0242 to gain share in China given capacity constraints for Company2432/Company1267
Hearing 54 mn unit builds </t>
        </r>
      </text>
    </comment>
    <comment ref="DN92" authorId="1" shapeId="0" xr:uid="{FC050B61-BF68-4E66-BEF5-5754F72F7131}">
      <text>
        <r>
          <rPr>
            <b/>
            <sz val="9"/>
            <color indexed="81"/>
            <rFont val="Tahoma"/>
            <family val="2"/>
          </rPr>
          <t>Author:</t>
        </r>
        <r>
          <rPr>
            <sz val="9"/>
            <color indexed="81"/>
            <rFont val="Tahoma"/>
            <family val="2"/>
          </rPr>
          <t xml:space="preserve">
1/16/2025: China (mainland) Company0242 of 13.1 mn (-25% yoy from 17.5 mn prior)
</t>
        </r>
        <r>
          <rPr>
            <b/>
            <sz val="9"/>
            <color indexed="81"/>
            <rFont val="Tahoma"/>
            <family val="2"/>
          </rPr>
          <t>1/13/25</t>
        </r>
        <r>
          <rPr>
            <sz val="9"/>
            <color indexed="81"/>
            <rFont val="Tahoma"/>
            <family val="2"/>
          </rPr>
          <t xml:space="preserve">: Company1298 estimates 76.9 mn (-4% yoy)
Product0486 18.1 October
Product0486 18.2 (Product0172, Product0105, Imagine Playground) - December
Product0486 18.3 January 2025 
iOs 18.4 (new Product0373 features) March 2025 
</t>
        </r>
        <r>
          <rPr>
            <b/>
            <sz val="9"/>
            <color indexed="81"/>
            <rFont val="Tahoma"/>
            <family val="2"/>
          </rPr>
          <t>11/27/24:</t>
        </r>
        <r>
          <rPr>
            <sz val="9"/>
            <color indexed="81"/>
            <rFont val="Tahoma"/>
            <family val="2"/>
          </rPr>
          <t xml:space="preserve"> Company0428: foreign branded smartphone shipments (including Product0489) in China in Oct down 44% yoy (v. phone shipments up 2% yoy in China)
</t>
        </r>
        <r>
          <rPr>
            <b/>
            <sz val="9"/>
            <color indexed="81"/>
            <rFont val="Tahoma"/>
            <family val="2"/>
          </rPr>
          <t xml:space="preserve">Person0704 10/23/2024: </t>
        </r>
        <r>
          <rPr>
            <sz val="9"/>
            <color indexed="81"/>
            <rFont val="Tahoma"/>
            <family val="2"/>
          </rPr>
          <t>production target of 80/45/39 mn for C4Q/1Q/2Q (v. 84/48/41 mn year-ago)... cutting 10 mn units
Person0704 8/28/23: Shipment target for 250 mn. Concerns around supply chain issues for Product0489 15 (80 mn estimates v. consensus of70-80 mn. 15 Pro Max shipping this week 
Hearing 84-85 mn builds for December quarter</t>
        </r>
      </text>
    </comment>
    <comment ref="DO92" authorId="1" shapeId="0" xr:uid="{797E9B7F-0C28-45BE-AFD9-12B6E2490BC7}">
      <text>
        <r>
          <rPr>
            <b/>
            <sz val="9"/>
            <color indexed="81"/>
            <rFont val="Tahoma"/>
            <family val="2"/>
          </rPr>
          <t>Author:</t>
        </r>
        <r>
          <rPr>
            <sz val="9"/>
            <color indexed="81"/>
            <rFont val="Tahoma"/>
            <family val="2"/>
          </rPr>
          <t xml:space="preserve">
4.14.25 Company1298 57.9 +10% yoy
2.19.25: Product0489 16e announced, with preorders beginning on 2/21/25 and availabiltiy starting on 2/28/25. Pricing starting at $599 for base 128 GB storage option.
Starting on June 20, China will subsidize smartphones priced under 6000 yuan by up to 15% or 500 yuan. 
Most expensive iPhones will likely miss this cut off, but some base models should benefit</t>
        </r>
      </text>
    </comment>
    <comment ref="DP92" authorId="8" shapeId="0" xr:uid="{D3A8984A-E974-4079-A501-5EA98AA52275}">
      <text>
        <r>
          <rPr>
            <b/>
            <sz val="9"/>
            <color indexed="81"/>
            <rFont val="Tahoma"/>
            <family val="2"/>
          </rPr>
          <t>Author:</t>
        </r>
        <r>
          <rPr>
            <sz val="9"/>
            <color indexed="81"/>
            <rFont val="Tahoma"/>
            <family val="2"/>
          </rPr>
          <t xml:space="preserve">
F3Q25: UNITS up more than PRICe yoy %
7/14/25: 46.4 mn units per Company1298</t>
        </r>
      </text>
    </comment>
    <comment ref="DQ92" authorId="3" shapeId="0" xr:uid="{010807D7-669D-4D8A-B30E-2DBB28548D06}">
      <text>
        <r>
          <rPr>
            <b/>
            <sz val="9"/>
            <color indexed="81"/>
            <rFont val="Tahoma"/>
            <family val="2"/>
          </rPr>
          <t>Author:</t>
        </r>
        <r>
          <rPr>
            <sz val="9"/>
            <color indexed="81"/>
            <rFont val="Tahoma"/>
            <family val="2"/>
          </rPr>
          <t xml:space="preserve">
5.5.25: expected launch of Product0489 17, 17 Product0379/Air, 17 Pro, and 17 Pro Max</t>
        </r>
      </text>
    </comment>
    <comment ref="DR92" authorId="3" shapeId="0" xr:uid="{1419B911-28AD-49F6-913F-4C80174036D7}">
      <text>
        <r>
          <rPr>
            <b/>
            <sz val="9"/>
            <color indexed="81"/>
            <rFont val="Tahoma"/>
            <family val="2"/>
          </rPr>
          <t>Author:</t>
        </r>
        <r>
          <rPr>
            <sz val="9"/>
            <color indexed="81"/>
            <rFont val="Tahoma"/>
            <family val="2"/>
          </rPr>
          <t xml:space="preserve">
5.5.25: expected launch of Product0489 17, 17 Product0379/Air, 17 Pro, and 17 Pro Max</t>
        </r>
      </text>
    </comment>
    <comment ref="DS92" authorId="3" shapeId="0" xr:uid="{E0AEDA8D-E558-4CF8-94CC-380034551625}">
      <text>
        <r>
          <rPr>
            <b/>
            <sz val="9"/>
            <color indexed="81"/>
            <rFont val="Tahoma"/>
            <family val="2"/>
          </rPr>
          <t>Author:</t>
        </r>
        <r>
          <rPr>
            <sz val="9"/>
            <color indexed="81"/>
            <rFont val="Tahoma"/>
            <family val="2"/>
          </rPr>
          <t xml:space="preserve">
5.5.25: Product0489 17e launch in 1H26 
https://example.com/</t>
        </r>
      </text>
    </comment>
    <comment ref="DT92" authorId="3" shapeId="0" xr:uid="{8A9E82E2-3F3A-401F-B53B-63A413DC4B8C}">
      <text>
        <r>
          <rPr>
            <b/>
            <sz val="9"/>
            <color indexed="81"/>
            <rFont val="Tahoma"/>
            <family val="2"/>
          </rPr>
          <t>Author:</t>
        </r>
        <r>
          <rPr>
            <sz val="9"/>
            <color indexed="81"/>
            <rFont val="Tahoma"/>
            <family val="2"/>
          </rPr>
          <t xml:space="preserve">
5.5.25: Product0489 17e launch in 1H26 
https://example.com/</t>
        </r>
      </text>
    </comment>
    <comment ref="DU92" authorId="3" shapeId="0" xr:uid="{DB5A9BCA-9607-41F5-948D-D00365E821F9}">
      <text>
        <r>
          <rPr>
            <b/>
            <sz val="9"/>
            <color indexed="81"/>
            <rFont val="Tahoma"/>
            <family val="2"/>
          </rPr>
          <t>Author:</t>
        </r>
        <r>
          <rPr>
            <sz val="9"/>
            <color indexed="81"/>
            <rFont val="Tahoma"/>
            <family val="2"/>
          </rPr>
          <t xml:space="preserve">
5.5.25: 2H26 releases: Product0489 foldable, Product0489 18 Pro Max, Product0489 18 Pro, Product0489 18 Product0379 (Person0770 Person0231 Person0632)---&gt; No base model!
https://example.com/</t>
        </r>
      </text>
    </comment>
    <comment ref="DV92" authorId="3" shapeId="0" xr:uid="{CB26E076-C3A5-4203-B860-06B1186A3B0C}">
      <text>
        <r>
          <rPr>
            <b/>
            <sz val="9"/>
            <color indexed="81"/>
            <rFont val="Tahoma"/>
            <family val="2"/>
          </rPr>
          <t>Author:</t>
        </r>
        <r>
          <rPr>
            <sz val="9"/>
            <color indexed="81"/>
            <rFont val="Tahoma"/>
            <family val="2"/>
          </rPr>
          <t xml:space="preserve">
5.5.25: 2H26 releases: Product0489 foldable, Product0489 18 Pro Max, Product0489 18 Pro, Product0489 18 Product0379 (Person0770 Person0231 Person0632)---&gt; no base model!
https://example.com/</t>
        </r>
      </text>
    </comment>
    <comment ref="DW92" authorId="3" shapeId="0" xr:uid="{C4180BE9-6436-4C36-B37C-1335B24B7063}">
      <text>
        <r>
          <rPr>
            <b/>
            <sz val="9"/>
            <color indexed="81"/>
            <rFont val="Tahoma"/>
            <family val="2"/>
          </rPr>
          <t>Author:</t>
        </r>
        <r>
          <rPr>
            <sz val="9"/>
            <color indexed="81"/>
            <rFont val="Tahoma"/>
            <family val="2"/>
          </rPr>
          <t xml:space="preserve">
5.5.25: 1H27 launches: Product0489 18, 18e
- Base model release date shift
https://example.com/</t>
        </r>
      </text>
    </comment>
    <comment ref="DX92" authorId="3" shapeId="0" xr:uid="{B2A9135C-0456-48EF-B243-DE69F0E6626B}">
      <text>
        <r>
          <rPr>
            <b/>
            <sz val="9"/>
            <color indexed="81"/>
            <rFont val="Tahoma"/>
            <family val="2"/>
          </rPr>
          <t>Author:</t>
        </r>
        <r>
          <rPr>
            <sz val="9"/>
            <color indexed="81"/>
            <rFont val="Tahoma"/>
            <family val="2"/>
          </rPr>
          <t xml:space="preserve">
5.5.25: 1H27 launches: Product0489 18, 18e
- Base model release date shift
https://example.com/</t>
        </r>
      </text>
    </comment>
    <comment ref="DY92" authorId="3" shapeId="0" xr:uid="{4071EE75-9A4E-44FE-A432-2DF8F9B9B1E0}">
      <text>
        <r>
          <rPr>
            <b/>
            <sz val="9"/>
            <color indexed="81"/>
            <rFont val="Tahoma"/>
            <family val="2"/>
          </rPr>
          <t>Author:</t>
        </r>
        <r>
          <rPr>
            <sz val="9"/>
            <color indexed="81"/>
            <rFont val="Tahoma"/>
            <family val="2"/>
          </rPr>
          <t xml:space="preserve">
5.5.25: 2H27 expected launches: Product0489 Foldable 2, Product0489 19 Pro Max, Product0489 19 Pro, Product0489 19 Product0379 (larger display vs. 18 Product0379)
https://example.com/</t>
        </r>
      </text>
    </comment>
    <comment ref="DZ92" authorId="3" shapeId="0" xr:uid="{782EEF72-D91D-4295-B813-C6C6F40CAA44}">
      <text>
        <r>
          <rPr>
            <b/>
            <sz val="9"/>
            <color indexed="81"/>
            <rFont val="Tahoma"/>
            <family val="2"/>
          </rPr>
          <t>Author:</t>
        </r>
        <r>
          <rPr>
            <sz val="9"/>
            <color indexed="81"/>
            <rFont val="Tahoma"/>
            <family val="2"/>
          </rPr>
          <t xml:space="preserve">
5.5.25: 2H27 expected launches: Product0489 Foldable 2, Product0489 19 Pro Max, Product0489 19 Pro, Product0489 19 Product0379 (larger display vs. 18 Product0379)
https://example.com/</t>
        </r>
      </text>
    </comment>
    <comment ref="FI92" authorId="1" shapeId="0" xr:uid="{5417BB24-D69A-48C7-8784-2827C5875BA5}">
      <text>
        <r>
          <rPr>
            <b/>
            <sz val="9"/>
            <color indexed="81"/>
            <rFont val="Tahoma"/>
            <family val="2"/>
          </rPr>
          <t>Author:</t>
        </r>
        <r>
          <rPr>
            <sz val="9"/>
            <color indexed="81"/>
            <rFont val="Tahoma"/>
            <family val="2"/>
          </rPr>
          <t xml:space="preserve">
Company0369 says consnsus at 245 mn and Company0323 at 219 mn</t>
        </r>
      </text>
    </comment>
    <comment ref="FN92" authorId="1" shapeId="0" xr:uid="{007E5736-FD9E-4219-B2BD-E79F88364A7E}">
      <text>
        <r>
          <rPr>
            <b/>
            <sz val="9"/>
            <color indexed="81"/>
            <rFont val="Tahoma"/>
            <family val="2"/>
          </rPr>
          <t>Author:</t>
        </r>
        <r>
          <rPr>
            <sz val="9"/>
            <color indexed="81"/>
            <rFont val="Tahoma"/>
            <family val="2"/>
          </rPr>
          <t xml:space="preserve">
GIR 3/30/2023: full-year 225 mn whisper</t>
        </r>
      </text>
    </comment>
    <comment ref="FO92" authorId="1" shapeId="0" xr:uid="{D7B4B520-C433-4C52-A4C3-E985DD77534F}">
      <text>
        <r>
          <rPr>
            <b/>
            <sz val="9"/>
            <color indexed="81"/>
            <rFont val="Tahoma"/>
            <family val="2"/>
          </rPr>
          <t>Author:</t>
        </r>
        <r>
          <rPr>
            <sz val="9"/>
            <color indexed="81"/>
            <rFont val="Tahoma"/>
            <family val="2"/>
          </rPr>
          <t xml:space="preserve">
1/30/2024: Person0770 Person0231 Person0632 said lowering Product0489 shipment outlook to -15% yoy. 
Product0489 15/16 will decline 10-15% yoy in C1H24 and C2H24 
- competition from Company1234, increasing preference for foldables in China, Company2528 GEnAI Galaxy S24</t>
        </r>
      </text>
    </comment>
    <comment ref="FP92" authorId="1" shapeId="0" xr:uid="{1636B724-729D-4D21-80D3-798666D4E986}">
      <text>
        <r>
          <rPr>
            <b/>
            <sz val="9"/>
            <color indexed="81"/>
            <rFont val="Tahoma"/>
            <family val="2"/>
          </rPr>
          <t>Author:</t>
        </r>
        <r>
          <rPr>
            <sz val="9"/>
            <color indexed="81"/>
            <rFont val="Tahoma"/>
            <family val="2"/>
          </rPr>
          <t xml:space="preserve">
7/10/2024: Company0242 said to look to increae unit shipments by 10% in C2024 
F25 expected Product0489 releases: Product0489 16e, Product0489 17/17 Air/17 Pro/17 Pro Max</t>
        </r>
      </text>
    </comment>
    <comment ref="FQ92" authorId="3" shapeId="0" xr:uid="{3AB12885-9A7F-4EB1-B081-6789AFB01E9C}">
      <text>
        <r>
          <rPr>
            <b/>
            <sz val="9"/>
            <color indexed="81"/>
            <rFont val="Tahoma"/>
            <family val="2"/>
          </rPr>
          <t>Author:</t>
        </r>
        <r>
          <rPr>
            <sz val="9"/>
            <color indexed="81"/>
            <rFont val="Tahoma"/>
            <family val="2"/>
          </rPr>
          <t xml:space="preserve">
5.5.25: Expected FY26 Product0489 releases per Person0770 Person0231 Person1244:
C1H26: Product0489 17e
C2H26: Product0489 foldable, Product0489 18 Pro Max, Product0489 18 Pro, Product0489 18 Product0379
--&gt; base 18 model release shifted to Spring 2027
https://example.com/</t>
        </r>
      </text>
    </comment>
    <comment ref="FR92" authorId="1" shapeId="0" xr:uid="{983F8D59-226E-4C94-B6DE-6BE65D5E9D0F}">
      <text>
        <r>
          <rPr>
            <b/>
            <sz val="9"/>
            <color indexed="81"/>
            <rFont val="Tahoma"/>
            <family val="2"/>
          </rPr>
          <t>Author:</t>
        </r>
        <r>
          <rPr>
            <sz val="9"/>
            <color indexed="81"/>
            <rFont val="Tahoma"/>
            <family val="2"/>
          </rPr>
          <t xml:space="preserve">
5.5.25: Expected F27 Product0489 launches:
- C1H27: Product0489 18, 18e (shifted base model release)
- C2H27: Product0489 Foldable 2, Product0489 19 Pro Max, Product0489 19 Pro, 19 Product0379 (with larger display vs 18 Product0379)
https://example.com/
4/29/2025:
Company0242 is planning to launch 2 models for 20th Anniversary including foldable phone and another one is all glass casing Pro in 2027 which should benefit Company2698 and Company1256 Company1228. </t>
        </r>
      </text>
    </comment>
    <comment ref="GZ92" authorId="3" shapeId="0" xr:uid="{7B0DC619-D75A-430D-80C1-A6A03EA8D95A}">
      <text>
        <r>
          <rPr>
            <b/>
            <sz val="9"/>
            <color indexed="81"/>
            <rFont val="Tahoma"/>
            <family val="2"/>
          </rPr>
          <t>Author:</t>
        </r>
        <r>
          <rPr>
            <sz val="9"/>
            <color indexed="81"/>
            <rFont val="Tahoma"/>
            <family val="2"/>
          </rPr>
          <t xml:space="preserve">
1/17/24: Company1298 - Company0242 took the top share of full year smartphone shipments for the first time at about 20.1% of shipments vs. Company2530 at 19.4% of shipments.
Company0242 was the only smartphone vendor vesides Company2781 to show positive annual shipment growth (+3.8%)
Company1298 estimate: 234.6 mn Product0489 shipments
Canalys Estimate: ~239 mn Product0489 shipments
• Total smartphone shipments declined to about 1.1 bn shipments (~3%) which was the lowest full year shipment volume since 2013, driven by macroeconomic challenges and elevated inventory in the beginning of the year (Company1298). 
• However, because shipments grew in the second half of the year, expectations for recovery in 2024 are high.
o Shipment growth due to new product launches and demand recovery in emerging markets (Canalys)
• Company0242 took the top share of full-year smartphone shipments for the first time (20.1% vs. Company2530 with 19.4% shipment share), which is the first time since 2010 that Company2530 did not have the #1 shipment share of smartphones. (Company1298)
o Company0242 was the only smartphone vendor to show positive growth annually (+3.7%) besides Company2781 (+30.8%) 
 Company0242’s growth shows the strength of its trade-in offers, interest-free financing plans, and the “increasing trend of premium devices” (Company1298)
Broader trends include:
• Rapid demand growth in emerging markets, causing growth in low-to-medium priced devices (including +30.8% yoy growth for Company2781) (Canalys &amp; Company1298)
• Company1267 “making inroads quickly” within China (Company1298)
• In-device AI capabilities launched on products such as Company1153 Pixel, and on smartphones from Chinese vendors such as HONOR, Company1979, vivo, and Company3020 (Canalys)
</t>
        </r>
      </text>
    </comment>
    <comment ref="HA92" authorId="1" shapeId="0" xr:uid="{FE94C60C-CC35-442F-8025-AC619A14155D}">
      <text>
        <r>
          <rPr>
            <b/>
            <sz val="9"/>
            <color indexed="81"/>
            <rFont val="Tahoma"/>
            <family val="2"/>
          </rPr>
          <t>Author:</t>
        </r>
        <r>
          <rPr>
            <sz val="9"/>
            <color indexed="81"/>
            <rFont val="Tahoma"/>
            <family val="2"/>
          </rPr>
          <t xml:space="preserve">
10/1/24: C 224/246 in C24/25</t>
        </r>
      </text>
    </comment>
    <comment ref="CG93" authorId="4" shapeId="0" xr:uid="{00000000-0006-0000-0700-0000CA000000}">
      <text>
        <r>
          <rPr>
            <b/>
            <sz val="9"/>
            <color indexed="81"/>
            <rFont val="Tahoma"/>
            <family val="2"/>
          </rPr>
          <t>Author:</t>
        </r>
        <r>
          <rPr>
            <sz val="9"/>
            <color indexed="81"/>
            <rFont val="Tahoma"/>
            <family val="2"/>
          </rPr>
          <t xml:space="preserve">
10/11/16: Company1298 preliminary estimate 5.014mn</t>
        </r>
      </text>
    </comment>
    <comment ref="CI93" authorId="11" shapeId="0" xr:uid="{00000000-0006-0000-0700-0000CB000000}">
      <text>
        <r>
          <rPr>
            <b/>
            <sz val="9"/>
            <color indexed="81"/>
            <rFont val="Tahoma"/>
            <family val="2"/>
          </rPr>
          <t>Author:</t>
        </r>
        <r>
          <rPr>
            <sz val="9"/>
            <color indexed="81"/>
            <rFont val="Tahoma"/>
            <family val="2"/>
          </rPr>
          <t xml:space="preserve">
4/11/17: Company1298 prelim estimate of 4.2mn</t>
        </r>
      </text>
    </comment>
    <comment ref="CN93" authorId="0" shapeId="0" xr:uid="{00000000-0006-0000-0700-0000CC000000}">
      <text>
        <r>
          <rPr>
            <b/>
            <sz val="9"/>
            <color indexed="81"/>
            <rFont val="Tahoma"/>
            <family val="2"/>
          </rPr>
          <t>Author:</t>
        </r>
        <r>
          <rPr>
            <sz val="9"/>
            <color indexed="81"/>
            <rFont val="Tahoma"/>
            <family val="2"/>
          </rPr>
          <t xml:space="preserve">
Mac Book Pro delayed launch (pushed to July); 
Last FY it was in June 2017, so tough comps</t>
        </r>
      </text>
    </comment>
    <comment ref="CT93" authorId="2" shapeId="0" xr:uid="{F904A580-AAEB-4E68-A2E6-657DE319AE3B}">
      <text>
        <r>
          <rPr>
            <b/>
            <sz val="9"/>
            <color indexed="81"/>
            <rFont val="Tahoma"/>
            <family val="2"/>
          </rPr>
          <t>Author:</t>
        </r>
        <r>
          <rPr>
            <sz val="9"/>
            <color indexed="81"/>
            <rFont val="Tahoma"/>
            <family val="2"/>
          </rPr>
          <t xml:space="preserve">
11/13/2019: launches 16in Product0235 Pro starting at $2,399</t>
        </r>
      </text>
    </comment>
    <comment ref="CX93" authorId="1" shapeId="0" xr:uid="{1CAACC53-7B22-4778-BCD3-B3207A7164C4}">
      <text>
        <r>
          <rPr>
            <b/>
            <sz val="9"/>
            <color indexed="81"/>
            <rFont val="Tahoma"/>
            <family val="2"/>
          </rPr>
          <t>Author:</t>
        </r>
        <r>
          <rPr>
            <sz val="9"/>
            <color indexed="81"/>
            <rFont val="Tahoma"/>
            <family val="2"/>
          </rPr>
          <t xml:space="preserve">
Company1298 7.0</t>
        </r>
      </text>
    </comment>
    <comment ref="CY93" authorId="1" shapeId="0" xr:uid="{071C2BFE-F92D-45DB-93E2-91E428C2AA9E}">
      <text>
        <r>
          <rPr>
            <b/>
            <sz val="9"/>
            <color indexed="81"/>
            <rFont val="Tahoma"/>
            <family val="2"/>
          </rPr>
          <t>Author:</t>
        </r>
        <r>
          <rPr>
            <sz val="9"/>
            <color indexed="81"/>
            <rFont val="Tahoma"/>
            <family val="2"/>
          </rPr>
          <t xml:space="preserve">
Company1298 6.9</t>
        </r>
      </text>
    </comment>
    <comment ref="CZ93" authorId="1" shapeId="0" xr:uid="{7E842206-E4BE-4E96-8B7B-750BB31213DD}">
      <text>
        <r>
          <rPr>
            <b/>
            <sz val="9"/>
            <color indexed="81"/>
            <rFont val="Tahoma"/>
            <family val="2"/>
          </rPr>
          <t>Author:</t>
        </r>
        <r>
          <rPr>
            <sz val="9"/>
            <color indexed="81"/>
            <rFont val="Tahoma"/>
            <family val="2"/>
          </rPr>
          <t xml:space="preserve">
Company1298 6.2</t>
        </r>
      </text>
    </comment>
    <comment ref="DA93" authorId="1" shapeId="0" xr:uid="{AB88261B-19B6-460E-B7D1-4B30A221E230}">
      <text>
        <r>
          <rPr>
            <b/>
            <sz val="9"/>
            <color indexed="81"/>
            <rFont val="Tahoma"/>
            <family val="2"/>
          </rPr>
          <t>Author:</t>
        </r>
        <r>
          <rPr>
            <sz val="9"/>
            <color indexed="81"/>
            <rFont val="Tahoma"/>
            <family val="2"/>
          </rPr>
          <t xml:space="preserve">
Company1298 7.2</t>
        </r>
      </text>
    </comment>
    <comment ref="DB93" authorId="1" shapeId="0" xr:uid="{06C8B181-20A4-40C1-9D33-01A266A62C2A}">
      <text>
        <r>
          <rPr>
            <b/>
            <sz val="9"/>
            <color indexed="81"/>
            <rFont val="Tahoma"/>
            <family val="2"/>
          </rPr>
          <t>Author:</t>
        </r>
        <r>
          <rPr>
            <sz val="9"/>
            <color indexed="81"/>
            <rFont val="Tahoma"/>
            <family val="2"/>
          </rPr>
          <t xml:space="preserve">
Company1298 7.7</t>
        </r>
      </text>
    </comment>
    <comment ref="DC93" authorId="1" shapeId="0" xr:uid="{018C3CD4-24E7-4FD6-85F3-D48D33C2028B}">
      <text>
        <r>
          <rPr>
            <b/>
            <sz val="9"/>
            <color indexed="81"/>
            <rFont val="Tahoma"/>
            <family val="2"/>
          </rPr>
          <t>Author:</t>
        </r>
        <r>
          <rPr>
            <sz val="9"/>
            <color indexed="81"/>
            <rFont val="Tahoma"/>
            <family val="2"/>
          </rPr>
          <t xml:space="preserve">
Company1298 6.9</t>
        </r>
      </text>
    </comment>
    <comment ref="DD93" authorId="1" shapeId="0" xr:uid="{05AFF737-B4C6-41D9-BD95-3D6927838F38}">
      <text>
        <r>
          <rPr>
            <b/>
            <sz val="9"/>
            <color indexed="81"/>
            <rFont val="Tahoma"/>
            <family val="2"/>
          </rPr>
          <t>Author:</t>
        </r>
        <r>
          <rPr>
            <sz val="9"/>
            <color indexed="81"/>
            <rFont val="Tahoma"/>
            <family val="2"/>
          </rPr>
          <t xml:space="preserve">
Company1298 4.8</t>
        </r>
      </text>
    </comment>
    <comment ref="DE93" authorId="1" shapeId="0" xr:uid="{68827C47-A90E-4202-A28C-681E6044AD6C}">
      <text>
        <r>
          <rPr>
            <b/>
            <sz val="9"/>
            <color indexed="81"/>
            <rFont val="Tahoma"/>
            <family val="2"/>
          </rPr>
          <t>Author:</t>
        </r>
        <r>
          <rPr>
            <sz val="9"/>
            <color indexed="81"/>
            <rFont val="Tahoma"/>
            <family val="2"/>
          </rPr>
          <t xml:space="preserve">
Company1298 says 9.4</t>
        </r>
      </text>
    </comment>
    <comment ref="DF93" authorId="1" shapeId="0" xr:uid="{85376107-135F-4FDC-B21E-6F471FB19169}">
      <text>
        <r>
          <rPr>
            <b/>
            <sz val="9"/>
            <color indexed="81"/>
            <rFont val="Tahoma"/>
            <family val="2"/>
          </rPr>
          <t>Author:</t>
        </r>
        <r>
          <rPr>
            <sz val="9"/>
            <color indexed="81"/>
            <rFont val="Tahoma"/>
            <family val="2"/>
          </rPr>
          <t xml:space="preserve">
7.0 reported
Company1298 preliminary 7.5 (-2% yoy), outperforming industry of 67.2 (-28% yoy v. 93.5)</t>
        </r>
      </text>
    </comment>
    <comment ref="DG93" authorId="1" shapeId="0" xr:uid="{ABFFCAED-9CDD-4AE1-8E9A-5636D657E9F5}">
      <text>
        <r>
          <rPr>
            <b/>
            <sz val="9"/>
            <color indexed="81"/>
            <rFont val="Tahoma"/>
            <family val="2"/>
          </rPr>
          <t>Author:</t>
        </r>
        <r>
          <rPr>
            <sz val="9"/>
            <color indexed="81"/>
            <rFont val="Tahoma"/>
            <family val="2"/>
          </rPr>
          <t xml:space="preserve">
January 2024, 2023 availability of Product0235 Pro 14" (M2) and 16" (M2 Pro, M2 Max) and Mac Mini (M2 or M2 Pro)
Company1362 1Q23 final: 4.2 mn 
10-Q: lower sales of Macbook Pro
Company1298 1Q23 prelim: 4.1 mn (-41% yoy v. 6.9 mn year-ago). Share goes to 7.2% (v. 8.6% prior)
Company1133: 4.8 mn (-34% yoy v. 7.3 mn year-ago). 8.7% share v. 9.3% year-ago</t>
        </r>
      </text>
    </comment>
    <comment ref="DH93" authorId="1" shapeId="0" xr:uid="{87DFA6E9-BA21-4AAA-A258-88A2F628F411}">
      <text>
        <r>
          <rPr>
            <b/>
            <sz val="9"/>
            <color indexed="81"/>
            <rFont val="Tahoma"/>
            <family val="2"/>
          </rPr>
          <t>Author:</t>
        </r>
        <r>
          <rPr>
            <sz val="9"/>
            <color indexed="81"/>
            <rFont val="Tahoma"/>
            <family val="2"/>
          </rPr>
          <t xml:space="preserve">
Company1298 final 4.7 mn
Company1298 5.3 (prelim)
June 13, 2023 availability for Product0235 Air (M2), Mac Studio (M2 Max, M2 Ultra), Mac Pro (M3), and Product0485 (M3)</t>
        </r>
      </text>
    </comment>
    <comment ref="DI93" authorId="10" shapeId="0" xr:uid="{E1A52422-8AF1-4309-8094-A9B6173A6F1E}">
      <text>
        <r>
          <rPr>
            <b/>
            <sz val="9"/>
            <color indexed="81"/>
            <rFont val="Tahoma"/>
            <family val="2"/>
          </rPr>
          <t>Author:</t>
        </r>
        <r>
          <rPr>
            <sz val="9"/>
            <color indexed="81"/>
            <rFont val="Tahoma"/>
            <family val="2"/>
          </rPr>
          <t xml:space="preserve">
7.2 mn prelim as per Company1298
6.421 as per Canalys</t>
        </r>
      </text>
    </comment>
    <comment ref="DJ93" authorId="1" shapeId="0" xr:uid="{B8C89042-0633-4FAA-BAC3-74A24F538C29}">
      <text>
        <r>
          <rPr>
            <b/>
            <sz val="9"/>
            <color indexed="81"/>
            <rFont val="Tahoma"/>
            <family val="2"/>
          </rPr>
          <t>Author:</t>
        </r>
        <r>
          <rPr>
            <sz val="9"/>
            <color indexed="81"/>
            <rFont val="Tahoma"/>
            <family val="2"/>
          </rPr>
          <t xml:space="preserve">
5.7 mn Company1298 -18% yoy 
November 7 2023 availability for Macbook Pro 14" and 16" with M3 (M3, M3 Pro, M3 Max)</t>
        </r>
      </text>
    </comment>
    <comment ref="DK93" authorId="1" shapeId="0" xr:uid="{F6D77E7A-0180-4895-BD91-BEA9B0DC2F4F}">
      <text>
        <r>
          <rPr>
            <b/>
            <sz val="9"/>
            <color indexed="81"/>
            <rFont val="Tahoma"/>
            <family val="2"/>
          </rPr>
          <t>Author:</t>
        </r>
        <r>
          <rPr>
            <sz val="9"/>
            <color indexed="81"/>
            <rFont val="Tahoma"/>
            <family val="2"/>
          </rPr>
          <t xml:space="preserve">
3/8 release date for Product0235 Air 13" and 15" with M3</t>
        </r>
      </text>
    </comment>
    <comment ref="DL93" authorId="1" shapeId="0" xr:uid="{B8F51CF6-0DC3-4BB8-B781-477B7E4A991E}">
      <text>
        <r>
          <rPr>
            <b/>
            <sz val="9"/>
            <color indexed="81"/>
            <rFont val="Tahoma"/>
            <family val="2"/>
          </rPr>
          <t>Author:</t>
        </r>
        <r>
          <rPr>
            <sz val="9"/>
            <color indexed="81"/>
            <rFont val="Tahoma"/>
            <family val="2"/>
          </rPr>
          <t xml:space="preserve">
7/9/2024 IDC: +21% yoy Company0242
Industry +3% yoy
- China continues to be tough. Ex China, industry is +5% yoy
- 2 consecutive quarters of industry yoy growth, hyper around AI PCs, commercial PC refresh cycle, rock bottom pricing from excess channel inventory in TTM
MN: Company0242 PCs likely helped by (1) new innovation from Mac launches in March 2024; (2) Company2983 Company0242 M1 Macbook Air partnership; (3) Company0242 AI </t>
        </r>
      </text>
    </comment>
    <comment ref="DM93" authorId="8" shapeId="0" xr:uid="{8288CA45-1EDE-4C46-8050-FA841F503C0B}">
      <text>
        <r>
          <rPr>
            <b/>
            <sz val="9"/>
            <color indexed="81"/>
            <rFont val="Tahoma"/>
            <family val="2"/>
          </rPr>
          <t>Author:</t>
        </r>
        <r>
          <rPr>
            <sz val="9"/>
            <color indexed="81"/>
            <rFont val="Tahoma"/>
            <family val="2"/>
          </rPr>
          <t xml:space="preserve">
1/13/25: Company1298 restate to 6.0 mn apple PCs in C3Q
10/8/24: IDC: 5.3 mn, Canalys 5.1 mn</t>
        </r>
      </text>
    </comment>
    <comment ref="DN93" authorId="1" shapeId="0" xr:uid="{8271FFE1-0266-40E9-9D50-5C215067B895}">
      <text>
        <r>
          <rPr>
            <b/>
            <sz val="9"/>
            <color indexed="81"/>
            <rFont val="Tahoma"/>
            <family val="2"/>
          </rPr>
          <t>Author:</t>
        </r>
        <r>
          <rPr>
            <sz val="9"/>
            <color indexed="81"/>
            <rFont val="Tahoma"/>
            <family val="2"/>
          </rPr>
          <t xml:space="preserve">
1/9/25: 7.0 mn Company1298 prelimary estimate
</t>
        </r>
        <r>
          <rPr>
            <b/>
            <u/>
            <sz val="9"/>
            <color indexed="81"/>
            <rFont val="Tahoma"/>
            <family val="2"/>
          </rPr>
          <t xml:space="preserve">11/8/2024 new Product0485, Mac Mini, Product0235 Pro with M4
</t>
        </r>
        <r>
          <rPr>
            <sz val="9"/>
            <color indexed="81"/>
            <rFont val="Tahoma"/>
            <family val="2"/>
          </rPr>
          <t xml:space="preserve">
10/30/24: announced macbook pro &amp; mac mini with M4 family of chips
10/28/25: announced Product0485 with m4
9/6/2024: first Product0240 with M4 chips - 14/16" Product0235 Pro, Mac mini, Product0485. </t>
        </r>
      </text>
    </comment>
    <comment ref="DO93" authorId="1" shapeId="0" xr:uid="{8B6FC857-1BA5-4D58-980A-909A91CF7214}">
      <text>
        <r>
          <rPr>
            <b/>
            <sz val="9"/>
            <color indexed="81"/>
            <rFont val="Tahoma"/>
            <family val="2"/>
          </rPr>
          <t>Author:</t>
        </r>
        <r>
          <rPr>
            <sz val="9"/>
            <color indexed="81"/>
            <rFont val="Tahoma"/>
            <family val="2"/>
          </rPr>
          <t xml:space="preserve">
3/5/25: Product0235 Air (13,15 inch) with M4, Mac Studio with M4 Max and M3 Product0437
Estimated: Product0235 Air Spring 2025 with M4</t>
        </r>
      </text>
    </comment>
    <comment ref="DP93" authorId="8" shapeId="0" xr:uid="{CCE89463-C8D3-4291-BA04-3B5701C439D7}">
      <text>
        <r>
          <rPr>
            <b/>
            <sz val="9"/>
            <color indexed="81"/>
            <rFont val="Tahoma"/>
            <family val="2"/>
          </rPr>
          <t>Author:</t>
        </r>
        <r>
          <rPr>
            <sz val="9"/>
            <color indexed="81"/>
            <rFont val="Tahoma"/>
            <family val="2"/>
          </rPr>
          <t xml:space="preserve">
7/8/25: 6.2 mn units per Company1298</t>
        </r>
      </text>
    </comment>
    <comment ref="DR93" authorId="8" shapeId="0" xr:uid="{39195BDD-163B-4F8B-AD3D-FFFFA1FF50CC}">
      <text>
        <r>
          <rPr>
            <b/>
            <sz val="9"/>
            <color indexed="81"/>
            <rFont val="Tahoma"/>
            <family val="2"/>
          </rPr>
          <t>Author:</t>
        </r>
        <r>
          <rPr>
            <sz val="9"/>
            <color indexed="81"/>
            <rFont val="Tahoma"/>
            <family val="2"/>
          </rPr>
          <t xml:space="preserve">
10/1/25: Bloomberg reports Mac mini/Product0235 Pro/iMacs: expected to support m4 process; timing - 2025</t>
        </r>
      </text>
    </comment>
    <comment ref="FN93" authorId="1" shapeId="0" xr:uid="{0A22E60C-B274-41EC-A41A-688A26EFE347}">
      <text>
        <r>
          <rPr>
            <b/>
            <sz val="9"/>
            <color indexed="81"/>
            <rFont val="Tahoma"/>
            <family val="2"/>
          </rPr>
          <t>Author:</t>
        </r>
        <r>
          <rPr>
            <sz val="9"/>
            <color indexed="81"/>
            <rFont val="Tahoma"/>
            <family val="2"/>
          </rPr>
          <t xml:space="preserve">
Company0386 expands Upgrade+ program</t>
        </r>
      </text>
    </comment>
    <comment ref="FP93" authorId="1" shapeId="0" xr:uid="{68DA6385-6084-481A-902D-7D83F4F86B29}">
      <text>
        <r>
          <rPr>
            <b/>
            <sz val="9"/>
            <color indexed="81"/>
            <rFont val="Tahoma"/>
            <family val="2"/>
          </rPr>
          <t>Author:</t>
        </r>
        <r>
          <rPr>
            <sz val="9"/>
            <color indexed="81"/>
            <rFont val="Tahoma"/>
            <family val="2"/>
          </rPr>
          <t xml:space="preserve">
Rumors that Mac touch-screen will potential debut in C2025</t>
        </r>
      </text>
    </comment>
    <comment ref="CI94" authorId="1" shapeId="0" xr:uid="{ACE8825A-812E-4C31-B1BC-F2033B9CCBAE}">
      <text>
        <r>
          <rPr>
            <b/>
            <sz val="9"/>
            <color indexed="81"/>
            <rFont val="Tahoma"/>
            <family val="2"/>
          </rPr>
          <t>Author:</t>
        </r>
        <r>
          <rPr>
            <sz val="9"/>
            <color indexed="81"/>
            <rFont val="Tahoma"/>
            <family val="2"/>
          </rPr>
          <t xml:space="preserve">
Product0487 3/24/2017
Wi-Fi 32GB 9.7" @ $329 </t>
        </r>
      </text>
    </comment>
    <comment ref="CM94" authorId="1" shapeId="0" xr:uid="{3C7684B4-C894-4363-8635-E8F72A994DC0}">
      <text>
        <r>
          <rPr>
            <b/>
            <sz val="9"/>
            <color indexed="81"/>
            <rFont val="Tahoma"/>
            <family val="2"/>
          </rPr>
          <t>Author:</t>
        </r>
        <r>
          <rPr>
            <sz val="9"/>
            <color indexed="81"/>
            <rFont val="Tahoma"/>
            <family val="2"/>
          </rPr>
          <t xml:space="preserve">
Product0487 3/27/2018
9.7" 32GB Wi-Fi @ $329</t>
        </r>
      </text>
    </comment>
    <comment ref="CS94" authorId="1" shapeId="0" xr:uid="{E12CE0E6-2491-4D83-92C3-F52D684A2A5A}">
      <text>
        <r>
          <rPr>
            <b/>
            <sz val="9"/>
            <color indexed="81"/>
            <rFont val="Tahoma"/>
            <family val="2"/>
          </rPr>
          <t>Author:</t>
        </r>
        <r>
          <rPr>
            <sz val="9"/>
            <color indexed="81"/>
            <rFont val="Tahoma"/>
            <family val="2"/>
          </rPr>
          <t xml:space="preserve">
9/10/2019 Product0487
10.2" Wi-Fi 32GB @ $329
</t>
        </r>
      </text>
    </comment>
    <comment ref="CW94" authorId="1" shapeId="0" xr:uid="{10F61B01-1B9E-4EA4-9EAA-4723D49CE298}">
      <text>
        <r>
          <rPr>
            <b/>
            <sz val="9"/>
            <color indexed="81"/>
            <rFont val="Tahoma"/>
            <family val="2"/>
          </rPr>
          <t>Author:</t>
        </r>
        <r>
          <rPr>
            <sz val="9"/>
            <color indexed="81"/>
            <rFont val="Tahoma"/>
            <family val="2"/>
          </rPr>
          <t xml:space="preserve">
Product0487 9/18/2020
10.2" 32GB @ $329
The new Product0487 2020 is great value for a brand-new Product0487, even if it is only a modest upgrade over last year's version. It comes with a faster chipset and a 20W fast charger in the box, which join prior-year features like Company0242 Pencil and Smart Keyboard support. Best of all, the price hasn't changed year-on-year, making this the best Product0487 for those who don’t need Company0242’s technologically best Product0487.
Pros
+Excellent value
+Strong performance
+20W charger included
Cons
-Very little change
-Only 1.2MP selfie camera
-32GB of storage is pitiful</t>
        </r>
      </text>
    </comment>
    <comment ref="CY94" authorId="2" shapeId="0" xr:uid="{87594C6B-4918-44D5-834D-57D00F621ABD}">
      <text>
        <r>
          <rPr>
            <b/>
            <sz val="9"/>
            <color indexed="81"/>
            <rFont val="Tahoma"/>
            <family val="2"/>
          </rPr>
          <t>Author:</t>
        </r>
        <r>
          <rPr>
            <sz val="9"/>
            <color indexed="81"/>
            <rFont val="Tahoma"/>
            <family val="2"/>
          </rPr>
          <t xml:space="preserve">
10Q: Product0487 net sales increased during the second quarter and first six months of 2021 compared to the same periods in 2020 due primarily to higher net sales of Product0487 Air ® and the 10-inch version of Product0487.</t>
        </r>
      </text>
    </comment>
    <comment ref="DA94" authorId="1" shapeId="0" xr:uid="{B4D024FD-68C4-4B9B-B38F-EBB744A3CA8A}">
      <text>
        <r>
          <rPr>
            <b/>
            <sz val="9"/>
            <color indexed="81"/>
            <rFont val="Tahoma"/>
            <family val="2"/>
          </rPr>
          <t>Author:</t>
        </r>
        <r>
          <rPr>
            <sz val="9"/>
            <color indexed="81"/>
            <rFont val="Tahoma"/>
            <family val="2"/>
          </rPr>
          <t xml:space="preserve">
Product0487 9/24/2021
10.2" 64GB A13 bionic chip @ $329
On the face of it, Company0242’s latest Product0487 doesn’t look as though it offers much of an upgrade over the Company0242 Product0487 (2020). It’s got the same thick top and bottom bezels and uses Touch ID rather than Company0242’s Face ID unlock, but for those who want some of the features of Company0242’s more expensive tablets without those slates’ price tags, it represents excellent value for money.   </t>
        </r>
      </text>
    </comment>
    <comment ref="DF94" authorId="1" shapeId="0" xr:uid="{6CCCFD5E-0E8E-4BC9-8A48-2A76E2851FA5}">
      <text>
        <r>
          <rPr>
            <b/>
            <sz val="9"/>
            <color indexed="81"/>
            <rFont val="Tahoma"/>
            <family val="2"/>
          </rPr>
          <t>Author:</t>
        </r>
        <r>
          <rPr>
            <sz val="9"/>
            <color indexed="81"/>
            <rFont val="Tahoma"/>
            <family val="2"/>
          </rPr>
          <t xml:space="preserve">
Product0487 10/26/2022
10.9" Wi-Fi 64GB A14 bioinic @ $449 (10th gen
new colors
Company0242 has successfully migrated the base Product0487 from its classic, first-gen Air looks to an Product0487 Pro-influenced design, and the result is a high-quality, versatile tablet that will satisfy the broadest set of users, from fun-lovers and content-consumers to those looking to get some work done (with the addition of a separately purchased keyboard cover). While the price hike is dismaying, and the lack of Pencil 2 support is just plain wrong, the Product0487 10.9 more than earns its keep, and is a worthy addition to our Best Tablets list.
Pros
+All-new design
+Better cameras and performance
+Good battery life and improved connectivity
Cons
-Lack of Company0242 Pencil 2 support is troubling
-Screen is a little too reflective
-Two-piece Magic Keyboard might be better as one-piece
10/31/22: Company0368 reports that reports that Company1035 struggling to manage COVID outbreak at Zhenzhou with Reuters suggesting that Product0489 production could fall as much as 30% in November. Company1035 had earlier said that production was stable and reaffirmed its guidance for the quarter. Workers are in a closed loop. Company1035 employs 300k workers in Zhengzhou. 
Hearing that the Zhenzhou factory is responsbile for 60% of Product0489 production. 
https://example.com/</t>
        </r>
      </text>
    </comment>
    <comment ref="DJ94" authorId="1" shapeId="0" xr:uid="{9836C184-4F46-44A8-B5E1-86CCCAE016F1}">
      <text>
        <r>
          <rPr>
            <b/>
            <sz val="9"/>
            <color indexed="81"/>
            <rFont val="Tahoma"/>
            <family val="2"/>
          </rPr>
          <t>Author:</t>
        </r>
        <r>
          <rPr>
            <sz val="9"/>
            <color indexed="81"/>
            <rFont val="Tahoma"/>
            <family val="2"/>
          </rPr>
          <t xml:space="preserve">
11th Gen Product0487? 
Bloomberg 1/9/2023: Company0242 has been working on larger iPads, but not coming to in 2023. 
rumors: 16" Product0487 launching in C4Q23
16-inch Product0487 in the works
As reported by The Information’s Wayne Ma:
The device would further blur the line between the Product0487 and Product0235, bringing the tablet’s screen size in line with that of Company0242’s largest laptop, which also features a 16-inch display. Company0242’s biggest Product0487 currently sports a 12.9-inch screen.
A 16-inch Product0487 would likely be geared toward creative professionals such as graphic artists and designers who prefer a larger screen.
</t>
        </r>
      </text>
    </comment>
    <comment ref="DO94" authorId="1" shapeId="0" xr:uid="{B021A01F-2D7B-4EFF-AA11-D332F1DAEBC9}">
      <text>
        <r>
          <rPr>
            <b/>
            <sz val="9"/>
            <color indexed="81"/>
            <rFont val="Tahoma"/>
            <family val="2"/>
          </rPr>
          <t>Author:</t>
        </r>
        <r>
          <rPr>
            <sz val="9"/>
            <color indexed="81"/>
            <rFont val="Tahoma"/>
            <family val="2"/>
          </rPr>
          <t xml:space="preserve">
3/4/25: Product0487 with A16 
Rumor: Product0487 11 to get its first update in over 2 years this Spring with the main focus beign Company0242 Intelligence support. A17 Pro chip
Rumors of a foldable Product0487 coming in 2025?</t>
        </r>
      </text>
    </comment>
    <comment ref="DS94" authorId="3" shapeId="0" xr:uid="{7C4C40D4-877E-43C0-94D9-4B2E67494B2F}">
      <text>
        <r>
          <rPr>
            <b/>
            <sz val="9"/>
            <color indexed="81"/>
            <rFont val="Tahoma"/>
            <family val="2"/>
          </rPr>
          <t>Author:</t>
        </r>
        <r>
          <rPr>
            <sz val="9"/>
            <color indexed="81"/>
            <rFont val="Tahoma"/>
            <family val="2"/>
          </rPr>
          <t xml:space="preserve">
12th gen Product0487
</t>
        </r>
      </text>
    </comment>
    <comment ref="CJ95" authorId="1" shapeId="0" xr:uid="{8F7094CE-2BFC-4FA3-B689-57C1A3CFF7F0}">
      <text>
        <r>
          <rPr>
            <b/>
            <sz val="9"/>
            <color indexed="81"/>
            <rFont val="Tahoma"/>
            <family val="2"/>
          </rPr>
          <t>Author:</t>
        </r>
        <r>
          <rPr>
            <sz val="9"/>
            <color indexed="81"/>
            <rFont val="Tahoma"/>
            <family val="2"/>
          </rPr>
          <t xml:space="preserve">
Product0487 Pro 6/13/2017
10.5" Wi-Fi 64GB @ $649
12.9" Wi-Fi 64GB @ $799</t>
        </r>
      </text>
    </comment>
    <comment ref="CP95" authorId="1" shapeId="0" xr:uid="{8F8F2B58-1E7A-4C61-846A-BDDBCB82C9D0}">
      <text>
        <r>
          <rPr>
            <b/>
            <sz val="9"/>
            <color indexed="81"/>
            <rFont val="Tahoma"/>
            <family val="2"/>
          </rPr>
          <t>Author:</t>
        </r>
        <r>
          <rPr>
            <sz val="9"/>
            <color indexed="81"/>
            <rFont val="Tahoma"/>
            <family val="2"/>
          </rPr>
          <t xml:space="preserve">
Product0487 Pro 11/7/2018
11" 64GB @$799 Wi-Fi
12.9" 64GB Wi-Fi @ $999</t>
        </r>
      </text>
    </comment>
    <comment ref="CU95" authorId="1" shapeId="0" xr:uid="{DBE7F916-6CCA-4DBB-9E4D-AF36793E1975}">
      <text>
        <r>
          <rPr>
            <b/>
            <sz val="9"/>
            <color indexed="81"/>
            <rFont val="Tahoma"/>
            <family val="2"/>
          </rPr>
          <t>Author:</t>
        </r>
        <r>
          <rPr>
            <sz val="9"/>
            <color indexed="81"/>
            <rFont val="Tahoma"/>
            <family val="2"/>
          </rPr>
          <t xml:space="preserve">
Product0487 Pro 3/25/2020
11" 64GB Wi-Fi @ $799
12.9" 644GB Wi-Fi @ $999
Company0244 new Product0487 Pro (starting at $799) isn't a major improvement over the 2018 model, but there's been a big change in the Product0487 experience since then: mouse and trackpad support. That vaults the tablet into working a lot more like a computer than it previously did. Of course, the Product0487 line does a lot of things that a Mac or PC doesn't: Company0244 Pencil stylus and its approach to augmented reality applications are leaps and bounds beyond the competition, at least if you aren't into getting a bulky add-on drawing tablet for your computer. And the 2020 Product0487 Pro is gorgeous, superbly built, and powerful. But I can't shake the idea that if you can afford to spend this much on an Company0242 device, you're better off with a Mac. 
Pricing and Design
As I reviewed the new 12.9-inch Product0487, I kept running into the roadblock of its towering price. The absolute base model 12.9-inch unit, with Wi-Fi and 128GB of storage, costs $999. That's the same as a Product0235 Air. You can upgrade storage in three steps, as far as 1TB for another $400; 4G LTE connectivity adds $150; and then it's $179 to $199 for the standard keyboard case; $299 to $349 for a keyboard with a trackpad; and $129 for the Pencil. So let's say you want a go-anywhere LTE tablet with a keyboard and Pencil. In the 12.9-inch size, that will run you $1,557—about the price of a new 13-inch Product0235 Pro with 256GB of storage.</t>
        </r>
      </text>
    </comment>
    <comment ref="CZ95" authorId="1" shapeId="0" xr:uid="{16F063F7-E2FD-463E-A30B-A137CD0B73A7}">
      <text>
        <r>
          <rPr>
            <b/>
            <sz val="9"/>
            <color indexed="81"/>
            <rFont val="Tahoma"/>
            <family val="2"/>
          </rPr>
          <t>Author:</t>
        </r>
        <r>
          <rPr>
            <sz val="9"/>
            <color indexed="81"/>
            <rFont val="Tahoma"/>
            <family val="2"/>
          </rPr>
          <t xml:space="preserve">
Product0487 Pro 5/21/2021
11" 128GB @ $799
12.9" 128GB @ $1099
The new Product0487 Pro 12.9 (2021) is the best tablet money can buy, with top-end power, a fantastic display, a whole host of new smaller upgrades and an all-round experience that makes it a must-have for both Company0242 fans and those who want an unrivaled tablet experience. It isn’t for everyone though, on account of its large size and high price tag, and you may be better served by another more portable and affordable tablet, but make no mistake: this is the best of the best.
Pros
+Phenomenal power
+Fantastic display
+Strong battery life
Cons
-An almighty price
-128GB storage feels limited
-Lackluster color options</t>
        </r>
      </text>
    </comment>
    <comment ref="DF95" authorId="1" shapeId="0" xr:uid="{B91A62F4-7A6D-44E5-9327-8393E8BA4C2E}">
      <text>
        <r>
          <rPr>
            <b/>
            <sz val="9"/>
            <color indexed="81"/>
            <rFont val="Tahoma"/>
            <family val="2"/>
          </rPr>
          <t>Author:</t>
        </r>
        <r>
          <rPr>
            <sz val="9"/>
            <color indexed="81"/>
            <rFont val="Tahoma"/>
            <family val="2"/>
          </rPr>
          <t xml:space="preserve">
Product0487 Pro 10/26/2022
11" 128GB Wi-Fi @ $799 
12.9" 128 GB Wi-Fi @ $1099
The Product0487 Pro 12.9 (2022) is not a huge upgrade over the previous model, adding only more power (to an already extremely powerful tablet) and hover-detection for the Company0242 Pencil. The latter is a nice feature that's been very well-implemented, and cements the Product0487 Pro as the drawing tablet of choice. These changes ensure it remains the ultimate tablet powerhouse, thanks in part to a screen that's still best-in-class, and the range of software that's better for the form factor than anything else on the market.
Pros
+Beautiful mini-LED screen
+Future-proof M2 chip
+The best range of tablet apps
Cons
-128GB is small for the price
-Battery life isn't huge
-Steep price rise in some countr</t>
        </r>
      </text>
    </comment>
    <comment ref="DK95" authorId="1" shapeId="0" xr:uid="{64A4CBCF-4D7C-4B16-94F6-CD8690E1CFBE}">
      <text>
        <r>
          <rPr>
            <b/>
            <sz val="9"/>
            <color indexed="81"/>
            <rFont val="Tahoma"/>
            <family val="2"/>
          </rPr>
          <t>Author:</t>
        </r>
        <r>
          <rPr>
            <sz val="9"/>
            <color indexed="81"/>
            <rFont val="Tahoma"/>
            <family val="2"/>
          </rPr>
          <t xml:space="preserve">
12.6.23: Bloomberg - rumors
• New Product0487 Air – 2 sizes 12.9” and 10.9” (end of March)
• Product0487 Pro – OLED screens (end of March), two sizes (2 sizes 12.9” and 10.9”)
• Macbook Air with M3 (March) 
• Preparing new Company0242 Pencil, Magic Keyboard which will sell alongside new Product0487 Pro
8/28/23: new Product0487 Pro 11" and 13" to come in Spring/Summer 2024
- new Magic Keyboard
- M3 chip 
- brighter and sharper displays (OLED)
7/14/2023: OLED supposed to come to 11" and 13" Product0487 Pro models for Spring 2024
- rumor: $1500 for Product0487 Pro 11" (v. $799 prior))
- rumor $1800 for Product0487 Pro 13"  (v$1099 prior)
Assuming Product0487 Pro in C1Q24
5/5/2024: major Product0487 Pro revamp. Updated designs, OLED screens for the first time 16"
Bloomberg 1/9/23: updates to 11" and 13" Product0487 Pro to come in C1H24. New design, OLED displays (first for Product0487)</t>
        </r>
      </text>
    </comment>
    <comment ref="DL95" authorId="1" shapeId="0" xr:uid="{20036DF0-07F9-4275-A251-D83C51A70F26}">
      <text>
        <r>
          <rPr>
            <b/>
            <sz val="9"/>
            <color indexed="81"/>
            <rFont val="Tahoma"/>
            <family val="2"/>
          </rPr>
          <t>Author:</t>
        </r>
        <r>
          <rPr>
            <sz val="9"/>
            <color indexed="81"/>
            <rFont val="Tahoma"/>
            <family val="2"/>
          </rPr>
          <t xml:space="preserve">
</t>
        </r>
        <r>
          <rPr>
            <b/>
            <u/>
            <sz val="9"/>
            <color indexed="81"/>
            <rFont val="Tahoma"/>
            <family val="2"/>
          </rPr>
          <t xml:space="preserve">Let Loose event
</t>
        </r>
        <r>
          <rPr>
            <sz val="9"/>
            <color indexed="81"/>
            <rFont val="Tahoma"/>
            <family val="2"/>
          </rPr>
          <t>5/7/2024 - announced 2 new Product0487 Pros (M4 chip) 11" $999 and 13" $1299
Announced 2 new Product0487 Product0036 (M2), 11" at $599 and 13" at $799). First time there is larger screen for the iPAd Air. 
Also announced new Magic Keyboard for Product0487 Pro and the Company0242 Pencil Pro. 
&gt;50% of Product0487 Pro buyers opt for the larger size.
Available May 15
4/2024: Week of May 6 will see launch of 2 new Product0487 Pros, 12.9" and 11" OLED. New Magic Keyboard and Company0242 Pencil. 
Company also working on new Product0487 and iPda mini - but won't be coming before YE. 
3/28/2024 BBG: new Product0487 Pro + Air in early May. 
Product0487 Pro to have new OLED screens, upgraded M3 chip. New Magic Keyboard, Company0242 Pencil.
Product0487 Air new 12.9" screen</t>
        </r>
      </text>
    </comment>
    <comment ref="DR95" authorId="3" shapeId="0" xr:uid="{DC8C3F43-DAB3-405F-9219-9EC27DA4E25C}">
      <text>
        <r>
          <rPr>
            <b/>
            <sz val="9"/>
            <color indexed="81"/>
            <rFont val="Tahoma"/>
            <family val="2"/>
          </rPr>
          <t>Author:</t>
        </r>
        <r>
          <rPr>
            <sz val="9"/>
            <color indexed="81"/>
            <rFont val="Tahoma"/>
            <family val="2"/>
          </rPr>
          <t xml:space="preserve">
M5 Product0487 Pro launch</t>
        </r>
      </text>
    </comment>
    <comment ref="FO95" authorId="1" shapeId="0" xr:uid="{1C26C2C6-E4DE-4DCE-A858-CA17FD2D4DED}">
      <text>
        <r>
          <rPr>
            <b/>
            <sz val="9"/>
            <color indexed="81"/>
            <rFont val="Tahoma"/>
            <family val="2"/>
          </rPr>
          <t>Author:</t>
        </r>
        <r>
          <rPr>
            <sz val="9"/>
            <color indexed="81"/>
            <rFont val="Tahoma"/>
            <family val="2"/>
          </rPr>
          <t xml:space="preserve">
1/22/2024:
Industry sources tell the Company0677 that Company0242 has decided to reduce the size of its order of OLED panels for the next 11-inch and 12.9-inch Product0487 Pro models from the initial 10.0M units to 7.0-8.0M units.
The sources say as a result, Company1549 Company0806 supply volume is expected to decrease to 3.0-4.0M units vs prior expectation of 6.0M units. The sources add that Company2530 Display, on the other hand, will still supply 4.0M units as scheduled.
</t>
        </r>
      </text>
    </comment>
    <comment ref="CQ96" authorId="1" shapeId="0" xr:uid="{CBE9C6BD-7E3C-43E1-ADFA-D9365C84723D}">
      <text>
        <r>
          <rPr>
            <b/>
            <sz val="9"/>
            <color indexed="81"/>
            <rFont val="Tahoma"/>
            <family val="2"/>
          </rPr>
          <t>Author:</t>
        </r>
        <r>
          <rPr>
            <sz val="9"/>
            <color indexed="81"/>
            <rFont val="Tahoma"/>
            <family val="2"/>
          </rPr>
          <t xml:space="preserve">
Product0487 Air 3/18/2019: 64gb @ $499</t>
        </r>
      </text>
    </comment>
    <comment ref="CX96" authorId="1" shapeId="0" xr:uid="{D05309FF-4D49-4B9F-8ED2-8C7D35680D7A}">
      <text>
        <r>
          <rPr>
            <b/>
            <sz val="9"/>
            <color indexed="81"/>
            <rFont val="Tahoma"/>
            <family val="2"/>
          </rPr>
          <t>Author:</t>
        </r>
        <r>
          <rPr>
            <sz val="9"/>
            <color indexed="81"/>
            <rFont val="Tahoma"/>
            <family val="2"/>
          </rPr>
          <t xml:space="preserve">
Product0487 Air 10/23/2020: 64GB Wi-Fi @ $599
The Product0487 Air for 2020 is a phenomenally well-made tablet that improves upon the last-gen version in a variety of ways, solving issues with that tablet’s dated design and accessories. The jump in price will make this a tougher sell for some, but the Product0487 Air for 2020 is so impressive that you may have trouble choosing between it and the Product0487 Pro.
Pros
+All-screen design
+Lots of power
+Adventurous color choices
Cons
-64GB storage is limited
-Higher price than last-gen
-Selfie camera could be better</t>
        </r>
      </text>
    </comment>
    <comment ref="CY96" authorId="2" shapeId="0" xr:uid="{3947C281-BD71-4381-9906-E05E274DD06A}">
      <text>
        <r>
          <rPr>
            <b/>
            <sz val="9"/>
            <color indexed="81"/>
            <rFont val="Tahoma"/>
            <family val="2"/>
          </rPr>
          <t>Author:</t>
        </r>
        <r>
          <rPr>
            <sz val="9"/>
            <color indexed="81"/>
            <rFont val="Tahoma"/>
            <family val="2"/>
          </rPr>
          <t xml:space="preserve">
10Q pg 24: Product0487 net sales increased during the second quarter and first six months of 2021 compared to the same periods in 2020 due primarily to higher net sales of Product0487 Air ® and the 10-inch version of Product0487.</t>
        </r>
      </text>
    </comment>
    <comment ref="DC96" authorId="1" shapeId="0" xr:uid="{1DE2818B-A71A-4EEF-9AE2-64C585729873}">
      <text>
        <r>
          <rPr>
            <b/>
            <sz val="9"/>
            <color indexed="81"/>
            <rFont val="Tahoma"/>
            <family val="2"/>
          </rPr>
          <t>Author:</t>
        </r>
        <r>
          <rPr>
            <sz val="9"/>
            <color indexed="81"/>
            <rFont val="Tahoma"/>
            <family val="2"/>
          </rPr>
          <t xml:space="preserve">
Product0487 Air 3/18/2022: $599 ASP for 64GB Wifi
Two years ago, the Product0487 Air wowed us, and the 2022 model repeats the feat: it’s an impressively versatile and capable tablet. The powerful new M1 chip is welcome, and the extra punch will be appreciated by digital artists and gamers especially, even if it doesn’t offer a clear everyday benefit in the way improved battery life would. The Product0487 Air 2022 is also now dangerously close in price to the Product0487 Pro, which has seen discounts since its launch last year, and it’s harder to pin down the Air’s place in the Product0487 lineup as a result. But this is a great tablet for a spot of word processing, digital sketching, gaming, messaging and more. It’s all the things that make Company0242’s Product0487 great, in a stylish design with some attractive color options.
Pros
+Great design
+Speedy performance
+Incredibly versatile
Cons
-Too close in cost to Product0487 Pro
-Battery life only average
-64GB is too little storage for base model
Product0487 Air 5 (March 2022)
Product0487 Air 4 (Spetember 2020)
iPaid Air 3 (March 2019)</t>
        </r>
      </text>
    </comment>
    <comment ref="DJ96" authorId="1" shapeId="0" xr:uid="{2E4D1024-882E-4F0B-8525-B6169E88F02D}">
      <text>
        <r>
          <rPr>
            <b/>
            <sz val="9"/>
            <color indexed="81"/>
            <rFont val="Tahoma"/>
            <family val="2"/>
          </rPr>
          <t>Author:</t>
        </r>
        <r>
          <rPr>
            <sz val="9"/>
            <color indexed="81"/>
            <rFont val="Tahoma"/>
            <family val="2"/>
          </rPr>
          <t xml:space="preserve">
Historically 18-month upgrade cycle for Product0487 Air
Announce dates
- March 2019 (announced and released at same time)
- September 2020 (October 23, 2020 launch)
- March 2022 (launched in same month)
- September 2023? 
Product0487 Air could get refreshed with an M2 chip in 2023. New chip rumors for late 2023 or early 2024. 
1/9/2023: no major updates to any Product0487 in 2023 including Product0487 Air</t>
        </r>
      </text>
    </comment>
    <comment ref="DK96" authorId="1" shapeId="0" xr:uid="{80ACB08D-CA88-4111-80EB-8D9D12C3827F}">
      <text>
        <r>
          <rPr>
            <b/>
            <sz val="9"/>
            <color indexed="81"/>
            <rFont val="Tahoma"/>
            <family val="2"/>
          </rPr>
          <t>Author:</t>
        </r>
        <r>
          <rPr>
            <sz val="9"/>
            <color indexed="81"/>
            <rFont val="Tahoma"/>
            <family val="2"/>
          </rPr>
          <t xml:space="preserve">
1/21/2024: 
Rumor
(1) Product0487 Air 10.9 and 12.9" 
Will likely include M2, redesigned rear camera bump, Wi-Fi 6E support (last Product0487 Air was released in March 2022)
(2) Product0487 Pro 11" and 13" with OLED displays (October 2022 last released)
(3) multiple Macbook Product0036 in Spring 2024 with M3 13" and 15" (13" last updated July 2022, 15" last updated June 2023)
12.6.23: Bloomberg rumors
• New Product0487 Air – 2 sizes 12.9” and 10.9” (end of March)
• Product0487 Pro – OLED screens (end of March), two sizes (2 sizes 12.9” and 10.9”)
• Macbook Air with M3 (March) 
• Preparing new Company0242 Pencil, Magic Keyboard which will sell alongside new Product0487 Pro
Historically 18-month upgrade cycle for Product0487 Air
Announce dates
- March 2019 (announced and released at same time)
- September 2020 (October 23, 2020 launch)
- March 2022 (launched in same month)
- September 2023? 
Product0487 Air could get refreshed with an M2 chip in 2023. New chip rumors for late 2023 or early 2024. 
1/9/2023: no major updates to any Product0487 in 2023 including Product0487 Air</t>
        </r>
      </text>
    </comment>
    <comment ref="DN96" authorId="8" shapeId="0" xr:uid="{5B8078BD-B601-4D6C-B44A-E68D332B78C9}">
      <text>
        <r>
          <rPr>
            <b/>
            <sz val="9"/>
            <color indexed="81"/>
            <rFont val="Tahoma"/>
            <family val="2"/>
          </rPr>
          <t>Author:</t>
        </r>
        <r>
          <rPr>
            <sz val="9"/>
            <color indexed="81"/>
            <rFont val="Tahoma"/>
            <family val="2"/>
          </rPr>
          <t xml:space="preserve">
F1Q25: Product0487 strength was broad based, but Product0487 air and entry leel ipad outperformed top level ipad</t>
        </r>
      </text>
    </comment>
    <comment ref="DO96" authorId="8" shapeId="0" xr:uid="{731B9C99-8613-4218-B62D-3E3C8705C398}">
      <text>
        <r>
          <rPr>
            <b/>
            <sz val="9"/>
            <color indexed="81"/>
            <rFont val="Tahoma"/>
            <family val="2"/>
          </rPr>
          <t>Author:</t>
        </r>
        <r>
          <rPr>
            <sz val="9"/>
            <color indexed="81"/>
            <rFont val="Tahoma"/>
            <family val="2"/>
          </rPr>
          <t xml:space="preserve">
3/4/25: new Product0487 Air with M3
Rumor: Product0487 Air with M3 as well as new Magic Keyboard for Product0487 Air 
10/1/24: bloomberg reports Product0487 Air models: expected to focus on internal improvements, will also have new keyboards; timing – early next year</t>
        </r>
      </text>
    </comment>
    <comment ref="DS96" authorId="3" shapeId="0" xr:uid="{28EA751E-F61C-4FDF-A6F1-589D29A86159}">
      <text>
        <r>
          <rPr>
            <b/>
            <sz val="9"/>
            <color indexed="81"/>
            <rFont val="Tahoma"/>
            <family val="2"/>
          </rPr>
          <t>Author:</t>
        </r>
        <r>
          <rPr>
            <sz val="9"/>
            <color indexed="81"/>
            <rFont val="Tahoma"/>
            <family val="2"/>
          </rPr>
          <t xml:space="preserve">
8th gen Product0487 Air
</t>
        </r>
      </text>
    </comment>
    <comment ref="CQ97" authorId="1" shapeId="0" xr:uid="{D81FB7DE-A81A-46BB-9985-8E574EF5EF7C}">
      <text>
        <r>
          <rPr>
            <b/>
            <sz val="9"/>
            <color indexed="81"/>
            <rFont val="Tahoma"/>
            <family val="2"/>
          </rPr>
          <t>Author:</t>
        </r>
        <r>
          <rPr>
            <sz val="9"/>
            <color indexed="81"/>
            <rFont val="Tahoma"/>
            <family val="2"/>
          </rPr>
          <t xml:space="preserve">
Product0487 Mini 3/18/2019: 64GB @ $399</t>
        </r>
      </text>
    </comment>
    <comment ref="DA97" authorId="1" shapeId="0" xr:uid="{5CB79BCA-A725-429F-82E7-1DE1133F3E97}">
      <text>
        <r>
          <rPr>
            <b/>
            <sz val="9"/>
            <color indexed="81"/>
            <rFont val="Tahoma"/>
            <family val="2"/>
          </rPr>
          <t>Author:</t>
        </r>
        <r>
          <rPr>
            <sz val="9"/>
            <color indexed="81"/>
            <rFont val="Tahoma"/>
            <family val="2"/>
          </rPr>
          <t xml:space="preserve">
Product0487 Mini - 9/24/2021: $64 gb @ $499
The new Product0487 mini 2021, also called the Product0487 mini 6, is a powerful device with a crisp smaller screen, 5G connectivity support, and a stylish and compact design that makes it easy to insert into bags and even larger pockets. It won’t be the best Product0487 for everyone, but it’s undeniably the best small tablet money can buy.
Pros
+Stylish compact design
+Starts at 64GB storage
+Lots of power
Cons
-5G connectivity is limited
-Battery life could be better
-Doesn’t include stylus</t>
        </r>
      </text>
    </comment>
    <comment ref="DJ97" authorId="1" shapeId="0" xr:uid="{B778C144-0566-4C58-BA1F-C7F2692C6052}">
      <text>
        <r>
          <rPr>
            <b/>
            <sz val="9"/>
            <color indexed="81"/>
            <rFont val="Tahoma"/>
            <family val="2"/>
          </rPr>
          <t>Author:</t>
        </r>
        <r>
          <rPr>
            <sz val="9"/>
            <color indexed="81"/>
            <rFont val="Tahoma"/>
            <family val="2"/>
          </rPr>
          <t xml:space="preserve">
Rumor: Product0487 mini to launch holiday 2023 / early 2024 with new processor (not folding).
Last iad mini launched September 24, 2021 with A15 Bionic, 4GB RAM, 64/256 GB for $499.</t>
        </r>
      </text>
    </comment>
    <comment ref="DK97" authorId="1" shapeId="0" xr:uid="{9BEDAECE-1F3D-4DC2-AD3B-5EBD59EA269E}">
      <text>
        <r>
          <rPr>
            <b/>
            <sz val="9"/>
            <color indexed="81"/>
            <rFont val="Tahoma"/>
            <family val="2"/>
          </rPr>
          <t>Author:</t>
        </r>
        <r>
          <rPr>
            <sz val="9"/>
            <color indexed="81"/>
            <rFont val="Tahoma"/>
            <family val="2"/>
          </rPr>
          <t xml:space="preserve">
Rumor: Product0487 mini to launch holiday 2023 / early 2024 with new processor (not folding).
Last iad mini launched September 24, 2021 with A15 Bionic, 4GB RAM, 64/256 GB for $499.</t>
        </r>
      </text>
    </comment>
    <comment ref="DL97" authorId="1" shapeId="0" xr:uid="{A1C491BF-51E1-449E-995B-617CAE87D015}">
      <text>
        <r>
          <rPr>
            <b/>
            <sz val="9"/>
            <color indexed="81"/>
            <rFont val="Tahoma"/>
            <family val="2"/>
          </rPr>
          <t>Author:</t>
        </r>
        <r>
          <rPr>
            <sz val="9"/>
            <color indexed="81"/>
            <rFont val="Tahoma"/>
            <family val="2"/>
          </rPr>
          <t xml:space="preserve">
Rumor: Product0487 mini to launch holiday 2023 / early 2024 with new processor (not folding).
Last iad mini launched September 24, 2021 with A15 Bionic, 4GB RAM, 64/256 GB for $499.</t>
        </r>
      </text>
    </comment>
    <comment ref="DN97" authorId="1" shapeId="0" xr:uid="{010A223E-3B31-46CC-A7B1-53C1C0331354}">
      <text>
        <r>
          <rPr>
            <b/>
            <sz val="9"/>
            <color indexed="81"/>
            <rFont val="Tahoma"/>
            <family val="2"/>
          </rPr>
          <t>Author:</t>
        </r>
        <r>
          <rPr>
            <sz val="9"/>
            <color indexed="81"/>
            <rFont val="Tahoma"/>
            <family val="2"/>
          </rPr>
          <t xml:space="preserve">
10/15/24: announced Product0487 mini in four colors; A17Pro chips; supports Company0242 Pencil Pro; starts at $499 for 128G. Pre orders today starts shipping October 23; supports Company0242 Intelligence
10/1/24: bloomberg reports Product0487 mini: timing – potentially by end of 2024
9/6/2024: Product0487 Mini Gen 4 to launch on October 2024 event? Product0487 as well? </t>
        </r>
      </text>
    </comment>
    <comment ref="FQ97" authorId="3" shapeId="0" xr:uid="{9E5CE95C-413C-4EE5-8210-A606ABE7D652}">
      <text>
        <r>
          <rPr>
            <b/>
            <sz val="9"/>
            <color indexed="81"/>
            <rFont val="Tahoma"/>
            <family val="2"/>
          </rPr>
          <t>Author:</t>
        </r>
        <r>
          <rPr>
            <sz val="9"/>
            <color indexed="81"/>
            <rFont val="Tahoma"/>
            <family val="2"/>
          </rPr>
          <t xml:space="preserve">
5.24.24: Company1762 - Product0487 mini with OLED displays to launch in 2026</t>
        </r>
      </text>
    </comment>
    <comment ref="HC97" authorId="3" shapeId="0" xr:uid="{8996E151-85D0-4477-9DD5-21C34E591F0E}">
      <text>
        <r>
          <rPr>
            <b/>
            <sz val="9"/>
            <color indexed="81"/>
            <rFont val="Tahoma"/>
            <family val="2"/>
          </rPr>
          <t>Author:</t>
        </r>
        <r>
          <rPr>
            <sz val="9"/>
            <color indexed="81"/>
            <rFont val="Tahoma"/>
            <family val="2"/>
          </rPr>
          <t xml:space="preserve">
5/24/24: Company1762 -- Product0487 mini with OLED displays to launch in 2026</t>
        </r>
      </text>
    </comment>
    <comment ref="DN98" authorId="1" shapeId="0" xr:uid="{B3ED5E4C-B7A3-49A0-84DF-ABE500DE8A04}">
      <text>
        <r>
          <rPr>
            <b/>
            <sz val="9"/>
            <color indexed="81"/>
            <rFont val="Tahoma"/>
            <family val="2"/>
          </rPr>
          <t>Author:</t>
        </r>
        <r>
          <rPr>
            <sz val="9"/>
            <color indexed="81"/>
            <rFont val="Tahoma"/>
            <family val="2"/>
          </rPr>
          <t xml:space="preserve">
Rumor (10/18/23): foldable Product0487 to go into production in early 2024 </t>
        </r>
      </text>
    </comment>
    <comment ref="CF99" authorId="9" shapeId="0" xr:uid="{00000000-0006-0000-0700-0000BE000000}">
      <text>
        <r>
          <rPr>
            <b/>
            <sz val="9"/>
            <color indexed="81"/>
            <rFont val="Tahoma"/>
            <family val="2"/>
          </rPr>
          <t>Author:</t>
        </r>
        <r>
          <rPr>
            <sz val="9"/>
            <color indexed="81"/>
            <rFont val="Tahoma"/>
            <family val="2"/>
          </rPr>
          <t xml:space="preserve">
7/29/16: reduced channel inventory by 500k</t>
        </r>
      </text>
    </comment>
    <comment ref="CG99" authorId="9" shapeId="0" xr:uid="{00000000-0006-0000-0700-0000BF000000}">
      <text>
        <r>
          <rPr>
            <b/>
            <sz val="9"/>
            <color indexed="81"/>
            <rFont val="Tahoma"/>
            <family val="2"/>
          </rPr>
          <t>Author:</t>
        </r>
        <r>
          <rPr>
            <sz val="9"/>
            <color indexed="81"/>
            <rFont val="Tahoma"/>
            <family val="2"/>
          </rPr>
          <t xml:space="preserve">
10/25/16: reduced  channel inventory by 80k units</t>
        </r>
      </text>
    </comment>
    <comment ref="CH99" authorId="5" shapeId="0" xr:uid="{00000000-0006-0000-0700-0000C0000000}">
      <text>
        <r>
          <rPr>
            <b/>
            <sz val="9"/>
            <color indexed="81"/>
            <rFont val="Tahoma"/>
            <family val="2"/>
          </rPr>
          <t>Author:</t>
        </r>
        <r>
          <rPr>
            <sz val="9"/>
            <color indexed="81"/>
            <rFont val="Tahoma"/>
            <family val="2"/>
          </rPr>
          <t xml:space="preserve">
1/31/17: reduced channel inventory by 700k (vs. +900k in year-ago)</t>
        </r>
      </text>
    </comment>
    <comment ref="CI99" authorId="5" shapeId="0" xr:uid="{00000000-0006-0000-0700-0000C1000000}">
      <text>
        <r>
          <rPr>
            <b/>
            <sz val="9"/>
            <color indexed="81"/>
            <rFont val="Tahoma"/>
            <family val="2"/>
          </rPr>
          <t>Author:</t>
        </r>
        <r>
          <rPr>
            <sz val="9"/>
            <color indexed="81"/>
            <rFont val="Tahoma"/>
            <family val="2"/>
          </rPr>
          <t xml:space="preserve">
5/2/17: channel inventory essentially flat; exited just below 5-7 weeks target</t>
        </r>
      </text>
    </comment>
    <comment ref="CP99" authorId="7" shapeId="0" xr:uid="{00000000-0006-0000-0700-0000C2000000}">
      <text>
        <r>
          <rPr>
            <b/>
            <sz val="9"/>
            <color indexed="81"/>
            <rFont val="Tahoma"/>
            <family val="2"/>
          </rPr>
          <t>Author:</t>
        </r>
        <r>
          <rPr>
            <sz val="9"/>
            <color indexed="81"/>
            <rFont val="Tahoma"/>
            <family val="2"/>
          </rPr>
          <t xml:space="preserve">
Company1298</t>
        </r>
      </text>
    </comment>
    <comment ref="CW99" authorId="1" shapeId="0" xr:uid="{683D6DAE-95EF-4AC1-A714-64FE8B04D6EB}">
      <text>
        <r>
          <rPr>
            <b/>
            <sz val="9"/>
            <color indexed="81"/>
            <rFont val="Tahoma"/>
            <family val="2"/>
          </rPr>
          <t>Author:</t>
        </r>
        <r>
          <rPr>
            <sz val="9"/>
            <color indexed="81"/>
            <rFont val="Tahoma"/>
            <family val="2"/>
          </rPr>
          <t xml:space="preserve">
Company1298 says 14.0</t>
        </r>
      </text>
    </comment>
    <comment ref="CY99" authorId="1" shapeId="0" xr:uid="{04A6E719-3613-41DB-8D3C-F3B4E0DA0467}">
      <text>
        <r>
          <rPr>
            <b/>
            <sz val="9"/>
            <color indexed="81"/>
            <rFont val="Tahoma"/>
            <family val="2"/>
          </rPr>
          <t>Author:</t>
        </r>
        <r>
          <rPr>
            <sz val="9"/>
            <color indexed="81"/>
            <rFont val="Tahoma"/>
            <family val="2"/>
          </rPr>
          <t xml:space="preserve">
Company1298 thinks 12.7 mn</t>
        </r>
      </text>
    </comment>
    <comment ref="CZ99" authorId="1" shapeId="0" xr:uid="{1ADBBB98-5439-4BAA-A3C8-13D9641C3960}">
      <text>
        <r>
          <rPr>
            <b/>
            <sz val="9"/>
            <color indexed="81"/>
            <rFont val="Tahoma"/>
            <family val="2"/>
          </rPr>
          <t>Author:</t>
        </r>
        <r>
          <rPr>
            <sz val="9"/>
            <color indexed="81"/>
            <rFont val="Tahoma"/>
            <family val="2"/>
          </rPr>
          <t xml:space="preserve">
Company1298 says 12.9</t>
        </r>
      </text>
    </comment>
    <comment ref="DA99" authorId="1" shapeId="0" xr:uid="{D54FAF9F-E109-4B79-B5CB-C45E8C26093C}">
      <text>
        <r>
          <rPr>
            <b/>
            <sz val="9"/>
            <color indexed="81"/>
            <rFont val="Tahoma"/>
            <family val="2"/>
          </rPr>
          <t>Author:</t>
        </r>
        <r>
          <rPr>
            <sz val="9"/>
            <color indexed="81"/>
            <rFont val="Tahoma"/>
            <family val="2"/>
          </rPr>
          <t xml:space="preserve">
Company1298 says 14.7</t>
        </r>
      </text>
    </comment>
    <comment ref="DB99" authorId="1" shapeId="0" xr:uid="{479EC4CB-9AFD-4080-B17F-F28959A3AA60}">
      <text>
        <r>
          <rPr>
            <b/>
            <sz val="9"/>
            <color indexed="81"/>
            <rFont val="Tahoma"/>
            <family val="2"/>
          </rPr>
          <t>Author:</t>
        </r>
        <r>
          <rPr>
            <sz val="9"/>
            <color indexed="81"/>
            <rFont val="Tahoma"/>
            <family val="2"/>
          </rPr>
          <t xml:space="preserve">
Company1298 thinks 17.5 mn</t>
        </r>
      </text>
    </comment>
    <comment ref="DC99" authorId="1" shapeId="0" xr:uid="{9F8C8D81-7C54-4BD5-BD79-2E1AED6DCADC}">
      <text>
        <r>
          <rPr>
            <b/>
            <sz val="9"/>
            <color indexed="81"/>
            <rFont val="Tahoma"/>
            <family val="2"/>
          </rPr>
          <t>Author:</t>
        </r>
        <r>
          <rPr>
            <sz val="9"/>
            <color indexed="81"/>
            <rFont val="Tahoma"/>
            <family val="2"/>
          </rPr>
          <t xml:space="preserve">
Company1298 thinks 12.06</t>
        </r>
      </text>
    </comment>
    <comment ref="DD99" authorId="1" shapeId="0" xr:uid="{CD54BA2A-3B76-4A45-A98A-F6FF49529E9E}">
      <text>
        <r>
          <rPr>
            <b/>
            <sz val="9"/>
            <color indexed="81"/>
            <rFont val="Tahoma"/>
            <family val="2"/>
          </rPr>
          <t>Author:</t>
        </r>
        <r>
          <rPr>
            <sz val="9"/>
            <color indexed="81"/>
            <rFont val="Tahoma"/>
            <family val="2"/>
          </rPr>
          <t xml:space="preserve">
Company1298 thinks 12.6 mn</t>
        </r>
      </text>
    </comment>
    <comment ref="DE99" authorId="1" shapeId="0" xr:uid="{8004A1B9-01D0-4005-BB8F-894968361359}">
      <text>
        <r>
          <rPr>
            <b/>
            <sz val="9"/>
            <color indexed="81"/>
            <rFont val="Tahoma"/>
            <family val="2"/>
          </rPr>
          <t>Author:</t>
        </r>
        <r>
          <rPr>
            <sz val="9"/>
            <color indexed="81"/>
            <rFont val="Tahoma"/>
            <family val="2"/>
          </rPr>
          <t xml:space="preserve">
Company0656 says 14.381 mn</t>
        </r>
      </text>
    </comment>
    <comment ref="DF99" authorId="1" shapeId="0" xr:uid="{A21018B8-A583-45AD-A33A-5F6AF9360DF7}">
      <text>
        <r>
          <rPr>
            <b/>
            <sz val="9"/>
            <color indexed="81"/>
            <rFont val="Tahoma"/>
            <family val="2"/>
          </rPr>
          <t>Author:</t>
        </r>
        <r>
          <rPr>
            <sz val="9"/>
            <color indexed="81"/>
            <rFont val="Tahoma"/>
            <family val="2"/>
          </rPr>
          <t xml:space="preserve">
19.48 mn for Canalys</t>
        </r>
      </text>
    </comment>
    <comment ref="DG99" authorId="1" shapeId="0" xr:uid="{B4CB2553-53FE-4C62-8A6F-102CDD404E30}">
      <text>
        <r>
          <rPr>
            <b/>
            <sz val="9"/>
            <color indexed="81"/>
            <rFont val="Tahoma"/>
            <family val="2"/>
          </rPr>
          <t>Author:</t>
        </r>
        <r>
          <rPr>
            <sz val="9"/>
            <color indexed="81"/>
            <rFont val="Tahoma"/>
            <family val="2"/>
          </rPr>
          <t xml:space="preserve">
Restated for canalys data (8.5.24)
Canalys says 12.35 mn v. 14.881 year-ago  (-17% yoy, 38.9% share)
Company1298 says 10.8, which is 35.2% share (v. 31.8% y-ago)</t>
        </r>
      </text>
    </comment>
    <comment ref="DH99" authorId="1" shapeId="0" xr:uid="{7E73E86B-FB0D-4562-93E9-B855F5BA7A16}">
      <text>
        <r>
          <rPr>
            <b/>
            <sz val="9"/>
            <color indexed="81"/>
            <rFont val="Tahoma"/>
            <family val="2"/>
          </rPr>
          <t>Author:</t>
        </r>
        <r>
          <rPr>
            <sz val="9"/>
            <color indexed="81"/>
            <rFont val="Tahoma"/>
            <family val="2"/>
          </rPr>
          <t xml:space="preserve">
C2Q23: canalys says 12.35 v. 12.1 mn year-ago +2% yoy</t>
        </r>
      </text>
    </comment>
    <comment ref="DI99" authorId="1" shapeId="0" xr:uid="{81FD7C98-7140-4F58-A7C6-972E1F760321}">
      <text>
        <r>
          <rPr>
            <b/>
            <sz val="9"/>
            <color indexed="81"/>
            <rFont val="Tahoma"/>
            <family val="2"/>
          </rPr>
          <t>Author:</t>
        </r>
        <r>
          <rPr>
            <sz val="9"/>
            <color indexed="81"/>
            <rFont val="Tahoma"/>
            <family val="2"/>
          </rPr>
          <t xml:space="preserve">
Canalys says 12.542</t>
        </r>
      </text>
    </comment>
    <comment ref="DK99" authorId="1" shapeId="0" xr:uid="{6523C40B-A930-4199-8D4A-569D70557E0A}">
      <text>
        <r>
          <rPr>
            <b/>
            <sz val="9"/>
            <color indexed="81"/>
            <rFont val="Tahoma"/>
            <family val="2"/>
          </rPr>
          <t>Author:</t>
        </r>
        <r>
          <rPr>
            <sz val="9"/>
            <color indexed="81"/>
            <rFont val="Tahoma"/>
            <family val="2"/>
          </rPr>
          <t xml:space="preserve">
8.5.24: restated for canalys data
Company1298 says 9.9 v. 10.8 
- Ticker0001 focused on clearing inventory ahead of new models in 2Q24
11/12/2023 MCK:
new shipments in 2024 to be 52-54 mn (v. 50 mn in 2023 and 63 mn in 2022)
- 2 new Product0487 Air models (10.9, 12.9") are scheduled for mass production in C1Q24
- 2 new OLD Product0487 Pros (replacing mini-LED) in C1Q24-C2Q24. Will have M3. Product0487 Pro OLEDs will be 6-8 mn shipments in 2024 (down yoy given higher price of OLED Product0487 and potential cannibalization from 12.9" Product0487 Air)
- 2H24 may have new Product0487 Mini
- new Product0487 11th Gen in 2H24 </t>
        </r>
      </text>
    </comment>
    <comment ref="DL99" authorId="8" shapeId="0" xr:uid="{2A611CF0-7F73-4A71-B98A-B18DB8205CE0}">
      <text>
        <r>
          <rPr>
            <b/>
            <sz val="9"/>
            <color indexed="81"/>
            <rFont val="Tahoma"/>
            <family val="2"/>
          </rPr>
          <t>Author:</t>
        </r>
        <r>
          <rPr>
            <sz val="9"/>
            <color indexed="81"/>
            <rFont val="Tahoma"/>
            <family val="2"/>
          </rPr>
          <t xml:space="preserve">
5/15/2024:
Product0487 Pro 7th gen launch 11" and 13" with M4 $999/$1299 starting price
Product0487 Air 6th gen launch 11" and 13" $599/$799 starting price with M2
Product0487 Pro has dual-stack tandem OLED (Company2530 reportedly had yield issues on this because of dual-stack tandem requirements, which had lead to delay to May). 
4/16/24: consensus penciling in 10 mn OLED Product0487 shipments in 2024 (GC Tech)</t>
        </r>
      </text>
    </comment>
    <comment ref="DM99" authorId="1" shapeId="0" xr:uid="{1E885C53-62E0-437A-A371-9A07D6D87A59}">
      <text>
        <r>
          <rPr>
            <b/>
            <sz val="9"/>
            <color indexed="81"/>
            <rFont val="Tahoma"/>
            <family val="2"/>
          </rPr>
          <t>Author:</t>
        </r>
        <r>
          <rPr>
            <sz val="9"/>
            <color indexed="81"/>
            <rFont val="Tahoma"/>
            <family val="2"/>
          </rPr>
          <t xml:space="preserve">
11.05.2024: restated for Canalys
12.6 mn per Company1298, but we should update for Canalys</t>
        </r>
      </text>
    </comment>
    <comment ref="CB100" authorId="4" shapeId="0" xr:uid="{00000000-0006-0000-0700-0000DA000000}">
      <text>
        <r>
          <rPr>
            <b/>
            <sz val="9"/>
            <color indexed="81"/>
            <rFont val="Tahoma"/>
            <family val="2"/>
          </rPr>
          <t>Author:</t>
        </r>
        <r>
          <rPr>
            <sz val="9"/>
            <color indexed="81"/>
            <rFont val="Tahoma"/>
            <family val="2"/>
          </rPr>
          <t xml:space="preserve">
3.6mn per Company1298</t>
        </r>
      </text>
    </comment>
    <comment ref="CC100" authorId="4" shapeId="0" xr:uid="{00000000-0006-0000-0700-0000DB000000}">
      <text>
        <r>
          <rPr>
            <b/>
            <sz val="9"/>
            <color indexed="81"/>
            <rFont val="Tahoma"/>
            <family val="2"/>
          </rPr>
          <t>Author:</t>
        </r>
        <r>
          <rPr>
            <sz val="9"/>
            <color indexed="81"/>
            <rFont val="Tahoma"/>
            <family val="2"/>
          </rPr>
          <t xml:space="preserve">
Source: Company1298</t>
        </r>
      </text>
    </comment>
    <comment ref="CD100" authorId="4" shapeId="0" xr:uid="{00000000-0006-0000-0700-0000DC000000}">
      <text>
        <r>
          <rPr>
            <b/>
            <sz val="9"/>
            <color indexed="81"/>
            <rFont val="Tahoma"/>
            <family val="2"/>
          </rPr>
          <t>Author:</t>
        </r>
        <r>
          <rPr>
            <sz val="9"/>
            <color indexed="81"/>
            <rFont val="Tahoma"/>
            <family val="2"/>
          </rPr>
          <t xml:space="preserve">
Source: Company1298</t>
        </r>
      </text>
    </comment>
    <comment ref="CE100" authorId="5" shapeId="0" xr:uid="{00000000-0006-0000-0700-0000DD000000}">
      <text>
        <r>
          <rPr>
            <b/>
            <sz val="9"/>
            <color indexed="81"/>
            <rFont val="Tahoma"/>
            <family val="2"/>
          </rPr>
          <t>Author:</t>
        </r>
        <r>
          <rPr>
            <sz val="9"/>
            <color indexed="81"/>
            <rFont val="Tahoma"/>
            <family val="2"/>
          </rPr>
          <t xml:space="preserve">
4/26/16: Watch sales in the first year were higher than Product0490 sales in first year</t>
        </r>
      </text>
    </comment>
    <comment ref="CF100" authorId="4" shapeId="0" xr:uid="{00000000-0006-0000-0700-0000DE000000}">
      <text>
        <r>
          <rPr>
            <b/>
            <sz val="9"/>
            <color indexed="81"/>
            <rFont val="Tahoma"/>
            <family val="2"/>
          </rPr>
          <t>Author:</t>
        </r>
        <r>
          <rPr>
            <sz val="9"/>
            <color indexed="81"/>
            <rFont val="Tahoma"/>
            <family val="2"/>
          </rPr>
          <t xml:space="preserve">
Company1298 7/22/16 1.6mn</t>
        </r>
      </text>
    </comment>
    <comment ref="CG100" authorId="9" shapeId="0" xr:uid="{00000000-0006-0000-0700-0000DF000000}">
      <text>
        <r>
          <rPr>
            <b/>
            <sz val="9"/>
            <color indexed="81"/>
            <rFont val="Tahoma"/>
            <family val="2"/>
          </rPr>
          <t>Author:</t>
        </r>
        <r>
          <rPr>
            <sz val="9"/>
            <color indexed="81"/>
            <rFont val="Tahoma"/>
            <family val="2"/>
          </rPr>
          <t xml:space="preserve">
Company1298 10/24/16: 1.1mn </t>
        </r>
      </text>
    </comment>
    <comment ref="CH100" authorId="4" shapeId="0" xr:uid="{00000000-0006-0000-0700-0000E0000000}">
      <text>
        <r>
          <rPr>
            <b/>
            <sz val="9"/>
            <color indexed="81"/>
            <rFont val="Tahoma"/>
            <family val="2"/>
          </rPr>
          <t>Author:</t>
        </r>
        <r>
          <rPr>
            <sz val="9"/>
            <color indexed="81"/>
            <rFont val="Tahoma"/>
            <family val="2"/>
          </rPr>
          <t xml:space="preserve">
1/31/17: record quarter, couldn’t meet demand
4/26/16: 40% of Watch sell-through takes place in Dec qtr (similar to Product0490)</t>
        </r>
      </text>
    </comment>
    <comment ref="CI100" authorId="5" shapeId="0" xr:uid="{00000000-0006-0000-0700-0000E1000000}">
      <text>
        <r>
          <rPr>
            <b/>
            <sz val="9"/>
            <color indexed="81"/>
            <rFont val="Tahoma"/>
            <family val="2"/>
          </rPr>
          <t>Author:</t>
        </r>
        <r>
          <rPr>
            <sz val="9"/>
            <color indexed="81"/>
            <rFont val="Tahoma"/>
            <family val="2"/>
          </rPr>
          <t xml:space="preserve">
5/2/17: sales nearly doubled yoy; units more than doubled in six of the top 10 markets</t>
        </r>
      </text>
    </comment>
    <comment ref="CJ100" authorId="0" shapeId="0" xr:uid="{00000000-0006-0000-0700-0000E2000000}">
      <text>
        <r>
          <rPr>
            <b/>
            <sz val="9"/>
            <color indexed="81"/>
            <rFont val="Tahoma"/>
            <family val="2"/>
          </rPr>
          <t>Author:</t>
        </r>
        <r>
          <rPr>
            <sz val="9"/>
            <color indexed="81"/>
            <rFont val="Tahoma"/>
            <family val="2"/>
          </rPr>
          <t xml:space="preserve">
FQ3'17 call: "Sales of Product0049 were up over 50% in the June quarter"</t>
        </r>
      </text>
    </comment>
    <comment ref="CK100" authorId="0" shapeId="0" xr:uid="{00000000-0006-0000-0700-0000E3000000}">
      <text>
        <r>
          <rPr>
            <b/>
            <sz val="9"/>
            <color indexed="81"/>
            <rFont val="Tahoma"/>
            <family val="2"/>
          </rPr>
          <t>Author:</t>
        </r>
        <r>
          <rPr>
            <sz val="9"/>
            <color indexed="81"/>
            <rFont val="Tahoma"/>
            <family val="2"/>
          </rPr>
          <t xml:space="preserve">
FQ4'17 call: "unit growth of over 50% for the third consecutive quarter"</t>
        </r>
      </text>
    </comment>
    <comment ref="CZ100" authorId="1" shapeId="0" xr:uid="{8A5E1CC0-7217-42CA-85E9-BF5BC091B019}">
      <text>
        <r>
          <rPr>
            <b/>
            <sz val="9"/>
            <color indexed="81"/>
            <rFont val="Tahoma"/>
            <family val="2"/>
          </rPr>
          <t>Author:</t>
        </r>
        <r>
          <rPr>
            <sz val="9"/>
            <color indexed="81"/>
            <rFont val="Tahoma"/>
            <family val="2"/>
          </rPr>
          <t xml:space="preserve">
7.9 mn per Canalys</t>
        </r>
      </text>
    </comment>
    <comment ref="DC100" authorId="1" shapeId="0" xr:uid="{FDD0DE34-7ED5-4028-ADF6-A4AF455EDCB8}">
      <text>
        <r>
          <rPr>
            <b/>
            <sz val="9"/>
            <color indexed="81"/>
            <rFont val="Tahoma"/>
            <family val="2"/>
          </rPr>
          <t>Author:</t>
        </r>
        <r>
          <rPr>
            <sz val="9"/>
            <color indexed="81"/>
            <rFont val="Tahoma"/>
            <family val="2"/>
          </rPr>
          <t xml:space="preserve">
9.2 mn v. 7.6 mn year-ago per Company0655</t>
        </r>
      </text>
    </comment>
    <comment ref="DD100" authorId="1" shapeId="0" xr:uid="{829456BF-54E4-48CE-A301-4636AA07613B}">
      <text>
        <r>
          <rPr>
            <b/>
            <sz val="9"/>
            <color indexed="81"/>
            <rFont val="Tahoma"/>
            <family val="2"/>
          </rPr>
          <t>Author:</t>
        </r>
        <r>
          <rPr>
            <sz val="9"/>
            <color indexed="81"/>
            <rFont val="Tahoma"/>
            <family val="2"/>
          </rPr>
          <t xml:space="preserve">
8.4 per Canalys</t>
        </r>
      </text>
    </comment>
    <comment ref="DE100" authorId="1" shapeId="0" xr:uid="{D834E05A-76BF-4640-8F62-FFCAC8A80E47}">
      <text>
        <r>
          <rPr>
            <b/>
            <sz val="9"/>
            <color indexed="81"/>
            <rFont val="Tahoma"/>
            <family val="2"/>
          </rPr>
          <t>Author:</t>
        </r>
        <r>
          <rPr>
            <sz val="9"/>
            <color indexed="81"/>
            <rFont val="Tahoma"/>
            <family val="2"/>
          </rPr>
          <t xml:space="preserve">
Product0049 SE (9/16)
Product0049 Series 8 (9/16)
Product0049 Ultra (9/16)</t>
        </r>
      </text>
    </comment>
    <comment ref="DF100" authorId="1" shapeId="0" xr:uid="{AE569910-BDED-4616-B935-670C3BAD7209}">
      <text>
        <r>
          <rPr>
            <b/>
            <sz val="9"/>
            <color indexed="81"/>
            <rFont val="Tahoma"/>
            <family val="2"/>
          </rPr>
          <t>Author:</t>
        </r>
        <r>
          <rPr>
            <sz val="9"/>
            <color indexed="81"/>
            <rFont val="Tahoma"/>
            <family val="2"/>
          </rPr>
          <t xml:space="preserve">
13.8 mn per Canalys (v. 16.5 mn year-ago
41.4 mn C2022 full-year v. 39.4 mn in C2021</t>
        </r>
      </text>
    </comment>
    <comment ref="DH100" authorId="1" shapeId="0" xr:uid="{D78E60A3-DF8A-41ED-A2DA-DF4936621223}">
      <text>
        <r>
          <rPr>
            <b/>
            <sz val="9"/>
            <color indexed="81"/>
            <rFont val="Tahoma"/>
            <family val="2"/>
          </rPr>
          <t>Author:</t>
        </r>
        <r>
          <rPr>
            <sz val="9"/>
            <color indexed="81"/>
            <rFont val="Tahoma"/>
            <family val="2"/>
          </rPr>
          <t xml:space="preserve">
8.1 mn per Canalys</t>
        </r>
      </text>
    </comment>
    <comment ref="DJ100" authorId="1" shapeId="0" xr:uid="{58063E6B-457E-40B7-863A-1EBC2FBE8B40}">
      <text>
        <r>
          <rPr>
            <b/>
            <sz val="9"/>
            <color indexed="81"/>
            <rFont val="Tahoma"/>
            <family val="2"/>
          </rPr>
          <t>Author:</t>
        </r>
        <r>
          <rPr>
            <sz val="9"/>
            <color indexed="81"/>
            <rFont val="Tahoma"/>
            <family val="2"/>
          </rPr>
          <t xml:space="preserve">
Estimates from Company2441 Company1451</t>
        </r>
      </text>
    </comment>
    <comment ref="DK100" authorId="1" shapeId="0" xr:uid="{A8297B61-8C14-4F85-9E68-F4F1D92091DA}">
      <text>
        <r>
          <rPr>
            <b/>
            <sz val="9"/>
            <color indexed="81"/>
            <rFont val="Tahoma"/>
            <family val="2"/>
          </rPr>
          <t>Author:</t>
        </r>
        <r>
          <rPr>
            <sz val="9"/>
            <color indexed="81"/>
            <rFont val="Tahoma"/>
            <family val="2"/>
          </rPr>
          <t xml:space="preserve">
8.064 per Company2441 Company1496</t>
        </r>
      </text>
    </comment>
    <comment ref="DM100" authorId="1" shapeId="0" xr:uid="{7179CC39-AA20-4268-AAF6-8B2836F14F7B}">
      <text>
        <r>
          <rPr>
            <b/>
            <sz val="9"/>
            <color indexed="81"/>
            <rFont val="Tahoma"/>
            <family val="2"/>
          </rPr>
          <t>Author:</t>
        </r>
        <r>
          <rPr>
            <sz val="9"/>
            <color indexed="81"/>
            <rFont val="Tahoma"/>
            <family val="2"/>
          </rPr>
          <t xml:space="preserve">
</t>
        </r>
        <r>
          <rPr>
            <b/>
            <sz val="9"/>
            <color indexed="81"/>
            <rFont val="Tahoma"/>
            <family val="2"/>
          </rPr>
          <t xml:space="preserve">3rd gen Ultra
</t>
        </r>
        <r>
          <rPr>
            <sz val="9"/>
            <color indexed="81"/>
            <rFont val="Tahoma"/>
            <family val="2"/>
          </rPr>
          <t xml:space="preserve">- not a major upgrade
</t>
        </r>
        <r>
          <rPr>
            <b/>
            <sz val="9"/>
            <color indexed="81"/>
            <rFont val="Tahoma"/>
            <family val="2"/>
          </rPr>
          <t xml:space="preserve">3rd gen SE - </t>
        </r>
        <r>
          <rPr>
            <sz val="9"/>
            <color indexed="81"/>
            <rFont val="Tahoma"/>
            <family val="2"/>
          </rPr>
          <t xml:space="preserve">cost $199 (v. $250 prior)
No SE launched last year
</t>
        </r>
        <r>
          <rPr>
            <b/>
            <sz val="9"/>
            <color indexed="81"/>
            <rFont val="Tahoma"/>
            <family val="2"/>
          </rPr>
          <t xml:space="preserve">Series 10 </t>
        </r>
        <r>
          <rPr>
            <sz val="9"/>
            <color indexed="81"/>
            <rFont val="Tahoma"/>
            <family val="2"/>
          </rPr>
          <t>will come in larger 49 mm size (Watch 7,8,9 have been 41 mm and 45mm)</t>
        </r>
      </text>
    </comment>
    <comment ref="FP100" authorId="1" shapeId="0" xr:uid="{DAAD2F63-6984-432A-8CA8-36A9D4B4C02B}">
      <text>
        <r>
          <rPr>
            <b/>
            <sz val="9"/>
            <color indexed="81"/>
            <rFont val="Tahoma"/>
            <family val="2"/>
          </rPr>
          <t>Author:</t>
        </r>
        <r>
          <rPr>
            <sz val="9"/>
            <color indexed="81"/>
            <rFont val="Tahoma"/>
            <family val="2"/>
          </rPr>
          <t xml:space="preserve">
2/2023: MicroLED supplier Company2023 said it expects to realize microLED revenue starting in C2025, implies that Watch may start using micro LED in C2025/C2026.
Brighter, lower burn rate, etc. Still expensive so likely would be in ULTRA or equivalent. </t>
        </r>
      </text>
    </comment>
    <comment ref="GW100" authorId="1" shapeId="0" xr:uid="{93C8BFE9-E15E-4111-8F9C-75DD8F586FD7}">
      <text>
        <r>
          <rPr>
            <b/>
            <sz val="9"/>
            <color indexed="81"/>
            <rFont val="Tahoma"/>
            <family val="2"/>
          </rPr>
          <t>Author:</t>
        </r>
        <r>
          <rPr>
            <sz val="9"/>
            <color indexed="81"/>
            <rFont val="Tahoma"/>
            <family val="2"/>
          </rPr>
          <t xml:space="preserve">
Company1298 says 36.6</t>
        </r>
      </text>
    </comment>
    <comment ref="GX100" authorId="1" shapeId="0" xr:uid="{EF87B131-41F1-41CE-8EFC-FD5B3FCC0C73}">
      <text>
        <r>
          <rPr>
            <b/>
            <sz val="9"/>
            <color indexed="81"/>
            <rFont val="Tahoma"/>
            <family val="2"/>
          </rPr>
          <t>Author:</t>
        </r>
        <r>
          <rPr>
            <sz val="9"/>
            <color indexed="81"/>
            <rFont val="Tahoma"/>
            <family val="2"/>
          </rPr>
          <t xml:space="preserve">
Company1298 thinks 38.9</t>
        </r>
      </text>
    </comment>
    <comment ref="GY100" authorId="1" shapeId="0" xr:uid="{C2765B17-6153-4D65-B9E6-75079703F946}">
      <text>
        <r>
          <rPr>
            <b/>
            <sz val="9"/>
            <color indexed="81"/>
            <rFont val="Tahoma"/>
            <family val="2"/>
          </rPr>
          <t>Author:</t>
        </r>
        <r>
          <rPr>
            <sz val="9"/>
            <color indexed="81"/>
            <rFont val="Tahoma"/>
            <family val="2"/>
          </rPr>
          <t xml:space="preserve">
Company1298 thinks 42.2</t>
        </r>
      </text>
    </comment>
    <comment ref="BZ101" authorId="6" shapeId="0" xr:uid="{00000000-0006-0000-0700-0000D5000000}">
      <text>
        <r>
          <rPr>
            <b/>
            <sz val="9"/>
            <color indexed="81"/>
            <rFont val="Tahoma"/>
            <family val="2"/>
          </rPr>
          <t>Author:</t>
        </r>
        <r>
          <rPr>
            <sz val="9"/>
            <color indexed="81"/>
            <rFont val="Tahoma"/>
            <family val="2"/>
          </rPr>
          <t xml:space="preserve">
Ticker0015 estimate
</t>
        </r>
      </text>
    </comment>
    <comment ref="CA101" authorId="6" shapeId="0" xr:uid="{00000000-0006-0000-0700-0000D6000000}">
      <text>
        <r>
          <rPr>
            <b/>
            <sz val="9"/>
            <color indexed="81"/>
            <rFont val="Tahoma"/>
            <family val="2"/>
          </rPr>
          <t>Author:</t>
        </r>
        <r>
          <rPr>
            <sz val="9"/>
            <color indexed="81"/>
            <rFont val="Tahoma"/>
            <family val="2"/>
          </rPr>
          <t xml:space="preserve">
Ticker0015 estimate</t>
        </r>
      </text>
    </comment>
    <comment ref="CK101" authorId="1" shapeId="0" xr:uid="{E5887344-71B6-4CDF-B040-048D666D9836}">
      <text>
        <r>
          <rPr>
            <b/>
            <sz val="9"/>
            <color indexed="81"/>
            <rFont val="Tahoma"/>
            <family val="2"/>
          </rPr>
          <t>Author:</t>
        </r>
        <r>
          <rPr>
            <sz val="9"/>
            <color indexed="81"/>
            <rFont val="Tahoma"/>
            <family val="2"/>
          </rPr>
          <t xml:space="preserve">
Product0490 in F2017 and prior</t>
        </r>
      </text>
    </comment>
    <comment ref="DE104" authorId="1" shapeId="0" xr:uid="{2ACF9A7C-57F0-45EF-BF23-175779E6F96C}">
      <text>
        <r>
          <rPr>
            <b/>
            <sz val="9"/>
            <color indexed="81"/>
            <rFont val="Tahoma"/>
            <family val="2"/>
          </rPr>
          <t>Author:</t>
        </r>
        <r>
          <rPr>
            <sz val="9"/>
            <color indexed="81"/>
            <rFont val="Tahoma"/>
            <family val="2"/>
          </rPr>
          <t xml:space="preserve">
Counterpoint thinks C3Q22 units were +3% yoy </t>
        </r>
      </text>
    </comment>
    <comment ref="DF104" authorId="1" shapeId="0" xr:uid="{DC5DE462-A843-41B6-AC40-D4802B10D196}">
      <text>
        <r>
          <rPr>
            <b/>
            <sz val="9"/>
            <color indexed="81"/>
            <rFont val="Tahoma"/>
            <family val="2"/>
          </rPr>
          <t>Author:</t>
        </r>
        <r>
          <rPr>
            <sz val="9"/>
            <color indexed="81"/>
            <rFont val="Tahoma"/>
            <family val="2"/>
          </rPr>
          <t xml:space="preserve">
F4Q22: Channel inventory for Product0489 below target levels
MN: Product0489 14 launched 1-week earlier than year-ago @ 9/16/2022 v. 9/24/2021
- should be headwind to units despite introduction to Product0489 14 PLUS (10/7/2022)</t>
        </r>
      </text>
    </comment>
    <comment ref="DG104" authorId="1" shapeId="0" xr:uid="{FAB0206C-6BDA-41A4-8D16-C170D070CA4D}">
      <text>
        <r>
          <rPr>
            <b/>
            <sz val="9"/>
            <color indexed="81"/>
            <rFont val="Tahoma"/>
            <family val="2"/>
          </rPr>
          <t>Author:</t>
        </r>
        <r>
          <rPr>
            <sz val="9"/>
            <color indexed="81"/>
            <rFont val="Tahoma"/>
            <family val="2"/>
          </rPr>
          <t xml:space="preserve">
Headwinds to units because: 
(1) Will comp SE launch year-ago.. No equivalent
(2) Product0489 14 launched 1-week earlier (9/16/22) v. Product0489 13 (9/24/21)
Canalys (4/18/2023): Product0489 gained  share (market units declined by 12% yoy) but Product0489 14 Pro series in C1Q23 did well (should help pricing)</t>
        </r>
      </text>
    </comment>
    <comment ref="DH104" authorId="1" shapeId="0" xr:uid="{2BF23E34-7B93-4749-9B76-BCB428B597CA}">
      <text>
        <r>
          <rPr>
            <b/>
            <sz val="9"/>
            <color indexed="81"/>
            <rFont val="Tahoma"/>
            <family val="2"/>
          </rPr>
          <t>Author:</t>
        </r>
        <r>
          <rPr>
            <sz val="9"/>
            <color indexed="81"/>
            <rFont val="Tahoma"/>
            <family val="2"/>
          </rPr>
          <t xml:space="preserve">
Counterpoint: -4% yoy (v. industry at -8% yoy)
Canalys: -11% yoy (flat yoy market share at 17%)
- industry smartphone inventory beginning to clear up as vendors prioritized cutting inventory of older models. SEeing some channel incentives (e.g., Company2015, vivo, Company2781, Company3019 being more aggressive in &lt;$200 price band promotonal activity). Also investing more in component orders. Also investing in SE Asia and India.
Counterpoint 618 (June 1-18): Company0242 iPhones +8% yoy during 618 sales period in China, per Counterpoint, despite industry smartphone sales in china declining 8% yoy
Canalys: "However, we have noticed some signs of moderation in the continued decline," commented Canalys Analyst Person1119 Person1278. "There have been improvements in demand for certain smartphone products and price bands. Furthermore, some smartphone vendors are becoming more active in production planning and ordering components. Canalys predicts that the inventory of the smartphone industry, irrespective of channel or vendor, can reach a relatively healthy level by the end of the second quarter of 2023. It is still too early to predict the recovery of overall consumer demand. However, the sell-in volume of the global smartphone market is expected to improve due to the reduction in inventories in the next few quarters. In addition, vendors have focused more on innovations and raising production and channel efficiencies after a round of fluctuations, shifting from growing for volumes and shares to growing for quality. 5G popularization and foldable phones are also becoming the new driving forces in the industry."</t>
        </r>
      </text>
    </comment>
    <comment ref="DI104" authorId="1" shapeId="0" xr:uid="{BB6DF858-42E8-4F63-ADF7-45CA82396613}">
      <text>
        <r>
          <rPr>
            <b/>
            <sz val="9"/>
            <color indexed="81"/>
            <rFont val="Tahoma"/>
            <family val="2"/>
          </rPr>
          <t>Author:</t>
        </r>
        <r>
          <rPr>
            <sz val="9"/>
            <color indexed="81"/>
            <rFont val="Tahoma"/>
            <family val="2"/>
          </rPr>
          <t xml:space="preserve">
Company1298 says +2.5%
Company0656 says -6% 
Counter says 3Q23 Company0242 -8% yoy, Company2530, -13% yoy, overall market -8% yoy. Company1267 gained share. 
Canalys says Company0242 lost 1 pp share yoy. Industry units -1% yoy, implies that Company0242 -5% yoy 
Assuming units get a lift from making previously premium features (e.g., dynamic island) standard on all models. </t>
        </r>
      </text>
    </comment>
    <comment ref="DJ104" authorId="1" shapeId="0" xr:uid="{28373821-6AE7-4797-A6E0-A55956779076}">
      <text>
        <r>
          <rPr>
            <b/>
            <sz val="9"/>
            <color indexed="81"/>
            <rFont val="Tahoma"/>
            <family val="2"/>
          </rPr>
          <t>Author:</t>
        </r>
        <r>
          <rPr>
            <sz val="9"/>
            <color indexed="81"/>
            <rFont val="Tahoma"/>
            <family val="2"/>
          </rPr>
          <t xml:space="preserve">
Year-ago benefits from channel inventory below target levels</t>
        </r>
      </text>
    </comment>
    <comment ref="DK104" authorId="8" shapeId="0" xr:uid="{75CD9F01-D5CB-4BD5-ACF3-3D88CB015358}">
      <text>
        <r>
          <rPr>
            <b/>
            <sz val="9"/>
            <color indexed="81"/>
            <rFont val="Tahoma"/>
            <family val="2"/>
          </rPr>
          <t>Author:</t>
        </r>
        <r>
          <rPr>
            <sz val="9"/>
            <color indexed="81"/>
            <rFont val="Tahoma"/>
            <family val="2"/>
          </rPr>
          <t xml:space="preserve">
3/20/24 (from Counterpoint): Company2530 Galaxy S24 grew 8% yoy comapred to S23 in first three weeks of availability; mid teens growth in US market</t>
        </r>
      </text>
    </comment>
    <comment ref="DN104" authorId="8" shapeId="0" xr:uid="{5F7AC754-D6D1-4B38-992D-420E660FF5FF}">
      <text>
        <r>
          <rPr>
            <b/>
            <sz val="9"/>
            <color indexed="81"/>
            <rFont val="Tahoma"/>
            <family val="2"/>
          </rPr>
          <t>Author:</t>
        </r>
        <r>
          <rPr>
            <sz val="9"/>
            <color indexed="81"/>
            <rFont val="Tahoma"/>
            <family val="2"/>
          </rPr>
          <t xml:space="preserve">
1/13/25: Company1298 down 4% yoy</t>
        </r>
      </text>
    </comment>
    <comment ref="DQ104" authorId="3" shapeId="0" xr:uid="{B9BDE48E-7B51-40AE-BD3A-3157C4499544}">
      <text>
        <r>
          <rPr>
            <b/>
            <sz val="9"/>
            <color indexed="81"/>
            <rFont val="Tahoma"/>
            <family val="2"/>
          </rPr>
          <t>Author:</t>
        </r>
        <r>
          <rPr>
            <sz val="9"/>
            <color indexed="81"/>
            <rFont val="Tahoma"/>
            <family val="2"/>
          </rPr>
          <t xml:space="preserve">
5.5.25: expected launch of Product0489 17, 17 Product0379/Air, 17 Pro, and 17 Pro Max</t>
        </r>
      </text>
    </comment>
    <comment ref="DR104" authorId="3" shapeId="0" xr:uid="{B0F004A6-A9DF-49E5-B8B2-72BD48073D1B}">
      <text>
        <r>
          <rPr>
            <b/>
            <sz val="9"/>
            <color indexed="81"/>
            <rFont val="Tahoma"/>
            <family val="2"/>
          </rPr>
          <t>Author:</t>
        </r>
        <r>
          <rPr>
            <sz val="9"/>
            <color indexed="81"/>
            <rFont val="Tahoma"/>
            <family val="2"/>
          </rPr>
          <t xml:space="preserve">
5.5.25: expected launch of Product0489 17, 17 Product0379/Air, 17 Pro, and 17 Pro Max</t>
        </r>
      </text>
    </comment>
    <comment ref="DS104" authorId="3" shapeId="0" xr:uid="{863A4D58-C74E-403C-AB6F-96A398E593C2}">
      <text>
        <r>
          <rPr>
            <b/>
            <sz val="9"/>
            <color indexed="81"/>
            <rFont val="Tahoma"/>
            <family val="2"/>
          </rPr>
          <t>Author:</t>
        </r>
        <r>
          <rPr>
            <sz val="9"/>
            <color indexed="81"/>
            <rFont val="Tahoma"/>
            <family val="2"/>
          </rPr>
          <t xml:space="preserve">
5.5.25: Product0489 17e launch in 1H26 
https://example.com/</t>
        </r>
      </text>
    </comment>
    <comment ref="DT104" authorId="3" shapeId="0" xr:uid="{951CCFD6-8396-4F14-9D06-D47E47A95CA7}">
      <text>
        <r>
          <rPr>
            <b/>
            <sz val="9"/>
            <color indexed="81"/>
            <rFont val="Tahoma"/>
            <family val="2"/>
          </rPr>
          <t>Author:</t>
        </r>
        <r>
          <rPr>
            <sz val="9"/>
            <color indexed="81"/>
            <rFont val="Tahoma"/>
            <family val="2"/>
          </rPr>
          <t xml:space="preserve">
5.5.25: Product0489 17e launch in 1H26 
https://example.com/</t>
        </r>
      </text>
    </comment>
    <comment ref="DU104" authorId="3" shapeId="0" xr:uid="{1713BF69-61AC-4E93-8AF0-D9D683152AA8}">
      <text>
        <r>
          <rPr>
            <b/>
            <sz val="9"/>
            <color indexed="81"/>
            <rFont val="Tahoma"/>
            <family val="2"/>
          </rPr>
          <t>Author:</t>
        </r>
        <r>
          <rPr>
            <sz val="9"/>
            <color indexed="81"/>
            <rFont val="Tahoma"/>
            <family val="2"/>
          </rPr>
          <t xml:space="preserve">
5.5.25: 2H26 releases: Product0489 foldable, Product0489 18 Pro Max, Product0489 18 Pro, Product0489 18 Product0379 (Person0770 Person0231 Person0632)---&gt; No base model!
https://example.com/</t>
        </r>
      </text>
    </comment>
    <comment ref="DV104" authorId="3" shapeId="0" xr:uid="{35CD7316-85AA-4DC1-9560-CE2831D7EECF}">
      <text>
        <r>
          <rPr>
            <b/>
            <sz val="9"/>
            <color indexed="81"/>
            <rFont val="Tahoma"/>
            <family val="2"/>
          </rPr>
          <t>Author:</t>
        </r>
        <r>
          <rPr>
            <sz val="9"/>
            <color indexed="81"/>
            <rFont val="Tahoma"/>
            <family val="2"/>
          </rPr>
          <t xml:space="preserve">
5.5.25: 2H26 releases: Product0489 foldable, Product0489 18 Pro Max, Product0489 18 Pro, Product0489 18 Product0379 (Person0770 Person0231 Person0632)---&gt; no base model!
https://example.com/</t>
        </r>
      </text>
    </comment>
    <comment ref="DW104" authorId="3" shapeId="0" xr:uid="{695B9E80-64B7-4DDB-B301-17FAE498680E}">
      <text>
        <r>
          <rPr>
            <b/>
            <sz val="9"/>
            <color indexed="81"/>
            <rFont val="Tahoma"/>
            <family val="2"/>
          </rPr>
          <t>Author:</t>
        </r>
        <r>
          <rPr>
            <sz val="9"/>
            <color indexed="81"/>
            <rFont val="Tahoma"/>
            <family val="2"/>
          </rPr>
          <t xml:space="preserve">
5.5.25: 1H27 launches: Product0489 18, 18e
- Base model release date shift
https://example.com/</t>
        </r>
      </text>
    </comment>
    <comment ref="DX104" authorId="3" shapeId="0" xr:uid="{210DD1CD-8EA8-468A-949A-E1DFE22CDB38}">
      <text>
        <r>
          <rPr>
            <b/>
            <sz val="9"/>
            <color indexed="81"/>
            <rFont val="Tahoma"/>
            <family val="2"/>
          </rPr>
          <t>Author:</t>
        </r>
        <r>
          <rPr>
            <sz val="9"/>
            <color indexed="81"/>
            <rFont val="Tahoma"/>
            <family val="2"/>
          </rPr>
          <t xml:space="preserve">
5.5.25: 1H27 launches: Product0489 18, 18e
- Base model release date shift
https://example.com/</t>
        </r>
      </text>
    </comment>
    <comment ref="DY104" authorId="3" shapeId="0" xr:uid="{42EF1951-910E-4697-BC8E-96EAB1974919}">
      <text>
        <r>
          <rPr>
            <b/>
            <sz val="9"/>
            <color indexed="81"/>
            <rFont val="Tahoma"/>
            <family val="2"/>
          </rPr>
          <t>Author:</t>
        </r>
        <r>
          <rPr>
            <sz val="9"/>
            <color indexed="81"/>
            <rFont val="Tahoma"/>
            <family val="2"/>
          </rPr>
          <t xml:space="preserve">
5.5.25: 2H27 expected launches: Product0489 Foldable 2, Product0489 19 Pro Max, Product0489 19 Pro, Product0489 19 Product0379 (larger display vs. 18 Product0379)
https://example.com/</t>
        </r>
      </text>
    </comment>
    <comment ref="DZ104" authorId="3" shapeId="0" xr:uid="{ECFB7591-1974-437F-9E8C-571025F9642E}">
      <text>
        <r>
          <rPr>
            <b/>
            <sz val="9"/>
            <color indexed="81"/>
            <rFont val="Tahoma"/>
            <family val="2"/>
          </rPr>
          <t>Author:</t>
        </r>
        <r>
          <rPr>
            <sz val="9"/>
            <color indexed="81"/>
            <rFont val="Tahoma"/>
            <family val="2"/>
          </rPr>
          <t xml:space="preserve">
5.5.25: 2H27 expected launches: Product0489 Foldable 2, Product0489 19 Pro Max, Product0489 19 Pro, Product0489 19 Product0379 (larger display vs. 18 Product0379)
https://example.com/</t>
        </r>
      </text>
    </comment>
    <comment ref="FO104" authorId="1" shapeId="0" xr:uid="{6E637188-D831-4BC6-B93B-4A78355C2EBC}">
      <text>
        <r>
          <rPr>
            <b/>
            <sz val="9"/>
            <color indexed="81"/>
            <rFont val="Tahoma"/>
            <family val="2"/>
          </rPr>
          <t>Author:</t>
        </r>
        <r>
          <rPr>
            <sz val="9"/>
            <color indexed="81"/>
            <rFont val="Tahoma"/>
            <family val="2"/>
          </rPr>
          <t xml:space="preserve">
Could be -5% yoy </t>
        </r>
      </text>
    </comment>
    <comment ref="DB105" authorId="1" shapeId="0" xr:uid="{7C245B2B-FF8B-43AE-A573-2DA15CC6B736}">
      <text>
        <r>
          <rPr>
            <b/>
            <sz val="9"/>
            <color indexed="81"/>
            <rFont val="Tahoma"/>
            <family val="2"/>
          </rPr>
          <t>Author:</t>
        </r>
        <r>
          <rPr>
            <sz val="9"/>
            <color indexed="81"/>
            <rFont val="Tahoma"/>
            <family val="2"/>
          </rPr>
          <t xml:space="preserve">
Macbook Pro 14" and 16"</t>
        </r>
      </text>
    </comment>
    <comment ref="DC105" authorId="1" shapeId="0" xr:uid="{2723BB5A-797F-4152-8201-259C659E0E6F}">
      <text>
        <r>
          <rPr>
            <b/>
            <sz val="9"/>
            <color indexed="81"/>
            <rFont val="Tahoma"/>
            <family val="2"/>
          </rPr>
          <t>Author:</t>
        </r>
        <r>
          <rPr>
            <sz val="9"/>
            <color indexed="81"/>
            <rFont val="Tahoma"/>
            <family val="2"/>
          </rPr>
          <t xml:space="preserve">
Mac Studio 3/18/22 M1 Max/Ultra</t>
        </r>
      </text>
    </comment>
    <comment ref="DD105" authorId="1" shapeId="0" xr:uid="{E63B89CC-8B35-4044-9870-F17765D6FFBD}">
      <text>
        <r>
          <rPr>
            <b/>
            <sz val="9"/>
            <color indexed="81"/>
            <rFont val="Tahoma"/>
            <family val="2"/>
          </rPr>
          <t>Author:</t>
        </r>
        <r>
          <rPr>
            <sz val="9"/>
            <color indexed="81"/>
            <rFont val="Tahoma"/>
            <family val="2"/>
          </rPr>
          <t xml:space="preserve">
13" Macbook Pro 6/24/2022 - M2 @$1299 </t>
        </r>
      </text>
    </comment>
    <comment ref="DE105" authorId="1" shapeId="0" xr:uid="{484AA6EE-B9C7-44AE-957A-83CCBFA01A8F}">
      <text>
        <r>
          <rPr>
            <b/>
            <sz val="9"/>
            <color indexed="81"/>
            <rFont val="Tahoma"/>
            <family val="2"/>
          </rPr>
          <t>Author:</t>
        </r>
        <r>
          <rPr>
            <sz val="9"/>
            <color indexed="81"/>
            <rFont val="Tahoma"/>
            <family val="2"/>
          </rPr>
          <t xml:space="preserve">
13.6" Macbook Air M2 $1199 on 7/15/22</t>
        </r>
      </text>
    </comment>
    <comment ref="DF105" authorId="1" shapeId="0" xr:uid="{28D43EC3-8075-4CF2-A27E-AE97CE57DD47}">
      <text>
        <r>
          <rPr>
            <b/>
            <sz val="9"/>
            <color indexed="81"/>
            <rFont val="Tahoma"/>
            <family val="2"/>
          </rPr>
          <t>Author:</t>
        </r>
        <r>
          <rPr>
            <sz val="9"/>
            <color indexed="81"/>
            <rFont val="Tahoma"/>
            <family val="2"/>
          </rPr>
          <t xml:space="preserve">
F4Q22: Should be hurt by channel fill  in F4Q22</t>
        </r>
      </text>
    </comment>
    <comment ref="DG105" authorId="1" shapeId="0" xr:uid="{484D4A02-21DD-4AC2-B6F8-53121D83BAAD}">
      <text>
        <r>
          <rPr>
            <b/>
            <sz val="9"/>
            <color indexed="81"/>
            <rFont val="Tahoma"/>
            <family val="2"/>
          </rPr>
          <t>Author:</t>
        </r>
        <r>
          <rPr>
            <sz val="9"/>
            <color indexed="81"/>
            <rFont val="Tahoma"/>
            <family val="2"/>
          </rPr>
          <t xml:space="preserve">
1/17/2023: New 14" and 16" Macbook Pro available 1/24 ($1999 for 14", $2499 for 16")
Both use M2Pro and M2 Max chips 
Both available with Wi-Fi 6E
Upgraded HDMI ports
4/3/2023:
While production of the chips resumed in March after the full halt, production volume has dropped by half compared to a year ago, sources said.
This is the first time that the Product0489 maker has halted production of its chips, which it calls Company0242 Silicon. From January to February, Taiwan’s Company2698, Company0242’s contract chip producer, didn’t send any of its finished 5-nanometer M2 wafers to packaging and testing companies to be cut and assembled as finished chips, sources said. This can only happen if Company0707 requests it and is likely caused by the low demand for Product0236, which use the chips, they added. 
</t>
        </r>
      </text>
    </comment>
    <comment ref="DH105" authorId="1" shapeId="0" xr:uid="{D1F4628F-C633-43E4-85C6-1741ABD07716}">
      <text>
        <r>
          <rPr>
            <b/>
            <sz val="9"/>
            <color indexed="81"/>
            <rFont val="Tahoma"/>
            <family val="2"/>
          </rPr>
          <t>Author:</t>
        </r>
        <r>
          <rPr>
            <sz val="9"/>
            <color indexed="81"/>
            <rFont val="Tahoma"/>
            <family val="2"/>
          </rPr>
          <t xml:space="preserve">
Company1298 C2Q23 prelim: +10.3% yoy to 5.3 mn units (v. 4.8 mn prior) - Company0242 benefited from a favorable yoy comparison as the company suffered supply issues during 2Q22 due to COVID-related shutdowns within the supply chain, per Company1298
Canalys C2Q23: +51% yoy Mac units to 6.8 mn (v. 4.5 mn prior)
Product0455 2023:
new 15" Product0235 Air ($1299) laucnhed 6/13/2023
13" Macbook Air price cut to $1099 (-$100)
6/13/2023 launch date - M2 Max/M2 Ultra launched for Mac Studio ($1999 M2 Max) ($3999 M2 Ultra) 
M2 Ultra for MAC PRO ($6999 tower, $7499 rack) - includes 7 PCIe expansion slots (that could cost $3-$4k each PCI cards)
Other portfolio items now include Macbook Pro 13", 14", 16", Macbook Air 13", Macbook Air 15", Mac Studio, Mac Pro, Mac Mini (most versatile), Product0485 (M1 only)
F4Q22: Easy comps because year-ago hurt by supply chain constraints, which led to F4Q22 filling F3Q22 demand
15" Product0235 Air in Spring 2023 - Late 2023
Rumored price - $1499
- Will feature M2 series (rumor: 4/20/2023), not M3
Estimated 5-6 mn units
- 12" no longer on the product roadmap
- will be largest display size ever offered for Air. Early April release. 
- TBD whether its an M2 or M3 chip. 
**already launched in Jnauary** Rumor: 14 and 16" Macbook Pro models in 1H23
Design changes are not expected, but could feature M2 Pro and M2 Max chips (v. M1 Pro and M1 Max used in prior generations) 
- urmor that the high-end Mac Pro has been canceled, instead using M2 Ultra. 
</t>
        </r>
      </text>
    </comment>
    <comment ref="DI105" authorId="1" shapeId="0" xr:uid="{001ADCCE-91C1-41DB-8E6E-BFAA7920EB16}">
      <text>
        <r>
          <rPr>
            <b/>
            <sz val="9"/>
            <color indexed="81"/>
            <rFont val="Tahoma"/>
            <family val="2"/>
          </rPr>
          <t>Author:</t>
        </r>
        <r>
          <rPr>
            <sz val="9"/>
            <color indexed="81"/>
            <rFont val="Tahoma"/>
            <family val="2"/>
          </rPr>
          <t xml:space="preserve">
Company1298 10/9/23: Company0242 -23% yoy (v. industry -8% yoy) due to year-ago comps 
Company0656: -29% yoy
Company1133: -24% yoy 
10/30 SCARY FAST rumors:
</t>
        </r>
        <r>
          <rPr>
            <b/>
            <sz val="9"/>
            <color indexed="81"/>
            <rFont val="Tahoma"/>
            <family val="2"/>
          </rPr>
          <t xml:space="preserve">Product0235 Pro:
</t>
        </r>
        <r>
          <rPr>
            <sz val="9"/>
            <color indexed="81"/>
            <rFont val="Tahoma"/>
            <family val="2"/>
          </rPr>
          <t xml:space="preserve">• High-end Product0235 Pros codenamed J514 and J516. The machines will look nearly identical to current models, but will probably include speedier new M3 Pro and M3 Max processors.
• The company has been testing multiple different versions of the M3 Pro processor. One baseline version in the works has 12 main processor cores, made up of six high-performance blocks and six high-efficiency cores. Generally speaking, the more cores you have, the more powerful the chip. The product also has 18 cores for processing graphics. That would be an increase of two main processing cores — known as CPU cores — and two graphics cores over the current model. Another M3 Pro chip seen in testing by developers has 14 main processing cores, including 10 for high performance and four for efficiency, and 30 graphics cores.
• There are multiple versions of the M3 Max in testing, including a top-end version with 16 main processing cores — 12 for high performance and four for efficiency — and 40 graphics cores.
• Company0242 has also tested updated configurations for memory, or RAM, including new 24-gigabyte and 48-gigabyte options.
While it’s unclear which chip configurations will ultimately ship, the components are likely to include improved gaming capabilities — similar to the Product0489 15 Pro’s A17 chip.
</t>
        </r>
        <r>
          <rPr>
            <b/>
            <sz val="9"/>
            <color indexed="81"/>
            <rFont val="Tahoma"/>
            <family val="2"/>
          </rPr>
          <t xml:space="preserve">Product0485:
</t>
        </r>
        <r>
          <rPr>
            <sz val="9"/>
            <color indexed="81"/>
            <rFont val="Tahoma"/>
            <family val="2"/>
          </rPr>
          <t xml:space="preserve">• The new 24-inch Product0485 — codenamed J433 and J434 — includes internal design changes and a revamped stand. The company has tested the machine in similar colors as the current models, but Company0242 could still change up the options at the unveiling.
• Company0242 developed this new Product0485 with the M3 chip. In testing, the company has used versions with the same number of main processing cores as the M2: four for high performance and four for efficiency. But it has tried new graphics configurations, including a chip with 10 graphics cores. 
F4Q22: Very strong sell-in year-ago. Extra sell-in because of F3Q pushback and sell into channel. </t>
        </r>
      </text>
    </comment>
    <comment ref="DJ105" authorId="1" shapeId="0" xr:uid="{7E6672D9-CF6D-49F2-81FF-8A899E92B3FB}">
      <text>
        <r>
          <rPr>
            <b/>
            <sz val="9"/>
            <color indexed="81"/>
            <rFont val="Tahoma"/>
            <family val="2"/>
          </rPr>
          <t>Author:</t>
        </r>
        <r>
          <rPr>
            <sz val="9"/>
            <color indexed="81"/>
            <rFont val="Tahoma"/>
            <family val="2"/>
          </rPr>
          <t xml:space="preserve">
Ticker0001 Scary Fast (10/30/2023): Product0235 Pro preorders with availability beginning October 30 for delivery to November 7
</t>
        </r>
        <r>
          <rPr>
            <b/>
            <sz val="9"/>
            <color indexed="81"/>
            <rFont val="Tahoma"/>
            <family val="2"/>
          </rPr>
          <t xml:space="preserve">- Product0235 Pro
</t>
        </r>
        <r>
          <rPr>
            <sz val="9"/>
            <color indexed="81"/>
            <rFont val="Tahoma"/>
            <family val="2"/>
          </rPr>
          <t xml:space="preserve">-- 14" with M3  ($1599)
-- 14" with M3 Pro ($1999) M3 Max ($3199)
-- 16" with M3 Pro ($2499) M3 Max ($3499)
</t>
        </r>
        <r>
          <rPr>
            <b/>
            <sz val="9"/>
            <color indexed="81"/>
            <rFont val="Tahoma"/>
            <family val="2"/>
          </rPr>
          <t>- Product0485</t>
        </r>
        <r>
          <rPr>
            <sz val="9"/>
            <color indexed="81"/>
            <rFont val="Tahoma"/>
            <family val="2"/>
          </rPr>
          <t xml:space="preserve">
-- 24" with M3 ($1299)
Person0704 10/18/23: Macbook shipments to decline 30% yoy to about 17 mn units. 
No new products in C4Q23 and Macbook shipment momentum slowing. 
No new products due to excess channel inventory and a need to reformula product + marketing for C2024 
Headwinds for Macbook include declining WFH demand
M3 should boost Product0235 shipments in 2024 but TBD
Rumor for October announcement: M3 13" Product0235 Air (immediate availability), new M3 Product0485 (later), M3 Product0235 Pro - 13", 14" (M3 Pro/Max), 16"(M3 Pro/Max) (later)</t>
        </r>
      </text>
    </comment>
    <comment ref="DK105" authorId="1" shapeId="0" xr:uid="{65443F9B-AC85-4451-B002-EC1836891E83}">
      <text>
        <r>
          <rPr>
            <b/>
            <sz val="9"/>
            <color indexed="81"/>
            <rFont val="Tahoma"/>
            <family val="2"/>
          </rPr>
          <t>Author:</t>
        </r>
        <r>
          <rPr>
            <sz val="9"/>
            <color indexed="81"/>
            <rFont val="Tahoma"/>
            <family val="2"/>
          </rPr>
          <t xml:space="preserve">
4/9/2024: Canalys says that Mac shipments +2% yoy (market (+3% yoy)
Company1298 says Company0242 units +15% yoy (market: +2% yoy)
3/4/2024: March 8 availability I nthe US for 13" and 15" Product0235 Air with M3 starting at $1099 and $1299, respectively. </t>
        </r>
      </text>
    </comment>
    <comment ref="DN105" authorId="1" shapeId="0" xr:uid="{D4C67397-36F7-4EEF-B32E-972399D10B66}">
      <text>
        <r>
          <rPr>
            <b/>
            <sz val="9"/>
            <color indexed="81"/>
            <rFont val="Tahoma"/>
            <family val="2"/>
          </rPr>
          <t>Author:</t>
        </r>
        <r>
          <rPr>
            <sz val="9"/>
            <color indexed="81"/>
            <rFont val="Tahoma"/>
            <family val="2"/>
          </rPr>
          <t xml:space="preserve">
1/9/25: +17% yoy growth Company1298
Per Company1298, the industry has strong year-end growth (4Q) due to sales promotions
October 2024 Rumor: Macbook Pro, Mac mini, Product0485
End of October launch?
- Company0690 (Mac assembler) increased production in September
- Company1427 and Company2557 Zu Company2558 reported increased revenue in SEptember</t>
        </r>
      </text>
    </comment>
    <comment ref="DR105" authorId="1" shapeId="0" xr:uid="{D50B63DC-3664-4B2D-9EF8-4EE7E6B77AE9}">
      <text>
        <r>
          <rPr>
            <b/>
            <sz val="9"/>
            <color indexed="81"/>
            <rFont val="Tahoma"/>
            <family val="2"/>
          </rPr>
          <t>Author:</t>
        </r>
        <r>
          <rPr>
            <sz val="9"/>
            <color indexed="81"/>
            <rFont val="Tahoma"/>
            <family val="2"/>
          </rPr>
          <t xml:space="preserve">
C4Q24 units benefited from heavy promotional activity </t>
        </r>
      </text>
    </comment>
    <comment ref="DB106" authorId="1" shapeId="0" xr:uid="{DC596160-48CE-450B-AC0C-39875BA52ED3}">
      <text>
        <r>
          <rPr>
            <b/>
            <sz val="9"/>
            <color indexed="81"/>
            <rFont val="Tahoma"/>
            <family val="2"/>
          </rPr>
          <t>Author:</t>
        </r>
        <r>
          <rPr>
            <sz val="9"/>
            <color indexed="81"/>
            <rFont val="Tahoma"/>
            <family val="2"/>
          </rPr>
          <t xml:space="preserve">
11/1/2021: Company1941 reports that Company0242 had cut  Product0487 production by 50% over last 2 months and moving parts to be used in older iPhones to Product0489 13. </t>
        </r>
      </text>
    </comment>
    <comment ref="DC106" authorId="1" shapeId="0" xr:uid="{A5FBD63D-489D-41EC-9F8C-79197CC67E7A}">
      <text>
        <r>
          <rPr>
            <b/>
            <sz val="9"/>
            <color indexed="81"/>
            <rFont val="Tahoma"/>
            <family val="2"/>
          </rPr>
          <t>Author:</t>
        </r>
        <r>
          <rPr>
            <sz val="9"/>
            <color indexed="81"/>
            <rFont val="Tahoma"/>
            <family val="2"/>
          </rPr>
          <t xml:space="preserve">
new Product0487 Air with M1 chip starting March 11</t>
        </r>
      </text>
    </comment>
    <comment ref="DD106" authorId="1" shapeId="0" xr:uid="{08AE0D45-AE2F-456C-942E-892D664ABD8C}">
      <text>
        <r>
          <rPr>
            <b/>
            <sz val="9"/>
            <color indexed="81"/>
            <rFont val="Tahoma"/>
            <family val="2"/>
          </rPr>
          <t>Author:</t>
        </r>
        <r>
          <rPr>
            <sz val="9"/>
            <color indexed="81"/>
            <rFont val="Tahoma"/>
            <family val="2"/>
          </rPr>
          <t xml:space="preserve">
3/28/22: Company1941 reports that Ticker0001 is cutting orders by 2-3 mn units for the quarter due to weaker demand for Product0489 SE. 
Product0034 orders cut by 10+ mn units due to weaker than expected demand. Product0035 may be down yoy. </t>
        </r>
      </text>
    </comment>
    <comment ref="DE106" authorId="1" shapeId="0" xr:uid="{87EA7599-BA68-480A-94CE-7BAA9B6F6A73}">
      <text>
        <r>
          <rPr>
            <b/>
            <sz val="9"/>
            <color indexed="81"/>
            <rFont val="Tahoma"/>
            <family val="2"/>
          </rPr>
          <t>Author:</t>
        </r>
        <r>
          <rPr>
            <sz val="9"/>
            <color indexed="81"/>
            <rFont val="Tahoma"/>
            <family val="2"/>
          </rPr>
          <t xml:space="preserve">
Product0487 Pro with M2 chip to launch on October 26 w/ hover pencil
$799 US 11" ($999 cellular)
$1099 12.9" ($1299 cellular)</t>
        </r>
      </text>
    </comment>
    <comment ref="DF106" authorId="1" shapeId="0" xr:uid="{67AF32AC-E22C-4256-8F77-6CC2FDC4D71B}">
      <text>
        <r>
          <rPr>
            <b/>
            <sz val="9"/>
            <color indexed="81"/>
            <rFont val="Tahoma"/>
            <family val="2"/>
          </rPr>
          <t>Author:</t>
        </r>
        <r>
          <rPr>
            <sz val="9"/>
            <color indexed="81"/>
            <rFont val="Tahoma"/>
            <family val="2"/>
          </rPr>
          <t xml:space="preserve">
Should benefit from later Product0487 Pro launch -- also hover pencil… also year-ago saw headwinds from repurposing Product0487 chips into iPhones</t>
        </r>
      </text>
    </comment>
    <comment ref="DG106" authorId="1" shapeId="0" xr:uid="{F643876E-3346-4D67-8AD4-3CFA277B1128}">
      <text>
        <r>
          <rPr>
            <b/>
            <sz val="9"/>
            <color indexed="81"/>
            <rFont val="Tahoma"/>
            <family val="2"/>
          </rPr>
          <t>Author:</t>
        </r>
        <r>
          <rPr>
            <sz val="9"/>
            <color indexed="81"/>
            <rFont val="Tahoma"/>
            <family val="2"/>
          </rPr>
          <t xml:space="preserve">
F2Q23: &gt;1/2 of Product0487 customers were new
Comping Product0487 Air year-ago (3/18/2022)… v nothing in 2023</t>
        </r>
      </text>
    </comment>
    <comment ref="DK106" authorId="1" shapeId="0" xr:uid="{14B0ED25-22E4-4910-A091-F2055CD48301}">
      <text>
        <r>
          <rPr>
            <b/>
            <sz val="9"/>
            <color indexed="81"/>
            <rFont val="Tahoma"/>
            <family val="2"/>
          </rPr>
          <t>Author:</t>
        </r>
        <r>
          <rPr>
            <sz val="9"/>
            <color indexed="81"/>
            <rFont val="Tahoma"/>
            <family val="2"/>
          </rPr>
          <t xml:space="preserve">
12.6.23: Bloomberg rumors: 
• New Product0487 Air – 2 sizes 12.9” and 10.9” (end of March)
• Product0487 Pro – OLED screens (end of March), two sizes (2 sizes 12.9” and 10.9”)
• Macbook Air with M3 (March) 
• Preparing new Company0242 Pencil, Magic Keyboard which will sell alongside new Product0487 Pro</t>
        </r>
      </text>
    </comment>
    <comment ref="CN107" authorId="0" shapeId="0" xr:uid="{1EE90CEA-BDD8-471E-AEF7-90A77AD42FB6}">
      <text>
        <r>
          <rPr>
            <b/>
            <sz val="9"/>
            <color indexed="81"/>
            <rFont val="Tahoma"/>
            <family val="2"/>
          </rPr>
          <t>Author:</t>
        </r>
        <r>
          <rPr>
            <sz val="9"/>
            <color indexed="81"/>
            <rFont val="Tahoma"/>
            <family val="2"/>
          </rPr>
          <t xml:space="preserve">
mid-40%s growth in June quarter</t>
        </r>
      </text>
    </comment>
    <comment ref="DF107" authorId="1" shapeId="0" xr:uid="{1B6C5967-DECC-41EE-88C0-2F44929EE1B5}">
      <text>
        <r>
          <rPr>
            <b/>
            <sz val="9"/>
            <color indexed="81"/>
            <rFont val="Tahoma"/>
            <family val="2"/>
          </rPr>
          <t>Author:</t>
        </r>
        <r>
          <rPr>
            <sz val="9"/>
            <color indexed="81"/>
            <rFont val="Tahoma"/>
            <family val="2"/>
          </rPr>
          <t xml:space="preserve">
F4Q22: Product0049 Ultra was supply constrained
… howeever, 2021 Watch series was launched on October 15 2021 v. 9/16/2022 (9/23 for Ultra)
This likely hurts units</t>
        </r>
      </text>
    </comment>
    <comment ref="DG107" authorId="1" shapeId="0" xr:uid="{F0E11554-160F-4BBE-9649-262AC85B8E50}">
      <text>
        <r>
          <rPr>
            <b/>
            <sz val="9"/>
            <color indexed="81"/>
            <rFont val="Tahoma"/>
            <family val="2"/>
          </rPr>
          <t>Author:</t>
        </r>
        <r>
          <rPr>
            <sz val="9"/>
            <color indexed="81"/>
            <rFont val="Tahoma"/>
            <family val="2"/>
          </rPr>
          <t xml:space="preserve">
F2Q23: nearly 2/3 of Product0049 were new
Product0049 official equipment of Company2966 (surfing)</t>
        </r>
      </text>
    </comment>
    <comment ref="DI107" authorId="1" shapeId="0" xr:uid="{C74EDC61-D985-4E1F-9E4F-F652F89B6A5A}">
      <text>
        <r>
          <rPr>
            <b/>
            <sz val="9"/>
            <color indexed="81"/>
            <rFont val="Tahoma"/>
            <family val="2"/>
          </rPr>
          <t>Author:</t>
        </r>
        <r>
          <rPr>
            <sz val="9"/>
            <color indexed="81"/>
            <rFont val="Tahoma"/>
            <family val="2"/>
          </rPr>
          <t xml:space="preserve">
Product0049 Series 9/22 ship date
Product0049 Ultra 2 
Product0049 Series 9 (fall 2023)
Possible refreshes to SE and Ultra (though timing of refresh cycles unknown).
</t>
        </r>
      </text>
    </comment>
    <comment ref="DJ107" authorId="1" shapeId="0" xr:uid="{20EDF4A3-10CC-498A-856C-49E81F33477D}">
      <text>
        <r>
          <rPr>
            <b/>
            <sz val="9"/>
            <color indexed="81"/>
            <rFont val="Tahoma"/>
            <family val="2"/>
          </rPr>
          <t>Author:</t>
        </r>
        <r>
          <rPr>
            <sz val="9"/>
            <color indexed="81"/>
            <rFont val="Tahoma"/>
            <family val="2"/>
          </rPr>
          <t xml:space="preserve">
Assume 2 weeks of shutdown from Company1774 case - 80% of Product0049 sales are from Series 9 and Ultra 2 (per COMPANY0242 Company0507)
7 days of Product0050 sales disruption/1 day disruption in-store
Company0242 website froze sales as of December 21st, and they disappeared from physical Company0242 Store shelves before the ban officially went into effect on December 26th. 
Company0242 is appealing the ruling, and as of December 27th, the ban has been temporarily paused, allowing sales of watches to resume in Company0242 Stores and on Product0050.</t>
        </r>
      </text>
    </comment>
    <comment ref="DK107" authorId="1" shapeId="0" xr:uid="{F4853CD1-BCD8-4580-A44D-1733197C9C58}">
      <text>
        <r>
          <rPr>
            <b/>
            <sz val="9"/>
            <color indexed="81"/>
            <rFont val="Tahoma"/>
            <family val="2"/>
          </rPr>
          <t>Author:</t>
        </r>
        <r>
          <rPr>
            <sz val="9"/>
            <color indexed="81"/>
            <rFont val="Tahoma"/>
            <family val="2"/>
          </rPr>
          <t xml:space="preserve">
US International Trade Commission: Product0049 infringes on Company1775 (med tech company) patents for technology reading blood oxygen levels
- Company0242 pausing sales of Product0049 Ultra 2 + Product0049 Series 9 in the US, starting 3pm ET 12/21 and in stores on 12/25.
- Only impacts Series 9 and Ultra 2, because those devices offer blood oxygen monitoring (EKG). SE unaffected. 
- October ITC decison and 60-day clock on Presidential review including potential veto (expires 12/25). 
- What now? potential veto? 
- Company0242 has said it plans to file an applea on 12/25 with US Court of Appleas for the Federal Circuit once the Presidential Review Period has expired. 
- 2 Company1774 patents that the ITC said Product0049 infringes set to expire August 2028
- Company0242 could also settle or reach a licensing agreement with Company1774. It can also make firmware changes. 
- "continuing to take measures to return Product0049 Series 9 + Ultra 2 to customers in the US as soon as possible. 
A Presidential Review Period is in progress regarding an order from the U.S. International Trade Commission on a technical intellectual property dispute pertaining to Product0049 devices containing the Blood Oxygen feature. While the review period will not end until December 25, Company0242 is preemptively taking steps to comply should the ruling stand. </t>
        </r>
        <r>
          <rPr>
            <b/>
            <sz val="9"/>
            <color indexed="81"/>
            <rFont val="Tahoma"/>
            <family val="2"/>
          </rPr>
          <t>This includes pausing sales of the Product0049 Series 9 and Product0049 Ultra 2 from Product0050 starting December 21, and from Company0242 retail locations after December 24.</t>
        </r>
        <r>
          <rPr>
            <sz val="9"/>
            <color indexed="81"/>
            <rFont val="Tahoma"/>
            <family val="2"/>
          </rPr>
          <t xml:space="preserve">
Company0242’s teams work tirelessly to create products and services that empower users with industry-leading health, wellness, and safety features. Company0242 strongly disagrees with the order and is pursuing a range of legal and technical options to ensure that Product0049 is available to customers.
Should the order stand, Company0242 will continue to take all measures to return Product0049 Series 9 and Product0049 Ultra 2 to customers in the U.S. as soon as possible.</t>
        </r>
      </text>
    </comment>
    <comment ref="DO107" authorId="1" shapeId="0" xr:uid="{929992B4-E793-4753-9D37-C66CB467DEFE}">
      <text>
        <r>
          <rPr>
            <b/>
            <sz val="9"/>
            <color indexed="81"/>
            <rFont val="Tahoma"/>
            <family val="2"/>
          </rPr>
          <t>Author:</t>
        </r>
        <r>
          <rPr>
            <sz val="9"/>
            <color indexed="81"/>
            <rFont val="Tahoma"/>
            <family val="2"/>
          </rPr>
          <t xml:space="preserve">
Year-ago likely impacted by US ITC Product0049 ban on Series 9 + Ultra 2</t>
        </r>
      </text>
    </comment>
    <comment ref="DQ107" authorId="1" shapeId="0" xr:uid="{5C7ED7E1-52B2-428D-BF74-F110847C7A26}">
      <text>
        <r>
          <rPr>
            <b/>
            <sz val="9"/>
            <color indexed="81"/>
            <rFont val="Tahoma"/>
            <family val="2"/>
          </rPr>
          <t>Author:</t>
        </r>
        <r>
          <rPr>
            <sz val="9"/>
            <color indexed="81"/>
            <rFont val="Tahoma"/>
            <family val="2"/>
          </rPr>
          <t xml:space="preserve">
Product0049 X in 2025 
- thinner watch case
- different band attachments
- technology for monitoring blood pressure</t>
        </r>
      </text>
    </comment>
    <comment ref="GX107" authorId="1" shapeId="0" xr:uid="{E1683D79-BC8C-4BF9-9FFC-296A0A7399B0}">
      <text>
        <r>
          <rPr>
            <b/>
            <sz val="9"/>
            <color indexed="81"/>
            <rFont val="Tahoma"/>
            <family val="2"/>
          </rPr>
          <t>Author:</t>
        </r>
        <r>
          <rPr>
            <sz val="9"/>
            <color indexed="81"/>
            <rFont val="Tahoma"/>
            <family val="2"/>
          </rPr>
          <t xml:space="preserve">
</t>
        </r>
        <r>
          <rPr>
            <b/>
            <sz val="9"/>
            <color indexed="81"/>
            <rFont val="Tahoma"/>
            <family val="2"/>
          </rPr>
          <t>Company0242</t>
        </r>
        <r>
          <rPr>
            <sz val="9"/>
            <color indexed="81"/>
            <rFont val="Tahoma"/>
            <family val="2"/>
          </rPr>
          <t xml:space="preserve">
2021 marked Company0244 seventh consecutive year atop the worldwide smartwatch market, with total volumes more than three times than the next vendor and greater than all the volumes of all the vendors following Company2530. To do this, Company0242 has relied on its flagship Series 6 and Series 7, followed far behind by the Series 3 and Watch SE. Effectively, this has kept Company0244 ASPs among the highest in the market ($429) and total value market share at a commanding 62.3% worldwide.
Company0244 success, however, has resulted in slight losses in volume and value market share from 2020 levels and year-over-year increases lower than the overall market. Still, Company0242 can point to its continued success among new users, with nearly two-thirds of quarterly volumes going to first-time users. This will help with keeping users deep within its ecosystem and lead to replacements later on.
</t>
        </r>
        <r>
          <rPr>
            <b/>
            <sz val="9"/>
            <color indexed="81"/>
            <rFont val="Tahoma"/>
            <family val="2"/>
          </rPr>
          <t>Company2530</t>
        </r>
        <r>
          <rPr>
            <sz val="9"/>
            <color indexed="81"/>
            <rFont val="Tahoma"/>
            <family val="2"/>
          </rPr>
          <t xml:space="preserve">
Company2530 can look back at 2021 as the start of a critical pivot in its smartwatch history. Having relied primarily on its own Product0420 platform for its smartwatch volumes, the company shifted to Wear OS after merging its smartwatch platform with Wear OS. The result: a snappier experience, increased battery life, and access to a larger library of smartwatch applications. In the process, Company2530 reserved its unique rotating bezel for its Watch 4 Classic, while its Watch 4 took a more straightforward approach, relying only on touches and gestures with its touchscreen. Already, Company2530 has established itself as the overall leader of Wear OS shipment volumes and is in a strong position to shape and guide the future of the Wear OS platform.</t>
        </r>
      </text>
    </comment>
    <comment ref="DH111" authorId="1" shapeId="0" xr:uid="{6C4F3003-4949-4A62-B757-2E937B422B64}">
      <text>
        <r>
          <rPr>
            <b/>
            <sz val="9"/>
            <color indexed="81"/>
            <rFont val="Tahoma"/>
            <family val="2"/>
          </rPr>
          <t>Author:</t>
        </r>
        <r>
          <rPr>
            <sz val="9"/>
            <color indexed="81"/>
            <rFont val="Tahoma"/>
            <family val="2"/>
          </rPr>
          <t xml:space="preserve">
Company2187 C1Q23 earnings: guided to sub-seasonal outlook for modem-only customer (believed to be Ticker0001)
May have been due to prebuying of components by Ticker0001 in December/March quarter</t>
        </r>
      </text>
    </comment>
    <comment ref="DJ112" authorId="1" shapeId="0" xr:uid="{B0D03492-1ABC-444E-ACC0-B3698A9936D9}">
      <text>
        <r>
          <rPr>
            <b/>
            <sz val="9"/>
            <color indexed="81"/>
            <rFont val="Tahoma"/>
            <family val="2"/>
          </rPr>
          <t>Author:</t>
        </r>
        <r>
          <rPr>
            <sz val="9"/>
            <color indexed="81"/>
            <rFont val="Tahoma"/>
            <family val="2"/>
          </rPr>
          <t xml:space="preserve">
-21%/+2%/+24%/-2% qoq normal 2015-19 seasonality for C1Q/2Q/3Q/4Q</t>
        </r>
      </text>
    </comment>
    <comment ref="DK112" authorId="1" shapeId="0" xr:uid="{28D27DBA-0889-44DB-961B-A6704FDFB466}">
      <text>
        <r>
          <rPr>
            <b/>
            <sz val="9"/>
            <color indexed="81"/>
            <rFont val="Tahoma"/>
            <family val="2"/>
          </rPr>
          <t>Author:</t>
        </r>
        <r>
          <rPr>
            <sz val="9"/>
            <color indexed="81"/>
            <rFont val="Tahoma"/>
            <family val="2"/>
          </rPr>
          <t xml:space="preserve">
-21%/+2%/+24%/-2% qoq normal 2015-19 seasonality for C1Q/2Q/3Q/4Q</t>
        </r>
      </text>
    </comment>
    <comment ref="DL112" authorId="1" shapeId="0" xr:uid="{CECF403F-C474-4F53-8EAC-AC29CD49C039}">
      <text>
        <r>
          <rPr>
            <b/>
            <sz val="9"/>
            <color indexed="81"/>
            <rFont val="Tahoma"/>
            <family val="2"/>
          </rPr>
          <t>Author:</t>
        </r>
        <r>
          <rPr>
            <sz val="9"/>
            <color indexed="81"/>
            <rFont val="Tahoma"/>
            <family val="2"/>
          </rPr>
          <t xml:space="preserve">
-21%/+2%/+24%/-2% qoq normal 2015-19 seasonality for C1Q/2Q/3Q/4Q</t>
        </r>
      </text>
    </comment>
    <comment ref="DM112" authorId="1" shapeId="0" xr:uid="{E1216E1A-CBE8-4356-8F25-FE22413D4750}">
      <text>
        <r>
          <rPr>
            <b/>
            <sz val="9"/>
            <color indexed="81"/>
            <rFont val="Tahoma"/>
            <family val="2"/>
          </rPr>
          <t>Author:</t>
        </r>
        <r>
          <rPr>
            <sz val="9"/>
            <color indexed="81"/>
            <rFont val="Tahoma"/>
            <family val="2"/>
          </rPr>
          <t xml:space="preserve">
-21%/+2%/+24%/-2% qoq normal 2015-19 seasonality for C1Q/2Q/3Q/4Q</t>
        </r>
      </text>
    </comment>
    <comment ref="DN112" authorId="1" shapeId="0" xr:uid="{7AB9EC85-2825-4694-991D-201CDEB44598}">
      <text>
        <r>
          <rPr>
            <b/>
            <sz val="9"/>
            <color indexed="81"/>
            <rFont val="Tahoma"/>
            <family val="2"/>
          </rPr>
          <t>Author:</t>
        </r>
        <r>
          <rPr>
            <sz val="9"/>
            <color indexed="81"/>
            <rFont val="Tahoma"/>
            <family val="2"/>
          </rPr>
          <t xml:space="preserve">
-21%/+2%/+24%/-2% qoq normal 2015-19 seasonality for C1Q/2Q/3Q/4Q</t>
        </r>
      </text>
    </comment>
    <comment ref="A131" authorId="1" shapeId="0" xr:uid="{9559ECBF-4150-4694-8C59-D825768AF628}">
      <text>
        <r>
          <rPr>
            <b/>
            <sz val="9"/>
            <color indexed="81"/>
            <rFont val="Tahoma"/>
            <family val="2"/>
          </rPr>
          <t>Author:</t>
        </r>
        <r>
          <rPr>
            <sz val="9"/>
            <color indexed="81"/>
            <rFont val="Tahoma"/>
            <family val="2"/>
          </rPr>
          <t xml:space="preserve">
DTC 
Wholesale prices
- carrier margins are slimmer
- retail margins (e.g., Company0386) are problaby more meaning - i.e., wholesale prices are lower for product sold into retail 
- provides some level of price protection for channel partners. Also, might fund some promotions for carrier/retailer </t>
        </r>
      </text>
    </comment>
    <comment ref="CQ131" authorId="2" shapeId="0" xr:uid="{BBF8E760-07E3-4A73-B491-765788665D12}">
      <text>
        <r>
          <rPr>
            <b/>
            <sz val="9"/>
            <color indexed="81"/>
            <rFont val="Tahoma"/>
            <family val="2"/>
          </rPr>
          <t>Author:</t>
        </r>
        <r>
          <rPr>
            <sz val="9"/>
            <color indexed="81"/>
            <rFont val="Tahoma"/>
            <family val="2"/>
          </rPr>
          <t xml:space="preserve">
1/29/22: Company0242 is changing its pricing strategy in foreign countries whose currencies had weakened against USD; will make Ticker0001 more competitive in developing markets (more pricing sensitive)</t>
        </r>
      </text>
    </comment>
    <comment ref="CO133" authorId="1" shapeId="0" xr:uid="{5B8E470F-283D-4E19-9629-F6811F14DF04}">
      <text>
        <r>
          <rPr>
            <b/>
            <sz val="9"/>
            <color indexed="81"/>
            <rFont val="Tahoma"/>
            <family val="2"/>
          </rPr>
          <t>Author:</t>
        </r>
        <r>
          <rPr>
            <sz val="9"/>
            <color indexed="81"/>
            <rFont val="Tahoma"/>
            <family val="2"/>
          </rPr>
          <t xml:space="preserve">
Product0489 6S discontinued 9/2018</t>
        </r>
      </text>
    </comment>
    <comment ref="CS134" authorId="1" shapeId="0" xr:uid="{E97CE8A4-8BCB-46F9-AE71-A4BB4054E6CF}">
      <text>
        <r>
          <rPr>
            <b/>
            <sz val="9"/>
            <color indexed="81"/>
            <rFont val="Tahoma"/>
            <family val="2"/>
          </rPr>
          <t>Author:</t>
        </r>
        <r>
          <rPr>
            <sz val="9"/>
            <color indexed="81"/>
            <rFont val="Tahoma"/>
            <family val="2"/>
          </rPr>
          <t xml:space="preserve">
Product0489 7/7+ discontinued 9/2019</t>
        </r>
      </text>
    </comment>
    <comment ref="CK135" authorId="1" shapeId="0" xr:uid="{AE773E44-1A16-4A73-8A94-C62DA0C058A8}">
      <text>
        <r>
          <rPr>
            <b/>
            <sz val="9"/>
            <color indexed="81"/>
            <rFont val="Tahoma"/>
            <family val="2"/>
          </rPr>
          <t>Author:</t>
        </r>
        <r>
          <rPr>
            <sz val="9"/>
            <color indexed="81"/>
            <rFont val="Tahoma"/>
            <family val="2"/>
          </rPr>
          <t xml:space="preserve">
iPhone8 9/22/2017 64 GB $699
Product0489 8Plus 9/22/2017 
64GB $799</t>
        </r>
      </text>
    </comment>
    <comment ref="CS135" authorId="1" shapeId="0" xr:uid="{DC39D1A0-95F9-47F0-AF88-9CAFC03AAB47}">
      <text>
        <r>
          <rPr>
            <b/>
            <sz val="9"/>
            <color indexed="81"/>
            <rFont val="Tahoma"/>
            <family val="2"/>
          </rPr>
          <t>Author:</t>
        </r>
        <r>
          <rPr>
            <sz val="9"/>
            <color indexed="81"/>
            <rFont val="Tahoma"/>
            <family val="2"/>
          </rPr>
          <t xml:space="preserve">
Price cuts</t>
        </r>
      </text>
    </comment>
    <comment ref="CV135" authorId="1" shapeId="0" xr:uid="{2D008A1A-4F3F-424A-9D44-ADA205A1C34D}">
      <text>
        <r>
          <rPr>
            <b/>
            <sz val="9"/>
            <color indexed="81"/>
            <rFont val="Tahoma"/>
            <family val="2"/>
          </rPr>
          <t>Author:</t>
        </r>
        <r>
          <rPr>
            <sz val="9"/>
            <color indexed="81"/>
            <rFont val="Tahoma"/>
            <family val="2"/>
          </rPr>
          <t xml:space="preserve">
Product0489 8/8+ discontinued April 15, 2020</t>
        </r>
      </text>
    </comment>
    <comment ref="CL136" authorId="1" shapeId="0" xr:uid="{419E2158-9088-4CBC-A0CA-9903A66190BB}">
      <text>
        <r>
          <rPr>
            <b/>
            <sz val="9"/>
            <color indexed="81"/>
            <rFont val="Tahoma"/>
            <family val="2"/>
          </rPr>
          <t>Author:</t>
        </r>
        <r>
          <rPr>
            <sz val="9"/>
            <color indexed="81"/>
            <rFont val="Tahoma"/>
            <family val="2"/>
          </rPr>
          <t xml:space="preserve">
Product0489 X 11/3/2017 $999 64GB
Product0489 X 11/3/2017 $999 64GB
Step-function change in price due to first OLED in Product0489 X </t>
        </r>
      </text>
    </comment>
    <comment ref="CO136" authorId="1" shapeId="0" xr:uid="{ACCC4F14-EFE5-48B8-B114-010B33E50364}">
      <text>
        <r>
          <rPr>
            <b/>
            <sz val="9"/>
            <color indexed="81"/>
            <rFont val="Tahoma"/>
            <family val="2"/>
          </rPr>
          <t>Author:</t>
        </r>
        <r>
          <rPr>
            <sz val="9"/>
            <color indexed="81"/>
            <rFont val="Tahoma"/>
            <family val="2"/>
          </rPr>
          <t xml:space="preserve">
Product0489 XS 9/21/2018 $999 64 GB
Product0489 XS 9/21/2018 $999 64 GB</t>
        </r>
      </text>
    </comment>
    <comment ref="CP136" authorId="1" shapeId="0" xr:uid="{2DE5ED0F-71C0-4363-B791-06B548ED4DF1}">
      <text>
        <r>
          <rPr>
            <b/>
            <sz val="9"/>
            <color indexed="81"/>
            <rFont val="Tahoma"/>
            <family val="2"/>
          </rPr>
          <t>Author:</t>
        </r>
        <r>
          <rPr>
            <sz val="9"/>
            <color indexed="81"/>
            <rFont val="Tahoma"/>
            <family val="2"/>
          </rPr>
          <t xml:space="preserve">
11/22/18 (Company2965): Price cuts in Japan on XR
Product0489 XR 64GB 64 gb $749 10/26/2018
Product0489 XS 64GB $999
9/21/2018
Product0489 XS Max 9/21/2018
$1099</t>
        </r>
      </text>
    </comment>
    <comment ref="CQ136" authorId="2" shapeId="0" xr:uid="{E9013CD9-ADF5-4EA0-B5F2-1D67E8E3DC7A}">
      <text>
        <r>
          <rPr>
            <b/>
            <sz val="9"/>
            <color indexed="81"/>
            <rFont val="Tahoma"/>
            <family val="2"/>
          </rPr>
          <t>Author:</t>
        </r>
        <r>
          <rPr>
            <sz val="9"/>
            <color indexed="81"/>
            <rFont val="Tahoma"/>
            <family val="2"/>
          </rPr>
          <t xml:space="preserve">
3/6/19 Reuters: Ticker0001 to cut prices again in China on XS &amp; XS Max on Company2605, JD, Company2165 (excluded from first round of price cuts)
1/11/19: (FT) Price cuts on iPhones in China of up to 22% on Company1397 &amp; Company2605</t>
        </r>
      </text>
    </comment>
    <comment ref="CR136" authorId="2" shapeId="0" xr:uid="{B6767263-4FC8-4629-AF38-2A6F75D8BE78}">
      <text>
        <r>
          <rPr>
            <b/>
            <sz val="9"/>
            <color indexed="81"/>
            <rFont val="Tahoma"/>
            <family val="2"/>
          </rPr>
          <t>Author:</t>
        </r>
        <r>
          <rPr>
            <sz val="9"/>
            <color indexed="81"/>
            <rFont val="Tahoma"/>
            <family val="2"/>
          </rPr>
          <t xml:space="preserve">
4/4/19: (Reuters) Price cuts of Product0489 XR in India by 25%</t>
        </r>
      </text>
    </comment>
    <comment ref="CX136" authorId="2" shapeId="0" xr:uid="{0BB32EDF-D367-496C-9F83-A4DF91DF9307}">
      <text>
        <r>
          <rPr>
            <b/>
            <sz val="9"/>
            <color indexed="81"/>
            <rFont val="Tahoma"/>
            <family val="2"/>
          </rPr>
          <t>Author:</t>
        </r>
        <r>
          <rPr>
            <sz val="9"/>
            <color indexed="81"/>
            <rFont val="Tahoma"/>
            <family val="2"/>
          </rPr>
          <t xml:space="preserve">
11/22/18 (Company2965): Company0242 cuts prices of the XR at Ticker0001 stores in Japan, 1 month after release (confirmed on 11/26/18)</t>
        </r>
      </text>
    </comment>
    <comment ref="DA136" authorId="1" shapeId="0" xr:uid="{94493B5D-8BE1-4B93-9E79-9811E6DEE9B6}">
      <text>
        <r>
          <rPr>
            <b/>
            <sz val="9"/>
            <color indexed="81"/>
            <rFont val="Tahoma"/>
            <family val="2"/>
          </rPr>
          <t>Author:</t>
        </r>
        <r>
          <rPr>
            <sz val="9"/>
            <color indexed="81"/>
            <rFont val="Tahoma"/>
            <family val="2"/>
          </rPr>
          <t xml:space="preserve">
XR discontinued 9/2021
X discontinued 9/2018
XS discontinued 9/2019</t>
        </r>
      </text>
    </comment>
    <comment ref="CS137" authorId="1" shapeId="0" xr:uid="{1517CC37-2BE9-4DB5-8694-8754203DF042}">
      <text>
        <r>
          <rPr>
            <b/>
            <sz val="9"/>
            <color indexed="81"/>
            <rFont val="Tahoma"/>
            <family val="2"/>
          </rPr>
          <t>Author:</t>
        </r>
        <r>
          <rPr>
            <sz val="9"/>
            <color indexed="81"/>
            <rFont val="Tahoma"/>
            <family val="2"/>
          </rPr>
          <t xml:space="preserve">
Product0489 11 9/20/2019
$699 64GB
Product0489 Pro 9/20/2019
$999 64GB
Product0489 Pro Max 9/20/2019
64GB $1099</t>
        </r>
      </text>
    </comment>
    <comment ref="DE137" authorId="1" shapeId="0" xr:uid="{64A968B1-FB25-46B1-B12D-ECCE0A03857B}">
      <text>
        <r>
          <rPr>
            <b/>
            <sz val="9"/>
            <color indexed="81"/>
            <rFont val="Tahoma"/>
            <family val="2"/>
          </rPr>
          <t>Author:</t>
        </r>
        <r>
          <rPr>
            <sz val="9"/>
            <color indexed="81"/>
            <rFont val="Tahoma"/>
            <family val="2"/>
          </rPr>
          <t xml:space="preserve">
Product0489 11 discontinued September 2022
11 Pro/Pro Max discontinued October 2020</t>
        </r>
      </text>
    </comment>
    <comment ref="CX138" authorId="1" shapeId="0" xr:uid="{FB2F434F-BB75-4B44-B5C3-07C479FC0CE8}">
      <text>
        <r>
          <rPr>
            <b/>
            <sz val="9"/>
            <color indexed="81"/>
            <rFont val="Tahoma"/>
            <family val="2"/>
          </rPr>
          <t>Author:</t>
        </r>
        <r>
          <rPr>
            <sz val="9"/>
            <color indexed="81"/>
            <rFont val="Tahoma"/>
            <family val="2"/>
          </rPr>
          <t xml:space="preserve">
Product0489 12 10/23/2020 $799 64 GB
Product0489 12 Mini 11/13/2020
64GB $699
Product0489 12 Pro 10/23/2020
128 GB $999
Product0489 12 Pro Max $1099
128 GB 11/23/2020</t>
        </r>
      </text>
    </comment>
    <comment ref="DE138" authorId="1" shapeId="0" xr:uid="{990608DB-5381-4D77-B803-1FF411794742}">
      <text>
        <r>
          <rPr>
            <b/>
            <sz val="9"/>
            <color indexed="81"/>
            <rFont val="Tahoma"/>
            <family val="2"/>
          </rPr>
          <t>Author:</t>
        </r>
        <r>
          <rPr>
            <sz val="9"/>
            <color indexed="81"/>
            <rFont val="Tahoma"/>
            <family val="2"/>
          </rPr>
          <t xml:space="preserve">
Product0489 12, 12Mini discontinued September 2022
12 Pro/Pro Max discontinued 9/2021</t>
        </r>
      </text>
    </comment>
    <comment ref="DA139" authorId="1" shapeId="0" xr:uid="{46060EC9-A247-4131-9C09-B54F86030AB7}">
      <text>
        <r>
          <rPr>
            <b/>
            <sz val="9"/>
            <color indexed="81"/>
            <rFont val="Tahoma"/>
            <family val="2"/>
          </rPr>
          <t>Author:</t>
        </r>
        <r>
          <rPr>
            <sz val="9"/>
            <color indexed="81"/>
            <rFont val="Tahoma"/>
            <family val="2"/>
          </rPr>
          <t xml:space="preserve">
Product0489 13 9/24/2021 $799 128GB
Product0489 13 Mini $699 128gb 9/24/2021
Product0489 13 Pro
128 GB
9/24/2021
$999
Product0489 13 Pro Max
9/24/2021
128 GB
$1099</t>
        </r>
      </text>
    </comment>
    <comment ref="DE139" authorId="1" shapeId="0" xr:uid="{9DD7A68B-F6A2-43B7-A37F-7E7A2E86B1CF}">
      <text>
        <r>
          <rPr>
            <b/>
            <sz val="9"/>
            <color indexed="81"/>
            <rFont val="Tahoma"/>
            <family val="2"/>
          </rPr>
          <t>Author:</t>
        </r>
        <r>
          <rPr>
            <sz val="9"/>
            <color indexed="81"/>
            <rFont val="Tahoma"/>
            <family val="2"/>
          </rPr>
          <t xml:space="preserve">
13 Pro/Pro Max discontinued 9/2022</t>
        </r>
      </text>
    </comment>
    <comment ref="DE140" authorId="1" shapeId="0" xr:uid="{7C1D0899-641E-4EDD-AB0B-5F79CFA1E4D6}">
      <text>
        <r>
          <rPr>
            <b/>
            <sz val="9"/>
            <color indexed="81"/>
            <rFont val="Tahoma"/>
            <family val="2"/>
          </rPr>
          <t>Author:</t>
        </r>
        <r>
          <rPr>
            <sz val="9"/>
            <color indexed="81"/>
            <rFont val="Tahoma"/>
            <family val="2"/>
          </rPr>
          <t xml:space="preserve">
Product0489 14
9/16/2022
128 GB
$799
Product0489 14 Pro
9/16/2022
128 GB
$999
Product0489 14 Pro Max
9/16/2022
128 GB
$1099</t>
        </r>
      </text>
    </comment>
    <comment ref="DF140" authorId="1" shapeId="0" xr:uid="{F877229D-ED78-491A-A860-FDB1EDE1CB78}">
      <text>
        <r>
          <rPr>
            <b/>
            <sz val="9"/>
            <color indexed="81"/>
            <rFont val="Tahoma"/>
            <family val="2"/>
          </rPr>
          <t>Author:</t>
        </r>
        <r>
          <rPr>
            <sz val="9"/>
            <color indexed="81"/>
            <rFont val="Tahoma"/>
            <family val="2"/>
          </rPr>
          <t xml:space="preserve">
ASPs likely hurt by Pro/PRO MAX headwinds
Product0489 14 Plus
10/7/2022
$899</t>
        </r>
      </text>
    </comment>
    <comment ref="DG140" authorId="1" shapeId="0" xr:uid="{85579241-E2A7-412C-918D-D7515DD2EBAF}">
      <text>
        <r>
          <rPr>
            <b/>
            <sz val="9"/>
            <color indexed="81"/>
            <rFont val="Tahoma"/>
            <family val="2"/>
          </rPr>
          <t>Author:</t>
        </r>
        <r>
          <rPr>
            <sz val="9"/>
            <color indexed="81"/>
            <rFont val="Tahoma"/>
            <family val="2"/>
          </rPr>
          <t xml:space="preserve">
Assuming some benefit from Product0489 14 Pro mix </t>
        </r>
      </text>
    </comment>
    <comment ref="DI141" authorId="1" shapeId="0" xr:uid="{B2AF1829-1CBC-486E-A532-227316E45BEE}">
      <text>
        <r>
          <rPr>
            <b/>
            <sz val="9"/>
            <color indexed="81"/>
            <rFont val="Tahoma"/>
            <family val="2"/>
          </rPr>
          <t>Author:</t>
        </r>
        <r>
          <rPr>
            <sz val="9"/>
            <color indexed="81"/>
            <rFont val="Tahoma"/>
            <family val="2"/>
          </rPr>
          <t xml:space="preserve">
Announcements:
Product0489 15 $799 (unchnaged) 128 GB base 
Product0489 15+ $899 (unchanged)
Product0489 15 Pro $999 (unchanged)
Product0489 15 Pro Max $1199 (v. $1099 year-ago for 128GB, but $1199 15 Pro Max is 256 GB)
Rumor: • Product0489 15: $799 (unchanged)
• Product0489 15 Plus: $899 (unchanged)
• Product0489 15 Pro: $1,099 (vs. $999 for Product0489 14 Pro)
• Product0489 15 Pro Max: up to $1,299 (vs. $1,099 Product0489 14 Pro Max)
Rumor: Product0489 15 Pro + Pro Max price hike beyond historical $999/$1099
Some think $1299 for Pro Max
Company2530 Display will supply OLED for all four models. Company1549 will only do Pro (not Pro Max). Company0325 might supply OLED for base/plus models but not confirmed. </t>
        </r>
      </text>
    </comment>
    <comment ref="DJ141" authorId="1" shapeId="0" xr:uid="{BF376656-3426-4F45-8CCD-DBE0D15BC24C}">
      <text>
        <r>
          <rPr>
            <b/>
            <sz val="9"/>
            <color indexed="81"/>
            <rFont val="Tahoma"/>
            <family val="2"/>
          </rPr>
          <t>Author:</t>
        </r>
        <r>
          <rPr>
            <sz val="9"/>
            <color indexed="81"/>
            <rFont val="Tahoma"/>
            <family val="2"/>
          </rPr>
          <t xml:space="preserve">
year-ago impacted by PRO production deficits</t>
        </r>
      </text>
    </comment>
    <comment ref="DM142" authorId="1" shapeId="0" xr:uid="{33328A72-2E14-48B1-91BC-61BA8E82F8BE}">
      <text>
        <r>
          <rPr>
            <b/>
            <sz val="9"/>
            <color indexed="81"/>
            <rFont val="Tahoma"/>
            <family val="2"/>
          </rPr>
          <t>Author:</t>
        </r>
        <r>
          <rPr>
            <sz val="9"/>
            <color indexed="81"/>
            <rFont val="Tahoma"/>
            <family val="2"/>
          </rPr>
          <t xml:space="preserve">
9/20/2024 shipping
9/9/2024 announcement
Product0489 16: $799 (128 GB)
Product0489 16 Plus: $899 
Product0489 16 Pro: $999 (128 GB)
Product0489 16 Pro Max: $1199 (256 GB)
4/10/23 rumor: Product0489 16 will have new OLED (M14 material, not to be confused with M chips)
Company2530 is the display supplier for all Product0489 15 models, with Company1549 assisting for Pro Models. Company2530 also will make M14 material
</t>
        </r>
      </text>
    </comment>
    <comment ref="DU144" authorId="1" shapeId="0" xr:uid="{6A35424A-75F3-48F8-896A-3E31460936C5}">
      <text>
        <r>
          <rPr>
            <b/>
            <sz val="9"/>
            <color indexed="81"/>
            <rFont val="Tahoma"/>
            <family val="2"/>
          </rPr>
          <t>Author:</t>
        </r>
        <r>
          <rPr>
            <sz val="9"/>
            <color indexed="81"/>
            <rFont val="Tahoma"/>
            <family val="2"/>
          </rPr>
          <t xml:space="preserve">
3/6/2025: &gt;$2000 ASP for foldable with 3-5 mn units in C2026, going to 20 mn in C2027</t>
        </r>
      </text>
    </comment>
    <comment ref="CV148" authorId="1" shapeId="0" xr:uid="{2C529267-5225-475A-8C02-5C18F16334E6}">
      <text>
        <r>
          <rPr>
            <b/>
            <sz val="9"/>
            <color indexed="81"/>
            <rFont val="Tahoma"/>
            <family val="2"/>
          </rPr>
          <t>Author:</t>
        </r>
        <r>
          <rPr>
            <sz val="9"/>
            <color indexed="81"/>
            <rFont val="Tahoma"/>
            <family val="2"/>
          </rPr>
          <t xml:space="preserve">
Product0489 SE (2nd gen) 4/24/2020 $399 64GB </t>
        </r>
      </text>
    </comment>
    <comment ref="DC148" authorId="1" shapeId="0" xr:uid="{DFB94178-609B-44E3-99CB-2A52F88E1B65}">
      <text>
        <r>
          <rPr>
            <b/>
            <sz val="9"/>
            <color indexed="81"/>
            <rFont val="Tahoma"/>
            <family val="2"/>
          </rPr>
          <t>Author:</t>
        </r>
        <r>
          <rPr>
            <sz val="9"/>
            <color indexed="81"/>
            <rFont val="Tahoma"/>
            <family val="2"/>
          </rPr>
          <t xml:space="preserve">
Product0489 SE (3rd gen)
3/18/2022
64 GB
$429</t>
        </r>
      </text>
    </comment>
    <comment ref="CD151" authorId="4" shapeId="0" xr:uid="{00000000-0006-0000-0700-000099000000}">
      <text>
        <r>
          <rPr>
            <b/>
            <sz val="9"/>
            <color indexed="81"/>
            <rFont val="Tahoma"/>
            <family val="2"/>
          </rPr>
          <t>Author:</t>
        </r>
        <r>
          <rPr>
            <sz val="9"/>
            <color indexed="81"/>
            <rFont val="Tahoma"/>
            <family val="2"/>
          </rPr>
          <t xml:space="preserve">
$49 FX impact</t>
        </r>
      </text>
    </comment>
    <comment ref="CF151" authorId="9" shapeId="0" xr:uid="{00000000-0006-0000-0700-00009A000000}">
      <text>
        <r>
          <rPr>
            <b/>
            <sz val="9"/>
            <color indexed="81"/>
            <rFont val="Tahoma"/>
            <family val="2"/>
          </rPr>
          <t>Author:</t>
        </r>
        <r>
          <rPr>
            <sz val="9"/>
            <color indexed="81"/>
            <rFont val="Tahoma"/>
            <family val="2"/>
          </rPr>
          <t xml:space="preserve">
7/26/16: channel reduction &amp; higher SE mix contributed to lower ASP</t>
        </r>
      </text>
    </comment>
    <comment ref="CH151" authorId="9" shapeId="0" xr:uid="{00000000-0006-0000-0700-00009B000000}">
      <text>
        <r>
          <rPr>
            <b/>
            <sz val="9"/>
            <color indexed="81"/>
            <rFont val="Tahoma"/>
            <family val="2"/>
          </rPr>
          <t>Author:</t>
        </r>
        <r>
          <rPr>
            <sz val="9"/>
            <color indexed="81"/>
            <rFont val="Tahoma"/>
            <family val="2"/>
          </rPr>
          <t xml:space="preserve">
10/25/16: similar ASP to Dec. last year</t>
        </r>
      </text>
    </comment>
    <comment ref="CJ151" authorId="0" shapeId="0" xr:uid="{00000000-0006-0000-0700-00009C000000}">
      <text>
        <r>
          <rPr>
            <b/>
            <sz val="9"/>
            <color indexed="81"/>
            <rFont val="Tahoma"/>
            <family val="2"/>
          </rPr>
          <t>Author:</t>
        </r>
        <r>
          <rPr>
            <sz val="9"/>
            <color indexed="81"/>
            <rFont val="Tahoma"/>
            <family val="2"/>
          </rPr>
          <t xml:space="preserve">
FQ3'17 call: "Product0489 ASP was $606, up from $595 a year ago, thanks to strong demand for Product0489 7 Plus, which represented a higher % of the Product0489 mix compared to the Plus model a year ago. 
The impact of the stronger mix on ASP was partially offset by negative FX yoy and the reduction in channel inventory, which took place entirely at the high end of the portfolio."</t>
        </r>
      </text>
    </comment>
    <comment ref="CN151" authorId="0" shapeId="0" xr:uid="{00000000-0006-0000-0700-00009D000000}">
      <text>
        <r>
          <rPr>
            <b/>
            <sz val="9"/>
            <color indexed="81"/>
            <rFont val="Tahoma"/>
            <family val="2"/>
          </rPr>
          <t>Author:</t>
        </r>
        <r>
          <rPr>
            <sz val="9"/>
            <color indexed="81"/>
            <rFont val="Tahoma"/>
            <family val="2"/>
          </rPr>
          <t xml:space="preserve">
F3Q call: "On Product0489 ASP, I would point out that we're exiting the June quarter at a significantly higher level than in the past and so that I think is important to keep in mind as we move into the September quarter"</t>
        </r>
      </text>
    </comment>
    <comment ref="CP151" authorId="1" shapeId="0" xr:uid="{E19AA293-7610-4AEE-BAE2-62131C830C3D}">
      <text>
        <r>
          <rPr>
            <b/>
            <sz val="9"/>
            <color indexed="81"/>
            <rFont val="Tahoma"/>
            <family val="2"/>
          </rPr>
          <t>Author:</t>
        </r>
        <r>
          <rPr>
            <sz val="9"/>
            <color indexed="81"/>
            <rFont val="Tahoma"/>
            <family val="2"/>
          </rPr>
          <t xml:space="preserve">
F4Q18: F1Q19E ASP to be $831 (+$41 y/y, +$47 q/q)</t>
        </r>
      </text>
    </comment>
    <comment ref="CQ151" authorId="1" shapeId="0" xr:uid="{23279FB6-5656-4759-88BC-7128DDF80A6A}">
      <text>
        <r>
          <rPr>
            <b/>
            <sz val="9"/>
            <color indexed="81"/>
            <rFont val="Tahoma"/>
            <family val="2"/>
          </rPr>
          <t>Author:</t>
        </r>
        <r>
          <rPr>
            <sz val="9"/>
            <color indexed="81"/>
            <rFont val="Tahoma"/>
            <family val="2"/>
          </rPr>
          <t xml:space="preserve">
1/11/2019: Chinese ecommerce platforms, Company1397, Company2605 cut prices on iPhones by up to 22% for Product0489 8, 8+, XR 
- battery replacemnet program was worse-than-expected with 11 mn batteries replaced v. 1-2 mn expected. Contributes to C1Q miss 
Ticker0001 says it is changing strategy in countries where currencies have weakened against USD -- lowering prices. 
3/6/2019: Company0242 reported that Product0489 prices getting cut again in China including on Product0489 XS or XS Max, which were excluded from first round of price cuts in January. 
4/4/2019: Product0489 XR price was cut 25% </t>
        </r>
      </text>
    </comment>
    <comment ref="CR151" authorId="2" shapeId="0" xr:uid="{D931D771-43E2-4FE6-B841-3A0C12721C1B}">
      <text>
        <r>
          <rPr>
            <b/>
            <sz val="9"/>
            <color indexed="81"/>
            <rFont val="Tahoma"/>
            <family val="2"/>
          </rPr>
          <t>Author:</t>
        </r>
        <r>
          <rPr>
            <sz val="9"/>
            <color indexed="81"/>
            <rFont val="Tahoma"/>
            <family val="2"/>
          </rPr>
          <t xml:space="preserve">
4/4/19: (Reuters) Price cuts of Product0489 XR in India by 25%
4/1/19: (Company0527) Company0242 cuts Product0489 prices in China by nearly 6%</t>
        </r>
      </text>
    </comment>
    <comment ref="CS151" authorId="1" shapeId="0" xr:uid="{3699DD12-901A-4AB8-9CDE-3C10642D10B6}">
      <text>
        <r>
          <rPr>
            <b/>
            <sz val="9"/>
            <color indexed="81"/>
            <rFont val="Tahoma"/>
            <family val="2"/>
          </rPr>
          <t>Author:</t>
        </r>
        <r>
          <rPr>
            <sz val="9"/>
            <color indexed="81"/>
            <rFont val="Tahoma"/>
            <family val="2"/>
          </rPr>
          <t xml:space="preserve">
9/16/2019: Company0527 told by China reseller that 62% are preorders for Product0489 11 126+64GB, 13% are for 11 Pro Max 256GB</t>
        </r>
      </text>
    </comment>
    <comment ref="DC151" authorId="1" shapeId="0" xr:uid="{021DCE93-4C76-47D9-99B5-58E99DD33B12}">
      <text>
        <r>
          <rPr>
            <b/>
            <sz val="9"/>
            <color indexed="81"/>
            <rFont val="Tahoma"/>
            <family val="2"/>
          </rPr>
          <t>Author:</t>
        </r>
        <r>
          <rPr>
            <sz val="9"/>
            <color indexed="81"/>
            <rFont val="Tahoma"/>
            <family val="2"/>
          </rPr>
          <t xml:space="preserve">
Product0489 SE 3rd gen (3/18/2022) @ $429 for 64gb … did not come out in 2021, but in 2020 2nd gen was $399 for 64 gb</t>
        </r>
      </text>
    </comment>
    <comment ref="DE151" authorId="1" shapeId="0" xr:uid="{FB8EBD47-6641-4E2A-8429-8DB1181555CD}">
      <text>
        <r>
          <rPr>
            <b/>
            <sz val="9"/>
            <color indexed="81"/>
            <rFont val="Tahoma"/>
            <family val="2"/>
          </rPr>
          <t>Author:</t>
        </r>
        <r>
          <rPr>
            <sz val="9"/>
            <color indexed="81"/>
            <rFont val="Tahoma"/>
            <family val="2"/>
          </rPr>
          <t xml:space="preserve">
Mix-shift toward Product0489 14 Pro/Pro Max should help ASPs
Like for like price increases limited, but mix shift toward higher-end models should help (e.g., more substantial updates such as Dynamic Island)
Product0489 14 @ $799 for 128gb v. Product0489 13 @ $799 for 128gb
14Pro @ $999 v. 13Pro @ $999
14PROMAX @ 1099 v. 13PROXMAX @ $1099
Also... iPhone14Plus (bigger screen) @ $899 may drive mix shift from 14 - no big screen year-ago
Also... slightly earlier launch for 14, Pro, Pro Max @ 9/16/2022 v. year-ago @ 9/24/2021 may drive mix benefits. </t>
        </r>
      </text>
    </comment>
    <comment ref="DH151" authorId="1" shapeId="0" xr:uid="{7C3578F0-5B5F-476F-B3D0-6EBD8A2E844E}">
      <text>
        <r>
          <rPr>
            <b/>
            <sz val="9"/>
            <color indexed="81"/>
            <rFont val="Tahoma"/>
            <family val="2"/>
          </rPr>
          <t>Author:</t>
        </r>
        <r>
          <rPr>
            <sz val="9"/>
            <color indexed="81"/>
            <rFont val="Tahoma"/>
            <family val="2"/>
          </rPr>
          <t xml:space="preserve">
Company0507 - Company0242 
For the first time since we began tracking US-WARP (weighted average retail price) in 2017, when Company0242 stopped disclosing its own Average Selling Price figure, US-WARP declined in a June quarter. It fell to $948 from $988 in the March 2023 quarter.</t>
        </r>
      </text>
    </comment>
    <comment ref="DI151" authorId="3" shapeId="0" xr:uid="{7D1B82D6-4663-4137-B0C1-F52C17747D34}">
      <text>
        <r>
          <rPr>
            <b/>
            <sz val="9"/>
            <color indexed="81"/>
            <rFont val="Tahoma"/>
            <family val="2"/>
          </rPr>
          <t>Author:</t>
        </r>
        <r>
          <rPr>
            <sz val="9"/>
            <color indexed="81"/>
            <rFont val="Tahoma"/>
            <family val="2"/>
          </rPr>
          <t xml:space="preserve">
11/15/23: Company0507 blog post--
Sept 2023 quarter US Product0489 ASP: $918
(https://example.com/)</t>
        </r>
      </text>
    </comment>
    <comment ref="DJ151" authorId="1" shapeId="0" xr:uid="{55771965-A9D7-4064-8A64-8AF591B496D6}">
      <text>
        <r>
          <rPr>
            <b/>
            <sz val="9"/>
            <color indexed="81"/>
            <rFont val="Tahoma"/>
            <family val="2"/>
          </rPr>
          <t>Author:</t>
        </r>
        <r>
          <rPr>
            <sz val="9"/>
            <color indexed="81"/>
            <rFont val="Tahoma"/>
            <family val="2"/>
          </rPr>
          <t xml:space="preserve">
ASP should improve b/c y-ago had Pro/Pro Max supply issues
</t>
        </r>
      </text>
    </comment>
    <comment ref="DP151" authorId="3" shapeId="0" xr:uid="{C943824C-E3A9-4673-93DA-0B65CF80AA36}">
      <text>
        <r>
          <rPr>
            <b/>
            <sz val="9"/>
            <color indexed="81"/>
            <rFont val="Tahoma"/>
            <family val="2"/>
          </rPr>
          <t>Author:</t>
        </r>
        <r>
          <rPr>
            <sz val="9"/>
            <color indexed="81"/>
            <rFont val="Tahoma"/>
            <family val="2"/>
          </rPr>
          <t xml:space="preserve">
5.5.25: On 4/30/25, Chinese national subsidies became available on Company0244 official e-store (Product0396). Subsidies for smartphones, tablets, and watches are 15% (maximum device price is 6000 RMB, and the subsidy benefit is capped at 500 RMB). 
- iPhones that qualify for this subsidy: Product0489 16, 16e, 15, 15 Plus</t>
        </r>
      </text>
    </comment>
    <comment ref="FL151" authorId="1" shapeId="0" xr:uid="{3C084AFA-432C-4130-8B47-CFF638D870AC}">
      <text>
        <r>
          <rPr>
            <b/>
            <sz val="9"/>
            <color indexed="81"/>
            <rFont val="Tahoma"/>
            <family val="2"/>
          </rPr>
          <t>Author:</t>
        </r>
        <r>
          <rPr>
            <sz val="9"/>
            <color indexed="81"/>
            <rFont val="Tahoma"/>
            <family val="2"/>
          </rPr>
          <t xml:space="preserve">
Price increase for Product0489 12 (October 2020) by $100</t>
        </r>
      </text>
    </comment>
    <comment ref="FM151" authorId="1" shapeId="0" xr:uid="{0B81D0FF-3B11-4ABA-83BF-CF758BE9DA24}">
      <text>
        <r>
          <rPr>
            <b/>
            <sz val="9"/>
            <color indexed="81"/>
            <rFont val="Tahoma"/>
            <family val="2"/>
          </rPr>
          <t>Author:</t>
        </r>
        <r>
          <rPr>
            <sz val="9"/>
            <color indexed="81"/>
            <rFont val="Tahoma"/>
            <family val="2"/>
          </rPr>
          <t xml:space="preserve">
Benefited from international price increases of 10-20% in UK and China</t>
        </r>
      </text>
    </comment>
    <comment ref="FN151" authorId="1" shapeId="0" xr:uid="{AB8F7F5D-03F6-4B6C-B0CE-B27969138CCB}">
      <text>
        <r>
          <rPr>
            <b/>
            <sz val="9"/>
            <color indexed="81"/>
            <rFont val="Tahoma"/>
            <family val="2"/>
          </rPr>
          <t>Author:</t>
        </r>
        <r>
          <rPr>
            <sz val="9"/>
            <color indexed="81"/>
            <rFont val="Tahoma"/>
            <family val="2"/>
          </rPr>
          <t xml:space="preserve">
Product0489 price increases for Product0489 14 (international only) to offset forex</t>
        </r>
      </text>
    </comment>
    <comment ref="DG152" authorId="1" shapeId="0" xr:uid="{BA292793-468F-4F61-9CF0-D9FC31F963A9}">
      <text>
        <r>
          <rPr>
            <b/>
            <sz val="9"/>
            <color indexed="81"/>
            <rFont val="Tahoma"/>
            <family val="2"/>
          </rPr>
          <t>Author:</t>
        </r>
        <r>
          <rPr>
            <sz val="9"/>
            <color indexed="81"/>
            <rFont val="Tahoma"/>
            <family val="2"/>
          </rPr>
          <t xml:space="preserve">
ASPs benefited from Jan 24, 2023 launches of Product0235 Pro 14" M2 ($1999) and 16" ($2499)</t>
        </r>
      </text>
    </comment>
    <comment ref="DK152" authorId="1" shapeId="0" xr:uid="{8BF86924-431F-419E-AEEB-BE7FD27492A4}">
      <text>
        <r>
          <rPr>
            <b/>
            <sz val="9"/>
            <color indexed="81"/>
            <rFont val="Tahoma"/>
            <family val="2"/>
          </rPr>
          <t>Author:</t>
        </r>
        <r>
          <rPr>
            <sz val="9"/>
            <color indexed="81"/>
            <rFont val="Tahoma"/>
            <family val="2"/>
          </rPr>
          <t xml:space="preserve">
Product0235 Air 13" and 15" (March 8, 2024) with M3 at $1099/$1299 </t>
        </r>
      </text>
    </comment>
    <comment ref="DP152" authorId="3" shapeId="0" xr:uid="{BAC9B103-1B8E-409A-B34A-866847CD406C}">
      <text>
        <r>
          <rPr>
            <b/>
            <sz val="9"/>
            <color indexed="81"/>
            <rFont val="Tahoma"/>
            <family val="2"/>
          </rPr>
          <t>Author:</t>
        </r>
        <r>
          <rPr>
            <sz val="9"/>
            <color indexed="81"/>
            <rFont val="Tahoma"/>
            <family val="2"/>
          </rPr>
          <t xml:space="preserve">
5.5.25: On 4/30/25, Chinese national subsidies became available on Company0244 official e-store (Product0396). Subsidies for PCs are 20% (the subsidy benefit is capped at 2,000 RMB). 
- Product0240 that qualify for this subsidy: Product0235 Air (13 &amp; 15 inch), Product0235 Pro (14 &amp; 16 inch), Product0485, Mac mini, Mac Studio</t>
        </r>
      </text>
    </comment>
    <comment ref="DK154" authorId="1" shapeId="0" xr:uid="{7896AE9D-669F-4DFC-8C8D-945CD64A18CF}">
      <text>
        <r>
          <rPr>
            <b/>
            <sz val="9"/>
            <color indexed="81"/>
            <rFont val="Tahoma"/>
            <family val="2"/>
          </rPr>
          <t>Author:</t>
        </r>
        <r>
          <rPr>
            <sz val="9"/>
            <color indexed="81"/>
            <rFont val="Tahoma"/>
            <family val="2"/>
          </rPr>
          <t xml:space="preserve">
1/8/2024: upcoming OLED Product0487 Pro will start at $1500-$2000 
10/2023: Rumor that Product0487 Pro with have OLED in early 2024 with rumors that it could also show up for Product0487 mini and Product0487 Air in 2024
3/30/23: Product0487 with OLED should help drive pricing. Rumor is that C1H24 will be first Product0487 with OLED
Rumor 3/13/2023: 
The supply chain blog The Elec reports today that Company0242 is currently targeting a $1,500 starting price for the 11-inch Product0487 Pro with OLED and a $1,800 starting price for the 12.9-inch version.
This would be a significant price increase compared to the current Product0487 Pro lineup. As it stands today, the 11-inch Product0487 Pro starts at $799, while the 12.9-inch Product0487 Pro starts at $1,099. 
</t>
        </r>
      </text>
    </comment>
    <comment ref="DL154" authorId="8" shapeId="0" xr:uid="{D610B9C4-116D-4E99-9111-6D845AB4AB13}">
      <text>
        <r>
          <rPr>
            <b/>
            <sz val="9"/>
            <color indexed="81"/>
            <rFont val="Tahoma"/>
            <family val="2"/>
          </rPr>
          <t>Author:</t>
        </r>
        <r>
          <rPr>
            <sz val="9"/>
            <color indexed="81"/>
            <rFont val="Tahoma"/>
            <family val="2"/>
          </rPr>
          <t xml:space="preserve">
5/15/2024:
Product0487 Pro 7th gen launch 11" and 13" with M4 $999/$1299 starting price
Product0487 Air 6th gen launch 11" and 13" $599/$799 starting price with M2
4/16/24: consensus penciling in 10 mn OLED Product0487 shipments in 2024 (GC Tech)</t>
        </r>
      </text>
    </comment>
    <comment ref="DN156" authorId="8" shapeId="0" xr:uid="{630E14D9-DF4B-4CE7-B3F4-74D394DA80E2}">
      <text>
        <r>
          <rPr>
            <b/>
            <sz val="9"/>
            <color indexed="81"/>
            <rFont val="Tahoma"/>
            <family val="2"/>
          </rPr>
          <t>Author:</t>
        </r>
        <r>
          <rPr>
            <sz val="9"/>
            <color indexed="81"/>
            <rFont val="Tahoma"/>
            <family val="2"/>
          </rPr>
          <t xml:space="preserve">
10/15/24: iPiad mini starts at 128G now of $499 </t>
        </r>
      </text>
    </comment>
    <comment ref="CF158" authorId="9" shapeId="0" xr:uid="{00000000-0006-0000-0700-0000C4000000}">
      <text>
        <r>
          <rPr>
            <b/>
            <sz val="9"/>
            <color indexed="81"/>
            <rFont val="Tahoma"/>
            <family val="2"/>
          </rPr>
          <t>Author:</t>
        </r>
        <r>
          <rPr>
            <sz val="9"/>
            <color indexed="81"/>
            <rFont val="Tahoma"/>
            <family val="2"/>
          </rPr>
          <t xml:space="preserve">
7/29/16: increase driven by Product0487 Pro</t>
        </r>
      </text>
    </comment>
    <comment ref="CG158" authorId="9" shapeId="0" xr:uid="{00000000-0006-0000-0700-0000C5000000}">
      <text>
        <r>
          <rPr>
            <b/>
            <sz val="9"/>
            <color indexed="81"/>
            <rFont val="Tahoma"/>
            <family val="2"/>
          </rPr>
          <t>Author:</t>
        </r>
        <r>
          <rPr>
            <sz val="9"/>
            <color indexed="81"/>
            <rFont val="Tahoma"/>
            <family val="2"/>
          </rPr>
          <t xml:space="preserve">
10/25/16: yoy increase driven by ipad pro</t>
        </r>
      </text>
    </comment>
    <comment ref="DP158" authorId="3" shapeId="0" xr:uid="{C151EF3E-6EA3-45B3-9826-600BAB835BF9}">
      <text>
        <r>
          <rPr>
            <b/>
            <sz val="9"/>
            <color indexed="81"/>
            <rFont val="Tahoma"/>
            <family val="2"/>
          </rPr>
          <t>Author:</t>
        </r>
        <r>
          <rPr>
            <sz val="9"/>
            <color indexed="81"/>
            <rFont val="Tahoma"/>
            <family val="2"/>
          </rPr>
          <t xml:space="preserve">
5.5.25: On 4/30/25, Chinese national subsidies became available on Company0244 official e-store (Product0396). Subsidies for smartphones, tablets, and watches are 15% (maximum device price is 6000 RMB, and the subsidy benefit is capped at 500 RMB). 
- iPads that qualify for this subsidy: Product0487 Air (128 GB), Product0487 (128 GB), and Product0487 mini (128 GB)</t>
        </r>
      </text>
    </comment>
    <comment ref="CE159" authorId="4" shapeId="0" xr:uid="{00000000-0006-0000-0700-0000E4000000}">
      <text>
        <r>
          <rPr>
            <b/>
            <sz val="9"/>
            <color indexed="81"/>
            <rFont val="Tahoma"/>
            <family val="2"/>
          </rPr>
          <t>Author:</t>
        </r>
        <r>
          <rPr>
            <sz val="9"/>
            <color indexed="81"/>
            <rFont val="Tahoma"/>
            <family val="2"/>
          </rPr>
          <t xml:space="preserve">
3/22/16: cut Watch price by $50 to $299 starting price for Product0384 model</t>
        </r>
      </text>
    </comment>
    <comment ref="CF159" authorId="4" shapeId="0" xr:uid="{00000000-0006-0000-0700-0000E5000000}">
      <text>
        <r>
          <rPr>
            <b/>
            <sz val="9"/>
            <color indexed="81"/>
            <rFont val="Tahoma"/>
            <family val="2"/>
          </rPr>
          <t>Author:</t>
        </r>
        <r>
          <rPr>
            <sz val="9"/>
            <color indexed="81"/>
            <rFont val="Tahoma"/>
            <family val="2"/>
          </rPr>
          <t xml:space="preserve">
3/22/16: cut Watch price by $50 to $299 starting price for Product0384 model</t>
        </r>
      </text>
    </comment>
    <comment ref="CO159" authorId="1" shapeId="0" xr:uid="{1BA87253-A426-4C49-A1FD-F20600568FA1}">
      <text>
        <r>
          <rPr>
            <b/>
            <sz val="9"/>
            <color indexed="81"/>
            <rFont val="Tahoma"/>
            <family val="2"/>
          </rPr>
          <t>Author:</t>
        </r>
        <r>
          <rPr>
            <sz val="9"/>
            <color indexed="81"/>
            <rFont val="Tahoma"/>
            <family val="2"/>
          </rPr>
          <t xml:space="preserve">
9/2018 Watch Series 4
$399/$429 GPS
$499/$529 Cellular</t>
        </r>
      </text>
    </comment>
    <comment ref="CS159" authorId="1" shapeId="0" xr:uid="{A6423095-89C3-4FCA-8D10-35B775804112}">
      <text>
        <r>
          <rPr>
            <b/>
            <sz val="9"/>
            <color indexed="81"/>
            <rFont val="Tahoma"/>
            <family val="2"/>
          </rPr>
          <t>Author:</t>
        </r>
        <r>
          <rPr>
            <sz val="9"/>
            <color indexed="81"/>
            <rFont val="Tahoma"/>
            <family val="2"/>
          </rPr>
          <t xml:space="preserve">
Watch Series 5 9/2019
$399/$429 GPS
$329/$359 cellular</t>
        </r>
      </text>
    </comment>
    <comment ref="CW159" authorId="1" shapeId="0" xr:uid="{BC0A526A-7BFF-4C41-9054-A65A940EF05D}">
      <text>
        <r>
          <rPr>
            <b/>
            <sz val="9"/>
            <color indexed="81"/>
            <rFont val="Tahoma"/>
            <family val="2"/>
          </rPr>
          <t>Author:</t>
        </r>
        <r>
          <rPr>
            <sz val="9"/>
            <color indexed="81"/>
            <rFont val="Tahoma"/>
            <family val="2"/>
          </rPr>
          <t xml:space="preserve">
Watch Series 6 9/2020
$379/$429 GPS
$499/$529 cellular
SE 1st gen
$279/$309 GPS
$329/$359 cellular</t>
        </r>
      </text>
    </comment>
    <comment ref="DA159" authorId="1" shapeId="0" xr:uid="{1D9DE8F8-0462-4089-A0D2-4CBE616EB3AC}">
      <text>
        <r>
          <rPr>
            <b/>
            <sz val="9"/>
            <color indexed="81"/>
            <rFont val="Tahoma"/>
            <family val="2"/>
          </rPr>
          <t>Author:</t>
        </r>
        <r>
          <rPr>
            <sz val="9"/>
            <color indexed="81"/>
            <rFont val="Tahoma"/>
            <family val="2"/>
          </rPr>
          <t xml:space="preserve">
Series 7
$379/$429 GPS
$499/$529 cellular</t>
        </r>
      </text>
    </comment>
    <comment ref="DE159" authorId="1" shapeId="0" xr:uid="{460F0817-890F-4926-9899-DC451B25912C}">
      <text>
        <r>
          <rPr>
            <b/>
            <sz val="9"/>
            <color indexed="81"/>
            <rFont val="Tahoma"/>
            <family val="2"/>
          </rPr>
          <t>Author:</t>
        </r>
        <r>
          <rPr>
            <sz val="9"/>
            <color indexed="81"/>
            <rFont val="Tahoma"/>
            <family val="2"/>
          </rPr>
          <t xml:space="preserve">
Series 8
$399/$429 GPS
$499/$529 Cellular
ULTRA
$799
SE $249</t>
        </r>
      </text>
    </comment>
    <comment ref="DF159" authorId="1" shapeId="0" xr:uid="{D0B71D3D-DD40-4737-8F49-8CFF248AD47A}">
      <text>
        <r>
          <rPr>
            <b/>
            <sz val="9"/>
            <color indexed="81"/>
            <rFont val="Tahoma"/>
            <family val="2"/>
          </rPr>
          <t>Author:</t>
        </r>
        <r>
          <rPr>
            <sz val="9"/>
            <color indexed="81"/>
            <rFont val="Tahoma"/>
            <family val="2"/>
          </rPr>
          <t xml:space="preserve">
F4Q22: Should benefit from price/mix from ULTRA</t>
        </r>
      </text>
    </comment>
    <comment ref="DI159" authorId="1" shapeId="0" xr:uid="{8BE1FA10-BDCA-4091-A41C-711452DADF31}">
      <text>
        <r>
          <rPr>
            <b/>
            <sz val="9"/>
            <color indexed="81"/>
            <rFont val="Tahoma"/>
            <family val="2"/>
          </rPr>
          <t>Author:</t>
        </r>
        <r>
          <rPr>
            <sz val="9"/>
            <color indexed="81"/>
            <rFont val="Tahoma"/>
            <family val="2"/>
          </rPr>
          <t xml:space="preserve">
(1) Product0049 Series 9 ($399 unchanged)
(2) Product0049 Ultra ($799 unchanged)</t>
        </r>
      </text>
    </comment>
    <comment ref="DM159" authorId="1" shapeId="0" xr:uid="{65FC7F14-2DD7-45B4-B3E1-0AB69385A06D}">
      <text>
        <r>
          <rPr>
            <b/>
            <sz val="9"/>
            <color indexed="81"/>
            <rFont val="Tahoma"/>
            <family val="2"/>
          </rPr>
          <t>Author:</t>
        </r>
        <r>
          <rPr>
            <sz val="9"/>
            <color indexed="81"/>
            <rFont val="Tahoma"/>
            <family val="2"/>
          </rPr>
          <t xml:space="preserve">
5/2023: microLED will start with WATCH ULTRA in late 2024-&gt;2025, followed by iPhones at a later stage. 
Rumor is stale -- latest rumor is that Product0049 MicroLED is now 2025 
Watch will be first with new MicroLED screens - potentially 2024 </t>
        </r>
      </text>
    </comment>
    <comment ref="DP159" authorId="3" shapeId="0" xr:uid="{B49A6F25-D788-483B-B26F-146CD746D340}">
      <text>
        <r>
          <rPr>
            <b/>
            <sz val="9"/>
            <color indexed="81"/>
            <rFont val="Tahoma"/>
            <family val="2"/>
          </rPr>
          <t>Author:</t>
        </r>
        <r>
          <rPr>
            <sz val="9"/>
            <color indexed="81"/>
            <rFont val="Tahoma"/>
            <family val="2"/>
          </rPr>
          <t xml:space="preserve">
5.5.25: On 4/30/25, Chinese national subsidies became available on Company0244 official e-store (Product0396). Subsidies for smartphones, tablets, and watches are 15% (maximum device price is 6000 RMB, and the subsidy benefit is capped at 500 RMB). 
- Company0242 watches that qualify for this subsidy: Product0366 10, Series 10 Titanium, and SE</t>
        </r>
      </text>
    </comment>
    <comment ref="DQ159" authorId="1" shapeId="0" xr:uid="{EEBB8178-4E38-4EAC-A621-E57CEBCCBCA6}">
      <text>
        <r>
          <rPr>
            <b/>
            <sz val="9"/>
            <color indexed="81"/>
            <rFont val="Tahoma"/>
            <family val="2"/>
          </rPr>
          <t>Author:</t>
        </r>
        <r>
          <rPr>
            <sz val="9"/>
            <color indexed="81"/>
            <rFont val="Tahoma"/>
            <family val="2"/>
          </rPr>
          <t xml:space="preserve">
4/27/2023: Product0049 MicroLED in 2H25</t>
        </r>
      </text>
    </comment>
    <comment ref="CH163" authorId="9" shapeId="0" xr:uid="{00000000-0006-0000-0700-00009E000000}">
      <text>
        <r>
          <rPr>
            <b/>
            <sz val="9"/>
            <color indexed="81"/>
            <rFont val="Tahoma"/>
            <family val="2"/>
          </rPr>
          <t>Author:</t>
        </r>
        <r>
          <rPr>
            <sz val="9"/>
            <color indexed="81"/>
            <rFont val="Tahoma"/>
            <family val="2"/>
          </rPr>
          <t xml:space="preserve">
10/25/16: expect flattish yoy</t>
        </r>
      </text>
    </comment>
    <comment ref="CL163" authorId="1" shapeId="0" xr:uid="{A4C214C4-E050-432D-A5A4-48C2ECDB1A1B}">
      <text>
        <r>
          <rPr>
            <b/>
            <sz val="9"/>
            <color indexed="81"/>
            <rFont val="Tahoma"/>
            <family val="2"/>
          </rPr>
          <t>Author:</t>
        </r>
        <r>
          <rPr>
            <sz val="9"/>
            <color indexed="81"/>
            <rFont val="Tahoma"/>
            <family val="2"/>
          </rPr>
          <t xml:space="preserve">
Pricing help by Product0489 X released 11/3/2017 (priced at $999)</t>
        </r>
      </text>
    </comment>
    <comment ref="CO163" authorId="1" shapeId="0" xr:uid="{EFE09729-2866-47D3-993D-F4189D0F5BA0}">
      <text>
        <r>
          <rPr>
            <b/>
            <sz val="9"/>
            <color indexed="81"/>
            <rFont val="Tahoma"/>
            <family val="2"/>
          </rPr>
          <t>Author:</t>
        </r>
        <r>
          <rPr>
            <sz val="9"/>
            <color indexed="81"/>
            <rFont val="Tahoma"/>
            <family val="2"/>
          </rPr>
          <t xml:space="preserve">
ASPs up $175 yoy b/c of Product0489 XS and XS Max this year v. Product0489 8/8+ last year. Product0489 X launched early in November last year (no benefit to F4Q)</t>
        </r>
      </text>
    </comment>
    <comment ref="CP163" authorId="1" shapeId="0" xr:uid="{D8EBA453-48C6-45B1-9466-3228A1FA0EC2}">
      <text>
        <r>
          <rPr>
            <b/>
            <sz val="9"/>
            <color indexed="81"/>
            <rFont val="Tahoma"/>
            <family val="2"/>
          </rPr>
          <t>Author:</t>
        </r>
        <r>
          <rPr>
            <sz val="9"/>
            <color indexed="81"/>
            <rFont val="Tahoma"/>
            <family val="2"/>
          </rPr>
          <t xml:space="preserve">
XS/XS Max released on 9/21/2018 comping Product0489 X launch year-ago (11/3/2017).
XR (cheaper) released on 10/26/2018.
Means strong pricing in F4Q18, negative mix shift from XR release in F1Q19 </t>
        </r>
      </text>
    </comment>
    <comment ref="CS163" authorId="1" shapeId="0" xr:uid="{322FBF76-1EB8-4095-BCDB-52F701E47ECC}">
      <text>
        <r>
          <rPr>
            <b/>
            <sz val="9"/>
            <color indexed="81"/>
            <rFont val="Tahoma"/>
            <family val="2"/>
          </rPr>
          <t>Author:</t>
        </r>
        <r>
          <rPr>
            <sz val="9"/>
            <color indexed="81"/>
            <rFont val="Tahoma"/>
            <family val="2"/>
          </rPr>
          <t xml:space="preserve">
ASP pressures on iPhones. 
Product0489 11/11Pro/11ProMax all launched on 9/20/2019
No price increases on 11Pro/11Pro Max v. XS/Product0470 year-ago
- Product0489 11 was cheaper ($699) v. last year's XR ($749) and X ($999)
Should be headwinds to pricing</t>
        </r>
      </text>
    </comment>
    <comment ref="CV163" authorId="1" shapeId="0" xr:uid="{77BA61A6-FD6E-42DC-96C2-1FD58895EB44}">
      <text>
        <r>
          <rPr>
            <b/>
            <sz val="9"/>
            <color indexed="81"/>
            <rFont val="Tahoma"/>
            <family val="2"/>
          </rPr>
          <t>Author:</t>
        </r>
        <r>
          <rPr>
            <sz val="9"/>
            <color indexed="81"/>
            <rFont val="Tahoma"/>
            <family val="2"/>
          </rPr>
          <t xml:space="preserve">
SE(2nd gen) launched on 4/24/2020 at $399 - CHEAPEST PRODUCT0489</t>
        </r>
      </text>
    </comment>
    <comment ref="CX163" authorId="1" shapeId="0" xr:uid="{F601DDAC-3BB7-4636-99AF-8FA8A5F113EE}">
      <text>
        <r>
          <rPr>
            <b/>
            <sz val="9"/>
            <color indexed="81"/>
            <rFont val="Tahoma"/>
            <family val="2"/>
          </rPr>
          <t>Author:</t>
        </r>
        <r>
          <rPr>
            <sz val="9"/>
            <color indexed="81"/>
            <rFont val="Tahoma"/>
            <family val="2"/>
          </rPr>
          <t xml:space="preserve">
Strong pricing across Product0489 12 series
-12 @ $799 v. 11@ $699
-12Pro @ $999 v. 11Pro @ $999
-12ProMax @ $1099 v. 11ProMax @ $1099
-12Mini @ $699  v. n Product0489 SE (2nd Gen ) @ $399</t>
        </r>
      </text>
    </comment>
    <comment ref="DA163" authorId="1" shapeId="0" xr:uid="{06065F3F-3F15-4991-A32F-DC84EC0F64B8}">
      <text>
        <r>
          <rPr>
            <b/>
            <sz val="9"/>
            <color indexed="81"/>
            <rFont val="Tahoma"/>
            <family val="2"/>
          </rPr>
          <t>Author:</t>
        </r>
        <r>
          <rPr>
            <sz val="9"/>
            <color indexed="81"/>
            <rFont val="Tahoma"/>
            <family val="2"/>
          </rPr>
          <t xml:space="preserve">
Pricing growth for 13 is limited
13 @ $799 for 128 gb v. 12 @ $799 for 64 gb
13Mini $699 for 128gb v. 12 @ $699 for 64gb
13Pro @ $999 for 128 gb v. 12Pro @ $999 for 128gb
13ProxMax @ $1099 for 128 b v. 12Pro Max for 128 gb @ $1099
</t>
        </r>
      </text>
    </comment>
    <comment ref="DD163" authorId="1" shapeId="0" xr:uid="{4C54AD7A-C2E9-48FE-81BF-6F72C59602BE}">
      <text>
        <r>
          <rPr>
            <b/>
            <sz val="9"/>
            <color indexed="81"/>
            <rFont val="Tahoma"/>
            <family val="2"/>
          </rPr>
          <t>Author:</t>
        </r>
        <r>
          <rPr>
            <sz val="9"/>
            <color indexed="81"/>
            <rFont val="Tahoma"/>
            <family val="2"/>
          </rPr>
          <t xml:space="preserve">
Product0489 SE ($429) should be headwind to ASP. No equivalent year-ago
</t>
        </r>
      </text>
    </comment>
    <comment ref="DE163" authorId="1" shapeId="0" xr:uid="{57BEB95A-3210-4329-958B-00706254F1CC}">
      <text>
        <r>
          <rPr>
            <b/>
            <sz val="9"/>
            <color indexed="81"/>
            <rFont val="Tahoma"/>
            <family val="2"/>
          </rPr>
          <t>Author:</t>
        </r>
        <r>
          <rPr>
            <sz val="9"/>
            <color indexed="81"/>
            <rFont val="Tahoma"/>
            <family val="2"/>
          </rPr>
          <t xml:space="preserve">
Product0489 SE ($429) should be headwind to ASP, though continued mix shift toward 14Pro/Plus should help
Counterpoint says Company0242 ASP+7% yoy in 3Q22 with 10% yoy revenue growth</t>
        </r>
      </text>
    </comment>
    <comment ref="DF163" authorId="1" shapeId="0" xr:uid="{6E78E974-6CA6-4327-9E44-91BF55EB5382}">
      <text>
        <r>
          <rPr>
            <b/>
            <sz val="9"/>
            <color indexed="81"/>
            <rFont val="Tahoma"/>
            <family val="2"/>
          </rPr>
          <t>Author:</t>
        </r>
        <r>
          <rPr>
            <sz val="9"/>
            <color indexed="81"/>
            <rFont val="Tahoma"/>
            <family val="2"/>
          </rPr>
          <t xml:space="preserve">
Reuters: Product0489 Pro to be 60% of total output from 50% and may rise to 65%. 
https://example.com/</t>
        </r>
      </text>
    </comment>
    <comment ref="DG163" authorId="1" shapeId="0" xr:uid="{75F046CD-2E06-457D-A0E8-A189F794C724}">
      <text>
        <r>
          <rPr>
            <b/>
            <sz val="9"/>
            <color indexed="81"/>
            <rFont val="Tahoma"/>
            <family val="2"/>
          </rPr>
          <t>Author:</t>
        </r>
        <r>
          <rPr>
            <sz val="9"/>
            <color indexed="81"/>
            <rFont val="Tahoma"/>
            <family val="2"/>
          </rPr>
          <t xml:space="preserve">
Company0656 says pricing good</t>
        </r>
      </text>
    </comment>
    <comment ref="DH163" authorId="1" shapeId="0" xr:uid="{7CDC4E9C-0F9B-484F-BA1B-83F6BD78FB2A}">
      <text>
        <r>
          <rPr>
            <b/>
            <sz val="9"/>
            <color indexed="81"/>
            <rFont val="Tahoma"/>
            <family val="2"/>
          </rPr>
          <t>Author:</t>
        </r>
        <r>
          <rPr>
            <sz val="9"/>
            <color indexed="81"/>
            <rFont val="Tahoma"/>
            <family val="2"/>
          </rPr>
          <t xml:space="preserve">
</t>
        </r>
        <r>
          <rPr>
            <b/>
            <u/>
            <sz val="9"/>
            <color indexed="81"/>
            <rFont val="Tahoma"/>
            <family val="2"/>
          </rPr>
          <t xml:space="preserve">
Company0507 7/2023: </t>
        </r>
        <r>
          <rPr>
            <sz val="9"/>
            <color indexed="81"/>
            <rFont val="Tahoma"/>
            <family val="2"/>
          </rPr>
          <t xml:space="preserve">Peak demand for the newest and most premium phones is in the December quarter, which is typically the first full quarter of availability for newly launched models, and sometimes increased sticker prices. In succeeding quarters, US-WARP can stay steady or decline as more casual Product0489 buyers make up a greater proportion of purchasers and gravitate to more value priced models and storage capacities.
For the past few years, the June quarter has seen an increase in US-WARP. This year is an exception. </t>
        </r>
        <r>
          <rPr>
            <b/>
            <u/>
            <sz val="9"/>
            <color indexed="81"/>
            <rFont val="Tahoma"/>
            <family val="2"/>
          </rPr>
          <t xml:space="preserve">In the quarter, US-WARP was $948, down from $988 in the March 2023 quarter, and even slightly below the $954 from the year-ago June 2022 quarter </t>
        </r>
        <r>
          <rPr>
            <sz val="9"/>
            <color indexed="81"/>
            <rFont val="Tahoma"/>
            <family val="2"/>
          </rPr>
          <t xml:space="preserve">
Assuming no Product0489 SE. Mix shift positive</t>
        </r>
      </text>
    </comment>
    <comment ref="DI163" authorId="1" shapeId="0" xr:uid="{A50E09F7-2232-4667-A71A-4EC8EC9C40AC}">
      <text>
        <r>
          <rPr>
            <b/>
            <sz val="9"/>
            <color indexed="81"/>
            <rFont val="Tahoma"/>
            <family val="2"/>
          </rPr>
          <t>Author:</t>
        </r>
        <r>
          <rPr>
            <sz val="9"/>
            <color indexed="81"/>
            <rFont val="Tahoma"/>
            <family val="2"/>
          </rPr>
          <t xml:space="preserve">
(+) price mix shift from Product0489 15 Pro Max and removal of lowest cost storage option, no SE version this year
(+) from charging
Positive mix shift from easy Pro/Pro Max comps due to year-ago supply issues. Also like for like price increases for Pro/Pro Max
Negative mix shift from ship-in of more Product0489 15.. Less Pro/Pro Max. Year-ago likely benefited from strong mix-shift toward higher-end models because of more capaiblities (e.g., dynamic island).
Assuming stuff like dynamic island is made standard. </t>
        </r>
      </text>
    </comment>
    <comment ref="DO163" authorId="3" shapeId="0" xr:uid="{9972413A-2C34-44D7-A09F-02678AAF6259}">
      <text>
        <r>
          <rPr>
            <b/>
            <sz val="9"/>
            <color indexed="81"/>
            <rFont val="Tahoma"/>
            <family val="2"/>
          </rPr>
          <t>Author:</t>
        </r>
        <r>
          <rPr>
            <sz val="9"/>
            <color indexed="81"/>
            <rFont val="Tahoma"/>
            <family val="2"/>
          </rPr>
          <t xml:space="preserve">
2.19.25: Product0489 16e announced, with preorders beginning on 2/21/25 and availabiltiy starting on 2/28/25. Pricing starting at $599 for base 128 GB storage option.</t>
        </r>
      </text>
    </comment>
    <comment ref="DP163" authorId="3" shapeId="0" xr:uid="{194FD568-F585-4797-A1D7-E620F158BD4A}">
      <text>
        <r>
          <rPr>
            <b/>
            <sz val="9"/>
            <color indexed="81"/>
            <rFont val="Tahoma"/>
            <family val="2"/>
          </rPr>
          <t>Author:</t>
        </r>
        <r>
          <rPr>
            <sz val="9"/>
            <color indexed="81"/>
            <rFont val="Tahoma"/>
            <family val="2"/>
          </rPr>
          <t xml:space="preserve">
5.5.25: On 4/30/25, Chinese national subsidies became available on Company0244 official e-store (Product0396). Subsidies for smartphones, tablets, and watches are 15% (maximum device price is 6000 RMB, and the subsidy benefit is capped at 500 RMB). 
- iPhones that qualify for this subsidy: Product0489 16, 16e, 15, 15 Plus</t>
        </r>
      </text>
    </comment>
    <comment ref="FG163" authorId="0" shapeId="0" xr:uid="{00000000-0006-0000-0700-0000A0000000}">
      <text>
        <r>
          <rPr>
            <b/>
            <sz val="9"/>
            <color indexed="81"/>
            <rFont val="Tahoma"/>
            <family val="2"/>
          </rPr>
          <t>Author:</t>
        </r>
        <r>
          <rPr>
            <sz val="9"/>
            <color indexed="81"/>
            <rFont val="Tahoma"/>
            <family val="2"/>
          </rPr>
          <t xml:space="preserve">
Lower ASP Product0489 SE launch led to this decline in ASP</t>
        </r>
      </text>
    </comment>
    <comment ref="FO163" authorId="1" shapeId="0" xr:uid="{570FB3B9-BEBE-4ADA-939E-DD0D2C57BC24}">
      <text>
        <r>
          <rPr>
            <b/>
            <sz val="9"/>
            <color indexed="81"/>
            <rFont val="Tahoma"/>
            <family val="2"/>
          </rPr>
          <t>Author:</t>
        </r>
        <r>
          <rPr>
            <sz val="9"/>
            <color indexed="81"/>
            <rFont val="Tahoma"/>
            <family val="2"/>
          </rPr>
          <t xml:space="preserve">
MN 3/6/2023: For F2024, we’re modeling an Product0489 ASP increase of 7% yoy. In my model that’s about a $70 ASP increase. There’s a $200 delta b/w the standard storage versions of the Product0489 14 base model and Pro, and a $300 delta b/w the Product0489 Pro Max… so you’d need a 20 pp increase in Pro/Pro Max mix of total iPhones to get there if you assume (1) no like-for-like price increases or (2) a 2pp benefit from a mix shift benefit toward higher memory models. A 20 pp increase in Pro/Pro Max mix would translate into about 40 mn units. I’m assuming 20 mn of that is from destroyed/delayed upgrade demand due to supply chain disruption and the remaining mix benefit from incremental upgrades for the Pro/Pro Max from new features. I’d also highlight that that Product0489 USD ASP increases have historically happened every 2-3 years. Product0489 3 &amp; 4 base models with lowest storage @ $599, Product0489 5, 6, and 7 @ $649, Product0489 8 and 11 @ $699, Product0489 12, 13, 14 @ $799. Though current rumors are for a 15 Pro increase of $100 only – which to be fair, may balance some of the mix shift toward Pro/Pro Max. </t>
        </r>
      </text>
    </comment>
    <comment ref="DH164" authorId="1" shapeId="0" xr:uid="{73ED39A1-3675-4A72-8A6C-107FB528BA30}">
      <text>
        <r>
          <rPr>
            <b/>
            <sz val="9"/>
            <color indexed="81"/>
            <rFont val="Tahoma"/>
            <family val="2"/>
          </rPr>
          <t>Author:</t>
        </r>
        <r>
          <rPr>
            <sz val="9"/>
            <color indexed="81"/>
            <rFont val="Tahoma"/>
            <family val="2"/>
          </rPr>
          <t xml:space="preserve">
8/3/2023: Company1298 only captures shipments… implies pricing was weak
Macbook Air ASP mix sihft lower 
Product0235 Air $1299 15" (M2) likely very popular</t>
        </r>
      </text>
    </comment>
    <comment ref="DJ164" authorId="1" shapeId="0" xr:uid="{AB25DBDB-FE25-4128-89C3-3B744786F444}">
      <text>
        <r>
          <rPr>
            <b/>
            <sz val="9"/>
            <color indexed="81"/>
            <rFont val="Tahoma"/>
            <family val="2"/>
          </rPr>
          <t>Author:</t>
        </r>
        <r>
          <rPr>
            <sz val="9"/>
            <color indexed="81"/>
            <rFont val="Tahoma"/>
            <family val="2"/>
          </rPr>
          <t xml:space="preserve">
Pricing should be strong
November 7 2023 launches of Product0485 with M3 ($1299), Product0235 Pro 14" ($1599-$3199) and 16" with ($2499-$3499)
June 2023 launches included Product0235 Air with M2 ($1299) and Mac Studio ($1999) and Mac Pro ($6999)
No holiday 2022 launches </t>
        </r>
      </text>
    </comment>
    <comment ref="DK164" authorId="1" shapeId="0" xr:uid="{93E0C58C-477C-44FB-A70A-8FEB78AC0B70}">
      <text>
        <r>
          <rPr>
            <b/>
            <sz val="9"/>
            <color indexed="81"/>
            <rFont val="Tahoma"/>
            <family val="2"/>
          </rPr>
          <t>Author:</t>
        </r>
        <r>
          <rPr>
            <sz val="9"/>
            <color indexed="81"/>
            <rFont val="Tahoma"/>
            <family val="2"/>
          </rPr>
          <t xml:space="preserve">
10/2023: spring to summer 2024 launches of:
</t>
        </r>
        <r>
          <rPr>
            <b/>
            <sz val="9"/>
            <color indexed="81"/>
            <rFont val="Tahoma"/>
            <family val="2"/>
          </rPr>
          <t xml:space="preserve">(1) </t>
        </r>
        <r>
          <rPr>
            <sz val="9"/>
            <color indexed="81"/>
            <rFont val="Tahoma"/>
            <family val="2"/>
          </rPr>
          <t xml:space="preserve">new 13" Product0235 Air with M3; 
</t>
        </r>
        <r>
          <rPr>
            <b/>
            <sz val="9"/>
            <color indexed="81"/>
            <rFont val="Tahoma"/>
            <family val="2"/>
          </rPr>
          <t xml:space="preserve">(2) </t>
        </r>
        <r>
          <rPr>
            <sz val="9"/>
            <color indexed="81"/>
            <rFont val="Tahoma"/>
            <family val="2"/>
          </rPr>
          <t xml:space="preserve">15" Product0235 Air with M3
... and early to spring 2024 launches of: 
</t>
        </r>
        <r>
          <rPr>
            <b/>
            <sz val="9"/>
            <color indexed="81"/>
            <rFont val="Tahoma"/>
            <family val="2"/>
          </rPr>
          <t>(3)</t>
        </r>
        <r>
          <rPr>
            <sz val="9"/>
            <color indexed="81"/>
            <rFont val="Tahoma"/>
            <family val="2"/>
          </rPr>
          <t xml:space="preserve"> 14" Product0235 Pro M3 Pro 
</t>
        </r>
        <r>
          <rPr>
            <b/>
            <sz val="9"/>
            <color indexed="81"/>
            <rFont val="Tahoma"/>
            <family val="2"/>
          </rPr>
          <t>(4)</t>
        </r>
        <r>
          <rPr>
            <sz val="9"/>
            <color indexed="81"/>
            <rFont val="Tahoma"/>
            <family val="2"/>
          </rPr>
          <t xml:space="preserve"> 16" Product0235 Pro M3 Pro Max 
10/2023: no OLED for Macbook Pro until 2026/27
Macbook Air OLED in Spring 2023 should help with ASPs (currently Macbook line is LCD or mini-LED)</t>
        </r>
      </text>
    </comment>
    <comment ref="DL164" authorId="1" shapeId="0" xr:uid="{065D6F08-32F7-46E8-9690-685B8F2BFFD6}">
      <text>
        <r>
          <rPr>
            <b/>
            <sz val="9"/>
            <color indexed="81"/>
            <rFont val="Tahoma"/>
            <family val="2"/>
          </rPr>
          <t>Author:</t>
        </r>
        <r>
          <rPr>
            <sz val="9"/>
            <color indexed="81"/>
            <rFont val="Tahoma"/>
            <family val="2"/>
          </rPr>
          <t xml:space="preserve">
7/15/2024: Pricing likely weak because of Macbook Air 13" ($1099) and 15" ($1299) launch on March 8, 2024. 
10/2023: latest rumors suggest OLED displays launching 2026/27 for Product0235 Pro but Product0487 Pro in 2024 will have OLED 
Rumors that Product0237 OLED will be in 2024 at the earlierst. </t>
        </r>
      </text>
    </comment>
    <comment ref="DM164" authorId="8" shapeId="0" xr:uid="{2661E9CB-9B04-4992-BCBE-DE9953046779}">
      <text>
        <r>
          <rPr>
            <b/>
            <sz val="9"/>
            <color indexed="81"/>
            <rFont val="Tahoma"/>
            <family val="2"/>
          </rPr>
          <t>Author:</t>
        </r>
        <r>
          <rPr>
            <sz val="9"/>
            <color indexed="81"/>
            <rFont val="Tahoma"/>
            <family val="2"/>
          </rPr>
          <t xml:space="preserve">
1,375 approximates F1Q-3Q24 average</t>
        </r>
      </text>
    </comment>
    <comment ref="DN164" authorId="1" shapeId="0" xr:uid="{FC233E54-9E88-4183-8AF8-4BD4CB1F536D}">
      <text>
        <r>
          <rPr>
            <b/>
            <sz val="9"/>
            <color indexed="81"/>
            <rFont val="Tahoma"/>
            <family val="2"/>
          </rPr>
          <t>Author:</t>
        </r>
        <r>
          <rPr>
            <sz val="9"/>
            <color indexed="81"/>
            <rFont val="Tahoma"/>
            <family val="2"/>
          </rPr>
          <t xml:space="preserve">
Year-ago include November 2023 laucnhes of 14" and 16" Product0235 Pros</t>
        </r>
      </text>
    </comment>
    <comment ref="DP164" authorId="3" shapeId="0" xr:uid="{8F6CA915-F686-4228-9CE7-0C99AB9B4343}">
      <text>
        <r>
          <rPr>
            <b/>
            <sz val="9"/>
            <color indexed="81"/>
            <rFont val="Tahoma"/>
            <family val="2"/>
          </rPr>
          <t>Author:</t>
        </r>
        <r>
          <rPr>
            <sz val="9"/>
            <color indexed="81"/>
            <rFont val="Tahoma"/>
            <family val="2"/>
          </rPr>
          <t xml:space="preserve">
7.9.25: Modeling ASPs -13% yoy due to (1) M4 Product0235 Product0036 released in March 2025 having a starting price of $999 ($100 price cut); and (2) potential discounting in China for national subsidies and 618 shopping period
5.5.25: On 4/30/25, Chinese national subsidies became available on Company0244 official e-store (Product0396). Subsidies for PCs are 20% (the subsidy benefit is capped at 2,000 RMB). 
- Product0240 that qualify for this subsidy: Product0235 Air (13 &amp; 15 inch), Product0235 Pro (14 &amp; 16 inch), Product0485, Mac mini, Mac Studio</t>
        </r>
      </text>
    </comment>
    <comment ref="DB165" authorId="1" shapeId="0" xr:uid="{95856499-160D-4980-B87E-E8F46D740E52}">
      <text>
        <r>
          <rPr>
            <b/>
            <sz val="9"/>
            <color indexed="81"/>
            <rFont val="Tahoma"/>
            <family val="2"/>
          </rPr>
          <t>Author:</t>
        </r>
        <r>
          <rPr>
            <sz val="9"/>
            <color indexed="81"/>
            <rFont val="Tahoma"/>
            <family val="2"/>
          </rPr>
          <t xml:space="preserve">
Maybe some weakness from Mini</t>
        </r>
      </text>
    </comment>
    <comment ref="DF165" authorId="1" shapeId="0" xr:uid="{D48B367B-3075-4AA8-A8DA-36F8D12E70A4}">
      <text>
        <r>
          <rPr>
            <b/>
            <sz val="9"/>
            <color indexed="81"/>
            <rFont val="Tahoma"/>
            <family val="2"/>
          </rPr>
          <t>Author:</t>
        </r>
        <r>
          <rPr>
            <sz val="9"/>
            <color indexed="81"/>
            <rFont val="Tahoma"/>
            <family val="2"/>
          </rPr>
          <t xml:space="preserve">
Product0487 (10/26/2022) lowest priced standard model is $449 v. $329 year-ago. (bigger screen, redesign - new colors, 
Also… Much later release date 10/26/2022 v. 9/24/2021
Product0487 Pro pricing the same as prior Product0487 Pros… but 10/26/2022 launch v. year-ago 5/21/2021 launch </t>
        </r>
      </text>
    </comment>
    <comment ref="DG165" authorId="1" shapeId="0" xr:uid="{86C04511-4736-466C-8F76-13E03BE28D3B}">
      <text>
        <r>
          <rPr>
            <b/>
            <sz val="9"/>
            <color indexed="81"/>
            <rFont val="Tahoma"/>
            <family val="2"/>
          </rPr>
          <t>Author:</t>
        </r>
        <r>
          <rPr>
            <sz val="9"/>
            <color indexed="81"/>
            <rFont val="Tahoma"/>
            <family val="2"/>
          </rPr>
          <t xml:space="preserve">
Product0487 Pro mix should be positive.. As well as no Product0487 Air</t>
        </r>
      </text>
    </comment>
    <comment ref="DP165" authorId="3" shapeId="0" xr:uid="{B59F2176-9E0B-49F6-A98C-00ACC5BB4F33}">
      <text>
        <r>
          <rPr>
            <b/>
            <sz val="9"/>
            <color indexed="81"/>
            <rFont val="Tahoma"/>
            <family val="2"/>
          </rPr>
          <t>Author:</t>
        </r>
        <r>
          <rPr>
            <sz val="9"/>
            <color indexed="81"/>
            <rFont val="Tahoma"/>
            <family val="2"/>
          </rPr>
          <t xml:space="preserve">
5.5.25: On 4/30/25, Chinese national subsidies became available on Company0244 official e-store (Product0396). Subsidies for smartphones, tablets, and watches are 15% (maximum device price is 6000 RMB, and the subsidy benefit is capped at 500 RMB). 
- iPads that qualify for this subsidy: Product0487 Air (128 GB), Product0487 (128 GB), and Product0487 mini (128 GB)</t>
        </r>
      </text>
    </comment>
    <comment ref="DP166" authorId="3" shapeId="0" xr:uid="{23581A7F-832D-491C-9FFD-CD9B4735030F}">
      <text>
        <r>
          <rPr>
            <b/>
            <sz val="9"/>
            <color indexed="81"/>
            <rFont val="Tahoma"/>
            <family val="2"/>
          </rPr>
          <t>Author:</t>
        </r>
        <r>
          <rPr>
            <sz val="9"/>
            <color indexed="81"/>
            <rFont val="Tahoma"/>
            <family val="2"/>
          </rPr>
          <t xml:space="preserve">
5.5.25: On 4/30/25, Chinese national subsidies became available on Company0244 official e-store (Product0396). Subsidies for smartphones, tablets, and watches are 15% (maximum device price is 6000 RMB, and the subsidy benefit is capped at 500 RMB). 
- Company0242 watches that qualify for this subsidy: Product0366 10, Series 10 Titanium, and SE</t>
        </r>
      </text>
    </comment>
    <comment ref="CF170" authorId="5" shapeId="0" xr:uid="{00000000-0006-0000-0700-0000A1000000}">
      <text>
        <r>
          <rPr>
            <b/>
            <sz val="9"/>
            <color indexed="81"/>
            <rFont val="Tahoma"/>
            <family val="2"/>
          </rPr>
          <t>Author:</t>
        </r>
        <r>
          <rPr>
            <sz val="9"/>
            <color indexed="81"/>
            <rFont val="Tahoma"/>
            <family val="2"/>
          </rPr>
          <t xml:space="preserve">
4/26/16: Product0489 ASPs to decline seq. as we get farther from 6s launch, and SE increases in the mix</t>
        </r>
      </text>
    </comment>
    <comment ref="CG170" authorId="9" shapeId="0" xr:uid="{00000000-0006-0000-0700-0000A2000000}">
      <text>
        <r>
          <rPr>
            <b/>
            <sz val="9"/>
            <color indexed="81"/>
            <rFont val="Tahoma"/>
            <family val="2"/>
          </rPr>
          <t>Author:</t>
        </r>
        <r>
          <rPr>
            <sz val="9"/>
            <color indexed="81"/>
            <rFont val="Tahoma"/>
            <family val="2"/>
          </rPr>
          <t xml:space="preserve">
7/26/16: expect ASPs to improve this quarter</t>
        </r>
      </text>
    </comment>
    <comment ref="CH170" authorId="9" shapeId="0" xr:uid="{00000000-0006-0000-0700-0000A3000000}">
      <text>
        <r>
          <rPr>
            <b/>
            <sz val="9"/>
            <color indexed="81"/>
            <rFont val="Tahoma"/>
            <family val="2"/>
          </rPr>
          <t>Author:</t>
        </r>
        <r>
          <rPr>
            <sz val="9"/>
            <color indexed="81"/>
            <rFont val="Tahoma"/>
            <family val="2"/>
          </rPr>
          <t xml:space="preserve">
10/25/16: expect increase sequentially</t>
        </r>
      </text>
    </comment>
    <comment ref="CM170" authorId="0" shapeId="0" xr:uid="{00000000-0006-0000-0700-0000A4000000}">
      <text>
        <r>
          <rPr>
            <b/>
            <sz val="9"/>
            <color indexed="81"/>
            <rFont val="Tahoma"/>
            <family val="2"/>
          </rPr>
          <t>Author:</t>
        </r>
        <r>
          <rPr>
            <sz val="9"/>
            <color indexed="81"/>
            <rFont val="Tahoma"/>
            <family val="2"/>
          </rPr>
          <t xml:space="preserve">
FQ1'18 call: "overall ASPs for Product0489 in Q2 will naturally decline sequentially by a higher percentage than we have experienced historically."</t>
        </r>
      </text>
    </comment>
    <comment ref="DG187" authorId="1" shapeId="0" xr:uid="{7E30AFDA-64EB-4DC8-AA78-EE7B7B5F5C22}">
      <text>
        <r>
          <rPr>
            <b/>
            <sz val="9"/>
            <color indexed="81"/>
            <rFont val="Tahoma"/>
            <family val="2"/>
          </rPr>
          <t>Author:</t>
        </r>
        <r>
          <rPr>
            <sz val="9"/>
            <color indexed="81"/>
            <rFont val="Tahoma"/>
            <family val="2"/>
          </rPr>
          <t xml:space="preserve">
Will comp SE launch year-ago.. No equivalent</t>
        </r>
      </text>
    </comment>
    <comment ref="BQ194" authorId="1" shapeId="0" xr:uid="{099FCAF7-A5F8-4291-B0CC-10717691DC5E}">
      <text>
        <r>
          <rPr>
            <b/>
            <sz val="9"/>
            <color indexed="81"/>
            <rFont val="Tahoma"/>
            <family val="2"/>
          </rPr>
          <t>Author:</t>
        </r>
        <r>
          <rPr>
            <sz val="9"/>
            <color indexed="81"/>
            <rFont val="Tahoma"/>
            <family val="2"/>
          </rPr>
          <t xml:space="preserve">
2012 restatements on product segmentation</t>
        </r>
      </text>
    </comment>
    <comment ref="CF194" authorId="4" shapeId="0" xr:uid="{00000000-0006-0000-0700-000072000000}">
      <text>
        <r>
          <rPr>
            <b/>
            <sz val="9"/>
            <color indexed="81"/>
            <rFont val="Tahoma"/>
            <family val="2"/>
          </rPr>
          <t>Author:</t>
        </r>
        <r>
          <rPr>
            <sz val="9"/>
            <color indexed="81"/>
            <rFont val="Tahoma"/>
            <family val="2"/>
          </rPr>
          <t xml:space="preserve">
only about 1pt FX headwind</t>
        </r>
      </text>
    </comment>
    <comment ref="A197" authorId="4" shapeId="0" xr:uid="{00000000-0006-0000-0700-0000D1000000}">
      <text>
        <r>
          <rPr>
            <b/>
            <sz val="9"/>
            <color indexed="81"/>
            <rFont val="Tahoma"/>
            <family val="2"/>
          </rPr>
          <t>Author:</t>
        </r>
        <r>
          <rPr>
            <sz val="9"/>
            <color indexed="81"/>
            <rFont val="Tahoma"/>
            <family val="2"/>
          </rPr>
          <t xml:space="preserve">
Product0490, Watch, accessories</t>
        </r>
      </text>
    </comment>
    <comment ref="BT197" authorId="1" shapeId="0" xr:uid="{9F57A304-04CF-42FA-9C85-FBC099A15294}">
      <text>
        <r>
          <rPr>
            <b/>
            <sz val="9"/>
            <color indexed="81"/>
            <rFont val="Tahoma"/>
            <family val="2"/>
          </rPr>
          <t>Author:</t>
        </r>
        <r>
          <rPr>
            <sz val="9"/>
            <color indexed="81"/>
            <rFont val="Tahoma"/>
            <family val="2"/>
          </rPr>
          <t xml:space="preserve">
Product0490 of $733 + Accessroies of $1179</t>
        </r>
      </text>
    </comment>
    <comment ref="CI197" authorId="5" shapeId="0" xr:uid="{00000000-0006-0000-0700-0000D2000000}">
      <text>
        <r>
          <rPr>
            <b/>
            <sz val="9"/>
            <color indexed="81"/>
            <rFont val="Tahoma"/>
            <family val="2"/>
          </rPr>
          <t>Author:</t>
        </r>
        <r>
          <rPr>
            <sz val="9"/>
            <color indexed="81"/>
            <rFont val="Tahoma"/>
            <family val="2"/>
          </rPr>
          <t xml:space="preserve">
5/2/17: Watch+Product0032+Product0069 (wearables) now as big as a Company1032 500 business</t>
        </r>
      </text>
    </comment>
    <comment ref="A202" authorId="1" shapeId="0" xr:uid="{F74907A2-8658-4781-84A9-B514971F5897}">
      <text>
        <r>
          <rPr>
            <b/>
            <sz val="9"/>
            <color indexed="81"/>
            <rFont val="Tahoma"/>
            <family val="2"/>
          </rPr>
          <t>Author:</t>
        </r>
        <r>
          <rPr>
            <sz val="9"/>
            <color indexed="81"/>
            <rFont val="Tahoma"/>
            <family val="2"/>
          </rPr>
          <t xml:space="preserve">
Ticker0001 gets data from retailers but they can see when a phone gets unbricked as it gets activated. Very good at managing channel inventory. </t>
        </r>
      </text>
    </comment>
    <comment ref="DG202" authorId="1" shapeId="0" xr:uid="{446D2A19-796B-46BE-9F3B-4502F852304A}">
      <text>
        <r>
          <rPr>
            <b/>
            <sz val="9"/>
            <color indexed="81"/>
            <rFont val="Tahoma"/>
            <family val="2"/>
          </rPr>
          <t>Author:</t>
        </r>
        <r>
          <rPr>
            <sz val="9"/>
            <color indexed="81"/>
            <rFont val="Tahoma"/>
            <family val="2"/>
          </rPr>
          <t xml:space="preserve">
F1Q23: not committing to any recapture of lost sales in F1Q</t>
        </r>
      </text>
    </comment>
    <comment ref="CC203" authorId="9" shapeId="0" xr:uid="{00000000-0006-0000-0700-00008F000000}">
      <text>
        <r>
          <rPr>
            <b/>
            <sz val="9"/>
            <color indexed="81"/>
            <rFont val="Tahoma"/>
            <family val="2"/>
          </rPr>
          <t>Author:</t>
        </r>
        <r>
          <rPr>
            <sz val="9"/>
            <color indexed="81"/>
            <rFont val="Tahoma"/>
            <family val="2"/>
          </rPr>
          <t xml:space="preserve">
estimate based on commentary "less than 2 million units in order to support our new product launch at the very end of September quarter"</t>
        </r>
      </text>
    </comment>
    <comment ref="CD203" authorId="9" shapeId="0" xr:uid="{00000000-0006-0000-0700-000090000000}">
      <text>
        <r>
          <rPr>
            <b/>
            <sz val="9"/>
            <color indexed="81"/>
            <rFont val="Tahoma"/>
            <family val="2"/>
          </rPr>
          <t>Author:</t>
        </r>
        <r>
          <rPr>
            <sz val="9"/>
            <color indexed="81"/>
            <rFont val="Tahoma"/>
            <family val="2"/>
          </rPr>
          <t xml:space="preserve">
"We were significantly short at the beginning of the quarter"</t>
        </r>
      </text>
    </comment>
    <comment ref="CJ203" authorId="0" shapeId="0" xr:uid="{00000000-0006-0000-0700-000091000000}">
      <text>
        <r>
          <rPr>
            <b/>
            <sz val="9"/>
            <color indexed="81"/>
            <rFont val="Tahoma"/>
            <family val="2"/>
          </rPr>
          <t>Author:</t>
        </r>
        <r>
          <rPr>
            <sz val="9"/>
            <color indexed="81"/>
            <rFont val="Tahoma"/>
            <family val="2"/>
          </rPr>
          <t xml:space="preserve">
FQ3'17 call: "During the quarter we sold 41 million iPhones and reduced Product0489 channel inventory by 3.3 million units, leaving us with our lowest level of channel inventory in 2.5 years and well within our five-week to seven-week target inventory
range"</t>
        </r>
      </text>
    </comment>
    <comment ref="CL203" authorId="12" shapeId="0" xr:uid="{00000000-0006-0000-0700-000092000000}">
      <text>
        <r>
          <rPr>
            <b/>
            <sz val="9"/>
            <color indexed="81"/>
            <rFont val="Tahoma"/>
            <family val="2"/>
          </rPr>
          <t>Author:</t>
        </r>
        <r>
          <rPr>
            <sz val="9"/>
            <color indexed="81"/>
            <rFont val="Tahoma"/>
            <family val="2"/>
          </rPr>
          <t xml:space="preserve">
We exited the December quarter towards the lower end of our target range of 5 to 7 weeks of Product0489 channel inventory, with less than 1 million more iPhones in the channel compared to the December quarter a year ago, in line with our growth in average weekly unit sales</t>
        </r>
      </text>
    </comment>
    <comment ref="CM203" authorId="0" shapeId="0" xr:uid="{00000000-0006-0000-0700-000093000000}">
      <text>
        <r>
          <rPr>
            <b/>
            <sz val="9"/>
            <color indexed="81"/>
            <rFont val="Tahoma"/>
            <family val="2"/>
          </rPr>
          <t>Author:</t>
        </r>
        <r>
          <rPr>
            <sz val="9"/>
            <color indexed="81"/>
            <rFont val="Tahoma"/>
            <family val="2"/>
          </rPr>
          <t xml:space="preserve">
FQ2 call: "we reduced Product0489 channel inventory by 1.8 million units, 600,000 units more than the March quarter reduction last year"</t>
        </r>
      </text>
    </comment>
    <comment ref="CO203" authorId="7" shapeId="0" xr:uid="{00000000-0006-0000-0700-000094000000}">
      <text>
        <r>
          <rPr>
            <b/>
            <sz val="9"/>
            <color indexed="81"/>
            <rFont val="Tahoma"/>
            <family val="2"/>
          </rPr>
          <t>Author:</t>
        </r>
        <r>
          <rPr>
            <sz val="9"/>
            <color indexed="81"/>
            <rFont val="Tahoma"/>
            <family val="2"/>
          </rPr>
          <t xml:space="preserve">
FQ4'18 Callback: up 1.6m</t>
        </r>
      </text>
    </comment>
    <comment ref="CP203" authorId="7" shapeId="0" xr:uid="{00000000-0006-0000-0700-000095000000}">
      <text>
        <r>
          <rPr>
            <b/>
            <sz val="9"/>
            <color indexed="81"/>
            <rFont val="Tahoma"/>
            <family val="2"/>
          </rPr>
          <t>Author:</t>
        </r>
        <r>
          <rPr>
            <sz val="9"/>
            <color indexed="81"/>
            <rFont val="Tahoma"/>
            <family val="2"/>
          </rPr>
          <t xml:space="preserve">
Person1260 said gfk said 1.2m</t>
        </r>
      </text>
    </comment>
    <comment ref="BX204" authorId="9" shapeId="0" xr:uid="{00000000-0006-0000-0700-000096000000}">
      <text>
        <r>
          <rPr>
            <b/>
            <sz val="9"/>
            <color indexed="81"/>
            <rFont val="Tahoma"/>
            <family val="2"/>
          </rPr>
          <t>Author:</t>
        </r>
        <r>
          <rPr>
            <sz val="9"/>
            <color indexed="81"/>
            <rFont val="Tahoma"/>
            <family val="2"/>
          </rPr>
          <t xml:space="preserve">
Company0242 stopped providing ending Product0489 channel inventory - this value and following are calculated based on change in channel inventory</t>
        </r>
      </text>
    </comment>
    <comment ref="CJ204" authorId="0" shapeId="0" xr:uid="{00000000-0006-0000-0700-000097000000}">
      <text>
        <r>
          <rPr>
            <b/>
            <sz val="9"/>
            <color indexed="81"/>
            <rFont val="Tahoma"/>
            <family val="2"/>
          </rPr>
          <t>Author:</t>
        </r>
        <r>
          <rPr>
            <sz val="9"/>
            <color indexed="81"/>
            <rFont val="Tahoma"/>
            <family val="2"/>
          </rPr>
          <t xml:space="preserve">
FQ3'17 call: "During the quarter we sold 41 million iPhones and reduced Product0489 channel inventory by 3.3 million units, leaving us with our lowest level of channel inventory in 2.5 years and well within our five-week to seven-week target inventory range"</t>
        </r>
      </text>
    </comment>
    <comment ref="DE204" authorId="1" shapeId="0" xr:uid="{A918B428-8948-4FFF-B7AF-9E4AAC4052F3}">
      <text>
        <r>
          <rPr>
            <b/>
            <sz val="9"/>
            <color indexed="81"/>
            <rFont val="Tahoma"/>
            <family val="2"/>
          </rPr>
          <t>Author:</t>
        </r>
        <r>
          <rPr>
            <sz val="9"/>
            <color indexed="81"/>
            <rFont val="Tahoma"/>
            <family val="2"/>
          </rPr>
          <t xml:space="preserve">
F4Q22: exited channel inventory below target level for Product0489. Not that unusual. </t>
        </r>
      </text>
    </comment>
    <comment ref="DF204" authorId="8" shapeId="0" xr:uid="{3D3145FD-E645-4A90-AAD9-4E0671832658}">
      <text>
        <r>
          <rPr>
            <b/>
            <sz val="9"/>
            <color indexed="81"/>
            <rFont val="Tahoma"/>
            <family val="2"/>
          </rPr>
          <t>Author:</t>
        </r>
        <r>
          <rPr>
            <sz val="9"/>
            <color indexed="81"/>
            <rFont val="Tahoma"/>
            <family val="2"/>
          </rPr>
          <t xml:space="preserve">
F1Q23: ending quarter with lower channel inventory than targeted given supply challenges on Product0489 14 Pro and Pro Max. Year-ago also exited below range. </t>
        </r>
      </text>
    </comment>
    <comment ref="DG204" authorId="1" shapeId="0" xr:uid="{C7E551E5-0435-4D23-B5AA-2CFEAE3077E8}">
      <text>
        <r>
          <rPr>
            <b/>
            <sz val="9"/>
            <color indexed="81"/>
            <rFont val="Tahoma"/>
            <family val="2"/>
          </rPr>
          <t>Author:</t>
        </r>
        <r>
          <rPr>
            <sz val="9"/>
            <color indexed="81"/>
            <rFont val="Tahoma"/>
            <family val="2"/>
          </rPr>
          <t xml:space="preserve">
F2Q23: Very comfortable with channel inventory</t>
        </r>
      </text>
    </comment>
    <comment ref="DK204" authorId="1" shapeId="0" xr:uid="{0834FD7F-991F-48B1-A85A-53B6A3FACDA7}">
      <text>
        <r>
          <rPr>
            <b/>
            <sz val="9"/>
            <color indexed="81"/>
            <rFont val="Tahoma"/>
            <family val="2"/>
          </rPr>
          <t>Author:</t>
        </r>
        <r>
          <rPr>
            <sz val="9"/>
            <color indexed="81"/>
            <rFont val="Tahoma"/>
            <family val="2"/>
          </rPr>
          <t xml:space="preserve">
F2Q24: we decreased channel inventory. We usually decrease channel inventory in F2Q time frame. Very comfortable with overall channel inventory. </t>
        </r>
      </text>
    </comment>
    <comment ref="A205" authorId="1" shapeId="0" xr:uid="{07F8D4A5-D610-436D-ABFB-C71A788E6FCC}">
      <text>
        <r>
          <rPr>
            <b/>
            <sz val="9"/>
            <color indexed="81"/>
            <rFont val="Tahoma"/>
            <family val="2"/>
          </rPr>
          <t>Author:</t>
        </r>
        <r>
          <rPr>
            <sz val="9"/>
            <color indexed="81"/>
            <rFont val="Tahoma"/>
            <family val="2"/>
          </rPr>
          <t xml:space="preserve">
12/1/2022: Historical Product0489 channel inventory is 5-7 weeks. Managed for forward sales</t>
        </r>
      </text>
    </comment>
    <comment ref="DG205" authorId="1" shapeId="0" xr:uid="{D94452F3-70F8-4C0B-8007-14FEA9BEF02B}">
      <text>
        <r>
          <rPr>
            <b/>
            <sz val="9"/>
            <color indexed="81"/>
            <rFont val="Tahoma"/>
            <family val="2"/>
          </rPr>
          <t>Author:</t>
        </r>
        <r>
          <rPr>
            <sz val="9"/>
            <color indexed="81"/>
            <rFont val="Tahoma"/>
            <family val="2"/>
          </rPr>
          <t xml:space="preserve">
F2Q23 (5/4): Low end of 5-7 weeks target for Product0489. In the range ofr other. </t>
        </r>
      </text>
    </comment>
    <comment ref="DI205" authorId="1" shapeId="0" xr:uid="{C9B03B93-03E3-47D1-B114-B9C9775B655D}">
      <text>
        <r>
          <rPr>
            <b/>
            <sz val="9"/>
            <color indexed="81"/>
            <rFont val="Tahoma"/>
            <family val="2"/>
          </rPr>
          <t>Author:</t>
        </r>
        <r>
          <rPr>
            <sz val="9"/>
            <color indexed="81"/>
            <rFont val="Tahoma"/>
            <family val="2"/>
          </rPr>
          <t xml:space="preserve">
Low-end channel inventory </t>
        </r>
      </text>
    </comment>
    <comment ref="DJ205" authorId="1" shapeId="0" xr:uid="{A330B3B5-9080-4D6E-B60F-E6AAC104E949}">
      <text>
        <r>
          <rPr>
            <b/>
            <sz val="9"/>
            <color indexed="81"/>
            <rFont val="Tahoma"/>
            <family val="2"/>
          </rPr>
          <t>Author:</t>
        </r>
        <r>
          <rPr>
            <sz val="9"/>
            <color indexed="81"/>
            <rFont val="Tahoma"/>
            <family val="2"/>
          </rPr>
          <t xml:space="preserve">
Lean inventories across all products</t>
        </r>
      </text>
    </comment>
    <comment ref="DK205" authorId="1" shapeId="0" xr:uid="{DA175A57-DD71-4E69-9A74-D3182ADFFBBD}">
      <text>
        <r>
          <rPr>
            <b/>
            <sz val="9"/>
            <color indexed="81"/>
            <rFont val="Tahoma"/>
            <family val="2"/>
          </rPr>
          <t>Author:</t>
        </r>
        <r>
          <rPr>
            <sz val="9"/>
            <color indexed="81"/>
            <rFont val="Tahoma"/>
            <family val="2"/>
          </rPr>
          <t xml:space="preserve">
Low-end channel inventory </t>
        </r>
      </text>
    </comment>
    <comment ref="DL205" authorId="1" shapeId="0" xr:uid="{0CB3EBD0-4C54-4140-8325-8AFA071B7A53}">
      <text>
        <r>
          <rPr>
            <b/>
            <sz val="9"/>
            <color indexed="81"/>
            <rFont val="Tahoma"/>
            <family val="2"/>
          </rPr>
          <t>Author:</t>
        </r>
        <r>
          <rPr>
            <sz val="9"/>
            <color indexed="81"/>
            <rFont val="Tahoma"/>
            <family val="2"/>
          </rPr>
          <t xml:space="preserve">
F3Q24 8/1/2024: very clean channel inventories. 
</t>
        </r>
      </text>
    </comment>
    <comment ref="DM205" authorId="1" shapeId="0" xr:uid="{349F56D4-6FF5-4487-8C7A-91618C84D18F}">
      <text>
        <r>
          <rPr>
            <b/>
            <sz val="9"/>
            <color indexed="81"/>
            <rFont val="Tahoma"/>
            <family val="2"/>
          </rPr>
          <t>Author:</t>
        </r>
        <r>
          <rPr>
            <sz val="9"/>
            <color indexed="81"/>
            <rFont val="Tahoma"/>
            <family val="2"/>
          </rPr>
          <t xml:space="preserve">
F4Q24: channel inventories very good. Nothing unsual. Channel fill in September. </t>
        </r>
      </text>
    </comment>
    <comment ref="DN205" authorId="1" shapeId="0" xr:uid="{E19CA6B0-5B68-428B-ABF3-635766BFA66A}">
      <text>
        <r>
          <rPr>
            <b/>
            <sz val="9"/>
            <color indexed="81"/>
            <rFont val="Tahoma"/>
            <family val="2"/>
          </rPr>
          <t>Author:</t>
        </r>
        <r>
          <rPr>
            <sz val="9"/>
            <color indexed="81"/>
            <rFont val="Tahoma"/>
            <family val="2"/>
          </rPr>
          <t xml:space="preserve">
F1Q25: channel inventory healthy. 1/2 of the decline in Greater China was due to inventory destocking in China. </t>
        </r>
      </text>
    </comment>
    <comment ref="DP205" authorId="1" shapeId="0" xr:uid="{CB25FE5B-0946-43C9-A23E-5DC3BF19091D}">
      <text>
        <r>
          <rPr>
            <b/>
            <sz val="9"/>
            <color indexed="81"/>
            <rFont val="Tahoma"/>
            <family val="2"/>
          </rPr>
          <t>Author:</t>
        </r>
        <r>
          <rPr>
            <sz val="9"/>
            <color indexed="81"/>
            <rFont val="Tahoma"/>
            <family val="2"/>
          </rPr>
          <t xml:space="preserve">
F3Q25: Channel inventory down qoq and low-end of range</t>
        </r>
      </text>
    </comment>
    <comment ref="DE209" authorId="1" shapeId="0" xr:uid="{D929D052-A680-4549-A908-5C2AAD9329DE}">
      <text>
        <r>
          <rPr>
            <b/>
            <sz val="9"/>
            <color indexed="81"/>
            <rFont val="Tahoma"/>
            <family val="2"/>
          </rPr>
          <t>Author:</t>
        </r>
        <r>
          <rPr>
            <sz val="9"/>
            <color indexed="81"/>
            <rFont val="Tahoma"/>
            <family val="2"/>
          </rPr>
          <t xml:space="preserve">
The global smartphone market had its worst third quarter since 2014 as economic headwinds pushed consumers to delay discretionary purchases like personal electronics.
Shipments of smartphones around the world fell 9 percent in the three months ended September, extending a decline that’s lasted the entirety of 2022, according to market research firm Canalys.
For the latest headlines, follow our Company1153 News channel online or via the app.
The downward trend in demand is likely to continue for a further nine months, Canalys added.
Interest rate hikes and rising energy prices have dampened consumer appetites this year, with China’s economic slowdown and COVID-19 lockdowns playing a key role in sapping momentum for smartphone sales.
Domestic players like Company3020 Corp., Vivo and Company2015 have all registered double-digit drops in sales this year, with only Company0243.’s Product0489 showing resilience in the market.
Company2530 Electronics Co., which lacks a significant presence in China, held on to its leading global position with 22 percent of the market, aided by heavy discounts and promotions, the data showed. Company0242, whose Product0489 14 series went on sale in September, grew its share to 18 percent while Company2015 and Vivo both saw smaller shares than last year.
“Going into the sales season, consumers who have been delaying purchases will expect steep discounts and bundling promotions as well as significant price reductions,” Canalys analyst Person1032 Person0228 said. “Compared to the strong demand period of the previous year, a slow but steady festive sale is anticipated in the fourth quarter.”
Although Company0242 was the main winner of market share in the third quarter, it has ditched plans to increase production of its Product0489 14 product family, Bloomberg News reported last month.
</t>
        </r>
      </text>
    </comment>
    <comment ref="DF209" authorId="1" shapeId="0" xr:uid="{A637EB2E-92C9-4FBD-8FC1-35235CE0863B}">
      <text>
        <r>
          <rPr>
            <b/>
            <sz val="9"/>
            <color indexed="81"/>
            <rFont val="Tahoma"/>
            <family val="2"/>
          </rPr>
          <t>Author:</t>
        </r>
        <r>
          <rPr>
            <sz val="9"/>
            <color indexed="81"/>
            <rFont val="Tahoma"/>
            <family val="2"/>
          </rPr>
          <t xml:space="preserve">
F1Q23: Believes Product0489 would have grown ex supply shortages. Assuming that means sell-through at least 8 pp better than sell-in</t>
        </r>
      </text>
    </comment>
    <comment ref="DG209" authorId="1" shapeId="0" xr:uid="{2E7C2D65-4BA3-4F95-B02C-06D366F8D451}">
      <text>
        <r>
          <rPr>
            <b/>
            <sz val="9"/>
            <color indexed="81"/>
            <rFont val="Tahoma"/>
            <family val="2"/>
          </rPr>
          <t>Author:</t>
        </r>
        <r>
          <rPr>
            <sz val="9"/>
            <color indexed="81"/>
            <rFont val="Tahoma"/>
            <family val="2"/>
          </rPr>
          <t xml:space="preserve">
Heard sell-through down MSD-HSD%</t>
        </r>
      </text>
    </comment>
    <comment ref="DH209" authorId="1" shapeId="0" xr:uid="{92A7A577-EB92-40B2-902A-40EC7B81CE6E}">
      <text>
        <r>
          <rPr>
            <b/>
            <sz val="9"/>
            <color indexed="81"/>
            <rFont val="Tahoma"/>
            <family val="2"/>
          </rPr>
          <t>Author:</t>
        </r>
        <r>
          <rPr>
            <sz val="9"/>
            <color indexed="81"/>
            <rFont val="Tahoma"/>
            <family val="2"/>
          </rPr>
          <t xml:space="preserve">
Sell-through was 44 mn per Counterpoint, -2% yoy per Counterpoint</t>
        </r>
      </text>
    </comment>
    <comment ref="DI209" authorId="1" shapeId="0" xr:uid="{029FF1DF-FAAA-453B-8DB1-F14C1E791D83}">
      <text>
        <r>
          <rPr>
            <b/>
            <sz val="9"/>
            <color indexed="81"/>
            <rFont val="Tahoma"/>
            <family val="2"/>
          </rPr>
          <t>Author:</t>
        </r>
        <r>
          <rPr>
            <sz val="9"/>
            <color indexed="81"/>
            <rFont val="Tahoma"/>
            <family val="2"/>
          </rPr>
          <t xml:space="preserve">
Counterpoint: -9% yoy sell-through global in C3Q23
1 less week of availabiltiy (9/22 availabity v. 9/16 year-ago)
https://example.com/</t>
        </r>
      </text>
    </comment>
    <comment ref="DJ209" authorId="1" shapeId="0" xr:uid="{599A2220-46FA-492C-B47C-E0D125097480}">
      <text>
        <r>
          <rPr>
            <b/>
            <sz val="9"/>
            <color indexed="81"/>
            <rFont val="Tahoma"/>
            <family val="2"/>
          </rPr>
          <t>Author:</t>
        </r>
        <r>
          <rPr>
            <sz val="9"/>
            <color indexed="81"/>
            <rFont val="Tahoma"/>
            <family val="2"/>
          </rPr>
          <t xml:space="preserve">
2/1/2024: sell-through trend is unchanged. Channel inventory is lean across all products. We run the company on a sell-through basis and are very careful managing inventories. </t>
        </r>
      </text>
    </comment>
    <comment ref="DK209" authorId="1" shapeId="0" xr:uid="{9A45C47F-B733-41E9-A2AB-D8681CC0A35D}">
      <text>
        <r>
          <rPr>
            <b/>
            <sz val="9"/>
            <color indexed="81"/>
            <rFont val="Tahoma"/>
            <family val="2"/>
          </rPr>
          <t>Author:</t>
        </r>
        <r>
          <rPr>
            <sz val="9"/>
            <color indexed="81"/>
            <rFont val="Tahoma"/>
            <family val="2"/>
          </rPr>
          <t xml:space="preserve">
</t>
        </r>
        <r>
          <rPr>
            <b/>
            <sz val="9"/>
            <color indexed="81"/>
            <rFont val="Tahoma"/>
            <family val="2"/>
          </rPr>
          <t xml:space="preserve">Counterpoint (3/5/2024): </t>
        </r>
        <r>
          <rPr>
            <sz val="9"/>
            <color indexed="81"/>
            <rFont val="Tahoma"/>
            <family val="2"/>
          </rPr>
          <t xml:space="preserve">China Company0242 sell-through -24% yoy (v. China smartphone -7% yoy) through 6-weeks of January reflecting competition with Company1267, aggressive pricing from Company1979, vivo, Company3020. 
https://example.com/
</t>
        </r>
        <r>
          <rPr>
            <b/>
            <sz val="9"/>
            <color indexed="81"/>
            <rFont val="Tahoma"/>
            <family val="2"/>
          </rPr>
          <t xml:space="preserve">Counterpoint (2/24): </t>
        </r>
        <r>
          <rPr>
            <sz val="9"/>
            <color indexed="81"/>
            <rFont val="Tahoma"/>
            <family val="2"/>
          </rPr>
          <t>January US sell-through for Product0489 was -LSD% yoy, but better then the US smartphone market at -10% yoy. February potentially stronger for the market with Company2530 Galaxy S24. 
Product0489 sell-through helped by strong high-end models (strong promotions for iphone 15) , but low-end (Product0489 11 and 12) among pre-paid price conscious customers
https://example.com/</t>
        </r>
      </text>
    </comment>
    <comment ref="DM209" authorId="1" shapeId="0" xr:uid="{2121BF13-5399-4BAE-BA29-7F844E56B612}">
      <text>
        <r>
          <rPr>
            <b/>
            <sz val="9"/>
            <color indexed="81"/>
            <rFont val="Tahoma"/>
            <family val="2"/>
          </rPr>
          <t>Author:</t>
        </r>
        <r>
          <rPr>
            <sz val="9"/>
            <color indexed="81"/>
            <rFont val="Tahoma"/>
            <family val="2"/>
          </rPr>
          <t xml:space="preserve">
Counterpoint (10/15): Company0242 sell-through +1% yoy global with Product0489 16 flat yoy v. Product0489 15
Counterpoint (10/18): Product0489 China sell-through -2% yoy during first 3-weeks since Product0489 16 launch, but Product0489 16 +20% yoy v. iphone 15. Pro and Pro Max +44% yoy combined. </t>
        </r>
      </text>
    </comment>
    <comment ref="DO209" authorId="1" shapeId="0" xr:uid="{590B4DFF-EB91-4F9A-96C8-D21054739899}">
      <text>
        <r>
          <rPr>
            <b/>
            <sz val="9"/>
            <color indexed="81"/>
            <rFont val="Tahoma"/>
            <family val="2"/>
          </rPr>
          <t>Author:</t>
        </r>
        <r>
          <rPr>
            <sz val="9"/>
            <color indexed="81"/>
            <rFont val="Tahoma"/>
            <family val="2"/>
          </rPr>
          <t xml:space="preserve">
</t>
        </r>
        <r>
          <rPr>
            <b/>
            <sz val="9"/>
            <color indexed="81"/>
            <rFont val="Tahoma"/>
            <family val="2"/>
          </rPr>
          <t xml:space="preserve">Counterpoint Janaury data: Company0242 +3% yoy sell-through (lagging market by 200 bps).
</t>
        </r>
        <r>
          <rPr>
            <sz val="9"/>
            <color indexed="81"/>
            <rFont val="Tahoma"/>
            <family val="2"/>
          </rPr>
          <t xml:space="preserve">
Company0242 China sell-through -2% yoy. US selll-through -2.5% (v. market -4.4%). Europe -8% (market +1%). India was very strong (+57%). Other very strong. </t>
        </r>
      </text>
    </comment>
    <comment ref="CX212" authorId="1" shapeId="0" xr:uid="{89D736D7-6B0D-496B-8448-43FC863E42DE}">
      <text>
        <r>
          <rPr>
            <b/>
            <sz val="9"/>
            <color indexed="81"/>
            <rFont val="Tahoma"/>
            <family val="2"/>
          </rPr>
          <t>Author:</t>
        </r>
        <r>
          <rPr>
            <sz val="9"/>
            <color indexed="81"/>
            <rFont val="Tahoma"/>
            <family val="2"/>
          </rPr>
          <t xml:space="preserve">
Upgrades likely helped by 5G cycle, product innovation, stimulus </t>
        </r>
      </text>
    </comment>
    <comment ref="DJ212" authorId="1" shapeId="0" xr:uid="{982E7CC0-9FA1-4198-B8FB-E72BC63EF453}">
      <text>
        <r>
          <rPr>
            <b/>
            <sz val="9"/>
            <color indexed="81"/>
            <rFont val="Tahoma"/>
            <family val="2"/>
          </rPr>
          <t>Author:</t>
        </r>
        <r>
          <rPr>
            <sz val="9"/>
            <color indexed="81"/>
            <rFont val="Tahoma"/>
            <family val="2"/>
          </rPr>
          <t xml:space="preserve">
F1Q24: Record upgraders
- Product0489 15 doing well
- Also switchers down. China sell-through down. More competition. Product0489 China revenue -MSD% yoy including currency reported </t>
        </r>
      </text>
    </comment>
    <comment ref="DN212" authorId="8" shapeId="0" xr:uid="{0A7E8B48-EEB7-4B79-9556-2584A0CB4C05}">
      <text>
        <r>
          <rPr>
            <b/>
            <sz val="9"/>
            <color indexed="81"/>
            <rFont val="Tahoma"/>
            <family val="2"/>
          </rPr>
          <t>Author:</t>
        </r>
        <r>
          <rPr>
            <sz val="9"/>
            <color indexed="81"/>
            <rFont val="Tahoma"/>
            <family val="2"/>
          </rPr>
          <t xml:space="preserve">
F1Q25: all time record for upgraders; the Product0489 16 over the last 2 quarters has outperformed the 15 on a like for like basis; the markets with Company0242 Intelligence outperfomed without</t>
        </r>
      </text>
    </comment>
    <comment ref="DO212" authorId="1" shapeId="0" xr:uid="{D8980F90-A940-4FB6-8761-C3274A638893}">
      <text>
        <r>
          <rPr>
            <b/>
            <sz val="9"/>
            <color indexed="81"/>
            <rFont val="Tahoma"/>
            <family val="2"/>
          </rPr>
          <t>Author:</t>
        </r>
        <r>
          <rPr>
            <sz val="9"/>
            <color indexed="81"/>
            <rFont val="Tahoma"/>
            <family val="2"/>
          </rPr>
          <t xml:space="preserve">
F2Q25: upgraders up double-digits yoy </t>
        </r>
      </text>
    </comment>
    <comment ref="DP212" authorId="1" shapeId="0" xr:uid="{783968F4-9AD2-4224-B878-4F6176BA3314}">
      <text>
        <r>
          <rPr>
            <b/>
            <sz val="9"/>
            <color indexed="81"/>
            <rFont val="Tahoma"/>
            <family val="2"/>
          </rPr>
          <t>Author:</t>
        </r>
        <r>
          <rPr>
            <sz val="9"/>
            <color indexed="81"/>
            <rFont val="Tahoma"/>
            <family val="2"/>
          </rPr>
          <t xml:space="preserve">
F3Q25: June quarter upgraders for Product0489, Product0049, Mac</t>
        </r>
      </text>
    </comment>
    <comment ref="DH213" authorId="1" shapeId="0" xr:uid="{5430605F-5447-4F2F-9AB7-7C5BDEC59E7E}">
      <text>
        <r>
          <rPr>
            <b/>
            <sz val="9"/>
            <color indexed="81"/>
            <rFont val="Tahoma"/>
            <family val="2"/>
          </rPr>
          <t>Author:</t>
        </r>
        <r>
          <rPr>
            <sz val="9"/>
            <color indexed="81"/>
            <rFont val="Tahoma"/>
            <family val="2"/>
          </rPr>
          <t xml:space="preserve">
F3Q23: record switchers in F3Q23 </t>
        </r>
      </text>
    </comment>
    <comment ref="FN213" authorId="1" shapeId="0" xr:uid="{F8A594A0-41F1-4ED7-8639-0292B2FD0B3F}">
      <text>
        <r>
          <rPr>
            <b/>
            <sz val="9"/>
            <color indexed="81"/>
            <rFont val="Tahoma"/>
            <family val="2"/>
          </rPr>
          <t>Author:</t>
        </r>
        <r>
          <rPr>
            <sz val="9"/>
            <color indexed="81"/>
            <rFont val="Tahoma"/>
            <family val="2"/>
          </rPr>
          <t xml:space="preserve">
F4Q23: record year for switchers </t>
        </r>
      </text>
    </comment>
    <comment ref="CY218" authorId="1" shapeId="0" xr:uid="{BCF5662D-BE22-4C38-A1E4-D7F5BF96FA67}">
      <text>
        <r>
          <rPr>
            <b/>
            <sz val="9"/>
            <color indexed="81"/>
            <rFont val="Tahoma"/>
            <family val="2"/>
          </rPr>
          <t>Author:</t>
        </r>
        <r>
          <rPr>
            <sz val="9"/>
            <color indexed="81"/>
            <rFont val="Tahoma"/>
            <family val="2"/>
          </rPr>
          <t xml:space="preserve">
F2Q21: We're clearly seeing strong performance in both the new to Product0489 or the switcher component and upgraders, as I had mentioned before. </t>
        </r>
        <r>
          <rPr>
            <b/>
            <sz val="9"/>
            <color indexed="81"/>
            <rFont val="Tahoma"/>
            <family val="2"/>
          </rPr>
          <t xml:space="preserve">And in fact, the upgrader was the best March quarter that we've ever had. </t>
        </r>
        <r>
          <rPr>
            <sz val="9"/>
            <color indexed="81"/>
            <rFont val="Tahoma"/>
            <family val="2"/>
          </rPr>
          <t>And so that speaks to what you're seeing I think a lot. It's difficult with just this far into the cycle to make a statement about the cycle in general because keep in mind that we just launched midway through the Q1 period, and so we've only been operating for 4.5 months or so. But clearly, we like what we see right now a lot.</t>
        </r>
      </text>
    </comment>
    <comment ref="DG218" authorId="1" shapeId="0" xr:uid="{D36E6343-248A-4E2F-A25D-4E5F06BACBCF}">
      <text>
        <r>
          <rPr>
            <b/>
            <sz val="9"/>
            <color indexed="81"/>
            <rFont val="Tahoma"/>
            <family val="2"/>
          </rPr>
          <t>Author:</t>
        </r>
        <r>
          <rPr>
            <sz val="9"/>
            <color indexed="81"/>
            <rFont val="Tahoma"/>
            <family val="2"/>
          </rPr>
          <t xml:space="preserve">
Does raising out-of-warranty Product0489 battery costs help increase upgrade rates?
Does slowing macroeconomy from China/FX affect upgrade rates? </t>
        </r>
      </text>
    </comment>
    <comment ref="DH218" authorId="1" shapeId="0" xr:uid="{E3FA87EA-FC14-441C-AD42-587700C5D489}">
      <text>
        <r>
          <rPr>
            <b/>
            <sz val="9"/>
            <color indexed="81"/>
            <rFont val="Tahoma"/>
            <family val="2"/>
          </rPr>
          <t>Author:</t>
        </r>
        <r>
          <rPr>
            <sz val="9"/>
            <color indexed="81"/>
            <rFont val="Tahoma"/>
            <family val="2"/>
          </rPr>
          <t xml:space="preserve">
Company2901 said it's pulling back on upgrades/promos, probably moreso than Company2609 and Company0152.
Contracts are extending somewhat as Company0152 pushes for 36-month upgrade plans. </t>
        </r>
      </text>
    </comment>
    <comment ref="DO218" authorId="8" shapeId="0" xr:uid="{31DDDE74-158D-43C3-BCB8-30F83B2C521F}">
      <text>
        <r>
          <rPr>
            <b/>
            <sz val="9"/>
            <color indexed="81"/>
            <rFont val="Tahoma"/>
            <family val="2"/>
          </rPr>
          <t>Author:</t>
        </r>
        <r>
          <rPr>
            <sz val="9"/>
            <color indexed="81"/>
            <rFont val="Tahoma"/>
            <family val="2"/>
          </rPr>
          <t xml:space="preserve">
F3Q25: we saw a june quarter record for upgradres</t>
        </r>
      </text>
    </comment>
    <comment ref="CV219" authorId="1" shapeId="0" xr:uid="{2DFF5E10-FBF2-4CD2-9C6A-D02230575BF5}">
      <text>
        <r>
          <rPr>
            <b/>
            <sz val="9"/>
            <color indexed="81"/>
            <rFont val="Tahoma"/>
            <family val="2"/>
          </rPr>
          <t>Author:</t>
        </r>
        <r>
          <rPr>
            <sz val="9"/>
            <color indexed="81"/>
            <rFont val="Tahoma"/>
            <family val="2"/>
          </rPr>
          <t xml:space="preserve">
F3Q20: The Product0489 SE, it's also clear that from the early data, we're seeing a higher switcher number than we did in the previous year, which we feel very good about, and it also seemed to appeal to some people that were holding on to the device a little longer because they wanted a smaller form factor phone. And so the combination of the smaller form factor and an incredibly affordable price made the Product0489 SE very popular. Product0489 11 is still the most popular smartphone, but Product0489 SE definitely helped our results. And as Person0679 said in his outlook, we do see that continuing into this quarter currently.</t>
        </r>
      </text>
    </comment>
    <comment ref="DE219" authorId="1" shapeId="0" xr:uid="{A8A02B71-7369-4967-A460-E2BD0056D5A4}">
      <text>
        <r>
          <rPr>
            <b/>
            <sz val="9"/>
            <color indexed="81"/>
            <rFont val="Tahoma"/>
            <family val="2"/>
          </rPr>
          <t>Author:</t>
        </r>
        <r>
          <rPr>
            <sz val="9"/>
            <color indexed="81"/>
            <rFont val="Tahoma"/>
            <family val="2"/>
          </rPr>
          <t xml:space="preserve">
12/21/22: dd% of sell-through in the US are still switchers. Lots of people outside of big markets that are not Product0489 users. </t>
        </r>
      </text>
    </comment>
    <comment ref="DG220" authorId="1" shapeId="0" xr:uid="{5206B437-6908-407F-812D-8F1AFD63E9F7}">
      <text>
        <r>
          <rPr>
            <b/>
            <sz val="9"/>
            <color indexed="81"/>
            <rFont val="Tahoma"/>
            <family val="2"/>
          </rPr>
          <t>Author:</t>
        </r>
        <r>
          <rPr>
            <sz val="9"/>
            <color indexed="81"/>
            <rFont val="Tahoma"/>
            <family val="2"/>
          </rPr>
          <t xml:space="preserve">
F2q23: first smartphone v. small </t>
        </r>
      </text>
    </comment>
    <comment ref="DE225" authorId="1" shapeId="0" xr:uid="{F96E1A7D-8A90-4ED7-B07D-96A6DE7F5862}">
      <text>
        <r>
          <rPr>
            <b/>
            <sz val="9"/>
            <color indexed="81"/>
            <rFont val="Tahoma"/>
            <family val="2"/>
          </rPr>
          <t>Author:</t>
        </r>
        <r>
          <rPr>
            <sz val="9"/>
            <color indexed="81"/>
            <rFont val="Tahoma"/>
            <family val="2"/>
          </rPr>
          <t xml:space="preserve">
F4Q22: DD% growth in switchers on Product0489</t>
        </r>
      </text>
    </comment>
    <comment ref="DG227" authorId="1" shapeId="0" xr:uid="{96B7E681-C347-45A0-8FF4-6624FC447D2D}">
      <text>
        <r>
          <rPr>
            <b/>
            <sz val="9"/>
            <color indexed="81"/>
            <rFont val="Tahoma"/>
            <family val="2"/>
          </rPr>
          <t>Author:</t>
        </r>
        <r>
          <rPr>
            <sz val="9"/>
            <color indexed="81"/>
            <rFont val="Tahoma"/>
            <family val="2"/>
          </rPr>
          <t xml:space="preserve">
4/3/2023: Company2793 said February was -3% yoy v. global smartphone industry -14% 
Hearing down LDD% range in sell-through</t>
        </r>
      </text>
    </comment>
    <comment ref="DJ227" authorId="1" shapeId="0" xr:uid="{A686B469-6603-409E-B187-6B471ACEA115}">
      <text>
        <r>
          <rPr>
            <b/>
            <sz val="9"/>
            <color indexed="81"/>
            <rFont val="Tahoma"/>
            <family val="2"/>
          </rPr>
          <t>Author:</t>
        </r>
        <r>
          <rPr>
            <sz val="9"/>
            <color indexed="81"/>
            <rFont val="Tahoma"/>
            <family val="2"/>
          </rPr>
          <t xml:space="preserve">
Year-ago hurt by supply chain constraints offset by extra week</t>
        </r>
      </text>
    </comment>
    <comment ref="DH230" authorId="1" shapeId="0" xr:uid="{8880DDE4-3C94-45EC-9CE5-38C16964A51C}">
      <text>
        <r>
          <rPr>
            <b/>
            <sz val="9"/>
            <color indexed="81"/>
            <rFont val="Tahoma"/>
            <family val="2"/>
          </rPr>
          <t>Author:</t>
        </r>
        <r>
          <rPr>
            <sz val="9"/>
            <color indexed="81"/>
            <rFont val="Tahoma"/>
            <family val="2"/>
          </rPr>
          <t xml:space="preserve">
F3q23: record swithcers</t>
        </r>
      </text>
    </comment>
    <comment ref="A231" authorId="1" shapeId="0" xr:uid="{E1E0A0A3-CC93-40E2-AF5E-E718B30BDE44}">
      <text>
        <r>
          <rPr>
            <b/>
            <sz val="9"/>
            <color indexed="81"/>
            <rFont val="Tahoma"/>
            <family val="2"/>
          </rPr>
          <t>Author:</t>
        </r>
        <r>
          <rPr>
            <sz val="9"/>
            <color indexed="81"/>
            <rFont val="Tahoma"/>
            <family val="2"/>
          </rPr>
          <t xml:space="preserve">
Carriers are very motivated to get people on new devices. iPhones do well. Great products that are quite impactful. Big advances on camera, displays, processors. </t>
        </r>
        <r>
          <rPr>
            <b/>
            <sz val="9"/>
            <color indexed="81"/>
            <rFont val="Tahoma"/>
            <family val="2"/>
          </rPr>
          <t xml:space="preserve">Installed base in iPhones has continued to grow. More active devices for upgrades. Drawing switchers in. </t>
        </r>
        <r>
          <rPr>
            <sz val="9"/>
            <color indexed="81"/>
            <rFont val="Tahoma"/>
            <family val="2"/>
          </rPr>
          <t xml:space="preserve">There's a broader set of phones that's been upgraded. </t>
        </r>
        <r>
          <rPr>
            <b/>
            <sz val="9"/>
            <color indexed="81"/>
            <rFont val="Tahoma"/>
            <family val="2"/>
          </rPr>
          <t xml:space="preserve">We've done a lot around affordability or trade-in. Current Product0489 - residual value of devices is a massive competitive advantage. </t>
        </r>
        <r>
          <rPr>
            <sz val="9"/>
            <color indexed="81"/>
            <rFont val="Tahoma"/>
            <family val="2"/>
          </rPr>
          <t>No brainer. Very powerful. Affordability piece. People are buying up. There's a variety of things that have benefited us. Installed base - very powerful asset. 
 - Person1268 has talked about 5G as a once in a decade migration. Have to look at it country-by-country. For example, China is one of the leaders in 5G penetration. Emerging markets and some in Europe - barely getting off the ground. That shows when carriers when incentivize.
 - Carrier promotions: very US-specific comments. China - lots of sales go through online, Company0242, other retailers (e.g., Company1397) as opposed to the carriers. In the US, obviously, carrier, customer, OEM we want that. We want great consumer offer. Achieve goal that we want. When there's network migration, strong impetus for carrier to get on plans. You have to look at each carrier and what they're solving for: net-adds, churn, ARPU. Look at it through that lens. 
  ○ Who funds carrier promotions? Depends. We don't control it, but if want to amplify. It shows up as contra-revenue for us. We try to make mindful. We may have to do something. When a new product launches. 
Company0385 needs to make some money. Carriers don't. We want to make this helpful. 
Installed base
Installed base (old)
+ switchers
+ 1st smartphone
= primary installed base
+ used purchasers
unit sales = switchers + 1st smartphones + upgrades</t>
        </r>
      </text>
    </comment>
    <comment ref="BQ231" authorId="4" shapeId="0" xr:uid="{9B09CEC7-5CB6-491C-B844-2B683FC1491F}">
      <text>
        <r>
          <rPr>
            <b/>
            <sz val="9"/>
            <color indexed="81"/>
            <rFont val="Tahoma"/>
            <family val="2"/>
          </rPr>
          <t>Author:</t>
        </r>
        <r>
          <rPr>
            <sz val="9"/>
            <color indexed="81"/>
            <rFont val="Tahoma"/>
            <family val="2"/>
          </rPr>
          <t xml:space="preserve">
100mn users downloaded Product0486 6</t>
        </r>
      </text>
    </comment>
    <comment ref="BU231" authorId="4" shapeId="0" xr:uid="{ADBF3B10-D98A-4B48-8F5B-79B5FA92F87C}">
      <text>
        <r>
          <rPr>
            <b/>
            <sz val="9"/>
            <color indexed="81"/>
            <rFont val="Tahoma"/>
            <family val="2"/>
          </rPr>
          <t>Author:</t>
        </r>
        <r>
          <rPr>
            <sz val="9"/>
            <color indexed="81"/>
            <rFont val="Tahoma"/>
            <family val="2"/>
          </rPr>
          <t xml:space="preserve">
200mn users downloaded Product0486 7</t>
        </r>
      </text>
    </comment>
    <comment ref="CE231" authorId="0" shapeId="0" xr:uid="{9FC820FD-DE0B-426D-8465-D5A3DA0B63CB}">
      <text>
        <r>
          <rPr>
            <b/>
            <sz val="9"/>
            <color indexed="81"/>
            <rFont val="Tahoma"/>
            <family val="2"/>
          </rPr>
          <t>Author:</t>
        </r>
        <r>
          <rPr>
            <sz val="9"/>
            <color indexed="81"/>
            <rFont val="Tahoma"/>
            <family val="2"/>
          </rPr>
          <t xml:space="preserve">
FQ2'16 call: "We sold 51.2 million iPhones in the quarter, consistent with the range of our own expectations but lower than the exceptional year-ago quarter when we saw an acceleration in Product0489 upgrades"</t>
        </r>
      </text>
    </comment>
    <comment ref="CF231" authorId="0" shapeId="0" xr:uid="{27F4F0DA-5085-4D20-9674-0CE5CA4313BE}">
      <text>
        <r>
          <rPr>
            <b/>
            <sz val="9"/>
            <color indexed="81"/>
            <rFont val="Tahoma"/>
            <family val="2"/>
          </rPr>
          <t>Author:</t>
        </r>
        <r>
          <rPr>
            <sz val="9"/>
            <color indexed="81"/>
            <rFont val="Tahoma"/>
            <family val="2"/>
          </rPr>
          <t xml:space="preserve">
FQ3'16 call: "Switchers and first-time smartphone buyers represented the lion's share of our Product0489 sales in the quarter"</t>
        </r>
      </text>
    </comment>
    <comment ref="CH231" authorId="5" shapeId="0" xr:uid="{FC4CEDC9-78B3-47D1-87D4-B0AC329D0D1E}">
      <text>
        <r>
          <rPr>
            <b/>
            <sz val="9"/>
            <color indexed="81"/>
            <rFont val="Tahoma"/>
            <family val="2"/>
          </rPr>
          <t>Author:</t>
        </r>
        <r>
          <rPr>
            <sz val="9"/>
            <color indexed="81"/>
            <rFont val="Tahoma"/>
            <family val="2"/>
          </rPr>
          <t xml:space="preserve">
1/31/17: absolute number was the highest in any quarter</t>
        </r>
      </text>
    </comment>
    <comment ref="CI231" authorId="5" shapeId="0" xr:uid="{0F387C83-2AC4-4397-9854-BECDA28CA754}">
      <text>
        <r>
          <rPr>
            <b/>
            <sz val="9"/>
            <color indexed="81"/>
            <rFont val="Tahoma"/>
            <family val="2"/>
          </rPr>
          <t>Author:</t>
        </r>
        <r>
          <rPr>
            <sz val="9"/>
            <color indexed="81"/>
            <rFont val="Tahoma"/>
            <family val="2"/>
          </rPr>
          <t xml:space="preserve">
5/2/17: "the largest absolute number of upgraders ever in any six month period, in 1HFY17"</t>
        </r>
      </text>
    </comment>
    <comment ref="CJ231" authorId="0" shapeId="0" xr:uid="{A2759486-BAEA-4822-A4B2-32DF8ED5FD51}">
      <text>
        <r>
          <rPr>
            <b/>
            <sz val="9"/>
            <color indexed="81"/>
            <rFont val="Tahoma"/>
            <family val="2"/>
          </rPr>
          <t>Author:</t>
        </r>
        <r>
          <rPr>
            <sz val="9"/>
            <color indexed="81"/>
            <rFont val="Tahoma"/>
            <family val="2"/>
          </rPr>
          <t xml:space="preserve">
FQ3'17 call: "From an absolute quantity point of view, the upgrades for this fiscal year are the highest that we've seen. 
If you look at it from an upgrade rate point of view instead of the absolute number, the rate is similar to what we saw with the previous iPhones, except for Product0489 6, which as we called out in the past had an abnormally high upgrade rate"</t>
        </r>
      </text>
    </comment>
    <comment ref="CK231" authorId="0" shapeId="0" xr:uid="{0AB7DC11-0710-47B2-8D1C-2D9794000561}">
      <text>
        <r>
          <rPr>
            <b/>
            <sz val="9"/>
            <color indexed="81"/>
            <rFont val="Tahoma"/>
            <family val="2"/>
          </rPr>
          <t>Author:</t>
        </r>
        <r>
          <rPr>
            <sz val="9"/>
            <color indexed="81"/>
            <rFont val="Tahoma"/>
            <family val="2"/>
          </rPr>
          <t xml:space="preserve">
FQ4'17 call: "In China, both the upgraders and Android switchers were both up on a year over year basis during the quarter"</t>
        </r>
      </text>
    </comment>
    <comment ref="CN231" authorId="0" shapeId="0" xr:uid="{E00F6AAA-464B-4FE1-AC6D-77C2D5D7E48E}">
      <text>
        <r>
          <rPr>
            <b/>
            <sz val="9"/>
            <color indexed="81"/>
            <rFont val="Tahoma"/>
            <family val="2"/>
          </rPr>
          <t>Author:</t>
        </r>
        <r>
          <rPr>
            <sz val="9"/>
            <color indexed="81"/>
            <rFont val="Tahoma"/>
            <family val="2"/>
          </rPr>
          <t xml:space="preserve">
F3Q18 call: "Our active installed base on Product0489 grew double digits over last year during the quarter driven by switchers, first time smartphone
buyers and our existing customers"</t>
        </r>
      </text>
    </comment>
    <comment ref="CO231" authorId="1" shapeId="0" xr:uid="{C05685BE-9DE3-4D03-B98A-04FF2AA8C535}">
      <text>
        <r>
          <rPr>
            <b/>
            <sz val="9"/>
            <color indexed="81"/>
            <rFont val="Tahoma"/>
            <family val="2"/>
          </rPr>
          <t>Author:</t>
        </r>
        <r>
          <rPr>
            <sz val="9"/>
            <color indexed="81"/>
            <rFont val="Tahoma"/>
            <family val="2"/>
          </rPr>
          <t xml:space="preserve">
F4Q18: Product0489 installed base helped by secondary market, which has expanded over the years. </t>
        </r>
      </text>
    </comment>
    <comment ref="CP231" authorId="0" shapeId="0" xr:uid="{BBCA8411-C6A3-4610-B56D-ED8073349AE2}">
      <text>
        <r>
          <rPr>
            <b/>
            <sz val="9"/>
            <color indexed="81"/>
            <rFont val="Tahoma"/>
            <family val="2"/>
          </rPr>
          <t>Author:</t>
        </r>
        <r>
          <rPr>
            <sz val="9"/>
            <color indexed="81"/>
            <rFont val="Tahoma"/>
            <family val="2"/>
          </rPr>
          <t xml:space="preserve">
FQ1'19 call: 
"Global active installed base of iPhones continues to grow and has reached an all-time high at the end of December.
We are disclosing that number now for the first time. And it has surpassed </t>
        </r>
        <r>
          <rPr>
            <b/>
            <sz val="9"/>
            <color indexed="81"/>
            <rFont val="Tahoma"/>
            <family val="2"/>
          </rPr>
          <t xml:space="preserve">900 million </t>
        </r>
        <r>
          <rPr>
            <sz val="9"/>
            <color indexed="81"/>
            <rFont val="Tahoma"/>
            <family val="2"/>
          </rPr>
          <t>devices, up year-over-year in each of our five geographic segments and growing almost 75 million in the last 12 months alone. We plan to provide information on the Product0489 installed base as well as total installed base on a periodic basis."</t>
        </r>
      </text>
    </comment>
    <comment ref="CT231" authorId="0" shapeId="0" xr:uid="{9934D82A-50AA-48B9-B05D-24F358C86339}">
      <text>
        <r>
          <rPr>
            <b/>
            <sz val="9"/>
            <color indexed="81"/>
            <rFont val="Tahoma"/>
            <family val="2"/>
          </rPr>
          <t>Author:</t>
        </r>
        <r>
          <rPr>
            <sz val="9"/>
            <color indexed="81"/>
            <rFont val="Tahoma"/>
            <family val="2"/>
          </rPr>
          <t xml:space="preserve">
No update on Product0489 installed base
FQ1'20 call: "Our active installed base of devices has now surpassed 1.5 billion, up over 100 million in the last 12 months alone, reaching a new all-time high for each of our main product categories and geographic segments"</t>
        </r>
      </text>
    </comment>
    <comment ref="CX231" authorId="0" shapeId="0" xr:uid="{C58CAC76-E5C8-49F6-AB2C-3A7893DD8400}">
      <text>
        <r>
          <rPr>
            <b/>
            <sz val="9"/>
            <color indexed="81"/>
            <rFont val="Tahoma"/>
            <family val="2"/>
          </rPr>
          <t>Author:</t>
        </r>
        <r>
          <rPr>
            <sz val="9"/>
            <color indexed="81"/>
            <rFont val="Tahoma"/>
            <family val="2"/>
          </rPr>
          <t xml:space="preserve">
FQ1'21 call: "our active installed base of iPhones is now over 1 billion"</t>
        </r>
      </text>
    </comment>
    <comment ref="DC231" authorId="1" shapeId="0" xr:uid="{8582B113-C9C1-421D-957B-06E92D0D3A95}">
      <text>
        <r>
          <rPr>
            <b/>
            <sz val="9"/>
            <color indexed="81"/>
            <rFont val="Tahoma"/>
            <family val="2"/>
          </rPr>
          <t>Author:</t>
        </r>
        <r>
          <rPr>
            <sz val="9"/>
            <color indexed="81"/>
            <rFont val="Tahoma"/>
            <family val="2"/>
          </rPr>
          <t xml:space="preserve">
F2Q22: Product0489 installed base, all-time high across all geographies</t>
        </r>
      </text>
    </comment>
    <comment ref="DD231" authorId="1" shapeId="0" xr:uid="{3AB66F0C-FD09-4309-BAE0-90D4AF6CBEF9}">
      <text>
        <r>
          <rPr>
            <b/>
            <sz val="9"/>
            <color indexed="81"/>
            <rFont val="Tahoma"/>
            <family val="2"/>
          </rPr>
          <t>Author:</t>
        </r>
        <r>
          <rPr>
            <sz val="9"/>
            <color indexed="81"/>
            <rFont val="Tahoma"/>
            <family val="2"/>
          </rPr>
          <t xml:space="preserve">
F3Q22: Product0489 active installed base reached an all-time high across all geographies as a result of performance + unmatched customer loyalty</t>
        </r>
      </text>
    </comment>
    <comment ref="DF231" authorId="1" shapeId="0" xr:uid="{75842742-CC48-430F-B8CD-03546B5CC38D}">
      <text>
        <r>
          <rPr>
            <b/>
            <sz val="9"/>
            <color indexed="81"/>
            <rFont val="Tahoma"/>
            <family val="2"/>
          </rPr>
          <t>Author:</t>
        </r>
        <r>
          <rPr>
            <sz val="9"/>
            <color indexed="81"/>
            <rFont val="Tahoma"/>
            <family val="2"/>
          </rPr>
          <t xml:space="preserve">
F1Q23: all-time high across all geos. In EM, installed based grew DD% with record switchers in INDIA and MEXICO</t>
        </r>
      </text>
    </comment>
    <comment ref="DG231" authorId="1" shapeId="0" xr:uid="{516C5D68-3F0A-44A2-AEA4-14A81C962FF8}">
      <text>
        <r>
          <rPr>
            <b/>
            <sz val="9"/>
            <color indexed="81"/>
            <rFont val="Tahoma"/>
            <family val="2"/>
          </rPr>
          <t>Author:</t>
        </r>
        <r>
          <rPr>
            <sz val="9"/>
            <color indexed="81"/>
            <rFont val="Tahoma"/>
            <family val="2"/>
          </rPr>
          <t xml:space="preserve">
F2Q23: all-time record
https://example.com/
</t>
        </r>
        <r>
          <rPr>
            <b/>
            <u/>
            <sz val="9"/>
            <color indexed="81"/>
            <rFont val="Tahoma"/>
            <family val="2"/>
          </rPr>
          <t xml:space="preserve">EU MAUs
</t>
        </r>
        <r>
          <rPr>
            <sz val="9"/>
            <color indexed="81"/>
            <rFont val="Tahoma"/>
            <family val="2"/>
          </rPr>
          <t>Product0486 Product0045: 101 million
Product0488 Product0045: 23 million
Product0491 Product0045: 6 million
tvOS Product0045: 1 million
Product0493 Product0045: under 1 million
Company0242 Books: under 1 million
Podcasts paid subscriptions: under 1 million</t>
        </r>
      </text>
    </comment>
    <comment ref="DH231" authorId="1" shapeId="0" xr:uid="{DBE4B37D-2CEB-47E4-A179-CDB5E5D9CFCE}">
      <text>
        <r>
          <rPr>
            <b/>
            <sz val="9"/>
            <color indexed="81"/>
            <rFont val="Tahoma"/>
            <family val="2"/>
          </rPr>
          <t>Author:</t>
        </r>
        <r>
          <rPr>
            <sz val="9"/>
            <color indexed="81"/>
            <rFont val="Tahoma"/>
            <family val="2"/>
          </rPr>
          <t xml:space="preserve">
Company1832 fool (6/23) thinks there are 250 mn iPhones in the upgrade window (&gt;4 years old) </t>
        </r>
      </text>
    </comment>
    <comment ref="DI231" authorId="1" shapeId="0" xr:uid="{42BB5066-267A-4732-B6DF-6FBD233F3C53}">
      <text>
        <r>
          <rPr>
            <b/>
            <sz val="9"/>
            <color indexed="81"/>
            <rFont val="Tahoma"/>
            <family val="2"/>
          </rPr>
          <t>Author:</t>
        </r>
        <r>
          <rPr>
            <sz val="9"/>
            <color indexed="81"/>
            <rFont val="Tahoma"/>
            <family val="2"/>
          </rPr>
          <t xml:space="preserve">
F4Q23: Product0489 installed base record. F2023 record for switchers</t>
        </r>
      </text>
    </comment>
    <comment ref="DJ231" authorId="1" shapeId="0" xr:uid="{AF838161-3E7E-47A0-B79A-FB7A0D130F4D}">
      <text>
        <r>
          <rPr>
            <b/>
            <sz val="9"/>
            <color indexed="81"/>
            <rFont val="Tahoma"/>
            <family val="2"/>
          </rPr>
          <t>Author:</t>
        </r>
        <r>
          <rPr>
            <sz val="9"/>
            <color indexed="81"/>
            <rFont val="Tahoma"/>
            <family val="2"/>
          </rPr>
          <t xml:space="preserve">
1.153093 bn per Company2441 Company1496 </t>
        </r>
      </text>
    </comment>
    <comment ref="DK231" authorId="1" shapeId="0" xr:uid="{DEE8FA9D-C449-4F9E-9774-BE30061DD7A0}">
      <text>
        <r>
          <rPr>
            <b/>
            <sz val="9"/>
            <color indexed="81"/>
            <rFont val="Tahoma"/>
            <family val="2"/>
          </rPr>
          <t>Author:</t>
        </r>
        <r>
          <rPr>
            <sz val="9"/>
            <color indexed="81"/>
            <rFont val="Tahoma"/>
            <family val="2"/>
          </rPr>
          <t xml:space="preserve">
F2Q24: record high </t>
        </r>
      </text>
    </comment>
    <comment ref="DP231" authorId="1" shapeId="0" xr:uid="{71A60B86-3E97-4AE2-9824-121A42CFEF5C}">
      <text>
        <r>
          <rPr>
            <b/>
            <sz val="9"/>
            <color indexed="81"/>
            <rFont val="Tahoma"/>
            <family val="2"/>
          </rPr>
          <t>Author:</t>
        </r>
        <r>
          <rPr>
            <sz val="9"/>
            <color indexed="81"/>
            <rFont val="Tahoma"/>
            <family val="2"/>
          </rPr>
          <t xml:space="preserve">
F3Q25: record installed base</t>
        </r>
      </text>
    </comment>
    <comment ref="A232" authorId="1" shapeId="0" xr:uid="{6353AEF6-75EB-428A-8F5C-B33A8E4E6505}">
      <text>
        <r>
          <rPr>
            <b/>
            <sz val="9"/>
            <color indexed="81"/>
            <rFont val="Tahoma"/>
            <family val="2"/>
          </rPr>
          <t>Author:</t>
        </r>
        <r>
          <rPr>
            <sz val="9"/>
            <color indexed="81"/>
            <rFont val="Tahoma"/>
            <family val="2"/>
          </rPr>
          <t xml:space="preserve">
12/21: Can grow installed base without growing units. Churn is low. Growing installed base increases potential upgraders.
Even if the replacement cycle gets elongated, that helps with churn. The gap in performance, battery, camera is more apparent for someone that upgrades every couple of years than every sdingle year. 
Devices can double count users but we think it's the most accurate. Some users have multiple Company0242 IDs and vice-versa -- multiple devices tied to only 1 Company0242 ID (families) 
Used phones - Company0242 devices retain value better than competitive products. From a total cost of ownership perspective, Company0242 devices (phones, tablets, computers) are cheaper than Windows/Android. Also, installments are effective at driving upgrades and mix benefits: $20/month for a Max v. $15/month for Product0489 14. 
</t>
        </r>
        <r>
          <rPr>
            <b/>
            <sz val="9"/>
            <color indexed="81"/>
            <rFont val="Tahoma"/>
            <family val="2"/>
          </rPr>
          <t xml:space="preserve">
&gt;1/2 of installed base doesn't pay for services. </t>
        </r>
      </text>
    </comment>
    <comment ref="CN232" authorId="1" shapeId="0" xr:uid="{CF0A7DEE-B495-4B92-AA0E-BF53DA2288A1}">
      <text>
        <r>
          <rPr>
            <b/>
            <sz val="9"/>
            <color indexed="81"/>
            <rFont val="Tahoma"/>
            <family val="2"/>
          </rPr>
          <t>Author:</t>
        </r>
        <r>
          <rPr>
            <sz val="9"/>
            <color indexed="81"/>
            <rFont val="Tahoma"/>
            <family val="2"/>
          </rPr>
          <t xml:space="preserve">
F3Q18: Mac installed base at all-time high, with 60% of purcahses being those who are new to Mac 
Half of Product0487 purchases in the quarter were by custoemrs new to Product0487
Active installed base of Product0487 reached a new all-time high </t>
        </r>
      </text>
    </comment>
    <comment ref="CO232" authorId="1" shapeId="0" xr:uid="{9B353D26-E408-43CB-9BC1-079003CA158B}">
      <text>
        <r>
          <rPr>
            <b/>
            <sz val="9"/>
            <color indexed="81"/>
            <rFont val="Tahoma"/>
            <family val="2"/>
          </rPr>
          <t>Author:</t>
        </r>
        <r>
          <rPr>
            <sz val="9"/>
            <color indexed="81"/>
            <rFont val="Tahoma"/>
            <family val="2"/>
          </rPr>
          <t xml:space="preserve">
F4Q22: 100 mn Mac, +dd% yoy to a new record
Product0487 installed base has grown every quarters ince launch in 2010, reaching all-time high driven by customer loyalty and large number of first-time Product0487 users </t>
        </r>
      </text>
    </comment>
    <comment ref="CP232" authorId="1" shapeId="0" xr:uid="{23CCC81A-08A1-47E8-8872-9A3A7B1D75D3}">
      <text>
        <r>
          <rPr>
            <b/>
            <sz val="9"/>
            <color indexed="81"/>
            <rFont val="Tahoma"/>
            <family val="2"/>
          </rPr>
          <t>Author:</t>
        </r>
        <r>
          <rPr>
            <sz val="9"/>
            <color indexed="81"/>
            <rFont val="Tahoma"/>
            <family val="2"/>
          </rPr>
          <t xml:space="preserve">
F1Q19: &gt;900 mn +/- 75 mn yoy
Total devices 1.4 bn or +100 mn yoy
1/3/2019: Installed base grew 100+ mn TTM</t>
        </r>
      </text>
    </comment>
    <comment ref="CT232" authorId="1" shapeId="0" xr:uid="{B7E5037B-CCB3-40DD-953C-E58D0C6640A0}">
      <text>
        <r>
          <rPr>
            <b/>
            <sz val="9"/>
            <color indexed="81"/>
            <rFont val="Tahoma"/>
            <family val="2"/>
          </rPr>
          <t>Author:</t>
        </r>
        <r>
          <rPr>
            <sz val="9"/>
            <color indexed="81"/>
            <rFont val="Tahoma"/>
            <family val="2"/>
          </rPr>
          <t xml:space="preserve">
F1Q20: &gt;1.5 bn</t>
        </r>
      </text>
    </comment>
    <comment ref="CX232" authorId="1" shapeId="0" xr:uid="{FA56F577-CC30-45AC-83D2-4A9B263C94CD}">
      <text>
        <r>
          <rPr>
            <b/>
            <sz val="9"/>
            <color indexed="81"/>
            <rFont val="Tahoma"/>
            <family val="2"/>
          </rPr>
          <t>Author:</t>
        </r>
        <r>
          <rPr>
            <sz val="9"/>
            <color indexed="81"/>
            <rFont val="Tahoma"/>
            <family val="2"/>
          </rPr>
          <t xml:space="preserve">
F1Q21: passed 1.65 bn</t>
        </r>
      </text>
    </comment>
    <comment ref="DB232" authorId="2" shapeId="0" xr:uid="{A95BC63D-CEDA-4A7A-AF2A-607A8D25A807}">
      <text>
        <r>
          <rPr>
            <b/>
            <sz val="9"/>
            <color indexed="81"/>
            <rFont val="Tahoma"/>
            <family val="2"/>
          </rPr>
          <t>Author:</t>
        </r>
        <r>
          <rPr>
            <sz val="9"/>
            <color indexed="81"/>
            <rFont val="Tahoma"/>
            <family val="2"/>
          </rPr>
          <t xml:space="preserve">
F1Q23: 1.85 bn y-ago
1Q22: Achieves 1.8B+ active installed base</t>
        </r>
      </text>
    </comment>
    <comment ref="DC232" authorId="1" shapeId="0" xr:uid="{341E36E7-9FE7-4C0D-AF8B-10540B9FD6ED}">
      <text>
        <r>
          <rPr>
            <b/>
            <sz val="9"/>
            <color indexed="81"/>
            <rFont val="Tahoma"/>
            <family val="2"/>
          </rPr>
          <t>Author:</t>
        </r>
        <r>
          <rPr>
            <sz val="9"/>
            <color indexed="81"/>
            <rFont val="Tahoma"/>
            <family val="2"/>
          </rPr>
          <t xml:space="preserve">
F2Q22: Product0487 installed base reached record, with &gt;50% of customers being new. Installed base grew to all-time highs across every major category. </t>
        </r>
      </text>
    </comment>
    <comment ref="DD232" authorId="1" shapeId="0" xr:uid="{404C1E07-61B7-43C1-83BC-9A1AF682806E}">
      <text>
        <r>
          <rPr>
            <b/>
            <sz val="9"/>
            <color indexed="81"/>
            <rFont val="Tahoma"/>
            <family val="2"/>
          </rPr>
          <t>Author:</t>
        </r>
        <r>
          <rPr>
            <sz val="9"/>
            <color indexed="81"/>
            <rFont val="Tahoma"/>
            <family val="2"/>
          </rPr>
          <t xml:space="preserve">
F3Q22: Mac - all-time half with ~half customers purchasing Mac being new to product.
Product0487 installed base reached all-time high
Watch: 2/3 of purchases were new
Installed base of devices reached all-time high. </t>
        </r>
      </text>
    </comment>
    <comment ref="DE232" authorId="1" shapeId="0" xr:uid="{168281E2-F59B-41EB-9331-FEF9FFF20728}">
      <text>
        <r>
          <rPr>
            <b/>
            <sz val="9"/>
            <color indexed="81"/>
            <rFont val="Tahoma"/>
            <family val="2"/>
          </rPr>
          <t>Author:</t>
        </r>
        <r>
          <rPr>
            <sz val="9"/>
            <color indexed="81"/>
            <rFont val="Tahoma"/>
            <family val="2"/>
          </rPr>
          <t xml:space="preserve">
F4Q22: record active devices with quarterly record of upgrades and DD% growth in switchers on iPhones
Product0487 installed base reached all-time high
12/21/22: &gt;1/2 of installed base doesn't pay for services</t>
        </r>
      </text>
    </comment>
    <comment ref="DF232" authorId="1" shapeId="0" xr:uid="{D6C82E23-B051-46B9-9522-FB9CC26545FB}">
      <text>
        <r>
          <rPr>
            <b/>
            <sz val="9"/>
            <color indexed="81"/>
            <rFont val="Tahoma"/>
            <family val="2"/>
          </rPr>
          <t>Author:</t>
        </r>
        <r>
          <rPr>
            <sz val="9"/>
            <color indexed="81"/>
            <rFont val="Tahoma"/>
            <family val="2"/>
          </rPr>
          <t xml:space="preserve">
F1Q23: More than 2.0 bn active dveices
DD% increases in emerging markets: Brazil, Mexico, India, Indonesia,Thailand, Vietnam
MAC installed base all-time high with strong upgrade activity to Company0242 silicon. 96% satisfaction rate
Product0487 installed base all-time high. </t>
        </r>
        <r>
          <rPr>
            <b/>
            <sz val="9"/>
            <color indexed="81"/>
            <rFont val="Tahoma"/>
            <family val="2"/>
          </rPr>
          <t xml:space="preserve">50% of Product0487 purchases were new to the product. </t>
        </r>
        <r>
          <rPr>
            <sz val="9"/>
            <color indexed="81"/>
            <rFont val="Tahoma"/>
            <family val="2"/>
          </rPr>
          <t xml:space="preserve">
Watch installed base hit a record. </t>
        </r>
        <r>
          <rPr>
            <b/>
            <sz val="9"/>
            <color indexed="81"/>
            <rFont val="Tahoma"/>
            <family val="2"/>
          </rPr>
          <t xml:space="preserve">2/3 of Product0049 customers buying installed base were new to the product. </t>
        </r>
      </text>
    </comment>
    <comment ref="DG232" authorId="1" shapeId="0" xr:uid="{D3CC447E-EE9C-47AB-A462-8E2905435B2B}">
      <text>
        <r>
          <rPr>
            <b/>
            <sz val="9"/>
            <color indexed="81"/>
            <rFont val="Tahoma"/>
            <family val="2"/>
          </rPr>
          <t>Author:</t>
        </r>
        <r>
          <rPr>
            <sz val="9"/>
            <color indexed="81"/>
            <rFont val="Tahoma"/>
            <family val="2"/>
          </rPr>
          <t xml:space="preserve">
F2Q23: over 2 bn record</t>
        </r>
      </text>
    </comment>
    <comment ref="DH232" authorId="1" shapeId="0" xr:uid="{F6C540D4-F3D3-4A07-928F-2A5711814E2B}">
      <text>
        <r>
          <rPr>
            <b/>
            <sz val="9"/>
            <color indexed="81"/>
            <rFont val="Tahoma"/>
            <family val="2"/>
          </rPr>
          <t>Author:</t>
        </r>
        <r>
          <rPr>
            <sz val="9"/>
            <color indexed="81"/>
            <rFont val="Tahoma"/>
            <family val="2"/>
          </rPr>
          <t xml:space="preserve">
F3Q23: all-time records in installed base. &gt;2 bn </t>
        </r>
      </text>
    </comment>
    <comment ref="DJ232" authorId="1" shapeId="0" xr:uid="{D197D0B5-3604-4DD0-B389-C7C870373E17}">
      <text>
        <r>
          <rPr>
            <b/>
            <sz val="9"/>
            <color indexed="81"/>
            <rFont val="Tahoma"/>
            <family val="2"/>
          </rPr>
          <t>Author:</t>
        </r>
        <r>
          <rPr>
            <sz val="9"/>
            <color indexed="81"/>
            <rFont val="Tahoma"/>
            <family val="2"/>
          </rPr>
          <t xml:space="preserve">
F1Q24: 2.2 bn </t>
        </r>
      </text>
    </comment>
    <comment ref="DL232" authorId="1" shapeId="0" xr:uid="{3DFEA7BD-67A3-4A62-AA9C-1521CE490EF4}">
      <text>
        <r>
          <rPr>
            <b/>
            <sz val="9"/>
            <color indexed="81"/>
            <rFont val="Tahoma"/>
            <family val="2"/>
          </rPr>
          <t>Author:</t>
        </r>
        <r>
          <rPr>
            <sz val="9"/>
            <color indexed="81"/>
            <rFont val="Tahoma"/>
            <family val="2"/>
          </rPr>
          <t xml:space="preserve">
F3Q24: installed base records for all devices and all geographies </t>
        </r>
      </text>
    </comment>
    <comment ref="DM232" authorId="1" shapeId="0" xr:uid="{83515B56-3728-4129-90EE-E71BDECDA1EF}">
      <text>
        <r>
          <rPr>
            <b/>
            <sz val="9"/>
            <color indexed="81"/>
            <rFont val="Tahoma"/>
            <family val="2"/>
          </rPr>
          <t>Author:</t>
        </r>
        <r>
          <rPr>
            <sz val="9"/>
            <color indexed="81"/>
            <rFont val="Tahoma"/>
            <family val="2"/>
          </rPr>
          <t xml:space="preserve">
F4Q24: record for all products and geographies</t>
        </r>
      </text>
    </comment>
    <comment ref="DN232" authorId="8" shapeId="0" xr:uid="{3CBE2AAD-C1D5-4D93-968E-50907A42E409}">
      <text>
        <r>
          <rPr>
            <b/>
            <sz val="9"/>
            <color indexed="81"/>
            <rFont val="Tahoma"/>
            <family val="2"/>
          </rPr>
          <t>Author:</t>
        </r>
        <r>
          <rPr>
            <sz val="9"/>
            <color indexed="81"/>
            <rFont val="Tahoma"/>
            <family val="2"/>
          </rPr>
          <t xml:space="preserve">
F1Q25: New all time record at 2.35 bn installed base</t>
        </r>
      </text>
    </comment>
    <comment ref="FF232" authorId="1" shapeId="0" xr:uid="{2EC61D7A-E9F1-4E4F-95CE-7378DD706AD1}">
      <text>
        <r>
          <rPr>
            <b/>
            <sz val="9"/>
            <color indexed="81"/>
            <rFont val="Tahoma"/>
            <family val="2"/>
          </rPr>
          <t>Author:</t>
        </r>
        <r>
          <rPr>
            <sz val="9"/>
            <color indexed="81"/>
            <rFont val="Tahoma"/>
            <family val="2"/>
          </rPr>
          <t xml:space="preserve">
F1Q23: 2.0+ bn in F1Q23 is double what it was 7 years ago</t>
        </r>
      </text>
    </comment>
    <comment ref="DF237" authorId="1" shapeId="0" xr:uid="{2948825C-C564-4401-AEAB-402C726D28E3}">
      <text>
        <r>
          <rPr>
            <b/>
            <sz val="9"/>
            <color indexed="81"/>
            <rFont val="Tahoma"/>
            <family val="2"/>
          </rPr>
          <t>Author:</t>
        </r>
        <r>
          <rPr>
            <sz val="9"/>
            <color indexed="81"/>
            <rFont val="Tahoma"/>
            <family val="2"/>
          </rPr>
          <t xml:space="preserve">
F1Q23: DD% </t>
        </r>
      </text>
    </comment>
    <comment ref="CN241" authorId="1" shapeId="0" xr:uid="{631E02C8-67AE-4393-8EFD-4B347998A1B8}">
      <text>
        <r>
          <rPr>
            <b/>
            <sz val="9"/>
            <color indexed="81"/>
            <rFont val="Tahoma"/>
            <family val="2"/>
          </rPr>
          <t>Author:</t>
        </r>
        <r>
          <rPr>
            <sz val="9"/>
            <color indexed="81"/>
            <rFont val="Tahoma"/>
            <family val="2"/>
          </rPr>
          <t xml:space="preserve">
F3Q18: In terms of replacement cycles, as I'd mentioned I think on a previous call, some replacement cycles are lengthening. I think that the major catalyst for that was probably the subsidy plans becoming a much smaller percentage of total sales around the world than they were at one time and so I think that some are lengthening.</t>
        </r>
      </text>
    </comment>
    <comment ref="CP241" authorId="1" shapeId="0" xr:uid="{947ACC36-3044-4490-8E1A-CEF16D57AB1F}">
      <text>
        <r>
          <rPr>
            <b/>
            <sz val="9"/>
            <color indexed="81"/>
            <rFont val="Tahoma"/>
            <family val="2"/>
          </rPr>
          <t>Author:</t>
        </r>
        <r>
          <rPr>
            <sz val="9"/>
            <color indexed="81"/>
            <rFont val="Tahoma"/>
            <family val="2"/>
          </rPr>
          <t xml:space="preserve">
F1Q19: The upgrade cycle has extended. There's no doubt about that. We've said several times I think on this call and before that the upgrades for the quarter were less than we anticipated due to all the reasons that we had mentioned. 
Returning to Product0489, I'd like to talk about our results in the context of those lower than expected upgrades. Product0489 XR, Product0489 XS, and Product0489 XS Max are by far the best iPhones we've ever shipped. They share advanced technologies, including the A12 Bionic, the most powerful chip ever in a smartphone with our next-generation neural engine capable of 5 trillion operations per second. These are also completely modern iPhones with stunning, large full-screen displays and Face ID, the most secure authentication of any kind available in a smartphone. And the cameras are simply amazing, with portrait mode and depth control to allow users to create studio-quality photos as well as stunning 4K video, opening a whole new era of photography. We couldn't be more proud of our Product0489 lineup and our industry-leading customer satisfaction. We wouldn't change our position for anyone's.
Now, our customers are holding on to their older iPhones a bit longer than in the past. When you pair this with the macroeconomic factors, particularly in emerging markets, it resulted in Product0489 revenue that was down 15% from last year. Our Product0489 results accounted for significantly more than our entire year-over-year revenue decline. In fact, outside of Product0489, our business grew strongly, by 19%.
So what's behind this? It's important to understand what's going on from the customer perspective at the point of purchase. We believe it is the sum of several factors, first, foreign exchange. The relative strength of the U.S. dollar has made our products more expensive in many parts of the world. In Turkey, for example, the lira depreciated by 33% over the course of calendar 2018. And in the December quarter, our revenue there was down by almost $700 million from the previous year.
Second, subsidies, for various reasons, Product0489 subsidies are becoming increasingly less common. In Japan, for example, Product0489 purchases were traditionally subsidized by carriers and bundled with service contracts. Competitive promotional activity frequently increased the amount of subsidy during key periods. Today, local regulations have significantly restricted those subsidies as well as related competition. As a result, we estimate that less than half of iPhones sold in Japan in Q1 of this year were subsidized compared to about three-quarters a year ago and that the total value of those subsidies have come down as well.
Third, our battery replacement program, for millions of customers, we made it inexpensive and efficient to replace the battery and hold on to their existing iPhones a bit longer. Some people have suggested that we shouldn't have done this because of the potential impact on upgrades, but we strongly believe it was the right thing to do for our customers.</t>
        </r>
      </text>
    </comment>
    <comment ref="CU241" authorId="1" shapeId="0" xr:uid="{914FD709-C0C0-4A73-BF0B-AF157AC7F2E0}">
      <text>
        <r>
          <rPr>
            <b/>
            <sz val="9"/>
            <color indexed="81"/>
            <rFont val="Tahoma"/>
            <family val="2"/>
          </rPr>
          <t>Author:</t>
        </r>
        <r>
          <rPr>
            <sz val="9"/>
            <color indexed="81"/>
            <rFont val="Tahoma"/>
            <family val="2"/>
          </rPr>
          <t xml:space="preserve">
F2Q20: While we did see a slight elongation in our replacement cycle towards the end of the quarter, which we attribute to the widespread point-of-sale closures, our active installed base of iPhones has reached an all-time high. This speaks to the quality of our products and strength of our ecosystem. In fact, in the U.S., the latest survey of consumers from 451 Research indicates Product0489 customer satisfaction of 99% for Product0489 11, 11 Pro, and 11 Pro Max combined.</t>
        </r>
      </text>
    </comment>
    <comment ref="CY241" authorId="1" shapeId="0" xr:uid="{F00B450C-D669-4232-8AFE-66D7B0830520}">
      <text>
        <r>
          <rPr>
            <b/>
            <sz val="9"/>
            <color indexed="81"/>
            <rFont val="Tahoma"/>
            <family val="2"/>
          </rPr>
          <t>Author:</t>
        </r>
        <r>
          <rPr>
            <sz val="9"/>
            <color indexed="81"/>
            <rFont val="Tahoma"/>
            <family val="2"/>
          </rPr>
          <t xml:space="preserve">
Probably helped by consumer stimulus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Person0949, Person0123 </author>
    <author>Person1255, Person1250 </author>
    <author>Person0630, Person0124 </author>
    <author>Author8</author>
    <author>Person0200, Person0592 </author>
    <author>Person0781, Person1217 </author>
    <author>Person0609, Person0094 </author>
    <author>Author10</author>
    <author>Person1258, Person0065 </author>
    <author>Author11</author>
    <author>Person0411, Person1205 </author>
    <author>Author14</author>
    <author>Author15</author>
    <author>Author16</author>
    <author>Person0907, Person0082 </author>
  </authors>
  <commentList>
    <comment ref="DF6" authorId="0" shapeId="0" xr:uid="{4510E996-D54E-43C7-9A31-A68F629E8EE7}">
      <text>
        <r>
          <rPr>
            <b/>
            <sz val="9"/>
            <color indexed="81"/>
            <rFont val="Tahoma"/>
            <family val="2"/>
          </rPr>
          <t>Author:</t>
        </r>
        <r>
          <rPr>
            <sz val="9"/>
            <color indexed="81"/>
            <rFont val="Tahoma"/>
            <family val="2"/>
          </rPr>
          <t xml:space="preserve">
"The Company’s fiscal year is the 52- or 53-week period that ends on the last Saturday of September. An additional week is included in the first fiscal quarter every five or six years to realign the Company’s fiscal quarters with calendar quarters.</t>
        </r>
      </text>
    </comment>
    <comment ref="BK8" authorId="0" shapeId="0" xr:uid="{B82BF42F-D375-49C3-B004-7E5E6548C2D1}">
      <text>
        <r>
          <rPr>
            <b/>
            <sz val="9"/>
            <color indexed="81"/>
            <rFont val="Tahoma"/>
            <family val="2"/>
          </rPr>
          <t>Author:</t>
        </r>
        <r>
          <rPr>
            <sz val="9"/>
            <color indexed="81"/>
            <rFont val="Tahoma"/>
            <family val="2"/>
          </rPr>
          <t xml:space="preserve">
Company0244 reported re-stated segment numbers starting this quarter. Prior quarters segment numbers estimated
"Under this new format revenue from Product0489, Product0487, Mac and Product0490 sales is presented exclusive of related service and accessory revenue. All revenue from iTunes, stand-alone Company0242 and third party software and services is presented as a single line item and revenue from all Company0242 and third party accessory sales is presented as a single line item."</t>
        </r>
      </text>
    </comment>
    <comment ref="CW9" authorId="1" shapeId="0" xr:uid="{B7579FA9-820D-4162-8D2B-D654DA855D79}">
      <text>
        <r>
          <rPr>
            <b/>
            <sz val="9"/>
            <color indexed="81"/>
            <rFont val="Tahoma"/>
            <family val="2"/>
          </rPr>
          <t>Author:</t>
        </r>
        <r>
          <rPr>
            <sz val="9"/>
            <color indexed="81"/>
            <rFont val="Tahoma"/>
            <family val="2"/>
          </rPr>
          <t xml:space="preserve">
Launch Company0242 One: Music, TV+, Arcade, News+, Fitness+, Product0484
$15/month individual: Music, TV+, Arcade, 50GB (save $6 or 29%)
$20/month family (6 family members): 200GB (save $8 or 29%)
$30/month premiere (6 family membmers): Fitness+, News+, 2TB (save $25 or 45%)
Launch in Australia, Canda, UK, US</t>
        </r>
      </text>
    </comment>
    <comment ref="FE9" authorId="1" shapeId="0" xr:uid="{E825F935-23AD-4499-AB9B-5133FD3202E5}">
      <text>
        <r>
          <rPr>
            <b/>
            <sz val="9"/>
            <color indexed="81"/>
            <rFont val="Tahoma"/>
            <family val="2"/>
          </rPr>
          <t>Author:</t>
        </r>
        <r>
          <rPr>
            <sz val="9"/>
            <color indexed="81"/>
            <rFont val="Tahoma"/>
            <family val="2"/>
          </rPr>
          <t xml:space="preserve">
&lt;--Accounting change in FQ1'19. Segment level #s below are estimates until FQ4'17, Company0242 restated FY18 and beyond numbers, do not compare to FY12 and prior numbers</t>
        </r>
      </text>
    </comment>
    <comment ref="BR11" authorId="2" shapeId="0" xr:uid="{9350F267-40C8-4135-ABCB-4900EFB6067C}">
      <text>
        <r>
          <rPr>
            <b/>
            <sz val="9"/>
            <color indexed="81"/>
            <rFont val="Tahoma"/>
            <family val="2"/>
          </rPr>
          <t>Author:</t>
        </r>
        <r>
          <rPr>
            <sz val="9"/>
            <color indexed="81"/>
            <rFont val="Tahoma"/>
            <family val="2"/>
          </rPr>
          <t xml:space="preserve">
1/23/13: over 2bn downloads in Dec alone; 
775k apps; 
cumulative app downloads over 40bn; 
paid over $7bn to developers</t>
        </r>
      </text>
    </comment>
    <comment ref="BS11" authorId="2" shapeId="0" xr:uid="{A5EA382D-05E0-4561-AFE4-070226218A93}">
      <text>
        <r>
          <rPr>
            <b/>
            <sz val="9"/>
            <color indexed="81"/>
            <rFont val="Tahoma"/>
            <family val="2"/>
          </rPr>
          <t>Author:</t>
        </r>
        <r>
          <rPr>
            <sz val="9"/>
            <color indexed="81"/>
            <rFont val="Tahoma"/>
            <family val="2"/>
          </rPr>
          <t xml:space="preserve">
4/23/13: 850k apps; 
45bn downloads;
$9bn paid to developers, including $4.5bn in the past 4 qtrs</t>
        </r>
      </text>
    </comment>
    <comment ref="BT11" authorId="2" shapeId="0" xr:uid="{F22CFB00-A56F-4501-8FC7-D6120034D786}">
      <text>
        <r>
          <rPr>
            <b/>
            <sz val="9"/>
            <color indexed="81"/>
            <rFont val="Tahoma"/>
            <family val="2"/>
          </rPr>
          <t>Author:</t>
        </r>
        <r>
          <rPr>
            <sz val="9"/>
            <color indexed="81"/>
            <rFont val="Tahoma"/>
            <family val="2"/>
          </rPr>
          <t xml:space="preserve">
7/23/13: 850k apps; 
50bn downloads;
$11bn paid to developers, including half in the past 4 qtrs</t>
        </r>
      </text>
    </comment>
    <comment ref="BU11" authorId="2" shapeId="0" xr:uid="{CB9AE5CE-5093-4A03-87BC-10BEDE59EE4D}">
      <text>
        <r>
          <rPr>
            <b/>
            <sz val="9"/>
            <color indexed="81"/>
            <rFont val="Tahoma"/>
            <family val="2"/>
          </rPr>
          <t>Author:</t>
        </r>
        <r>
          <rPr>
            <sz val="9"/>
            <color indexed="81"/>
            <rFont val="Tahoma"/>
            <family val="2"/>
          </rPr>
          <t xml:space="preserve">
10/28/13: 
60bn downloads;
$13bn paid to developers, including half in the past 4 qtrs</t>
        </r>
      </text>
    </comment>
    <comment ref="BV11" authorId="2" shapeId="0" xr:uid="{25AE1AD7-17A6-4805-B016-A786109D9A6B}">
      <text>
        <r>
          <rPr>
            <b/>
            <sz val="9"/>
            <color indexed="81"/>
            <rFont val="Tahoma"/>
            <family val="2"/>
          </rPr>
          <t>Author:</t>
        </r>
        <r>
          <rPr>
            <sz val="9"/>
            <color indexed="81"/>
            <rFont val="Tahoma"/>
            <family val="2"/>
          </rPr>
          <t xml:space="preserve">
1/27/14: 1mn apps;
65bn downloads;
$15bn paid to developers, including half in the past 4 qtrs</t>
        </r>
      </text>
    </comment>
    <comment ref="BW11" authorId="2" shapeId="0" xr:uid="{895AFB0A-C9A0-4261-AC09-3DB920B86CE0}">
      <text>
        <r>
          <rPr>
            <b/>
            <sz val="9"/>
            <color indexed="81"/>
            <rFont val="Tahoma"/>
            <family val="2"/>
          </rPr>
          <t>Author:</t>
        </r>
        <r>
          <rPr>
            <sz val="9"/>
            <color indexed="81"/>
            <rFont val="Tahoma"/>
            <family val="2"/>
          </rPr>
          <t xml:space="preserve">
4/23/14: 70bn downloads;
</t>
        </r>
      </text>
    </comment>
    <comment ref="BX11" authorId="2" shapeId="0" xr:uid="{E7B9FDEA-ADDD-4E05-89BF-0B24CBA408EF}">
      <text>
        <r>
          <rPr>
            <b/>
            <sz val="9"/>
            <color indexed="81"/>
            <rFont val="Tahoma"/>
            <family val="2"/>
          </rPr>
          <t>Author:</t>
        </r>
        <r>
          <rPr>
            <sz val="9"/>
            <color indexed="81"/>
            <rFont val="Tahoma"/>
            <family val="2"/>
          </rPr>
          <t xml:space="preserve">
7/22/14: 1.2mn apps; 300mn visits to app store every week; 75bn downloads;
over $20bn for developers, with nearly half in the last 12 months</t>
        </r>
      </text>
    </comment>
    <comment ref="BY11" authorId="2" shapeId="0" xr:uid="{DD0B2B23-95C9-4EB8-816A-28D7A308BCA8}">
      <text>
        <r>
          <rPr>
            <b/>
            <sz val="9"/>
            <color indexed="81"/>
            <rFont val="Tahoma"/>
            <family val="2"/>
          </rPr>
          <t>Author:</t>
        </r>
        <r>
          <rPr>
            <sz val="9"/>
            <color indexed="81"/>
            <rFont val="Tahoma"/>
            <family val="2"/>
          </rPr>
          <t xml:space="preserve">
10/20/14: app downloads crossed 85bn; App store revenues grew 36% yoy</t>
        </r>
      </text>
    </comment>
    <comment ref="BZ11" authorId="2" shapeId="0" xr:uid="{E4711143-4866-4604-848F-AE3FCD018FBA}">
      <text>
        <r>
          <rPr>
            <b/>
            <sz val="9"/>
            <color indexed="81"/>
            <rFont val="Tahoma"/>
            <family val="2"/>
          </rPr>
          <t>Author:</t>
        </r>
        <r>
          <rPr>
            <sz val="9"/>
            <color indexed="81"/>
            <rFont val="Tahoma"/>
            <family val="2"/>
          </rPr>
          <t xml:space="preserve">
1/27/15: over $25bn paid to developers; hardcoded to drive 29% growth for FY15</t>
        </r>
      </text>
    </comment>
    <comment ref="CA11" authorId="2" shapeId="0" xr:uid="{17759754-8F6E-4474-B040-948813A17A01}">
      <text>
        <r>
          <rPr>
            <b/>
            <sz val="9"/>
            <color indexed="81"/>
            <rFont val="Tahoma"/>
            <family val="2"/>
          </rPr>
          <t>Author:</t>
        </r>
        <r>
          <rPr>
            <sz val="9"/>
            <color indexed="81"/>
            <rFont val="Tahoma"/>
            <family val="2"/>
          </rPr>
          <t xml:space="preserve">
4/27/15: revenue up 29% yoy</t>
        </r>
      </text>
    </comment>
    <comment ref="CB11" authorId="2" shapeId="0" xr:uid="{0624CF3D-CE5F-4513-8534-83397AAE4C69}">
      <text>
        <r>
          <rPr>
            <b/>
            <sz val="9"/>
            <color indexed="81"/>
            <rFont val="Tahoma"/>
            <family val="2"/>
          </rPr>
          <t>Author:</t>
        </r>
        <r>
          <rPr>
            <sz val="9"/>
            <color indexed="81"/>
            <rFont val="Tahoma"/>
            <family val="2"/>
          </rPr>
          <t xml:space="preserve">
6/8/15: 1.5mn apps; 100bn apps downloaded; paid out $30bn to developers; avg person has 119 apps; Product0045 revenue grew 25% yoy</t>
        </r>
      </text>
    </comment>
    <comment ref="CC11" authorId="2" shapeId="0" xr:uid="{1879C6F4-A832-4EFA-8BAB-3DB85628989A}">
      <text>
        <r>
          <rPr>
            <b/>
            <sz val="9"/>
            <color indexed="81"/>
            <rFont val="Tahoma"/>
            <family val="2"/>
          </rPr>
          <t>Author:</t>
        </r>
        <r>
          <rPr>
            <sz val="9"/>
            <color indexed="81"/>
            <rFont val="Tahoma"/>
            <family val="2"/>
          </rPr>
          <t xml:space="preserve">
10/27/15: Product0045 set quarterly record revenue and transacting customers; revenues increased 25% yoy</t>
        </r>
      </text>
    </comment>
    <comment ref="CD11" authorId="2" shapeId="0" xr:uid="{33620F7A-1A06-40EC-882A-04CCECC88B68}">
      <text>
        <r>
          <rPr>
            <b/>
            <sz val="9"/>
            <color indexed="81"/>
            <rFont val="Tahoma"/>
            <family val="2"/>
          </rPr>
          <t>Author:</t>
        </r>
        <r>
          <rPr>
            <sz val="9"/>
            <color indexed="81"/>
            <rFont val="Tahoma"/>
            <family val="2"/>
          </rPr>
          <t xml:space="preserve">
1/26/16: Product0045 revenue grew 27% yoy</t>
        </r>
      </text>
    </comment>
    <comment ref="CE11" authorId="2" shapeId="0" xr:uid="{5105E128-8801-44CD-B290-98F7E14D0876}">
      <text>
        <r>
          <rPr>
            <b/>
            <sz val="9"/>
            <color indexed="81"/>
            <rFont val="Tahoma"/>
            <family val="2"/>
          </rPr>
          <t>Author:</t>
        </r>
        <r>
          <rPr>
            <sz val="9"/>
            <color indexed="81"/>
            <rFont val="Tahoma"/>
            <family val="2"/>
          </rPr>
          <t xml:space="preserve">
4/26/16: Product0045 revenue up 35% yoy to beat last quarter's all time record</t>
        </r>
      </text>
    </comment>
    <comment ref="CF11" authorId="2" shapeId="0" xr:uid="{72E8C1B4-BE02-411D-B4DC-89BCBED28E7A}">
      <text>
        <r>
          <rPr>
            <b/>
            <sz val="9"/>
            <color indexed="81"/>
            <rFont val="Tahoma"/>
            <family val="2"/>
          </rPr>
          <t>Author:</t>
        </r>
        <r>
          <rPr>
            <sz val="9"/>
            <color indexed="81"/>
            <rFont val="Tahoma"/>
            <family val="2"/>
          </rPr>
          <t xml:space="preserve">
7/26/16: over 2mn apps on the Product0045
6/13/2016: downloaded 130bn times; about to pass $50bn paid to developers; Product0045 revenue growth has accelerated for four consecutive quarters, reaching 37% in Q3.</t>
        </r>
      </text>
    </comment>
    <comment ref="CG11" authorId="3" shapeId="0" xr:uid="{63002471-761D-4EBE-9199-20CDE54E02F1}">
      <text>
        <r>
          <rPr>
            <b/>
            <sz val="9"/>
            <color indexed="81"/>
            <rFont val="Tahoma"/>
            <family val="2"/>
          </rPr>
          <t>Author:</t>
        </r>
        <r>
          <rPr>
            <sz val="9"/>
            <color indexed="81"/>
            <rFont val="Tahoma"/>
            <family val="2"/>
          </rPr>
          <t xml:space="preserve">
10/25/16: App store +43% yoy</t>
        </r>
      </text>
    </comment>
    <comment ref="CH11" authorId="2" shapeId="0" xr:uid="{7D465D5F-F304-428C-9342-35E90EE6D2E7}">
      <text>
        <r>
          <rPr>
            <b/>
            <sz val="9"/>
            <color indexed="81"/>
            <rFont val="Tahoma"/>
            <family val="2"/>
          </rPr>
          <t>Author:</t>
        </r>
        <r>
          <rPr>
            <sz val="9"/>
            <color indexed="81"/>
            <rFont val="Tahoma"/>
            <family val="2"/>
          </rPr>
          <t xml:space="preserve">
1/31/17: Product0045 revenues up 43% yoy for the first 13 weeks</t>
        </r>
      </text>
    </comment>
    <comment ref="CI11" authorId="2" shapeId="0" xr:uid="{D27C6366-C6E6-4C76-8918-E03704F302CD}">
      <text>
        <r>
          <rPr>
            <b/>
            <sz val="9"/>
            <color indexed="81"/>
            <rFont val="Tahoma"/>
            <family val="2"/>
          </rPr>
          <t>Author:</t>
        </r>
        <r>
          <rPr>
            <sz val="9"/>
            <color indexed="81"/>
            <rFont val="Tahoma"/>
            <family val="2"/>
          </rPr>
          <t xml:space="preserve">
5/2/17: revenue grew 40% yoy</t>
        </r>
      </text>
    </comment>
    <comment ref="DF11" authorId="1" shapeId="0" xr:uid="{7B82D014-9682-4D48-9A03-B56EC91C4663}">
      <text>
        <r>
          <rPr>
            <b/>
            <sz val="9"/>
            <color indexed="81"/>
            <rFont val="Tahoma"/>
            <family val="2"/>
          </rPr>
          <t>Author:</t>
        </r>
        <r>
          <rPr>
            <sz val="9"/>
            <color indexed="81"/>
            <rFont val="Tahoma"/>
            <family val="2"/>
          </rPr>
          <t xml:space="preserve">
F1Q23: December qtr records for Product0045 and Company0242 Care</t>
        </r>
      </text>
    </comment>
    <comment ref="DG11" authorId="1" shapeId="0" xr:uid="{16440BF4-D703-4379-ADA3-E4A409AADE88}">
      <text>
        <r>
          <rPr>
            <b/>
            <sz val="9"/>
            <color indexed="81"/>
            <rFont val="Tahoma"/>
            <family val="2"/>
          </rPr>
          <t>Author:</t>
        </r>
        <r>
          <rPr>
            <sz val="9"/>
            <color indexed="81"/>
            <rFont val="Tahoma"/>
            <family val="2"/>
          </rPr>
          <t xml:space="preserve">
F2Q23: all-time revenue record in Product0045, Music, Product0484, payments </t>
        </r>
      </text>
    </comment>
    <comment ref="DF12" authorId="1" shapeId="0" xr:uid="{BB12128C-982A-4B37-9F42-56229C53E333}">
      <text>
        <r>
          <rPr>
            <b/>
            <sz val="9"/>
            <color indexed="81"/>
            <rFont val="Tahoma"/>
            <family val="2"/>
          </rPr>
          <t>Author:</t>
        </r>
        <r>
          <rPr>
            <sz val="9"/>
            <color indexed="81"/>
            <rFont val="Tahoma"/>
            <family val="2"/>
          </rPr>
          <t xml:space="preserve">
Record revenue</t>
        </r>
      </text>
    </comment>
    <comment ref="DH12" authorId="1" shapeId="0" xr:uid="{B4AE24E8-6FCB-4B23-9B19-EA18F695FB9B}">
      <text>
        <r>
          <rPr>
            <b/>
            <sz val="9"/>
            <color indexed="81"/>
            <rFont val="Tahoma"/>
            <family val="2"/>
          </rPr>
          <t>Author:</t>
        </r>
        <r>
          <rPr>
            <sz val="9"/>
            <color indexed="81"/>
            <rFont val="Tahoma"/>
            <family val="2"/>
          </rPr>
          <t xml:space="preserve">
8/3/23: Very good margins, scaled over time - D&amp;A and data center investments </t>
        </r>
      </text>
    </comment>
    <comment ref="DL12" authorId="4" shapeId="0" xr:uid="{291D65F2-995A-48FA-8EB9-09CCEF6C220D}">
      <text>
        <r>
          <rPr>
            <b/>
            <sz val="9"/>
            <color indexed="81"/>
            <rFont val="Tahoma"/>
            <family val="2"/>
          </rPr>
          <t>Author:</t>
        </r>
        <r>
          <rPr>
            <sz val="9"/>
            <color indexed="81"/>
            <rFont val="Tahoma"/>
            <family val="2"/>
          </rPr>
          <t xml:space="preserve">
F3Q24: all time revenue record</t>
        </r>
      </text>
    </comment>
    <comment ref="A13" authorId="1" shapeId="0" xr:uid="{1B137D7B-FEE2-4569-9E92-C39B010D2DD3}">
      <text>
        <r>
          <rPr>
            <b/>
            <sz val="9"/>
            <color indexed="81"/>
            <rFont val="Tahoma"/>
            <family val="2"/>
          </rPr>
          <t>Author:</t>
        </r>
        <r>
          <rPr>
            <sz val="9"/>
            <color indexed="81"/>
            <rFont val="Tahoma"/>
            <family val="2"/>
          </rPr>
          <t xml:space="preserve">
Repairs (a-la-carte) + warranties</t>
        </r>
      </text>
    </comment>
    <comment ref="A14" authorId="1" shapeId="0" xr:uid="{4814D503-A9EB-4874-9468-3714D3BE32FA}">
      <text>
        <r>
          <rPr>
            <b/>
            <sz val="9"/>
            <color indexed="81"/>
            <rFont val="Tahoma"/>
            <family val="2"/>
          </rPr>
          <t>Author:</t>
        </r>
        <r>
          <rPr>
            <sz val="9"/>
            <color indexed="81"/>
            <rFont val="Tahoma"/>
            <family val="2"/>
          </rPr>
          <t xml:space="preserve">
10/24/2022: announcing price increases for subscriptions
Product0046
Individual: $10.99 per month (from $9.99)
Family: $16.99 per month (from $14.99)
Individual Annual: $109 per year (from $99)
Product0048+
Monthly: $6.99 per month (from $4.99)
Annual: $69 per year (from $49.99)
Company0242 One
Individual: $16.95 per month (from $14.95)
Family: $22.95 per month (from $19.95)
Premier: $32.95 per month (from $29.95)
XXXXXX
Launch Company0242 One: Music, TV+, Arcade, News+, Fitness+, Product0484
$15/month individual: Music, TV+, Arcade, 50GB (save $6 or 29%)
$20/month family (6 family members): 200GB (save $8 or 29%)
$30/month premiere (6 family membmers): Fitness+, News+, 2TB (save $25 or 45%)
Launch in Australia, Canda, UK, US
</t>
        </r>
      </text>
    </comment>
    <comment ref="DF14" authorId="1" shapeId="0" xr:uid="{6F73D98C-6975-43CA-86AF-E2F346903F2A}">
      <text>
        <r>
          <rPr>
            <b/>
            <sz val="9"/>
            <color indexed="81"/>
            <rFont val="Tahoma"/>
            <family val="2"/>
          </rPr>
          <t>Author:</t>
        </r>
        <r>
          <rPr>
            <sz val="9"/>
            <color indexed="81"/>
            <rFont val="Tahoma"/>
            <family val="2"/>
          </rPr>
          <t xml:space="preserve">
F4Q22: cost of licensing has increased. Artists will also get more money. 
On Product0052+, when we first priced it, we only had very few shows (4-5 shows). We now have a lot more content. More content each &amp; every month. Increased the price to represent the value of the service.
10/24/2022: announcing price increases for subscriptions
Product0046
Individual: $10.99 per month (from $9.99)
Family: $16.99 per month (from $14.99)
Individual Annual: $109 per year (from $99)
Product0048+
Monthly: $6.99 per month (from $4.99)
Annual: $69 per year (from $49.99)
Company0242 One
Individual: $16.95 per month (from $14.95)
Family: $22.95 per month (from $19.95)
Premier: $32.95 per month (from $29.95)</t>
        </r>
      </text>
    </comment>
    <comment ref="DJ14" authorId="5" shapeId="0" xr:uid="{2C5A122D-A7E6-4EF5-B8C4-2EB33CA5CD77}">
      <text>
        <r>
          <rPr>
            <b/>
            <sz val="9"/>
            <color indexed="81"/>
            <rFont val="Tahoma"/>
            <family val="2"/>
          </rPr>
          <t>Author:</t>
        </r>
        <r>
          <rPr>
            <sz val="9"/>
            <color indexed="81"/>
            <rFont val="Tahoma"/>
            <family val="2"/>
          </rPr>
          <t xml:space="preserve">
10/25/23: Company0242 one bundle price increases
individual bundle $16.95 -&gt; $19.95
fam bundle: $22.95 -&gt; $25.99
premiere: $32.95 -&gt; $37.95
</t>
        </r>
      </text>
    </comment>
    <comment ref="A16" authorId="1" shapeId="0" xr:uid="{B5BCD26C-24F6-4437-8682-5B8836439038}">
      <text>
        <r>
          <rPr>
            <b/>
            <sz val="9"/>
            <color indexed="81"/>
            <rFont val="Tahoma"/>
            <family val="2"/>
          </rPr>
          <t>Author:</t>
        </r>
        <r>
          <rPr>
            <sz val="9"/>
            <color indexed="81"/>
            <rFont val="Tahoma"/>
            <family val="2"/>
          </rPr>
          <t xml:space="preserve">
First inked in 2005
Renewed in 2010
Renewed in 2017
- included Company1153 replacing Product0072 in Product0373
2011: Company0242 use Product0071 for Product0373 and it didn't go well. 
https://example.com/
TAC also paid by Yahoo and Product0072 to be featured on Product0360 desktop</t>
        </r>
      </text>
    </comment>
    <comment ref="CK16" authorId="1" shapeId="0" xr:uid="{6B41376E-D422-41DC-8F1C-3E579CD1A919}">
      <text>
        <r>
          <rPr>
            <b/>
            <sz val="9"/>
            <color indexed="81"/>
            <rFont val="Tahoma"/>
            <family val="2"/>
          </rPr>
          <t>Author:</t>
        </r>
        <r>
          <rPr>
            <sz val="9"/>
            <color indexed="81"/>
            <rFont val="Tahoma"/>
            <family val="2"/>
          </rPr>
          <t xml:space="preserve">
Company0242 switched its default search engine to Company1153 from Product0072 on 9/25/2017 from Product0373, Product0486, and Mac "Spotlight"
Prior to the switch, Company1153 was the default only on Product0360 on Company0242 products </t>
        </r>
      </text>
    </comment>
    <comment ref="FE16" authorId="1" shapeId="0" xr:uid="{9FDC68DC-F18D-4C08-A242-ACFB4EADB218}">
      <text>
        <r>
          <rPr>
            <b/>
            <sz val="9"/>
            <color indexed="81"/>
            <rFont val="Tahoma"/>
            <family val="2"/>
          </rPr>
          <t>Author:</t>
        </r>
        <r>
          <rPr>
            <sz val="9"/>
            <color indexed="81"/>
            <rFont val="Tahoma"/>
            <family val="2"/>
          </rPr>
          <t xml:space="preserve">
Court filings show that Company0242 paid $7.1 bn for default status</t>
        </r>
      </text>
    </comment>
    <comment ref="FI16" authorId="1" shapeId="0" xr:uid="{066AB1F9-FCFC-4AE4-9A54-883A6176982B}">
      <text>
        <r>
          <rPr>
            <b/>
            <sz val="9"/>
            <color indexed="81"/>
            <rFont val="Tahoma"/>
            <family val="2"/>
          </rPr>
          <t>Author:</t>
        </r>
        <r>
          <rPr>
            <sz val="9"/>
            <color indexed="81"/>
            <rFont val="Tahoma"/>
            <family val="2"/>
          </rPr>
          <t xml:space="preserve">
Company1926 thinks last deal done in 2017</t>
        </r>
      </text>
    </comment>
    <comment ref="FK16" authorId="1" shapeId="0" xr:uid="{41D2B4D7-13D3-4740-92A2-D22B10551865}">
      <text>
        <r>
          <rPr>
            <b/>
            <sz val="9"/>
            <color indexed="81"/>
            <rFont val="Tahoma"/>
            <family val="2"/>
          </rPr>
          <t>Author:</t>
        </r>
        <r>
          <rPr>
            <sz val="9"/>
            <color indexed="81"/>
            <rFont val="Tahoma"/>
            <family val="2"/>
          </rPr>
          <t xml:space="preserve">
$11.58 bn of EBIT
9/15/2023: DOJ said it was $4-$7 bn</t>
        </r>
      </text>
    </comment>
    <comment ref="FL16" authorId="1" shapeId="0" xr:uid="{870DCE6A-2485-48ED-A7B1-28EE27046F6D}">
      <text>
        <r>
          <rPr>
            <b/>
            <sz val="9"/>
            <color indexed="81"/>
            <rFont val="Tahoma"/>
            <family val="2"/>
          </rPr>
          <t>Author:</t>
        </r>
        <r>
          <rPr>
            <sz val="9"/>
            <color indexed="81"/>
            <rFont val="Tahoma"/>
            <family val="2"/>
          </rPr>
          <t xml:space="preserve">
Company0527: Company1153 paid $26 bn to be default search engin (across all providers) in 2021
https://example.com/
10/26/23: Company1924 says Company1153 paid Company0242 $18 bn in 2021
https://example.com/</t>
        </r>
      </text>
    </comment>
    <comment ref="FM16" authorId="1" shapeId="0" xr:uid="{084927A1-E6A4-460F-932C-7139A3F39ADE}">
      <text>
        <r>
          <rPr>
            <b/>
            <sz val="9"/>
            <color indexed="81"/>
            <rFont val="Tahoma"/>
            <family val="2"/>
          </rPr>
          <t>Author:</t>
        </r>
        <r>
          <rPr>
            <sz val="9"/>
            <color indexed="81"/>
            <rFont val="Tahoma"/>
            <family val="2"/>
          </rPr>
          <t xml:space="preserve">
Court docs (5/2024): $20 bn in 2022
$1 bn monthly in 2021
17.5% of Ticker0001 EBIT in 2020
Ticker0024 offered 90% revenue share
Ticker0024 offerd to sell Product0072 to apple in 2020
April 20 docket#906
https://example.com/</t>
        </r>
      </text>
    </comment>
    <comment ref="FN16" authorId="1" shapeId="0" xr:uid="{4BA8FE0C-EE18-489A-8208-26A722121571}">
      <text>
        <r>
          <rPr>
            <b/>
            <sz val="9"/>
            <color indexed="81"/>
            <rFont val="Tahoma"/>
            <family val="2"/>
          </rPr>
          <t>Author:</t>
        </r>
        <r>
          <rPr>
            <sz val="9"/>
            <color indexed="81"/>
            <rFont val="Tahoma"/>
            <family val="2"/>
          </rPr>
          <t xml:space="preserve">
Ticker0024 @ Company1153 DOJ (10/2): had been willing to pay Ticker0001 &gt;$10 bn a year
o Person0807 said Microsoft had been willing to pay Company0242 "north of $10B+ a year" and give Company0242 all of the economic upside of the deal to switch default search engines to Product0072, but was unable to convince the company away from its contract with Company1153. 
4/16/2023: Company1926 reports that Company0242 / Company1153 contract up this year in C2023 
"An additional $20 billion is tied to a similar Company0242 contract that will be up for renewal this year."
https://example.com/</t>
        </r>
      </text>
    </comment>
    <comment ref="FO16" authorId="1" shapeId="0" xr:uid="{4C4951DC-A46D-494A-8738-C6C6CDD6BFD8}">
      <text>
        <r>
          <rPr>
            <b/>
            <sz val="9"/>
            <color indexed="81"/>
            <rFont val="Tahoma"/>
            <family val="2"/>
          </rPr>
          <t>Author:</t>
        </r>
        <r>
          <rPr>
            <sz val="9"/>
            <color indexed="81"/>
            <rFont val="Tahoma"/>
            <family val="2"/>
          </rPr>
          <t xml:space="preserve">
Company1153/DOJ:
Closing arguments are set for early May and a written ruling is expected in the third quarter. That could be followed by a remedies phase in the fourth quarter and into 2025.
https://example.com/</t>
        </r>
      </text>
    </comment>
    <comment ref="DF17" authorId="1" shapeId="0" xr:uid="{1DAB8742-FCE1-48E7-860D-6CC5A74D609A}">
      <text>
        <r>
          <rPr>
            <b/>
            <sz val="9"/>
            <color indexed="81"/>
            <rFont val="Tahoma"/>
            <family val="2"/>
          </rPr>
          <t>Author:</t>
        </r>
        <r>
          <rPr>
            <sz val="9"/>
            <color indexed="81"/>
            <rFont val="Tahoma"/>
            <family val="2"/>
          </rPr>
          <t xml:space="preserve">
Record revenue</t>
        </r>
      </text>
    </comment>
    <comment ref="DH17" authorId="1" shapeId="0" xr:uid="{6F7903AE-A941-4D1C-868B-384F274BF2E9}">
      <text>
        <r>
          <rPr>
            <b/>
            <sz val="9"/>
            <color indexed="81"/>
            <rFont val="Tahoma"/>
            <family val="2"/>
          </rPr>
          <t>Author:</t>
        </r>
        <r>
          <rPr>
            <sz val="9"/>
            <color indexed="81"/>
            <rFont val="Tahoma"/>
            <family val="2"/>
          </rPr>
          <t xml:space="preserve">
8/3/23: cost sharing on call centers, IT infrastructure - will become progressively more profitable. PAY + CARD </t>
        </r>
      </text>
    </comment>
    <comment ref="DI17" authorId="1" shapeId="0" xr:uid="{AA400895-AF80-4233-BF03-AE2BB2E52B2E}">
      <text>
        <r>
          <rPr>
            <b/>
            <sz val="9"/>
            <color indexed="81"/>
            <rFont val="Tahoma"/>
            <family val="2"/>
          </rPr>
          <t>Author:</t>
        </r>
        <r>
          <rPr>
            <sz val="9"/>
            <color indexed="81"/>
            <rFont val="Tahoma"/>
            <family val="2"/>
          </rPr>
          <t xml:space="preserve">
9/2023: Company0242 soft launch new Product0489 wallet app integration in the UK powered by Open Banking - allows UK users of the Wallet app to view account balance, as well as history of deposits and payments. It will be available for Product0047 card users for 1 of 6 supporting banks: Company0363, Company1214, Company1828, Company1610, Company2224, and Company2592. </t>
        </r>
      </text>
    </comment>
    <comment ref="DL17" authorId="4" shapeId="0" xr:uid="{0A57FFE3-8DCA-4652-89D1-682A574EF012}">
      <text>
        <r>
          <rPr>
            <b/>
            <sz val="9"/>
            <color indexed="81"/>
            <rFont val="Tahoma"/>
            <family val="2"/>
          </rPr>
          <t>Author:</t>
        </r>
        <r>
          <rPr>
            <sz val="9"/>
            <color indexed="81"/>
            <rFont val="Tahoma"/>
            <family val="2"/>
          </rPr>
          <t xml:space="preserve">
F3Q24: all time revenue record</t>
        </r>
      </text>
    </comment>
    <comment ref="FT17" authorId="1" shapeId="0" xr:uid="{CC647964-3037-4656-A2ED-8E7B07911B4A}">
      <text>
        <r>
          <rPr>
            <b/>
            <sz val="9"/>
            <color indexed="81"/>
            <rFont val="Tahoma"/>
            <family val="2"/>
          </rPr>
          <t>Author:</t>
        </r>
        <r>
          <rPr>
            <sz val="9"/>
            <color indexed="81"/>
            <rFont val="Tahoma"/>
            <family val="2"/>
          </rPr>
          <t xml:space="preserve">
expires in 2029. What's next though? </t>
        </r>
      </text>
    </comment>
    <comment ref="A18" authorId="1" shapeId="0" xr:uid="{EF2BE718-F24F-4EE6-B21E-CE53C115D423}">
      <text>
        <r>
          <rPr>
            <b/>
            <sz val="9"/>
            <color indexed="81"/>
            <rFont val="Tahoma"/>
            <family val="2"/>
          </rPr>
          <t>Author:</t>
        </r>
        <r>
          <rPr>
            <sz val="9"/>
            <color indexed="81"/>
            <rFont val="Tahoma"/>
            <family val="2"/>
          </rPr>
          <t xml:space="preserve">
Since 2009, Microsoft proposed to make Product0072 the default search engine for Product0360 in 2009, 2013, 2015, 2016, 2018, 2020. 
https://example.com/
Company0242 declined due to product quality issues and cited customer experience risk. 
Microsoft offered to sell Product0072 to Company0242 in 2018. 
Company1153 won on product quality. </t>
        </r>
      </text>
    </comment>
    <comment ref="CZ18" authorId="1" shapeId="0" xr:uid="{37CA3F78-13FB-48A4-A7B3-B2E1F2E76E23}">
      <text>
        <r>
          <rPr>
            <b/>
            <sz val="9"/>
            <color indexed="81"/>
            <rFont val="Tahoma"/>
            <family val="2"/>
          </rPr>
          <t>Author:</t>
        </r>
        <r>
          <rPr>
            <sz val="9"/>
            <color indexed="81"/>
            <rFont val="Tahoma"/>
            <family val="2"/>
          </rPr>
          <t xml:space="preserve">
Since Product0486 14.5, Ticker0001 made IDFA changes. 
ATT allowed Ticker0001 to gain share from Company1153 and Company1808. </t>
        </r>
      </text>
    </comment>
    <comment ref="DE18" authorId="1" shapeId="0" xr:uid="{C36F7411-D8B3-4635-A97D-FAB498F75EC2}">
      <text>
        <r>
          <rPr>
            <b/>
            <sz val="9"/>
            <color indexed="81"/>
            <rFont val="Tahoma"/>
            <family val="2"/>
          </rPr>
          <t>Author:</t>
        </r>
        <r>
          <rPr>
            <sz val="9"/>
            <color indexed="81"/>
            <rFont val="Tahoma"/>
            <family val="2"/>
          </rPr>
          <t xml:space="preserve">
THE INFORMATION 11/14/22: &gt;$4 bn advertising revenue in 2022.
Company0242’s ad business is expected to expand Product0045 and Company0242 News in the US - potentially build ad network for Product0052+. Bull case is $30 bn annual ad revenue by 2026.
That said, Ticker0001 is sensitive to issues related to privacy, etc. 
Company0242 doesn't let advertisers target to groups smaller than 5000 people.
Company0242 expanding beyonds US advertising in 2016 to 13 countries by 2018 and 59 by 2019.
- Big advertisers included Company2835 and Company1626. 
- started generating $1+ bn of advertisign revenue by 2019 
PRODUCT0045 ads
- single slot at top of PRODUCT0045
- second ad slot in PRODUCT0045 SEARCH TAB in 2021
- 2022: added 2 new add slots including 1 on PRODUCT0045 PRODUCT PAGES for specific apps. 
Reported budgets of &gt;$100k per day from Company0103, COMPANY1808, Company2652, COMPANY2835, DASH 
xx
Company0242 Search Ads (ASA), which functions independently of Product0355 and deterministically attributes users regardless of ATT consent, gained the most ground, tripling its market share since H1 2020 and taking over as the #1 media source in the Product0486 rankings. 
It is therefore no surprise to hear that Company0242 is looking to significantly expand its own advertising business. According to Bloomberg, “Company0242 is generating about $4 billion in revenue annually, and wants to increase that to the double digits.”
Product0418 also enjoyed a massive rise in its SSOT install market share thanks to its relatively rapid adoption and investment in Product0355.
https://example.com/</t>
        </r>
      </text>
    </comment>
    <comment ref="DF18" authorId="1" shapeId="0" xr:uid="{6787B458-6EDB-4B5F-A664-A42685043605}">
      <text>
        <r>
          <rPr>
            <b/>
            <sz val="9"/>
            <color indexed="81"/>
            <rFont val="Tahoma"/>
            <family val="2"/>
          </rPr>
          <t>Author:</t>
        </r>
        <r>
          <rPr>
            <sz val="9"/>
            <color indexed="81"/>
            <rFont val="Tahoma"/>
            <family val="2"/>
          </rPr>
          <t xml:space="preserve">
F1Q23: 
Company0242 Search Ads
Company0242 Business Connect - customize key information for Maps, Messages, Wallet, Product0373 - how they appear. 
10/24/2022: Company0242 updates Product0045 policy to be subject to IAP. 
4 new ad placements: Today tab, Search tab, Search results, Product page s- while browsing 
</t>
        </r>
        <r>
          <rPr>
            <b/>
            <sz val="9"/>
            <color indexed="81"/>
            <rFont val="Tahoma"/>
            <family val="2"/>
          </rPr>
          <t xml:space="preserve">COMPANY1808 </t>
        </r>
        <r>
          <rPr>
            <sz val="9"/>
            <color indexed="81"/>
            <rFont val="Tahoma"/>
            <family val="2"/>
          </rPr>
          <t xml:space="preserve">C2023 advertising: $125 bn * Product0486 ad revenue mix (55% made up of 90% mobile and 60% Product0486) * IAP fee (30%) * Boosts mix (30%) * in-app purchase mix (10%) = ~$620 mn
</t>
        </r>
        <r>
          <rPr>
            <b/>
            <sz val="9"/>
            <color indexed="81"/>
            <rFont val="Tahoma"/>
            <family val="2"/>
          </rPr>
          <t xml:space="preserve">Product0417 Product0421 </t>
        </r>
        <r>
          <rPr>
            <sz val="9"/>
            <color indexed="81"/>
            <rFont val="Tahoma"/>
            <family val="2"/>
          </rPr>
          <t xml:space="preserve">$4 bn ad revenues (2021), $12 bn ad revenues (2022E), $18 bn ad revenue (2023E)
$18 bn * Product0486 ad revenue mix (40%) * Boosts mix (50%) * in-app purchase mix (50%) * IAP fee (30%) = $540 mn?
</t>
        </r>
        <r>
          <rPr>
            <b/>
            <sz val="9"/>
            <color indexed="81"/>
            <rFont val="Tahoma"/>
            <family val="2"/>
          </rPr>
          <t xml:space="preserve">Company2721: </t>
        </r>
        <r>
          <rPr>
            <sz val="9"/>
            <color indexed="81"/>
            <rFont val="Tahoma"/>
            <family val="2"/>
          </rPr>
          <t xml:space="preserve">~$6-$6.5 bn of 2023 advertising * Product0486 mix (40%) * IAP fee (30%) * Quick Promote mix (40%) * in-app purchase mix (15%) = $45 mn?
Insider thinks that Company0005 ad biz is $5 bn </t>
        </r>
      </text>
    </comment>
    <comment ref="DH18" authorId="1" shapeId="0" xr:uid="{B1BC419A-E8F8-45F3-BE37-F40FC4B98AC6}">
      <text>
        <r>
          <rPr>
            <b/>
            <sz val="9"/>
            <color indexed="81"/>
            <rFont val="Tahoma"/>
            <family val="2"/>
          </rPr>
          <t>Author:</t>
        </r>
        <r>
          <rPr>
            <sz val="9"/>
            <color indexed="81"/>
            <rFont val="Tahoma"/>
            <family val="2"/>
          </rPr>
          <t xml:space="preserve">
F3Q23: all-time records in Advertising, Product0484, Product0053, Music </t>
        </r>
      </text>
    </comment>
    <comment ref="DL18" authorId="4" shapeId="0" xr:uid="{2A0F3C7B-B47B-444D-912B-53BEAB8B8475}">
      <text>
        <r>
          <rPr>
            <b/>
            <sz val="9"/>
            <color indexed="81"/>
            <rFont val="Tahoma"/>
            <family val="2"/>
          </rPr>
          <t>Author:</t>
        </r>
        <r>
          <rPr>
            <sz val="9"/>
            <color indexed="81"/>
            <rFont val="Tahoma"/>
            <family val="2"/>
          </rPr>
          <t xml:space="preserve">
F3Q24: all time adverising revenue record</t>
        </r>
      </text>
    </comment>
    <comment ref="FM18" authorId="1" shapeId="0" xr:uid="{8D51227B-58B3-4FC1-810D-6DED27D87058}">
      <text>
        <r>
          <rPr>
            <b/>
            <sz val="9"/>
            <color indexed="81"/>
            <rFont val="Tahoma"/>
            <family val="2"/>
          </rPr>
          <t>Author:</t>
        </r>
        <r>
          <rPr>
            <sz val="9"/>
            <color indexed="81"/>
            <rFont val="Tahoma"/>
            <family val="2"/>
          </rPr>
          <t xml:space="preserve">
The Information thinks $4 bn of advertising revenue in 2022
eMarketer thinks $7 bn in 2022 going to $9 bn (2023) and $10 bn (2024)</t>
        </r>
      </text>
    </comment>
    <comment ref="FN18" authorId="1" shapeId="0" xr:uid="{3C33233A-EC58-4942-BBF3-4283CE980204}">
      <text>
        <r>
          <rPr>
            <b/>
            <sz val="9"/>
            <color indexed="81"/>
            <rFont val="Tahoma"/>
            <family val="2"/>
          </rPr>
          <t>Author:</t>
        </r>
        <r>
          <rPr>
            <sz val="9"/>
            <color indexed="81"/>
            <rFont val="Tahoma"/>
            <family val="2"/>
          </rPr>
          <t xml:space="preserve">
2/8/2023:
• In an interview with the FT, Microsoft CEO Person1035 Person0807 says that he is willing to accept any demonetisation of the search business for the chance to eat into Company1153's business, noting that there is such margin in search, which for Microsoft is incremental, whereas for Company1153 it is not, they have to defend it all
• Person0807 adds that rapid innovation is going to come in the internet search market in a race that starts today, acknowledging that Company1153 will introduce its own AI-powered search products, and users will have to decide which product they prefer
</t>
        </r>
      </text>
    </comment>
    <comment ref="CK19" authorId="6" shapeId="0" xr:uid="{C941F790-9E74-488F-9CBB-D31C1CEEDDE3}">
      <text>
        <r>
          <rPr>
            <b/>
            <sz val="9"/>
            <color indexed="81"/>
            <rFont val="Tahoma"/>
            <family val="2"/>
          </rPr>
          <t>Author:</t>
        </r>
        <r>
          <rPr>
            <sz val="9"/>
            <color indexed="81"/>
            <rFont val="Tahoma"/>
            <family val="2"/>
          </rPr>
          <t xml:space="preserve">
FQ4'18 Call (11/01/18): $640m one off in FQ4'17 disclosed in FQ4'18 call. "Excluding the impact of a favorable onetime accounting adjustment of $640 million a year ago, our Services growth was 27%."</t>
        </r>
      </text>
    </comment>
    <comment ref="CN19" authorId="0" shapeId="0" xr:uid="{C9FF0C4F-6497-4111-AD62-1B2783247BC1}">
      <text>
        <r>
          <rPr>
            <b/>
            <sz val="9"/>
            <color indexed="81"/>
            <rFont val="Tahoma"/>
            <family val="2"/>
          </rPr>
          <t>Author:</t>
        </r>
        <r>
          <rPr>
            <sz val="9"/>
            <color indexed="81"/>
            <rFont val="Tahoma"/>
            <family val="2"/>
          </rPr>
          <t xml:space="preserve">
includes a favorable $236mn one time item;
Excludign this, 28% Y/Y underlying growth
FQ3'18 10-Q: $236 million in connection with the final resolution of various lawsuits</t>
        </r>
      </text>
    </comment>
    <comment ref="A21" authorId="1" shapeId="0" xr:uid="{EA18F3FB-39B7-462C-8677-C2C58F07F3C1}">
      <text>
        <r>
          <rPr>
            <b/>
            <sz val="9"/>
            <color indexed="81"/>
            <rFont val="Tahoma"/>
            <family val="2"/>
          </rPr>
          <t>Author:</t>
        </r>
        <r>
          <rPr>
            <sz val="9"/>
            <color indexed="81"/>
            <rFont val="Tahoma"/>
            <family val="2"/>
          </rPr>
          <t xml:space="preserve">
12/5/2022
- Ratio of paid users (pay anything across Product0045):transacting users (non-paying, download only) is still really low. Opportunities to increase payer conversion. 
Services are managed as individual P&amp;Ls. Want teams to target profitability. </t>
        </r>
      </text>
    </comment>
    <comment ref="BV21" authorId="7" shapeId="0" xr:uid="{00000000-0006-0000-0700-0000EA000000}">
      <text>
        <r>
          <rPr>
            <b/>
            <sz val="9"/>
            <color indexed="81"/>
            <rFont val="Tahoma"/>
            <family val="2"/>
          </rPr>
          <t>Author:</t>
        </r>
        <r>
          <rPr>
            <sz val="9"/>
            <color indexed="81"/>
            <rFont val="Tahoma"/>
            <family val="2"/>
          </rPr>
          <t xml:space="preserve">
includes $548mn legal settlement from Company2530</t>
        </r>
      </text>
    </comment>
    <comment ref="BZ21" authorId="7" shapeId="0" xr:uid="{00000000-0006-0000-0700-0000EB000000}">
      <text>
        <r>
          <rPr>
            <b/>
            <sz val="9"/>
            <color indexed="81"/>
            <rFont val="Tahoma"/>
            <family val="2"/>
          </rPr>
          <t>Author:</t>
        </r>
        <r>
          <rPr>
            <sz val="9"/>
            <color indexed="81"/>
            <rFont val="Tahoma"/>
            <family val="2"/>
          </rPr>
          <t xml:space="preserve">
includes $548mn legal settlement from Company2530</t>
        </r>
      </text>
    </comment>
    <comment ref="CD21" authorId="7" shapeId="0" xr:uid="{00000000-0006-0000-0700-0000EC000000}">
      <text>
        <r>
          <rPr>
            <b/>
            <sz val="9"/>
            <color indexed="81"/>
            <rFont val="Tahoma"/>
            <family val="2"/>
          </rPr>
          <t>Author:</t>
        </r>
        <r>
          <rPr>
            <sz val="9"/>
            <color indexed="81"/>
            <rFont val="Tahoma"/>
            <family val="2"/>
          </rPr>
          <t xml:space="preserve">
includes $548mn legal settlement from Company2530</t>
        </r>
      </text>
    </comment>
    <comment ref="CK21" authorId="6" shapeId="0" xr:uid="{00000000-0006-0000-0700-0000ED000000}">
      <text>
        <r>
          <rPr>
            <b/>
            <sz val="9"/>
            <color indexed="81"/>
            <rFont val="Tahoma"/>
            <family val="2"/>
          </rPr>
          <t>Author:</t>
        </r>
        <r>
          <rPr>
            <sz val="9"/>
            <color indexed="81"/>
            <rFont val="Tahoma"/>
            <family val="2"/>
          </rPr>
          <t xml:space="preserve">
FQ4'18 Call (11/01/18): $640m one off in FQ4'17 disclosed in FQ4'18 call. "Excluding the impact of a favorable onetime accounting adjustment of $640 million a year ago, our Services growth was 27%."</t>
        </r>
      </text>
    </comment>
    <comment ref="CN21" authorId="0" shapeId="0" xr:uid="{00000000-0006-0000-0700-0000EE000000}">
      <text>
        <r>
          <rPr>
            <b/>
            <sz val="9"/>
            <color indexed="81"/>
            <rFont val="Tahoma"/>
            <family val="2"/>
          </rPr>
          <t>Author:</t>
        </r>
        <r>
          <rPr>
            <sz val="9"/>
            <color indexed="81"/>
            <rFont val="Tahoma"/>
            <family val="2"/>
          </rPr>
          <t xml:space="preserve">
includes a favorable $236mn one time item;
Excludign this, 28% Y/Y underlying growth
FQ3'18 10-Q: $236 million in connection with the final resolution of various lawsuits</t>
        </r>
      </text>
    </comment>
    <comment ref="CW21" authorId="1" shapeId="0" xr:uid="{2C034A8B-D843-44D9-A19D-F51F58C1445E}">
      <text>
        <r>
          <rPr>
            <b/>
            <sz val="9"/>
            <color indexed="81"/>
            <rFont val="Tahoma"/>
            <family val="2"/>
          </rPr>
          <t>Author:</t>
        </r>
        <r>
          <rPr>
            <sz val="9"/>
            <color indexed="81"/>
            <rFont val="Tahoma"/>
            <family val="2"/>
          </rPr>
          <t xml:space="preserve">
Records in Product0045, cloud, music, advertising, payments </t>
        </r>
      </text>
    </comment>
    <comment ref="DF21" authorId="1" shapeId="0" xr:uid="{08CB2138-B128-4E01-809B-151BB07B983D}">
      <text>
        <r>
          <rPr>
            <b/>
            <sz val="9"/>
            <color indexed="81"/>
            <rFont val="Tahoma"/>
            <family val="2"/>
          </rPr>
          <t>Author:</t>
        </r>
        <r>
          <rPr>
            <sz val="9"/>
            <color indexed="81"/>
            <rFont val="Tahoma"/>
            <family val="2"/>
          </rPr>
          <t xml:space="preserve">
F1Q23: Better than expected
DD% Product0045 growth
Record revenue in CLOUD, PAYMENTS, others
935+ mn paid subs</t>
        </r>
      </text>
    </comment>
    <comment ref="DG21" authorId="1" shapeId="0" xr:uid="{EBE0A439-C3BB-45B0-A059-51DB6CC77618}">
      <text>
        <r>
          <rPr>
            <b/>
            <sz val="9"/>
            <color indexed="81"/>
            <rFont val="Tahoma"/>
            <family val="2"/>
          </rPr>
          <t>Author:</t>
        </r>
        <r>
          <rPr>
            <sz val="9"/>
            <color indexed="81"/>
            <rFont val="Tahoma"/>
            <family val="2"/>
          </rPr>
          <t xml:space="preserve">
F2Q23; all-time Services record in China </t>
        </r>
      </text>
    </comment>
    <comment ref="DH21" authorId="1" shapeId="0" xr:uid="{54F68C7F-9279-4BDE-A670-37D45F9ECC8C}">
      <text>
        <r>
          <rPr>
            <b/>
            <sz val="9"/>
            <color indexed="81"/>
            <rFont val="Tahoma"/>
            <family val="2"/>
          </rPr>
          <t>Author:</t>
        </r>
        <r>
          <rPr>
            <sz val="9"/>
            <color indexed="81"/>
            <rFont val="Tahoma"/>
            <family val="2"/>
          </rPr>
          <t xml:space="preserve">
F3Q23: June qtr records for ADS, PRODUCT0045, MUSIC</t>
        </r>
      </text>
    </comment>
    <comment ref="DI21" authorId="1" shapeId="0" xr:uid="{1885483B-51E6-4760-AC87-097AFA2C32B3}">
      <text>
        <r>
          <rPr>
            <b/>
            <sz val="9"/>
            <color indexed="81"/>
            <rFont val="Tahoma"/>
            <family val="2"/>
          </rPr>
          <t>Author:</t>
        </r>
        <r>
          <rPr>
            <sz val="9"/>
            <color indexed="81"/>
            <rFont val="Tahoma"/>
            <family val="2"/>
          </rPr>
          <t xml:space="preserve">
F4Q23: Record quarters for Product0045, Advertising, Cloud, Video, Company0242 Care, Payments 
September quarter record for MUSIC</t>
        </r>
      </text>
    </comment>
    <comment ref="DJ21" authorId="1" shapeId="0" xr:uid="{BEF25121-CDAC-483D-8C52-4DEAFFE52A43}">
      <text>
        <r>
          <rPr>
            <b/>
            <sz val="9"/>
            <color indexed="81"/>
            <rFont val="Tahoma"/>
            <family val="2"/>
          </rPr>
          <t>Author:</t>
        </r>
        <r>
          <rPr>
            <sz val="9"/>
            <color indexed="81"/>
            <rFont val="Tahoma"/>
            <family val="2"/>
          </rPr>
          <t xml:space="preserve">
F1Q24: revneue records in Ads, Cloud, Payments video. December qtr records in Product0045, Care</t>
        </r>
      </text>
    </comment>
    <comment ref="DK21" authorId="1" shapeId="0" xr:uid="{42299163-E888-4545-A33B-725492CAC59F}">
      <text>
        <r>
          <rPr>
            <b/>
            <sz val="9"/>
            <color indexed="81"/>
            <rFont val="Tahoma"/>
            <family val="2"/>
          </rPr>
          <t>Author:</t>
        </r>
        <r>
          <rPr>
            <sz val="9"/>
            <color indexed="81"/>
            <rFont val="Tahoma"/>
            <family val="2"/>
          </rPr>
          <t xml:space="preserve">
10-Q: Advertising, Product0045, Cloud Services</t>
        </r>
      </text>
    </comment>
    <comment ref="DL21" authorId="1" shapeId="0" xr:uid="{79B2B156-D2F8-4B33-AD96-6E8C580061AF}">
      <text>
        <r>
          <rPr>
            <b/>
            <sz val="9"/>
            <color indexed="81"/>
            <rFont val="Tahoma"/>
            <family val="2"/>
          </rPr>
          <t>Author:</t>
        </r>
        <r>
          <rPr>
            <sz val="9"/>
            <color indexed="81"/>
            <rFont val="Tahoma"/>
            <family val="2"/>
          </rPr>
          <t xml:space="preserve">
F3q24: revenue records for advertising, cloud, and payments 
Revenue record in developed markets. June quarter record for emerging markets</t>
        </r>
      </text>
    </comment>
    <comment ref="DO21" authorId="1" shapeId="0" xr:uid="{C31CEB77-0DE3-4E79-95A0-DFD867FA4B10}">
      <text>
        <r>
          <rPr>
            <b/>
            <sz val="9"/>
            <color indexed="81"/>
            <rFont val="Tahoma"/>
            <family val="2"/>
          </rPr>
          <t>Author:</t>
        </r>
        <r>
          <rPr>
            <sz val="9"/>
            <color indexed="81"/>
            <rFont val="Tahoma"/>
            <family val="2"/>
          </rPr>
          <t xml:space="preserve">
10-Q: yoy growth from advertising, Product0045, ccloud services</t>
        </r>
      </text>
    </comment>
    <comment ref="FH21" authorId="2" shapeId="0" xr:uid="{00000000-0006-0000-0700-0000EF000000}">
      <text>
        <r>
          <rPr>
            <b/>
            <sz val="9"/>
            <color indexed="81"/>
            <rFont val="Tahoma"/>
            <family val="2"/>
          </rPr>
          <t>Author:</t>
        </r>
        <r>
          <rPr>
            <sz val="9"/>
            <color indexed="81"/>
            <rFont val="Tahoma"/>
            <family val="2"/>
          </rPr>
          <t xml:space="preserve">
1/31/17: Expect services revenues to reach Company1032 100 this year, and double over the next four years</t>
        </r>
      </text>
    </comment>
    <comment ref="FO21" authorId="1" shapeId="0" xr:uid="{EB401E23-86EA-451E-8564-1D405818CBEB}">
      <text>
        <r>
          <rPr>
            <b/>
            <sz val="9"/>
            <color indexed="81"/>
            <rFont val="Tahoma"/>
            <family val="2"/>
          </rPr>
          <t>Author:</t>
        </r>
        <r>
          <rPr>
            <sz val="9"/>
            <color indexed="81"/>
            <rFont val="Tahoma"/>
            <family val="2"/>
          </rPr>
          <t xml:space="preserve">
Company2992 (6/28) thinks $100 bn in F2024. </t>
        </r>
      </text>
    </comment>
    <comment ref="CL23" authorId="8" shapeId="0" xr:uid="{DDED368C-5017-403B-9FFD-BD174AA53BEE}">
      <text>
        <r>
          <rPr>
            <b/>
            <sz val="9"/>
            <color indexed="81"/>
            <rFont val="Tahoma"/>
            <family val="2"/>
          </rPr>
          <t>Author:</t>
        </r>
        <r>
          <rPr>
            <sz val="9"/>
            <color indexed="81"/>
            <rFont val="Tahoma"/>
            <family val="2"/>
          </rPr>
          <t xml:space="preserve">
The YoY growth in Services net sales in the first quarter of 2018 was due primarily to increases in licensing and Product0045 sales.</t>
        </r>
      </text>
    </comment>
    <comment ref="CM23" authorId="8" shapeId="0" xr:uid="{C6E73C16-4940-4807-A85C-FF6DFC1315CC}">
      <text>
        <r>
          <rPr>
            <b/>
            <sz val="9"/>
            <color indexed="81"/>
            <rFont val="Tahoma"/>
            <family val="2"/>
          </rPr>
          <t>Author:</t>
        </r>
        <r>
          <rPr>
            <sz val="9"/>
            <color indexed="81"/>
            <rFont val="Tahoma"/>
            <family val="2"/>
          </rPr>
          <t xml:space="preserve">
Services net sales increased during the second quarter of 2018 compared to the same period in 2017 due primarily to licensing, Product0045 and Product0051. Year-over-year growth in Services net sales during the first six months of 2018 was due primarily to licensing, Product0045 and Product0484.</t>
        </r>
      </text>
    </comment>
    <comment ref="CN23" authorId="8" shapeId="0" xr:uid="{0B6D6F9C-0A78-4CCB-AA4C-7E8283C122A4}">
      <text>
        <r>
          <rPr>
            <b/>
            <sz val="9"/>
            <color indexed="81"/>
            <rFont val="Tahoma"/>
            <family val="2"/>
          </rPr>
          <t>Author:</t>
        </r>
        <r>
          <rPr>
            <sz val="9"/>
            <color indexed="81"/>
            <rFont val="Tahoma"/>
            <family val="2"/>
          </rPr>
          <t xml:space="preserve">
Services net sales increased during the third quarter and first nine months of 2018 compared to the same periods in 2017 due primarily to licensing, Product0045 and Product0051. </t>
        </r>
      </text>
    </comment>
    <comment ref="CP23" authorId="8" shapeId="0" xr:uid="{01DEED20-5035-4ACB-A440-5D9850B753AD}">
      <text>
        <r>
          <rPr>
            <b/>
            <sz val="9"/>
            <color indexed="81"/>
            <rFont val="Tahoma"/>
            <family val="2"/>
          </rPr>
          <t>Author:</t>
        </r>
        <r>
          <rPr>
            <sz val="9"/>
            <color indexed="81"/>
            <rFont val="Tahoma"/>
            <family val="2"/>
          </rPr>
          <t xml:space="preserve">
Services net sales increased during the first quarter of 2019 compared to the same quarter in 2018 due primarily to licensing, the Product0045 and Product0051.</t>
        </r>
      </text>
    </comment>
    <comment ref="CQ23" authorId="8" shapeId="0" xr:uid="{D4CA1BD5-AA05-4F13-9C92-ED3E07711D41}">
      <text>
        <r>
          <rPr>
            <b/>
            <sz val="9"/>
            <color indexed="81"/>
            <rFont val="Tahoma"/>
            <family val="2"/>
          </rPr>
          <t>Author:</t>
        </r>
        <r>
          <rPr>
            <sz val="9"/>
            <color indexed="81"/>
            <rFont val="Tahoma"/>
            <family val="2"/>
          </rPr>
          <t xml:space="preserve">
Services net sales increased during the second quarter and first six months of 2019 compared to the same periods in 2018 due primarily to the Product0045, licensing and Product0051.</t>
        </r>
      </text>
    </comment>
    <comment ref="CR23" authorId="8" shapeId="0" xr:uid="{0F25CFA5-B663-4B3F-8255-D182731C650A}">
      <text>
        <r>
          <rPr>
            <b/>
            <sz val="9"/>
            <color indexed="81"/>
            <rFont val="Tahoma"/>
            <family val="2"/>
          </rPr>
          <t>Author:</t>
        </r>
        <r>
          <rPr>
            <sz val="9"/>
            <color indexed="81"/>
            <rFont val="Tahoma"/>
            <family val="2"/>
          </rPr>
          <t xml:space="preserve">
Services net sales increased during the third quarter and first nine months of 2019 compared to the same periods in 2018 due primarily to the Product0045, licensing and Product0051.</t>
        </r>
      </text>
    </comment>
    <comment ref="CT23" authorId="8" shapeId="0" xr:uid="{BEC6652B-1F24-49F6-A65A-7D43A8DFE7E5}">
      <text>
        <r>
          <rPr>
            <b/>
            <sz val="9"/>
            <color indexed="81"/>
            <rFont val="Tahoma"/>
            <family val="2"/>
          </rPr>
          <t>Author:</t>
        </r>
        <r>
          <rPr>
            <sz val="9"/>
            <color indexed="81"/>
            <rFont val="Tahoma"/>
            <family val="2"/>
          </rPr>
          <t xml:space="preserve">
Services net sales increased during the first quarter of 2020 compared to the same quarter in 2019 due primarily to higher net sales from Product0051, the Product0045 and licensing.</t>
        </r>
      </text>
    </comment>
    <comment ref="CU23" authorId="8" shapeId="0" xr:uid="{D73AB5D5-DA3E-46E3-88CB-D1511FB878D0}">
      <text>
        <r>
          <rPr>
            <b/>
            <sz val="9"/>
            <color indexed="81"/>
            <rFont val="Tahoma"/>
            <family val="2"/>
          </rPr>
          <t>Author:</t>
        </r>
        <r>
          <rPr>
            <sz val="9"/>
            <color indexed="81"/>
            <rFont val="Tahoma"/>
            <family val="2"/>
          </rPr>
          <t xml:space="preserve">
Services net sales increased during the second quarter of 2020 compared to the second quarter of 2019, despite the impact of the COVID-19 pandemic, due primarily to higher net sales from the Product0045, licensing and Cloud Services. Year-over-year Services net sales increased during the first six months of 2020 due primarily to higher net sales from the Product0045, licensing and Product0051.</t>
        </r>
      </text>
    </comment>
    <comment ref="CV23" authorId="8" shapeId="0" xr:uid="{5BF70E16-4BEA-43BD-9672-9901FE566155}">
      <text>
        <r>
          <rPr>
            <b/>
            <sz val="9"/>
            <color indexed="81"/>
            <rFont val="Tahoma"/>
            <family val="2"/>
          </rPr>
          <t>Author:</t>
        </r>
        <r>
          <rPr>
            <sz val="9"/>
            <color indexed="81"/>
            <rFont val="Tahoma"/>
            <family val="2"/>
          </rPr>
          <t xml:space="preserve">
Services net sales increased during the third quarter of 2020 compared to the third quarter of 2019 due primarily to higher net sales from the Product0045, Video and Cloud Services. Year-over-year Services net sales increased during the first nine months of 2020 due primarily to higher net sales from the Product0045, Advertising and Product0051. 
Advertising net sales includes net sales from licensing arrangements and the Company’s advertising platforms.</t>
        </r>
      </text>
    </comment>
    <comment ref="CX23" authorId="8" shapeId="0" xr:uid="{E6CA325A-180D-432F-8CDA-AA70BB303CFE}">
      <text>
        <r>
          <rPr>
            <b/>
            <sz val="9"/>
            <color indexed="81"/>
            <rFont val="Tahoma"/>
            <family val="2"/>
          </rPr>
          <t>Author:</t>
        </r>
        <r>
          <rPr>
            <sz val="9"/>
            <color indexed="81"/>
            <rFont val="Tahoma"/>
            <family val="2"/>
          </rPr>
          <t xml:space="preserve">
Services net sales increased during the first quarter of 2021 compared to the same quarter in 2020 due primarily to higher net sales from the Product0045, advertising and cloud services.</t>
        </r>
      </text>
    </comment>
    <comment ref="CY23" authorId="8" shapeId="0" xr:uid="{71659B4C-A813-4A16-85F1-0154E2DBCEB8}">
      <text>
        <r>
          <rPr>
            <b/>
            <sz val="9"/>
            <color indexed="81"/>
            <rFont val="Tahoma"/>
            <family val="2"/>
          </rPr>
          <t>Author:</t>
        </r>
        <r>
          <rPr>
            <sz val="9"/>
            <color indexed="81"/>
            <rFont val="Tahoma"/>
            <family val="2"/>
          </rPr>
          <t xml:space="preserve">
Services net sales increased during the second quarter and first six months of 2021 compared to the same periods in 2020 due primarily to higher net sales from the Product0045, advertising and cloud services.</t>
        </r>
      </text>
    </comment>
    <comment ref="CZ23" authorId="8" shapeId="0" xr:uid="{F99108B8-93A8-47FC-BFCB-8D2289157276}">
      <text>
        <r>
          <rPr>
            <b/>
            <sz val="9"/>
            <color indexed="81"/>
            <rFont val="Tahoma"/>
            <family val="2"/>
          </rPr>
          <t>Author:</t>
        </r>
        <r>
          <rPr>
            <sz val="9"/>
            <color indexed="81"/>
            <rFont val="Tahoma"/>
            <family val="2"/>
          </rPr>
          <t xml:space="preserve">
Services net sales increased during the third quarter of 2021 compared to the third quarter of 2020 due primarily to higher net sales from advertising, the Product0045 and Product0051. Year-over-year Services net sales increased during the first nine months of 2021 due primarily to higher net sales from advertising, the Product0045 and cloud services.</t>
        </r>
      </text>
    </comment>
    <comment ref="DB23" authorId="8" shapeId="0" xr:uid="{DEF51825-94E7-4FBF-8447-BE75FDA393D4}">
      <text>
        <r>
          <rPr>
            <b/>
            <sz val="9"/>
            <color indexed="81"/>
            <rFont val="Tahoma"/>
            <family val="2"/>
          </rPr>
          <t>Author:</t>
        </r>
        <r>
          <rPr>
            <sz val="9"/>
            <color indexed="81"/>
            <rFont val="Tahoma"/>
            <family val="2"/>
          </rPr>
          <t xml:space="preserve">
Services net sales increased during the first quarter of 2022 compared to the same quarter in 2021 due primarily to higher net sales from advertising, the Product0045 ® and cloud services.</t>
        </r>
      </text>
    </comment>
    <comment ref="DC23" authorId="8" shapeId="0" xr:uid="{69E20FDA-40D1-404E-A95F-2A0EE93C735A}">
      <text>
        <r>
          <rPr>
            <b/>
            <sz val="9"/>
            <color indexed="81"/>
            <rFont val="Tahoma"/>
            <family val="2"/>
          </rPr>
          <t>Author:</t>
        </r>
        <r>
          <rPr>
            <sz val="9"/>
            <color indexed="81"/>
            <rFont val="Tahoma"/>
            <family val="2"/>
          </rPr>
          <t xml:space="preserve">
Services net sales increased during the second quarter and first six months of 2022 compared to the same periods in 2021 due primarily to higher net sales from advertising, the Product0045 ® and cloud services.</t>
        </r>
      </text>
    </comment>
    <comment ref="DD23" authorId="8" shapeId="0" xr:uid="{3B763748-143E-4A82-956C-1A9FDF449F15}">
      <text>
        <r>
          <rPr>
            <b/>
            <sz val="9"/>
            <color indexed="81"/>
            <rFont val="Tahoma"/>
            <family val="2"/>
          </rPr>
          <t>Author:</t>
        </r>
        <r>
          <rPr>
            <sz val="9"/>
            <color indexed="81"/>
            <rFont val="Tahoma"/>
            <family val="2"/>
          </rPr>
          <t xml:space="preserve">
Services net sales increased during the third quarter of 2022 compared to the third quarter of 2021 due primarily to higher net sales from advertising, cloud services and Product0051. YoY Services net sales increased during the first nine months of 2022 due primarily to higher net sales from advertising, the Product0045® and cloud services</t>
        </r>
      </text>
    </comment>
    <comment ref="FI23" authorId="8" shapeId="0" xr:uid="{843E7867-E842-4E23-B83F-8988B67250A7}">
      <text>
        <r>
          <rPr>
            <b/>
            <sz val="9"/>
            <color indexed="81"/>
            <rFont val="Tahoma"/>
            <family val="2"/>
          </rPr>
          <t>Author:</t>
        </r>
        <r>
          <rPr>
            <sz val="9"/>
            <color indexed="81"/>
            <rFont val="Tahoma"/>
            <family val="2"/>
          </rPr>
          <t xml:space="preserve">
The YoY growth in Services net sales in 2018 was due primarily to licensing, Product0045 and Product0051.</t>
        </r>
      </text>
    </comment>
    <comment ref="FJ23" authorId="8" shapeId="0" xr:uid="{8AF792B2-EE6E-4151-9A0F-4D5AE1246649}">
      <text>
        <r>
          <rPr>
            <b/>
            <sz val="9"/>
            <color indexed="81"/>
            <rFont val="Tahoma"/>
            <family val="2"/>
          </rPr>
          <t>Author:</t>
        </r>
        <r>
          <rPr>
            <sz val="9"/>
            <color indexed="81"/>
            <rFont val="Tahoma"/>
            <family val="2"/>
          </rPr>
          <t xml:space="preserve">
Services net sales increased during 2019 compared to 2018 due primarily to higher net sales from the Product0045, licensing and Product0051.</t>
        </r>
      </text>
    </comment>
    <comment ref="FK23" authorId="8" shapeId="0" xr:uid="{94F9918C-ACE1-4906-BBFE-7136690C566C}">
      <text>
        <r>
          <rPr>
            <b/>
            <sz val="9"/>
            <color indexed="81"/>
            <rFont val="Tahoma"/>
            <family val="2"/>
          </rPr>
          <t>Author:</t>
        </r>
        <r>
          <rPr>
            <sz val="9"/>
            <color indexed="81"/>
            <rFont val="Tahoma"/>
            <family val="2"/>
          </rPr>
          <t xml:space="preserve">
Services net sales increased during 2020 compared to 2019 due primarily to higher net sales from the Product0045, advertising and cloud services.</t>
        </r>
      </text>
    </comment>
    <comment ref="FL23" authorId="8" shapeId="0" xr:uid="{387F9573-B10F-4DB9-B518-9F90C484F118}">
      <text>
        <r>
          <rPr>
            <b/>
            <sz val="9"/>
            <color indexed="81"/>
            <rFont val="Tahoma"/>
            <family val="2"/>
          </rPr>
          <t>Author:</t>
        </r>
        <r>
          <rPr>
            <sz val="9"/>
            <color indexed="81"/>
            <rFont val="Tahoma"/>
            <family val="2"/>
          </rPr>
          <t xml:space="preserve">
Services net sales increased during 2021 compared to 2020 due primarily to higher net sales from advertising, the Product0045 and cloud services.</t>
        </r>
      </text>
    </comment>
    <comment ref="FM23" authorId="1" shapeId="0" xr:uid="{726EBA21-7554-4E8F-AD56-1CCB9A23C9D1}">
      <text>
        <r>
          <rPr>
            <b/>
            <sz val="9"/>
            <color indexed="81"/>
            <rFont val="Tahoma"/>
            <family val="2"/>
          </rPr>
          <t>Author:</t>
        </r>
        <r>
          <rPr>
            <sz val="9"/>
            <color indexed="81"/>
            <rFont val="Tahoma"/>
            <family val="2"/>
          </rPr>
          <t xml:space="preserve">
Services net sales increased during 2022 compared to 2021 due primarily to higher net sales from advertising, cloud services and the Product0045.</t>
        </r>
      </text>
    </comment>
    <comment ref="FN23" authorId="1" shapeId="0" xr:uid="{8E040D91-F84B-4455-B895-BBC917E615BE}">
      <text>
        <r>
          <rPr>
            <b/>
            <sz val="9"/>
            <color indexed="81"/>
            <rFont val="Tahoma"/>
            <family val="2"/>
          </rPr>
          <t>Author:</t>
        </r>
        <r>
          <rPr>
            <sz val="9"/>
            <color indexed="81"/>
            <rFont val="Tahoma"/>
            <family val="2"/>
          </rPr>
          <t xml:space="preserve">
Services net sales increased 9% or $7.1 billion during 2023 compared to 2022 due to higher net sales across all lines of business.</t>
        </r>
      </text>
    </comment>
    <comment ref="CH24" authorId="1" shapeId="0" xr:uid="{F73B31CB-4EC3-4A88-AD48-D94E7AE8A942}">
      <text>
        <r>
          <rPr>
            <b/>
            <sz val="9"/>
            <color indexed="81"/>
            <rFont val="Tahoma"/>
            <family val="2"/>
          </rPr>
          <t>Author:</t>
        </r>
        <r>
          <rPr>
            <sz val="9"/>
            <color indexed="81"/>
            <rFont val="Tahoma"/>
            <family val="2"/>
          </rPr>
          <t xml:space="preserve">
43% normalized for 14th week</t>
        </r>
      </text>
    </comment>
    <comment ref="CL24" authorId="1" shapeId="0" xr:uid="{5F78314E-5BCC-4980-8685-F4C1DF91702F}">
      <text>
        <r>
          <rPr>
            <b/>
            <sz val="9"/>
            <color indexed="81"/>
            <rFont val="Tahoma"/>
            <family val="2"/>
          </rPr>
          <t>Author:</t>
        </r>
        <r>
          <rPr>
            <sz val="9"/>
            <color indexed="81"/>
            <rFont val="Tahoma"/>
            <family val="2"/>
          </rPr>
          <t xml:space="preserve">
23% normaized for 14 weeks</t>
        </r>
      </text>
    </comment>
    <comment ref="DF24" authorId="1" shapeId="0" xr:uid="{89C9C01C-E8C9-4B1E-A4A4-4FDEEC5DB26D}">
      <text>
        <r>
          <rPr>
            <b/>
            <sz val="9"/>
            <color indexed="81"/>
            <rFont val="Tahoma"/>
            <family val="2"/>
          </rPr>
          <t>Author:</t>
        </r>
        <r>
          <rPr>
            <sz val="9"/>
            <color indexed="81"/>
            <rFont val="Tahoma"/>
            <family val="2"/>
          </rPr>
          <t xml:space="preserve">
Up yoy (#2)</t>
        </r>
      </text>
    </comment>
    <comment ref="DF25" authorId="1" shapeId="0" xr:uid="{A86A4FC9-64B2-4F5E-9AE7-ED5D8CD86F35}">
      <text>
        <r>
          <rPr>
            <b/>
            <sz val="9"/>
            <color indexed="81"/>
            <rFont val="Tahoma"/>
            <family val="2"/>
          </rPr>
          <t>Author:</t>
        </r>
        <r>
          <rPr>
            <sz val="9"/>
            <color indexed="81"/>
            <rFont val="Tahoma"/>
            <family val="2"/>
          </rPr>
          <t xml:space="preserve">
Cloud up  (#1)</t>
        </r>
      </text>
    </comment>
    <comment ref="DG25" authorId="1" shapeId="0" xr:uid="{EBBA4ED0-7EE5-4520-9986-9611B6DA160F}">
      <text>
        <r>
          <rPr>
            <b/>
            <sz val="9"/>
            <color indexed="81"/>
            <rFont val="Tahoma"/>
            <family val="2"/>
          </rPr>
          <t>Author:</t>
        </r>
        <r>
          <rPr>
            <sz val="9"/>
            <color indexed="81"/>
            <rFont val="Tahoma"/>
            <family val="2"/>
          </rPr>
          <t xml:space="preserve">
Cloud #1</t>
        </r>
      </text>
    </comment>
    <comment ref="DF27" authorId="1" shapeId="0" xr:uid="{F9B0CA07-CC72-4EBB-A60B-180DA5E97469}">
      <text>
        <r>
          <rPr>
            <b/>
            <sz val="9"/>
            <color indexed="81"/>
            <rFont val="Tahoma"/>
            <family val="2"/>
          </rPr>
          <t>Author:</t>
        </r>
        <r>
          <rPr>
            <sz val="9"/>
            <color indexed="81"/>
            <rFont val="Tahoma"/>
            <family val="2"/>
          </rPr>
          <t xml:space="preserve">
Music (#3)</t>
        </r>
      </text>
    </comment>
    <comment ref="DG27" authorId="1" shapeId="0" xr:uid="{D7929818-0465-4AD4-A22D-3A35E15E31E4}">
      <text>
        <r>
          <rPr>
            <b/>
            <sz val="9"/>
            <color indexed="81"/>
            <rFont val="Tahoma"/>
            <family val="2"/>
          </rPr>
          <t>Author:</t>
        </r>
        <r>
          <rPr>
            <sz val="9"/>
            <color indexed="81"/>
            <rFont val="Tahoma"/>
            <family val="2"/>
          </rPr>
          <t xml:space="preserve">
Music #2</t>
        </r>
      </text>
    </comment>
    <comment ref="CV29" authorId="1" shapeId="0" xr:uid="{98F1CAA3-A7F9-4031-B400-0B3282038441}">
      <text>
        <r>
          <rPr>
            <b/>
            <sz val="9"/>
            <color indexed="81"/>
            <rFont val="Tahoma"/>
            <family val="2"/>
          </rPr>
          <t>Author:</t>
        </r>
        <r>
          <rPr>
            <sz val="9"/>
            <color indexed="81"/>
            <rFont val="Tahoma"/>
            <family val="2"/>
          </rPr>
          <t xml:space="preserve">
Negativley impacted by COVID</t>
        </r>
      </text>
    </comment>
    <comment ref="DG31" authorId="1" shapeId="0" xr:uid="{749B9BF2-6737-4A81-B011-5557062EA166}">
      <text>
        <r>
          <rPr>
            <b/>
            <sz val="9"/>
            <color indexed="81"/>
            <rFont val="Tahoma"/>
            <family val="2"/>
          </rPr>
          <t>Author:</t>
        </r>
        <r>
          <rPr>
            <sz val="9"/>
            <color indexed="81"/>
            <rFont val="Tahoma"/>
            <family val="2"/>
          </rPr>
          <t xml:space="preserve">
Advertising #3</t>
        </r>
      </text>
    </comment>
    <comment ref="DH31" authorId="1" shapeId="0" xr:uid="{4D6399A2-1DD3-42D0-9705-039774D287EF}">
      <text>
        <r>
          <rPr>
            <b/>
            <sz val="9"/>
            <color indexed="81"/>
            <rFont val="Tahoma"/>
            <family val="2"/>
          </rPr>
          <t>Author:</t>
        </r>
        <r>
          <rPr>
            <sz val="9"/>
            <color indexed="81"/>
            <rFont val="Tahoma"/>
            <family val="2"/>
          </rPr>
          <t xml:space="preserve">
10-q: advertising, cloud, app store</t>
        </r>
      </text>
    </comment>
    <comment ref="DJ31" authorId="1" shapeId="0" xr:uid="{83891BCF-90B8-4F63-912B-911A3FE6BDBD}">
      <text>
        <r>
          <rPr>
            <b/>
            <sz val="9"/>
            <color indexed="81"/>
            <rFont val="Tahoma"/>
            <family val="2"/>
          </rPr>
          <t>Author:</t>
        </r>
        <r>
          <rPr>
            <sz val="9"/>
            <color indexed="81"/>
            <rFont val="Tahoma"/>
            <family val="2"/>
          </rPr>
          <t xml:space="preserve">
10-Q: Advertising, Video, Cloud up yoy </t>
        </r>
      </text>
    </comment>
    <comment ref="CH34" authorId="7" shapeId="0" xr:uid="{88EC972F-43EA-4FA7-95FE-65E6699FC76C}">
      <text>
        <r>
          <rPr>
            <b/>
            <sz val="9"/>
            <color indexed="81"/>
            <rFont val="Tahoma"/>
            <family val="2"/>
          </rPr>
          <t>Author:</t>
        </r>
        <r>
          <rPr>
            <sz val="9"/>
            <color indexed="81"/>
            <rFont val="Tahoma"/>
            <family val="2"/>
          </rPr>
          <t xml:space="preserve">
Not compounding the $548mn one-time gain in the year-ago period</t>
        </r>
      </text>
    </comment>
    <comment ref="CR34" authorId="6" shapeId="0" xr:uid="{7988E90B-2DE0-4AB0-A41D-4BAE8822B844}">
      <text>
        <r>
          <rPr>
            <b/>
            <sz val="9"/>
            <color indexed="81"/>
            <rFont val="Tahoma"/>
            <family val="2"/>
          </rPr>
          <t>Author:</t>
        </r>
        <r>
          <rPr>
            <sz val="9"/>
            <color indexed="81"/>
            <rFont val="Tahoma"/>
            <family val="2"/>
          </rPr>
          <t xml:space="preserve">
ex. $236m one-off last year, growth was 15% Y/Y and in constanct currency it was 18%</t>
        </r>
      </text>
    </comment>
    <comment ref="DA34" authorId="1" shapeId="0" xr:uid="{B6F21554-6DA8-4B44-88A9-FF67D46C4777}">
      <text>
        <r>
          <rPr>
            <b/>
            <sz val="9"/>
            <color indexed="81"/>
            <rFont val="Tahoma"/>
            <family val="2"/>
          </rPr>
          <t xml:space="preserve">Author:
</t>
        </r>
        <r>
          <rPr>
            <sz val="9"/>
            <color indexed="81"/>
            <rFont val="Tahoma"/>
            <family val="2"/>
          </rPr>
          <t>F3Q21: Services growth will return to more typical level (v. F3Q21)</t>
        </r>
      </text>
    </comment>
    <comment ref="DC34" authorId="1" shapeId="0" xr:uid="{E284CD72-7D57-4471-9623-6111A666C023}">
      <text>
        <r>
          <rPr>
            <b/>
            <sz val="9"/>
            <color indexed="81"/>
            <rFont val="Tahoma"/>
            <family val="2"/>
          </rPr>
          <t>Author:</t>
        </r>
        <r>
          <rPr>
            <sz val="9"/>
            <color indexed="81"/>
            <rFont val="Tahoma"/>
            <family val="2"/>
          </rPr>
          <t xml:space="preserve">
F1Q22: grow DD but decelrate from F1Q growth</t>
        </r>
      </text>
    </comment>
    <comment ref="DD34" authorId="1" shapeId="0" xr:uid="{42FE502E-F7C9-4364-9090-7123601A403B}">
      <text>
        <r>
          <rPr>
            <b/>
            <sz val="9"/>
            <color indexed="81"/>
            <rFont val="Tahoma"/>
            <family val="2"/>
          </rPr>
          <t>Author:</t>
        </r>
        <r>
          <rPr>
            <sz val="9"/>
            <color indexed="81"/>
            <rFont val="Tahoma"/>
            <family val="2"/>
          </rPr>
          <t xml:space="preserve">
F3Q22: +17% ex forex (500 bps forex headwind)</t>
        </r>
      </text>
    </comment>
    <comment ref="DE34" authorId="1" shapeId="0" xr:uid="{0A46D6B1-3042-4FE6-8671-B2F8DD9B8A91}">
      <text>
        <r>
          <rPr>
            <b/>
            <sz val="9"/>
            <color indexed="81"/>
            <rFont val="Tahoma"/>
            <family val="2"/>
          </rPr>
          <t>Author:</t>
        </r>
        <r>
          <rPr>
            <sz val="9"/>
            <color indexed="81"/>
            <rFont val="Tahoma"/>
            <family val="2"/>
          </rPr>
          <t xml:space="preserve">
F4Q22: Large forex headwinds.
DD constant currency yoy growth
Certain services were hurt by macro headwinds, including foreign exchange.
Seeing softness in digital advertising + gaming.
% of accounts that pay for services is incr3easign. Still see plenty of opportuntiy. </t>
        </r>
      </text>
    </comment>
    <comment ref="DF34" authorId="1" shapeId="0" xr:uid="{C5F4C92E-D8F6-4B4D-B917-78407C3448B2}">
      <text>
        <r>
          <rPr>
            <b/>
            <sz val="9"/>
            <color indexed="81"/>
            <rFont val="Tahoma"/>
            <family val="2"/>
          </rPr>
          <t>Author:</t>
        </r>
        <r>
          <rPr>
            <sz val="9"/>
            <color indexed="81"/>
            <rFont val="Tahoma"/>
            <family val="2"/>
          </rPr>
          <t xml:space="preserve">
SERVICES will grow but ads, gaming, forex to be weak.</t>
        </r>
      </text>
    </comment>
    <comment ref="FN34" authorId="1" shapeId="0" xr:uid="{81866825-58E0-4CAF-9090-5E30FA02D30D}">
      <text>
        <r>
          <rPr>
            <b/>
            <sz val="9"/>
            <color indexed="81"/>
            <rFont val="Tahoma"/>
            <family val="2"/>
          </rPr>
          <t>Author:</t>
        </r>
        <r>
          <rPr>
            <sz val="9"/>
            <color indexed="81"/>
            <rFont val="Tahoma"/>
            <family val="2"/>
          </rPr>
          <t xml:space="preserve">
F4Q22: investing confidently and doubled in last 4 years. </t>
        </r>
      </text>
    </comment>
    <comment ref="CH37" authorId="1" shapeId="0" xr:uid="{3316BD6E-33A8-4614-AC96-C24539C4632D}">
      <text>
        <r>
          <rPr>
            <b/>
            <sz val="9"/>
            <color indexed="81"/>
            <rFont val="Tahoma"/>
            <family val="2"/>
          </rPr>
          <t>Author:</t>
        </r>
        <r>
          <rPr>
            <sz val="9"/>
            <color indexed="81"/>
            <rFont val="Tahoma"/>
            <family val="2"/>
          </rPr>
          <t xml:space="preserve">
43% normalized for 14th week</t>
        </r>
      </text>
    </comment>
    <comment ref="CL37" authorId="1" shapeId="0" xr:uid="{26DF05FF-DFB7-4DE2-A8F4-C15DA41C5210}">
      <text>
        <r>
          <rPr>
            <b/>
            <sz val="9"/>
            <color indexed="81"/>
            <rFont val="Tahoma"/>
            <family val="2"/>
          </rPr>
          <t>Author:</t>
        </r>
        <r>
          <rPr>
            <sz val="9"/>
            <color indexed="81"/>
            <rFont val="Tahoma"/>
            <family val="2"/>
          </rPr>
          <t xml:space="preserve">
23% normaized for 14 weeks</t>
        </r>
      </text>
    </comment>
    <comment ref="DF37" authorId="1" shapeId="0" xr:uid="{7683159B-1508-4341-9B5A-B95514CEBDF6}">
      <text>
        <r>
          <rPr>
            <b/>
            <sz val="9"/>
            <color indexed="81"/>
            <rFont val="Tahoma"/>
            <family val="2"/>
          </rPr>
          <t>Author:</t>
        </r>
        <r>
          <rPr>
            <sz val="9"/>
            <color indexed="81"/>
            <rFont val="Tahoma"/>
            <family val="2"/>
          </rPr>
          <t xml:space="preserve">
F1Q23: DD% growth in Product0045 subscriptons and all-time revenue records across a # of categories including cloud and payments. </t>
        </r>
      </text>
    </comment>
    <comment ref="DP37" authorId="4" shapeId="0" xr:uid="{09E4C5A2-9F08-4D39-973F-1862021BCE56}">
      <text>
        <r>
          <rPr>
            <b/>
            <sz val="9"/>
            <color indexed="81"/>
            <rFont val="Tahoma"/>
            <family val="2"/>
          </rPr>
          <t>Author:</t>
        </r>
        <r>
          <rPr>
            <sz val="9"/>
            <color indexed="81"/>
            <rFont val="Tahoma"/>
            <family val="2"/>
          </rPr>
          <t xml:space="preserve">
F3Q25: App store grew DD%, set a june quarter record</t>
        </r>
      </text>
    </comment>
    <comment ref="DG46" authorId="1" shapeId="0" xr:uid="{65D7A482-21F5-4243-BDCA-D97A8D4401A9}">
      <text>
        <r>
          <rPr>
            <b/>
            <sz val="9"/>
            <color indexed="81"/>
            <rFont val="Tahoma"/>
            <family val="2"/>
          </rPr>
          <t>Author:</t>
        </r>
        <r>
          <rPr>
            <sz val="9"/>
            <color indexed="81"/>
            <rFont val="Tahoma"/>
            <family val="2"/>
          </rPr>
          <t xml:space="preserve">
Advertising may benefit from Company1722 soccer</t>
        </r>
      </text>
    </comment>
    <comment ref="CH47" authorId="7" shapeId="0" xr:uid="{00000000-0006-0000-0700-0000F0000000}">
      <text>
        <r>
          <rPr>
            <b/>
            <sz val="9"/>
            <color indexed="81"/>
            <rFont val="Tahoma"/>
            <family val="2"/>
          </rPr>
          <t>Author:</t>
        </r>
        <r>
          <rPr>
            <sz val="9"/>
            <color indexed="81"/>
            <rFont val="Tahoma"/>
            <family val="2"/>
          </rPr>
          <t xml:space="preserve">
Not compounding the $548mn one-time gain in the year-ago period</t>
        </r>
      </text>
    </comment>
    <comment ref="CR47" authorId="6" shapeId="0" xr:uid="{00000000-0006-0000-0700-0000F1000000}">
      <text>
        <r>
          <rPr>
            <b/>
            <sz val="9"/>
            <color indexed="81"/>
            <rFont val="Tahoma"/>
            <family val="2"/>
          </rPr>
          <t>Author:</t>
        </r>
        <r>
          <rPr>
            <sz val="9"/>
            <color indexed="81"/>
            <rFont val="Tahoma"/>
            <family val="2"/>
          </rPr>
          <t xml:space="preserve">
ex. $236m one-off last year, growth was 15% Y/Y and in constanct currency it was 18%</t>
        </r>
      </text>
    </comment>
    <comment ref="CU47" authorId="1" shapeId="0" xr:uid="{7503872C-1FDF-4C9C-B941-FEE1B6A47E07}">
      <text>
        <r>
          <rPr>
            <b/>
            <sz val="9"/>
            <color indexed="81"/>
            <rFont val="Tahoma"/>
            <family val="2"/>
          </rPr>
          <t>Author:</t>
        </r>
        <r>
          <rPr>
            <sz val="9"/>
            <color indexed="81"/>
            <rFont val="Tahoma"/>
            <family val="2"/>
          </rPr>
          <t xml:space="preserve">
F2Q20: hurt by advertising softness due to COVID.. Product0051 also weak</t>
        </r>
      </text>
    </comment>
    <comment ref="CV47" authorId="1" shapeId="0" xr:uid="{8A8472BD-EDF1-4EDC-89CA-AB8AA71D0317}">
      <text>
        <r>
          <rPr>
            <b/>
            <sz val="9"/>
            <color indexed="81"/>
            <rFont val="Tahoma"/>
            <family val="2"/>
          </rPr>
          <t>Author:</t>
        </r>
        <r>
          <rPr>
            <sz val="9"/>
            <color indexed="81"/>
            <rFont val="Tahoma"/>
            <family val="2"/>
          </rPr>
          <t xml:space="preserve">
F3Q20: hurt by advertising softness due to COVID.. Product0051 also weak</t>
        </r>
      </text>
    </comment>
    <comment ref="CZ47" authorId="1" shapeId="0" xr:uid="{C8884E57-5323-48A6-A6AB-06D5BC659ECC}">
      <text>
        <r>
          <rPr>
            <b/>
            <sz val="9"/>
            <color indexed="81"/>
            <rFont val="Tahoma"/>
            <family val="2"/>
          </rPr>
          <t>Author:</t>
        </r>
        <r>
          <rPr>
            <sz val="9"/>
            <color indexed="81"/>
            <rFont val="Tahoma"/>
            <family val="2"/>
          </rPr>
          <t xml:space="preserve">
F3Q21: strong services growth from easy comps on advetising + Company0242 Care due to year-ago CVOID issues</t>
        </r>
      </text>
    </comment>
    <comment ref="DA47" authorId="1" shapeId="0" xr:uid="{1943DC62-A662-45F2-AE47-5DE90E969188}">
      <text>
        <r>
          <rPr>
            <b/>
            <sz val="9"/>
            <color indexed="81"/>
            <rFont val="Tahoma"/>
            <family val="2"/>
          </rPr>
          <t xml:space="preserve">Author:
</t>
        </r>
        <r>
          <rPr>
            <sz val="9"/>
            <color indexed="81"/>
            <rFont val="Tahoma"/>
            <family val="2"/>
          </rPr>
          <t>F3Q21: Services growth will return to more typical level (v. F3Q21)</t>
        </r>
      </text>
    </comment>
    <comment ref="DC47" authorId="1" shapeId="0" xr:uid="{ABAFE75E-1195-4D75-B2E3-80953CADBD71}">
      <text>
        <r>
          <rPr>
            <b/>
            <sz val="9"/>
            <color indexed="81"/>
            <rFont val="Tahoma"/>
            <family val="2"/>
          </rPr>
          <t>Author:</t>
        </r>
        <r>
          <rPr>
            <sz val="9"/>
            <color indexed="81"/>
            <rFont val="Tahoma"/>
            <family val="2"/>
          </rPr>
          <t xml:space="preserve">
F1Q22: grow DD but decelrate from F1Q growth</t>
        </r>
      </text>
    </comment>
    <comment ref="DD47" authorId="1" shapeId="0" xr:uid="{78F048C8-4992-46A8-8F21-9FE4AEEB649C}">
      <text>
        <r>
          <rPr>
            <b/>
            <sz val="9"/>
            <color indexed="81"/>
            <rFont val="Tahoma"/>
            <family val="2"/>
          </rPr>
          <t>Author:</t>
        </r>
        <r>
          <rPr>
            <sz val="9"/>
            <color indexed="81"/>
            <rFont val="Tahoma"/>
            <family val="2"/>
          </rPr>
          <t xml:space="preserve">
F3Q22: +17% ex forex (500 bps forex headwind)
F2Q22: Growth will be less than the 17% reported in F2Q - forex, COVID volatility</t>
        </r>
      </text>
    </comment>
    <comment ref="DE47" authorId="1" shapeId="0" xr:uid="{1E8760EB-2CA9-44FD-8E5F-E6D2FE38222D}">
      <text>
        <r>
          <rPr>
            <b/>
            <sz val="9"/>
            <color indexed="81"/>
            <rFont val="Tahoma"/>
            <family val="2"/>
          </rPr>
          <t>Author:</t>
        </r>
        <r>
          <rPr>
            <sz val="9"/>
            <color indexed="81"/>
            <rFont val="Tahoma"/>
            <family val="2"/>
          </rPr>
          <t xml:space="preserve">
F4Q22: Large forex headwinds.
DD constant currency yoy growth
Certain services were hurt by macro headwinds, including foreign exchange.
Seeing softness in digital advertising + gaming.
% of accounts that pay for services is incr3easign. Still see plenty of opportuntiy. </t>
        </r>
      </text>
    </comment>
    <comment ref="DF47" authorId="1" shapeId="0" xr:uid="{0AFCE1B1-30D3-4775-9824-2386953E193C}">
      <text>
        <r>
          <rPr>
            <b/>
            <sz val="9"/>
            <color indexed="81"/>
            <rFont val="Tahoma"/>
            <family val="2"/>
          </rPr>
          <t>Author:</t>
        </r>
        <r>
          <rPr>
            <sz val="9"/>
            <color indexed="81"/>
            <rFont val="Tahoma"/>
            <family val="2"/>
          </rPr>
          <t xml:space="preserve">
F1Q23: better than expected, up DD on a constant currency basis; outperformance driven by Product0047, Cloud, and Music; weakness in advertising &amp; gaming against macro weakness
F4Q22: SERVICES will grow but ads, gaming, forex to be weak.</t>
        </r>
      </text>
    </comment>
    <comment ref="DG47" authorId="4" shapeId="0" xr:uid="{3BACFBF5-429A-47FE-BEC8-A713A501BC70}">
      <text>
        <r>
          <rPr>
            <b/>
            <sz val="9"/>
            <color indexed="81"/>
            <rFont val="Tahoma"/>
            <family val="2"/>
          </rPr>
          <t>Author:</t>
        </r>
        <r>
          <rPr>
            <sz val="9"/>
            <color indexed="81"/>
            <rFont val="Tahoma"/>
            <family val="2"/>
          </rPr>
          <t xml:space="preserve">
F1Q23: should grow y/y, macro headwinds in ads &amp; mobile gaming
</t>
        </r>
      </text>
    </comment>
    <comment ref="DH47" authorId="1" shapeId="0" xr:uid="{9D104333-EBD9-4702-9960-1E9770946FC8}">
      <text>
        <r>
          <rPr>
            <b/>
            <sz val="9"/>
            <color indexed="81"/>
            <rFont val="Tahoma"/>
            <family val="2"/>
          </rPr>
          <t>Author:</t>
        </r>
        <r>
          <rPr>
            <sz val="9"/>
            <color indexed="81"/>
            <rFont val="Tahoma"/>
            <family val="2"/>
          </rPr>
          <t xml:space="preserve">
F2Q23: Services growth similar to F2Q (+5% yoy)
Based on assumption around ADVERTISING + PRODUCT0045</t>
        </r>
      </text>
    </comment>
    <comment ref="DI47" authorId="1" shapeId="0" xr:uid="{7B794E04-11B3-4F10-9307-8B4F50CAF2BD}">
      <text>
        <r>
          <rPr>
            <b/>
            <sz val="9"/>
            <color indexed="81"/>
            <rFont val="Tahoma"/>
            <family val="2"/>
          </rPr>
          <t>Author:</t>
        </r>
        <r>
          <rPr>
            <sz val="9"/>
            <color indexed="81"/>
            <rFont val="Tahoma"/>
            <family val="2"/>
          </rPr>
          <t xml:space="preserve">
F3Q23: accelerate v. F3Q23 growth of +8% yoy
8/3/2023: accelerate on FXN basis as well </t>
        </r>
      </text>
    </comment>
    <comment ref="DJ47" authorId="1" shapeId="0" xr:uid="{1B74F061-33EA-4325-8777-FE91947C7322}">
      <text>
        <r>
          <rPr>
            <b/>
            <sz val="9"/>
            <color indexed="81"/>
            <rFont val="Tahoma"/>
            <family val="2"/>
          </rPr>
          <t>Author:</t>
        </r>
        <r>
          <rPr>
            <sz val="9"/>
            <color indexed="81"/>
            <rFont val="Tahoma"/>
            <family val="2"/>
          </rPr>
          <t xml:space="preserve">
Average revenue per week to grow at a similar DD% rate as it did in the F4Q23 quarter
Implies 16% - 7%? </t>
        </r>
      </text>
    </comment>
    <comment ref="DK47" authorId="1" shapeId="0" xr:uid="{DB379ED6-40F8-4216-9014-392835156775}">
      <text>
        <r>
          <rPr>
            <b/>
            <sz val="9"/>
            <color indexed="81"/>
            <rFont val="Tahoma"/>
            <family val="2"/>
          </rPr>
          <t>Author:</t>
        </r>
        <r>
          <rPr>
            <sz val="9"/>
            <color indexed="81"/>
            <rFont val="Tahoma"/>
            <family val="2"/>
          </rPr>
          <t xml:space="preserve">
F1Q24: Services growth to be similar to F1Q24 (+11% yoy)
11/2/2023: price increases to flow in from the end of November to the end of December
Do ASP increases help to offset churn? </t>
        </r>
      </text>
    </comment>
    <comment ref="DL47" authorId="1" shapeId="0" xr:uid="{D416D68C-DE68-4520-9209-68CC2176182B}">
      <text>
        <r>
          <rPr>
            <b/>
            <sz val="9"/>
            <color indexed="81"/>
            <rFont val="Tahoma"/>
            <family val="2"/>
          </rPr>
          <t>Author:</t>
        </r>
        <r>
          <rPr>
            <sz val="9"/>
            <color indexed="81"/>
            <rFont val="Tahoma"/>
            <family val="2"/>
          </rPr>
          <t xml:space="preserve">
F2Q24: ~+13% (similar to F1H24 yoy growth)</t>
        </r>
      </text>
    </comment>
    <comment ref="DM47" authorId="4" shapeId="0" xr:uid="{5625F4B0-93F6-4ACB-95F5-D9C51F93BFD2}">
      <text>
        <r>
          <rPr>
            <b/>
            <sz val="9"/>
            <color indexed="81"/>
            <rFont val="Tahoma"/>
            <family val="2"/>
          </rPr>
          <t>Author:</t>
        </r>
        <r>
          <rPr>
            <sz val="9"/>
            <color indexed="81"/>
            <rFont val="Tahoma"/>
            <family val="2"/>
          </rPr>
          <t xml:space="preserve">
F3Q24: dd% growth similar to the first three quarter fo the year (+13% yoy) </t>
        </r>
      </text>
    </comment>
    <comment ref="DN47" authorId="1" shapeId="0" xr:uid="{28F7AF97-9317-46A4-A080-D0A057CCAB6E}">
      <text>
        <r>
          <rPr>
            <b/>
            <sz val="9"/>
            <color indexed="81"/>
            <rFont val="Tahoma"/>
            <family val="2"/>
          </rPr>
          <t>Author:</t>
        </r>
        <r>
          <rPr>
            <sz val="9"/>
            <color indexed="81"/>
            <rFont val="Tahoma"/>
            <family val="2"/>
          </rPr>
          <t xml:space="preserve">
F4Q24: DD%, similar to F2024 (+13% yoy)</t>
        </r>
      </text>
    </comment>
    <comment ref="DO47" authorId="4" shapeId="0" xr:uid="{D58ECBCB-CC1C-4CAA-BBAA-F17EFB9EB356}">
      <text>
        <r>
          <rPr>
            <b/>
            <sz val="9"/>
            <color indexed="81"/>
            <rFont val="Tahoma"/>
            <family val="2"/>
          </rPr>
          <t>Author:</t>
        </r>
        <r>
          <rPr>
            <sz val="9"/>
            <color indexed="81"/>
            <rFont val="Tahoma"/>
            <family val="2"/>
          </rPr>
          <t xml:space="preserve">
F1Q25: low dd% growth. Would be seimilar to F1Q25 ex forex </t>
        </r>
      </text>
    </comment>
    <comment ref="DP47" authorId="1" shapeId="0" xr:uid="{9D1AC44F-5DF0-4119-8616-25C3B7882D00}">
      <text>
        <r>
          <rPr>
            <b/>
            <sz val="9"/>
            <color indexed="81"/>
            <rFont val="Tahoma"/>
            <family val="2"/>
          </rPr>
          <t>Author:</t>
        </r>
        <r>
          <rPr>
            <sz val="9"/>
            <color indexed="81"/>
            <rFont val="Tahoma"/>
            <family val="2"/>
          </rPr>
          <t xml:space="preserve">
F2Q25: not committing to any Services growth</t>
        </r>
      </text>
    </comment>
    <comment ref="DQ47" authorId="4" shapeId="0" xr:uid="{D1B3BC77-B856-4118-8D8E-526B3F3AE61D}">
      <text>
        <r>
          <rPr>
            <b/>
            <sz val="9"/>
            <color indexed="81"/>
            <rFont val="Tahoma"/>
            <family val="2"/>
          </rPr>
          <t>Author:</t>
        </r>
        <r>
          <rPr>
            <sz val="9"/>
            <color indexed="81"/>
            <rFont val="Tahoma"/>
            <family val="2"/>
          </rPr>
          <t xml:space="preserve">
F3Q25: services to grow in line with the june rate (13%)
Assumes Company1153 TAC intact</t>
        </r>
      </text>
    </comment>
    <comment ref="FN47" authorId="1" shapeId="0" xr:uid="{6E0E4737-DE4C-4498-8FAE-64F2DDA0F2FF}">
      <text>
        <r>
          <rPr>
            <b/>
            <sz val="9"/>
            <color indexed="81"/>
            <rFont val="Tahoma"/>
            <family val="2"/>
          </rPr>
          <t>Author:</t>
        </r>
        <r>
          <rPr>
            <sz val="9"/>
            <color indexed="81"/>
            <rFont val="Tahoma"/>
            <family val="2"/>
          </rPr>
          <t xml:space="preserve">
F4Q22: investing confidently and doubled in last 4 years. </t>
        </r>
      </text>
    </comment>
    <comment ref="DF48" authorId="1" shapeId="0" xr:uid="{E309A05A-0D12-4D47-B27C-77EC75AE7524}">
      <text>
        <r>
          <rPr>
            <b/>
            <sz val="9"/>
            <color indexed="81"/>
            <rFont val="Tahoma"/>
            <family val="2"/>
          </rPr>
          <t>Author:</t>
        </r>
        <r>
          <rPr>
            <sz val="9"/>
            <color indexed="81"/>
            <rFont val="Tahoma"/>
            <family val="2"/>
          </rPr>
          <t xml:space="preserve">
F1Q23: 700+ bps headwind from forex. </t>
        </r>
      </text>
    </comment>
    <comment ref="DH48" authorId="1" shapeId="0" xr:uid="{3938CD16-4D64-48EB-B95B-E1D8C544BB02}">
      <text>
        <r>
          <rPr>
            <b/>
            <sz val="9"/>
            <color indexed="81"/>
            <rFont val="Tahoma"/>
            <family val="2"/>
          </rPr>
          <t>Author:</t>
        </r>
        <r>
          <rPr>
            <sz val="9"/>
            <color indexed="81"/>
            <rFont val="Tahoma"/>
            <family val="2"/>
          </rPr>
          <t xml:space="preserve">
8/3/2023: -2 pp </t>
        </r>
      </text>
    </comment>
    <comment ref="DI48" authorId="1" shapeId="0" xr:uid="{A4040E29-334D-4A73-A4A3-1B665BEA5D7E}">
      <text>
        <r>
          <rPr>
            <b/>
            <sz val="9"/>
            <color indexed="81"/>
            <rFont val="Tahoma"/>
            <family val="2"/>
          </rPr>
          <t>Author:</t>
        </r>
        <r>
          <rPr>
            <sz val="9"/>
            <color indexed="81"/>
            <rFont val="Tahoma"/>
            <family val="2"/>
          </rPr>
          <t xml:space="preserve">
11/2/2023: Forex has lower impact on SERVICES
8/3/2023: 1 pp forex headwind improvement qoq</t>
        </r>
      </text>
    </comment>
    <comment ref="DO48" authorId="1" shapeId="0" xr:uid="{7EA42031-3AA8-4219-99EA-E06B9480C420}">
      <text>
        <r>
          <rPr>
            <b/>
            <sz val="9"/>
            <color indexed="81"/>
            <rFont val="Tahoma"/>
            <family val="2"/>
          </rPr>
          <t>Author:</t>
        </r>
        <r>
          <rPr>
            <sz val="9"/>
            <color indexed="81"/>
            <rFont val="Tahoma"/>
            <family val="2"/>
          </rPr>
          <t xml:space="preserve">
F2Q25: -200 bps on Services</t>
        </r>
      </text>
    </comment>
    <comment ref="CL49" authorId="8" shapeId="0" xr:uid="{FA6D3991-D20A-4DCA-9AD4-E1EB1590C26F}">
      <text>
        <r>
          <rPr>
            <b/>
            <sz val="9"/>
            <color indexed="81"/>
            <rFont val="Tahoma"/>
            <family val="2"/>
          </rPr>
          <t>Author:</t>
        </r>
        <r>
          <rPr>
            <sz val="9"/>
            <color indexed="81"/>
            <rFont val="Tahoma"/>
            <family val="2"/>
          </rPr>
          <t xml:space="preserve">
The YoY growth in Services net sales in the first quarter of 2018 was due primarily to increases in licensing and Product0045 sales.</t>
        </r>
      </text>
    </comment>
    <comment ref="CM49" authorId="8" shapeId="0" xr:uid="{A5382B1B-65EC-4320-BB18-25A7DE100A50}">
      <text>
        <r>
          <rPr>
            <b/>
            <sz val="9"/>
            <color indexed="81"/>
            <rFont val="Tahoma"/>
            <family val="2"/>
          </rPr>
          <t>Author:</t>
        </r>
        <r>
          <rPr>
            <sz val="9"/>
            <color indexed="81"/>
            <rFont val="Tahoma"/>
            <family val="2"/>
          </rPr>
          <t xml:space="preserve">
Services net sales increased during the second quarter of 2018 compared to the same period in 2017 due primarily to licensing, Product0045 and Product0051. Year-over-year growth in Services net sales during the first six months of 2018 was due primarily to licensing, Product0045 and Product0484.</t>
        </r>
      </text>
    </comment>
    <comment ref="CN49" authorId="8" shapeId="0" xr:uid="{74144162-CC62-45B4-B8A8-04D58C052D6D}">
      <text>
        <r>
          <rPr>
            <b/>
            <sz val="9"/>
            <color indexed="81"/>
            <rFont val="Tahoma"/>
            <family val="2"/>
          </rPr>
          <t>Author:</t>
        </r>
        <r>
          <rPr>
            <sz val="9"/>
            <color indexed="81"/>
            <rFont val="Tahoma"/>
            <family val="2"/>
          </rPr>
          <t xml:space="preserve">
Services net sales increased during the third quarter and first nine months of 2018 compared to the same periods in 2017 due primarily to licensing, Product0045 and Product0051. </t>
        </r>
      </text>
    </comment>
    <comment ref="CP49" authorId="8" shapeId="0" xr:uid="{61E6A4F1-0DDF-4BE0-AAEB-01BA8E9AF595}">
      <text>
        <r>
          <rPr>
            <b/>
            <sz val="9"/>
            <color indexed="81"/>
            <rFont val="Tahoma"/>
            <family val="2"/>
          </rPr>
          <t>Author:</t>
        </r>
        <r>
          <rPr>
            <sz val="9"/>
            <color indexed="81"/>
            <rFont val="Tahoma"/>
            <family val="2"/>
          </rPr>
          <t xml:space="preserve">
Services net sales increased during the first quarter of 2019 compared to the same quarter in 2018 due primarily to licensing, the Product0045 and Product0051.</t>
        </r>
      </text>
    </comment>
    <comment ref="CQ49" authorId="8" shapeId="0" xr:uid="{5CCD2C5E-A2A6-453E-A974-60596F74EB24}">
      <text>
        <r>
          <rPr>
            <b/>
            <sz val="9"/>
            <color indexed="81"/>
            <rFont val="Tahoma"/>
            <family val="2"/>
          </rPr>
          <t>Author:</t>
        </r>
        <r>
          <rPr>
            <sz val="9"/>
            <color indexed="81"/>
            <rFont val="Tahoma"/>
            <family val="2"/>
          </rPr>
          <t xml:space="preserve">
Services net sales increased during the second quarter and first six months of 2019 compared to the same periods in 2018 due primarily to the Product0045, licensing and Product0051.</t>
        </r>
      </text>
    </comment>
    <comment ref="CR49" authorId="8" shapeId="0" xr:uid="{A899C5C8-7A41-4173-B566-6300CAC1A2CB}">
      <text>
        <r>
          <rPr>
            <b/>
            <sz val="9"/>
            <color indexed="81"/>
            <rFont val="Tahoma"/>
            <family val="2"/>
          </rPr>
          <t>Author:</t>
        </r>
        <r>
          <rPr>
            <sz val="9"/>
            <color indexed="81"/>
            <rFont val="Tahoma"/>
            <family val="2"/>
          </rPr>
          <t xml:space="preserve">
Services net sales increased during the third quarter and first nine months of 2019 compared to the same periods in 2018 due primarily to the Product0045, licensing and Product0051.</t>
        </r>
      </text>
    </comment>
    <comment ref="CT49" authorId="8" shapeId="0" xr:uid="{C3847721-BB0E-42FF-8D0D-9B7AC79CEEDA}">
      <text>
        <r>
          <rPr>
            <b/>
            <sz val="9"/>
            <color indexed="81"/>
            <rFont val="Tahoma"/>
            <family val="2"/>
          </rPr>
          <t>Author:</t>
        </r>
        <r>
          <rPr>
            <sz val="9"/>
            <color indexed="81"/>
            <rFont val="Tahoma"/>
            <family val="2"/>
          </rPr>
          <t xml:space="preserve">
Services net sales increased during the first quarter of 2020 compared to the same quarter in 2019 due primarily to higher net sales from Product0051, the Product0045 and licensing.</t>
        </r>
      </text>
    </comment>
    <comment ref="CU49" authorId="8" shapeId="0" xr:uid="{E7F7DDF0-AE77-4121-B36C-51F384F769DF}">
      <text>
        <r>
          <rPr>
            <b/>
            <sz val="9"/>
            <color indexed="81"/>
            <rFont val="Tahoma"/>
            <family val="2"/>
          </rPr>
          <t>Author:</t>
        </r>
        <r>
          <rPr>
            <sz val="9"/>
            <color indexed="81"/>
            <rFont val="Tahoma"/>
            <family val="2"/>
          </rPr>
          <t xml:space="preserve">
Services net sales increased during the second quarter of 2020 compared to the second quarter of 2019, despite the impact of the COVID-19 pandemic, due primarily to higher net sales from the Product0045, licensing and Cloud Services. Year-over-year Services net sales increased during the first six months of 2020 due primarily to higher net sales from the Product0045, licensing and Product0051.</t>
        </r>
      </text>
    </comment>
    <comment ref="CV49" authorId="8" shapeId="0" xr:uid="{2A9D8E80-9AA0-49BA-B544-3D9AA8EAC965}">
      <text>
        <r>
          <rPr>
            <b/>
            <sz val="9"/>
            <color indexed="81"/>
            <rFont val="Tahoma"/>
            <family val="2"/>
          </rPr>
          <t>Author:</t>
        </r>
        <r>
          <rPr>
            <sz val="9"/>
            <color indexed="81"/>
            <rFont val="Tahoma"/>
            <family val="2"/>
          </rPr>
          <t xml:space="preserve">
Services net sales increased during the third quarter of 2020 compared to the third quarter of 2019 due primarily to higher net sales from the Product0045, Video and Cloud Services. Year-over-year Services net sales increased during the first nine months of 2020 due primarily to higher net sales from the Product0045, Advertising and Product0051. 
Advertising net sales includes net sales from licensing arrangements and the Company’s advertising platforms.</t>
        </r>
      </text>
    </comment>
    <comment ref="CX49" authorId="8" shapeId="0" xr:uid="{D3491DE1-133F-4DF4-8F60-ED5C69E3055E}">
      <text>
        <r>
          <rPr>
            <b/>
            <sz val="9"/>
            <color indexed="81"/>
            <rFont val="Tahoma"/>
            <family val="2"/>
          </rPr>
          <t>Author:</t>
        </r>
        <r>
          <rPr>
            <sz val="9"/>
            <color indexed="81"/>
            <rFont val="Tahoma"/>
            <family val="2"/>
          </rPr>
          <t xml:space="preserve">
Services net sales increased during the first quarter of 2021 compared to the same quarter in 2020 due primarily to higher net sales from the Product0045, advertising and cloud services.</t>
        </r>
      </text>
    </comment>
    <comment ref="CY49" authorId="8" shapeId="0" xr:uid="{560422FF-DC53-4016-B1EE-D08FE2EE0F12}">
      <text>
        <r>
          <rPr>
            <b/>
            <sz val="9"/>
            <color indexed="81"/>
            <rFont val="Tahoma"/>
            <family val="2"/>
          </rPr>
          <t>Author:</t>
        </r>
        <r>
          <rPr>
            <sz val="9"/>
            <color indexed="81"/>
            <rFont val="Tahoma"/>
            <family val="2"/>
          </rPr>
          <t xml:space="preserve">
Services net sales increased during the second quarter and first six months of 2021 compared to the same periods in 2020 due primarily to higher net sales from the Product0045, advertising and cloud services.</t>
        </r>
      </text>
    </comment>
    <comment ref="CZ49" authorId="8" shapeId="0" xr:uid="{A053175D-CCEA-431A-B105-DDD1CD646D49}">
      <text>
        <r>
          <rPr>
            <b/>
            <sz val="9"/>
            <color indexed="81"/>
            <rFont val="Tahoma"/>
            <family val="2"/>
          </rPr>
          <t>Author:</t>
        </r>
        <r>
          <rPr>
            <sz val="9"/>
            <color indexed="81"/>
            <rFont val="Tahoma"/>
            <family val="2"/>
          </rPr>
          <t xml:space="preserve">
Services net sales increased during the third quarter of 2021 compared to the third quarter of 2020 due primarily to higher net sales from advertising, the Product0045 and Product0051. Year-over-year Services net sales increased during the first nine months of 2021 due primarily to higher net sales from advertising, the Product0045 and cloud services.</t>
        </r>
      </text>
    </comment>
    <comment ref="DB49" authorId="8" shapeId="0" xr:uid="{6355B099-6C68-4D90-8FE7-C129A2C5882B}">
      <text>
        <r>
          <rPr>
            <b/>
            <sz val="9"/>
            <color indexed="81"/>
            <rFont val="Tahoma"/>
            <family val="2"/>
          </rPr>
          <t>Author:</t>
        </r>
        <r>
          <rPr>
            <sz val="9"/>
            <color indexed="81"/>
            <rFont val="Tahoma"/>
            <family val="2"/>
          </rPr>
          <t xml:space="preserve">
Services net sales increased during the first quarter of 2022 compared to the same quarter in 2021 due primarily to higher net sales from advertising, the Product0045 ® and cloud services.</t>
        </r>
      </text>
    </comment>
    <comment ref="DC49" authorId="8" shapeId="0" xr:uid="{3E1E6073-94DA-49D9-A112-1362F871067E}">
      <text>
        <r>
          <rPr>
            <b/>
            <sz val="9"/>
            <color indexed="81"/>
            <rFont val="Tahoma"/>
            <family val="2"/>
          </rPr>
          <t>Author:</t>
        </r>
        <r>
          <rPr>
            <sz val="9"/>
            <color indexed="81"/>
            <rFont val="Tahoma"/>
            <family val="2"/>
          </rPr>
          <t xml:space="preserve">
Services net sales increased during the second quarter and first six months of 2022 compared to the same periods in 2021 due primarily to higher net sales from advertising, the Product0045 ® and cloud services.</t>
        </r>
      </text>
    </comment>
    <comment ref="DD49" authorId="8" shapeId="0" xr:uid="{1841BF69-9E04-439D-AE6E-792E12CB97A2}">
      <text>
        <r>
          <rPr>
            <b/>
            <sz val="9"/>
            <color indexed="81"/>
            <rFont val="Tahoma"/>
            <family val="2"/>
          </rPr>
          <t>Author:</t>
        </r>
        <r>
          <rPr>
            <sz val="9"/>
            <color indexed="81"/>
            <rFont val="Tahoma"/>
            <family val="2"/>
          </rPr>
          <t xml:space="preserve">
Services net sales increased during the third quarter of 2022 compared to the third quarter of 2021 due primarily to higher net sales from advertising, cloud services and Product0051. YoY Services net sales increased during the first nine months of 2022 due primarily to higher net sales from advertising, the Product0045® and cloud services</t>
        </r>
      </text>
    </comment>
    <comment ref="FI49" authorId="8" shapeId="0" xr:uid="{0C45F8C4-C7E1-4DEB-89F5-57F324F7DEEB}">
      <text>
        <r>
          <rPr>
            <b/>
            <sz val="9"/>
            <color indexed="81"/>
            <rFont val="Tahoma"/>
            <family val="2"/>
          </rPr>
          <t>Author:</t>
        </r>
        <r>
          <rPr>
            <sz val="9"/>
            <color indexed="81"/>
            <rFont val="Tahoma"/>
            <family val="2"/>
          </rPr>
          <t xml:space="preserve">
The YoY growth in Services net sales in 2018 was due primarily to licensing, Product0045 and Product0051.</t>
        </r>
      </text>
    </comment>
    <comment ref="FJ49" authorId="8" shapeId="0" xr:uid="{1DA922CE-4E22-4179-B7A8-755AEEBCD1E6}">
      <text>
        <r>
          <rPr>
            <b/>
            <sz val="9"/>
            <color indexed="81"/>
            <rFont val="Tahoma"/>
            <family val="2"/>
          </rPr>
          <t>Author:</t>
        </r>
        <r>
          <rPr>
            <sz val="9"/>
            <color indexed="81"/>
            <rFont val="Tahoma"/>
            <family val="2"/>
          </rPr>
          <t xml:space="preserve">
Services net sales increased during 2019 compared to 2018 due primarily to higher net sales from the Product0045, licensing and Product0051.</t>
        </r>
      </text>
    </comment>
    <comment ref="FK49" authorId="8" shapeId="0" xr:uid="{2B7E7F36-E8B7-4CFB-8987-F217DC4984F0}">
      <text>
        <r>
          <rPr>
            <b/>
            <sz val="9"/>
            <color indexed="81"/>
            <rFont val="Tahoma"/>
            <family val="2"/>
          </rPr>
          <t>Author:</t>
        </r>
        <r>
          <rPr>
            <sz val="9"/>
            <color indexed="81"/>
            <rFont val="Tahoma"/>
            <family val="2"/>
          </rPr>
          <t xml:space="preserve">
Services net sales increased during 2020 compared to 2019 due primarily to higher net sales from the Product0045, advertising and cloud services.</t>
        </r>
      </text>
    </comment>
    <comment ref="FL49" authorId="8" shapeId="0" xr:uid="{FE0E9AF2-1DE7-41AD-8145-A6D0748D1D9F}">
      <text>
        <r>
          <rPr>
            <b/>
            <sz val="9"/>
            <color indexed="81"/>
            <rFont val="Tahoma"/>
            <family val="2"/>
          </rPr>
          <t>Author:</t>
        </r>
        <r>
          <rPr>
            <sz val="9"/>
            <color indexed="81"/>
            <rFont val="Tahoma"/>
            <family val="2"/>
          </rPr>
          <t xml:space="preserve">
Services net sales increased during 2021 compared to 2020 due primarily to higher net sales from advertising, the Product0045 and cloud services.</t>
        </r>
      </text>
    </comment>
    <comment ref="FM49" authorId="1" shapeId="0" xr:uid="{67443006-9BA8-42DC-A598-F1215B8076B4}">
      <text>
        <r>
          <rPr>
            <b/>
            <sz val="9"/>
            <color indexed="81"/>
            <rFont val="Tahoma"/>
            <family val="2"/>
          </rPr>
          <t>Author:</t>
        </r>
        <r>
          <rPr>
            <sz val="9"/>
            <color indexed="81"/>
            <rFont val="Tahoma"/>
            <family val="2"/>
          </rPr>
          <t xml:space="preserve">
Services net sales increased during 2022 compared to 2021 due primarily to higher net sales from advertising, cloud services and the Product0045.</t>
        </r>
      </text>
    </comment>
    <comment ref="A65" authorId="9" shapeId="0" xr:uid="{00000000-0006-0000-0700-0000F2000000}">
      <text>
        <r>
          <rPr>
            <b/>
            <sz val="9"/>
            <color indexed="81"/>
            <rFont val="Tahoma"/>
            <family val="2"/>
          </rPr>
          <t>Author:</t>
        </r>
        <r>
          <rPr>
            <sz val="9"/>
            <color indexed="81"/>
            <rFont val="Tahoma"/>
            <family val="2"/>
          </rPr>
          <t xml:space="preserve">
iTunes, Software and Services
</t>
        </r>
      </text>
    </comment>
    <comment ref="CD65" authorId="7" shapeId="0" xr:uid="{00000000-0006-0000-0700-0000F3000000}">
      <text>
        <r>
          <rPr>
            <b/>
            <sz val="9"/>
            <color indexed="81"/>
            <rFont val="Tahoma"/>
            <family val="2"/>
          </rPr>
          <t>Author:</t>
        </r>
        <r>
          <rPr>
            <sz val="9"/>
            <color indexed="81"/>
            <rFont val="Tahoma"/>
            <family val="2"/>
          </rPr>
          <t xml:space="preserve">
includes $548mn legal settlement from Company2530</t>
        </r>
      </text>
    </comment>
    <comment ref="CH65" authorId="7" shapeId="0" xr:uid="{FC281DC8-8EEA-490F-9139-ECD8F752AB7A}">
      <text>
        <r>
          <rPr>
            <b/>
            <sz val="9"/>
            <color indexed="81"/>
            <rFont val="Tahoma"/>
            <family val="2"/>
          </rPr>
          <t>Author:</t>
        </r>
        <r>
          <rPr>
            <sz val="9"/>
            <color indexed="81"/>
            <rFont val="Tahoma"/>
            <family val="2"/>
          </rPr>
          <t xml:space="preserve">
Not compounding the $548mn one-time gain in the year-ago period</t>
        </r>
      </text>
    </comment>
    <comment ref="CK65" authorId="6" shapeId="0" xr:uid="{00000000-0006-0000-0700-0000F4000000}">
      <text>
        <r>
          <rPr>
            <b/>
            <sz val="9"/>
            <color indexed="81"/>
            <rFont val="Tahoma"/>
            <family val="2"/>
          </rPr>
          <t>Author:</t>
        </r>
        <r>
          <rPr>
            <sz val="9"/>
            <color indexed="81"/>
            <rFont val="Tahoma"/>
            <family val="2"/>
          </rPr>
          <t xml:space="preserve">
FQ4'18 Call (11/01/18): $640m one off in FQ4'17 disclosed in FQ4'18 call. "Excluding the impact of a favorable onetime accounting adjustment of $640 million a year ago, our Services growth was 27%."</t>
        </r>
      </text>
    </comment>
    <comment ref="CN65" authorId="0" shapeId="0" xr:uid="{00000000-0006-0000-0700-0000F5000000}">
      <text>
        <r>
          <rPr>
            <b/>
            <sz val="9"/>
            <color indexed="81"/>
            <rFont val="Tahoma"/>
            <family val="2"/>
          </rPr>
          <t>Author:</t>
        </r>
        <r>
          <rPr>
            <sz val="9"/>
            <color indexed="81"/>
            <rFont val="Tahoma"/>
            <family val="2"/>
          </rPr>
          <t xml:space="preserve">
includes a favorable $236mn one time item;
Excludign this, 28% Y/Y underlying growth
FQ3'18 10-Q: $236 million in connection with the final resolution of various lawsuits</t>
        </r>
      </text>
    </comment>
    <comment ref="CO65" authorId="6" shapeId="0" xr:uid="{A1F35B57-FEBD-47E4-8492-21C278062DED}">
      <text>
        <r>
          <rPr>
            <b/>
            <sz val="9"/>
            <color indexed="81"/>
            <rFont val="Tahoma"/>
            <family val="2"/>
          </rPr>
          <t>Author:</t>
        </r>
        <r>
          <rPr>
            <sz val="9"/>
            <color indexed="81"/>
            <rFont val="Tahoma"/>
            <family val="2"/>
          </rPr>
          <t xml:space="preserve">
FQ4'18 Call (11/01/18): $640m one off in FQ4'17 disclosed in FQ4'18 call. "Excluding the impact of a favorable onetime accounting adjustment of $640 million a year ago, our Services growth was 27%."</t>
        </r>
      </text>
    </comment>
    <comment ref="FH65" authorId="2" shapeId="0" xr:uid="{00000000-0006-0000-0700-0000F6000000}">
      <text>
        <r>
          <rPr>
            <b/>
            <sz val="9"/>
            <color indexed="81"/>
            <rFont val="Tahoma"/>
            <family val="2"/>
          </rPr>
          <t>Author:</t>
        </r>
        <r>
          <rPr>
            <sz val="9"/>
            <color indexed="81"/>
            <rFont val="Tahoma"/>
            <family val="2"/>
          </rPr>
          <t xml:space="preserve">
1/31/17: Expect services revenues to reach Company1032 100 this year, and double over the next four years</t>
        </r>
      </text>
    </comment>
    <comment ref="A68" authorId="1" shapeId="0" xr:uid="{4EBF5A42-855B-4961-8414-48B1C3FAB33F}">
      <text>
        <r>
          <rPr>
            <b/>
            <sz val="9"/>
            <color indexed="81"/>
            <rFont val="Tahoma"/>
            <family val="2"/>
          </rPr>
          <t>Author:</t>
        </r>
        <r>
          <rPr>
            <sz val="9"/>
            <color indexed="81"/>
            <rFont val="Tahoma"/>
            <family val="2"/>
          </rPr>
          <t xml:space="preserve">
Paid subscriptions - not subscribers (e.g., 1 Product0046 subscription could be up to 6)
Includes 3P and 1P
</t>
        </r>
      </text>
    </comment>
    <comment ref="CL68" authorId="8" shapeId="0" xr:uid="{61D98DCB-236F-472B-91DB-F6D7AC4337EC}">
      <text>
        <r>
          <rPr>
            <b/>
            <sz val="9"/>
            <color indexed="81"/>
            <rFont val="Tahoma"/>
            <family val="2"/>
          </rPr>
          <t>Author:</t>
        </r>
        <r>
          <rPr>
            <sz val="9"/>
            <color indexed="81"/>
            <rFont val="Tahoma"/>
            <family val="2"/>
          </rPr>
          <t xml:space="preserve">
2/14/18 Ticker0001 annual shareholders' meeting: ~ quarter of a billion subs to services (incl. Product0484 &amp; Music)</t>
        </r>
      </text>
    </comment>
    <comment ref="CX68" authorId="8" shapeId="0" xr:uid="{4DAE1F35-564C-4B85-B237-E411A1CE89B5}">
      <text>
        <r>
          <rPr>
            <b/>
            <sz val="9"/>
            <color indexed="81"/>
            <rFont val="Tahoma"/>
            <family val="2"/>
          </rPr>
          <t>Author:</t>
        </r>
        <r>
          <rPr>
            <sz val="9"/>
            <color indexed="81"/>
            <rFont val="Tahoma"/>
            <family val="2"/>
          </rPr>
          <t xml:space="preserve">
F2Q20: 600 mn target for Calendar year-end </t>
        </r>
      </text>
    </comment>
    <comment ref="DB68" authorId="1" shapeId="0" xr:uid="{7D187D17-A276-4F49-9190-CA60F9AE7A8C}">
      <text>
        <r>
          <rPr>
            <b/>
            <sz val="9"/>
            <color indexed="81"/>
            <rFont val="Tahoma"/>
            <family val="2"/>
          </rPr>
          <t>Author:</t>
        </r>
        <r>
          <rPr>
            <sz val="9"/>
            <color indexed="81"/>
            <rFont val="Tahoma"/>
            <family val="2"/>
          </rPr>
          <t xml:space="preserve">
F1Q22: 785 mn</t>
        </r>
      </text>
    </comment>
    <comment ref="DC68" authorId="1" shapeId="0" xr:uid="{DAAE9B72-F3E5-443C-BCFD-0A9411DBC932}">
      <text>
        <r>
          <rPr>
            <b/>
            <sz val="9"/>
            <color indexed="81"/>
            <rFont val="Tahoma"/>
            <family val="2"/>
          </rPr>
          <t>Author:</t>
        </r>
        <r>
          <rPr>
            <sz val="9"/>
            <color indexed="81"/>
            <rFont val="Tahoma"/>
            <family val="2"/>
          </rPr>
          <t xml:space="preserve">
F2Q22: &gt;825 (+165mn yoy)</t>
        </r>
      </text>
    </comment>
    <comment ref="DD68" authorId="1" shapeId="0" xr:uid="{F29C8F2B-040A-40C5-B0D4-74E3BBB785D3}">
      <text>
        <r>
          <rPr>
            <b/>
            <sz val="9"/>
            <color indexed="81"/>
            <rFont val="Tahoma"/>
            <family val="2"/>
          </rPr>
          <t>Author:</t>
        </r>
        <r>
          <rPr>
            <sz val="9"/>
            <color indexed="81"/>
            <rFont val="Tahoma"/>
            <family val="2"/>
          </rPr>
          <t xml:space="preserve">
F3Q22: subscriptions +23% yoy
&gt;860 mn, +160 mn in TTM</t>
        </r>
      </text>
    </comment>
    <comment ref="DE68" authorId="1" shapeId="0" xr:uid="{3385314D-0DA3-499F-81A5-10E65B3008D9}">
      <text>
        <r>
          <rPr>
            <b/>
            <sz val="9"/>
            <color indexed="81"/>
            <rFont val="Tahoma"/>
            <family val="2"/>
          </rPr>
          <t>Author:</t>
        </r>
        <r>
          <rPr>
            <sz val="9"/>
            <color indexed="81"/>
            <rFont val="Tahoma"/>
            <family val="2"/>
          </rPr>
          <t xml:space="preserve">
F4Q22: &gt;900 mn paid subscription. Up 155 TTM. Double 3 years ago
Powering a robust global economy, the Product0045 connects developers of all sizes, from emerging solo creators to large international teams, with more than 650 million visitors across 175 regions each week. Developers selling digital goods and services on the Product0045 have earned more than $320 billion since the platform’s 2008 launch</t>
        </r>
      </text>
    </comment>
    <comment ref="DF68" authorId="1" shapeId="0" xr:uid="{4E4427BC-39A8-4FF2-AA54-A54D78298C71}">
      <text>
        <r>
          <rPr>
            <b/>
            <sz val="9"/>
            <color indexed="81"/>
            <rFont val="Tahoma"/>
            <family val="2"/>
          </rPr>
          <t>Author:</t>
        </r>
        <r>
          <rPr>
            <sz val="9"/>
            <color indexed="81"/>
            <rFont val="Tahoma"/>
            <family val="2"/>
          </rPr>
          <t xml:space="preserve">
F1Q23: 935mn
Transacting and paid grew DD%, setting all time records. </t>
        </r>
      </text>
    </comment>
    <comment ref="DH68" authorId="1" shapeId="0" xr:uid="{B3DB3AE6-DB04-48EA-82E2-FB941A872410}">
      <text>
        <r>
          <rPr>
            <b/>
            <sz val="9"/>
            <color indexed="81"/>
            <rFont val="Tahoma"/>
            <family val="2"/>
          </rPr>
          <t>Author:</t>
        </r>
        <r>
          <rPr>
            <sz val="9"/>
            <color indexed="81"/>
            <rFont val="Tahoma"/>
            <family val="2"/>
          </rPr>
          <t xml:space="preserve">
F3Q23: &gt;1 bn +150 TTM</t>
        </r>
      </text>
    </comment>
    <comment ref="DI68" authorId="10" shapeId="0" xr:uid="{4EC12BE6-F629-48E2-8A54-70E67EA33FEB}">
      <text>
        <r>
          <rPr>
            <b/>
            <sz val="9"/>
            <color indexed="81"/>
            <rFont val="Tahoma"/>
            <family val="2"/>
          </rPr>
          <t>Author:</t>
        </r>
        <r>
          <rPr>
            <sz val="9"/>
            <color indexed="81"/>
            <rFont val="Tahoma"/>
            <family val="2"/>
          </rPr>
          <t xml:space="preserve">
F4Q23: &gt;1 bn, nearly double of 3 yrs ago</t>
        </r>
      </text>
    </comment>
    <comment ref="DK68" authorId="1" shapeId="0" xr:uid="{9902362B-08F7-47FC-A7DB-BC06DCA86EF4}">
      <text>
        <r>
          <rPr>
            <b/>
            <sz val="9"/>
            <color indexed="81"/>
            <rFont val="Tahoma"/>
            <family val="2"/>
          </rPr>
          <t>Author:</t>
        </r>
        <r>
          <rPr>
            <sz val="9"/>
            <color indexed="81"/>
            <rFont val="Tahoma"/>
            <family val="2"/>
          </rPr>
          <t xml:space="preserve">
F2Q24: paid subscriptions grew more than double-digits yoy to &gt;1.0 bn</t>
        </r>
      </text>
    </comment>
    <comment ref="DL68" authorId="1" shapeId="0" xr:uid="{766D9C9F-6609-4069-9BDB-B0B448B1F19A}">
      <text>
        <r>
          <rPr>
            <b/>
            <sz val="9"/>
            <color indexed="81"/>
            <rFont val="Tahoma"/>
            <family val="2"/>
          </rPr>
          <t>Author:</t>
        </r>
        <r>
          <rPr>
            <sz val="9"/>
            <color indexed="81"/>
            <rFont val="Tahoma"/>
            <family val="2"/>
          </rPr>
          <t xml:space="preserve">
F3Q24: Grew DD% yoy paid accounts. &gt;1 bn </t>
        </r>
      </text>
    </comment>
    <comment ref="CU71" authorId="1" shapeId="0" xr:uid="{31FB97FF-FF73-4A75-B188-7FD9CCCA5F34}">
      <text>
        <r>
          <rPr>
            <b/>
            <sz val="9"/>
            <color indexed="81"/>
            <rFont val="Tahoma"/>
            <family val="2"/>
          </rPr>
          <t>Author:</t>
        </r>
        <r>
          <rPr>
            <sz val="9"/>
            <color indexed="81"/>
            <rFont val="Tahoma"/>
            <family val="2"/>
          </rPr>
          <t xml:space="preserve">
F2Q20: 3P subscriptions grew over 30% yoy</t>
        </r>
      </text>
    </comment>
    <comment ref="CP75" authorId="8" shapeId="0" xr:uid="{DA5CF601-ED2B-40AA-867F-0493F05BE95B}">
      <text>
        <r>
          <rPr>
            <b/>
            <sz val="9"/>
            <color indexed="81"/>
            <rFont val="Tahoma"/>
            <family val="2"/>
          </rPr>
          <t>Author:</t>
        </r>
        <r>
          <rPr>
            <sz val="9"/>
            <color indexed="81"/>
            <rFont val="Tahoma"/>
            <family val="2"/>
          </rPr>
          <t xml:space="preserve">
1/3/19: App store spending topped $1.22B between Christmas Eve &amp; NYSE</t>
        </r>
      </text>
    </comment>
    <comment ref="CQ75" authorId="8" shapeId="0" xr:uid="{5A08BACB-95AC-47F8-8045-61CEA1B04321}">
      <text>
        <r>
          <rPr>
            <b/>
            <sz val="9"/>
            <color indexed="81"/>
            <rFont val="Tahoma"/>
            <family val="2"/>
          </rPr>
          <t>Author:</t>
        </r>
        <r>
          <rPr>
            <sz val="9"/>
            <color indexed="81"/>
            <rFont val="Tahoma"/>
            <family val="2"/>
          </rPr>
          <t xml:space="preserve">
1/3/19: App store spending topped $1.22B between Christmas Eve &amp; NYSE &amp; spend $322M+ on New Year's Day 2019 alone (record)</t>
        </r>
      </text>
    </comment>
    <comment ref="CS75" authorId="8" shapeId="0" xr:uid="{68CE113E-395E-4155-B2D8-F016B0224FC2}">
      <text>
        <r>
          <rPr>
            <b/>
            <sz val="9"/>
            <color indexed="81"/>
            <rFont val="Tahoma"/>
            <family val="2"/>
          </rPr>
          <t>Author:</t>
        </r>
        <r>
          <rPr>
            <sz val="9"/>
            <color indexed="81"/>
            <rFont val="Tahoma"/>
            <family val="2"/>
          </rPr>
          <t xml:space="preserve">
1/7/2020: App store spending topped $1.42B between Christmas Eve &amp; NYSE</t>
        </r>
      </text>
    </comment>
    <comment ref="CT75" authorId="8" shapeId="0" xr:uid="{43509453-3BF8-4548-A9B6-B08862A719D1}">
      <text>
        <r>
          <rPr>
            <b/>
            <sz val="9"/>
            <color indexed="81"/>
            <rFont val="Tahoma"/>
            <family val="2"/>
          </rPr>
          <t>Author:</t>
        </r>
        <r>
          <rPr>
            <sz val="9"/>
            <color indexed="81"/>
            <rFont val="Tahoma"/>
            <family val="2"/>
          </rPr>
          <t xml:space="preserve">
1/8/2020: App store spending topped $1.42B between Christmas Eve &amp; NYSE &amp; spend $386M+ on New Year's Day 2019 alone (record)</t>
        </r>
      </text>
    </comment>
    <comment ref="CX75" authorId="8" shapeId="0" xr:uid="{4DB739EE-3D5B-456A-88BF-96EDDE5610AE}">
      <text>
        <r>
          <rPr>
            <b/>
            <sz val="9"/>
            <color indexed="81"/>
            <rFont val="Tahoma"/>
            <family val="2"/>
          </rPr>
          <t>Author:</t>
        </r>
        <r>
          <rPr>
            <sz val="9"/>
            <color indexed="81"/>
            <rFont val="Tahoma"/>
            <family val="2"/>
          </rPr>
          <t xml:space="preserve">
9/25/20: (Company2965) Company0242 suspends collecting 30% commission from app developers on paid online events &amp; experiences</t>
        </r>
      </text>
    </comment>
    <comment ref="CY75" authorId="1" shapeId="0" xr:uid="{C25F8F6C-8343-4D3B-978A-2F32586301C3}">
      <text>
        <r>
          <rPr>
            <b/>
            <sz val="9"/>
            <color indexed="81"/>
            <rFont val="Tahoma"/>
            <family val="2"/>
          </rPr>
          <t>Author:</t>
        </r>
        <r>
          <rPr>
            <sz val="9"/>
            <color indexed="81"/>
            <rFont val="Tahoma"/>
            <family val="2"/>
          </rPr>
          <t xml:space="preserve">
From 1/2021, pubishers that have earned less than $1 mn will only pay 15% commissions. ST estimates this affects 5% of revenue (2.5% headwind) and 98% of publishers</t>
        </r>
      </text>
    </comment>
    <comment ref="DE75" authorId="1" shapeId="0" xr:uid="{36B3BE4F-5F9C-4308-B79F-726D3EC0CE7D}">
      <text>
        <r>
          <rPr>
            <b/>
            <sz val="9"/>
            <color indexed="81"/>
            <rFont val="Tahoma"/>
            <family val="2"/>
          </rPr>
          <t>Author:</t>
        </r>
        <r>
          <rPr>
            <sz val="9"/>
            <color indexed="81"/>
            <rFont val="Tahoma"/>
            <family val="2"/>
          </rPr>
          <t xml:space="preserve">
1/10/2023 apple press release: Powering a robust global economy, the Product0045 connects developers of all sizes, from emerging solo creators to large international teams, </t>
        </r>
        <r>
          <rPr>
            <b/>
            <sz val="9"/>
            <color indexed="81"/>
            <rFont val="Tahoma"/>
            <family val="2"/>
          </rPr>
          <t xml:space="preserve">with more than 650 million visitors across 175 regions each week. </t>
        </r>
      </text>
    </comment>
    <comment ref="CW76" authorId="1" shapeId="0" xr:uid="{D2CB58C6-A094-48C7-BE6C-4BD70776AEB7}">
      <text>
        <r>
          <rPr>
            <b/>
            <sz val="9"/>
            <color indexed="81"/>
            <rFont val="Tahoma"/>
            <family val="2"/>
          </rPr>
          <t>Author:</t>
        </r>
        <r>
          <rPr>
            <sz val="9"/>
            <color indexed="81"/>
            <rFont val="Tahoma"/>
            <family val="2"/>
          </rPr>
          <t xml:space="preserve">
7/29/2020: according to emails from congress investigation, Company0242 only takes 15% from Company0221 Prime Video (v. 30% normally), yet Company0242 claims to treat every developer the same</t>
        </r>
      </text>
    </comment>
    <comment ref="DB76" authorId="1" shapeId="0" xr:uid="{ECA45A40-4C90-4218-A02A-AB8CABD0C0C9}">
      <text>
        <r>
          <rPr>
            <b/>
            <sz val="9"/>
            <color indexed="81"/>
            <rFont val="Tahoma"/>
            <family val="2"/>
          </rPr>
          <t>Author:</t>
        </r>
        <r>
          <rPr>
            <sz val="9"/>
            <color indexed="81"/>
            <rFont val="Tahoma"/>
            <family val="2"/>
          </rPr>
          <t xml:space="preserve">
10/7/2021: Netherlands deems Company0244 in-app payment system as anti-competitive, but doesn't say what changes Company0242 is ordered to make. </t>
        </r>
      </text>
    </comment>
    <comment ref="DP76" authorId="1" shapeId="0" xr:uid="{7B617223-05A4-42FF-ABC0-DBA84DB8331C}">
      <text>
        <r>
          <rPr>
            <b/>
            <sz val="9"/>
            <color indexed="81"/>
            <rFont val="Tahoma"/>
            <family val="2"/>
          </rPr>
          <t>Author:</t>
        </r>
        <r>
          <rPr>
            <sz val="9"/>
            <color indexed="81"/>
            <rFont val="Tahoma"/>
            <family val="2"/>
          </rPr>
          <t xml:space="preserve">
Starting May 15, 2025, Company2530 Galaxy Store will charge 80/20 (v. 70/30) and 85/15 for subscription services</t>
        </r>
      </text>
    </comment>
    <comment ref="DI77" authorId="1" shapeId="0" xr:uid="{0F6E23FD-8FB9-463F-85E8-C4513EC9635F}">
      <text>
        <r>
          <rPr>
            <b/>
            <sz val="9"/>
            <color indexed="81"/>
            <rFont val="Tahoma"/>
            <family val="2"/>
          </rPr>
          <t>Author:</t>
        </r>
        <r>
          <rPr>
            <sz val="9"/>
            <color indexed="81"/>
            <rFont val="Tahoma"/>
            <family val="2"/>
          </rPr>
          <t xml:space="preserve">
4/17/2023: Rumor that Product0486 17 (September 2023) to allow sideloading and Company0242 will implement sideloading support including security requirements such as verification - a process that it could charge a fee for in lieu of collecting fees from app sales. Company0242 has a verfiication system on Mac that gets impplemented. </t>
        </r>
      </text>
    </comment>
    <comment ref="DK77" authorId="1" shapeId="0" xr:uid="{4DA8C32A-1BC1-41C7-A1C4-2D43ED11E5D4}">
      <text>
        <r>
          <rPr>
            <b/>
            <sz val="9"/>
            <color indexed="81"/>
            <rFont val="Tahoma"/>
            <family val="2"/>
          </rPr>
          <t>Author:</t>
        </r>
        <r>
          <rPr>
            <sz val="9"/>
            <color indexed="81"/>
            <rFont val="Tahoma"/>
            <family val="2"/>
          </rPr>
          <t xml:space="preserve">
2/2024: At the end of February, Company1808 will start charging a 30% fee when advertising "boost" via Company1009 and Product0200 apps. Starts in the US and then rolls out to additional markets/countries later this year. 
Advertisers can pre-load funds via desktop computers or mobile web browsers to avoid 30% fee.
TTM (Feb 2024) Product0045 global gross spending is $204 mn for all COMPANY1808 apps (Product0200/Company1009). $61 mn of fees to Product0045. </t>
        </r>
      </text>
    </comment>
    <comment ref="DI78" authorId="1" shapeId="0" xr:uid="{5458B5B5-6E90-44D0-9F09-59C3BC6A2AE5}">
      <text>
        <r>
          <rPr>
            <b/>
            <sz val="9"/>
            <color indexed="81"/>
            <rFont val="Tahoma"/>
            <family val="2"/>
          </rPr>
          <t>Author:</t>
        </r>
        <r>
          <rPr>
            <sz val="9"/>
            <color indexed="81"/>
            <rFont val="Tahoma"/>
            <family val="2"/>
          </rPr>
          <t xml:space="preserve">
SPOT no longer accepted new premium subscriptions from IAP starting in 2016
As of July 19, 2023, premium accounts signed up through IAP will switch to FREE</t>
        </r>
      </text>
    </comment>
    <comment ref="DH79" authorId="1" shapeId="0" xr:uid="{6451842D-D2D8-44CF-A63C-90630E30A910}">
      <text>
        <r>
          <rPr>
            <b/>
            <sz val="9"/>
            <color indexed="81"/>
            <rFont val="Tahoma"/>
            <family val="2"/>
          </rPr>
          <t>Author:</t>
        </r>
        <r>
          <rPr>
            <sz val="9"/>
            <color indexed="81"/>
            <rFont val="Tahoma"/>
            <family val="2"/>
          </rPr>
          <t xml:space="preserve">
C2Q tends to have more qoq muted growth seasonally</t>
        </r>
      </text>
    </comment>
    <comment ref="A82" authorId="1" shapeId="0" xr:uid="{411D0D75-1F8C-481F-885C-ED515283B2D7}">
      <text>
        <r>
          <rPr>
            <b/>
            <sz val="9"/>
            <color indexed="81"/>
            <rFont val="Tahoma"/>
            <family val="2"/>
          </rPr>
          <t>Author:</t>
        </r>
        <r>
          <rPr>
            <sz val="9"/>
            <color indexed="81"/>
            <rFont val="Tahoma"/>
            <family val="2"/>
          </rPr>
          <t xml:space="preserve">
Product0489+Product0487
Worldwide
Net revenue estimates by quarter</t>
        </r>
      </text>
    </comment>
    <comment ref="DF82" authorId="1" shapeId="0" xr:uid="{4AF54CE5-11FD-40D6-92B5-B906832CB41B}">
      <text>
        <r>
          <rPr>
            <b/>
            <sz val="9"/>
            <color indexed="81"/>
            <rFont val="Tahoma"/>
            <family val="2"/>
          </rPr>
          <t>Author:</t>
        </r>
        <r>
          <rPr>
            <sz val="9"/>
            <color indexed="81"/>
            <rFont val="Tahoma"/>
            <family val="2"/>
          </rPr>
          <t xml:space="preserve">
Extra week</t>
        </r>
      </text>
    </comment>
    <comment ref="CH85" authorId="2" shapeId="0" xr:uid="{00000000-0006-0000-0700-000017010000}">
      <text>
        <r>
          <rPr>
            <sz val="9"/>
            <color indexed="81"/>
            <rFont val="Tahoma"/>
            <family val="2"/>
          </rPr>
          <t>Author: record quarter, including $3bn in purchases in December alone
Product0486 + MaC in F4Q16 forward, only Product0486 prior</t>
        </r>
      </text>
    </comment>
    <comment ref="CD86" authorId="2" shapeId="0" xr:uid="{00000000-0006-0000-0700-000014010000}">
      <text>
        <r>
          <rPr>
            <b/>
            <sz val="9"/>
            <color indexed="81"/>
            <rFont val="Tahoma"/>
            <family val="2"/>
          </rPr>
          <t>Author:</t>
        </r>
        <r>
          <rPr>
            <sz val="9"/>
            <color indexed="81"/>
            <rFont val="Tahoma"/>
            <family val="2"/>
          </rPr>
          <t xml:space="preserve">
1/6/16: Developers have received nearly $40bn since 2008, with over one-third generated in last year</t>
        </r>
      </text>
    </comment>
    <comment ref="CH86" authorId="2" shapeId="0" xr:uid="{00000000-0006-0000-0700-000015010000}">
      <text>
        <r>
          <rPr>
            <b/>
            <sz val="9"/>
            <color indexed="81"/>
            <rFont val="Tahoma"/>
            <family val="2"/>
          </rPr>
          <t>Author:</t>
        </r>
        <r>
          <rPr>
            <sz val="9"/>
            <color indexed="81"/>
            <rFont val="Tahoma"/>
            <family val="2"/>
          </rPr>
          <t xml:space="preserve">
1/5/17: developers earned over $20bn in 2016, up 40% yoy. Cumulatively paid over $60bn.
1/1/17 was the highest single day ever for Product0045 with nearly $240mn in purchases.
Product0045 subsription billings reached $2.7bn in 2016, up 74% yoy.</t>
        </r>
      </text>
    </comment>
    <comment ref="CJ86" authorId="2" shapeId="0" xr:uid="{00000000-0006-0000-0700-000016010000}">
      <text>
        <r>
          <rPr>
            <b/>
            <sz val="9"/>
            <color indexed="81"/>
            <rFont val="Tahoma"/>
            <family val="2"/>
          </rPr>
          <t>Author:</t>
        </r>
        <r>
          <rPr>
            <sz val="9"/>
            <color indexed="81"/>
            <rFont val="Tahoma"/>
            <family val="2"/>
          </rPr>
          <t xml:space="preserve">
6/5/17: $70bn paid to developers</t>
        </r>
      </text>
    </comment>
    <comment ref="DE86" authorId="1" shapeId="0" xr:uid="{D1C52B92-D422-493A-8B2E-469F9B2618F6}">
      <text>
        <r>
          <rPr>
            <b/>
            <sz val="9"/>
            <color indexed="81"/>
            <rFont val="Tahoma"/>
            <family val="2"/>
          </rPr>
          <t xml:space="preserve">Author:
</t>
        </r>
        <r>
          <rPr>
            <sz val="9"/>
            <color indexed="81"/>
            <rFont val="Tahoma"/>
            <family val="2"/>
          </rPr>
          <t xml:space="preserve">1/2023: 
 Developers selling digital goods and services on the Product0045 have earned more than $320 billion since the platform’s 2008 launch, marking another year of record earnings. And this considerable number represents just a fraction of the overall commerce the app ecosystem facilitates. </t>
        </r>
        <r>
          <rPr>
            <b/>
            <sz val="9"/>
            <color indexed="81"/>
            <rFont val="Tahoma"/>
            <family val="2"/>
          </rPr>
          <t xml:space="preserve">
</t>
        </r>
        <r>
          <rPr>
            <sz val="9"/>
            <color indexed="81"/>
            <rFont val="Tahoma"/>
            <family val="2"/>
          </rPr>
          <t xml:space="preserve">
https://example.com/</t>
        </r>
      </text>
    </comment>
    <comment ref="CM89" authorId="1" shapeId="0" xr:uid="{81FA06DC-5CB1-495A-B4E4-7D0465CFF3E5}">
      <text>
        <r>
          <rPr>
            <b/>
            <sz val="9"/>
            <color indexed="81"/>
            <rFont val="Tahoma"/>
            <family val="2"/>
          </rPr>
          <t>Author:</t>
        </r>
        <r>
          <rPr>
            <sz val="9"/>
            <color indexed="81"/>
            <rFont val="Tahoma"/>
            <family val="2"/>
          </rPr>
          <t xml:space="preserve">
F2Q18: Product0484 storage revenue up over 50% yoy to new record</t>
        </r>
      </text>
    </comment>
    <comment ref="CU90" authorId="1" shapeId="0" xr:uid="{7FEFB7E1-4B36-4709-9843-6547D408109F}">
      <text>
        <r>
          <rPr>
            <b/>
            <sz val="9"/>
            <color indexed="81"/>
            <rFont val="Tahoma"/>
            <family val="2"/>
          </rPr>
          <t>Author:</t>
        </r>
        <r>
          <rPr>
            <sz val="9"/>
            <color indexed="81"/>
            <rFont val="Tahoma"/>
            <family val="2"/>
          </rPr>
          <t xml:space="preserve">
F2Q20: Music, Cloud, Care paid subscriptions up strong DD%</t>
        </r>
      </text>
    </comment>
    <comment ref="DI91" authorId="4" shapeId="0" xr:uid="{CC6DCDDA-9C87-4E00-9E41-D6E8871833D8}">
      <text>
        <r>
          <rPr>
            <b/>
            <sz val="9"/>
            <color indexed="81"/>
            <rFont val="Tahoma"/>
            <family val="2"/>
          </rPr>
          <t>Author:</t>
        </r>
        <r>
          <rPr>
            <sz val="9"/>
            <color indexed="81"/>
            <rFont val="Tahoma"/>
            <family val="2"/>
          </rPr>
          <t xml:space="preserve">
9/23/23: announced new 6 and 12 TB plans
6/27/23: price increase on Product0484 storage in UK, Scandinavia, Eastern Europe, Middle East, South America; users report subscription prices are up ~2%</t>
        </r>
      </text>
    </comment>
    <comment ref="DP93" authorId="4" shapeId="0" xr:uid="{4CD4B886-7B56-4B3B-8168-3E304FA72782}">
      <text>
        <r>
          <rPr>
            <b/>
            <sz val="9"/>
            <color indexed="81"/>
            <rFont val="Tahoma"/>
            <family val="2"/>
          </rPr>
          <t>Author:</t>
        </r>
        <r>
          <rPr>
            <sz val="9"/>
            <color indexed="81"/>
            <rFont val="Tahoma"/>
            <family val="2"/>
          </rPr>
          <t xml:space="preserve">
F3Q25: all time high reve record in icloud paid accounts, driven by growth in installed base across all categories</t>
        </r>
      </text>
    </comment>
    <comment ref="A111" authorId="1" shapeId="0" xr:uid="{D92AA489-0329-4D9A-8371-4F3C8D907552}">
      <text>
        <r>
          <rPr>
            <b/>
            <sz val="9"/>
            <color indexed="81"/>
            <rFont val="Tahoma"/>
            <family val="2"/>
          </rPr>
          <t>Author:</t>
        </r>
        <r>
          <rPr>
            <sz val="9"/>
            <color indexed="81"/>
            <rFont val="Tahoma"/>
            <family val="2"/>
          </rPr>
          <t xml:space="preserve">
12/21/22: distributor business. Margins are low and DILUTIVE to SERVICES</t>
        </r>
      </text>
    </comment>
    <comment ref="CG112" authorId="3" shapeId="0" xr:uid="{00000000-0006-0000-0700-00001E010000}">
      <text>
        <r>
          <rPr>
            <b/>
            <sz val="9"/>
            <color indexed="81"/>
            <rFont val="Tahoma"/>
            <family val="2"/>
          </rPr>
          <t>Author:</t>
        </r>
        <r>
          <rPr>
            <sz val="9"/>
            <color indexed="81"/>
            <rFont val="Tahoma"/>
            <family val="2"/>
          </rPr>
          <t xml:space="preserve">
10/25/16: Music revenue (downloaded and streaming) +22% yoy</t>
        </r>
      </text>
    </comment>
    <comment ref="CH112" authorId="2" shapeId="0" xr:uid="{00000000-0006-0000-0700-00001F010000}">
      <text>
        <r>
          <rPr>
            <b/>
            <sz val="9"/>
            <color indexed="81"/>
            <rFont val="Tahoma"/>
            <family val="2"/>
          </rPr>
          <t>Author:</t>
        </r>
        <r>
          <rPr>
            <sz val="9"/>
            <color indexed="81"/>
            <rFont val="Tahoma"/>
            <family val="2"/>
          </rPr>
          <t xml:space="preserve">
1/31/17: combined with downloads, Music revenues grew for the third consecutive quarter</t>
        </r>
      </text>
    </comment>
    <comment ref="CG113" authorId="2" shapeId="0" xr:uid="{00000000-0006-0000-0700-000020010000}">
      <text>
        <r>
          <rPr>
            <b/>
            <sz val="9"/>
            <color indexed="81"/>
            <rFont val="Tahoma"/>
            <family val="2"/>
          </rPr>
          <t>Author:</t>
        </r>
        <r>
          <rPr>
            <sz val="9"/>
            <color indexed="81"/>
            <rFont val="Tahoma"/>
            <family val="2"/>
          </rPr>
          <t xml:space="preserve">
9/7/16: 17mn subscribers</t>
        </r>
      </text>
    </comment>
    <comment ref="CH113" authorId="2" shapeId="0" xr:uid="{00000000-0006-0000-0700-000021010000}">
      <text>
        <r>
          <rPr>
            <b/>
            <sz val="9"/>
            <color indexed="81"/>
            <rFont val="Tahoma"/>
            <family val="2"/>
          </rPr>
          <t>Author:</t>
        </r>
        <r>
          <rPr>
            <sz val="9"/>
            <color indexed="81"/>
            <rFont val="Tahoma"/>
            <family val="2"/>
          </rPr>
          <t xml:space="preserve">
12/6/16: 20mn subscribers (confirmed by Company0242 to Company0391)
50% of users are outside the US; 60% have not bought anything on iTunes store in 12+ months; vast majority are new customers</t>
        </r>
      </text>
    </comment>
    <comment ref="CI113" authorId="2" shapeId="0" xr:uid="{00000000-0006-0000-0700-000022010000}">
      <text>
        <r>
          <rPr>
            <b/>
            <sz val="9"/>
            <color indexed="81"/>
            <rFont val="Tahoma"/>
            <family val="2"/>
          </rPr>
          <t>Author:</t>
        </r>
        <r>
          <rPr>
            <sz val="9"/>
            <color indexed="81"/>
            <rFont val="Tahoma"/>
            <family val="2"/>
          </rPr>
          <t xml:space="preserve">
"well past 20 mn" - Person0339 Person0261, Feb 13, 2017
</t>
        </r>
      </text>
    </comment>
    <comment ref="CJ113" authorId="2" shapeId="0" xr:uid="{00000000-0006-0000-0700-000023010000}">
      <text>
        <r>
          <rPr>
            <b/>
            <sz val="9"/>
            <color indexed="81"/>
            <rFont val="Tahoma"/>
            <family val="2"/>
          </rPr>
          <t>Author:</t>
        </r>
        <r>
          <rPr>
            <sz val="9"/>
            <color indexed="81"/>
            <rFont val="Tahoma"/>
            <family val="2"/>
          </rPr>
          <t xml:space="preserve">
6/5/17: Product0455 2017 27mn paid subscribers
</t>
        </r>
      </text>
    </comment>
    <comment ref="CK113" authorId="0" shapeId="0" xr:uid="{00000000-0006-0000-0700-000024010000}">
      <text>
        <r>
          <rPr>
            <b/>
            <sz val="9"/>
            <color indexed="81"/>
            <rFont val="Tahoma"/>
            <family val="2"/>
          </rPr>
          <t>Author:</t>
        </r>
        <r>
          <rPr>
            <sz val="9"/>
            <color indexed="81"/>
            <rFont val="Tahoma"/>
            <family val="2"/>
          </rPr>
          <t xml:space="preserve">
FQ4'17 call: "The number of paid subscribers (for Product0046) was up over 75% year-over-year"</t>
        </r>
      </text>
    </comment>
    <comment ref="CM113" authorId="1" shapeId="0" xr:uid="{8734F1D0-101D-4B17-8DEE-66E1B53E355F}">
      <text>
        <r>
          <rPr>
            <b/>
            <sz val="9"/>
            <color indexed="81"/>
            <rFont val="Tahoma"/>
            <family val="2"/>
          </rPr>
          <t>Author:</t>
        </r>
        <r>
          <rPr>
            <sz val="9"/>
            <color indexed="81"/>
            <rFont val="Tahoma"/>
            <family val="2"/>
          </rPr>
          <t xml:space="preserve">
F2Q18: Product0046 subs passed 40 mn</t>
        </r>
      </text>
    </comment>
    <comment ref="CQ113" authorId="1" shapeId="0" xr:uid="{382B7A3B-CE40-46ED-9823-C55F50FD22A0}">
      <text>
        <r>
          <rPr>
            <b/>
            <sz val="9"/>
            <color indexed="81"/>
            <rFont val="Tahoma"/>
            <family val="2"/>
          </rPr>
          <t>Author:</t>
        </r>
        <r>
          <rPr>
            <sz val="9"/>
            <color indexed="81"/>
            <rFont val="Tahoma"/>
            <family val="2"/>
          </rPr>
          <t xml:space="preserve">
28 mn US subscribers (v. 26 mn for Company2585) </t>
        </r>
      </text>
    </comment>
    <comment ref="CU113" authorId="1" shapeId="0" xr:uid="{3FF4E3C4-5F86-4E44-BC9C-5C1FB2913048}">
      <text>
        <r>
          <rPr>
            <b/>
            <sz val="9"/>
            <color indexed="81"/>
            <rFont val="Tahoma"/>
            <family val="2"/>
          </rPr>
          <t>Author:</t>
        </r>
        <r>
          <rPr>
            <sz val="9"/>
            <color indexed="81"/>
            <rFont val="Tahoma"/>
            <family val="2"/>
          </rPr>
          <t xml:space="preserve">
F2Q20: Music, Cloud, Care paid subscriptions up strong DD%</t>
        </r>
      </text>
    </comment>
    <comment ref="DD113" authorId="1" shapeId="0" xr:uid="{667EC0B4-5BC2-4FD4-ADC8-0B0AC265CC87}">
      <text>
        <r>
          <rPr>
            <b/>
            <sz val="9"/>
            <color indexed="81"/>
            <rFont val="Tahoma"/>
            <family val="2"/>
          </rPr>
          <t>Author:</t>
        </r>
        <r>
          <rPr>
            <sz val="9"/>
            <color indexed="81"/>
            <rFont val="Tahoma"/>
            <family val="2"/>
          </rPr>
          <t xml:space="preserve">
SPOT @ 188 mn subs of which 55 north America, 73 Europe, 40 Latam, 21 ROW </t>
        </r>
      </text>
    </comment>
    <comment ref="DE113" authorId="1" shapeId="0" xr:uid="{E9678C01-0D97-485A-8205-DDE65FA2C1FB}">
      <text>
        <r>
          <rPr>
            <b/>
            <sz val="9"/>
            <color indexed="81"/>
            <rFont val="Tahoma"/>
            <family val="2"/>
          </rPr>
          <t>Author:</t>
        </r>
        <r>
          <rPr>
            <sz val="9"/>
            <color indexed="81"/>
            <rFont val="Tahoma"/>
            <family val="2"/>
          </rPr>
          <t xml:space="preserve">
SPOT C3Q22: SPOT had 7 mn net adds in C3Q22 premum subs.. Additional 17 mn for ad supported subs 
Notably user strength in LatAm, led by Brazil. 
SPOT L/T margins of 30-35% (v. 24.7% in C3Q22). Margins hurt by forex, advertising, etc
Ticker0015 values SPOT at 5X EV/gross profit or 19X EBITDA
Podcasts reported 28 mn monthly users as of 2020</t>
        </r>
      </text>
    </comment>
    <comment ref="DF113" authorId="1" shapeId="0" xr:uid="{8B1200B6-16FD-4DAA-95D0-8E09BDE71AF8}">
      <text>
        <r>
          <rPr>
            <b/>
            <sz val="9"/>
            <color indexed="81"/>
            <rFont val="Tahoma"/>
            <family val="2"/>
          </rPr>
          <t>Author:</t>
        </r>
        <r>
          <rPr>
            <sz val="9"/>
            <color indexed="81"/>
            <rFont val="Tahoma"/>
            <family val="2"/>
          </rPr>
          <t xml:space="preserve">
F1Q23: Music was very storng</t>
        </r>
      </text>
    </comment>
    <comment ref="DN113" authorId="1" shapeId="0" xr:uid="{03DFB600-3540-4723-82C1-938758DD5B4F}">
      <text>
        <r>
          <rPr>
            <b/>
            <sz val="9"/>
            <color indexed="81"/>
            <rFont val="Tahoma"/>
            <family val="2"/>
          </rPr>
          <t>Author:</t>
        </r>
        <r>
          <rPr>
            <sz val="9"/>
            <color indexed="81"/>
            <rFont val="Tahoma"/>
            <family val="2"/>
          </rPr>
          <t xml:space="preserve">
The Information (3/20/2025): Surpassed 100 mn free and paid subscribers with SD% gross margins.
Reportedly, Person0261 is concerned that it may never reach 100 mn paying subscribers</t>
        </r>
      </text>
    </comment>
    <comment ref="A114" authorId="1" shapeId="0" xr:uid="{F0400E99-4416-49BB-925D-11FC44ACB1F2}">
      <text>
        <r>
          <rPr>
            <b/>
            <sz val="9"/>
            <color indexed="81"/>
            <rFont val="Tahoma"/>
            <family val="2"/>
          </rPr>
          <t>Author:</t>
        </r>
        <r>
          <rPr>
            <sz val="9"/>
            <color indexed="81"/>
            <rFont val="Tahoma"/>
            <family val="2"/>
          </rPr>
          <t xml:space="preserve">
Company2965 4/8/2021: reports Product0046 pays $0.01/stream which is double the $0.003-$0.005  paid by Company2585
10/24/2022: announcing price increases for subscriptions
No operating leverage on Music. SPOT pays out 66% to labels. 
SPOT has mid twenties gross margin. Probably ~30% for premium, 2% for ads
</t>
        </r>
        <r>
          <rPr>
            <b/>
            <sz val="9"/>
            <color indexed="81"/>
            <rFont val="Tahoma"/>
            <family val="2"/>
          </rPr>
          <t xml:space="preserve">Product0046
</t>
        </r>
        <r>
          <rPr>
            <sz val="9"/>
            <color indexed="81"/>
            <rFont val="Tahoma"/>
            <family val="2"/>
          </rPr>
          <t xml:space="preserve">Individual: $10.99 per month (from $9.99)
Family: $16.99 per month (from $14.99)
Individual Annual: $109 per year (from $99)
</t>
        </r>
        <r>
          <rPr>
            <b/>
            <sz val="9"/>
            <color indexed="81"/>
            <rFont val="Tahoma"/>
            <family val="2"/>
          </rPr>
          <t xml:space="preserve">Product0048+
</t>
        </r>
        <r>
          <rPr>
            <sz val="9"/>
            <color indexed="81"/>
            <rFont val="Tahoma"/>
            <family val="2"/>
          </rPr>
          <t xml:space="preserve">Monthly: $6.99 per month (from $4.99)
Annual: $69 per year (from $49.99)
</t>
        </r>
        <r>
          <rPr>
            <b/>
            <sz val="9"/>
            <color indexed="81"/>
            <rFont val="Tahoma"/>
            <family val="2"/>
          </rPr>
          <t xml:space="preserve">Company0242 One
</t>
        </r>
        <r>
          <rPr>
            <sz val="9"/>
            <color indexed="81"/>
            <rFont val="Tahoma"/>
            <family val="2"/>
          </rPr>
          <t>Individual: $16.95 per month (from $14.95)
Family: $22.95 per month (from $19.95)
Premier: $32.95 per month (from $29.95)</t>
        </r>
      </text>
    </comment>
    <comment ref="CB114" authorId="2" shapeId="0" xr:uid="{00000000-0006-0000-0700-000025010000}">
      <text>
        <r>
          <rPr>
            <b/>
            <sz val="9"/>
            <color indexed="81"/>
            <rFont val="Tahoma"/>
            <family val="2"/>
          </rPr>
          <t>Author:</t>
        </r>
        <r>
          <rPr>
            <sz val="9"/>
            <color indexed="81"/>
            <rFont val="Tahoma"/>
            <family val="2"/>
          </rPr>
          <t xml:space="preserve">
Introduced June 30, 2015. Individual membership $9.99/mo, family membership $14.99/mo; free for three months
Assume 3 family members on average: $5
2/3 * $5 + 1/3 * $10</t>
        </r>
      </text>
    </comment>
    <comment ref="DG114" authorId="1" shapeId="0" xr:uid="{D6E8D4AF-74F6-4FD7-9ECD-8E943DD4E06A}">
      <text>
        <r>
          <rPr>
            <b/>
            <sz val="9"/>
            <color indexed="81"/>
            <rFont val="Tahoma"/>
            <family val="2"/>
          </rPr>
          <t>Author:</t>
        </r>
        <r>
          <rPr>
            <sz val="9"/>
            <color indexed="81"/>
            <rFont val="Tahoma"/>
            <family val="2"/>
          </rPr>
          <t xml:space="preserve">
Product0046 goes to $10.99 (v. $9.99 prior) as of October 2022.
The change to Product0046 is due to an increase in licensing costs, and in turn, artists and songwriters will earn more for the streaming of their music,” said Company0242 in a statement. “We also continue to add innovative features that make Product0046 the world’s best listening experience. We
Assuming 10% benefit from price increases</t>
        </r>
      </text>
    </comment>
    <comment ref="A117" authorId="1" shapeId="0" xr:uid="{07938CF7-DF81-4F4B-8CD9-CB07F974E1F4}">
      <text>
        <r>
          <rPr>
            <b/>
            <sz val="9"/>
            <color indexed="81"/>
            <rFont val="Tahoma"/>
            <family val="2"/>
          </rPr>
          <t>Author:</t>
        </r>
        <r>
          <rPr>
            <sz val="9"/>
            <color indexed="81"/>
            <rFont val="Tahoma"/>
            <family val="2"/>
          </rPr>
          <t xml:space="preserve">
Investing in TV+ (loss making), Company0130 (loss making), Product0484 (was loss making, now profitable with growing margins)
&gt;100 countries</t>
        </r>
      </text>
    </comment>
    <comment ref="CR117" authorId="1" shapeId="0" xr:uid="{C2D9F095-7703-4390-ACBF-832530BFA2C4}">
      <text>
        <r>
          <rPr>
            <b/>
            <sz val="9"/>
            <color indexed="81"/>
            <rFont val="Tahoma"/>
            <family val="2"/>
          </rPr>
          <t>Author:</t>
        </r>
        <r>
          <rPr>
            <sz val="9"/>
            <color indexed="81"/>
            <rFont val="Tahoma"/>
            <family val="2"/>
          </rPr>
          <t xml:space="preserve">
Rumored budgets for original content is ~$6 bn. Paying up for THE MORNING SHOW</t>
        </r>
      </text>
    </comment>
    <comment ref="CS118" authorId="1" shapeId="0" xr:uid="{01BEA7B4-B79E-4741-8580-68A2461CC516}">
      <text>
        <r>
          <rPr>
            <b/>
            <sz val="9"/>
            <color indexed="81"/>
            <rFont val="Tahoma"/>
            <family val="2"/>
          </rPr>
          <t>Author:</t>
        </r>
        <r>
          <rPr>
            <sz val="9"/>
            <color indexed="81"/>
            <rFont val="Tahoma"/>
            <family val="2"/>
          </rPr>
          <t xml:space="preserve">
November 1, 2019 launch date</t>
        </r>
      </text>
    </comment>
    <comment ref="CW118" authorId="1" shapeId="0" xr:uid="{4BF399C7-F979-43CB-AD44-D53397607133}">
      <text>
        <r>
          <rPr>
            <b/>
            <sz val="9"/>
            <color indexed="81"/>
            <rFont val="Tahoma"/>
            <family val="2"/>
          </rPr>
          <t>Author:</t>
        </r>
        <r>
          <rPr>
            <sz val="9"/>
            <color indexed="81"/>
            <rFont val="Tahoma"/>
            <family val="2"/>
          </rPr>
          <t xml:space="preserve">
Company0242 said to be looking to release ~12 movies annually with each getting special treatment, v. Company1934 volumje strategy </t>
        </r>
      </text>
    </comment>
    <comment ref="DC118" authorId="1" shapeId="0" xr:uid="{C868F7D6-5FA6-401B-8FE3-F4963A150EBD}">
      <text>
        <r>
          <rPr>
            <b/>
            <sz val="9"/>
            <color indexed="81"/>
            <rFont val="Tahoma"/>
            <family val="2"/>
          </rPr>
          <t>Author:</t>
        </r>
        <r>
          <rPr>
            <sz val="9"/>
            <color indexed="81"/>
            <rFont val="Tahoma"/>
            <family val="2"/>
          </rPr>
          <t xml:space="preserve">
Friday Night Baseball to appear on Product0048+
2X games each Friday in 9 geographies, expanding further at a later date</t>
        </r>
      </text>
    </comment>
    <comment ref="DG118" authorId="1" shapeId="0" xr:uid="{1820BBCB-0D28-4D31-83A7-4F840A6370B9}">
      <text>
        <r>
          <rPr>
            <b/>
            <sz val="9"/>
            <color indexed="81"/>
            <rFont val="Tahoma"/>
            <family val="2"/>
          </rPr>
          <t>Author:</t>
        </r>
        <r>
          <rPr>
            <sz val="9"/>
            <color indexed="81"/>
            <rFont val="Tahoma"/>
            <family val="2"/>
          </rPr>
          <t xml:space="preserve">
</t>
        </r>
        <r>
          <rPr>
            <b/>
            <sz val="9"/>
            <color indexed="81"/>
            <rFont val="Tahoma"/>
            <family val="2"/>
          </rPr>
          <t xml:space="preserve">(1) </t>
        </r>
        <r>
          <rPr>
            <sz val="9"/>
            <color indexed="81"/>
            <rFont val="Tahoma"/>
            <family val="2"/>
          </rPr>
          <t xml:space="preserve">10-year deal for Major League Soccer
2023-2032
Subscribe to new Company1722  Streaming service available through Product0048 app
Select Company1722 and Leagues Cup matches will be available at no cost to Product0052+ subscribers
No regional blackouts
In addition to matches, new weekly live match highlights show
Ticker0001 has called the Company1722 deal a new league deal where it's more win-win and allows for more innovation
$2.5 bn deal over 10 years
$250/year
Company1722 Season Pass: $14.99/month ($99/season) or $12.99/month ($79/season) for Product0048+ subscribers
https://example.com/
Every single Company1722 game on Product0048 with no regional blackouts
Collaborate on marketing including an Product0048 logo on every Company1722 team jersey and other production enhancements
Over 100 countries
Company1722 season Feb 25-October 21, 2023
https://example.com/
</t>
        </r>
        <r>
          <rPr>
            <b/>
            <sz val="9"/>
            <color indexed="81"/>
            <rFont val="Tahoma"/>
            <family val="2"/>
          </rPr>
          <t xml:space="preserve">
(2) Company1717 to Product0048+ for 2022 season. </t>
        </r>
        <r>
          <rPr>
            <sz val="9"/>
            <color indexed="81"/>
            <rFont val="Tahoma"/>
            <family val="2"/>
          </rPr>
          <t xml:space="preserve">First 12-weeks of Friday Night Baseball will be avaialble to anyone for free -- without the need for an Product0052+ subscription 
First game will be on April 8, 2022
Company0244 first move into live sports. 
$85 mn per year for  7 years
(April-September 2022)
</t>
        </r>
        <r>
          <rPr>
            <b/>
            <sz val="9"/>
            <color indexed="81"/>
            <rFont val="Tahoma"/>
            <family val="2"/>
          </rPr>
          <t xml:space="preserve">
(3) Company0242 dropping out of Product0389 Ticket
</t>
        </r>
        <r>
          <rPr>
            <sz val="9"/>
            <color indexed="81"/>
            <rFont val="Tahoma"/>
            <family val="2"/>
          </rPr>
          <t xml:space="preserve">Company0242, Company0221, Product0476 expressed interest. $2.5-$3.0 bn annual reported deal. 
Restrictions on int'l rights, geographic blackouts, and minimum subscription price </t>
        </r>
      </text>
    </comment>
    <comment ref="DH118" authorId="1" shapeId="0" xr:uid="{E7162FFB-D5DC-4D07-BD10-6DAD4397A185}">
      <text>
        <r>
          <rPr>
            <b/>
            <sz val="9"/>
            <color indexed="81"/>
            <rFont val="Tahoma"/>
            <family val="2"/>
          </rPr>
          <t>Author:</t>
        </r>
        <r>
          <rPr>
            <sz val="9"/>
            <color indexed="81"/>
            <rFont val="Tahoma"/>
            <family val="2"/>
          </rPr>
          <t xml:space="preserve">
Company0242 + Company0654+ deal to bring Product0052+ to all Product0095+ subscribers in France, Switzerland, Czech Republic, and Slovakia.
- Starts April 20 
- all subs (no add'l cost)
- multi-year deal
- Company0242 Originals will also air on Company0654+ flagship channel 
Company0654+ has about 30 mn subs
30*$1*12 = $360 mn per year </t>
        </r>
      </text>
    </comment>
    <comment ref="DU118" authorId="1" shapeId="0" xr:uid="{0025523D-3DF9-40DC-998A-1A4FBA3BF7B3}">
      <text>
        <r>
          <rPr>
            <b/>
            <sz val="9"/>
            <color indexed="81"/>
            <rFont val="Tahoma"/>
            <family val="2"/>
          </rPr>
          <t>Author:</t>
        </r>
        <r>
          <rPr>
            <sz val="9"/>
            <color indexed="81"/>
            <rFont val="Tahoma"/>
            <family val="2"/>
          </rPr>
          <t xml:space="preserve">
12/21/22: should be profitable in a few years. </t>
        </r>
      </text>
    </comment>
    <comment ref="DY118" authorId="1" shapeId="0" xr:uid="{6BAA6331-1C7C-4088-8CCF-B8F5056BCCB2}">
      <text>
        <r>
          <rPr>
            <b/>
            <sz val="9"/>
            <color indexed="81"/>
            <rFont val="Tahoma"/>
            <family val="2"/>
          </rPr>
          <t>Author:</t>
        </r>
        <r>
          <rPr>
            <sz val="9"/>
            <color indexed="81"/>
            <rFont val="Tahoma"/>
            <family val="2"/>
          </rPr>
          <t xml:space="preserve">
12/21/22: should be profitable in a few years. </t>
        </r>
      </text>
    </comment>
    <comment ref="EC118" authorId="1" shapeId="0" xr:uid="{05AD6FC6-260B-42DC-AD22-15F3871BD4D9}">
      <text>
        <r>
          <rPr>
            <b/>
            <sz val="9"/>
            <color indexed="81"/>
            <rFont val="Tahoma"/>
            <family val="2"/>
          </rPr>
          <t>Author:</t>
        </r>
        <r>
          <rPr>
            <sz val="9"/>
            <color indexed="81"/>
            <rFont val="Tahoma"/>
            <family val="2"/>
          </rPr>
          <t xml:space="preserve">
12/21/22: should be profitable in a few years. </t>
        </r>
      </text>
    </comment>
    <comment ref="EG118" authorId="1" shapeId="0" xr:uid="{6FE56351-40A4-45E7-BA46-F0D22D653243}">
      <text>
        <r>
          <rPr>
            <b/>
            <sz val="9"/>
            <color indexed="81"/>
            <rFont val="Tahoma"/>
            <family val="2"/>
          </rPr>
          <t>Author:</t>
        </r>
        <r>
          <rPr>
            <sz val="9"/>
            <color indexed="81"/>
            <rFont val="Tahoma"/>
            <family val="2"/>
          </rPr>
          <t xml:space="preserve">
12/21/22: should be profitable in a few years. </t>
        </r>
      </text>
    </comment>
    <comment ref="EK118" authorId="1" shapeId="0" xr:uid="{6D3F53B6-6F49-4CE2-8E04-DB06D03AAA9A}">
      <text>
        <r>
          <rPr>
            <b/>
            <sz val="9"/>
            <color indexed="81"/>
            <rFont val="Tahoma"/>
            <family val="2"/>
          </rPr>
          <t>Author:</t>
        </r>
        <r>
          <rPr>
            <sz val="9"/>
            <color indexed="81"/>
            <rFont val="Tahoma"/>
            <family val="2"/>
          </rPr>
          <t xml:space="preserve">
12/21/22: should be profitable in a few years. </t>
        </r>
      </text>
    </comment>
    <comment ref="FM118" authorId="1" shapeId="0" xr:uid="{D4DFF58B-87CF-48A7-A72C-1820095334DE}">
      <text>
        <r>
          <rPr>
            <b/>
            <sz val="9"/>
            <color indexed="81"/>
            <rFont val="Tahoma"/>
            <family val="2"/>
          </rPr>
          <t>Author:</t>
        </r>
        <r>
          <rPr>
            <sz val="9"/>
            <color indexed="81"/>
            <rFont val="Tahoma"/>
            <family val="2"/>
          </rPr>
          <t xml:space="preserve">
$3+ bn content budget
Ticker0026 closer to $17 bn
Company0734 $32 bn</t>
        </r>
      </text>
    </comment>
    <comment ref="FN118" authorId="1" shapeId="0" xr:uid="{F19CED7B-ACD2-444A-AB98-91E30B2D203B}">
      <text>
        <r>
          <rPr>
            <b/>
            <sz val="9"/>
            <color indexed="81"/>
            <rFont val="Tahoma"/>
            <family val="2"/>
          </rPr>
          <t>Author:</t>
        </r>
        <r>
          <rPr>
            <sz val="9"/>
            <color indexed="81"/>
            <rFont val="Tahoma"/>
            <family val="2"/>
          </rPr>
          <t xml:space="preserve">
1/3/2023: Person0959 Company2599 hired as Product0048+ Marketing after 9+ years where he was presdient of content + marketing for Company0804+ and was president of prorgamming for Product0178 and Company0735+. 
Heads of Worldwide Video are Person1211 Person1148 Person0070 and Person0516 Person0355. </t>
        </r>
      </text>
    </comment>
    <comment ref="CT119" authorId="1" shapeId="0" xr:uid="{A65B7497-3032-4252-83B9-2F7FCE36D4A6}">
      <text>
        <r>
          <rPr>
            <b/>
            <sz val="9"/>
            <color indexed="81"/>
            <rFont val="Tahoma"/>
            <family val="2"/>
          </rPr>
          <t>Author:</t>
        </r>
        <r>
          <rPr>
            <sz val="9"/>
            <color indexed="81"/>
            <rFont val="Tahoma"/>
            <family val="2"/>
          </rPr>
          <t xml:space="preserve">
Reported 10 mn subs by February 2020 (includes non-paid)</t>
        </r>
      </text>
    </comment>
    <comment ref="CU119" authorId="1" shapeId="0" xr:uid="{D111CBD9-1767-42DD-9F11-23930BF5A749}">
      <text>
        <r>
          <rPr>
            <b/>
            <sz val="9"/>
            <color indexed="81"/>
            <rFont val="Tahoma"/>
            <family val="2"/>
          </rPr>
          <t>Author:</t>
        </r>
        <r>
          <rPr>
            <sz val="9"/>
            <color indexed="81"/>
            <rFont val="Tahoma"/>
            <family val="2"/>
          </rPr>
          <t xml:space="preserve">
Bloomberg 5/192020: Only 1/2 of the 10mn people that signed up for Product0052+ were using it. </t>
        </r>
      </text>
    </comment>
    <comment ref="CY119" authorId="1" shapeId="0" xr:uid="{7981F96C-5D38-4B54-A5EE-23D7ABD047EA}">
      <text>
        <r>
          <rPr>
            <b/>
            <sz val="9"/>
            <color indexed="81"/>
            <rFont val="Tahoma"/>
            <family val="2"/>
          </rPr>
          <t>Author:</t>
        </r>
        <r>
          <rPr>
            <sz val="9"/>
            <color indexed="81"/>
            <rFont val="Tahoma"/>
            <family val="2"/>
          </rPr>
          <t xml:space="preserve">
Company0242 tv+ avaialble on Product0106 + Company1153 TV</t>
        </r>
      </text>
    </comment>
    <comment ref="DA119" authorId="1" shapeId="0" xr:uid="{91CC7290-839E-4CF3-83C6-A4E986EE2716}">
      <text>
        <r>
          <rPr>
            <b/>
            <sz val="9"/>
            <color indexed="81"/>
            <rFont val="Tahoma"/>
            <family val="2"/>
          </rPr>
          <t>Author:</t>
        </r>
        <r>
          <rPr>
            <sz val="9"/>
            <color indexed="81"/>
            <rFont val="Tahoma"/>
            <family val="2"/>
          </rPr>
          <t xml:space="preserve">
Company0242 reportedly told the International Alliance of Theatrical Stage Employees in July that Product0048+ had fewer than 20 million subscribers in the U.S. and Canada at the time, according to Variety. </t>
        </r>
      </text>
    </comment>
    <comment ref="DC119" authorId="1" shapeId="0" xr:uid="{C04790DD-A3F1-46B0-B745-6FAA0E749376}">
      <text>
        <r>
          <rPr>
            <b/>
            <sz val="9"/>
            <color indexed="81"/>
            <rFont val="Tahoma"/>
            <family val="2"/>
          </rPr>
          <t>Author:</t>
        </r>
        <r>
          <rPr>
            <sz val="9"/>
            <color indexed="81"/>
            <rFont val="Tahoma"/>
            <family val="2"/>
          </rPr>
          <t xml:space="preserve">
March 2022: 25 mn paid subs </t>
        </r>
      </text>
    </comment>
    <comment ref="DJ119" authorId="1" shapeId="0" xr:uid="{A91B01DA-1BE2-4923-8CD0-E5E63F935EA4}">
      <text>
        <r>
          <rPr>
            <b/>
            <sz val="9"/>
            <color indexed="81"/>
            <rFont val="Tahoma"/>
            <family val="2"/>
          </rPr>
          <t>Author:</t>
        </r>
        <r>
          <rPr>
            <sz val="9"/>
            <color indexed="81"/>
            <rFont val="Tahoma"/>
            <family val="2"/>
          </rPr>
          <t xml:space="preserve">
Company2331 2/2024: Company1722 Season Pass has &gt;2 mn subscribers at the end of 2023 season, but not sure how many are non-paying. Some of that are Company2609 free offer users that won't renew. </t>
        </r>
      </text>
    </comment>
    <comment ref="DK119" authorId="1" shapeId="0" xr:uid="{88DF2D33-3126-4ABC-AB5C-A2731EAD9A6F}">
      <text>
        <r>
          <rPr>
            <b/>
            <sz val="9"/>
            <color indexed="81"/>
            <rFont val="Tahoma"/>
            <family val="2"/>
          </rPr>
          <t>Author:</t>
        </r>
        <r>
          <rPr>
            <sz val="9"/>
            <color indexed="81"/>
            <rFont val="Tahoma"/>
            <family val="2"/>
          </rPr>
          <t xml:space="preserve">
Company0256 believes 18 mn subs as of January 2024</t>
        </r>
      </text>
    </comment>
    <comment ref="DN119" authorId="1" shapeId="0" xr:uid="{A2AD6BB9-2774-493D-9B49-EE8D1901FAF7}">
      <text>
        <r>
          <rPr>
            <b/>
            <sz val="9"/>
            <color indexed="81"/>
            <rFont val="Tahoma"/>
            <family val="2"/>
          </rPr>
          <t>Author:</t>
        </r>
        <r>
          <rPr>
            <sz val="9"/>
            <color indexed="81"/>
            <rFont val="Tahoma"/>
            <family val="2"/>
          </rPr>
          <t xml:space="preserve">
The Information on 3/20/25 said 45 mn subscribers "last year"
Losing $1 bn annually
TV+ is the only subscription service that is losing money
Budget cut by $500 mn in 2024
Business plan called for $15-$20 bn of losses in the first decade
https://example.com/</t>
        </r>
      </text>
    </comment>
    <comment ref="A120" authorId="1" shapeId="0" xr:uid="{CD359EDD-4D69-4819-BCC2-B37F547BAE2D}">
      <text>
        <r>
          <rPr>
            <b/>
            <sz val="9"/>
            <color indexed="81"/>
            <rFont val="Tahoma"/>
            <family val="2"/>
          </rPr>
          <t>Author:</t>
        </r>
        <r>
          <rPr>
            <sz val="9"/>
            <color indexed="81"/>
            <rFont val="Tahoma"/>
            <family val="2"/>
          </rPr>
          <t xml:space="preserve">
Free 7-day trial. $4.99 per month after
10/24/2022: announcing price increases for subscriptions
Product0046
Individual: $10.99 per month (from $9.99)
Family: $16.99 per month (from $14.99)
Individual Annual: $109 per year (from $99)
Product0048+
Monthly: $6.99 per month (from $4.99)
Annual: $69 per year (from $49.99)
Company0242 One
Individual: $16.95 per month (from $14.95)
Family: $22.95 per month (from $19.95)
Premier: $32.95 per month (from $29.95)</t>
        </r>
      </text>
    </comment>
    <comment ref="DG120" authorId="1" shapeId="0" xr:uid="{94F3738B-6D62-4698-BACF-49CF7C22B183}">
      <text>
        <r>
          <rPr>
            <b/>
            <sz val="9"/>
            <color indexed="81"/>
            <rFont val="Tahoma"/>
            <family val="2"/>
          </rPr>
          <t>Author:</t>
        </r>
        <r>
          <rPr>
            <sz val="9"/>
            <color indexed="81"/>
            <rFont val="Tahoma"/>
            <family val="2"/>
          </rPr>
          <t xml:space="preserve">
40%  increase effective October 24, 2022
from $4.99 to $6.99
Subscribing to Company1722 Season Pass
Starting February 1, fans can subscribe to Company1722 Season Pass on the Product0048 app for $14.99 per month during the season or $99 per season, and Product0048+ subscribers can sign up at a special price of $12.99 per month and $79 per season. A subscription to Company1722 Season Pass will be included with each full-season ticket account. Through Family Sharing, up to six family members can share the subscription using their own Company0242 ID and password.</t>
        </r>
      </text>
    </comment>
    <comment ref="DH120" authorId="1" shapeId="0" xr:uid="{692B2BF0-C617-40A2-9F75-13A96FF326D3}">
      <text>
        <r>
          <rPr>
            <b/>
            <sz val="9"/>
            <color indexed="81"/>
            <rFont val="Tahoma"/>
            <family val="2"/>
          </rPr>
          <t>Author:</t>
        </r>
        <r>
          <rPr>
            <sz val="9"/>
            <color indexed="81"/>
            <rFont val="Tahoma"/>
            <family val="2"/>
          </rPr>
          <t xml:space="preserve">
3/19/23 BB: Company1933 at 1 mn US MAUs for ad-tier after 2 months. Includes multiple people using 1 account. 
US has 74 mn Company1933 customers. Conesnsus is 15-30 mn potential ad-tier customers. 
- Product0189, Product0291, Product0427, Product0298 have more free users
- Company1933 ad-tier gives price conscious consumers an alternative 
- Company1933 said most people in ad-tier are new or lapsed customers - not switchers from existing plans.
- per Company0238 - 20% of new sign-ups in the US for Company1933 are ad-tier
- Ad-tier is an option as Company1933 cracks down on PW sharing</t>
        </r>
      </text>
    </comment>
    <comment ref="DJ120" authorId="5" shapeId="0" xr:uid="{AA698286-6E1B-423A-9246-02B80E662C78}">
      <text>
        <r>
          <rPr>
            <b/>
            <sz val="9"/>
            <color indexed="81"/>
            <rFont val="Tahoma"/>
            <family val="2"/>
          </rPr>
          <t>Author:</t>
        </r>
        <r>
          <rPr>
            <sz val="9"/>
            <color indexed="81"/>
            <rFont val="Tahoma"/>
            <family val="2"/>
          </rPr>
          <t xml:space="preserve">
10.25.23 - $6.99 -&gt; $9.99/month; $69/yr -&gt; $99/yr
in the US, France, other major countries
effectively immediately for new subscribers, and existig subscribers will see the impact on next billing date (or next 30 days)</t>
        </r>
      </text>
    </comment>
    <comment ref="DK120" authorId="1" shapeId="0" xr:uid="{5BD46E0D-13F5-47C1-8204-47B9F2433562}">
      <text>
        <r>
          <rPr>
            <b/>
            <sz val="9"/>
            <color indexed="81"/>
            <rFont val="Tahoma"/>
            <family val="2"/>
          </rPr>
          <t>Author:</t>
        </r>
        <r>
          <rPr>
            <sz val="9"/>
            <color indexed="81"/>
            <rFont val="Tahoma"/>
            <family val="2"/>
          </rPr>
          <t xml:space="preserve">
Ad tier: 
Assume that ad benefits offset lower sub price equal to neutral user economics
effectively immediately for new subscribers, and existig subscribers will see the impact on next billing date (or next 30 days)</t>
        </r>
      </text>
    </comment>
    <comment ref="DH121" authorId="1" shapeId="0" xr:uid="{F8205B62-DE89-4C6A-BB1E-A0BB459C4CAC}">
      <text>
        <r>
          <rPr>
            <b/>
            <sz val="9"/>
            <color indexed="81"/>
            <rFont val="Tahoma"/>
            <family val="2"/>
          </rPr>
          <t>Author:</t>
        </r>
        <r>
          <rPr>
            <sz val="9"/>
            <color indexed="81"/>
            <rFont val="Tahoma"/>
            <family val="2"/>
          </rPr>
          <t xml:space="preserve">
9/5/23: 2.3 mn monthly net adds per Company0238 
6/28/2023: Company0242 made entire SILO ep 1 available on Product0431, Person0793, Person0790 retweet
7/26/2023L Sports buisness Journal: 700k Company1722 Season Pass subscribers as of early June. </t>
        </r>
      </text>
    </comment>
    <comment ref="DI121" authorId="1" shapeId="0" xr:uid="{F01D8D07-3964-4160-BA1B-962961D968A4}">
      <text>
        <r>
          <rPr>
            <b/>
            <sz val="9"/>
            <color indexed="81"/>
            <rFont val="Tahoma"/>
            <family val="2"/>
          </rPr>
          <t>Author:</t>
        </r>
        <r>
          <rPr>
            <sz val="9"/>
            <color indexed="81"/>
            <rFont val="Tahoma"/>
            <family val="2"/>
          </rPr>
          <t xml:space="preserve">
9/5/23: 110k sign ups on the </t>
        </r>
        <r>
          <rPr>
            <u/>
            <sz val="9"/>
            <color indexed="81"/>
            <rFont val="Tahoma"/>
            <family val="2"/>
          </rPr>
          <t>day</t>
        </r>
        <r>
          <rPr>
            <sz val="9"/>
            <color indexed="81"/>
            <rFont val="Tahoma"/>
            <family val="2"/>
          </rPr>
          <t xml:space="preserve"> Person0764 debuted (July 2023); +280% increase from # of sign ups at start of 2023 seasons (February 2023)
~800k monthly US Product0048+ sign ups, includinng ~300k for Company1722 seaosn pass per Company0238 (https://example.com/)
Inter Miami schedule
July 21: Leagues Cup: Person0259 Company0270 vs. Miami, 8/7c, Company1722 Season Pass/Company2839
July 25: Leagues Cup: Miami vs. Atlanta, 7:30/6:30c, Company1722 Season Pass
August 20: Miami vs. Charlotte, 7:30/6:30c, Company1722 Season Pass
August 23: Cincinnati vs. Miami, 7/6c, Company1722 Season Pass
August 26: New York vs. Miami, 7:30/6:30c, Company1722 Season Pass
August 30: Miami vs. Nashville, 7:30/6:30c, Company1722 Season Pass
September 3: Company1532 vs. Miami, 10:30/9:30c, Company1722 Season Pass
September 9: Miami vs. Kansas City, 7:30/6:30c, Company1722 Season Pass
September 16: Atlanta vs. Miami, 7:30/6:30c, Company1722 Season Pass
September 20: Miami vs. Toronto, 7:30/6:30c, Company1722 Season Pass
September 24: Orlando vs. Miami, 7:30/6:30c, Company1722 Season Pass/FS1
September 30: Miami vs. New York City, 7:30/6:30c, Company1722 Season Pass
October 4: Chicago vs. Miami, 8:30/7:30c, Company1722 Season Pass
October 7: Miami vs. Cincinnati, 7:30/6:30c, Company1722 Season Pass
October 21: Charlotte vs. Miami, 6/7c, Company1722 Season Pass
Person0745 estimates Person0764 could bring in 2 million overseas accounts over 18 months. “There is no other player in this country that can have the impact globally that Person0667 Person0764 can have.”</t>
        </r>
      </text>
    </comment>
    <comment ref="DE124" authorId="1" shapeId="0" xr:uid="{B2A7C2A5-14B0-4C1F-B5BE-EEF34FBE5F02}">
      <text>
        <r>
          <rPr>
            <b/>
            <sz val="9"/>
            <color indexed="81"/>
            <rFont val="Tahoma"/>
            <family val="2"/>
          </rPr>
          <t>Author:</t>
        </r>
        <r>
          <rPr>
            <sz val="9"/>
            <color indexed="81"/>
            <rFont val="Tahoma"/>
            <family val="2"/>
          </rPr>
          <t xml:space="preserve">
New sports games
200+ games
+50 titles in 2022</t>
        </r>
      </text>
    </comment>
    <comment ref="A126" authorId="1" shapeId="0" xr:uid="{60130615-A8D9-4813-898D-F92800EE1375}">
      <text>
        <r>
          <rPr>
            <b/>
            <sz val="9"/>
            <color indexed="81"/>
            <rFont val="Tahoma"/>
            <family val="2"/>
          </rPr>
          <t>Author:</t>
        </r>
        <r>
          <rPr>
            <sz val="9"/>
            <color indexed="81"/>
            <rFont val="Tahoma"/>
            <family val="2"/>
          </rPr>
          <t xml:space="preserve">
1-month free. $4.99 per month
10/24/2022: announcing price increases for subscriptions
Product0046
Individual: $10.99 per month (from $9.99)
Family: $16.99 per month (from $14.99)
Individual Annual: $109 per year (from $99)
Product0048+
Monthly: $6.99 per month (from $4.99)
Annual: $69 per year (from $49.99)
Company0242 One
Individual: $16.95 per month (from $14.95)
Family: $22.95 per month (from $19.95)
Premier: $32.95 per month (from $29.95)</t>
        </r>
      </text>
    </comment>
    <comment ref="DJ126" authorId="5" shapeId="0" xr:uid="{50D06846-C2B0-4EC4-832D-4A3275D9E1BE}">
      <text>
        <r>
          <rPr>
            <b/>
            <sz val="9"/>
            <color indexed="81"/>
            <rFont val="Tahoma"/>
            <family val="2"/>
          </rPr>
          <t xml:space="preserve">Author:10.25.23
</t>
        </r>
        <r>
          <rPr>
            <sz val="9"/>
            <color indexed="81"/>
            <rFont val="Tahoma"/>
            <family val="2"/>
          </rPr>
          <t xml:space="preserve">$4.99 -&gt; $6.99
effectively immediately for new subscribers, and existig subscribers will see the impact on next billing date (or next 30 days)
</t>
        </r>
      </text>
    </comment>
    <comment ref="DK126" authorId="5" shapeId="0" xr:uid="{58DB7EF7-0E44-481F-96EB-BACB4167812E}">
      <text>
        <r>
          <rPr>
            <b/>
            <sz val="9"/>
            <color indexed="81"/>
            <rFont val="Tahoma"/>
            <family val="2"/>
          </rPr>
          <t>Author:</t>
        </r>
        <r>
          <rPr>
            <sz val="9"/>
            <color indexed="81"/>
            <rFont val="Tahoma"/>
            <family val="2"/>
          </rPr>
          <t xml:space="preserve">
$4.99 -&gt; $6.99
effectively immediately for new subscribers, and existig subscribers will see the impact on next billing date (or next 30 days)</t>
        </r>
      </text>
    </comment>
    <comment ref="CR127" authorId="1" shapeId="0" xr:uid="{9AE0E5A0-7A62-4BFD-A5CA-78C87AED7DAA}">
      <text>
        <r>
          <rPr>
            <b/>
            <sz val="9"/>
            <color indexed="81"/>
            <rFont val="Tahoma"/>
            <family val="2"/>
          </rPr>
          <t>Author:</t>
        </r>
        <r>
          <rPr>
            <sz val="9"/>
            <color indexed="81"/>
            <rFont val="Tahoma"/>
            <family val="2"/>
          </rPr>
          <t xml:space="preserve">
Company3054 had 180+ MAUs with a 2% payer penetration</t>
        </r>
      </text>
    </comment>
    <comment ref="A129" authorId="1" shapeId="0" xr:uid="{066C9CEC-653B-4EF3-8E4F-6E55B944E99A}">
      <text>
        <r>
          <rPr>
            <b/>
            <sz val="9"/>
            <color indexed="81"/>
            <rFont val="Tahoma"/>
            <family val="2"/>
          </rPr>
          <t>Author:</t>
        </r>
        <r>
          <rPr>
            <sz val="9"/>
            <color indexed="81"/>
            <rFont val="Tahoma"/>
            <family val="2"/>
          </rPr>
          <t xml:space="preserve">
Company2965 says publishers get 50% of revenue, based on time spent on articles. 
Concern also that publishers don't get data about scurbiers. 
10/24/2022: announcing price increases for subscriptions
Product0046
Individual: $10.99 per month (from $9.99)
Family: $16.99 per month (from $14.99)
Individual Annual: $109 per year (from $99)
Product0048+
Monthly: $6.99 per month (from $4.99)
Annual: $69 per year (from $49.99)
Company0242 One
Individual: $16.95 per month (from $14.95)
Family: $22.95 per month (from $19.95)
Premier: $32.95 per month (from $29.95)</t>
        </r>
      </text>
    </comment>
    <comment ref="CQ130" authorId="1" shapeId="0" xr:uid="{7730DEE6-90B5-443B-B563-C735168B9EA0}">
      <text>
        <r>
          <rPr>
            <b/>
            <sz val="9"/>
            <color indexed="81"/>
            <rFont val="Tahoma"/>
            <family val="2"/>
          </rPr>
          <t>Author:</t>
        </r>
        <r>
          <rPr>
            <sz val="9"/>
            <color indexed="81"/>
            <rFont val="Tahoma"/>
            <family val="2"/>
          </rPr>
          <t xml:space="preserve">
Company0242 News+ announced and released March 25, 2019. Includes access to over 300 magazines, plus select news papers</t>
        </r>
      </text>
    </comment>
    <comment ref="CT131" authorId="1" shapeId="0" xr:uid="{C8D7C279-C239-4320-9B3E-490D47AD40A2}">
      <text>
        <r>
          <rPr>
            <b/>
            <sz val="9"/>
            <color indexed="81"/>
            <rFont val="Tahoma"/>
            <family val="2"/>
          </rPr>
          <t>Author:</t>
        </r>
        <r>
          <rPr>
            <sz val="9"/>
            <color indexed="81"/>
            <rFont val="Tahoma"/>
            <family val="2"/>
          </rPr>
          <t xml:space="preserve">
F1Q20: Company0242 News 100+ mn MAUs in US, UK, Australia, Canada</t>
        </r>
      </text>
    </comment>
    <comment ref="CU131" authorId="1" shapeId="0" xr:uid="{46D6AE99-FFCF-424E-A6EC-6073CB569F2F}">
      <text>
        <r>
          <rPr>
            <b/>
            <sz val="9"/>
            <color indexed="81"/>
            <rFont val="Tahoma"/>
            <family val="2"/>
          </rPr>
          <t>Author:</t>
        </r>
        <r>
          <rPr>
            <sz val="9"/>
            <color indexed="81"/>
            <rFont val="Tahoma"/>
            <family val="2"/>
          </rPr>
          <t xml:space="preserve">
F2Q20: 125 mn monthly active users</t>
        </r>
      </text>
    </comment>
    <comment ref="A132" authorId="1" shapeId="0" xr:uid="{EFE5D6A2-35C7-4723-A4A2-844CEF4A51E0}">
      <text>
        <r>
          <rPr>
            <b/>
            <sz val="9"/>
            <color indexed="81"/>
            <rFont val="Tahoma"/>
            <family val="2"/>
          </rPr>
          <t>Author:</t>
        </r>
        <r>
          <rPr>
            <sz val="9"/>
            <color indexed="81"/>
            <rFont val="Tahoma"/>
            <family val="2"/>
          </rPr>
          <t xml:space="preserve">
$10/month
Gets you: The Atlantic, National Geo, People, Time, Company2965, Product0449, logal outlets (Charlotte Observer, Houston Chronicle,. Miami Herald)
10/24/2022: announcing price increases for subscriptions
Product0046
Individual: $10.99 per month (from $9.99)
Family: $16.99 per month (from $14.99)
Individual Annual: $109 per year (from $99)
Product0048+
Monthly: $6.99 per month (from $4.99)
Annual: $69 per year (from $49.99)
Company0242 One
Individual: $16.95 per month (from $14.95)
Family: $22.95 per month (from $19.95)
Premier: $32.95 per month (from $29.95)</t>
        </r>
      </text>
    </comment>
    <comment ref="DJ132" authorId="5" shapeId="0" xr:uid="{A8A887F6-8A25-4AD1-B868-B99D21639020}">
      <text>
        <r>
          <rPr>
            <b/>
            <sz val="9"/>
            <color indexed="81"/>
            <rFont val="Tahoma"/>
            <family val="2"/>
          </rPr>
          <t>Author:</t>
        </r>
        <r>
          <rPr>
            <sz val="9"/>
            <color indexed="81"/>
            <rFont val="Tahoma"/>
            <family val="2"/>
          </rPr>
          <t xml:space="preserve">
10.25.23: $9.99 -&gt; $12.99. First price increase since launch.
effectively immediately for new subscribers, and existig subscribers will see the impact on next billing date (or next 30 days)</t>
        </r>
      </text>
    </comment>
    <comment ref="DK132" authorId="5" shapeId="0" xr:uid="{4A3D48E4-2553-4BDA-86E3-DBB0B53EC463}">
      <text>
        <r>
          <rPr>
            <b/>
            <sz val="9"/>
            <color indexed="81"/>
            <rFont val="Tahoma"/>
            <family val="2"/>
          </rPr>
          <t>Author:</t>
        </r>
        <r>
          <rPr>
            <sz val="9"/>
            <color indexed="81"/>
            <rFont val="Tahoma"/>
            <family val="2"/>
          </rPr>
          <t xml:space="preserve">
10.25.23: $9.99 -&gt; $12.99. First price increase since launch.
effectively immediately for new subscribers, and existig subscribers will see the impact on next billing date (or next 30 days)</t>
        </r>
      </text>
    </comment>
    <comment ref="DG133" authorId="1" shapeId="0" xr:uid="{52D89A99-6D4F-4949-BD8B-6996737057E4}">
      <text>
        <r>
          <rPr>
            <b/>
            <sz val="9"/>
            <color indexed="81"/>
            <rFont val="Tahoma"/>
            <family val="2"/>
          </rPr>
          <t>Author:</t>
        </r>
        <r>
          <rPr>
            <sz val="9"/>
            <color indexed="81"/>
            <rFont val="Tahoma"/>
            <family val="2"/>
          </rPr>
          <t xml:space="preserve">
Top news app in US/UK/Australia/Canada.=</t>
        </r>
      </text>
    </comment>
    <comment ref="CX136" authorId="1" shapeId="0" xr:uid="{02997B84-7871-4FA6-A5CD-0D05D662FDC1}">
      <text>
        <r>
          <rPr>
            <b/>
            <sz val="9"/>
            <color indexed="81"/>
            <rFont val="Tahoma"/>
            <family val="2"/>
          </rPr>
          <t>Author:</t>
        </r>
        <r>
          <rPr>
            <sz val="9"/>
            <color indexed="81"/>
            <rFont val="Tahoma"/>
            <family val="2"/>
          </rPr>
          <t xml:space="preserve">
December 14, 2020</t>
        </r>
      </text>
    </comment>
    <comment ref="A138" authorId="1" shapeId="0" xr:uid="{F4AAF690-9188-4CB4-9F22-A2E3135735E6}">
      <text>
        <r>
          <rPr>
            <b/>
            <sz val="9"/>
            <color indexed="81"/>
            <rFont val="Tahoma"/>
            <family val="2"/>
          </rPr>
          <t>Author:</t>
        </r>
        <r>
          <rPr>
            <sz val="9"/>
            <color indexed="81"/>
            <rFont val="Tahoma"/>
            <family val="2"/>
          </rPr>
          <t xml:space="preserve">
$9.99 per month or $79.99 annually
1-month free for Product0049 owners
3-months free for new Product0049 buyers
10/24/2022: announcing price increases for subscriptions
Product0046
Individual: $10.99 per month (from $9.99)
Family: $16.99 per month (from $14.99)
Individual Annual: $109 per year (from $99)
Product0048+
Monthly: $6.99 per month (from $4.99)
Annual: $69 per year (from $49.99)
Company0242 One
Individual: $16.95 per month (from $14.95)
Family: $22.95 per month (from $19.95)
Premier: $32.95 per month (from $29.95)</t>
        </r>
      </text>
    </comment>
    <comment ref="DG139" authorId="1" shapeId="0" xr:uid="{878E034D-BE01-4228-9232-FB5DA77E8E79}">
      <text>
        <r>
          <rPr>
            <b/>
            <sz val="9"/>
            <color indexed="81"/>
            <rFont val="Tahoma"/>
            <family val="2"/>
          </rPr>
          <t>Author:</t>
        </r>
        <r>
          <rPr>
            <sz val="9"/>
            <color indexed="81"/>
            <rFont val="Tahoma"/>
            <family val="2"/>
          </rPr>
          <t xml:space="preserve">
2023 innovation: Kickboxing, Person0140 spotlight series, Product0377, new programs to get started, 3X new Fitness+ trainers</t>
        </r>
      </text>
    </comment>
    <comment ref="CM142" authorId="1" shapeId="0" xr:uid="{929833B0-09ED-412A-B322-AFF107AF7BFF}">
      <text>
        <r>
          <rPr>
            <b/>
            <sz val="9"/>
            <color indexed="81"/>
            <rFont val="Tahoma"/>
            <family val="2"/>
          </rPr>
          <t>Author:</t>
        </r>
        <r>
          <rPr>
            <sz val="9"/>
            <color indexed="81"/>
            <rFont val="Tahoma"/>
            <family val="2"/>
          </rPr>
          <t xml:space="preserve">
F2Q18: Product0053 grew at highest yoy rate ever</t>
        </r>
      </text>
    </comment>
    <comment ref="CW142" authorId="1" shapeId="0" xr:uid="{B1514849-0C44-453D-B5E1-B0C5B8E7A4CB}">
      <text>
        <r>
          <rPr>
            <b/>
            <sz val="9"/>
            <color indexed="81"/>
            <rFont val="Tahoma"/>
            <family val="2"/>
          </rPr>
          <t>Author:</t>
        </r>
        <r>
          <rPr>
            <sz val="9"/>
            <color indexed="81"/>
            <rFont val="Tahoma"/>
            <family val="2"/>
          </rPr>
          <t xml:space="preserve">
F4Q20: record quarter for Product0045, Company0242 Care, cloud, music, payments. </t>
        </r>
      </text>
    </comment>
    <comment ref="CU143" authorId="1" shapeId="0" xr:uid="{69CE8B52-906C-4D56-80CE-6A813713BEA5}">
      <text>
        <r>
          <rPr>
            <b/>
            <sz val="9"/>
            <color indexed="81"/>
            <rFont val="Tahoma"/>
            <family val="2"/>
          </rPr>
          <t>Author:</t>
        </r>
        <r>
          <rPr>
            <sz val="9"/>
            <color indexed="81"/>
            <rFont val="Tahoma"/>
            <family val="2"/>
          </rPr>
          <t xml:space="preserve">
F2Q20: Music, Cloud, Care paid subscriptions up strong DD%</t>
        </r>
      </text>
    </comment>
    <comment ref="A144" authorId="1" shapeId="0" xr:uid="{2F598649-60BB-4244-A40D-A97BF4786E86}">
      <text>
        <r>
          <rPr>
            <b/>
            <sz val="9"/>
            <color indexed="81"/>
            <rFont val="Tahoma"/>
            <family val="2"/>
          </rPr>
          <t>Author:</t>
        </r>
        <r>
          <rPr>
            <sz val="9"/>
            <color indexed="81"/>
            <rFont val="Tahoma"/>
            <family val="2"/>
          </rPr>
          <t xml:space="preserve">
Product0489: $3.99/month
Product0487: $3.49/month
Mac: $35/year ($2.90/month)
Watch: $2.49/month
Displey: $50/year ($4.17/month)
Product0035: $29/2years ($1.20)
Product0052: $29/3 years ($0.81)
</t>
        </r>
      </text>
    </comment>
    <comment ref="DQ144" authorId="4" shapeId="0" xr:uid="{31C99823-3DB7-41DB-8E1F-AA3F4E81B5D0}">
      <text>
        <r>
          <rPr>
            <b/>
            <sz val="9"/>
            <color indexed="81"/>
            <rFont val="Tahoma"/>
            <family val="2"/>
          </rPr>
          <t>Author:</t>
        </r>
        <r>
          <rPr>
            <sz val="9"/>
            <color indexed="81"/>
            <rFont val="Tahoma"/>
            <family val="2"/>
          </rPr>
          <t xml:space="preserve">
7/23/25: Product0051 One bundle;  $19.99/month for three devices + $5.99 per extra device; expands theft loss and protection to Product0487 and Product0049. 
Customers can add products they already own that are up to 4 years old (v. 60 day post purchase)</t>
        </r>
      </text>
    </comment>
    <comment ref="CI145" authorId="1" shapeId="0" xr:uid="{C5AC9A27-A33F-4E58-88B0-DE0C88379C25}">
      <text>
        <r>
          <rPr>
            <b/>
            <sz val="9"/>
            <color indexed="81"/>
            <rFont val="Tahoma"/>
            <family val="2"/>
          </rPr>
          <t>Author:</t>
        </r>
        <r>
          <rPr>
            <sz val="9"/>
            <color indexed="81"/>
            <rFont val="Tahoma"/>
            <family val="2"/>
          </rPr>
          <t xml:space="preserve">
Saw survey work that says 3% of Product0489 buyers get warranty</t>
        </r>
      </text>
    </comment>
    <comment ref="CU145" authorId="1" shapeId="0" xr:uid="{06BD3825-B841-4104-93A3-DFC71DB7975C}">
      <text>
        <r>
          <rPr>
            <b/>
            <sz val="9"/>
            <color indexed="81"/>
            <rFont val="Tahoma"/>
            <family val="2"/>
          </rPr>
          <t>Author:</t>
        </r>
        <r>
          <rPr>
            <sz val="9"/>
            <color indexed="81"/>
            <rFont val="Tahoma"/>
            <family val="2"/>
          </rPr>
          <t xml:space="preserve">
F2Q20: March qtr record for Product0053. Music + Cloud + Product0053 paid subs up strong DD%
Negatively impacted by COVID / store disclosures</t>
        </r>
      </text>
    </comment>
    <comment ref="CV145" authorId="1" shapeId="0" xr:uid="{744EC2FA-8E98-484C-9CE1-4C2A3C685B10}">
      <text>
        <r>
          <rPr>
            <b/>
            <sz val="9"/>
            <color indexed="81"/>
            <rFont val="Tahoma"/>
            <family val="2"/>
          </rPr>
          <t>Author:</t>
        </r>
        <r>
          <rPr>
            <sz val="9"/>
            <color indexed="81"/>
            <rFont val="Tahoma"/>
            <family val="2"/>
          </rPr>
          <t xml:space="preserve">
F3Q20: results for advertising and Product0051 were impacted by the reduced level of economic activity and store closures to a degree that was in line with our expectations. </t>
        </r>
      </text>
    </comment>
    <comment ref="CY145" authorId="1" shapeId="0" xr:uid="{E264C20B-2B40-484C-9851-4C80DB455769}">
      <text>
        <r>
          <rPr>
            <b/>
            <sz val="9"/>
            <color indexed="81"/>
            <rFont val="Tahoma"/>
            <family val="2"/>
          </rPr>
          <t>Author:</t>
        </r>
        <r>
          <rPr>
            <sz val="9"/>
            <color indexed="81"/>
            <rFont val="Tahoma"/>
            <family val="2"/>
          </rPr>
          <t xml:space="preserve">
Services business did better than what we were expecting when we had the last call in January. It was stronger across the board. One of the things that we've noticed is that throughout COVID was that obviously Digital Services have done very well.
</t>
        </r>
        <r>
          <rPr>
            <b/>
            <u/>
            <sz val="9"/>
            <color indexed="81"/>
            <rFont val="Tahoma"/>
            <family val="2"/>
          </rPr>
          <t xml:space="preserve">And then we've had a couple of categories like Product0051, because many of the points of sale at stores were closed, and advertising because of the reduced economic activity that were negatively affected during COVID. During the March quarter, we've seen a return to growth on Product0051. </t>
        </r>
        <r>
          <rPr>
            <sz val="9"/>
            <color indexed="81"/>
            <rFont val="Tahoma"/>
            <family val="2"/>
          </rPr>
          <t>And obviously, we've reopened a lot of the stores during the course of the quarter. And advertising, obviously consumer sentiment has improved, and advertising is coming back. And so the combination of these factors really delivered this very, very strong performance during the March quarter.</t>
        </r>
      </text>
    </comment>
    <comment ref="DF145" authorId="1" shapeId="0" xr:uid="{12F121A4-EF54-4767-B2AA-C8BC1AC5362B}">
      <text>
        <r>
          <rPr>
            <b/>
            <sz val="9"/>
            <color indexed="81"/>
            <rFont val="Tahoma"/>
            <family val="2"/>
          </rPr>
          <t>Author:</t>
        </r>
        <r>
          <rPr>
            <sz val="9"/>
            <color indexed="81"/>
            <rFont val="Tahoma"/>
            <family val="2"/>
          </rPr>
          <t xml:space="preserve">
Lower Company0242 Care attach b/c China stores closed.. Premium mix declines probably also hurts. </t>
        </r>
      </text>
    </comment>
    <comment ref="FE149" authorId="1" shapeId="0" xr:uid="{C3B9F9A7-5A3B-4984-A859-7406894B21A5}">
      <text>
        <r>
          <rPr>
            <b/>
            <sz val="9"/>
            <color indexed="81"/>
            <rFont val="Tahoma"/>
            <family val="2"/>
          </rPr>
          <t>Author:</t>
        </r>
        <r>
          <rPr>
            <sz val="9"/>
            <color indexed="81"/>
            <rFont val="Tahoma"/>
            <family val="2"/>
          </rPr>
          <t xml:space="preserve">
Company1924
Company0242 now receives an estimated $8 billion to $12 billion in annual payments — up from </t>
        </r>
        <r>
          <rPr>
            <b/>
            <sz val="9"/>
            <color indexed="81"/>
            <rFont val="Tahoma"/>
            <family val="2"/>
          </rPr>
          <t xml:space="preserve">$1 billion a year in 2014 </t>
        </r>
        <r>
          <rPr>
            <sz val="9"/>
            <color indexed="81"/>
            <rFont val="Tahoma"/>
            <family val="2"/>
          </rPr>
          <t>— in exchange for building Company1153’s search engine into its products. It is probably the single biggest payment that Company1153 makes to anyone and accounts for 14 to 21 percent of Company0242’s annual profits. That’s not money Company0242 would be eager to walk away from.</t>
        </r>
      </text>
    </comment>
    <comment ref="FK149" authorId="1" shapeId="0" xr:uid="{D5471DFB-833D-4CC6-AF34-B97778DA41DB}">
      <text>
        <r>
          <rPr>
            <b/>
            <sz val="9"/>
            <color indexed="81"/>
            <rFont val="Tahoma"/>
            <family val="2"/>
          </rPr>
          <t>Author:</t>
        </r>
        <r>
          <rPr>
            <sz val="9"/>
            <color indexed="81"/>
            <rFont val="Tahoma"/>
            <family val="2"/>
          </rPr>
          <t xml:space="preserve">
Company1926 10/25/2020: 
Company0242 now receives an estimated $8 billion to $12 billion in annual payments — up from $1 billion a year in 2014 — in exchange for building Company1153’s search engine into its products. It is probably the single biggest payment that Company1153 makes to anyone and accounts for 14 to 21 percent of Company0242’s annual profits. That’s not money Company0242 would be eager to walk away from.
AB thinks $10/$15/$20 bn in F2020/F21/F22
https://example.com/
We see two potential risks to Ticker0013’s payments to Ticker0001: (1) regulatory risk, which we believe is real, but likely years away; we see a potential 4-5% impact to Company0242’s gross profits from an adverse ruling; &amp; (2) that Company1153 chooses to stop paying Company0242 to be the default search engine altogether, or looks to renegotiate terms and pay less. We have noted in prior research that Ticker0013 is likely paying to ensure Microsoft doesn’t outbid it. That said, with payments likely to approach $18 – $20B in FY 22, it not implausible that Company1153 could revisit its strategy.</t>
        </r>
      </text>
    </comment>
    <comment ref="A150" authorId="1" shapeId="0" xr:uid="{0A5567E3-713B-430C-AF1F-FAC1AA488CE7}">
      <text>
        <r>
          <rPr>
            <b/>
            <sz val="9"/>
            <color indexed="81"/>
            <rFont val="Tahoma"/>
            <family val="2"/>
          </rPr>
          <t>Author:</t>
        </r>
        <r>
          <rPr>
            <sz val="9"/>
            <color indexed="81"/>
            <rFont val="Tahoma"/>
            <family val="2"/>
          </rPr>
          <t xml:space="preserve">
In 2014 - Company1153 said it has a standard 16% revenue share on Search, but has come down over time. 
In 2014, Company1153 paid $217 mn to Android OEMs
In 2014, Company1153 paid $460 mn to carriers to distribute search
Currently, TAC agreement is in standstill.
In Europe, where Android phones have to prompt search engine choices, 90+% pick Company1153.</t>
        </r>
      </text>
    </comment>
    <comment ref="A152" authorId="1" shapeId="0" xr:uid="{71F41DA7-DD40-4CA5-938F-DCE9C986FDA7}">
      <text>
        <r>
          <rPr>
            <b/>
            <sz val="9"/>
            <color indexed="81"/>
            <rFont val="Tahoma"/>
            <family val="2"/>
          </rPr>
          <t>Author:</t>
        </r>
        <r>
          <rPr>
            <sz val="9"/>
            <color indexed="81"/>
            <rFont val="Tahoma"/>
            <family val="2"/>
          </rPr>
          <t xml:space="preserve">
Company1153 distribution deals like having Product0360 use Company1153 as default search engine on web and moible
Company0242 + Company2530
- Company2530 reportedly $3 bn deal
According to DOJ, this includes Company0242, Company1549, Company1833, Company2530; carriers such as Company0152, Company2609, Company2901; browsers such as Company1837, Opera, Product0432.
</t>
        </r>
        <r>
          <rPr>
            <b/>
            <sz val="9"/>
            <color indexed="81"/>
            <rFont val="Tahoma"/>
            <family val="2"/>
          </rPr>
          <t>Company1153 agreements covers just under 60% of US general search queries.</t>
        </r>
        <r>
          <rPr>
            <sz val="9"/>
            <color indexed="81"/>
            <rFont val="Tahoma"/>
            <family val="2"/>
          </rPr>
          <t xml:space="preserve"> Nearly half are through Company1153 O&amp;O products Chrome, Company1154. 
Company1153 has 90% market share in the US for general search queries and 95% on mobile devices. </t>
        </r>
        <r>
          <rPr>
            <b/>
            <sz val="9"/>
            <color indexed="81"/>
            <rFont val="Tahoma"/>
            <family val="2"/>
          </rPr>
          <t xml:space="preserve">Company1153 agremenets cover more than 80% of lal US search queries. </t>
        </r>
        <r>
          <rPr>
            <sz val="9"/>
            <color indexed="81"/>
            <rFont val="Tahoma"/>
            <family val="2"/>
          </rPr>
          <t xml:space="preserve">
Increasingly expanding into IOT devices (smart speakers, appliances, automoibles). 
Company0242/Android accounts for 60/40% mobiel device usage in the US
</t>
        </r>
        <r>
          <rPr>
            <b/>
            <sz val="9"/>
            <color indexed="81"/>
            <rFont val="Tahoma"/>
            <family val="2"/>
          </rPr>
          <t xml:space="preserve">US mobile browser share: </t>
        </r>
        <r>
          <rPr>
            <sz val="9"/>
            <color indexed="81"/>
            <rFont val="Tahoma"/>
            <family val="2"/>
          </rPr>
          <t xml:space="preserve">Company1153 is the default search provider for Product0360 (55% share of usage) and Chrome (35% share) - Company1153 has over 90% share. 
</t>
        </r>
        <r>
          <rPr>
            <b/>
            <sz val="9"/>
            <color indexed="81"/>
            <rFont val="Tahoma"/>
            <family val="2"/>
          </rPr>
          <t xml:space="preserve">US desktop browser share: </t>
        </r>
        <r>
          <rPr>
            <sz val="9"/>
            <color indexed="81"/>
            <rFont val="Tahoma"/>
            <family val="2"/>
          </rPr>
          <t xml:space="preserve">Chrome has 60%, Product0360 as 16%, Product0159 has 7%, Edge + IE = 15% share. 
</t>
        </r>
        <r>
          <rPr>
            <b/>
            <i/>
            <sz val="9"/>
            <color indexed="81"/>
            <rFont val="Tahoma"/>
            <family val="2"/>
          </rPr>
          <t xml:space="preserve">
</t>
        </r>
        <r>
          <rPr>
            <b/>
            <u/>
            <sz val="9"/>
            <color indexed="81"/>
            <rFont val="Tahoma"/>
            <family val="2"/>
          </rPr>
          <t xml:space="preserve">Company1153 distribution agreements
</t>
        </r>
        <r>
          <rPr>
            <sz val="9"/>
            <color indexed="81"/>
            <rFont val="Tahoma"/>
            <family val="2"/>
          </rPr>
          <t xml:space="preserve">1. Android device manufactures that want to preinstall Company1153 proprietary apps must have anti-forking agreements that set strict limits on manufacturers ability to sell Android devices that do not comply with google's technical and design standards. 
2. Company1153 provides apps and APIs for installation but only if manufacturer takes a bundle of other Company1153 apps, makes certain apps undeletable, gives Company1153 valuable real estate on default home screen. 
3. revenue share for becoming preset default search engine for most importatn search access points on computer or mobile device. May prohibit rival search services for preinstallation. Can't set other defaults to rival search engines. 
Company1153's Android "open source" OS was developed and given away for free. But no forking allowed. This is a precondition to distribute devies that have Company1153 apps and APIs
</t>
        </r>
        <r>
          <rPr>
            <b/>
            <u/>
            <sz val="9"/>
            <color indexed="81"/>
            <rFont val="Tahoma"/>
            <family val="2"/>
          </rPr>
          <t xml:space="preserve">
Company0242 history
</t>
        </r>
        <r>
          <rPr>
            <sz val="9"/>
            <color indexed="81"/>
            <rFont val="Tahoma"/>
            <family val="2"/>
          </rPr>
          <t xml:space="preserve">2005 - Company0242 began using Company1153 as preset default general serach engine for Product0360
2007 - includes iPhones
2016- expanded to include Product0373, Spotlight
Today - everything
Company1153 has 70%share of US search advertiising. 
Company1153 estimates that in 2019, almost 50% of search traffic originated on Company0242 devices. Company0242 deal covers 36% of all general search queries in the US
</t>
        </r>
      </text>
    </comment>
    <comment ref="FL152" authorId="1" shapeId="0" xr:uid="{CE49230A-0341-4F24-830C-383D138E414E}">
      <text>
        <r>
          <rPr>
            <b/>
            <sz val="9"/>
            <color indexed="81"/>
            <rFont val="Tahoma"/>
            <family val="2"/>
          </rPr>
          <t>Author:</t>
        </r>
        <r>
          <rPr>
            <sz val="9"/>
            <color indexed="81"/>
            <rFont val="Tahoma"/>
            <family val="2"/>
          </rPr>
          <t xml:space="preserve">
$26 bn in C2021 per slide made public in Company1153 DOJ case… but for TOTAL COMPANY1153 SEARCH TAC </t>
        </r>
      </text>
    </comment>
    <comment ref="A153" authorId="1" shapeId="0" xr:uid="{1DF2182C-8A0A-42FD-8459-2749FB1B0A3C}">
      <text>
        <r>
          <rPr>
            <b/>
            <sz val="9"/>
            <color indexed="81"/>
            <rFont val="Tahoma"/>
            <family val="2"/>
          </rPr>
          <t>Author:</t>
        </r>
        <r>
          <rPr>
            <sz val="9"/>
            <color indexed="81"/>
            <rFont val="Tahoma"/>
            <family val="2"/>
          </rPr>
          <t xml:space="preserve">
Payments to web properties as part of Company1153's ad platform - Product0024, Product0025, Company1153 Ad Manager</t>
        </r>
      </text>
    </comment>
    <comment ref="A154" authorId="1" shapeId="0" xr:uid="{85B69694-02C0-4FC5-972B-91226606B5E0}">
      <text>
        <r>
          <rPr>
            <b/>
            <sz val="9"/>
            <color indexed="81"/>
            <rFont val="Tahoma"/>
            <family val="2"/>
          </rPr>
          <t>Author:</t>
        </r>
        <r>
          <rPr>
            <sz val="9"/>
            <color indexed="81"/>
            <rFont val="Tahoma"/>
            <family val="2"/>
          </rPr>
          <t xml:space="preserve">
Per Justice department, greater than 50% of Company1153 Search traffic comes from Company0242 devices</t>
        </r>
      </text>
    </comment>
    <comment ref="FE154" authorId="1" shapeId="0" xr:uid="{848DDEF0-F44E-4F44-8B5A-EA81738EB3E3}">
      <text>
        <r>
          <rPr>
            <b/>
            <sz val="9"/>
            <color indexed="81"/>
            <rFont val="Tahoma"/>
            <family val="2"/>
          </rPr>
          <t>Author:</t>
        </r>
        <r>
          <rPr>
            <sz val="9"/>
            <color indexed="81"/>
            <rFont val="Tahoma"/>
            <family val="2"/>
          </rPr>
          <t xml:space="preserve">
$7 bn total Search TAC in 2014 to $26 bn in 2021</t>
        </r>
      </text>
    </comment>
    <comment ref="DU157" authorId="1" shapeId="0" xr:uid="{A8B39A21-47BF-4CF5-9D7A-2FCE8302B873}">
      <text>
        <r>
          <rPr>
            <b/>
            <sz val="9"/>
            <color indexed="81"/>
            <rFont val="Tahoma"/>
            <family val="2"/>
          </rPr>
          <t>Author:</t>
        </r>
        <r>
          <rPr>
            <sz val="9"/>
            <color indexed="81"/>
            <rFont val="Tahoma"/>
            <family val="2"/>
          </rPr>
          <t xml:space="preserve">
Long-term shift to mobile search traffic as one reason why distribution TAC should increase. 
Will Company1153 refuse to pay at some point? </t>
        </r>
      </text>
    </comment>
    <comment ref="EK157" authorId="1" shapeId="0" xr:uid="{A0452E42-3182-4649-9580-43D0DC6E92EB}">
      <text>
        <r>
          <rPr>
            <b/>
            <sz val="9"/>
            <color indexed="81"/>
            <rFont val="Tahoma"/>
            <family val="2"/>
          </rPr>
          <t>Author:</t>
        </r>
        <r>
          <rPr>
            <sz val="9"/>
            <color indexed="81"/>
            <rFont val="Tahoma"/>
            <family val="2"/>
          </rPr>
          <t xml:space="preserve">
Long-term shift to mobile search traffic as one reason why distribution TAC should increase. 
Will Company1153 refuse to pay at some point? </t>
        </r>
      </text>
    </comment>
    <comment ref="A161" authorId="1" shapeId="0" xr:uid="{E9F27CF5-519F-4CA8-BECD-D7E4F4B4C843}">
      <text>
        <r>
          <rPr>
            <b/>
            <sz val="9"/>
            <color indexed="81"/>
            <rFont val="Tahoma"/>
            <family val="2"/>
          </rPr>
          <t>Author:</t>
        </r>
        <r>
          <rPr>
            <sz val="9"/>
            <color indexed="81"/>
            <rFont val="Tahoma"/>
            <family val="2"/>
          </rPr>
          <t xml:space="preserve">
Launched in 2014. Now with more than 1,500 banks. 3-year standard contracts. 
"We have high-end customers that want Product0047. Why risk losing them over 15 bps of interchange"
</t>
        </r>
      </text>
    </comment>
    <comment ref="BZ162" authorId="2" shapeId="0" xr:uid="{48FD3C3A-4337-483D-81B5-08BB39E8B762}">
      <text>
        <r>
          <rPr>
            <b/>
            <sz val="9"/>
            <color indexed="81"/>
            <rFont val="Tahoma"/>
            <family val="2"/>
          </rPr>
          <t>Author:</t>
        </r>
        <r>
          <rPr>
            <sz val="9"/>
            <color indexed="81"/>
            <rFont val="Tahoma"/>
            <family val="2"/>
          </rPr>
          <t xml:space="preserve">
Introduced on 10/20/14</t>
        </r>
      </text>
    </comment>
    <comment ref="CD162" authorId="2" shapeId="0" xr:uid="{A0A0F33F-5BEB-4511-ABD2-CB5AC8AF4C03}">
      <text>
        <r>
          <rPr>
            <b/>
            <sz val="9"/>
            <color indexed="81"/>
            <rFont val="Tahoma"/>
            <family val="2"/>
          </rPr>
          <t>Author:</t>
        </r>
        <r>
          <rPr>
            <sz val="9"/>
            <color indexed="81"/>
            <rFont val="Tahoma"/>
            <family val="2"/>
          </rPr>
          <t xml:space="preserve">
1/26/16: 10x higher usage in 2H vs. 1H</t>
        </r>
      </text>
    </comment>
    <comment ref="CE162" authorId="2" shapeId="0" xr:uid="{4604B11E-7A45-4F69-A5A5-92D129BFAF99}">
      <text>
        <r>
          <rPr>
            <b/>
            <sz val="9"/>
            <color indexed="81"/>
            <rFont val="Tahoma"/>
            <family val="2"/>
          </rPr>
          <t>Author:</t>
        </r>
        <r>
          <rPr>
            <sz val="9"/>
            <color indexed="81"/>
            <rFont val="Tahoma"/>
            <family val="2"/>
          </rPr>
          <t xml:space="preserve">
4/26/16: 5x transaction volume yoy
1mn new users per week
10mn contactless locations worldwide, 2.5mn in the US
</t>
        </r>
      </text>
    </comment>
    <comment ref="CF162" authorId="2" shapeId="0" xr:uid="{99AA9602-9250-4B7B-9CF3-27737F924CE7}">
      <text>
        <r>
          <rPr>
            <b/>
            <sz val="9"/>
            <color indexed="81"/>
            <rFont val="Tahoma"/>
            <family val="2"/>
          </rPr>
          <t>Author:</t>
        </r>
        <r>
          <rPr>
            <sz val="9"/>
            <color indexed="81"/>
            <rFont val="Tahoma"/>
            <family val="2"/>
          </rPr>
          <t xml:space="preserve">
7/26/16: 10s of mns of users</t>
        </r>
      </text>
    </comment>
    <comment ref="CG162" authorId="3" shapeId="0" xr:uid="{6B8BD03E-C2D4-4569-A60C-A0E2BCF09BA6}">
      <text>
        <r>
          <rPr>
            <b/>
            <sz val="9"/>
            <color indexed="81"/>
            <rFont val="Tahoma"/>
            <family val="2"/>
          </rPr>
          <t>Author:</t>
        </r>
        <r>
          <rPr>
            <sz val="9"/>
            <color indexed="81"/>
            <rFont val="Tahoma"/>
            <family val="2"/>
          </rPr>
          <t xml:space="preserve">
10/25/16: Transactions up 500% yoy</t>
        </r>
      </text>
    </comment>
    <comment ref="CH162" authorId="2" shapeId="0" xr:uid="{E30B31E0-A32E-44FD-BE3D-28FAB986C037}">
      <text>
        <r>
          <rPr>
            <b/>
            <sz val="9"/>
            <color indexed="81"/>
            <rFont val="Tahoma"/>
            <family val="2"/>
          </rPr>
          <t>Author:</t>
        </r>
        <r>
          <rPr>
            <sz val="9"/>
            <color indexed="81"/>
            <rFont val="Tahoma"/>
            <family val="2"/>
          </rPr>
          <t xml:space="preserve">
1/31/17: users tripled yoy, transactions up 500% yoy</t>
        </r>
      </text>
    </comment>
    <comment ref="CI162" authorId="2" shapeId="0" xr:uid="{2602F0C6-C5FE-40A0-B102-80C2777CDEEF}">
      <text>
        <r>
          <rPr>
            <b/>
            <sz val="9"/>
            <color indexed="81"/>
            <rFont val="Tahoma"/>
            <family val="2"/>
          </rPr>
          <t>Author:</t>
        </r>
        <r>
          <rPr>
            <sz val="9"/>
            <color indexed="81"/>
            <rFont val="Tahoma"/>
            <family val="2"/>
          </rPr>
          <t xml:space="preserve">
5/2/17: transaction volume up 450% yoy</t>
        </r>
      </text>
    </comment>
    <comment ref="DF162" authorId="1" shapeId="0" xr:uid="{F7A513D8-AB03-4836-A69E-DB407664F21C}">
      <text>
        <r>
          <rPr>
            <b/>
            <sz val="9"/>
            <color indexed="81"/>
            <rFont val="Tahoma"/>
            <family val="2"/>
          </rPr>
          <t>Author:</t>
        </r>
        <r>
          <rPr>
            <sz val="9"/>
            <color indexed="81"/>
            <rFont val="Tahoma"/>
            <family val="2"/>
          </rPr>
          <t xml:space="preserve">
F1Q23: Set a record. Available in nearly 70 countries + regions. Record purchases made by Product0047 globally. </t>
        </r>
      </text>
    </comment>
    <comment ref="A163" authorId="1" shapeId="0" xr:uid="{9A845488-CB84-4D03-947A-D1B1B37E4EC1}">
      <text>
        <r>
          <rPr>
            <b/>
            <sz val="9"/>
            <color indexed="81"/>
            <rFont val="Tahoma"/>
            <family val="2"/>
          </rPr>
          <t>Author:</t>
        </r>
        <r>
          <rPr>
            <sz val="9"/>
            <color indexed="81"/>
            <rFont val="Tahoma"/>
            <family val="2"/>
          </rPr>
          <t xml:space="preserve">
15 bps on credit
1/2 penny on debit</t>
        </r>
      </text>
    </comment>
    <comment ref="CD163" authorId="1" shapeId="0" xr:uid="{60C06CC3-87BB-41CD-8789-15D169BEEC17}">
      <text>
        <r>
          <rPr>
            <b/>
            <sz val="9"/>
            <color indexed="81"/>
            <rFont val="Tahoma"/>
            <family val="2"/>
          </rPr>
          <t>Author:</t>
        </r>
        <r>
          <rPr>
            <sz val="9"/>
            <color indexed="81"/>
            <rFont val="Tahoma"/>
            <family val="2"/>
          </rPr>
          <t xml:space="preserve">
Assume blend of 15 bps as reported on credit with 
1 -5 bps on debit (1/2 of a penny assuming $10-50 AOV)</t>
        </r>
      </text>
    </comment>
    <comment ref="CL163" authorId="1" shapeId="0" xr:uid="{D58C18D9-11BF-4A53-AFF7-6F178F05316C}">
      <text>
        <r>
          <rPr>
            <b/>
            <sz val="9"/>
            <color indexed="81"/>
            <rFont val="Tahoma"/>
            <family val="2"/>
          </rPr>
          <t>Author:</t>
        </r>
        <r>
          <rPr>
            <sz val="9"/>
            <color indexed="81"/>
            <rFont val="Tahoma"/>
            <family val="2"/>
          </rPr>
          <t xml:space="preserve">
Assume blend of 15 bps as reported on credit with 
1 -5 bps on debit (1/2 of a penny assuming $10-50 AOV)</t>
        </r>
      </text>
    </comment>
    <comment ref="A165" authorId="11" shapeId="0" xr:uid="{522D088C-EE26-4F49-8B2C-2C6286E0EB3A}">
      <text>
        <t>[Threaded comment]
Your version of Excel allows you to read this threaded comment; however, any edits to it will get removed if the file is opened in a newer version of Excel. Learn more: https://example.com/
Comment:
    Product0047 participating banks by region:
https://example.com/</t>
      </text>
    </comment>
    <comment ref="DE165" authorId="1" shapeId="0" xr:uid="{9242C1CF-A7DC-4DD7-9ED2-CDAD64E703FA}">
      <text>
        <r>
          <rPr>
            <b/>
            <sz val="9"/>
            <color indexed="81"/>
            <rFont val="Tahoma"/>
            <family val="2"/>
          </rPr>
          <t>Author:</t>
        </r>
        <r>
          <rPr>
            <sz val="9"/>
            <color indexed="81"/>
            <rFont val="Tahoma"/>
            <family val="2"/>
          </rPr>
          <t xml:space="preserve">
eMarketer thinks US has 45 mn monthly actives in 2022
2023: 48.7
2024: 51.5
2025: 54.2
2026: 56.7</t>
        </r>
      </text>
    </comment>
    <comment ref="DG165" authorId="1" shapeId="0" xr:uid="{DDE829AC-57B6-4E2C-A4DF-BC7F78F4805B}">
      <text>
        <r>
          <rPr>
            <b/>
            <sz val="9"/>
            <color indexed="81"/>
            <rFont val="Tahoma"/>
            <family val="2"/>
          </rPr>
          <t>Author:</t>
        </r>
        <r>
          <rPr>
            <sz val="9"/>
            <color indexed="81"/>
            <rFont val="Tahoma"/>
            <family val="2"/>
          </rPr>
          <t xml:space="preserve">
The Information repsorts 10 mn Company0242 Card users. </t>
        </r>
      </text>
    </comment>
    <comment ref="CX168" authorId="1" shapeId="0" xr:uid="{E1D86EE0-CE53-420A-9ADA-45EDAA1D0FEE}">
      <text>
        <r>
          <rPr>
            <b/>
            <sz val="9"/>
            <color indexed="81"/>
            <rFont val="Tahoma"/>
            <family val="2"/>
          </rPr>
          <t>Author:</t>
        </r>
        <r>
          <rPr>
            <sz val="9"/>
            <color indexed="81"/>
            <rFont val="Tahoma"/>
            <family val="2"/>
          </rPr>
          <t xml:space="preserve">
Stimulus check 3 ($1400 per filer)</t>
        </r>
      </text>
    </comment>
    <comment ref="CS169" authorId="12" shapeId="0" xr:uid="{5193396F-80A5-4496-9CAE-336AA58F39C3}">
      <text>
        <t>[Threaded comment]
Your version of Excel allows you to read this threaded comment; however, any edits to it will get removed if the file is opened in a newer version of Excel. Learn more: https://example.com/
Comment:
    Company2135 says $46.9 bn (2019) and $91.7 bn (2021)</t>
      </text>
    </comment>
    <comment ref="CX169" authorId="1" shapeId="0" xr:uid="{2AB1AD59-092A-47D4-81DF-860669C7B08D}">
      <text>
        <r>
          <rPr>
            <b/>
            <sz val="9"/>
            <color indexed="81"/>
            <rFont val="Tahoma"/>
            <family val="2"/>
          </rPr>
          <t>Author:</t>
        </r>
        <r>
          <rPr>
            <sz val="9"/>
            <color indexed="81"/>
            <rFont val="Tahoma"/>
            <family val="2"/>
          </rPr>
          <t xml:space="preserve">
$53 bn in 2020 (Company2135)</t>
        </r>
      </text>
    </comment>
    <comment ref="DA169" authorId="13" shapeId="0" xr:uid="{988311F1-0912-45A7-92A7-954D417EDA16}">
      <text>
        <t>[Threaded comment]
Your version of Excel allows you to read this threaded comment; however, any edits to it will get removed if the file is opened in a newer version of Excel. Learn more: https://example.com/
Comment:
    Company2135 says $46.9 bn (2019) and $91.7 bn (2021)</t>
      </text>
    </comment>
    <comment ref="DF169" authorId="1" shapeId="0" xr:uid="{38E732F8-CF6B-4DE1-8CC6-A299B0BF9ABE}">
      <text>
        <r>
          <rPr>
            <b/>
            <sz val="9"/>
            <color indexed="81"/>
            <rFont val="Tahoma"/>
            <family val="2"/>
          </rPr>
          <t>Author:</t>
        </r>
        <r>
          <rPr>
            <sz val="9"/>
            <color indexed="81"/>
            <rFont val="Tahoma"/>
            <family val="2"/>
          </rPr>
          <t xml:space="preserve">
$199 bn in C2022E per Company2136 (as of July)</t>
        </r>
      </text>
    </comment>
    <comment ref="A171" authorId="2" shapeId="0" xr:uid="{00000000-0006-0000-0700-0000FA000000}">
      <text>
        <r>
          <rPr>
            <b/>
            <sz val="9"/>
            <color indexed="81"/>
            <rFont val="Tahoma"/>
            <family val="2"/>
          </rPr>
          <t>Author:</t>
        </r>
        <r>
          <rPr>
            <sz val="9"/>
            <color indexed="81"/>
            <rFont val="Tahoma"/>
            <family val="2"/>
          </rPr>
          <t xml:space="preserve">
includes iTunes Purchased Content, Product0046, Product0045, Licensing, Service Parts, Product0484, Product0047
Source: Company0242; FY14 estimated</t>
        </r>
      </text>
    </comment>
    <comment ref="A172" authorId="2" shapeId="0" xr:uid="{00000000-0006-0000-0700-0000FB000000}">
      <text>
        <r>
          <rPr>
            <b/>
            <sz val="9"/>
            <color indexed="81"/>
            <rFont val="Tahoma"/>
            <family val="2"/>
          </rPr>
          <t>Author:</t>
        </r>
        <r>
          <rPr>
            <sz val="9"/>
            <color indexed="81"/>
            <rFont val="Tahoma"/>
            <family val="2"/>
          </rPr>
          <t xml:space="preserve">
for third-party applications sold through Product0045 and certain digital content sold through the iTunes Store
Source: Company0242; FY14 estimated</t>
        </r>
      </text>
    </comment>
    <comment ref="A173" authorId="2" shapeId="0" xr:uid="{00000000-0006-0000-0700-0000FC000000}">
      <text>
        <r>
          <rPr>
            <b/>
            <sz val="9"/>
            <color indexed="81"/>
            <rFont val="Tahoma"/>
            <family val="2"/>
          </rPr>
          <t>Author:</t>
        </r>
        <r>
          <rPr>
            <sz val="9"/>
            <color indexed="81"/>
            <rFont val="Tahoma"/>
            <family val="2"/>
          </rPr>
          <t xml:space="preserve">
Source: Company0242; FY14 estimated</t>
        </r>
      </text>
    </comment>
    <comment ref="CC173" authorId="2" shapeId="0" xr:uid="{00000000-0006-0000-0700-0000FD000000}">
      <text>
        <r>
          <rPr>
            <b/>
            <sz val="9"/>
            <color indexed="81"/>
            <rFont val="Tahoma"/>
            <family val="2"/>
          </rPr>
          <t>Author:</t>
        </r>
        <r>
          <rPr>
            <sz val="9"/>
            <color indexed="81"/>
            <rFont val="Tahoma"/>
            <family val="2"/>
          </rPr>
          <t xml:space="preserve">
$31.2bn in FY15</t>
        </r>
      </text>
    </comment>
    <comment ref="CD173" authorId="2" shapeId="0" xr:uid="{00000000-0006-0000-0700-0000FE000000}">
      <text>
        <r>
          <rPr>
            <b/>
            <sz val="9"/>
            <color indexed="81"/>
            <rFont val="Tahoma"/>
            <family val="2"/>
          </rPr>
          <t>Author:</t>
        </r>
        <r>
          <rPr>
            <sz val="9"/>
            <color indexed="81"/>
            <rFont val="Tahoma"/>
            <family val="2"/>
          </rPr>
          <t xml:space="preserve">
1/26/16: $8.9bn for F1Q; $31bn for FY15, +23% yoy</t>
        </r>
      </text>
    </comment>
    <comment ref="CE173" authorId="2" shapeId="0" xr:uid="{00000000-0006-0000-0700-0000FF000000}">
      <text>
        <r>
          <rPr>
            <b/>
            <sz val="9"/>
            <color indexed="81"/>
            <rFont val="Tahoma"/>
            <family val="2"/>
          </rPr>
          <t>Author:</t>
        </r>
        <r>
          <rPr>
            <sz val="9"/>
            <color indexed="81"/>
            <rFont val="Tahoma"/>
            <family val="2"/>
          </rPr>
          <t xml:space="preserve">
4/26/16: up 27% yoy, accelerating from 24% in the Dec q
</t>
        </r>
      </text>
    </comment>
    <comment ref="CF173" authorId="2" shapeId="0" xr:uid="{00000000-0006-0000-0700-000000010000}">
      <text>
        <r>
          <rPr>
            <b/>
            <sz val="9"/>
            <color indexed="81"/>
            <rFont val="Tahoma"/>
            <family val="2"/>
          </rPr>
          <t>Author:</t>
        </r>
        <r>
          <rPr>
            <sz val="9"/>
            <color indexed="81"/>
            <rFont val="Tahoma"/>
            <family val="2"/>
          </rPr>
          <t xml:space="preserve">
7/26/16: accelerating to 29% yoy growth</t>
        </r>
      </text>
    </comment>
    <comment ref="BF179" authorId="14" shapeId="0" xr:uid="{00000000-0006-0000-0700-000001010000}">
      <text>
        <r>
          <rPr>
            <b/>
            <sz val="9"/>
            <color indexed="81"/>
            <rFont val="Tahoma"/>
            <family val="2"/>
          </rPr>
          <t>Author:</t>
        </r>
        <r>
          <rPr>
            <sz val="9"/>
            <color indexed="81"/>
            <rFont val="Tahoma"/>
            <family val="2"/>
          </rPr>
          <t xml:space="preserve">
Net sales of other music related products &amp; services increased by $278mn in 2Q10</t>
        </r>
      </text>
    </comment>
    <comment ref="BR180" authorId="2" shapeId="0" xr:uid="{00000000-0006-0000-0700-000002010000}">
      <text>
        <r>
          <rPr>
            <b/>
            <sz val="9"/>
            <color indexed="81"/>
            <rFont val="Tahoma"/>
            <family val="2"/>
          </rPr>
          <t>Author:</t>
        </r>
        <r>
          <rPr>
            <sz val="9"/>
            <color indexed="81"/>
            <rFont val="Tahoma"/>
            <family val="2"/>
          </rPr>
          <t xml:space="preserve">
1/23/13: over 2bn downloads in Dec alone; 
775k apps; 
cumulative app downloads over 40bn; 
paid over $7bn to developers</t>
        </r>
      </text>
    </comment>
    <comment ref="BS180" authorId="2" shapeId="0" xr:uid="{00000000-0006-0000-0700-000003010000}">
      <text>
        <r>
          <rPr>
            <b/>
            <sz val="9"/>
            <color indexed="81"/>
            <rFont val="Tahoma"/>
            <family val="2"/>
          </rPr>
          <t>Author:</t>
        </r>
        <r>
          <rPr>
            <sz val="9"/>
            <color indexed="81"/>
            <rFont val="Tahoma"/>
            <family val="2"/>
          </rPr>
          <t xml:space="preserve">
4/23/13: 850k apps; 
45bn downloads;
$9bn paid to developers, including $4.5bn in the past 4 qtrs</t>
        </r>
      </text>
    </comment>
    <comment ref="BT180" authorId="2" shapeId="0" xr:uid="{00000000-0006-0000-0700-000004010000}">
      <text>
        <r>
          <rPr>
            <b/>
            <sz val="9"/>
            <color indexed="81"/>
            <rFont val="Tahoma"/>
            <family val="2"/>
          </rPr>
          <t>Author:</t>
        </r>
        <r>
          <rPr>
            <sz val="9"/>
            <color indexed="81"/>
            <rFont val="Tahoma"/>
            <family val="2"/>
          </rPr>
          <t xml:space="preserve">
7/23/13: 850k apps; 
50bn downloads;
$11bn paid to developers, including half in the past 4 qtrs</t>
        </r>
      </text>
    </comment>
    <comment ref="BU180" authorId="2" shapeId="0" xr:uid="{00000000-0006-0000-0700-000005010000}">
      <text>
        <r>
          <rPr>
            <b/>
            <sz val="9"/>
            <color indexed="81"/>
            <rFont val="Tahoma"/>
            <family val="2"/>
          </rPr>
          <t>Author:</t>
        </r>
        <r>
          <rPr>
            <sz val="9"/>
            <color indexed="81"/>
            <rFont val="Tahoma"/>
            <family val="2"/>
          </rPr>
          <t xml:space="preserve">
10/28/13: 
60bn downloads;
$13bn paid to developers, including half in the past 4 qtrs</t>
        </r>
      </text>
    </comment>
    <comment ref="BV180" authorId="2" shapeId="0" xr:uid="{00000000-0006-0000-0700-000006010000}">
      <text>
        <r>
          <rPr>
            <b/>
            <sz val="9"/>
            <color indexed="81"/>
            <rFont val="Tahoma"/>
            <family val="2"/>
          </rPr>
          <t>Author:</t>
        </r>
        <r>
          <rPr>
            <sz val="9"/>
            <color indexed="81"/>
            <rFont val="Tahoma"/>
            <family val="2"/>
          </rPr>
          <t xml:space="preserve">
1/27/14: 1mn apps;
65bn downloads;
$15bn paid to developers, including half in the past 4 qtrs</t>
        </r>
      </text>
    </comment>
    <comment ref="BW180" authorId="2" shapeId="0" xr:uid="{00000000-0006-0000-0700-000007010000}">
      <text>
        <r>
          <rPr>
            <b/>
            <sz val="9"/>
            <color indexed="81"/>
            <rFont val="Tahoma"/>
            <family val="2"/>
          </rPr>
          <t>Author:</t>
        </r>
        <r>
          <rPr>
            <sz val="9"/>
            <color indexed="81"/>
            <rFont val="Tahoma"/>
            <family val="2"/>
          </rPr>
          <t xml:space="preserve">
4/23/14: 70bn downloads;
</t>
        </r>
      </text>
    </comment>
    <comment ref="BX180" authorId="2" shapeId="0" xr:uid="{00000000-0006-0000-0700-000008010000}">
      <text>
        <r>
          <rPr>
            <b/>
            <sz val="9"/>
            <color indexed="81"/>
            <rFont val="Tahoma"/>
            <family val="2"/>
          </rPr>
          <t>Author:</t>
        </r>
        <r>
          <rPr>
            <sz val="9"/>
            <color indexed="81"/>
            <rFont val="Tahoma"/>
            <family val="2"/>
          </rPr>
          <t xml:space="preserve">
7/22/14: 1.2mn apps; 300mn visits to app store every week; 75bn downloads;
over $20bn for developers, with nearly half in the last 12 months</t>
        </r>
      </text>
    </comment>
    <comment ref="BY180" authorId="2" shapeId="0" xr:uid="{00000000-0006-0000-0700-000009010000}">
      <text>
        <r>
          <rPr>
            <b/>
            <sz val="9"/>
            <color indexed="81"/>
            <rFont val="Tahoma"/>
            <family val="2"/>
          </rPr>
          <t>Author:</t>
        </r>
        <r>
          <rPr>
            <sz val="9"/>
            <color indexed="81"/>
            <rFont val="Tahoma"/>
            <family val="2"/>
          </rPr>
          <t xml:space="preserve">
10/20/14: app downloads crossed 85bn; App store revenues grew 36% yoy</t>
        </r>
      </text>
    </comment>
    <comment ref="BZ180" authorId="2" shapeId="0" xr:uid="{00000000-0006-0000-0700-00000A010000}">
      <text>
        <r>
          <rPr>
            <b/>
            <sz val="9"/>
            <color indexed="81"/>
            <rFont val="Tahoma"/>
            <family val="2"/>
          </rPr>
          <t>Author:</t>
        </r>
        <r>
          <rPr>
            <sz val="9"/>
            <color indexed="81"/>
            <rFont val="Tahoma"/>
            <family val="2"/>
          </rPr>
          <t xml:space="preserve">
1/27/15: over $25bn paid to developers; hardcoded to drive 29% growth for FY15</t>
        </r>
      </text>
    </comment>
    <comment ref="CA180" authorId="2" shapeId="0" xr:uid="{00000000-0006-0000-0700-00000B010000}">
      <text>
        <r>
          <rPr>
            <b/>
            <sz val="9"/>
            <color indexed="81"/>
            <rFont val="Tahoma"/>
            <family val="2"/>
          </rPr>
          <t>Author:</t>
        </r>
        <r>
          <rPr>
            <sz val="9"/>
            <color indexed="81"/>
            <rFont val="Tahoma"/>
            <family val="2"/>
          </rPr>
          <t xml:space="preserve">
4/27/15: revenue up 29% yoy</t>
        </r>
      </text>
    </comment>
    <comment ref="CB180" authorId="2" shapeId="0" xr:uid="{00000000-0006-0000-0700-00000C010000}">
      <text>
        <r>
          <rPr>
            <b/>
            <sz val="9"/>
            <color indexed="81"/>
            <rFont val="Tahoma"/>
            <family val="2"/>
          </rPr>
          <t>Author:</t>
        </r>
        <r>
          <rPr>
            <sz val="9"/>
            <color indexed="81"/>
            <rFont val="Tahoma"/>
            <family val="2"/>
          </rPr>
          <t xml:space="preserve">
6/8/15: 1.5mn apps; 100bn apps downloaded; paid out $30bn to developers; avg person has 119 apps; Product0045 revenue grew 25% yoy</t>
        </r>
      </text>
    </comment>
    <comment ref="CC180" authorId="2" shapeId="0" xr:uid="{00000000-0006-0000-0700-00000D010000}">
      <text>
        <r>
          <rPr>
            <b/>
            <sz val="9"/>
            <color indexed="81"/>
            <rFont val="Tahoma"/>
            <family val="2"/>
          </rPr>
          <t>Author:</t>
        </r>
        <r>
          <rPr>
            <sz val="9"/>
            <color indexed="81"/>
            <rFont val="Tahoma"/>
            <family val="2"/>
          </rPr>
          <t xml:space="preserve">
10/27/15: Product0045 set quarterly record revenue and transacting customers; revenues increased 25% yoy</t>
        </r>
      </text>
    </comment>
    <comment ref="CD180" authorId="2" shapeId="0" xr:uid="{00000000-0006-0000-0700-00000E010000}">
      <text>
        <r>
          <rPr>
            <b/>
            <sz val="9"/>
            <color indexed="81"/>
            <rFont val="Tahoma"/>
            <family val="2"/>
          </rPr>
          <t>Author:</t>
        </r>
        <r>
          <rPr>
            <sz val="9"/>
            <color indexed="81"/>
            <rFont val="Tahoma"/>
            <family val="2"/>
          </rPr>
          <t xml:space="preserve">
1/26/16: Product0045 revenue grew 27% yoy</t>
        </r>
      </text>
    </comment>
    <comment ref="CE180" authorId="2" shapeId="0" xr:uid="{00000000-0006-0000-0700-00000F010000}">
      <text>
        <r>
          <rPr>
            <b/>
            <sz val="9"/>
            <color indexed="81"/>
            <rFont val="Tahoma"/>
            <family val="2"/>
          </rPr>
          <t>Author:</t>
        </r>
        <r>
          <rPr>
            <sz val="9"/>
            <color indexed="81"/>
            <rFont val="Tahoma"/>
            <family val="2"/>
          </rPr>
          <t xml:space="preserve">
4/26/16: Product0045 revenue up 35% yoy to beat last quarter's all time record</t>
        </r>
      </text>
    </comment>
    <comment ref="CF180" authorId="2" shapeId="0" xr:uid="{00000000-0006-0000-0700-000010010000}">
      <text>
        <r>
          <rPr>
            <b/>
            <sz val="9"/>
            <color indexed="81"/>
            <rFont val="Tahoma"/>
            <family val="2"/>
          </rPr>
          <t>Author:</t>
        </r>
        <r>
          <rPr>
            <sz val="9"/>
            <color indexed="81"/>
            <rFont val="Tahoma"/>
            <family val="2"/>
          </rPr>
          <t xml:space="preserve">
7/26/16: over 2mn apps on the Product0045
6/13/2016: downloaded 130bn times; about to pass $50bn paid to developers; Product0045 revenue growth has accelerated for four consecutive quarters, reaching 37% in Q3.</t>
        </r>
      </text>
    </comment>
    <comment ref="CG180" authorId="3" shapeId="0" xr:uid="{00000000-0006-0000-0700-000011010000}">
      <text>
        <r>
          <rPr>
            <b/>
            <sz val="9"/>
            <color indexed="81"/>
            <rFont val="Tahoma"/>
            <family val="2"/>
          </rPr>
          <t>Author:</t>
        </r>
        <r>
          <rPr>
            <sz val="9"/>
            <color indexed="81"/>
            <rFont val="Tahoma"/>
            <family val="2"/>
          </rPr>
          <t xml:space="preserve">
10/25/16: App store +43% yoy</t>
        </r>
      </text>
    </comment>
    <comment ref="CH180" authorId="2" shapeId="0" xr:uid="{00000000-0006-0000-0700-000012010000}">
      <text>
        <r>
          <rPr>
            <b/>
            <sz val="9"/>
            <color indexed="81"/>
            <rFont val="Tahoma"/>
            <family val="2"/>
          </rPr>
          <t>Author:</t>
        </r>
        <r>
          <rPr>
            <sz val="9"/>
            <color indexed="81"/>
            <rFont val="Tahoma"/>
            <family val="2"/>
          </rPr>
          <t xml:space="preserve">
1/31/17: Product0045 revenues up 43% yoy for the first 13 weeks</t>
        </r>
      </text>
    </comment>
    <comment ref="CI180" authorId="2" shapeId="0" xr:uid="{00000000-0006-0000-0700-000013010000}">
      <text>
        <r>
          <rPr>
            <b/>
            <sz val="9"/>
            <color indexed="81"/>
            <rFont val="Tahoma"/>
            <family val="2"/>
          </rPr>
          <t>Author:</t>
        </r>
        <r>
          <rPr>
            <sz val="9"/>
            <color indexed="81"/>
            <rFont val="Tahoma"/>
            <family val="2"/>
          </rPr>
          <t xml:space="preserve">
5/2/17: revenue grew 40% yoy</t>
        </r>
      </text>
    </comment>
    <comment ref="A182" authorId="2" shapeId="0" xr:uid="{00000000-0006-0000-0700-000018010000}">
      <text>
        <r>
          <rPr>
            <b/>
            <sz val="9"/>
            <color indexed="81"/>
            <rFont val="Tahoma"/>
            <family val="2"/>
          </rPr>
          <t>Author:</t>
        </r>
        <r>
          <rPr>
            <sz val="9"/>
            <color indexed="81"/>
            <rFont val="Tahoma"/>
            <family val="2"/>
          </rPr>
          <t xml:space="preserve">
certain digital content sold through the iTunes Store</t>
        </r>
      </text>
    </comment>
    <comment ref="BV182" authorId="2" shapeId="0" xr:uid="{00000000-0006-0000-0700-000019010000}">
      <text>
        <r>
          <rPr>
            <b/>
            <sz val="9"/>
            <color indexed="81"/>
            <rFont val="Tahoma"/>
            <family val="2"/>
          </rPr>
          <t>Author:</t>
        </r>
        <r>
          <rPr>
            <sz val="9"/>
            <color indexed="81"/>
            <rFont val="Tahoma"/>
            <family val="2"/>
          </rPr>
          <t xml:space="preserve">
Assumed to estimate GAAP Services revenue</t>
        </r>
      </text>
    </comment>
    <comment ref="BW182" authorId="2" shapeId="0" xr:uid="{00000000-0006-0000-0700-00001A010000}">
      <text>
        <r>
          <rPr>
            <b/>
            <sz val="9"/>
            <color indexed="81"/>
            <rFont val="Tahoma"/>
            <family val="2"/>
          </rPr>
          <t>Author:</t>
        </r>
        <r>
          <rPr>
            <sz val="9"/>
            <color indexed="81"/>
            <rFont val="Tahoma"/>
            <family val="2"/>
          </rPr>
          <t xml:space="preserve">
Assumed to estimate GAAP Services revenue</t>
        </r>
      </text>
    </comment>
    <comment ref="BX182" authorId="2" shapeId="0" xr:uid="{00000000-0006-0000-0700-00001B010000}">
      <text>
        <r>
          <rPr>
            <b/>
            <sz val="9"/>
            <color indexed="81"/>
            <rFont val="Tahoma"/>
            <family val="2"/>
          </rPr>
          <t>Author:</t>
        </r>
        <r>
          <rPr>
            <sz val="9"/>
            <color indexed="81"/>
            <rFont val="Tahoma"/>
            <family val="2"/>
          </rPr>
          <t xml:space="preserve">
Assumed to estimate GAAP Services revenue</t>
        </r>
      </text>
    </comment>
    <comment ref="BY182" authorId="2" shapeId="0" xr:uid="{00000000-0006-0000-0700-00001C010000}">
      <text>
        <r>
          <rPr>
            <b/>
            <sz val="9"/>
            <color indexed="81"/>
            <rFont val="Tahoma"/>
            <family val="2"/>
          </rPr>
          <t>Author:</t>
        </r>
        <r>
          <rPr>
            <sz val="9"/>
            <color indexed="81"/>
            <rFont val="Tahoma"/>
            <family val="2"/>
          </rPr>
          <t xml:space="preserve">
Assumed to estimate GAAP Services revenue</t>
        </r>
      </text>
    </comment>
    <comment ref="CE183" authorId="2" shapeId="0" xr:uid="{00000000-0006-0000-0700-00001D010000}">
      <text>
        <r>
          <rPr>
            <b/>
            <sz val="9"/>
            <color indexed="81"/>
            <rFont val="Tahoma"/>
            <family val="2"/>
          </rPr>
          <t>Author:</t>
        </r>
        <r>
          <rPr>
            <sz val="9"/>
            <color indexed="81"/>
            <rFont val="Tahoma"/>
            <family val="2"/>
          </rPr>
          <t xml:space="preserve">
4/26/16: Music business has been declining for several quarters; this quarter will be the bottom after Product0046 introduction - inflection</t>
        </r>
      </text>
    </comment>
    <comment ref="BZ184" authorId="2" shapeId="0" xr:uid="{00000000-0006-0000-0700-000026010000}">
      <text>
        <r>
          <rPr>
            <b/>
            <sz val="9"/>
            <color indexed="81"/>
            <rFont val="Tahoma"/>
            <family val="2"/>
          </rPr>
          <t>Author:</t>
        </r>
        <r>
          <rPr>
            <sz val="9"/>
            <color indexed="81"/>
            <rFont val="Tahoma"/>
            <family val="2"/>
          </rPr>
          <t xml:space="preserve">
Introduced on 10/20/14</t>
        </r>
      </text>
    </comment>
    <comment ref="CD184" authorId="2" shapeId="0" xr:uid="{00000000-0006-0000-0700-000027010000}">
      <text>
        <r>
          <rPr>
            <b/>
            <sz val="9"/>
            <color indexed="81"/>
            <rFont val="Tahoma"/>
            <family val="2"/>
          </rPr>
          <t>Author:</t>
        </r>
        <r>
          <rPr>
            <sz val="9"/>
            <color indexed="81"/>
            <rFont val="Tahoma"/>
            <family val="2"/>
          </rPr>
          <t xml:space="preserve">
1/26/16: 10x higher usage in 2H vs. 1H</t>
        </r>
      </text>
    </comment>
    <comment ref="CE184" authorId="2" shapeId="0" xr:uid="{00000000-0006-0000-0700-000028010000}">
      <text>
        <r>
          <rPr>
            <b/>
            <sz val="9"/>
            <color indexed="81"/>
            <rFont val="Tahoma"/>
            <family val="2"/>
          </rPr>
          <t>Author:</t>
        </r>
        <r>
          <rPr>
            <sz val="9"/>
            <color indexed="81"/>
            <rFont val="Tahoma"/>
            <family val="2"/>
          </rPr>
          <t xml:space="preserve">
4/26/16: 5x transaction volume yoy
1mn new users per week
10mn contactless locations worldwide, 2.5mn in the US
</t>
        </r>
      </text>
    </comment>
    <comment ref="CF184" authorId="2" shapeId="0" xr:uid="{00000000-0006-0000-0700-000029010000}">
      <text>
        <r>
          <rPr>
            <b/>
            <sz val="9"/>
            <color indexed="81"/>
            <rFont val="Tahoma"/>
            <family val="2"/>
          </rPr>
          <t>Author:</t>
        </r>
        <r>
          <rPr>
            <sz val="9"/>
            <color indexed="81"/>
            <rFont val="Tahoma"/>
            <family val="2"/>
          </rPr>
          <t xml:space="preserve">
7/26/16: 10s of mns of users</t>
        </r>
      </text>
    </comment>
    <comment ref="CG184" authorId="3" shapeId="0" xr:uid="{00000000-0006-0000-0700-00002A010000}">
      <text>
        <r>
          <rPr>
            <b/>
            <sz val="9"/>
            <color indexed="81"/>
            <rFont val="Tahoma"/>
            <family val="2"/>
          </rPr>
          <t>Author:</t>
        </r>
        <r>
          <rPr>
            <sz val="9"/>
            <color indexed="81"/>
            <rFont val="Tahoma"/>
            <family val="2"/>
          </rPr>
          <t xml:space="preserve">
10/25/16: Transactions up 500% yoy</t>
        </r>
      </text>
    </comment>
    <comment ref="CH184" authorId="2" shapeId="0" xr:uid="{00000000-0006-0000-0700-00002B010000}">
      <text>
        <r>
          <rPr>
            <b/>
            <sz val="9"/>
            <color indexed="81"/>
            <rFont val="Tahoma"/>
            <family val="2"/>
          </rPr>
          <t>Author:</t>
        </r>
        <r>
          <rPr>
            <sz val="9"/>
            <color indexed="81"/>
            <rFont val="Tahoma"/>
            <family val="2"/>
          </rPr>
          <t xml:space="preserve">
1/31/17: users tripled yoy, transactions up 500% yoy</t>
        </r>
      </text>
    </comment>
    <comment ref="CI184" authorId="2" shapeId="0" xr:uid="{00000000-0006-0000-0700-00002C010000}">
      <text>
        <r>
          <rPr>
            <b/>
            <sz val="9"/>
            <color indexed="81"/>
            <rFont val="Tahoma"/>
            <family val="2"/>
          </rPr>
          <t>Author:</t>
        </r>
        <r>
          <rPr>
            <sz val="9"/>
            <color indexed="81"/>
            <rFont val="Tahoma"/>
            <family val="2"/>
          </rPr>
          <t xml:space="preserve">
5/2/17: transaction volume up 450% yoy</t>
        </r>
      </text>
    </comment>
    <comment ref="A185" authorId="2" shapeId="0" xr:uid="{00000000-0006-0000-0700-00002D010000}">
      <text>
        <r>
          <rPr>
            <b/>
            <sz val="9"/>
            <color indexed="81"/>
            <rFont val="Tahoma"/>
            <family val="2"/>
          </rPr>
          <t>Author:</t>
        </r>
        <r>
          <rPr>
            <sz val="9"/>
            <color indexed="81"/>
            <rFont val="Tahoma"/>
            <family val="2"/>
          </rPr>
          <t xml:space="preserve">
Captures Licensing, Product0484, Service Parts</t>
        </r>
      </text>
    </comment>
    <comment ref="A191" authorId="2" shapeId="0" xr:uid="{00000000-0006-0000-0700-00002E010000}">
      <text>
        <r>
          <rPr>
            <sz val="9"/>
            <color indexed="81"/>
            <rFont val="Tahoma"/>
            <family val="2"/>
          </rPr>
          <t xml:space="preserve">from Ticker0015 Product0489 model
</t>
        </r>
      </text>
    </comment>
    <comment ref="A192" authorId="2" shapeId="0" xr:uid="{00000000-0006-0000-0700-00002F010000}">
      <text>
        <r>
          <rPr>
            <b/>
            <sz val="9"/>
            <color indexed="81"/>
            <rFont val="Tahoma"/>
            <family val="2"/>
          </rPr>
          <t>Author:</t>
        </r>
        <r>
          <rPr>
            <sz val="9"/>
            <color indexed="81"/>
            <rFont val="Tahoma"/>
            <family val="2"/>
          </rPr>
          <t xml:space="preserve">
Product0051</t>
        </r>
      </text>
    </comment>
    <comment ref="CD192" authorId="2" shapeId="0" xr:uid="{00000000-0006-0000-0700-000030010000}">
      <text>
        <r>
          <rPr>
            <b/>
            <sz val="9"/>
            <color indexed="81"/>
            <rFont val="Tahoma"/>
            <family val="2"/>
          </rPr>
          <t>Author:</t>
        </r>
        <r>
          <rPr>
            <sz val="9"/>
            <color indexed="81"/>
            <rFont val="Tahoma"/>
            <family val="2"/>
          </rPr>
          <t xml:space="preserve">
excluding $548mn legal settlement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Person1255, Person1250 </author>
    <author>Author11</author>
    <author>Person0630, Person0124 </author>
    <author>Author8</author>
    <author>Person1258, Person0065 </author>
    <author>Person0200, Person0592 </author>
    <author>Person0907, Person0082 </author>
    <author>Person0949, Person0123 </author>
  </authors>
  <commentList>
    <comment ref="DE8" authorId="0" shapeId="0" xr:uid="{03797A5F-FF96-48B5-8190-6D1BCBEA10F0}">
      <text>
        <r>
          <rPr>
            <b/>
            <sz val="9"/>
            <color indexed="81"/>
            <rFont val="Tahoma"/>
            <family val="2"/>
          </rPr>
          <t>Author:</t>
        </r>
        <r>
          <rPr>
            <sz val="9"/>
            <color indexed="81"/>
            <rFont val="Tahoma"/>
            <family val="2"/>
          </rPr>
          <t xml:space="preserve">
TMT Specialist commentary: bulls are arguing ASPs / SKU will be the calling card of this Product0489 cycle while bears are arguing that Units are underwhelming (coupled with China risks, WFH pull-fwd on iMacs / iPads, normalizing Services growth, etc)  - as such, follow the shape of GMs into the December quarter where the street models 42.8% (down ~100bps y/y) </t>
        </r>
      </text>
    </comment>
    <comment ref="CB9" authorId="1" shapeId="0" xr:uid="{00000000-0006-0000-0500-000002000000}">
      <text>
        <r>
          <rPr>
            <b/>
            <sz val="9"/>
            <color indexed="81"/>
            <rFont val="Tahoma"/>
            <family val="2"/>
          </rPr>
          <t>Author:</t>
        </r>
        <r>
          <rPr>
            <sz val="9"/>
            <color indexed="81"/>
            <rFont val="Tahoma"/>
            <family val="2"/>
          </rPr>
          <t xml:space="preserve">
Guidance: $46-48bn</t>
        </r>
      </text>
    </comment>
    <comment ref="CC9" authorId="1" shapeId="0" xr:uid="{00000000-0006-0000-0500-000003000000}">
      <text>
        <r>
          <rPr>
            <b/>
            <sz val="9"/>
            <color indexed="81"/>
            <rFont val="Tahoma"/>
            <family val="2"/>
          </rPr>
          <t>Author:</t>
        </r>
        <r>
          <rPr>
            <sz val="9"/>
            <color indexed="81"/>
            <rFont val="Tahoma"/>
            <family val="2"/>
          </rPr>
          <t xml:space="preserve">
7/21/15: $49-51bn</t>
        </r>
      </text>
    </comment>
    <comment ref="CD9" authorId="2" shapeId="0" xr:uid="{00000000-0006-0000-0500-000004000000}">
      <text>
        <r>
          <rPr>
            <b/>
            <sz val="9"/>
            <color indexed="81"/>
            <rFont val="Tahoma"/>
            <family val="2"/>
          </rPr>
          <t>Author:</t>
        </r>
        <r>
          <rPr>
            <sz val="9"/>
            <color indexed="81"/>
            <rFont val="Tahoma"/>
            <family val="2"/>
          </rPr>
          <t xml:space="preserve">
10/27/15: $75.5-77.5bn</t>
        </r>
      </text>
    </comment>
    <comment ref="CE9" authorId="2" shapeId="0" xr:uid="{00000000-0006-0000-0500-000005000000}">
      <text>
        <r>
          <rPr>
            <b/>
            <sz val="9"/>
            <color indexed="81"/>
            <rFont val="Tahoma"/>
            <family val="2"/>
          </rPr>
          <t>Author:</t>
        </r>
        <r>
          <rPr>
            <sz val="9"/>
            <color indexed="81"/>
            <rFont val="Tahoma"/>
            <family val="2"/>
          </rPr>
          <t xml:space="preserve">
1/26/16: $50-53bn</t>
        </r>
      </text>
    </comment>
    <comment ref="CF9" authorId="2" shapeId="0" xr:uid="{00000000-0006-0000-0500-000006000000}">
      <text>
        <r>
          <rPr>
            <b/>
            <sz val="9"/>
            <color indexed="81"/>
            <rFont val="Tahoma"/>
            <family val="2"/>
          </rPr>
          <t>Author:</t>
        </r>
        <r>
          <rPr>
            <sz val="9"/>
            <color indexed="81"/>
            <rFont val="Tahoma"/>
            <family val="2"/>
          </rPr>
          <t xml:space="preserve">
4/26/16: $41-43bn</t>
        </r>
      </text>
    </comment>
    <comment ref="CG9" authorId="3" shapeId="0" xr:uid="{00000000-0006-0000-0500-000007000000}">
      <text>
        <r>
          <rPr>
            <b/>
            <sz val="9"/>
            <color indexed="81"/>
            <rFont val="Tahoma"/>
            <family val="2"/>
          </rPr>
          <t>Author:</t>
        </r>
        <r>
          <rPr>
            <sz val="9"/>
            <color indexed="81"/>
            <rFont val="Tahoma"/>
            <family val="2"/>
          </rPr>
          <t xml:space="preserve">
7/26/16: $45.5-$47.5bn</t>
        </r>
      </text>
    </comment>
    <comment ref="CH9" authorId="3" shapeId="0" xr:uid="{00000000-0006-0000-0500-000008000000}">
      <text>
        <r>
          <rPr>
            <b/>
            <sz val="9"/>
            <color indexed="81"/>
            <rFont val="Tahoma"/>
            <family val="2"/>
          </rPr>
          <t>Author:</t>
        </r>
        <r>
          <rPr>
            <sz val="9"/>
            <color indexed="81"/>
            <rFont val="Tahoma"/>
            <family val="2"/>
          </rPr>
          <t xml:space="preserve">
1/31/17: USD impacted growth by 100bps
10/25/16: $76-78bn, FX headwind of $650mn yoy</t>
        </r>
      </text>
    </comment>
    <comment ref="CI9" authorId="2" shapeId="0" xr:uid="{00000000-0006-0000-0500-000009000000}">
      <text>
        <r>
          <rPr>
            <b/>
            <sz val="9"/>
            <color indexed="81"/>
            <rFont val="Tahoma"/>
            <family val="2"/>
          </rPr>
          <t>Author:</t>
        </r>
        <r>
          <rPr>
            <sz val="9"/>
            <color indexed="81"/>
            <rFont val="Tahoma"/>
            <family val="2"/>
          </rPr>
          <t xml:space="preserve">
1/31/17: $51.5-53.5bn
$1.2bn yoy headwind from FX</t>
        </r>
      </text>
    </comment>
    <comment ref="CJ9" authorId="2" shapeId="0" xr:uid="{00000000-0006-0000-0500-00000A000000}">
      <text>
        <r>
          <rPr>
            <b/>
            <sz val="9"/>
            <color indexed="81"/>
            <rFont val="Tahoma"/>
            <family val="2"/>
          </rPr>
          <t>Author:</t>
        </r>
        <r>
          <rPr>
            <sz val="9"/>
            <color indexed="81"/>
            <rFont val="Tahoma"/>
            <family val="2"/>
          </rPr>
          <t xml:space="preserve">
5/2/17: $43.5-45.5bn</t>
        </r>
      </text>
    </comment>
    <comment ref="CP9" authorId="4" shapeId="0" xr:uid="{C4BDD7D2-2FEE-4AF2-832B-5258F11193CB}">
      <text>
        <r>
          <rPr>
            <b/>
            <sz val="9"/>
            <color indexed="81"/>
            <rFont val="Tahoma"/>
            <family val="2"/>
          </rPr>
          <t>Author:</t>
        </r>
        <r>
          <rPr>
            <sz val="9"/>
            <color indexed="81"/>
            <rFont val="Tahoma"/>
            <family val="2"/>
          </rPr>
          <t xml:space="preserve">
4Q18: ~$84B in revenue</t>
        </r>
      </text>
    </comment>
    <comment ref="CQ9" authorId="0" shapeId="0" xr:uid="{41C08203-C8A8-43C7-AFFB-9DEFA876CB85}">
      <text>
        <r>
          <rPr>
            <b/>
            <sz val="9"/>
            <color indexed="81"/>
            <rFont val="Tahoma"/>
            <family val="2"/>
          </rPr>
          <t>Author:</t>
        </r>
        <r>
          <rPr>
            <sz val="9"/>
            <color indexed="81"/>
            <rFont val="Tahoma"/>
            <family val="2"/>
          </rPr>
          <t xml:space="preserve">
F1Q19: $55-$59 bn</t>
        </r>
      </text>
    </comment>
    <comment ref="CR9" authorId="0" shapeId="0" xr:uid="{9AD8589D-F58C-4AC5-80ED-BB893FC796F5}">
      <text>
        <r>
          <rPr>
            <b/>
            <sz val="9"/>
            <color indexed="81"/>
            <rFont val="Tahoma"/>
            <family val="2"/>
          </rPr>
          <t>Author:</t>
        </r>
        <r>
          <rPr>
            <sz val="9"/>
            <color indexed="81"/>
            <rFont val="Tahoma"/>
            <family val="2"/>
          </rPr>
          <t xml:space="preserve">
F2Q19: $52.5-$54.5 bn</t>
        </r>
      </text>
    </comment>
    <comment ref="CS9" authorId="0" shapeId="0" xr:uid="{565BA6A1-C098-4F9C-91FB-AFCCFAC708CE}">
      <text>
        <r>
          <rPr>
            <b/>
            <sz val="9"/>
            <color indexed="81"/>
            <rFont val="Tahoma"/>
            <family val="2"/>
          </rPr>
          <t>Author:</t>
        </r>
        <r>
          <rPr>
            <sz val="9"/>
            <color indexed="81"/>
            <rFont val="Tahoma"/>
            <family val="2"/>
          </rPr>
          <t xml:space="preserve">
F3Q19: $61-$64 bn</t>
        </r>
      </text>
    </comment>
    <comment ref="CT9" authorId="0" shapeId="0" xr:uid="{896E0C25-A8BD-4E69-BBDE-C3536C686DF8}">
      <text>
        <r>
          <rPr>
            <b/>
            <sz val="9"/>
            <color indexed="81"/>
            <rFont val="Tahoma"/>
            <family val="2"/>
          </rPr>
          <t>Author:</t>
        </r>
        <r>
          <rPr>
            <sz val="9"/>
            <color indexed="81"/>
            <rFont val="Tahoma"/>
            <family val="2"/>
          </rPr>
          <t xml:space="preserve">
F4Q19: $85.5-$89.5 bn</t>
        </r>
      </text>
    </comment>
    <comment ref="CU9" authorId="0" shapeId="0" xr:uid="{ED373B19-055F-4A81-AEA2-B3C77D43EBC9}">
      <text>
        <r>
          <rPr>
            <b/>
            <sz val="9"/>
            <color indexed="81"/>
            <rFont val="Tahoma"/>
            <family val="2"/>
          </rPr>
          <t>Author:</t>
        </r>
        <r>
          <rPr>
            <sz val="9"/>
            <color indexed="81"/>
            <rFont val="Tahoma"/>
            <family val="2"/>
          </rPr>
          <t xml:space="preserve">
2/17/2020: Will miss revenue guide due to (1) worldwide Product0489 supply being constrained (factories outside Hubei province are ramping back up more slowly than expected); and (2) demand in China hurt by stores - both Company0242 + partner stores - being closed. Open stores have reduced traffic and low customer traffic. Outside of China, demand has been strong. 
F1Q20: $63.0-$67.0 bn</t>
        </r>
      </text>
    </comment>
    <comment ref="CV9" authorId="0" shapeId="0" xr:uid="{42599B2A-E051-4E88-B23A-2002814B335A}">
      <text>
        <r>
          <rPr>
            <b/>
            <sz val="9"/>
            <color indexed="81"/>
            <rFont val="Tahoma"/>
            <family val="2"/>
          </rPr>
          <t>Author:</t>
        </r>
        <r>
          <rPr>
            <sz val="9"/>
            <color indexed="81"/>
            <rFont val="Tahoma"/>
            <family val="2"/>
          </rPr>
          <t xml:space="preserve">
F2Q20: no guidance due to COVID
v. Consensus of $52.24 bn </t>
        </r>
      </text>
    </comment>
    <comment ref="CX9" authorId="0" shapeId="0" xr:uid="{3D3D0BDD-7970-4123-A195-111F6F3CDF4B}">
      <text>
        <r>
          <rPr>
            <b/>
            <sz val="9"/>
            <color indexed="81"/>
            <rFont val="Tahoma"/>
            <family val="2"/>
          </rPr>
          <t>Author:</t>
        </r>
        <r>
          <rPr>
            <sz val="9"/>
            <color indexed="81"/>
            <rFont val="Tahoma"/>
            <family val="2"/>
          </rPr>
          <t xml:space="preserve">
F4Q20: no guidance for 3rd consecutive quarter with questions around Product0489 12 demand, softness in China </t>
        </r>
      </text>
    </comment>
    <comment ref="CY9" authorId="0" shapeId="0" xr:uid="{E94630E8-3583-4655-9AB9-DF6CB591B8E0}">
      <text>
        <r>
          <rPr>
            <b/>
            <sz val="9"/>
            <color indexed="81"/>
            <rFont val="Tahoma"/>
            <family val="2"/>
          </rPr>
          <t>Author:</t>
        </r>
        <r>
          <rPr>
            <sz val="9"/>
            <color indexed="81"/>
            <rFont val="Tahoma"/>
            <family val="2"/>
          </rPr>
          <t xml:space="preserve">
F1Q21: no guidance but said F2Q yoy growth should accelerate. </t>
        </r>
      </text>
    </comment>
    <comment ref="DB9" authorId="4" shapeId="0" xr:uid="{A0836A92-F468-435F-AB19-D51680901946}">
      <text>
        <r>
          <rPr>
            <b/>
            <sz val="9"/>
            <color indexed="81"/>
            <rFont val="Tahoma"/>
            <family val="2"/>
          </rPr>
          <t>Author:</t>
        </r>
        <r>
          <rPr>
            <sz val="9"/>
            <color indexed="81"/>
            <rFont val="Tahoma"/>
            <family val="2"/>
          </rPr>
          <t xml:space="preserve">
4Q21 (10/29/21 FT): CFO expects Ticker0001 to set a December quarter record despite supply chain constraints &gt;$6B</t>
        </r>
      </text>
    </comment>
    <comment ref="DD9" authorId="4" shapeId="0" xr:uid="{9EF1DB97-AAB7-49BD-828E-DA8B8FA14C7D}">
      <text>
        <r>
          <rPr>
            <b/>
            <sz val="9"/>
            <color indexed="81"/>
            <rFont val="Tahoma"/>
            <family val="2"/>
          </rPr>
          <t>Author:</t>
        </r>
        <r>
          <rPr>
            <sz val="9"/>
            <color indexed="81"/>
            <rFont val="Tahoma"/>
            <family val="2"/>
          </rPr>
          <t xml:space="preserve">
2Q: Russia to be 150bps headwind</t>
        </r>
      </text>
    </comment>
    <comment ref="DF9" authorId="0" shapeId="0" xr:uid="{21B2D3A2-98CE-4332-91AD-C54E5E9F7C84}">
      <text>
        <r>
          <rPr>
            <b/>
            <sz val="9"/>
            <color indexed="81"/>
            <rFont val="Tahoma"/>
            <family val="2"/>
          </rPr>
          <t>Author:</t>
        </r>
        <r>
          <rPr>
            <sz val="9"/>
            <color indexed="81"/>
            <rFont val="Tahoma"/>
            <family val="2"/>
          </rPr>
          <t xml:space="preserve">
F4Q22: no guidance</t>
        </r>
      </text>
    </comment>
    <comment ref="DJ9" authorId="0" shapeId="0" xr:uid="{557D2262-7CF0-44A5-98E4-D2F6E5F807A9}">
      <text>
        <r>
          <rPr>
            <b/>
            <sz val="9"/>
            <color indexed="81"/>
            <rFont val="Tahoma"/>
            <family val="2"/>
          </rPr>
          <t>Author:</t>
        </r>
        <r>
          <rPr>
            <sz val="9"/>
            <color indexed="81"/>
            <rFont val="Tahoma"/>
            <family val="2"/>
          </rPr>
          <t xml:space="preserve">
F4Q23: flat yoy, implies $117.2 bn</t>
        </r>
      </text>
    </comment>
    <comment ref="DK9" authorId="0" shapeId="0" xr:uid="{00634AD0-9702-47DC-8CE1-36C7F48461C3}">
      <text>
        <r>
          <rPr>
            <b/>
            <sz val="9"/>
            <color indexed="81"/>
            <rFont val="Tahoma"/>
            <family val="2"/>
          </rPr>
          <t>Author:</t>
        </r>
        <r>
          <rPr>
            <sz val="9"/>
            <color indexed="81"/>
            <rFont val="Tahoma"/>
            <family val="2"/>
          </rPr>
          <t xml:space="preserve">
F1Q24: Down $5 bn yoy (would have been flat excluding $5 bn Product0489 headwind)
3/4/24: March 8, 2024: 15 and 13 inch Macbook Air release with M3 chip</t>
        </r>
      </text>
    </comment>
    <comment ref="DL9" authorId="0" shapeId="0" xr:uid="{0E2F7F72-FACE-4759-BFFA-F72F21E04CE6}">
      <text>
        <r>
          <rPr>
            <b/>
            <sz val="9"/>
            <color indexed="81"/>
            <rFont val="Tahoma"/>
            <family val="2"/>
          </rPr>
          <t>Author:</t>
        </r>
        <r>
          <rPr>
            <sz val="9"/>
            <color indexed="81"/>
            <rFont val="Tahoma"/>
            <family val="2"/>
          </rPr>
          <t xml:space="preserve">
F2Q24: +LSD% yoy implies $82-$85 bn</t>
        </r>
      </text>
    </comment>
    <comment ref="A12" authorId="0" shapeId="0" xr:uid="{5BC433F3-858C-4D7C-A8EF-9421C25E72FB}">
      <text>
        <r>
          <rPr>
            <b/>
            <sz val="9"/>
            <color indexed="81"/>
            <rFont val="Tahoma"/>
            <family val="2"/>
          </rPr>
          <t>Author:</t>
        </r>
        <r>
          <rPr>
            <sz val="9"/>
            <color indexed="81"/>
            <rFont val="Tahoma"/>
            <family val="2"/>
          </rPr>
          <t xml:space="preserve">
F4Q23: R&amp;D includes a lot of things including in-house engineering that contributes to gross margin expansion: designing silicon, cameras, batteries, sensors, displays means that we can pay suppliers less. Out of gross margin and into opex. </t>
        </r>
      </text>
    </comment>
    <comment ref="CQ12" authorId="4" shapeId="0" xr:uid="{32F167C0-D930-41B0-ACDB-9F3C880486D3}">
      <text>
        <r>
          <rPr>
            <b/>
            <sz val="9"/>
            <color indexed="81"/>
            <rFont val="Tahoma"/>
            <family val="2"/>
          </rPr>
          <t>Author:</t>
        </r>
        <r>
          <rPr>
            <sz val="9"/>
            <color indexed="81"/>
            <rFont val="Tahoma"/>
            <family val="2"/>
          </rPr>
          <t xml:space="preserve">
1/24/19: Ticker0001 fires 200+ people from Project Product0419 (autonomous vehicle)</t>
        </r>
      </text>
    </comment>
    <comment ref="GR12" authorId="4" shapeId="0" xr:uid="{02483B68-6B14-416D-BE4A-7FBD5642616B}">
      <text>
        <r>
          <rPr>
            <b/>
            <sz val="9"/>
            <color indexed="81"/>
            <rFont val="Tahoma"/>
            <family val="2"/>
          </rPr>
          <t>Author:</t>
        </r>
        <r>
          <rPr>
            <sz val="9"/>
            <color indexed="81"/>
            <rFont val="Tahoma"/>
            <family val="2"/>
          </rPr>
          <t xml:space="preserve">
2/14/18 Annual Shareholders' Meeting: Acquired 19 companies in 2017 w more in 2018 to come</t>
        </r>
      </text>
    </comment>
    <comment ref="DD13" authorId="4" shapeId="0" xr:uid="{E72AB7AF-0B38-4DB1-A4B8-72C25B0D49F8}">
      <text>
        <r>
          <rPr>
            <b/>
            <sz val="9"/>
            <color indexed="81"/>
            <rFont val="Tahoma"/>
            <family val="2"/>
          </rPr>
          <t>Author:</t>
        </r>
        <r>
          <rPr>
            <sz val="9"/>
            <color indexed="81"/>
            <rFont val="Tahoma"/>
            <family val="2"/>
          </rPr>
          <t xml:space="preserve">
5/25/22 (Company2965): Company0242 to lift starting pay to at least $22/hour</t>
        </r>
      </text>
    </comment>
    <comment ref="CB14" authorId="1" shapeId="0" xr:uid="{00000000-0006-0000-0500-000017000000}">
      <text>
        <r>
          <rPr>
            <b/>
            <sz val="9"/>
            <color indexed="81"/>
            <rFont val="Tahoma"/>
            <family val="2"/>
          </rPr>
          <t>Author:</t>
        </r>
        <r>
          <rPr>
            <sz val="9"/>
            <color indexed="81"/>
            <rFont val="Tahoma"/>
            <family val="2"/>
          </rPr>
          <t xml:space="preserve">
Guidance $5.65-5.75bn</t>
        </r>
      </text>
    </comment>
    <comment ref="CC14" authorId="1" shapeId="0" xr:uid="{00000000-0006-0000-0500-000018000000}">
      <text>
        <r>
          <rPr>
            <b/>
            <sz val="9"/>
            <color indexed="81"/>
            <rFont val="Tahoma"/>
            <family val="2"/>
          </rPr>
          <t>Author:</t>
        </r>
        <r>
          <rPr>
            <sz val="9"/>
            <color indexed="81"/>
            <rFont val="Tahoma"/>
            <family val="2"/>
          </rPr>
          <t xml:space="preserve">
7/21/15: $5.85-5.95bn</t>
        </r>
      </text>
    </comment>
    <comment ref="CD14" authorId="2" shapeId="0" xr:uid="{00000000-0006-0000-0500-000019000000}">
      <text>
        <r>
          <rPr>
            <b/>
            <sz val="9"/>
            <color indexed="81"/>
            <rFont val="Tahoma"/>
            <family val="2"/>
          </rPr>
          <t>Author:</t>
        </r>
        <r>
          <rPr>
            <sz val="9"/>
            <color indexed="81"/>
            <rFont val="Tahoma"/>
            <family val="2"/>
          </rPr>
          <t xml:space="preserve">
10/27/15: $6.3-6.4bn</t>
        </r>
      </text>
    </comment>
    <comment ref="CE14" authorId="2" shapeId="0" xr:uid="{00000000-0006-0000-0500-00001A000000}">
      <text>
        <r>
          <rPr>
            <b/>
            <sz val="9"/>
            <color indexed="81"/>
            <rFont val="Tahoma"/>
            <family val="2"/>
          </rPr>
          <t>Author:</t>
        </r>
        <r>
          <rPr>
            <sz val="9"/>
            <color indexed="81"/>
            <rFont val="Tahoma"/>
            <family val="2"/>
          </rPr>
          <t xml:space="preserve">
1/26/16: $6.0-6.1bn</t>
        </r>
      </text>
    </comment>
    <comment ref="CF14" authorId="2" shapeId="0" xr:uid="{00000000-0006-0000-0500-00001B000000}">
      <text>
        <r>
          <rPr>
            <b/>
            <sz val="9"/>
            <color indexed="81"/>
            <rFont val="Tahoma"/>
            <family val="2"/>
          </rPr>
          <t>Author:</t>
        </r>
        <r>
          <rPr>
            <sz val="9"/>
            <color indexed="81"/>
            <rFont val="Tahoma"/>
            <family val="2"/>
          </rPr>
          <t xml:space="preserve">
4/26/16: $6.0-6.1bn</t>
        </r>
      </text>
    </comment>
    <comment ref="CG14" authorId="3" shapeId="0" xr:uid="{00000000-0006-0000-0500-00001C000000}">
      <text>
        <r>
          <rPr>
            <b/>
            <sz val="9"/>
            <color indexed="81"/>
            <rFont val="Tahoma"/>
            <family val="2"/>
          </rPr>
          <t>Author:</t>
        </r>
        <r>
          <rPr>
            <sz val="9"/>
            <color indexed="81"/>
            <rFont val="Tahoma"/>
            <family val="2"/>
          </rPr>
          <t xml:space="preserve">
7/26/16: $6.05-$6.15bn </t>
        </r>
      </text>
    </comment>
    <comment ref="CH14" authorId="3" shapeId="0" xr:uid="{00000000-0006-0000-0500-00001D000000}">
      <text>
        <r>
          <rPr>
            <b/>
            <sz val="9"/>
            <color indexed="81"/>
            <rFont val="Tahoma"/>
            <family val="2"/>
          </rPr>
          <t>Author:</t>
        </r>
        <r>
          <rPr>
            <sz val="9"/>
            <color indexed="81"/>
            <rFont val="Tahoma"/>
            <family val="2"/>
          </rPr>
          <t xml:space="preserve">
10/25/16: $6.9-$7bn</t>
        </r>
      </text>
    </comment>
    <comment ref="CI14" authorId="2" shapeId="0" xr:uid="{00000000-0006-0000-0500-00001E000000}">
      <text>
        <r>
          <rPr>
            <b/>
            <sz val="9"/>
            <color indexed="81"/>
            <rFont val="Tahoma"/>
            <family val="2"/>
          </rPr>
          <t>Author:</t>
        </r>
        <r>
          <rPr>
            <sz val="9"/>
            <color indexed="81"/>
            <rFont val="Tahoma"/>
            <family val="2"/>
          </rPr>
          <t xml:space="preserve">
1/31/17: $6.5-6.6bn
</t>
        </r>
      </text>
    </comment>
    <comment ref="CJ14" authorId="2" shapeId="0" xr:uid="{00000000-0006-0000-0500-00001F000000}">
      <text>
        <r>
          <rPr>
            <b/>
            <sz val="9"/>
            <color indexed="81"/>
            <rFont val="Tahoma"/>
            <family val="2"/>
          </rPr>
          <t>Author:</t>
        </r>
        <r>
          <rPr>
            <sz val="9"/>
            <color indexed="81"/>
            <rFont val="Tahoma"/>
            <family val="2"/>
          </rPr>
          <t xml:space="preserve">
5/2/17: $6.6-6.7bn</t>
        </r>
      </text>
    </comment>
    <comment ref="CP14" authorId="4" shapeId="0" xr:uid="{52ED6E8F-EFDC-469A-8A22-B6709A5E54AF}">
      <text>
        <r>
          <rPr>
            <b/>
            <sz val="9"/>
            <color indexed="81"/>
            <rFont val="Tahoma"/>
            <family val="2"/>
          </rPr>
          <t>Author:</t>
        </r>
        <r>
          <rPr>
            <sz val="9"/>
            <color indexed="81"/>
            <rFont val="Tahoma"/>
            <family val="2"/>
          </rPr>
          <t xml:space="preserve">
4Q18: ~$8.7B in opex</t>
        </r>
      </text>
    </comment>
    <comment ref="DB14" authorId="0" shapeId="0" xr:uid="{F5A204E2-955E-4529-A464-BD4D22900354}">
      <text>
        <r>
          <rPr>
            <b/>
            <sz val="9"/>
            <color indexed="81"/>
            <rFont val="Tahoma"/>
            <family val="2"/>
          </rPr>
          <t>Author:</t>
        </r>
        <r>
          <rPr>
            <sz val="9"/>
            <color indexed="81"/>
            <rFont val="Tahoma"/>
            <family val="2"/>
          </rPr>
          <t xml:space="preserve">
F4Q21: $12.4-$12.6 bn</t>
        </r>
      </text>
    </comment>
    <comment ref="DD14" authorId="0" shapeId="0" xr:uid="{EBC3EB85-88DF-4E1E-84A0-016E566B779F}">
      <text>
        <r>
          <rPr>
            <b/>
            <sz val="9"/>
            <color indexed="81"/>
            <rFont val="Tahoma"/>
            <family val="2"/>
          </rPr>
          <t>Author:</t>
        </r>
        <r>
          <rPr>
            <sz val="9"/>
            <color indexed="81"/>
            <rFont val="Tahoma"/>
            <family val="2"/>
          </rPr>
          <t xml:space="preserve">
F2Q22: $12.7-$12.9 bn</t>
        </r>
      </text>
    </comment>
    <comment ref="DE14" authorId="0" shapeId="0" xr:uid="{ECE21E2F-41AD-4312-A293-8B414712C9CF}">
      <text>
        <r>
          <rPr>
            <b/>
            <sz val="9"/>
            <color indexed="81"/>
            <rFont val="Tahoma"/>
            <family val="2"/>
          </rPr>
          <t>Author:</t>
        </r>
        <r>
          <rPr>
            <sz val="9"/>
            <color indexed="81"/>
            <rFont val="Tahoma"/>
            <family val="2"/>
          </rPr>
          <t xml:space="preserve">
F3Q22: opex of $12.9-$13.1 bn</t>
        </r>
      </text>
    </comment>
    <comment ref="DF14" authorId="0" shapeId="0" xr:uid="{D001B98A-D212-4C45-82B4-E2CAA3FECF27}">
      <text>
        <r>
          <rPr>
            <b/>
            <sz val="9"/>
            <color indexed="81"/>
            <rFont val="Tahoma"/>
            <family val="2"/>
          </rPr>
          <t>Author:</t>
        </r>
        <r>
          <rPr>
            <sz val="9"/>
            <color indexed="81"/>
            <rFont val="Tahoma"/>
            <family val="2"/>
          </rPr>
          <t xml:space="preserve">
F1Q23: well below guidance range giving responses to current macro 
F4Q22: $14.7-$14.9 bn</t>
        </r>
      </text>
    </comment>
    <comment ref="DG14" authorId="5" shapeId="0" xr:uid="{0B780B8E-A38B-4702-A9E9-2C8F2FF761D8}">
      <text>
        <r>
          <rPr>
            <b/>
            <sz val="9"/>
            <color indexed="81"/>
            <rFont val="Tahoma"/>
            <family val="2"/>
          </rPr>
          <t>Author:</t>
        </r>
        <r>
          <rPr>
            <sz val="9"/>
            <color indexed="81"/>
            <rFont val="Tahoma"/>
            <family val="2"/>
          </rPr>
          <t xml:space="preserve">
F1Q23: $13.7 - $13.9 bn</t>
        </r>
      </text>
    </comment>
    <comment ref="DH14" authorId="0" shapeId="0" xr:uid="{BAED4FD8-30C4-4C05-B82D-5B39CFB0B3AC}">
      <text>
        <r>
          <rPr>
            <b/>
            <sz val="9"/>
            <color indexed="81"/>
            <rFont val="Tahoma"/>
            <family val="2"/>
          </rPr>
          <t>Author:</t>
        </r>
        <r>
          <rPr>
            <sz val="9"/>
            <color indexed="81"/>
            <rFont val="Tahoma"/>
            <family val="2"/>
          </rPr>
          <t xml:space="preserve">
F2Q23: $13.6-$13.8 bn</t>
        </r>
      </text>
    </comment>
    <comment ref="DI14" authorId="0" shapeId="0" xr:uid="{84334781-A309-4384-809A-29773659B065}">
      <text>
        <r>
          <rPr>
            <b/>
            <sz val="9"/>
            <color indexed="81"/>
            <rFont val="Tahoma"/>
            <family val="2"/>
          </rPr>
          <t>Author:</t>
        </r>
        <r>
          <rPr>
            <sz val="9"/>
            <color indexed="81"/>
            <rFont val="Tahoma"/>
            <family val="2"/>
          </rPr>
          <t xml:space="preserve">
F3Q23: $13.5-$13.7 bn </t>
        </r>
      </text>
    </comment>
    <comment ref="DJ14" authorId="0" shapeId="0" xr:uid="{66C14766-1988-44A4-BF6B-1483AEAD97C2}">
      <text>
        <r>
          <rPr>
            <b/>
            <sz val="9"/>
            <color indexed="81"/>
            <rFont val="Tahoma"/>
            <family val="2"/>
          </rPr>
          <t>Author:</t>
        </r>
        <r>
          <rPr>
            <sz val="9"/>
            <color indexed="81"/>
            <rFont val="Tahoma"/>
            <family val="2"/>
          </rPr>
          <t xml:space="preserve">
F4Q23: $14.4-$14.6 bn</t>
        </r>
      </text>
    </comment>
    <comment ref="DK14" authorId="5" shapeId="0" xr:uid="{A9937CB9-B91B-4D50-B30F-583005BA8D29}">
      <text>
        <r>
          <rPr>
            <b/>
            <sz val="9"/>
            <color indexed="81"/>
            <rFont val="Tahoma"/>
            <family val="2"/>
          </rPr>
          <t>Author:</t>
        </r>
        <r>
          <rPr>
            <sz val="9"/>
            <color indexed="81"/>
            <rFont val="Tahoma"/>
            <family val="2"/>
          </rPr>
          <t xml:space="preserve">
F1Q24: $14.3-$14.5 bn
Half-time show with Person1136
Company1722</t>
        </r>
      </text>
    </comment>
    <comment ref="DL14" authorId="0" shapeId="0" xr:uid="{421A97FA-50F0-40D9-832C-3E4F88985531}">
      <text>
        <r>
          <rPr>
            <b/>
            <sz val="9"/>
            <color indexed="81"/>
            <rFont val="Tahoma"/>
            <family val="2"/>
          </rPr>
          <t>Author:</t>
        </r>
        <r>
          <rPr>
            <sz val="9"/>
            <color indexed="81"/>
            <rFont val="Tahoma"/>
            <family val="2"/>
          </rPr>
          <t xml:space="preserve">
F2Q24: $14.3-$14.5 bn </t>
        </r>
      </text>
    </comment>
    <comment ref="DM14" authorId="5" shapeId="0" xr:uid="{56D92115-A93E-4F52-BB57-8B9F2C03C1AD}">
      <text>
        <r>
          <rPr>
            <b/>
            <sz val="9"/>
            <color indexed="81"/>
            <rFont val="Tahoma"/>
            <family val="2"/>
          </rPr>
          <t>Author:</t>
        </r>
        <r>
          <rPr>
            <sz val="9"/>
            <color indexed="81"/>
            <rFont val="Tahoma"/>
            <family val="2"/>
          </rPr>
          <t xml:space="preserve">
F3Q24: $14.2-14.4 bn</t>
        </r>
      </text>
    </comment>
    <comment ref="DN14" authorId="0" shapeId="0" xr:uid="{F6701ACE-6F6F-4D56-8922-17B052944296}">
      <text>
        <r>
          <rPr>
            <b/>
            <sz val="9"/>
            <color indexed="81"/>
            <rFont val="Tahoma"/>
            <family val="2"/>
          </rPr>
          <t>Author:</t>
        </r>
        <r>
          <rPr>
            <sz val="9"/>
            <color indexed="81"/>
            <rFont val="Tahoma"/>
            <family val="2"/>
          </rPr>
          <t xml:space="preserve">
F4Q24: $15.3-$15.5 bn</t>
        </r>
      </text>
    </comment>
    <comment ref="DO14" authorId="5" shapeId="0" xr:uid="{0A4E42FC-2E38-45DC-B7EB-1157E74980C9}">
      <text>
        <r>
          <rPr>
            <b/>
            <sz val="9"/>
            <color indexed="81"/>
            <rFont val="Tahoma"/>
            <family val="2"/>
          </rPr>
          <t>Author:</t>
        </r>
        <r>
          <rPr>
            <sz val="9"/>
            <color indexed="81"/>
            <rFont val="Tahoma"/>
            <family val="2"/>
          </rPr>
          <t xml:space="preserve">
F1Q25: $15.1-$15.3</t>
        </r>
      </text>
    </comment>
    <comment ref="DP14" authorId="5" shapeId="0" xr:uid="{C5718627-0497-4A5B-8CBD-A0EEAE865B25}">
      <text>
        <r>
          <rPr>
            <b/>
            <sz val="9"/>
            <color indexed="81"/>
            <rFont val="Tahoma"/>
            <family val="2"/>
          </rPr>
          <t>Author:</t>
        </r>
        <r>
          <rPr>
            <sz val="9"/>
            <color indexed="81"/>
            <rFont val="Tahoma"/>
            <family val="2"/>
          </rPr>
          <t xml:space="preserve">
F2Q25: $15.3-$15.5 nm</t>
        </r>
      </text>
    </comment>
    <comment ref="DQ14" authorId="5" shapeId="0" xr:uid="{6C08DBA1-5EC5-41C7-A5F8-8040C77D3612}">
      <text>
        <r>
          <rPr>
            <b/>
            <sz val="9"/>
            <color indexed="81"/>
            <rFont val="Tahoma"/>
            <family val="2"/>
          </rPr>
          <t>Author:</t>
        </r>
        <r>
          <rPr>
            <sz val="9"/>
            <color indexed="81"/>
            <rFont val="Tahoma"/>
            <family val="2"/>
          </rPr>
          <t xml:space="preserve">
F3Q25: 15.6-15.8</t>
        </r>
      </text>
    </comment>
    <comment ref="FK15" authorId="0" shapeId="0" xr:uid="{CCCEC180-98F1-4A6A-9C1F-8900E5A2633A}">
      <text>
        <r>
          <rPr>
            <b/>
            <sz val="9"/>
            <color indexed="81"/>
            <rFont val="Tahoma"/>
            <family val="2"/>
          </rPr>
          <t>Author:</t>
        </r>
        <r>
          <rPr>
            <sz val="9"/>
            <color indexed="81"/>
            <rFont val="Tahoma"/>
            <family val="2"/>
          </rPr>
          <t xml:space="preserve">
4/30/2024 Docket 906: TAC was 17.5% of EBIT  or exactly $11.58 bn </t>
        </r>
      </text>
    </comment>
    <comment ref="CB18" authorId="1" shapeId="0" xr:uid="{00000000-0006-0000-0500-000021000000}">
      <text>
        <r>
          <rPr>
            <b/>
            <sz val="9"/>
            <color indexed="81"/>
            <rFont val="Tahoma"/>
            <family val="2"/>
          </rPr>
          <t>Author:</t>
        </r>
        <r>
          <rPr>
            <sz val="9"/>
            <color indexed="81"/>
            <rFont val="Tahoma"/>
            <family val="2"/>
          </rPr>
          <t xml:space="preserve">
Guidance: OI&amp;E about $350mn</t>
        </r>
      </text>
    </comment>
    <comment ref="CC18" authorId="1" shapeId="0" xr:uid="{00000000-0006-0000-0500-000022000000}">
      <text>
        <r>
          <rPr>
            <b/>
            <sz val="9"/>
            <color indexed="81"/>
            <rFont val="Tahoma"/>
            <family val="2"/>
          </rPr>
          <t>Author:</t>
        </r>
        <r>
          <rPr>
            <sz val="9"/>
            <color indexed="81"/>
            <rFont val="Tahoma"/>
            <family val="2"/>
          </rPr>
          <t xml:space="preserve">
7/21/15: $400mn</t>
        </r>
      </text>
    </comment>
    <comment ref="CD18" authorId="2" shapeId="0" xr:uid="{00000000-0006-0000-0500-000023000000}">
      <text>
        <r>
          <rPr>
            <b/>
            <sz val="9"/>
            <color indexed="81"/>
            <rFont val="Tahoma"/>
            <family val="2"/>
          </rPr>
          <t>Author:</t>
        </r>
        <r>
          <rPr>
            <sz val="9"/>
            <color indexed="81"/>
            <rFont val="Tahoma"/>
            <family val="2"/>
          </rPr>
          <t xml:space="preserve">
10/27/15: $400mn</t>
        </r>
      </text>
    </comment>
    <comment ref="CE18" authorId="2" shapeId="0" xr:uid="{00000000-0006-0000-0500-000024000000}">
      <text>
        <r>
          <rPr>
            <b/>
            <sz val="9"/>
            <color indexed="81"/>
            <rFont val="Tahoma"/>
            <family val="2"/>
          </rPr>
          <t>Author:</t>
        </r>
        <r>
          <rPr>
            <sz val="9"/>
            <color indexed="81"/>
            <rFont val="Tahoma"/>
            <family val="2"/>
          </rPr>
          <t xml:space="preserve">
1/26/16: $325mn</t>
        </r>
      </text>
    </comment>
    <comment ref="CF18" authorId="2" shapeId="0" xr:uid="{00000000-0006-0000-0500-000025000000}">
      <text>
        <r>
          <rPr>
            <b/>
            <sz val="9"/>
            <color indexed="81"/>
            <rFont val="Tahoma"/>
            <family val="2"/>
          </rPr>
          <t>Author:</t>
        </r>
        <r>
          <rPr>
            <sz val="9"/>
            <color indexed="81"/>
            <rFont val="Tahoma"/>
            <family val="2"/>
          </rPr>
          <t xml:space="preserve">
4/26/16: $300mn</t>
        </r>
      </text>
    </comment>
    <comment ref="CG18" authorId="3" shapeId="0" xr:uid="{00000000-0006-0000-0500-000026000000}">
      <text>
        <r>
          <rPr>
            <b/>
            <sz val="9"/>
            <color indexed="81"/>
            <rFont val="Tahoma"/>
            <family val="2"/>
          </rPr>
          <t>Author:</t>
        </r>
        <r>
          <rPr>
            <sz val="9"/>
            <color indexed="81"/>
            <rFont val="Tahoma"/>
            <family val="2"/>
          </rPr>
          <t xml:space="preserve">
7/26/16: $350mn</t>
        </r>
      </text>
    </comment>
    <comment ref="CH18" authorId="3" shapeId="0" xr:uid="{00000000-0006-0000-0500-000027000000}">
      <text>
        <r>
          <rPr>
            <b/>
            <sz val="9"/>
            <color indexed="81"/>
            <rFont val="Tahoma"/>
            <family val="2"/>
          </rPr>
          <t>Author:</t>
        </r>
        <r>
          <rPr>
            <sz val="9"/>
            <color indexed="81"/>
            <rFont val="Tahoma"/>
            <family val="2"/>
          </rPr>
          <t xml:space="preserve">
10/25/16: $400mn</t>
        </r>
      </text>
    </comment>
    <comment ref="CI18" authorId="2" shapeId="0" xr:uid="{00000000-0006-0000-0500-000028000000}">
      <text>
        <r>
          <rPr>
            <b/>
            <sz val="9"/>
            <color indexed="81"/>
            <rFont val="Tahoma"/>
            <family val="2"/>
          </rPr>
          <t>Author:</t>
        </r>
        <r>
          <rPr>
            <sz val="9"/>
            <color indexed="81"/>
            <rFont val="Tahoma"/>
            <family val="2"/>
          </rPr>
          <t xml:space="preserve">
1/31/17: $400mn</t>
        </r>
      </text>
    </comment>
    <comment ref="CJ18" authorId="2" shapeId="0" xr:uid="{00000000-0006-0000-0500-000029000000}">
      <text>
        <r>
          <rPr>
            <b/>
            <sz val="9"/>
            <color indexed="81"/>
            <rFont val="Tahoma"/>
            <family val="2"/>
          </rPr>
          <t>Author:</t>
        </r>
        <r>
          <rPr>
            <sz val="9"/>
            <color indexed="81"/>
            <rFont val="Tahoma"/>
            <family val="2"/>
          </rPr>
          <t xml:space="preserve">
5/2/17: $450mn</t>
        </r>
      </text>
    </comment>
    <comment ref="DB18" authorId="0" shapeId="0" xr:uid="{B5645E99-6CCF-4086-B65D-79CBA50B9AAC}">
      <text>
        <r>
          <rPr>
            <b/>
            <sz val="9"/>
            <color indexed="81"/>
            <rFont val="Tahoma"/>
            <family val="2"/>
          </rPr>
          <t>Author:</t>
        </r>
        <r>
          <rPr>
            <sz val="9"/>
            <color indexed="81"/>
            <rFont val="Tahoma"/>
            <family val="2"/>
          </rPr>
          <t xml:space="preserve">
F4Q21: OI&amp;E -$50 mn</t>
        </r>
      </text>
    </comment>
    <comment ref="DD18" authorId="0" shapeId="0" xr:uid="{4333CC37-0787-4FF6-A872-76AD53A0FC4A}">
      <text>
        <r>
          <rPr>
            <b/>
            <sz val="9"/>
            <color indexed="81"/>
            <rFont val="Tahoma"/>
            <family val="2"/>
          </rPr>
          <t>Author:</t>
        </r>
        <r>
          <rPr>
            <sz val="9"/>
            <color indexed="81"/>
            <rFont val="Tahoma"/>
            <family val="2"/>
          </rPr>
          <t xml:space="preserve">
F2Q22: OI&amp;E: -$100 mn</t>
        </r>
      </text>
    </comment>
    <comment ref="DE18" authorId="0" shapeId="0" xr:uid="{4C173890-030D-4B68-8F6D-39B4D1FA0749}">
      <text>
        <r>
          <rPr>
            <b/>
            <sz val="9"/>
            <color indexed="81"/>
            <rFont val="Tahoma"/>
            <family val="2"/>
          </rPr>
          <t>Author:</t>
        </r>
        <r>
          <rPr>
            <sz val="9"/>
            <color indexed="81"/>
            <rFont val="Tahoma"/>
            <family val="2"/>
          </rPr>
          <t xml:space="preserve">
F3Q22: -$100 mn</t>
        </r>
      </text>
    </comment>
    <comment ref="DF18" authorId="0" shapeId="0" xr:uid="{7A0C474C-DB23-43B0-A5E3-950EB12D2765}">
      <text>
        <r>
          <rPr>
            <b/>
            <sz val="9"/>
            <color indexed="81"/>
            <rFont val="Tahoma"/>
            <family val="2"/>
          </rPr>
          <t>Author:</t>
        </r>
        <r>
          <rPr>
            <sz val="9"/>
            <color indexed="81"/>
            <rFont val="Tahoma"/>
            <family val="2"/>
          </rPr>
          <t xml:space="preserve">
-$300 mn</t>
        </r>
      </text>
    </comment>
    <comment ref="DG18" authorId="5" shapeId="0" xr:uid="{18535D2D-0F0D-4BE2-A08D-A821BFE6D4E9}">
      <text>
        <r>
          <rPr>
            <b/>
            <sz val="9"/>
            <color indexed="81"/>
            <rFont val="Tahoma"/>
            <family val="2"/>
          </rPr>
          <t>Author:</t>
        </r>
        <r>
          <rPr>
            <sz val="9"/>
            <color indexed="81"/>
            <rFont val="Tahoma"/>
            <family val="2"/>
          </rPr>
          <t xml:space="preserve">
F1Q23: -$100 mn</t>
        </r>
      </text>
    </comment>
    <comment ref="DH18" authorId="0" shapeId="0" xr:uid="{A7228922-5B6C-4A74-A87E-4006F2E1111D}">
      <text>
        <r>
          <rPr>
            <b/>
            <sz val="9"/>
            <color indexed="81"/>
            <rFont val="Tahoma"/>
            <family val="2"/>
          </rPr>
          <t>Author:</t>
        </r>
        <r>
          <rPr>
            <sz val="9"/>
            <color indexed="81"/>
            <rFont val="Tahoma"/>
            <family val="2"/>
          </rPr>
          <t xml:space="preserve">
F2Q23: -$250 mn</t>
        </r>
      </text>
    </comment>
    <comment ref="DI18" authorId="0" shapeId="0" xr:uid="{7F56652A-FCC1-4F6D-945B-84092D6735D3}">
      <text>
        <r>
          <rPr>
            <b/>
            <sz val="9"/>
            <color indexed="81"/>
            <rFont val="Tahoma"/>
            <family val="2"/>
          </rPr>
          <t>Author:</t>
        </r>
        <r>
          <rPr>
            <sz val="9"/>
            <color indexed="81"/>
            <rFont val="Tahoma"/>
            <family val="2"/>
          </rPr>
          <t xml:space="preserve">
F3Q23: -$250 mn</t>
        </r>
      </text>
    </comment>
    <comment ref="DJ18" authorId="0" shapeId="0" xr:uid="{FE3890FD-2174-4207-9A1A-E224CEF99733}">
      <text>
        <r>
          <rPr>
            <b/>
            <sz val="9"/>
            <color indexed="81"/>
            <rFont val="Tahoma"/>
            <family val="2"/>
          </rPr>
          <t>Author:</t>
        </r>
        <r>
          <rPr>
            <sz val="9"/>
            <color indexed="81"/>
            <rFont val="Tahoma"/>
            <family val="2"/>
          </rPr>
          <t xml:space="preserve">
F4Q23: -$200 mn </t>
        </r>
      </text>
    </comment>
    <comment ref="DK18" authorId="5" shapeId="0" xr:uid="{1BD57E86-B953-4092-A0B4-DCDF860FAF0A}">
      <text>
        <r>
          <rPr>
            <b/>
            <sz val="9"/>
            <color indexed="81"/>
            <rFont val="Tahoma"/>
            <family val="2"/>
          </rPr>
          <t>Author:</t>
        </r>
        <r>
          <rPr>
            <sz val="9"/>
            <color indexed="81"/>
            <rFont val="Tahoma"/>
            <family val="2"/>
          </rPr>
          <t xml:space="preserve">
F1Q24: $50 mn </t>
        </r>
      </text>
    </comment>
    <comment ref="DL18" authorId="0" shapeId="0" xr:uid="{7617D920-131C-4CB0-9592-D39F9493FA1F}">
      <text>
        <r>
          <rPr>
            <b/>
            <sz val="9"/>
            <color indexed="81"/>
            <rFont val="Tahoma"/>
            <family val="2"/>
          </rPr>
          <t>Author:</t>
        </r>
        <r>
          <rPr>
            <sz val="9"/>
            <color indexed="81"/>
            <rFont val="Tahoma"/>
            <family val="2"/>
          </rPr>
          <t xml:space="preserve">
F2Q24: $50 mn</t>
        </r>
      </text>
    </comment>
    <comment ref="DM18" authorId="5" shapeId="0" xr:uid="{CA30AB1C-4153-49FD-BB7B-6C76878763A6}">
      <text>
        <r>
          <rPr>
            <b/>
            <sz val="9"/>
            <color indexed="81"/>
            <rFont val="Tahoma"/>
            <family val="2"/>
          </rPr>
          <t>Author:</t>
        </r>
        <r>
          <rPr>
            <sz val="9"/>
            <color indexed="81"/>
            <rFont val="Tahoma"/>
            <family val="2"/>
          </rPr>
          <t xml:space="preserve">
F4Q24: -$50 mn</t>
        </r>
      </text>
    </comment>
    <comment ref="DN18" authorId="0" shapeId="0" xr:uid="{BE0DED81-CA15-485E-9E71-3988545CF80D}">
      <text>
        <r>
          <rPr>
            <b/>
            <sz val="9"/>
            <color indexed="81"/>
            <rFont val="Tahoma"/>
            <family val="2"/>
          </rPr>
          <t>Author:</t>
        </r>
        <r>
          <rPr>
            <sz val="9"/>
            <color indexed="81"/>
            <rFont val="Tahoma"/>
            <family val="2"/>
          </rPr>
          <t xml:space="preserve">
F4Q24: -$250 mn </t>
        </r>
      </text>
    </comment>
    <comment ref="DO18" authorId="5" shapeId="0" xr:uid="{7BF18CC9-9982-4679-803A-9514722E733C}">
      <text>
        <r>
          <rPr>
            <b/>
            <sz val="9"/>
            <color indexed="81"/>
            <rFont val="Tahoma"/>
            <family val="2"/>
          </rPr>
          <t>Author:</t>
        </r>
        <r>
          <rPr>
            <sz val="9"/>
            <color indexed="81"/>
            <rFont val="Tahoma"/>
            <family val="2"/>
          </rPr>
          <t xml:space="preserve">
F1Q25: -$300</t>
        </r>
      </text>
    </comment>
    <comment ref="DP18" authorId="5" shapeId="0" xr:uid="{86C5996F-1F55-4DB0-B8C4-994810C1F0EE}">
      <text>
        <r>
          <rPr>
            <b/>
            <sz val="9"/>
            <color indexed="81"/>
            <rFont val="Tahoma"/>
            <family val="2"/>
          </rPr>
          <t>Author:</t>
        </r>
        <r>
          <rPr>
            <sz val="9"/>
            <color indexed="81"/>
            <rFont val="Tahoma"/>
            <family val="2"/>
          </rPr>
          <t xml:space="preserve">
F3Q25: $300 mn headwind</t>
        </r>
      </text>
    </comment>
    <comment ref="DQ18" authorId="5" shapeId="0" xr:uid="{A570B61F-DBB9-4E51-AE0F-5E7FE91E0F71}">
      <text>
        <r>
          <rPr>
            <b/>
            <sz val="9"/>
            <color indexed="81"/>
            <rFont val="Tahoma"/>
            <family val="2"/>
          </rPr>
          <t>Author:</t>
        </r>
        <r>
          <rPr>
            <sz val="9"/>
            <color indexed="81"/>
            <rFont val="Tahoma"/>
            <family val="2"/>
          </rPr>
          <t xml:space="preserve">
F3Q25: -$25 mn headwind</t>
        </r>
      </text>
    </comment>
    <comment ref="DJ19" authorId="0" shapeId="0" xr:uid="{B1077DB7-85A7-433E-8D1F-13036D44111C}">
      <text>
        <r>
          <rPr>
            <b/>
            <sz val="9"/>
            <color indexed="81"/>
            <rFont val="Tahoma"/>
            <family val="2"/>
          </rPr>
          <t>Author:</t>
        </r>
        <r>
          <rPr>
            <sz val="9"/>
            <color indexed="81"/>
            <rFont val="Tahoma"/>
            <family val="2"/>
          </rPr>
          <t xml:space="preserve">
Did not disclose details in 10-Q of Other Income breakout</t>
        </r>
      </text>
    </comment>
    <comment ref="DE20" authorId="0" shapeId="0" xr:uid="{42C32902-4E0E-4003-9B18-CC3566A7AF58}">
      <text>
        <r>
          <rPr>
            <b/>
            <sz val="9"/>
            <color indexed="81"/>
            <rFont val="Tahoma"/>
            <family val="2"/>
          </rPr>
          <t>Author:</t>
        </r>
        <r>
          <rPr>
            <sz val="9"/>
            <color indexed="81"/>
            <rFont val="Tahoma"/>
            <family val="2"/>
          </rPr>
          <t xml:space="preserve">
10-K: higher losses on debt securities and fair value adjustments on equity securities. </t>
        </r>
      </text>
    </comment>
    <comment ref="A22" authorId="3" shapeId="0" xr:uid="{00000000-0006-0000-0500-00002A000000}">
      <text>
        <r>
          <rPr>
            <b/>
            <sz val="9"/>
            <color indexed="81"/>
            <rFont val="Tahoma"/>
            <family val="2"/>
          </rPr>
          <t>Author:</t>
        </r>
        <r>
          <rPr>
            <sz val="9"/>
            <color indexed="81"/>
            <rFont val="Tahoma"/>
            <family val="2"/>
          </rPr>
          <t xml:space="preserve">
estimate until 10-K</t>
        </r>
      </text>
    </comment>
    <comment ref="DB25" authorId="0" shapeId="0" xr:uid="{6B5823A2-1130-4F77-95E3-30C27B8B8E13}">
      <text>
        <r>
          <rPr>
            <b/>
            <sz val="9"/>
            <color indexed="81"/>
            <rFont val="Tahoma"/>
            <family val="2"/>
          </rPr>
          <t>Author:</t>
        </r>
        <r>
          <rPr>
            <sz val="9"/>
            <color indexed="81"/>
            <rFont val="Tahoma"/>
            <family val="2"/>
          </rPr>
          <t xml:space="preserve">
F4Q21: 16% </t>
        </r>
      </text>
    </comment>
    <comment ref="DE25" authorId="0" shapeId="0" xr:uid="{C428C8BF-C978-4F92-95A0-4EBA9CA3D83C}">
      <text>
        <r>
          <rPr>
            <b/>
            <sz val="9"/>
            <color indexed="81"/>
            <rFont val="Tahoma"/>
            <family val="2"/>
          </rPr>
          <t>Author:</t>
        </r>
        <r>
          <rPr>
            <sz val="9"/>
            <color indexed="81"/>
            <rFont val="Tahoma"/>
            <family val="2"/>
          </rPr>
          <t xml:space="preserve">
F3Q22: taxes 16%</t>
        </r>
      </text>
    </comment>
    <comment ref="DF25" authorId="0" shapeId="0" xr:uid="{71B8094F-AB95-4FA8-A0EB-7DA324514BC6}">
      <text>
        <r>
          <rPr>
            <b/>
            <sz val="9"/>
            <color indexed="81"/>
            <rFont val="Tahoma"/>
            <family val="2"/>
          </rPr>
          <t>Author:</t>
        </r>
        <r>
          <rPr>
            <sz val="9"/>
            <color indexed="81"/>
            <rFont val="Tahoma"/>
            <family val="2"/>
          </rPr>
          <t xml:space="preserve">
F4q22: 16.5%</t>
        </r>
      </text>
    </comment>
    <comment ref="DG25" authorId="0" shapeId="0" xr:uid="{14250B6F-B397-464E-8657-C336F0FDC6CA}">
      <text>
        <r>
          <rPr>
            <b/>
            <sz val="9"/>
            <color indexed="81"/>
            <rFont val="Tahoma"/>
            <family val="2"/>
          </rPr>
          <t>Author:</t>
        </r>
        <r>
          <rPr>
            <sz val="9"/>
            <color indexed="81"/>
            <rFont val="Tahoma"/>
            <family val="2"/>
          </rPr>
          <t xml:space="preserve">
F1Q23: 16%
Assume 1% excise tax on net buybacks</t>
        </r>
      </text>
    </comment>
    <comment ref="DH25" authorId="0" shapeId="0" xr:uid="{EB1D5415-B2D4-4D3B-A44E-48643D33FAA5}">
      <text>
        <r>
          <rPr>
            <b/>
            <sz val="9"/>
            <color indexed="81"/>
            <rFont val="Tahoma"/>
            <family val="2"/>
          </rPr>
          <t>Author:</t>
        </r>
        <r>
          <rPr>
            <sz val="9"/>
            <color indexed="81"/>
            <rFont val="Tahoma"/>
            <family val="2"/>
          </rPr>
          <t xml:space="preserve">
F2Q23: 16% </t>
        </r>
      </text>
    </comment>
    <comment ref="DI25" authorId="0" shapeId="0" xr:uid="{AF31CAC3-D643-4549-A406-E3906046473A}">
      <text>
        <r>
          <rPr>
            <b/>
            <sz val="9"/>
            <color indexed="81"/>
            <rFont val="Tahoma"/>
            <family val="2"/>
          </rPr>
          <t>Author:</t>
        </r>
        <r>
          <rPr>
            <sz val="9"/>
            <color indexed="81"/>
            <rFont val="Tahoma"/>
            <family val="2"/>
          </rPr>
          <t xml:space="preserve">
F3Q23: 16% tax rate</t>
        </r>
      </text>
    </comment>
    <comment ref="DJ25" authorId="0" shapeId="0" xr:uid="{28F1D27B-052B-4AA0-9C00-9E89EDF7A130}">
      <text>
        <r>
          <rPr>
            <b/>
            <sz val="9"/>
            <color indexed="81"/>
            <rFont val="Tahoma"/>
            <family val="2"/>
          </rPr>
          <t>Author:</t>
        </r>
        <r>
          <rPr>
            <sz val="9"/>
            <color indexed="81"/>
            <rFont val="Tahoma"/>
            <family val="2"/>
          </rPr>
          <t xml:space="preserve">
F4Q23: tax rate 16% </t>
        </r>
      </text>
    </comment>
    <comment ref="DK25" authorId="5" shapeId="0" xr:uid="{13B31127-F223-4073-9CA1-7123E93F947E}">
      <text>
        <r>
          <rPr>
            <b/>
            <sz val="9"/>
            <color indexed="81"/>
            <rFont val="Tahoma"/>
            <family val="2"/>
          </rPr>
          <t>Author:</t>
        </r>
        <r>
          <rPr>
            <sz val="9"/>
            <color indexed="81"/>
            <rFont val="Tahoma"/>
            <family val="2"/>
          </rPr>
          <t xml:space="preserve">
F1Q24: 16%</t>
        </r>
      </text>
    </comment>
    <comment ref="DL25" authorId="0" shapeId="0" xr:uid="{6369DCD2-314B-4ED6-8A69-4D2670A81FFA}">
      <text>
        <r>
          <rPr>
            <b/>
            <sz val="9"/>
            <color indexed="81"/>
            <rFont val="Tahoma"/>
            <family val="2"/>
          </rPr>
          <t>Author:</t>
        </r>
        <r>
          <rPr>
            <sz val="9"/>
            <color indexed="81"/>
            <rFont val="Tahoma"/>
            <family val="2"/>
          </rPr>
          <t xml:space="preserve">
F2Q24: 16% tax rate</t>
        </r>
      </text>
    </comment>
    <comment ref="DM25" authorId="5" shapeId="0" xr:uid="{EDF2DD3A-A052-4184-A1D7-124CF995D1CC}">
      <text>
        <r>
          <rPr>
            <b/>
            <sz val="9"/>
            <color indexed="81"/>
            <rFont val="Tahoma"/>
            <family val="2"/>
          </rPr>
          <t>Author:</t>
        </r>
        <r>
          <rPr>
            <sz val="9"/>
            <color indexed="81"/>
            <rFont val="Tahoma"/>
            <family val="2"/>
          </rPr>
          <t xml:space="preserve">
F3Q24: 16.5%</t>
        </r>
      </text>
    </comment>
    <comment ref="DN25" authorId="0" shapeId="0" xr:uid="{C308AB28-723E-41BC-BBD7-67E4D0C12790}">
      <text>
        <r>
          <rPr>
            <b/>
            <sz val="9"/>
            <color indexed="81"/>
            <rFont val="Tahoma"/>
            <family val="2"/>
          </rPr>
          <t>Author:</t>
        </r>
        <r>
          <rPr>
            <sz val="9"/>
            <color indexed="81"/>
            <rFont val="Tahoma"/>
            <family val="2"/>
          </rPr>
          <t xml:space="preserve">
F4Q24: 16% </t>
        </r>
      </text>
    </comment>
    <comment ref="DO25" authorId="5" shapeId="0" xr:uid="{627C6C80-3A0A-4B4D-978D-269CC9A98F3D}">
      <text>
        <r>
          <rPr>
            <b/>
            <sz val="9"/>
            <color indexed="81"/>
            <rFont val="Tahoma"/>
            <family val="2"/>
          </rPr>
          <t>Author:</t>
        </r>
        <r>
          <rPr>
            <sz val="9"/>
            <color indexed="81"/>
            <rFont val="Tahoma"/>
            <family val="2"/>
          </rPr>
          <t xml:space="preserve">
F1Q25: 16%</t>
        </r>
      </text>
    </comment>
    <comment ref="DP25" authorId="5" shapeId="0" xr:uid="{F7203E71-D761-4BF9-B9B1-E8023FE73AB2}">
      <text>
        <r>
          <rPr>
            <b/>
            <sz val="9"/>
            <color indexed="81"/>
            <rFont val="Tahoma"/>
            <family val="2"/>
          </rPr>
          <t>Author:</t>
        </r>
        <r>
          <rPr>
            <sz val="9"/>
            <color indexed="81"/>
            <rFont val="Tahoma"/>
            <family val="2"/>
          </rPr>
          <t xml:space="preserve">
F2Q25: 16%</t>
        </r>
      </text>
    </comment>
    <comment ref="DQ25" authorId="5" shapeId="0" xr:uid="{133887DB-7D0F-4458-AEC3-B992C082B99B}">
      <text>
        <r>
          <rPr>
            <b/>
            <sz val="9"/>
            <color indexed="81"/>
            <rFont val="Tahoma"/>
            <family val="2"/>
          </rPr>
          <t>Author:</t>
        </r>
        <r>
          <rPr>
            <sz val="9"/>
            <color indexed="81"/>
            <rFont val="Tahoma"/>
            <family val="2"/>
          </rPr>
          <t xml:space="preserve">
F3Q25: 17%</t>
        </r>
      </text>
    </comment>
    <comment ref="FP32" authorId="0" shapeId="0" xr:uid="{BA17F247-4CC6-4FCC-AABC-FC40A9418F14}">
      <text>
        <r>
          <rPr>
            <b/>
            <sz val="9"/>
            <color indexed="81"/>
            <rFont val="Tahoma"/>
            <family val="2"/>
          </rPr>
          <t>Author:</t>
        </r>
        <r>
          <rPr>
            <sz val="9"/>
            <color indexed="81"/>
            <rFont val="Tahoma"/>
            <family val="2"/>
          </rPr>
          <t xml:space="preserve">
2/2/2024: bears will say 20-25X $7.5 = $140-$190
1/2024: bull-case is $7.30 * 30X </t>
        </r>
      </text>
    </comment>
    <comment ref="FQ32" authorId="0" shapeId="0" xr:uid="{C02D3EDD-6D14-4424-9918-1927337DAB09}">
      <text>
        <r>
          <rPr>
            <b/>
            <sz val="9"/>
            <color indexed="81"/>
            <rFont val="Tahoma"/>
            <family val="2"/>
          </rPr>
          <t>Author:</t>
        </r>
        <r>
          <rPr>
            <sz val="9"/>
            <color indexed="81"/>
            <rFont val="Tahoma"/>
            <family val="2"/>
          </rPr>
          <t xml:space="preserve">
Bull case of $8.50-$9.00 * 30X = $255-$270</t>
        </r>
      </text>
    </comment>
    <comment ref="A33" authorId="6" shapeId="0" xr:uid="{00000000-0006-0000-0500-00002B000000}">
      <text>
        <r>
          <rPr>
            <b/>
            <sz val="9"/>
            <color indexed="81"/>
            <rFont val="Tahoma"/>
            <family val="2"/>
          </rPr>
          <t>Author:</t>
        </r>
        <r>
          <rPr>
            <sz val="9"/>
            <color indexed="81"/>
            <rFont val="Tahoma"/>
            <family val="2"/>
          </rPr>
          <t xml:space="preserve">
historicals as in Person1223 Person1055 model</t>
        </r>
      </text>
    </comment>
    <comment ref="CB34" authorId="1" shapeId="0" xr:uid="{00000000-0006-0000-0500-00002C000000}">
      <text>
        <r>
          <rPr>
            <b/>
            <sz val="9"/>
            <color indexed="81"/>
            <rFont val="Tahoma"/>
            <family val="2"/>
          </rPr>
          <t>Author:</t>
        </r>
        <r>
          <rPr>
            <sz val="9"/>
            <color indexed="81"/>
            <rFont val="Tahoma"/>
            <family val="2"/>
          </rPr>
          <t xml:space="preserve">
Assuming repurchase at $125/share</t>
        </r>
      </text>
    </comment>
    <comment ref="CV34" authorId="0" shapeId="0" xr:uid="{F28C9252-A39D-4E63-A034-1A0C7FB8E5DA}">
      <text>
        <r>
          <rPr>
            <b/>
            <sz val="9"/>
            <color indexed="81"/>
            <rFont val="Tahoma"/>
            <family val="2"/>
          </rPr>
          <t>Author:</t>
        </r>
        <r>
          <rPr>
            <sz val="9"/>
            <color indexed="81"/>
            <rFont val="Tahoma"/>
            <family val="2"/>
          </rPr>
          <t xml:space="preserve">
F3Q20: 4 for 1 stock split. </t>
        </r>
      </text>
    </comment>
    <comment ref="DJ34" authorId="0" shapeId="0" xr:uid="{55F66F6F-770B-4EED-A7AD-C62491FD8430}">
      <text>
        <r>
          <rPr>
            <b/>
            <sz val="9"/>
            <color indexed="81"/>
            <rFont val="Tahoma"/>
            <family val="2"/>
          </rPr>
          <t>Author:</t>
        </r>
        <r>
          <rPr>
            <sz val="9"/>
            <color indexed="81"/>
            <rFont val="Tahoma"/>
            <family val="2"/>
          </rPr>
          <t xml:space="preserve">
Company0381 owns 5.9% stake in Ticker0001 after selling 1% of its shares (not 1% of Ticker0001 shares outstanding), per 14F which is filed 45 days after quarter-end</t>
        </r>
      </text>
    </comment>
    <comment ref="DK34" authorId="0" shapeId="0" xr:uid="{199304C0-3DE2-43BD-AABC-9B2B12FF4148}">
      <text>
        <r>
          <rPr>
            <b/>
            <sz val="9"/>
            <color indexed="81"/>
            <rFont val="Tahoma"/>
            <family val="2"/>
          </rPr>
          <t>Author:</t>
        </r>
        <r>
          <rPr>
            <sz val="9"/>
            <color indexed="81"/>
            <rFont val="Tahoma"/>
            <family val="2"/>
          </rPr>
          <t xml:space="preserve">
Company0381 earnings (5/4) 13% drop in investment in AAPl to $135.4 bn, around 790 shares. </t>
        </r>
      </text>
    </comment>
    <comment ref="DG35" authorId="0" shapeId="0" xr:uid="{B8542D4D-1F95-418F-ADA7-7717FED84535}">
      <text>
        <r>
          <rPr>
            <b/>
            <sz val="9"/>
            <color indexed="81"/>
            <rFont val="Tahoma"/>
            <family val="2"/>
          </rPr>
          <t>Author:</t>
        </r>
        <r>
          <rPr>
            <sz val="9"/>
            <color indexed="81"/>
            <rFont val="Tahoma"/>
            <family val="2"/>
          </rPr>
          <t xml:space="preserve">
$0.23 payaable 2/16</t>
        </r>
      </text>
    </comment>
    <comment ref="DH35" authorId="0" shapeId="0" xr:uid="{04E0CF9B-1014-4DDF-B0C5-7A5814582B1A}">
      <text>
        <r>
          <rPr>
            <b/>
            <sz val="9"/>
            <color indexed="81"/>
            <rFont val="Tahoma"/>
            <family val="2"/>
          </rPr>
          <t>Author:</t>
        </r>
        <r>
          <rPr>
            <sz val="9"/>
            <color indexed="81"/>
            <rFont val="Tahoma"/>
            <family val="2"/>
          </rPr>
          <t xml:space="preserve">
F2Q23: $0.24 </t>
        </r>
      </text>
    </comment>
    <comment ref="DL35" authorId="0" shapeId="0" xr:uid="{8D701FB7-63E4-4E95-9A2A-2EAA75090A96}">
      <text>
        <r>
          <rPr>
            <b/>
            <sz val="9"/>
            <color indexed="81"/>
            <rFont val="Tahoma"/>
            <family val="2"/>
          </rPr>
          <t>Author:</t>
        </r>
        <r>
          <rPr>
            <sz val="9"/>
            <color indexed="81"/>
            <rFont val="Tahoma"/>
            <family val="2"/>
          </rPr>
          <t xml:space="preserve">
$0.25 declared May 2 for May 13 record and May 16 payable</t>
        </r>
      </text>
    </comment>
    <comment ref="DP35" authorId="0" shapeId="0" xr:uid="{C86E098D-B699-4A59-91E8-AEF763222762}">
      <text>
        <r>
          <rPr>
            <b/>
            <sz val="9"/>
            <color indexed="81"/>
            <rFont val="Tahoma"/>
            <family val="2"/>
          </rPr>
          <t>Author:</t>
        </r>
        <r>
          <rPr>
            <sz val="9"/>
            <color indexed="81"/>
            <rFont val="Tahoma"/>
            <family val="2"/>
          </rPr>
          <t xml:space="preserve">
$0.26 +4% yoy </t>
        </r>
      </text>
    </comment>
    <comment ref="CV39" authorId="0" shapeId="0" xr:uid="{B887EAC0-A078-4FF4-A162-4707EFE374CC}">
      <text>
        <r>
          <rPr>
            <b/>
            <sz val="9"/>
            <color indexed="81"/>
            <rFont val="Tahoma"/>
            <family val="2"/>
          </rPr>
          <t>Author:</t>
        </r>
        <r>
          <rPr>
            <sz val="9"/>
            <color indexed="81"/>
            <rFont val="Tahoma"/>
            <family val="2"/>
          </rPr>
          <t xml:space="preserve">
F2Q20: consensus estimaes were for -5% yoy and -3% in 4Q</t>
        </r>
      </text>
    </comment>
    <comment ref="CY39" authorId="0" shapeId="0" xr:uid="{DC721950-A28A-4655-8907-4E3A8C1E755D}">
      <text>
        <r>
          <rPr>
            <b/>
            <sz val="9"/>
            <color indexed="81"/>
            <rFont val="Tahoma"/>
            <family val="2"/>
          </rPr>
          <t>Author:</t>
        </r>
        <r>
          <rPr>
            <sz val="9"/>
            <color indexed="81"/>
            <rFont val="Tahoma"/>
            <family val="2"/>
          </rPr>
          <t xml:space="preserve">
F1Q21: no guidance but said F2Q yoy growth should accelerate. </t>
        </r>
      </text>
    </comment>
    <comment ref="DA39" authorId="0" shapeId="0" xr:uid="{C4F42D69-20D4-4644-8B87-CEED38689243}">
      <text>
        <r>
          <rPr>
            <b/>
            <sz val="9"/>
            <color indexed="81"/>
            <rFont val="Tahoma"/>
            <family val="2"/>
          </rPr>
          <t>Author:</t>
        </r>
        <r>
          <rPr>
            <sz val="9"/>
            <color indexed="81"/>
            <rFont val="Tahoma"/>
            <family val="2"/>
          </rPr>
          <t xml:space="preserve">
F3Q21: yoy growth should slow qoq: (1) forex growth benefit will be 3pp lower v. F3Q21; (2) sevices growth rate to normalize; (3) F3Q21 benefited from easycomps; and (4) supply constraints in F4Q to be higher than F3Q. </t>
        </r>
      </text>
    </comment>
    <comment ref="DB39" authorId="0" shapeId="0" xr:uid="{00C8F398-E7B1-47CB-9465-32C68A3BB40C}">
      <text>
        <r>
          <rPr>
            <b/>
            <sz val="9"/>
            <color indexed="81"/>
            <rFont val="Tahoma"/>
            <family val="2"/>
          </rPr>
          <t>Author:</t>
        </r>
        <r>
          <rPr>
            <sz val="9"/>
            <color indexed="81"/>
            <rFont val="Tahoma"/>
            <family val="2"/>
          </rPr>
          <t xml:space="preserve">
Company0527 10/28/2021: Expects solid yoy revenue growth in C4Q despite supply chain constraints</t>
        </r>
      </text>
    </comment>
    <comment ref="DC39" authorId="4" shapeId="0" xr:uid="{B5065D37-62EA-44F5-82A2-FDA3174EC62E}">
      <text>
        <r>
          <rPr>
            <b/>
            <sz val="9"/>
            <color indexed="81"/>
            <rFont val="Tahoma"/>
            <family val="2"/>
          </rPr>
          <t>Author:</t>
        </r>
        <r>
          <rPr>
            <sz val="9"/>
            <color indexed="81"/>
            <rFont val="Tahoma"/>
            <family val="2"/>
          </rPr>
          <t xml:space="preserve">
1Q22: yoy growth to slow in 2Q vs. 1Q due to less favorable FX &amp; product launch rates, despite less supply constraints in 2Q v. 1Q</t>
        </r>
      </text>
    </comment>
    <comment ref="DE39" authorId="0" shapeId="0" xr:uid="{0750F82C-0FA4-4C5A-8B55-679D9546630A}">
      <text>
        <r>
          <rPr>
            <b/>
            <sz val="9"/>
            <color indexed="81"/>
            <rFont val="Tahoma"/>
            <family val="2"/>
          </rPr>
          <t>Author:</t>
        </r>
        <r>
          <rPr>
            <sz val="9"/>
            <color indexed="81"/>
            <rFont val="Tahoma"/>
            <family val="2"/>
          </rPr>
          <t xml:space="preserve">
F3Q22: F4Q revenue growth will acceerate v. F3Q despite 600 bps of FX headwinds</t>
        </r>
      </text>
    </comment>
    <comment ref="DF39" authorId="0" shapeId="0" xr:uid="{97F6A76E-1374-46F7-8B17-009AEF841FE1}">
      <text>
        <r>
          <rPr>
            <b/>
            <sz val="9"/>
            <color indexed="81"/>
            <rFont val="Tahoma"/>
            <family val="2"/>
          </rPr>
          <t>Author:</t>
        </r>
        <r>
          <rPr>
            <sz val="9"/>
            <color indexed="81"/>
            <rFont val="Tahoma"/>
            <family val="2"/>
          </rPr>
          <t xml:space="preserve">
F4Q22: decelerate v. 8% yoy in 4Q22
10 pp headwind from forex
on Mac, in addition to FX, challenging comps due to channel fill of redesigned Product0235 Pro with M1. 
</t>
        </r>
        <r>
          <rPr>
            <b/>
            <sz val="9"/>
            <color indexed="81"/>
            <rFont val="Tahoma"/>
            <family val="2"/>
          </rPr>
          <t xml:space="preserve">Mac </t>
        </r>
        <r>
          <rPr>
            <sz val="9"/>
            <color indexed="81"/>
            <rFont val="Tahoma"/>
            <family val="2"/>
          </rPr>
          <t xml:space="preserve">revenue will decline substantially.
</t>
        </r>
        <r>
          <rPr>
            <b/>
            <sz val="9"/>
            <color indexed="81"/>
            <rFont val="Tahoma"/>
            <family val="2"/>
          </rPr>
          <t xml:space="preserve">SERVICES </t>
        </r>
        <r>
          <rPr>
            <sz val="9"/>
            <color indexed="81"/>
            <rFont val="Tahoma"/>
            <family val="2"/>
          </rPr>
          <t xml:space="preserve">will grow but ads, gaming, forex to be weak.
</t>
        </r>
      </text>
    </comment>
    <comment ref="DG39" authorId="5" shapeId="0" xr:uid="{3DB34CA6-0973-4D95-90A3-5EE10C246187}">
      <text>
        <r>
          <rPr>
            <b/>
            <sz val="9"/>
            <color indexed="81"/>
            <rFont val="Tahoma"/>
            <family val="2"/>
          </rPr>
          <t>Author:</t>
        </r>
        <r>
          <rPr>
            <sz val="9"/>
            <color indexed="81"/>
            <rFont val="Tahoma"/>
            <family val="2"/>
          </rPr>
          <t xml:space="preserve">
F1Q23: revenue y/y similar to 1Q23 (even though december has an extra week); 5 pp headwind from FX
- mark acceleration underlying basis </t>
        </r>
      </text>
    </comment>
    <comment ref="DH39" authorId="0" shapeId="0" xr:uid="{B6015BB5-ED4A-4F7C-8D86-9091A89B5141}">
      <text>
        <r>
          <rPr>
            <b/>
            <sz val="9"/>
            <color indexed="81"/>
            <rFont val="Tahoma"/>
            <family val="2"/>
          </rPr>
          <t>Author:</t>
        </r>
        <r>
          <rPr>
            <sz val="9"/>
            <color indexed="81"/>
            <rFont val="Tahoma"/>
            <family val="2"/>
          </rPr>
          <t xml:space="preserve">
F2Q23: revenue similar to F2Q23 (-3% yoy)</t>
        </r>
      </text>
    </comment>
    <comment ref="DI39" authorId="0" shapeId="0" xr:uid="{17FCA58D-3F28-460B-BFAB-BC3F895DCBDF}">
      <text>
        <r>
          <rPr>
            <b/>
            <sz val="9"/>
            <color indexed="81"/>
            <rFont val="Tahoma"/>
            <family val="2"/>
          </rPr>
          <t>Author:</t>
        </r>
        <r>
          <rPr>
            <sz val="9"/>
            <color indexed="81"/>
            <rFont val="Tahoma"/>
            <family val="2"/>
          </rPr>
          <t xml:space="preserve">
F3Q23: Similar to F3Q23 revenue performance (-1% yoy or impleid $89.24 bn</t>
        </r>
      </text>
    </comment>
    <comment ref="DJ39" authorId="0" shapeId="0" xr:uid="{63291E4C-1CFA-475B-8962-1C3CD20D9E17}">
      <text>
        <r>
          <rPr>
            <b/>
            <sz val="9"/>
            <color indexed="81"/>
            <rFont val="Tahoma"/>
            <family val="2"/>
          </rPr>
          <t>Author:</t>
        </r>
        <r>
          <rPr>
            <sz val="9"/>
            <color indexed="81"/>
            <rFont val="Tahoma"/>
            <family val="2"/>
          </rPr>
          <t xml:space="preserve">
F4Q23: flat yoy </t>
        </r>
      </text>
    </comment>
    <comment ref="DM39" authorId="5" shapeId="0" xr:uid="{A08398F9-7135-4CFB-8FAE-9BC5F7EDB986}">
      <text>
        <r>
          <rPr>
            <b/>
            <sz val="9"/>
            <color indexed="81"/>
            <rFont val="Tahoma"/>
            <family val="2"/>
          </rPr>
          <t>Author:</t>
        </r>
        <r>
          <rPr>
            <sz val="9"/>
            <color indexed="81"/>
            <rFont val="Tahoma"/>
            <family val="2"/>
          </rPr>
          <t xml:space="preserve">
F3Q24: revenue to grow in line with june quarter (5%)</t>
        </r>
      </text>
    </comment>
    <comment ref="DO39" authorId="5" shapeId="0" xr:uid="{DF8C1AF6-114C-4E90-88A0-212923264108}">
      <text>
        <r>
          <rPr>
            <b/>
            <sz val="9"/>
            <color indexed="81"/>
            <rFont val="Tahoma"/>
            <family val="2"/>
          </rPr>
          <t>Author:</t>
        </r>
        <r>
          <rPr>
            <sz val="9"/>
            <color indexed="81"/>
            <rFont val="Tahoma"/>
            <family val="2"/>
          </rPr>
          <t xml:space="preserve">
F2Q25: low to mid single digits</t>
        </r>
      </text>
    </comment>
    <comment ref="DP39" authorId="5" shapeId="0" xr:uid="{14B60AFB-0764-4A08-AE66-543F9F081210}">
      <text>
        <r>
          <rPr>
            <b/>
            <sz val="9"/>
            <color indexed="81"/>
            <rFont val="Tahoma"/>
            <family val="2"/>
          </rPr>
          <t>Author:</t>
        </r>
        <r>
          <rPr>
            <sz val="9"/>
            <color indexed="81"/>
            <rFont val="Tahoma"/>
            <family val="2"/>
          </rPr>
          <t xml:space="preserve">
F2Q25: LSD% to MSD%</t>
        </r>
      </text>
    </comment>
    <comment ref="DQ39" authorId="5" shapeId="0" xr:uid="{EBA7F557-A5AC-442F-BE8C-13CE73F7B5A7}">
      <text>
        <r>
          <rPr>
            <b/>
            <sz val="9"/>
            <color indexed="81"/>
            <rFont val="Tahoma"/>
            <family val="2"/>
          </rPr>
          <t>Author:</t>
        </r>
        <r>
          <rPr>
            <sz val="9"/>
            <color indexed="81"/>
            <rFont val="Tahoma"/>
            <family val="2"/>
          </rPr>
          <t xml:space="preserve">
F3Q25: MSD-HSD%</t>
        </r>
      </text>
    </comment>
    <comment ref="FN39" authorId="0" shapeId="0" xr:uid="{A951E247-E1AF-4BE2-85FA-D10E224ED989}">
      <text>
        <r>
          <rPr>
            <b/>
            <sz val="9"/>
            <color indexed="81"/>
            <rFont val="Tahoma"/>
            <family val="2"/>
          </rPr>
          <t>Author:</t>
        </r>
        <r>
          <rPr>
            <sz val="9"/>
            <color indexed="81"/>
            <rFont val="Tahoma"/>
            <family val="2"/>
          </rPr>
          <t xml:space="preserve">
F4Q23: positive on constant currency</t>
        </r>
      </text>
    </comment>
    <comment ref="CB62" authorId="1" shapeId="0" xr:uid="{DAA079D3-A019-4F6B-BE5F-50F98F41A189}">
      <text>
        <r>
          <rPr>
            <b/>
            <sz val="9"/>
            <color indexed="81"/>
            <rFont val="Tahoma"/>
            <family val="2"/>
          </rPr>
          <t>Author:</t>
        </r>
        <r>
          <rPr>
            <sz val="9"/>
            <color indexed="81"/>
            <rFont val="Tahoma"/>
            <family val="2"/>
          </rPr>
          <t xml:space="preserve">
Guidance 38.5-39.5%</t>
        </r>
      </text>
    </comment>
    <comment ref="CC62" authorId="1" shapeId="0" xr:uid="{13A6FE00-4111-4803-A431-F416CD66B9BE}">
      <text>
        <r>
          <rPr>
            <b/>
            <sz val="9"/>
            <color indexed="81"/>
            <rFont val="Tahoma"/>
            <family val="2"/>
          </rPr>
          <t>Author:</t>
        </r>
        <r>
          <rPr>
            <sz val="9"/>
            <color indexed="81"/>
            <rFont val="Tahoma"/>
            <family val="2"/>
          </rPr>
          <t xml:space="preserve">
7/21/15: 38.5-39.5%
down 20-120bps qoq, impacted by FX, mix and transition costs</t>
        </r>
      </text>
    </comment>
    <comment ref="CD62" authorId="2" shapeId="0" xr:uid="{1C965CE7-8241-4D8C-BECA-59308FAFE017}">
      <text>
        <r>
          <rPr>
            <b/>
            <sz val="9"/>
            <color indexed="81"/>
            <rFont val="Tahoma"/>
            <family val="2"/>
          </rPr>
          <t>Author:</t>
        </r>
        <r>
          <rPr>
            <sz val="9"/>
            <color indexed="81"/>
            <rFont val="Tahoma"/>
            <family val="2"/>
          </rPr>
          <t xml:space="preserve">
10/27/15: 39-40%
40bps benefit from patent litigation settlement</t>
        </r>
      </text>
    </comment>
    <comment ref="CE62" authorId="2" shapeId="0" xr:uid="{1E6FC662-DCAA-4F4C-91A7-2A62F88F7617}">
      <text>
        <r>
          <rPr>
            <b/>
            <sz val="9"/>
            <color indexed="81"/>
            <rFont val="Tahoma"/>
            <family val="2"/>
          </rPr>
          <t>Author:</t>
        </r>
        <r>
          <rPr>
            <sz val="9"/>
            <color indexed="81"/>
            <rFont val="Tahoma"/>
            <family val="2"/>
          </rPr>
          <t xml:space="preserve">
1/26/16: 39-39.5%</t>
        </r>
      </text>
    </comment>
    <comment ref="CF62" authorId="2" shapeId="0" xr:uid="{E60BAE0A-681B-4449-916A-719845F13B5B}">
      <text>
        <r>
          <rPr>
            <b/>
            <sz val="9"/>
            <color indexed="81"/>
            <rFont val="Tahoma"/>
            <family val="2"/>
          </rPr>
          <t>Author:</t>
        </r>
        <r>
          <rPr>
            <sz val="9"/>
            <color indexed="81"/>
            <rFont val="Tahoma"/>
            <family val="2"/>
          </rPr>
          <t xml:space="preserve">
4/26/16: 37.5-38%</t>
        </r>
      </text>
    </comment>
    <comment ref="CG62" authorId="3" shapeId="0" xr:uid="{704819B7-E25B-4BAA-BB60-3CA152DC2FED}">
      <text>
        <r>
          <rPr>
            <b/>
            <sz val="9"/>
            <color indexed="81"/>
            <rFont val="Tahoma"/>
            <family val="2"/>
          </rPr>
          <t>Author:</t>
        </r>
        <r>
          <rPr>
            <sz val="9"/>
            <color indexed="81"/>
            <rFont val="Tahoma"/>
            <family val="2"/>
          </rPr>
          <t xml:space="preserve">
10/25/16: 290bps FX impact
7/26/16: 37.5-38.0% 
</t>
        </r>
      </text>
    </comment>
    <comment ref="CH62" authorId="3" shapeId="0" xr:uid="{AEAFC8FD-BDA2-4D92-B566-7A7ADDB41EFD}">
      <text>
        <r>
          <rPr>
            <b/>
            <sz val="9"/>
            <color indexed="81"/>
            <rFont val="Tahoma"/>
            <family val="2"/>
          </rPr>
          <t>Author:</t>
        </r>
        <r>
          <rPr>
            <sz val="9"/>
            <color indexed="81"/>
            <rFont val="Tahoma"/>
            <family val="2"/>
          </rPr>
          <t xml:space="preserve">
10/25/16: 38-38.5%, FX headwind of 60-70bps, patent infringement payment of $548mn headwind of 40bps</t>
        </r>
      </text>
    </comment>
    <comment ref="CI62" authorId="2" shapeId="0" xr:uid="{A25E7A60-434D-460F-B8EF-6591126DAE22}">
      <text>
        <r>
          <rPr>
            <b/>
            <sz val="9"/>
            <color indexed="81"/>
            <rFont val="Tahoma"/>
            <family val="2"/>
          </rPr>
          <t>Author:</t>
        </r>
        <r>
          <rPr>
            <sz val="9"/>
            <color indexed="81"/>
            <rFont val="Tahoma"/>
            <family val="2"/>
          </rPr>
          <t xml:space="preserve">
1/31/17: 38-39%
80bps qoq headwind from FX</t>
        </r>
      </text>
    </comment>
    <comment ref="CJ62" authorId="2" shapeId="0" xr:uid="{23303538-C630-4B17-9A47-3B18B8FE2EBF}">
      <text>
        <r>
          <rPr>
            <b/>
            <sz val="9"/>
            <color indexed="81"/>
            <rFont val="Tahoma"/>
            <family val="2"/>
          </rPr>
          <t>Author:</t>
        </r>
        <r>
          <rPr>
            <sz val="9"/>
            <color indexed="81"/>
            <rFont val="Tahoma"/>
            <family val="2"/>
          </rPr>
          <t xml:space="preserve">
5/2/17: 37.5-38.5%</t>
        </r>
      </text>
    </comment>
    <comment ref="CK62" authorId="7" shapeId="0" xr:uid="{282F60A6-2471-4E1C-AA09-43306BB1D301}">
      <text>
        <r>
          <rPr>
            <b/>
            <sz val="9"/>
            <color indexed="81"/>
            <rFont val="Tahoma"/>
            <family val="2"/>
          </rPr>
          <t>Author:</t>
        </r>
        <r>
          <rPr>
            <sz val="9"/>
            <color indexed="81"/>
            <rFont val="Tahoma"/>
            <family val="2"/>
          </rPr>
          <t xml:space="preserve">
FQ4'17 call: "the impact of memory on our gross margin is 40 bps sequentially and 110 bps on a year over year basis."</t>
        </r>
      </text>
    </comment>
    <comment ref="CO62" authorId="7" shapeId="0" xr:uid="{F96ADD3B-830F-468D-A658-39AD97811209}">
      <text>
        <r>
          <rPr>
            <b/>
            <sz val="9"/>
            <color indexed="81"/>
            <rFont val="Tahoma"/>
            <family val="2"/>
          </rPr>
          <t>Author:</t>
        </r>
        <r>
          <rPr>
            <sz val="9"/>
            <color indexed="81"/>
            <rFont val="Tahoma"/>
            <family val="2"/>
          </rPr>
          <t xml:space="preserve">
30bps headwind from FX in Sep'18 quarter because of dollar appreciation</t>
        </r>
      </text>
    </comment>
    <comment ref="CP62" authorId="4" shapeId="0" xr:uid="{5D6041D3-F6DB-4008-8B97-A5F8FBB3C586}">
      <text>
        <r>
          <rPr>
            <b/>
            <sz val="9"/>
            <color indexed="81"/>
            <rFont val="Tahoma"/>
            <family val="2"/>
          </rPr>
          <t>Author:</t>
        </r>
        <r>
          <rPr>
            <sz val="9"/>
            <color indexed="81"/>
            <rFont val="Tahoma"/>
            <family val="2"/>
          </rPr>
          <t xml:space="preserve">
4Q18: ~38% GP</t>
        </r>
      </text>
    </comment>
    <comment ref="CQ62" authorId="0" shapeId="0" xr:uid="{7B28470B-8EA7-46C0-AE11-AA9385C9EC43}">
      <text>
        <r>
          <rPr>
            <b/>
            <sz val="9"/>
            <color indexed="81"/>
            <rFont val="Tahoma"/>
            <family val="2"/>
          </rPr>
          <t>Author:</t>
        </r>
        <r>
          <rPr>
            <sz val="9"/>
            <color indexed="81"/>
            <rFont val="Tahoma"/>
            <family val="2"/>
          </rPr>
          <t xml:space="preserve">
F1Q19: 37-38%</t>
        </r>
      </text>
    </comment>
    <comment ref="CR62" authorId="0" shapeId="0" xr:uid="{9A3CC9B0-2C1D-484B-9347-2EF8441981FC}">
      <text>
        <r>
          <rPr>
            <b/>
            <sz val="9"/>
            <color indexed="81"/>
            <rFont val="Tahoma"/>
            <family val="2"/>
          </rPr>
          <t>Author:</t>
        </r>
        <r>
          <rPr>
            <sz val="9"/>
            <color indexed="81"/>
            <rFont val="Tahoma"/>
            <family val="2"/>
          </rPr>
          <t xml:space="preserve">
F2Q19: 37-38%</t>
        </r>
      </text>
    </comment>
    <comment ref="CS62" authorId="0" shapeId="0" xr:uid="{9A47ABE6-A4B5-4439-B487-7D0F8F4683B1}">
      <text>
        <r>
          <rPr>
            <b/>
            <sz val="9"/>
            <color indexed="81"/>
            <rFont val="Tahoma"/>
            <family val="2"/>
          </rPr>
          <t>Author:</t>
        </r>
        <r>
          <rPr>
            <sz val="9"/>
            <color indexed="81"/>
            <rFont val="Tahoma"/>
            <family val="2"/>
          </rPr>
          <t xml:space="preserve">
F3Q19: 37.5-38.5%</t>
        </r>
      </text>
    </comment>
    <comment ref="CT62" authorId="0" shapeId="0" xr:uid="{45347B34-1DC1-4974-8A4B-D8F664B4BB21}">
      <text>
        <r>
          <rPr>
            <b/>
            <sz val="9"/>
            <color indexed="81"/>
            <rFont val="Tahoma"/>
            <family val="2"/>
          </rPr>
          <t>Author:</t>
        </r>
        <r>
          <rPr>
            <sz val="9"/>
            <color indexed="81"/>
            <rFont val="Tahoma"/>
            <family val="2"/>
          </rPr>
          <t xml:space="preserve">
F4Q19: 37.5-38.5%</t>
        </r>
      </text>
    </comment>
    <comment ref="CU62" authorId="0" shapeId="0" xr:uid="{08620732-6B62-47B3-AE6D-F76A43B38303}">
      <text>
        <r>
          <rPr>
            <b/>
            <sz val="9"/>
            <color indexed="81"/>
            <rFont val="Tahoma"/>
            <family val="2"/>
          </rPr>
          <t>Author:</t>
        </r>
        <r>
          <rPr>
            <sz val="9"/>
            <color indexed="81"/>
            <rFont val="Tahoma"/>
            <family val="2"/>
          </rPr>
          <t xml:space="preserve">
F1Q20: 38.0-39.0%</t>
        </r>
      </text>
    </comment>
    <comment ref="CV62" authorId="0" shapeId="0" xr:uid="{C7341370-78D8-4D0B-9307-EBE9B39CDDA6}">
      <text>
        <r>
          <rPr>
            <b/>
            <sz val="9"/>
            <color indexed="81"/>
            <rFont val="Tahoma"/>
            <family val="2"/>
          </rPr>
          <t>Author:</t>
        </r>
        <r>
          <rPr>
            <sz val="9"/>
            <color indexed="81"/>
            <rFont val="Tahoma"/>
            <family val="2"/>
          </rPr>
          <t xml:space="preserve">
F3Q20: forex hurt by 90 bps qoq, while cost savings and services mix helped </t>
        </r>
      </text>
    </comment>
    <comment ref="DB62" authorId="0" shapeId="0" xr:uid="{54407EC8-2585-4164-95D1-83B957A7221F}">
      <text>
        <r>
          <rPr>
            <b/>
            <sz val="9"/>
            <color indexed="81"/>
            <rFont val="Tahoma"/>
            <family val="2"/>
          </rPr>
          <t>Author:</t>
        </r>
        <r>
          <rPr>
            <sz val="9"/>
            <color indexed="81"/>
            <rFont val="Tahoma"/>
            <family val="2"/>
          </rPr>
          <t xml:space="preserve">
F4Q21: 41.5-42.5%</t>
        </r>
      </text>
    </comment>
    <comment ref="DC62" authorId="0" shapeId="0" xr:uid="{7E4D8039-A306-4A3E-A9D8-D7DC33D372C6}">
      <text>
        <r>
          <rPr>
            <b/>
            <sz val="9"/>
            <color indexed="81"/>
            <rFont val="Tahoma"/>
            <family val="2"/>
          </rPr>
          <t>Author:</t>
        </r>
        <r>
          <rPr>
            <sz val="9"/>
            <color indexed="81"/>
            <rFont val="Tahoma"/>
            <family val="2"/>
          </rPr>
          <t xml:space="preserve">
F2Q22: seasonal loss of leverage (qoq) and forex offset by favorable mix</t>
        </r>
      </text>
    </comment>
    <comment ref="DD62" authorId="0" shapeId="0" xr:uid="{872DCD07-1ACC-46FE-8BB1-455C26F4D0C7}">
      <text>
        <r>
          <rPr>
            <b/>
            <sz val="9"/>
            <color indexed="81"/>
            <rFont val="Tahoma"/>
            <family val="2"/>
          </rPr>
          <t>Author:</t>
        </r>
        <r>
          <rPr>
            <sz val="9"/>
            <color indexed="81"/>
            <rFont val="Tahoma"/>
            <family val="2"/>
          </rPr>
          <t xml:space="preserve">
F3Q22: gross margins -40 bps qoq, due to seasonal loss of leverage and unfavorable forex.. Partly offset by favorable mix</t>
        </r>
      </text>
    </comment>
    <comment ref="DE62" authorId="0" shapeId="0" xr:uid="{F6A60CE6-7E84-46B7-A5AF-815505A36FC8}">
      <text>
        <r>
          <rPr>
            <b/>
            <sz val="9"/>
            <color indexed="81"/>
            <rFont val="Tahoma"/>
            <family val="2"/>
          </rPr>
          <t>Author:</t>
        </r>
        <r>
          <rPr>
            <sz val="9"/>
            <color indexed="81"/>
            <rFont val="Tahoma"/>
            <family val="2"/>
          </rPr>
          <t xml:space="preserve">
F3Q22: gross margins of 41.5-42.5%
Forex was -70 bps qoq
-180 bps yoy
</t>
        </r>
      </text>
    </comment>
    <comment ref="DF62" authorId="0" shapeId="0" xr:uid="{FE1280D1-6CC9-4354-9A2E-05107FE68856}">
      <text>
        <r>
          <rPr>
            <b/>
            <sz val="9"/>
            <color indexed="81"/>
            <rFont val="Tahoma"/>
            <family val="2"/>
          </rPr>
          <t>Author:</t>
        </r>
        <r>
          <rPr>
            <sz val="9"/>
            <color indexed="81"/>
            <rFont val="Tahoma"/>
            <family val="2"/>
          </rPr>
          <t xml:space="preserve">
F1Q23: up 70 bps qoq due to leverage and mix, partly offset by forex (110 bps headwind).
Yoy 300 bps headwind 
F4Q22: 42.5-43.5%
330 bps negative forex yoy
120 bps negative forex qoq
Positive: commodities is favorable. </t>
        </r>
      </text>
    </comment>
    <comment ref="DG62" authorId="0" shapeId="0" xr:uid="{0B979D89-94EE-4E67-80DF-411434F99C13}">
      <text>
        <r>
          <rPr>
            <b/>
            <sz val="9"/>
            <color indexed="81"/>
            <rFont val="Tahoma"/>
            <family val="2"/>
          </rPr>
          <t>Author:</t>
        </r>
        <r>
          <rPr>
            <sz val="9"/>
            <color indexed="81"/>
            <rFont val="Tahoma"/>
            <family val="2"/>
          </rPr>
          <t xml:space="preserve">
F2Q23:
qoq improvement from component markets, mix shift toward services, 50 bps qoq headwind from forex
F1Q23: 43.5%-44.5%
Mix will help within categories + services, as we move away from holiday 
Forex is a 50 bps qoq headwind 
270 bps yoy headwind
F3Q22: F2Q and F3Q has seasonal leverage loss</t>
        </r>
      </text>
    </comment>
    <comment ref="DH62" authorId="0" shapeId="0" xr:uid="{F7289EEA-A464-4BC5-85A8-53C4E929B0BF}">
      <text>
        <r>
          <rPr>
            <b/>
            <sz val="9"/>
            <color indexed="81"/>
            <rFont val="Tahoma"/>
            <family val="2"/>
          </rPr>
          <t>Author:</t>
        </r>
        <r>
          <rPr>
            <sz val="9"/>
            <color indexed="81"/>
            <rFont val="Tahoma"/>
            <family val="2"/>
          </rPr>
          <t xml:space="preserve">
F2Q23: 44.0-44.5%
Flattish. Losing some leverage offset by better component costs </t>
        </r>
      </text>
    </comment>
    <comment ref="DI62" authorId="0" shapeId="0" xr:uid="{26939F52-B563-4EC3-BB34-A9F17629A5EF}">
      <text>
        <r>
          <rPr>
            <b/>
            <sz val="9"/>
            <color indexed="81"/>
            <rFont val="Tahoma"/>
            <family val="2"/>
          </rPr>
          <t>Author:</t>
        </r>
        <r>
          <rPr>
            <sz val="9"/>
            <color indexed="81"/>
            <rFont val="Tahoma"/>
            <family val="2"/>
          </rPr>
          <t xml:space="preserve">
F3Q23: 44-45% 
- 1/2 of the gross margin is services mix
- 100-120 bps gross margin help is commodity benefit
Headwind from FX</t>
        </r>
      </text>
    </comment>
    <comment ref="DJ62" authorId="0" shapeId="0" xr:uid="{C7C7464D-F00D-46E4-A393-159EE4AD4A54}">
      <text>
        <r>
          <rPr>
            <b/>
            <sz val="9"/>
            <color indexed="81"/>
            <rFont val="Tahoma"/>
            <family val="2"/>
          </rPr>
          <t>Author:</t>
        </r>
        <r>
          <rPr>
            <sz val="9"/>
            <color indexed="81"/>
            <rFont val="Tahoma"/>
            <family val="2"/>
          </rPr>
          <t xml:space="preserve">
F4Q23: 45-46%</t>
        </r>
      </text>
    </comment>
    <comment ref="DK62" authorId="5" shapeId="0" xr:uid="{70AF12E5-8AAB-437A-8A81-D2878CCD0F29}">
      <text>
        <r>
          <rPr>
            <b/>
            <sz val="9"/>
            <color indexed="81"/>
            <rFont val="Tahoma"/>
            <family val="2"/>
          </rPr>
          <t>Author:</t>
        </r>
        <r>
          <rPr>
            <sz val="9"/>
            <color indexed="81"/>
            <rFont val="Tahoma"/>
            <family val="2"/>
          </rPr>
          <t xml:space="preserve">
F1Q24: 46-47%</t>
        </r>
      </text>
    </comment>
    <comment ref="DL62" authorId="0" shapeId="0" xr:uid="{BA3839E1-F78B-4A61-9E66-F63DF5CBA12A}">
      <text>
        <r>
          <rPr>
            <b/>
            <sz val="9"/>
            <color indexed="81"/>
            <rFont val="Tahoma"/>
            <family val="2"/>
          </rPr>
          <t>Author:</t>
        </r>
        <r>
          <rPr>
            <sz val="9"/>
            <color indexed="81"/>
            <rFont val="Tahoma"/>
            <family val="2"/>
          </rPr>
          <t xml:space="preserve">
F2Q24: 45.5-46.5%</t>
        </r>
      </text>
    </comment>
    <comment ref="DM62" authorId="5" shapeId="0" xr:uid="{57B95EAE-67DF-416B-B2BE-30ACF3A298BF}">
      <text>
        <r>
          <rPr>
            <b/>
            <sz val="9"/>
            <color indexed="81"/>
            <rFont val="Tahoma"/>
            <family val="2"/>
          </rPr>
          <t>Author:</t>
        </r>
        <r>
          <rPr>
            <sz val="9"/>
            <color indexed="81"/>
            <rFont val="Tahoma"/>
            <family val="2"/>
          </rPr>
          <t xml:space="preserve">
F3Q24: 45.5%-46.5%</t>
        </r>
      </text>
    </comment>
    <comment ref="DN62" authorId="0" shapeId="0" xr:uid="{BDF71608-09AC-4C8C-AD75-523663703C96}">
      <text>
        <r>
          <rPr>
            <b/>
            <sz val="9"/>
            <color indexed="81"/>
            <rFont val="Tahoma"/>
            <family val="2"/>
          </rPr>
          <t>Author:</t>
        </r>
        <r>
          <rPr>
            <sz val="9"/>
            <color indexed="81"/>
            <rFont val="Tahoma"/>
            <family val="2"/>
          </rPr>
          <t xml:space="preserve">
F4Q24: 46-47%</t>
        </r>
      </text>
    </comment>
    <comment ref="DO62" authorId="5" shapeId="0" xr:uid="{0DB4550A-AB80-4A64-9063-05DF50D9DD29}">
      <text>
        <r>
          <rPr>
            <b/>
            <sz val="9"/>
            <color indexed="81"/>
            <rFont val="Tahoma"/>
            <family val="2"/>
          </rPr>
          <t>Author:</t>
        </r>
        <r>
          <rPr>
            <sz val="9"/>
            <color indexed="81"/>
            <rFont val="Tahoma"/>
            <family val="2"/>
          </rPr>
          <t xml:space="preserve">
F1Q25: 46.5%-47.5%</t>
        </r>
      </text>
    </comment>
    <comment ref="DP62" authorId="5" shapeId="0" xr:uid="{9451C522-9DE7-454E-A07C-E592F015D9DF}">
      <text>
        <r>
          <rPr>
            <b/>
            <sz val="9"/>
            <color indexed="81"/>
            <rFont val="Tahoma"/>
            <family val="2"/>
          </rPr>
          <t>Author:</t>
        </r>
        <r>
          <rPr>
            <sz val="9"/>
            <color indexed="81"/>
            <rFont val="Tahoma"/>
            <family val="2"/>
          </rPr>
          <t xml:space="preserve">
F2Q25: 45.5-46.5% including a $900 mn tariff COGS impact</t>
        </r>
      </text>
    </comment>
    <comment ref="DQ62" authorId="5" shapeId="0" xr:uid="{422EFF01-9261-4944-BE47-ED0D3AAF28A6}">
      <text>
        <r>
          <rPr>
            <b/>
            <sz val="9"/>
            <color indexed="81"/>
            <rFont val="Tahoma"/>
            <family val="2"/>
          </rPr>
          <t>Author:</t>
        </r>
        <r>
          <rPr>
            <sz val="9"/>
            <color indexed="81"/>
            <rFont val="Tahoma"/>
            <family val="2"/>
          </rPr>
          <t xml:space="preserve">
F3Q25: 46-47%, including $1.1 bn in tariff headwind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Person1255, Person1250 </author>
    <author>Person0594, Person0067 </author>
    <author>Person0907, Person0082 </author>
    <author>Author10</author>
    <author>Person0609, Person0094 </author>
    <author>Person0200, Person0592 </author>
    <author>Author11</author>
  </authors>
  <commentList>
    <comment ref="A14" authorId="0" shapeId="0" xr:uid="{DFF3E9C7-CCB1-42E0-B00A-00363B70D8D8}">
      <text>
        <r>
          <rPr>
            <b/>
            <sz val="9"/>
            <color indexed="81"/>
            <rFont val="Tahoma"/>
            <family val="2"/>
          </rPr>
          <t>Author:</t>
        </r>
        <r>
          <rPr>
            <sz val="9"/>
            <color indexed="81"/>
            <rFont val="Tahoma"/>
            <family val="2"/>
          </rPr>
          <t xml:space="preserve">
Used phones do not show up in the P&amp;L. 
Used phones are "presold" to 3P distributors that have agreements to buy every phone. Sometimes we run promotions in -store. But no P&amp;L or balance sheet impact from trade-ins. </t>
        </r>
      </text>
    </comment>
    <comment ref="DF14" authorId="0" shapeId="0" xr:uid="{F2E8B078-04A6-476A-A917-6F36DDCC8C53}">
      <text>
        <r>
          <rPr>
            <b/>
            <sz val="9"/>
            <color indexed="81"/>
            <rFont val="Tahoma"/>
            <family val="2"/>
          </rPr>
          <t>Author:</t>
        </r>
        <r>
          <rPr>
            <sz val="9"/>
            <color indexed="81"/>
            <rFont val="Tahoma"/>
            <family val="2"/>
          </rPr>
          <t xml:space="preserve">
Components $2.5 bn
Finished goods $4.3 bn</t>
        </r>
      </text>
    </comment>
    <comment ref="DG14" authorId="0" shapeId="0" xr:uid="{5D4D0F26-8523-4F8A-8B90-502E35BB2820}">
      <text>
        <r>
          <rPr>
            <b/>
            <sz val="9"/>
            <color indexed="81"/>
            <rFont val="Tahoma"/>
            <family val="2"/>
          </rPr>
          <t>Author:</t>
        </r>
        <r>
          <rPr>
            <sz val="9"/>
            <color indexed="81"/>
            <rFont val="Tahoma"/>
            <family val="2"/>
          </rPr>
          <t xml:space="preserve">
$3.4 bn components
$4.1 bn finished goods</t>
        </r>
      </text>
    </comment>
    <comment ref="DO14" authorId="0" shapeId="0" xr:uid="{8DE17DD8-1128-489A-A622-6233EEF50FA5}">
      <text>
        <r>
          <rPr>
            <b/>
            <sz val="9"/>
            <color indexed="81"/>
            <rFont val="Tahoma"/>
            <family val="2"/>
          </rPr>
          <t>Author:</t>
        </r>
        <r>
          <rPr>
            <sz val="9"/>
            <color indexed="81"/>
            <rFont val="Tahoma"/>
            <family val="2"/>
          </rPr>
          <t xml:space="preserve">
Did build ahead of inventory</t>
        </r>
      </text>
    </comment>
    <comment ref="A16" authorId="1" shapeId="0" xr:uid="{00000000-0006-0000-0C00-000001000000}">
      <text>
        <r>
          <rPr>
            <b/>
            <sz val="9"/>
            <color indexed="81"/>
            <rFont val="Tahoma"/>
            <family val="2"/>
          </rPr>
          <t>Author:</t>
        </r>
        <r>
          <rPr>
            <sz val="9"/>
            <color indexed="81"/>
            <rFont val="Tahoma"/>
            <family val="2"/>
          </rPr>
          <t xml:space="preserve">
The Company has non-trade receivables from certain of its manufacturing vendors resulting from the sale of components to these manufacturing vendors who manufacture sub-assemblies or assemble final products for the Company. The Company purchases these components directly from suppliers. 
non-finished goods 
**inventory sitting at contract manufacturers**</t>
        </r>
      </text>
    </comment>
    <comment ref="BB17" authorId="1" shapeId="0" xr:uid="{00000000-0006-0000-0C00-000002000000}">
      <text>
        <r>
          <rPr>
            <b/>
            <sz val="9"/>
            <color indexed="81"/>
            <rFont val="Tahoma"/>
            <family val="2"/>
          </rPr>
          <t>Author:</t>
        </r>
        <r>
          <rPr>
            <sz val="9"/>
            <color indexed="81"/>
            <rFont val="Tahoma"/>
            <family val="2"/>
          </rPr>
          <t xml:space="preserve">
includes vendor non-trade rec</t>
        </r>
      </text>
    </comment>
    <comment ref="BC17" authorId="1" shapeId="0" xr:uid="{00000000-0006-0000-0C00-000003000000}">
      <text>
        <r>
          <rPr>
            <b/>
            <sz val="9"/>
            <color indexed="81"/>
            <rFont val="Tahoma"/>
            <family val="2"/>
          </rPr>
          <t>Author:</t>
        </r>
        <r>
          <rPr>
            <sz val="9"/>
            <color indexed="81"/>
            <rFont val="Tahoma"/>
            <family val="2"/>
          </rPr>
          <t xml:space="preserve">
includes vendor non-trade rec</t>
        </r>
      </text>
    </comment>
    <comment ref="BD17" authorId="1" shapeId="0" xr:uid="{00000000-0006-0000-0C00-000004000000}">
      <text>
        <r>
          <rPr>
            <b/>
            <sz val="9"/>
            <color indexed="81"/>
            <rFont val="Tahoma"/>
            <family val="2"/>
          </rPr>
          <t>Author:</t>
        </r>
        <r>
          <rPr>
            <sz val="9"/>
            <color indexed="81"/>
            <rFont val="Tahoma"/>
            <family val="2"/>
          </rPr>
          <t xml:space="preserve">
includes vendor non-trade rec</t>
        </r>
      </text>
    </comment>
    <comment ref="BF17" authorId="1" shapeId="0" xr:uid="{00000000-0006-0000-0C00-000005000000}">
      <text>
        <r>
          <rPr>
            <b/>
            <sz val="9"/>
            <color indexed="81"/>
            <rFont val="Tahoma"/>
            <family val="2"/>
          </rPr>
          <t>Author:</t>
        </r>
        <r>
          <rPr>
            <sz val="9"/>
            <color indexed="81"/>
            <rFont val="Tahoma"/>
            <family val="2"/>
          </rPr>
          <t xml:space="preserve">
includes vendor non-trade receivables</t>
        </r>
      </text>
    </comment>
    <comment ref="BG17" authorId="1" shapeId="0" xr:uid="{00000000-0006-0000-0C00-000006000000}">
      <text>
        <r>
          <rPr>
            <b/>
            <sz val="9"/>
            <color indexed="81"/>
            <rFont val="Tahoma"/>
            <family val="2"/>
          </rPr>
          <t>Author:</t>
        </r>
        <r>
          <rPr>
            <sz val="9"/>
            <color indexed="81"/>
            <rFont val="Tahoma"/>
            <family val="2"/>
          </rPr>
          <t xml:space="preserve">
includes vendor non-trade receivables</t>
        </r>
      </text>
    </comment>
    <comment ref="A22" authorId="2" shapeId="0" xr:uid="{00000000-0006-0000-0C00-000007000000}">
      <text>
        <r>
          <rPr>
            <b/>
            <sz val="9"/>
            <color indexed="81"/>
            <rFont val="Tahoma"/>
            <family val="2"/>
          </rPr>
          <t>Author:</t>
        </r>
        <r>
          <rPr>
            <sz val="9"/>
            <color indexed="81"/>
            <rFont val="Tahoma"/>
            <family val="2"/>
          </rPr>
          <t xml:space="preserve">
includes Goodwill, Acquired intangibles assets, and Other assets till Q408</t>
        </r>
      </text>
    </comment>
    <comment ref="CG34" authorId="3" shapeId="0" xr:uid="{00000000-0006-0000-0C00-000008000000}">
      <text>
        <r>
          <rPr>
            <b/>
            <sz val="9"/>
            <color indexed="81"/>
            <rFont val="Tahoma"/>
            <family val="2"/>
          </rPr>
          <t>Author:</t>
        </r>
        <r>
          <rPr>
            <sz val="9"/>
            <color indexed="81"/>
            <rFont val="Tahoma"/>
            <family val="2"/>
          </rPr>
          <t xml:space="preserve">
Accounts for debt maturities shifting from long-term to short-term</t>
        </r>
      </text>
    </comment>
    <comment ref="CP37" authorId="4" shapeId="0" xr:uid="{00000000-0006-0000-0C00-000009000000}">
      <text>
        <r>
          <rPr>
            <b/>
            <sz val="9"/>
            <color indexed="81"/>
            <rFont val="Tahoma"/>
            <family val="2"/>
          </rPr>
          <t>Author:</t>
        </r>
        <r>
          <rPr>
            <sz val="9"/>
            <color indexed="81"/>
            <rFont val="Tahoma"/>
            <family val="2"/>
          </rPr>
          <t xml:space="preserve">
FQ1'19 10-Q:  total deferred revenue of $8.4 billion </t>
        </r>
      </text>
    </comment>
    <comment ref="CQ37" authorId="4" shapeId="0" xr:uid="{00000000-0006-0000-0C00-00000A000000}">
      <text>
        <r>
          <rPr>
            <b/>
            <sz val="9"/>
            <color indexed="81"/>
            <rFont val="Tahoma"/>
            <family val="2"/>
          </rPr>
          <t>Author:</t>
        </r>
        <r>
          <rPr>
            <sz val="9"/>
            <color indexed="81"/>
            <rFont val="Tahoma"/>
            <family val="2"/>
          </rPr>
          <t xml:space="preserve">
FQ2'19 10-Q:  total deferred revenue of $8.2 billion</t>
        </r>
      </text>
    </comment>
    <comment ref="CR37" authorId="4" shapeId="0" xr:uid="{00000000-0006-0000-0C00-00000B000000}">
      <text>
        <r>
          <rPr>
            <b/>
            <sz val="9"/>
            <color indexed="81"/>
            <rFont val="Tahoma"/>
            <family val="2"/>
          </rPr>
          <t>Author:</t>
        </r>
        <r>
          <rPr>
            <sz val="9"/>
            <color indexed="81"/>
            <rFont val="Tahoma"/>
            <family val="2"/>
          </rPr>
          <t xml:space="preserve">
FQ3'19 10-Q: total deferred revenue of $8.0 billion</t>
        </r>
      </text>
    </comment>
    <comment ref="CS37" authorId="4" shapeId="0" xr:uid="{00000000-0006-0000-0C00-00000C000000}">
      <text>
        <r>
          <rPr>
            <b/>
            <sz val="9"/>
            <color indexed="81"/>
            <rFont val="Tahoma"/>
            <family val="2"/>
          </rPr>
          <t>Author:</t>
        </r>
        <r>
          <rPr>
            <sz val="9"/>
            <color indexed="81"/>
            <rFont val="Tahoma"/>
            <family val="2"/>
          </rPr>
          <t xml:space="preserve">
From FY19 10-K: Total deferred revenue of $8.1bn</t>
        </r>
      </text>
    </comment>
    <comment ref="DF58" authorId="0" shapeId="0" xr:uid="{804EC26B-22FF-48C4-940F-531BBE532A29}">
      <text>
        <r>
          <rPr>
            <b/>
            <sz val="9"/>
            <color indexed="81"/>
            <rFont val="Tahoma"/>
            <family val="2"/>
          </rPr>
          <t>Author:</t>
        </r>
        <r>
          <rPr>
            <sz val="9"/>
            <color indexed="81"/>
            <rFont val="Tahoma"/>
            <family val="2"/>
          </rPr>
          <t xml:space="preserve">
F1Q23: $54 bn net with goal of becoming cash flow neutral</t>
        </r>
      </text>
    </comment>
    <comment ref="CL63" authorId="0" shapeId="0" xr:uid="{DBF4A2EC-B693-444B-87F8-BAEADC61A9AC}">
      <text>
        <r>
          <rPr>
            <b/>
            <sz val="9"/>
            <color indexed="81"/>
            <rFont val="Tahoma"/>
            <family val="2"/>
          </rPr>
          <t>Author:</t>
        </r>
        <r>
          <rPr>
            <sz val="9"/>
            <color indexed="81"/>
            <rFont val="Tahoma"/>
            <family val="2"/>
          </rPr>
          <t xml:space="preserve">
Product COGS v. total COGS starting here</t>
        </r>
      </text>
    </comment>
    <comment ref="DF88" authorId="5" shapeId="0" xr:uid="{608D7C20-563B-4732-B35F-9B2AD2D5235F}">
      <text>
        <r>
          <rPr>
            <b/>
            <sz val="9"/>
            <color indexed="81"/>
            <rFont val="Tahoma"/>
            <family val="2"/>
          </rPr>
          <t>Author:</t>
        </r>
        <r>
          <rPr>
            <sz val="9"/>
            <color indexed="81"/>
            <rFont val="Tahoma"/>
            <family val="2"/>
          </rPr>
          <t xml:space="preserve">
pg 13 - 10Q</t>
        </r>
      </text>
    </comment>
    <comment ref="A91" authorId="2" shapeId="0" xr:uid="{00000000-0006-0000-0C00-00000D000000}">
      <text>
        <r>
          <rPr>
            <b/>
            <sz val="9"/>
            <color indexed="81"/>
            <rFont val="Tahoma"/>
            <family val="2"/>
          </rPr>
          <t>Author:</t>
        </r>
        <r>
          <rPr>
            <sz val="9"/>
            <color indexed="81"/>
            <rFont val="Tahoma"/>
            <family val="2"/>
          </rPr>
          <t xml:space="preserve">
historicals modeled as in Person1223 Person1055 model</t>
        </r>
      </text>
    </comment>
    <comment ref="A102" authorId="6" shapeId="0" xr:uid="{00000000-0006-0000-0C00-00000F000000}">
      <text>
        <r>
          <rPr>
            <b/>
            <sz val="9"/>
            <color indexed="81"/>
            <rFont val="Tahoma"/>
            <family val="2"/>
          </rPr>
          <t>Author:</t>
        </r>
        <r>
          <rPr>
            <sz val="9"/>
            <color indexed="81"/>
            <rFont val="Tahoma"/>
            <family val="2"/>
          </rPr>
          <t xml:space="preserve">
Components being acquired through purchase orders, supplier contracts and open orders based on projected demand information</t>
        </r>
      </text>
    </comment>
    <comment ref="DB102" authorId="0" shapeId="0" xr:uid="{9A70587F-1764-4F70-921C-4E011D0C4FDD}">
      <text>
        <r>
          <rPr>
            <b/>
            <sz val="9"/>
            <color indexed="81"/>
            <rFont val="Tahoma"/>
            <family val="2"/>
          </rPr>
          <t>Author:</t>
        </r>
        <r>
          <rPr>
            <sz val="9"/>
            <color indexed="81"/>
            <rFont val="Tahoma"/>
            <family val="2"/>
          </rPr>
          <t xml:space="preserve">
$47.5 bn payable within 12-months </t>
        </r>
      </text>
    </comment>
    <comment ref="DC102" authorId="0" shapeId="0" xr:uid="{B52C7CFB-0219-40A5-ACF9-1AFC44DB6704}">
      <text>
        <r>
          <rPr>
            <b/>
            <sz val="9"/>
            <color indexed="81"/>
            <rFont val="Tahoma"/>
            <family val="2"/>
          </rPr>
          <t>Author:</t>
        </r>
        <r>
          <rPr>
            <sz val="9"/>
            <color indexed="81"/>
            <rFont val="Tahoma"/>
            <family val="2"/>
          </rPr>
          <t xml:space="preserve">
$40.5 bn within 12 months</t>
        </r>
      </text>
    </comment>
    <comment ref="DD102" authorId="0" shapeId="0" xr:uid="{817237AF-59E2-4048-86CE-41D7138A594A}">
      <text>
        <r>
          <rPr>
            <b/>
            <sz val="9"/>
            <color indexed="81"/>
            <rFont val="Tahoma"/>
            <family val="2"/>
          </rPr>
          <t>Author:</t>
        </r>
        <r>
          <rPr>
            <sz val="9"/>
            <color indexed="81"/>
            <rFont val="Tahoma"/>
            <family val="2"/>
          </rPr>
          <t xml:space="preserve">
$43 bn payable within 12 months</t>
        </r>
      </text>
    </comment>
    <comment ref="DE102" authorId="0" shapeId="0" xr:uid="{3A05B919-62B3-47C8-A41C-06C4EE6FE5C8}">
      <text>
        <r>
          <rPr>
            <b/>
            <sz val="9"/>
            <color indexed="81"/>
            <rFont val="Tahoma"/>
            <family val="2"/>
          </rPr>
          <t>Author:</t>
        </r>
        <r>
          <rPr>
            <sz val="9"/>
            <color indexed="81"/>
            <rFont val="Tahoma"/>
            <family val="2"/>
          </rPr>
          <t xml:space="preserve">
$68.4 bn payable within 12 months</t>
        </r>
      </text>
    </comment>
    <comment ref="DG102" authorId="5" shapeId="0" xr:uid="{A402C91C-C139-4870-8A2E-BF6E44691BB2}">
      <text>
        <r>
          <rPr>
            <b/>
            <sz val="9"/>
            <color indexed="81"/>
            <rFont val="Tahoma"/>
            <family val="2"/>
          </rPr>
          <t>Author:</t>
        </r>
        <r>
          <rPr>
            <sz val="9"/>
            <color indexed="81"/>
            <rFont val="Tahoma"/>
            <family val="2"/>
          </rPr>
          <t xml:space="preserve">
Page 22 - "the Company had manufacturing purchase obligations of" X</t>
        </r>
      </text>
    </comment>
    <comment ref="DH102" authorId="0" shapeId="0" xr:uid="{35AC5997-4D4A-4A3C-BE7F-2D674E64FBD7}">
      <text>
        <r>
          <rPr>
            <b/>
            <sz val="9"/>
            <color indexed="81"/>
            <rFont val="Tahoma"/>
            <family val="2"/>
          </rPr>
          <t>Author:</t>
        </r>
        <r>
          <rPr>
            <sz val="9"/>
            <color indexed="81"/>
            <rFont val="Tahoma"/>
            <family val="2"/>
          </rPr>
          <t xml:space="preserve">
$38.1 bn payable NTM
non-cancelable</t>
        </r>
      </text>
    </comment>
    <comment ref="DI102" authorId="0" shapeId="0" xr:uid="{012D032D-48EF-486D-B9EB-9A1FF481955E}">
      <text>
        <r>
          <rPr>
            <b/>
            <sz val="9"/>
            <color indexed="81"/>
            <rFont val="Tahoma"/>
            <family val="2"/>
          </rPr>
          <t>Author:</t>
        </r>
        <r>
          <rPr>
            <sz val="9"/>
            <color indexed="81"/>
            <rFont val="Tahoma"/>
            <family val="2"/>
          </rPr>
          <t xml:space="preserve">
$52.9 bn NTM</t>
        </r>
      </text>
    </comment>
    <comment ref="DJ102" authorId="0" shapeId="0" xr:uid="{F65E5BBF-82AB-4BA1-A95D-2261A36628E3}">
      <text>
        <r>
          <rPr>
            <b/>
            <sz val="9"/>
            <color indexed="81"/>
            <rFont val="Tahoma"/>
            <family val="2"/>
          </rPr>
          <t>Author:</t>
        </r>
        <r>
          <rPr>
            <sz val="9"/>
            <color indexed="81"/>
            <rFont val="Tahoma"/>
            <family val="2"/>
          </rPr>
          <t xml:space="preserve">
$37.9 bn NTM</t>
        </r>
      </text>
    </comment>
    <comment ref="DK102" authorId="0" shapeId="0" xr:uid="{F31C2326-2EE2-4463-B84C-37EAB513AD0E}">
      <text>
        <r>
          <rPr>
            <b/>
            <sz val="9"/>
            <color indexed="81"/>
            <rFont val="Tahoma"/>
            <family val="2"/>
          </rPr>
          <t>Author:</t>
        </r>
        <r>
          <rPr>
            <sz val="9"/>
            <color indexed="81"/>
            <rFont val="Tahoma"/>
            <family val="2"/>
          </rPr>
          <t xml:space="preserve">
$34.2 bn, $34.1 bn NTM</t>
        </r>
      </text>
    </comment>
    <comment ref="DL102" authorId="0" shapeId="0" xr:uid="{E9D6DD8F-8C41-465A-A82A-27A19C4F2E12}">
      <text>
        <r>
          <rPr>
            <b/>
            <sz val="9"/>
            <color indexed="81"/>
            <rFont val="Tahoma"/>
            <family val="2"/>
          </rPr>
          <t>Author:</t>
        </r>
        <r>
          <rPr>
            <sz val="9"/>
            <color indexed="81"/>
            <rFont val="Tahoma"/>
            <family val="2"/>
          </rPr>
          <t xml:space="preserve">
$38.3 bn NTM</t>
        </r>
      </text>
    </comment>
    <comment ref="DM102" authorId="0" shapeId="0" xr:uid="{79BA6F4F-9B91-47BD-A481-B6636B9C459A}">
      <text>
        <r>
          <rPr>
            <b/>
            <sz val="9"/>
            <color indexed="81"/>
            <rFont val="Tahoma"/>
            <family val="2"/>
          </rPr>
          <t>Author:</t>
        </r>
        <r>
          <rPr>
            <sz val="9"/>
            <color indexed="81"/>
            <rFont val="Tahoma"/>
            <family val="2"/>
          </rPr>
          <t xml:space="preserve">
$52.9 bn NTM</t>
        </r>
      </text>
    </comment>
    <comment ref="A105" authorId="6" shapeId="0" xr:uid="{00000000-0006-0000-0C00-000010000000}">
      <text>
        <r>
          <rPr>
            <b/>
            <sz val="9"/>
            <color indexed="81"/>
            <rFont val="Tahoma"/>
            <family val="2"/>
          </rPr>
          <t>Author:</t>
        </r>
        <r>
          <rPr>
            <sz val="9"/>
            <color indexed="81"/>
            <rFont val="Tahoma"/>
            <family val="2"/>
          </rPr>
          <t xml:space="preserve">
Commitments to acquire capital assets, including product tooling and manufacturing process equipment, and commitments related to advertising, R&amp;D, internet and telecomm. Services, energy and other obilgations.</t>
        </r>
      </text>
    </comment>
    <comment ref="DE105" authorId="0" shapeId="0" xr:uid="{9C5DC750-5D83-4E2A-9873-2E09F8E77267}">
      <text>
        <r>
          <rPr>
            <b/>
            <sz val="9"/>
            <color indexed="81"/>
            <rFont val="Tahoma"/>
            <family val="2"/>
          </rPr>
          <t>Author:</t>
        </r>
        <r>
          <rPr>
            <sz val="9"/>
            <color indexed="81"/>
            <rFont val="Tahoma"/>
            <family val="2"/>
          </rPr>
          <t xml:space="preserve">
F4Q22: $6.8 bn payable within 12 months</t>
        </r>
      </text>
    </comment>
    <comment ref="DG105" authorId="0" shapeId="0" xr:uid="{61894ECA-CB77-4977-84F5-E9F8EA431ECE}">
      <text>
        <r>
          <rPr>
            <b/>
            <sz val="9"/>
            <color indexed="81"/>
            <rFont val="Tahoma"/>
            <family val="2"/>
          </rPr>
          <t>Author:</t>
        </r>
        <r>
          <rPr>
            <sz val="9"/>
            <color indexed="81"/>
            <rFont val="Tahoma"/>
            <family val="2"/>
          </rPr>
          <t xml:space="preserve">
Supplier arrangements, licensed content, distro rights. </t>
        </r>
      </text>
    </comment>
    <comment ref="DI105" authorId="0" shapeId="0" xr:uid="{50455CBE-CE33-49F5-A0B6-D8FD086317BF}">
      <text>
        <r>
          <rPr>
            <b/>
            <sz val="9"/>
            <color indexed="81"/>
            <rFont val="Tahoma"/>
            <family val="2"/>
          </rPr>
          <t>Author:</t>
        </r>
        <r>
          <rPr>
            <sz val="9"/>
            <color indexed="81"/>
            <rFont val="Tahoma"/>
            <family val="2"/>
          </rPr>
          <t xml:space="preserve">
$5.6 bn NTM</t>
        </r>
      </text>
    </comment>
    <comment ref="DM105" authorId="0" shapeId="0" xr:uid="{45BA8710-CCB9-470D-8202-48E6A133097A}">
      <text>
        <r>
          <rPr>
            <b/>
            <sz val="9"/>
            <color indexed="81"/>
            <rFont val="Tahoma"/>
            <family val="2"/>
          </rPr>
          <t>Author:</t>
        </r>
        <r>
          <rPr>
            <sz val="9"/>
            <color indexed="81"/>
            <rFont val="Tahoma"/>
            <family val="2"/>
          </rPr>
          <t xml:space="preserve">
$4.1 bn NTM</t>
        </r>
      </text>
    </comment>
    <comment ref="A110" authorId="4" shapeId="0" xr:uid="{00000000-0006-0000-0C00-000011000000}">
      <text>
        <r>
          <rPr>
            <b/>
            <sz val="9"/>
            <color indexed="81"/>
            <rFont val="Tahoma"/>
            <family val="2"/>
          </rPr>
          <t>Author:</t>
        </r>
        <r>
          <rPr>
            <sz val="9"/>
            <color indexed="81"/>
            <rFont val="Tahoma"/>
            <family val="2"/>
          </rPr>
          <t xml:space="preserve">
noncancelable unconditional purchase obligations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Person0907, Person0082 </author>
    <author>Person0949, Person0123 </author>
    <author>Person0594, Person0067 </author>
    <author>Person1255, Person1250 </author>
    <author>Author19</author>
    <author>Person1258, Person0065 </author>
    <author>Author10</author>
    <author>Person1050, Person1085 </author>
    <author>Author8</author>
    <author>Person0630, Person0124 </author>
    <author>Person0200, Person0592 </author>
    <author>Person0781, Person1217 </author>
  </authors>
  <commentList>
    <comment ref="A15" authorId="0" shapeId="0" xr:uid="{00000000-0006-0000-0B00-000004000000}">
      <text>
        <r>
          <rPr>
            <b/>
            <sz val="9"/>
            <color indexed="81"/>
            <rFont val="Tahoma"/>
            <family val="2"/>
          </rPr>
          <t>Author:</t>
        </r>
        <r>
          <rPr>
            <sz val="9"/>
            <color indexed="81"/>
            <rFont val="Tahoma"/>
            <family val="2"/>
          </rPr>
          <t xml:space="preserve">
as modeled till Q408</t>
        </r>
      </text>
    </comment>
    <comment ref="CO15" authorId="1" shapeId="0" xr:uid="{00000000-0006-0000-0B00-000005000000}">
      <text>
        <r>
          <rPr>
            <b/>
            <sz val="9"/>
            <color indexed="81"/>
            <rFont val="Tahoma"/>
            <family val="2"/>
          </rPr>
          <t>Author:</t>
        </r>
        <r>
          <rPr>
            <sz val="9"/>
            <color indexed="81"/>
            <rFont val="Tahoma"/>
            <family val="2"/>
          </rPr>
          <t xml:space="preserve">
Repatriation tax bill payable over 8 years in installments, according to the Act
https://example.com/</t>
        </r>
      </text>
    </comment>
    <comment ref="BB20" authorId="2" shapeId="0" xr:uid="{00000000-0006-0000-0B00-000006000000}">
      <text>
        <r>
          <rPr>
            <b/>
            <sz val="9"/>
            <color indexed="81"/>
            <rFont val="Tahoma"/>
            <family val="2"/>
          </rPr>
          <t>Author:</t>
        </r>
        <r>
          <rPr>
            <sz val="9"/>
            <color indexed="81"/>
            <rFont val="Tahoma"/>
            <family val="2"/>
          </rPr>
          <t xml:space="preserve">
includes loss on disposition of PPE</t>
        </r>
      </text>
    </comment>
    <comment ref="BC20" authorId="2" shapeId="0" xr:uid="{00000000-0006-0000-0B00-000007000000}">
      <text>
        <r>
          <rPr>
            <b/>
            <sz val="9"/>
            <color indexed="81"/>
            <rFont val="Tahoma"/>
            <family val="2"/>
          </rPr>
          <t>Author:</t>
        </r>
        <r>
          <rPr>
            <sz val="9"/>
            <color indexed="81"/>
            <rFont val="Tahoma"/>
            <family val="2"/>
          </rPr>
          <t xml:space="preserve">
includes loss on disopsition of PPE</t>
        </r>
      </text>
    </comment>
    <comment ref="BD20" authorId="2" shapeId="0" xr:uid="{00000000-0006-0000-0B00-000008000000}">
      <text>
        <r>
          <rPr>
            <b/>
            <sz val="9"/>
            <color indexed="81"/>
            <rFont val="Tahoma"/>
            <family val="2"/>
          </rPr>
          <t>Author:</t>
        </r>
        <r>
          <rPr>
            <sz val="9"/>
            <color indexed="81"/>
            <rFont val="Tahoma"/>
            <family val="2"/>
          </rPr>
          <t xml:space="preserve">
includes loss on disposition of PPE</t>
        </r>
      </text>
    </comment>
    <comment ref="BE20" authorId="2" shapeId="0" xr:uid="{00000000-0006-0000-0B00-000009000000}">
      <text>
        <r>
          <rPr>
            <b/>
            <sz val="9"/>
            <color indexed="81"/>
            <rFont val="Tahoma"/>
            <family val="2"/>
          </rPr>
          <t>Author:</t>
        </r>
        <r>
          <rPr>
            <sz val="9"/>
            <color indexed="81"/>
            <rFont val="Tahoma"/>
            <family val="2"/>
          </rPr>
          <t xml:space="preserve">
includes loss on disposition of PPE</t>
        </r>
      </text>
    </comment>
    <comment ref="FQ20" authorId="3" shapeId="0" xr:uid="{CE8FF7BC-75CC-40D7-99AA-1ECB42DE470F}">
      <text>
        <r>
          <rPr>
            <b/>
            <sz val="9"/>
            <color indexed="81"/>
            <rFont val="Tahoma"/>
            <family val="2"/>
          </rPr>
          <t>Author:</t>
        </r>
        <r>
          <rPr>
            <sz val="9"/>
            <color indexed="81"/>
            <rFont val="Tahoma"/>
            <family val="2"/>
          </rPr>
          <t xml:space="preserve">
11/1/2024: will prepay $1.1 bn of services to GSAT for satellite expansion. Occurs quarterly over construction period (undefined). </t>
        </r>
      </text>
    </comment>
    <comment ref="CK21" authorId="1" shapeId="0" xr:uid="{00000000-0006-0000-0B00-00000A000000}">
      <text>
        <r>
          <rPr>
            <b/>
            <sz val="9"/>
            <color indexed="81"/>
            <rFont val="Tahoma"/>
            <family val="2"/>
          </rPr>
          <t>Author:</t>
        </r>
        <r>
          <rPr>
            <sz val="9"/>
            <color indexed="81"/>
            <rFont val="Tahoma"/>
            <family val="2"/>
          </rPr>
          <t xml:space="preserve">
adjusting for restatements</t>
        </r>
      </text>
    </comment>
    <comment ref="A31" authorId="0" shapeId="0" xr:uid="{00000000-0006-0000-0B00-00000B000000}">
      <text>
        <r>
          <rPr>
            <b/>
            <sz val="9"/>
            <color indexed="81"/>
            <rFont val="Tahoma"/>
            <family val="2"/>
          </rPr>
          <t>Author:</t>
        </r>
        <r>
          <rPr>
            <sz val="9"/>
            <color indexed="81"/>
            <rFont val="Tahoma"/>
            <family val="2"/>
          </rPr>
          <t xml:space="preserve">
includes acquisitions of intangible assets as well till Q408</t>
        </r>
      </text>
    </comment>
    <comment ref="G31" authorId="4" shapeId="0" xr:uid="{00000000-0006-0000-0B00-00000C000000}">
      <text>
        <r>
          <rPr>
            <b/>
            <sz val="8"/>
            <color indexed="81"/>
            <rFont val="Tahoma"/>
            <family val="2"/>
          </rPr>
          <t>Author:</t>
        </r>
        <r>
          <rPr>
            <sz val="8"/>
            <color indexed="81"/>
            <rFont val="Tahoma"/>
            <family val="2"/>
          </rPr>
          <t xml:space="preserve">
cash used to acquire NeXT</t>
        </r>
      </text>
    </comment>
    <comment ref="H31" authorId="4" shapeId="0" xr:uid="{00000000-0006-0000-0B00-00000D000000}">
      <text>
        <r>
          <rPr>
            <b/>
            <sz val="8"/>
            <color indexed="81"/>
            <rFont val="Tahoma"/>
            <family val="2"/>
          </rPr>
          <t>Author:</t>
        </r>
        <r>
          <rPr>
            <sz val="8"/>
            <color indexed="81"/>
            <rFont val="Tahoma"/>
            <family val="2"/>
          </rPr>
          <t xml:space="preserve">
cash used to acquire NeXT</t>
        </r>
      </text>
    </comment>
    <comment ref="BY31" authorId="3" shapeId="0" xr:uid="{16CCE376-13DA-4383-B495-CDFE51C56DA5}">
      <text>
        <r>
          <rPr>
            <b/>
            <sz val="9"/>
            <color indexed="81"/>
            <rFont val="Tahoma"/>
            <family val="2"/>
          </rPr>
          <t>Author:</t>
        </r>
        <r>
          <rPr>
            <sz val="9"/>
            <color indexed="81"/>
            <rFont val="Tahoma"/>
            <family val="2"/>
          </rPr>
          <t xml:space="preserve">
Company0242 acquires Product0069 Music + Electronics for $3 bn ($2.6 bn + $400 mn earn out)</t>
        </r>
      </text>
    </comment>
    <comment ref="DN31" authorId="3" shapeId="0" xr:uid="{4FBD4609-5E67-473D-B11E-DE3AAEE84F57}">
      <text>
        <r>
          <rPr>
            <b/>
            <sz val="9"/>
            <color indexed="81"/>
            <rFont val="Tahoma"/>
            <family val="2"/>
          </rPr>
          <t>Author:</t>
        </r>
        <r>
          <rPr>
            <sz val="9"/>
            <color indexed="81"/>
            <rFont val="Tahoma"/>
            <family val="2"/>
          </rPr>
          <t xml:space="preserve">
11/1/2024: Ticker0001 to invest up to $1.5 bn in Company1145 including $1.1 b n cash and 20% equity purchase for $400 mn. Company1145 will commit 85% of network capacity to Company0242. Company0242 partners with Company1145 for emergency messages from remote areas. 
Company0242 to prepay for services, which GSAT will use in part to invest in extended network.
Infrastructure prepayment of $1.1 bn - funded over construction period on a quarterly basis. 
Equity investment to close on November 5
https://example.com/</t>
        </r>
      </text>
    </comment>
    <comment ref="FK31" authorId="5" shapeId="0" xr:uid="{2F1E03A7-2EAD-40A6-9BEB-2D98D3F4DBD2}">
      <text>
        <r>
          <rPr>
            <b/>
            <sz val="9"/>
            <color indexed="81"/>
            <rFont val="Tahoma"/>
            <family val="2"/>
          </rPr>
          <t>Author:</t>
        </r>
        <r>
          <rPr>
            <sz val="9"/>
            <color indexed="81"/>
            <rFont val="Tahoma"/>
            <family val="2"/>
          </rPr>
          <t xml:space="preserve">
25 unnamed acquisitions made by Ticker0001 in 2019 (disclosed by Person1268 Person0252)</t>
        </r>
      </text>
    </comment>
    <comment ref="A32" authorId="3" shapeId="0" xr:uid="{39817FA2-2071-4BD0-923F-C5B5C2281A0D}">
      <text>
        <r>
          <rPr>
            <b/>
            <sz val="9"/>
            <color indexed="81"/>
            <rFont val="Tahoma"/>
            <family val="2"/>
          </rPr>
          <t>Author:</t>
        </r>
        <r>
          <rPr>
            <sz val="9"/>
            <color indexed="81"/>
            <rFont val="Tahoma"/>
            <family val="2"/>
          </rPr>
          <t xml:space="preserve">
F4Q22: Tools, data center, office facilities. We monitor all of them. Nothing unusual over NTM. 
12/21/22: $10-$12 bn of annual capex historically
Now, 1/3 tooling, 1/3 DC, 1/3 facilities (includes retail stores and corproate).
Facilities used to be retail heavy, but now more corporate heavy. 
Tooling and DC costs are relatively low as (1) manufacturers are asked to invest in tooling and Ticker0001 only does specialized tooling; (2) leverage DCs from AWS/GCP as alternative sources, which is also a price discovery exercise. </t>
        </r>
      </text>
    </comment>
    <comment ref="FG32" authorId="6" shapeId="0" xr:uid="{00000000-0006-0000-0B00-00000E000000}">
      <text>
        <r>
          <rPr>
            <b/>
            <sz val="9"/>
            <color indexed="81"/>
            <rFont val="Tahoma"/>
            <family val="2"/>
          </rPr>
          <t>Author:</t>
        </r>
        <r>
          <rPr>
            <sz val="9"/>
            <color indexed="81"/>
            <rFont val="Tahoma"/>
            <family val="2"/>
          </rPr>
          <t xml:space="preserve">
F3Q10Q: $12bn (down from $13bn)</t>
        </r>
      </text>
    </comment>
    <comment ref="FH32" authorId="7" shapeId="0" xr:uid="{00000000-0006-0000-0B00-00000F000000}">
      <text>
        <r>
          <rPr>
            <b/>
            <sz val="9"/>
            <color indexed="81"/>
            <rFont val="Tahoma"/>
            <family val="2"/>
          </rPr>
          <t>Author:</t>
        </r>
        <r>
          <rPr>
            <sz val="9"/>
            <color indexed="81"/>
            <rFont val="Tahoma"/>
            <family val="2"/>
          </rPr>
          <t xml:space="preserve">
$13bn, F3Q16 10Q
$15bn, FY15 10K</t>
        </r>
      </text>
    </comment>
    <comment ref="FI32" authorId="8" shapeId="0" xr:uid="{00000000-0006-0000-0B00-000010000000}">
      <text>
        <r>
          <rPr>
            <b/>
            <sz val="9"/>
            <color indexed="81"/>
            <rFont val="Tahoma"/>
            <family val="2"/>
          </rPr>
          <t>Author:</t>
        </r>
        <r>
          <rPr>
            <sz val="9"/>
            <color indexed="81"/>
            <rFont val="Tahoma"/>
            <family val="2"/>
          </rPr>
          <t xml:space="preserve">
10/26/16: $16bn 10-K</t>
        </r>
      </text>
    </comment>
    <comment ref="FN32" authorId="3" shapeId="0" xr:uid="{48DB9E1C-E9AA-4838-BE8D-F1816C92CF97}">
      <text>
        <r>
          <rPr>
            <b/>
            <sz val="9"/>
            <color indexed="81"/>
            <rFont val="Tahoma"/>
            <family val="2"/>
          </rPr>
          <t>Author:</t>
        </r>
        <r>
          <rPr>
            <sz val="9"/>
            <color indexed="81"/>
            <rFont val="Tahoma"/>
            <family val="2"/>
          </rPr>
          <t xml:space="preserve">
Should compare very favorably v peers</t>
        </r>
      </text>
    </comment>
    <comment ref="FP32" authorId="3" shapeId="0" xr:uid="{496A8975-9ECF-456F-985E-3F00036C9D7F}">
      <text>
        <r>
          <rPr>
            <b/>
            <sz val="9"/>
            <color indexed="81"/>
            <rFont val="Tahoma"/>
            <family val="2"/>
          </rPr>
          <t>Author:</t>
        </r>
        <r>
          <rPr>
            <sz val="9"/>
            <color indexed="81"/>
            <rFont val="Tahoma"/>
            <family val="2"/>
          </rPr>
          <t xml:space="preserve">
11/2/2023: no change in capex philosophy
10/23/2023: Person0772 Person0632 says Company0242 to spend at least $620 mn on servers in 2023 and $4.75 bn in 2024. 
2000-3000 servers in 2023 and 20k in 2024. 
H100 with plans to upgrade to B1000 next year
12/2023: hearing that partnering with 
AWS/GCP 
60/40%</t>
        </r>
      </text>
    </comment>
    <comment ref="FQ32" authorId="3" shapeId="0" xr:uid="{2C1B79B7-0504-4426-9853-E6F9A83E6152}">
      <text>
        <r>
          <rPr>
            <b/>
            <sz val="9"/>
            <color indexed="81"/>
            <rFont val="Tahoma"/>
            <family val="2"/>
          </rPr>
          <t>Author:</t>
        </r>
        <r>
          <rPr>
            <sz val="9"/>
            <color indexed="81"/>
            <rFont val="Tahoma"/>
            <family val="2"/>
          </rPr>
          <t xml:space="preserve">
F3Q25: Significant portion of capex increase to-date has been driven by AI-related investments. Private Cloud Compute. SIGNIFICANTLY GROWING INVESTMENT IN AI.
1/30/2025: no dramatic departure from history
Hearing could be up small</t>
        </r>
      </text>
    </comment>
    <comment ref="BB34" authorId="2" shapeId="0" xr:uid="{00000000-0006-0000-0B00-000011000000}">
      <text>
        <r>
          <rPr>
            <b/>
            <sz val="9"/>
            <color indexed="81"/>
            <rFont val="Tahoma"/>
            <family val="2"/>
          </rPr>
          <t>Author:</t>
        </r>
        <r>
          <rPr>
            <sz val="9"/>
            <color indexed="81"/>
            <rFont val="Tahoma"/>
            <family val="2"/>
          </rPr>
          <t xml:space="preserve">
includes purchases of other long-term investments</t>
        </r>
      </text>
    </comment>
    <comment ref="BC34" authorId="2" shapeId="0" xr:uid="{00000000-0006-0000-0B00-000012000000}">
      <text>
        <r>
          <rPr>
            <b/>
            <sz val="9"/>
            <color indexed="81"/>
            <rFont val="Tahoma"/>
            <family val="2"/>
          </rPr>
          <t>Author:</t>
        </r>
        <r>
          <rPr>
            <sz val="9"/>
            <color indexed="81"/>
            <rFont val="Tahoma"/>
            <family val="2"/>
          </rPr>
          <t xml:space="preserve">
includes purchases of other long-term investments</t>
        </r>
      </text>
    </comment>
    <comment ref="BD34" authorId="2" shapeId="0" xr:uid="{00000000-0006-0000-0B00-000013000000}">
      <text>
        <r>
          <rPr>
            <b/>
            <sz val="9"/>
            <color indexed="81"/>
            <rFont val="Tahoma"/>
            <family val="2"/>
          </rPr>
          <t>Author:</t>
        </r>
        <r>
          <rPr>
            <sz val="9"/>
            <color indexed="81"/>
            <rFont val="Tahoma"/>
            <family val="2"/>
          </rPr>
          <t xml:space="preserve">
includes purchases of other long-term investments</t>
        </r>
      </text>
    </comment>
    <comment ref="BE34" authorId="2" shapeId="0" xr:uid="{00000000-0006-0000-0B00-000014000000}">
      <text>
        <r>
          <rPr>
            <b/>
            <sz val="9"/>
            <color indexed="81"/>
            <rFont val="Tahoma"/>
            <family val="2"/>
          </rPr>
          <t>Author:</t>
        </r>
        <r>
          <rPr>
            <sz val="9"/>
            <color indexed="81"/>
            <rFont val="Tahoma"/>
            <family val="2"/>
          </rPr>
          <t xml:space="preserve">
includes purchases of other long-term investments</t>
        </r>
      </text>
    </comment>
    <comment ref="CK39" authorId="1" shapeId="0" xr:uid="{00000000-0006-0000-0B00-000015000000}">
      <text>
        <r>
          <rPr>
            <b/>
            <sz val="9"/>
            <color indexed="81"/>
            <rFont val="Tahoma"/>
            <family val="2"/>
          </rPr>
          <t>Author:</t>
        </r>
        <r>
          <rPr>
            <sz val="9"/>
            <color indexed="81"/>
            <rFont val="Tahoma"/>
            <family val="2"/>
          </rPr>
          <t xml:space="preserve">
adjusting for restatements</t>
        </r>
      </text>
    </comment>
    <comment ref="CF41" authorId="9" shapeId="0" xr:uid="{00000000-0006-0000-0B00-000016000000}">
      <text>
        <r>
          <rPr>
            <b/>
            <sz val="9"/>
            <color indexed="81"/>
            <rFont val="Tahoma"/>
            <family val="2"/>
          </rPr>
          <t>Author:</t>
        </r>
        <r>
          <rPr>
            <sz val="9"/>
            <color indexed="81"/>
            <rFont val="Tahoma"/>
            <family val="2"/>
          </rPr>
          <t xml:space="preserve">
4/26/16: in total over the next 8 qtrs, expect to return $87bn to shareholders</t>
        </r>
      </text>
    </comment>
    <comment ref="CG41" authorId="8" shapeId="0" xr:uid="{00000000-0006-0000-0B00-000017000000}">
      <text>
        <r>
          <rPr>
            <b/>
            <sz val="9"/>
            <color indexed="81"/>
            <rFont val="Tahoma"/>
            <family val="2"/>
          </rPr>
          <t>Author:</t>
        </r>
        <r>
          <rPr>
            <sz val="9"/>
            <color indexed="81"/>
            <rFont val="Tahoma"/>
            <family val="2"/>
          </rPr>
          <t xml:space="preserve">
10/25/16: Have completed $186bn of $250bn capital return program</t>
        </r>
      </text>
    </comment>
    <comment ref="CN41" authorId="5" shapeId="0" xr:uid="{C709E40F-D9C9-44B0-9454-089F815D4976}">
      <text>
        <r>
          <rPr>
            <b/>
            <sz val="9"/>
            <color indexed="81"/>
            <rFont val="Tahoma"/>
            <family val="2"/>
          </rPr>
          <t>Author:</t>
        </r>
        <r>
          <rPr>
            <sz val="9"/>
            <color indexed="81"/>
            <rFont val="Tahoma"/>
            <family val="2"/>
          </rPr>
          <t xml:space="preserve">
2Q18: announces 16% increase in its quarterly dividend</t>
        </r>
      </text>
    </comment>
    <comment ref="CR41" authorId="5" shapeId="0" xr:uid="{40FCFAE8-0E4B-47A6-A4DB-664F0E06FE2E}">
      <text>
        <r>
          <rPr>
            <b/>
            <sz val="9"/>
            <color indexed="81"/>
            <rFont val="Tahoma"/>
            <family val="2"/>
          </rPr>
          <t>Author:</t>
        </r>
        <r>
          <rPr>
            <sz val="9"/>
            <color indexed="81"/>
            <rFont val="Tahoma"/>
            <family val="2"/>
          </rPr>
          <t xml:space="preserve">
2Q19: decared a cash dividend of $0.77 (5% increase); record date: 5/13/19 (payable 5/16/19)</t>
        </r>
      </text>
    </comment>
    <comment ref="CV41" authorId="5" shapeId="0" xr:uid="{923F3800-0307-4C70-B1C3-525E8F633002}">
      <text>
        <r>
          <rPr>
            <b/>
            <sz val="9"/>
            <color indexed="81"/>
            <rFont val="Tahoma"/>
            <family val="2"/>
          </rPr>
          <t>Author:</t>
        </r>
        <r>
          <rPr>
            <sz val="9"/>
            <color indexed="81"/>
            <rFont val="Tahoma"/>
            <family val="2"/>
          </rPr>
          <t xml:space="preserve">
2Q20: increases quarterly dividend by 6.5% to $0.82, payable 5/14/2020</t>
        </r>
      </text>
    </comment>
    <comment ref="CZ41" authorId="5" shapeId="0" xr:uid="{6113EDB1-42BB-4608-B4C9-3ED4C5123CF9}">
      <text>
        <r>
          <rPr>
            <b/>
            <sz val="9"/>
            <color indexed="81"/>
            <rFont val="Tahoma"/>
            <family val="2"/>
          </rPr>
          <t>Author:</t>
        </r>
        <r>
          <rPr>
            <sz val="9"/>
            <color indexed="81"/>
            <rFont val="Tahoma"/>
            <family val="2"/>
          </rPr>
          <t xml:space="preserve">
2Q21: increases quarterly dividend by 7.3% to $0.22 (from $0.205 prior); payable 5/13/21</t>
        </r>
      </text>
    </comment>
    <comment ref="FH41" authorId="9" shapeId="0" xr:uid="{00000000-0006-0000-0B00-000018000000}">
      <text>
        <r>
          <rPr>
            <b/>
            <sz val="9"/>
            <color indexed="81"/>
            <rFont val="Tahoma"/>
            <family val="2"/>
          </rPr>
          <t>Author:</t>
        </r>
        <r>
          <rPr>
            <sz val="9"/>
            <color indexed="81"/>
            <rFont val="Tahoma"/>
            <family val="2"/>
          </rPr>
          <t xml:space="preserve">
4/26/16: will target annual dividend hikes</t>
        </r>
      </text>
    </comment>
    <comment ref="CB42" authorId="6" shapeId="0" xr:uid="{00000000-0006-0000-0B00-000019000000}">
      <text>
        <r>
          <rPr>
            <b/>
            <sz val="9"/>
            <color indexed="81"/>
            <rFont val="Tahoma"/>
            <family val="2"/>
          </rPr>
          <t>Author:</t>
        </r>
        <r>
          <rPr>
            <sz val="9"/>
            <color indexed="81"/>
            <rFont val="Tahoma"/>
            <family val="2"/>
          </rPr>
          <t xml:space="preserve">
$6bn COMPANY0150 entered in May, ending in Nov. In F3Q, 38.3mn shares were delivered.</t>
        </r>
      </text>
    </comment>
    <comment ref="CC42" authorId="6" shapeId="0" xr:uid="{00000000-0006-0000-0B00-00001A000000}">
      <text>
        <r>
          <rPr>
            <b/>
            <sz val="9"/>
            <color indexed="81"/>
            <rFont val="Tahoma"/>
            <family val="2"/>
          </rPr>
          <t xml:space="preserve">Author:
</t>
        </r>
        <r>
          <rPr>
            <sz val="9"/>
            <color indexed="81"/>
            <rFont val="Tahoma"/>
            <family val="2"/>
          </rPr>
          <t>1) $50bn remaining of the $140bn buyback authorization as of June 27, 2015</t>
        </r>
        <r>
          <rPr>
            <b/>
            <sz val="9"/>
            <color indexed="81"/>
            <rFont val="Tahoma"/>
            <family val="2"/>
          </rPr>
          <t xml:space="preserve">
</t>
        </r>
        <r>
          <rPr>
            <sz val="9"/>
            <color indexed="81"/>
            <rFont val="Tahoma"/>
            <family val="2"/>
          </rPr>
          <t xml:space="preserve">
2) $6bn COMPANY0150 entered in May, ending in Nov. In F3Q, 38.3mn shares were delivered.</t>
        </r>
      </text>
    </comment>
    <comment ref="CD42" authorId="6" shapeId="0" xr:uid="{00000000-0006-0000-0B00-00001B000000}">
      <text>
        <r>
          <rPr>
            <b/>
            <sz val="9"/>
            <color indexed="81"/>
            <rFont val="Tahoma"/>
            <family val="2"/>
          </rPr>
          <t>Author:</t>
        </r>
        <r>
          <rPr>
            <sz val="9"/>
            <color indexed="81"/>
            <rFont val="Tahoma"/>
            <family val="2"/>
          </rPr>
          <t xml:space="preserve">
$6bn COMPANY0150 entered in May, ending in Nov. In F3Q, 38.3mn shares were delivered.</t>
        </r>
      </text>
    </comment>
    <comment ref="CF42" authorId="9" shapeId="0" xr:uid="{00000000-0006-0000-0B00-00001C000000}">
      <text>
        <r>
          <rPr>
            <b/>
            <sz val="9"/>
            <color indexed="81"/>
            <rFont val="Tahoma"/>
            <family val="2"/>
          </rPr>
          <t>Author:</t>
        </r>
        <r>
          <rPr>
            <sz val="9"/>
            <color indexed="81"/>
            <rFont val="Tahoma"/>
            <family val="2"/>
          </rPr>
          <t xml:space="preserve">
4/26/16: in total over the next 8 qtrs, expect to return $87bn to shareholders</t>
        </r>
      </text>
    </comment>
    <comment ref="CG42" authorId="8" shapeId="0" xr:uid="{00000000-0006-0000-0B00-00001D000000}">
      <text>
        <r>
          <rPr>
            <b/>
            <sz val="9"/>
            <color indexed="81"/>
            <rFont val="Tahoma"/>
            <family val="2"/>
          </rPr>
          <t>Author:</t>
        </r>
        <r>
          <rPr>
            <sz val="9"/>
            <color indexed="81"/>
            <rFont val="Tahoma"/>
            <family val="2"/>
          </rPr>
          <t xml:space="preserve">
10/25/16: Have completed $186bn of $250bn capital return program, incl. $133bn in share repurchases.</t>
        </r>
      </text>
    </comment>
    <comment ref="CI42" authorId="1" shapeId="0" xr:uid="{00000000-0006-0000-0B00-00001E000000}">
      <text>
        <r>
          <rPr>
            <b/>
            <sz val="9"/>
            <color indexed="81"/>
            <rFont val="Tahoma"/>
            <family val="2"/>
          </rPr>
          <t>Author:</t>
        </r>
        <r>
          <rPr>
            <sz val="9"/>
            <color indexed="81"/>
            <rFont val="Tahoma"/>
            <family val="2"/>
          </rPr>
          <t xml:space="preserve">
FQ2'17 call: "We have now completed $151 billion in share repurchases"
"increased the share repurchase authorization by $35 billion, raising it from the current $175 billion level by March 2018 </t>
        </r>
        <r>
          <rPr>
            <b/>
            <sz val="9"/>
            <color indexed="81"/>
            <rFont val="Tahoma"/>
            <family val="2"/>
          </rPr>
          <t>to $210 billion by March 2019</t>
        </r>
        <r>
          <rPr>
            <sz val="9"/>
            <color indexed="81"/>
            <rFont val="Tahoma"/>
            <family val="2"/>
          </rPr>
          <t>"</t>
        </r>
      </text>
    </comment>
    <comment ref="CN42" authorId="5" shapeId="0" xr:uid="{D500068F-FD65-44FF-884B-37727529E1D2}">
      <text>
        <r>
          <rPr>
            <b/>
            <sz val="9"/>
            <color indexed="81"/>
            <rFont val="Tahoma"/>
            <family val="2"/>
          </rPr>
          <t>Author:</t>
        </r>
        <r>
          <rPr>
            <sz val="9"/>
            <color indexed="81"/>
            <rFont val="Tahoma"/>
            <family val="2"/>
          </rPr>
          <t xml:space="preserve">
2Q18: announced $100B in share repurchases; will take time to execute but Ticker0001 plans to do it "at a fast pace"</t>
        </r>
      </text>
    </comment>
    <comment ref="CR42" authorId="3" shapeId="0" xr:uid="{07E99923-1748-4534-92DA-73C487F97495}">
      <text>
        <r>
          <rPr>
            <b/>
            <sz val="9"/>
            <color indexed="81"/>
            <rFont val="Tahoma"/>
            <family val="2"/>
          </rPr>
          <t>Author:</t>
        </r>
        <r>
          <rPr>
            <sz val="9"/>
            <color indexed="81"/>
            <rFont val="Tahoma"/>
            <family val="2"/>
          </rPr>
          <t xml:space="preserve">
F2Q19: New $75 bn buyack announced</t>
        </r>
      </text>
    </comment>
    <comment ref="CV42" authorId="5" shapeId="0" xr:uid="{FFFA9249-6D24-42B3-B7B8-6C99CFC32DA6}">
      <text>
        <r>
          <rPr>
            <b/>
            <sz val="9"/>
            <color indexed="81"/>
            <rFont val="Tahoma"/>
            <family val="2"/>
          </rPr>
          <t>Author:</t>
        </r>
        <r>
          <rPr>
            <sz val="9"/>
            <color indexed="81"/>
            <rFont val="Tahoma"/>
            <family val="2"/>
          </rPr>
          <t xml:space="preserve">
2Q20: Authorized an increase of $50B to existing share repurchase program</t>
        </r>
      </text>
    </comment>
    <comment ref="CZ42" authorId="5" shapeId="0" xr:uid="{F8DB565C-652B-482B-9301-E633947D46D2}">
      <text>
        <r>
          <rPr>
            <b/>
            <sz val="9"/>
            <color indexed="81"/>
            <rFont val="Tahoma"/>
            <family val="2"/>
          </rPr>
          <t>Author:</t>
        </r>
        <r>
          <rPr>
            <sz val="9"/>
            <color indexed="81"/>
            <rFont val="Tahoma"/>
            <family val="2"/>
          </rPr>
          <t xml:space="preserve">
2Q21: increase of $90B to existing share repurchase program</t>
        </r>
      </text>
    </comment>
    <comment ref="DC42" authorId="5" shapeId="0" xr:uid="{77805691-D327-4C46-BB28-702A0418C22D}">
      <text>
        <r>
          <rPr>
            <b/>
            <sz val="9"/>
            <color indexed="81"/>
            <rFont val="Tahoma"/>
            <family val="2"/>
          </rPr>
          <t>Author:</t>
        </r>
        <r>
          <rPr>
            <sz val="9"/>
            <color indexed="81"/>
            <rFont val="Tahoma"/>
            <family val="2"/>
          </rPr>
          <t xml:space="preserve">
2Q22: increase of $90B to existing share repurchase program</t>
        </r>
      </text>
    </comment>
    <comment ref="DF42" authorId="3" shapeId="0" xr:uid="{0075FE56-BFF1-4AEA-B7B2-9408A646AFF4}">
      <text>
        <r>
          <rPr>
            <b/>
            <sz val="9"/>
            <color indexed="81"/>
            <rFont val="Tahoma"/>
            <family val="2"/>
          </rPr>
          <t>Author:</t>
        </r>
        <r>
          <rPr>
            <sz val="9"/>
            <color indexed="81"/>
            <rFont val="Tahoma"/>
            <family val="2"/>
          </rPr>
          <t xml:space="preserve">
133 mn shares
$42 bn left on $90 bn authorization</t>
        </r>
      </text>
    </comment>
    <comment ref="DG42" authorId="3" shapeId="0" xr:uid="{A3409BDD-4166-4D97-ADC5-2BBD722E0AA2}">
      <text>
        <r>
          <rPr>
            <b/>
            <sz val="9"/>
            <color indexed="81"/>
            <rFont val="Tahoma"/>
            <family val="2"/>
          </rPr>
          <t>Author:</t>
        </r>
        <r>
          <rPr>
            <sz val="9"/>
            <color indexed="81"/>
            <rFont val="Tahoma"/>
            <family val="2"/>
          </rPr>
          <t xml:space="preserve">
Announced new $90 bn authorization</t>
        </r>
      </text>
    </comment>
    <comment ref="DI42" authorId="3" shapeId="0" xr:uid="{370C0A9D-F04E-45AA-A174-280ACAC6828C}">
      <text>
        <r>
          <rPr>
            <b/>
            <sz val="9"/>
            <color indexed="81"/>
            <rFont val="Tahoma"/>
            <family val="2"/>
          </rPr>
          <t>Author:</t>
        </r>
        <r>
          <rPr>
            <sz val="9"/>
            <color indexed="81"/>
            <rFont val="Tahoma"/>
            <family val="2"/>
          </rPr>
          <t xml:space="preserve">
F4Q23: $15.5 bn open market purchases (85 mn shares). $5 bn COMPANY0150 in August (22 mn shares)</t>
        </r>
      </text>
    </comment>
    <comment ref="DK42" authorId="3" shapeId="0" xr:uid="{1171D0CA-BB11-4C52-A7BC-BDC37460F344}">
      <text>
        <r>
          <rPr>
            <b/>
            <sz val="9"/>
            <color indexed="81"/>
            <rFont val="Tahoma"/>
            <family val="2"/>
          </rPr>
          <t>Author:</t>
        </r>
        <r>
          <rPr>
            <sz val="9"/>
            <color indexed="81"/>
            <rFont val="Tahoma"/>
            <family val="2"/>
          </rPr>
          <t xml:space="preserve">
F2Q24: announced new $110 bn authorization</t>
        </r>
      </text>
    </comment>
    <comment ref="DL42" authorId="3" shapeId="0" xr:uid="{A3A8062F-EA4B-49E0-BDDC-7667C356C90B}">
      <text>
        <r>
          <rPr>
            <b/>
            <sz val="9"/>
            <color indexed="81"/>
            <rFont val="Tahoma"/>
            <family val="2"/>
          </rPr>
          <t>Author:</t>
        </r>
        <r>
          <rPr>
            <sz val="9"/>
            <color indexed="81"/>
            <rFont val="Tahoma"/>
            <family val="2"/>
          </rPr>
          <t xml:space="preserve">
F3Q24: 139 mn Company0242 shares</t>
        </r>
      </text>
    </comment>
    <comment ref="DO42" authorId="3" shapeId="0" xr:uid="{7A77FD53-90E2-4D5E-AC24-E3011D6E8D1D}">
      <text>
        <r>
          <rPr>
            <b/>
            <sz val="9"/>
            <color indexed="81"/>
            <rFont val="Tahoma"/>
            <family val="2"/>
          </rPr>
          <t>Author:</t>
        </r>
        <r>
          <rPr>
            <sz val="9"/>
            <color indexed="81"/>
            <rFont val="Tahoma"/>
            <family val="2"/>
          </rPr>
          <t xml:space="preserve">
F2Q25: $100 bn authorization </t>
        </r>
      </text>
    </comment>
    <comment ref="DH43" authorId="10" shapeId="0" xr:uid="{643E7C4C-9E90-4B4D-B850-5747121E47E5}">
      <text>
        <r>
          <rPr>
            <b/>
            <sz val="9"/>
            <color indexed="81"/>
            <rFont val="Tahoma"/>
            <family val="2"/>
          </rPr>
          <t>Author:</t>
        </r>
        <r>
          <rPr>
            <sz val="9"/>
            <color indexed="81"/>
            <rFont val="Tahoma"/>
            <family val="2"/>
          </rPr>
          <t xml:space="preserve">
5/10/23: consumated the issuance and sale of:
- $1 bn 2026 notes (4.421%)
- $1.5 bn 2028 notes (4%)
- $0.5 bn 2030 notes (4.150%)
- $1.00 bn 2033 notes (4%)
- $1.25 bn 2053 notes (4.850%)</t>
        </r>
      </text>
    </comment>
    <comment ref="DP43" authorId="11" shapeId="0" xr:uid="{74F00A9E-8A17-471D-91E6-D54341DBDE3E}">
      <text>
        <r>
          <rPr>
            <b/>
            <sz val="9"/>
            <color indexed="81"/>
            <rFont val="Tahoma"/>
            <family val="2"/>
          </rPr>
          <t>Author:</t>
        </r>
        <r>
          <rPr>
            <sz val="9"/>
            <color indexed="81"/>
            <rFont val="Tahoma"/>
            <family val="2"/>
          </rPr>
          <t xml:space="preserve">
5.12.25: Company0242 issues $4.5 bn in debt
- $1.5 bn 4% 2028 notes
- $1 bn 4.2% 2030 notes
- $1 bn 4.5% 2030 notes
- $ 1 bn 4.75% 2035 notes</t>
        </r>
      </text>
    </comment>
    <comment ref="DF72" authorId="10" shapeId="0" xr:uid="{F4154278-553B-4820-93D0-508BD80580A8}">
      <text>
        <r>
          <rPr>
            <b/>
            <sz val="9"/>
            <color indexed="81"/>
            <rFont val="Tahoma"/>
            <family val="2"/>
          </rPr>
          <t>Author:</t>
        </r>
        <r>
          <rPr>
            <sz val="9"/>
            <color indexed="81"/>
            <rFont val="Tahoma"/>
            <family val="2"/>
          </rPr>
          <t xml:space="preserve">
10Q page 14 " the company purchased X million share of common stock"</t>
        </r>
      </text>
    </comment>
    <comment ref="DJ72" authorId="3" shapeId="0" xr:uid="{B52DB9DF-244A-4AAF-A2E3-CB398B01413C}">
      <text>
        <r>
          <rPr>
            <b/>
            <sz val="9"/>
            <color indexed="81"/>
            <rFont val="Tahoma"/>
            <family val="2"/>
          </rPr>
          <t>Author:</t>
        </r>
        <r>
          <rPr>
            <sz val="9"/>
            <color indexed="81"/>
            <rFont val="Tahoma"/>
            <family val="2"/>
          </rPr>
          <t xml:space="preserve">
Includes 6.5 mn ASRs in August 2023 </t>
        </r>
      </text>
    </comment>
    <comment ref="A73" authorId="3" shapeId="0" xr:uid="{75DEBDDA-E822-4F6B-B69B-76EC974F627A}">
      <text>
        <r>
          <rPr>
            <b/>
            <sz val="9"/>
            <color indexed="81"/>
            <rFont val="Tahoma"/>
            <family val="2"/>
          </rPr>
          <t>Author:</t>
        </r>
        <r>
          <rPr>
            <sz val="9"/>
            <color indexed="81"/>
            <rFont val="Tahoma"/>
            <family val="2"/>
          </rPr>
          <t xml:space="preserve">
See Note 8 - Shareholder's Equity in 10-K.. Might have to use front page for 10-Q</t>
        </r>
      </text>
    </comment>
    <comment ref="DF73" authorId="10" shapeId="0" xr:uid="{4F76C800-B45F-4E29-8370-4D91EEEBD57A}">
      <text>
        <r>
          <rPr>
            <b/>
            <sz val="9"/>
            <color indexed="81"/>
            <rFont val="Tahoma"/>
            <family val="2"/>
          </rPr>
          <t>Author:</t>
        </r>
        <r>
          <rPr>
            <sz val="9"/>
            <color indexed="81"/>
            <rFont val="Tahoma"/>
            <family val="2"/>
          </rPr>
          <t xml:space="preserve">
10Q cover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Person1258, Person0065 </author>
    <author>Person1255, Person1250 </author>
    <author>Person0907, Person0082 </author>
    <author>Author21</author>
    <author>Author22</author>
    <author>Person0609, Person0094 </author>
    <author>Person0200, Person0592 </author>
  </authors>
  <commentList>
    <comment ref="AH8" authorId="0" shapeId="0" xr:uid="{C7C9AEB6-4C44-4526-91EC-4C3064F79152}">
      <text>
        <r>
          <rPr>
            <b/>
            <sz val="9"/>
            <color indexed="81"/>
            <rFont val="Tahoma"/>
            <family val="2"/>
          </rPr>
          <t>Author:</t>
        </r>
        <r>
          <rPr>
            <sz val="9"/>
            <color indexed="81"/>
            <rFont val="Tahoma"/>
            <family val="2"/>
          </rPr>
          <t xml:space="preserve">
Restatement of geographic segments from Other Segments to Rest of APAC and Other Segments</t>
        </r>
      </text>
    </comment>
    <comment ref="A11" authorId="0" shapeId="0" xr:uid="{26B18C5D-47E4-43FC-A378-B2B632A9E9AA}">
      <text>
        <r>
          <rPr>
            <b/>
            <sz val="9"/>
            <color indexed="81"/>
            <rFont val="Tahoma"/>
            <family val="2"/>
          </rPr>
          <t>Author:</t>
        </r>
        <r>
          <rPr>
            <sz val="9"/>
            <color indexed="81"/>
            <rFont val="Tahoma"/>
            <family val="2"/>
          </rPr>
          <t xml:space="preserve">
Includes HK &amp; Taiwan</t>
        </r>
      </text>
    </comment>
    <comment ref="CA11" authorId="1" shapeId="0" xr:uid="{E4109E4C-00AF-43E4-932F-F9D51E7CA597}">
      <text>
        <r>
          <rPr>
            <b/>
            <sz val="9"/>
            <color indexed="81"/>
            <rFont val="Tahoma"/>
            <family val="2"/>
          </rPr>
          <t>Author:</t>
        </r>
        <r>
          <rPr>
            <sz val="9"/>
            <color indexed="81"/>
            <rFont val="Tahoma"/>
            <family val="2"/>
          </rPr>
          <t xml:space="preserve">
3/14: all stores closed until March 27
3/12/2020: All 42 branded doors in China opened
As of 2/24/2020, 29 of 42 doors reopened at limited hours</t>
        </r>
      </text>
    </comment>
    <comment ref="CL11" authorId="1" shapeId="0" xr:uid="{0E42F90F-EA48-4758-8751-B1CC7CD3C230}">
      <text>
        <r>
          <rPr>
            <b/>
            <sz val="9"/>
            <color indexed="81"/>
            <rFont val="Tahoma"/>
            <family val="2"/>
          </rPr>
          <t>Author:</t>
        </r>
        <r>
          <rPr>
            <sz val="9"/>
            <color indexed="81"/>
            <rFont val="Tahoma"/>
            <family val="2"/>
          </rPr>
          <t xml:space="preserve">
F1Q23: grew consant currency despite supply constraints. Consumer improved in December strongly v. November. Too early to talk about Jan</t>
        </r>
      </text>
    </comment>
    <comment ref="CQ11" authorId="1" shapeId="0" xr:uid="{ADCFC40A-8832-4F90-8C07-66313A46D5E5}">
      <text>
        <r>
          <rPr>
            <b/>
            <sz val="9"/>
            <color indexed="81"/>
            <rFont val="Tahoma"/>
            <family val="2"/>
          </rPr>
          <t>Author:</t>
        </r>
        <r>
          <rPr>
            <sz val="9"/>
            <color indexed="81"/>
            <rFont val="Tahoma"/>
            <family val="2"/>
          </rPr>
          <t xml:space="preserve">
F2Q24: Product0489 grew in Mainland China</t>
        </r>
      </text>
    </comment>
    <comment ref="CT12" authorId="1" shapeId="0" xr:uid="{DF0A3552-D936-4279-A691-2522E9AEB514}">
      <text>
        <r>
          <rPr>
            <b/>
            <sz val="9"/>
            <color indexed="81"/>
            <rFont val="Tahoma"/>
            <family val="2"/>
          </rPr>
          <t>Author:</t>
        </r>
        <r>
          <rPr>
            <sz val="9"/>
            <color indexed="81"/>
            <rFont val="Tahoma"/>
            <family val="2"/>
          </rPr>
          <t xml:space="preserve">
Product0489 getting benefits from JPY weakness.</t>
        </r>
      </text>
    </comment>
    <comment ref="A13" authorId="2" shapeId="0" xr:uid="{00000000-0006-0000-0D00-000002000000}">
      <text>
        <r>
          <rPr>
            <b/>
            <sz val="9"/>
            <color indexed="81"/>
            <rFont val="Tahoma"/>
            <family val="2"/>
          </rPr>
          <t>Author:</t>
        </r>
        <r>
          <rPr>
            <sz val="9"/>
            <color indexed="81"/>
            <rFont val="Tahoma"/>
            <family val="2"/>
          </rPr>
          <t xml:space="preserve">
includes Greater China+Rest of APAC till Q411
* prior to 2009, segment was titled "Other Segments"</t>
        </r>
      </text>
    </comment>
    <comment ref="CN13" authorId="1" shapeId="0" xr:uid="{3B44598D-DD7D-4597-AE9C-B6B22259380A}">
      <text>
        <r>
          <rPr>
            <b/>
            <sz val="9"/>
            <color indexed="81"/>
            <rFont val="Tahoma"/>
            <family val="2"/>
          </rPr>
          <t>Author:</t>
        </r>
        <r>
          <rPr>
            <sz val="9"/>
            <color indexed="81"/>
            <rFont val="Tahoma"/>
            <family val="2"/>
          </rPr>
          <t xml:space="preserve">
2X India stores opened in April 2023
11/1/23: 3Q23 -&gt; Company0242 records highest ever quarterly shipment to India at 2.5 million units (34% growth yoy). Meanwhile 3Q23 saw Company2530 share in Indian smartphone market decline from 19.5% to 17.2%</t>
        </r>
      </text>
    </comment>
    <comment ref="EJ13" authorId="0" shapeId="0" xr:uid="{9FD12B3F-90C9-4DCD-8000-31E3F93F632A}">
      <text>
        <r>
          <rPr>
            <b/>
            <sz val="9"/>
            <color indexed="81"/>
            <rFont val="Tahoma"/>
            <family val="2"/>
          </rPr>
          <t>Author:</t>
        </r>
        <r>
          <rPr>
            <sz val="9"/>
            <color indexed="81"/>
            <rFont val="Tahoma"/>
            <family val="2"/>
          </rPr>
          <t xml:space="preserve">
$1.8B of revenue in India (market share roughly 1%); Company2965 cites iPhones as too expensive for all but wealthiest Indians </t>
        </r>
      </text>
    </comment>
    <comment ref="EN13" authorId="1" shapeId="0" xr:uid="{9191D47C-1E6E-4D35-B3B8-EA36D6D8F7AF}">
      <text>
        <r>
          <rPr>
            <b/>
            <sz val="9"/>
            <color indexed="81"/>
            <rFont val="Tahoma"/>
            <family val="2"/>
          </rPr>
          <t>Author:</t>
        </r>
        <r>
          <rPr>
            <sz val="9"/>
            <color indexed="81"/>
            <rFont val="Tahoma"/>
            <family val="2"/>
          </rPr>
          <t xml:space="preserve">
 2022 sell-in for India was 6.5 mn (v. 50 mn each for US and China)
Bloomberg reports $6 bn revenue in India 2022 from iPhones</t>
        </r>
      </text>
    </comment>
    <comment ref="EO13" authorId="1" shapeId="0" xr:uid="{3DE6FE6D-FB78-4FD2-90B9-34D567547E2D}">
      <text>
        <r>
          <rPr>
            <b/>
            <sz val="9"/>
            <color indexed="81"/>
            <rFont val="Tahoma"/>
            <family val="2"/>
          </rPr>
          <t>Author:</t>
        </r>
        <r>
          <rPr>
            <sz val="9"/>
            <color indexed="81"/>
            <rFont val="Tahoma"/>
            <family val="2"/>
          </rPr>
          <t xml:space="preserve">
</t>
        </r>
        <r>
          <rPr>
            <b/>
            <u/>
            <sz val="9"/>
            <color indexed="81"/>
            <rFont val="Tahoma"/>
            <family val="2"/>
          </rPr>
          <t xml:space="preserve">PED30: 
</t>
        </r>
        <r>
          <rPr>
            <sz val="9"/>
            <color indexed="81"/>
            <rFont val="Tahoma"/>
            <family val="2"/>
          </rPr>
          <t xml:space="preserve">https://example.com/
Bloomberg reports that Company0242 has named Person0092 Person0237 to head Company0242 India
India projected to be the largest country by population in CY23
Recent rollout of 5G infrastructure
Economic growth/migration toward middle class (India GDP projected to grow ~9% vs. ~5% for the world) – 500M of India’s population will move into the middle class over the next decade.
Company1298 estimates Product0489 market share in India will reach ~4-5% over the next 3-5 years; however, if we assume Ticker0001 can attain China like market share in India over time (~17%), this could represent incremental Product0489 units of ~23M (for a total of 31M units), $22-23B in sales upside and ~$0.40-0.50 of annual EPS upside.
Product0489 unit growth will help accelerate Product0489 install base and provide the company with substantial opportunities to attach ancillary services.
6.5 mn units of iPhones in India in F2022 @ $1000 = $6.5 bn  (~2% of revenue).. bloomberg reports $6 bn from phones.
2% market share -&gt; 17% in 10 years
</t>
        </r>
      </text>
    </comment>
    <comment ref="EQ13" authorId="1" shapeId="0" xr:uid="{1D3FE0F2-6ECA-4CEA-A7A3-F3319DEB4538}">
      <text>
        <r>
          <rPr>
            <b/>
            <sz val="9"/>
            <color indexed="81"/>
            <rFont val="Tahoma"/>
            <family val="2"/>
          </rPr>
          <t>Author:</t>
        </r>
        <r>
          <rPr>
            <sz val="9"/>
            <color indexed="81"/>
            <rFont val="Tahoma"/>
            <family val="2"/>
          </rPr>
          <t xml:space="preserve">
Company2965 12/8/2023: Company0242 aims to build 50-60 mn iPhones in India annually within the next 2-3 years. Capacity to grow by tens of millions of units after that. 
This would be 25% of global Product0489 production
- Company1035 push into India going well. First phase in Company1035 plant in the southern state of Karnataka, which is going to start in April, to make 20 mn handsets annually, mainly iPhones. 
- Lower-end iPhones to be manufacturered in India
- Company1035 to expand plant near Chennai, Company2736 bought an existing plant from Company3001 
- Company1035 committed to $1.5 bn investment in India
- hourly wages significantly lower in India than in China but other costs like transports remain higher, and labor unions might be tough. 
- work limit extended to 12-hours from 9-hours in Karnataka</t>
        </r>
      </text>
    </comment>
    <comment ref="A14" authorId="0" shapeId="0" xr:uid="{0E1C59B9-E3DB-4537-9877-EAD181431476}">
      <text>
        <r>
          <rPr>
            <b/>
            <sz val="9"/>
            <color indexed="81"/>
            <rFont val="Tahoma"/>
            <family val="2"/>
          </rPr>
          <t>Author:</t>
        </r>
        <r>
          <rPr>
            <sz val="9"/>
            <color indexed="81"/>
            <rFont val="Tahoma"/>
            <family val="2"/>
          </rPr>
          <t xml:space="preserve">
Based on sales from Company0244 retail stores in 11 countries (incl. U.S.);
*change to reporting was made in 2015 (with historicals up to 2012 provided)</t>
        </r>
      </text>
    </comment>
    <comment ref="R14" authorId="3" shapeId="0" xr:uid="{00000000-0006-0000-0D00-000003000000}">
      <text>
        <r>
          <rPr>
            <b/>
            <sz val="8"/>
            <color indexed="81"/>
            <rFont val="Tahoma"/>
            <family val="2"/>
          </rPr>
          <t>Author:</t>
        </r>
        <r>
          <rPr>
            <sz val="8"/>
            <color indexed="81"/>
            <rFont val="Tahoma"/>
            <family val="2"/>
          </rPr>
          <t xml:space="preserve">
Opened 15 new stores; 1/2 "mini"
101 total stores
</t>
        </r>
      </text>
    </comment>
    <comment ref="S14" authorId="3" shapeId="0" xr:uid="{00000000-0006-0000-0D00-000004000000}">
      <text>
        <r>
          <rPr>
            <b/>
            <sz val="8"/>
            <color indexed="81"/>
            <rFont val="Tahoma"/>
            <family val="2"/>
          </rPr>
          <t>Author:</t>
        </r>
        <r>
          <rPr>
            <sz val="8"/>
            <color indexed="81"/>
            <rFont val="Tahoma"/>
            <family val="2"/>
          </rPr>
          <t xml:space="preserve">
2 new stores to 103; 105 thru April</t>
        </r>
      </text>
    </comment>
    <comment ref="T14" authorId="3" shapeId="0" xr:uid="{00000000-0006-0000-0D00-000005000000}">
      <text>
        <r>
          <rPr>
            <b/>
            <sz val="8"/>
            <color indexed="81"/>
            <rFont val="Tahoma"/>
            <family val="2"/>
          </rPr>
          <t>Author:</t>
        </r>
        <r>
          <rPr>
            <sz val="8"/>
            <color indexed="81"/>
            <rFont val="Tahoma"/>
            <family val="2"/>
          </rPr>
          <t xml:space="preserve">
7 new stores to 110; 125 expected by Sep Q end</t>
        </r>
      </text>
    </comment>
    <comment ref="W14" authorId="4" shapeId="0" xr:uid="{00000000-0006-0000-0D00-000006000000}">
      <text>
        <r>
          <rPr>
            <b/>
            <sz val="8"/>
            <color indexed="81"/>
            <rFont val="Tahoma"/>
            <family val="2"/>
          </rPr>
          <t>Author:</t>
        </r>
        <r>
          <rPr>
            <sz val="8"/>
            <color indexed="81"/>
            <rFont val="Tahoma"/>
            <family val="2"/>
          </rPr>
          <t xml:space="preserve">
Avg. of 138 stores.
142 stores at end of quarter. </t>
        </r>
      </text>
    </comment>
    <comment ref="EN14" authorId="1" shapeId="0" xr:uid="{37D5B2A9-EF2A-426C-AD0C-25D1FED2EA8E}">
      <text>
        <r>
          <rPr>
            <b/>
            <sz val="9"/>
            <color indexed="81"/>
            <rFont val="Tahoma"/>
            <family val="2"/>
          </rPr>
          <t>Author:</t>
        </r>
        <r>
          <rPr>
            <sz val="9"/>
            <color indexed="81"/>
            <rFont val="Tahoma"/>
            <family val="2"/>
          </rPr>
          <t xml:space="preserve">
12/21/22: 10% of iPhones are sold directly by Company0242</t>
        </r>
      </text>
    </comment>
    <comment ref="CR16" authorId="1" shapeId="0" xr:uid="{54FA1336-4BF9-4F49-8B47-F276DA673EF9}">
      <text>
        <r>
          <rPr>
            <b/>
            <sz val="9"/>
            <color indexed="81"/>
            <rFont val="Tahoma"/>
            <family val="2"/>
          </rPr>
          <t>Author:</t>
        </r>
        <r>
          <rPr>
            <sz val="9"/>
            <color indexed="81"/>
            <rFont val="Tahoma"/>
            <family val="2"/>
          </rPr>
          <t xml:space="preserve">
F3Q24: 2 dozen revenue records: Canada, Mexico, France, Germany, UK, India, Indonesia, Phillipines, and Thailand.</t>
        </r>
      </text>
    </comment>
    <comment ref="BY19" authorId="5" shapeId="0" xr:uid="{00000000-0006-0000-0D00-000001000000}">
      <text>
        <r>
          <rPr>
            <b/>
            <sz val="9"/>
            <color indexed="81"/>
            <rFont val="Tahoma"/>
            <family val="2"/>
          </rPr>
          <t>Author:</t>
        </r>
        <r>
          <rPr>
            <sz val="9"/>
            <color indexed="81"/>
            <rFont val="Tahoma"/>
            <family val="2"/>
          </rPr>
          <t xml:space="preserve">
FQ4'19 PR (10/30/19): International sales accounted for 60 percent of the quarter’s revenue.</t>
        </r>
      </text>
    </comment>
    <comment ref="EE21" authorId="0" shapeId="0" xr:uid="{12027BE2-33AF-4D50-954E-FDECAA057251}">
      <text>
        <r>
          <rPr>
            <b/>
            <sz val="9"/>
            <color indexed="81"/>
            <rFont val="Tahoma"/>
            <family val="2"/>
          </rPr>
          <t>Author:</t>
        </r>
        <r>
          <rPr>
            <sz val="9"/>
            <color indexed="81"/>
            <rFont val="Tahoma"/>
            <family val="2"/>
          </rPr>
          <t xml:space="preserve">
Reconciled for restatement of retail segment into respective geographies (began in 2015, but restatement for FY12-FY14)</t>
        </r>
      </text>
    </comment>
    <comment ref="EF21" authorId="0" shapeId="0" xr:uid="{E6E17872-4190-4ECB-BE8A-45450F8A54B1}">
      <text>
        <r>
          <rPr>
            <b/>
            <sz val="9"/>
            <color indexed="81"/>
            <rFont val="Tahoma"/>
            <family val="2"/>
          </rPr>
          <t>Author:</t>
        </r>
        <r>
          <rPr>
            <sz val="9"/>
            <color indexed="81"/>
            <rFont val="Tahoma"/>
            <family val="2"/>
          </rPr>
          <t xml:space="preserve">
Reconciled for restatement of retail segment into respective geographies (began in 2015, but restatement for FY12-FY14)</t>
        </r>
      </text>
    </comment>
    <comment ref="CL29" authorId="6" shapeId="0" xr:uid="{11CCE01E-8F8C-4F5C-87FC-08318CC9096B}">
      <text>
        <r>
          <rPr>
            <b/>
            <sz val="9"/>
            <color indexed="81"/>
            <rFont val="Tahoma"/>
            <family val="2"/>
          </rPr>
          <t>Author:</t>
        </r>
        <r>
          <rPr>
            <sz val="9"/>
            <color indexed="81"/>
            <rFont val="Tahoma"/>
            <family val="2"/>
          </rPr>
          <t xml:space="preserve">
10Q page 16 (note 9)</t>
        </r>
      </text>
    </comment>
    <comment ref="A33" authorId="2" shapeId="0" xr:uid="{00000000-0006-0000-0D00-000007000000}">
      <text>
        <r>
          <rPr>
            <b/>
            <sz val="9"/>
            <color indexed="81"/>
            <rFont val="Tahoma"/>
            <family val="2"/>
          </rPr>
          <t>Author:</t>
        </r>
        <r>
          <rPr>
            <sz val="9"/>
            <color indexed="81"/>
            <rFont val="Tahoma"/>
            <family val="2"/>
          </rPr>
          <t xml:space="preserve">
includes Greater China+Rest of APAC till Q411</t>
        </r>
      </text>
    </comment>
    <comment ref="AH34" authorId="0" shapeId="0" xr:uid="{8CA2142D-E354-4065-ABA8-46BD4472F116}">
      <text>
        <r>
          <rPr>
            <b/>
            <sz val="9"/>
            <color indexed="81"/>
            <rFont val="Tahoma"/>
            <family val="2"/>
          </rPr>
          <t>Author:</t>
        </r>
        <r>
          <rPr>
            <sz val="9"/>
            <color indexed="81"/>
            <rFont val="Tahoma"/>
            <family val="2"/>
          </rPr>
          <t xml:space="preserve">
Retail EBIT prior to 2009 are not comparable bc of restatement</t>
        </r>
      </text>
    </comment>
    <comment ref="A35" authorId="0" shapeId="0" xr:uid="{06260EA7-A31B-4FED-8CD6-5FBA25444E49}">
      <text>
        <r>
          <rPr>
            <b/>
            <sz val="9"/>
            <color indexed="81"/>
            <rFont val="Tahoma"/>
            <family val="2"/>
          </rPr>
          <t>Author:</t>
        </r>
        <r>
          <rPr>
            <sz val="9"/>
            <color indexed="81"/>
            <rFont val="Tahoma"/>
            <family val="2"/>
          </rPr>
          <t xml:space="preserve">
Does not include retail prior to 2009</t>
        </r>
      </text>
    </comment>
    <comment ref="A37" authorId="0" shapeId="0" xr:uid="{744AAC1A-DFCB-4859-933C-D47327AC6E10}">
      <text>
        <r>
          <rPr>
            <b/>
            <sz val="9"/>
            <color indexed="81"/>
            <rFont val="Tahoma"/>
            <family val="2"/>
          </rPr>
          <t>Author:</t>
        </r>
        <r>
          <rPr>
            <sz val="9"/>
            <color indexed="81"/>
            <rFont val="Tahoma"/>
            <family val="2"/>
          </rPr>
          <t xml:space="preserve">
overinflated bc does not include retail EBIT prior to 2009</t>
        </r>
      </text>
    </comment>
    <comment ref="CN44" authorId="1" shapeId="0" xr:uid="{03C7A04A-DAEB-4555-96B8-9C1B5A0F89F9}">
      <text>
        <r>
          <rPr>
            <b/>
            <sz val="9"/>
            <color indexed="81"/>
            <rFont val="Tahoma"/>
            <family val="2"/>
          </rPr>
          <t>Author:</t>
        </r>
        <r>
          <rPr>
            <sz val="9"/>
            <color indexed="81"/>
            <rFont val="Tahoma"/>
            <family val="2"/>
          </rPr>
          <t xml:space="preserve">
10-Q: Lower sales of Product0489, Mac. Services grew</t>
        </r>
      </text>
    </comment>
    <comment ref="EN44" authorId="1" shapeId="0" xr:uid="{C84ADA87-62EF-4853-9BB3-8358C40ADD2E}">
      <text>
        <r>
          <rPr>
            <b/>
            <sz val="9"/>
            <color indexed="81"/>
            <rFont val="Tahoma"/>
            <family val="2"/>
          </rPr>
          <t>Author:</t>
        </r>
        <r>
          <rPr>
            <sz val="9"/>
            <color indexed="81"/>
            <rFont val="Tahoma"/>
            <family val="2"/>
          </rPr>
          <t xml:space="preserve">
Growing nicely. 5G has helped. US is a large part of Americas</t>
        </r>
      </text>
    </comment>
    <comment ref="CN45" authorId="1" shapeId="0" xr:uid="{2D492A38-9B69-4AF0-ABE7-2AAB7DDB34BD}">
      <text>
        <r>
          <rPr>
            <b/>
            <sz val="9"/>
            <color indexed="81"/>
            <rFont val="Tahoma"/>
            <family val="2"/>
          </rPr>
          <t>Author:</t>
        </r>
        <r>
          <rPr>
            <sz val="9"/>
            <color indexed="81"/>
            <rFont val="Tahoma"/>
            <family val="2"/>
          </rPr>
          <t xml:space="preserve">
10-Q: Product0489 grew</t>
        </r>
      </text>
    </comment>
    <comment ref="EN45" authorId="1" shapeId="0" xr:uid="{A88BF0E0-DA8C-4C71-B827-7452FC7D2E06}">
      <text>
        <r>
          <rPr>
            <b/>
            <sz val="9"/>
            <color indexed="81"/>
            <rFont val="Tahoma"/>
            <family val="2"/>
          </rPr>
          <t>Author:</t>
        </r>
        <r>
          <rPr>
            <sz val="9"/>
            <color indexed="81"/>
            <rFont val="Tahoma"/>
            <family val="2"/>
          </rPr>
          <t xml:space="preserve">
Includes India</t>
        </r>
      </text>
    </comment>
    <comment ref="CC46" authorId="1" shapeId="0" xr:uid="{AA66AFE4-5E4C-47EC-9136-AA523ED7B06A}">
      <text>
        <r>
          <rPr>
            <b/>
            <sz val="9"/>
            <color indexed="81"/>
            <rFont val="Tahoma"/>
            <family val="2"/>
          </rPr>
          <t>Author:</t>
        </r>
        <r>
          <rPr>
            <sz val="9"/>
            <color indexed="81"/>
            <rFont val="Tahoma"/>
            <family val="2"/>
          </rPr>
          <t xml:space="preserve">
F4Q20: -29% in F4Q. Product0489 makes up a greater % of mix so the delayed Product0489 launch hurt China more. Also, there was a larger channel inventory draw-down to set up for the launch of the Product0489 12. 
</t>
        </r>
      </text>
    </comment>
    <comment ref="CN46" authorId="1" shapeId="0" xr:uid="{2819985C-67B3-4BC1-94D9-2818435987F6}">
      <text>
        <r>
          <rPr>
            <b/>
            <sz val="9"/>
            <color indexed="81"/>
            <rFont val="Tahoma"/>
            <family val="2"/>
          </rPr>
          <t>Author:</t>
        </r>
        <r>
          <rPr>
            <sz val="9"/>
            <color indexed="81"/>
            <rFont val="Tahoma"/>
            <family val="2"/>
          </rPr>
          <t xml:space="preserve">
10-Q: Product0489 sales grew</t>
        </r>
      </text>
    </comment>
    <comment ref="CP46" authorId="1" shapeId="0" xr:uid="{E42B26A9-D1E9-4ECA-9023-EA07F5E55458}">
      <text>
        <r>
          <rPr>
            <b/>
            <sz val="9"/>
            <color indexed="81"/>
            <rFont val="Tahoma"/>
            <family val="2"/>
          </rPr>
          <t>Author:</t>
        </r>
        <r>
          <rPr>
            <sz val="9"/>
            <color indexed="81"/>
            <rFont val="Tahoma"/>
            <family val="2"/>
          </rPr>
          <t xml:space="preserve">
Product0489 Greater China -MSD% yoy </t>
        </r>
      </text>
    </comment>
    <comment ref="CQ46" authorId="6" shapeId="0" xr:uid="{B9B6E361-6A9A-417C-8CFD-C1313FBE57CB}">
      <text>
        <r>
          <rPr>
            <b/>
            <sz val="9"/>
            <color indexed="81"/>
            <rFont val="Tahoma"/>
            <family val="2"/>
          </rPr>
          <t>Author:</t>
        </r>
        <r>
          <rPr>
            <sz val="9"/>
            <color indexed="81"/>
            <rFont val="Tahoma"/>
            <family val="2"/>
          </rPr>
          <t xml:space="preserve">
Bears were saying -20% yoy 
3/20/24: China smartphone sales down 7% yoy in first 6 weeks of year, -24% for Company0242 (lost 3 pts of market share)
Source: Counterpoint </t>
        </r>
      </text>
    </comment>
    <comment ref="CR46" authorId="1" shapeId="0" xr:uid="{A74CC918-9A87-49D8-9FB0-8B6BF54B7A07}">
      <text>
        <r>
          <rPr>
            <b/>
            <sz val="9"/>
            <color indexed="81"/>
            <rFont val="Tahoma"/>
            <family val="2"/>
          </rPr>
          <t>Author:</t>
        </r>
        <r>
          <rPr>
            <sz val="9"/>
            <color indexed="81"/>
            <rFont val="Tahoma"/>
            <family val="2"/>
          </rPr>
          <t xml:space="preserve">
F3Q24: -3% constant currency. June quarter record for upgraders </t>
        </r>
      </text>
    </comment>
    <comment ref="EN46" authorId="1" shapeId="0" xr:uid="{30CE7EBF-7BDA-4659-82B3-3AF060E2DA40}">
      <text>
        <r>
          <rPr>
            <b/>
            <sz val="9"/>
            <color indexed="81"/>
            <rFont val="Tahoma"/>
            <family val="2"/>
          </rPr>
          <t>Author:</t>
        </r>
        <r>
          <rPr>
            <sz val="9"/>
            <color indexed="81"/>
            <rFont val="Tahoma"/>
            <family val="2"/>
          </rPr>
          <t xml:space="preserve">
Very important</t>
        </r>
      </text>
    </comment>
    <comment ref="CK47" authorId="1" shapeId="0" xr:uid="{DFD428E4-55A6-4EA2-B17C-2DEC98531E62}">
      <text>
        <r>
          <rPr>
            <b/>
            <sz val="9"/>
            <color indexed="81"/>
            <rFont val="Tahoma"/>
            <family val="2"/>
          </rPr>
          <t>Author:</t>
        </r>
        <r>
          <rPr>
            <sz val="9"/>
            <color indexed="81"/>
            <rFont val="Tahoma"/>
            <family val="2"/>
          </rPr>
          <t xml:space="preserve">
Hurt by 20% headwind from forex </t>
        </r>
      </text>
    </comment>
    <comment ref="CN47" authorId="1" shapeId="0" xr:uid="{22BC08F0-3D71-4605-B913-045CB4F35E6D}">
      <text>
        <r>
          <rPr>
            <b/>
            <sz val="9"/>
            <color indexed="81"/>
            <rFont val="Tahoma"/>
            <family val="2"/>
          </rPr>
          <t>Author:</t>
        </r>
        <r>
          <rPr>
            <sz val="9"/>
            <color indexed="81"/>
            <rFont val="Tahoma"/>
            <family val="2"/>
          </rPr>
          <t xml:space="preserve">
10-Q: Product0489 sales declined</t>
        </r>
      </text>
    </comment>
    <comment ref="CN48" authorId="1" shapeId="0" xr:uid="{F9887A4D-9127-4683-9D2E-D3CB49E7E340}">
      <text>
        <r>
          <rPr>
            <b/>
            <sz val="9"/>
            <color indexed="81"/>
            <rFont val="Tahoma"/>
            <family val="2"/>
          </rPr>
          <t>Author:</t>
        </r>
        <r>
          <rPr>
            <sz val="9"/>
            <color indexed="81"/>
            <rFont val="Tahoma"/>
            <family val="2"/>
          </rPr>
          <t xml:space="preserve">
10-Q: Product0489 + Product0487 sales down </t>
        </r>
      </text>
    </comment>
    <comment ref="EN48" authorId="1" shapeId="0" xr:uid="{2F0D65A3-0EFD-49EA-8648-B0EA57566EC4}">
      <text>
        <r>
          <rPr>
            <b/>
            <sz val="9"/>
            <color indexed="81"/>
            <rFont val="Tahoma"/>
            <family val="2"/>
          </rPr>
          <t>Author:</t>
        </r>
        <r>
          <rPr>
            <sz val="9"/>
            <color indexed="81"/>
            <rFont val="Tahoma"/>
            <family val="2"/>
          </rPr>
          <t xml:space="preserve">
Indonesia, Vietnam - L/T opportunity. Low penetration. 
- rise of affluent
- strong secondary market is a go-to-market strategy </t>
        </r>
      </text>
    </comment>
    <comment ref="A85" authorId="0" shapeId="0" xr:uid="{0F695DAC-F3BC-4FBB-9B2E-F7C8CC896815}">
      <text>
        <r>
          <rPr>
            <b/>
            <sz val="9"/>
            <color indexed="81"/>
            <rFont val="Tahoma"/>
            <family val="2"/>
          </rPr>
          <t>Author:</t>
        </r>
        <r>
          <rPr>
            <sz val="9"/>
            <color indexed="81"/>
            <rFont val="Tahoma"/>
            <family val="2"/>
          </rPr>
          <t xml:space="preserve">
Based on sales from Company0244 retail stores in 11 countries (incl. U.S.);
*change to reporting was made in 2015 (with historicals up to 2012 provided)</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Person1255, Person1250 </author>
  </authors>
  <commentList>
    <comment ref="DG91" authorId="0" shapeId="0" xr:uid="{DE65CA7D-FAA7-4356-9B63-C43EB1B7B06C}">
      <text>
        <r>
          <rPr>
            <b/>
            <sz val="9"/>
            <color indexed="81"/>
            <rFont val="Tahoma"/>
            <family val="2"/>
          </rPr>
          <t>Author:</t>
        </r>
        <r>
          <rPr>
            <sz val="9"/>
            <color indexed="81"/>
            <rFont val="Tahoma"/>
            <family val="2"/>
          </rPr>
          <t xml:space="preserve">
$8 bn of commercial paper expiry </t>
        </r>
      </text>
    </comment>
    <comment ref="DG97" authorId="0" shapeId="0" xr:uid="{71D3ECD7-EF1C-4FEA-8E37-F03CD1F32C49}">
      <text>
        <r>
          <rPr>
            <b/>
            <sz val="9"/>
            <color indexed="81"/>
            <rFont val="Tahoma"/>
            <family val="2"/>
          </rPr>
          <t>Author:</t>
        </r>
        <r>
          <rPr>
            <sz val="9"/>
            <color indexed="81"/>
            <rFont val="Tahoma"/>
            <family val="2"/>
          </rPr>
          <t xml:space="preserve">
$2.0 bn commercial paper
$107.6 bn term date </t>
        </r>
      </text>
    </comment>
    <comment ref="DH119" authorId="0" shapeId="0" xr:uid="{ABD189AD-D880-4C8D-92D4-5B2F6B5674EB}">
      <text>
        <r>
          <rPr>
            <b/>
            <sz val="9"/>
            <color indexed="81"/>
            <rFont val="Tahoma"/>
            <family val="2"/>
          </rPr>
          <t>Author:</t>
        </r>
        <r>
          <rPr>
            <sz val="9"/>
            <color indexed="81"/>
            <rFont val="Tahoma"/>
            <family val="2"/>
          </rPr>
          <t xml:space="preserve">
Corporate bond sale:
May 2026, 2028, 2030, 2033, 2053
$5 bn with room to grow, per survey</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Person1255, Person1250 </author>
  </authors>
  <commentList>
    <comment ref="B11" authorId="0" shapeId="0" xr:uid="{72D6021F-9F7F-4E2C-9C40-1B5C177CCAD4}">
      <text>
        <r>
          <rPr>
            <b/>
            <sz val="9"/>
            <color indexed="81"/>
            <rFont val="Tahoma"/>
            <family val="2"/>
          </rPr>
          <t>Author:</t>
        </r>
        <r>
          <rPr>
            <sz val="9"/>
            <color indexed="81"/>
            <rFont val="Tahoma"/>
            <family val="2"/>
          </rPr>
          <t xml:space="preserve">
Bull-case is 25X $7-$8 EPS
Active to passive flows helps Ticker0001
Active is 300 bps underweight Ticker0001, passive is market weight (7% of S&amp;P 500)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Person1255, Person1250 </author>
  </authors>
  <commentList>
    <comment ref="C11" authorId="0" shapeId="0" xr:uid="{53A91AB0-ED88-4D84-B708-983FAE2565C7}">
      <text>
        <r>
          <rPr>
            <b/>
            <sz val="9"/>
            <color indexed="81"/>
            <rFont val="Tahoma"/>
            <family val="2"/>
          </rPr>
          <t>Author:</t>
        </r>
        <r>
          <rPr>
            <sz val="9"/>
            <color indexed="81"/>
            <rFont val="Tahoma"/>
            <family val="2"/>
          </rPr>
          <t xml:space="preserve">
1992 - 2022 average is 4.0% for 10Y </t>
        </r>
      </text>
    </comment>
    <comment ref="C14" authorId="0" shapeId="0" xr:uid="{0144B808-702A-4D15-ADA7-B1A0CD95E034}">
      <text>
        <r>
          <rPr>
            <b/>
            <sz val="9"/>
            <color indexed="81"/>
            <rFont val="Tahoma"/>
            <family val="2"/>
          </rPr>
          <t>Author:</t>
        </r>
        <r>
          <rPr>
            <sz val="9"/>
            <color indexed="81"/>
            <rFont val="Tahoma"/>
            <family val="2"/>
          </rPr>
          <t xml:space="preserve">
1971 - 2001: 12% 30year stock return v. 9% bond return. 3.3% ERP. 5% average inflation. </t>
        </r>
      </text>
    </comment>
    <comment ref="A39" authorId="0" shapeId="0" xr:uid="{B3C8E4AC-9712-42EA-B717-AD286DD6D3A1}">
      <text>
        <r>
          <rPr>
            <b/>
            <sz val="9"/>
            <color indexed="81"/>
            <rFont val="Tahoma"/>
            <family val="2"/>
          </rPr>
          <t>Author:</t>
        </r>
        <r>
          <rPr>
            <sz val="9"/>
            <color indexed="81"/>
            <rFont val="Tahoma"/>
            <family val="2"/>
          </rPr>
          <t xml:space="preserve">
Penalized by SBC expense</t>
        </r>
      </text>
    </comment>
    <comment ref="A59" authorId="0" shapeId="0" xr:uid="{8FA49B27-5E3D-4385-944D-207A4F892ABA}">
      <text>
        <r>
          <rPr>
            <b/>
            <sz val="9"/>
            <color indexed="81"/>
            <rFont val="Tahoma"/>
            <family val="2"/>
          </rPr>
          <t>Author:</t>
        </r>
        <r>
          <rPr>
            <sz val="9"/>
            <color indexed="81"/>
            <rFont val="Tahoma"/>
            <family val="2"/>
          </rPr>
          <t xml:space="preserve">
Excludes SBC expense</t>
        </r>
      </text>
    </comment>
  </commentList>
</comments>
</file>

<file path=xl/sharedStrings.xml><?xml version="1.0" encoding="utf-8"?>
<sst xmlns="http://schemas.openxmlformats.org/spreadsheetml/2006/main" count="6645" uniqueCount="2413">
  <si>
    <t>Company0243. (Ticker0001)</t>
  </si>
  <si>
    <t>Q196</t>
  </si>
  <si>
    <t>Q296</t>
  </si>
  <si>
    <t>Q396</t>
  </si>
  <si>
    <t>Q496</t>
  </si>
  <si>
    <t>Q197</t>
  </si>
  <si>
    <t>Q297</t>
  </si>
  <si>
    <t>Q397</t>
  </si>
  <si>
    <t>Q497</t>
  </si>
  <si>
    <t>Q198</t>
  </si>
  <si>
    <t>Q298</t>
  </si>
  <si>
    <t>Q398</t>
  </si>
  <si>
    <t>Q498</t>
  </si>
  <si>
    <t>Q199</t>
  </si>
  <si>
    <t>Q299</t>
  </si>
  <si>
    <t>Q399</t>
  </si>
  <si>
    <t>Q499</t>
  </si>
  <si>
    <t>Q100</t>
  </si>
  <si>
    <t>Q200</t>
  </si>
  <si>
    <t>Q300</t>
  </si>
  <si>
    <t>Q400</t>
  </si>
  <si>
    <t>Q101</t>
  </si>
  <si>
    <t>Q201</t>
  </si>
  <si>
    <t>Q301</t>
  </si>
  <si>
    <t>Q401</t>
  </si>
  <si>
    <t>Q102</t>
  </si>
  <si>
    <t>Q202</t>
  </si>
  <si>
    <t>Q302</t>
  </si>
  <si>
    <t>Q402</t>
  </si>
  <si>
    <t>Q103</t>
  </si>
  <si>
    <t>Q203</t>
  </si>
  <si>
    <t>Q303</t>
  </si>
  <si>
    <t>Q403</t>
  </si>
  <si>
    <t>Q104</t>
  </si>
  <si>
    <t>Q204</t>
  </si>
  <si>
    <t>Q304</t>
  </si>
  <si>
    <t>Q404</t>
  </si>
  <si>
    <t>Q105</t>
  </si>
  <si>
    <t>Q205</t>
  </si>
  <si>
    <t>Q305</t>
  </si>
  <si>
    <t>Q405</t>
  </si>
  <si>
    <t>Q106</t>
  </si>
  <si>
    <t>Q206</t>
  </si>
  <si>
    <t>Q306</t>
  </si>
  <si>
    <t>Q406</t>
  </si>
  <si>
    <t>Q107</t>
  </si>
  <si>
    <t>Q207</t>
  </si>
  <si>
    <t>Q307</t>
  </si>
  <si>
    <t>Q407</t>
  </si>
  <si>
    <t>Q108</t>
  </si>
  <si>
    <t>Q208</t>
  </si>
  <si>
    <t>Q308</t>
  </si>
  <si>
    <t>Q408</t>
  </si>
  <si>
    <t>Q109</t>
  </si>
  <si>
    <t>Q209</t>
  </si>
  <si>
    <t>Q309</t>
  </si>
  <si>
    <t>Q409</t>
  </si>
  <si>
    <t>Q110</t>
  </si>
  <si>
    <t>Q210</t>
  </si>
  <si>
    <t>Q310</t>
  </si>
  <si>
    <t>Q410</t>
  </si>
  <si>
    <t>FISCAL</t>
  </si>
  <si>
    <t>CALENDAR</t>
  </si>
  <si>
    <t xml:space="preserve">Sales  </t>
  </si>
  <si>
    <t xml:space="preserve"> YoY</t>
  </si>
  <si>
    <t xml:space="preserve"> QoQ</t>
  </si>
  <si>
    <t>Cost of sales</t>
  </si>
  <si>
    <t>Gross profit</t>
  </si>
  <si>
    <t>Research &amp; development</t>
  </si>
  <si>
    <t>Total operating expenses</t>
  </si>
  <si>
    <t>Operating income</t>
  </si>
  <si>
    <t>Earnings before tax</t>
  </si>
  <si>
    <t>Tax</t>
  </si>
  <si>
    <t xml:space="preserve"> Tax rate</t>
  </si>
  <si>
    <t xml:space="preserve">Dividend per share </t>
  </si>
  <si>
    <t>Diluted shares</t>
  </si>
  <si>
    <t>Selling, General &amp; Administration</t>
  </si>
  <si>
    <t>Debt interest (expense)</t>
  </si>
  <si>
    <t>Other income (expense) and cash returns</t>
  </si>
  <si>
    <t>Post-tax exceptionals</t>
  </si>
  <si>
    <t>Net income - GAAP</t>
  </si>
  <si>
    <t>Services</t>
  </si>
  <si>
    <t>Check</t>
  </si>
  <si>
    <t>COGS</t>
  </si>
  <si>
    <t>Product0489</t>
  </si>
  <si>
    <t>Product0487</t>
  </si>
  <si>
    <t>Mac</t>
  </si>
  <si>
    <t>YoY</t>
  </si>
  <si>
    <t>QoQ</t>
  </si>
  <si>
    <t>Product0489 ASP</t>
  </si>
  <si>
    <t>Product0487 ASP</t>
  </si>
  <si>
    <t>Mac ASP</t>
  </si>
  <si>
    <t>Product0490 revenue</t>
  </si>
  <si>
    <t>Product0490 ASP</t>
  </si>
  <si>
    <t>Watch revenue</t>
  </si>
  <si>
    <t>Watch ASP</t>
  </si>
  <si>
    <t>Interest expense</t>
  </si>
  <si>
    <t>Short-term debt</t>
  </si>
  <si>
    <t>Long-term debt</t>
  </si>
  <si>
    <t>Assets</t>
  </si>
  <si>
    <t>Cash and cash equivalents</t>
  </si>
  <si>
    <t>Short-term marketable securities</t>
  </si>
  <si>
    <t>Accounts receivable</t>
  </si>
  <si>
    <t>Inventories</t>
  </si>
  <si>
    <t>Deferred tax assets</t>
  </si>
  <si>
    <t>Vendor non-trade receivables</t>
  </si>
  <si>
    <t>Other current assets</t>
  </si>
  <si>
    <t>Long-term marketable securities</t>
  </si>
  <si>
    <t>Property, plant and equipment, net</t>
  </si>
  <si>
    <t>Goodwill</t>
  </si>
  <si>
    <t>Acquired intangible assets, net</t>
  </si>
  <si>
    <t>Other assets</t>
  </si>
  <si>
    <t>Accounts payable</t>
  </si>
  <si>
    <t>Accrued expenses</t>
  </si>
  <si>
    <t>Deferred revenue</t>
  </si>
  <si>
    <t>Commercial paper</t>
  </si>
  <si>
    <t>Deferred revenue - non-current</t>
  </si>
  <si>
    <t>Other non-current liabilities</t>
  </si>
  <si>
    <t>Common stock and additional paid-in capital</t>
  </si>
  <si>
    <t>Retained earnings</t>
  </si>
  <si>
    <t>Accumulated other comprehensive income</t>
  </si>
  <si>
    <t>Net Income</t>
  </si>
  <si>
    <t>Depreciation and amortization</t>
  </si>
  <si>
    <t>Share-based compensation expense</t>
  </si>
  <si>
    <t>Deferred income tax expense</t>
  </si>
  <si>
    <t xml:space="preserve">  Accounts receivable, net</t>
  </si>
  <si>
    <t xml:space="preserve">  Inventories</t>
  </si>
  <si>
    <t xml:space="preserve">  Vendor non-trade receivables</t>
  </si>
  <si>
    <t xml:space="preserve">  Other current and non-current assets</t>
  </si>
  <si>
    <t xml:space="preserve">  Accounts payable</t>
  </si>
  <si>
    <t xml:space="preserve">  Deferred revenue</t>
  </si>
  <si>
    <t xml:space="preserve">  Other current and non-current liabilities </t>
  </si>
  <si>
    <t>Net cash provided by operating activities</t>
  </si>
  <si>
    <t>Cash from investing activities</t>
  </si>
  <si>
    <t>Purchases of marketable securities</t>
  </si>
  <si>
    <t>Proceeds from maturities of marketable securities</t>
  </si>
  <si>
    <t>Proceeds from sales of marketable securities</t>
  </si>
  <si>
    <t>Payments made in connection with business acquisitions, net</t>
  </si>
  <si>
    <t>Payments for acquisition of property, plant and equipment</t>
  </si>
  <si>
    <t>Payments for acquisition of intangible assets</t>
  </si>
  <si>
    <t>Other</t>
  </si>
  <si>
    <t>Net cash used in investing activities</t>
  </si>
  <si>
    <t>Cash from financing activities</t>
  </si>
  <si>
    <t>Proceeds from issuance of common stock</t>
  </si>
  <si>
    <t>Taxes paid related to net share settlement of equity awards</t>
  </si>
  <si>
    <t>Repurchase of common stock</t>
  </si>
  <si>
    <t>Proceeds from issuance of commercial paper, net</t>
  </si>
  <si>
    <t>Net cash used in financing activities</t>
  </si>
  <si>
    <t>(in millions of U.S. Dollars)</t>
  </si>
  <si>
    <t>Total current assets</t>
  </si>
  <si>
    <t>Total non-current assets</t>
  </si>
  <si>
    <t>TOTAL ASSETS</t>
  </si>
  <si>
    <t>Liabilities</t>
  </si>
  <si>
    <t>Total current liabilities</t>
  </si>
  <si>
    <t>Total Liabilities</t>
  </si>
  <si>
    <t>Total Equity</t>
  </si>
  <si>
    <t>DSO</t>
  </si>
  <si>
    <t>Inventory Days</t>
  </si>
  <si>
    <t>Net increase in cash and equivalents</t>
  </si>
  <si>
    <t>Cash and equivalents, beginning of period</t>
  </si>
  <si>
    <t>Cash and equivalents, end of period</t>
  </si>
  <si>
    <t>Cash Flows From Operating Activities</t>
  </si>
  <si>
    <t>Change in operating assets and liabilities:</t>
  </si>
  <si>
    <t>Dividends and dividend equivalents paid</t>
  </si>
  <si>
    <t>Balance Sheet</t>
  </si>
  <si>
    <t>Cash flow statement</t>
  </si>
  <si>
    <t>Accessories / Other</t>
  </si>
  <si>
    <t>Geographic Revenue Analysis</t>
  </si>
  <si>
    <t>Americas</t>
  </si>
  <si>
    <t>Japan</t>
  </si>
  <si>
    <t>Total Sales</t>
  </si>
  <si>
    <t>Greater China</t>
  </si>
  <si>
    <t>Rest of Asia-Pacific</t>
  </si>
  <si>
    <t>Issuer: Company0243.</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</si>
  <si>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</si>
  <si>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</si>
  <si>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</si>
  <si>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</si>
  <si>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</si>
  <si>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</si>
  <si>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</si>
  <si>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</si>
  <si>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</si>
  <si>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</si>
  <si>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</si>
  <si>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</si>
  <si>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</si>
  <si>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</si>
  <si>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</si>
  <si>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</si>
  <si>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</si>
  <si>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</si>
  <si>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</si>
  <si>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</si>
  <si>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</si>
  <si>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</si>
  <si>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</si>
  <si>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</si>
  <si>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</si>
  <si>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</si>
  <si>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</si>
  <si>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</si>
  <si>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</si>
  <si>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</si>
  <si>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</si>
  <si>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</si>
  <si>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</si>
  <si>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</si>
  <si>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</si>
  <si>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</si>
  <si>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</si>
  <si>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</si>
  <si>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</si>
  <si>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</si>
  <si>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</si>
  <si>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</si>
  <si>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</si>
  <si>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</si>
  <si>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</si>
  <si>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</si>
  <si>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</si>
  <si>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</si>
  <si>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</si>
  <si>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</si>
  <si>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</si>
  <si>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</si>
  <si>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</si>
  <si>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</si>
  <si>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</si>
  <si>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</si>
  <si>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</si>
  <si>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</si>
  <si>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</si>
  <si>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</si>
  <si>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Reference Data</t>
  </si>
  <si>
    <t>Issuer Name</t>
  </si>
  <si>
    <t>Company0243.</t>
  </si>
  <si>
    <t>Reporting Currency</t>
  </si>
  <si>
    <t>CURRENCY_ISO</t>
  </si>
  <si>
    <t>USD</t>
  </si>
  <si>
    <t>General Information</t>
  </si>
  <si>
    <t>MA_PROB</t>
  </si>
  <si>
    <t>Income Statement</t>
  </si>
  <si>
    <t>Sales, net revenue</t>
  </si>
  <si>
    <t>SALES</t>
  </si>
  <si>
    <t>Cost of goods sold, COGS</t>
  </si>
  <si>
    <t>COST_GD_SD</t>
  </si>
  <si>
    <t>SG&amp;A, selling, general and admin. expense</t>
  </si>
  <si>
    <t>SEL_GL_AD</t>
  </si>
  <si>
    <t>Total operating expense</t>
  </si>
  <si>
    <t>OP_COST</t>
  </si>
  <si>
    <t>R&amp;D expense</t>
  </si>
  <si>
    <t>RD_EXP</t>
  </si>
  <si>
    <t>ESO expense (pre-tax)</t>
  </si>
  <si>
    <t>ESO_PRE_TAX</t>
  </si>
  <si>
    <t>Other operating income/(expense) (incl. leases)</t>
  </si>
  <si>
    <t>OTH_OP_INC_EXP</t>
  </si>
  <si>
    <t>Total operating expense (incl. D&amp;A)</t>
  </si>
  <si>
    <t>TOT_OPS_EXP_DDA</t>
  </si>
  <si>
    <t>Total operating expense (excl. D&amp;A)</t>
  </si>
  <si>
    <t>TOT_OPS_EXP</t>
  </si>
  <si>
    <t>EBITDA</t>
  </si>
  <si>
    <t>EBITDA_CALC</t>
  </si>
  <si>
    <t>Depreciation</t>
  </si>
  <si>
    <t>DEPREC</t>
  </si>
  <si>
    <t>Amortization</t>
  </si>
  <si>
    <t>GOODWILL_AMORT</t>
  </si>
  <si>
    <t>EBIT, operating profit</t>
  </si>
  <si>
    <t>EBIT</t>
  </si>
  <si>
    <t>Interest income</t>
  </si>
  <si>
    <t>INT_INC_IND</t>
  </si>
  <si>
    <t>INT_EXP_IND</t>
  </si>
  <si>
    <t>Net interest income/(expense)</t>
  </si>
  <si>
    <t>NET_INT_EXP</t>
  </si>
  <si>
    <t>Income/(loss) from unconsolidated subs &amp; associates</t>
  </si>
  <si>
    <t>ASSOCIATE</t>
  </si>
  <si>
    <t>Profit/(loss) on disposals of assets, pre-tax</t>
  </si>
  <si>
    <t>PROFIT_ON_DISP</t>
  </si>
  <si>
    <t>Other non-ops income/(expense)</t>
  </si>
  <si>
    <t>OTH_COST_INC</t>
  </si>
  <si>
    <t>Pre-tax profit</t>
  </si>
  <si>
    <t>PT_PROF</t>
  </si>
  <si>
    <t>Additional Income Statement Items</t>
  </si>
  <si>
    <t>LEASE_PAY</t>
  </si>
  <si>
    <t>Lease payments (deemed interest portion)</t>
  </si>
  <si>
    <t>LEASE_DEEM_INT</t>
  </si>
  <si>
    <t>Lease payments (deemed depreciation portion)</t>
  </si>
  <si>
    <t>LEASE_DEEM_DEPR</t>
  </si>
  <si>
    <t>Gross interest charge</t>
  </si>
  <si>
    <t>NET_INT_CH</t>
  </si>
  <si>
    <t>Income from associates (operating)</t>
  </si>
  <si>
    <t>ASSOCIATE_OP</t>
  </si>
  <si>
    <t>Cash &amp; cash equivalents</t>
  </si>
  <si>
    <t>CASH_EQ</t>
  </si>
  <si>
    <t>DEBTORS</t>
  </si>
  <si>
    <t>Inventory</t>
  </si>
  <si>
    <t>STOCKS</t>
  </si>
  <si>
    <t>OTH_CUR_ASS</t>
  </si>
  <si>
    <t>CUR_ASS</t>
  </si>
  <si>
    <t>Gross fixed assets, PP&amp;E</t>
  </si>
  <si>
    <t>GR_FIX_ASS</t>
  </si>
  <si>
    <t>Accumulated depreciation</t>
  </si>
  <si>
    <t>ACC_DDA</t>
  </si>
  <si>
    <t>Net PP&amp;E</t>
  </si>
  <si>
    <t>NET_FIX_ASS</t>
  </si>
  <si>
    <t>Gross intangibles</t>
  </si>
  <si>
    <t>GR_INTANG</t>
  </si>
  <si>
    <t>Accumulated amortization</t>
  </si>
  <si>
    <t>ACC_AMORT</t>
  </si>
  <si>
    <t>Net intangible assets</t>
  </si>
  <si>
    <t>NET_INTANG</t>
  </si>
  <si>
    <t>Equity method investments</t>
  </si>
  <si>
    <t>FIX_ASS_INV</t>
  </si>
  <si>
    <t>Investments in securities</t>
  </si>
  <si>
    <t>INV_SECUR</t>
  </si>
  <si>
    <t>Other long-term assets</t>
  </si>
  <si>
    <t>OTH_LT_ASS</t>
  </si>
  <si>
    <t>Total assets</t>
  </si>
  <si>
    <t>TOT_ASSET</t>
  </si>
  <si>
    <t>ACC_PAY_GQ</t>
  </si>
  <si>
    <t>SHORT_T_DEBT</t>
  </si>
  <si>
    <t>Other current liabilities</t>
  </si>
  <si>
    <t>OTH_CUR_LIABS</t>
  </si>
  <si>
    <t>SHORT_TERM_LIABS</t>
  </si>
  <si>
    <t>Long-term  debt</t>
  </si>
  <si>
    <t>LT_DEBT</t>
  </si>
  <si>
    <t>Other long-term liabilities</t>
  </si>
  <si>
    <t>OTH_LT_CRED_GQ</t>
  </si>
  <si>
    <t>Total long-term liabilities</t>
  </si>
  <si>
    <t>TOT_LT_LIAB</t>
  </si>
  <si>
    <t>Total liabilities</t>
  </si>
  <si>
    <t>TOT_LIAB</t>
  </si>
  <si>
    <t>Preferred shares</t>
  </si>
  <si>
    <t>PREF_SH</t>
  </si>
  <si>
    <t>Total common equity</t>
  </si>
  <si>
    <t>ORD_SH_FUND</t>
  </si>
  <si>
    <t>Minority interest</t>
  </si>
  <si>
    <t>MINORITIES</t>
  </si>
  <si>
    <t>Total shareholders' equity</t>
  </si>
  <si>
    <t>EQ</t>
  </si>
  <si>
    <t>Total liabilities and equity</t>
  </si>
  <si>
    <t>TOT_LIAB_EQ</t>
  </si>
  <si>
    <t>Additional Balance Sheet Items</t>
  </si>
  <si>
    <t>Net debt</t>
  </si>
  <si>
    <t>NET_DEBT</t>
  </si>
  <si>
    <t>CAP_LEASES</t>
  </si>
  <si>
    <t>Deferred income taxes</t>
  </si>
  <si>
    <t>DEF_INC_TAX</t>
  </si>
  <si>
    <t>Net operating loss carryforwards (NOLs)</t>
  </si>
  <si>
    <t>NET_OP_LOSS_CFWD</t>
  </si>
  <si>
    <t>Associates (mkt value) used in EV calculation</t>
  </si>
  <si>
    <t>MV_ASSOCIATES</t>
  </si>
  <si>
    <t>Net debt adjustment</t>
  </si>
  <si>
    <t>NET_DEBT_ADJ</t>
  </si>
  <si>
    <t>Company borrowing margin</t>
  </si>
  <si>
    <t>CO_BOR_MARGIN</t>
  </si>
  <si>
    <t>Unfunded pensions &amp; other provisions</t>
  </si>
  <si>
    <t>UNF_PENS</t>
  </si>
  <si>
    <t>Unfunded pension liabilities (off balance sheet)</t>
  </si>
  <si>
    <t>UNF_PENS_OFF</t>
  </si>
  <si>
    <t>Unfunded pension liabilities &amp; other, used in EV</t>
  </si>
  <si>
    <t>UNF_PENS_LIAB_OTH</t>
  </si>
  <si>
    <t>Adjustment for unfunded pensions &amp; goodwill</t>
  </si>
  <si>
    <t>ADJ_UNF_PENS_GOOD</t>
  </si>
  <si>
    <t>Other GCI adjustments</t>
  </si>
  <si>
    <t>OTH_GCI_ADJ</t>
  </si>
  <si>
    <t>GCI inflator</t>
  </si>
  <si>
    <t>GCI_INFL</t>
  </si>
  <si>
    <t>BAL_MINO_INT</t>
  </si>
  <si>
    <t>Cash Flow Statement</t>
  </si>
  <si>
    <t>Minority interest add-back</t>
  </si>
  <si>
    <t>CF_INC_MINORITY</t>
  </si>
  <si>
    <t>Depreciation &amp; amortization add-back</t>
  </si>
  <si>
    <t>DEPR_AMORT</t>
  </si>
  <si>
    <t>(Increase)/decrease in working capital</t>
  </si>
  <si>
    <t>WORK_CAP</t>
  </si>
  <si>
    <t>Other operating cash flow items</t>
  </si>
  <si>
    <t>OTH_OP_CF</t>
  </si>
  <si>
    <t>Cash flow from operating activities</t>
  </si>
  <si>
    <t>CF_OPS</t>
  </si>
  <si>
    <t>Capital expenditures, Capex</t>
  </si>
  <si>
    <t>CAPEX</t>
  </si>
  <si>
    <t>Acquisitions</t>
  </si>
  <si>
    <t>ACQ</t>
  </si>
  <si>
    <t>Divestitures</t>
  </si>
  <si>
    <t>DIVEST</t>
  </si>
  <si>
    <t>Other investing cash flow items</t>
  </si>
  <si>
    <t>OTH_INV_CF</t>
  </si>
  <si>
    <t>Cash flow from investing</t>
  </si>
  <si>
    <t>CF_INV</t>
  </si>
  <si>
    <t>Dividends paid</t>
  </si>
  <si>
    <t>DIV_PAID</t>
  </si>
  <si>
    <t>Common stock issuance/(repurchase)</t>
  </si>
  <si>
    <t>SH_REPUR</t>
  </si>
  <si>
    <t>Increase/(decrease) in total debt</t>
  </si>
  <si>
    <t>CHG_LT_DEBT</t>
  </si>
  <si>
    <t>Other financing cash flow items</t>
  </si>
  <si>
    <t>OTH_FIN_CF</t>
  </si>
  <si>
    <t>Cash flow from financing</t>
  </si>
  <si>
    <t>CF_FIN</t>
  </si>
  <si>
    <t>Total cash flow</t>
  </si>
  <si>
    <t>TOT_CF</t>
  </si>
  <si>
    <t>Additional Cash Flow Items</t>
  </si>
  <si>
    <t>Associate and JV add-back</t>
  </si>
  <si>
    <t>ASSOC_JV_ADDBK</t>
  </si>
  <si>
    <t>Profit/(loss) on sale of assets</t>
  </si>
  <si>
    <t>PL_SALE_ASSETS</t>
  </si>
  <si>
    <t>Other non-cash adjustments</t>
  </si>
  <si>
    <t>OTH_NONCASH_ADJ</t>
  </si>
  <si>
    <t>Other DACF adjustments</t>
  </si>
  <si>
    <t>OTH_DACF_ADJ</t>
  </si>
  <si>
    <t>Change in LT deferred income taxes (Cash flow)</t>
  </si>
  <si>
    <t>CHG_DEF_TAX_CF</t>
  </si>
  <si>
    <t>Other items/adjustments for computing cash tax rate (except def taxes)</t>
  </si>
  <si>
    <t>OTH_ADJ_CASH_TAX</t>
  </si>
  <si>
    <t>Cash interest expense</t>
  </si>
  <si>
    <t>CASH_INT_EXP</t>
  </si>
  <si>
    <t>Cash tax expense</t>
  </si>
  <si>
    <t>CASH_TAX_EXP</t>
  </si>
  <si>
    <t>Dividends received from associates/JVs</t>
  </si>
  <si>
    <t>DIVDS_ASSOC_JV</t>
  </si>
  <si>
    <t>Capex maintenance</t>
  </si>
  <si>
    <t>CAPEX_MAINTENANCE</t>
  </si>
  <si>
    <t>Capex expansion</t>
  </si>
  <si>
    <t>CAPEX_EXPANSION</t>
  </si>
  <si>
    <t>Non-PP&amp;E capex</t>
  </si>
  <si>
    <t>NONPPE_CAPEX</t>
  </si>
  <si>
    <t>Dividends paid to minorities</t>
  </si>
  <si>
    <t>DIVDS_PD_MINORITIES</t>
  </si>
  <si>
    <t>Other Items</t>
  </si>
  <si>
    <t>Number of employees</t>
  </si>
  <si>
    <t>EMPLOYEES</t>
  </si>
  <si>
    <t>Geographical Breakdown</t>
  </si>
  <si>
    <t>% of total cash balance held overseas (outside the US)</t>
  </si>
  <si>
    <t>CASH_PCT_OS_US</t>
  </si>
  <si>
    <t>Sales - Total % Americas</t>
  </si>
  <si>
    <t>SALES_TOT_AM</t>
  </si>
  <si>
    <t>Sales - % United States</t>
  </si>
  <si>
    <t>SALES_US</t>
  </si>
  <si>
    <t>Sales - % Canada</t>
  </si>
  <si>
    <t>SALES_CANADA</t>
  </si>
  <si>
    <t>Sales - % Argentina</t>
  </si>
  <si>
    <t>SALES_ARGENTINA</t>
  </si>
  <si>
    <t>Sales - % Brazil</t>
  </si>
  <si>
    <t>SALES_BRAZIL</t>
  </si>
  <si>
    <t>Sales - % Chile</t>
  </si>
  <si>
    <t>SALES_CHILE</t>
  </si>
  <si>
    <t>Sales - % Colombia</t>
  </si>
  <si>
    <t>SALES_COLOMBIA</t>
  </si>
  <si>
    <t>Sales - % Mexico</t>
  </si>
  <si>
    <t>SALES_MEXICO</t>
  </si>
  <si>
    <t>Sales - % Venezuela</t>
  </si>
  <si>
    <t>SALES_VENEZUELA</t>
  </si>
  <si>
    <t>Sales - % Other Americas</t>
  </si>
  <si>
    <t>SALES_OTH_AM</t>
  </si>
  <si>
    <t>Sales - Total % EMEA</t>
  </si>
  <si>
    <t>SALES_TOT_EMEA</t>
  </si>
  <si>
    <t>Sales - % UK</t>
  </si>
  <si>
    <t>SALES_UK</t>
  </si>
  <si>
    <t>Sales - % Western Europe-Ex UK</t>
  </si>
  <si>
    <t>SALES_EU_EX_UK</t>
  </si>
  <si>
    <t>Sales - % Central &amp; Eastern Europe</t>
  </si>
  <si>
    <t>SALES_CEE</t>
  </si>
  <si>
    <t>Sales - % Middle East</t>
  </si>
  <si>
    <t>SALES_ME</t>
  </si>
  <si>
    <t>Sales - % Total Africa</t>
  </si>
  <si>
    <t>SALES_TOT_AFRICA</t>
  </si>
  <si>
    <t>Sales - % Russia</t>
  </si>
  <si>
    <t>SALES_RUSSIA</t>
  </si>
  <si>
    <t>Sales - % Other EMEA</t>
  </si>
  <si>
    <t>SALES_OTH_EMEA</t>
  </si>
  <si>
    <t>Sales - Total % Asia (incl Australia &amp; New Zealand)</t>
  </si>
  <si>
    <t>SALES_TOT_ASIA</t>
  </si>
  <si>
    <t>Sales - % Japan</t>
  </si>
  <si>
    <t>SALES_JAPAN</t>
  </si>
  <si>
    <t>Sales - % China</t>
  </si>
  <si>
    <t>SALES_CHINA</t>
  </si>
  <si>
    <t>Sales - % India</t>
  </si>
  <si>
    <t>SALES_INDIA</t>
  </si>
  <si>
    <t>Sales - % Other Asia</t>
  </si>
  <si>
    <t>SALES_OTH_AEJ</t>
  </si>
  <si>
    <t>Sales - % Others</t>
  </si>
  <si>
    <t>SALES_OTHER</t>
  </si>
  <si>
    <t>Sales -% Consumer (C)</t>
  </si>
  <si>
    <t>SALES_CONS</t>
  </si>
  <si>
    <t>Sales -% Industry (I)</t>
  </si>
  <si>
    <t>SALES_IND</t>
  </si>
  <si>
    <t>Sales -% Government (G)</t>
  </si>
  <si>
    <t>SALES_GOV</t>
  </si>
  <si>
    <t>Sales - % Industry Sub-Segment: Financial Services</t>
  </si>
  <si>
    <t>SALES_FINAN</t>
  </si>
  <si>
    <t>Sales (%) SMB</t>
  </si>
  <si>
    <t>SALES_SMB</t>
  </si>
  <si>
    <t>Sales - % from Captive Financing Business</t>
  </si>
  <si>
    <t>REV_FIN_SEGMENT</t>
  </si>
  <si>
    <t>Operating Earnings - % from Captive Financing Business</t>
  </si>
  <si>
    <t>EBIT_FIN_SEGMENT</t>
  </si>
  <si>
    <t>Commodities Exposure - Expense</t>
  </si>
  <si>
    <t>Expense - % Oil/Petrol/Fuel</t>
  </si>
  <si>
    <t>EXP_OIL_PETRO_FUEL</t>
  </si>
  <si>
    <t>Expense - % Oil derivatives/NGLs/plastics</t>
  </si>
  <si>
    <t>EXP_OIL_DERIV_NGLS_PLASTICS</t>
  </si>
  <si>
    <t>Expense - % Paper/pulp</t>
  </si>
  <si>
    <t>EXP_PAPER_PULP</t>
  </si>
  <si>
    <t>Expense - % Glass</t>
  </si>
  <si>
    <t>EXP_GLASS</t>
  </si>
  <si>
    <t>Expense - % Water</t>
  </si>
  <si>
    <t>EXP_WATER</t>
  </si>
  <si>
    <t>Expense - % Other commodity</t>
  </si>
  <si>
    <t>EXP_OTH_COMMODITY</t>
  </si>
  <si>
    <t>Expense - % Other (Non-Commodity) cost</t>
  </si>
  <si>
    <t>EXP_OTH_COST</t>
  </si>
  <si>
    <t>FX Exposure - Sales</t>
  </si>
  <si>
    <t>Sales - % FX: British Pounds/Pence</t>
  </si>
  <si>
    <t>SALES_FX_GPB</t>
  </si>
  <si>
    <t>Sales - % FX: Euro</t>
  </si>
  <si>
    <t>SALES_FX_EUR</t>
  </si>
  <si>
    <t>Sales - % FX: New Russian Ruble</t>
  </si>
  <si>
    <t>SALES_FX_RUB</t>
  </si>
  <si>
    <t>Sales - % FX: U.S. Dollar</t>
  </si>
  <si>
    <t>SALES_FX_USD</t>
  </si>
  <si>
    <t>Sales - % FX: Brazilian Real</t>
  </si>
  <si>
    <t>SALES_FX_BRL</t>
  </si>
  <si>
    <t>Sales - % FX: Japanese Yen</t>
  </si>
  <si>
    <t>SALES_FX_YEN</t>
  </si>
  <si>
    <t>Sales - % FX: Chinese Renminbi</t>
  </si>
  <si>
    <t>SALES_FX_CNY</t>
  </si>
  <si>
    <t>Sales - % FX: Indian Rupee</t>
  </si>
  <si>
    <t>SALES_FX_INR</t>
  </si>
  <si>
    <t>Sales - % FX: Canadian Dollar</t>
  </si>
  <si>
    <t>SALES_FX_CAD</t>
  </si>
  <si>
    <t>Sales - % FX: Mexican Peso</t>
  </si>
  <si>
    <t>SALES_FX_MXN</t>
  </si>
  <si>
    <t>Sales - % FX: Colombian Peso</t>
  </si>
  <si>
    <t>SALES_FX_COP</t>
  </si>
  <si>
    <t>Sales - % FX: Argentine Peso</t>
  </si>
  <si>
    <t>SALES_FX_ARS</t>
  </si>
  <si>
    <t>Sales - % FX: Chilean Peso</t>
  </si>
  <si>
    <t>SALES_FX_CLP</t>
  </si>
  <si>
    <t>Sales - % FX: Venezuelan bolivar</t>
  </si>
  <si>
    <t>SALES_FX_VEF</t>
  </si>
  <si>
    <t>Sales - % FX: Other Currency</t>
  </si>
  <si>
    <t>SALES_FX_OTH</t>
  </si>
  <si>
    <t>Security: Company0243.</t>
  </si>
  <si>
    <t>Ticker</t>
  </si>
  <si>
    <t>Ticker0001</t>
  </si>
  <si>
    <t>Security Name</t>
  </si>
  <si>
    <t>Interim Type</t>
  </si>
  <si>
    <t>Q</t>
  </si>
  <si>
    <t>Publishing Currency</t>
  </si>
  <si>
    <t>PUB_CURRENCY_ISO</t>
  </si>
  <si>
    <t>Pricing Currency</t>
  </si>
  <si>
    <t>PRICE_CURRENCY_ISO</t>
  </si>
  <si>
    <t>Americas Investment List</t>
  </si>
  <si>
    <t>AMER_LIST</t>
  </si>
  <si>
    <t>Americas Conviction List</t>
  </si>
  <si>
    <t>Legal rating</t>
  </si>
  <si>
    <t>LEGAL_RATING</t>
  </si>
  <si>
    <t>Target price</t>
  </si>
  <si>
    <t>TARGET_PRICE</t>
  </si>
  <si>
    <t>Target price period</t>
  </si>
  <si>
    <t>TP_PERIOD</t>
  </si>
  <si>
    <t>Current shares outstanding (mn)</t>
  </si>
  <si>
    <t>NUM_SH</t>
  </si>
  <si>
    <t>Free float</t>
  </si>
  <si>
    <t>FREE_FLOAT</t>
  </si>
  <si>
    <t>Publishing Items</t>
  </si>
  <si>
    <t>Book value per share, BVPS (Pub)</t>
  </si>
  <si>
    <t>BVPS_PUB</t>
  </si>
  <si>
    <t>DPS, dividend per share (Pub)</t>
  </si>
  <si>
    <t>DPS_PUB</t>
  </si>
  <si>
    <t>Special dividend per share</t>
  </si>
  <si>
    <t>DPS_SPECIAL_PUB</t>
  </si>
  <si>
    <t>EBITDA (Pub)</t>
  </si>
  <si>
    <t>EBITDA_PUB</t>
  </si>
  <si>
    <t>EPS (Pub)</t>
  </si>
  <si>
    <t>EPS_PUB</t>
  </si>
  <si>
    <t>Consensus earnings equivalent estimate</t>
  </si>
  <si>
    <t>EPS (excl. ESO) (Pub)</t>
  </si>
  <si>
    <t>EPS_PUB_EX_ESO</t>
  </si>
  <si>
    <t>EV adjustment (Pub)</t>
  </si>
  <si>
    <t>EV_ADJ_PUB</t>
  </si>
  <si>
    <t>Net debt (Pub)</t>
  </si>
  <si>
    <t>NET_DEBT_PUB</t>
  </si>
  <si>
    <t>Net income (Pub)</t>
  </si>
  <si>
    <t>NI_PUB</t>
  </si>
  <si>
    <t>EBIT, operating profit (Pub)</t>
  </si>
  <si>
    <t>EBIT_PUB</t>
  </si>
  <si>
    <t>Pre-tax profit (Pub)</t>
  </si>
  <si>
    <t>PTP_PUB</t>
  </si>
  <si>
    <t>Sales, revenue (Pub)</t>
  </si>
  <si>
    <t>REVS_PUB</t>
  </si>
  <si>
    <t>Total shareholders' equity (Pub)</t>
  </si>
  <si>
    <t>EQ_PUB</t>
  </si>
  <si>
    <t>Provision for income tax</t>
  </si>
  <si>
    <t>PROV_INC_TAX</t>
  </si>
  <si>
    <t>INC_MINORITY</t>
  </si>
  <si>
    <t>Net income (pre-preferred dividends)</t>
  </si>
  <si>
    <t>NI_PRE_PREF</t>
  </si>
  <si>
    <t>Preferred dividends</t>
  </si>
  <si>
    <t>PREF_DIV</t>
  </si>
  <si>
    <t>Net income (pre-exceptionals)</t>
  </si>
  <si>
    <t>NET_EARNING</t>
  </si>
  <si>
    <t>TAX_EXC</t>
  </si>
  <si>
    <t>Net income (post-exceptionals)</t>
  </si>
  <si>
    <t>NET_INC</t>
  </si>
  <si>
    <t>EPS (pre-exceptionals, basic)</t>
  </si>
  <si>
    <t>EPS</t>
  </si>
  <si>
    <t>EPS (pre-exceptionals, diluted)</t>
  </si>
  <si>
    <t>EPS_FUL_DIL</t>
  </si>
  <si>
    <t>EPS (post-exceptionals, basic)</t>
  </si>
  <si>
    <t>EPS_POST_BASIC</t>
  </si>
  <si>
    <t>EPS (post-exceptionals, diluted)</t>
  </si>
  <si>
    <t>FULLY_DIL_EPS</t>
  </si>
  <si>
    <t>Common dividends paid</t>
  </si>
  <si>
    <t>COMMON_DIV_PAID</t>
  </si>
  <si>
    <t>DPS, dividend per share</t>
  </si>
  <si>
    <t>DPS</t>
  </si>
  <si>
    <t>Weighted average shares outstanding, basic</t>
  </si>
  <si>
    <t>SH</t>
  </si>
  <si>
    <t>Diluted average shares outstanding (mn)</t>
  </si>
  <si>
    <t>DILUTE_SHARES</t>
  </si>
  <si>
    <t>Period-end shares outstanding</t>
  </si>
  <si>
    <t>NON_OP_ADD</t>
  </si>
  <si>
    <t>Marginal tax rate</t>
  </si>
  <si>
    <t>MARGIN_TAX_RATE</t>
  </si>
  <si>
    <t>ESO</t>
  </si>
  <si>
    <t>Fair value of grant</t>
  </si>
  <si>
    <t>FV_GRANT</t>
  </si>
  <si>
    <t>ESO expense (post-tax)</t>
  </si>
  <si>
    <t>ESO_POST_TAX</t>
  </si>
  <si>
    <t>EPS (excl. ESO expense, basic)</t>
  </si>
  <si>
    <t>EPS_EX_ESO_B</t>
  </si>
  <si>
    <t>EPS (excl. ESO expense, diluted)</t>
  </si>
  <si>
    <t>EPS_EX_ESO_D</t>
  </si>
  <si>
    <t>Year that ESO expense takes effect</t>
  </si>
  <si>
    <t>ESO_YEAR</t>
  </si>
  <si>
    <t>BVPS, book value per share</t>
  </si>
  <si>
    <t>BVPS</t>
  </si>
  <si>
    <t>Total repurchase authorization</t>
  </si>
  <si>
    <t>REPUR_TOT_AUTH</t>
  </si>
  <si>
    <t>Remaining repurchase authorization</t>
  </si>
  <si>
    <t>REPUR_REMAINING</t>
  </si>
  <si>
    <t>Suspended repurchase authorization</t>
  </si>
  <si>
    <t>REPUR_SUSPENDED</t>
  </si>
  <si>
    <t>Shares repurchased during period</t>
  </si>
  <si>
    <t>REPUR_ACTUAL</t>
  </si>
  <si>
    <t>CF_NI_PRE_PREF</t>
  </si>
  <si>
    <t>Beta</t>
  </si>
  <si>
    <t>BETA_ANALYST</t>
  </si>
  <si>
    <t>Market equity risk premium</t>
  </si>
  <si>
    <t>MKT_EQ_RISK_PREM</t>
  </si>
  <si>
    <t>Risk-free rate</t>
  </si>
  <si>
    <t>RISK_FR_RATE</t>
  </si>
  <si>
    <t>Actual</t>
  </si>
  <si>
    <t>Estimate</t>
  </si>
  <si>
    <t>Gross PP&amp;E</t>
  </si>
  <si>
    <t>Gross Intangibles</t>
  </si>
  <si>
    <t>Accumulated Amortization</t>
  </si>
  <si>
    <t>Net Intangibles</t>
  </si>
  <si>
    <t>Accumulated Depreciation &amp; Amortization</t>
  </si>
  <si>
    <t>This sheet contains FactSet XML data for use with this workbook's =FDS codes.  Modifying the worksheet's contents may damage the workbook's =FDS functionality.</t>
  </si>
  <si>
    <t>US</t>
  </si>
  <si>
    <t>Europe</t>
  </si>
  <si>
    <t>Total Operating Segments</t>
  </si>
  <si>
    <t>Total Operating Income</t>
  </si>
  <si>
    <t>Geographic Operating Income Analysis</t>
  </si>
  <si>
    <t>Products</t>
  </si>
  <si>
    <t>Consensus</t>
  </si>
  <si>
    <t>Free Cash Flow</t>
  </si>
  <si>
    <t>FCF per Share</t>
  </si>
  <si>
    <t>Net Cash</t>
  </si>
  <si>
    <t>Net Cash/Share</t>
  </si>
  <si>
    <t>D&amp;A</t>
  </si>
  <si>
    <t>Total Change in Working Capital</t>
  </si>
  <si>
    <t>TOTAL LIABILITIES &amp; EQUITY</t>
  </si>
  <si>
    <t>2002 Q4</t>
  </si>
  <si>
    <t>2002 Q3</t>
  </si>
  <si>
    <t>2002 Q2</t>
  </si>
  <si>
    <t>2002 Q1</t>
  </si>
  <si>
    <t>2001 Q4</t>
  </si>
  <si>
    <t>2001 Q3</t>
  </si>
  <si>
    <t>2001 Q2</t>
  </si>
  <si>
    <t>2001 Q1</t>
  </si>
  <si>
    <t>2000 Q4</t>
  </si>
  <si>
    <t>2000 Q3</t>
  </si>
  <si>
    <t>2000 Q2</t>
  </si>
  <si>
    <t>2000 Q1</t>
  </si>
  <si>
    <t>Basic shares</t>
  </si>
  <si>
    <t>Other income (expense), net</t>
  </si>
  <si>
    <t>R&amp;D Expenses</t>
  </si>
  <si>
    <t>Other Corporate expenses</t>
  </si>
  <si>
    <t>Proceeds from issuance of long-term debt</t>
  </si>
  <si>
    <t>Maturity</t>
  </si>
  <si>
    <t>2019 floating</t>
  </si>
  <si>
    <t>2020 fixed 1.55% notes</t>
  </si>
  <si>
    <t>2022 fixed 2.15% notes</t>
  </si>
  <si>
    <t>2045 fixed 4.38% notes</t>
  </si>
  <si>
    <t>2020 fixed 0.35% notes</t>
  </si>
  <si>
    <t>2022 fixed 1.00% notes</t>
  </si>
  <si>
    <t>2025 fixed 2.5% notes</t>
  </si>
  <si>
    <t>2045 fixed 3.45% notes</t>
  </si>
  <si>
    <t>2024 fixed 0.38% notes</t>
  </si>
  <si>
    <t>2030 fixed 0.75% notes</t>
  </si>
  <si>
    <t>2020 fixed 2.00% notes</t>
  </si>
  <si>
    <t>2022 fixed 2.70% notes</t>
  </si>
  <si>
    <t>2025 fixed 3.20% notes</t>
  </si>
  <si>
    <t>2018 floating</t>
  </si>
  <si>
    <t>2018 fixed 1.00% notes</t>
  </si>
  <si>
    <t>2019 fixed 2.10% notes</t>
  </si>
  <si>
    <t>2021 fixed 2.85% notes</t>
  </si>
  <si>
    <t>2023 fixed 2.40% notes</t>
  </si>
  <si>
    <t>2024 fixed 3.45% notes</t>
  </si>
  <si>
    <t>2043 fixed 3.85% notes</t>
  </si>
  <si>
    <t>2044 fixed 4.45% notes</t>
  </si>
  <si>
    <t>Total commitments</t>
  </si>
  <si>
    <t>Debt repayment</t>
  </si>
  <si>
    <t>JPY/USD</t>
  </si>
  <si>
    <t>CNY/USD</t>
  </si>
  <si>
    <t>Fiscal</t>
  </si>
  <si>
    <t>Product0167</t>
  </si>
  <si>
    <t>2018</t>
  </si>
  <si>
    <t>2018 Q1</t>
  </si>
  <si>
    <t>2018 Q2</t>
  </si>
  <si>
    <t>2018 Q3</t>
  </si>
  <si>
    <t>2018 Q4</t>
  </si>
  <si>
    <t>Shares</t>
  </si>
  <si>
    <t xml:space="preserve">2042 Fixed-rate 3.60% notes </t>
  </si>
  <si>
    <t xml:space="preserve">2029 Fixed-rate 3.05% notes </t>
  </si>
  <si>
    <t xml:space="preserve">2022 fixed-rate 3.70% notes </t>
  </si>
  <si>
    <t>2024 fixed-rate 1.375% notes</t>
  </si>
  <si>
    <t>2027 fixed-rate 2.0% notes</t>
  </si>
  <si>
    <t>2018 fixed 1.30% notes</t>
  </si>
  <si>
    <t>2021 fixed 2.25% notes</t>
  </si>
  <si>
    <t>2026 fixed 3.25% notes</t>
  </si>
  <si>
    <t>2036 fixed 4.50% notes</t>
  </si>
  <si>
    <t>2046 fixed 4.65% notes</t>
  </si>
  <si>
    <t>2023 fixed 2.85% notes</t>
  </si>
  <si>
    <t>Comment</t>
  </si>
  <si>
    <t>Cash Conversion Cycle</t>
  </si>
  <si>
    <t xml:space="preserve"> DPO</t>
  </si>
  <si>
    <t>Gross margin (%)</t>
  </si>
  <si>
    <t>Items to be removed</t>
  </si>
  <si>
    <t>Sales - % Other North Americas</t>
  </si>
  <si>
    <t>SALES_OTH_NO_AMER</t>
  </si>
  <si>
    <t>Sales - % Other Latin Americas</t>
  </si>
  <si>
    <t>SALES_OTH_LATAM</t>
  </si>
  <si>
    <t>Sales - % Austria</t>
  </si>
  <si>
    <t>SALES_AUSTRIA</t>
  </si>
  <si>
    <t>Sales - % Belgium</t>
  </si>
  <si>
    <t>SALES_COMPANY0377</t>
  </si>
  <si>
    <t>Sales - % France</t>
  </si>
  <si>
    <t>SALES_FRA</t>
  </si>
  <si>
    <t>Sales - % Germany</t>
  </si>
  <si>
    <t>SALES_GER</t>
  </si>
  <si>
    <t>Sales - % Greece</t>
  </si>
  <si>
    <t>SALES_GRE</t>
  </si>
  <si>
    <t>Sales - % Ireland</t>
  </si>
  <si>
    <t>SALES_IRE</t>
  </si>
  <si>
    <t>Sales - % Italy</t>
  </si>
  <si>
    <t>SALES_ITA</t>
  </si>
  <si>
    <t>Sales - % Netherlands</t>
  </si>
  <si>
    <t>SALES_NETH</t>
  </si>
  <si>
    <t>Sales - % Norway</t>
  </si>
  <si>
    <t>SALES_NOR</t>
  </si>
  <si>
    <t>Sales - % Portugal</t>
  </si>
  <si>
    <t>SALES_POR</t>
  </si>
  <si>
    <t>Sales - % Spain</t>
  </si>
  <si>
    <t>SALES_SPA</t>
  </si>
  <si>
    <t>Sales - % Sweden</t>
  </si>
  <si>
    <t>SALES_SWE</t>
  </si>
  <si>
    <t>Sales - % Switzerland</t>
  </si>
  <si>
    <t>SALES_SWIT</t>
  </si>
  <si>
    <t>Sales - % Other Western Europe</t>
  </si>
  <si>
    <t>SALES_OTH_WEST_EURO</t>
  </si>
  <si>
    <t>Sales - % Poland</t>
  </si>
  <si>
    <t>SALES_POLAND</t>
  </si>
  <si>
    <t>Sales - % Turkey</t>
  </si>
  <si>
    <t>SALES_TURKEY</t>
  </si>
  <si>
    <t>Sales - % Other CEE</t>
  </si>
  <si>
    <t>SALES_OTH_CEE</t>
  </si>
  <si>
    <t>Sales - % Saudi Arabia</t>
  </si>
  <si>
    <t>SALES_SAUDI_ARABIA</t>
  </si>
  <si>
    <t>Sales - % United Arab Emirates</t>
  </si>
  <si>
    <t>SALES_UAE</t>
  </si>
  <si>
    <t>Sales - % Other Middle East</t>
  </si>
  <si>
    <t>SALES_OTH_ME</t>
  </si>
  <si>
    <t>Sales - % Nigeria</t>
  </si>
  <si>
    <t>SALES_NIGERIA</t>
  </si>
  <si>
    <t>Sales - % South Africa</t>
  </si>
  <si>
    <t>SALES_SO_AFRICA</t>
  </si>
  <si>
    <t>Sales - % Other Africa</t>
  </si>
  <si>
    <t>SALES_OTH_AFRICA</t>
  </si>
  <si>
    <t>Sales - % Hong Kong</t>
  </si>
  <si>
    <t>SALES_HONG_KONG</t>
  </si>
  <si>
    <t>Sales - % Singapore</t>
  </si>
  <si>
    <t>SALES_SINGAPORE</t>
  </si>
  <si>
    <t>Sales - % South Korea</t>
  </si>
  <si>
    <t>SALES_SK</t>
  </si>
  <si>
    <t>Sales - % Taiwan</t>
  </si>
  <si>
    <t>SALES_TAIWAN</t>
  </si>
  <si>
    <t>Sales - % Other Developed Asia</t>
  </si>
  <si>
    <t>SALES_OTH_DEV_ASIA</t>
  </si>
  <si>
    <t>Sales - % Indonesia</t>
  </si>
  <si>
    <t>SALES_INDONESIA</t>
  </si>
  <si>
    <t>Sales - % Thailand</t>
  </si>
  <si>
    <t>SALES_THAILAND</t>
  </si>
  <si>
    <t>Sales - % Other Emerging Asia</t>
  </si>
  <si>
    <t>SALES_OTH_EMERG_ASIA</t>
  </si>
  <si>
    <t>Sales - % Australia</t>
  </si>
  <si>
    <t>SALES_AUSTRA</t>
  </si>
  <si>
    <t>Sales - % New Zealand</t>
  </si>
  <si>
    <t>SALES_NZ</t>
  </si>
  <si>
    <t>Sales - % Industry Sub-Segment: Oil &amp; Gas</t>
  </si>
  <si>
    <t>SALES_OIL_GAS</t>
  </si>
  <si>
    <t>Installed base related GAAP Services revenue</t>
  </si>
  <si>
    <t>Adjustments to reflect certain unrecognized Services purchases</t>
  </si>
  <si>
    <t>Installed base related purchases</t>
  </si>
  <si>
    <t>Installed base related</t>
  </si>
  <si>
    <t>iTunes</t>
  </si>
  <si>
    <t xml:space="preserve">Product0045 </t>
  </si>
  <si>
    <t>Delta with reported adjustments</t>
  </si>
  <si>
    <t>iTunes Purchased Content</t>
  </si>
  <si>
    <t>Monthly fee ($/month)</t>
  </si>
  <si>
    <t>Pay</t>
  </si>
  <si>
    <t>Licensing and other</t>
  </si>
  <si>
    <t>Licensing and other revenue per customer</t>
  </si>
  <si>
    <t>Company0242 installed base (mn)</t>
  </si>
  <si>
    <t>Non Installed base related (Product0051)</t>
  </si>
  <si>
    <t>2019 Q1</t>
  </si>
  <si>
    <t>2019 Q2</t>
  </si>
  <si>
    <t>2019 Q3</t>
  </si>
  <si>
    <t>2019 Q4</t>
  </si>
  <si>
    <t>2020 fixed 2.65% notes</t>
  </si>
  <si>
    <t>2024 fixed 3.35% notes</t>
  </si>
  <si>
    <t>2026 fixed 3.60% notes</t>
  </si>
  <si>
    <t>2046 fixed 4.15% notes</t>
  </si>
  <si>
    <t>as a % of device sales</t>
  </si>
  <si>
    <t>Revolving</t>
  </si>
  <si>
    <t>2019 fixed 1.1% notes</t>
  </si>
  <si>
    <t>2021 fixed 1.55% notes</t>
  </si>
  <si>
    <t>2026 fixed 2.45% notes</t>
  </si>
  <si>
    <t>2046 fixed 3.85% notes</t>
  </si>
  <si>
    <t>Total US$ debt (in US$)</t>
  </si>
  <si>
    <t>TOT_USD_DEBT</t>
  </si>
  <si>
    <t>% US$ debt hedged (principal)</t>
  </si>
  <si>
    <t>TOT_PCT_USD_DEBT_HEDGED</t>
  </si>
  <si>
    <t>% Floating debt (local currency debt)</t>
  </si>
  <si>
    <t>FLOATING_PCT_LOCAL_DEBT</t>
  </si>
  <si>
    <t>% floating debt hedged (rates)</t>
  </si>
  <si>
    <t>FLOATING_PCT_LOCAL_DEBT_HEDGED</t>
  </si>
  <si>
    <t>% of CoGS from U.S. (Ticker0015 estimate)</t>
  </si>
  <si>
    <t>COGS_PCT_US</t>
  </si>
  <si>
    <t>% of CoGS from non-U.S. (Ticker0015 estimate)</t>
  </si>
  <si>
    <t>COGS_PCT_ROW</t>
  </si>
  <si>
    <t>% of SG&amp;A from U.S. (Ticker0015 estimate)</t>
  </si>
  <si>
    <t>SGA_PCT_US</t>
  </si>
  <si>
    <t>% of SG&amp;A from non-U.S. (Ticker0015 estimate)</t>
  </si>
  <si>
    <t>SGA_PCT_ROW</t>
  </si>
  <si>
    <t>Manufacturing purchase obligations</t>
  </si>
  <si>
    <t>Analyst Defined Items</t>
  </si>
  <si>
    <t>Foreign exchange</t>
  </si>
  <si>
    <t>Segment Revenue Name 1</t>
  </si>
  <si>
    <t>Segment Revenue Name 2</t>
  </si>
  <si>
    <t>Segment Revenue Name 3</t>
  </si>
  <si>
    <t>Segment Revenue Name 4</t>
  </si>
  <si>
    <t>Segment Revenue Value 1</t>
  </si>
  <si>
    <t>Segment Revenue Value 2</t>
  </si>
  <si>
    <t>Segment Revenue Value 3</t>
  </si>
  <si>
    <t>Segment Revenue Value 4</t>
  </si>
  <si>
    <t>Total Policies-in-Force, Sequential % (Homeowners)</t>
  </si>
  <si>
    <t>M&amp;A probability (1 = high, 3 = low)</t>
  </si>
  <si>
    <t>Segments:</t>
  </si>
  <si>
    <t>Quarter end date</t>
  </si>
  <si>
    <t># weeks in the quarter</t>
  </si>
  <si>
    <t>Product0489 5</t>
  </si>
  <si>
    <t>Product0489 6</t>
  </si>
  <si>
    <t>Non-GAAP EPS</t>
  </si>
  <si>
    <t>FY'2012</t>
  </si>
  <si>
    <t>FY'2013</t>
  </si>
  <si>
    <t>FY'2014</t>
  </si>
  <si>
    <t>FY'2015</t>
  </si>
  <si>
    <t>FY'2016</t>
  </si>
  <si>
    <t>FY'2017</t>
  </si>
  <si>
    <t>FY'2000</t>
  </si>
  <si>
    <t>FY'2001</t>
  </si>
  <si>
    <t>FY'2002</t>
  </si>
  <si>
    <t>FY'2003</t>
  </si>
  <si>
    <t>FY'2004</t>
  </si>
  <si>
    <t>FY'2005</t>
  </si>
  <si>
    <t>FY'2006</t>
  </si>
  <si>
    <t>FY'2007</t>
  </si>
  <si>
    <t>FY'2008</t>
  </si>
  <si>
    <t>FY'2009</t>
  </si>
  <si>
    <t>FY'2010</t>
  </si>
  <si>
    <t>FY'2011</t>
  </si>
  <si>
    <t>CY'2000</t>
  </si>
  <si>
    <t>CY'2001</t>
  </si>
  <si>
    <t>CY'2002</t>
  </si>
  <si>
    <t>CY'2003</t>
  </si>
  <si>
    <t>CY'2004</t>
  </si>
  <si>
    <t>CY'2005</t>
  </si>
  <si>
    <t>CY'2006</t>
  </si>
  <si>
    <t>CY'2007</t>
  </si>
  <si>
    <t>CY'2008</t>
  </si>
  <si>
    <t>CY'2009</t>
  </si>
  <si>
    <t>CY'2010</t>
  </si>
  <si>
    <t>CY'2011</t>
  </si>
  <si>
    <t>CY'2012</t>
  </si>
  <si>
    <t>CY'2013</t>
  </si>
  <si>
    <t>CY'2014</t>
  </si>
  <si>
    <t>CY'2015</t>
  </si>
  <si>
    <t>CY'2016</t>
  </si>
  <si>
    <t>Ratios &amp; other metrics:</t>
  </si>
  <si>
    <t>Current ratio</t>
  </si>
  <si>
    <t>RoE (%)</t>
  </si>
  <si>
    <t>RoA (%)</t>
  </si>
  <si>
    <t>Other items - forecasting:</t>
  </si>
  <si>
    <t>as a % of revenue:</t>
  </si>
  <si>
    <t>PP&amp;E:</t>
  </si>
  <si>
    <t>Beginning PP&amp;E</t>
  </si>
  <si>
    <t>less: Depreciation</t>
  </si>
  <si>
    <t>plus: Capex</t>
  </si>
  <si>
    <t>Ending PP&amp;E</t>
  </si>
  <si>
    <t>Depreciation as a % of PP&amp;E</t>
  </si>
  <si>
    <t>Capex as a % of Sales</t>
  </si>
  <si>
    <t>2020 Q1</t>
  </si>
  <si>
    <t>2020 Q2</t>
  </si>
  <si>
    <t>2020 Q3</t>
  </si>
  <si>
    <t>2020 Q4</t>
  </si>
  <si>
    <t>Issued on:</t>
  </si>
  <si>
    <t xml:space="preserve"> ¥250,000,000,000 aggregate principal amount of Company0242’s 0.350% Notes due 2020</t>
  </si>
  <si>
    <t>£750,000,000 aggregate principal amount of Company0242’s 3.05% Notes due 2029</t>
  </si>
  <si>
    <t>£500,000,000 aggregate principal amount of the Company’s 3.60% Notes due 2042</t>
  </si>
  <si>
    <t>€1,000,000,000 aggregate principal amount of Company0242’s 1.375% Notes due 2024</t>
  </si>
  <si>
    <t>€1,000,000,000 aggregate principal amount of Company0242’s 2.000% Notes due 2027</t>
  </si>
  <si>
    <t>2019 fixed 1.70% notes</t>
  </si>
  <si>
    <t>€1,400,000,000 aggregate principal amount of Company0242’s 1.000% Notes due 2022</t>
  </si>
  <si>
    <t>2026 fixed 1.625% notes</t>
  </si>
  <si>
    <t>€1,400,000,000 aggregate principal amount of Company0242’s 1.625% Notes due 2026</t>
  </si>
  <si>
    <t>Global Investment Research</t>
  </si>
  <si>
    <t>Company1149, Company2521 &amp; Co.</t>
  </si>
  <si>
    <t>Company Model</t>
  </si>
  <si>
    <t>Sector: Hardware and Communications Technology</t>
  </si>
  <si>
    <t>2019 Fixed-rate 1.55% notes</t>
  </si>
  <si>
    <t>2020 Fixed-rate 1.9% notes</t>
  </si>
  <si>
    <t>2022 Fixed-rate 2.5% notes</t>
  </si>
  <si>
    <t>2024 Fixed-rate 3.0% notes</t>
  </si>
  <si>
    <t>2027 Fixed-rate 3.35% notes</t>
  </si>
  <si>
    <t>2047 Fixed-rate 4.25% notes</t>
  </si>
  <si>
    <t>2047 Fixed-rate 4.30% notes</t>
  </si>
  <si>
    <t>2020 Fixed-rate 1.8% notes</t>
  </si>
  <si>
    <t>2024 Fixed-rate 2.85% notes</t>
  </si>
  <si>
    <t>2027 Fixed-rate 3.20% notes</t>
  </si>
  <si>
    <t>€1,250,000,000 aggregate principal amount of Company0242’s 0.875% Notes due 2025</t>
  </si>
  <si>
    <t>2025 Fixed-rate 0.875% notes</t>
  </si>
  <si>
    <t>2029 Fixed-rate 1.375% notes</t>
  </si>
  <si>
    <t>€1,250,000,000 aggregate principal amount of Company0242’s 0.875% Notes due 2029</t>
  </si>
  <si>
    <t>2027 Fixed-rate 3.00% notes</t>
  </si>
  <si>
    <t>2024 Fixed-rate 2.513% notes</t>
  </si>
  <si>
    <t>C$2,500,000,000 aggregate principal amount of Company0242’s 2.513% Notes due 2024</t>
  </si>
  <si>
    <t>2019 Fixed-rate 1.50% notes</t>
  </si>
  <si>
    <t>2022 Fixed-rate 2.3% notes</t>
  </si>
  <si>
    <t>2022 Fixed-rate 2.10% notes</t>
  </si>
  <si>
    <t>2027 Fixed-rate 2.90% notes</t>
  </si>
  <si>
    <t>2047 Fixed-rate 3.75% notes</t>
  </si>
  <si>
    <t>2019 Fixed-rate 2.99% notes</t>
  </si>
  <si>
    <t>2019 Fixed-rate 1.45% notes</t>
  </si>
  <si>
    <t>Australian dollar-denominated debt issuance of A$650m</t>
  </si>
  <si>
    <t>Australian dollar-denominated debt issuance of A450m</t>
  </si>
  <si>
    <t>Australian dollar-denominated debt issuance of A325m</t>
  </si>
  <si>
    <t>CHF 375m</t>
  </si>
  <si>
    <t>Total debt (inc. Commercial paper)</t>
  </si>
  <si>
    <t>Unamortized premium/(discount) and issuance costs, net</t>
  </si>
  <si>
    <t>Hedge accounting fair value adjustments</t>
  </si>
  <si>
    <t>Less: Current portion of long-term debt</t>
  </si>
  <si>
    <t>Less: Commercial paper</t>
  </si>
  <si>
    <t>Total long-term debt</t>
  </si>
  <si>
    <t>2019 Fixed-rate 1.80% notes</t>
  </si>
  <si>
    <t>2020 Fixed-rate 2.00% notes</t>
  </si>
  <si>
    <t>2023 Fixed-rate 2.40% notes</t>
  </si>
  <si>
    <t>2025 Fixed-rate 2.75% notes</t>
  </si>
  <si>
    <t>Excess tax benefits from equity awards</t>
  </si>
  <si>
    <t>Long-term taxes payable</t>
  </si>
  <si>
    <t>Deferred tax liabilities</t>
  </si>
  <si>
    <t>of which:</t>
  </si>
  <si>
    <t>CY'2017</t>
  </si>
  <si>
    <t>Interest and dividend income</t>
  </si>
  <si>
    <t>Other income/ (expense), net</t>
  </si>
  <si>
    <t>TARGET_PRICE_FUNDAMENTAL</t>
  </si>
  <si>
    <t>TARGET_PRICE_MA</t>
  </si>
  <si>
    <t>Fundamental value</t>
  </si>
  <si>
    <t>M&amp;A value</t>
  </si>
  <si>
    <t>Other Purchase Obligations</t>
  </si>
  <si>
    <t>FY'2022E</t>
  </si>
  <si>
    <t>Services Gross Profit</t>
  </si>
  <si>
    <t>Q1'20</t>
  </si>
  <si>
    <t>Q2'20</t>
  </si>
  <si>
    <t>Q1'19</t>
  </si>
  <si>
    <t>Q2'19</t>
  </si>
  <si>
    <t>Q3'19</t>
  </si>
  <si>
    <t>Q4'19</t>
  </si>
  <si>
    <t>Q1'18</t>
  </si>
  <si>
    <t>Q2'18</t>
  </si>
  <si>
    <t>Q3'18</t>
  </si>
  <si>
    <t>Q4'18</t>
  </si>
  <si>
    <t>Q1'16</t>
  </si>
  <si>
    <t>Q2'16</t>
  </si>
  <si>
    <t>Q3'16</t>
  </si>
  <si>
    <t>Q4'16</t>
  </si>
  <si>
    <t>Q1'17</t>
  </si>
  <si>
    <t>Q2'17</t>
  </si>
  <si>
    <t>Q3'17</t>
  </si>
  <si>
    <t>Q4'17</t>
  </si>
  <si>
    <t>Q1'13</t>
  </si>
  <si>
    <t>Q2'13</t>
  </si>
  <si>
    <t>Q3'13</t>
  </si>
  <si>
    <t>Q4'13</t>
  </si>
  <si>
    <t>Q1'14</t>
  </si>
  <si>
    <t>Q2'14</t>
  </si>
  <si>
    <t>Q3'14</t>
  </si>
  <si>
    <t>Q4'14</t>
  </si>
  <si>
    <t>Q1'15</t>
  </si>
  <si>
    <t>Q2'15</t>
  </si>
  <si>
    <t>Q3'15</t>
  </si>
  <si>
    <t>Q4'15</t>
  </si>
  <si>
    <t>Purchase Obligations</t>
  </si>
  <si>
    <t>Remainder of FY (FY+1 in FQ4)</t>
  </si>
  <si>
    <t>FY+1 and FY+2 (FY+2 and FY+3 in FQ4)</t>
  </si>
  <si>
    <t>FY+3 and FY+4 (FY+3 and FY+4 in FQ4)</t>
  </si>
  <si>
    <t xml:space="preserve">Thereafter </t>
  </si>
  <si>
    <t># of days covered under manufacturing POs</t>
  </si>
  <si>
    <t>FY'2018</t>
  </si>
  <si>
    <t>Japan Sales in LC (JPY T)</t>
  </si>
  <si>
    <t>FX Impact from JPY (in USD)</t>
  </si>
  <si>
    <t>Greater China Sales in LC (CNY bn)</t>
  </si>
  <si>
    <t>FX Impact from Greater China (in USD)</t>
  </si>
  <si>
    <t>Product0489 (old accounting standard - new accounting standard implemented in FQ1'19)</t>
  </si>
  <si>
    <t>Product0487 (old accounting standard - new accounting standard implemented in FQ1'19)</t>
  </si>
  <si>
    <t>Mac (old accounting standard - new accounting standard implemented in FQ1'19)</t>
  </si>
  <si>
    <t>Other products (old accounting standard - new accounting standard implemented in FQ1'19)</t>
  </si>
  <si>
    <t>Services  (old accounting standard - new accounting standard implemented in FQ1'19)</t>
  </si>
  <si>
    <t>Products COGS</t>
  </si>
  <si>
    <t>Services COGS</t>
  </si>
  <si>
    <t>CY'2018</t>
  </si>
  <si>
    <t>Segment level numbers not comparable to CY18 and beyond numbers due to accounting change--&gt;</t>
  </si>
  <si>
    <t>&lt;--Accounting change in FQ1'19. Segment level #s below are estimates until FQ4'17, Company0242 restated FY18 and beyond numbers, do not compare to FY12 and prior numbers</t>
  </si>
  <si>
    <t>Australian dollar-denominated debt issuance of A$700m</t>
  </si>
  <si>
    <t>Australian dollar-denominated debt issuance of A$1.15bn</t>
  </si>
  <si>
    <t>CHF 875mn</t>
  </si>
  <si>
    <t>Reported Interest expense</t>
  </si>
  <si>
    <t>Calculated Interest expense</t>
  </si>
  <si>
    <t>delta</t>
  </si>
  <si>
    <t>(off-balance sheet) Unconditional purchase obligations with remainig in term of &gt;1yr</t>
  </si>
  <si>
    <t>2019 floating (3M LIBOR + 14bps)</t>
  </si>
  <si>
    <t>2019 floating (3M LIBOR + 8bps)</t>
  </si>
  <si>
    <t>2019 floating (3M LIBOR + 82bps)</t>
  </si>
  <si>
    <t>2019 floating (3M BBSW + 65bps)</t>
  </si>
  <si>
    <t>2020 floating (3M LIBOR + 20bps)</t>
  </si>
  <si>
    <t>2020 floating issued in 3Q15  (3M LIBOR + 30bps)</t>
  </si>
  <si>
    <t>2020 floating (3M LIBOR + 25bps)</t>
  </si>
  <si>
    <t>2020 floating (3M LIBOR + 7bps)</t>
  </si>
  <si>
    <t>2021 floating (3M LIBOR + 113bps)</t>
  </si>
  <si>
    <t>2022 floating (3M LIBOR + 50bps)</t>
  </si>
  <si>
    <t>2022 floating (3M LIBOR + 35bps)</t>
  </si>
  <si>
    <t>New Debt:</t>
  </si>
  <si>
    <t>Debt-2</t>
  </si>
  <si>
    <t>Debt-3</t>
  </si>
  <si>
    <t>Maturities</t>
  </si>
  <si>
    <t>New issuances</t>
  </si>
  <si>
    <t>Effective interest rate</t>
  </si>
  <si>
    <t>2021 Q1</t>
  </si>
  <si>
    <t>2021 Q2</t>
  </si>
  <si>
    <t>2021 Q3</t>
  </si>
  <si>
    <t>2021 Q4</t>
  </si>
  <si>
    <t>Cash and equivalents</t>
  </si>
  <si>
    <t>Interest rate (annualized)</t>
  </si>
  <si>
    <t>Interest and dividend income (copy pasted)</t>
  </si>
  <si>
    <t>Right-of-use assets (op lease assets under US GAAP)</t>
  </si>
  <si>
    <t>ROU_ASSET</t>
  </si>
  <si>
    <t>Lease principal payments  (applicable to IFRS cos.)</t>
  </si>
  <si>
    <t>LEASE_PRINCIPAL_CASH</t>
  </si>
  <si>
    <t>Depreciation ROU assets   (applicable to IFRS cos.)</t>
  </si>
  <si>
    <t>DEPR_ROU_ASSETS</t>
  </si>
  <si>
    <t>Current lease liabilities (op lease: US GAAP)</t>
  </si>
  <si>
    <t>ST_LEASE_LIAB</t>
  </si>
  <si>
    <t>Non-current lease liabilities (op lease: US GAAP)</t>
  </si>
  <si>
    <t>LT_LEASE_LIAB</t>
  </si>
  <si>
    <t>Lease interest charge  (applicable to IFRS cos.)</t>
  </si>
  <si>
    <t>LEASE_INT_CHG</t>
  </si>
  <si>
    <t>Lease standard adopted (US GAAP ASC 842/ IFRS 16)</t>
  </si>
  <si>
    <t>LEASE_ADOPT</t>
  </si>
  <si>
    <t>Operating lease cost</t>
  </si>
  <si>
    <t>Capitalized operating leases (off-balance sheet)</t>
  </si>
  <si>
    <t>NET_DEBT_EX_LEASES_PUB</t>
  </si>
  <si>
    <t>Consensus equivalent net debt</t>
  </si>
  <si>
    <t>CEEE_NDEBT</t>
  </si>
  <si>
    <t>Restricted Cash</t>
  </si>
  <si>
    <t>Cash and short term investments</t>
  </si>
  <si>
    <t>Trade receivables from network carriers</t>
  </si>
  <si>
    <t>Net Debt (ex leases) (Pub)</t>
  </si>
  <si>
    <t>Cash paid for income taxes, net</t>
  </si>
  <si>
    <t>Cash paid for interest</t>
  </si>
  <si>
    <t>Product0489 12</t>
  </si>
  <si>
    <t>FY'2019</t>
  </si>
  <si>
    <t>Products Gross Profit</t>
  </si>
  <si>
    <t>2022 Q1</t>
  </si>
  <si>
    <t>2022 Q2</t>
  </si>
  <si>
    <t>2022 Q3</t>
  </si>
  <si>
    <t>2022 Q4</t>
  </si>
  <si>
    <t>CY'2019</t>
  </si>
  <si>
    <t>Product0489 13</t>
  </si>
  <si>
    <t>Weeks of channel inventory</t>
  </si>
  <si>
    <t>Proceeds from repurchase agreement</t>
  </si>
  <si>
    <t>Change in channel inventory (m)</t>
  </si>
  <si>
    <t>Ending channel inventory (m)</t>
  </si>
  <si>
    <t>Q3'20</t>
  </si>
  <si>
    <t>FY'2023E</t>
  </si>
  <si>
    <t>Q4'20</t>
  </si>
  <si>
    <t>FY'2020</t>
  </si>
  <si>
    <t>Wearables, Home and Accessories</t>
  </si>
  <si>
    <t>2023 Q1</t>
  </si>
  <si>
    <t>2023 Q2</t>
  </si>
  <si>
    <t>2023 Q3</t>
  </si>
  <si>
    <t>2023 Q4</t>
  </si>
  <si>
    <t>Q1'21</t>
  </si>
  <si>
    <t>Product0489 11</t>
  </si>
  <si>
    <t>CY'2020</t>
  </si>
  <si>
    <t>Q2'21</t>
  </si>
  <si>
    <t>Y/Y Revenue per user</t>
  </si>
  <si>
    <t>Q3'21</t>
  </si>
  <si>
    <t>Total ARPU</t>
  </si>
  <si>
    <t>Q1'24E</t>
  </si>
  <si>
    <t>Q3'24E</t>
  </si>
  <si>
    <t>Q4'24E</t>
  </si>
  <si>
    <t>FY'2024E</t>
  </si>
  <si>
    <t>2024 Q1</t>
  </si>
  <si>
    <t>2024 Q2</t>
  </si>
  <si>
    <t>2024 Q3</t>
  </si>
  <si>
    <t>2024 Q4</t>
  </si>
  <si>
    <t>Q4'21</t>
  </si>
  <si>
    <t>FY'2021</t>
  </si>
  <si>
    <t>Q1'22</t>
  </si>
  <si>
    <t>Services revenue (quarterly)/ paid subscription</t>
  </si>
  <si>
    <t>CY'2021</t>
  </si>
  <si>
    <t>Q2'22</t>
  </si>
  <si>
    <t>Q3'22</t>
  </si>
  <si>
    <t>Person1252 Person1255, CFA, CPA</t>
  </si>
  <si>
    <t>(212) 902 8618</t>
  </si>
  <si>
    <t>person@example.com</t>
  </si>
  <si>
    <t>Basic EPS (Non-GAAP)</t>
  </si>
  <si>
    <t>Diluted EPS (Non-GAAP)</t>
  </si>
  <si>
    <t>Basic EPS (GAAP)</t>
  </si>
  <si>
    <t>Diluted EPS (GAAP)</t>
  </si>
  <si>
    <t>Net income (Non-GAAP)</t>
  </si>
  <si>
    <t>Year-over-year change (%)</t>
  </si>
  <si>
    <t>% of revenue</t>
  </si>
  <si>
    <t>Quarter-over-quarter change (%)</t>
  </si>
  <si>
    <t>Year-over-year change ($)</t>
  </si>
  <si>
    <t>Quarter-over-quarter change ($)</t>
  </si>
  <si>
    <t>Income statement ($, millions)</t>
  </si>
  <si>
    <t>Q2'25E</t>
  </si>
  <si>
    <t>Q4'25E</t>
  </si>
  <si>
    <t>FY'2025E</t>
  </si>
  <si>
    <t>FY'2026E</t>
  </si>
  <si>
    <t>CY'2025E</t>
  </si>
  <si>
    <t>Q1'26E</t>
  </si>
  <si>
    <t>Q2'26E</t>
  </si>
  <si>
    <t>Q3'26E</t>
  </si>
  <si>
    <t>Q4'26E</t>
  </si>
  <si>
    <t>Calendar</t>
  </si>
  <si>
    <t>$, millions</t>
  </si>
  <si>
    <t>Services gross margin (%)</t>
  </si>
  <si>
    <t>Products gross margin (%)</t>
  </si>
  <si>
    <t>Product units sell-in (mn)</t>
  </si>
  <si>
    <t>Product units sell-in (year-over-year change, %)</t>
  </si>
  <si>
    <t>Product units sell-in (quarter-over-quarter change, %)</t>
  </si>
  <si>
    <t>Product units sell-in (quarter-over-quarter change, mn)</t>
  </si>
  <si>
    <t>Product units sell-in (% of full-year)</t>
  </si>
  <si>
    <t>Product revenue ($, mn)</t>
  </si>
  <si>
    <t>Product revenue, old reporting ($, mn)</t>
  </si>
  <si>
    <t>Product ASP (quarter-over-quarter change, %)</t>
  </si>
  <si>
    <t>Product ASP (quarter-over-quarter change, $)</t>
  </si>
  <si>
    <t>Product0490</t>
  </si>
  <si>
    <t>Watch</t>
  </si>
  <si>
    <t>Total product revenue</t>
  </si>
  <si>
    <t>Product revenue, year-over-year change (%)</t>
  </si>
  <si>
    <t>Product revenue, quarter-over-quarter change (%)</t>
  </si>
  <si>
    <t>Services revenue ($, mn)</t>
  </si>
  <si>
    <t>Total services revenue</t>
  </si>
  <si>
    <t>Services revenue, old reporting ($, mn)</t>
  </si>
  <si>
    <t>App store revenue</t>
  </si>
  <si>
    <t>App store revenue build</t>
  </si>
  <si>
    <t>Developer payout, lifetime</t>
  </si>
  <si>
    <t>Developer payout, in-period</t>
  </si>
  <si>
    <t>App store estimated billings</t>
  </si>
  <si>
    <t>App store take-rate</t>
  </si>
  <si>
    <t>Year-over-year change</t>
  </si>
  <si>
    <t>Quarter-over-quarter change</t>
  </si>
  <si>
    <t>4-year CAGR %</t>
  </si>
  <si>
    <t>Product0046 revenue build</t>
  </si>
  <si>
    <t>Product0046 revenue</t>
  </si>
  <si>
    <t>Product0046 paid subscribers net adds</t>
  </si>
  <si>
    <t>Paid subscribers (mn) only (end of period)</t>
  </si>
  <si>
    <t>Product0045</t>
  </si>
  <si>
    <t>Product0484+ revenue build</t>
  </si>
  <si>
    <t>Product0484+ revenue</t>
  </si>
  <si>
    <t>Product0484+ paid subscribers net adds</t>
  </si>
  <si>
    <t>Product0484 quarterly actives</t>
  </si>
  <si>
    <t>Product0484 quarterly actives net adds</t>
  </si>
  <si>
    <t>Product0484+</t>
  </si>
  <si>
    <t>Amortization of deferred product revenue</t>
  </si>
  <si>
    <t>Amortization of deferred revenue for Maps, Product0373, free Cloud services</t>
  </si>
  <si>
    <t>Amortization of deferred product revenue: Maps, Product0373, and free Product0484 services</t>
  </si>
  <si>
    <t>Company0242 tv+ revenue</t>
  </si>
  <si>
    <t>Company0242 tv+ paid subscribers net adds</t>
  </si>
  <si>
    <t>Company0242 Arcade revenue</t>
  </si>
  <si>
    <t>Company0242 Arcade paid subscribers net adds</t>
  </si>
  <si>
    <t>Company0242 Arcade revenue build</t>
  </si>
  <si>
    <t>Company0242 News+ revenue</t>
  </si>
  <si>
    <t>Company0242 News+ paid subscribers net adds</t>
  </si>
  <si>
    <t>Company0242 News+ revenue build</t>
  </si>
  <si>
    <t>Company0242 Fitness+ revenue</t>
  </si>
  <si>
    <t>Company0242 Fitness+ paid subscribers net adds</t>
  </si>
  <si>
    <t>Company0242 Fitness+ revenue build</t>
  </si>
  <si>
    <t>Company0242 tv+ revenue build</t>
  </si>
  <si>
    <t>Product0051+ revenue build</t>
  </si>
  <si>
    <t>Product0051+ revenue</t>
  </si>
  <si>
    <t>Product0051+ paid subscribers net adds</t>
  </si>
  <si>
    <t>Revenue % of device revenue</t>
  </si>
  <si>
    <t>Product0051+</t>
  </si>
  <si>
    <t>TAC</t>
  </si>
  <si>
    <t>TAC revenue build</t>
  </si>
  <si>
    <t>Product0046, One, and other subscriptions (tv+, Fitness+, News+, Arcade)</t>
  </si>
  <si>
    <t>Company1153 TAC (Distribution)</t>
  </si>
  <si>
    <t>Company1153 TAC (Network)</t>
  </si>
  <si>
    <t>Total Company1153 TAC</t>
  </si>
  <si>
    <t>% of total Company1153 TAC</t>
  </si>
  <si>
    <t>Company0242 Product0486 TAC revenue</t>
  </si>
  <si>
    <t>% of Company1153 TAC (Distribution)</t>
  </si>
  <si>
    <t>One-time payments</t>
  </si>
  <si>
    <t>Product0484+ % of quarterly actives</t>
  </si>
  <si>
    <t>Product0047 revenue build</t>
  </si>
  <si>
    <t>Take-rate on payment volume</t>
  </si>
  <si>
    <t>Product0047 revenue</t>
  </si>
  <si>
    <t>Apply Pay users</t>
  </si>
  <si>
    <t>Total revenue</t>
  </si>
  <si>
    <t>Product0047 user net adds</t>
  </si>
  <si>
    <t>Monthly payment volume per user</t>
  </si>
  <si>
    <t>Product0047</t>
  </si>
  <si>
    <t>FY'1999</t>
  </si>
  <si>
    <t>FY'1998</t>
  </si>
  <si>
    <t>FY'1997</t>
  </si>
  <si>
    <t>FY'1996</t>
  </si>
  <si>
    <t>Revenue summary</t>
  </si>
  <si>
    <t>Accounts payable % of annualized COGS</t>
  </si>
  <si>
    <t>2013 issue: fixed rate notes</t>
  </si>
  <si>
    <t>2014 issue: fixed rate notes</t>
  </si>
  <si>
    <t>2014 issue: floating rate notes</t>
  </si>
  <si>
    <t>2015 issue: floating rate notes</t>
  </si>
  <si>
    <t>2015 issue: fixed rate notes</t>
  </si>
  <si>
    <t>2016 issue: floating rate notes</t>
  </si>
  <si>
    <t>2016 issue: fixed rate notes</t>
  </si>
  <si>
    <t>2017 issue: floating rate notes</t>
  </si>
  <si>
    <t>2017 issue: fixed rate notes</t>
  </si>
  <si>
    <t>2018 issue: fixed rate notes</t>
  </si>
  <si>
    <t>2015</t>
  </si>
  <si>
    <t>Rate</t>
  </si>
  <si>
    <t>Debt-1 (2019 issuance)</t>
  </si>
  <si>
    <t>Bonds (plug)</t>
  </si>
  <si>
    <t>CY'1996</t>
  </si>
  <si>
    <t>CY'1997</t>
  </si>
  <si>
    <t>CY'1998</t>
  </si>
  <si>
    <t>CY'1999</t>
  </si>
  <si>
    <t>Source: Company data, Company1150 Global Investment Research</t>
  </si>
  <si>
    <t>Last Reported</t>
  </si>
  <si>
    <t>Current price</t>
  </si>
  <si>
    <t>NTM</t>
  </si>
  <si>
    <t>Market cap</t>
  </si>
  <si>
    <t>Net cash (NTM)</t>
  </si>
  <si>
    <t>Diluted Shares Outstanding (last reported)</t>
  </si>
  <si>
    <t>Enterprise value</t>
  </si>
  <si>
    <t>NTM Diluted Shares Outstanding</t>
  </si>
  <si>
    <t>Price target</t>
  </si>
  <si>
    <t>Upside potential</t>
  </si>
  <si>
    <t>Valuation analysis</t>
  </si>
  <si>
    <t>FY2000</t>
  </si>
  <si>
    <t>FY2001</t>
  </si>
  <si>
    <t>FY2002</t>
  </si>
  <si>
    <t>FY2003</t>
  </si>
  <si>
    <t>FY2004</t>
  </si>
  <si>
    <t>FY2005</t>
  </si>
  <si>
    <t>FY2006</t>
  </si>
  <si>
    <t>FY2007</t>
  </si>
  <si>
    <t>FY2008</t>
  </si>
  <si>
    <t>FY2009</t>
  </si>
  <si>
    <t>FY2010</t>
  </si>
  <si>
    <t>FY2011</t>
  </si>
  <si>
    <t>FY2012</t>
  </si>
  <si>
    <t>FY2013</t>
  </si>
  <si>
    <t>FY2014</t>
  </si>
  <si>
    <t>FY2015</t>
  </si>
  <si>
    <t>FY2016</t>
  </si>
  <si>
    <t>FY2017</t>
  </si>
  <si>
    <t>FY2018</t>
  </si>
  <si>
    <t>FY2019</t>
  </si>
  <si>
    <t>FY2020</t>
  </si>
  <si>
    <t>FY2021</t>
  </si>
  <si>
    <t>FY2022</t>
  </si>
  <si>
    <t>FY2023</t>
  </si>
  <si>
    <t>FY2024</t>
  </si>
  <si>
    <t>FY2025</t>
  </si>
  <si>
    <t>FY2026</t>
  </si>
  <si>
    <t>NTM+1Y</t>
  </si>
  <si>
    <t>Non GAAP EPS</t>
  </si>
  <si>
    <t>YoY Growth</t>
  </si>
  <si>
    <t>3-yr EPS CAGR</t>
  </si>
  <si>
    <t>GAAP EPS</t>
  </si>
  <si>
    <t>3-yr CAGR</t>
  </si>
  <si>
    <t>P/Non-GAAP EPS</t>
  </si>
  <si>
    <t>P/E</t>
  </si>
  <si>
    <t>EV / EBITDA</t>
  </si>
  <si>
    <t>Target P / Non-GAAP EPS</t>
  </si>
  <si>
    <t>Implied EV</t>
  </si>
  <si>
    <t>Net cash</t>
  </si>
  <si>
    <t>Target Market Cap</t>
  </si>
  <si>
    <t>Target Price</t>
  </si>
  <si>
    <t>P / non-GAAP EPS ex-Cash</t>
  </si>
  <si>
    <t>Implied P/ E</t>
  </si>
  <si>
    <t>Implied EV / EBITDA</t>
  </si>
  <si>
    <t>Ticker0001 Valuation Summary</t>
  </si>
  <si>
    <t>FY1999</t>
  </si>
  <si>
    <t>FY1995</t>
  </si>
  <si>
    <t>FY1998</t>
  </si>
  <si>
    <t>FY1996</t>
  </si>
  <si>
    <t>FY1997</t>
  </si>
  <si>
    <t>Q1'01</t>
  </si>
  <si>
    <t>Q2'01</t>
  </si>
  <si>
    <t>Q3'01</t>
  </si>
  <si>
    <t>Q4'01</t>
  </si>
  <si>
    <t>Q1'02</t>
  </si>
  <si>
    <t>Q2'02</t>
  </si>
  <si>
    <t>Q3'02</t>
  </si>
  <si>
    <t>Q4'02</t>
  </si>
  <si>
    <t>Q1'03</t>
  </si>
  <si>
    <t>Q2'03</t>
  </si>
  <si>
    <t>Q3'03</t>
  </si>
  <si>
    <t>Q4'03</t>
  </si>
  <si>
    <t>Q1'04</t>
  </si>
  <si>
    <t>Q2'04</t>
  </si>
  <si>
    <t>Q3'04</t>
  </si>
  <si>
    <t>Q4'04</t>
  </si>
  <si>
    <t>Q1'05</t>
  </si>
  <si>
    <t>Q2'05</t>
  </si>
  <si>
    <t>Q3'05</t>
  </si>
  <si>
    <t>Q4'05</t>
  </si>
  <si>
    <t>Q1'06</t>
  </si>
  <si>
    <t>Q2'06</t>
  </si>
  <si>
    <t>Q3'06</t>
  </si>
  <si>
    <t>Q4'06</t>
  </si>
  <si>
    <t>Q1'07</t>
  </si>
  <si>
    <t>Q2'07</t>
  </si>
  <si>
    <t>Q3'07</t>
  </si>
  <si>
    <t>Q4'07</t>
  </si>
  <si>
    <t>Q1'08</t>
  </si>
  <si>
    <t>Q2'08</t>
  </si>
  <si>
    <t>Q3'08</t>
  </si>
  <si>
    <t>Q4'08</t>
  </si>
  <si>
    <t>Q1'09</t>
  </si>
  <si>
    <t>Q2'09</t>
  </si>
  <si>
    <t>Q3'09</t>
  </si>
  <si>
    <t>Q4'09</t>
  </si>
  <si>
    <t>Q1'00</t>
  </si>
  <si>
    <t>Q2'00</t>
  </si>
  <si>
    <t>Q3'00</t>
  </si>
  <si>
    <t>Q4'00</t>
  </si>
  <si>
    <t>Q1'96</t>
  </si>
  <si>
    <t>Q2'96</t>
  </si>
  <si>
    <t>Q3'96</t>
  </si>
  <si>
    <t>Q4'96</t>
  </si>
  <si>
    <t>Q1'97</t>
  </si>
  <si>
    <t>Q2'97</t>
  </si>
  <si>
    <t>Q3'97</t>
  </si>
  <si>
    <t>Q4'97</t>
  </si>
  <si>
    <t>Q1'98</t>
  </si>
  <si>
    <t>Q2'98</t>
  </si>
  <si>
    <t>Q3'98</t>
  </si>
  <si>
    <t>Q4'98</t>
  </si>
  <si>
    <t>Q1'99</t>
  </si>
  <si>
    <t>Q2'99</t>
  </si>
  <si>
    <t>Q3'99</t>
  </si>
  <si>
    <t>Q4'99</t>
  </si>
  <si>
    <t>Q1'10</t>
  </si>
  <si>
    <t>Q2'10</t>
  </si>
  <si>
    <t>Q3'10</t>
  </si>
  <si>
    <t>Q4'10</t>
  </si>
  <si>
    <t>Q1'11</t>
  </si>
  <si>
    <t>Q2'11</t>
  </si>
  <si>
    <t>Q3'11</t>
  </si>
  <si>
    <t>Q4'11</t>
  </si>
  <si>
    <t>Q1'12</t>
  </si>
  <si>
    <t>Q2'12</t>
  </si>
  <si>
    <t>Q3'12</t>
  </si>
  <si>
    <t>Q4'12</t>
  </si>
  <si>
    <t>Other countries (ex-China, ex-US)</t>
  </si>
  <si>
    <t>YoY Change, %</t>
  </si>
  <si>
    <t>QoQ Change, %</t>
  </si>
  <si>
    <t>% of sales, %</t>
  </si>
  <si>
    <t>Non-US Sales in Americas</t>
  </si>
  <si>
    <t>Rest of APAC</t>
  </si>
  <si>
    <t>Americas EBIT</t>
  </si>
  <si>
    <t>Europe EBIT</t>
  </si>
  <si>
    <t>Greater China EBIT</t>
  </si>
  <si>
    <t>Japan EBIT</t>
  </si>
  <si>
    <t>Rest of APAC EBIT</t>
  </si>
  <si>
    <t>Americas EBIT % Americas Sales</t>
  </si>
  <si>
    <t>Europe EBIT % of Europe Sales</t>
  </si>
  <si>
    <t>Greater China EBIT % of China Sales</t>
  </si>
  <si>
    <t>Japan EBIT % of Japan Sales</t>
  </si>
  <si>
    <t>Rest of APAC EBIT % of RoAPAC Sales</t>
  </si>
  <si>
    <t>Retail Revenues (pre FY'12)</t>
  </si>
  <si>
    <t>Retail (pre FY'12)</t>
  </si>
  <si>
    <t>Retail EBIT % Retail Sales</t>
  </si>
  <si>
    <t>Retail EBIT</t>
  </si>
  <si>
    <t>Current</t>
  </si>
  <si>
    <t>Prior</t>
  </si>
  <si>
    <t>∆ ($, mn)</t>
  </si>
  <si>
    <t>∆ (%)</t>
  </si>
  <si>
    <t>Total Gross Margin (%)</t>
  </si>
  <si>
    <t>StreetAccount</t>
  </si>
  <si>
    <t>Ticker0015 v. Consensus</t>
  </si>
  <si>
    <t>consensus metrics ($, mn)</t>
  </si>
  <si>
    <t>Cons.</t>
  </si>
  <si>
    <t>Sales</t>
  </si>
  <si>
    <t>F2025</t>
  </si>
  <si>
    <t>% vs. Gse</t>
  </si>
  <si>
    <t>Q4'22</t>
  </si>
  <si>
    <t>Term debt</t>
  </si>
  <si>
    <t>FY'2022</t>
  </si>
  <si>
    <t xml:space="preserve">Constant currency revenue growth </t>
  </si>
  <si>
    <t>Forex impact</t>
  </si>
  <si>
    <t>Shares issued (SBC)</t>
  </si>
  <si>
    <t>Shares repurchased</t>
  </si>
  <si>
    <t>Share price for repurchases</t>
  </si>
  <si>
    <t>Repurchases ($)</t>
  </si>
  <si>
    <t>Ending average basic share count</t>
  </si>
  <si>
    <t>Beginning average basic share count</t>
  </si>
  <si>
    <t>End of period (calculated, from 10-Q/K)</t>
  </si>
  <si>
    <t>Product average selling price (reported)</t>
  </si>
  <si>
    <t>Product ASP forex (year-over-year change, %)</t>
  </si>
  <si>
    <t>Product forex impact</t>
  </si>
  <si>
    <t>Product reported ASP (year-over-year change, %)</t>
  </si>
  <si>
    <t>Product ex forex ASP (year-over-year change, %)</t>
  </si>
  <si>
    <t>Product0487 Pro</t>
  </si>
  <si>
    <t>Product0487 Air</t>
  </si>
  <si>
    <t>Product0487 Mini</t>
  </si>
  <si>
    <t>Product0487 revenue</t>
  </si>
  <si>
    <t>Prior generation</t>
  </si>
  <si>
    <t>Product0489 SE or low-end equivalent</t>
  </si>
  <si>
    <t>Product0489 7</t>
  </si>
  <si>
    <t>Product0489 8</t>
  </si>
  <si>
    <t>Product0489 X</t>
  </si>
  <si>
    <t>Product0489 14</t>
  </si>
  <si>
    <t>Product0489 15</t>
  </si>
  <si>
    <t>Product0489 16</t>
  </si>
  <si>
    <t>Product0489 17</t>
  </si>
  <si>
    <t>Product0489 revenue</t>
  </si>
  <si>
    <t>Next generation</t>
  </si>
  <si>
    <t>Sensor Tower estimates of gross revenue (Product0489/Product0487 only)</t>
  </si>
  <si>
    <t>Sensor Tower estimates of net revenue (Product0489/Product0487 only)</t>
  </si>
  <si>
    <t>F2026</t>
  </si>
  <si>
    <t>2023/1F</t>
  </si>
  <si>
    <t>Gross profit margin (%)</t>
  </si>
  <si>
    <t>Geography</t>
  </si>
  <si>
    <t>Sell-in</t>
  </si>
  <si>
    <t>Sell-through</t>
  </si>
  <si>
    <t>Sell-in (mn)</t>
  </si>
  <si>
    <t>Sell-through (mn)</t>
  </si>
  <si>
    <t>Active installed base (all devices)</t>
  </si>
  <si>
    <t>Upgraders</t>
  </si>
  <si>
    <t>Switchers</t>
  </si>
  <si>
    <t>First smartphone</t>
  </si>
  <si>
    <t>Total sell-through</t>
  </si>
  <si>
    <t>Product0489 channel inventory (units, mn)</t>
  </si>
  <si>
    <t>Product0489 channel inventory (year-over-year change, %)</t>
  </si>
  <si>
    <t>Product0489 sell-through details (units, mn)</t>
  </si>
  <si>
    <t>Product0489 sell-through details (mix, % of sell-through)</t>
  </si>
  <si>
    <t>Product0489 sell-through details (year-over-year growth, %)</t>
  </si>
  <si>
    <t>Net adds</t>
  </si>
  <si>
    <t>Net adds (estimate)</t>
  </si>
  <si>
    <t>Product0489 new installed base</t>
  </si>
  <si>
    <t>Product0489 active installed base (including used)</t>
  </si>
  <si>
    <t>Revenue per active Product0489 user</t>
  </si>
  <si>
    <t>Estimated product revenue ($, mn)</t>
  </si>
  <si>
    <t>Consolidated active paid subscriptions (not subscribers)</t>
  </si>
  <si>
    <t>Services revenue, year-over-year change (%)</t>
  </si>
  <si>
    <t>Services revenue, year-over-year change ($, mn)</t>
  </si>
  <si>
    <t>Services revenue, quarter-over-quarter change (%)</t>
  </si>
  <si>
    <t>3rd party active paid subscriptions (estimate)</t>
  </si>
  <si>
    <t>Paid subscriptions (mn) only (end of period)</t>
  </si>
  <si>
    <t>Total Cash ($, mn)</t>
  </si>
  <si>
    <t>Total Debt ($, mn)</t>
  </si>
  <si>
    <t>% of net product revenue</t>
  </si>
  <si>
    <t>Product0489 18</t>
  </si>
  <si>
    <t>Product0489 19</t>
  </si>
  <si>
    <t>Product0489 20</t>
  </si>
  <si>
    <t>Q1'27E</t>
  </si>
  <si>
    <t>Q2'27E</t>
  </si>
  <si>
    <t>Q3'27E</t>
  </si>
  <si>
    <t>Q4'27E</t>
  </si>
  <si>
    <t>Q1'28E</t>
  </si>
  <si>
    <t>Q2'28E</t>
  </si>
  <si>
    <t>Q3'28E</t>
  </si>
  <si>
    <t>Q4'28E</t>
  </si>
  <si>
    <t>Q1'29E</t>
  </si>
  <si>
    <t>Q2'29E</t>
  </si>
  <si>
    <t>Q3'29E</t>
  </si>
  <si>
    <t>Q4'29E</t>
  </si>
  <si>
    <t>Q1'30E</t>
  </si>
  <si>
    <t>Q2'30E</t>
  </si>
  <si>
    <t>Q3'30E</t>
  </si>
  <si>
    <t>Q4'30E</t>
  </si>
  <si>
    <t>Product0489 21</t>
  </si>
  <si>
    <t>FY'2027E</t>
  </si>
  <si>
    <t>FY'2028E</t>
  </si>
  <si>
    <t>FY'2029E</t>
  </si>
  <si>
    <t>FY'2030E</t>
  </si>
  <si>
    <t>CY'2026E</t>
  </si>
  <si>
    <t>CY'2027E</t>
  </si>
  <si>
    <t>CY'2028E</t>
  </si>
  <si>
    <t>CY'2029E</t>
  </si>
  <si>
    <t>Product0489 installed base (mn)</t>
  </si>
  <si>
    <t>Company0242 all devices installed base (mn)</t>
  </si>
  <si>
    <t>Installed base (year-over-year growth, %)</t>
  </si>
  <si>
    <t>Installed base (mn)</t>
  </si>
  <si>
    <t>Replacement cycle (years)</t>
  </si>
  <si>
    <t>Upgrade rate of new installed base</t>
  </si>
  <si>
    <t xml:space="preserve">Replacement rate </t>
  </si>
  <si>
    <t>Devices per active Product0489 user</t>
  </si>
  <si>
    <t>Company1150 Global Investment Research</t>
  </si>
  <si>
    <t>+/- Investments</t>
  </si>
  <si>
    <t>WACC</t>
  </si>
  <si>
    <t>Terminal</t>
  </si>
  <si>
    <t>After-Tax EBIT</t>
  </si>
  <si>
    <t>+ D&amp;A</t>
  </si>
  <si>
    <t>- Capex</t>
  </si>
  <si>
    <t>Periods:</t>
  </si>
  <si>
    <t>Term</t>
  </si>
  <si>
    <t>Total</t>
  </si>
  <si>
    <t>UFCF CAGR</t>
  </si>
  <si>
    <t>EV/ EBITDA</t>
  </si>
  <si>
    <t>Source: Company1150 research, Company data</t>
  </si>
  <si>
    <t>Company0242 (Ticker0001)</t>
  </si>
  <si>
    <t>CY</t>
  </si>
  <si>
    <t>Target P / E</t>
  </si>
  <si>
    <t>Terminal UFCF growth rate</t>
  </si>
  <si>
    <t>Implied terminal UFCF multiple</t>
  </si>
  <si>
    <t>Targeted debt / capital</t>
  </si>
  <si>
    <t>Targeted equity / capital</t>
  </si>
  <si>
    <t>Market risk premium</t>
  </si>
  <si>
    <t>Cost of equity</t>
  </si>
  <si>
    <t>After tax cost of debt</t>
  </si>
  <si>
    <t>Tax rate</t>
  </si>
  <si>
    <t>Cost of debt</t>
  </si>
  <si>
    <t>Cost of capital</t>
  </si>
  <si>
    <t>Discounted cash flow</t>
  </si>
  <si>
    <t>Intrinsic value</t>
  </si>
  <si>
    <t>Public market discount</t>
  </si>
  <si>
    <t>Public market equity value</t>
  </si>
  <si>
    <t>DCF implied price</t>
  </si>
  <si>
    <t>Current share price</t>
  </si>
  <si>
    <t>Potential upside (downside)</t>
  </si>
  <si>
    <t>Current dividend</t>
  </si>
  <si>
    <t>Dividend yield</t>
  </si>
  <si>
    <t>Implied total return</t>
  </si>
  <si>
    <t>Implied terminal EBITDA multiple</t>
  </si>
  <si>
    <t>Discounted cash flow ($, mn)</t>
  </si>
  <si>
    <t>- Change in working capital</t>
  </si>
  <si>
    <t>Unlevered free cash flow</t>
  </si>
  <si>
    <t>YoY change (%)</t>
  </si>
  <si>
    <t>Future value</t>
  </si>
  <si>
    <t>Discount factor</t>
  </si>
  <si>
    <t>Present value</t>
  </si>
  <si>
    <t>% of enterprise value</t>
  </si>
  <si>
    <t>PV of cash flows</t>
  </si>
  <si>
    <t>DCF valuation multiples</t>
  </si>
  <si>
    <t>Equity value / FCF</t>
  </si>
  <si>
    <t>Target FCF yield</t>
  </si>
  <si>
    <t>EPS (adjusted)</t>
  </si>
  <si>
    <t>Levered FCF / share</t>
  </si>
  <si>
    <t>FY2027</t>
  </si>
  <si>
    <t>FY2028</t>
  </si>
  <si>
    <t>FY2029</t>
  </si>
  <si>
    <t>FY2030</t>
  </si>
  <si>
    <t>FCF per share</t>
  </si>
  <si>
    <t>P/FCF</t>
  </si>
  <si>
    <t>Risk free rate</t>
  </si>
  <si>
    <t>Shares outstanding (NTM)</t>
  </si>
  <si>
    <t>Base case</t>
  </si>
  <si>
    <t>Revenue</t>
  </si>
  <si>
    <t>Operating expenses</t>
  </si>
  <si>
    <t>Interest &amp; other</t>
  </si>
  <si>
    <t>EBT</t>
  </si>
  <si>
    <t>Taxes</t>
  </si>
  <si>
    <t>Net income</t>
  </si>
  <si>
    <t>Year-over-year growth</t>
  </si>
  <si>
    <t>Margins (% of revenue)</t>
  </si>
  <si>
    <t>Bull case</t>
  </si>
  <si>
    <t>Bear case</t>
  </si>
  <si>
    <t>Downside</t>
  </si>
  <si>
    <t>Upside</t>
  </si>
  <si>
    <t>NTM+1Y EPS</t>
  </si>
  <si>
    <t>Target P/E multiple</t>
  </si>
  <si>
    <t>Implied stock price</t>
  </si>
  <si>
    <t>% upside/downside</t>
  </si>
  <si>
    <t>Base (Product0167)</t>
  </si>
  <si>
    <t>Comments</t>
  </si>
  <si>
    <t>Product revenue</t>
  </si>
  <si>
    <t>Services revenue</t>
  </si>
  <si>
    <t>Revenue (NTM+1Y)</t>
  </si>
  <si>
    <t>Gross margins (%)</t>
  </si>
  <si>
    <t>EBIT margins (%)</t>
  </si>
  <si>
    <t>(-) 5% Services CAGR; (+) 15% Services CAGR</t>
  </si>
  <si>
    <t>(-) assumes slowdown in opex that mitigates slowing topline; (+) no change v. base case yoy</t>
  </si>
  <si>
    <t>(-) no change v. base case; (+) assumes add'l buybacks given strong FCF</t>
  </si>
  <si>
    <t>Scenario analysis ($, bn)</t>
  </si>
  <si>
    <t>Bear case revenue</t>
  </si>
  <si>
    <t>Base case revenue</t>
  </si>
  <si>
    <t>Blanks</t>
  </si>
  <si>
    <t>Bull case revenue</t>
  </si>
  <si>
    <t>FY2026E</t>
  </si>
  <si>
    <t>FY2030E</t>
  </si>
  <si>
    <t>Probability</t>
  </si>
  <si>
    <t>Weighted average</t>
  </si>
  <si>
    <t>Scenario</t>
  </si>
  <si>
    <t>(-) F23 product revenue returns to F21, no growth thereafter; (+) $5 bn of add'l growth per year</t>
  </si>
  <si>
    <t>Downside (-)</t>
  </si>
  <si>
    <t>Upside (+)</t>
  </si>
  <si>
    <t>(-) market multiple; (+) platform multiple</t>
  </si>
  <si>
    <t>(-) minimal net income growth after F24</t>
  </si>
  <si>
    <t>(-) no expansion after F24; (+) margin expansion in Services helps accelerate mix benefits</t>
  </si>
  <si>
    <t>Scenario analysis ($, mn except per share data)</t>
  </si>
  <si>
    <t>Services
(-)</t>
  </si>
  <si>
    <t>Product
(-)</t>
  </si>
  <si>
    <t>Services
(+)</t>
  </si>
  <si>
    <t>Product
(+)</t>
  </si>
  <si>
    <t>Skew</t>
  </si>
  <si>
    <t>Direct sales</t>
  </si>
  <si>
    <t>Indirect sales</t>
  </si>
  <si>
    <t>2025</t>
  </si>
  <si>
    <t>2026</t>
  </si>
  <si>
    <t>2027</t>
  </si>
  <si>
    <t>2028</t>
  </si>
  <si>
    <t>2029</t>
  </si>
  <si>
    <t>2030</t>
  </si>
  <si>
    <t>2025 Q1</t>
  </si>
  <si>
    <t>2025 Q2</t>
  </si>
  <si>
    <t>2025 Q3</t>
  </si>
  <si>
    <t>2025 Q4</t>
  </si>
  <si>
    <t>&lt;&lt;&lt;</t>
  </si>
  <si>
    <t>Y</t>
  </si>
  <si>
    <t>12 months</t>
  </si>
  <si>
    <t>Advertising</t>
  </si>
  <si>
    <t>Scalar|||208000149|||ISSR|||CURRENCY_ISO|||False|||</t>
  </si>
  <si>
    <t>V_KEYWORD_ISSR_208000149_CURRENCY_ISO</t>
  </si>
  <si>
    <t>Scalar|||208000149|||ISSR|||MA_PROB|||False|||</t>
  </si>
  <si>
    <t>V_KEYWORD_ISSR_208000149_MA_PROB</t>
  </si>
  <si>
    <t>Vector|||208000149|||ISSR|||SALES|||False|||</t>
  </si>
  <si>
    <t>V_KEYWORD_ISSR_208000149_SALES</t>
  </si>
  <si>
    <t>Vector|||208000149|||ISSR|||COST_GD_SD|||False|||</t>
  </si>
  <si>
    <t>V_KEYWORD_ISSR_208000149_COST_GD_SD</t>
  </si>
  <si>
    <t>Vector|||208000149|||ISSR|||SEL_GL_AD|||False|||</t>
  </si>
  <si>
    <t>V_KEYWORD_ISSR_208000149_SEL_GL_AD</t>
  </si>
  <si>
    <t>Vector|||208000149|||ISSR|||OP_COST|||False|||</t>
  </si>
  <si>
    <t>V_KEYWORD_ISSR_208000149_OP_COST</t>
  </si>
  <si>
    <t>Vector|||208000149|||ISSR|||RD_EXP|||False|||</t>
  </si>
  <si>
    <t>V_KEYWORD_ISSR_208000149_RD_EXP</t>
  </si>
  <si>
    <t>Vector|||208000149|||ISSR|||ESO_PRE_TAX|||False|||</t>
  </si>
  <si>
    <t>V_KEYWORD_ISSR_208000149_ESO_PRE_TAX</t>
  </si>
  <si>
    <t>Vector|||208000149|||ISSR|||OTH_OP_INC_EXP|||False|||</t>
  </si>
  <si>
    <t>V_KEYWORD_ISSR_208000149_OTH_OP_INC_EXP</t>
  </si>
  <si>
    <t>Vector|||208000149|||ISSR|||TOT_OPS_EXP_DDA|||False|||</t>
  </si>
  <si>
    <t>V_KEYWORD_ISSR_208000149_TOT_OPS_EXP_DDA</t>
  </si>
  <si>
    <t>Vector|||208000149|||ISSR|||TOT_OPS_EXP|||False|||</t>
  </si>
  <si>
    <t>V_KEYWORD_ISSR_208000149_TOT_OPS_EXP</t>
  </si>
  <si>
    <t>Vector|||208000149|||ISSR|||EBITDA_CALC|||False|||</t>
  </si>
  <si>
    <t>V_KEYWORD_ISSR_208000149_EBITDA_CALC</t>
  </si>
  <si>
    <t>Vector|||208000149|||ISSR|||DEPREC|||False|||</t>
  </si>
  <si>
    <t>V_KEYWORD_ISSR_208000149_DEPREC</t>
  </si>
  <si>
    <t>Vector|||208000149|||ISSR|||GOODWILL_AMORT|||False|||</t>
  </si>
  <si>
    <t>V_KEYWORD_ISSR_208000149_GOODWILL_AMORT</t>
  </si>
  <si>
    <t>Vector|||208000149|||ISSR|||EBIT|||False|||</t>
  </si>
  <si>
    <t>V_KEYWORD_ISSR_208000149_EBIT</t>
  </si>
  <si>
    <t>Vector|||208000149|||ISSR|||INT_INC_IND|||False|||</t>
  </si>
  <si>
    <t>V_KEYWORD_ISSR_208000149_INT_INC_IND</t>
  </si>
  <si>
    <t>Vector|||208000149|||ISSR|||INT_EXP_IND|||False|||</t>
  </si>
  <si>
    <t>V_KEYWORD_ISSR_208000149_INT_EXP_IND</t>
  </si>
  <si>
    <t>Vector|||208000149|||ISSR|||NET_INT_EXP|||False|||</t>
  </si>
  <si>
    <t>V_KEYWORD_ISSR_208000149_NET_INT_EXP</t>
  </si>
  <si>
    <t>Vector|||208000149|||ISSR|||ASSOCIATE|||False|||</t>
  </si>
  <si>
    <t>V_KEYWORD_ISSR_208000149_ASSOCIATE</t>
  </si>
  <si>
    <t>Vector|||208000149|||ISSR|||PROFIT_ON_DISP|||False|||</t>
  </si>
  <si>
    <t>V_KEYWORD_ISSR_208000149_PROFIT_ON_DISP</t>
  </si>
  <si>
    <t>Vector|||208000149|||ISSR|||OTH_COST_INC|||False|||</t>
  </si>
  <si>
    <t>V_KEYWORD_ISSR_208000149_OTH_COST_INC</t>
  </si>
  <si>
    <t>Vector|||208000149|||ISSR|||PT_PROF|||False|||</t>
  </si>
  <si>
    <t>V_KEYWORD_ISSR_208000149_PT_PROF</t>
  </si>
  <si>
    <t>Vector|||208000149|||ISSR|||LEASE_PAY|||False|||</t>
  </si>
  <si>
    <t>V_KEYWORD_ISSR_208000149_LEASE_PAY</t>
  </si>
  <si>
    <t>Vector|||208000149|||ISSR|||LEASE_DEEM_INT|||False|||</t>
  </si>
  <si>
    <t>V_KEYWORD_ISSR_208000149_LEASE_DEEM_INT</t>
  </si>
  <si>
    <t>Vector|||208000149|||ISSR|||LEASE_DEEM_DEPR|||False|||</t>
  </si>
  <si>
    <t>V_KEYWORD_ISSR_208000149_LEASE_DEEM_DEPR</t>
  </si>
  <si>
    <t>Vector|||208000149|||ISSR|||NET_INT_CH|||False|||</t>
  </si>
  <si>
    <t>V_KEYWORD_ISSR_208000149_NET_INT_CH</t>
  </si>
  <si>
    <t>Vector|||208000149|||ISSR|||ASSOCIATE_OP|||False|||</t>
  </si>
  <si>
    <t>V_KEYWORD_ISSR_208000149_ASSOCIATE_OP</t>
  </si>
  <si>
    <t>Vector|||208000149|||ISSR|||DEPR_ROU_ASSETS|||False|||</t>
  </si>
  <si>
    <t>V_KEYWORD_ISSR_208000149_DEPR_ROU_ASSETS</t>
  </si>
  <si>
    <t>Vector|||208000149|||ISSR|||LEASE_INT_CHG|||False|||</t>
  </si>
  <si>
    <t>V_KEYWORD_ISSR_208000149_LEASE_INT_CHG</t>
  </si>
  <si>
    <t>Scalar|||208000149|||ISSR|||LEASE_ADOPT|||False|||</t>
  </si>
  <si>
    <t>V_KEYWORD_ISSR_208000149_LEASE_ADOPT</t>
  </si>
  <si>
    <t>Vector|||208000149|||ISSR|||CASH_EQ|||False|||</t>
  </si>
  <si>
    <t>V_KEYWORD_ISSR_208000149_CASH_EQ</t>
  </si>
  <si>
    <t>Vector|||208000149|||ISSR|||DEBTORS|||False|||</t>
  </si>
  <si>
    <t>V_KEYWORD_ISSR_208000149_DEBTORS</t>
  </si>
  <si>
    <t>Vector|||208000149|||ISSR|||STOCKS|||False|||</t>
  </si>
  <si>
    <t>V_KEYWORD_ISSR_208000149_STOCKS</t>
  </si>
  <si>
    <t>Vector|||208000149|||ISSR|||OTH_CUR_ASS|||False|||</t>
  </si>
  <si>
    <t>V_KEYWORD_ISSR_208000149_OTH_CUR_ASS</t>
  </si>
  <si>
    <t>Vector|||208000149|||ISSR|||CUR_ASS|||False|||</t>
  </si>
  <si>
    <t>V_KEYWORD_ISSR_208000149_CUR_ASS</t>
  </si>
  <si>
    <t>Vector|||208000149|||ISSR|||GR_FIX_ASS|||False|||</t>
  </si>
  <si>
    <t>V_KEYWORD_ISSR_208000149_GR_FIX_ASS</t>
  </si>
  <si>
    <t>Vector|||208000149|||ISSR|||ACC_DDA|||False|||</t>
  </si>
  <si>
    <t>V_KEYWORD_ISSR_208000149_ACC_DDA</t>
  </si>
  <si>
    <t>Vector|||208000149|||ISSR|||NET_FIX_ASS|||False|||</t>
  </si>
  <si>
    <t>V_KEYWORD_ISSR_208000149_NET_FIX_ASS</t>
  </si>
  <si>
    <t>Vector|||208000149|||ISSR|||GR_INTANG|||False|||</t>
  </si>
  <si>
    <t>V_KEYWORD_ISSR_208000149_GR_INTANG</t>
  </si>
  <si>
    <t>Vector|||208000149|||ISSR|||ACC_AMORT|||False|||</t>
  </si>
  <si>
    <t>V_KEYWORD_ISSR_208000149_ACC_AMORT</t>
  </si>
  <si>
    <t>Vector|||208000149|||ISSR|||NET_INTANG|||False|||</t>
  </si>
  <si>
    <t>V_KEYWORD_ISSR_208000149_NET_INTANG</t>
  </si>
  <si>
    <t>Vector|||208000149|||ISSR|||FIX_ASS_INV|||False|||</t>
  </si>
  <si>
    <t>V_KEYWORD_ISSR_208000149_FIX_ASS_INV</t>
  </si>
  <si>
    <t>Vector|||208000149|||ISSR|||INV_SECUR|||False|||</t>
  </si>
  <si>
    <t>V_KEYWORD_ISSR_208000149_INV_SECUR</t>
  </si>
  <si>
    <t>Vector|||208000149|||ISSR|||OTH_LT_ASS|||False|||</t>
  </si>
  <si>
    <t>V_KEYWORD_ISSR_208000149_OTH_LT_ASS</t>
  </si>
  <si>
    <t>Vector|||208000149|||ISSR|||TOT_ASSET|||False|||</t>
  </si>
  <si>
    <t>V_KEYWORD_ISSR_208000149_TOT_ASSET</t>
  </si>
  <si>
    <t>Vector|||208000149|||ISSR|||ACC_PAY_GQ|||False|||</t>
  </si>
  <si>
    <t>V_KEYWORD_ISSR_208000149_ACC_PAY_GQ</t>
  </si>
  <si>
    <t>Vector|||208000149|||ISSR|||SHORT_T_DEBT|||False|||</t>
  </si>
  <si>
    <t>V_KEYWORD_ISSR_208000149_SHORT_T_DEBT</t>
  </si>
  <si>
    <t>Vector|||208000149|||ISSR|||ST_LEASE_LIAB|||False|||</t>
  </si>
  <si>
    <t>V_KEYWORD_ISSR_208000149_ST_LEASE_LIAB</t>
  </si>
  <si>
    <t>Vector|||208000149|||ISSR|||OTH_CUR_LIABS|||False|||</t>
  </si>
  <si>
    <t>V_KEYWORD_ISSR_208000149_OTH_CUR_LIABS</t>
  </si>
  <si>
    <t>Vector|||208000149|||ISSR|||SHORT_TERM_LIABS|||False|||</t>
  </si>
  <si>
    <t>V_KEYWORD_ISSR_208000149_SHORT_TERM_LIABS</t>
  </si>
  <si>
    <t>Vector|||208000149|||ISSR|||LT_DEBT|||False|||</t>
  </si>
  <si>
    <t>V_KEYWORD_ISSR_208000149_LT_DEBT</t>
  </si>
  <si>
    <t>Vector|||208000149|||ISSR|||LT_LEASE_LIAB|||False|||</t>
  </si>
  <si>
    <t>V_KEYWORD_ISSR_208000149_LT_LEASE_LIAB</t>
  </si>
  <si>
    <t>Vector|||208000149|||ISSR|||OTH_LT_CRED_GQ|||False|||</t>
  </si>
  <si>
    <t>V_KEYWORD_ISSR_208000149_OTH_LT_CRED_GQ</t>
  </si>
  <si>
    <t>Vector|||208000149|||ISSR|||TOT_LT_LIAB|||False|||</t>
  </si>
  <si>
    <t>V_KEYWORD_ISSR_208000149_TOT_LT_LIAB</t>
  </si>
  <si>
    <t>Vector|||208000149|||ISSR|||TOT_LIAB|||False|||</t>
  </si>
  <si>
    <t>V_KEYWORD_ISSR_208000149_TOT_LIAB</t>
  </si>
  <si>
    <t>Vector|||208000149|||ISSR|||PREF_SH|||False|||</t>
  </si>
  <si>
    <t>V_KEYWORD_ISSR_208000149_PREF_SH</t>
  </si>
  <si>
    <t>Vector|||208000149|||ISSR|||ORD_SH_FUND|||False|||</t>
  </si>
  <si>
    <t>V_KEYWORD_ISSR_208000149_ORD_SH_FUND</t>
  </si>
  <si>
    <t>Vector|||208000149|||ISSR|||MINORITIES|||False|||</t>
  </si>
  <si>
    <t>V_KEYWORD_ISSR_208000149_MINORITIES</t>
  </si>
  <si>
    <t>Vector|||208000149|||ISSR|||EQ|||False|||</t>
  </si>
  <si>
    <t>V_KEYWORD_ISSR_208000149_EQ</t>
  </si>
  <si>
    <t>Vector|||208000149|||ISSR|||TOT_LIAB_EQ|||False|||</t>
  </si>
  <si>
    <t>V_KEYWORD_ISSR_208000149_TOT_LIAB_EQ</t>
  </si>
  <si>
    <t>Vector|||208000149|||ISSR|||TOT_USD_DEBT|||False|||</t>
  </si>
  <si>
    <t>V_KEYWORD_ISSR_208000149_TOT_USD_DEBT</t>
  </si>
  <si>
    <t>Vector|||208000149|||ISSR|||TOT_PCT_USD_DEBT_HEDGED|||False|||</t>
  </si>
  <si>
    <t>V_KEYWORD_ISSR_208000149_TOT_PCT_USD_DEBT_HEDGED</t>
  </si>
  <si>
    <t>Vector|||208000149|||ISSR|||FLOATING_PCT_LOCAL_DEBT|||False|||</t>
  </si>
  <si>
    <t>V_KEYWORD_ISSR_208000149_FLOATING_PCT_LOCAL_DEBT</t>
  </si>
  <si>
    <t>Vector|||208000149|||ISSR|||FLOATING_PCT_LOCAL_DEBT_HEDGED|||False|||</t>
  </si>
  <si>
    <t>V_KEYWORD_ISSR_208000149_FLOATING_PCT_LOCAL_DEBT_HEDGED</t>
  </si>
  <si>
    <t>Vector|||208000149|||ISSR|||NET_DEBT|||False|||</t>
  </si>
  <si>
    <t>V_KEYWORD_ISSR_208000149_NET_DEBT</t>
  </si>
  <si>
    <t>Vector|||208000149|||ISSR|||CAP_LEASES|||False|||</t>
  </si>
  <si>
    <t>V_KEYWORD_ISSR_208000149_CAP_LEASES</t>
  </si>
  <si>
    <t>Vector|||208000149|||ISSR|||DEF_INC_TAX|||False|||</t>
  </si>
  <si>
    <t>V_KEYWORD_ISSR_208000149_DEF_INC_TAX</t>
  </si>
  <si>
    <t>Vector|||208000149|||ISSR|||NET_OP_LOSS_CFWD|||False|||</t>
  </si>
  <si>
    <t>V_KEYWORD_ISSR_208000149_NET_OP_LOSS_CFWD</t>
  </si>
  <si>
    <t>Vector|||208000149|||ISSR|||MV_ASSOCIATES|||False|||</t>
  </si>
  <si>
    <t>V_KEYWORD_ISSR_208000149_MV_ASSOCIATES</t>
  </si>
  <si>
    <t>Vector|||208000149|||ISSR|||NET_DEBT_ADJ|||False|||</t>
  </si>
  <si>
    <t>V_KEYWORD_ISSR_208000149_NET_DEBT_ADJ</t>
  </si>
  <si>
    <t>Vector|||208000149|||ISSR|||CO_BOR_MARGIN|||False|||</t>
  </si>
  <si>
    <t>V_KEYWORD_ISSR_208000149_CO_BOR_MARGIN</t>
  </si>
  <si>
    <t>Vector|||208000149|||ISSR|||UNF_PENS|||False|||</t>
  </si>
  <si>
    <t>V_KEYWORD_ISSR_208000149_UNF_PENS</t>
  </si>
  <si>
    <t>Vector|||208000149|||ISSR|||UNF_PENS_OFF|||False|||</t>
  </si>
  <si>
    <t>V_KEYWORD_ISSR_208000149_UNF_PENS_OFF</t>
  </si>
  <si>
    <t>Vector|||208000149|||ISSR|||UNF_PENS_LIAB_OTH|||False|||</t>
  </si>
  <si>
    <t>V_KEYWORD_ISSR_208000149_UNF_PENS_LIAB_OTH</t>
  </si>
  <si>
    <t>Vector|||208000149|||ISSR|||ADJ_UNF_PENS_GOOD|||False|||</t>
  </si>
  <si>
    <t>V_KEYWORD_ISSR_208000149_ADJ_UNF_PENS_GOOD</t>
  </si>
  <si>
    <t>Vector|||208000149|||ISSR|||OTH_GCI_ADJ|||False|||</t>
  </si>
  <si>
    <t>V_KEYWORD_ISSR_208000149_OTH_GCI_ADJ</t>
  </si>
  <si>
    <t>Vector|||208000149|||ISSR|||GCI_INFL|||False|||</t>
  </si>
  <si>
    <t>V_KEYWORD_ISSR_208000149_GCI_INFL</t>
  </si>
  <si>
    <t>Vector|||208000149|||ISSR|||BAL_MINO_INT|||False|||</t>
  </si>
  <si>
    <t>V_KEYWORD_ISSR_208000149_BAL_MINO_INT</t>
  </si>
  <si>
    <t>Vector|||208000149|||ISSR|||ROU_ASSET|||False|||</t>
  </si>
  <si>
    <t>V_KEYWORD_ISSR_208000149_ROU_ASSET</t>
  </si>
  <si>
    <t>Vector|||208000149|||ISSR|||CF_INC_MINORITY|||False|||</t>
  </si>
  <si>
    <t>V_KEYWORD_ISSR_208000149_CF_INC_MINORITY</t>
  </si>
  <si>
    <t>Vector|||208000149|||ISSR|||DEPR_AMORT|||False|||</t>
  </si>
  <si>
    <t>V_KEYWORD_ISSR_208000149_DEPR_AMORT</t>
  </si>
  <si>
    <t>Vector|||208000149|||ISSR|||WORK_CAP|||False|||</t>
  </si>
  <si>
    <t>V_KEYWORD_ISSR_208000149_WORK_CAP</t>
  </si>
  <si>
    <t>Vector|||208000149|||ISSR|||OTH_OP_CF|||False|||</t>
  </si>
  <si>
    <t>V_KEYWORD_ISSR_208000149_OTH_OP_CF</t>
  </si>
  <si>
    <t>Vector|||208000149|||ISSR|||CF_OPS|||False|||</t>
  </si>
  <si>
    <t>V_KEYWORD_ISSR_208000149_CF_OPS</t>
  </si>
  <si>
    <t>Vector|||208000149|||ISSR|||CAPEX|||False|||</t>
  </si>
  <si>
    <t>V_KEYWORD_ISSR_208000149_CAPEX</t>
  </si>
  <si>
    <t>Vector|||208000149|||ISSR|||ACQ|||False|||</t>
  </si>
  <si>
    <t>V_KEYWORD_ISSR_208000149_ACQ</t>
  </si>
  <si>
    <t>Vector|||208000149|||ISSR|||DIVEST|||False|||</t>
  </si>
  <si>
    <t>V_KEYWORD_ISSR_208000149_DIVEST</t>
  </si>
  <si>
    <t>Vector|||208000149|||ISSR|||OTH_INV_CF|||False|||</t>
  </si>
  <si>
    <t>V_KEYWORD_ISSR_208000149_OTH_INV_CF</t>
  </si>
  <si>
    <t>Vector|||208000149|||ISSR|||CF_INV|||False|||</t>
  </si>
  <si>
    <t>V_KEYWORD_ISSR_208000149_CF_INV</t>
  </si>
  <si>
    <t>Vector|||208000149|||ISSR|||DIV_PAID|||False|||</t>
  </si>
  <si>
    <t>V_KEYWORD_ISSR_208000149_DIV_PAID</t>
  </si>
  <si>
    <t>Vector|||208000149|||ISSR|||SH_REPUR|||False|||</t>
  </si>
  <si>
    <t>V_KEYWORD_ISSR_208000149_SH_REPUR</t>
  </si>
  <si>
    <t>Vector|||208000149|||ISSR|||CHG_LT_DEBT|||False|||</t>
  </si>
  <si>
    <t>V_KEYWORD_ISSR_208000149_CHG_LT_DEBT</t>
  </si>
  <si>
    <t>Vector|||208000149|||ISSR|||LEASE_PRINCIPAL_CASH|||False|||</t>
  </si>
  <si>
    <t>V_KEYWORD_ISSR_208000149_LEASE_PRINCIPAL_CASH</t>
  </si>
  <si>
    <t>Vector|||208000149|||ISSR|||OTH_FIN_CF|||False|||</t>
  </si>
  <si>
    <t>V_KEYWORD_ISSR_208000149_OTH_FIN_CF</t>
  </si>
  <si>
    <t>Vector|||208000149|||ISSR|||CF_FIN|||False|||</t>
  </si>
  <si>
    <t>V_KEYWORD_ISSR_208000149_CF_FIN</t>
  </si>
  <si>
    <t>Vector|||208000149|||ISSR|||TOT_CF|||False|||</t>
  </si>
  <si>
    <t>V_KEYWORD_ISSR_208000149_TOT_CF</t>
  </si>
  <si>
    <t>Vector|||208000149|||ISSR|||ASSOC_JV_ADDBK|||False|||</t>
  </si>
  <si>
    <t>V_KEYWORD_ISSR_208000149_ASSOC_JV_ADDBK</t>
  </si>
  <si>
    <t>Vector|||208000149|||ISSR|||PL_SALE_ASSETS|||False|||</t>
  </si>
  <si>
    <t>V_KEYWORD_ISSR_208000149_PL_SALE_ASSETS</t>
  </si>
  <si>
    <t>Vector|||208000149|||ISSR|||OTH_NONCASH_ADJ|||False|||</t>
  </si>
  <si>
    <t>V_KEYWORD_ISSR_208000149_OTH_NONCASH_ADJ</t>
  </si>
  <si>
    <t>Vector|||208000149|||ISSR|||OTH_DACF_ADJ|||False|||</t>
  </si>
  <si>
    <t>V_KEYWORD_ISSR_208000149_OTH_DACF_ADJ</t>
  </si>
  <si>
    <t>Vector|||208000149|||ISSR|||CHG_DEF_TAX_CF|||False|||</t>
  </si>
  <si>
    <t>V_KEYWORD_ISSR_208000149_CHG_DEF_TAX_CF</t>
  </si>
  <si>
    <t>Vector|||208000149|||ISSR|||OTH_ADJ_CASH_TAX|||False|||</t>
  </si>
  <si>
    <t>V_KEYWORD_ISSR_208000149_OTH_ADJ_CASH_TAX</t>
  </si>
  <si>
    <t>Vector|||208000149|||ISSR|||CASH_INT_EXP|||False|||</t>
  </si>
  <si>
    <t>V_KEYWORD_ISSR_208000149_CASH_INT_EXP</t>
  </si>
  <si>
    <t>Vector|||208000149|||ISSR|||CASH_TAX_EXP|||False|||</t>
  </si>
  <si>
    <t>V_KEYWORD_ISSR_208000149_CASH_TAX_EXP</t>
  </si>
  <si>
    <t>Vector|||208000149|||ISSR|||DIVDS_ASSOC_JV|||False|||</t>
  </si>
  <si>
    <t>V_KEYWORD_ISSR_208000149_DIVDS_ASSOC_JV</t>
  </si>
  <si>
    <t>Vector|||208000149|||ISSR|||CAPEX_MAINTENANCE|||False|||</t>
  </si>
  <si>
    <t>V_KEYWORD_ISSR_208000149_CAPEX_MAINTENANCE</t>
  </si>
  <si>
    <t>Vector|||208000149|||ISSR|||CAPEX_EXPANSION|||False|||</t>
  </si>
  <si>
    <t>V_KEYWORD_ISSR_208000149_CAPEX_EXPANSION</t>
  </si>
  <si>
    <t>Vector|||208000149|||ISSR|||NONPPE_CAPEX|||False|||</t>
  </si>
  <si>
    <t>V_KEYWORD_ISSR_208000149_NONPPE_CAPEX</t>
  </si>
  <si>
    <t>Vector|||208000149|||ISSR|||DIVDS_PD_MINORITIES|||False|||</t>
  </si>
  <si>
    <t>V_KEYWORD_ISSR_208000149_DIVDS_PD_MINORITIES</t>
  </si>
  <si>
    <t>Vector|||208000149|||ISSR|||EMPLOYEES|||False|||</t>
  </si>
  <si>
    <t>V_KEYWORD_ISSR_208000149_EMPLOYEES</t>
  </si>
  <si>
    <t>Vector|||208000149|||ISSR|||SALES_CANADA|||False|||</t>
  </si>
  <si>
    <t>V_KEYWORD_ISSR_208000149_SALES_CANADA</t>
  </si>
  <si>
    <t>Vector|||208000149|||ISSR|||SALES_US|||False|||</t>
  </si>
  <si>
    <t>V_KEYWORD_ISSR_208000149_SALES_US</t>
  </si>
  <si>
    <t>Vector|||208000149|||ISSR|||SALES_OTH_NO_AMER|||False|||</t>
  </si>
  <si>
    <t>V_KEYWORD_ISSR_208000149_SALES_OTH_NO_AMER</t>
  </si>
  <si>
    <t>Vector|||208000149|||ISSR|||SALES_ARGENTINA|||False|||</t>
  </si>
  <si>
    <t>V_KEYWORD_ISSR_208000149_SALES_ARGENTINA</t>
  </si>
  <si>
    <t>Vector|||208000149|||ISSR|||SALES_BRAZIL|||False|||</t>
  </si>
  <si>
    <t>V_KEYWORD_ISSR_208000149_SALES_BRAZIL</t>
  </si>
  <si>
    <t>Vector|||208000149|||ISSR|||SALES_CHILE|||False|||</t>
  </si>
  <si>
    <t>V_KEYWORD_ISSR_208000149_SALES_CHILE</t>
  </si>
  <si>
    <t>Vector|||208000149|||ISSR|||SALES_COLOMBIA|||False|||</t>
  </si>
  <si>
    <t>V_KEYWORD_ISSR_208000149_SALES_COLOMBIA</t>
  </si>
  <si>
    <t>Vector|||208000149|||ISSR|||SALES_MEXICO|||False|||</t>
  </si>
  <si>
    <t>V_KEYWORD_ISSR_208000149_SALES_MEXICO</t>
  </si>
  <si>
    <t>Vector|||208000149|||ISSR|||SALES_VENEZUELA|||False|||</t>
  </si>
  <si>
    <t>V_KEYWORD_ISSR_208000149_SALES_VENEZUELA</t>
  </si>
  <si>
    <t>Vector|||208000149|||ISSR|||SALES_OTH_LATAM|||False|||</t>
  </si>
  <si>
    <t>V_KEYWORD_ISSR_208000149_SALES_OTH_LATAM</t>
  </si>
  <si>
    <t>Vector|||208000149|||ISSR|||SALES_AUSTRIA|||False|||</t>
  </si>
  <si>
    <t>V_KEYWORD_ISSR_208000149_SALES_AUSTRIA</t>
  </si>
  <si>
    <t>Vector|||208000149|||ISSR|||SALES_COMPANY0377|||False|||</t>
  </si>
  <si>
    <t>V_KEYWORD_ISSR_208000149_SALES_COMPANY0377</t>
  </si>
  <si>
    <t>Vector|||208000149|||ISSR|||SALES_FRA|||False|||</t>
  </si>
  <si>
    <t>V_KEYWORD_ISSR_208000149_SALES_FRA</t>
  </si>
  <si>
    <t>Vector|||208000149|||ISSR|||SALES_GER|||False|||</t>
  </si>
  <si>
    <t>V_KEYWORD_ISSR_208000149_SALES_GER</t>
  </si>
  <si>
    <t>Vector|||208000149|||ISSR|||SALES_GRE|||False|||</t>
  </si>
  <si>
    <t>V_KEYWORD_ISSR_208000149_SALES_GRE</t>
  </si>
  <si>
    <t>Vector|||208000149|||ISSR|||SALES_IRE|||False|||</t>
  </si>
  <si>
    <t>V_KEYWORD_ISSR_208000149_SALES_IRE</t>
  </si>
  <si>
    <t>Vector|||208000149|||ISSR|||SALES_ITA|||False|||</t>
  </si>
  <si>
    <t>V_KEYWORD_ISSR_208000149_SALES_ITA</t>
  </si>
  <si>
    <t>Vector|||208000149|||ISSR|||SALES_NETH|||False|||</t>
  </si>
  <si>
    <t>V_KEYWORD_ISSR_208000149_SALES_NETH</t>
  </si>
  <si>
    <t>Vector|||208000149|||ISSR|||SALES_NOR|||False|||</t>
  </si>
  <si>
    <t>V_KEYWORD_ISSR_208000149_SALES_NOR</t>
  </si>
  <si>
    <t>Vector|||208000149|||ISSR|||SALES_POR|||False|||</t>
  </si>
  <si>
    <t>V_KEYWORD_ISSR_208000149_SALES_POR</t>
  </si>
  <si>
    <t>Vector|||208000149|||ISSR|||SALES_SPA|||False|||</t>
  </si>
  <si>
    <t>V_KEYWORD_ISSR_208000149_SALES_SPA</t>
  </si>
  <si>
    <t>Vector|||208000149|||ISSR|||SALES_SWE|||False|||</t>
  </si>
  <si>
    <t>V_KEYWORD_ISSR_208000149_SALES_SWE</t>
  </si>
  <si>
    <t>Vector|||208000149|||ISSR|||SALES_SWIT|||False|||</t>
  </si>
  <si>
    <t>V_KEYWORD_ISSR_208000149_SALES_SWIT</t>
  </si>
  <si>
    <t>Vector|||208000149|||ISSR|||SALES_UK|||False|||</t>
  </si>
  <si>
    <t>V_KEYWORD_ISSR_208000149_SALES_UK</t>
  </si>
  <si>
    <t>Vector|||208000149|||ISSR|||SALES_OTH_WEST_EURO|||False|||</t>
  </si>
  <si>
    <t>V_KEYWORD_ISSR_208000149_SALES_OTH_WEST_EURO</t>
  </si>
  <si>
    <t>Vector|||208000149|||ISSR|||SALES_POLAND|||False|||</t>
  </si>
  <si>
    <t>V_KEYWORD_ISSR_208000149_SALES_POLAND</t>
  </si>
  <si>
    <t>Vector|||208000149|||ISSR|||SALES_RUSSIA|||False|||</t>
  </si>
  <si>
    <t>V_KEYWORD_ISSR_208000149_SALES_RUSSIA</t>
  </si>
  <si>
    <t>Vector|||208000149|||ISSR|||SALES_TURKEY|||False|||</t>
  </si>
  <si>
    <t>V_KEYWORD_ISSR_208000149_SALES_TURKEY</t>
  </si>
  <si>
    <t>Vector|||208000149|||ISSR|||SALES_OTH_CEE|||False|||</t>
  </si>
  <si>
    <t>V_KEYWORD_ISSR_208000149_SALES_OTH_CEE</t>
  </si>
  <si>
    <t>Vector|||208000149|||ISSR|||SALES_SAUDI_ARABIA|||False|||</t>
  </si>
  <si>
    <t>V_KEYWORD_ISSR_208000149_SALES_SAUDI_ARABIA</t>
  </si>
  <si>
    <t>Vector|||208000149|||ISSR|||SALES_UAE|||False|||</t>
  </si>
  <si>
    <t>V_KEYWORD_ISSR_208000149_SALES_UAE</t>
  </si>
  <si>
    <t>Vector|||208000149|||ISSR|||SALES_OTH_ME|||False|||</t>
  </si>
  <si>
    <t>V_KEYWORD_ISSR_208000149_SALES_OTH_ME</t>
  </si>
  <si>
    <t>Vector|||208000149|||ISSR|||SALES_NIGERIA|||False|||</t>
  </si>
  <si>
    <t>V_KEYWORD_ISSR_208000149_SALES_NIGERIA</t>
  </si>
  <si>
    <t>Vector|||208000149|||ISSR|||SALES_SO_AFRICA|||False|||</t>
  </si>
  <si>
    <t>V_KEYWORD_ISSR_208000149_SALES_SO_AFRICA</t>
  </si>
  <si>
    <t>Vector|||208000149|||ISSR|||SALES_OTH_AFRICA|||False|||</t>
  </si>
  <si>
    <t>V_KEYWORD_ISSR_208000149_SALES_OTH_AFRICA</t>
  </si>
  <si>
    <t>Vector|||208000149|||ISSR|||SALES_HONG_KONG|||False|||</t>
  </si>
  <si>
    <t>V_KEYWORD_ISSR_208000149_SALES_HONG_KONG</t>
  </si>
  <si>
    <t>Vector|||208000149|||ISSR|||SALES_JAPAN|||False|||</t>
  </si>
  <si>
    <t>V_KEYWORD_ISSR_208000149_SALES_JAPAN</t>
  </si>
  <si>
    <t>Vector|||208000149|||ISSR|||SALES_SINGAPORE|||False|||</t>
  </si>
  <si>
    <t>V_KEYWORD_ISSR_208000149_SALES_SINGAPORE</t>
  </si>
  <si>
    <t>Vector|||208000149|||ISSR|||SALES_SK|||False|||</t>
  </si>
  <si>
    <t>V_KEYWORD_ISSR_208000149_SALES_SK</t>
  </si>
  <si>
    <t>Vector|||208000149|||ISSR|||SALES_TAIWAN|||False|||</t>
  </si>
  <si>
    <t>V_KEYWORD_ISSR_208000149_SALES_TAIWAN</t>
  </si>
  <si>
    <t>Vector|||208000149|||ISSR|||SALES_OTH_DEV_ASIA|||False|||</t>
  </si>
  <si>
    <t>V_KEYWORD_ISSR_208000149_SALES_OTH_DEV_ASIA</t>
  </si>
  <si>
    <t>Vector|||208000149|||ISSR|||SALES_CHINA|||False|||</t>
  </si>
  <si>
    <t>V_KEYWORD_ISSR_208000149_SALES_CHINA</t>
  </si>
  <si>
    <t>Vector|||208000149|||ISSR|||SALES_INDIA|||False|||</t>
  </si>
  <si>
    <t>V_KEYWORD_ISSR_208000149_SALES_INDIA</t>
  </si>
  <si>
    <t>Vector|||208000149|||ISSR|||SALES_INDONESIA|||False|||</t>
  </si>
  <si>
    <t>V_KEYWORD_ISSR_208000149_SALES_INDONESIA</t>
  </si>
  <si>
    <t>Vector|||208000149|||ISSR|||SALES_THAILAND|||False|||</t>
  </si>
  <si>
    <t>V_KEYWORD_ISSR_208000149_SALES_THAILAND</t>
  </si>
  <si>
    <t>Vector|||208000149|||ISSR|||SALES_OTH_EMERG_ASIA|||False|||</t>
  </si>
  <si>
    <t>V_KEYWORD_ISSR_208000149_SALES_OTH_EMERG_ASIA</t>
  </si>
  <si>
    <t>Vector|||208000149|||ISSR|||SALES_AUSTRA|||False|||</t>
  </si>
  <si>
    <t>V_KEYWORD_ISSR_208000149_SALES_AUSTRA</t>
  </si>
  <si>
    <t>Vector|||208000149|||ISSR|||SALES_NZ|||False|||</t>
  </si>
  <si>
    <t>V_KEYWORD_ISSR_208000149_SALES_NZ</t>
  </si>
  <si>
    <t>Vector|||208000149|||ISSR|||SALES_OTHER|||False|||</t>
  </si>
  <si>
    <t>V_KEYWORD_ISSR_208000149_SALES_OTHER</t>
  </si>
  <si>
    <t>Vector|||208000149|||ISSR|||COGS_PCT_US|||False|||</t>
  </si>
  <si>
    <t>V_KEYWORD_ISSR_208000149_COGS_PCT_US</t>
  </si>
  <si>
    <t>Vector|||208000149|||ISSR|||COGS_PCT_ROW|||False|||</t>
  </si>
  <si>
    <t>V_KEYWORD_ISSR_208000149_COGS_PCT_ROW</t>
  </si>
  <si>
    <t>Vector|||208000149|||ISSR|||SGA_PCT_US|||False|||</t>
  </si>
  <si>
    <t>V_KEYWORD_ISSR_208000149_SGA_PCT_US</t>
  </si>
  <si>
    <t>Vector|||208000149|||ISSR|||SGA_PCT_ROW|||False|||</t>
  </si>
  <si>
    <t>V_KEYWORD_ISSR_208000149_SGA_PCT_ROW</t>
  </si>
  <si>
    <t>Vector|||208000149|||ISSR|||SALES_CONS|||False|||</t>
  </si>
  <si>
    <t>V_KEYWORD_ISSR_208000149_SALES_CONS</t>
  </si>
  <si>
    <t>Vector|||208000149|||ISSR|||SALES_IND|||False|||</t>
  </si>
  <si>
    <t>V_KEYWORD_ISSR_208000149_SALES_IND</t>
  </si>
  <si>
    <t>Vector|||208000149|||ISSR|||SALES_GOV|||False|||</t>
  </si>
  <si>
    <t>V_KEYWORD_ISSR_208000149_SALES_GOV</t>
  </si>
  <si>
    <t>Vector|||208000149|||ISSR|||SALES_FINAN|||False|||</t>
  </si>
  <si>
    <t>V_KEYWORD_ISSR_208000149_SALES_FINAN</t>
  </si>
  <si>
    <t>Vector|||208000149|||ISSR|||SALES_OIL_GAS|||False|||</t>
  </si>
  <si>
    <t>V_KEYWORD_ISSR_208000149_SALES_OIL_GAS</t>
  </si>
  <si>
    <t>Vector|||208000149|||ISSR|||SALES_SMB|||False|||</t>
  </si>
  <si>
    <t>V_KEYWORD_ISSR_208000149_SALES_SMB</t>
  </si>
  <si>
    <t>Vector|||208000149|||ISSR|||CASH_PCT_OS_US|||False|||</t>
  </si>
  <si>
    <t>V_KEYWORD_ISSR_208000149_CASH_PCT_OS_US</t>
  </si>
  <si>
    <t>Vector|||208000149|||ISSR|||REV_FIN_SEGMENT|||False|||</t>
  </si>
  <si>
    <t>V_KEYWORD_ISSR_208000149_REV_FIN_SEGMENT</t>
  </si>
  <si>
    <t>Vector|||208000149|||ISSR|||EBIT_FIN_SEGMENT|||False|||</t>
  </si>
  <si>
    <t>V_KEYWORD_ISSR_208000149_EBIT_FIN_SEGMENT</t>
  </si>
  <si>
    <t>Vector|||208000149|||ISSR|||EXP_OIL_PETRO_FUEL|||False|||</t>
  </si>
  <si>
    <t>V_KEYWORD_ISSR_208000149_EXP_OIL_PETRO_FUEL</t>
  </si>
  <si>
    <t>Vector|||208000149|||ISSR|||EXP_OIL_DERIV_NGLS_PLASTICS|||False|||</t>
  </si>
  <si>
    <t>V_KEYWORD_ISSR_208000149_EXP_OIL_DERIV_NGLS_PLASTICS</t>
  </si>
  <si>
    <t>Vector|||208000149|||ISSR|||EXP_PAPER_PULP|||False|||</t>
  </si>
  <si>
    <t>V_KEYWORD_ISSR_208000149_EXP_PAPER_PULP</t>
  </si>
  <si>
    <t>Vector|||208000149|||ISSR|||EXP_GLASS|||False|||</t>
  </si>
  <si>
    <t>V_KEYWORD_ISSR_208000149_EXP_GLASS</t>
  </si>
  <si>
    <t>Vector|||208000149|||ISSR|||EXP_WATER|||False|||</t>
  </si>
  <si>
    <t>V_KEYWORD_ISSR_208000149_EXP_WATER</t>
  </si>
  <si>
    <t>Vector|||208000149|||ISSR|||EXP_OTH_COMMODITY|||False|||</t>
  </si>
  <si>
    <t>V_KEYWORD_ISSR_208000149_EXP_OTH_COMMODITY</t>
  </si>
  <si>
    <t>Vector|||208000149|||ISSR|||EXP_OTH_COST|||False|||</t>
  </si>
  <si>
    <t>V_KEYWORD_ISSR_208000149_EXP_OTH_COST</t>
  </si>
  <si>
    <t>Vector|||208000149|||ISSR|||SALES_FX_GPB|||False|||</t>
  </si>
  <si>
    <t>V_KEYWORD_ISSR_208000149_SALES_FX_GPB</t>
  </si>
  <si>
    <t>Vector|||208000149|||ISSR|||SALES_FX_EUR|||False|||</t>
  </si>
  <si>
    <t>V_KEYWORD_ISSR_208000149_SALES_FX_EUR</t>
  </si>
  <si>
    <t>Vector|||208000149|||ISSR|||SALES_FX_RUB|||False|||</t>
  </si>
  <si>
    <t>V_KEYWORD_ISSR_208000149_SALES_FX_RUB</t>
  </si>
  <si>
    <t>Vector|||208000149|||ISSR|||SALES_FX_USD|||False|||</t>
  </si>
  <si>
    <t>V_KEYWORD_ISSR_208000149_SALES_FX_USD</t>
  </si>
  <si>
    <t>Vector|||208000149|||ISSR|||SALES_FX_BRL|||False|||</t>
  </si>
  <si>
    <t>V_KEYWORD_ISSR_208000149_SALES_FX_BRL</t>
  </si>
  <si>
    <t>Vector|||208000149|||ISSR|||SALES_FX_YEN|||False|||</t>
  </si>
  <si>
    <t>V_KEYWORD_ISSR_208000149_SALES_FX_YEN</t>
  </si>
  <si>
    <t>Vector|||208000149|||ISSR|||SALES_FX_CNY|||False|||</t>
  </si>
  <si>
    <t>V_KEYWORD_ISSR_208000149_SALES_FX_CNY</t>
  </si>
  <si>
    <t>Vector|||208000149|||ISSR|||SALES_FX_INR|||False|||</t>
  </si>
  <si>
    <t>V_KEYWORD_ISSR_208000149_SALES_FX_INR</t>
  </si>
  <si>
    <t>Vector|||208000149|||ISSR|||SALES_FX_CAD|||False|||</t>
  </si>
  <si>
    <t>V_KEYWORD_ISSR_208000149_SALES_FX_CAD</t>
  </si>
  <si>
    <t>Vector|||208000149|||ISSR|||SALES_FX_MXN|||False|||</t>
  </si>
  <si>
    <t>V_KEYWORD_ISSR_208000149_SALES_FX_MXN</t>
  </si>
  <si>
    <t>Vector|||208000149|||ISSR|||SALES_FX_COP|||False|||</t>
  </si>
  <si>
    <t>V_KEYWORD_ISSR_208000149_SALES_FX_COP</t>
  </si>
  <si>
    <t>Vector|||208000149|||ISSR|||SALES_FX_ARS|||False|||</t>
  </si>
  <si>
    <t>V_KEYWORD_ISSR_208000149_SALES_FX_ARS</t>
  </si>
  <si>
    <t>Vector|||208000149|||ISSR|||SALES_FX_CLP|||False|||</t>
  </si>
  <si>
    <t>V_KEYWORD_ISSR_208000149_SALES_FX_CLP</t>
  </si>
  <si>
    <t>Vector|||208000149|||ISSR|||SALES_FX_VEF|||False|||</t>
  </si>
  <si>
    <t>V_KEYWORD_ISSR_208000149_SALES_FX_VEF</t>
  </si>
  <si>
    <t>Vector|||208000149|||ISSR|||SALES_FX_OTH|||False|||</t>
  </si>
  <si>
    <t>V_KEYWORD_ISSR_208000149_SALES_FX_OTH</t>
  </si>
  <si>
    <t>Vector|||208000149|||ISSR|||SALES_TOT_AM|||False|||</t>
  </si>
  <si>
    <t>V_KEYWORD_ISSR_208000149_SALES_TOT_AM</t>
  </si>
  <si>
    <t>Vector|||208000149|||ISSR|||SALES_OTH_AM|||False|||</t>
  </si>
  <si>
    <t>V_KEYWORD_ISSR_208000149_SALES_OTH_AM</t>
  </si>
  <si>
    <t>Vector|||208000149|||ISSR|||SALES_TOT_EMEA|||False|||</t>
  </si>
  <si>
    <t>V_KEYWORD_ISSR_208000149_SALES_TOT_EMEA</t>
  </si>
  <si>
    <t>Vector|||208000149|||ISSR|||SALES_EU_EX_UK|||False|||</t>
  </si>
  <si>
    <t>V_KEYWORD_ISSR_208000149_SALES_EU_EX_UK</t>
  </si>
  <si>
    <t>Vector|||208000149|||ISSR|||SALES_CEE|||False|||</t>
  </si>
  <si>
    <t>V_KEYWORD_ISSR_208000149_SALES_CEE</t>
  </si>
  <si>
    <t>Vector|||208000149|||ISSR|||SALES_ME|||False|||</t>
  </si>
  <si>
    <t>V_KEYWORD_ISSR_208000149_SALES_ME</t>
  </si>
  <si>
    <t>Vector|||208000149|||ISSR|||SALES_TOT_AFRICA|||False|||</t>
  </si>
  <si>
    <t>V_KEYWORD_ISSR_208000149_SALES_TOT_AFRICA</t>
  </si>
  <si>
    <t>Vector|||208000149|||ISSR|||SALES_OTH_EMEA|||False|||</t>
  </si>
  <si>
    <t>V_KEYWORD_ISSR_208000149_SALES_OTH_EMEA</t>
  </si>
  <si>
    <t>Vector|||208000149|||ISSR|||SALES_TOT_ASIA|||False|||</t>
  </si>
  <si>
    <t>V_KEYWORD_ISSR_208000149_SALES_TOT_ASIA</t>
  </si>
  <si>
    <t>Vector|||208000149|||ISSR|||SALES_OTH_AEJ|||False|||</t>
  </si>
  <si>
    <t>V_KEYWORD_ISSR_208000149_SALES_OTH_AEJ</t>
  </si>
  <si>
    <t>Scalar|||200000801|||EQTY|||PUB_CURRENCY_ISO|||False|||</t>
  </si>
  <si>
    <t>V_KEYWORD_EQTY_200000801_PUB_CURRENCY_ISO</t>
  </si>
  <si>
    <t>Scalar|||200000801|||EQTY|||PRICE_CURRENCY_ISO|||False|||</t>
  </si>
  <si>
    <t>V_KEYWORD_EQTY_200000801_PRICE_CURRENCY_ISO</t>
  </si>
  <si>
    <t>Scalar|||200000801|||EQTY|||CURRENCY_ISO|||False|||</t>
  </si>
  <si>
    <t>V_KEYWORD_EQTY_200000801_CURRENCY_ISO</t>
  </si>
  <si>
    <t>Scalar|||200000801|||EQTY|||AMER_LIST|||False|||</t>
  </si>
  <si>
    <t>V_KEYWORD_EQTY_200000801_AMER_LIST</t>
  </si>
  <si>
    <t>Scalar|||200000801|||EQTY|||LEGAL_RATING|||False|||</t>
  </si>
  <si>
    <t>V_KEYWORD_EQTY_200000801_LEGAL_RATING</t>
  </si>
  <si>
    <t>Scalar|||200000801|||EQTY|||TARGET_PRICE|||False|||</t>
  </si>
  <si>
    <t>V_KEYWORD_EQTY_200000801_TARGET_PRICE</t>
  </si>
  <si>
    <t>Scalar|||200000801|||EQTY|||TP_PERIOD|||False|||</t>
  </si>
  <si>
    <t>V_KEYWORD_EQTY_200000801_TP_PERIOD</t>
  </si>
  <si>
    <t>Scalar|||200000801|||EQTY|||TARGET_PRICE_FUNDAMENTAL|||False|||</t>
  </si>
  <si>
    <t>V_KEYWORD_EQTY_200000801_TARGET_PRICE_FUNDAMENTAL</t>
  </si>
  <si>
    <t>Scalar|||200000801|||EQTY|||TARGET_PRICE_MA|||False|||</t>
  </si>
  <si>
    <t>V_KEYWORD_EQTY_200000801_TARGET_PRICE_MA</t>
  </si>
  <si>
    <t>Scalar|||200000801|||EQTY|||NUM_SH|||False|||</t>
  </si>
  <si>
    <t>V_KEYWORD_EQTY_200000801_NUM_SH</t>
  </si>
  <si>
    <t>Scalar|||200000801|||EQTY|||FREE_FLOAT|||False|||</t>
  </si>
  <si>
    <t>V_KEYWORD_EQTY_200000801_FREE_FLOAT</t>
  </si>
  <si>
    <t>Vector|||200000801|||EQTY|||BVPS_PUB|||False|||</t>
  </si>
  <si>
    <t>V_KEYWORD_EQTY_200000801_BVPS_PUB</t>
  </si>
  <si>
    <t>Vector|||200000801|||EQTY|||DPS_PUB|||False|||</t>
  </si>
  <si>
    <t>V_KEYWORD_EQTY_200000801_DPS_PUB</t>
  </si>
  <si>
    <t>Vector|||200000801|||EQTY|||DPS_SPECIAL_PUB|||False|||</t>
  </si>
  <si>
    <t>V_KEYWORD_EQTY_200000801_DPS_SPECIAL_PUB</t>
  </si>
  <si>
    <t>Vector|||200000801|||EQTY|||EBITDA_PUB|||False|||</t>
  </si>
  <si>
    <t>V_KEYWORD_EQTY_200000801_EBITDA_PUB</t>
  </si>
  <si>
    <t>Vector|||200000801|||EQTY|||EPS_PUB|||False|||</t>
  </si>
  <si>
    <t>V_KEYWORD_EQTY_200000801_EPS_PUB</t>
  </si>
  <si>
    <t>Vector|||200000801|||EQTY|||EPS_PUB_EX_ESO|||False|||</t>
  </si>
  <si>
    <t>V_KEYWORD_EQTY_200000801_EPS_PUB_EX_ESO</t>
  </si>
  <si>
    <t>Vector|||200000801|||EQTY|||EV_ADJ_PUB|||False|||</t>
  </si>
  <si>
    <t>V_KEYWORD_EQTY_200000801_EV_ADJ_PUB</t>
  </si>
  <si>
    <t>Vector|||200000801|||EQTY|||NET_DEBT_PUB|||False|||</t>
  </si>
  <si>
    <t>V_KEYWORD_EQTY_200000801_NET_DEBT_PUB</t>
  </si>
  <si>
    <t>Vector|||200000801|||EQTY|||NET_DEBT_EX_LEASES_PUB|||False|||</t>
  </si>
  <si>
    <t>V_KEYWORD_EQTY_200000801_NET_DEBT_EX_LEASES_PUB</t>
  </si>
  <si>
    <t>Vector|||200000801|||EQTY|||CEEE_NDEBT|||False|||</t>
  </si>
  <si>
    <t>V_KEYWORD_EQTY_200000801_CEEE_NDEBT</t>
  </si>
  <si>
    <t>Vector|||200000801|||EQTY|||NI_PUB|||False|||</t>
  </si>
  <si>
    <t>V_KEYWORD_EQTY_200000801_NI_PUB</t>
  </si>
  <si>
    <t>Vector|||200000801|||EQTY|||EBIT_PUB|||False|||</t>
  </si>
  <si>
    <t>V_KEYWORD_EQTY_200000801_EBIT_PUB</t>
  </si>
  <si>
    <t>Vector|||200000801|||EQTY|||PTP_PUB|||False|||</t>
  </si>
  <si>
    <t>V_KEYWORD_EQTY_200000801_PTP_PUB</t>
  </si>
  <si>
    <t>Vector|||200000801|||EQTY|||REVS_PUB|||False|||</t>
  </si>
  <si>
    <t>V_KEYWORD_EQTY_200000801_REVS_PUB</t>
  </si>
  <si>
    <t>Vector|||200000801|||EQTY|||EQ_PUB|||False|||</t>
  </si>
  <si>
    <t>V_KEYWORD_EQTY_200000801_EQ_PUB</t>
  </si>
  <si>
    <t>Vector|||200000801|||EQTY|||PROV_INC_TAX|||False|||</t>
  </si>
  <si>
    <t>V_KEYWORD_EQTY_200000801_PROV_INC_TAX</t>
  </si>
  <si>
    <t>Vector|||200000801|||EQTY|||INC_MINORITY|||False|||</t>
  </si>
  <si>
    <t>V_KEYWORD_EQTY_200000801_INC_MINORITY</t>
  </si>
  <si>
    <t>Vector|||200000801|||EQTY|||NI_PRE_PREF|||False|||</t>
  </si>
  <si>
    <t>V_KEYWORD_EQTY_200000801_NI_PRE_PREF</t>
  </si>
  <si>
    <t>Vector|||200000801|||EQTY|||PREF_DIV|||False|||</t>
  </si>
  <si>
    <t>V_KEYWORD_EQTY_200000801_PREF_DIV</t>
  </si>
  <si>
    <t>Vector|||200000801|||EQTY|||NET_EARNING|||False|||</t>
  </si>
  <si>
    <t>V_KEYWORD_EQTY_200000801_NET_EARNING</t>
  </si>
  <si>
    <t>Vector|||200000801|||EQTY|||TAX_EXC|||False|||</t>
  </si>
  <si>
    <t>V_KEYWORD_EQTY_200000801_TAX_EXC</t>
  </si>
  <si>
    <t>Vector|||200000801|||EQTY|||NET_INC|||False|||</t>
  </si>
  <si>
    <t>V_KEYWORD_EQTY_200000801_NET_INC</t>
  </si>
  <si>
    <t>Vector|||200000801|||EQTY|||EPS|||False|||</t>
  </si>
  <si>
    <t>V_KEYWORD_EQTY_200000801_EPS</t>
  </si>
  <si>
    <t>Vector|||200000801|||EQTY|||EPS_FUL_DIL|||False|||</t>
  </si>
  <si>
    <t>V_KEYWORD_EQTY_200000801_EPS_FUL_DIL</t>
  </si>
  <si>
    <t>Vector|||200000801|||EQTY|||EPS_POST_BASIC|||False|||</t>
  </si>
  <si>
    <t>V_KEYWORD_EQTY_200000801_EPS_POST_BASIC</t>
  </si>
  <si>
    <t>Vector|||200000801|||EQTY|||FULLY_DIL_EPS|||False|||</t>
  </si>
  <si>
    <t>V_KEYWORD_EQTY_200000801_FULLY_DIL_EPS</t>
  </si>
  <si>
    <t>Vector|||200000801|||EQTY|||COMMON_DIV_PAID|||False|||</t>
  </si>
  <si>
    <t>V_KEYWORD_EQTY_200000801_COMMON_DIV_PAID</t>
  </si>
  <si>
    <t>Vector|||200000801|||EQTY|||DPS|||False|||</t>
  </si>
  <si>
    <t>V_KEYWORD_EQTY_200000801_DPS</t>
  </si>
  <si>
    <t>Vector|||200000801|||EQTY|||SH|||False|||</t>
  </si>
  <si>
    <t>V_KEYWORD_EQTY_200000801_SH</t>
  </si>
  <si>
    <t>Vector|||200000801|||EQTY|||DILUTE_SHARES|||False|||</t>
  </si>
  <si>
    <t>V_KEYWORD_EQTY_200000801_DILUTE_SHARES</t>
  </si>
  <si>
    <t>Vector|||200000801|||EQTY|||NON_OP_ADD|||False|||</t>
  </si>
  <si>
    <t>V_KEYWORD_EQTY_200000801_NON_OP_ADD</t>
  </si>
  <si>
    <t>Vector|||200000801|||EQTY|||MARGIN_TAX_RATE|||False|||</t>
  </si>
  <si>
    <t>V_KEYWORD_EQTY_200000801_MARGIN_TAX_RATE</t>
  </si>
  <si>
    <t>Vector|||200000801|||EQTY|||FV_GRANT|||False|||</t>
  </si>
  <si>
    <t>V_KEYWORD_EQTY_200000801_FV_GRANT</t>
  </si>
  <si>
    <t>Vector|||200000801|||EQTY|||ESO_POST_TAX|||False|||</t>
  </si>
  <si>
    <t>V_KEYWORD_EQTY_200000801_ESO_POST_TAX</t>
  </si>
  <si>
    <t>Vector|||200000801|||EQTY|||EPS_EX_ESO_B|||False|||</t>
  </si>
  <si>
    <t>V_KEYWORD_EQTY_200000801_EPS_EX_ESO_B</t>
  </si>
  <si>
    <t>Vector|||200000801|||EQTY|||EPS_EX_ESO_D|||False|||</t>
  </si>
  <si>
    <t>V_KEYWORD_EQTY_200000801_EPS_EX_ESO_D</t>
  </si>
  <si>
    <t>Scalar|||200000801|||EQTY|||ESO_YEAR|||False|||</t>
  </si>
  <si>
    <t>V_KEYWORD_EQTY_200000801_ESO_YEAR</t>
  </si>
  <si>
    <t>Vector|||200000801|||EQTY|||BVPS|||False|||</t>
  </si>
  <si>
    <t>V_KEYWORD_EQTY_200000801_BVPS</t>
  </si>
  <si>
    <t>Scalar|||200000801|||EQTY|||REPUR_TOT_AUTH|||False|||</t>
  </si>
  <si>
    <t>V_KEYWORD_EQTY_200000801_REPUR_TOT_AUTH</t>
  </si>
  <si>
    <t>Scalar|||200000801|||EQTY|||REPUR_REMAINING|||False|||</t>
  </si>
  <si>
    <t>V_KEYWORD_EQTY_200000801_REPUR_REMAINING</t>
  </si>
  <si>
    <t>Scalar|||200000801|||EQTY|||REPUR_SUSPENDED|||False|||</t>
  </si>
  <si>
    <t>V_KEYWORD_EQTY_200000801_REPUR_SUSPENDED</t>
  </si>
  <si>
    <t>Vector|||200000801|||EQTY|||REPUR_ACTUAL|||False|||</t>
  </si>
  <si>
    <t>V_KEYWORD_EQTY_200000801_REPUR_ACTUAL</t>
  </si>
  <si>
    <t>Vector|||200000801|||EQTY|||CF_NI_PRE_PREF|||False|||</t>
  </si>
  <si>
    <t>V_KEYWORD_EQTY_200000801_CF_NI_PRE_PREF</t>
  </si>
  <si>
    <t>Scalar|||200000801|||EQTY|||BETA_ANALYST|||False|||</t>
  </si>
  <si>
    <t>V_KEYWORD_EQTY_200000801_BETA_ANALYST</t>
  </si>
  <si>
    <t>Scalar|||200000801|||EQTY|||MKT_EQ_RISK_PREM|||False|||</t>
  </si>
  <si>
    <t>V_KEYWORD_EQTY_200000801_MKT_EQ_RISK_PREM</t>
  </si>
  <si>
    <t>Scalar|||200000801|||EQTY|||RISK_FR_RATE|||False|||</t>
  </si>
  <si>
    <t>V_KEYWORD_EQTY_200000801_RISK_FR_RATE</t>
  </si>
  <si>
    <t>Installed base contribution from used</t>
  </si>
  <si>
    <t>Net contribution from used</t>
  </si>
  <si>
    <t>Q1'23</t>
  </si>
  <si>
    <t>Buy</t>
  </si>
  <si>
    <t>Segment details</t>
  </si>
  <si>
    <t>÷ Diluted shares (NTM)</t>
  </si>
  <si>
    <t>- Net (debt) cash (NTM)</t>
  </si>
  <si>
    <t>CY'2022</t>
  </si>
  <si>
    <t>g</t>
  </si>
  <si>
    <t>Discounted cash flow ($ mn, except per share data)</t>
  </si>
  <si>
    <t>Average Household Income of customers (USD '000s)</t>
  </si>
  <si>
    <t>AVG_HSHLD_INC_CUST</t>
  </si>
  <si>
    <t>Vector|||208000149|||ISSR|||AVG_HSHLD_INC_CUST|||False|||</t>
  </si>
  <si>
    <t>V_KEYWORD_ISSR_208000149_AVG_HSHLD_INC_CUST</t>
  </si>
  <si>
    <t>Average Age of customers</t>
  </si>
  <si>
    <t>AVG_AGE_CUST</t>
  </si>
  <si>
    <t>Vector|||208000149|||ISSR|||AVG_AGE_CUST|||False|||</t>
  </si>
  <si>
    <t>V_KEYWORD_ISSR_208000149_AVG_AGE_CUST</t>
  </si>
  <si>
    <t>Product0047 US payment volume</t>
  </si>
  <si>
    <t>Source</t>
  </si>
  <si>
    <t>Today's Date</t>
  </si>
  <si>
    <t>Forecast Period</t>
  </si>
  <si>
    <t>Units - Product0489</t>
  </si>
  <si>
    <t>Product units</t>
  </si>
  <si>
    <t>Units - Product0487</t>
  </si>
  <si>
    <t>Units - MAC</t>
  </si>
  <si>
    <t>Units</t>
  </si>
  <si>
    <t>Units - Product0049</t>
  </si>
  <si>
    <t>∆ (mn)</t>
  </si>
  <si>
    <t>Product0487 base</t>
  </si>
  <si>
    <t>∆ ($)</t>
  </si>
  <si>
    <t>Implied product ASP</t>
  </si>
  <si>
    <t>Net sales - Product0489</t>
  </si>
  <si>
    <t>Net sales - Product0487</t>
  </si>
  <si>
    <t>Net sales - MAC</t>
  </si>
  <si>
    <t>Net sales - Wearables, Home and Accessories</t>
  </si>
  <si>
    <t>Net sales - Products</t>
  </si>
  <si>
    <t>Net sales - Product0049</t>
  </si>
  <si>
    <t>Net sales - Services</t>
  </si>
  <si>
    <t>Gross profit/(loss) - Products</t>
  </si>
  <si>
    <t>Gross profit/(loss) - Services</t>
  </si>
  <si>
    <t>Gross profit/(loss)</t>
  </si>
  <si>
    <t>Nonoperating income/(expense)</t>
  </si>
  <si>
    <t>EPS - Diluted</t>
  </si>
  <si>
    <t>Research and development</t>
  </si>
  <si>
    <t>Selling, general and administrative</t>
  </si>
  <si>
    <t>Operating income/(loss)</t>
  </si>
  <si>
    <t>Income/(loss) before provision for income taxes</t>
  </si>
  <si>
    <t>Provision/(benefit) for income taxes</t>
  </si>
  <si>
    <t>Net income/(loss)</t>
  </si>
  <si>
    <t>Note: Watch revenue</t>
  </si>
  <si>
    <t>Income statement</t>
  </si>
  <si>
    <t>Visible Alpha</t>
  </si>
  <si>
    <t>Supplementary</t>
  </si>
  <si>
    <t>FY-2024</t>
  </si>
  <si>
    <t>FY-2025</t>
  </si>
  <si>
    <t>FY-2026</t>
  </si>
  <si>
    <t>3QFY-2023</t>
  </si>
  <si>
    <t>4QFY-2023</t>
  </si>
  <si>
    <t>1QFY-2024</t>
  </si>
  <si>
    <t>2QFY-2024</t>
  </si>
  <si>
    <t>3QFY-2024</t>
  </si>
  <si>
    <t>4QFY-2024</t>
  </si>
  <si>
    <t>Product0167 Product0489 units</t>
  </si>
  <si>
    <t>Ticker0015 v. cons</t>
  </si>
  <si>
    <t>Revenue by geography</t>
  </si>
  <si>
    <t>Operating income margin (%)</t>
  </si>
  <si>
    <t xml:space="preserve">Do not paste below </t>
  </si>
  <si>
    <t>Q2'23</t>
  </si>
  <si>
    <t>NOT IN USE</t>
  </si>
  <si>
    <t>Scalar|||200000801|||EQTY|||NOT IN USE|||False|||</t>
  </si>
  <si>
    <t>V_KEYWORD_EQTY_200000801_NOT_IN_USE</t>
  </si>
  <si>
    <t>Other (plug), "Made for" fees</t>
  </si>
  <si>
    <t>Comments/guidance</t>
  </si>
  <si>
    <t>yoy ∆ (%)</t>
  </si>
  <si>
    <t>Ticker0015 estimate</t>
  </si>
  <si>
    <t>Note: forex impact to revenue growth</t>
  </si>
  <si>
    <t>FactSet</t>
  </si>
  <si>
    <t>($, mn)</t>
  </si>
  <si>
    <t>Segment information</t>
  </si>
  <si>
    <t>VA</t>
  </si>
  <si>
    <t>Note: gross margin %</t>
  </si>
  <si>
    <t>Guidance:</t>
  </si>
  <si>
    <t>Guidance: -$250 mn</t>
  </si>
  <si>
    <t>Guidance: 16%</t>
  </si>
  <si>
    <t>Q3'23</t>
  </si>
  <si>
    <t>2023/4F</t>
  </si>
  <si>
    <t>Guidance: down similar to F3Q23 or -1% yoy (implies $89.2 bn)</t>
  </si>
  <si>
    <t>Guidance: $13.5-$13.7 bn</t>
  </si>
  <si>
    <t>Guidance: accelerating growth v. F3Q23 or &gt;+8% yoy (implies &gt;$20.7 bn)</t>
  </si>
  <si>
    <t>Implied $39.3-$40.2 bn based on revenue and GM% guidance</t>
  </si>
  <si>
    <t>Guidance: 44.0-45.0%</t>
  </si>
  <si>
    <t>Guidance: -200 bps</t>
  </si>
  <si>
    <t>Growth to accelerate v. F3Q (-2% yoy) which implies &gt;$41.8 bn</t>
  </si>
  <si>
    <t>Down DD% yoy which implies &lt;$6.5 bn</t>
  </si>
  <si>
    <t>Down DD% yoy which implies &lt;$10.4 bn</t>
  </si>
  <si>
    <t>Guidance updated as of 8/4/2023</t>
  </si>
  <si>
    <t>EBIT Margin (%)</t>
  </si>
  <si>
    <t>Q1</t>
  </si>
  <si>
    <t>Q2</t>
  </si>
  <si>
    <t>Q3</t>
  </si>
  <si>
    <t>Q4</t>
  </si>
  <si>
    <t>'23</t>
  </si>
  <si>
    <t>'22</t>
  </si>
  <si>
    <t>'21</t>
  </si>
  <si>
    <t>'20</t>
  </si>
  <si>
    <t>'19</t>
  </si>
  <si>
    <t>'18</t>
  </si>
  <si>
    <t>'17</t>
  </si>
  <si>
    <t>'16</t>
  </si>
  <si>
    <t>'15</t>
  </si>
  <si>
    <t>'14</t>
  </si>
  <si>
    <t>'13</t>
  </si>
  <si>
    <t>Opex seasonality (qoq, $)</t>
  </si>
  <si>
    <t>Product0489 seasonality (qoq, %)</t>
  </si>
  <si>
    <t>Services seasonality (qoq, %)</t>
  </si>
  <si>
    <t>Mac seasonality (qoq, %)</t>
  </si>
  <si>
    <t>Product0487 seasonality (qoq, %)</t>
  </si>
  <si>
    <t>Company2944 seasonality (qoq, %)</t>
  </si>
  <si>
    <t>'25E</t>
  </si>
  <si>
    <t>'26E</t>
  </si>
  <si>
    <t>'27E</t>
  </si>
  <si>
    <t>Buybacks + dividends</t>
  </si>
  <si>
    <t>% of FCF</t>
  </si>
  <si>
    <t>Q4'23</t>
  </si>
  <si>
    <t>FY'2023</t>
  </si>
  <si>
    <t>2024/1F</t>
  </si>
  <si>
    <t>Guidance updated as of 11/3/2023</t>
  </si>
  <si>
    <t>FY-2027</t>
  </si>
  <si>
    <t>F2027</t>
  </si>
  <si>
    <t>Guidance: $14.4-$14.6 bn</t>
  </si>
  <si>
    <t>Guidance: -$200 mn</t>
  </si>
  <si>
    <t>To grow yoy on an absolute basis</t>
  </si>
  <si>
    <t>Guidance: 45.0-46.0%</t>
  </si>
  <si>
    <t>Guidance: -100 bps</t>
  </si>
  <si>
    <t>Guidance: similar to F1Q23 (~$117 bn in F1Q23)</t>
  </si>
  <si>
    <t>To significantly decelerate sequentially</t>
  </si>
  <si>
    <t>To significantly accelerate sequentially</t>
  </si>
  <si>
    <t>Product0448</t>
  </si>
  <si>
    <t>0-6</t>
  </si>
  <si>
    <t>Guidance: average rev/week to grow at DD% (implies 16-7% or +9% yoy growth)</t>
  </si>
  <si>
    <t>ACTUAL</t>
  </si>
  <si>
    <t>Q1'24</t>
  </si>
  <si>
    <t>'24</t>
  </si>
  <si>
    <t>2024/2F</t>
  </si>
  <si>
    <t>Guidance updated as of 2/1/2024</t>
  </si>
  <si>
    <t>Guidance: decline $5 bn yoy (implied ~$90 bn)</t>
  </si>
  <si>
    <t>Guidance: $14.3-$14.5 bn</t>
  </si>
  <si>
    <t>Guidance: +$50 mn</t>
  </si>
  <si>
    <t>Decline $5 bn yoy</t>
  </si>
  <si>
    <t>Guidance: grow dd% similar to F1Q (+11% yoy)</t>
  </si>
  <si>
    <t>Guidance: 46.0-47.0%</t>
  </si>
  <si>
    <t>∆ ($, Kn)</t>
  </si>
  <si>
    <t>CY'2023</t>
  </si>
  <si>
    <t>Q2'24</t>
  </si>
  <si>
    <t>2024/3F</t>
  </si>
  <si>
    <t>Guidance updated as of 5/2/2024</t>
  </si>
  <si>
    <t>250 bp headwind</t>
  </si>
  <si>
    <t xml:space="preserve">DD% revenue growth </t>
  </si>
  <si>
    <t>45.5-46.5% gross margins</t>
  </si>
  <si>
    <t xml:space="preserve">$14.3-$14.5 bn </t>
  </si>
  <si>
    <t>$50 mn</t>
  </si>
  <si>
    <t>13% revenue growth  (similar to F1H24)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</si>
  <si>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</si>
  <si>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</si>
  <si>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</si>
  <si>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</si>
  <si>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</si>
  <si>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</si>
  <si>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</si>
  <si>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</si>
  <si>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</si>
  <si>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</si>
  <si>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</si>
  <si>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</si>
  <si>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</si>
  <si>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</si>
  <si>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</si>
  <si>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</si>
  <si>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</si>
  <si>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</si>
  <si>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</si>
  <si>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</si>
  <si>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Q3'24</t>
  </si>
  <si>
    <t xml:space="preserve">+5% yoy </t>
  </si>
  <si>
    <t>+13% yoy (in-line with F3Q24 YTD growth)</t>
  </si>
  <si>
    <t>Implied +2% yoy</t>
  </si>
  <si>
    <t>Down qoq</t>
  </si>
  <si>
    <t>Tough comps from y-ago</t>
  </si>
  <si>
    <t>+LSD% yoy inclusive of forex headwind of 250 bps</t>
  </si>
  <si>
    <t>1QFY-2025</t>
  </si>
  <si>
    <t>Actual v. Consensus</t>
  </si>
  <si>
    <t>Q4'24</t>
  </si>
  <si>
    <t>Net income - Non-GAAP</t>
  </si>
  <si>
    <t>Tax (Non-GAAP)</t>
  </si>
  <si>
    <t>FY'2024</t>
  </si>
  <si>
    <t>2025/1F</t>
  </si>
  <si>
    <t>Guidance updated as of 10/31/2024</t>
  </si>
  <si>
    <t>2QFY-2025</t>
  </si>
  <si>
    <t>Low to MSD% growth</t>
  </si>
  <si>
    <t>growth of DD%, similar to F2024 (~13% yoy)</t>
  </si>
  <si>
    <t>$15.3-$15.5 bn</t>
  </si>
  <si>
    <t>-$250 mn</t>
  </si>
  <si>
    <t>46%-47%</t>
  </si>
  <si>
    <t>F2028</t>
  </si>
  <si>
    <t>FY-2028</t>
  </si>
  <si>
    <t>Q1'25</t>
  </si>
  <si>
    <t>CY'2024</t>
  </si>
  <si>
    <t>3QFY-2025</t>
  </si>
  <si>
    <t xml:space="preserve">-$300 mn </t>
  </si>
  <si>
    <t>Q2'25</t>
  </si>
  <si>
    <t>Actuals</t>
  </si>
  <si>
    <t>4QFY-2025</t>
  </si>
  <si>
    <t>LSD% to MSD%</t>
  </si>
  <si>
    <t>45.5-46.5% inclusive of a $900 mn tariff related costs</t>
  </si>
  <si>
    <t>$15.3-$15.5 bn </t>
  </si>
  <si>
    <t>Guidance updated as of 5/2/2025</t>
  </si>
  <si>
    <t>Full-time equivalent employees (000s)</t>
  </si>
  <si>
    <t>2025/3F</t>
  </si>
  <si>
    <t>2025/4F</t>
  </si>
  <si>
    <t>ERROR</t>
  </si>
  <si>
    <t>1510NV2</t>
  </si>
  <si>
    <t>84a5f042-6f70-49db-b6df-560525b366e4</t>
  </si>
  <si>
    <t>Q3'25</t>
  </si>
  <si>
    <t>'28E</t>
  </si>
  <si>
    <t>'29E</t>
  </si>
  <si>
    <t>'30E</t>
  </si>
  <si>
    <t>Not enabled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</si>
</sst>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2">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mmm\-yy&quot;E&quot;"/>
    <numFmt numFmtId="166" formatCode="0.0%"/>
    <numFmt numFmtId="167" formatCode="&quot;$&quot;#,##0.00"/>
    <numFmt numFmtId="168" formatCode="#,##0.0_);[Red]\(#,##0.0\)"/>
    <numFmt numFmtId="169" formatCode="&quot;$&quot;#,##0\ ;\(&quot;$&quot;#,##0\)"/>
    <numFmt numFmtId="170" formatCode="#,##0.0000000000000"/>
    <numFmt numFmtId="171" formatCode="&quot;$&quot;#,##0.000\ ;\(&quot;$&quot;#,##0.000\)"/>
    <numFmt numFmtId="172" formatCode="0.00_);\(0.00\);0.00_)"/>
    <numFmt numFmtId="173" formatCode="#,##0\ ;\(#,##0\)"/>
    <numFmt numFmtId="174" formatCode="#,##0.0\ ;\(#,##0.0\)"/>
    <numFmt numFmtId="175" formatCode="#,##0.0_);\(#,##0.0\)"/>
    <numFmt numFmtId="176" formatCode="#,##0.000_);[Red]\(#,##0.000\)"/>
    <numFmt numFmtId="177" formatCode="#,##0.0000_);[Red]\(#,##0.0000\)"/>
    <numFmt numFmtId="178" formatCode="0.000"/>
    <numFmt numFmtId="179" formatCode="0.0"/>
    <numFmt numFmtId="180" formatCode="0&quot;E&quot;"/>
    <numFmt numFmtId="181" formatCode="0.0\x"/>
    <numFmt numFmtId="182" formatCode="#,##0.0\ \x"/>
    <numFmt numFmtId="183" formatCode="0.000_]"/>
    <numFmt numFmtId="184" formatCode="#,##0.0\ _]"/>
    <numFmt numFmtId="185" formatCode="#,##0.0\x_);\(#,##0.0\x\)"/>
    <numFmt numFmtId="186" formatCode="0.00_);\(0.00\);0.00"/>
    <numFmt numFmtId="187" formatCode="_###0;_(* \(#,##0\);_(* &quot;-&quot;??_);_(@_)"/>
    <numFmt numFmtId="188" formatCode="_([$€-2]* #,##0.00_);_([$€-2]* \(#,##0.00\);_([$€-2]* &quot;-&quot;??_)"/>
    <numFmt numFmtId="189" formatCode="#,##0;_(* \(#,##0\);_(* &quot;-&quot;??_);_(@_)"/>
    <numFmt numFmtId="190" formatCode="0.0000E+00;\?"/>
    <numFmt numFmtId="191" formatCode="0.00\%;\-0.00\%;0.00\%"/>
    <numFmt numFmtId="192" formatCode="0.00\x;\-0.00\x;0.00\x"/>
    <numFmt numFmtId="193" formatCode="_(* #,##0_);_(* \(#,##0\);_(* &quot;-&quot;??_);_(@_)"/>
    <numFmt numFmtId="194" formatCode="yyyy"/>
    <numFmt numFmtId="195" formatCode="&quot;$&quot;#,##0.00&quot;A&quot;;[Red]\(&quot;$&quot;#,##0.00\)&quot;A&quot;"/>
    <numFmt numFmtId="196" formatCode="&quot;$&quot;#,##0.00&quot;E&quot;;[Red]\(&quot;$&quot;#,##0.00\)&quot;E&quot;"/>
    <numFmt numFmtId="197" formatCode="0.0%_);[Red]\(0.0%\)"/>
    <numFmt numFmtId="198" formatCode="0.0%_);\(0.0%\)"/>
    <numFmt numFmtId="199" formatCode="0.0\x_);[Red]\(0.0\x\)"/>
    <numFmt numFmtId="200" formatCode="&quot;$&quot;#,##0.000_);\(&quot;$&quot;#,##0.000\)"/>
    <numFmt numFmtId="201" formatCode="&quot;$&quot;#,##0.000_);[Red]\(&quot;$&quot;#,##0.000\)"/>
    <numFmt numFmtId="202" formatCode="0.00%_);[Red]\(0.00%\)"/>
    <numFmt numFmtId="203" formatCode="_(* #,##0.0_);_(* \(#,##0.0\);_(* &quot;-&quot;??_);_(@_)"/>
    <numFmt numFmtId="204" formatCode="#,##0.0"/>
    <numFmt numFmtId="205" formatCode="&quot;$&quot;#,##0.0_);\(&quot;$&quot;#,##0.0\)"/>
    <numFmt numFmtId="206" formatCode="#,##0.000_);\(#,##0.000\)"/>
    <numFmt numFmtId="207" formatCode="\C&quot;$&quot;\ #,##0.00_);\C&quot;$&quot;\ \(#,##0.00\);\C&quot;$&quot;\ 0.00_)"/>
    <numFmt numFmtId="208" formatCode="_(&quot;$&quot;#,##0_)&quot;millions&quot;;\(&quot;$&quot;#,##0\)&quot; millions&quot;"/>
    <numFmt numFmtId="209" formatCode="&quot;$&quot;#,##0.00_)\ \ \ ;\(&quot;$&quot;#,##0.00\)\ \ \ "/>
    <numFmt numFmtId="210" formatCode="&quot;$&quot;#,##0.00&quot;*&quot;\ \ ;\(&quot;$&quot;#,##0.00\)&quot;*&quot;\ \ "/>
    <numFmt numFmtId="211" formatCode="&quot;$&quot;#,##0.00\A_)\ ;\(&quot;$&quot;#,##0.00\A\)\ \ "/>
    <numFmt numFmtId="212" formatCode="0.0_)\%;\(0.0\)\%;0.0_)\%;@_)_%"/>
    <numFmt numFmtId="213" formatCode="#,##0.0_)_%;\(#,##0.0\)_%;0.0_)_%;@_)_%"/>
    <numFmt numFmtId="214" formatCode="#,##0.0_);\(#,##0.0\);#,##0.0_);@_)"/>
    <numFmt numFmtId="215" formatCode="&quot;$&quot;_(#,##0.00_);&quot;$&quot;\(#,##0.00\)"/>
    <numFmt numFmtId="216" formatCode="0.0_)"/>
    <numFmt numFmtId="217" formatCode="&quot;$&quot;_(#,##0.00_);&quot;$&quot;\(#,##0.00\);&quot;$&quot;_(0.00_);@_)"/>
    <numFmt numFmtId="218" formatCode="&quot;$&quot;#,##0;[Red]\-&quot;$&quot;#,##0"/>
    <numFmt numFmtId="219" formatCode="#,##0.00_);\(#,##0.00\);0.00_);@_)"/>
    <numFmt numFmtId="220" formatCode="\€_(#,##0.00_);\€\(#,##0.00\);\€_(0.00_);@_)"/>
    <numFmt numFmtId="221" formatCode="#,##0.0_)\x;\(#,##0.0\)\x"/>
    <numFmt numFmtId="222" formatCode="0.00_)"/>
    <numFmt numFmtId="223" formatCode="#,##0_)\x;\(#,##0\)\x;0_)\x;@_)_x"/>
    <numFmt numFmtId="224" formatCode="&quot;$&quot;#,##0.00;\-&quot;$&quot;#,##0.00"/>
    <numFmt numFmtId="225" formatCode="#,##0.0_)_x;\(#,##0.0\)_x"/>
    <numFmt numFmtId="226" formatCode="#,##0_)_x;\(#,##0\)_x;0_)_x;@_)_x"/>
    <numFmt numFmtId="227" formatCode="&quot;$&quot;#,##0.00;[Red]\-&quot;$&quot;#,##0.00"/>
    <numFmt numFmtId="228" formatCode="0.0_)\%;\(0.0\)\%"/>
    <numFmt numFmtId="229" formatCode="&quot;$&quot;#,##0.0_);[Red]\(&quot;$&quot;#,##0.0\)"/>
    <numFmt numFmtId="230" formatCode="_-&quot;$&quot;* #,##0_-;\-&quot;$&quot;* #,##0_-;_-&quot;$&quot;* &quot;-&quot;_-;_-@_-"/>
    <numFmt numFmtId="231" formatCode="#,##0.0_)_%;\(#,##0.0\)_%"/>
    <numFmt numFmtId="232" formatCode="0.0000"/>
    <numFmt numFmtId="233" formatCode="\A\ &quot;$&quot;#,##0.00\ ;\(\A\ &quot;$&quot;#,##0.00\)"/>
    <numFmt numFmtId="234" formatCode="#,##0;\(#,##0\)"/>
    <numFmt numFmtId="235" formatCode="0\A"/>
    <numFmt numFmtId="236" formatCode="\£#,##0_);\(\£#,##0\)"/>
    <numFmt numFmtId="237" formatCode="##,##0.0_);\(#,##0.0\)"/>
    <numFmt numFmtId="238" formatCode="_(* #,##0.0000_);_(* \(#,##0.0000\);_(* &quot;-&quot;??_);_(@_)"/>
    <numFmt numFmtId="239" formatCode="#,##0.00&quot;£&quot;_);[Red]\(#,##0.00&quot;£&quot;\)"/>
    <numFmt numFmtId="240" formatCode="_ * #,##0_)&quot;£&quot;_ ;_ * \(#,##0\)&quot;£&quot;_ ;_ * &quot;-&quot;_)&quot;£&quot;_ ;_ @_ "/>
    <numFmt numFmtId="241" formatCode="0.0%;\(0.0%\)"/>
    <numFmt numFmtId="242" formatCode="&quot;\&quot;\$#,##0_);[Red]&quot;\&quot;\(&quot;\&quot;\$#,##0&quot;\&quot;\)"/>
    <numFmt numFmtId="243" formatCode="#,##0\ ;\(#,##0.0\)"/>
    <numFmt numFmtId="244" formatCode="#,##0_%_);\(#,##0\)_%;#,##0_%_);@_%_)"/>
    <numFmt numFmtId="245" formatCode="#,##0.0___);\(#,##0.0__\)"/>
    <numFmt numFmtId="246" formatCode="#,##0.00_)\ \ ;\(#,##0.00\)\ \ "/>
    <numFmt numFmtId="247" formatCode="#,##0;[Red]\(#,##0\);&quot;-&quot;"/>
    <numFmt numFmtId="248" formatCode="#,##0.0;\(#,##0.0\);&quot;-&quot;"/>
    <numFmt numFmtId="249" formatCode="#,##0.00;\(#,##0.00\);&quot;-&quot;"/>
    <numFmt numFmtId="250" formatCode="#,##0.000;\(#,##0.000\);&quot;-&quot;"/>
    <numFmt numFmtId="251" formatCode="&quot;$&quot;#,##0_%_);\(&quot;$&quot;#,##0\)_%;&quot;$&quot;#,##0_%_);@_%_)"/>
    <numFmt numFmtId="252" formatCode="&quot;$&quot;#,##0;[Red]\ &quot;$&quot;\(#,##0\);&quot;-&quot;"/>
    <numFmt numFmtId="253" formatCode="&quot;$&quot;#,##0.0;\(&quot;$&quot;#,##0.0\);&quot;-&quot;"/>
    <numFmt numFmtId="254" formatCode="&quot;$&quot;#,##0.00;\(&quot;$&quot;#,##0.00\);&quot;-&quot;"/>
    <numFmt numFmtId="255" formatCode="&quot;$&quot;#,##0.00_)\ \ ;\(&quot;$&quot;#,##0.00\)\ \ "/>
    <numFmt numFmtId="256" formatCode="@\ \ \ \ \ "/>
    <numFmt numFmtId="257" formatCode="General_)"/>
    <numFmt numFmtId="258" formatCode="m/d/yy_%_)"/>
    <numFmt numFmtId="259" formatCode="#,##0.0&quot; days&quot;;[Red]\(#,##0.0&quot; days&quot;\);&quot;-&quot;"/>
    <numFmt numFmtId="260" formatCode="0_%_);\(0\)_%;0_%_);@_%_)"/>
    <numFmt numFmtId="261" formatCode="&quot;$&quot;#,##0.00_);&quot;$&quot;\ \(#,##0.00\);&quot;$&quot;\ &quot;-&quot;??_);_(@_)"/>
    <numFmt numFmtId="262" formatCode="&quot;$&quot;#,##0.00_)\ \ \ \ \ ;\(&quot;$&quot;#,##0.00\)\ \ \ \ \ "/>
    <numFmt numFmtId="263" formatCode="&quot;$&quot;#,##0.00\A\ \ \ \ ;\(&quot;$&quot;#,##0.00\A\)\ \ \ \ "/>
    <numFmt numFmtId="264" formatCode="&quot;$&quot;#,##0.00&quot;E&quot;\ \ \ \ ;\(&quot;$&quot;#,##0.00&quot;E&quot;\)\ \ \ \ "/>
    <numFmt numFmtId="265" formatCode="#,##0.00\A\ \ \ \ ;\(#,##0.00\A\)\ \ \ \ "/>
    <numFmt numFmtId="266" formatCode="#,##0.00&quot;E&quot;\ \ \ \ ;\(#,##0.00&quot;E&quot;\)\ \ \ \ "/>
    <numFmt numFmtId="267" formatCode="0.0&quot;  &quot;"/>
    <numFmt numFmtId="268" formatCode="\F\F\r\ \ #,##0.00_);\F\F\r\ \ \(#,##0.00\)"/>
    <numFmt numFmtId="269" formatCode="0%\ \ \ \ \ \ \ "/>
    <numFmt numFmtId="270" formatCode="_-* #,##0_-;\(#,##0\);_-* &quot;–&quot;_-;_-@_-"/>
    <numFmt numFmtId="271" formatCode="0.00%;\(0.00%\)"/>
    <numFmt numFmtId="272" formatCode="0.0\%_);\(0.0\%\);0.0\%_);@_%_)"/>
    <numFmt numFmtId="273" formatCode="#,##0;[Red]\(#,##0\)"/>
    <numFmt numFmtId="274" formatCode="&quot;$&quot;#,##0.0_%_);\(&quot;$&quot;#,##0.0\)_%"/>
    <numFmt numFmtId="275" formatCode="&quot;$&quot;#,##0.00_%_);\(&quot;$&quot;#,##0.00\)_%"/>
    <numFmt numFmtId="276" formatCode="[Blue]#,##0.00\ ;[Blue]\(#,##0.00\);[Blue]**"/>
    <numFmt numFmtId="277" formatCode="&quot;$&quot;#,##0\ &quot;MM&quot;;\(&quot;$&quot;#,##0.00\ &quot;MM&quot;\)"/>
    <numFmt numFmtId="278" formatCode="#,##0\ &quot;MM&quot;"/>
    <numFmt numFmtId="279" formatCode="0.000_)"/>
    <numFmt numFmtId="280" formatCode="_(&quot;$&quot;* #,##0_)\ &quot;millions&quot;;_(&quot;$&quot;* \(#,##0\)&quot; millions&quot;"/>
    <numFmt numFmtId="281" formatCode="yyyy_)"/>
    <numFmt numFmtId="282" formatCode="&quot;$&quot;#,##0_);\(&quot;$&quot;#,##0\);&quot;- &quot;"/>
    <numFmt numFmtId="283" formatCode="@&quot; MM&quot;"/>
    <numFmt numFmtId="284" formatCode="0.000_);\(0.000\);&quot;- &quot;"/>
    <numFmt numFmtId="285" formatCode="0.0%_)"/>
    <numFmt numFmtId="286" formatCode="###,000_);\(###,000\)"/>
    <numFmt numFmtId="287" formatCode="0.0\ \ \ \ \ \ "/>
    <numFmt numFmtId="288" formatCode="&quot;$&quot;#,##0_);\(&quot;$&quot;#,##0\)\ ;&quot;- &quot;"/>
    <numFmt numFmtId="289" formatCode="0.0%\ \ \ \ \ "/>
    <numFmt numFmtId="290" formatCode="0%_);[Red]\(0%\)"/>
    <numFmt numFmtId="291" formatCode="#,##0.0\%_);\(#,##0.0\%\);#,##0.0\%_);@_%_)"/>
    <numFmt numFmtId="292" formatCode="0%_);\(0%\);&quot;- &quot;"/>
    <numFmt numFmtId="293" formatCode="_(* #,##0.000_);_(* \(#,##0.000\);_(* &quot;-&quot;??_);_(@_)"/>
    <numFmt numFmtId="294" formatCode="0.0*100"/>
    <numFmt numFmtId="295" formatCode="0.00_x_)"/>
    <numFmt numFmtId="296" formatCode="0.00\ \ \ \ "/>
    <numFmt numFmtId="297" formatCode="@\ "/>
    <numFmt numFmtId="298" formatCode="&quot;$&quot;@"/>
    <numFmt numFmtId="299" formatCode="#,##0.00000_);\(#,##0.00000\);&quot;- &quot;"/>
    <numFmt numFmtId="300" formatCode="#,##0;\(#,##0\);\–;@"/>
    <numFmt numFmtId="301" formatCode="\$\ #,##0;&quot;£&quot;\ \-#,##0"/>
    <numFmt numFmtId="302" formatCode="_ * #,##0_)_£_ ;_ * \(#,##0\)_£_ ;_ * &quot;-&quot;_)_£_ ;_ @_ "/>
    <numFmt numFmtId="303" formatCode="_ * #,##0.00_)&quot;£&quot;_ ;_ * \(#,##0.00\)&quot;£&quot;_ ;_ * &quot;-&quot;??_)&quot;£&quot;_ ;_ @_ "/>
    <numFmt numFmtId="304" formatCode="#,##0.00000"/>
    <numFmt numFmtId="305" formatCode="0.0000%"/>
    <numFmt numFmtId="306" formatCode="0.00%_);\(0.00%\);&quot;- &quot;"/>
    <numFmt numFmtId="307" formatCode="_(* #,##0.0_);_(* \(#,##0.0\);_(* &quot;-&quot;?_);_(@_)"/>
    <numFmt numFmtId="308" formatCode="\¥#,##0.00_);\(\¥#,##0.00\)"/>
    <numFmt numFmtId="309" formatCode="#,##0.0_)\x;\(#,##0.0\)\x;0.0_)\x;@_)_x"/>
    <numFmt numFmtId="310" formatCode="#,##0.0_)_x;\(#,##0.0\)_x;0.0_)_x;@_)_x"/>
    <numFmt numFmtId="311" formatCode="#,##0.00;;;[White]General"/>
    <numFmt numFmtId="312" formatCode="_(&quot;CHF&quot;* #,##0.0_);_(&quot;CHF&quot;* \(#,##0.0\);_(&quot;CHF&quot;* &quot;-&quot;??_);_(@_)"/>
    <numFmt numFmtId="313" formatCode="0.0%_);\(0.0%\);0.0%_);@_)"/>
    <numFmt numFmtId="314" formatCode="0%_);\(0%\);0%_);@_)"/>
    <numFmt numFmtId="315" formatCode="dd\-mmm\-yyyy"/>
    <numFmt numFmtId="316" formatCode="[Red]0;[Red]\-0;\-"/>
    <numFmt numFmtId="317" formatCode="0&quot;d&quot;"/>
    <numFmt numFmtId="318" formatCode="&quot;$&quot;#,##0"/>
    <numFmt numFmtId="319" formatCode="&quot;$&quot;#,##0.0_);\(&quot;$&quot;#,##0.0\);&quot;$&quot;#,##0.0_);@_)"/>
    <numFmt numFmtId="320" formatCode="m/d/yyyy;@"/>
    <numFmt numFmtId="321" formatCode="&quot;$&quot;#,##0.00_);\(&quot;$&quot;#,##0.00\);&quot;$&quot;#,##0.00_);@_)"/>
    <numFmt numFmtId="322" formatCode="0.00%_);\(0.00%\);0.00%_);@_)"/>
    <numFmt numFmtId="323" formatCode="#,###,##0"/>
    <numFmt numFmtId="324" formatCode="#,###,##0.0"/>
    <numFmt numFmtId="325" formatCode="&quot;MR&quot;#,##0.00_);\(&quot;$&quot;#,##0.00\)"/>
    <numFmt numFmtId="326" formatCode="&quot;W&quot;&quot;$&quot;#,##0.00_);\(&quot;$&quot;#,##0.00\)"/>
    <numFmt numFmtId="327" formatCode="_(* #,##0.0_);_(* \(#,##0.0\);_(* &quot;-&quot;_);_(@_)"/>
    <numFmt numFmtId="328" formatCode="\$#,##0\);\(\$#,##0\)"/>
    <numFmt numFmtId="329" formatCode="#,##0.00\ ;\(#,##0.00\)\ ;\ "/>
    <numFmt numFmtId="330" formatCode="#,##0.000000000000"/>
    <numFmt numFmtId="331" formatCode="#,##0_ ;\-#,##0\ "/>
    <numFmt numFmtId="332" formatCode="&quot;£ &quot;#,##0.00;\-&quot;£ &quot;#,##0.00"/>
    <numFmt numFmtId="333" formatCode="###0;\-###0"/>
    <numFmt numFmtId="334" formatCode="0.000%"/>
    <numFmt numFmtId="335" formatCode="_-* #,##0.00_-;\-* #,##0.00_-;_-* &quot;-&quot;??_-;_-@_-"/>
    <numFmt numFmtId="336" formatCode="\ð.\ð\ð\%"/>
    <numFmt numFmtId="337" formatCode="&quot;\&quot;_(#,##0.00_);&quot;\&quot;\(#,##0.00\)"/>
    <numFmt numFmtId="338" formatCode="\ð\%"/>
    <numFmt numFmtId="339" formatCode=";;;"/>
    <numFmt numFmtId="340" formatCode="#,##0_);\(#,##0\);#,##0_);@_)"/>
    <numFmt numFmtId="341" formatCode="&quot;$&quot;#,##0_);\(&quot;$&quot;#,##0\);&quot;$&quot;#,##0_);@_)"/>
    <numFmt numFmtId="342" formatCode="0.00000%"/>
    <numFmt numFmtId="343" formatCode="0.00\x"/>
    <numFmt numFmtId="344" formatCode="0.0&quot;x&quot;"/>
    <numFmt numFmtId="345" formatCode="0.0\X"/>
    <numFmt numFmtId="346" formatCode="&quot;Ticker&quot;"/>
    <numFmt numFmtId="347" formatCode="#,##0.00_);\(#,##0.00\);#,##0.00_);@_)"/>
  </numFmts>
  <fonts count="300">
    <font>
      <sz val="11"/>
      <color theme="1"/>
      <name val="Univers LT Std 55"/>
      <family val="2"/>
      <scheme val="minor"/>
    </font>
    <font>
      <sz val="9"/>
      <color theme="1"/>
      <name val="Arial"/>
      <family val="2"/>
    </font>
    <font>
      <sz val="9"/>
      <color theme="1"/>
      <name val="Arial"/>
      <family val="2"/>
    </font>
    <font>
      <sz val="9"/>
      <color theme="1"/>
      <name val="Arial"/>
      <family val="2"/>
    </font>
    <font>
      <sz val="9"/>
      <color theme="1"/>
      <name val="Arial"/>
      <family val="2"/>
    </font>
    <font>
      <sz val="9"/>
      <color theme="1"/>
      <name val="Arial"/>
      <family val="2"/>
    </font>
    <font>
      <sz val="9"/>
      <color theme="1"/>
      <name val="Arial"/>
      <family val="2"/>
    </font>
    <font>
      <sz val="9"/>
      <color theme="1"/>
      <name val="Arial"/>
      <family val="2"/>
    </font>
    <font>
      <sz val="9"/>
      <color theme="1"/>
      <name val="Arial"/>
      <family val="2"/>
    </font>
    <font>
      <sz val="9"/>
      <color theme="1"/>
      <name val="Arial"/>
      <family val="2"/>
    </font>
    <font>
      <sz val="9"/>
      <color theme="1"/>
      <name val="Arial"/>
      <family val="2"/>
    </font>
    <font>
      <sz val="9"/>
      <color theme="1"/>
      <name val="Arial"/>
      <family val="2"/>
    </font>
    <font>
      <sz val="9"/>
      <color theme="1"/>
      <name val="Arial"/>
      <family val="2"/>
    </font>
    <font>
      <sz val="9"/>
      <color theme="1"/>
      <name val="Arial"/>
      <family val="2"/>
    </font>
    <font>
      <sz val="9"/>
      <color theme="1"/>
      <name val="Arial"/>
      <family val="2"/>
    </font>
    <font>
      <sz val="9"/>
      <color theme="1"/>
      <name val="Arial"/>
      <family val="2"/>
    </font>
    <font>
      <sz val="9"/>
      <color theme="1"/>
      <name val="Arial"/>
      <family val="2"/>
    </font>
    <font>
      <sz val="9"/>
      <color theme="1"/>
      <name val="Arial"/>
      <family val="2"/>
    </font>
    <font>
      <sz val="10"/>
      <color theme="1"/>
      <name val="Arial"/>
      <family val="2"/>
    </font>
    <font>
      <sz val="10"/>
      <color theme="1"/>
      <name val="Arial"/>
      <family val="2"/>
    </font>
    <font>
      <sz val="11"/>
      <color theme="1"/>
      <name val="Univers LT Std 55"/>
      <family val="2"/>
      <scheme val="minor"/>
    </font>
    <font>
      <sz val="8"/>
      <name val="Arial"/>
      <family val="2"/>
    </font>
    <font>
      <b/>
      <sz val="8"/>
      <name val="Arial"/>
      <family val="2"/>
    </font>
    <font>
      <sz val="18"/>
      <name val="Arial"/>
      <family val="2"/>
    </font>
    <font>
      <sz val="11"/>
      <name val="Arial"/>
      <family val="2"/>
    </font>
    <font>
      <b/>
      <u/>
      <sz val="8"/>
      <name val="Arial"/>
      <family val="2"/>
    </font>
    <font>
      <sz val="8"/>
      <color theme="1"/>
      <name val="Arial"/>
      <family val="2"/>
    </font>
    <font>
      <b/>
      <sz val="8"/>
      <color theme="1"/>
      <name val="Arial"/>
      <family val="2"/>
    </font>
    <font>
      <sz val="10"/>
      <name val="Geneva"/>
      <family val="2"/>
    </font>
    <font>
      <sz val="10"/>
      <name val="Geneva"/>
      <family val="2"/>
    </font>
    <font>
      <sz val="8"/>
      <name val="Times New Roman"/>
      <family val="1"/>
    </font>
    <font>
      <b/>
      <sz val="8"/>
      <name val="Times New Roman"/>
      <family val="1"/>
    </font>
    <font>
      <b/>
      <sz val="10"/>
      <name val="Times New Roman"/>
      <family val="1"/>
    </font>
    <font>
      <i/>
      <sz val="8"/>
      <name val="Times New Roman"/>
      <family val="1"/>
    </font>
    <font>
      <sz val="8"/>
      <color indexed="10"/>
      <name val="Times New Roman"/>
      <family val="1"/>
    </font>
    <font>
      <sz val="8"/>
      <color indexed="12"/>
      <name val="Times New Roman"/>
      <family val="1"/>
    </font>
    <font>
      <sz val="10"/>
      <name val="Arial"/>
      <family val="2"/>
    </font>
    <font>
      <sz val="10"/>
      <name val="Times New Roman"/>
      <family val="1"/>
    </font>
    <font>
      <sz val="10"/>
      <color indexed="8"/>
      <name val="Times New Roman"/>
      <family val="1"/>
    </font>
    <font>
      <sz val="10"/>
      <color indexed="12"/>
      <name val="Times New Roman"/>
      <family val="1"/>
    </font>
    <font>
      <sz val="9"/>
      <name val="Arial"/>
      <family val="2"/>
    </font>
    <font>
      <sz val="8"/>
      <color indexed="12"/>
      <name val="Helv"/>
    </font>
    <font>
      <b/>
      <sz val="8"/>
      <name val="GillSans"/>
      <family val="2"/>
    </font>
    <font>
      <sz val="24"/>
      <name val="Arial"/>
      <family val="2"/>
    </font>
    <font>
      <sz val="9"/>
      <name val="GillSans Light"/>
      <family val="2"/>
    </font>
    <font>
      <sz val="10"/>
      <name val="Helv"/>
    </font>
    <font>
      <b/>
      <sz val="10"/>
      <name val="Arial"/>
      <family val="2"/>
    </font>
    <font>
      <sz val="10"/>
      <name val="GillSans Light"/>
      <family val="2"/>
    </font>
    <font>
      <sz val="8"/>
      <color indexed="8"/>
      <name val="Helv"/>
    </font>
    <font>
      <sz val="10"/>
      <color indexed="20"/>
      <name val="Times New Roman"/>
      <family val="1"/>
    </font>
    <font>
      <sz val="12"/>
      <name val="BASKERV"/>
    </font>
    <font>
      <i/>
      <sz val="10"/>
      <name val="Helv"/>
    </font>
    <font>
      <b/>
      <sz val="14"/>
      <name val="Times New Roman"/>
      <family val="1"/>
    </font>
    <font>
      <sz val="10"/>
      <color indexed="10"/>
      <name val="MS Sans Serif"/>
      <family val="2"/>
    </font>
    <font>
      <b/>
      <sz val="12"/>
      <name val="Arial"/>
      <family val="2"/>
    </font>
    <font>
      <sz val="10"/>
      <name val="Courier"/>
      <family val="3"/>
    </font>
    <font>
      <b/>
      <sz val="10"/>
      <name val="GillSans"/>
      <family val="2"/>
    </font>
    <font>
      <i/>
      <sz val="12"/>
      <color indexed="12"/>
      <name val="Times New Roman"/>
      <family val="1"/>
    </font>
    <font>
      <b/>
      <sz val="11"/>
      <color indexed="9"/>
      <name val="GillSans"/>
      <family val="2"/>
    </font>
    <font>
      <b/>
      <sz val="11"/>
      <name val="GillSans"/>
      <family val="2"/>
    </font>
    <font>
      <sz val="8"/>
      <name val="Helv"/>
    </font>
    <font>
      <u/>
      <sz val="10"/>
      <name val="Helv"/>
    </font>
    <font>
      <b/>
      <i/>
      <sz val="12"/>
      <name val="Times New Roman"/>
      <family val="1"/>
    </font>
    <font>
      <i/>
      <sz val="8"/>
      <color indexed="17"/>
      <name val="Times New Roman"/>
      <family val="1"/>
    </font>
    <font>
      <sz val="8"/>
      <color indexed="21"/>
      <name val="Arial"/>
      <family val="2"/>
    </font>
    <font>
      <sz val="8"/>
      <color indexed="18"/>
      <name val="Times New Roman"/>
      <family val="1"/>
    </font>
    <font>
      <b/>
      <sz val="8"/>
      <color indexed="18"/>
      <name val="Times New Roman"/>
      <family val="1"/>
    </font>
    <font>
      <sz val="7"/>
      <name val="Times New Roman"/>
      <family val="1"/>
    </font>
    <font>
      <sz val="7"/>
      <color indexed="17"/>
      <name val="Times New Roman"/>
      <family val="1"/>
    </font>
    <font>
      <sz val="7"/>
      <color indexed="18"/>
      <name val="Times New Roman"/>
      <family val="1"/>
    </font>
    <font>
      <b/>
      <sz val="9"/>
      <name val="Arial"/>
      <family val="2"/>
    </font>
    <font>
      <i/>
      <sz val="8"/>
      <name val="Arial"/>
      <family val="2"/>
    </font>
    <font>
      <sz val="10"/>
      <color indexed="8"/>
      <name val="MS Sans Serif"/>
      <family val="2"/>
    </font>
    <font>
      <sz val="10"/>
      <name val="GillSans"/>
      <family val="2"/>
    </font>
    <font>
      <sz val="8"/>
      <name val="Times"/>
      <family val="1"/>
    </font>
    <font>
      <sz val="10"/>
      <color indexed="14"/>
      <name val="Baskerville MT"/>
    </font>
    <font>
      <u/>
      <sz val="8.4"/>
      <color indexed="12"/>
      <name val="Arial"/>
      <family val="2"/>
    </font>
    <font>
      <sz val="12"/>
      <name val="MS ??"/>
      <family val="1"/>
      <charset val="128"/>
    </font>
    <font>
      <sz val="9"/>
      <name val="Helv"/>
    </font>
    <font>
      <b/>
      <sz val="22"/>
      <color indexed="18"/>
      <name val="Arial"/>
      <family val="2"/>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0"/>
      <name val="Times"/>
      <family val="1"/>
    </font>
    <font>
      <b/>
      <i/>
      <sz val="11"/>
      <name val="Helvetica-Black"/>
      <family val="2"/>
    </font>
    <font>
      <sz val="8"/>
      <name val="Tms Rmn"/>
    </font>
    <font>
      <sz val="9"/>
      <color indexed="8"/>
      <name val="Times New Roman"/>
      <family val="1"/>
    </font>
    <font>
      <b/>
      <sz val="10"/>
      <color indexed="8"/>
      <name val="Times New Roman"/>
      <family val="1"/>
    </font>
    <font>
      <b/>
      <sz val="9"/>
      <color indexed="8"/>
      <name val="Helvetica 65"/>
    </font>
    <font>
      <sz val="7"/>
      <color indexed="8"/>
      <name val="Helvetica 45"/>
      <family val="2"/>
    </font>
    <font>
      <sz val="7"/>
      <color indexed="8"/>
      <name val="Helvetica 65"/>
      <family val="2"/>
    </font>
    <font>
      <sz val="6"/>
      <color indexed="8"/>
      <name val="Helvetica 65"/>
      <family val="2"/>
    </font>
    <font>
      <sz val="12"/>
      <name val="Arial"/>
      <family val="2"/>
    </font>
    <font>
      <sz val="9"/>
      <name val="Helvetica 65"/>
      <family val="2"/>
    </font>
    <font>
      <sz val="9"/>
      <color indexed="9"/>
      <name val="Times New Roman"/>
      <family val="1"/>
    </font>
    <font>
      <sz val="8"/>
      <color indexed="12"/>
      <name val="Tms Rmn"/>
    </font>
    <font>
      <u val="singleAccounting"/>
      <sz val="10"/>
      <name val="Arial"/>
      <family val="2"/>
    </font>
    <font>
      <sz val="9"/>
      <name val="Helvetica 45"/>
      <family val="2"/>
    </font>
    <font>
      <b/>
      <sz val="8"/>
      <name val="TimesNewRomanPS"/>
      <family val="1"/>
    </font>
    <font>
      <b/>
      <i/>
      <sz val="8"/>
      <name val="Arial"/>
      <family val="2"/>
    </font>
    <font>
      <sz val="11"/>
      <name val="Times New Roman"/>
      <family val="1"/>
    </font>
    <font>
      <sz val="10"/>
      <name val="MS Sans Serif"/>
      <family val="2"/>
    </font>
    <font>
      <sz val="8"/>
      <color indexed="12"/>
      <name val="Helv"/>
      <family val="2"/>
    </font>
    <font>
      <sz val="8"/>
      <name val="Palatino"/>
      <family val="1"/>
    </font>
    <font>
      <sz val="8"/>
      <name val="Helvetica"/>
      <family val="2"/>
    </font>
    <font>
      <sz val="9"/>
      <name val="Helvetica"/>
      <family val="2"/>
    </font>
    <font>
      <sz val="8.5"/>
      <name val="Arial Narrow"/>
      <family val="2"/>
    </font>
    <font>
      <sz val="8"/>
      <color indexed="12"/>
      <name val="Arial Narrow"/>
      <family val="2"/>
    </font>
    <font>
      <sz val="8.5"/>
      <color indexed="49"/>
      <name val="Arial Narrow"/>
      <family val="2"/>
    </font>
    <font>
      <sz val="10"/>
      <name val="System"/>
      <family val="2"/>
    </font>
    <font>
      <b/>
      <sz val="24"/>
      <name val="Times New Roman"/>
      <family val="1"/>
    </font>
    <font>
      <sz val="14"/>
      <name val="Palatino"/>
      <family val="1"/>
    </font>
    <font>
      <sz val="16"/>
      <name val="Palatino"/>
      <family val="1"/>
    </font>
    <font>
      <sz val="32"/>
      <name val="Helvetica-Black"/>
    </font>
    <font>
      <sz val="11"/>
      <color indexed="12"/>
      <name val="Book Antiqua"/>
      <family val="1"/>
    </font>
    <font>
      <b/>
      <i/>
      <u/>
      <sz val="8.5"/>
      <color indexed="12"/>
      <name val="Arial Narrow"/>
      <family val="2"/>
    </font>
    <font>
      <sz val="8.5"/>
      <color indexed="12"/>
      <name val="Arial Narrow"/>
      <family val="2"/>
    </font>
    <font>
      <b/>
      <sz val="8.5"/>
      <name val="Arial Narrow"/>
      <family val="2"/>
    </font>
    <font>
      <sz val="8"/>
      <name val="Helvetica 65"/>
      <family val="2"/>
    </font>
    <font>
      <sz val="10"/>
      <color indexed="8"/>
      <name val="Arial"/>
      <family val="2"/>
    </font>
    <font>
      <sz val="8"/>
      <color indexed="14"/>
      <name val="Arial Narrow"/>
      <family val="2"/>
    </font>
    <font>
      <b/>
      <sz val="8"/>
      <color indexed="8"/>
      <name val="Arial"/>
      <family val="2"/>
    </font>
    <font>
      <u val="doubleAccounting"/>
      <sz val="10"/>
      <name val="Arial"/>
      <family val="2"/>
    </font>
    <font>
      <b/>
      <sz val="9.5"/>
      <color indexed="10"/>
      <name val="MS Sans Serif"/>
      <family val="2"/>
    </font>
    <font>
      <sz val="10"/>
      <color indexed="12"/>
      <name val="Book Antiqua"/>
      <family val="1"/>
    </font>
    <font>
      <sz val="6"/>
      <color indexed="23"/>
      <name val="Helvetica-Black"/>
    </font>
    <font>
      <sz val="9.5"/>
      <color indexed="23"/>
      <name val="Helvetica-Black"/>
    </font>
    <font>
      <sz val="7"/>
      <name val="Palatino"/>
      <family val="1"/>
    </font>
    <font>
      <sz val="7"/>
      <name val="Arial"/>
      <family val="2"/>
    </font>
    <font>
      <b/>
      <sz val="8.5"/>
      <color indexed="17"/>
      <name val="Arial"/>
      <family val="2"/>
    </font>
    <font>
      <b/>
      <sz val="7"/>
      <color indexed="17"/>
      <name val="Arial"/>
      <family val="2"/>
    </font>
    <font>
      <sz val="8.5"/>
      <color indexed="8"/>
      <name val="Arial"/>
      <family val="2"/>
    </font>
    <font>
      <sz val="6"/>
      <color indexed="16"/>
      <name val="Palatino"/>
      <family val="1"/>
    </font>
    <font>
      <sz val="6"/>
      <name val="Palatino"/>
      <family val="1"/>
    </font>
    <font>
      <sz val="6"/>
      <color indexed="12"/>
      <name val="Palatino"/>
      <family val="1"/>
    </font>
    <font>
      <b/>
      <sz val="8"/>
      <name val="Palatino"/>
      <family val="1"/>
    </font>
    <font>
      <b/>
      <sz val="11"/>
      <name val="Book Antiqua"/>
      <family val="1"/>
    </font>
    <font>
      <sz val="10"/>
      <name val="Helvetica-Black"/>
    </font>
    <font>
      <sz val="28"/>
      <name val="Helvetica-Black"/>
    </font>
    <font>
      <sz val="10"/>
      <name val="Palatino"/>
      <family val="1"/>
    </font>
    <font>
      <sz val="18"/>
      <name val="Palatino"/>
      <family val="1"/>
    </font>
    <font>
      <i/>
      <sz val="14"/>
      <name val="Palatino"/>
      <family val="1"/>
    </font>
    <font>
      <sz val="10"/>
      <color indexed="24"/>
      <name val="Arial"/>
      <family val="2"/>
    </font>
    <font>
      <sz val="8"/>
      <color indexed="16"/>
      <name val="Palatino"/>
      <family val="1"/>
    </font>
    <font>
      <sz val="8"/>
      <color indexed="12"/>
      <name val="Palatino"/>
      <family val="1"/>
    </font>
    <font>
      <i/>
      <sz val="8"/>
      <name val="Tms Rmn"/>
    </font>
    <font>
      <b/>
      <sz val="10"/>
      <name val="Palatino"/>
      <family val="1"/>
    </font>
    <font>
      <b/>
      <sz val="14"/>
      <name val="Arial"/>
      <family val="2"/>
    </font>
    <font>
      <b/>
      <sz val="11"/>
      <name val="Helv"/>
    </font>
    <font>
      <sz val="8"/>
      <color indexed="9"/>
      <name val="Arial"/>
      <family val="2"/>
    </font>
    <font>
      <sz val="7"/>
      <name val="Small Fonts"/>
      <family val="2"/>
    </font>
    <font>
      <b/>
      <i/>
      <sz val="16"/>
      <name val="Helv"/>
    </font>
    <font>
      <sz val="10"/>
      <name val="Book Antiqua"/>
      <family val="1"/>
    </font>
    <font>
      <sz val="8"/>
      <name val="Book Antiqua"/>
      <family val="1"/>
    </font>
    <font>
      <b/>
      <sz val="9"/>
      <color indexed="8"/>
      <name val="Helvetica 65"/>
      <family val="2"/>
    </font>
    <font>
      <sz val="9"/>
      <color indexed="8"/>
      <name val="Helvetica 45"/>
      <family val="2"/>
    </font>
    <font>
      <b/>
      <sz val="8"/>
      <color indexed="8"/>
      <name val="Helvetica 65"/>
    </font>
    <font>
      <sz val="11"/>
      <color indexed="8"/>
      <name val="Times New Roman"/>
      <family val="1"/>
    </font>
    <font>
      <b/>
      <i/>
      <sz val="10"/>
      <color indexed="8"/>
      <name val="Arial"/>
      <family val="2"/>
    </font>
    <font>
      <b/>
      <sz val="11"/>
      <color indexed="16"/>
      <name val="Times New Roman"/>
      <family val="1"/>
    </font>
    <font>
      <b/>
      <i/>
      <sz val="22"/>
      <color indexed="8"/>
      <name val="Times New Roman"/>
      <family val="1"/>
    </font>
    <font>
      <b/>
      <sz val="26"/>
      <name val="Times New Roman"/>
      <family val="1"/>
    </font>
    <font>
      <b/>
      <sz val="18"/>
      <name val="Times New Roman"/>
      <family val="1"/>
    </font>
    <font>
      <sz val="10"/>
      <color indexed="16"/>
      <name val="Helvetica-Black"/>
    </font>
    <font>
      <u/>
      <sz val="10"/>
      <name val="GillSans"/>
      <family val="2"/>
    </font>
    <font>
      <sz val="12"/>
      <name val="Helvetica"/>
      <family val="2"/>
    </font>
    <font>
      <i/>
      <sz val="10"/>
      <name val="Times New Roman"/>
      <family val="1"/>
    </font>
    <font>
      <sz val="10"/>
      <name val="Helvetica"/>
      <family val="2"/>
    </font>
    <font>
      <b/>
      <sz val="8"/>
      <name val="HelveticaNeue Condensed"/>
    </font>
    <font>
      <sz val="8"/>
      <name val="HelveticaNeue LightCond"/>
      <family val="2"/>
    </font>
    <font>
      <b/>
      <sz val="7"/>
      <name val="HelveticaNeue Condensed"/>
      <family val="2"/>
    </font>
    <font>
      <b/>
      <sz val="9"/>
      <name val="Times New Roman"/>
      <family val="1"/>
    </font>
    <font>
      <b/>
      <sz val="11"/>
      <name val="Times New Roman"/>
      <family val="1"/>
    </font>
    <font>
      <b/>
      <sz val="9"/>
      <name val="Palatino"/>
      <family val="1"/>
    </font>
    <font>
      <sz val="9"/>
      <color indexed="21"/>
      <name val="Helvetica-Black"/>
    </font>
    <font>
      <sz val="9"/>
      <name val="Palatino"/>
      <family val="1"/>
    </font>
    <font>
      <b/>
      <sz val="8.5"/>
      <color indexed="8"/>
      <name val="Arial"/>
      <family val="2"/>
    </font>
    <font>
      <sz val="9"/>
      <name val="Helvetica-Black"/>
    </font>
    <font>
      <sz val="8"/>
      <name val="Helvetica-Narrow"/>
      <family val="2"/>
    </font>
    <font>
      <b/>
      <sz val="7"/>
      <name val="Helvetica-Narrow"/>
      <family val="2"/>
    </font>
    <font>
      <b/>
      <sz val="12"/>
      <name val="GillSans"/>
      <family val="2"/>
    </font>
    <font>
      <sz val="12"/>
      <color indexed="8"/>
      <name val="Palatino"/>
      <family val="1"/>
    </font>
    <font>
      <sz val="12"/>
      <name val="Palatino"/>
      <family val="1"/>
    </font>
    <font>
      <sz val="11"/>
      <name val="Helvetica-Black"/>
    </font>
    <font>
      <sz val="11"/>
      <color indexed="8"/>
      <name val="Helvetica-Black"/>
    </font>
    <font>
      <sz val="11"/>
      <name val="Helvetica-Black"/>
      <family val="2"/>
    </font>
    <font>
      <sz val="12"/>
      <name val="Times New Roman"/>
      <family val="1"/>
    </font>
    <font>
      <b/>
      <u/>
      <sz val="9"/>
      <name val="Arial"/>
      <family val="2"/>
    </font>
    <font>
      <b/>
      <sz val="16"/>
      <color indexed="62"/>
      <name val="Arial"/>
      <family val="2"/>
    </font>
    <font>
      <b/>
      <sz val="7"/>
      <name val="Arial"/>
      <family val="2"/>
    </font>
    <font>
      <u/>
      <sz val="11"/>
      <name val="GillSans"/>
      <family val="2"/>
    </font>
    <font>
      <u/>
      <sz val="8"/>
      <name val="Tms Rmn"/>
    </font>
    <font>
      <i/>
      <sz val="10"/>
      <name val="Arial"/>
      <family val="2"/>
    </font>
    <font>
      <sz val="12"/>
      <name val="Osaka"/>
      <family val="3"/>
      <charset val="128"/>
    </font>
    <font>
      <sz val="12"/>
      <name val="宋体"/>
      <charset val="134"/>
    </font>
    <font>
      <sz val="9"/>
      <name val="Times New Roman"/>
      <family val="1"/>
    </font>
    <font>
      <sz val="10"/>
      <name val="GS TheSans"/>
      <family val="2"/>
    </font>
    <font>
      <sz val="8"/>
      <name val="Tahoma"/>
      <family val="2"/>
    </font>
    <font>
      <b/>
      <sz val="10"/>
      <name val="MS Sans Serif"/>
      <family val="2"/>
    </font>
    <font>
      <b/>
      <sz val="12"/>
      <name val="Tms Rmn"/>
    </font>
    <font>
      <b/>
      <sz val="10"/>
      <color indexed="9"/>
      <name val="Arial"/>
      <family val="2"/>
    </font>
    <font>
      <b/>
      <sz val="10"/>
      <name val="Bookman"/>
      <family val="1"/>
    </font>
    <font>
      <b/>
      <sz val="14"/>
      <name val="Book Antiqua"/>
      <family val="1"/>
    </font>
    <font>
      <i/>
      <sz val="7"/>
      <name val="Book Antiqua"/>
      <family val="1"/>
    </font>
    <font>
      <sz val="10"/>
      <color indexed="72"/>
      <name val="System"/>
      <family val="2"/>
    </font>
    <font>
      <sz val="8"/>
      <name val="Helv"/>
      <family val="2"/>
    </font>
    <font>
      <b/>
      <sz val="14"/>
      <name val="Bookman"/>
      <family val="1"/>
    </font>
    <font>
      <sz val="8"/>
      <color theme="0" tint="-0.499984740745262"/>
      <name val="Arial"/>
      <family val="2"/>
    </font>
    <font>
      <b/>
      <u/>
      <sz val="8"/>
      <color theme="1"/>
      <name val="Arial"/>
      <family val="2"/>
    </font>
    <font>
      <sz val="8"/>
      <color indexed="12"/>
      <name val="Arial"/>
      <family val="2"/>
    </font>
    <font>
      <sz val="8"/>
      <color rgb="FF0000FF"/>
      <name val="Arial"/>
      <family val="2"/>
    </font>
    <font>
      <b/>
      <sz val="9"/>
      <color indexed="81"/>
      <name val="Tahoma"/>
      <family val="2"/>
    </font>
    <font>
      <sz val="9"/>
      <color indexed="81"/>
      <name val="Tahoma"/>
      <family val="2"/>
    </font>
    <font>
      <sz val="8"/>
      <color indexed="8"/>
      <name val="Arial"/>
      <family val="2"/>
    </font>
    <font>
      <sz val="8"/>
      <color indexed="23"/>
      <name val="Arial"/>
      <family val="2"/>
    </font>
    <font>
      <b/>
      <sz val="8"/>
      <color indexed="81"/>
      <name val="Tahoma"/>
      <family val="2"/>
    </font>
    <font>
      <sz val="8"/>
      <color indexed="81"/>
      <name val="Tahoma"/>
      <family val="2"/>
    </font>
    <font>
      <i/>
      <sz val="8"/>
      <color rgb="FF0000FF"/>
      <name val="Arial"/>
      <family val="2"/>
    </font>
    <font>
      <sz val="8"/>
      <color rgb="FFC00000"/>
      <name val="Arial"/>
      <family val="2"/>
    </font>
    <font>
      <b/>
      <sz val="8"/>
      <color rgb="FF0000FF"/>
      <name val="Arial"/>
      <family val="2"/>
    </font>
    <font>
      <i/>
      <sz val="8"/>
      <color theme="1"/>
      <name val="Arial"/>
      <family val="2"/>
    </font>
    <font>
      <i/>
      <sz val="8"/>
      <color indexed="60"/>
      <name val="Arial"/>
      <family val="2"/>
    </font>
    <font>
      <sz val="8"/>
      <color rgb="FFFF0000"/>
      <name val="Arial"/>
      <family val="2"/>
    </font>
    <font>
      <b/>
      <sz val="8"/>
      <color theme="0" tint="-0.499984740745262"/>
      <name val="Arial"/>
      <family val="2"/>
    </font>
    <font>
      <b/>
      <sz val="11"/>
      <color theme="1"/>
      <name val="Univers LT Std 55"/>
      <family val="2"/>
      <scheme val="minor"/>
    </font>
    <font>
      <sz val="8"/>
      <color rgb="FF00B050"/>
      <name val="Arial"/>
      <family val="2"/>
    </font>
    <font>
      <b/>
      <sz val="8"/>
      <color rgb="FF00B050"/>
      <name val="Arial"/>
      <family val="2"/>
    </font>
    <font>
      <u/>
      <sz val="8"/>
      <color theme="1"/>
      <name val="Arial"/>
      <family val="2"/>
    </font>
    <font>
      <i/>
      <sz val="8"/>
      <color rgb="FFFF0000"/>
      <name val="Arial"/>
      <family val="2"/>
    </font>
    <font>
      <i/>
      <sz val="8"/>
      <color theme="1" tint="0.499984740745262"/>
      <name val="Arial"/>
      <family val="2"/>
    </font>
    <font>
      <i/>
      <sz val="8"/>
      <color rgb="FF00B050"/>
      <name val="Arial"/>
      <family val="2"/>
    </font>
    <font>
      <sz val="9"/>
      <color theme="1"/>
      <name val="Arial"/>
      <family val="2"/>
    </font>
    <font>
      <sz val="9"/>
      <color theme="1"/>
      <name val="Univers LT Std 55"/>
      <family val="2"/>
      <scheme val="minor"/>
    </font>
    <font>
      <b/>
      <sz val="9"/>
      <color theme="1"/>
      <name val="Arial"/>
      <family val="2"/>
    </font>
    <font>
      <sz val="9"/>
      <color rgb="FF0000FF"/>
      <name val="Arial"/>
      <family val="2"/>
    </font>
    <font>
      <b/>
      <sz val="9"/>
      <color theme="1"/>
      <name val="Univers LT Std 55"/>
      <family val="2"/>
      <scheme val="minor"/>
    </font>
    <font>
      <sz val="9"/>
      <color theme="0"/>
      <name val="Arial"/>
      <family val="2"/>
    </font>
    <font>
      <i/>
      <sz val="9"/>
      <color theme="1"/>
      <name val="Arial"/>
      <family val="2"/>
    </font>
    <font>
      <b/>
      <sz val="9"/>
      <color rgb="FF0000FF"/>
      <name val="Arial"/>
      <family val="2"/>
    </font>
    <font>
      <i/>
      <sz val="8"/>
      <color rgb="FFC00000"/>
      <name val="Arial"/>
      <family val="2"/>
    </font>
    <font>
      <u val="singleAccounting"/>
      <sz val="8"/>
      <name val="Arial"/>
      <family val="2"/>
    </font>
    <font>
      <b/>
      <i/>
      <sz val="8"/>
      <color theme="1"/>
      <name val="Arial"/>
      <family val="2"/>
    </font>
    <font>
      <i/>
      <sz val="8"/>
      <color indexed="12"/>
      <name val="Arial"/>
      <family val="2"/>
    </font>
    <font>
      <b/>
      <sz val="12"/>
      <color theme="1"/>
      <name val="Arial"/>
      <family val="2"/>
    </font>
    <font>
      <u/>
      <sz val="11"/>
      <color theme="10"/>
      <name val="Univers LT Std 55"/>
      <family val="2"/>
      <scheme val="minor"/>
    </font>
    <font>
      <i/>
      <u/>
      <sz val="9"/>
      <color theme="10"/>
      <name val="Arial"/>
      <family val="2"/>
    </font>
    <font>
      <sz val="9"/>
      <name val="Lucida Sans"/>
      <family val="2"/>
    </font>
    <font>
      <sz val="11"/>
      <color indexed="10"/>
      <name val="Arial"/>
      <family val="2"/>
    </font>
    <font>
      <sz val="11"/>
      <name val="ＭＳ Ｐゴシック"/>
      <family val="3"/>
      <charset val="128"/>
    </font>
    <font>
      <b/>
      <sz val="11"/>
      <name val="Arial"/>
      <family val="2"/>
    </font>
    <font>
      <b/>
      <i/>
      <sz val="8"/>
      <color rgb="FF0000FF"/>
      <name val="Arial"/>
      <family val="2"/>
    </font>
    <font>
      <i/>
      <u/>
      <sz val="8"/>
      <color theme="1"/>
      <name val="Arial"/>
      <family val="2"/>
    </font>
    <font>
      <b/>
      <i/>
      <sz val="9"/>
      <name val="Arial"/>
      <family val="2"/>
    </font>
    <font>
      <sz val="8"/>
      <color indexed="8"/>
      <name val="Trebuchet MS"/>
      <family val="2"/>
    </font>
    <font>
      <b/>
      <sz val="8"/>
      <color indexed="62"/>
      <name val="Trebuchet MS"/>
      <family val="2"/>
    </font>
    <font>
      <b/>
      <sz val="9"/>
      <color indexed="9"/>
      <name val="Trebuchet MS"/>
      <family val="2"/>
    </font>
    <font>
      <sz val="11"/>
      <color rgb="FF000000"/>
      <name val="Univers LT Std 55"/>
      <scheme val="minor"/>
    </font>
    <font>
      <i/>
      <sz val="8"/>
      <color theme="2" tint="-0.249977111117893"/>
      <name val="Arial"/>
      <family val="2"/>
    </font>
    <font>
      <i/>
      <sz val="8"/>
      <color theme="1" tint="0.34998626667073579"/>
      <name val="Arial"/>
      <family val="2"/>
    </font>
    <font>
      <b/>
      <sz val="11"/>
      <color rgb="FFFFFFFF"/>
      <name val="Univers LT Std 55"/>
      <scheme val="minor"/>
    </font>
    <font>
      <sz val="8"/>
      <color rgb="FF0000CC"/>
      <name val="Arial"/>
      <family val="2"/>
    </font>
    <font>
      <i/>
      <sz val="8"/>
      <color rgb="FF0000CC"/>
      <name val="Arial"/>
      <family val="2"/>
    </font>
    <font>
      <sz val="9"/>
      <name val="Helv"/>
      <family val="2"/>
    </font>
    <font>
      <sz val="9"/>
      <color indexed="10"/>
      <name val="Arial"/>
      <family val="2"/>
    </font>
    <font>
      <b/>
      <sz val="9"/>
      <color theme="8"/>
      <name val="Arial"/>
      <family val="2"/>
    </font>
    <font>
      <b/>
      <sz val="9"/>
      <color rgb="FFC00000"/>
      <name val="Arial"/>
      <family val="2"/>
    </font>
    <font>
      <sz val="10"/>
      <name val="Helv"/>
      <family val="2"/>
    </font>
    <font>
      <sz val="9"/>
      <color rgb="FF008000"/>
      <name val="Arial"/>
      <family val="2"/>
    </font>
    <font>
      <sz val="9"/>
      <color theme="8"/>
      <name val="Arial"/>
      <family val="2"/>
    </font>
    <font>
      <i/>
      <sz val="9"/>
      <name val="Arial"/>
      <family val="2"/>
    </font>
    <font>
      <b/>
      <sz val="9"/>
      <color theme="0"/>
      <name val="Arial"/>
      <family val="2"/>
    </font>
    <font>
      <b/>
      <u/>
      <sz val="9"/>
      <color theme="0"/>
      <name val="Arial"/>
      <family val="2"/>
    </font>
    <font>
      <b/>
      <sz val="8"/>
      <color rgb="FF0000CC"/>
      <name val="Arial"/>
      <family val="2"/>
    </font>
    <font>
      <b/>
      <i/>
      <sz val="8"/>
      <color rgb="FF0000CC"/>
      <name val="Arial"/>
      <family val="2"/>
    </font>
    <font>
      <u/>
      <sz val="9"/>
      <color indexed="81"/>
      <name val="Tahoma"/>
      <family val="2"/>
    </font>
    <font>
      <b/>
      <u/>
      <sz val="9"/>
      <color indexed="81"/>
      <name val="Tahoma"/>
      <family val="2"/>
    </font>
    <font>
      <b/>
      <sz val="9"/>
      <color theme="1"/>
      <name val="Univers LT Std 55"/>
      <scheme val="minor"/>
    </font>
    <font>
      <b/>
      <i/>
      <sz val="9"/>
      <color indexed="81"/>
      <name val="Tahoma"/>
      <family val="2"/>
    </font>
    <font>
      <b/>
      <sz val="8"/>
      <color indexed="12"/>
      <name val="Arial"/>
      <family val="2"/>
    </font>
    <font>
      <b/>
      <sz val="16"/>
      <color theme="0"/>
      <name val="Arial"/>
      <family val="2"/>
    </font>
    <font>
      <sz val="10"/>
      <color theme="0"/>
      <name val="Arial"/>
      <family val="2"/>
    </font>
    <font>
      <b/>
      <sz val="10"/>
      <color theme="0"/>
      <name val="Arial"/>
      <family val="2"/>
    </font>
    <font>
      <sz val="10"/>
      <color rgb="FF00B050"/>
      <name val="Arial"/>
      <family val="2"/>
    </font>
    <font>
      <sz val="10"/>
      <color rgb="FFFF0000"/>
      <name val="Arial"/>
      <family val="2"/>
    </font>
    <font>
      <b/>
      <sz val="10"/>
      <color theme="1"/>
      <name val="Arial"/>
      <family val="2"/>
    </font>
    <font>
      <b/>
      <u/>
      <sz val="10"/>
      <color theme="1"/>
      <name val="Arial"/>
      <family val="2"/>
    </font>
    <font>
      <sz val="10"/>
      <color rgb="FF0000FF"/>
      <name val="Arial"/>
      <family val="2"/>
    </font>
    <font>
      <sz val="9"/>
      <color rgb="FF000000"/>
      <name val="Arial"/>
      <family val="2"/>
    </font>
    <font>
      <sz val="11"/>
      <color rgb="FFFF0000"/>
      <name val="Univers LT Std 55"/>
      <family val="2"/>
      <scheme val="minor"/>
    </font>
    <font>
      <b/>
      <sz val="11"/>
      <color rgb="FFFF0000"/>
      <name val="Univers LT Std 55"/>
      <scheme val="minor"/>
    </font>
    <font>
      <sz val="11"/>
      <color rgb="FFFF0000"/>
      <name val="Univers LT Std 55"/>
      <scheme val="minor"/>
    </font>
    <font>
      <b/>
      <sz val="9"/>
      <color indexed="12"/>
      <name val="Arial"/>
      <family val="2"/>
    </font>
    <font>
      <b/>
      <u/>
      <sz val="9"/>
      <color theme="1"/>
      <name val="Arial"/>
      <family val="2"/>
    </font>
    <font>
      <sz val="9"/>
      <color rgb="FF0000FF"/>
      <name val="Univers LT Std 55"/>
      <family val="2"/>
      <scheme val="minor"/>
    </font>
    <font>
      <sz val="9"/>
      <color rgb="FFFF0000"/>
      <name val="Arial"/>
      <family val="2"/>
    </font>
    <font>
      <sz val="9"/>
      <color rgb="FF0000CC"/>
      <name val="Arial"/>
      <family val="2"/>
    </font>
    <font>
      <sz val="8"/>
      <color theme="8"/>
      <name val="Arial"/>
      <family val="2"/>
    </font>
    <font>
      <sz val="8"/>
      <color rgb="FF000000"/>
      <name val="Arial"/>
      <family val="2"/>
    </font>
    <font>
      <b/>
      <sz val="9"/>
      <color indexed="81"/>
      <name val="Tahoma"/>
      <charset val="1"/>
    </font>
  </fonts>
  <fills count="55">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22"/>
      </patternFill>
    </fill>
    <fill>
      <patternFill patternType="lightGray">
        <fgColor indexed="12"/>
      </patternFill>
    </fill>
    <fill>
      <patternFill patternType="mediumGray"/>
    </fill>
    <fill>
      <patternFill patternType="solid">
        <fgColor indexed="15"/>
        <bgColor indexed="64"/>
      </patternFill>
    </fill>
    <fill>
      <patternFill patternType="solid">
        <fgColor indexed="42"/>
        <bgColor indexed="64"/>
      </patternFill>
    </fill>
    <fill>
      <patternFill patternType="solid">
        <fgColor indexed="47"/>
        <bgColor indexed="64"/>
      </patternFill>
    </fill>
    <fill>
      <patternFill patternType="solid">
        <fgColor indexed="43"/>
      </patternFill>
    </fill>
    <fill>
      <patternFill patternType="gray0625">
        <fgColor indexed="10"/>
        <bgColor indexed="9"/>
      </patternFill>
    </fill>
    <fill>
      <patternFill patternType="lightGray">
        <fgColor indexed="14"/>
        <bgColor indexed="9"/>
      </patternFill>
    </fill>
    <fill>
      <patternFill patternType="solid">
        <fgColor indexed="11"/>
        <bgColor indexed="64"/>
      </patternFill>
    </fill>
    <fill>
      <patternFill patternType="gray0625">
        <fgColor indexed="13"/>
        <bgColor indexed="9"/>
      </patternFill>
    </fill>
    <fill>
      <patternFill patternType="lightGray">
        <fgColor indexed="12"/>
        <bgColor indexed="9"/>
      </patternFill>
    </fill>
    <fill>
      <patternFill patternType="solid">
        <fgColor indexed="26"/>
        <bgColor indexed="64"/>
      </patternFill>
    </fill>
    <fill>
      <patternFill patternType="solid">
        <fgColor indexed="11"/>
        <bgColor indexed="9"/>
      </patternFill>
    </fill>
    <fill>
      <patternFill patternType="solid">
        <fgColor indexed="8"/>
        <bgColor indexed="64"/>
      </patternFill>
    </fill>
    <fill>
      <patternFill patternType="solid">
        <fgColor indexed="9"/>
        <bgColor indexed="64"/>
      </patternFill>
    </fill>
    <fill>
      <patternFill patternType="solid">
        <fgColor indexed="13"/>
      </patternFill>
    </fill>
    <fill>
      <patternFill patternType="solid">
        <fgColor indexed="10"/>
      </patternFill>
    </fill>
    <fill>
      <patternFill patternType="solid">
        <fgColor indexed="63"/>
        <bgColor indexed="64"/>
      </patternFill>
    </fill>
    <fill>
      <patternFill patternType="lightGray">
        <fgColor indexed="22"/>
        <bgColor indexed="9"/>
      </patternFill>
    </fill>
    <fill>
      <patternFill patternType="solid">
        <fgColor indexed="16"/>
        <bgColor indexed="64"/>
      </patternFill>
    </fill>
    <fill>
      <patternFill patternType="solid">
        <fgColor indexed="27"/>
        <bgColor indexed="64"/>
      </patternFill>
    </fill>
    <fill>
      <patternFill patternType="lightGray">
        <fgColor indexed="13"/>
      </patternFill>
    </fill>
    <fill>
      <patternFill patternType="solid">
        <fgColor indexed="18"/>
        <bgColor indexed="64"/>
      </patternFill>
    </fill>
    <fill>
      <patternFill patternType="lightGray">
        <fgColor indexed="15"/>
      </patternFill>
    </fill>
    <fill>
      <patternFill patternType="solid">
        <fgColor theme="0"/>
        <bgColor indexed="64"/>
      </patternFill>
    </fill>
    <fill>
      <patternFill patternType="solid">
        <fgColor rgb="FFFFFF00"/>
        <bgColor indexed="64"/>
      </patternFill>
    </fill>
    <fill>
      <patternFill patternType="solid">
        <fgColor rgb="FF5E76AA"/>
        <bgColor indexed="64"/>
      </patternFill>
    </fill>
    <fill>
      <patternFill patternType="solid">
        <fgColor rgb="FFCFD6E6"/>
        <bgColor indexed="64"/>
      </patternFill>
    </fill>
    <fill>
      <patternFill patternType="solid">
        <fgColor rgb="FFCCFFCC"/>
        <bgColor indexed="64"/>
      </patternFill>
    </fill>
    <fill>
      <patternFill patternType="solid">
        <fgColor rgb="FFFFFFFF"/>
        <bgColor indexed="64"/>
      </patternFill>
    </fill>
    <fill>
      <patternFill patternType="solid">
        <fgColor rgb="FFC0CADE"/>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indexed="9"/>
      </patternFill>
    </fill>
    <fill>
      <patternFill patternType="solid">
        <fgColor indexed="55"/>
      </patternFill>
    </fill>
    <fill>
      <patternFill patternType="solid">
        <fgColor rgb="FFFFFFCC"/>
        <bgColor indexed="64"/>
      </patternFill>
    </fill>
    <fill>
      <patternFill patternType="solid">
        <fgColor theme="7" tint="0.79998168889431442"/>
        <bgColor indexed="64"/>
      </patternFill>
    </fill>
    <fill>
      <patternFill patternType="solid">
        <fgColor theme="4" tint="0.89999084444715716"/>
        <bgColor indexed="64"/>
      </patternFill>
    </fill>
    <fill>
      <patternFill patternType="solid">
        <fgColor rgb="FF00355F"/>
        <bgColor indexed="64"/>
      </patternFill>
    </fill>
    <fill>
      <patternFill patternType="solid">
        <fgColor rgb="FFEEF0F7"/>
        <bgColor indexed="64"/>
      </patternFill>
    </fill>
    <fill>
      <patternFill patternType="solid">
        <fgColor theme="6" tint="0.79998168889431442"/>
        <bgColor indexed="64"/>
      </patternFill>
    </fill>
    <fill>
      <patternFill patternType="solid">
        <fgColor theme="7" tint="-0.749992370372631"/>
        <bgColor indexed="64"/>
      </patternFill>
    </fill>
    <fill>
      <patternFill patternType="solid">
        <fgColor theme="1"/>
        <bgColor indexed="64"/>
      </patternFill>
    </fill>
    <fill>
      <patternFill patternType="solid">
        <fgColor theme="8"/>
        <bgColor indexed="64"/>
      </patternFill>
    </fill>
    <fill>
      <patternFill patternType="solid">
        <fgColor rgb="FFFF0000"/>
        <bgColor indexed="64"/>
      </patternFill>
    </fill>
    <fill>
      <patternFill patternType="solid">
        <fgColor theme="0" tint="-4.9958800012207406E-2"/>
        <bgColor indexed="64"/>
      </patternFill>
    </fill>
    <fill>
      <patternFill patternType="solid">
        <fgColor rgb="FFE2EAF3"/>
        <bgColor indexed="64"/>
      </patternFill>
    </fill>
    <fill>
      <patternFill patternType="solid">
        <fgColor rgb="FFEDEDED"/>
        <bgColor indexed="64"/>
      </patternFill>
    </fill>
    <fill>
      <patternFill patternType="solid">
        <fgColor rgb="FFF2F2F2"/>
        <bgColor indexed="64"/>
      </patternFill>
    </fill>
  </fills>
  <borders count="176">
    <border>
      <left/>
      <right/>
      <top/>
      <bottom/>
      <diagonal/>
    </border>
    <border>
      <left/>
      <right/>
      <top/>
      <bottom style="thin">
        <color indexed="64"/>
      </bottom>
      <diagonal/>
    </border>
    <border>
      <left style="thin">
        <color indexed="64"/>
      </left>
      <right/>
      <top/>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right/>
      <top style="medium">
        <color indexed="64"/>
      </top>
      <bottom/>
      <diagonal/>
    </border>
    <border>
      <left/>
      <right/>
      <top/>
      <bottom style="medium">
        <color indexed="64"/>
      </bottom>
      <diagonal/>
    </border>
    <border>
      <left/>
      <right/>
      <top/>
      <bottom style="double">
        <color indexed="64"/>
      </bottom>
      <diagonal/>
    </border>
    <border>
      <left/>
      <right/>
      <top style="medium">
        <color indexed="64"/>
      </top>
      <bottom style="medium">
        <color indexed="64"/>
      </bottom>
      <diagonal/>
    </border>
    <border>
      <left style="thin">
        <color indexed="9"/>
      </left>
      <right style="thin">
        <color indexed="9"/>
      </right>
      <top style="thin">
        <color indexed="9"/>
      </top>
      <bottom style="thin">
        <color indexed="9"/>
      </bottom>
      <diagonal/>
    </border>
    <border>
      <left style="thin">
        <color indexed="8"/>
      </left>
      <right style="thin">
        <color indexed="8"/>
      </right>
      <top style="thin">
        <color indexed="8"/>
      </top>
      <bottom style="thin">
        <color indexed="8"/>
      </bottom>
      <diagonal/>
    </border>
    <border>
      <left/>
      <right/>
      <top/>
      <bottom style="thick">
        <color indexed="64"/>
      </bottom>
      <diagonal/>
    </border>
    <border>
      <left/>
      <right/>
      <top style="thin">
        <color auto="1"/>
      </top>
      <bottom/>
      <diagonal/>
    </border>
    <border>
      <left/>
      <right/>
      <top style="hair">
        <color indexed="8"/>
      </top>
      <bottom style="hair">
        <color indexed="8"/>
      </bottom>
      <diagonal/>
    </border>
    <border>
      <left/>
      <right/>
      <top/>
      <bottom style="medium">
        <color indexed="18"/>
      </bottom>
      <diagonal/>
    </border>
    <border>
      <left/>
      <right/>
      <top/>
      <bottom style="thin">
        <color indexed="8"/>
      </bottom>
      <diagonal/>
    </border>
    <border>
      <left/>
      <right/>
      <top style="medium">
        <color indexed="8"/>
      </top>
      <bottom style="thin">
        <color indexed="22"/>
      </bottom>
      <diagonal/>
    </border>
    <border>
      <left/>
      <right style="thin">
        <color indexed="8"/>
      </right>
      <top style="thin">
        <color indexed="8"/>
      </top>
      <bottom/>
      <diagonal/>
    </border>
    <border>
      <left/>
      <right/>
      <top/>
      <bottom style="dotted">
        <color indexed="64"/>
      </bottom>
      <diagonal/>
    </border>
    <border>
      <left style="hair">
        <color indexed="64"/>
      </left>
      <right style="hair">
        <color indexed="64"/>
      </right>
      <top style="hair">
        <color indexed="64"/>
      </top>
      <bottom style="hair">
        <color indexed="64"/>
      </bottom>
      <diagonal/>
    </border>
    <border>
      <left style="thin">
        <color indexed="9"/>
      </left>
      <right style="thin">
        <color indexed="9"/>
      </right>
      <top/>
      <bottom/>
      <diagonal/>
    </border>
    <border>
      <left style="medium">
        <color indexed="64"/>
      </left>
      <right style="thin">
        <color indexed="64"/>
      </right>
      <top style="thin">
        <color indexed="64"/>
      </top>
      <bottom/>
      <diagonal/>
    </border>
    <border>
      <left/>
      <right/>
      <top style="medium">
        <color indexed="23"/>
      </top>
      <bottom style="medium">
        <color indexed="23"/>
      </bottom>
      <diagonal/>
    </border>
    <border>
      <left/>
      <right/>
      <top style="thin">
        <color indexed="64"/>
      </top>
      <bottom style="medium">
        <color indexed="64"/>
      </bottom>
      <diagonal/>
    </border>
    <border>
      <left style="medium">
        <color indexed="9"/>
      </left>
      <right style="medium">
        <color indexed="49"/>
      </right>
      <top/>
      <bottom/>
      <diagonal/>
    </border>
    <border>
      <left style="thick">
        <color indexed="64"/>
      </left>
      <right style="thin">
        <color indexed="64"/>
      </right>
      <top/>
      <bottom/>
      <diagonal/>
    </border>
    <border>
      <left/>
      <right/>
      <top/>
      <bottom style="thin">
        <color indexed="64"/>
      </bottom>
      <diagonal/>
    </border>
    <border>
      <left style="thin">
        <color indexed="64"/>
      </left>
      <right/>
      <top/>
      <bottom style="thin">
        <color indexed="64"/>
      </bottom>
      <diagonal/>
    </border>
    <border>
      <left/>
      <right/>
      <top style="thin">
        <color indexed="8"/>
      </top>
      <bottom style="thin">
        <color indexed="8"/>
      </bottom>
      <diagonal/>
    </border>
    <border>
      <left style="medium">
        <color indexed="9"/>
      </left>
      <right style="medium">
        <color indexed="9"/>
      </right>
      <top/>
      <bottom/>
      <diagonal/>
    </border>
    <border>
      <left style="thick">
        <color indexed="9"/>
      </left>
      <right style="thick">
        <color indexed="9"/>
      </right>
      <top/>
      <bottom style="double">
        <color indexed="64"/>
      </bottom>
      <diagonal/>
    </border>
    <border>
      <left style="thin">
        <color auto="1"/>
      </left>
      <right style="thin">
        <color auto="1"/>
      </right>
      <top/>
      <bottom/>
      <diagonal/>
    </border>
    <border>
      <left style="thin">
        <color indexed="64"/>
      </left>
      <right/>
      <top/>
      <bottom/>
      <diagonal/>
    </border>
    <border>
      <left/>
      <right/>
      <top/>
      <bottom style="thin">
        <color indexed="8"/>
      </bottom>
      <diagonal/>
    </border>
    <border>
      <left/>
      <right/>
      <top/>
      <bottom style="thin">
        <color indexed="64"/>
      </bottom>
      <diagonal/>
    </border>
    <border>
      <left style="thin">
        <color auto="1"/>
      </left>
      <right style="thin">
        <color auto="1"/>
      </right>
      <top/>
      <bottom/>
      <diagonal/>
    </border>
    <border>
      <left/>
      <right/>
      <top/>
      <bottom style="thin">
        <color indexed="8"/>
      </bottom>
      <diagonal/>
    </border>
    <border>
      <left style="thin">
        <color indexed="64"/>
      </left>
      <right/>
      <top/>
      <bottom/>
      <diagonal/>
    </border>
    <border>
      <left/>
      <right/>
      <top/>
      <bottom style="thin">
        <color indexed="64"/>
      </bottom>
      <diagonal/>
    </border>
    <border>
      <left style="thin">
        <color auto="1"/>
      </left>
      <right style="thin">
        <color auto="1"/>
      </right>
      <top/>
      <bottom/>
      <diagonal/>
    </border>
    <border>
      <left style="thin">
        <color indexed="64"/>
      </left>
      <right/>
      <top/>
      <bottom/>
      <diagonal/>
    </border>
    <border>
      <left/>
      <right/>
      <top/>
      <bottom style="thin">
        <color indexed="8"/>
      </bottom>
      <diagonal/>
    </border>
    <border>
      <left/>
      <right/>
      <top/>
      <bottom style="thin">
        <color indexed="64"/>
      </bottom>
      <diagonal/>
    </border>
    <border>
      <left style="thin">
        <color auto="1"/>
      </left>
      <right style="thin">
        <color auto="1"/>
      </right>
      <top/>
      <bottom/>
      <diagonal/>
    </border>
    <border>
      <left/>
      <right/>
      <top/>
      <bottom style="thin">
        <color indexed="8"/>
      </bottom>
      <diagonal/>
    </border>
    <border>
      <left style="thin">
        <color indexed="64"/>
      </left>
      <right style="thin">
        <color indexed="64"/>
      </right>
      <top/>
      <bottom style="thin">
        <color auto="1"/>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top/>
      <bottom style="thin">
        <color indexed="8"/>
      </bottom>
      <diagonal/>
    </border>
    <border>
      <left/>
      <right/>
      <top/>
      <bottom style="thin">
        <color indexed="64"/>
      </bottom>
      <diagonal/>
    </border>
    <border>
      <left style="thin">
        <color indexed="64"/>
      </left>
      <right/>
      <top/>
      <bottom style="thin">
        <color indexed="64"/>
      </bottom>
      <diagonal/>
    </border>
    <border>
      <left style="thin">
        <color auto="1"/>
      </left>
      <right style="thin">
        <color auto="1"/>
      </right>
      <top/>
      <bottom/>
      <diagonal/>
    </border>
    <border>
      <left style="thin">
        <color indexed="64"/>
      </left>
      <right/>
      <top/>
      <bottom/>
      <diagonal/>
    </border>
    <border>
      <left/>
      <right/>
      <top/>
      <bottom style="thin">
        <color indexed="8"/>
      </bottom>
      <diagonal/>
    </border>
    <border>
      <left style="thin">
        <color indexed="64"/>
      </left>
      <right style="thin">
        <color indexed="64"/>
      </right>
      <top/>
      <bottom style="thin">
        <color auto="1"/>
      </bottom>
      <diagonal/>
    </border>
    <border>
      <left/>
      <right/>
      <top/>
      <bottom style="thin">
        <color indexed="64"/>
      </bottom>
      <diagonal/>
    </border>
    <border>
      <left style="thin">
        <color indexed="64"/>
      </left>
      <right/>
      <top/>
      <bottom style="thin">
        <color indexed="64"/>
      </bottom>
      <diagonal/>
    </border>
    <border>
      <left style="thin">
        <color auto="1"/>
      </left>
      <right style="thin">
        <color auto="1"/>
      </right>
      <top/>
      <bottom/>
      <diagonal/>
    </border>
    <border>
      <left style="thin">
        <color indexed="64"/>
      </left>
      <right/>
      <top/>
      <bottom/>
      <diagonal/>
    </border>
    <border>
      <left style="thin">
        <color auto="1"/>
      </left>
      <right style="thin">
        <color auto="1"/>
      </right>
      <top/>
      <bottom/>
      <diagonal/>
    </border>
    <border>
      <left style="thin">
        <color indexed="64"/>
      </left>
      <right/>
      <top/>
      <bottom/>
      <diagonal/>
    </border>
    <border>
      <left style="thin">
        <color indexed="64"/>
      </left>
      <right/>
      <top style="thin">
        <color indexed="64"/>
      </top>
      <bottom/>
      <diagonal/>
    </border>
    <border>
      <left/>
      <right style="thin">
        <color auto="1"/>
      </right>
      <top style="thin">
        <color auto="1"/>
      </top>
      <bottom/>
      <diagonal/>
    </border>
    <border>
      <left/>
      <right style="medium">
        <color indexed="64"/>
      </right>
      <top/>
      <bottom/>
      <diagonal/>
    </border>
    <border>
      <left/>
      <right/>
      <top/>
      <bottom style="thin">
        <color indexed="8"/>
      </bottom>
      <diagonal/>
    </border>
    <border>
      <left style="thin">
        <color indexed="64"/>
      </left>
      <right style="thin">
        <color indexed="64"/>
      </right>
      <top/>
      <bottom style="thin">
        <color auto="1"/>
      </bottom>
      <diagonal/>
    </border>
    <border>
      <left/>
      <right/>
      <top/>
      <bottom style="thin">
        <color indexed="64"/>
      </bottom>
      <diagonal/>
    </border>
    <border>
      <left style="thin">
        <color indexed="64"/>
      </left>
      <right/>
      <top/>
      <bottom style="thin">
        <color indexed="64"/>
      </bottom>
      <diagonal/>
    </border>
    <border>
      <left/>
      <right/>
      <top/>
      <bottom style="thin">
        <color indexed="8"/>
      </bottom>
      <diagonal/>
    </border>
    <border>
      <left style="thin">
        <color indexed="64"/>
      </left>
      <right style="thin">
        <color indexed="64"/>
      </right>
      <top/>
      <bottom style="thin">
        <color auto="1"/>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style="hair">
        <color auto="1"/>
      </right>
      <top style="thin">
        <color auto="1"/>
      </top>
      <bottom/>
      <diagonal/>
    </border>
    <border>
      <left/>
      <right style="hair">
        <color auto="1"/>
      </right>
      <top/>
      <bottom/>
      <diagonal/>
    </border>
    <border>
      <left/>
      <right style="hair">
        <color auto="1"/>
      </right>
      <top/>
      <bottom style="thin">
        <color indexed="64"/>
      </bottom>
      <diagonal/>
    </border>
    <border>
      <left/>
      <right style="dotted">
        <color auto="1"/>
      </right>
      <top style="thin">
        <color auto="1"/>
      </top>
      <bottom/>
      <diagonal/>
    </border>
    <border>
      <left/>
      <right style="dotted">
        <color auto="1"/>
      </right>
      <top/>
      <bottom/>
      <diagonal/>
    </border>
    <border>
      <left/>
      <right style="dotted">
        <color auto="1"/>
      </right>
      <top/>
      <bottom style="thin">
        <color indexed="64"/>
      </bottom>
      <diagonal/>
    </border>
    <border>
      <left/>
      <right/>
      <top style="thin">
        <color indexed="64"/>
      </top>
      <bottom style="double">
        <color indexed="64"/>
      </bottom>
      <diagonal/>
    </border>
    <border>
      <left/>
      <right style="hair">
        <color auto="1"/>
      </right>
      <top style="thin">
        <color auto="1"/>
      </top>
      <bottom/>
      <diagonal/>
    </border>
    <border>
      <left/>
      <right style="hair">
        <color auto="1"/>
      </right>
      <top style="thin">
        <color auto="1"/>
      </top>
      <bottom/>
      <diagonal/>
    </border>
    <border>
      <left/>
      <right style="hair">
        <color auto="1"/>
      </right>
      <top style="thin">
        <color indexed="64"/>
      </top>
      <bottom style="thin">
        <color indexed="64"/>
      </bottom>
      <diagonal/>
    </border>
    <border>
      <left style="hair">
        <color auto="1"/>
      </left>
      <right/>
      <top style="thin">
        <color auto="1"/>
      </top>
      <bottom/>
      <diagonal/>
    </border>
    <border>
      <left style="hair">
        <color auto="1"/>
      </left>
      <right/>
      <top/>
      <bottom style="thin">
        <color indexed="64"/>
      </bottom>
      <diagonal/>
    </border>
    <border>
      <left style="hair">
        <color auto="1"/>
      </left>
      <right/>
      <top/>
      <bottom/>
      <diagonal/>
    </border>
    <border>
      <left style="thin">
        <color auto="1"/>
      </left>
      <right/>
      <top/>
      <bottom/>
      <diagonal/>
    </border>
    <border>
      <left/>
      <right/>
      <top style="thin">
        <color auto="1"/>
      </top>
      <bottom style="thin">
        <color auto="1"/>
      </bottom>
      <diagonal/>
    </border>
    <border>
      <left style="hair">
        <color indexed="22"/>
      </left>
      <right style="hair">
        <color indexed="22"/>
      </right>
      <top style="hair">
        <color indexed="22"/>
      </top>
      <bottom style="hair">
        <color indexed="22"/>
      </bottom>
      <diagonal/>
    </border>
    <border>
      <left style="hair">
        <color auto="1"/>
      </left>
      <right/>
      <top style="thin">
        <color auto="1"/>
      </top>
      <bottom style="thin">
        <color auto="1"/>
      </bottom>
      <diagonal/>
    </border>
    <border>
      <left/>
      <right style="hair">
        <color auto="1"/>
      </right>
      <top style="hair">
        <color auto="1"/>
      </top>
      <bottom/>
      <diagonal/>
    </border>
    <border>
      <left/>
      <right/>
      <top style="hair">
        <color auto="1"/>
      </top>
      <bottom/>
      <diagonal/>
    </border>
    <border>
      <left/>
      <right style="dotted">
        <color auto="1"/>
      </right>
      <top style="hair">
        <color auto="1"/>
      </top>
      <bottom/>
      <diagonal/>
    </border>
    <border>
      <left style="hair">
        <color auto="1"/>
      </left>
      <right/>
      <top style="hair">
        <color auto="1"/>
      </top>
      <bottom/>
      <diagonal/>
    </border>
    <border>
      <left/>
      <right style="dotted">
        <color auto="1"/>
      </right>
      <top style="thin">
        <color auto="1"/>
      </top>
      <bottom style="thin">
        <color auto="1"/>
      </bottom>
      <diagonal/>
    </border>
    <border>
      <left/>
      <right style="hair">
        <color auto="1"/>
      </right>
      <top style="thin">
        <color indexed="64"/>
      </top>
      <bottom style="double">
        <color indexed="64"/>
      </bottom>
      <diagonal/>
    </border>
    <border>
      <left/>
      <right style="dotted">
        <color auto="1"/>
      </right>
      <top style="thin">
        <color indexed="64"/>
      </top>
      <bottom style="double">
        <color indexed="64"/>
      </bottom>
      <diagonal/>
    </border>
    <border>
      <left style="hair">
        <color auto="1"/>
      </left>
      <right/>
      <top style="thin">
        <color indexed="64"/>
      </top>
      <bottom style="double">
        <color indexed="64"/>
      </bottom>
      <diagonal/>
    </border>
    <border>
      <left/>
      <right style="hair">
        <color auto="1"/>
      </right>
      <top/>
      <bottom style="hair">
        <color auto="1"/>
      </bottom>
      <diagonal/>
    </border>
    <border>
      <left/>
      <right/>
      <top/>
      <bottom style="hair">
        <color auto="1"/>
      </bottom>
      <diagonal/>
    </border>
    <border>
      <left/>
      <right style="dotted">
        <color auto="1"/>
      </right>
      <top/>
      <bottom style="hair">
        <color auto="1"/>
      </bottom>
      <diagonal/>
    </border>
    <border>
      <left style="hair">
        <color auto="1"/>
      </left>
      <right/>
      <top/>
      <bottom style="hair">
        <color auto="1"/>
      </bottom>
      <diagonal/>
    </border>
    <border>
      <left style="thin">
        <color indexed="64"/>
      </left>
      <right/>
      <top style="thin">
        <color auto="1"/>
      </top>
      <bottom style="thin">
        <color auto="1"/>
      </bottom>
      <diagonal/>
    </border>
    <border>
      <left style="thin">
        <color indexed="64"/>
      </left>
      <right/>
      <top/>
      <bottom style="hair">
        <color auto="1"/>
      </bottom>
      <diagonal/>
    </border>
    <border>
      <left style="thin">
        <color indexed="64"/>
      </left>
      <right/>
      <top style="thin">
        <color indexed="64"/>
      </top>
      <bottom style="double">
        <color indexed="64"/>
      </bottom>
      <diagonal/>
    </border>
    <border>
      <left/>
      <right style="thin">
        <color auto="1"/>
      </right>
      <top style="thin">
        <color auto="1"/>
      </top>
      <bottom style="thin">
        <color auto="1"/>
      </bottom>
      <diagonal/>
    </border>
    <border>
      <left/>
      <right style="thin">
        <color auto="1"/>
      </right>
      <top style="thin">
        <color indexed="64"/>
      </top>
      <bottom style="double">
        <color indexed="64"/>
      </bottom>
      <diagonal/>
    </border>
    <border>
      <left/>
      <right style="hair">
        <color indexed="64"/>
      </right>
      <top style="double">
        <color indexed="64"/>
      </top>
      <bottom/>
      <diagonal/>
    </border>
    <border>
      <left/>
      <right/>
      <top style="double">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top/>
      <bottom style="thin">
        <color indexed="64"/>
      </bottom>
      <diagonal/>
    </border>
    <border>
      <left style="medium">
        <color indexed="64"/>
      </left>
      <right style="medium">
        <color indexed="64"/>
      </right>
      <top/>
      <bottom style="thin">
        <color auto="1"/>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Dashed">
        <color auto="1"/>
      </left>
      <right/>
      <top style="mediumDashed">
        <color auto="1"/>
      </top>
      <bottom/>
      <diagonal/>
    </border>
    <border>
      <left/>
      <right/>
      <top style="mediumDashed">
        <color auto="1"/>
      </top>
      <bottom/>
      <diagonal/>
    </border>
    <border>
      <left/>
      <right style="hair">
        <color auto="1"/>
      </right>
      <top style="mediumDashed">
        <color auto="1"/>
      </top>
      <bottom/>
      <diagonal/>
    </border>
    <border>
      <left style="mediumDashed">
        <color auto="1"/>
      </left>
      <right/>
      <top/>
      <bottom/>
      <diagonal/>
    </border>
    <border>
      <left/>
      <right/>
      <top/>
      <bottom style="mediumDashed">
        <color auto="1"/>
      </bottom>
      <diagonal/>
    </border>
    <border>
      <left/>
      <right style="hair">
        <color auto="1"/>
      </right>
      <top/>
      <bottom style="mediumDashed">
        <color auto="1"/>
      </bottom>
      <diagonal/>
    </border>
    <border>
      <left style="hair">
        <color auto="1"/>
      </left>
      <right/>
      <top/>
      <bottom style="mediumDashed">
        <color auto="1"/>
      </bottom>
      <diagonal/>
    </border>
    <border>
      <left style="mediumDashed">
        <color auto="1"/>
      </left>
      <right/>
      <top style="thin">
        <color auto="1"/>
      </top>
      <bottom/>
      <diagonal/>
    </border>
    <border>
      <left/>
      <right/>
      <top style="dashed">
        <color auto="1"/>
      </top>
      <bottom/>
      <diagonal/>
    </border>
    <border>
      <left/>
      <right style="hair">
        <color auto="1"/>
      </right>
      <top style="dashed">
        <color auto="1"/>
      </top>
      <bottom/>
      <diagonal/>
    </border>
    <border>
      <left/>
      <right style="thin">
        <color indexed="64"/>
      </right>
      <top style="dotted">
        <color indexed="64"/>
      </top>
      <bottom/>
      <diagonal/>
    </border>
    <border>
      <left/>
      <right/>
      <top style="dotted">
        <color indexed="64"/>
      </top>
      <bottom/>
      <diagonal/>
    </border>
    <border>
      <left style="thin">
        <color auto="1"/>
      </left>
      <right/>
      <top style="dotted">
        <color indexed="64"/>
      </top>
      <bottom/>
      <diagonal/>
    </border>
    <border>
      <left style="thin">
        <color indexed="64"/>
      </left>
      <right style="thin">
        <color indexed="64"/>
      </right>
      <top style="thin">
        <color indexed="64"/>
      </top>
      <bottom style="double">
        <color indexed="64"/>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auto="1"/>
      </top>
      <bottom style="thin">
        <color auto="1"/>
      </bottom>
      <diagonal/>
    </border>
    <border>
      <left/>
      <right style="medium">
        <color indexed="64"/>
      </right>
      <top style="thin">
        <color indexed="64"/>
      </top>
      <bottom style="double">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style="thin">
        <color indexed="64"/>
      </right>
      <top style="dashed">
        <color indexed="64"/>
      </top>
      <bottom/>
      <diagonal/>
    </border>
    <border>
      <left/>
      <right style="medium">
        <color indexed="64"/>
      </right>
      <top style="dashed">
        <color indexed="64"/>
      </top>
      <bottom/>
      <diagonal/>
    </border>
    <border>
      <left style="thin">
        <color auto="1"/>
      </left>
      <right/>
      <top style="dashed">
        <color indexed="64"/>
      </top>
      <bottom/>
      <diagonal/>
    </border>
    <border>
      <left style="medium">
        <color indexed="64"/>
      </left>
      <right style="thin">
        <color indexed="64"/>
      </right>
      <top style="thin">
        <color auto="1"/>
      </top>
      <bottom style="thin">
        <color auto="1"/>
      </bottom>
      <diagonal/>
    </border>
    <border>
      <left style="medium">
        <color indexed="64"/>
      </left>
      <right style="medium">
        <color indexed="64"/>
      </right>
      <top style="dashed">
        <color auto="1"/>
      </top>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right style="dashed">
        <color auto="1"/>
      </right>
      <top/>
      <bottom style="mediumDashed">
        <color auto="1"/>
      </bottom>
      <diagonal/>
    </border>
    <border>
      <left style="dashed">
        <color auto="1"/>
      </left>
      <right/>
      <top/>
      <bottom style="mediumDashed">
        <color auto="1"/>
      </bottom>
      <diagonal/>
    </border>
    <border>
      <left/>
      <right style="thin">
        <color auto="1"/>
      </right>
      <top/>
      <bottom style="hair">
        <color auto="1"/>
      </bottom>
      <diagonal/>
    </border>
    <border>
      <left/>
      <right style="dashed">
        <color auto="1"/>
      </right>
      <top style="thin">
        <color auto="1"/>
      </top>
      <bottom style="thin">
        <color auto="1"/>
      </bottom>
      <diagonal/>
    </border>
    <border>
      <left/>
      <right style="dashed">
        <color auto="1"/>
      </right>
      <top style="thin">
        <color auto="1"/>
      </top>
      <bottom/>
      <diagonal/>
    </border>
    <border>
      <left/>
      <right style="dashed">
        <color auto="1"/>
      </right>
      <top/>
      <bottom style="thin">
        <color indexed="64"/>
      </bottom>
      <diagonal/>
    </border>
    <border>
      <left/>
      <right style="dashed">
        <color auto="1"/>
      </right>
      <top/>
      <bottom/>
      <diagonal/>
    </border>
    <border>
      <left/>
      <right style="dashed">
        <color auto="1"/>
      </right>
      <top style="dashed">
        <color auto="1"/>
      </top>
      <bottom/>
      <diagonal/>
    </border>
    <border>
      <left style="dashed">
        <color auto="1"/>
      </left>
      <right/>
      <top style="thin">
        <color auto="1"/>
      </top>
      <bottom style="thin">
        <color auto="1"/>
      </bottom>
      <diagonal/>
    </border>
    <border>
      <left style="dashed">
        <color auto="1"/>
      </left>
      <right/>
      <top/>
      <bottom style="thin">
        <color indexed="64"/>
      </bottom>
      <diagonal/>
    </border>
    <border>
      <left style="dashed">
        <color auto="1"/>
      </left>
      <right/>
      <top style="thin">
        <color auto="1"/>
      </top>
      <bottom/>
      <diagonal/>
    </border>
    <border>
      <left style="dashed">
        <color auto="1"/>
      </left>
      <right/>
      <top/>
      <bottom/>
      <diagonal/>
    </border>
    <border>
      <left style="dashed">
        <color auto="1"/>
      </left>
      <right/>
      <top style="dashed">
        <color auto="1"/>
      </top>
      <bottom/>
      <diagonal/>
    </border>
    <border>
      <left style="thin">
        <color indexed="64"/>
      </left>
      <right style="thin">
        <color indexed="64"/>
      </right>
      <top style="dashed">
        <color auto="1"/>
      </top>
      <bottom/>
      <diagonal/>
    </border>
    <border>
      <left/>
      <right style="hair">
        <color indexed="64"/>
      </right>
      <top style="double">
        <color indexed="64"/>
      </top>
      <bottom style="thin">
        <color auto="1"/>
      </bottom>
      <diagonal/>
    </border>
  </borders>
  <cellStyleXfs count="1724">
    <xf numFmtId="0" fontId="0" fillId="0" borderId="0"/>
    <xf numFmtId="43" fontId="20" fillId="0" borderId="0" applyFont="0" applyFill="0" applyBorder="0" applyAlignment="0" applyProtection="0"/>
    <xf numFmtId="9" fontId="20" fillId="0" borderId="0" applyFont="0" applyFill="0" applyBorder="0" applyAlignment="0" applyProtection="0"/>
    <xf numFmtId="0" fontId="28" fillId="0" borderId="0"/>
    <xf numFmtId="40" fontId="29" fillId="0" borderId="0" applyFont="0" applyFill="0" applyBorder="0" applyAlignment="0" applyProtection="0"/>
    <xf numFmtId="8" fontId="29" fillId="0" borderId="0" applyFont="0" applyFill="0" applyBorder="0" applyAlignment="0" applyProtection="0"/>
    <xf numFmtId="9" fontId="29" fillId="0" borderId="0" applyFont="0" applyFill="0" applyBorder="0" applyAlignment="0" applyProtection="0"/>
    <xf numFmtId="170" fontId="36" fillId="0" borderId="0" applyFill="0" applyBorder="0">
      <alignment horizontal="right"/>
      <protection locked="0"/>
    </xf>
    <xf numFmtId="3" fontId="40" fillId="0" borderId="0"/>
    <xf numFmtId="182" fontId="38" fillId="0" borderId="0">
      <alignment horizontal="right"/>
    </xf>
    <xf numFmtId="3" fontId="40" fillId="0" borderId="0"/>
    <xf numFmtId="0" fontId="36" fillId="0" borderId="0"/>
    <xf numFmtId="0" fontId="36" fillId="0" borderId="0"/>
    <xf numFmtId="0" fontId="36" fillId="0" borderId="0"/>
    <xf numFmtId="3" fontId="40" fillId="0" borderId="0"/>
    <xf numFmtId="3" fontId="40" fillId="0" borderId="0"/>
    <xf numFmtId="183" fontId="39" fillId="0" borderId="8"/>
    <xf numFmtId="184" fontId="37" fillId="0" borderId="9" applyBorder="0"/>
    <xf numFmtId="0" fontId="21" fillId="0" borderId="14" applyNumberFormat="0" applyFill="0" applyAlignment="0" applyProtection="0"/>
    <xf numFmtId="0" fontId="41" fillId="0" borderId="6">
      <protection hidden="1"/>
    </xf>
    <xf numFmtId="0" fontId="29" fillId="4" borderId="6" applyNumberFormat="0" applyFont="0" applyBorder="0" applyAlignment="0" applyProtection="0">
      <protection hidden="1"/>
    </xf>
    <xf numFmtId="0" fontId="42" fillId="0" borderId="1" applyNumberFormat="0" applyFill="0" applyProtection="0">
      <alignment horizontal="left" vertical="center"/>
    </xf>
    <xf numFmtId="0" fontId="36" fillId="0" borderId="0">
      <alignment horizontal="center" wrapText="1"/>
      <protection hidden="1"/>
    </xf>
    <xf numFmtId="0" fontId="37" fillId="0" borderId="0"/>
    <xf numFmtId="0" fontId="43" fillId="5" borderId="0">
      <alignment horizontal="center" vertical="center" wrapText="1"/>
    </xf>
    <xf numFmtId="185" fontId="36" fillId="0" borderId="0" applyFont="0" applyFill="0" applyBorder="0" applyAlignment="0" applyProtection="0"/>
    <xf numFmtId="186" fontId="36" fillId="0" borderId="0" applyFill="0" applyBorder="0">
      <alignment horizontal="right"/>
      <protection locked="0"/>
    </xf>
    <xf numFmtId="15" fontId="36" fillId="0" borderId="0" applyProtection="0"/>
    <xf numFmtId="187" fontId="29" fillId="0" borderId="0"/>
    <xf numFmtId="188" fontId="36" fillId="0" borderId="0" applyFont="0" applyFill="0" applyBorder="0" applyAlignment="0" applyProtection="0"/>
    <xf numFmtId="0" fontId="44" fillId="0" borderId="0" applyNumberFormat="0" applyFill="0" applyBorder="0" applyProtection="0">
      <alignment horizontal="left" vertical="center"/>
    </xf>
    <xf numFmtId="177" fontId="45" fillId="0" borderId="0"/>
    <xf numFmtId="0" fontId="36" fillId="0" borderId="0" applyFill="0" applyBorder="0">
      <alignment horizontal="right"/>
      <protection locked="0"/>
    </xf>
    <xf numFmtId="0" fontId="46" fillId="3" borderId="15">
      <alignment horizontal="left" vertical="center" wrapText="1"/>
    </xf>
    <xf numFmtId="0" fontId="47" fillId="0" borderId="0" applyNumberFormat="0" applyFill="0" applyBorder="0" applyProtection="0">
      <alignment horizontal="left" vertical="center"/>
    </xf>
    <xf numFmtId="0" fontId="48" fillId="0" borderId="6">
      <alignment horizontal="left"/>
      <protection locked="0"/>
    </xf>
    <xf numFmtId="0" fontId="49" fillId="0" borderId="0" applyBorder="0"/>
    <xf numFmtId="175" fontId="46" fillId="0" borderId="3" applyFont="0" applyFill="0" applyBorder="0" applyAlignment="0" applyProtection="0">
      <alignment horizontal="center"/>
    </xf>
    <xf numFmtId="185" fontId="50" fillId="0" borderId="0" applyFont="0" applyFill="0" applyBorder="0" applyAlignment="0" applyProtection="0"/>
    <xf numFmtId="168" fontId="36" fillId="0" borderId="0" applyFont="0" applyFill="0" applyBorder="0" applyAlignment="0"/>
    <xf numFmtId="0" fontId="51" fillId="0" borderId="6"/>
    <xf numFmtId="189" fontId="29" fillId="0" borderId="0"/>
    <xf numFmtId="190" fontId="29" fillId="0" borderId="0" applyFont="0" applyFill="0" applyBorder="0" applyAlignment="0"/>
    <xf numFmtId="191" fontId="36" fillId="0" borderId="0" applyFill="0" applyBorder="0">
      <alignment horizontal="right"/>
      <protection locked="0"/>
    </xf>
    <xf numFmtId="168" fontId="30" fillId="0" borderId="0" applyFill="0" applyBorder="0" applyAlignment="0" applyProtection="0"/>
    <xf numFmtId="0" fontId="52" fillId="0" borderId="0"/>
    <xf numFmtId="0" fontId="52" fillId="0" borderId="16">
      <alignment horizontal="right"/>
    </xf>
    <xf numFmtId="192" fontId="36" fillId="0" borderId="0">
      <alignment horizontal="right"/>
      <protection locked="0"/>
    </xf>
    <xf numFmtId="0" fontId="53" fillId="0" borderId="6" applyNumberFormat="0" applyFill="0" applyBorder="0" applyAlignment="0" applyProtection="0">
      <protection hidden="1"/>
    </xf>
    <xf numFmtId="0" fontId="47" fillId="0" borderId="0" applyNumberFormat="0" applyFill="0" applyBorder="0" applyProtection="0">
      <alignment horizontal="right" vertical="center"/>
    </xf>
    <xf numFmtId="0" fontId="54" fillId="5" borderId="5">
      <alignment horizontal="center" vertical="center" wrapText="1"/>
      <protection hidden="1"/>
    </xf>
    <xf numFmtId="178" fontId="37" fillId="0" borderId="0"/>
    <xf numFmtId="175" fontId="55" fillId="0" borderId="0" applyFill="0" applyBorder="0" applyProtection="0">
      <alignment horizontal="right"/>
    </xf>
    <xf numFmtId="0" fontId="56" fillId="0" borderId="0" applyNumberFormat="0" applyFill="0" applyBorder="0" applyProtection="0">
      <alignment horizontal="left" vertical="center"/>
    </xf>
    <xf numFmtId="0" fontId="57" fillId="0" borderId="0"/>
    <xf numFmtId="0" fontId="58" fillId="6" borderId="0" applyNumberFormat="0" applyBorder="0" applyProtection="0">
      <alignment horizontal="left" vertical="center"/>
    </xf>
    <xf numFmtId="0" fontId="59" fillId="1" borderId="0" applyNumberFormat="0" applyBorder="0" applyProtection="0">
      <alignment horizontal="left" vertical="center"/>
    </xf>
    <xf numFmtId="0" fontId="36" fillId="0" borderId="0" applyBorder="0"/>
    <xf numFmtId="0" fontId="60" fillId="4" borderId="6"/>
    <xf numFmtId="40" fontId="45" fillId="0" borderId="0"/>
    <xf numFmtId="168" fontId="61" fillId="0" borderId="0"/>
    <xf numFmtId="1" fontId="62" fillId="0" borderId="0">
      <alignment horizontal="right"/>
    </xf>
    <xf numFmtId="182" fontId="37" fillId="0" borderId="0"/>
    <xf numFmtId="0" fontId="29" fillId="0" borderId="0"/>
    <xf numFmtId="3" fontId="55" fillId="0" borderId="0"/>
    <xf numFmtId="9" fontId="21" fillId="0" borderId="0" applyFont="0" applyFill="0" applyBorder="0" applyAlignment="0" applyProtection="0"/>
    <xf numFmtId="43" fontId="21" fillId="0" borderId="0" applyFont="0" applyFill="0" applyBorder="0" applyAlignment="0" applyProtection="0"/>
    <xf numFmtId="44" fontId="21" fillId="0" borderId="0" applyFont="0" applyFill="0" applyBorder="0" applyAlignment="0" applyProtection="0"/>
    <xf numFmtId="176" fontId="30" fillId="0" borderId="0" applyFont="0" applyFill="0" applyBorder="0" applyAlignment="0" applyProtection="0"/>
    <xf numFmtId="38" fontId="30" fillId="0" borderId="0" applyFill="0" applyBorder="0" applyAlignment="0" applyProtection="0">
      <protection locked="0"/>
    </xf>
    <xf numFmtId="176" fontId="30" fillId="0" borderId="0" applyFont="0" applyFill="0" applyBorder="0" applyAlignment="0" applyProtection="0">
      <protection locked="0"/>
    </xf>
    <xf numFmtId="176" fontId="30" fillId="0" borderId="12" applyFont="0" applyFill="0" applyAlignment="0" applyProtection="0"/>
    <xf numFmtId="14" fontId="31" fillId="0" borderId="0" applyFont="0" applyFill="0" applyBorder="0" applyAlignment="0" applyProtection="0">
      <alignment horizontal="center"/>
    </xf>
    <xf numFmtId="194" fontId="31" fillId="0" borderId="0" applyFont="0" applyFill="0" applyBorder="0" applyAlignment="0" applyProtection="0">
      <alignment horizontal="center"/>
    </xf>
    <xf numFmtId="6" fontId="30" fillId="0" borderId="0" applyFont="0" applyFill="0" applyBorder="0" applyAlignment="0" applyProtection="0">
      <alignment horizontal="right"/>
    </xf>
    <xf numFmtId="6" fontId="30" fillId="0" borderId="0" applyFont="0" applyFill="0" applyBorder="0" applyAlignment="0" applyProtection="0"/>
    <xf numFmtId="8" fontId="30" fillId="0" borderId="0" applyFont="0" applyFill="0" applyBorder="0" applyAlignment="0" applyProtection="0">
      <alignment horizontal="right"/>
    </xf>
    <xf numFmtId="195" fontId="37" fillId="0" borderId="0" applyFont="0" applyFill="0" applyBorder="0" applyProtection="0">
      <alignment horizontal="left"/>
      <protection locked="0"/>
    </xf>
    <xf numFmtId="196" fontId="37" fillId="0" borderId="0" applyFont="0" applyFill="0" applyBorder="0" applyProtection="0">
      <alignment horizontal="left"/>
      <protection locked="0"/>
    </xf>
    <xf numFmtId="197" fontId="63" fillId="0" borderId="0" applyFill="0" applyBorder="0" applyAlignment="0" applyProtection="0"/>
    <xf numFmtId="198" fontId="64" fillId="0" borderId="0" applyAlignment="0">
      <alignment horizontal="left"/>
      <protection locked="0"/>
    </xf>
    <xf numFmtId="176" fontId="30" fillId="0" borderId="0" applyFont="0" applyFill="0" applyBorder="0" applyAlignment="0" applyProtection="0"/>
    <xf numFmtId="38" fontId="30" fillId="0" borderId="0" applyFill="0" applyBorder="0" applyAlignment="0" applyProtection="0">
      <alignment horizontal="right"/>
      <protection locked="0"/>
    </xf>
    <xf numFmtId="166" fontId="30" fillId="0" borderId="0" applyFont="0" applyFill="0" applyBorder="0" applyAlignment="0" applyProtection="0">
      <alignment horizontal="right"/>
    </xf>
    <xf numFmtId="198" fontId="65" fillId="0" borderId="0" applyFill="0" applyBorder="0" applyAlignment="0" applyProtection="0">
      <alignment horizontal="right"/>
    </xf>
    <xf numFmtId="198" fontId="65" fillId="0" borderId="0" applyFill="0" applyBorder="0" applyAlignment="0" applyProtection="0"/>
    <xf numFmtId="199" fontId="30" fillId="0" borderId="0" applyFont="0" applyFill="0" applyBorder="0" applyAlignment="0" applyProtection="0">
      <alignment horizontal="right"/>
    </xf>
    <xf numFmtId="9" fontId="30" fillId="0" borderId="0" applyFont="0" applyFill="0" applyBorder="0" applyAlignment="0" applyProtection="0">
      <alignment horizontal="right"/>
    </xf>
    <xf numFmtId="197" fontId="30" fillId="0" borderId="0" applyFont="0" applyFill="0" applyBorder="0" applyAlignment="0" applyProtection="0"/>
    <xf numFmtId="8" fontId="30" fillId="0" borderId="0" applyFont="0" applyFill="0" applyBorder="0" applyAlignment="0" applyProtection="0"/>
    <xf numFmtId="176" fontId="30" fillId="0" borderId="0" applyFont="0" applyFill="0" applyBorder="0" applyAlignment="0" applyProtection="0">
      <protection locked="0"/>
    </xf>
    <xf numFmtId="38" fontId="30" fillId="0" borderId="0" applyFont="0" applyFill="0" applyBorder="0" applyAlignment="0" applyProtection="0"/>
    <xf numFmtId="8" fontId="66" fillId="0" borderId="10">
      <alignment horizontal="right"/>
    </xf>
    <xf numFmtId="168" fontId="31" fillId="0" borderId="0" applyFont="0" applyFill="0" applyBorder="0" applyAlignment="0" applyProtection="0"/>
    <xf numFmtId="200" fontId="31" fillId="0" borderId="0" applyFont="0" applyFill="0" applyBorder="0" applyAlignment="0" applyProtection="0">
      <alignment horizontal="right"/>
    </xf>
    <xf numFmtId="201" fontId="67" fillId="0" borderId="0" applyFill="0" applyBorder="0" applyAlignment="0" applyProtection="0"/>
    <xf numFmtId="202" fontId="68" fillId="0" borderId="0" applyFill="0" applyBorder="0" applyAlignment="0" applyProtection="0">
      <alignment horizontal="left"/>
      <protection locked="0"/>
    </xf>
    <xf numFmtId="202" fontId="68" fillId="0" borderId="0" applyFill="0" applyBorder="0" applyAlignment="0" applyProtection="0"/>
    <xf numFmtId="202" fontId="69" fillId="0" borderId="0" applyFill="0" applyBorder="0" applyAlignment="0" applyProtection="0">
      <alignment horizontal="left"/>
      <protection locked="0"/>
    </xf>
    <xf numFmtId="202" fontId="69" fillId="0" borderId="0" applyFill="0" applyBorder="0" applyAlignment="0" applyProtection="0">
      <protection locked="0"/>
    </xf>
    <xf numFmtId="168" fontId="30" fillId="0" borderId="0" applyFill="0" applyBorder="0" applyAlignment="0" applyProtection="0">
      <protection locked="0"/>
    </xf>
    <xf numFmtId="168" fontId="67" fillId="0" borderId="0" applyFill="0" applyBorder="0" applyAlignment="0" applyProtection="0"/>
    <xf numFmtId="168" fontId="66" fillId="0" borderId="0" applyNumberFormat="0" applyFill="0" applyBorder="0" applyAlignment="0" applyProtection="0"/>
    <xf numFmtId="38" fontId="33" fillId="0" borderId="0" applyFill="0" applyBorder="0" applyAlignment="0" applyProtection="0">
      <alignment horizontal="left"/>
    </xf>
    <xf numFmtId="1" fontId="30" fillId="0" borderId="0" applyFont="0" applyFill="0" applyBorder="0" applyAlignment="0" applyProtection="0"/>
    <xf numFmtId="3" fontId="55" fillId="0" borderId="0"/>
    <xf numFmtId="0" fontId="20" fillId="0" borderId="0"/>
    <xf numFmtId="0" fontId="72" fillId="0" borderId="0"/>
    <xf numFmtId="174" fontId="40" fillId="0" borderId="0"/>
    <xf numFmtId="8" fontId="29" fillId="0" borderId="0" applyFont="0" applyFill="0" applyBorder="0" applyAlignment="0" applyProtection="0"/>
    <xf numFmtId="0" fontId="73" fillId="0" borderId="0"/>
    <xf numFmtId="0" fontId="73" fillId="0" borderId="0"/>
    <xf numFmtId="0" fontId="73" fillId="0" borderId="0"/>
    <xf numFmtId="5" fontId="29" fillId="0" borderId="0" applyFont="0" applyFill="0" applyBorder="0" applyAlignment="0" applyProtection="0"/>
    <xf numFmtId="0" fontId="73" fillId="0" borderId="0"/>
    <xf numFmtId="207" fontId="30" fillId="0" borderId="0"/>
    <xf numFmtId="8" fontId="74" fillId="0" borderId="0"/>
    <xf numFmtId="168" fontId="40" fillId="0" borderId="0"/>
    <xf numFmtId="171" fontId="60" fillId="0" borderId="0"/>
    <xf numFmtId="208" fontId="73" fillId="0" borderId="0">
      <alignment horizontal="right"/>
    </xf>
    <xf numFmtId="209" fontId="73" fillId="2" borderId="0"/>
    <xf numFmtId="210" fontId="73" fillId="2" borderId="0"/>
    <xf numFmtId="211" fontId="73" fillId="2" borderId="0"/>
    <xf numFmtId="0" fontId="73" fillId="2" borderId="0">
      <alignment horizontal="right"/>
    </xf>
    <xf numFmtId="7" fontId="75" fillId="0" borderId="0">
      <alignment horizontal="right"/>
    </xf>
    <xf numFmtId="10" fontId="29" fillId="0" borderId="0" applyFont="0" applyFill="0" applyBorder="0" applyAlignment="0" applyProtection="0"/>
    <xf numFmtId="9" fontId="29" fillId="0" borderId="0" applyFont="0" applyFill="0" applyBorder="0" applyAlignment="0" applyProtection="0"/>
    <xf numFmtId="0" fontId="72" fillId="0" borderId="0" applyNumberFormat="0" applyFont="0" applyFill="0" applyBorder="0" applyAlignment="0" applyProtection="0"/>
    <xf numFmtId="164" fontId="36" fillId="0" borderId="0" applyFont="0" applyFill="0" applyBorder="0" applyAlignment="0" applyProtection="0"/>
    <xf numFmtId="0" fontId="76" fillId="0" borderId="0" applyNumberFormat="0" applyFill="0" applyBorder="0" applyAlignment="0" applyProtection="0">
      <alignment vertical="top"/>
      <protection locked="0"/>
    </xf>
    <xf numFmtId="0" fontId="77" fillId="0" borderId="0"/>
    <xf numFmtId="212" fontId="36" fillId="0" borderId="0" applyFont="0" applyFill="0" applyBorder="0" applyAlignment="0" applyProtection="0"/>
    <xf numFmtId="213" fontId="36" fillId="0" borderId="0" applyFont="0" applyFill="0" applyBorder="0" applyAlignment="0" applyProtection="0"/>
    <xf numFmtId="175" fontId="36" fillId="0" borderId="0" applyFont="0" applyFill="0" applyBorder="0" applyAlignment="0" applyProtection="0"/>
    <xf numFmtId="214" fontId="36" fillId="0" borderId="0" applyFont="0" applyFill="0" applyBorder="0" applyAlignment="0" applyProtection="0"/>
    <xf numFmtId="214" fontId="36" fillId="0" borderId="0" applyFont="0" applyFill="0" applyBorder="0" applyAlignment="0" applyProtection="0"/>
    <xf numFmtId="214" fontId="36" fillId="0" borderId="0" applyFont="0" applyFill="0" applyBorder="0" applyAlignment="0" applyProtection="0"/>
    <xf numFmtId="214" fontId="36" fillId="0" borderId="0" applyFont="0" applyFill="0" applyBorder="0" applyAlignment="0" applyProtection="0"/>
    <xf numFmtId="0" fontId="36" fillId="0" borderId="0"/>
    <xf numFmtId="215" fontId="36" fillId="0" borderId="0" applyFont="0" applyFill="0" applyBorder="0" applyAlignment="0" applyProtection="0"/>
    <xf numFmtId="216" fontId="36" fillId="0" borderId="0" applyFont="0" applyFill="0" applyBorder="0" applyAlignment="0" applyProtection="0"/>
    <xf numFmtId="216" fontId="36" fillId="0" borderId="0" applyFont="0" applyFill="0" applyBorder="0" applyAlignment="0" applyProtection="0"/>
    <xf numFmtId="216" fontId="36" fillId="0" borderId="0" applyFont="0" applyFill="0" applyBorder="0" applyAlignment="0" applyProtection="0"/>
    <xf numFmtId="216" fontId="36" fillId="0" borderId="0" applyFont="0" applyFill="0" applyBorder="0" applyAlignment="0" applyProtection="0"/>
    <xf numFmtId="217" fontId="36" fillId="0" borderId="0" applyFont="0" applyFill="0" applyBorder="0" applyAlignment="0" applyProtection="0"/>
    <xf numFmtId="217" fontId="36" fillId="0" borderId="0" applyFont="0" applyFill="0" applyBorder="0" applyAlignment="0" applyProtection="0"/>
    <xf numFmtId="218" fontId="36" fillId="0" borderId="0" applyFont="0" applyFill="0" applyBorder="0" applyAlignment="0" applyProtection="0"/>
    <xf numFmtId="217" fontId="36" fillId="0" borderId="0" applyFont="0" applyFill="0" applyBorder="0" applyAlignment="0" applyProtection="0"/>
    <xf numFmtId="217" fontId="36" fillId="0" borderId="0" applyFont="0" applyFill="0" applyBorder="0" applyAlignment="0" applyProtection="0"/>
    <xf numFmtId="215" fontId="36" fillId="0" borderId="0" applyFont="0" applyFill="0" applyBorder="0" applyAlignment="0" applyProtection="0"/>
    <xf numFmtId="217" fontId="36" fillId="0" borderId="0" applyFont="0" applyFill="0" applyBorder="0" applyAlignment="0" applyProtection="0"/>
    <xf numFmtId="215" fontId="36" fillId="0" borderId="0" applyFont="0" applyFill="0" applyBorder="0" applyAlignment="0" applyProtection="0"/>
    <xf numFmtId="178" fontId="78" fillId="0" borderId="0" applyFont="0" applyFill="0" applyBorder="0" applyAlignment="0" applyProtection="0"/>
    <xf numFmtId="216" fontId="36" fillId="0" borderId="0" applyFont="0" applyFill="0" applyBorder="0" applyAlignment="0" applyProtection="0"/>
    <xf numFmtId="178" fontId="78" fillId="0" borderId="0" applyFont="0" applyFill="0" applyBorder="0" applyAlignment="0" applyProtection="0"/>
    <xf numFmtId="178" fontId="78" fillId="0" borderId="0" applyFont="0" applyFill="0" applyBorder="0" applyAlignment="0" applyProtection="0"/>
    <xf numFmtId="178" fontId="78" fillId="0" borderId="0" applyFont="0" applyFill="0" applyBorder="0" applyAlignment="0" applyProtection="0"/>
    <xf numFmtId="178" fontId="78" fillId="0" borderId="0" applyFont="0" applyFill="0" applyBorder="0" applyAlignment="0" applyProtection="0"/>
    <xf numFmtId="178" fontId="78"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178" fontId="78" fillId="0" borderId="0" applyFont="0" applyFill="0" applyBorder="0" applyAlignment="0" applyProtection="0"/>
    <xf numFmtId="215" fontId="36" fillId="0" borderId="0" applyFont="0" applyFill="0" applyBorder="0" applyAlignment="0" applyProtection="0"/>
    <xf numFmtId="178" fontId="78"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217" fontId="36" fillId="0" borderId="0" applyFont="0" applyFill="0" applyBorder="0" applyAlignment="0" applyProtection="0"/>
    <xf numFmtId="217" fontId="36" fillId="0" borderId="0" applyFont="0" applyFill="0" applyBorder="0" applyAlignment="0" applyProtection="0"/>
    <xf numFmtId="215" fontId="36" fillId="0" borderId="0" applyFont="0" applyFill="0" applyBorder="0" applyAlignment="0" applyProtection="0"/>
    <xf numFmtId="217" fontId="36" fillId="0" borderId="0" applyFont="0" applyFill="0" applyBorder="0" applyAlignment="0" applyProtection="0"/>
    <xf numFmtId="215" fontId="36" fillId="0" borderId="0" applyFont="0" applyFill="0" applyBorder="0" applyAlignment="0" applyProtection="0"/>
    <xf numFmtId="218" fontId="36" fillId="0" borderId="0" applyFont="0" applyFill="0" applyBorder="0" applyAlignment="0" applyProtection="0"/>
    <xf numFmtId="178" fontId="78" fillId="0" borderId="0" applyFont="0" applyFill="0" applyBorder="0" applyAlignment="0" applyProtection="0"/>
    <xf numFmtId="217" fontId="36"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216" fontId="36" fillId="0" borderId="0" applyFont="0" applyFill="0" applyBorder="0" applyAlignment="0" applyProtection="0"/>
    <xf numFmtId="217" fontId="36" fillId="0" borderId="0" applyFont="0" applyFill="0" applyBorder="0" applyAlignment="0" applyProtection="0"/>
    <xf numFmtId="175" fontId="36" fillId="0" borderId="0" applyFont="0" applyFill="0" applyBorder="0" applyAlignment="0" applyProtection="0"/>
    <xf numFmtId="39" fontId="36" fillId="0" borderId="0" applyFont="0" applyFill="0" applyBorder="0" applyAlignment="0" applyProtection="0"/>
    <xf numFmtId="175" fontId="36" fillId="0" borderId="0" applyFont="0" applyFill="0" applyBorder="0" applyAlignment="0" applyProtection="0"/>
    <xf numFmtId="219" fontId="36" fillId="0" borderId="0" applyFont="0" applyFill="0" applyBorder="0" applyAlignment="0" applyProtection="0"/>
    <xf numFmtId="39" fontId="36" fillId="0" borderId="0" applyFont="0" applyFill="0" applyBorder="0" applyAlignment="0" applyProtection="0"/>
    <xf numFmtId="219" fontId="36" fillId="0" borderId="0" applyFont="0" applyFill="0" applyBorder="0" applyAlignment="0" applyProtection="0"/>
    <xf numFmtId="175" fontId="36" fillId="0" borderId="0" applyFont="0" applyFill="0" applyBorder="0" applyAlignment="0" applyProtection="0"/>
    <xf numFmtId="39" fontId="36" fillId="0" borderId="0" applyFont="0" applyFill="0" applyBorder="0" applyAlignment="0" applyProtection="0"/>
    <xf numFmtId="39" fontId="36" fillId="0" borderId="0" applyFont="0" applyFill="0" applyBorder="0" applyAlignment="0" applyProtection="0"/>
    <xf numFmtId="39" fontId="36" fillId="0" borderId="0" applyFont="0" applyFill="0" applyBorder="0" applyAlignment="0" applyProtection="0"/>
    <xf numFmtId="175" fontId="36" fillId="0" borderId="0" applyFont="0" applyFill="0" applyBorder="0" applyAlignment="0" applyProtection="0"/>
    <xf numFmtId="39" fontId="36"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39" fontId="36" fillId="0" borderId="0" applyFont="0" applyFill="0" applyBorder="0" applyAlignment="0" applyProtection="0"/>
    <xf numFmtId="39" fontId="36" fillId="0" borderId="0" applyFont="0" applyFill="0" applyBorder="0" applyAlignment="0" applyProtection="0"/>
    <xf numFmtId="39" fontId="36"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39" fontId="36" fillId="0" borderId="0" applyFont="0" applyFill="0" applyBorder="0" applyAlignment="0" applyProtection="0"/>
    <xf numFmtId="219" fontId="36" fillId="0" borderId="0" applyFont="0" applyFill="0" applyBorder="0" applyAlignment="0" applyProtection="0"/>
    <xf numFmtId="175" fontId="36" fillId="0" borderId="0" applyFont="0" applyFill="0" applyBorder="0" applyAlignment="0" applyProtection="0"/>
    <xf numFmtId="39" fontId="36" fillId="0" borderId="0" applyFont="0" applyFill="0" applyBorder="0" applyAlignment="0" applyProtection="0"/>
    <xf numFmtId="219" fontId="36" fillId="0" borderId="0" applyFont="0" applyFill="0" applyBorder="0" applyAlignment="0" applyProtection="0"/>
    <xf numFmtId="39" fontId="36" fillId="0" borderId="0" applyFont="0" applyFill="0" applyBorder="0" applyAlignment="0" applyProtection="0"/>
    <xf numFmtId="175" fontId="36" fillId="0" borderId="0" applyFont="0" applyFill="0" applyBorder="0" applyAlignment="0" applyProtection="0"/>
    <xf numFmtId="3" fontId="40" fillId="0" borderId="0"/>
    <xf numFmtId="3" fontId="40" fillId="0" borderId="0"/>
    <xf numFmtId="220" fontId="36" fillId="0" borderId="0" applyFont="0" applyFill="0" applyBorder="0" applyAlignment="0" applyProtection="0"/>
    <xf numFmtId="0" fontId="36" fillId="0" borderId="0" applyFont="0" applyFill="0" applyBorder="0" applyAlignment="0" applyProtection="0"/>
    <xf numFmtId="3" fontId="40" fillId="0" borderId="0"/>
    <xf numFmtId="0" fontId="36" fillId="0" borderId="0" applyNumberFormat="0" applyFill="0" applyBorder="0" applyAlignment="0" applyProtection="0"/>
    <xf numFmtId="0" fontId="36" fillId="0" borderId="0" applyNumberFormat="0" applyFill="0" applyBorder="0" applyAlignment="0" applyProtection="0"/>
    <xf numFmtId="0" fontId="79"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79"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36" fillId="0" borderId="0" applyNumberFormat="0" applyFill="0" applyBorder="0" applyAlignment="0" applyProtection="0"/>
    <xf numFmtId="0" fontId="79" fillId="0" borderId="0" applyNumberFormat="0" applyFill="0" applyBorder="0" applyAlignment="0" applyProtection="0"/>
    <xf numFmtId="0" fontId="36" fillId="10" borderId="0" applyNumberFormat="0" applyFont="0" applyAlignment="0" applyProtection="0"/>
    <xf numFmtId="3" fontId="40" fillId="0" borderId="0"/>
    <xf numFmtId="221" fontId="36" fillId="0" borderId="0" applyFont="0" applyFill="0" applyBorder="0" applyAlignment="0" applyProtection="0"/>
    <xf numFmtId="222" fontId="36" fillId="0" borderId="0" applyFont="0" applyFill="0" applyBorder="0" applyAlignment="0" applyProtection="0"/>
    <xf numFmtId="223" fontId="36" fillId="0" borderId="0" applyFont="0" applyFill="0" applyBorder="0" applyAlignment="0" applyProtection="0"/>
    <xf numFmtId="224" fontId="36" fillId="0" borderId="0" applyFont="0" applyFill="0" applyBorder="0" applyAlignment="0" applyProtection="0"/>
    <xf numFmtId="223" fontId="36" fillId="0" borderId="0" applyFont="0" applyFill="0" applyBorder="0" applyAlignment="0" applyProtection="0"/>
    <xf numFmtId="221" fontId="36" fillId="0" borderId="0" applyFont="0" applyFill="0" applyBorder="0" applyAlignment="0" applyProtection="0"/>
    <xf numFmtId="221" fontId="36" fillId="0" borderId="0" applyFont="0" applyFill="0" applyBorder="0" applyAlignment="0" applyProtection="0"/>
    <xf numFmtId="174" fontId="78" fillId="0" borderId="0" applyFont="0" applyFill="0" applyBorder="0" applyAlignment="0" applyProtection="0"/>
    <xf numFmtId="174" fontId="78" fillId="0" borderId="0" applyFont="0" applyFill="0" applyBorder="0" applyAlignment="0" applyProtection="0"/>
    <xf numFmtId="174" fontId="78" fillId="0" borderId="0" applyFont="0" applyFill="0" applyBorder="0" applyAlignment="0" applyProtection="0"/>
    <xf numFmtId="174" fontId="78" fillId="0" borderId="0" applyFont="0" applyFill="0" applyBorder="0" applyAlignment="0" applyProtection="0"/>
    <xf numFmtId="174" fontId="78" fillId="0" borderId="0" applyFont="0" applyFill="0" applyBorder="0" applyAlignment="0" applyProtection="0"/>
    <xf numFmtId="174" fontId="78" fillId="0" borderId="0" applyFont="0" applyFill="0" applyBorder="0" applyAlignment="0" applyProtection="0"/>
    <xf numFmtId="221" fontId="36" fillId="0" borderId="0" applyFont="0" applyFill="0" applyBorder="0" applyAlignment="0" applyProtection="0"/>
    <xf numFmtId="221" fontId="36" fillId="0" borderId="0" applyFont="0" applyFill="0" applyBorder="0" applyAlignment="0" applyProtection="0"/>
    <xf numFmtId="174" fontId="78" fillId="0" borderId="0" applyFont="0" applyFill="0" applyBorder="0" applyAlignment="0" applyProtection="0"/>
    <xf numFmtId="221" fontId="36" fillId="0" borderId="0" applyFont="0" applyFill="0" applyBorder="0" applyAlignment="0" applyProtection="0"/>
    <xf numFmtId="174" fontId="78" fillId="0" borderId="0" applyFont="0" applyFill="0" applyBorder="0" applyAlignment="0" applyProtection="0"/>
    <xf numFmtId="221" fontId="36" fillId="0" borderId="0" applyFont="0" applyFill="0" applyBorder="0" applyAlignment="0" applyProtection="0"/>
    <xf numFmtId="221" fontId="36" fillId="0" borderId="0" applyFont="0" applyFill="0" applyBorder="0" applyAlignment="0" applyProtection="0"/>
    <xf numFmtId="221" fontId="36" fillId="0" borderId="0" applyFont="0" applyFill="0" applyBorder="0" applyAlignment="0" applyProtection="0"/>
    <xf numFmtId="221" fontId="36" fillId="0" borderId="0" applyFont="0" applyFill="0" applyBorder="0" applyAlignment="0" applyProtection="0"/>
    <xf numFmtId="221" fontId="36" fillId="0" borderId="0" applyFont="0" applyFill="0" applyBorder="0" applyAlignment="0" applyProtection="0"/>
    <xf numFmtId="221" fontId="36" fillId="0" borderId="0" applyFont="0" applyFill="0" applyBorder="0" applyAlignment="0" applyProtection="0"/>
    <xf numFmtId="221" fontId="36" fillId="0" borderId="0" applyFont="0" applyFill="0" applyBorder="0" applyAlignment="0" applyProtection="0"/>
    <xf numFmtId="221" fontId="36" fillId="0" borderId="0" applyFont="0" applyFill="0" applyBorder="0" applyAlignment="0" applyProtection="0"/>
    <xf numFmtId="223" fontId="36" fillId="0" borderId="0" applyFont="0" applyFill="0" applyBorder="0" applyAlignment="0" applyProtection="0"/>
    <xf numFmtId="221" fontId="36" fillId="0" borderId="0" applyFont="0" applyFill="0" applyBorder="0" applyAlignment="0" applyProtection="0"/>
    <xf numFmtId="224" fontId="36" fillId="0" borderId="0" applyFont="0" applyFill="0" applyBorder="0" applyAlignment="0" applyProtection="0"/>
    <xf numFmtId="174" fontId="78" fillId="0" borderId="0" applyFont="0" applyFill="0" applyBorder="0" applyAlignment="0" applyProtection="0"/>
    <xf numFmtId="223" fontId="36" fillId="0" borderId="0" applyFont="0" applyFill="0" applyBorder="0" applyAlignment="0" applyProtection="0"/>
    <xf numFmtId="221" fontId="36" fillId="0" borderId="0" applyFont="0" applyFill="0" applyBorder="0" applyAlignment="0" applyProtection="0"/>
    <xf numFmtId="221" fontId="36" fillId="0" borderId="0" applyFont="0" applyFill="0" applyBorder="0" applyAlignment="0" applyProtection="0"/>
    <xf numFmtId="225" fontId="36" fillId="0" borderId="0" applyFont="0" applyFill="0" applyBorder="0" applyAlignment="0" applyProtection="0"/>
    <xf numFmtId="168" fontId="36" fillId="0" borderId="0" applyFont="0" applyFill="0" applyBorder="0" applyAlignment="0" applyProtection="0"/>
    <xf numFmtId="226" fontId="36" fillId="0" borderId="0" applyFont="0" applyFill="0" applyBorder="0" applyProtection="0">
      <alignment horizontal="right"/>
    </xf>
    <xf numFmtId="227" fontId="36" fillId="0" borderId="0" applyFont="0" applyFill="0" applyBorder="0" applyAlignment="0" applyProtection="0"/>
    <xf numFmtId="226" fontId="36" fillId="0" borderId="0" applyFont="0" applyFill="0" applyBorder="0" applyProtection="0">
      <alignment horizontal="right"/>
    </xf>
    <xf numFmtId="225" fontId="36" fillId="0" borderId="0" applyFont="0" applyFill="0" applyBorder="0" applyAlignment="0" applyProtection="0"/>
    <xf numFmtId="225" fontId="36" fillId="0" borderId="0" applyFont="0" applyFill="0" applyBorder="0" applyAlignment="0" applyProtection="0"/>
    <xf numFmtId="166" fontId="78" fillId="0" borderId="0" applyFont="0" applyFill="0" applyBorder="0" applyAlignment="0" applyProtection="0"/>
    <xf numFmtId="166" fontId="78" fillId="0" borderId="0" applyFont="0" applyFill="0" applyBorder="0" applyAlignment="0" applyProtection="0"/>
    <xf numFmtId="166" fontId="78" fillId="0" borderId="0" applyFont="0" applyFill="0" applyBorder="0" applyAlignment="0" applyProtection="0"/>
    <xf numFmtId="166" fontId="78" fillId="0" borderId="0" applyFont="0" applyFill="0" applyBorder="0" applyAlignment="0" applyProtection="0"/>
    <xf numFmtId="166" fontId="78" fillId="0" borderId="0" applyFont="0" applyFill="0" applyBorder="0" applyAlignment="0" applyProtection="0"/>
    <xf numFmtId="166" fontId="78" fillId="0" borderId="0" applyFont="0" applyFill="0" applyBorder="0" applyAlignment="0" applyProtection="0"/>
    <xf numFmtId="225" fontId="36" fillId="0" borderId="0" applyFont="0" applyFill="0" applyBorder="0" applyAlignment="0" applyProtection="0"/>
    <xf numFmtId="225" fontId="36" fillId="0" borderId="0" applyFont="0" applyFill="0" applyBorder="0" applyAlignment="0" applyProtection="0"/>
    <xf numFmtId="166" fontId="78" fillId="0" borderId="0" applyFont="0" applyFill="0" applyBorder="0" applyAlignment="0" applyProtection="0"/>
    <xf numFmtId="225" fontId="36" fillId="0" borderId="0" applyFont="0" applyFill="0" applyBorder="0" applyAlignment="0" applyProtection="0"/>
    <xf numFmtId="166" fontId="78" fillId="0" borderId="0" applyFont="0" applyFill="0" applyBorder="0" applyAlignment="0" applyProtection="0"/>
    <xf numFmtId="225" fontId="36" fillId="0" borderId="0" applyFont="0" applyFill="0" applyBorder="0" applyAlignment="0" applyProtection="0"/>
    <xf numFmtId="225" fontId="36" fillId="0" borderId="0" applyFont="0" applyFill="0" applyBorder="0" applyAlignment="0" applyProtection="0"/>
    <xf numFmtId="225" fontId="36" fillId="0" borderId="0" applyFont="0" applyFill="0" applyBorder="0" applyAlignment="0" applyProtection="0"/>
    <xf numFmtId="225" fontId="36" fillId="0" borderId="0" applyFont="0" applyFill="0" applyBorder="0" applyAlignment="0" applyProtection="0"/>
    <xf numFmtId="225" fontId="36" fillId="0" borderId="0" applyFont="0" applyFill="0" applyBorder="0" applyAlignment="0" applyProtection="0"/>
    <xf numFmtId="225" fontId="36" fillId="0" borderId="0" applyFont="0" applyFill="0" applyBorder="0" applyAlignment="0" applyProtection="0"/>
    <xf numFmtId="225" fontId="36" fillId="0" borderId="0" applyFont="0" applyFill="0" applyBorder="0" applyAlignment="0" applyProtection="0"/>
    <xf numFmtId="225" fontId="36" fillId="0" borderId="0" applyFont="0" applyFill="0" applyBorder="0" applyAlignment="0" applyProtection="0"/>
    <xf numFmtId="226" fontId="36" fillId="0" borderId="0" applyFont="0" applyFill="0" applyBorder="0" applyProtection="0">
      <alignment horizontal="right"/>
    </xf>
    <xf numFmtId="225" fontId="36" fillId="0" borderId="0" applyFont="0" applyFill="0" applyBorder="0" applyAlignment="0" applyProtection="0"/>
    <xf numFmtId="227" fontId="36" fillId="0" borderId="0" applyFont="0" applyFill="0" applyBorder="0" applyAlignment="0" applyProtection="0"/>
    <xf numFmtId="166" fontId="78" fillId="0" borderId="0" applyFont="0" applyFill="0" applyBorder="0" applyAlignment="0" applyProtection="0"/>
    <xf numFmtId="226" fontId="36" fillId="0" borderId="0" applyFont="0" applyFill="0" applyBorder="0" applyProtection="0">
      <alignment horizontal="right"/>
    </xf>
    <xf numFmtId="225" fontId="36" fillId="0" borderId="0" applyFont="0" applyFill="0" applyBorder="0" applyAlignment="0" applyProtection="0"/>
    <xf numFmtId="225" fontId="36" fillId="0" borderId="0" applyFont="0" applyFill="0" applyBorder="0" applyAlignment="0" applyProtection="0"/>
    <xf numFmtId="228" fontId="36" fillId="0" borderId="0" applyFont="0" applyFill="0" applyBorder="0" applyAlignment="0" applyProtection="0"/>
    <xf numFmtId="229" fontId="36" fillId="0" borderId="0" applyFont="0" applyFill="0" applyBorder="0" applyAlignment="0" applyProtection="0"/>
    <xf numFmtId="230" fontId="36" fillId="0" borderId="0" applyFont="0" applyFill="0" applyBorder="0" applyAlignment="0" applyProtection="0"/>
    <xf numFmtId="228" fontId="36" fillId="0" borderId="0" applyFont="0" applyFill="0" applyBorder="0" applyAlignment="0" applyProtection="0"/>
    <xf numFmtId="228" fontId="36" fillId="0" borderId="0" applyFont="0" applyFill="0" applyBorder="0" applyAlignment="0" applyProtection="0"/>
    <xf numFmtId="173" fontId="78" fillId="0" borderId="0" applyFont="0" applyFill="0" applyBorder="0" applyAlignment="0" applyProtection="0"/>
    <xf numFmtId="173" fontId="78" fillId="0" borderId="0" applyFont="0" applyFill="0" applyBorder="0" applyAlignment="0" applyProtection="0"/>
    <xf numFmtId="173" fontId="78" fillId="0" borderId="0" applyFont="0" applyFill="0" applyBorder="0" applyAlignment="0" applyProtection="0"/>
    <xf numFmtId="173" fontId="78" fillId="0" borderId="0" applyFont="0" applyFill="0" applyBorder="0" applyAlignment="0" applyProtection="0"/>
    <xf numFmtId="173" fontId="78" fillId="0" borderId="0" applyFont="0" applyFill="0" applyBorder="0" applyAlignment="0" applyProtection="0"/>
    <xf numFmtId="173" fontId="78" fillId="0" borderId="0" applyFont="0" applyFill="0" applyBorder="0" applyAlignment="0" applyProtection="0"/>
    <xf numFmtId="228" fontId="36" fillId="0" borderId="0" applyFont="0" applyFill="0" applyBorder="0" applyAlignment="0" applyProtection="0"/>
    <xf numFmtId="228" fontId="36" fillId="0" borderId="0" applyFont="0" applyFill="0" applyBorder="0" applyAlignment="0" applyProtection="0"/>
    <xf numFmtId="173" fontId="78" fillId="0" borderId="0" applyFont="0" applyFill="0" applyBorder="0" applyAlignment="0" applyProtection="0"/>
    <xf numFmtId="228" fontId="36" fillId="0" borderId="0" applyFont="0" applyFill="0" applyBorder="0" applyAlignment="0" applyProtection="0"/>
    <xf numFmtId="173" fontId="78" fillId="0" borderId="0" applyFont="0" applyFill="0" applyBorder="0" applyAlignment="0" applyProtection="0"/>
    <xf numFmtId="228" fontId="36" fillId="0" borderId="0" applyFont="0" applyFill="0" applyBorder="0" applyAlignment="0" applyProtection="0"/>
    <xf numFmtId="228" fontId="36" fillId="0" borderId="0" applyFont="0" applyFill="0" applyBorder="0" applyAlignment="0" applyProtection="0"/>
    <xf numFmtId="228" fontId="36" fillId="0" borderId="0" applyFont="0" applyFill="0" applyBorder="0" applyAlignment="0" applyProtection="0"/>
    <xf numFmtId="228" fontId="36" fillId="0" borderId="0" applyFont="0" applyFill="0" applyBorder="0" applyAlignment="0" applyProtection="0"/>
    <xf numFmtId="228" fontId="36" fillId="0" borderId="0" applyFont="0" applyFill="0" applyBorder="0" applyAlignment="0" applyProtection="0"/>
    <xf numFmtId="228" fontId="36" fillId="0" borderId="0" applyFont="0" applyFill="0" applyBorder="0" applyAlignment="0" applyProtection="0"/>
    <xf numFmtId="228" fontId="36" fillId="0" borderId="0" applyFont="0" applyFill="0" applyBorder="0" applyAlignment="0" applyProtection="0"/>
    <xf numFmtId="228" fontId="36" fillId="0" borderId="0" applyFont="0" applyFill="0" applyBorder="0" applyAlignment="0" applyProtection="0"/>
    <xf numFmtId="228" fontId="36" fillId="0" borderId="0" applyFont="0" applyFill="0" applyBorder="0" applyAlignment="0" applyProtection="0"/>
    <xf numFmtId="230" fontId="36" fillId="0" borderId="0" applyFont="0" applyFill="0" applyBorder="0" applyAlignment="0" applyProtection="0"/>
    <xf numFmtId="173" fontId="78" fillId="0" borderId="0" applyFont="0" applyFill="0" applyBorder="0" applyAlignment="0" applyProtection="0"/>
    <xf numFmtId="228" fontId="36" fillId="0" borderId="0" applyFont="0" applyFill="0" applyBorder="0" applyAlignment="0" applyProtection="0"/>
    <xf numFmtId="228" fontId="36" fillId="0" borderId="0" applyFont="0" applyFill="0" applyBorder="0" applyAlignment="0" applyProtection="0"/>
    <xf numFmtId="231" fontId="36" fillId="0" borderId="0" applyFont="0" applyFill="0" applyBorder="0" applyAlignment="0" applyProtection="0"/>
    <xf numFmtId="206" fontId="36" fillId="0" borderId="0" applyFont="0" applyFill="0" applyBorder="0" applyAlignment="0" applyProtection="0"/>
    <xf numFmtId="232" fontId="36" fillId="0" borderId="0" applyFont="0" applyFill="0" applyBorder="0" applyAlignment="0" applyProtection="0"/>
    <xf numFmtId="231" fontId="36" fillId="0" borderId="0" applyFont="0" applyFill="0" applyBorder="0" applyAlignment="0" applyProtection="0"/>
    <xf numFmtId="231" fontId="36" fillId="0" borderId="0" applyFont="0" applyFill="0" applyBorder="0" applyAlignment="0" applyProtection="0"/>
    <xf numFmtId="204" fontId="78" fillId="0" borderId="0" applyFont="0" applyFill="0" applyBorder="0" applyAlignment="0" applyProtection="0"/>
    <xf numFmtId="204" fontId="78" fillId="0" borderId="0" applyFont="0" applyFill="0" applyBorder="0" applyAlignment="0" applyProtection="0"/>
    <xf numFmtId="204" fontId="78" fillId="0" borderId="0" applyFont="0" applyFill="0" applyBorder="0" applyAlignment="0" applyProtection="0"/>
    <xf numFmtId="204" fontId="78" fillId="0" borderId="0" applyFont="0" applyFill="0" applyBorder="0" applyAlignment="0" applyProtection="0"/>
    <xf numFmtId="204" fontId="78" fillId="0" borderId="0" applyFont="0" applyFill="0" applyBorder="0" applyAlignment="0" applyProtection="0"/>
    <xf numFmtId="204" fontId="78" fillId="0" borderId="0" applyFont="0" applyFill="0" applyBorder="0" applyAlignment="0" applyProtection="0"/>
    <xf numFmtId="231" fontId="36" fillId="0" borderId="0" applyFont="0" applyFill="0" applyBorder="0" applyAlignment="0" applyProtection="0"/>
    <xf numFmtId="231" fontId="36" fillId="0" borderId="0" applyFont="0" applyFill="0" applyBorder="0" applyAlignment="0" applyProtection="0"/>
    <xf numFmtId="204" fontId="78" fillId="0" borderId="0" applyFont="0" applyFill="0" applyBorder="0" applyAlignment="0" applyProtection="0"/>
    <xf numFmtId="231" fontId="36" fillId="0" borderId="0" applyFont="0" applyFill="0" applyBorder="0" applyAlignment="0" applyProtection="0"/>
    <xf numFmtId="204" fontId="78" fillId="0" borderId="0" applyFont="0" applyFill="0" applyBorder="0" applyAlignment="0" applyProtection="0"/>
    <xf numFmtId="231" fontId="36" fillId="0" borderId="0" applyFont="0" applyFill="0" applyBorder="0" applyAlignment="0" applyProtection="0"/>
    <xf numFmtId="231" fontId="36" fillId="0" borderId="0" applyFont="0" applyFill="0" applyBorder="0" applyAlignment="0" applyProtection="0"/>
    <xf numFmtId="231" fontId="36" fillId="0" borderId="0" applyFont="0" applyFill="0" applyBorder="0" applyAlignment="0" applyProtection="0"/>
    <xf numFmtId="231" fontId="36" fillId="0" borderId="0" applyFont="0" applyFill="0" applyBorder="0" applyAlignment="0" applyProtection="0"/>
    <xf numFmtId="231" fontId="36" fillId="0" borderId="0" applyFont="0" applyFill="0" applyBorder="0" applyAlignment="0" applyProtection="0"/>
    <xf numFmtId="231" fontId="36" fillId="0" borderId="0" applyFont="0" applyFill="0" applyBorder="0" applyAlignment="0" applyProtection="0"/>
    <xf numFmtId="231" fontId="36" fillId="0" borderId="0" applyFont="0" applyFill="0" applyBorder="0" applyAlignment="0" applyProtection="0"/>
    <xf numFmtId="231" fontId="36" fillId="0" borderId="0" applyFont="0" applyFill="0" applyBorder="0" applyAlignment="0" applyProtection="0"/>
    <xf numFmtId="231" fontId="36" fillId="0" borderId="0" applyFont="0" applyFill="0" applyBorder="0" applyAlignment="0" applyProtection="0"/>
    <xf numFmtId="232" fontId="36" fillId="0" borderId="0" applyFont="0" applyFill="0" applyBorder="0" applyAlignment="0" applyProtection="0"/>
    <xf numFmtId="204" fontId="78" fillId="0" borderId="0" applyFont="0" applyFill="0" applyBorder="0" applyAlignment="0" applyProtection="0"/>
    <xf numFmtId="231" fontId="36" fillId="0" borderId="0" applyFont="0" applyFill="0" applyBorder="0" applyAlignment="0" applyProtection="0"/>
    <xf numFmtId="231" fontId="36" fillId="0" borderId="0" applyFon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80" fillId="0" borderId="0" applyNumberFormat="0" applyFill="0" applyBorder="0" applyProtection="0">
      <alignment vertical="top"/>
    </xf>
    <xf numFmtId="0" fontId="36" fillId="0" borderId="0" applyNumberFormat="0" applyFill="0" applyBorder="0" applyAlignment="0" applyProtection="0"/>
    <xf numFmtId="0" fontId="36" fillId="0" borderId="0" applyNumberFormat="0" applyFill="0" applyBorder="0" applyAlignment="0" applyProtection="0"/>
    <xf numFmtId="0" fontId="80" fillId="0" borderId="0" applyNumberFormat="0" applyFill="0" applyBorder="0" applyProtection="0">
      <alignment vertical="top"/>
    </xf>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80" fillId="0" borderId="0" applyNumberFormat="0" applyFill="0" applyBorder="0" applyProtection="0">
      <alignment vertical="top"/>
    </xf>
    <xf numFmtId="0" fontId="80" fillId="0" borderId="0" applyNumberFormat="0" applyFill="0" applyBorder="0" applyProtection="0">
      <alignment vertical="top"/>
    </xf>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81" fillId="0" borderId="18" applyNumberFormat="0" applyFill="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81" fillId="0" borderId="18" applyNumberFormat="0" applyFill="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81" fillId="0" borderId="18" applyNumberFormat="0" applyFill="0" applyAlignment="0" applyProtection="0"/>
    <xf numFmtId="0" fontId="81" fillId="0" borderId="18" applyNumberFormat="0" applyFill="0" applyAlignment="0" applyProtection="0"/>
    <xf numFmtId="0" fontId="36" fillId="0" borderId="0" applyNumberFormat="0" applyFill="0" applyBorder="0" applyAlignment="0" applyProtection="0"/>
    <xf numFmtId="0" fontId="36" fillId="0" borderId="19" applyNumberFormat="0" applyFill="0" applyProtection="0">
      <alignment horizontal="center"/>
    </xf>
    <xf numFmtId="0" fontId="36" fillId="0" borderId="19" applyNumberFormat="0" applyFill="0" applyProtection="0">
      <alignment horizontal="center"/>
    </xf>
    <xf numFmtId="0" fontId="82" fillId="0" borderId="19" applyNumberFormat="0" applyFill="0" applyProtection="0">
      <alignment horizontal="center"/>
    </xf>
    <xf numFmtId="0" fontId="36" fillId="0" borderId="19" applyNumberFormat="0" applyFill="0" applyProtection="0">
      <alignment horizontal="center"/>
    </xf>
    <xf numFmtId="0" fontId="36" fillId="0" borderId="19" applyNumberFormat="0" applyFill="0" applyProtection="0">
      <alignment horizontal="center"/>
    </xf>
    <xf numFmtId="0" fontId="82" fillId="0" borderId="19" applyNumberFormat="0" applyFill="0" applyProtection="0">
      <alignment horizontal="center"/>
    </xf>
    <xf numFmtId="0" fontId="36" fillId="0" borderId="19" applyNumberFormat="0" applyFill="0" applyProtection="0">
      <alignment horizontal="center"/>
    </xf>
    <xf numFmtId="0" fontId="36" fillId="0" borderId="19" applyNumberFormat="0" applyFill="0" applyProtection="0">
      <alignment horizontal="center"/>
    </xf>
    <xf numFmtId="0" fontId="36" fillId="0" borderId="19" applyNumberFormat="0" applyFill="0" applyProtection="0">
      <alignment horizontal="center"/>
    </xf>
    <xf numFmtId="0" fontId="36" fillId="0" borderId="19" applyNumberFormat="0" applyFill="0" applyProtection="0">
      <alignment horizontal="center"/>
    </xf>
    <xf numFmtId="0" fontId="36" fillId="0" borderId="19" applyNumberFormat="0" applyFill="0" applyProtection="0">
      <alignment horizontal="center"/>
    </xf>
    <xf numFmtId="0" fontId="36" fillId="0" borderId="19" applyNumberFormat="0" applyFill="0" applyProtection="0">
      <alignment horizontal="center"/>
    </xf>
    <xf numFmtId="0" fontId="82" fillId="0" borderId="19" applyNumberFormat="0" applyFill="0" applyProtection="0">
      <alignment horizontal="center"/>
    </xf>
    <xf numFmtId="0" fontId="36" fillId="0" borderId="19" applyNumberFormat="0" applyFill="0" applyProtection="0">
      <alignment horizontal="center"/>
    </xf>
    <xf numFmtId="0" fontId="82" fillId="0" borderId="19" applyNumberFormat="0" applyFill="0" applyProtection="0">
      <alignment horizontal="center"/>
    </xf>
    <xf numFmtId="0" fontId="82" fillId="0" borderId="19" applyNumberFormat="0" applyFill="0" applyProtection="0">
      <alignment horizontal="center"/>
    </xf>
    <xf numFmtId="0" fontId="36" fillId="0" borderId="19" applyNumberFormat="0" applyFill="0" applyProtection="0">
      <alignment horizontal="center"/>
    </xf>
    <xf numFmtId="0" fontId="82" fillId="0" borderId="19" applyNumberFormat="0" applyFill="0" applyProtection="0">
      <alignment horizontal="center"/>
    </xf>
    <xf numFmtId="0" fontId="36" fillId="0" borderId="20" applyNumberFormat="0" applyFont="0" applyFill="0" applyAlignment="0" applyProtection="0"/>
    <xf numFmtId="0" fontId="36" fillId="0" borderId="0" applyNumberFormat="0" applyFill="0" applyBorder="0" applyProtection="0">
      <alignment horizontal="left"/>
    </xf>
    <xf numFmtId="0" fontId="36" fillId="0" borderId="0" applyNumberFormat="0" applyFill="0" applyBorder="0" applyProtection="0">
      <alignment horizontal="left"/>
    </xf>
    <xf numFmtId="0" fontId="82" fillId="0" borderId="0" applyNumberFormat="0" applyFill="0" applyBorder="0" applyProtection="0">
      <alignment horizontal="left"/>
    </xf>
    <xf numFmtId="0" fontId="36" fillId="0" borderId="0" applyNumberFormat="0" applyFill="0" applyBorder="0" applyProtection="0">
      <alignment horizontal="left"/>
    </xf>
    <xf numFmtId="0" fontId="36" fillId="0" borderId="0" applyNumberFormat="0" applyFill="0" applyBorder="0" applyProtection="0">
      <alignment horizontal="left"/>
    </xf>
    <xf numFmtId="0" fontId="82" fillId="0" borderId="0" applyNumberFormat="0" applyFill="0" applyBorder="0" applyProtection="0">
      <alignment horizontal="left"/>
    </xf>
    <xf numFmtId="0" fontId="36" fillId="0" borderId="0" applyNumberFormat="0" applyFill="0" applyBorder="0" applyProtection="0">
      <alignment horizontal="left"/>
    </xf>
    <xf numFmtId="0" fontId="36" fillId="0" borderId="0" applyNumberFormat="0" applyFill="0" applyBorder="0" applyProtection="0">
      <alignment horizontal="left"/>
    </xf>
    <xf numFmtId="0" fontId="36" fillId="0" borderId="0" applyNumberFormat="0" applyFill="0" applyBorder="0" applyProtection="0">
      <alignment horizontal="left"/>
    </xf>
    <xf numFmtId="0" fontId="36" fillId="0" borderId="0" applyNumberFormat="0" applyFill="0" applyBorder="0" applyProtection="0">
      <alignment horizontal="left"/>
    </xf>
    <xf numFmtId="0" fontId="36" fillId="0" borderId="0" applyNumberFormat="0" applyFill="0" applyBorder="0" applyProtection="0">
      <alignment horizontal="left"/>
    </xf>
    <xf numFmtId="0" fontId="36" fillId="0" borderId="0" applyNumberFormat="0" applyFill="0" applyBorder="0" applyProtection="0">
      <alignment horizontal="left"/>
    </xf>
    <xf numFmtId="0" fontId="82" fillId="0" borderId="0" applyNumberFormat="0" applyFill="0" applyBorder="0" applyProtection="0">
      <alignment horizontal="left"/>
    </xf>
    <xf numFmtId="0" fontId="36" fillId="0" borderId="0" applyNumberFormat="0" applyFill="0" applyBorder="0" applyProtection="0">
      <alignment horizontal="left"/>
    </xf>
    <xf numFmtId="0" fontId="82" fillId="0" borderId="0" applyNumberFormat="0" applyFill="0" applyBorder="0" applyProtection="0">
      <alignment horizontal="left"/>
    </xf>
    <xf numFmtId="0" fontId="82" fillId="0" borderId="0" applyNumberFormat="0" applyFill="0" applyBorder="0" applyProtection="0">
      <alignment horizontal="left"/>
    </xf>
    <xf numFmtId="0" fontId="36" fillId="0" borderId="0" applyNumberFormat="0" applyFill="0" applyBorder="0" applyProtection="0">
      <alignment horizontal="left"/>
    </xf>
    <xf numFmtId="0" fontId="82" fillId="0" borderId="0" applyNumberFormat="0" applyFill="0" applyBorder="0" applyProtection="0">
      <alignment horizontal="left"/>
    </xf>
    <xf numFmtId="0" fontId="36" fillId="0" borderId="0" applyNumberFormat="0" applyFill="0" applyBorder="0" applyProtection="0">
      <alignment horizontal="centerContinuous"/>
    </xf>
    <xf numFmtId="0" fontId="36" fillId="0" borderId="0" applyNumberFormat="0" applyFill="0" applyBorder="0" applyProtection="0">
      <alignment horizontal="centerContinuous"/>
    </xf>
    <xf numFmtId="0" fontId="83" fillId="0" borderId="0" applyNumberFormat="0" applyFill="0" applyBorder="0" applyProtection="0">
      <alignment horizontal="centerContinuous"/>
    </xf>
    <xf numFmtId="0" fontId="36" fillId="0" borderId="0" applyNumberFormat="0" applyFill="0" applyBorder="0" applyProtection="0">
      <alignment horizontal="centerContinuous"/>
    </xf>
    <xf numFmtId="0" fontId="36" fillId="0" borderId="0" applyNumberFormat="0" applyFill="0" applyBorder="0" applyProtection="0">
      <alignment horizontal="centerContinuous"/>
    </xf>
    <xf numFmtId="0" fontId="83" fillId="0" borderId="0" applyNumberFormat="0" applyFill="0" applyBorder="0" applyProtection="0">
      <alignment horizontal="centerContinuous"/>
    </xf>
    <xf numFmtId="0" fontId="36" fillId="0" borderId="0" applyNumberFormat="0" applyFill="0" applyBorder="0" applyProtection="0">
      <alignment horizontal="centerContinuous"/>
    </xf>
    <xf numFmtId="0" fontId="36" fillId="0" borderId="0" applyNumberFormat="0" applyFill="0" applyBorder="0" applyProtection="0">
      <alignment horizontal="centerContinuous"/>
    </xf>
    <xf numFmtId="0" fontId="36" fillId="0" borderId="0" applyNumberFormat="0" applyFill="0" applyBorder="0" applyProtection="0">
      <alignment horizontal="centerContinuous"/>
    </xf>
    <xf numFmtId="0" fontId="36" fillId="0" borderId="0" applyNumberFormat="0" applyFill="0" applyBorder="0" applyProtection="0">
      <alignment horizontal="centerContinuous"/>
    </xf>
    <xf numFmtId="0" fontId="36" fillId="0" borderId="0" applyNumberFormat="0" applyFill="0" applyBorder="0" applyProtection="0">
      <alignment horizontal="centerContinuous"/>
    </xf>
    <xf numFmtId="0" fontId="36" fillId="0" borderId="0" applyNumberFormat="0" applyFill="0" applyBorder="0" applyProtection="0">
      <alignment horizontal="centerContinuous"/>
    </xf>
    <xf numFmtId="0" fontId="36" fillId="0" borderId="0" applyNumberFormat="0" applyFill="0" applyBorder="0" applyProtection="0">
      <alignment horizontal="centerContinuous"/>
    </xf>
    <xf numFmtId="0" fontId="83" fillId="0" borderId="0" applyNumberFormat="0" applyFill="0" applyBorder="0" applyProtection="0">
      <alignment horizontal="centerContinuous"/>
    </xf>
    <xf numFmtId="0" fontId="83" fillId="0" borderId="0" applyNumberFormat="0" applyFill="0" applyBorder="0" applyProtection="0">
      <alignment horizontal="centerContinuous"/>
    </xf>
    <xf numFmtId="0" fontId="36" fillId="0" borderId="0" applyNumberFormat="0" applyFill="0" applyBorder="0" applyProtection="0">
      <alignment horizontal="centerContinuous"/>
    </xf>
    <xf numFmtId="0" fontId="83" fillId="0" borderId="0" applyNumberFormat="0" applyFill="0" applyBorder="0" applyProtection="0">
      <alignment horizontal="centerContinuous"/>
    </xf>
    <xf numFmtId="0" fontId="81" fillId="0" borderId="0" applyNumberFormat="0" applyFill="0" applyBorder="0" applyAlignment="0" applyProtection="0"/>
    <xf numFmtId="3" fontId="40" fillId="0" borderId="0"/>
    <xf numFmtId="9" fontId="36" fillId="8" borderId="0"/>
    <xf numFmtId="193" fontId="30" fillId="0" borderId="0"/>
    <xf numFmtId="0" fontId="36" fillId="0" borderId="0"/>
    <xf numFmtId="168" fontId="84" fillId="0" borderId="0"/>
    <xf numFmtId="40" fontId="84" fillId="0" borderId="0"/>
    <xf numFmtId="207" fontId="30" fillId="0" borderId="0"/>
    <xf numFmtId="0" fontId="85" fillId="0" borderId="0"/>
    <xf numFmtId="233" fontId="86" fillId="0" borderId="0"/>
    <xf numFmtId="203" fontId="30" fillId="0" borderId="0"/>
    <xf numFmtId="234" fontId="87" fillId="11" borderId="0" applyNumberFormat="0" applyFont="0" applyBorder="0" applyAlignment="0">
      <alignment horizontal="right"/>
    </xf>
    <xf numFmtId="235" fontId="88" fillId="11" borderId="3" applyFont="0">
      <alignment horizontal="right"/>
    </xf>
    <xf numFmtId="0" fontId="21" fillId="0" borderId="0" applyNumberFormat="0" applyFill="0" applyBorder="0" applyAlignment="0" applyProtection="0"/>
    <xf numFmtId="0" fontId="89" fillId="0" borderId="0" applyNumberFormat="0" applyAlignment="0"/>
    <xf numFmtId="0" fontId="90" fillId="0" borderId="0" applyNumberFormat="0" applyAlignment="0"/>
    <xf numFmtId="0" fontId="91" fillId="0" borderId="0" applyNumberFormat="0" applyAlignment="0"/>
    <xf numFmtId="0" fontId="92" fillId="0" borderId="0" applyNumberFormat="0" applyAlignment="0"/>
    <xf numFmtId="0" fontId="36" fillId="0" borderId="0"/>
    <xf numFmtId="5" fontId="93" fillId="0" borderId="11">
      <alignment horizontal="right"/>
    </xf>
    <xf numFmtId="0" fontId="36" fillId="0" borderId="0" applyNumberFormat="0" applyFill="0" applyBorder="0" applyAlignment="0" applyProtection="0"/>
    <xf numFmtId="0" fontId="93" fillId="0" borderId="0" applyNumberFormat="0" applyFill="0" applyBorder="0" applyAlignment="0" applyProtection="0"/>
    <xf numFmtId="0" fontId="94" fillId="0" borderId="0"/>
    <xf numFmtId="0" fontId="95" fillId="0" borderId="0" applyNumberFormat="0" applyFill="0" applyBorder="0" applyAlignment="0"/>
    <xf numFmtId="0" fontId="96" fillId="0" borderId="0" applyNumberFormat="0" applyFill="0" applyBorder="0" applyAlignment="0" applyProtection="0"/>
    <xf numFmtId="0" fontId="30" fillId="0" borderId="11" applyNumberFormat="0" applyFont="0" applyFill="0" applyAlignment="0" applyProtection="0"/>
    <xf numFmtId="0" fontId="70" fillId="0" borderId="21" applyNumberFormat="0" applyFont="0" applyFill="0" applyProtection="0">
      <alignment horizontal="centerContinuous"/>
    </xf>
    <xf numFmtId="0" fontId="29" fillId="0" borderId="1" applyNumberFormat="0" applyFont="0" applyFill="0" applyAlignment="0" applyProtection="0"/>
    <xf numFmtId="0" fontId="29" fillId="0" borderId="2" applyNumberFormat="0" applyFont="0" applyFill="0" applyAlignment="0" applyProtection="0"/>
    <xf numFmtId="0" fontId="29" fillId="0" borderId="8" applyNumberFormat="0" applyFont="0" applyFill="0" applyAlignment="0" applyProtection="0"/>
    <xf numFmtId="0" fontId="29" fillId="0" borderId="4" applyNumberFormat="0" applyFont="0" applyFill="0" applyAlignment="0" applyProtection="0"/>
    <xf numFmtId="236" fontId="97" fillId="0" borderId="0" applyFont="0" applyFill="0" applyBorder="0" applyAlignment="0" applyProtection="0"/>
    <xf numFmtId="0" fontId="98" fillId="0" borderId="0"/>
    <xf numFmtId="0" fontId="99" fillId="0" borderId="0"/>
    <xf numFmtId="2" fontId="21" fillId="12" borderId="0" applyNumberFormat="0" applyFont="0" applyBorder="0" applyAlignment="0" applyProtection="0"/>
    <xf numFmtId="237" fontId="36" fillId="0" borderId="0" applyFill="0" applyBorder="0" applyAlignment="0"/>
    <xf numFmtId="175" fontId="45" fillId="0" borderId="0" applyFill="0" applyBorder="0" applyAlignment="0"/>
    <xf numFmtId="238" fontId="45" fillId="0" borderId="0" applyFill="0" applyBorder="0" applyAlignment="0"/>
    <xf numFmtId="239" fontId="36" fillId="0" borderId="0" applyFill="0" applyBorder="0" applyAlignment="0"/>
    <xf numFmtId="240" fontId="36" fillId="0" borderId="0" applyFill="0" applyBorder="0" applyAlignment="0"/>
    <xf numFmtId="44" fontId="45" fillId="0" borderId="0" applyFill="0" applyBorder="0" applyAlignment="0"/>
    <xf numFmtId="241" fontId="45" fillId="0" borderId="0" applyFill="0" applyBorder="0" applyAlignment="0"/>
    <xf numFmtId="175" fontId="45" fillId="0" borderId="0" applyFill="0" applyBorder="0" applyAlignment="0"/>
    <xf numFmtId="0" fontId="21" fillId="0" borderId="0" applyNumberFormat="0" applyFill="0" applyBorder="0" applyAlignment="0" applyProtection="0"/>
    <xf numFmtId="0" fontId="100" fillId="0" borderId="0" applyNumberFormat="0" applyFill="0" applyBorder="0" applyAlignment="0" applyProtection="0"/>
    <xf numFmtId="242" fontId="101" fillId="0" borderId="0"/>
    <xf numFmtId="242" fontId="101" fillId="0" borderId="0"/>
    <xf numFmtId="242" fontId="101" fillId="0" borderId="0"/>
    <xf numFmtId="242" fontId="101" fillId="0" borderId="0"/>
    <xf numFmtId="242" fontId="101" fillId="0" borderId="0"/>
    <xf numFmtId="242" fontId="101" fillId="0" borderId="0"/>
    <xf numFmtId="242" fontId="101" fillId="0" borderId="0"/>
    <xf numFmtId="242" fontId="101" fillId="0" borderId="0"/>
    <xf numFmtId="243" fontId="45" fillId="0" borderId="1"/>
    <xf numFmtId="38" fontId="102" fillId="0" borderId="0" applyFont="0" applyFill="0" applyBorder="0" applyAlignment="0" applyProtection="0"/>
    <xf numFmtId="44" fontId="45" fillId="0" borderId="0" applyFont="0" applyFill="0" applyBorder="0" applyAlignment="0" applyProtection="0"/>
    <xf numFmtId="38" fontId="103" fillId="0" borderId="0">
      <alignment horizontal="center"/>
      <protection locked="0"/>
    </xf>
    <xf numFmtId="244" fontId="104" fillId="0" borderId="0" applyFont="0" applyFill="0" applyBorder="0" applyAlignment="0" applyProtection="0">
      <alignment horizontal="right"/>
    </xf>
    <xf numFmtId="245" fontId="105" fillId="0" borderId="0" applyFont="0" applyFill="0" applyBorder="0" applyAlignment="0" applyProtection="0"/>
    <xf numFmtId="246" fontId="105" fillId="0" borderId="0" applyFill="0" applyBorder="0" applyProtection="0"/>
    <xf numFmtId="175" fontId="102" fillId="0" borderId="0" applyFont="0" applyFill="0" applyBorder="0" applyAlignment="0" applyProtection="0"/>
    <xf numFmtId="40" fontId="29" fillId="0" borderId="0" applyFont="0" applyFill="0" applyBorder="0" applyAlignment="0" applyProtection="0"/>
    <xf numFmtId="206" fontId="106" fillId="0" borderId="0" applyFont="0" applyFill="0" applyBorder="0" applyAlignment="0" applyProtection="0"/>
    <xf numFmtId="247" fontId="107" fillId="0" borderId="0" applyFont="0" applyFill="0" applyBorder="0">
      <alignment horizontal="right"/>
    </xf>
    <xf numFmtId="248" fontId="108" fillId="0" borderId="0" applyFont="0" applyFill="0" applyBorder="0" applyAlignment="0"/>
    <xf numFmtId="249" fontId="107" fillId="0" borderId="0" applyFont="0" applyFill="0" applyBorder="0" applyAlignment="0"/>
    <xf numFmtId="250" fontId="109" fillId="9" borderId="4" applyFont="0" applyFill="0" applyBorder="0" applyAlignment="0"/>
    <xf numFmtId="3" fontId="110" fillId="0" borderId="0" applyFont="0" applyFill="0" applyBorder="0" applyAlignment="0" applyProtection="0"/>
    <xf numFmtId="0" fontId="111" fillId="0" borderId="0" applyNumberFormat="0" applyFill="0" applyBorder="0">
      <alignment horizontal="right"/>
    </xf>
    <xf numFmtId="0" fontId="36" fillId="0" borderId="0" applyNumberFormat="0" applyAlignment="0">
      <alignment horizontal="left"/>
    </xf>
    <xf numFmtId="0" fontId="36" fillId="0" borderId="0">
      <protection locked="0"/>
    </xf>
    <xf numFmtId="0" fontId="112" fillId="0" borderId="0">
      <alignment horizontal="left"/>
    </xf>
    <xf numFmtId="0" fontId="113" fillId="0" borderId="0"/>
    <xf numFmtId="0" fontId="114" fillId="0" borderId="0">
      <alignment horizontal="left"/>
    </xf>
    <xf numFmtId="168" fontId="40" fillId="0" borderId="0"/>
    <xf numFmtId="175" fontId="45" fillId="0" borderId="0" applyFont="0" applyFill="0" applyBorder="0" applyAlignment="0" applyProtection="0"/>
    <xf numFmtId="8" fontId="115" fillId="0" borderId="22">
      <protection locked="0"/>
    </xf>
    <xf numFmtId="251" fontId="104" fillId="0" borderId="0" applyFont="0" applyFill="0" applyBorder="0" applyAlignment="0" applyProtection="0">
      <alignment horizontal="right"/>
    </xf>
    <xf numFmtId="205" fontId="106" fillId="0" borderId="0" applyFont="0" applyFill="0" applyBorder="0" applyAlignment="0" applyProtection="0"/>
    <xf numFmtId="8" fontId="29" fillId="0" borderId="0" applyFont="0" applyFill="0" applyBorder="0" applyAlignment="0" applyProtection="0"/>
    <xf numFmtId="200" fontId="106" fillId="0" borderId="0" applyFont="0" applyFill="0" applyBorder="0" applyAlignment="0" applyProtection="0"/>
    <xf numFmtId="252" fontId="116" fillId="0" borderId="0" applyFont="0" applyFill="0" applyBorder="0"/>
    <xf numFmtId="253" fontId="117" fillId="0" borderId="0" applyFont="0" applyFill="0" applyBorder="0" applyAlignment="0"/>
    <xf numFmtId="254" fontId="118" fillId="0" borderId="1" applyFont="0" applyFill="0" applyBorder="0" applyAlignment="0"/>
    <xf numFmtId="169" fontId="110" fillId="0" borderId="0" applyFont="0" applyFill="0" applyBorder="0" applyAlignment="0" applyProtection="0"/>
    <xf numFmtId="255" fontId="104" fillId="0" borderId="0" applyFill="0" applyBorder="0" applyProtection="0">
      <alignment vertical="center"/>
    </xf>
    <xf numFmtId="0" fontId="36" fillId="2" borderId="0" applyFont="0" applyBorder="0"/>
    <xf numFmtId="0" fontId="119" fillId="0" borderId="0"/>
    <xf numFmtId="256" fontId="73" fillId="2" borderId="8">
      <alignment horizontal="right"/>
    </xf>
    <xf numFmtId="257" fontId="104" fillId="0" borderId="0" applyNumberFormat="0">
      <alignment horizontal="right"/>
    </xf>
    <xf numFmtId="17" fontId="22" fillId="0" borderId="0" applyFill="0" applyBorder="0">
      <alignment horizontal="right"/>
    </xf>
    <xf numFmtId="258" fontId="104" fillId="0" borderId="0" applyFont="0" applyFill="0" applyBorder="0" applyAlignment="0" applyProtection="0"/>
    <xf numFmtId="14" fontId="120" fillId="0" borderId="0" applyFill="0" applyBorder="0" applyAlignment="0"/>
    <xf numFmtId="14" fontId="84" fillId="0" borderId="0"/>
    <xf numFmtId="259" fontId="121" fillId="9" borderId="0" applyFont="0" applyFill="0">
      <alignment horizontal="right"/>
    </xf>
    <xf numFmtId="1" fontId="37" fillId="0" borderId="0" applyFont="0" applyFill="0" applyBorder="0" applyAlignment="0" applyProtection="0">
      <alignment horizontal="right"/>
    </xf>
    <xf numFmtId="2" fontId="122" fillId="13" borderId="0">
      <alignment horizontal="left"/>
      <protection hidden="1"/>
    </xf>
    <xf numFmtId="260" fontId="104" fillId="0" borderId="23" applyNumberFormat="0" applyFont="0" applyFill="0" applyAlignment="0" applyProtection="0"/>
    <xf numFmtId="42" fontId="123" fillId="0" borderId="0" applyFill="0" applyBorder="0" applyAlignment="0" applyProtection="0"/>
    <xf numFmtId="1" fontId="30" fillId="0" borderId="0"/>
    <xf numFmtId="180" fontId="118" fillId="0" borderId="1" applyFont="0" applyFill="0" applyBorder="0">
      <alignment horizontal="center"/>
    </xf>
    <xf numFmtId="44" fontId="45" fillId="0" borderId="0" applyFill="0" applyBorder="0" applyAlignment="0"/>
    <xf numFmtId="175" fontId="45" fillId="0" borderId="0" applyFill="0" applyBorder="0" applyAlignment="0"/>
    <xf numFmtId="44" fontId="45" fillId="0" borderId="0" applyFill="0" applyBorder="0" applyAlignment="0"/>
    <xf numFmtId="241" fontId="45" fillId="0" borderId="0" applyFill="0" applyBorder="0" applyAlignment="0"/>
    <xf numFmtId="175" fontId="45" fillId="0" borderId="0" applyFill="0" applyBorder="0" applyAlignment="0"/>
    <xf numFmtId="0" fontId="36" fillId="0" borderId="0" applyNumberFormat="0" applyAlignment="0">
      <alignment horizontal="left"/>
    </xf>
    <xf numFmtId="9" fontId="124" fillId="0" borderId="5" applyNumberFormat="0" applyBorder="0" applyAlignment="0">
      <protection locked="0"/>
    </xf>
    <xf numFmtId="0" fontId="30" fillId="14" borderId="24" applyNumberFormat="0" applyFont="0" applyAlignment="0">
      <protection locked="0"/>
    </xf>
    <xf numFmtId="261" fontId="125" fillId="0" borderId="0"/>
    <xf numFmtId="262" fontId="73" fillId="0" borderId="0"/>
    <xf numFmtId="263" fontId="73" fillId="0" borderId="0"/>
    <xf numFmtId="264" fontId="73" fillId="0" borderId="0"/>
    <xf numFmtId="39" fontId="73" fillId="7" borderId="0"/>
    <xf numFmtId="265" fontId="73" fillId="0" borderId="0"/>
    <xf numFmtId="266" fontId="73" fillId="0" borderId="0"/>
    <xf numFmtId="178" fontId="37" fillId="0" borderId="0" applyFont="0" applyFill="0" applyBorder="0" applyAlignment="0" applyProtection="0"/>
    <xf numFmtId="267" fontId="21" fillId="15" borderId="4" applyNumberFormat="0" applyFont="0" applyBorder="0" applyAlignment="0" applyProtection="0">
      <alignment horizontal="right"/>
    </xf>
    <xf numFmtId="268" fontId="86" fillId="0" borderId="0">
      <alignment horizontal="right"/>
    </xf>
    <xf numFmtId="175" fontId="37" fillId="0" borderId="0" applyFont="0" applyFill="0" applyBorder="0" applyAlignment="0" applyProtection="0">
      <alignment horizontal="right"/>
    </xf>
    <xf numFmtId="0" fontId="70" fillId="0" borderId="3" applyFont="0" applyFill="0" applyBorder="0" applyAlignment="0" applyProtection="0">
      <alignment horizontal="center"/>
    </xf>
    <xf numFmtId="0" fontId="126" fillId="0" borderId="0">
      <alignment horizontal="left"/>
    </xf>
    <xf numFmtId="0" fontId="127" fillId="0" borderId="0">
      <alignment horizontal="left"/>
    </xf>
    <xf numFmtId="0" fontId="128" fillId="0" borderId="0" applyNumberFormat="0" applyFill="0" applyBorder="0" applyProtection="0">
      <alignment horizontal="left"/>
    </xf>
    <xf numFmtId="0" fontId="128" fillId="0" borderId="0" applyFill="0" applyBorder="0" applyProtection="0">
      <alignment vertical="center"/>
    </xf>
    <xf numFmtId="0" fontId="129" fillId="0" borderId="0" applyNumberFormat="0" applyFill="0" applyBorder="0" applyAlignment="0" applyProtection="0"/>
    <xf numFmtId="1" fontId="21" fillId="0" borderId="0" applyNumberFormat="0" applyBorder="0" applyAlignment="0" applyProtection="0"/>
    <xf numFmtId="262" fontId="73" fillId="0" borderId="25"/>
    <xf numFmtId="0" fontId="73" fillId="2" borderId="8">
      <alignment horizontal="right"/>
    </xf>
    <xf numFmtId="269" fontId="73" fillId="2" borderId="8">
      <alignment horizontal="right"/>
    </xf>
    <xf numFmtId="269" fontId="73" fillId="2" borderId="8">
      <alignment horizontal="right"/>
    </xf>
    <xf numFmtId="0" fontId="73" fillId="2" borderId="8">
      <alignment horizontal="right"/>
    </xf>
    <xf numFmtId="0" fontId="73" fillId="2" borderId="8">
      <alignment horizontal="right"/>
    </xf>
    <xf numFmtId="0" fontId="73" fillId="2" borderId="8">
      <alignment horizontal="right"/>
    </xf>
    <xf numFmtId="269" fontId="73" fillId="2" borderId="8">
      <alignment horizontal="right"/>
    </xf>
    <xf numFmtId="269" fontId="73" fillId="2" borderId="8">
      <alignment horizontal="right"/>
    </xf>
    <xf numFmtId="269" fontId="73" fillId="2" borderId="8">
      <alignment horizontal="right"/>
    </xf>
    <xf numFmtId="0" fontId="73" fillId="2" borderId="8">
      <alignment horizontal="right"/>
    </xf>
    <xf numFmtId="269" fontId="73" fillId="2" borderId="8">
      <alignment horizontal="right"/>
    </xf>
    <xf numFmtId="269" fontId="73" fillId="2" borderId="8">
      <alignment horizontal="right"/>
    </xf>
    <xf numFmtId="0" fontId="73" fillId="2" borderId="8">
      <alignment horizontal="right"/>
    </xf>
    <xf numFmtId="0" fontId="73" fillId="2" borderId="8">
      <alignment horizontal="right"/>
    </xf>
    <xf numFmtId="269" fontId="73" fillId="2" borderId="8">
      <alignment horizontal="right"/>
    </xf>
    <xf numFmtId="269" fontId="73" fillId="2" borderId="8">
      <alignment horizontal="right"/>
    </xf>
    <xf numFmtId="0" fontId="73" fillId="2" borderId="8">
      <alignment horizontal="right"/>
    </xf>
    <xf numFmtId="269" fontId="73" fillId="2" borderId="8">
      <alignment horizontal="right"/>
    </xf>
    <xf numFmtId="270" fontId="130" fillId="0" borderId="0">
      <alignment vertical="center"/>
    </xf>
    <xf numFmtId="38" fontId="21" fillId="2" borderId="0" applyNumberFormat="0" applyBorder="0" applyAlignment="0" applyProtection="0"/>
    <xf numFmtId="49" fontId="129" fillId="0" borderId="0">
      <alignment horizontal="right"/>
    </xf>
    <xf numFmtId="49" fontId="129" fillId="0" borderId="0">
      <alignment horizontal="right"/>
    </xf>
    <xf numFmtId="49" fontId="129" fillId="0" borderId="0">
      <alignment horizontal="right"/>
    </xf>
    <xf numFmtId="49" fontId="129" fillId="0" borderId="0">
      <alignment horizontal="right"/>
    </xf>
    <xf numFmtId="49" fontId="129" fillId="0" borderId="0">
      <alignment horizontal="right"/>
    </xf>
    <xf numFmtId="49" fontId="129" fillId="0" borderId="0">
      <alignment horizontal="right"/>
    </xf>
    <xf numFmtId="49" fontId="129" fillId="0" borderId="0">
      <alignment horizontal="right"/>
    </xf>
    <xf numFmtId="49" fontId="129" fillId="0" borderId="0">
      <alignment horizontal="right"/>
    </xf>
    <xf numFmtId="49" fontId="129" fillId="0" borderId="0">
      <alignment horizontal="right"/>
    </xf>
    <xf numFmtId="49" fontId="129" fillId="0" borderId="0">
      <alignment horizontal="right"/>
    </xf>
    <xf numFmtId="49" fontId="129" fillId="0" borderId="0">
      <alignment horizontal="right"/>
    </xf>
    <xf numFmtId="49" fontId="129" fillId="0" borderId="0">
      <alignment horizontal="right"/>
    </xf>
    <xf numFmtId="49" fontId="129" fillId="0" borderId="0">
      <alignment horizontal="right"/>
    </xf>
    <xf numFmtId="49" fontId="129" fillId="0" borderId="0">
      <alignment horizontal="right"/>
    </xf>
    <xf numFmtId="49" fontId="129" fillId="0" borderId="0">
      <alignment horizontal="right"/>
    </xf>
    <xf numFmtId="49" fontId="129" fillId="0" borderId="0">
      <alignment horizontal="right"/>
    </xf>
    <xf numFmtId="49" fontId="131" fillId="0" borderId="0">
      <alignment horizontal="right"/>
    </xf>
    <xf numFmtId="270" fontId="132" fillId="0" borderId="0">
      <alignment vertical="center"/>
    </xf>
    <xf numFmtId="271" fontId="22" fillId="16" borderId="5" applyNumberFormat="0" applyFont="0" applyAlignment="0"/>
    <xf numFmtId="272" fontId="104" fillId="0" borderId="0" applyFont="0" applyFill="0" applyBorder="0" applyAlignment="0" applyProtection="0">
      <alignment horizontal="right"/>
    </xf>
    <xf numFmtId="0" fontId="133" fillId="0" borderId="0" applyProtection="0">
      <alignment horizontal="right"/>
    </xf>
    <xf numFmtId="0" fontId="134" fillId="0" borderId="0">
      <alignment horizontal="left"/>
    </xf>
    <xf numFmtId="0" fontId="135" fillId="0" borderId="0">
      <alignment horizontal="right"/>
    </xf>
    <xf numFmtId="0" fontId="54" fillId="0" borderId="13" applyNumberFormat="0" applyAlignment="0" applyProtection="0">
      <alignment horizontal="left" vertical="center"/>
    </xf>
    <xf numFmtId="0" fontId="54" fillId="0" borderId="3">
      <alignment horizontal="left" vertical="center"/>
    </xf>
    <xf numFmtId="0" fontId="136" fillId="0" borderId="0">
      <alignment horizontal="center"/>
    </xf>
    <xf numFmtId="0" fontId="137" fillId="4" borderId="5">
      <alignment horizontal="centerContinuous"/>
    </xf>
    <xf numFmtId="0" fontId="138" fillId="0" borderId="0">
      <alignment horizontal="left"/>
    </xf>
    <xf numFmtId="0" fontId="139" fillId="0" borderId="2">
      <alignment horizontal="left" vertical="top"/>
    </xf>
    <xf numFmtId="0" fontId="140" fillId="0" borderId="0">
      <alignment horizontal="left"/>
    </xf>
    <xf numFmtId="0" fontId="141" fillId="0" borderId="2">
      <alignment horizontal="left" vertical="top"/>
    </xf>
    <xf numFmtId="0" fontId="142" fillId="0" borderId="0">
      <alignment horizontal="left"/>
    </xf>
    <xf numFmtId="0" fontId="54" fillId="0" borderId="0"/>
    <xf numFmtId="0" fontId="143" fillId="0" borderId="0">
      <alignment horizontal="right" vertical="center"/>
      <protection locked="0"/>
    </xf>
    <xf numFmtId="273" fontId="129" fillId="0" borderId="0" applyBorder="0" applyAlignment="0"/>
    <xf numFmtId="10" fontId="21" fillId="16" borderId="5" applyNumberFormat="0" applyBorder="0" applyAlignment="0" applyProtection="0"/>
    <xf numFmtId="0" fontId="102" fillId="17" borderId="0" applyNumberFormat="0" applyFont="0" applyBorder="0" applyAlignment="0" applyProtection="0"/>
    <xf numFmtId="274" fontId="144" fillId="0" borderId="0" applyFill="0" applyBorder="0" applyProtection="0"/>
    <xf numFmtId="275" fontId="144" fillId="0" borderId="0" applyFill="0" applyBorder="0" applyProtection="0"/>
    <xf numFmtId="276" fontId="105" fillId="0" borderId="0" applyFill="0" applyBorder="0" applyProtection="0"/>
    <xf numFmtId="165" fontId="36" fillId="0" borderId="0" applyFill="0" applyBorder="0" applyProtection="0"/>
    <xf numFmtId="198" fontId="144" fillId="0" borderId="0" applyFill="0" applyBorder="0" applyProtection="0"/>
    <xf numFmtId="262" fontId="36" fillId="0" borderId="0" applyFill="0" applyBorder="0" applyProtection="0">
      <alignment vertical="center"/>
    </xf>
    <xf numFmtId="255" fontId="145" fillId="0" borderId="0" applyFill="0" applyBorder="0" applyProtection="0">
      <alignment vertical="center"/>
    </xf>
    <xf numFmtId="263" fontId="36" fillId="0" borderId="0" applyFont="0" applyFill="0" applyBorder="0" applyAlignment="0">
      <protection locked="0"/>
    </xf>
    <xf numFmtId="198" fontId="105" fillId="0" borderId="0" applyFont="0" applyFill="0" applyBorder="0" applyAlignment="0">
      <protection locked="0"/>
    </xf>
    <xf numFmtId="277" fontId="36" fillId="0" borderId="0" applyFill="0" applyBorder="0" applyProtection="0">
      <alignment vertical="center"/>
    </xf>
    <xf numFmtId="278" fontId="36" fillId="0" borderId="0" applyFill="0" applyBorder="0" applyProtection="0">
      <alignment vertical="center"/>
    </xf>
    <xf numFmtId="181" fontId="105" fillId="0" borderId="1" applyFill="0"/>
    <xf numFmtId="0" fontId="146" fillId="0" borderId="0"/>
    <xf numFmtId="175" fontId="36" fillId="0" borderId="0" applyFont="0" applyFill="0" applyBorder="0" applyAlignment="0" applyProtection="0"/>
    <xf numFmtId="279" fontId="22" fillId="0" borderId="0" applyNumberFormat="0" applyFill="0" applyBorder="0" applyAlignment="0" applyProtection="0"/>
    <xf numFmtId="0" fontId="147" fillId="0" borderId="0"/>
    <xf numFmtId="44" fontId="45" fillId="0" borderId="0" applyFill="0" applyBorder="0" applyAlignment="0"/>
    <xf numFmtId="175" fontId="45" fillId="0" borderId="0" applyFill="0" applyBorder="0" applyAlignment="0"/>
    <xf numFmtId="44" fontId="45" fillId="0" borderId="0" applyFill="0" applyBorder="0" applyAlignment="0"/>
    <xf numFmtId="241" fontId="45" fillId="0" borderId="0" applyFill="0" applyBorder="0" applyAlignment="0"/>
    <xf numFmtId="175" fontId="45" fillId="0" borderId="0" applyFill="0" applyBorder="0" applyAlignment="0"/>
    <xf numFmtId="0" fontId="73" fillId="0" borderId="0">
      <alignment horizontal="right"/>
    </xf>
    <xf numFmtId="277" fontId="73" fillId="0" borderId="0">
      <alignment horizontal="right"/>
    </xf>
    <xf numFmtId="280" fontId="73" fillId="0" borderId="0">
      <alignment horizontal="right"/>
    </xf>
    <xf numFmtId="280" fontId="73" fillId="0" borderId="0">
      <alignment horizontal="right"/>
    </xf>
    <xf numFmtId="0" fontId="73" fillId="0" borderId="0">
      <alignment horizontal="right"/>
    </xf>
    <xf numFmtId="0" fontId="73" fillId="0" borderId="0">
      <alignment horizontal="right"/>
    </xf>
    <xf numFmtId="0" fontId="73" fillId="0" borderId="0">
      <alignment horizontal="right"/>
    </xf>
    <xf numFmtId="280" fontId="73" fillId="0" borderId="0">
      <alignment horizontal="right"/>
    </xf>
    <xf numFmtId="280" fontId="73" fillId="0" borderId="0">
      <alignment horizontal="right"/>
    </xf>
    <xf numFmtId="280" fontId="73" fillId="0" borderId="0">
      <alignment horizontal="right"/>
    </xf>
    <xf numFmtId="0" fontId="73" fillId="0" borderId="0">
      <alignment horizontal="right"/>
    </xf>
    <xf numFmtId="280" fontId="73" fillId="0" borderId="0">
      <alignment horizontal="right"/>
    </xf>
    <xf numFmtId="280" fontId="73" fillId="0" borderId="0">
      <alignment horizontal="right"/>
    </xf>
    <xf numFmtId="0" fontId="73" fillId="0" borderId="0">
      <alignment horizontal="right"/>
    </xf>
    <xf numFmtId="0" fontId="73" fillId="0" borderId="0">
      <alignment horizontal="right"/>
    </xf>
    <xf numFmtId="280" fontId="73" fillId="0" borderId="0">
      <alignment horizontal="right"/>
    </xf>
    <xf numFmtId="280" fontId="73" fillId="0" borderId="0">
      <alignment horizontal="right"/>
    </xf>
    <xf numFmtId="0" fontId="73" fillId="0" borderId="0">
      <alignment horizontal="right"/>
    </xf>
    <xf numFmtId="280" fontId="73" fillId="0" borderId="0">
      <alignment horizontal="right"/>
    </xf>
    <xf numFmtId="0" fontId="148" fillId="0" borderId="0"/>
    <xf numFmtId="1" fontId="34" fillId="0" borderId="0"/>
    <xf numFmtId="281" fontId="36" fillId="0" borderId="0" applyFont="0" applyFill="0" applyBorder="0" applyAlignment="0" applyProtection="0"/>
    <xf numFmtId="282" fontId="36" fillId="0" borderId="0" applyFont="0" applyFill="0" applyBorder="0" applyAlignment="0" applyProtection="0"/>
    <xf numFmtId="278" fontId="73" fillId="0" borderId="0">
      <alignment horizontal="right"/>
    </xf>
    <xf numFmtId="14" fontId="29" fillId="0" borderId="0" applyFont="0" applyFill="0" applyBorder="0" applyAlignment="0" applyProtection="0"/>
    <xf numFmtId="283" fontId="73" fillId="2" borderId="8">
      <alignment horizontal="right"/>
    </xf>
    <xf numFmtId="0" fontId="149" fillId="0" borderId="11"/>
    <xf numFmtId="0" fontId="150" fillId="18" borderId="0"/>
    <xf numFmtId="284" fontId="36" fillId="3" borderId="26" applyFont="0" applyFill="0" applyBorder="0" applyAlignment="0">
      <alignment horizontal="center"/>
    </xf>
    <xf numFmtId="277" fontId="36" fillId="0" borderId="0" applyFill="0" applyBorder="0" applyProtection="0">
      <alignment vertical="center"/>
    </xf>
    <xf numFmtId="285" fontId="36" fillId="0" borderId="0" applyFont="0" applyFill="0" applyBorder="0" applyAlignment="0" applyProtection="0">
      <alignment horizontal="right"/>
    </xf>
    <xf numFmtId="37" fontId="151" fillId="0" borderId="0"/>
    <xf numFmtId="222" fontId="152" fillId="0" borderId="0"/>
    <xf numFmtId="0" fontId="20" fillId="0" borderId="0"/>
    <xf numFmtId="2" fontId="102" fillId="0" borderId="0" applyBorder="0" applyProtection="0"/>
    <xf numFmtId="246" fontId="104" fillId="0" borderId="0" applyFill="0" applyBorder="0" applyProtection="0">
      <alignment vertical="center"/>
    </xf>
    <xf numFmtId="0" fontId="36" fillId="0" borderId="0"/>
    <xf numFmtId="0" fontId="140" fillId="0" borderId="0"/>
    <xf numFmtId="39" fontId="86" fillId="0" borderId="0"/>
    <xf numFmtId="174" fontId="21" fillId="0" borderId="0" applyNumberFormat="0" applyFill="0" applyBorder="0" applyAlignment="0" applyProtection="0"/>
    <xf numFmtId="0" fontId="22" fillId="0" borderId="0" applyNumberFormat="0" applyFill="0" applyBorder="0" applyAlignment="0" applyProtection="0"/>
    <xf numFmtId="286" fontId="153" fillId="0" borderId="0" applyNumberFormat="0" applyFill="0" applyBorder="0" applyAlignment="0" applyProtection="0"/>
    <xf numFmtId="0" fontId="154" fillId="0" borderId="0" applyNumberFormat="0" applyFill="0" applyBorder="0" applyAlignment="0" applyProtection="0"/>
    <xf numFmtId="0" fontId="21" fillId="0" borderId="0" applyNumberForma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0" fontId="155" fillId="0" borderId="0" applyNumberFormat="0" applyAlignment="0"/>
    <xf numFmtId="0" fontId="156" fillId="0" borderId="0" applyNumberFormat="0" applyAlignment="0"/>
    <xf numFmtId="0" fontId="157" fillId="0" borderId="0" applyNumberFormat="0" applyAlignment="0"/>
    <xf numFmtId="0" fontId="119" fillId="0" borderId="0"/>
    <xf numFmtId="40" fontId="158" fillId="19" borderId="0">
      <alignment horizontal="right"/>
    </xf>
    <xf numFmtId="0" fontId="159" fillId="19" borderId="0">
      <alignment horizontal="center" vertical="center"/>
    </xf>
    <xf numFmtId="0" fontId="160" fillId="19" borderId="8"/>
    <xf numFmtId="0" fontId="159" fillId="19" borderId="0" applyBorder="0">
      <alignment horizontal="centerContinuous"/>
    </xf>
    <xf numFmtId="0" fontId="161" fillId="19" borderId="0" applyBorder="0">
      <alignment horizontal="centerContinuous"/>
    </xf>
    <xf numFmtId="0" fontId="52" fillId="0" borderId="0" applyNumberFormat="0" applyFill="0" applyBorder="0">
      <alignment horizontal="left"/>
    </xf>
    <xf numFmtId="0" fontId="162" fillId="0" borderId="0" applyFill="0" applyBorder="0" applyProtection="0">
      <alignment horizontal="left"/>
    </xf>
    <xf numFmtId="0" fontId="163" fillId="0" borderId="0" applyFill="0" applyBorder="0" applyProtection="0">
      <alignment horizontal="left"/>
    </xf>
    <xf numFmtId="1" fontId="164" fillId="0" borderId="0" applyProtection="0">
      <alignment horizontal="right" vertical="center"/>
    </xf>
    <xf numFmtId="0" fontId="140" fillId="0" borderId="0" applyNumberFormat="0" applyFill="0" applyBorder="0" applyAlignment="0" applyProtection="0"/>
    <xf numFmtId="287" fontId="73" fillId="0" borderId="0"/>
    <xf numFmtId="181" fontId="30" fillId="0" borderId="0" applyFont="0" applyFill="0" applyBorder="0" applyAlignment="0" applyProtection="0">
      <alignment horizontal="right"/>
    </xf>
    <xf numFmtId="288" fontId="36" fillId="7" borderId="0"/>
    <xf numFmtId="289" fontId="73" fillId="0" borderId="0"/>
    <xf numFmtId="2" fontId="30" fillId="0" borderId="0"/>
    <xf numFmtId="240" fontId="36" fillId="0" borderId="0" applyFont="0" applyFill="0" applyBorder="0" applyAlignment="0" applyProtection="0"/>
    <xf numFmtId="290" fontId="36" fillId="0" borderId="0" applyFont="0" applyFill="0" applyBorder="0" applyAlignment="0" applyProtection="0"/>
    <xf numFmtId="197" fontId="36" fillId="0" borderId="0" applyFont="0" applyFill="0" applyBorder="0" applyAlignment="0" applyProtection="0"/>
    <xf numFmtId="9" fontId="29" fillId="0" borderId="0" applyFont="0" applyFill="0" applyBorder="0" applyAlignment="0" applyProtection="0"/>
    <xf numFmtId="9" fontId="20" fillId="0" borderId="0" applyFont="0" applyFill="0" applyBorder="0" applyAlignment="0" applyProtection="0"/>
    <xf numFmtId="291" fontId="30" fillId="0" borderId="0" applyFont="0" applyFill="0" applyBorder="0" applyProtection="0">
      <alignment horizontal="right"/>
    </xf>
    <xf numFmtId="292" fontId="36" fillId="0" borderId="1" applyFont="0" applyFill="0" applyBorder="0" applyAlignment="0">
      <alignment horizontal="right"/>
    </xf>
    <xf numFmtId="293" fontId="36" fillId="0" borderId="0" applyFont="0" applyFill="0" applyBorder="0"/>
    <xf numFmtId="278" fontId="36" fillId="0" borderId="0" applyFill="0" applyBorder="0" applyProtection="0">
      <alignment vertical="center"/>
    </xf>
    <xf numFmtId="293" fontId="36" fillId="0" borderId="0" applyFont="0" applyFill="0"/>
    <xf numFmtId="294" fontId="153" fillId="0" borderId="0"/>
    <xf numFmtId="295" fontId="36" fillId="0" borderId="0" applyFill="0" applyBorder="0" applyAlignment="0" applyProtection="0"/>
    <xf numFmtId="44" fontId="45" fillId="0" borderId="0" applyFill="0" applyBorder="0" applyAlignment="0"/>
    <xf numFmtId="175" fontId="45" fillId="0" borderId="0" applyFill="0" applyBorder="0" applyAlignment="0"/>
    <xf numFmtId="44" fontId="45" fillId="0" borderId="0" applyFill="0" applyBorder="0" applyAlignment="0"/>
    <xf numFmtId="241" fontId="45" fillId="0" borderId="0" applyFill="0" applyBorder="0" applyAlignment="0"/>
    <xf numFmtId="175" fontId="45" fillId="0" borderId="0" applyFill="0" applyBorder="0" applyAlignment="0"/>
    <xf numFmtId="10" fontId="30" fillId="0" borderId="0"/>
    <xf numFmtId="10" fontId="30" fillId="20" borderId="0"/>
    <xf numFmtId="9" fontId="30" fillId="0" borderId="0" applyFont="0" applyFill="0" applyBorder="0" applyAlignment="0" applyProtection="0"/>
    <xf numFmtId="296" fontId="73" fillId="2" borderId="0"/>
    <xf numFmtId="0" fontId="165" fillId="0" borderId="0">
      <alignment horizontal="center"/>
    </xf>
    <xf numFmtId="0" fontId="73" fillId="0" borderId="1">
      <alignment horizontal="centerContinuous"/>
    </xf>
    <xf numFmtId="297" fontId="73" fillId="2" borderId="0">
      <alignment horizontal="right"/>
    </xf>
    <xf numFmtId="175" fontId="37" fillId="0" borderId="0">
      <alignment vertical="top"/>
    </xf>
    <xf numFmtId="0" fontId="37" fillId="0" borderId="0">
      <alignment vertical="top"/>
    </xf>
    <xf numFmtId="175" fontId="37" fillId="0" borderId="0">
      <alignment vertical="top"/>
    </xf>
    <xf numFmtId="298" fontId="73" fillId="2" borderId="8">
      <alignment horizontal="right"/>
    </xf>
    <xf numFmtId="49" fontId="40" fillId="0" borderId="0">
      <alignment horizontal="right"/>
    </xf>
    <xf numFmtId="0" fontId="72" fillId="0" borderId="8" applyNumberFormat="0" applyBorder="0" applyAlignment="0"/>
    <xf numFmtId="179" fontId="102" fillId="21" borderId="7" applyNumberFormat="0" applyFont="0" applyBorder="0" applyAlignment="0" applyProtection="0">
      <alignment horizontal="center"/>
    </xf>
    <xf numFmtId="14" fontId="60" fillId="0" borderId="0" applyNumberFormat="0" applyFill="0" applyBorder="0" applyAlignment="0" applyProtection="0">
      <alignment horizontal="left"/>
    </xf>
    <xf numFmtId="0" fontId="127" fillId="0" borderId="27">
      <alignment vertical="center"/>
    </xf>
    <xf numFmtId="0" fontId="36" fillId="18" borderId="0">
      <alignment horizontal="right"/>
    </xf>
    <xf numFmtId="0" fontId="37" fillId="22" borderId="0" applyNumberFormat="0" applyFont="0" applyBorder="0" applyAlignment="0" applyProtection="0"/>
    <xf numFmtId="1" fontId="166" fillId="23" borderId="0" applyNumberFormat="0" applyFont="0" applyBorder="0" applyAlignment="0">
      <alignment horizontal="left"/>
    </xf>
    <xf numFmtId="204" fontId="37" fillId="0" borderId="1" applyFont="0" applyFill="0" applyBorder="0" applyAlignment="0" applyProtection="0">
      <alignment horizontal="right"/>
    </xf>
    <xf numFmtId="42" fontId="97" fillId="0" borderId="0" applyFill="0" applyBorder="0" applyAlignment="0" applyProtection="0"/>
    <xf numFmtId="0" fontId="167" fillId="0" borderId="0" applyNumberFormat="0" applyFill="0" applyBorder="0" applyAlignment="0" applyProtection="0"/>
    <xf numFmtId="3" fontId="21" fillId="0" borderId="0"/>
    <xf numFmtId="0" fontId="92" fillId="0" borderId="0" applyNumberFormat="0" applyAlignment="0"/>
    <xf numFmtId="0" fontId="168" fillId="0" borderId="0"/>
    <xf numFmtId="299" fontId="36" fillId="0" borderId="0" applyFill="0" applyBorder="0" applyAlignment="0" applyProtection="0"/>
    <xf numFmtId="3" fontId="40" fillId="0" borderId="0"/>
    <xf numFmtId="300" fontId="169" fillId="0" borderId="0" applyNumberFormat="0" applyFill="0" applyBorder="0" applyAlignment="0" applyProtection="0">
      <alignment horizontal="right" vertical="center" wrapText="1"/>
    </xf>
    <xf numFmtId="0" fontId="170" fillId="0" borderId="0" applyNumberFormat="0" applyFill="0" applyBorder="0" applyAlignment="0" applyProtection="0"/>
    <xf numFmtId="0" fontId="171" fillId="0" borderId="0" applyNumberFormat="0" applyFill="0" applyBorder="0" applyAlignment="0" applyProtection="0">
      <protection locked="0"/>
    </xf>
    <xf numFmtId="0" fontId="172" fillId="0" borderId="4" applyNumberFormat="0" applyFill="0" applyProtection="0">
      <alignment horizontal="right"/>
    </xf>
    <xf numFmtId="40" fontId="36" fillId="0" borderId="0" applyBorder="0">
      <alignment horizontal="right"/>
    </xf>
    <xf numFmtId="0" fontId="71" fillId="0" borderId="0">
      <alignment horizontal="left" vertical="center" wrapText="1" indent="2"/>
      <protection locked="0"/>
    </xf>
    <xf numFmtId="301" fontId="36" fillId="0" borderId="0"/>
    <xf numFmtId="0" fontId="36" fillId="0" borderId="2" applyBorder="0">
      <alignment horizontal="center"/>
    </xf>
    <xf numFmtId="37" fontId="22" fillId="0" borderId="0" applyNumberFormat="0" applyFont="0" applyBorder="0" applyAlignment="0">
      <alignment horizontal="center"/>
    </xf>
    <xf numFmtId="0" fontId="70" fillId="0" borderId="0" applyFill="0" applyBorder="0" applyProtection="0">
      <alignment horizontal="center" vertical="center"/>
    </xf>
    <xf numFmtId="0" fontId="172" fillId="0" borderId="28" applyNumberFormat="0" applyProtection="0">
      <alignment horizontal="right"/>
    </xf>
    <xf numFmtId="0" fontId="173" fillId="0" borderId="1" applyNumberFormat="0" applyFill="0" applyProtection="0"/>
    <xf numFmtId="260" fontId="174" fillId="0" borderId="1" applyBorder="0" applyProtection="0">
      <alignment horizontal="right" vertical="center"/>
    </xf>
    <xf numFmtId="0" fontId="175" fillId="24" borderId="0" applyBorder="0" applyProtection="0">
      <alignment horizontal="centerContinuous" vertical="center"/>
    </xf>
    <xf numFmtId="0" fontId="175" fillId="18" borderId="1" applyBorder="0" applyProtection="0">
      <alignment horizontal="centerContinuous" vertical="center"/>
    </xf>
    <xf numFmtId="0" fontId="174" fillId="0" borderId="0" applyBorder="0" applyProtection="0">
      <alignment vertical="center"/>
    </xf>
    <xf numFmtId="3" fontId="70" fillId="0" borderId="0" applyNumberFormat="0"/>
    <xf numFmtId="0" fontId="128" fillId="0" borderId="0" applyNumberFormat="0" applyFill="0" applyBorder="0" applyProtection="0">
      <alignment horizontal="left"/>
    </xf>
    <xf numFmtId="0" fontId="70" fillId="0" borderId="0" applyFill="0" applyBorder="0" applyProtection="0"/>
    <xf numFmtId="0" fontId="176" fillId="0" borderId="0" applyFill="0" applyBorder="0" applyProtection="0">
      <alignment vertical="center"/>
    </xf>
    <xf numFmtId="0" fontId="177" fillId="0" borderId="0">
      <alignment vertical="center"/>
    </xf>
    <xf numFmtId="0" fontId="130" fillId="0" borderId="0">
      <alignment vertical="center"/>
    </xf>
    <xf numFmtId="0" fontId="177" fillId="0" borderId="0">
      <alignment vertical="center"/>
    </xf>
    <xf numFmtId="0" fontId="132" fillId="0" borderId="0">
      <alignment vertical="center"/>
    </xf>
    <xf numFmtId="0" fontId="178" fillId="0" borderId="0" applyFill="0" applyBorder="0" applyProtection="0">
      <alignment horizontal="left"/>
    </xf>
    <xf numFmtId="0" fontId="67" fillId="0" borderId="0" applyFill="0" applyBorder="0" applyProtection="0">
      <alignment horizontal="left" vertical="top"/>
    </xf>
    <xf numFmtId="0" fontId="32" fillId="0" borderId="0">
      <alignment horizontal="centerContinuous"/>
    </xf>
    <xf numFmtId="222" fontId="179" fillId="0" borderId="0" applyNumberFormat="0" applyFill="0" applyBorder="0">
      <alignment horizontal="left"/>
    </xf>
    <xf numFmtId="222" fontId="179" fillId="0" borderId="0" applyNumberFormat="0" applyFill="0" applyBorder="0">
      <alignment horizontal="right"/>
    </xf>
    <xf numFmtId="222" fontId="180" fillId="0" borderId="0" applyNumberFormat="0" applyFill="0" applyBorder="0">
      <alignment horizontal="right"/>
    </xf>
    <xf numFmtId="0" fontId="21" fillId="0" borderId="0">
      <alignment horizontal="left" vertical="center" wrapText="1" indent="2"/>
      <protection locked="0"/>
    </xf>
    <xf numFmtId="49" fontId="181" fillId="0" borderId="0"/>
    <xf numFmtId="0" fontId="154" fillId="0" borderId="0" applyNumberFormat="0" applyFill="0" applyBorder="0"/>
    <xf numFmtId="0" fontId="182" fillId="0" borderId="0"/>
    <xf numFmtId="0" fontId="183" fillId="0" borderId="0" applyNumberFormat="0" applyFill="0" applyBorder="0" applyProtection="0"/>
    <xf numFmtId="0" fontId="184" fillId="0" borderId="0" applyFill="0" applyBorder="0" applyProtection="0"/>
    <xf numFmtId="0" fontId="185" fillId="0" borderId="0"/>
    <xf numFmtId="0" fontId="184" fillId="0" borderId="0" applyNumberFormat="0" applyFill="0" applyBorder="0" applyProtection="0"/>
    <xf numFmtId="0" fontId="186" fillId="0" borderId="0" applyFill="0" applyBorder="0" applyProtection="0"/>
    <xf numFmtId="0" fontId="183" fillId="0" borderId="0" applyNumberFormat="0" applyFill="0" applyBorder="0" applyProtection="0"/>
    <xf numFmtId="0" fontId="183" fillId="0" borderId="0"/>
    <xf numFmtId="49" fontId="120" fillId="0" borderId="0" applyFill="0" applyBorder="0" applyAlignment="0"/>
    <xf numFmtId="302" fontId="36" fillId="0" borderId="0" applyFill="0" applyBorder="0" applyAlignment="0"/>
    <xf numFmtId="303" fontId="36" fillId="0" borderId="0" applyFill="0" applyBorder="0" applyAlignment="0"/>
    <xf numFmtId="0" fontId="29" fillId="0" borderId="0" applyNumberFormat="0" applyFont="0" applyFill="0" applyBorder="0" applyProtection="0">
      <alignment horizontal="left" vertical="top" wrapText="1"/>
    </xf>
    <xf numFmtId="0" fontId="182" fillId="0" borderId="2" applyFill="0" applyBorder="0" applyProtection="0"/>
    <xf numFmtId="0" fontId="37" fillId="0" borderId="0" applyNumberFormat="0" applyFill="0" applyBorder="0" applyAlignment="0" applyProtection="0"/>
    <xf numFmtId="0" fontId="187" fillId="0" borderId="0" applyNumberFormat="0" applyFill="0" applyBorder="0" applyAlignment="0" applyProtection="0"/>
    <xf numFmtId="0" fontId="54" fillId="0" borderId="0" applyNumberFormat="0" applyFill="0" applyBorder="0" applyAlignment="0" applyProtection="0"/>
    <xf numFmtId="0" fontId="188" fillId="0" borderId="0" applyNumberFormat="0" applyFill="0" applyBorder="0" applyAlignment="0" applyProtection="0"/>
    <xf numFmtId="3" fontId="189" fillId="0" borderId="0"/>
    <xf numFmtId="0" fontId="190" fillId="0" borderId="0" applyNumberFormat="0" applyFill="0" applyBorder="0" applyAlignment="0" applyProtection="0"/>
    <xf numFmtId="0" fontId="70" fillId="0" borderId="0" applyNumberFormat="0" applyFill="0" applyBorder="0" applyAlignment="0" applyProtection="0"/>
    <xf numFmtId="0" fontId="191" fillId="0" borderId="0"/>
    <xf numFmtId="0" fontId="184" fillId="0" borderId="0"/>
    <xf numFmtId="0" fontId="183" fillId="0" borderId="0"/>
    <xf numFmtId="0" fontId="70" fillId="0" borderId="3">
      <alignment horizontal="center" wrapText="1"/>
    </xf>
    <xf numFmtId="274" fontId="136" fillId="0" borderId="0" applyFill="0" applyBorder="0" applyProtection="0"/>
    <xf numFmtId="304" fontId="36" fillId="0" borderId="0" applyFill="0" applyBorder="0" applyProtection="0"/>
    <xf numFmtId="3" fontId="70" fillId="0" borderId="1" applyNumberFormat="0"/>
    <xf numFmtId="262" fontId="36" fillId="0" borderId="23" applyFill="0" applyBorder="0" applyProtection="0">
      <alignment vertical="center"/>
    </xf>
    <xf numFmtId="0" fontId="36" fillId="0" borderId="5">
      <protection locked="0"/>
    </xf>
    <xf numFmtId="179" fontId="36" fillId="0" borderId="5">
      <alignment horizontal="right"/>
      <protection locked="0"/>
    </xf>
    <xf numFmtId="37" fontId="192" fillId="0" borderId="0"/>
    <xf numFmtId="168" fontId="21" fillId="16" borderId="24">
      <alignment horizontal="right"/>
    </xf>
    <xf numFmtId="168" fontId="22" fillId="16" borderId="24"/>
    <xf numFmtId="0" fontId="193" fillId="25" borderId="29">
      <alignment horizontal="left"/>
    </xf>
    <xf numFmtId="305" fontId="36" fillId="0" borderId="0" applyFont="0" applyFill="0" applyBorder="0" applyAlignment="0" applyProtection="0"/>
    <xf numFmtId="282" fontId="36" fillId="0" borderId="0" applyFont="0" applyFill="0" applyBorder="0" applyAlignment="0" applyProtection="0"/>
    <xf numFmtId="306" fontId="36" fillId="0" borderId="0"/>
    <xf numFmtId="0" fontId="35" fillId="0" borderId="0"/>
    <xf numFmtId="1" fontId="35" fillId="0" borderId="0"/>
    <xf numFmtId="222" fontId="40" fillId="0" borderId="0"/>
    <xf numFmtId="1" fontId="32" fillId="0" borderId="3" applyFill="0" applyProtection="0">
      <alignment horizontal="right"/>
    </xf>
    <xf numFmtId="172" fontId="36" fillId="0" borderId="0"/>
    <xf numFmtId="0" fontId="36" fillId="0" borderId="1" applyBorder="0" applyProtection="0">
      <alignment horizontal="right"/>
    </xf>
    <xf numFmtId="307" fontId="36" fillId="0" borderId="0" applyFont="0" applyFill="0" applyBorder="0">
      <alignment horizontal="right"/>
    </xf>
    <xf numFmtId="0" fontId="154" fillId="26" borderId="30" applyNumberFormat="0" applyFont="0" applyBorder="0" applyAlignment="0" applyProtection="0">
      <alignment horizontal="right"/>
    </xf>
    <xf numFmtId="308" fontId="21" fillId="0" borderId="0" applyFill="0" applyBorder="0" applyAlignment="0" applyProtection="0"/>
    <xf numFmtId="166" fontId="194" fillId="0" borderId="0" applyFont="0" applyFill="0" applyBorder="0" applyAlignment="0" applyProtection="0"/>
    <xf numFmtId="0" fontId="195" fillId="0" borderId="0"/>
    <xf numFmtId="0" fontId="196" fillId="0" borderId="0"/>
    <xf numFmtId="43" fontId="20" fillId="0" borderId="0" applyFont="0" applyFill="0" applyBorder="0" applyAlignment="0" applyProtection="0"/>
    <xf numFmtId="0" fontId="20" fillId="0" borderId="0"/>
    <xf numFmtId="9" fontId="20" fillId="0" borderId="0" applyFont="0" applyFill="0" applyBorder="0" applyAlignment="0" applyProtection="0"/>
    <xf numFmtId="0" fontId="20" fillId="0" borderId="0"/>
    <xf numFmtId="9" fontId="20" fillId="0" borderId="0" applyFont="0" applyFill="0" applyBorder="0" applyAlignment="0" applyProtection="0"/>
    <xf numFmtId="0" fontId="20" fillId="0" borderId="0"/>
    <xf numFmtId="0" fontId="20" fillId="0" borderId="0"/>
    <xf numFmtId="0" fontId="20" fillId="0" borderId="0"/>
    <xf numFmtId="0" fontId="20" fillId="0" borderId="0"/>
    <xf numFmtId="9" fontId="20" fillId="0" borderId="0" applyFont="0" applyFill="0" applyBorder="0" applyAlignment="0" applyProtection="0"/>
    <xf numFmtId="0" fontId="20" fillId="0" borderId="0"/>
    <xf numFmtId="0" fontId="20" fillId="0" borderId="0"/>
    <xf numFmtId="9" fontId="20" fillId="0" borderId="0" applyFont="0" applyFill="0" applyBorder="0" applyAlignment="0" applyProtection="0"/>
    <xf numFmtId="0" fontId="20" fillId="0" borderId="0"/>
    <xf numFmtId="9" fontId="20" fillId="0" borderId="0" applyFont="0" applyFill="0" applyBorder="0" applyAlignment="0" applyProtection="0"/>
    <xf numFmtId="0" fontId="20" fillId="0" borderId="0"/>
    <xf numFmtId="0" fontId="20" fillId="0" borderId="0"/>
    <xf numFmtId="214" fontId="36" fillId="0" borderId="0" applyFont="0" applyFill="0" applyBorder="0" applyAlignment="0" applyProtection="0"/>
    <xf numFmtId="214" fontId="36" fillId="0" borderId="0" applyFont="0" applyFill="0" applyBorder="0" applyAlignment="0" applyProtection="0"/>
    <xf numFmtId="214" fontId="197" fillId="0" borderId="0" applyFont="0" applyFill="0" applyBorder="0" applyAlignment="0" applyProtection="0"/>
    <xf numFmtId="214" fontId="197" fillId="0" borderId="0" applyFont="0" applyFill="0" applyBorder="0" applyAlignment="0" applyProtection="0"/>
    <xf numFmtId="214" fontId="197" fillId="0" borderId="0" applyFont="0" applyFill="0" applyBorder="0" applyAlignment="0" applyProtection="0"/>
    <xf numFmtId="214" fontId="198" fillId="0" borderId="0" applyFont="0" applyFill="0" applyBorder="0" applyAlignment="0" applyProtection="0"/>
    <xf numFmtId="214" fontId="36" fillId="0" borderId="0" applyFont="0" applyFill="0" applyBorder="0" applyAlignment="0" applyProtection="0"/>
    <xf numFmtId="214" fontId="36"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214" fontId="36" fillId="0" borderId="0" applyFont="0" applyFill="0" applyBorder="0" applyAlignment="0" applyProtection="0"/>
    <xf numFmtId="214" fontId="199" fillId="0" borderId="0" applyFont="0" applyFill="0" applyBorder="0" applyAlignment="0" applyProtection="0"/>
    <xf numFmtId="214" fontId="36" fillId="0" borderId="0" applyFont="0" applyFill="0" applyBorder="0" applyAlignment="0" applyProtection="0"/>
    <xf numFmtId="214" fontId="36" fillId="0" borderId="0" applyFont="0" applyFill="0" applyBorder="0" applyAlignment="0" applyProtection="0"/>
    <xf numFmtId="214" fontId="36" fillId="0" borderId="0" applyFont="0" applyFill="0" applyBorder="0" applyAlignment="0" applyProtection="0"/>
    <xf numFmtId="214" fontId="197"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214" fontId="197" fillId="0" borderId="0" applyFont="0" applyFill="0" applyBorder="0" applyAlignment="0" applyProtection="0"/>
    <xf numFmtId="214" fontId="36" fillId="0" borderId="0" applyFont="0" applyFill="0" applyBorder="0" applyAlignment="0" applyProtection="0"/>
    <xf numFmtId="214" fontId="36" fillId="0" borderId="0" applyFont="0" applyFill="0" applyBorder="0" applyAlignment="0" applyProtection="0"/>
    <xf numFmtId="214" fontId="197"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214" fontId="197" fillId="0" borderId="0" applyFont="0" applyFill="0" applyBorder="0" applyAlignment="0" applyProtection="0"/>
    <xf numFmtId="214" fontId="36" fillId="0" borderId="0" applyFont="0" applyFill="0" applyBorder="0" applyAlignment="0" applyProtection="0"/>
    <xf numFmtId="214" fontId="36" fillId="0" borderId="0" applyFont="0" applyFill="0" applyBorder="0" applyAlignment="0" applyProtection="0"/>
    <xf numFmtId="214" fontId="36" fillId="0" borderId="0" applyFont="0" applyFill="0" applyBorder="0" applyAlignment="0" applyProtection="0"/>
    <xf numFmtId="217" fontId="36" fillId="0" borderId="0" applyFont="0" applyFill="0" applyBorder="0" applyAlignment="0" applyProtection="0"/>
    <xf numFmtId="217" fontId="36"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217" fontId="198" fillId="0" borderId="0" applyFont="0" applyFill="0" applyBorder="0" applyAlignment="0" applyProtection="0"/>
    <xf numFmtId="215" fontId="36" fillId="0" borderId="0" applyFont="0" applyFill="0" applyBorder="0" applyAlignment="0" applyProtection="0"/>
    <xf numFmtId="217" fontId="36"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217" fontId="36" fillId="0" borderId="0" applyFont="0" applyFill="0" applyBorder="0" applyAlignment="0" applyProtection="0"/>
    <xf numFmtId="217" fontId="199" fillId="0" borderId="0" applyFont="0" applyFill="0" applyBorder="0" applyAlignment="0" applyProtection="0"/>
    <xf numFmtId="217" fontId="36" fillId="0" borderId="0" applyFont="0" applyFill="0" applyBorder="0" applyAlignment="0" applyProtection="0"/>
    <xf numFmtId="217" fontId="36" fillId="0" borderId="0" applyFont="0" applyFill="0" applyBorder="0" applyAlignment="0" applyProtection="0"/>
    <xf numFmtId="217" fontId="36"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217" fontId="197" fillId="0" borderId="0" applyFont="0" applyFill="0" applyBorder="0" applyAlignment="0" applyProtection="0"/>
    <xf numFmtId="215" fontId="36" fillId="0" borderId="0" applyFont="0" applyFill="0" applyBorder="0" applyAlignment="0" applyProtection="0"/>
    <xf numFmtId="217" fontId="36" fillId="0" borderId="0" applyFont="0" applyFill="0" applyBorder="0" applyAlignment="0" applyProtection="0"/>
    <xf numFmtId="217" fontId="36" fillId="0" borderId="0" applyFont="0" applyFill="0" applyBorder="0" applyAlignment="0" applyProtection="0"/>
    <xf numFmtId="217" fontId="197" fillId="0" borderId="0" applyFont="0" applyFill="0" applyBorder="0" applyAlignment="0" applyProtection="0"/>
    <xf numFmtId="217" fontId="197" fillId="0" borderId="0" applyFont="0" applyFill="0" applyBorder="0" applyAlignment="0" applyProtection="0"/>
    <xf numFmtId="217" fontId="197" fillId="0" borderId="0" applyFont="0" applyFill="0" applyBorder="0" applyAlignment="0" applyProtection="0"/>
    <xf numFmtId="215" fontId="36" fillId="0" borderId="0" applyFont="0" applyFill="0" applyBorder="0" applyAlignment="0" applyProtection="0"/>
    <xf numFmtId="217" fontId="197" fillId="0" borderId="0" applyFont="0" applyFill="0" applyBorder="0" applyAlignment="0" applyProtection="0"/>
    <xf numFmtId="215" fontId="36" fillId="0" borderId="0" applyFont="0" applyFill="0" applyBorder="0" applyAlignment="0" applyProtection="0"/>
    <xf numFmtId="217" fontId="197" fillId="0" borderId="0" applyFont="0" applyFill="0" applyBorder="0" applyAlignment="0" applyProtection="0"/>
    <xf numFmtId="215" fontId="36" fillId="0" borderId="0" applyFont="0" applyFill="0" applyBorder="0" applyAlignment="0" applyProtection="0"/>
    <xf numFmtId="217" fontId="36" fillId="0" borderId="0" applyFont="0" applyFill="0" applyBorder="0" applyAlignment="0" applyProtection="0"/>
    <xf numFmtId="217" fontId="36" fillId="0" borderId="0" applyFont="0" applyFill="0" applyBorder="0" applyAlignment="0" applyProtection="0"/>
    <xf numFmtId="217" fontId="36" fillId="0" borderId="0" applyFont="0" applyFill="0" applyBorder="0" applyAlignment="0" applyProtection="0"/>
    <xf numFmtId="219" fontId="36" fillId="0" borderId="0" applyFont="0" applyFill="0" applyBorder="0" applyAlignment="0" applyProtection="0"/>
    <xf numFmtId="219" fontId="36" fillId="0" borderId="0" applyFont="0" applyFill="0" applyBorder="0" applyAlignment="0" applyProtection="0"/>
    <xf numFmtId="39" fontId="36" fillId="0" borderId="0" applyFont="0" applyFill="0" applyBorder="0" applyAlignment="0" applyProtection="0"/>
    <xf numFmtId="39" fontId="36" fillId="0" borderId="0" applyFont="0" applyFill="0" applyBorder="0" applyAlignment="0" applyProtection="0"/>
    <xf numFmtId="219" fontId="198" fillId="0" borderId="0" applyFont="0" applyFill="0" applyBorder="0" applyAlignment="0" applyProtection="0"/>
    <xf numFmtId="39" fontId="36" fillId="0" borderId="0" applyFont="0" applyFill="0" applyBorder="0" applyAlignment="0" applyProtection="0"/>
    <xf numFmtId="219" fontId="36" fillId="0" borderId="0" applyFont="0" applyFill="0" applyBorder="0" applyAlignment="0" applyProtection="0"/>
    <xf numFmtId="39" fontId="36" fillId="0" borderId="0" applyFont="0" applyFill="0" applyBorder="0" applyAlignment="0" applyProtection="0"/>
    <xf numFmtId="39" fontId="36" fillId="0" borderId="0" applyFont="0" applyFill="0" applyBorder="0" applyAlignment="0" applyProtection="0"/>
    <xf numFmtId="39" fontId="36" fillId="0" borderId="0" applyFont="0" applyFill="0" applyBorder="0" applyAlignment="0" applyProtection="0"/>
    <xf numFmtId="219" fontId="36" fillId="0" borderId="0" applyFont="0" applyFill="0" applyBorder="0" applyAlignment="0" applyProtection="0"/>
    <xf numFmtId="219" fontId="199" fillId="0" borderId="0" applyFont="0" applyFill="0" applyBorder="0" applyAlignment="0" applyProtection="0"/>
    <xf numFmtId="219" fontId="36" fillId="0" borderId="0" applyFont="0" applyFill="0" applyBorder="0" applyAlignment="0" applyProtection="0"/>
    <xf numFmtId="219" fontId="36" fillId="0" borderId="0" applyFont="0" applyFill="0" applyBorder="0" applyAlignment="0" applyProtection="0"/>
    <xf numFmtId="219" fontId="36" fillId="0" borderId="0" applyFont="0" applyFill="0" applyBorder="0" applyAlignment="0" applyProtection="0"/>
    <xf numFmtId="39" fontId="36" fillId="0" borderId="0" applyFont="0" applyFill="0" applyBorder="0" applyAlignment="0" applyProtection="0"/>
    <xf numFmtId="39" fontId="36" fillId="0" borderId="0" applyFont="0" applyFill="0" applyBorder="0" applyAlignment="0" applyProtection="0"/>
    <xf numFmtId="39" fontId="36" fillId="0" borderId="0" applyFont="0" applyFill="0" applyBorder="0" applyAlignment="0" applyProtection="0"/>
    <xf numFmtId="39" fontId="36" fillId="0" borderId="0" applyFont="0" applyFill="0" applyBorder="0" applyAlignment="0" applyProtection="0"/>
    <xf numFmtId="39" fontId="36" fillId="0" borderId="0" applyFont="0" applyFill="0" applyBorder="0" applyAlignment="0" applyProtection="0"/>
    <xf numFmtId="219" fontId="197" fillId="0" borderId="0" applyFont="0" applyFill="0" applyBorder="0" applyAlignment="0" applyProtection="0"/>
    <xf numFmtId="39" fontId="36" fillId="0" borderId="0" applyFont="0" applyFill="0" applyBorder="0" applyAlignment="0" applyProtection="0"/>
    <xf numFmtId="219" fontId="36" fillId="0" borderId="0" applyFont="0" applyFill="0" applyBorder="0" applyAlignment="0" applyProtection="0"/>
    <xf numFmtId="219" fontId="36" fillId="0" borderId="0" applyFont="0" applyFill="0" applyBorder="0" applyAlignment="0" applyProtection="0"/>
    <xf numFmtId="219" fontId="197" fillId="0" borderId="0" applyFont="0" applyFill="0" applyBorder="0" applyAlignment="0" applyProtection="0"/>
    <xf numFmtId="219" fontId="197" fillId="0" borderId="0" applyFont="0" applyFill="0" applyBorder="0" applyAlignment="0" applyProtection="0"/>
    <xf numFmtId="219" fontId="197" fillId="0" borderId="0" applyFont="0" applyFill="0" applyBorder="0" applyAlignment="0" applyProtection="0"/>
    <xf numFmtId="39" fontId="36" fillId="0" borderId="0" applyFont="0" applyFill="0" applyBorder="0" applyAlignment="0" applyProtection="0"/>
    <xf numFmtId="219" fontId="197" fillId="0" borderId="0" applyFont="0" applyFill="0" applyBorder="0" applyAlignment="0" applyProtection="0"/>
    <xf numFmtId="39" fontId="36" fillId="0" borderId="0" applyFont="0" applyFill="0" applyBorder="0" applyAlignment="0" applyProtection="0"/>
    <xf numFmtId="219" fontId="197" fillId="0" borderId="0" applyFont="0" applyFill="0" applyBorder="0" applyAlignment="0" applyProtection="0"/>
    <xf numFmtId="39" fontId="36" fillId="0" borderId="0" applyFont="0" applyFill="0" applyBorder="0" applyAlignment="0" applyProtection="0"/>
    <xf numFmtId="219" fontId="36" fillId="0" borderId="0" applyFont="0" applyFill="0" applyBorder="0" applyAlignment="0" applyProtection="0"/>
    <xf numFmtId="219" fontId="36" fillId="0" borderId="0" applyFont="0" applyFill="0" applyBorder="0" applyAlignment="0" applyProtection="0"/>
    <xf numFmtId="219" fontId="36" fillId="0" borderId="0" applyFont="0" applyFill="0" applyBorder="0" applyAlignment="0" applyProtection="0"/>
    <xf numFmtId="215" fontId="36" fillId="0" borderId="0" applyFont="0" applyFill="0" applyBorder="0" applyAlignment="0" applyProtection="0"/>
    <xf numFmtId="0" fontId="79" fillId="0" borderId="0" applyNumberFormat="0" applyFill="0" applyBorder="0" applyAlignment="0" applyProtection="0"/>
    <xf numFmtId="223" fontId="36" fillId="0" borderId="0" applyFont="0" applyFill="0" applyBorder="0" applyAlignment="0" applyProtection="0"/>
    <xf numFmtId="223" fontId="36" fillId="0" borderId="0" applyFont="0" applyFill="0" applyBorder="0" applyAlignment="0" applyProtection="0"/>
    <xf numFmtId="221" fontId="36" fillId="0" borderId="0" applyFont="0" applyFill="0" applyBorder="0" applyAlignment="0" applyProtection="0"/>
    <xf numFmtId="221" fontId="36" fillId="0" borderId="0" applyFont="0" applyFill="0" applyBorder="0" applyAlignment="0" applyProtection="0"/>
    <xf numFmtId="223" fontId="198" fillId="0" borderId="0" applyFont="0" applyFill="0" applyBorder="0" applyAlignment="0" applyProtection="0"/>
    <xf numFmtId="221" fontId="36" fillId="0" borderId="0" applyFont="0" applyFill="0" applyBorder="0" applyAlignment="0" applyProtection="0"/>
    <xf numFmtId="223" fontId="36" fillId="0" borderId="0" applyFont="0" applyFill="0" applyBorder="0" applyAlignment="0" applyProtection="0"/>
    <xf numFmtId="221" fontId="36" fillId="0" borderId="0" applyFont="0" applyFill="0" applyBorder="0" applyAlignment="0" applyProtection="0"/>
    <xf numFmtId="221" fontId="36" fillId="0" borderId="0" applyFont="0" applyFill="0" applyBorder="0" applyAlignment="0" applyProtection="0"/>
    <xf numFmtId="221" fontId="36" fillId="0" borderId="0" applyFont="0" applyFill="0" applyBorder="0" applyAlignment="0" applyProtection="0"/>
    <xf numFmtId="223" fontId="36" fillId="0" borderId="0" applyFont="0" applyFill="0" applyBorder="0" applyAlignment="0" applyProtection="0"/>
    <xf numFmtId="223" fontId="199" fillId="0" borderId="0" applyFont="0" applyFill="0" applyBorder="0" applyAlignment="0" applyProtection="0"/>
    <xf numFmtId="309" fontId="36" fillId="0" borderId="0" applyFont="0" applyFill="0" applyBorder="0" applyAlignment="0" applyProtection="0"/>
    <xf numFmtId="309" fontId="36" fillId="0" borderId="0" applyFont="0" applyFill="0" applyBorder="0" applyAlignment="0" applyProtection="0"/>
    <xf numFmtId="309" fontId="36" fillId="0" borderId="0" applyFont="0" applyFill="0" applyBorder="0" applyAlignment="0" applyProtection="0"/>
    <xf numFmtId="221" fontId="36" fillId="0" borderId="0" applyFont="0" applyFill="0" applyBorder="0" applyAlignment="0" applyProtection="0"/>
    <xf numFmtId="221" fontId="36" fillId="0" borderId="0" applyFont="0" applyFill="0" applyBorder="0" applyAlignment="0" applyProtection="0"/>
    <xf numFmtId="221" fontId="36" fillId="0" borderId="0" applyFont="0" applyFill="0" applyBorder="0" applyAlignment="0" applyProtection="0"/>
    <xf numFmtId="221" fontId="36" fillId="0" borderId="0" applyFont="0" applyFill="0" applyBorder="0" applyAlignment="0" applyProtection="0"/>
    <xf numFmtId="221" fontId="36" fillId="0" borderId="0" applyFont="0" applyFill="0" applyBorder="0" applyAlignment="0" applyProtection="0"/>
    <xf numFmtId="223" fontId="197" fillId="0" borderId="0" applyFont="0" applyFill="0" applyBorder="0" applyAlignment="0" applyProtection="0"/>
    <xf numFmtId="221" fontId="36" fillId="0" borderId="0" applyFont="0" applyFill="0" applyBorder="0" applyAlignment="0" applyProtection="0"/>
    <xf numFmtId="223" fontId="36" fillId="0" borderId="0" applyFont="0" applyFill="0" applyBorder="0" applyAlignment="0" applyProtection="0"/>
    <xf numFmtId="223" fontId="36" fillId="0" borderId="0" applyFont="0" applyFill="0" applyBorder="0" applyAlignment="0" applyProtection="0"/>
    <xf numFmtId="223" fontId="197" fillId="0" borderId="0" applyFont="0" applyFill="0" applyBorder="0" applyAlignment="0" applyProtection="0"/>
    <xf numFmtId="223" fontId="197" fillId="0" borderId="0" applyFont="0" applyFill="0" applyBorder="0" applyAlignment="0" applyProtection="0"/>
    <xf numFmtId="223" fontId="197" fillId="0" borderId="0" applyFont="0" applyFill="0" applyBorder="0" applyAlignment="0" applyProtection="0"/>
    <xf numFmtId="221" fontId="36" fillId="0" borderId="0" applyFont="0" applyFill="0" applyBorder="0" applyAlignment="0" applyProtection="0"/>
    <xf numFmtId="223" fontId="197" fillId="0" borderId="0" applyFont="0" applyFill="0" applyBorder="0" applyAlignment="0" applyProtection="0"/>
    <xf numFmtId="221" fontId="36" fillId="0" borderId="0" applyFont="0" applyFill="0" applyBorder="0" applyAlignment="0" applyProtection="0"/>
    <xf numFmtId="223" fontId="197" fillId="0" borderId="0" applyFont="0" applyFill="0" applyBorder="0" applyAlignment="0" applyProtection="0"/>
    <xf numFmtId="221" fontId="36" fillId="0" borderId="0" applyFont="0" applyFill="0" applyBorder="0" applyAlignment="0" applyProtection="0"/>
    <xf numFmtId="223" fontId="36" fillId="0" borderId="0" applyFont="0" applyFill="0" applyBorder="0" applyAlignment="0" applyProtection="0"/>
    <xf numFmtId="223" fontId="36" fillId="0" borderId="0" applyFont="0" applyFill="0" applyBorder="0" applyAlignment="0" applyProtection="0"/>
    <xf numFmtId="223" fontId="36" fillId="0" borderId="0" applyFont="0" applyFill="0" applyBorder="0" applyAlignment="0" applyProtection="0"/>
    <xf numFmtId="226" fontId="36" fillId="0" borderId="0" applyFont="0" applyFill="0" applyBorder="0" applyProtection="0">
      <alignment horizontal="right"/>
    </xf>
    <xf numFmtId="226" fontId="36" fillId="0" borderId="0" applyFont="0" applyFill="0" applyBorder="0" applyProtection="0">
      <alignment horizontal="right"/>
    </xf>
    <xf numFmtId="225" fontId="36" fillId="0" borderId="0" applyFont="0" applyFill="0" applyBorder="0" applyAlignment="0" applyProtection="0"/>
    <xf numFmtId="225" fontId="36" fillId="0" borderId="0" applyFont="0" applyFill="0" applyBorder="0" applyAlignment="0" applyProtection="0"/>
    <xf numFmtId="226" fontId="198" fillId="0" borderId="0" applyFont="0" applyFill="0" applyBorder="0" applyProtection="0">
      <alignment horizontal="right"/>
    </xf>
    <xf numFmtId="225" fontId="36" fillId="0" borderId="0" applyFont="0" applyFill="0" applyBorder="0" applyAlignment="0" applyProtection="0"/>
    <xf numFmtId="226" fontId="36" fillId="0" borderId="0" applyFont="0" applyFill="0" applyBorder="0" applyProtection="0">
      <alignment horizontal="right"/>
    </xf>
    <xf numFmtId="225" fontId="36" fillId="0" borderId="0" applyFont="0" applyFill="0" applyBorder="0" applyAlignment="0" applyProtection="0"/>
    <xf numFmtId="225" fontId="36" fillId="0" borderId="0" applyFont="0" applyFill="0" applyBorder="0" applyAlignment="0" applyProtection="0"/>
    <xf numFmtId="225" fontId="36" fillId="0" borderId="0" applyFont="0" applyFill="0" applyBorder="0" applyAlignment="0" applyProtection="0"/>
    <xf numFmtId="226" fontId="36" fillId="0" borderId="0" applyFont="0" applyFill="0" applyBorder="0" applyProtection="0">
      <alignment horizontal="right"/>
    </xf>
    <xf numFmtId="226" fontId="199" fillId="0" borderId="0" applyFont="0" applyFill="0" applyBorder="0" applyProtection="0">
      <alignment horizontal="right"/>
    </xf>
    <xf numFmtId="310" fontId="36" fillId="0" borderId="0" applyFont="0" applyFill="0" applyBorder="0" applyAlignment="0" applyProtection="0"/>
    <xf numFmtId="310" fontId="36" fillId="0" borderId="0" applyFont="0" applyFill="0" applyBorder="0" applyAlignment="0" applyProtection="0"/>
    <xf numFmtId="310" fontId="36" fillId="0" borderId="0" applyFont="0" applyFill="0" applyBorder="0" applyAlignment="0" applyProtection="0"/>
    <xf numFmtId="225" fontId="36" fillId="0" borderId="0" applyFont="0" applyFill="0" applyBorder="0" applyAlignment="0" applyProtection="0"/>
    <xf numFmtId="225" fontId="36" fillId="0" borderId="0" applyFont="0" applyFill="0" applyBorder="0" applyAlignment="0" applyProtection="0"/>
    <xf numFmtId="225" fontId="36" fillId="0" borderId="0" applyFont="0" applyFill="0" applyBorder="0" applyAlignment="0" applyProtection="0"/>
    <xf numFmtId="225" fontId="36" fillId="0" borderId="0" applyFont="0" applyFill="0" applyBorder="0" applyAlignment="0" applyProtection="0"/>
    <xf numFmtId="225" fontId="36" fillId="0" borderId="0" applyFont="0" applyFill="0" applyBorder="0" applyAlignment="0" applyProtection="0"/>
    <xf numFmtId="226" fontId="197" fillId="0" borderId="0" applyFont="0" applyFill="0" applyBorder="0" applyProtection="0">
      <alignment horizontal="right"/>
    </xf>
    <xf numFmtId="225" fontId="36" fillId="0" borderId="0" applyFont="0" applyFill="0" applyBorder="0" applyAlignment="0" applyProtection="0"/>
    <xf numFmtId="226" fontId="36" fillId="0" borderId="0" applyFont="0" applyFill="0" applyBorder="0" applyProtection="0">
      <alignment horizontal="right"/>
    </xf>
    <xf numFmtId="226" fontId="36" fillId="0" borderId="0" applyFont="0" applyFill="0" applyBorder="0" applyProtection="0">
      <alignment horizontal="right"/>
    </xf>
    <xf numFmtId="226" fontId="197" fillId="0" borderId="0" applyFont="0" applyFill="0" applyBorder="0" applyProtection="0">
      <alignment horizontal="right"/>
    </xf>
    <xf numFmtId="226" fontId="197" fillId="0" borderId="0" applyFont="0" applyFill="0" applyBorder="0" applyProtection="0">
      <alignment horizontal="right"/>
    </xf>
    <xf numFmtId="226" fontId="197" fillId="0" borderId="0" applyFont="0" applyFill="0" applyBorder="0" applyProtection="0">
      <alignment horizontal="right"/>
    </xf>
    <xf numFmtId="225" fontId="36" fillId="0" borderId="0" applyFont="0" applyFill="0" applyBorder="0" applyAlignment="0" applyProtection="0"/>
    <xf numFmtId="226" fontId="197" fillId="0" borderId="0" applyFont="0" applyFill="0" applyBorder="0" applyProtection="0">
      <alignment horizontal="right"/>
    </xf>
    <xf numFmtId="225" fontId="36" fillId="0" borderId="0" applyFont="0" applyFill="0" applyBorder="0" applyAlignment="0" applyProtection="0"/>
    <xf numFmtId="226" fontId="197" fillId="0" borderId="0" applyFont="0" applyFill="0" applyBorder="0" applyProtection="0">
      <alignment horizontal="right"/>
    </xf>
    <xf numFmtId="225" fontId="36" fillId="0" borderId="0" applyFont="0" applyFill="0" applyBorder="0" applyAlignment="0" applyProtection="0"/>
    <xf numFmtId="226" fontId="36" fillId="0" borderId="0" applyFont="0" applyFill="0" applyBorder="0" applyProtection="0">
      <alignment horizontal="right"/>
    </xf>
    <xf numFmtId="226" fontId="36" fillId="0" borderId="0" applyFont="0" applyFill="0" applyBorder="0" applyProtection="0">
      <alignment horizontal="right"/>
    </xf>
    <xf numFmtId="226" fontId="36" fillId="0" borderId="0" applyFont="0" applyFill="0" applyBorder="0" applyProtection="0">
      <alignment horizontal="right"/>
    </xf>
    <xf numFmtId="212" fontId="36" fillId="0" borderId="0" applyFont="0" applyFill="0" applyBorder="0" applyProtection="0">
      <alignment horizontal="right"/>
    </xf>
    <xf numFmtId="212" fontId="36" fillId="0" borderId="0" applyFont="0" applyFill="0" applyBorder="0" applyAlignment="0" applyProtection="0"/>
    <xf numFmtId="212" fontId="36" fillId="0" borderId="0" applyFont="0" applyFill="0" applyBorder="0" applyAlignment="0" applyProtection="0"/>
    <xf numFmtId="212" fontId="36" fillId="0" borderId="0" applyFont="0" applyFill="0" applyBorder="0" applyAlignment="0" applyProtection="0"/>
    <xf numFmtId="213" fontId="36" fillId="0" borderId="0" applyFont="0" applyFill="0" applyBorder="0" applyProtection="0">
      <alignment horizontal="right"/>
    </xf>
    <xf numFmtId="213" fontId="36" fillId="0" borderId="0" applyFont="0" applyFill="0" applyBorder="0" applyProtection="0">
      <alignment horizontal="right"/>
    </xf>
    <xf numFmtId="213" fontId="36" fillId="0" borderId="0" applyFont="0" applyFill="0" applyBorder="0" applyAlignment="0" applyProtection="0"/>
    <xf numFmtId="213" fontId="36" fillId="0" borderId="0" applyFont="0" applyFill="0" applyBorder="0" applyAlignment="0" applyProtection="0"/>
    <xf numFmtId="213" fontId="36" fillId="0" borderId="0" applyFont="0" applyFill="0" applyBorder="0" applyAlignment="0" applyProtection="0"/>
    <xf numFmtId="0" fontId="80" fillId="0" borderId="0" applyNumberFormat="0" applyFill="0" applyBorder="0" applyProtection="0">
      <alignment vertical="top"/>
    </xf>
    <xf numFmtId="0" fontId="80" fillId="0" borderId="0" applyNumberFormat="0" applyFill="0" applyBorder="0" applyAlignment="0" applyProtection="0">
      <alignment vertical="top"/>
    </xf>
    <xf numFmtId="0" fontId="80" fillId="0" borderId="0" applyNumberFormat="0" applyFill="0" applyBorder="0" applyProtection="0">
      <alignment vertical="top"/>
    </xf>
    <xf numFmtId="0" fontId="80" fillId="0" borderId="0" applyNumberFormat="0" applyFill="0" applyBorder="0" applyProtection="0">
      <alignment vertical="top"/>
    </xf>
    <xf numFmtId="0" fontId="80" fillId="0" borderId="0" applyNumberFormat="0" applyFill="0" applyBorder="0" applyProtection="0">
      <alignment vertical="top"/>
    </xf>
    <xf numFmtId="0" fontId="80" fillId="0" borderId="0" applyNumberFormat="0" applyFill="0" applyBorder="0" applyProtection="0">
      <alignment vertical="top"/>
    </xf>
    <xf numFmtId="0" fontId="80" fillId="0" borderId="0" applyNumberFormat="0" applyFill="0" applyBorder="0" applyProtection="0">
      <alignment vertical="top"/>
    </xf>
    <xf numFmtId="0" fontId="80" fillId="0" borderId="0" applyNumberFormat="0" applyFill="0" applyBorder="0" applyProtection="0">
      <alignment vertical="top"/>
    </xf>
    <xf numFmtId="0" fontId="80" fillId="0" borderId="0" applyNumberFormat="0" applyFill="0" applyBorder="0" applyProtection="0">
      <alignment vertical="top"/>
    </xf>
    <xf numFmtId="0" fontId="80" fillId="0" borderId="0" applyNumberFormat="0" applyFill="0" applyBorder="0" applyProtection="0">
      <alignment vertical="top"/>
    </xf>
    <xf numFmtId="0" fontId="80" fillId="0" borderId="0" applyNumberFormat="0" applyFill="0" applyBorder="0" applyProtection="0">
      <alignment vertical="top"/>
    </xf>
    <xf numFmtId="0" fontId="81" fillId="0" borderId="18" applyNumberFormat="0" applyFill="0" applyAlignment="0" applyProtection="0"/>
    <xf numFmtId="0" fontId="81" fillId="0" borderId="33" applyNumberFormat="0" applyFill="0" applyAlignment="0" applyProtection="0"/>
    <xf numFmtId="0" fontId="81" fillId="0" borderId="18" applyNumberFormat="0" applyFill="0" applyAlignment="0" applyProtection="0"/>
    <xf numFmtId="0" fontId="81" fillId="0" borderId="18" applyNumberFormat="0" applyFill="0" applyAlignment="0" applyProtection="0"/>
    <xf numFmtId="0" fontId="83" fillId="0" borderId="0" applyNumberFormat="0" applyFill="0" applyBorder="0" applyProtection="0">
      <alignment horizontal="centerContinuous"/>
    </xf>
    <xf numFmtId="0" fontId="83" fillId="0" borderId="0" applyNumberFormat="0" applyFill="0" applyProtection="0">
      <alignment horizontal="centerContinuous"/>
    </xf>
    <xf numFmtId="0" fontId="83" fillId="0" borderId="0" applyNumberFormat="0" applyFill="0" applyBorder="0" applyProtection="0">
      <alignment horizontal="centerContinuous"/>
    </xf>
    <xf numFmtId="0" fontId="83" fillId="0" borderId="0" applyNumberFormat="0" applyFill="0" applyBorder="0" applyProtection="0">
      <alignment horizontal="centerContinuous"/>
    </xf>
    <xf numFmtId="2" fontId="105" fillId="0" borderId="0" applyNumberFormat="0" applyBorder="0" applyAlignment="0"/>
    <xf numFmtId="204" fontId="200" fillId="0" borderId="0"/>
    <xf numFmtId="0" fontId="201" fillId="27" borderId="34">
      <alignment horizontal="center"/>
    </xf>
    <xf numFmtId="222" fontId="21" fillId="28" borderId="0" applyNumberFormat="0" applyFont="0" applyBorder="0" applyAlignment="0">
      <protection locked="0"/>
    </xf>
    <xf numFmtId="0" fontId="21" fillId="0" borderId="0" applyNumberFormat="0" applyFill="0" applyBorder="0" applyAlignment="0" applyProtection="0"/>
    <xf numFmtId="222" fontId="202" fillId="0" borderId="0" applyNumberFormat="0" applyFill="0" applyBorder="0" applyProtection="0">
      <alignment horizontal="right"/>
    </xf>
    <xf numFmtId="38" fontId="203" fillId="0" borderId="0" applyNumberFormat="0" applyFill="0" applyBorder="0">
      <alignment vertical="center"/>
    </xf>
    <xf numFmtId="0" fontId="40" fillId="0" borderId="0"/>
    <xf numFmtId="0" fontId="105" fillId="0" borderId="0" applyNumberFormat="0" applyAlignment="0"/>
    <xf numFmtId="166" fontId="153" fillId="0" borderId="0" applyNumberFormat="0" applyFont="0" applyAlignment="0">
      <alignment vertical="center"/>
    </xf>
    <xf numFmtId="311" fontId="36" fillId="0" borderId="0" applyNumberFormat="0" applyFill="0" applyBorder="0" applyAlignment="0" applyProtection="0"/>
    <xf numFmtId="38" fontId="154" fillId="0" borderId="0" applyNumberFormat="0" applyFill="0" applyBorder="0">
      <alignment horizontal="left" vertical="center"/>
    </xf>
    <xf numFmtId="166" fontId="204" fillId="0" borderId="0" applyFill="0" applyBorder="0">
      <alignment vertical="center"/>
    </xf>
    <xf numFmtId="0" fontId="22" fillId="0" borderId="0" applyNumberFormat="0" applyFill="0" applyBorder="0" applyAlignment="0" applyProtection="0"/>
    <xf numFmtId="0" fontId="205" fillId="0" borderId="0">
      <alignment horizontal="left" vertical="top"/>
      <protection locked="0"/>
    </xf>
    <xf numFmtId="176" fontId="36" fillId="0" borderId="0" applyFill="0">
      <alignment horizontal="center" vertical="center"/>
    </xf>
    <xf numFmtId="0" fontId="206" fillId="0" borderId="0" applyNumberFormat="0" applyAlignment="0"/>
    <xf numFmtId="204" fontId="36" fillId="0" borderId="0" applyFill="0" applyBorder="0" applyAlignment="0" applyProtection="0"/>
    <xf numFmtId="37" fontId="60" fillId="1" borderId="0">
      <alignment horizontal="right"/>
    </xf>
    <xf numFmtId="2" fontId="207" fillId="0" borderId="0"/>
    <xf numFmtId="1" fontId="36" fillId="0" borderId="0"/>
    <xf numFmtId="0" fontId="36" fillId="0" borderId="0">
      <alignment vertical="top"/>
    </xf>
    <xf numFmtId="0" fontId="36" fillId="0" borderId="0">
      <alignment vertical="top"/>
    </xf>
    <xf numFmtId="6" fontId="154" fillId="0" borderId="35" applyFill="0">
      <alignment vertical="center"/>
    </xf>
    <xf numFmtId="312" fontId="21" fillId="0" borderId="0"/>
    <xf numFmtId="14" fontId="36" fillId="0" borderId="0" applyFill="0" applyBorder="0">
      <alignment vertical="center"/>
    </xf>
    <xf numFmtId="179" fontId="105" fillId="0" borderId="0" applyNumberFormat="0" applyBorder="0" applyAlignment="0"/>
    <xf numFmtId="0" fontId="28" fillId="0" borderId="0"/>
    <xf numFmtId="40" fontId="29" fillId="0" borderId="0" applyFont="0" applyFill="0" applyBorder="0" applyAlignment="0" applyProtection="0"/>
    <xf numFmtId="8" fontId="29" fillId="0" borderId="0" applyFont="0" applyFill="0" applyBorder="0" applyAlignment="0" applyProtection="0"/>
    <xf numFmtId="9" fontId="29" fillId="0" borderId="0" applyFont="0" applyFill="0" applyBorder="0" applyAlignment="0" applyProtection="0"/>
    <xf numFmtId="0" fontId="51" fillId="0" borderId="48"/>
    <xf numFmtId="8" fontId="29" fillId="0" borderId="0" applyFont="0" applyFill="0" applyBorder="0" applyAlignment="0" applyProtection="0"/>
    <xf numFmtId="184" fontId="37" fillId="0" borderId="32" applyBorder="0"/>
    <xf numFmtId="0" fontId="41" fillId="0" borderId="36">
      <protection hidden="1"/>
    </xf>
    <xf numFmtId="0" fontId="29" fillId="4" borderId="36" applyNumberFormat="0" applyFont="0" applyBorder="0" applyAlignment="0" applyProtection="0">
      <protection hidden="1"/>
    </xf>
    <xf numFmtId="250" fontId="109" fillId="9" borderId="17" applyFont="0" applyFill="0" applyBorder="0" applyAlignment="0"/>
    <xf numFmtId="0" fontId="41" fillId="0" borderId="63">
      <protection hidden="1"/>
    </xf>
    <xf numFmtId="292" fontId="36" fillId="0" borderId="47" applyFont="0" applyFill="0" applyBorder="0" applyAlignment="0">
      <alignment horizontal="right"/>
    </xf>
    <xf numFmtId="0" fontId="48" fillId="0" borderId="36">
      <alignment horizontal="left"/>
      <protection locked="0"/>
    </xf>
    <xf numFmtId="9" fontId="29" fillId="0" borderId="0" applyFont="0" applyFill="0" applyBorder="0" applyAlignment="0" applyProtection="0"/>
    <xf numFmtId="204" fontId="37" fillId="0" borderId="47" applyFont="0" applyFill="0" applyBorder="0" applyAlignment="0" applyProtection="0">
      <alignment horizontal="right"/>
    </xf>
    <xf numFmtId="0" fontId="28" fillId="0" borderId="0"/>
    <xf numFmtId="0" fontId="51" fillId="0" borderId="36"/>
    <xf numFmtId="0" fontId="53" fillId="0" borderId="36" applyNumberFormat="0" applyFill="0" applyBorder="0" applyAlignment="0" applyProtection="0">
      <protection hidden="1"/>
    </xf>
    <xf numFmtId="8" fontId="29" fillId="0" borderId="0" applyFont="0" applyFill="0" applyBorder="0" applyAlignment="0" applyProtection="0"/>
    <xf numFmtId="0" fontId="60" fillId="4" borderId="36"/>
    <xf numFmtId="0" fontId="29" fillId="0" borderId="17" applyNumberFormat="0" applyFont="0" applyFill="0" applyAlignment="0" applyProtection="0"/>
    <xf numFmtId="40" fontId="29" fillId="0" borderId="0" applyFont="0" applyFill="0" applyBorder="0" applyAlignment="0" applyProtection="0"/>
    <xf numFmtId="0" fontId="73" fillId="0" borderId="55">
      <alignment horizontal="centerContinuous"/>
    </xf>
    <xf numFmtId="0" fontId="53" fillId="0" borderId="44" applyNumberFormat="0" applyFill="0" applyBorder="0" applyAlignment="0" applyProtection="0">
      <protection hidden="1"/>
    </xf>
    <xf numFmtId="260" fontId="174" fillId="0" borderId="47" applyBorder="0" applyProtection="0">
      <alignment horizontal="right" vertical="center"/>
    </xf>
    <xf numFmtId="204" fontId="37" fillId="0" borderId="43" applyFont="0" applyFill="0" applyBorder="0" applyAlignment="0" applyProtection="0">
      <alignment horizontal="right"/>
    </xf>
    <xf numFmtId="0" fontId="51" fillId="0" borderId="40"/>
    <xf numFmtId="254" fontId="118" fillId="0" borderId="61" applyFont="0" applyFill="0" applyBorder="0" applyAlignment="0"/>
    <xf numFmtId="0" fontId="36" fillId="0" borderId="53" applyBorder="0">
      <alignment horizontal="center"/>
    </xf>
    <xf numFmtId="0" fontId="173" fillId="0" borderId="51" applyNumberFormat="0" applyFill="0" applyProtection="0"/>
    <xf numFmtId="260" fontId="174" fillId="0" borderId="51" applyBorder="0" applyProtection="0">
      <alignment horizontal="right" vertical="center"/>
    </xf>
    <xf numFmtId="3" fontId="70" fillId="0" borderId="51" applyNumberFormat="0"/>
    <xf numFmtId="8" fontId="29" fillId="0" borderId="0" applyFont="0" applyFill="0" applyBorder="0" applyAlignment="0" applyProtection="0"/>
    <xf numFmtId="0" fontId="48" fillId="0" borderId="44">
      <alignment horizontal="left"/>
      <protection locked="0"/>
    </xf>
    <xf numFmtId="0" fontId="41" fillId="0" borderId="44">
      <protection hidden="1"/>
    </xf>
    <xf numFmtId="0" fontId="60" fillId="4" borderId="57"/>
    <xf numFmtId="0" fontId="28" fillId="0" borderId="0"/>
    <xf numFmtId="0" fontId="60" fillId="4" borderId="65"/>
    <xf numFmtId="0" fontId="29" fillId="0" borderId="61" applyNumberFormat="0" applyFont="0" applyFill="0" applyAlignment="0" applyProtection="0"/>
    <xf numFmtId="0" fontId="175" fillId="18" borderId="47" applyBorder="0" applyProtection="0">
      <alignment horizontal="centerContinuous" vertical="center"/>
    </xf>
    <xf numFmtId="0" fontId="36" fillId="0" borderId="49" applyNumberFormat="0" applyFont="0" applyFill="0" applyAlignment="0" applyProtection="0"/>
    <xf numFmtId="0" fontId="175" fillId="18" borderId="43" applyBorder="0" applyProtection="0">
      <alignment horizontal="centerContinuous" vertical="center"/>
    </xf>
    <xf numFmtId="0" fontId="29" fillId="0" borderId="51" applyNumberFormat="0" applyFont="0" applyFill="0" applyAlignment="0" applyProtection="0"/>
    <xf numFmtId="0" fontId="51" fillId="0" borderId="65"/>
    <xf numFmtId="292" fontId="36" fillId="0" borderId="43" applyFont="0" applyFill="0" applyBorder="0" applyAlignment="0">
      <alignment horizontal="right"/>
    </xf>
    <xf numFmtId="9" fontId="29" fillId="0" borderId="0" applyFont="0" applyFill="0" applyBorder="0" applyAlignment="0" applyProtection="0"/>
    <xf numFmtId="0" fontId="28" fillId="0" borderId="0"/>
    <xf numFmtId="0" fontId="28" fillId="0" borderId="0"/>
    <xf numFmtId="40" fontId="29" fillId="0" borderId="0" applyFont="0" applyFill="0" applyBorder="0" applyAlignment="0" applyProtection="0"/>
    <xf numFmtId="8"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8" fontId="29" fillId="0" borderId="0" applyFont="0" applyFill="0" applyBorder="0" applyAlignment="0" applyProtection="0"/>
    <xf numFmtId="0" fontId="41" fillId="0" borderId="40">
      <protection hidden="1"/>
    </xf>
    <xf numFmtId="0" fontId="29" fillId="4" borderId="40" applyNumberFormat="0" applyFont="0" applyBorder="0" applyAlignment="0" applyProtection="0">
      <protection hidden="1"/>
    </xf>
    <xf numFmtId="0" fontId="29" fillId="0" borderId="53" applyNumberFormat="0" applyFont="0" applyFill="0" applyAlignment="0" applyProtection="0"/>
    <xf numFmtId="0" fontId="48" fillId="0" borderId="40">
      <alignment horizontal="left"/>
      <protection locked="0"/>
    </xf>
    <xf numFmtId="179" fontId="102" fillId="21" borderId="60" applyNumberFormat="0" applyFont="0" applyBorder="0" applyAlignment="0" applyProtection="0">
      <alignment horizontal="center"/>
    </xf>
    <xf numFmtId="0" fontId="60" fillId="4" borderId="40"/>
    <xf numFmtId="40" fontId="29" fillId="0" borderId="0" applyFont="0" applyFill="0" applyBorder="0" applyAlignment="0" applyProtection="0"/>
    <xf numFmtId="204" fontId="37" fillId="0" borderId="61" applyFont="0" applyFill="0" applyBorder="0" applyAlignment="0" applyProtection="0">
      <alignment horizontal="right"/>
    </xf>
    <xf numFmtId="0" fontId="175" fillId="18" borderId="39" applyBorder="0" applyProtection="0">
      <alignment horizontal="centerContinuous" vertical="center"/>
    </xf>
    <xf numFmtId="0" fontId="173" fillId="0" borderId="39" applyNumberFormat="0" applyFill="0" applyProtection="0"/>
    <xf numFmtId="204" fontId="37" fillId="0" borderId="39" applyFont="0" applyFill="0" applyBorder="0" applyAlignment="0" applyProtection="0">
      <alignment horizontal="right"/>
    </xf>
    <xf numFmtId="0" fontId="29" fillId="0" borderId="64" applyNumberFormat="0" applyFont="0" applyFill="0" applyAlignment="0" applyProtection="0"/>
    <xf numFmtId="0" fontId="73" fillId="0" borderId="39">
      <alignment horizontal="centerContinuous"/>
    </xf>
    <xf numFmtId="9" fontId="29" fillId="0" borderId="0" applyFont="0" applyFill="0" applyBorder="0" applyAlignment="0" applyProtection="0"/>
    <xf numFmtId="292" fontId="36" fillId="0" borderId="39" applyFont="0" applyFill="0" applyBorder="0" applyAlignment="0">
      <alignment horizontal="right"/>
    </xf>
    <xf numFmtId="0" fontId="29" fillId="4" borderId="48" applyNumberFormat="0" applyFont="0" applyBorder="0" applyAlignment="0" applyProtection="0">
      <protection hidden="1"/>
    </xf>
    <xf numFmtId="0" fontId="36" fillId="0" borderId="66" applyBorder="0">
      <alignment horizontal="center"/>
    </xf>
    <xf numFmtId="40" fontId="29" fillId="0" borderId="0" applyFont="0" applyFill="0" applyBorder="0" applyAlignment="0" applyProtection="0"/>
    <xf numFmtId="0" fontId="53" fillId="0" borderId="57" applyNumberFormat="0" applyFill="0" applyBorder="0" applyAlignment="0" applyProtection="0">
      <protection hidden="1"/>
    </xf>
    <xf numFmtId="181" fontId="105" fillId="0" borderId="55" applyFill="0"/>
    <xf numFmtId="260" fontId="174" fillId="0" borderId="43" applyBorder="0" applyProtection="0">
      <alignment horizontal="right" vertical="center"/>
    </xf>
    <xf numFmtId="0" fontId="173" fillId="0" borderId="43" applyNumberFormat="0" applyFill="0" applyProtection="0"/>
    <xf numFmtId="0" fontId="36" fillId="0" borderId="45" applyBorder="0">
      <alignment horizontal="center"/>
    </xf>
    <xf numFmtId="181" fontId="105" fillId="0" borderId="51" applyFill="0"/>
    <xf numFmtId="204" fontId="37" fillId="0" borderId="51" applyFont="0" applyFill="0" applyBorder="0" applyAlignment="0" applyProtection="0">
      <alignment horizontal="right"/>
    </xf>
    <xf numFmtId="0" fontId="60" fillId="4" borderId="63"/>
    <xf numFmtId="0" fontId="28" fillId="0" borderId="0"/>
    <xf numFmtId="0" fontId="29" fillId="4" borderId="63" applyNumberFormat="0" applyFont="0" applyBorder="0" applyAlignment="0" applyProtection="0">
      <protection hidden="1"/>
    </xf>
    <xf numFmtId="8" fontId="29" fillId="0" borderId="0" applyFont="0" applyFill="0" applyBorder="0" applyAlignment="0" applyProtection="0"/>
    <xf numFmtId="0" fontId="28" fillId="0" borderId="0"/>
    <xf numFmtId="8" fontId="29" fillId="0" borderId="0" applyFont="0" applyFill="0" applyBorder="0" applyAlignment="0" applyProtection="0"/>
    <xf numFmtId="9" fontId="29" fillId="0" borderId="0" applyFont="0" applyFill="0" applyBorder="0" applyAlignment="0" applyProtection="0"/>
    <xf numFmtId="8" fontId="29" fillId="0" borderId="0" applyFont="0" applyFill="0" applyBorder="0" applyAlignment="0" applyProtection="0"/>
    <xf numFmtId="0" fontId="173" fillId="0" borderId="47" applyNumberFormat="0" applyFill="0" applyProtection="0"/>
    <xf numFmtId="181" fontId="105" fillId="0" borderId="43" applyFill="0"/>
    <xf numFmtId="9" fontId="29" fillId="0" borderId="0" applyFont="0" applyFill="0" applyBorder="0" applyAlignment="0" applyProtection="0"/>
    <xf numFmtId="40" fontId="29" fillId="0" borderId="0" applyFont="0" applyFill="0" applyBorder="0" applyAlignment="0" applyProtection="0"/>
    <xf numFmtId="0" fontId="141" fillId="0" borderId="45">
      <alignment horizontal="left" vertical="top"/>
    </xf>
    <xf numFmtId="292" fontId="36" fillId="0" borderId="55" applyFont="0" applyFill="0" applyBorder="0" applyAlignment="0">
      <alignment horizontal="right"/>
    </xf>
    <xf numFmtId="40" fontId="29" fillId="0" borderId="0" applyFont="0" applyFill="0" applyBorder="0" applyAlignment="0" applyProtection="0"/>
    <xf numFmtId="0" fontId="36" fillId="0" borderId="59" applyNumberFormat="0" applyFont="0" applyFill="0" applyAlignment="0" applyProtection="0"/>
    <xf numFmtId="0" fontId="36" fillId="0" borderId="38" applyNumberFormat="0" applyFont="0" applyFill="0" applyAlignment="0" applyProtection="0"/>
    <xf numFmtId="0" fontId="41" fillId="0" borderId="65">
      <protection hidden="1"/>
    </xf>
    <xf numFmtId="0" fontId="48" fillId="0" borderId="63">
      <alignment horizontal="left"/>
      <protection locked="0"/>
    </xf>
    <xf numFmtId="180" fontId="118" fillId="0" borderId="39" applyFont="0" applyFill="0" applyBorder="0">
      <alignment horizontal="center"/>
    </xf>
    <xf numFmtId="254" fontId="118" fillId="0" borderId="39" applyFont="0" applyFill="0" applyBorder="0" applyAlignment="0"/>
    <xf numFmtId="0" fontId="173" fillId="0" borderId="55" applyNumberFormat="0" applyFill="0" applyProtection="0"/>
    <xf numFmtId="0" fontId="36" fillId="0" borderId="58" applyBorder="0">
      <alignment horizontal="center"/>
    </xf>
    <xf numFmtId="180" fontId="118" fillId="0" borderId="43" applyFont="0" applyFill="0" applyBorder="0">
      <alignment horizontal="center"/>
    </xf>
    <xf numFmtId="0" fontId="53" fillId="0" borderId="65" applyNumberFormat="0" applyFill="0" applyBorder="0" applyAlignment="0" applyProtection="0">
      <protection hidden="1"/>
    </xf>
    <xf numFmtId="254" fontId="118" fillId="0" borderId="43" applyFont="0" applyFill="0" applyBorder="0" applyAlignment="0"/>
    <xf numFmtId="9" fontId="29" fillId="0" borderId="0" applyFont="0" applyFill="0" applyBorder="0" applyAlignment="0" applyProtection="0"/>
    <xf numFmtId="243" fontId="45" fillId="0" borderId="39"/>
    <xf numFmtId="9" fontId="29" fillId="0" borderId="0" applyFont="0" applyFill="0" applyBorder="0" applyAlignment="0" applyProtection="0"/>
    <xf numFmtId="0" fontId="29" fillId="0" borderId="42" applyNumberFormat="0" applyFont="0" applyFill="0" applyAlignment="0" applyProtection="0"/>
    <xf numFmtId="180" fontId="118" fillId="0" borderId="55" applyFont="0" applyFill="0" applyBorder="0">
      <alignment horizontal="center"/>
    </xf>
    <xf numFmtId="0" fontId="29" fillId="0" borderId="31" applyNumberFormat="0" applyFont="0" applyFill="0" applyAlignment="0" applyProtection="0"/>
    <xf numFmtId="0" fontId="29" fillId="0" borderId="37" applyNumberFormat="0" applyFont="0" applyFill="0" applyAlignment="0" applyProtection="0"/>
    <xf numFmtId="243" fontId="45" fillId="0" borderId="47"/>
    <xf numFmtId="0" fontId="29" fillId="0" borderId="39" applyNumberFormat="0" applyFont="0" applyFill="0" applyAlignment="0" applyProtection="0"/>
    <xf numFmtId="243" fontId="45" fillId="0" borderId="31"/>
    <xf numFmtId="0" fontId="29" fillId="4" borderId="65" applyNumberFormat="0" applyFont="0" applyBorder="0" applyAlignment="0" applyProtection="0">
      <protection hidden="1"/>
    </xf>
    <xf numFmtId="0" fontId="73" fillId="0" borderId="61">
      <alignment horizontal="centerContinuous"/>
    </xf>
    <xf numFmtId="0" fontId="175" fillId="18" borderId="61" applyBorder="0" applyProtection="0">
      <alignment horizontal="centerContinuous" vertical="center"/>
    </xf>
    <xf numFmtId="0" fontId="139" fillId="0" borderId="53">
      <alignment horizontal="left" vertical="top"/>
    </xf>
    <xf numFmtId="0" fontId="141" fillId="0" borderId="53">
      <alignment horizontal="left" vertical="top"/>
    </xf>
    <xf numFmtId="254" fontId="118" fillId="0" borderId="31" applyFont="0" applyFill="0" applyBorder="0" applyAlignment="0"/>
    <xf numFmtId="0" fontId="36" fillId="0" borderId="41" applyNumberFormat="0" applyFont="0" applyFill="0" applyAlignment="0" applyProtection="0"/>
    <xf numFmtId="0" fontId="48" fillId="0" borderId="57">
      <alignment horizontal="left"/>
      <protection locked="0"/>
    </xf>
    <xf numFmtId="180" fontId="118" fillId="0" borderId="31" applyFont="0" applyFill="0" applyBorder="0">
      <alignment horizontal="center"/>
    </xf>
    <xf numFmtId="0" fontId="73" fillId="0" borderId="51">
      <alignment horizontal="centerContinuous"/>
    </xf>
    <xf numFmtId="179" fontId="102" fillId="21" borderId="50" applyNumberFormat="0" applyFont="0" applyBorder="0" applyAlignment="0" applyProtection="0">
      <alignment horizontal="center"/>
    </xf>
    <xf numFmtId="0" fontId="139" fillId="0" borderId="42">
      <alignment horizontal="left" vertical="top"/>
    </xf>
    <xf numFmtId="0" fontId="139" fillId="0" borderId="58">
      <alignment horizontal="left" vertical="top"/>
    </xf>
    <xf numFmtId="0" fontId="175" fillId="18" borderId="55" applyBorder="0" applyProtection="0">
      <alignment horizontal="centerContinuous" vertical="center"/>
    </xf>
    <xf numFmtId="9" fontId="29" fillId="0" borderId="0" applyFont="0" applyFill="0" applyBorder="0" applyAlignment="0" applyProtection="0"/>
    <xf numFmtId="40" fontId="29" fillId="0" borderId="0" applyFont="0" applyFill="0" applyBorder="0" applyAlignment="0" applyProtection="0"/>
    <xf numFmtId="0" fontId="28" fillId="0" borderId="0"/>
    <xf numFmtId="0" fontId="139" fillId="0" borderId="37">
      <alignment horizontal="left" vertical="top"/>
    </xf>
    <xf numFmtId="0" fontId="141" fillId="0" borderId="37">
      <alignment horizontal="left" vertical="top"/>
    </xf>
    <xf numFmtId="40" fontId="29" fillId="0" borderId="0" applyFont="0" applyFill="0" applyBorder="0" applyAlignment="0" applyProtection="0"/>
    <xf numFmtId="0" fontId="41" fillId="0" borderId="48">
      <protection hidden="1"/>
    </xf>
    <xf numFmtId="181" fontId="105" fillId="0" borderId="31" applyFill="0"/>
    <xf numFmtId="0" fontId="73" fillId="0" borderId="47">
      <alignment horizontal="centerContinuous"/>
    </xf>
    <xf numFmtId="0" fontId="172" fillId="0" borderId="17" applyNumberFormat="0" applyFill="0" applyProtection="0">
      <alignment horizontal="right"/>
    </xf>
    <xf numFmtId="184" fontId="37" fillId="0" borderId="62" applyBorder="0"/>
    <xf numFmtId="0" fontId="139" fillId="0" borderId="64">
      <alignment horizontal="left" vertical="top"/>
    </xf>
    <xf numFmtId="180" fontId="118" fillId="0" borderId="47" applyFont="0" applyFill="0" applyBorder="0">
      <alignment horizontal="center"/>
    </xf>
    <xf numFmtId="0" fontId="60" fillId="4" borderId="44"/>
    <xf numFmtId="0" fontId="28" fillId="0" borderId="0"/>
    <xf numFmtId="9" fontId="29" fillId="0" borderId="0" applyFont="0" applyFill="0" applyBorder="0" applyAlignment="0" applyProtection="0"/>
    <xf numFmtId="8" fontId="29" fillId="0" borderId="0" applyFont="0" applyFill="0" applyBorder="0" applyAlignment="0" applyProtection="0"/>
    <xf numFmtId="40" fontId="29" fillId="0" borderId="0" applyFont="0" applyFill="0" applyBorder="0" applyAlignment="0" applyProtection="0"/>
    <xf numFmtId="8" fontId="29" fillId="0" borderId="0" applyFont="0" applyFill="0" applyBorder="0" applyAlignment="0" applyProtection="0"/>
    <xf numFmtId="8" fontId="29" fillId="0" borderId="0" applyFont="0" applyFill="0" applyBorder="0" applyAlignment="0" applyProtection="0"/>
    <xf numFmtId="0" fontId="28" fillId="0" borderId="0"/>
    <xf numFmtId="0" fontId="36" fillId="0" borderId="64" applyBorder="0">
      <alignment horizontal="center"/>
    </xf>
    <xf numFmtId="292" fontId="36" fillId="0" borderId="31" applyFont="0" applyFill="0" applyBorder="0" applyAlignment="0">
      <alignment horizontal="right"/>
    </xf>
    <xf numFmtId="184" fontId="37" fillId="0" borderId="56" applyBorder="0"/>
    <xf numFmtId="0" fontId="73" fillId="0" borderId="31">
      <alignment horizontal="centerContinuous"/>
    </xf>
    <xf numFmtId="254" fontId="118" fillId="0" borderId="47" applyFont="0" applyFill="0" applyBorder="0" applyAlignment="0"/>
    <xf numFmtId="204" fontId="37" fillId="0" borderId="31" applyFont="0" applyFill="0" applyBorder="0" applyAlignment="0" applyProtection="0">
      <alignment horizontal="right"/>
    </xf>
    <xf numFmtId="3" fontId="70" fillId="0" borderId="55" applyNumberFormat="0"/>
    <xf numFmtId="40" fontId="29" fillId="0" borderId="0" applyFont="0" applyFill="0" applyBorder="0" applyAlignment="0" applyProtection="0"/>
    <xf numFmtId="0" fontId="173" fillId="0" borderId="61" applyNumberFormat="0" applyFill="0" applyProtection="0"/>
    <xf numFmtId="0" fontId="36" fillId="0" borderId="37" applyBorder="0">
      <alignment horizontal="center"/>
    </xf>
    <xf numFmtId="0" fontId="173" fillId="0" borderId="31" applyNumberFormat="0" applyFill="0" applyProtection="0"/>
    <xf numFmtId="260" fontId="174" fillId="0" borderId="31" applyBorder="0" applyProtection="0">
      <alignment horizontal="right" vertical="center"/>
    </xf>
    <xf numFmtId="0" fontId="175" fillId="18" borderId="31" applyBorder="0" applyProtection="0">
      <alignment horizontal="centerContinuous" vertical="center"/>
    </xf>
    <xf numFmtId="0" fontId="29" fillId="0" borderId="47" applyNumberFormat="0" applyFont="0" applyFill="0" applyAlignment="0" applyProtection="0"/>
    <xf numFmtId="9" fontId="29" fillId="0" borderId="0" applyFont="0" applyFill="0" applyBorder="0" applyAlignment="0" applyProtection="0"/>
    <xf numFmtId="9" fontId="29" fillId="0" borderId="0" applyFont="0" applyFill="0" applyBorder="0" applyAlignment="0" applyProtection="0"/>
    <xf numFmtId="180" fontId="118" fillId="0" borderId="51" applyFont="0" applyFill="0" applyBorder="0">
      <alignment horizontal="center"/>
    </xf>
    <xf numFmtId="0" fontId="139" fillId="0" borderId="45">
      <alignment horizontal="left" vertical="top"/>
    </xf>
    <xf numFmtId="3" fontId="70" fillId="0" borderId="31" applyNumberFormat="0"/>
    <xf numFmtId="9" fontId="29" fillId="0" borderId="0" applyFont="0" applyFill="0" applyBorder="0" applyAlignment="0" applyProtection="0"/>
    <xf numFmtId="8" fontId="29" fillId="0" borderId="0" applyFont="0" applyFill="0" applyBorder="0" applyAlignment="0" applyProtection="0"/>
    <xf numFmtId="40" fontId="29" fillId="0" borderId="0" applyFont="0" applyFill="0" applyBorder="0" applyAlignment="0" applyProtection="0"/>
    <xf numFmtId="0" fontId="28" fillId="0" borderId="0"/>
    <xf numFmtId="243" fontId="45" fillId="0" borderId="51"/>
    <xf numFmtId="180" fontId="118" fillId="0" borderId="61" applyFont="0" applyFill="0" applyBorder="0">
      <alignment horizontal="center"/>
    </xf>
    <xf numFmtId="0" fontId="36" fillId="0" borderId="54" applyNumberFormat="0" applyFont="0" applyFill="0" applyAlignment="0" applyProtection="0"/>
    <xf numFmtId="40" fontId="29" fillId="0" borderId="0" applyFont="0" applyFill="0" applyBorder="0" applyAlignment="0" applyProtection="0"/>
    <xf numFmtId="267" fontId="21" fillId="15" borderId="17" applyNumberFormat="0" applyFont="0" applyBorder="0" applyAlignment="0" applyProtection="0">
      <alignment horizontal="right"/>
    </xf>
    <xf numFmtId="0" fontId="28" fillId="0" borderId="0"/>
    <xf numFmtId="181" fontId="105" fillId="0" borderId="47" applyFill="0"/>
    <xf numFmtId="8" fontId="29" fillId="0" borderId="0" applyFont="0" applyFill="0" applyBorder="0" applyAlignment="0" applyProtection="0"/>
    <xf numFmtId="0" fontId="36" fillId="0" borderId="42" applyBorder="0">
      <alignment horizontal="center"/>
    </xf>
    <xf numFmtId="0" fontId="141" fillId="0" borderId="64">
      <alignment horizontal="left" vertical="top"/>
    </xf>
    <xf numFmtId="0" fontId="29" fillId="0" borderId="58" applyNumberFormat="0" applyFont="0" applyFill="0" applyAlignment="0" applyProtection="0"/>
    <xf numFmtId="0" fontId="29" fillId="4" borderId="44" applyNumberFormat="0" applyFont="0" applyBorder="0" applyAlignment="0" applyProtection="0">
      <protection hidden="1"/>
    </xf>
    <xf numFmtId="260" fontId="174" fillId="0" borderId="61" applyBorder="0" applyProtection="0">
      <alignment horizontal="right" vertical="center"/>
    </xf>
    <xf numFmtId="0" fontId="28" fillId="0" borderId="0"/>
    <xf numFmtId="260" fontId="174" fillId="0" borderId="55" applyBorder="0" applyProtection="0">
      <alignment horizontal="right" vertical="center"/>
    </xf>
    <xf numFmtId="0" fontId="28" fillId="0" borderId="0"/>
    <xf numFmtId="0" fontId="29" fillId="4" borderId="57" applyNumberFormat="0" applyFont="0" applyBorder="0" applyAlignment="0" applyProtection="0">
      <protection hidden="1"/>
    </xf>
    <xf numFmtId="3" fontId="70" fillId="0" borderId="39" applyNumberFormat="0"/>
    <xf numFmtId="8" fontId="29" fillId="0" borderId="0" applyFont="0" applyFill="0" applyBorder="0" applyAlignment="0" applyProtection="0"/>
    <xf numFmtId="292" fontId="36" fillId="0" borderId="51" applyFont="0" applyFill="0" applyBorder="0" applyAlignment="0">
      <alignment horizontal="right"/>
    </xf>
    <xf numFmtId="0" fontId="51" fillId="0" borderId="44"/>
    <xf numFmtId="0" fontId="29" fillId="0" borderId="45" applyNumberFormat="0" applyFont="0" applyFill="0" applyAlignment="0" applyProtection="0"/>
    <xf numFmtId="0" fontId="29" fillId="0" borderId="43" applyNumberFormat="0" applyFont="0" applyFill="0" applyAlignment="0" applyProtection="0"/>
    <xf numFmtId="260" fontId="174" fillId="0" borderId="39" applyBorder="0" applyProtection="0">
      <alignment horizontal="right" vertical="center"/>
    </xf>
    <xf numFmtId="254" fontId="118" fillId="0" borderId="55" applyFont="0" applyFill="0" applyBorder="0" applyAlignment="0"/>
    <xf numFmtId="0" fontId="28" fillId="0" borderId="0"/>
    <xf numFmtId="9" fontId="29" fillId="0" borderId="0" applyFont="0" applyFill="0" applyBorder="0" applyAlignment="0" applyProtection="0"/>
    <xf numFmtId="0" fontId="51" fillId="0" borderId="57"/>
    <xf numFmtId="0" fontId="29" fillId="0" borderId="55" applyNumberFormat="0" applyFont="0" applyFill="0" applyAlignment="0" applyProtection="0"/>
    <xf numFmtId="0" fontId="175" fillId="18" borderId="51" applyBorder="0" applyProtection="0">
      <alignment horizontal="centerContinuous" vertical="center"/>
    </xf>
    <xf numFmtId="0" fontId="60" fillId="4" borderId="48"/>
    <xf numFmtId="3" fontId="70" fillId="0" borderId="43" applyNumberFormat="0"/>
    <xf numFmtId="0" fontId="73" fillId="0" borderId="43">
      <alignment horizontal="centerContinuous"/>
    </xf>
    <xf numFmtId="181" fontId="105" fillId="0" borderId="39" applyFill="0"/>
    <xf numFmtId="0" fontId="28" fillId="0" borderId="0"/>
    <xf numFmtId="3" fontId="70" fillId="0" borderId="47" applyNumberFormat="0"/>
    <xf numFmtId="0" fontId="48" fillId="0" borderId="48">
      <alignment horizontal="left"/>
      <protection locked="0"/>
    </xf>
    <xf numFmtId="0" fontId="141" fillId="0" borderId="66">
      <alignment horizontal="left" vertical="top"/>
    </xf>
    <xf numFmtId="254" fontId="118" fillId="0" borderId="51" applyFont="0" applyFill="0" applyBorder="0" applyAlignment="0"/>
    <xf numFmtId="0" fontId="141" fillId="0" borderId="42">
      <alignment horizontal="left" vertical="top"/>
    </xf>
    <xf numFmtId="181" fontId="105" fillId="0" borderId="61" applyFill="0"/>
    <xf numFmtId="204" fontId="37" fillId="0" borderId="55" applyFont="0" applyFill="0" applyBorder="0" applyAlignment="0" applyProtection="0">
      <alignment horizontal="right"/>
    </xf>
    <xf numFmtId="243" fontId="45" fillId="0" borderId="55"/>
    <xf numFmtId="0" fontId="36" fillId="0" borderId="46" applyNumberFormat="0" applyFont="0" applyFill="0" applyAlignment="0" applyProtection="0"/>
    <xf numFmtId="243" fontId="45" fillId="0" borderId="43"/>
    <xf numFmtId="0" fontId="53" fillId="0" borderId="40" applyNumberFormat="0" applyFill="0" applyBorder="0" applyAlignment="0" applyProtection="0">
      <protection hidden="1"/>
    </xf>
    <xf numFmtId="3" fontId="70" fillId="0" borderId="61" applyNumberFormat="0"/>
    <xf numFmtId="40" fontId="29" fillId="0" borderId="0" applyFont="0" applyFill="0" applyBorder="0" applyAlignment="0" applyProtection="0"/>
    <xf numFmtId="184" fontId="37" fillId="0" borderId="52" applyBorder="0"/>
    <xf numFmtId="9" fontId="29" fillId="0" borderId="0" applyFont="0" applyFill="0" applyBorder="0" applyAlignment="0" applyProtection="0"/>
    <xf numFmtId="0" fontId="51" fillId="0" borderId="63"/>
    <xf numFmtId="0" fontId="141" fillId="0" borderId="58">
      <alignment horizontal="left" vertical="top"/>
    </xf>
    <xf numFmtId="0" fontId="29" fillId="0" borderId="66" applyNumberFormat="0" applyFont="0" applyFill="0" applyAlignment="0" applyProtection="0"/>
    <xf numFmtId="243" fontId="45" fillId="0" borderId="61"/>
    <xf numFmtId="292" fontId="36" fillId="0" borderId="61" applyFont="0" applyFill="0" applyBorder="0" applyAlignment="0">
      <alignment horizontal="right"/>
    </xf>
    <xf numFmtId="0" fontId="41" fillId="0" borderId="57">
      <protection hidden="1"/>
    </xf>
    <xf numFmtId="40" fontId="29" fillId="0" borderId="0" applyFont="0" applyFill="0" applyBorder="0" applyAlignment="0" applyProtection="0"/>
    <xf numFmtId="8" fontId="29" fillId="0" borderId="0" applyFont="0" applyFill="0" applyBorder="0" applyAlignment="0" applyProtection="0"/>
    <xf numFmtId="0" fontId="53" fillId="0" borderId="48" applyNumberFormat="0" applyFill="0" applyBorder="0" applyAlignment="0" applyProtection="0">
      <protection hidden="1"/>
    </xf>
    <xf numFmtId="8" fontId="29" fillId="0" borderId="0" applyFont="0" applyFill="0" applyBorder="0" applyAlignment="0" applyProtection="0"/>
    <xf numFmtId="0" fontId="28" fillId="0" borderId="0"/>
    <xf numFmtId="40" fontId="29" fillId="0" borderId="0" applyFont="0" applyFill="0" applyBorder="0" applyAlignment="0" applyProtection="0"/>
    <xf numFmtId="0" fontId="53" fillId="0" borderId="63" applyNumberFormat="0" applyFill="0" applyBorder="0" applyAlignment="0" applyProtection="0">
      <protection hidden="1"/>
    </xf>
    <xf numFmtId="0" fontId="139" fillId="0" borderId="66">
      <alignment horizontal="left" vertical="top"/>
    </xf>
    <xf numFmtId="0" fontId="48" fillId="0" borderId="65">
      <alignment horizontal="left"/>
      <protection locked="0"/>
    </xf>
    <xf numFmtId="40" fontId="29" fillId="0" borderId="0" applyFont="0" applyFill="0" applyBorder="0" applyAlignment="0" applyProtection="0"/>
    <xf numFmtId="3" fontId="36" fillId="0" borderId="0"/>
    <xf numFmtId="3" fontId="36" fillId="0" borderId="0"/>
    <xf numFmtId="3" fontId="36" fillId="0" borderId="0"/>
    <xf numFmtId="9" fontId="36" fillId="0" borderId="0" applyFont="0" applyFill="0" applyBorder="0" applyAlignment="0" applyProtection="0"/>
    <xf numFmtId="44" fontId="20" fillId="0" borderId="0" applyFont="0" applyFill="0" applyBorder="0" applyAlignment="0" applyProtection="0"/>
    <xf numFmtId="0" fontId="20" fillId="0" borderId="0"/>
    <xf numFmtId="9" fontId="20" fillId="0" borderId="0" applyFont="0" applyFill="0" applyBorder="0" applyAlignment="0" applyProtection="0"/>
    <xf numFmtId="43" fontId="20" fillId="0" borderId="0" applyFont="0" applyFill="0" applyBorder="0" applyAlignment="0" applyProtection="0"/>
    <xf numFmtId="0" fontId="20" fillId="0" borderId="0"/>
    <xf numFmtId="3" fontId="36" fillId="0" borderId="0"/>
    <xf numFmtId="9" fontId="36" fillId="0" borderId="0" applyFont="0" applyFill="0" applyBorder="0" applyAlignment="0" applyProtection="0"/>
    <xf numFmtId="0" fontId="36" fillId="0" borderId="70" applyNumberFormat="0" applyFont="0" applyFill="0" applyAlignment="0" applyProtection="0"/>
    <xf numFmtId="0" fontId="51" fillId="0" borderId="65"/>
    <xf numFmtId="0" fontId="41" fillId="0" borderId="65">
      <protection hidden="1"/>
    </xf>
    <xf numFmtId="0" fontId="29" fillId="4" borderId="65" applyNumberFormat="0" applyFont="0" applyBorder="0" applyAlignment="0" applyProtection="0">
      <protection hidden="1"/>
    </xf>
    <xf numFmtId="0" fontId="41" fillId="0" borderId="65">
      <protection hidden="1"/>
    </xf>
    <xf numFmtId="292" fontId="36" fillId="0" borderId="61" applyFont="0" applyFill="0" applyBorder="0" applyAlignment="0">
      <alignment horizontal="right"/>
    </xf>
    <xf numFmtId="0" fontId="48" fillId="0" borderId="65">
      <alignment horizontal="left"/>
      <protection locked="0"/>
    </xf>
    <xf numFmtId="204" fontId="37" fillId="0" borderId="61" applyFont="0" applyFill="0" applyBorder="0" applyAlignment="0" applyProtection="0">
      <alignment horizontal="right"/>
    </xf>
    <xf numFmtId="0" fontId="51" fillId="0" borderId="65"/>
    <xf numFmtId="0" fontId="53" fillId="0" borderId="65" applyNumberFormat="0" applyFill="0" applyBorder="0" applyAlignment="0" applyProtection="0">
      <protection hidden="1"/>
    </xf>
    <xf numFmtId="0" fontId="60" fillId="4" borderId="65"/>
    <xf numFmtId="0" fontId="73" fillId="0" borderId="72">
      <alignment horizontal="centerContinuous"/>
    </xf>
    <xf numFmtId="0" fontId="53" fillId="0" borderId="65" applyNumberFormat="0" applyFill="0" applyBorder="0" applyAlignment="0" applyProtection="0">
      <protection hidden="1"/>
    </xf>
    <xf numFmtId="260" fontId="174" fillId="0" borderId="61" applyBorder="0" applyProtection="0">
      <alignment horizontal="right" vertical="center"/>
    </xf>
    <xf numFmtId="204" fontId="37" fillId="0" borderId="61" applyFont="0" applyFill="0" applyBorder="0" applyAlignment="0" applyProtection="0">
      <alignment horizontal="right"/>
    </xf>
    <xf numFmtId="0" fontId="51" fillId="0" borderId="65"/>
    <xf numFmtId="254" fontId="118" fillId="0" borderId="76" applyFont="0" applyFill="0" applyBorder="0" applyAlignment="0"/>
    <xf numFmtId="0" fontId="36" fillId="0" borderId="66" applyBorder="0">
      <alignment horizontal="center"/>
    </xf>
    <xf numFmtId="0" fontId="173" fillId="0" borderId="72" applyNumberFormat="0" applyFill="0" applyProtection="0"/>
    <xf numFmtId="260" fontId="174" fillId="0" borderId="72" applyBorder="0" applyProtection="0">
      <alignment horizontal="right" vertical="center"/>
    </xf>
    <xf numFmtId="3" fontId="70" fillId="0" borderId="72" applyNumberFormat="0"/>
    <xf numFmtId="0" fontId="48" fillId="0" borderId="65">
      <alignment horizontal="left"/>
      <protection locked="0"/>
    </xf>
    <xf numFmtId="0" fontId="41" fillId="0" borderId="65">
      <protection hidden="1"/>
    </xf>
    <xf numFmtId="0" fontId="60" fillId="4" borderId="65"/>
    <xf numFmtId="0" fontId="29" fillId="0" borderId="76" applyNumberFormat="0" applyFont="0" applyFill="0" applyAlignment="0" applyProtection="0"/>
    <xf numFmtId="0" fontId="175" fillId="18" borderId="61" applyBorder="0" applyProtection="0">
      <alignment horizontal="centerContinuous" vertical="center"/>
    </xf>
    <xf numFmtId="0" fontId="36" fillId="0" borderId="70" applyNumberFormat="0" applyFont="0" applyFill="0" applyAlignment="0" applyProtection="0"/>
    <xf numFmtId="0" fontId="175" fillId="18" borderId="61" applyBorder="0" applyProtection="0">
      <alignment horizontal="centerContinuous" vertical="center"/>
    </xf>
    <xf numFmtId="0" fontId="29" fillId="0" borderId="72" applyNumberFormat="0" applyFont="0" applyFill="0" applyAlignment="0" applyProtection="0"/>
    <xf numFmtId="292" fontId="36" fillId="0" borderId="61" applyFont="0" applyFill="0" applyBorder="0" applyAlignment="0">
      <alignment horizontal="right"/>
    </xf>
    <xf numFmtId="0" fontId="41" fillId="0" borderId="65">
      <protection hidden="1"/>
    </xf>
    <xf numFmtId="0" fontId="29" fillId="4" borderId="65" applyNumberFormat="0" applyFont="0" applyBorder="0" applyAlignment="0" applyProtection="0">
      <protection hidden="1"/>
    </xf>
    <xf numFmtId="0" fontId="29" fillId="0" borderId="66" applyNumberFormat="0" applyFont="0" applyFill="0" applyAlignment="0" applyProtection="0"/>
    <xf numFmtId="0" fontId="48" fillId="0" borderId="65">
      <alignment horizontal="left"/>
      <protection locked="0"/>
    </xf>
    <xf numFmtId="179" fontId="102" fillId="21" borderId="75" applyNumberFormat="0" applyFont="0" applyBorder="0" applyAlignment="0" applyProtection="0">
      <alignment horizontal="center"/>
    </xf>
    <xf numFmtId="0" fontId="60" fillId="4" borderId="65"/>
    <xf numFmtId="204" fontId="37" fillId="0" borderId="76" applyFont="0" applyFill="0" applyBorder="0" applyAlignment="0" applyProtection="0">
      <alignment horizontal="right"/>
    </xf>
    <xf numFmtId="0" fontId="175" fillId="18" borderId="61" applyBorder="0" applyProtection="0">
      <alignment horizontal="centerContinuous" vertical="center"/>
    </xf>
    <xf numFmtId="0" fontId="173" fillId="0" borderId="61" applyNumberFormat="0" applyFill="0" applyProtection="0"/>
    <xf numFmtId="204" fontId="37" fillId="0" borderId="61" applyFont="0" applyFill="0" applyBorder="0" applyAlignment="0" applyProtection="0">
      <alignment horizontal="right"/>
    </xf>
    <xf numFmtId="0" fontId="29" fillId="0" borderId="66" applyNumberFormat="0" applyFont="0" applyFill="0" applyAlignment="0" applyProtection="0"/>
    <xf numFmtId="0" fontId="73" fillId="0" borderId="61">
      <alignment horizontal="centerContinuous"/>
    </xf>
    <xf numFmtId="292" fontId="36" fillId="0" borderId="61" applyFont="0" applyFill="0" applyBorder="0" applyAlignment="0">
      <alignment horizontal="right"/>
    </xf>
    <xf numFmtId="0" fontId="29" fillId="4" borderId="65" applyNumberFormat="0" applyFont="0" applyBorder="0" applyAlignment="0" applyProtection="0">
      <protection hidden="1"/>
    </xf>
    <xf numFmtId="0" fontId="53" fillId="0" borderId="65" applyNumberFormat="0" applyFill="0" applyBorder="0" applyAlignment="0" applyProtection="0">
      <protection hidden="1"/>
    </xf>
    <xf numFmtId="181" fontId="105" fillId="0" borderId="72" applyFill="0"/>
    <xf numFmtId="260" fontId="174" fillId="0" borderId="61" applyBorder="0" applyProtection="0">
      <alignment horizontal="right" vertical="center"/>
    </xf>
    <xf numFmtId="0" fontId="173" fillId="0" borderId="61" applyNumberFormat="0" applyFill="0" applyProtection="0"/>
    <xf numFmtId="0" fontId="36" fillId="0" borderId="66" applyBorder="0">
      <alignment horizontal="center"/>
    </xf>
    <xf numFmtId="181" fontId="105" fillId="0" borderId="72" applyFill="0"/>
    <xf numFmtId="204" fontId="37" fillId="0" borderId="72" applyFont="0" applyFill="0" applyBorder="0" applyAlignment="0" applyProtection="0">
      <alignment horizontal="right"/>
    </xf>
    <xf numFmtId="0" fontId="60" fillId="4" borderId="65"/>
    <xf numFmtId="0" fontId="29" fillId="4" borderId="65" applyNumberFormat="0" applyFont="0" applyBorder="0" applyAlignment="0" applyProtection="0">
      <protection hidden="1"/>
    </xf>
    <xf numFmtId="0" fontId="173" fillId="0" borderId="61" applyNumberFormat="0" applyFill="0" applyProtection="0"/>
    <xf numFmtId="181" fontId="105" fillId="0" borderId="61" applyFill="0"/>
    <xf numFmtId="0" fontId="141" fillId="0" borderId="66">
      <alignment horizontal="left" vertical="top"/>
    </xf>
    <xf numFmtId="292" fontId="36" fillId="0" borderId="72" applyFont="0" applyFill="0" applyBorder="0" applyAlignment="0">
      <alignment horizontal="right"/>
    </xf>
    <xf numFmtId="0" fontId="36" fillId="0" borderId="74" applyNumberFormat="0" applyFont="0" applyFill="0" applyAlignment="0" applyProtection="0"/>
    <xf numFmtId="0" fontId="36" fillId="0" borderId="70" applyNumberFormat="0" applyFont="0" applyFill="0" applyAlignment="0" applyProtection="0"/>
    <xf numFmtId="0" fontId="48" fillId="0" borderId="65">
      <alignment horizontal="left"/>
      <protection locked="0"/>
    </xf>
    <xf numFmtId="180" fontId="118" fillId="0" borderId="61" applyFont="0" applyFill="0" applyBorder="0">
      <alignment horizontal="center"/>
    </xf>
    <xf numFmtId="254" fontId="118" fillId="0" borderId="61" applyFont="0" applyFill="0" applyBorder="0" applyAlignment="0"/>
    <xf numFmtId="0" fontId="173" fillId="0" borderId="72" applyNumberFormat="0" applyFill="0" applyProtection="0"/>
    <xf numFmtId="0" fontId="36" fillId="0" borderId="66" applyBorder="0">
      <alignment horizontal="center"/>
    </xf>
    <xf numFmtId="180" fontId="118" fillId="0" borderId="61" applyFont="0" applyFill="0" applyBorder="0">
      <alignment horizontal="center"/>
    </xf>
    <xf numFmtId="254" fontId="118" fillId="0" borderId="61" applyFont="0" applyFill="0" applyBorder="0" applyAlignment="0"/>
    <xf numFmtId="243" fontId="45" fillId="0" borderId="61"/>
    <xf numFmtId="0" fontId="29" fillId="0" borderId="66" applyNumberFormat="0" applyFont="0" applyFill="0" applyAlignment="0" applyProtection="0"/>
    <xf numFmtId="180" fontId="118" fillId="0" borderId="72" applyFont="0" applyFill="0" applyBorder="0">
      <alignment horizontal="center"/>
    </xf>
    <xf numFmtId="0" fontId="29" fillId="0" borderId="61" applyNumberFormat="0" applyFont="0" applyFill="0" applyAlignment="0" applyProtection="0"/>
    <xf numFmtId="0" fontId="29" fillId="0" borderId="66" applyNumberFormat="0" applyFont="0" applyFill="0" applyAlignment="0" applyProtection="0"/>
    <xf numFmtId="243" fontId="45" fillId="0" borderId="61"/>
    <xf numFmtId="0" fontId="29" fillId="0" borderId="61" applyNumberFormat="0" applyFont="0" applyFill="0" applyAlignment="0" applyProtection="0"/>
    <xf numFmtId="243" fontId="45" fillId="0" borderId="61"/>
    <xf numFmtId="0" fontId="73" fillId="0" borderId="76">
      <alignment horizontal="centerContinuous"/>
    </xf>
    <xf numFmtId="0" fontId="175" fillId="18" borderId="76" applyBorder="0" applyProtection="0">
      <alignment horizontal="centerContinuous" vertical="center"/>
    </xf>
    <xf numFmtId="0" fontId="139" fillId="0" borderId="66">
      <alignment horizontal="left" vertical="top"/>
    </xf>
    <xf numFmtId="0" fontId="141" fillId="0" borderId="66">
      <alignment horizontal="left" vertical="top"/>
    </xf>
    <xf numFmtId="254" fontId="118" fillId="0" borderId="61" applyFont="0" applyFill="0" applyBorder="0" applyAlignment="0"/>
    <xf numFmtId="0" fontId="36" fillId="0" borderId="70" applyNumberFormat="0" applyFont="0" applyFill="0" applyAlignment="0" applyProtection="0"/>
    <xf numFmtId="0" fontId="48" fillId="0" borderId="65">
      <alignment horizontal="left"/>
      <protection locked="0"/>
    </xf>
    <xf numFmtId="180" fontId="118" fillId="0" borderId="61" applyFont="0" applyFill="0" applyBorder="0">
      <alignment horizontal="center"/>
    </xf>
    <xf numFmtId="0" fontId="73" fillId="0" borderId="72">
      <alignment horizontal="centerContinuous"/>
    </xf>
    <xf numFmtId="179" fontId="102" fillId="21" borderId="71" applyNumberFormat="0" applyFont="0" applyBorder="0" applyAlignment="0" applyProtection="0">
      <alignment horizontal="center"/>
    </xf>
    <xf numFmtId="0" fontId="139" fillId="0" borderId="66">
      <alignment horizontal="left" vertical="top"/>
    </xf>
    <xf numFmtId="0" fontId="139" fillId="0" borderId="66">
      <alignment horizontal="left" vertical="top"/>
    </xf>
    <xf numFmtId="0" fontId="175" fillId="18" borderId="72" applyBorder="0" applyProtection="0">
      <alignment horizontal="centerContinuous" vertical="center"/>
    </xf>
    <xf numFmtId="0" fontId="139" fillId="0" borderId="66">
      <alignment horizontal="left" vertical="top"/>
    </xf>
    <xf numFmtId="0" fontId="141" fillId="0" borderId="66">
      <alignment horizontal="left" vertical="top"/>
    </xf>
    <xf numFmtId="0" fontId="41" fillId="0" borderId="65">
      <protection hidden="1"/>
    </xf>
    <xf numFmtId="181" fontId="105" fillId="0" borderId="61" applyFill="0"/>
    <xf numFmtId="0" fontId="73" fillId="0" borderId="61">
      <alignment horizontal="centerContinuous"/>
    </xf>
    <xf numFmtId="184" fontId="37" fillId="0" borderId="77" applyBorder="0"/>
    <xf numFmtId="0" fontId="139" fillId="0" borderId="66">
      <alignment horizontal="left" vertical="top"/>
    </xf>
    <xf numFmtId="180" fontId="118" fillId="0" borderId="61" applyFont="0" applyFill="0" applyBorder="0">
      <alignment horizontal="center"/>
    </xf>
    <xf numFmtId="0" fontId="60" fillId="4" borderId="65"/>
    <xf numFmtId="0" fontId="36" fillId="0" borderId="66" applyBorder="0">
      <alignment horizontal="center"/>
    </xf>
    <xf numFmtId="292" fontId="36" fillId="0" borderId="61" applyFont="0" applyFill="0" applyBorder="0" applyAlignment="0">
      <alignment horizontal="right"/>
    </xf>
    <xf numFmtId="184" fontId="37" fillId="0" borderId="73" applyBorder="0"/>
    <xf numFmtId="0" fontId="73" fillId="0" borderId="61">
      <alignment horizontal="centerContinuous"/>
    </xf>
    <xf numFmtId="254" fontId="118" fillId="0" borderId="61" applyFont="0" applyFill="0" applyBorder="0" applyAlignment="0"/>
    <xf numFmtId="204" fontId="37" fillId="0" borderId="61" applyFont="0" applyFill="0" applyBorder="0" applyAlignment="0" applyProtection="0">
      <alignment horizontal="right"/>
    </xf>
    <xf numFmtId="3" fontId="70" fillId="0" borderId="72" applyNumberFormat="0"/>
    <xf numFmtId="0" fontId="173" fillId="0" borderId="76" applyNumberFormat="0" applyFill="0" applyProtection="0"/>
    <xf numFmtId="0" fontId="36" fillId="0" borderId="66" applyBorder="0">
      <alignment horizontal="center"/>
    </xf>
    <xf numFmtId="0" fontId="173" fillId="0" borderId="61" applyNumberFormat="0" applyFill="0" applyProtection="0"/>
    <xf numFmtId="260" fontId="174" fillId="0" borderId="61" applyBorder="0" applyProtection="0">
      <alignment horizontal="right" vertical="center"/>
    </xf>
    <xf numFmtId="0" fontId="175" fillId="18" borderId="61" applyBorder="0" applyProtection="0">
      <alignment horizontal="centerContinuous" vertical="center"/>
    </xf>
    <xf numFmtId="0" fontId="29" fillId="0" borderId="61" applyNumberFormat="0" applyFont="0" applyFill="0" applyAlignment="0" applyProtection="0"/>
    <xf numFmtId="180" fontId="118" fillId="0" borderId="72" applyFont="0" applyFill="0" applyBorder="0">
      <alignment horizontal="center"/>
    </xf>
    <xf numFmtId="0" fontId="139" fillId="0" borderId="66">
      <alignment horizontal="left" vertical="top"/>
    </xf>
    <xf numFmtId="3" fontId="70" fillId="0" borderId="61" applyNumberFormat="0"/>
    <xf numFmtId="243" fontId="45" fillId="0" borderId="72"/>
    <xf numFmtId="180" fontId="118" fillId="0" borderId="76" applyFont="0" applyFill="0" applyBorder="0">
      <alignment horizontal="center"/>
    </xf>
    <xf numFmtId="0" fontId="36" fillId="0" borderId="74" applyNumberFormat="0" applyFont="0" applyFill="0" applyAlignment="0" applyProtection="0"/>
    <xf numFmtId="181" fontId="105" fillId="0" borderId="61" applyFill="0"/>
    <xf numFmtId="0" fontId="36" fillId="0" borderId="66" applyBorder="0">
      <alignment horizontal="center"/>
    </xf>
    <xf numFmtId="0" fontId="141" fillId="0" borderId="66">
      <alignment horizontal="left" vertical="top"/>
    </xf>
    <xf numFmtId="0" fontId="29" fillId="0" borderId="66" applyNumberFormat="0" applyFont="0" applyFill="0" applyAlignment="0" applyProtection="0"/>
    <xf numFmtId="0" fontId="29" fillId="4" borderId="65" applyNumberFormat="0" applyFont="0" applyBorder="0" applyAlignment="0" applyProtection="0">
      <protection hidden="1"/>
    </xf>
    <xf numFmtId="260" fontId="174" fillId="0" borderId="76" applyBorder="0" applyProtection="0">
      <alignment horizontal="right" vertical="center"/>
    </xf>
    <xf numFmtId="260" fontId="174" fillId="0" borderId="72" applyBorder="0" applyProtection="0">
      <alignment horizontal="right" vertical="center"/>
    </xf>
    <xf numFmtId="0" fontId="29" fillId="4" borderId="65" applyNumberFormat="0" applyFont="0" applyBorder="0" applyAlignment="0" applyProtection="0">
      <protection hidden="1"/>
    </xf>
    <xf numFmtId="3" fontId="70" fillId="0" borderId="61" applyNumberFormat="0"/>
    <xf numFmtId="292" fontId="36" fillId="0" borderId="72" applyFont="0" applyFill="0" applyBorder="0" applyAlignment="0">
      <alignment horizontal="right"/>
    </xf>
    <xf numFmtId="0" fontId="51" fillId="0" borderId="65"/>
    <xf numFmtId="0" fontId="29" fillId="0" borderId="66" applyNumberFormat="0" applyFont="0" applyFill="0" applyAlignment="0" applyProtection="0"/>
    <xf numFmtId="0" fontId="29" fillId="0" borderId="61" applyNumberFormat="0" applyFont="0" applyFill="0" applyAlignment="0" applyProtection="0"/>
    <xf numFmtId="260" fontId="174" fillId="0" borderId="61" applyBorder="0" applyProtection="0">
      <alignment horizontal="right" vertical="center"/>
    </xf>
    <xf numFmtId="254" fontId="118" fillId="0" borderId="72" applyFont="0" applyFill="0" applyBorder="0" applyAlignment="0"/>
    <xf numFmtId="0" fontId="51" fillId="0" borderId="65"/>
    <xf numFmtId="0" fontId="29" fillId="0" borderId="72" applyNumberFormat="0" applyFont="0" applyFill="0" applyAlignment="0" applyProtection="0"/>
    <xf numFmtId="0" fontId="175" fillId="18" borderId="72" applyBorder="0" applyProtection="0">
      <alignment horizontal="centerContinuous" vertical="center"/>
    </xf>
    <xf numFmtId="0" fontId="60" fillId="4" borderId="65"/>
    <xf numFmtId="3" fontId="70" fillId="0" borderId="61" applyNumberFormat="0"/>
    <xf numFmtId="0" fontId="73" fillId="0" borderId="61">
      <alignment horizontal="centerContinuous"/>
    </xf>
    <xf numFmtId="181" fontId="105" fillId="0" borderId="61" applyFill="0"/>
    <xf numFmtId="3" fontId="70" fillId="0" borderId="61" applyNumberFormat="0"/>
    <xf numFmtId="0" fontId="48" fillId="0" borderId="65">
      <alignment horizontal="left"/>
      <protection locked="0"/>
    </xf>
    <xf numFmtId="254" fontId="118" fillId="0" borderId="72" applyFont="0" applyFill="0" applyBorder="0" applyAlignment="0"/>
    <xf numFmtId="0" fontId="141" fillId="0" borderId="66">
      <alignment horizontal="left" vertical="top"/>
    </xf>
    <xf numFmtId="181" fontId="105" fillId="0" borderId="76" applyFill="0"/>
    <xf numFmtId="204" fontId="37" fillId="0" borderId="72" applyFont="0" applyFill="0" applyBorder="0" applyAlignment="0" applyProtection="0">
      <alignment horizontal="right"/>
    </xf>
    <xf numFmtId="243" fontId="45" fillId="0" borderId="72"/>
    <xf numFmtId="0" fontId="36" fillId="0" borderId="70" applyNumberFormat="0" applyFont="0" applyFill="0" applyAlignment="0" applyProtection="0"/>
    <xf numFmtId="243" fontId="45" fillId="0" borderId="61"/>
    <xf numFmtId="0" fontId="53" fillId="0" borderId="65" applyNumberFormat="0" applyFill="0" applyBorder="0" applyAlignment="0" applyProtection="0">
      <protection hidden="1"/>
    </xf>
    <xf numFmtId="3" fontId="70" fillId="0" borderId="76" applyNumberFormat="0"/>
    <xf numFmtId="184" fontId="37" fillId="0" borderId="73" applyBorder="0"/>
    <xf numFmtId="0" fontId="51" fillId="0" borderId="65"/>
    <xf numFmtId="0" fontId="141" fillId="0" borderId="66">
      <alignment horizontal="left" vertical="top"/>
    </xf>
    <xf numFmtId="243" fontId="45" fillId="0" borderId="76"/>
    <xf numFmtId="292" fontId="36" fillId="0" borderId="76" applyFont="0" applyFill="0" applyBorder="0" applyAlignment="0">
      <alignment horizontal="right"/>
    </xf>
    <xf numFmtId="0" fontId="41" fillId="0" borderId="65">
      <protection hidden="1"/>
    </xf>
    <xf numFmtId="0" fontId="53" fillId="0" borderId="65" applyNumberFormat="0" applyFill="0" applyBorder="0" applyAlignment="0" applyProtection="0">
      <protection hidden="1"/>
    </xf>
    <xf numFmtId="0" fontId="53" fillId="0" borderId="65" applyNumberFormat="0" applyFill="0" applyBorder="0" applyAlignment="0" applyProtection="0">
      <protection hidden="1"/>
    </xf>
    <xf numFmtId="43" fontId="36" fillId="0" borderId="0" applyFont="0" applyFill="0" applyBorder="0" applyAlignment="0" applyProtection="0"/>
    <xf numFmtId="9" fontId="36" fillId="0" borderId="0" applyFont="0" applyFill="0" applyBorder="0" applyAlignment="0" applyProtection="0"/>
    <xf numFmtId="0" fontId="19" fillId="0" borderId="0"/>
    <xf numFmtId="43" fontId="19" fillId="0" borderId="0" applyFont="0" applyFill="0" applyBorder="0" applyAlignment="0" applyProtection="0"/>
    <xf numFmtId="0" fontId="245" fillId="0" borderId="0" applyNumberFormat="0" applyFill="0" applyBorder="0" applyAlignment="0" applyProtection="0"/>
    <xf numFmtId="3" fontId="36" fillId="0" borderId="0"/>
    <xf numFmtId="3" fontId="36" fillId="0" borderId="0"/>
    <xf numFmtId="3" fontId="36" fillId="0" borderId="0"/>
    <xf numFmtId="325" fontId="40" fillId="0" borderId="0"/>
    <xf numFmtId="0" fontId="199" fillId="0" borderId="0" applyNumberFormat="0" applyFill="0" applyBorder="0" applyAlignment="0" applyProtection="0"/>
    <xf numFmtId="37" fontId="168" fillId="0" borderId="0"/>
    <xf numFmtId="37" fontId="168" fillId="0" borderId="0"/>
    <xf numFmtId="326" fontId="40" fillId="0" borderId="0"/>
    <xf numFmtId="327" fontId="247" fillId="0" borderId="0" applyFont="0" applyFill="0" applyBorder="0" applyAlignment="0" applyProtection="0">
      <alignment vertical="center"/>
    </xf>
    <xf numFmtId="212" fontId="36" fillId="0" borderId="0" applyFont="0" applyFill="0" applyBorder="0" applyAlignment="0" applyProtection="0"/>
    <xf numFmtId="213" fontId="36" fillId="0" borderId="0" applyFont="0" applyFill="0" applyBorder="0" applyAlignment="0" applyProtection="0"/>
    <xf numFmtId="3" fontId="40" fillId="0" borderId="0"/>
    <xf numFmtId="3" fontId="40" fillId="0" borderId="0"/>
    <xf numFmtId="3" fontId="40" fillId="0" borderId="0"/>
    <xf numFmtId="3" fontId="40" fillId="0" borderId="0"/>
    <xf numFmtId="3" fontId="40" fillId="0" borderId="0"/>
    <xf numFmtId="3" fontId="40" fillId="0" borderId="0"/>
    <xf numFmtId="3" fontId="40" fillId="0" borderId="0"/>
    <xf numFmtId="3" fontId="40" fillId="0" borderId="0"/>
    <xf numFmtId="3" fontId="40" fillId="0" borderId="0"/>
    <xf numFmtId="37" fontId="248" fillId="19" borderId="69">
      <alignment horizontal="right"/>
    </xf>
    <xf numFmtId="3" fontId="40" fillId="0" borderId="0"/>
    <xf numFmtId="0" fontId="36" fillId="0" borderId="0" applyFont="0" applyFill="0" applyBorder="0" applyAlignment="0" applyProtection="0"/>
    <xf numFmtId="3" fontId="40" fillId="0" borderId="0"/>
    <xf numFmtId="175" fontId="36" fillId="0" borderId="0" applyFont="0" applyFill="0" applyBorder="0" applyAlignment="0" applyProtection="0"/>
    <xf numFmtId="0" fontId="36" fillId="0" borderId="0" applyFont="0" applyFill="0" applyBorder="0" applyAlignment="0" applyProtection="0"/>
    <xf numFmtId="214" fontId="36" fillId="0" borderId="0" applyFont="0" applyFill="0" applyBorder="0" applyAlignment="0" applyProtection="0"/>
    <xf numFmtId="214" fontId="36" fillId="0" borderId="0" applyFont="0" applyFill="0" applyBorder="0" applyAlignment="0" applyProtection="0"/>
    <xf numFmtId="328" fontId="36" fillId="0" borderId="0" applyFont="0" applyFill="0" applyBorder="0" applyAlignment="0" applyProtection="0"/>
    <xf numFmtId="329" fontId="36"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214" fontId="36"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0" fontId="168" fillId="0" borderId="0"/>
    <xf numFmtId="0" fontId="72" fillId="0" borderId="0" applyNumberFormat="0" applyFill="0" applyBorder="0" applyAlignment="0" applyProtection="0"/>
    <xf numFmtId="325" fontId="40" fillId="0" borderId="0"/>
    <xf numFmtId="3" fontId="40" fillId="0" borderId="0"/>
    <xf numFmtId="3" fontId="40" fillId="0" borderId="0"/>
    <xf numFmtId="216" fontId="36" fillId="0" borderId="0" applyFont="0" applyFill="0" applyBorder="0" applyAlignment="0" applyProtection="0"/>
    <xf numFmtId="0" fontId="36" fillId="0" borderId="0" applyFont="0" applyFill="0" applyBorder="0" applyAlignment="0" applyProtection="0"/>
    <xf numFmtId="216" fontId="36" fillId="0" borderId="0" applyFont="0" applyFill="0" applyBorder="0" applyAlignment="0" applyProtection="0"/>
    <xf numFmtId="217" fontId="36"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330" fontId="36" fillId="0" borderId="0" applyFont="0" applyFill="0" applyBorder="0" applyAlignment="0" applyProtection="0"/>
    <xf numFmtId="0" fontId="36" fillId="0" borderId="0" applyFont="0" applyFill="0" applyBorder="0" applyAlignment="0" applyProtection="0"/>
    <xf numFmtId="330" fontId="36"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331" fontId="36" fillId="0" borderId="0" applyFont="0" applyFill="0" applyBorder="0" applyAlignment="0" applyProtection="0"/>
    <xf numFmtId="331" fontId="36" fillId="0" borderId="0" applyFont="0" applyFill="0" applyBorder="0" applyAlignment="0" applyProtection="0"/>
    <xf numFmtId="332" fontId="36" fillId="0" borderId="0" applyFont="0" applyFill="0" applyBorder="0" applyAlignment="0" applyProtection="0"/>
    <xf numFmtId="333" fontId="21"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0" fontId="36" fillId="0" borderId="0" applyFont="0" applyFill="0" applyBorder="0" applyAlignment="0" applyProtection="0"/>
    <xf numFmtId="334" fontId="36"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335" fontId="36"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330" fontId="36" fillId="0" borderId="0" applyFont="0" applyFill="0" applyBorder="0" applyAlignment="0" applyProtection="0"/>
    <xf numFmtId="0" fontId="36" fillId="0" borderId="0" applyFont="0" applyFill="0" applyBorder="0" applyAlignment="0" applyProtection="0"/>
    <xf numFmtId="330" fontId="36"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331" fontId="36" fillId="0" borderId="0" applyFont="0" applyFill="0" applyBorder="0" applyAlignment="0" applyProtection="0"/>
    <xf numFmtId="331" fontId="36" fillId="0" borderId="0" applyFont="0" applyFill="0" applyBorder="0" applyAlignment="0" applyProtection="0"/>
    <xf numFmtId="332" fontId="36" fillId="0" borderId="0" applyFont="0" applyFill="0" applyBorder="0" applyAlignment="0" applyProtection="0"/>
    <xf numFmtId="333" fontId="21"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0" fontId="36" fillId="0" borderId="0" applyFont="0" applyFill="0" applyBorder="0" applyAlignment="0" applyProtection="0"/>
    <xf numFmtId="334" fontId="36"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335" fontId="36" fillId="0" borderId="0" applyFont="0" applyFill="0" applyBorder="0" applyAlignment="0" applyProtection="0"/>
    <xf numFmtId="217" fontId="36" fillId="0" borderId="0" applyFont="0" applyFill="0" applyBorder="0" applyAlignment="0" applyProtection="0"/>
    <xf numFmtId="215" fontId="36" fillId="0" borderId="0" applyFont="0" applyFill="0" applyBorder="0" applyAlignment="0" applyProtection="0"/>
    <xf numFmtId="216" fontId="36" fillId="0" borderId="0" applyFont="0" applyFill="0" applyBorder="0" applyAlignment="0" applyProtection="0"/>
    <xf numFmtId="336" fontId="36" fillId="0" borderId="0" applyFont="0" applyFill="0" applyBorder="0" applyAlignment="0" applyProtection="0"/>
    <xf numFmtId="337" fontId="249"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216" fontId="36" fillId="0" borderId="0" applyFont="0" applyFill="0" applyBorder="0" applyAlignment="0" applyProtection="0"/>
    <xf numFmtId="328" fontId="36" fillId="0" borderId="0" applyFont="0" applyFill="0" applyBorder="0" applyAlignment="0" applyProtection="0"/>
    <xf numFmtId="329" fontId="36"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338" fontId="36" fillId="0" borderId="0" applyFont="0" applyFill="0" applyBorder="0" applyAlignment="0" applyProtection="0"/>
    <xf numFmtId="338" fontId="36" fillId="0" borderId="0" applyFont="0" applyFill="0" applyBorder="0" applyAlignment="0" applyProtection="0"/>
    <xf numFmtId="43" fontId="36" fillId="0" borderId="0" applyFont="0" applyFill="0" applyBorder="0" applyAlignment="0" applyProtection="0"/>
    <xf numFmtId="330" fontId="36" fillId="0" borderId="0" applyFont="0" applyFill="0" applyBorder="0" applyAlignment="0" applyProtection="0"/>
    <xf numFmtId="0" fontId="36" fillId="0" borderId="0" applyFont="0" applyFill="0" applyBorder="0" applyAlignment="0" applyProtection="0"/>
    <xf numFmtId="330" fontId="36"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331" fontId="36" fillId="0" borderId="0" applyFont="0" applyFill="0" applyBorder="0" applyAlignment="0" applyProtection="0"/>
    <xf numFmtId="331" fontId="36" fillId="0" borderId="0" applyFont="0" applyFill="0" applyBorder="0" applyAlignment="0" applyProtection="0"/>
    <xf numFmtId="332" fontId="36" fillId="0" borderId="0" applyFont="0" applyFill="0" applyBorder="0" applyAlignment="0" applyProtection="0"/>
    <xf numFmtId="333" fontId="21"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330" fontId="36" fillId="0" borderId="0" applyFont="0" applyFill="0" applyBorder="0" applyAlignment="0" applyProtection="0"/>
    <xf numFmtId="0" fontId="36" fillId="0" borderId="0" applyFont="0" applyFill="0" applyBorder="0" applyAlignment="0" applyProtection="0"/>
    <xf numFmtId="330" fontId="36"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331" fontId="36" fillId="0" borderId="0" applyFont="0" applyFill="0" applyBorder="0" applyAlignment="0" applyProtection="0"/>
    <xf numFmtId="331" fontId="36" fillId="0" borderId="0" applyFont="0" applyFill="0" applyBorder="0" applyAlignment="0" applyProtection="0"/>
    <xf numFmtId="332" fontId="36" fillId="0" borderId="0" applyFont="0" applyFill="0" applyBorder="0" applyAlignment="0" applyProtection="0"/>
    <xf numFmtId="333" fontId="21"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0" fontId="36" fillId="0" borderId="0" applyFont="0" applyFill="0" applyBorder="0" applyAlignment="0" applyProtection="0"/>
    <xf numFmtId="334" fontId="36"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335" fontId="36" fillId="0" borderId="0" applyFont="0" applyFill="0" applyBorder="0" applyAlignment="0" applyProtection="0"/>
    <xf numFmtId="43" fontId="36"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330" fontId="36" fillId="0" borderId="0" applyFont="0" applyFill="0" applyBorder="0" applyAlignment="0" applyProtection="0"/>
    <xf numFmtId="0" fontId="36" fillId="0" borderId="0" applyFont="0" applyFill="0" applyBorder="0" applyAlignment="0" applyProtection="0"/>
    <xf numFmtId="330" fontId="36"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331" fontId="36" fillId="0" borderId="0" applyFont="0" applyFill="0" applyBorder="0" applyAlignment="0" applyProtection="0"/>
    <xf numFmtId="331" fontId="36" fillId="0" borderId="0" applyFont="0" applyFill="0" applyBorder="0" applyAlignment="0" applyProtection="0"/>
    <xf numFmtId="332" fontId="36" fillId="0" borderId="0" applyFont="0" applyFill="0" applyBorder="0" applyAlignment="0" applyProtection="0"/>
    <xf numFmtId="333" fontId="21"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0" fontId="36" fillId="0" borderId="0" applyFont="0" applyFill="0" applyBorder="0" applyAlignment="0" applyProtection="0"/>
    <xf numFmtId="334" fontId="36"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335" fontId="36"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215" fontId="36" fillId="0" borderId="0" applyFont="0" applyFill="0" applyBorder="0" applyAlignment="0" applyProtection="0"/>
    <xf numFmtId="217" fontId="36"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217" fontId="36" fillId="0" borderId="0" applyFont="0" applyFill="0" applyBorder="0" applyAlignment="0" applyProtection="0"/>
    <xf numFmtId="338" fontId="36" fillId="0" borderId="0" applyFont="0" applyFill="0" applyBorder="0" applyAlignment="0" applyProtection="0"/>
    <xf numFmtId="338" fontId="36" fillId="0" borderId="0" applyFont="0" applyFill="0" applyBorder="0" applyAlignment="0" applyProtection="0"/>
    <xf numFmtId="338" fontId="36" fillId="0" borderId="0" applyFont="0" applyFill="0" applyBorder="0" applyAlignment="0" applyProtection="0"/>
    <xf numFmtId="338" fontId="36" fillId="0" borderId="0" applyFont="0" applyFill="0" applyBorder="0" applyAlignment="0" applyProtection="0"/>
    <xf numFmtId="215" fontId="36" fillId="0" borderId="0" applyFont="0" applyFill="0" applyBorder="0" applyAlignment="0" applyProtection="0"/>
    <xf numFmtId="217" fontId="36"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338" fontId="36" fillId="0" borderId="0" applyFont="0" applyFill="0" applyBorder="0" applyAlignment="0" applyProtection="0"/>
    <xf numFmtId="215" fontId="36" fillId="0" borderId="0" applyFont="0" applyFill="0" applyBorder="0" applyAlignment="0" applyProtection="0"/>
    <xf numFmtId="217" fontId="36" fillId="0" borderId="0" applyFont="0" applyFill="0" applyBorder="0" applyAlignment="0" applyProtection="0"/>
    <xf numFmtId="217" fontId="36" fillId="0" borderId="0" applyFont="0" applyFill="0" applyBorder="0" applyAlignment="0" applyProtection="0"/>
    <xf numFmtId="216" fontId="36" fillId="0" borderId="0" applyFont="0" applyFill="0" applyBorder="0" applyAlignment="0" applyProtection="0"/>
    <xf numFmtId="215" fontId="36" fillId="0" borderId="0" applyFont="0" applyFill="0" applyBorder="0" applyAlignment="0" applyProtection="0"/>
    <xf numFmtId="217" fontId="36"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219" fontId="36" fillId="0" borderId="0" applyFont="0" applyFill="0" applyBorder="0" applyAlignment="0" applyProtection="0"/>
    <xf numFmtId="219" fontId="36"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39" fontId="36" fillId="0" borderId="0" applyFont="0" applyFill="0" applyBorder="0" applyAlignment="0" applyProtection="0"/>
    <xf numFmtId="39" fontId="36"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39" fontId="36" fillId="0" borderId="0" applyFont="0" applyFill="0" applyBorder="0" applyAlignment="0" applyProtection="0"/>
    <xf numFmtId="39" fontId="36" fillId="0" borderId="0" applyFont="0" applyFill="0" applyBorder="0" applyAlignment="0" applyProtection="0"/>
    <xf numFmtId="39" fontId="36" fillId="0" borderId="0" applyFont="0" applyFill="0" applyBorder="0" applyAlignment="0" applyProtection="0"/>
    <xf numFmtId="39" fontId="36" fillId="0" borderId="0" applyFont="0" applyFill="0" applyBorder="0" applyAlignment="0" applyProtection="0"/>
    <xf numFmtId="39" fontId="36" fillId="0" borderId="0" applyFont="0" applyFill="0" applyBorder="0" applyAlignment="0" applyProtection="0"/>
    <xf numFmtId="175" fontId="36" fillId="0" borderId="0" applyFont="0" applyFill="0" applyBorder="0" applyAlignment="0" applyProtection="0"/>
    <xf numFmtId="219" fontId="36" fillId="0" borderId="0" applyFont="0" applyFill="0" applyBorder="0" applyAlignment="0" applyProtection="0"/>
    <xf numFmtId="39" fontId="36" fillId="0" borderId="0" applyFont="0" applyFill="0" applyBorder="0" applyAlignment="0" applyProtection="0"/>
    <xf numFmtId="175" fontId="36" fillId="0" borderId="0" applyFont="0" applyFill="0" applyBorder="0" applyAlignment="0" applyProtection="0"/>
    <xf numFmtId="175" fontId="36"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339" fontId="36" fillId="0" borderId="0" applyFont="0" applyFill="0" applyBorder="0" applyAlignment="0" applyProtection="0"/>
    <xf numFmtId="0" fontId="36" fillId="0" borderId="0" applyFont="0" applyFill="0" applyBorder="0" applyAlignment="0" applyProtection="0"/>
    <xf numFmtId="0" fontId="254" fillId="39" borderId="95" applyNumberFormat="0" applyBorder="0" applyProtection="0">
      <alignment horizontal="right" vertical="center"/>
    </xf>
    <xf numFmtId="0" fontId="255" fillId="0" borderId="95" applyNumberFormat="0" applyBorder="0" applyProtection="0">
      <alignment vertical="center"/>
    </xf>
    <xf numFmtId="14" fontId="256" fillId="40" borderId="0" applyNumberFormat="0" applyBorder="0" applyProtection="0">
      <alignment horizontal="right" vertical="center" wrapText="1"/>
    </xf>
    <xf numFmtId="0" fontId="263" fillId="0" borderId="0"/>
    <xf numFmtId="257" fontId="55" fillId="0" borderId="0"/>
    <xf numFmtId="0" fontId="36" fillId="0" borderId="0"/>
    <xf numFmtId="0" fontId="36" fillId="0" borderId="0"/>
    <xf numFmtId="4" fontId="267" fillId="0" borderId="0" applyFont="0" applyFill="0" applyBorder="0" applyAlignment="0" applyProtection="0"/>
    <xf numFmtId="8" fontId="267" fillId="0" borderId="0" applyFont="0" applyFill="0" applyBorder="0" applyAlignment="0" applyProtection="0"/>
  </cellStyleXfs>
  <cellXfs count="3412">
    <xf numFmtId="0" fontId="0" fillId="0" borderId="0" xfId="0"/>
    <xf numFmtId="0" fontId="21" fillId="0" borderId="0" xfId="0" applyFont="1"/>
    <xf numFmtId="0" fontId="21" fillId="0" borderId="2" xfId="0" applyFont="1" applyBorder="1"/>
    <xf numFmtId="0" fontId="22" fillId="0" borderId="0" xfId="0" applyFont="1" applyAlignment="1">
      <alignment horizontal="right"/>
    </xf>
    <xf numFmtId="0" fontId="23" fillId="0" borderId="0" xfId="0" applyFont="1"/>
    <xf numFmtId="0" fontId="24" fillId="0" borderId="1" xfId="0" applyFont="1" applyBorder="1"/>
    <xf numFmtId="37" fontId="22" fillId="0" borderId="0" xfId="0" applyNumberFormat="1" applyFont="1" applyAlignment="1">
      <alignment horizontal="left"/>
    </xf>
    <xf numFmtId="166" fontId="21" fillId="0" borderId="0" xfId="2" applyNumberFormat="1" applyFont="1" applyFill="1" applyBorder="1" applyAlignment="1">
      <alignment horizontal="left"/>
    </xf>
    <xf numFmtId="37" fontId="21" fillId="0" borderId="0" xfId="0" applyNumberFormat="1" applyFont="1"/>
    <xf numFmtId="37" fontId="21" fillId="0" borderId="0" xfId="0" applyNumberFormat="1" applyFont="1" applyAlignment="1">
      <alignment horizontal="left"/>
    </xf>
    <xf numFmtId="3" fontId="21" fillId="0" borderId="0" xfId="0" applyNumberFormat="1" applyFont="1"/>
    <xf numFmtId="0" fontId="26" fillId="0" borderId="0" xfId="0" applyFont="1"/>
    <xf numFmtId="0" fontId="21" fillId="0" borderId="1" xfId="0" applyFont="1" applyBorder="1"/>
    <xf numFmtId="3" fontId="22" fillId="0" borderId="0" xfId="0" applyNumberFormat="1" applyFont="1"/>
    <xf numFmtId="0" fontId="26" fillId="0" borderId="1" xfId="0" applyFont="1" applyBorder="1"/>
    <xf numFmtId="3" fontId="26" fillId="0" borderId="0" xfId="0" applyNumberFormat="1" applyFont="1"/>
    <xf numFmtId="0" fontId="27" fillId="0" borderId="0" xfId="0" applyFont="1"/>
    <xf numFmtId="9" fontId="26" fillId="0" borderId="0" xfId="0" applyNumberFormat="1" applyFont="1"/>
    <xf numFmtId="204" fontId="26" fillId="0" borderId="0" xfId="0" applyNumberFormat="1" applyFont="1"/>
    <xf numFmtId="0" fontId="21" fillId="0" borderId="0" xfId="63" applyFont="1"/>
    <xf numFmtId="3" fontId="21" fillId="0" borderId="0" xfId="0" applyNumberFormat="1" applyFont="1" applyAlignment="1">
      <alignment horizontal="right"/>
    </xf>
    <xf numFmtId="166" fontId="26" fillId="0" borderId="0" xfId="0" applyNumberFormat="1" applyFont="1"/>
    <xf numFmtId="179" fontId="26" fillId="0" borderId="0" xfId="0" applyNumberFormat="1" applyFont="1"/>
    <xf numFmtId="3" fontId="27" fillId="0" borderId="0" xfId="0" applyNumberFormat="1" applyFont="1"/>
    <xf numFmtId="166" fontId="27" fillId="0" borderId="0" xfId="0" applyNumberFormat="1" applyFont="1"/>
    <xf numFmtId="169" fontId="21" fillId="0" borderId="0" xfId="0" applyNumberFormat="1" applyFont="1"/>
    <xf numFmtId="37" fontId="21" fillId="0" borderId="0" xfId="508" applyNumberFormat="1" applyFont="1" applyFill="1" applyBorder="1"/>
    <xf numFmtId="37" fontId="21" fillId="0" borderId="0" xfId="63" applyNumberFormat="1" applyFont="1"/>
    <xf numFmtId="5" fontId="21" fillId="0" borderId="0" xfId="63" applyNumberFormat="1" applyFont="1"/>
    <xf numFmtId="0" fontId="71" fillId="0" borderId="0" xfId="63" applyFont="1"/>
    <xf numFmtId="0" fontId="22" fillId="0" borderId="0" xfId="63" applyFont="1"/>
    <xf numFmtId="38" fontId="22" fillId="0" borderId="0" xfId="508" applyNumberFormat="1" applyFont="1" applyFill="1" applyBorder="1"/>
    <xf numFmtId="166" fontId="26" fillId="0" borderId="0" xfId="1216" applyNumberFormat="1" applyFont="1" applyBorder="1"/>
    <xf numFmtId="193" fontId="22" fillId="19" borderId="0" xfId="1" applyNumberFormat="1" applyFont="1" applyFill="1" applyBorder="1"/>
    <xf numFmtId="3" fontId="211" fillId="0" borderId="0" xfId="0" applyNumberFormat="1" applyFont="1"/>
    <xf numFmtId="3" fontId="26" fillId="0" borderId="0" xfId="1216" applyNumberFormat="1" applyFont="1" applyBorder="1"/>
    <xf numFmtId="3" fontId="26" fillId="0" borderId="0" xfId="1244" applyNumberFormat="1" applyFont="1" applyBorder="1"/>
    <xf numFmtId="3" fontId="21" fillId="0" borderId="0" xfId="1" applyNumberFormat="1" applyFont="1" applyFill="1" applyBorder="1"/>
    <xf numFmtId="0" fontId="24" fillId="0" borderId="0" xfId="0" applyFont="1"/>
    <xf numFmtId="0" fontId="26" fillId="0" borderId="17" xfId="0" applyFont="1" applyBorder="1"/>
    <xf numFmtId="43" fontId="215" fillId="19" borderId="0" xfId="0" applyNumberFormat="1" applyFont="1" applyFill="1" applyAlignment="1">
      <alignment horizontal="right"/>
    </xf>
    <xf numFmtId="0" fontId="0" fillId="0" borderId="0" xfId="0" applyProtection="1">
      <protection locked="0"/>
    </xf>
    <xf numFmtId="0" fontId="24" fillId="0" borderId="17" xfId="0" applyFont="1" applyBorder="1"/>
    <xf numFmtId="0" fontId="54" fillId="19" borderId="47" xfId="0" applyFont="1" applyFill="1" applyBorder="1" applyAlignment="1">
      <alignment horizontal="right"/>
    </xf>
    <xf numFmtId="167" fontId="27" fillId="0" borderId="0" xfId="0" applyNumberFormat="1" applyFont="1"/>
    <xf numFmtId="0" fontId="22" fillId="0" borderId="17" xfId="0" applyFont="1" applyBorder="1" applyAlignment="1">
      <alignment horizontal="right"/>
    </xf>
    <xf numFmtId="0" fontId="22" fillId="0" borderId="17" xfId="0" applyFont="1" applyBorder="1" applyAlignment="1">
      <alignment horizontal="centerContinuous"/>
    </xf>
    <xf numFmtId="9" fontId="21" fillId="0" borderId="0" xfId="2" applyFont="1" applyFill="1" applyBorder="1" applyAlignment="1">
      <alignment horizontal="left"/>
    </xf>
    <xf numFmtId="0" fontId="26" fillId="0" borderId="47" xfId="0" applyFont="1" applyBorder="1"/>
    <xf numFmtId="167" fontId="26" fillId="0" borderId="0" xfId="0" applyNumberFormat="1" applyFont="1"/>
    <xf numFmtId="9" fontId="27" fillId="0" borderId="0" xfId="0" applyNumberFormat="1" applyFont="1"/>
    <xf numFmtId="316" fontId="26" fillId="0" borderId="0" xfId="0" applyNumberFormat="1" applyFont="1"/>
    <xf numFmtId="166" fontId="26" fillId="0" borderId="8" xfId="0" applyNumberFormat="1" applyFont="1" applyBorder="1"/>
    <xf numFmtId="0" fontId="26" fillId="0" borderId="8" xfId="0" applyFont="1" applyBorder="1"/>
    <xf numFmtId="3" fontId="27" fillId="0" borderId="8" xfId="0" applyNumberFormat="1" applyFont="1" applyBorder="1"/>
    <xf numFmtId="3" fontId="21" fillId="0" borderId="8" xfId="0" applyNumberFormat="1" applyFont="1" applyBorder="1"/>
    <xf numFmtId="175" fontId="208" fillId="0" borderId="0" xfId="0" applyNumberFormat="1" applyFont="1" applyAlignment="1">
      <alignment horizontal="right"/>
    </xf>
    <xf numFmtId="313" fontId="21" fillId="0" borderId="0" xfId="0" applyNumberFormat="1" applyFont="1"/>
    <xf numFmtId="313" fontId="26" fillId="0" borderId="0" xfId="0" applyNumberFormat="1" applyFont="1"/>
    <xf numFmtId="0" fontId="209" fillId="0" borderId="0" xfId="1331" applyFont="1"/>
    <xf numFmtId="3" fontId="26" fillId="0" borderId="17" xfId="0" applyNumberFormat="1" applyFont="1" applyBorder="1"/>
    <xf numFmtId="166" fontId="211" fillId="0" borderId="0" xfId="0" applyNumberFormat="1" applyFont="1"/>
    <xf numFmtId="3" fontId="26" fillId="29" borderId="0" xfId="0" applyNumberFormat="1" applyFont="1" applyFill="1"/>
    <xf numFmtId="3" fontId="208" fillId="0" borderId="0" xfId="0" applyNumberFormat="1" applyFont="1"/>
    <xf numFmtId="0" fontId="208" fillId="0" borderId="0" xfId="0" applyFont="1" applyAlignment="1">
      <alignment horizontal="right"/>
    </xf>
    <xf numFmtId="0" fontId="211" fillId="0" borderId="0" xfId="0" applyFont="1"/>
    <xf numFmtId="9" fontId="211" fillId="0" borderId="0" xfId="0" applyNumberFormat="1" applyFont="1"/>
    <xf numFmtId="8" fontId="26" fillId="0" borderId="0" xfId="0" applyNumberFormat="1" applyFont="1"/>
    <xf numFmtId="6" fontId="26" fillId="0" borderId="0" xfId="0" applyNumberFormat="1" applyFont="1"/>
    <xf numFmtId="204" fontId="211" fillId="0" borderId="0" xfId="0" applyNumberFormat="1" applyFont="1"/>
    <xf numFmtId="204" fontId="26" fillId="29" borderId="0" xfId="0" applyNumberFormat="1" applyFont="1" applyFill="1"/>
    <xf numFmtId="166" fontId="211" fillId="29" borderId="0" xfId="0" applyNumberFormat="1" applyFont="1" applyFill="1"/>
    <xf numFmtId="166" fontId="26" fillId="29" borderId="0" xfId="0" applyNumberFormat="1" applyFont="1" applyFill="1"/>
    <xf numFmtId="204" fontId="211" fillId="29" borderId="0" xfId="0" applyNumberFormat="1" applyFont="1" applyFill="1"/>
    <xf numFmtId="3" fontId="208" fillId="29" borderId="0" xfId="0" applyNumberFormat="1" applyFont="1" applyFill="1"/>
    <xf numFmtId="204" fontId="221" fillId="0" borderId="0" xfId="0" applyNumberFormat="1" applyFont="1"/>
    <xf numFmtId="0" fontId="26" fillId="0" borderId="0" xfId="0" applyFont="1" applyAlignment="1">
      <alignment horizontal="center"/>
    </xf>
    <xf numFmtId="3" fontId="211" fillId="29" borderId="0" xfId="0" applyNumberFormat="1" applyFont="1" applyFill="1"/>
    <xf numFmtId="0" fontId="209" fillId="0" borderId="0" xfId="0" applyFont="1" applyAlignment="1">
      <alignment horizontal="center"/>
    </xf>
    <xf numFmtId="321" fontId="26" fillId="0" borderId="0" xfId="0" applyNumberFormat="1" applyFont="1"/>
    <xf numFmtId="317" fontId="222" fillId="0" borderId="0" xfId="0" applyNumberFormat="1" applyFont="1" applyAlignment="1">
      <alignment horizontal="right"/>
    </xf>
    <xf numFmtId="166" fontId="221" fillId="0" borderId="0" xfId="0" applyNumberFormat="1" applyFont="1"/>
    <xf numFmtId="0" fontId="221" fillId="0" borderId="0" xfId="0" applyFont="1"/>
    <xf numFmtId="3" fontId="22" fillId="29" borderId="0" xfId="0" applyNumberFormat="1" applyFont="1" applyFill="1"/>
    <xf numFmtId="166" fontId="27" fillId="29" borderId="0" xfId="0" applyNumberFormat="1" applyFont="1" applyFill="1"/>
    <xf numFmtId="3" fontId="21" fillId="29" borderId="0" xfId="0" applyNumberFormat="1" applyFont="1" applyFill="1"/>
    <xf numFmtId="3" fontId="26" fillId="29" borderId="0" xfId="1216" applyNumberFormat="1" applyFont="1" applyFill="1" applyBorder="1"/>
    <xf numFmtId="166" fontId="21" fillId="29" borderId="0" xfId="0" applyNumberFormat="1" applyFont="1" applyFill="1"/>
    <xf numFmtId="313" fontId="26" fillId="29" borderId="0" xfId="0" applyNumberFormat="1" applyFont="1" applyFill="1"/>
    <xf numFmtId="0" fontId="26" fillId="29" borderId="0" xfId="0" applyFont="1" applyFill="1"/>
    <xf numFmtId="3" fontId="27" fillId="29" borderId="0" xfId="0" applyNumberFormat="1" applyFont="1" applyFill="1"/>
    <xf numFmtId="166" fontId="26" fillId="0" borderId="0" xfId="2" applyNumberFormat="1" applyFont="1"/>
    <xf numFmtId="193" fontId="26" fillId="0" borderId="0" xfId="1" applyNumberFormat="1" applyFont="1"/>
    <xf numFmtId="9" fontId="22" fillId="0" borderId="0" xfId="2" applyFont="1" applyFill="1" applyBorder="1" applyAlignment="1">
      <alignment horizontal="left"/>
    </xf>
    <xf numFmtId="193" fontId="27" fillId="0" borderId="0" xfId="1" applyNumberFormat="1" applyFont="1" applyBorder="1"/>
    <xf numFmtId="8" fontId="21" fillId="0" borderId="0" xfId="0" applyNumberFormat="1" applyFont="1"/>
    <xf numFmtId="8" fontId="21" fillId="0" borderId="0" xfId="1" applyNumberFormat="1" applyFont="1" applyFill="1" applyBorder="1"/>
    <xf numFmtId="0" fontId="225" fillId="0" borderId="0" xfId="0" applyFont="1"/>
    <xf numFmtId="3" fontId="220" fillId="0" borderId="0" xfId="0" applyNumberFormat="1" applyFont="1"/>
    <xf numFmtId="3" fontId="220" fillId="29" borderId="0" xfId="0" applyNumberFormat="1" applyFont="1" applyFill="1"/>
    <xf numFmtId="169" fontId="211" fillId="0" borderId="0" xfId="1088" applyNumberFormat="1" applyFont="1"/>
    <xf numFmtId="171" fontId="211" fillId="0" borderId="0" xfId="1088" applyNumberFormat="1" applyFont="1"/>
    <xf numFmtId="169" fontId="211" fillId="0" borderId="0" xfId="1259" applyNumberFormat="1" applyFont="1"/>
    <xf numFmtId="171" fontId="211" fillId="0" borderId="0" xfId="1259" applyNumberFormat="1" applyFont="1"/>
    <xf numFmtId="4" fontId="211" fillId="0" borderId="0" xfId="1259" applyNumberFormat="1" applyFont="1"/>
    <xf numFmtId="169" fontId="211" fillId="0" borderId="0" xfId="1135" applyNumberFormat="1" applyFont="1"/>
    <xf numFmtId="171" fontId="211" fillId="0" borderId="0" xfId="1135" applyNumberFormat="1" applyFont="1"/>
    <xf numFmtId="4" fontId="211" fillId="0" borderId="0" xfId="1135" applyNumberFormat="1" applyFont="1"/>
    <xf numFmtId="166" fontId="211" fillId="0" borderId="0" xfId="1231" applyNumberFormat="1" applyFont="1" applyFill="1" applyBorder="1"/>
    <xf numFmtId="169" fontId="211" fillId="0" borderId="0" xfId="1134" applyNumberFormat="1" applyFont="1"/>
    <xf numFmtId="169" fontId="211" fillId="0" borderId="0" xfId="1285" applyNumberFormat="1" applyFont="1"/>
    <xf numFmtId="166" fontId="211" fillId="0" borderId="0" xfId="1309" applyNumberFormat="1" applyFont="1" applyFill="1" applyBorder="1"/>
    <xf numFmtId="169" fontId="211" fillId="0" borderId="0" xfId="1273" applyNumberFormat="1" applyFont="1"/>
    <xf numFmtId="166" fontId="211" fillId="0" borderId="0" xfId="1286" applyNumberFormat="1" applyFont="1" applyFill="1" applyBorder="1"/>
    <xf numFmtId="169" fontId="211" fillId="0" borderId="0" xfId="1236" applyNumberFormat="1" applyFont="1"/>
    <xf numFmtId="166" fontId="211" fillId="0" borderId="0" xfId="1133" applyNumberFormat="1" applyFont="1" applyFill="1" applyBorder="1"/>
    <xf numFmtId="169" fontId="211" fillId="0" borderId="0" xfId="1275" applyNumberFormat="1" applyFont="1"/>
    <xf numFmtId="38" fontId="211" fillId="0" borderId="0" xfId="1316" applyNumberFormat="1" applyFont="1" applyFill="1" applyBorder="1"/>
    <xf numFmtId="38" fontId="211" fillId="0" borderId="0" xfId="1263" applyNumberFormat="1" applyFont="1" applyFill="1" applyBorder="1"/>
    <xf numFmtId="38" fontId="211" fillId="0" borderId="0" xfId="1158" applyNumberFormat="1" applyFont="1" applyFill="1" applyBorder="1"/>
    <xf numFmtId="1" fontId="211" fillId="29" borderId="0" xfId="1216" applyNumberFormat="1" applyFont="1" applyFill="1" applyBorder="1"/>
    <xf numFmtId="204" fontId="26" fillId="30" borderId="0" xfId="0" applyNumberFormat="1" applyFont="1" applyFill="1"/>
    <xf numFmtId="179" fontId="211" fillId="0" borderId="0" xfId="0" applyNumberFormat="1" applyFont="1"/>
    <xf numFmtId="179" fontId="211" fillId="29" borderId="0" xfId="0" applyNumberFormat="1" applyFont="1" applyFill="1"/>
    <xf numFmtId="3" fontId="226" fillId="0" borderId="0" xfId="0" applyNumberFormat="1" applyFont="1"/>
    <xf numFmtId="3" fontId="211" fillId="0" borderId="0" xfId="0" applyNumberFormat="1" applyFont="1" applyAlignment="1">
      <alignment horizontal="right"/>
    </xf>
    <xf numFmtId="3" fontId="211" fillId="29" borderId="0" xfId="1" applyNumberFormat="1" applyFont="1" applyFill="1" applyBorder="1"/>
    <xf numFmtId="3" fontId="211" fillId="0" borderId="0" xfId="1" applyNumberFormat="1" applyFont="1" applyFill="1" applyBorder="1"/>
    <xf numFmtId="3" fontId="221" fillId="0" borderId="0" xfId="0" applyNumberFormat="1" applyFont="1"/>
    <xf numFmtId="0" fontId="228" fillId="0" borderId="0" xfId="0" applyFont="1"/>
    <xf numFmtId="0" fontId="220" fillId="0" borderId="0" xfId="0" applyFont="1"/>
    <xf numFmtId="9" fontId="26" fillId="0" borderId="0" xfId="2" applyFont="1"/>
    <xf numFmtId="15" fontId="211" fillId="0" borderId="0" xfId="0" applyNumberFormat="1" applyFont="1"/>
    <xf numFmtId="0" fontId="21" fillId="0" borderId="0" xfId="3" applyFont="1" applyAlignment="1">
      <alignment horizontal="left" indent="1"/>
    </xf>
    <xf numFmtId="0" fontId="26" fillId="0" borderId="76" xfId="0" applyFont="1" applyBorder="1"/>
    <xf numFmtId="0" fontId="22" fillId="0" borderId="0" xfId="0" applyFont="1"/>
    <xf numFmtId="0" fontId="223" fillId="0" borderId="0" xfId="0" applyFont="1"/>
    <xf numFmtId="0" fontId="211" fillId="29" borderId="0" xfId="0" applyFont="1" applyFill="1"/>
    <xf numFmtId="0" fontId="220" fillId="29" borderId="0" xfId="0" applyFont="1" applyFill="1"/>
    <xf numFmtId="0" fontId="27" fillId="29" borderId="0" xfId="0" applyFont="1" applyFill="1"/>
    <xf numFmtId="0" fontId="221" fillId="29" borderId="0" xfId="0" applyFont="1" applyFill="1"/>
    <xf numFmtId="9" fontId="26" fillId="29" borderId="0" xfId="0" applyNumberFormat="1" applyFont="1" applyFill="1"/>
    <xf numFmtId="193" fontId="26" fillId="29" borderId="0" xfId="1" applyNumberFormat="1" applyFont="1" applyFill="1"/>
    <xf numFmtId="9" fontId="26" fillId="29" borderId="0" xfId="2" applyFont="1" applyFill="1"/>
    <xf numFmtId="0" fontId="26" fillId="29" borderId="76" xfId="0" applyFont="1" applyFill="1" applyBorder="1"/>
    <xf numFmtId="193" fontId="26" fillId="29" borderId="76" xfId="1" applyNumberFormat="1" applyFont="1" applyFill="1" applyBorder="1"/>
    <xf numFmtId="0" fontId="26" fillId="29" borderId="17" xfId="0" applyFont="1" applyFill="1" applyBorder="1"/>
    <xf numFmtId="3" fontId="26" fillId="29" borderId="76" xfId="0" applyNumberFormat="1" applyFont="1" applyFill="1" applyBorder="1"/>
    <xf numFmtId="0" fontId="22" fillId="29" borderId="0" xfId="0" applyFont="1" applyFill="1"/>
    <xf numFmtId="6" fontId="26" fillId="29" borderId="0" xfId="0" applyNumberFormat="1" applyFont="1" applyFill="1"/>
    <xf numFmtId="9" fontId="27" fillId="29" borderId="0" xfId="0" applyNumberFormat="1" applyFont="1" applyFill="1"/>
    <xf numFmtId="193" fontId="26" fillId="0" borderId="0" xfId="1" applyNumberFormat="1" applyFont="1" applyFill="1"/>
    <xf numFmtId="0" fontId="21" fillId="29" borderId="0" xfId="0" applyFont="1" applyFill="1"/>
    <xf numFmtId="9" fontId="21" fillId="29" borderId="0" xfId="2" applyFont="1" applyFill="1"/>
    <xf numFmtId="203" fontId="26" fillId="0" borderId="0" xfId="1" applyNumberFormat="1" applyFont="1"/>
    <xf numFmtId="203" fontId="26" fillId="29" borderId="0" xfId="1" applyNumberFormat="1" applyFont="1" applyFill="1"/>
    <xf numFmtId="203" fontId="26" fillId="0" borderId="0" xfId="0" applyNumberFormat="1" applyFont="1"/>
    <xf numFmtId="204" fontId="221" fillId="29" borderId="0" xfId="0" applyNumberFormat="1" applyFont="1" applyFill="1"/>
    <xf numFmtId="179" fontId="26" fillId="29" borderId="0" xfId="0" applyNumberFormat="1" applyFont="1" applyFill="1"/>
    <xf numFmtId="9" fontId="26" fillId="29" borderId="0" xfId="2" applyFont="1" applyFill="1" applyBorder="1"/>
    <xf numFmtId="0" fontId="232" fillId="0" borderId="0" xfId="0" applyFont="1"/>
    <xf numFmtId="15" fontId="232" fillId="0" borderId="0" xfId="0" applyNumberFormat="1" applyFont="1"/>
    <xf numFmtId="0" fontId="233" fillId="0" borderId="0" xfId="0" applyFont="1"/>
    <xf numFmtId="0" fontId="234" fillId="0" borderId="0" xfId="0" applyFont="1"/>
    <xf numFmtId="0" fontId="236" fillId="0" borderId="0" xfId="0" applyFont="1"/>
    <xf numFmtId="0" fontId="238" fillId="0" borderId="0" xfId="0" applyFont="1"/>
    <xf numFmtId="0" fontId="226" fillId="0" borderId="0" xfId="0" applyFont="1"/>
    <xf numFmtId="166" fontId="226" fillId="0" borderId="0" xfId="0" applyNumberFormat="1" applyFont="1"/>
    <xf numFmtId="193" fontId="26" fillId="0" borderId="0" xfId="1" applyNumberFormat="1" applyFont="1" applyBorder="1"/>
    <xf numFmtId="193" fontId="226" fillId="0" borderId="0" xfId="1" applyNumberFormat="1" applyFont="1" applyBorder="1"/>
    <xf numFmtId="0" fontId="26" fillId="0" borderId="81" xfId="0" applyFont="1" applyBorder="1"/>
    <xf numFmtId="3" fontId="22" fillId="0" borderId="81" xfId="0" applyNumberFormat="1" applyFont="1" applyBorder="1"/>
    <xf numFmtId="166" fontId="26" fillId="0" borderId="81" xfId="0" applyNumberFormat="1" applyFont="1" applyBorder="1"/>
    <xf numFmtId="3" fontId="211" fillId="0" borderId="81" xfId="0" applyNumberFormat="1" applyFont="1" applyBorder="1"/>
    <xf numFmtId="3" fontId="26" fillId="0" borderId="81" xfId="0" applyNumberFormat="1" applyFont="1" applyBorder="1"/>
    <xf numFmtId="3" fontId="27" fillId="0" borderId="81" xfId="0" applyNumberFormat="1" applyFont="1" applyBorder="1"/>
    <xf numFmtId="3" fontId="21" fillId="29" borderId="81" xfId="0" applyNumberFormat="1" applyFont="1" applyFill="1" applyBorder="1"/>
    <xf numFmtId="0" fontId="211" fillId="0" borderId="81" xfId="0" applyFont="1" applyBorder="1"/>
    <xf numFmtId="167" fontId="27" fillId="0" borderId="81" xfId="0" applyNumberFormat="1" applyFont="1" applyBorder="1"/>
    <xf numFmtId="0" fontId="26" fillId="0" borderId="82" xfId="0" applyFont="1" applyBorder="1"/>
    <xf numFmtId="3" fontId="220" fillId="0" borderId="81" xfId="0" applyNumberFormat="1" applyFont="1" applyBorder="1"/>
    <xf numFmtId="0" fontId="26" fillId="0" borderId="84" xfId="0" applyFont="1" applyBorder="1"/>
    <xf numFmtId="3" fontId="211" fillId="0" borderId="84" xfId="0" applyNumberFormat="1" applyFont="1" applyBorder="1"/>
    <xf numFmtId="3" fontId="26" fillId="0" borderId="84" xfId="0" applyNumberFormat="1" applyFont="1" applyBorder="1"/>
    <xf numFmtId="3" fontId="220" fillId="0" borderId="84" xfId="0" applyNumberFormat="1" applyFont="1" applyBorder="1"/>
    <xf numFmtId="4" fontId="211" fillId="0" borderId="84" xfId="1088" applyNumberFormat="1" applyFont="1" applyBorder="1"/>
    <xf numFmtId="193" fontId="26" fillId="0" borderId="81" xfId="1" applyNumberFormat="1" applyFont="1" applyBorder="1"/>
    <xf numFmtId="1" fontId="211" fillId="29" borderId="81" xfId="1216" applyNumberFormat="1" applyFont="1" applyFill="1" applyBorder="1"/>
    <xf numFmtId="313" fontId="26" fillId="0" borderId="81" xfId="0" applyNumberFormat="1" applyFont="1" applyBorder="1"/>
    <xf numFmtId="3" fontId="226" fillId="0" borderId="81" xfId="0" applyNumberFormat="1" applyFont="1" applyBorder="1"/>
    <xf numFmtId="167" fontId="26" fillId="0" borderId="81" xfId="0" applyNumberFormat="1" applyFont="1" applyBorder="1"/>
    <xf numFmtId="204" fontId="26" fillId="0" borderId="81" xfId="0" applyNumberFormat="1" applyFont="1" applyBorder="1"/>
    <xf numFmtId="3" fontId="211" fillId="29" borderId="81" xfId="0" applyNumberFormat="1" applyFont="1" applyFill="1" applyBorder="1"/>
    <xf numFmtId="3" fontId="232" fillId="0" borderId="0" xfId="0" applyNumberFormat="1" applyFont="1"/>
    <xf numFmtId="0" fontId="238" fillId="0" borderId="76" xfId="0" applyFont="1" applyBorder="1"/>
    <xf numFmtId="0" fontId="232" fillId="0" borderId="76" xfId="0" applyFont="1" applyBorder="1"/>
    <xf numFmtId="167" fontId="232" fillId="0" borderId="0" xfId="0" applyNumberFormat="1" applyFont="1"/>
    <xf numFmtId="3" fontId="21" fillId="0" borderId="76" xfId="0" applyNumberFormat="1" applyFont="1" applyBorder="1"/>
    <xf numFmtId="166" fontId="26" fillId="29" borderId="0" xfId="2" applyNumberFormat="1" applyFont="1" applyFill="1"/>
    <xf numFmtId="3" fontId="223" fillId="0" borderId="81" xfId="0" applyNumberFormat="1" applyFont="1" applyBorder="1"/>
    <xf numFmtId="3" fontId="223" fillId="0" borderId="0" xfId="0" applyNumberFormat="1" applyFont="1"/>
    <xf numFmtId="166" fontId="21" fillId="0" borderId="81" xfId="2" applyNumberFormat="1" applyFont="1" applyFill="1" applyBorder="1"/>
    <xf numFmtId="0" fontId="27" fillId="0" borderId="76" xfId="0" applyFont="1" applyBorder="1"/>
    <xf numFmtId="43" fontId="215" fillId="19" borderId="76" xfId="0" applyNumberFormat="1" applyFont="1" applyFill="1" applyBorder="1" applyAlignment="1">
      <alignment horizontal="right"/>
    </xf>
    <xf numFmtId="203" fontId="219" fillId="19" borderId="0" xfId="1" applyNumberFormat="1" applyFont="1" applyFill="1" applyBorder="1" applyAlignment="1">
      <alignment horizontal="right"/>
    </xf>
    <xf numFmtId="43" fontId="219" fillId="19" borderId="0" xfId="0" applyNumberFormat="1" applyFont="1" applyFill="1" applyAlignment="1">
      <alignment horizontal="right"/>
    </xf>
    <xf numFmtId="193" fontId="22" fillId="0" borderId="0" xfId="1" applyNumberFormat="1" applyFont="1" applyFill="1" applyBorder="1" applyAlignment="1">
      <alignment horizontal="left"/>
    </xf>
    <xf numFmtId="193" fontId="241" fillId="0" borderId="76" xfId="1" applyNumberFormat="1" applyFont="1" applyFill="1" applyBorder="1" applyAlignment="1">
      <alignment horizontal="left"/>
    </xf>
    <xf numFmtId="166" fontId="21" fillId="0" borderId="0" xfId="2" applyNumberFormat="1" applyFont="1"/>
    <xf numFmtId="166" fontId="21" fillId="19" borderId="0" xfId="2" applyNumberFormat="1" applyFont="1" applyFill="1" applyBorder="1" applyAlignment="1">
      <alignment horizontal="right"/>
    </xf>
    <xf numFmtId="193" fontId="26" fillId="0" borderId="76" xfId="1" applyNumberFormat="1" applyFont="1" applyBorder="1"/>
    <xf numFmtId="193" fontId="240" fillId="0" borderId="0" xfId="1" applyNumberFormat="1" applyFont="1" applyFill="1" applyBorder="1" applyAlignment="1">
      <alignment horizontal="right"/>
    </xf>
    <xf numFmtId="193" fontId="26" fillId="0" borderId="3" xfId="1" applyNumberFormat="1" applyFont="1" applyBorder="1"/>
    <xf numFmtId="166" fontId="26" fillId="0" borderId="0" xfId="2" applyNumberFormat="1" applyFont="1" applyBorder="1"/>
    <xf numFmtId="6" fontId="26" fillId="0" borderId="81" xfId="0" applyNumberFormat="1" applyFont="1" applyBorder="1"/>
    <xf numFmtId="8" fontId="21" fillId="0" borderId="81" xfId="1" applyNumberFormat="1" applyFont="1" applyFill="1" applyBorder="1"/>
    <xf numFmtId="166" fontId="221" fillId="0" borderId="81" xfId="0" applyNumberFormat="1" applyFont="1" applyBorder="1"/>
    <xf numFmtId="193" fontId="226" fillId="0" borderId="81" xfId="1" applyNumberFormat="1" applyFont="1" applyBorder="1"/>
    <xf numFmtId="166" fontId="211" fillId="0" borderId="81" xfId="0" applyNumberFormat="1" applyFont="1" applyBorder="1"/>
    <xf numFmtId="3" fontId="208" fillId="29" borderId="81" xfId="0" applyNumberFormat="1" applyFont="1" applyFill="1" applyBorder="1"/>
    <xf numFmtId="204" fontId="211" fillId="0" borderId="81" xfId="0" applyNumberFormat="1" applyFont="1" applyBorder="1"/>
    <xf numFmtId="175" fontId="208" fillId="0" borderId="81" xfId="0" applyNumberFormat="1" applyFont="1" applyBorder="1" applyAlignment="1">
      <alignment horizontal="right"/>
    </xf>
    <xf numFmtId="204" fontId="26" fillId="30" borderId="81" xfId="0" applyNumberFormat="1" applyFont="1" applyFill="1" applyBorder="1"/>
    <xf numFmtId="179" fontId="211" fillId="0" borderId="81" xfId="0" applyNumberFormat="1" applyFont="1" applyBorder="1"/>
    <xf numFmtId="193" fontId="27" fillId="0" borderId="81" xfId="1" applyNumberFormat="1" applyFont="1" applyBorder="1"/>
    <xf numFmtId="9" fontId="26" fillId="0" borderId="81" xfId="0" applyNumberFormat="1" applyFont="1" applyBorder="1"/>
    <xf numFmtId="3" fontId="26" fillId="29" borderId="81" xfId="0" applyNumberFormat="1" applyFont="1" applyFill="1" applyBorder="1"/>
    <xf numFmtId="166" fontId="26" fillId="29" borderId="81" xfId="0" applyNumberFormat="1" applyFont="1" applyFill="1" applyBorder="1"/>
    <xf numFmtId="8" fontId="21" fillId="0" borderId="81" xfId="0" applyNumberFormat="1" applyFont="1" applyBorder="1"/>
    <xf numFmtId="9" fontId="211" fillId="0" borderId="81" xfId="0" applyNumberFormat="1" applyFont="1" applyBorder="1"/>
    <xf numFmtId="179" fontId="211" fillId="29" borderId="81" xfId="0" applyNumberFormat="1" applyFont="1" applyFill="1" applyBorder="1"/>
    <xf numFmtId="204" fontId="26" fillId="29" borderId="81" xfId="0" applyNumberFormat="1" applyFont="1" applyFill="1" applyBorder="1"/>
    <xf numFmtId="166" fontId="211" fillId="29" borderId="81" xfId="0" applyNumberFormat="1" applyFont="1" applyFill="1" applyBorder="1"/>
    <xf numFmtId="9" fontId="26" fillId="0" borderId="81" xfId="2" applyFont="1" applyBorder="1"/>
    <xf numFmtId="0" fontId="27" fillId="0" borderId="81" xfId="0" applyFont="1" applyBorder="1"/>
    <xf numFmtId="0" fontId="220" fillId="0" borderId="81" xfId="0" applyFont="1" applyBorder="1"/>
    <xf numFmtId="0" fontId="221" fillId="0" borderId="81" xfId="0" applyFont="1" applyBorder="1"/>
    <xf numFmtId="0" fontId="26" fillId="0" borderId="87" xfId="0" applyFont="1" applyBorder="1"/>
    <xf numFmtId="3" fontId="21" fillId="0" borderId="81" xfId="0" applyNumberFormat="1" applyFont="1" applyBorder="1"/>
    <xf numFmtId="43" fontId="215" fillId="19" borderId="81" xfId="0" applyNumberFormat="1" applyFont="1" applyFill="1" applyBorder="1" applyAlignment="1">
      <alignment horizontal="right"/>
    </xf>
    <xf numFmtId="43" fontId="215" fillId="19" borderId="82" xfId="0" applyNumberFormat="1" applyFont="1" applyFill="1" applyBorder="1" applyAlignment="1">
      <alignment horizontal="right"/>
    </xf>
    <xf numFmtId="193" fontId="26" fillId="0" borderId="82" xfId="1" applyNumberFormat="1" applyFont="1" applyBorder="1"/>
    <xf numFmtId="193" fontId="26" fillId="0" borderId="89" xfId="1" applyNumberFormat="1" applyFont="1" applyBorder="1"/>
    <xf numFmtId="166" fontId="211" fillId="0" borderId="81" xfId="2" applyNumberFormat="1" applyFont="1" applyBorder="1"/>
    <xf numFmtId="3" fontId="218" fillId="0" borderId="81" xfId="0" applyNumberFormat="1" applyFont="1" applyBorder="1"/>
    <xf numFmtId="166" fontId="21" fillId="19" borderId="81" xfId="2" applyNumberFormat="1" applyFont="1" applyFill="1" applyBorder="1" applyAlignment="1">
      <alignment horizontal="right"/>
    </xf>
    <xf numFmtId="166" fontId="26" fillId="0" borderId="81" xfId="2" applyNumberFormat="1" applyFont="1" applyBorder="1"/>
    <xf numFmtId="3" fontId="211" fillId="0" borderId="81" xfId="0" applyNumberFormat="1" applyFont="1" applyBorder="1" applyAlignment="1">
      <alignment horizontal="right"/>
    </xf>
    <xf numFmtId="313" fontId="26" fillId="29" borderId="81" xfId="0" applyNumberFormat="1" applyFont="1" applyFill="1" applyBorder="1"/>
    <xf numFmtId="313" fontId="27" fillId="0" borderId="81" xfId="0" applyNumberFormat="1" applyFont="1" applyBorder="1"/>
    <xf numFmtId="0" fontId="23" fillId="0" borderId="81" xfId="0" applyFont="1" applyBorder="1"/>
    <xf numFmtId="0" fontId="24" fillId="0" borderId="81" xfId="0" applyFont="1" applyBorder="1"/>
    <xf numFmtId="0" fontId="24" fillId="0" borderId="87" xfId="0" applyFont="1" applyBorder="1"/>
    <xf numFmtId="3" fontId="21" fillId="0" borderId="82" xfId="0" applyNumberFormat="1" applyFont="1" applyBorder="1"/>
    <xf numFmtId="3" fontId="211" fillId="0" borderId="81" xfId="1" applyNumberFormat="1" applyFont="1" applyFill="1" applyBorder="1"/>
    <xf numFmtId="3" fontId="26" fillId="0" borderId="81" xfId="1244" applyNumberFormat="1" applyFont="1" applyBorder="1"/>
    <xf numFmtId="169" fontId="21" fillId="0" borderId="81" xfId="0" applyNumberFormat="1" applyFont="1" applyBorder="1"/>
    <xf numFmtId="3" fontId="26" fillId="0" borderId="81" xfId="1216" applyNumberFormat="1" applyFont="1" applyFill="1" applyBorder="1"/>
    <xf numFmtId="37" fontId="26" fillId="0" borderId="81" xfId="0" applyNumberFormat="1" applyFont="1" applyBorder="1"/>
    <xf numFmtId="3" fontId="26" fillId="0" borderId="81" xfId="1216" applyNumberFormat="1" applyFont="1" applyBorder="1"/>
    <xf numFmtId="0" fontId="26" fillId="29" borderId="81" xfId="0" applyFont="1" applyFill="1" applyBorder="1"/>
    <xf numFmtId="0" fontId="26" fillId="29" borderId="82" xfId="0" applyFont="1" applyFill="1" applyBorder="1"/>
    <xf numFmtId="0" fontId="27" fillId="29" borderId="81" xfId="0" applyFont="1" applyFill="1" applyBorder="1"/>
    <xf numFmtId="179" fontId="26" fillId="29" borderId="81" xfId="0" applyNumberFormat="1" applyFont="1" applyFill="1" applyBorder="1"/>
    <xf numFmtId="9" fontId="211" fillId="29" borderId="81" xfId="0" applyNumberFormat="1" applyFont="1" applyFill="1" applyBorder="1"/>
    <xf numFmtId="166" fontId="27" fillId="29" borderId="81" xfId="0" applyNumberFormat="1" applyFont="1" applyFill="1" applyBorder="1"/>
    <xf numFmtId="9" fontId="21" fillId="29" borderId="81" xfId="2" applyFont="1" applyFill="1" applyBorder="1"/>
    <xf numFmtId="9" fontId="26" fillId="29" borderId="81" xfId="0" applyNumberFormat="1" applyFont="1" applyFill="1" applyBorder="1"/>
    <xf numFmtId="193" fontId="26" fillId="29" borderId="81" xfId="1" applyNumberFormat="1" applyFont="1" applyFill="1" applyBorder="1"/>
    <xf numFmtId="179" fontId="220" fillId="29" borderId="81" xfId="0" applyNumberFormat="1" applyFont="1" applyFill="1" applyBorder="1"/>
    <xf numFmtId="193" fontId="26" fillId="29" borderId="82" xfId="1" applyNumberFormat="1" applyFont="1" applyFill="1" applyBorder="1"/>
    <xf numFmtId="3" fontId="27" fillId="29" borderId="81" xfId="0" applyNumberFormat="1" applyFont="1" applyFill="1" applyBorder="1"/>
    <xf numFmtId="3" fontId="26" fillId="29" borderId="82" xfId="0" applyNumberFormat="1" applyFont="1" applyFill="1" applyBorder="1"/>
    <xf numFmtId="0" fontId="220" fillId="29" borderId="81" xfId="0" applyFont="1" applyFill="1" applyBorder="1"/>
    <xf numFmtId="0" fontId="26" fillId="29" borderId="87" xfId="0" applyFont="1" applyFill="1" applyBorder="1"/>
    <xf numFmtId="0" fontId="21" fillId="29" borderId="81" xfId="0" applyFont="1" applyFill="1" applyBorder="1"/>
    <xf numFmtId="166" fontId="26" fillId="29" borderId="81" xfId="2" applyNumberFormat="1" applyFont="1" applyFill="1" applyBorder="1"/>
    <xf numFmtId="166" fontId="221" fillId="0" borderId="84" xfId="0" applyNumberFormat="1" applyFont="1" applyBorder="1"/>
    <xf numFmtId="0" fontId="234" fillId="0" borderId="76" xfId="0" applyFont="1" applyBorder="1"/>
    <xf numFmtId="0" fontId="244" fillId="0" borderId="0" xfId="0" applyFont="1"/>
    <xf numFmtId="0" fontId="238" fillId="0" borderId="0" xfId="0" quotePrefix="1" applyFont="1"/>
    <xf numFmtId="193" fontId="21" fillId="0" borderId="0" xfId="1" applyNumberFormat="1" applyFont="1" applyBorder="1"/>
    <xf numFmtId="193" fontId="211" fillId="0" borderId="0" xfId="1" applyNumberFormat="1" applyFont="1" applyBorder="1"/>
    <xf numFmtId="193" fontId="26" fillId="0" borderId="0" xfId="0" applyNumberFormat="1" applyFont="1"/>
    <xf numFmtId="166" fontId="21" fillId="0" borderId="81" xfId="0" applyNumberFormat="1" applyFont="1" applyBorder="1"/>
    <xf numFmtId="167" fontId="22" fillId="0" borderId="81" xfId="0" applyNumberFormat="1" applyFont="1" applyBorder="1"/>
    <xf numFmtId="166" fontId="223" fillId="0" borderId="0" xfId="2" applyNumberFormat="1" applyFont="1" applyFill="1" applyBorder="1"/>
    <xf numFmtId="0" fontId="54" fillId="19" borderId="0" xfId="0" applyFont="1" applyFill="1" applyAlignment="1">
      <alignment horizontal="right"/>
    </xf>
    <xf numFmtId="6" fontId="26" fillId="0" borderId="0" xfId="0" quotePrefix="1" applyNumberFormat="1" applyFont="1"/>
    <xf numFmtId="0" fontId="71" fillId="0" borderId="0" xfId="63" applyFont="1" applyAlignment="1">
      <alignment horizontal="left" indent="2"/>
    </xf>
    <xf numFmtId="3" fontId="218" fillId="0" borderId="0" xfId="0" applyNumberFormat="1" applyFont="1"/>
    <xf numFmtId="3" fontId="218" fillId="29" borderId="0" xfId="0" applyNumberFormat="1" applyFont="1" applyFill="1"/>
    <xf numFmtId="3" fontId="71" fillId="0" borderId="0" xfId="0" applyNumberFormat="1" applyFont="1"/>
    <xf numFmtId="13" fontId="215" fillId="19" borderId="76" xfId="0" applyNumberFormat="1" applyFont="1" applyFill="1" applyBorder="1" applyAlignment="1">
      <alignment horizontal="right"/>
    </xf>
    <xf numFmtId="43" fontId="54" fillId="19" borderId="47" xfId="0" applyNumberFormat="1" applyFont="1" applyFill="1" applyBorder="1" applyAlignment="1">
      <alignment horizontal="right"/>
    </xf>
    <xf numFmtId="0" fontId="250" fillId="0" borderId="1" xfId="0" applyFont="1" applyBorder="1"/>
    <xf numFmtId="0" fontId="250" fillId="0" borderId="0" xfId="0" applyFont="1"/>
    <xf numFmtId="203" fontId="26" fillId="0" borderId="0" xfId="63" applyNumberFormat="1" applyFont="1"/>
    <xf numFmtId="193" fontId="223" fillId="0" borderId="0" xfId="1" applyNumberFormat="1" applyFont="1" applyBorder="1"/>
    <xf numFmtId="193" fontId="223" fillId="0" borderId="81" xfId="1" applyNumberFormat="1" applyFont="1" applyBorder="1"/>
    <xf numFmtId="0" fontId="26" fillId="37" borderId="17" xfId="0" applyFont="1" applyFill="1" applyBorder="1"/>
    <xf numFmtId="193" fontId="26" fillId="0" borderId="3" xfId="1" applyNumberFormat="1" applyFont="1" applyFill="1" applyBorder="1"/>
    <xf numFmtId="166" fontId="26" fillId="0" borderId="0" xfId="2" applyNumberFormat="1" applyFont="1" applyFill="1"/>
    <xf numFmtId="193" fontId="215" fillId="19" borderId="0" xfId="0" applyNumberFormat="1" applyFont="1" applyFill="1" applyAlignment="1">
      <alignment horizontal="right"/>
    </xf>
    <xf numFmtId="193" fontId="215" fillId="19" borderId="81" xfId="0" applyNumberFormat="1" applyFont="1" applyFill="1" applyBorder="1" applyAlignment="1">
      <alignment horizontal="right"/>
    </xf>
    <xf numFmtId="3" fontId="219" fillId="0" borderId="0" xfId="0" applyNumberFormat="1" applyFont="1"/>
    <xf numFmtId="3" fontId="219" fillId="0" borderId="81" xfId="0" applyNumberFormat="1" applyFont="1" applyBorder="1"/>
    <xf numFmtId="166" fontId="21" fillId="0" borderId="0" xfId="0" applyNumberFormat="1" applyFont="1"/>
    <xf numFmtId="43" fontId="26" fillId="0" borderId="81" xfId="1" applyFont="1" applyFill="1" applyBorder="1"/>
    <xf numFmtId="203" fontId="21" fillId="0" borderId="0" xfId="1" applyNumberFormat="1" applyFont="1"/>
    <xf numFmtId="0" fontId="26" fillId="0" borderId="0" xfId="1331" applyFont="1"/>
    <xf numFmtId="3" fontId="211" fillId="0" borderId="76" xfId="0" applyNumberFormat="1" applyFont="1" applyBorder="1"/>
    <xf numFmtId="320" fontId="26" fillId="0" borderId="0" xfId="1331" applyNumberFormat="1" applyFont="1"/>
    <xf numFmtId="17" fontId="26" fillId="0" borderId="0" xfId="0" applyNumberFormat="1" applyFont="1"/>
    <xf numFmtId="15" fontId="26" fillId="0" borderId="0" xfId="0" applyNumberFormat="1" applyFont="1"/>
    <xf numFmtId="320" fontId="26" fillId="0" borderId="0" xfId="1331" applyNumberFormat="1" applyFont="1" applyAlignment="1">
      <alignment horizontal="right"/>
    </xf>
    <xf numFmtId="3" fontId="226" fillId="29" borderId="0" xfId="0" applyNumberFormat="1" applyFont="1" applyFill="1"/>
    <xf numFmtId="3" fontId="226" fillId="29" borderId="81" xfId="0" applyNumberFormat="1" applyFont="1" applyFill="1" applyBorder="1"/>
    <xf numFmtId="204" fontId="242" fillId="0" borderId="0" xfId="0" applyNumberFormat="1" applyFont="1"/>
    <xf numFmtId="9" fontId="71" fillId="29" borderId="0" xfId="0" applyNumberFormat="1" applyFont="1" applyFill="1"/>
    <xf numFmtId="5" fontId="27" fillId="0" borderId="0" xfId="0" applyNumberFormat="1" applyFont="1"/>
    <xf numFmtId="5" fontId="27" fillId="0" borderId="81" xfId="0" applyNumberFormat="1" applyFont="1" applyBorder="1"/>
    <xf numFmtId="8" fontId="26" fillId="29" borderId="0" xfId="0" applyNumberFormat="1" applyFont="1" applyFill="1"/>
    <xf numFmtId="193" fontId="226" fillId="29" borderId="81" xfId="1" applyNumberFormat="1" applyFont="1" applyFill="1" applyBorder="1"/>
    <xf numFmtId="193" fontId="226" fillId="29" borderId="0" xfId="1" applyNumberFormat="1" applyFont="1" applyFill="1" applyBorder="1"/>
    <xf numFmtId="166" fontId="26" fillId="29" borderId="0" xfId="2" applyNumberFormat="1" applyFont="1" applyFill="1" applyBorder="1"/>
    <xf numFmtId="0" fontId="21" fillId="0" borderId="81" xfId="0" applyFont="1" applyBorder="1"/>
    <xf numFmtId="15" fontId="21" fillId="0" borderId="0" xfId="0" applyNumberFormat="1" applyFont="1"/>
    <xf numFmtId="15" fontId="21" fillId="0" borderId="81" xfId="0" applyNumberFormat="1" applyFont="1" applyBorder="1"/>
    <xf numFmtId="193" fontId="221" fillId="0" borderId="81" xfId="1" applyNumberFormat="1" applyFont="1" applyBorder="1"/>
    <xf numFmtId="193" fontId="21" fillId="0" borderId="81" xfId="1" applyNumberFormat="1" applyFont="1" applyBorder="1"/>
    <xf numFmtId="203" fontId="211" fillId="29" borderId="81" xfId="66" applyNumberFormat="1" applyFont="1" applyFill="1" applyBorder="1" applyAlignment="1">
      <alignment horizontal="left"/>
    </xf>
    <xf numFmtId="0" fontId="25" fillId="0" borderId="0" xfId="0" applyFont="1"/>
    <xf numFmtId="9" fontId="26" fillId="0" borderId="0" xfId="2" applyFont="1" applyBorder="1"/>
    <xf numFmtId="193" fontId="26" fillId="0" borderId="0" xfId="2" applyNumberFormat="1" applyFont="1" applyFill="1" applyBorder="1"/>
    <xf numFmtId="166" fontId="71" fillId="0" borderId="0" xfId="2" applyNumberFormat="1" applyFont="1" applyFill="1" applyBorder="1" applyAlignment="1">
      <alignment horizontal="left"/>
    </xf>
    <xf numFmtId="166" fontId="221" fillId="0" borderId="8" xfId="0" applyNumberFormat="1" applyFont="1" applyBorder="1"/>
    <xf numFmtId="193" fontId="221" fillId="0" borderId="8" xfId="1" applyNumberFormat="1" applyFont="1" applyBorder="1"/>
    <xf numFmtId="9" fontId="211" fillId="0" borderId="0" xfId="2" applyFont="1" applyBorder="1"/>
    <xf numFmtId="166" fontId="211" fillId="0" borderId="0" xfId="2" applyNumberFormat="1" applyFont="1" applyBorder="1"/>
    <xf numFmtId="9" fontId="26" fillId="0" borderId="0" xfId="2" applyFont="1" applyFill="1" applyBorder="1"/>
    <xf numFmtId="193" fontId="211" fillId="0" borderId="81" xfId="1" applyNumberFormat="1" applyFont="1" applyBorder="1"/>
    <xf numFmtId="0" fontId="0" fillId="29" borderId="0" xfId="0" applyFill="1"/>
    <xf numFmtId="166" fontId="21" fillId="0" borderId="81" xfId="2" applyNumberFormat="1" applyFont="1" applyBorder="1"/>
    <xf numFmtId="0" fontId="223" fillId="0" borderId="0" xfId="0" quotePrefix="1" applyFont="1"/>
    <xf numFmtId="5" fontId="26" fillId="0" borderId="0" xfId="0" applyNumberFormat="1" applyFont="1"/>
    <xf numFmtId="5" fontId="26" fillId="0" borderId="81" xfId="0" applyNumberFormat="1" applyFont="1" applyBorder="1"/>
    <xf numFmtId="5" fontId="26" fillId="0" borderId="17" xfId="0" applyNumberFormat="1" applyFont="1" applyBorder="1"/>
    <xf numFmtId="166" fontId="21" fillId="0" borderId="0" xfId="2" applyNumberFormat="1" applyFont="1" applyBorder="1"/>
    <xf numFmtId="166" fontId="226" fillId="0" borderId="81" xfId="0" applyNumberFormat="1" applyFont="1" applyBorder="1"/>
    <xf numFmtId="166" fontId="226" fillId="0" borderId="0" xfId="2" applyNumberFormat="1" applyFont="1" applyBorder="1"/>
    <xf numFmtId="166" fontId="226" fillId="0" borderId="81" xfId="2" applyNumberFormat="1" applyFont="1" applyBorder="1"/>
    <xf numFmtId="9" fontId="21" fillId="0" borderId="0" xfId="2" applyFont="1" applyBorder="1"/>
    <xf numFmtId="9" fontId="21" fillId="0" borderId="81" xfId="2" applyFont="1" applyBorder="1"/>
    <xf numFmtId="9" fontId="226" fillId="0" borderId="0" xfId="2" applyFont="1" applyBorder="1"/>
    <xf numFmtId="166" fontId="21" fillId="29" borderId="0" xfId="1216" applyNumberFormat="1" applyFont="1" applyFill="1" applyBorder="1"/>
    <xf numFmtId="3" fontId="211" fillId="30" borderId="0" xfId="0" applyNumberFormat="1" applyFont="1" applyFill="1"/>
    <xf numFmtId="193" fontId="211" fillId="29" borderId="0" xfId="1" applyNumberFormat="1" applyFont="1" applyFill="1" applyBorder="1"/>
    <xf numFmtId="3" fontId="211" fillId="30" borderId="81" xfId="0" applyNumberFormat="1" applyFont="1" applyFill="1" applyBorder="1"/>
    <xf numFmtId="3" fontId="26" fillId="29" borderId="0" xfId="1244" applyNumberFormat="1" applyFont="1" applyFill="1" applyBorder="1"/>
    <xf numFmtId="167" fontId="27" fillId="29" borderId="0" xfId="0" applyNumberFormat="1" applyFont="1" applyFill="1"/>
    <xf numFmtId="167" fontId="26" fillId="29" borderId="0" xfId="0" applyNumberFormat="1" applyFont="1" applyFill="1"/>
    <xf numFmtId="193" fontId="21" fillId="29" borderId="81" xfId="1" applyNumberFormat="1" applyFont="1" applyFill="1" applyBorder="1"/>
    <xf numFmtId="193" fontId="21" fillId="29" borderId="0" xfId="1" applyNumberFormat="1" applyFont="1" applyFill="1" applyBorder="1"/>
    <xf numFmtId="193" fontId="21" fillId="29" borderId="0" xfId="1" applyNumberFormat="1" applyFont="1" applyFill="1" applyBorder="1" applyAlignment="1">
      <alignment horizontal="right"/>
    </xf>
    <xf numFmtId="193" fontId="226" fillId="29" borderId="0" xfId="1" applyNumberFormat="1" applyFont="1" applyFill="1" applyBorder="1" applyAlignment="1">
      <alignment horizontal="right"/>
    </xf>
    <xf numFmtId="193" fontId="26" fillId="0" borderId="81" xfId="0" applyNumberFormat="1" applyFont="1" applyBorder="1"/>
    <xf numFmtId="3" fontId="223" fillId="0" borderId="81" xfId="0" quotePrefix="1" applyNumberFormat="1" applyFont="1" applyBorder="1" applyAlignment="1">
      <alignment horizontal="right"/>
    </xf>
    <xf numFmtId="203" fontId="0" fillId="29" borderId="0" xfId="1" applyNumberFormat="1" applyFont="1" applyFill="1"/>
    <xf numFmtId="166" fontId="221" fillId="29" borderId="0" xfId="0" applyNumberFormat="1" applyFont="1" applyFill="1"/>
    <xf numFmtId="5" fontId="26" fillId="29" borderId="0" xfId="0" applyNumberFormat="1" applyFont="1" applyFill="1"/>
    <xf numFmtId="37" fontId="26" fillId="29" borderId="0" xfId="0" applyNumberFormat="1" applyFont="1" applyFill="1"/>
    <xf numFmtId="7" fontId="26" fillId="29" borderId="0" xfId="0" applyNumberFormat="1" applyFont="1" applyFill="1"/>
    <xf numFmtId="166" fontId="26" fillId="0" borderId="0" xfId="2" applyNumberFormat="1" applyFont="1" applyFill="1" applyBorder="1"/>
    <xf numFmtId="3" fontId="211" fillId="0" borderId="82" xfId="0" applyNumberFormat="1" applyFont="1" applyBorder="1"/>
    <xf numFmtId="3" fontId="71" fillId="29" borderId="0" xfId="0" applyNumberFormat="1" applyFont="1" applyFill="1"/>
    <xf numFmtId="193" fontId="26" fillId="0" borderId="94" xfId="1" applyNumberFormat="1" applyFont="1" applyBorder="1"/>
    <xf numFmtId="193" fontId="221" fillId="0" borderId="0" xfId="1" applyNumberFormat="1" applyFont="1" applyBorder="1"/>
    <xf numFmtId="193" fontId="221" fillId="0" borderId="0" xfId="1" applyNumberFormat="1" applyFont="1" applyBorder="1" applyAlignment="1">
      <alignment horizontal="left" indent="1"/>
    </xf>
    <xf numFmtId="193" fontId="22" fillId="0" borderId="0" xfId="1" applyNumberFormat="1" applyFont="1" applyBorder="1"/>
    <xf numFmtId="193" fontId="22" fillId="0" borderId="81" xfId="1" applyNumberFormat="1" applyFont="1" applyBorder="1"/>
    <xf numFmtId="3" fontId="21" fillId="0" borderId="92" xfId="0" applyNumberFormat="1" applyFont="1" applyBorder="1"/>
    <xf numFmtId="3" fontId="211" fillId="0" borderId="92" xfId="0" applyNumberFormat="1" applyFont="1" applyBorder="1"/>
    <xf numFmtId="3" fontId="21" fillId="0" borderId="91" xfId="0" applyNumberFormat="1" applyFont="1" applyBorder="1"/>
    <xf numFmtId="3" fontId="223" fillId="0" borderId="92" xfId="0" applyNumberFormat="1" applyFont="1" applyBorder="1"/>
    <xf numFmtId="193" fontId="22" fillId="0" borderId="92" xfId="1" applyNumberFormat="1" applyFont="1" applyBorder="1"/>
    <xf numFmtId="0" fontId="24" fillId="0" borderId="88" xfId="0" applyFont="1" applyBorder="1"/>
    <xf numFmtId="0" fontId="26" fillId="0" borderId="88" xfId="0" applyFont="1" applyBorder="1"/>
    <xf numFmtId="0" fontId="18" fillId="0" borderId="0" xfId="0" applyFont="1"/>
    <xf numFmtId="37" fontId="26" fillId="0" borderId="0" xfId="0" applyNumberFormat="1" applyFont="1"/>
    <xf numFmtId="5" fontId="27" fillId="29" borderId="0" xfId="0" applyNumberFormat="1" applyFont="1" applyFill="1"/>
    <xf numFmtId="3" fontId="71" fillId="29" borderId="81" xfId="0" applyNumberFormat="1" applyFont="1" applyFill="1" applyBorder="1"/>
    <xf numFmtId="37" fontId="21" fillId="0" borderId="81" xfId="0" applyNumberFormat="1" applyFont="1" applyBorder="1"/>
    <xf numFmtId="193" fontId="71" fillId="0" borderId="0" xfId="1" applyNumberFormat="1" applyFont="1" applyFill="1" applyBorder="1"/>
    <xf numFmtId="193" fontId="71" fillId="29" borderId="0" xfId="1" applyNumberFormat="1" applyFont="1" applyFill="1" applyBorder="1"/>
    <xf numFmtId="193" fontId="71" fillId="0" borderId="81" xfId="1" applyNumberFormat="1" applyFont="1" applyFill="1" applyBorder="1"/>
    <xf numFmtId="193" fontId="71" fillId="0" borderId="0" xfId="1" applyNumberFormat="1" applyFont="1" applyBorder="1"/>
    <xf numFmtId="193" fontId="221" fillId="0" borderId="0" xfId="0" applyNumberFormat="1" applyFont="1"/>
    <xf numFmtId="193" fontId="71" fillId="0" borderId="81" xfId="1" applyNumberFormat="1" applyFont="1" applyBorder="1"/>
    <xf numFmtId="43" fontId="26" fillId="0" borderId="67" xfId="1" applyFont="1" applyBorder="1"/>
    <xf numFmtId="43" fontId="26" fillId="0" borderId="17" xfId="1" applyFont="1" applyBorder="1"/>
    <xf numFmtId="3" fontId="0" fillId="29" borderId="0" xfId="0" applyNumberFormat="1" applyFill="1"/>
    <xf numFmtId="193" fontId="26" fillId="29" borderId="0" xfId="1" applyNumberFormat="1" applyFont="1" applyFill="1" applyBorder="1"/>
    <xf numFmtId="3" fontId="26" fillId="0" borderId="0" xfId="0" quotePrefix="1" applyNumberFormat="1" applyFont="1"/>
    <xf numFmtId="43" fontId="21" fillId="19" borderId="81" xfId="0" applyNumberFormat="1" applyFont="1" applyFill="1" applyBorder="1" applyAlignment="1">
      <alignment horizontal="right"/>
    </xf>
    <xf numFmtId="193" fontId="21" fillId="29" borderId="82" xfId="1" applyNumberFormat="1" applyFont="1" applyFill="1" applyBorder="1"/>
    <xf numFmtId="193" fontId="21" fillId="29" borderId="89" xfId="1" applyNumberFormat="1" applyFont="1" applyFill="1" applyBorder="1"/>
    <xf numFmtId="166" fontId="26" fillId="29" borderId="0" xfId="0" applyNumberFormat="1" applyFont="1" applyFill="1" applyAlignment="1">
      <alignment horizontal="right"/>
    </xf>
    <xf numFmtId="203" fontId="21" fillId="0" borderId="0" xfId="0" applyNumberFormat="1" applyFont="1"/>
    <xf numFmtId="203" fontId="26" fillId="0" borderId="81" xfId="0" applyNumberFormat="1" applyFont="1" applyBorder="1"/>
    <xf numFmtId="203" fontId="21" fillId="0" borderId="81" xfId="1" applyNumberFormat="1" applyFont="1" applyBorder="1"/>
    <xf numFmtId="9" fontId="21" fillId="29" borderId="81" xfId="0" applyNumberFormat="1" applyFont="1" applyFill="1" applyBorder="1"/>
    <xf numFmtId="203" fontId="21" fillId="29" borderId="0" xfId="1" applyNumberFormat="1" applyFont="1" applyFill="1"/>
    <xf numFmtId="15" fontId="21" fillId="29" borderId="0" xfId="0" applyNumberFormat="1" applyFont="1" applyFill="1"/>
    <xf numFmtId="15" fontId="21" fillId="29" borderId="81" xfId="0" applyNumberFormat="1" applyFont="1" applyFill="1" applyBorder="1"/>
    <xf numFmtId="3" fontId="22" fillId="29" borderId="81" xfId="0" applyNumberFormat="1" applyFont="1" applyFill="1" applyBorder="1"/>
    <xf numFmtId="166" fontId="21" fillId="29" borderId="81" xfId="0" applyNumberFormat="1" applyFont="1" applyFill="1" applyBorder="1"/>
    <xf numFmtId="167" fontId="27" fillId="29" borderId="81" xfId="0" applyNumberFormat="1" applyFont="1" applyFill="1" applyBorder="1"/>
    <xf numFmtId="3" fontId="223" fillId="29" borderId="81" xfId="0" applyNumberFormat="1" applyFont="1" applyFill="1" applyBorder="1"/>
    <xf numFmtId="166" fontId="211" fillId="29" borderId="0" xfId="1216" applyNumberFormat="1" applyFont="1" applyFill="1" applyBorder="1"/>
    <xf numFmtId="1" fontId="210" fillId="29" borderId="0" xfId="1216" applyNumberFormat="1" applyFont="1" applyFill="1" applyBorder="1"/>
    <xf numFmtId="167" fontId="26" fillId="29" borderId="81" xfId="0" applyNumberFormat="1" applyFont="1" applyFill="1" applyBorder="1"/>
    <xf numFmtId="5" fontId="27" fillId="29" borderId="17" xfId="0" applyNumberFormat="1" applyFont="1" applyFill="1" applyBorder="1"/>
    <xf numFmtId="5" fontId="26" fillId="29" borderId="81" xfId="0" applyNumberFormat="1" applyFont="1" applyFill="1" applyBorder="1"/>
    <xf numFmtId="9" fontId="71" fillId="29" borderId="81" xfId="0" applyNumberFormat="1" applyFont="1" applyFill="1" applyBorder="1"/>
    <xf numFmtId="203" fontId="211" fillId="29" borderId="0" xfId="66" applyNumberFormat="1" applyFont="1" applyFill="1" applyAlignment="1">
      <alignment horizontal="left"/>
    </xf>
    <xf numFmtId="203" fontId="26" fillId="29" borderId="0" xfId="66" applyNumberFormat="1" applyFont="1" applyFill="1" applyAlignment="1">
      <alignment horizontal="left"/>
    </xf>
    <xf numFmtId="203" fontId="26" fillId="29" borderId="81" xfId="66" applyNumberFormat="1" applyFont="1" applyFill="1" applyBorder="1" applyAlignment="1">
      <alignment horizontal="left"/>
    </xf>
    <xf numFmtId="203" fontId="26" fillId="29" borderId="0" xfId="63" applyNumberFormat="1" applyFont="1" applyFill="1"/>
    <xf numFmtId="203" fontId="26" fillId="29" borderId="81" xfId="63" applyNumberFormat="1" applyFont="1" applyFill="1" applyBorder="1"/>
    <xf numFmtId="5" fontId="27" fillId="29" borderId="81" xfId="0" applyNumberFormat="1" applyFont="1" applyFill="1" applyBorder="1"/>
    <xf numFmtId="193" fontId="215" fillId="29" borderId="0" xfId="0" applyNumberFormat="1" applyFont="1" applyFill="1" applyAlignment="1">
      <alignment horizontal="right"/>
    </xf>
    <xf numFmtId="193" fontId="215" fillId="29" borderId="81" xfId="0" applyNumberFormat="1" applyFont="1" applyFill="1" applyBorder="1" applyAlignment="1">
      <alignment horizontal="right"/>
    </xf>
    <xf numFmtId="43" fontId="215" fillId="29" borderId="0" xfId="0" applyNumberFormat="1" applyFont="1" applyFill="1" applyAlignment="1">
      <alignment horizontal="right"/>
    </xf>
    <xf numFmtId="43" fontId="215" fillId="29" borderId="81" xfId="0" applyNumberFormat="1" applyFont="1" applyFill="1" applyBorder="1" applyAlignment="1">
      <alignment horizontal="right"/>
    </xf>
    <xf numFmtId="43" fontId="215" fillId="29" borderId="76" xfId="0" applyNumberFormat="1" applyFont="1" applyFill="1" applyBorder="1" applyAlignment="1">
      <alignment horizontal="right"/>
    </xf>
    <xf numFmtId="43" fontId="215" fillId="29" borderId="82" xfId="0" applyNumberFormat="1" applyFont="1" applyFill="1" applyBorder="1" applyAlignment="1">
      <alignment horizontal="right"/>
    </xf>
    <xf numFmtId="193" fontId="26" fillId="29" borderId="3" xfId="1" applyNumberFormat="1" applyFont="1" applyFill="1" applyBorder="1"/>
    <xf numFmtId="193" fontId="26" fillId="29" borderId="89" xfId="1" applyNumberFormat="1" applyFont="1" applyFill="1" applyBorder="1"/>
    <xf numFmtId="37" fontId="26" fillId="29" borderId="81" xfId="0" applyNumberFormat="1" applyFont="1" applyFill="1" applyBorder="1"/>
    <xf numFmtId="193" fontId="223" fillId="29" borderId="0" xfId="1" applyNumberFormat="1" applyFont="1" applyFill="1" applyBorder="1"/>
    <xf numFmtId="193" fontId="223" fillId="29" borderId="81" xfId="1" applyNumberFormat="1" applyFont="1" applyFill="1" applyBorder="1"/>
    <xf numFmtId="3" fontId="223" fillId="29" borderId="0" xfId="0" applyNumberFormat="1" applyFont="1" applyFill="1"/>
    <xf numFmtId="3" fontId="21" fillId="29" borderId="0" xfId="1" applyNumberFormat="1" applyFont="1" applyFill="1" applyBorder="1"/>
    <xf numFmtId="3" fontId="21" fillId="29" borderId="81" xfId="1" applyNumberFormat="1" applyFont="1" applyFill="1" applyBorder="1"/>
    <xf numFmtId="193" fontId="71" fillId="29" borderId="81" xfId="1" applyNumberFormat="1" applyFont="1" applyFill="1" applyBorder="1"/>
    <xf numFmtId="9" fontId="26" fillId="0" borderId="0" xfId="2" applyFont="1" applyFill="1"/>
    <xf numFmtId="3" fontId="26" fillId="0" borderId="92" xfId="0" applyNumberFormat="1" applyFont="1" applyBorder="1"/>
    <xf numFmtId="166" fontId="26" fillId="0" borderId="92" xfId="0" applyNumberFormat="1" applyFont="1" applyBorder="1"/>
    <xf numFmtId="193" fontId="226" fillId="0" borderId="92" xfId="1" applyNumberFormat="1" applyFont="1" applyBorder="1"/>
    <xf numFmtId="193" fontId="26" fillId="0" borderId="92" xfId="1" applyNumberFormat="1" applyFont="1" applyBorder="1"/>
    <xf numFmtId="0" fontId="26" fillId="0" borderId="92" xfId="0" applyFont="1" applyBorder="1"/>
    <xf numFmtId="203" fontId="223" fillId="0" borderId="0" xfId="63" applyNumberFormat="1" applyFont="1"/>
    <xf numFmtId="203" fontId="223" fillId="0" borderId="81" xfId="63" applyNumberFormat="1" applyFont="1" applyBorder="1"/>
    <xf numFmtId="203" fontId="223" fillId="29" borderId="0" xfId="63" applyNumberFormat="1" applyFont="1" applyFill="1"/>
    <xf numFmtId="203" fontId="223" fillId="29" borderId="81" xfId="63" applyNumberFormat="1" applyFont="1" applyFill="1" applyBorder="1"/>
    <xf numFmtId="5" fontId="223" fillId="0" borderId="0" xfId="0" applyNumberFormat="1" applyFont="1"/>
    <xf numFmtId="5" fontId="223" fillId="0" borderId="81" xfId="0" applyNumberFormat="1" applyFont="1" applyBorder="1"/>
    <xf numFmtId="5" fontId="223" fillId="29" borderId="0" xfId="0" applyNumberFormat="1" applyFont="1" applyFill="1"/>
    <xf numFmtId="166" fontId="26" fillId="29" borderId="81" xfId="0" applyNumberFormat="1" applyFont="1" applyFill="1" applyBorder="1" applyAlignment="1">
      <alignment horizontal="right"/>
    </xf>
    <xf numFmtId="3" fontId="22" fillId="0" borderId="88" xfId="0" applyNumberFormat="1" applyFont="1" applyBorder="1"/>
    <xf numFmtId="193" fontId="211" fillId="29" borderId="81" xfId="1" applyNumberFormat="1" applyFont="1" applyFill="1" applyBorder="1"/>
    <xf numFmtId="3" fontId="220" fillId="29" borderId="81" xfId="0" applyNumberFormat="1" applyFont="1" applyFill="1" applyBorder="1"/>
    <xf numFmtId="3" fontId="211" fillId="29" borderId="81" xfId="1" applyNumberFormat="1" applyFont="1" applyFill="1" applyBorder="1"/>
    <xf numFmtId="3" fontId="26" fillId="29" borderId="81" xfId="1244" applyNumberFormat="1" applyFont="1" applyFill="1" applyBorder="1"/>
    <xf numFmtId="193" fontId="26" fillId="0" borderId="89" xfId="1" applyNumberFormat="1" applyFont="1" applyFill="1" applyBorder="1"/>
    <xf numFmtId="166" fontId="26" fillId="0" borderId="81" xfId="2" applyNumberFormat="1" applyFont="1" applyFill="1" applyBorder="1"/>
    <xf numFmtId="193" fontId="27" fillId="29" borderId="81" xfId="1" applyNumberFormat="1" applyFont="1" applyFill="1" applyBorder="1"/>
    <xf numFmtId="3" fontId="22" fillId="0" borderId="90" xfId="0" applyNumberFormat="1" applyFont="1" applyBorder="1"/>
    <xf numFmtId="167" fontId="27" fillId="0" borderId="92" xfId="0" applyNumberFormat="1" applyFont="1" applyBorder="1"/>
    <xf numFmtId="3" fontId="27" fillId="0" borderId="92" xfId="0" applyNumberFormat="1" applyFont="1" applyBorder="1"/>
    <xf numFmtId="193" fontId="211" fillId="29" borderId="92" xfId="1" applyNumberFormat="1" applyFont="1" applyFill="1" applyBorder="1"/>
    <xf numFmtId="193" fontId="21" fillId="29" borderId="92" xfId="1" applyNumberFormat="1" applyFont="1" applyFill="1" applyBorder="1"/>
    <xf numFmtId="3" fontId="211" fillId="29" borderId="92" xfId="1" applyNumberFormat="1" applyFont="1" applyFill="1" applyBorder="1"/>
    <xf numFmtId="3" fontId="211" fillId="29" borderId="92" xfId="0" applyNumberFormat="1" applyFont="1" applyFill="1" applyBorder="1"/>
    <xf numFmtId="3" fontId="21" fillId="29" borderId="92" xfId="0" applyNumberFormat="1" applyFont="1" applyFill="1" applyBorder="1"/>
    <xf numFmtId="3" fontId="26" fillId="29" borderId="92" xfId="0" applyNumberFormat="1" applyFont="1" applyFill="1" applyBorder="1"/>
    <xf numFmtId="3" fontId="22" fillId="29" borderId="92" xfId="0" applyNumberFormat="1" applyFont="1" applyFill="1" applyBorder="1"/>
    <xf numFmtId="3" fontId="26" fillId="29" borderId="92" xfId="1244" applyNumberFormat="1" applyFont="1" applyFill="1" applyBorder="1"/>
    <xf numFmtId="166" fontId="21" fillId="29" borderId="92" xfId="0" applyNumberFormat="1" applyFont="1" applyFill="1" applyBorder="1"/>
    <xf numFmtId="193" fontId="71" fillId="0" borderId="92" xfId="1" applyNumberFormat="1" applyFont="1" applyBorder="1"/>
    <xf numFmtId="193" fontId="26" fillId="29" borderId="92" xfId="1" applyNumberFormat="1" applyFont="1" applyFill="1" applyBorder="1"/>
    <xf numFmtId="3" fontId="71" fillId="29" borderId="92" xfId="0" applyNumberFormat="1" applyFont="1" applyFill="1" applyBorder="1"/>
    <xf numFmtId="0" fontId="26" fillId="29" borderId="92" xfId="0" applyFont="1" applyFill="1" applyBorder="1"/>
    <xf numFmtId="193" fontId="215" fillId="29" borderId="92" xfId="0" applyNumberFormat="1" applyFont="1" applyFill="1" applyBorder="1" applyAlignment="1">
      <alignment horizontal="right"/>
    </xf>
    <xf numFmtId="43" fontId="215" fillId="29" borderId="92" xfId="0" applyNumberFormat="1" applyFont="1" applyFill="1" applyBorder="1" applyAlignment="1">
      <alignment horizontal="right"/>
    </xf>
    <xf numFmtId="43" fontId="215" fillId="29" borderId="91" xfId="0" applyNumberFormat="1" applyFont="1" applyFill="1" applyBorder="1" applyAlignment="1">
      <alignment horizontal="right"/>
    </xf>
    <xf numFmtId="167" fontId="26" fillId="29" borderId="92" xfId="0" applyNumberFormat="1" applyFont="1" applyFill="1" applyBorder="1"/>
    <xf numFmtId="193" fontId="26" fillId="0" borderId="91" xfId="1" applyNumberFormat="1" applyFont="1" applyBorder="1"/>
    <xf numFmtId="193" fontId="26" fillId="0" borderId="96" xfId="1" applyNumberFormat="1" applyFont="1" applyFill="1" applyBorder="1"/>
    <xf numFmtId="166" fontId="26" fillId="0" borderId="92" xfId="2" applyNumberFormat="1" applyFont="1" applyFill="1" applyBorder="1"/>
    <xf numFmtId="43" fontId="26" fillId="29" borderId="0" xfId="1" applyFont="1" applyFill="1" applyBorder="1"/>
    <xf numFmtId="0" fontId="246" fillId="0" borderId="0" xfId="1497" applyFont="1" applyAlignment="1" applyProtection="1"/>
    <xf numFmtId="9" fontId="211" fillId="29" borderId="0" xfId="0" applyNumberFormat="1" applyFont="1" applyFill="1"/>
    <xf numFmtId="9" fontId="21" fillId="29" borderId="0" xfId="2" applyFont="1" applyFill="1" applyBorder="1"/>
    <xf numFmtId="193" fontId="27" fillId="29" borderId="0" xfId="1" applyNumberFormat="1" applyFont="1" applyFill="1" applyBorder="1"/>
    <xf numFmtId="3" fontId="22" fillId="0" borderId="17" xfId="0" applyNumberFormat="1" applyFont="1" applyBorder="1"/>
    <xf numFmtId="193" fontId="26" fillId="0" borderId="94" xfId="1" applyNumberFormat="1" applyFont="1" applyFill="1" applyBorder="1"/>
    <xf numFmtId="193" fontId="21" fillId="0" borderId="0" xfId="1" applyNumberFormat="1" applyFont="1" applyBorder="1" applyAlignment="1">
      <alignment vertical="top"/>
    </xf>
    <xf numFmtId="193" fontId="21" fillId="0" borderId="81" xfId="1" applyNumberFormat="1" applyFont="1" applyBorder="1" applyAlignment="1">
      <alignment vertical="top"/>
    </xf>
    <xf numFmtId="193" fontId="21" fillId="0" borderId="0" xfId="1" applyNumberFormat="1" applyFont="1" applyFill="1" applyBorder="1" applyAlignment="1">
      <alignment horizontal="right" vertical="top"/>
    </xf>
    <xf numFmtId="9" fontId="226" fillId="0" borderId="0" xfId="2" applyFont="1" applyFill="1" applyBorder="1"/>
    <xf numFmtId="9" fontId="21" fillId="0" borderId="0" xfId="2" applyFont="1" applyFill="1" applyBorder="1"/>
    <xf numFmtId="9" fontId="21" fillId="0" borderId="0" xfId="2" applyFont="1" applyBorder="1" applyAlignment="1">
      <alignment vertical="top"/>
    </xf>
    <xf numFmtId="9" fontId="21" fillId="0" borderId="81" xfId="2" applyFont="1" applyBorder="1" applyAlignment="1">
      <alignment vertical="top"/>
    </xf>
    <xf numFmtId="9" fontId="26" fillId="0" borderId="93" xfId="0" applyNumberFormat="1" applyFont="1" applyBorder="1"/>
    <xf numFmtId="0" fontId="26" fillId="0" borderId="93" xfId="0" applyFont="1" applyBorder="1"/>
    <xf numFmtId="9" fontId="27" fillId="0" borderId="0" xfId="2" applyFont="1" applyFill="1"/>
    <xf numFmtId="9" fontId="27" fillId="0" borderId="0" xfId="2" applyFont="1" applyFill="1" applyBorder="1"/>
    <xf numFmtId="9" fontId="22" fillId="0" borderId="0" xfId="2" applyFont="1" applyBorder="1" applyAlignment="1">
      <alignment vertical="top"/>
    </xf>
    <xf numFmtId="9" fontId="22" fillId="0" borderId="81" xfId="2" applyFont="1" applyBorder="1" applyAlignment="1">
      <alignment vertical="top"/>
    </xf>
    <xf numFmtId="9" fontId="22" fillId="0" borderId="0" xfId="2" applyFont="1" applyBorder="1"/>
    <xf numFmtId="9" fontId="22" fillId="0" borderId="81" xfId="2" applyFont="1" applyBorder="1"/>
    <xf numFmtId="9" fontId="22" fillId="29" borderId="0" xfId="2" applyFont="1" applyFill="1" applyBorder="1"/>
    <xf numFmtId="9" fontId="22" fillId="29" borderId="81" xfId="2" applyFont="1" applyFill="1" applyBorder="1"/>
    <xf numFmtId="9" fontId="22" fillId="0" borderId="0" xfId="2" applyFont="1" applyFill="1" applyBorder="1"/>
    <xf numFmtId="0" fontId="21" fillId="0" borderId="17" xfId="0" applyFont="1" applyBorder="1"/>
    <xf numFmtId="322" fontId="26" fillId="0" borderId="0" xfId="0" applyNumberFormat="1" applyFont="1"/>
    <xf numFmtId="43" fontId="26" fillId="0" borderId="0" xfId="1" applyFont="1" applyFill="1"/>
    <xf numFmtId="166" fontId="219" fillId="0" borderId="81" xfId="0" applyNumberFormat="1" applyFont="1" applyBorder="1"/>
    <xf numFmtId="193" fontId="223" fillId="29" borderId="0" xfId="1" applyNumberFormat="1" applyFont="1" applyFill="1"/>
    <xf numFmtId="166" fontId="258" fillId="0" borderId="0" xfId="2" applyNumberFormat="1" applyFont="1" applyFill="1" applyBorder="1"/>
    <xf numFmtId="166" fontId="229" fillId="0" borderId="0" xfId="2" applyNumberFormat="1" applyFont="1" applyFill="1" applyBorder="1"/>
    <xf numFmtId="5" fontId="220" fillId="0" borderId="0" xfId="0" applyNumberFormat="1" applyFont="1"/>
    <xf numFmtId="5" fontId="220" fillId="29" borderId="0" xfId="0" applyNumberFormat="1" applyFont="1" applyFill="1"/>
    <xf numFmtId="5" fontId="220" fillId="0" borderId="81" xfId="0" applyNumberFormat="1" applyFont="1" applyBorder="1"/>
    <xf numFmtId="3" fontId="219" fillId="29" borderId="0" xfId="0" applyNumberFormat="1" applyFont="1" applyFill="1"/>
    <xf numFmtId="203" fontId="211" fillId="0" borderId="81" xfId="63" applyNumberFormat="1" applyFont="1" applyBorder="1"/>
    <xf numFmtId="0" fontId="211" fillId="0" borderId="82" xfId="0" applyFont="1" applyBorder="1"/>
    <xf numFmtId="166" fontId="223" fillId="29" borderId="81" xfId="0" applyNumberFormat="1" applyFont="1" applyFill="1" applyBorder="1" applyAlignment="1">
      <alignment horizontal="right"/>
    </xf>
    <xf numFmtId="166" fontId="223" fillId="29" borderId="0" xfId="0" applyNumberFormat="1" applyFont="1" applyFill="1" applyAlignment="1">
      <alignment horizontal="right"/>
    </xf>
    <xf numFmtId="9" fontId="26" fillId="29" borderId="76" xfId="2" applyFont="1" applyFill="1" applyBorder="1"/>
    <xf numFmtId="166" fontId="26" fillId="29" borderId="76" xfId="2" applyNumberFormat="1" applyFont="1" applyFill="1" applyBorder="1"/>
    <xf numFmtId="193" fontId="26" fillId="29" borderId="82" xfId="0" applyNumberFormat="1" applyFont="1" applyFill="1" applyBorder="1"/>
    <xf numFmtId="0" fontId="226" fillId="0" borderId="81" xfId="0" applyFont="1" applyBorder="1"/>
    <xf numFmtId="3" fontId="226" fillId="0" borderId="92" xfId="0" applyNumberFormat="1" applyFont="1" applyBorder="1"/>
    <xf numFmtId="0" fontId="226" fillId="0" borderId="0" xfId="0" applyFont="1" applyAlignment="1">
      <alignment horizontal="left" indent="1"/>
    </xf>
    <xf numFmtId="193" fontId="26" fillId="29" borderId="0" xfId="0" applyNumberFormat="1" applyFont="1" applyFill="1"/>
    <xf numFmtId="203" fontId="26" fillId="29" borderId="81" xfId="63" quotePrefix="1" applyNumberFormat="1" applyFont="1" applyFill="1" applyBorder="1"/>
    <xf numFmtId="0" fontId="260" fillId="35" borderId="0" xfId="0" applyFont="1" applyFill="1" applyAlignment="1" applyProtection="1">
      <alignment horizontal="left"/>
      <protection locked="0"/>
    </xf>
    <xf numFmtId="0" fontId="260" fillId="35" borderId="0" xfId="0" applyFont="1" applyFill="1" applyAlignment="1">
      <alignment horizontal="left"/>
    </xf>
    <xf numFmtId="49" fontId="257" fillId="33" borderId="0" xfId="0" applyNumberFormat="1" applyFont="1" applyFill="1" applyProtection="1">
      <protection locked="0"/>
    </xf>
    <xf numFmtId="9" fontId="257" fillId="34" borderId="0" xfId="0" applyNumberFormat="1" applyFont="1" applyFill="1" applyProtection="1">
      <protection locked="0"/>
    </xf>
    <xf numFmtId="0" fontId="22" fillId="41" borderId="17" xfId="0" applyFont="1" applyFill="1" applyBorder="1" applyAlignment="1">
      <alignment horizontal="right"/>
    </xf>
    <xf numFmtId="0" fontId="22" fillId="41" borderId="83" xfId="0" applyFont="1" applyFill="1" applyBorder="1" applyAlignment="1">
      <alignment horizontal="right"/>
    </xf>
    <xf numFmtId="0" fontId="22" fillId="41" borderId="80" xfId="0" applyFont="1" applyFill="1" applyBorder="1" applyAlignment="1">
      <alignment horizontal="right"/>
    </xf>
    <xf numFmtId="0" fontId="220" fillId="41" borderId="17" xfId="0" applyFont="1" applyFill="1" applyBorder="1" applyAlignment="1">
      <alignment horizontal="right"/>
    </xf>
    <xf numFmtId="0" fontId="22" fillId="41" borderId="87" xfId="0" applyFont="1" applyFill="1" applyBorder="1" applyAlignment="1">
      <alignment horizontal="right"/>
    </xf>
    <xf numFmtId="0" fontId="22" fillId="41" borderId="0" xfId="0" applyFont="1" applyFill="1" applyAlignment="1">
      <alignment horizontal="left"/>
    </xf>
    <xf numFmtId="17" fontId="22" fillId="41" borderId="0" xfId="0" applyNumberFormat="1" applyFont="1" applyFill="1" applyAlignment="1">
      <alignment horizontal="right"/>
    </xf>
    <xf numFmtId="17" fontId="22" fillId="41" borderId="81" xfId="0" applyNumberFormat="1" applyFont="1" applyFill="1" applyBorder="1" applyAlignment="1">
      <alignment horizontal="right"/>
    </xf>
    <xf numFmtId="3" fontId="26" fillId="0" borderId="88" xfId="0" applyNumberFormat="1" applyFont="1" applyBorder="1"/>
    <xf numFmtId="3" fontId="26" fillId="29" borderId="88" xfId="0" applyNumberFormat="1" applyFont="1" applyFill="1" applyBorder="1"/>
    <xf numFmtId="3" fontId="26" fillId="29" borderId="17" xfId="0" applyNumberFormat="1" applyFont="1" applyFill="1" applyBorder="1"/>
    <xf numFmtId="3" fontId="21" fillId="0" borderId="17" xfId="0" applyNumberFormat="1" applyFont="1" applyBorder="1"/>
    <xf numFmtId="166" fontId="71" fillId="0" borderId="0" xfId="1216" applyNumberFormat="1" applyFont="1" applyFill="1" applyBorder="1"/>
    <xf numFmtId="166" fontId="71" fillId="0" borderId="81" xfId="1216" applyNumberFormat="1" applyFont="1" applyFill="1" applyBorder="1"/>
    <xf numFmtId="166" fontId="71" fillId="0" borderId="92" xfId="1216" applyNumberFormat="1" applyFont="1" applyFill="1" applyBorder="1"/>
    <xf numFmtId="3" fontId="211" fillId="0" borderId="17" xfId="0" applyNumberFormat="1" applyFont="1" applyBorder="1"/>
    <xf numFmtId="3" fontId="211" fillId="0" borderId="83" xfId="0" applyNumberFormat="1" applyFont="1" applyBorder="1"/>
    <xf numFmtId="3" fontId="211" fillId="0" borderId="88" xfId="0" applyNumberFormat="1" applyFont="1" applyBorder="1"/>
    <xf numFmtId="3" fontId="21" fillId="0" borderId="76" xfId="1" applyNumberFormat="1" applyFont="1" applyFill="1" applyBorder="1"/>
    <xf numFmtId="3" fontId="211" fillId="0" borderId="85" xfId="0" applyNumberFormat="1" applyFont="1" applyBorder="1"/>
    <xf numFmtId="0" fontId="71" fillId="37" borderId="0" xfId="0" applyFont="1" applyFill="1"/>
    <xf numFmtId="3" fontId="221" fillId="37" borderId="0" xfId="0" applyNumberFormat="1" applyFont="1" applyFill="1"/>
    <xf numFmtId="3" fontId="221" fillId="37" borderId="84" xfId="0" applyNumberFormat="1" applyFont="1" applyFill="1" applyBorder="1"/>
    <xf numFmtId="3" fontId="221" fillId="37" borderId="81" xfId="0" applyNumberFormat="1" applyFont="1" applyFill="1" applyBorder="1"/>
    <xf numFmtId="3" fontId="221" fillId="37" borderId="92" xfId="0" applyNumberFormat="1" applyFont="1" applyFill="1" applyBorder="1"/>
    <xf numFmtId="0" fontId="100" fillId="37" borderId="106" xfId="0" applyFont="1" applyFill="1" applyBorder="1"/>
    <xf numFmtId="3" fontId="242" fillId="37" borderId="106" xfId="0" applyNumberFormat="1" applyFont="1" applyFill="1" applyBorder="1"/>
    <xf numFmtId="3" fontId="242" fillId="37" borderId="107" xfId="0" applyNumberFormat="1" applyFont="1" applyFill="1" applyBorder="1"/>
    <xf numFmtId="3" fontId="242" fillId="37" borderId="105" xfId="0" applyNumberFormat="1" applyFont="1" applyFill="1" applyBorder="1"/>
    <xf numFmtId="3" fontId="242" fillId="37" borderId="108" xfId="0" applyNumberFormat="1" applyFont="1" applyFill="1" applyBorder="1"/>
    <xf numFmtId="166" fontId="243" fillId="42" borderId="81" xfId="1216" applyNumberFormat="1" applyFont="1" applyFill="1" applyBorder="1"/>
    <xf numFmtId="166" fontId="243" fillId="42" borderId="0" xfId="1216" applyNumberFormat="1" applyFont="1" applyFill="1" applyBorder="1"/>
    <xf numFmtId="0" fontId="22" fillId="41" borderId="76" xfId="0" applyFont="1" applyFill="1" applyBorder="1" applyAlignment="1">
      <alignment horizontal="left"/>
    </xf>
    <xf numFmtId="17" fontId="22" fillId="41" borderId="76" xfId="0" applyNumberFormat="1" applyFont="1" applyFill="1" applyBorder="1" applyAlignment="1">
      <alignment horizontal="right"/>
    </xf>
    <xf numFmtId="17" fontId="22" fillId="41" borderId="85" xfId="0" applyNumberFormat="1" applyFont="1" applyFill="1" applyBorder="1" applyAlignment="1">
      <alignment horizontal="right"/>
    </xf>
    <xf numFmtId="17" fontId="22" fillId="41" borderId="82" xfId="0" applyNumberFormat="1" applyFont="1" applyFill="1" applyBorder="1" applyAlignment="1">
      <alignment horizontal="right"/>
    </xf>
    <xf numFmtId="0" fontId="21" fillId="41" borderId="17" xfId="0" applyFont="1" applyFill="1" applyBorder="1"/>
    <xf numFmtId="0" fontId="22" fillId="41" borderId="17" xfId="0" applyFont="1" applyFill="1" applyBorder="1" applyAlignment="1">
      <alignment horizontal="centerContinuous"/>
    </xf>
    <xf numFmtId="0" fontId="21" fillId="41" borderId="76" xfId="0" applyFont="1" applyFill="1" applyBorder="1"/>
    <xf numFmtId="0" fontId="22" fillId="41" borderId="76" xfId="0" applyFont="1" applyFill="1" applyBorder="1" applyAlignment="1">
      <alignment horizontal="right"/>
    </xf>
    <xf numFmtId="7" fontId="27" fillId="0" borderId="0" xfId="0" applyNumberFormat="1" applyFont="1"/>
    <xf numFmtId="7" fontId="27" fillId="29" borderId="0" xfId="0" applyNumberFormat="1" applyFont="1" applyFill="1"/>
    <xf numFmtId="7" fontId="26" fillId="0" borderId="0" xfId="0" applyNumberFormat="1" applyFont="1"/>
    <xf numFmtId="37" fontId="21" fillId="37" borderId="0" xfId="0" applyNumberFormat="1" applyFont="1" applyFill="1"/>
    <xf numFmtId="0" fontId="26" fillId="37" borderId="0" xfId="0" applyFont="1" applyFill="1"/>
    <xf numFmtId="0" fontId="26" fillId="37" borderId="84" xfId="0" applyFont="1" applyFill="1" applyBorder="1"/>
    <xf numFmtId="9" fontId="26" fillId="37" borderId="0" xfId="0" applyNumberFormat="1" applyFont="1" applyFill="1"/>
    <xf numFmtId="9" fontId="26" fillId="37" borderId="81" xfId="0" applyNumberFormat="1" applyFont="1" applyFill="1" applyBorder="1"/>
    <xf numFmtId="37" fontId="22" fillId="37" borderId="94" xfId="0" applyNumberFormat="1" applyFont="1" applyFill="1" applyBorder="1"/>
    <xf numFmtId="0" fontId="27" fillId="37" borderId="94" xfId="0" applyFont="1" applyFill="1" applyBorder="1"/>
    <xf numFmtId="0" fontId="27" fillId="37" borderId="101" xfId="0" applyFont="1" applyFill="1" applyBorder="1"/>
    <xf numFmtId="9" fontId="27" fillId="37" borderId="94" xfId="0" applyNumberFormat="1" applyFont="1" applyFill="1" applyBorder="1"/>
    <xf numFmtId="9" fontId="27" fillId="37" borderId="89" xfId="0" applyNumberFormat="1" applyFont="1" applyFill="1" applyBorder="1"/>
    <xf numFmtId="9" fontId="26" fillId="37" borderId="94" xfId="0" applyNumberFormat="1" applyFont="1" applyFill="1" applyBorder="1"/>
    <xf numFmtId="9" fontId="26" fillId="37" borderId="89" xfId="0" applyNumberFormat="1" applyFont="1" applyFill="1" applyBorder="1"/>
    <xf numFmtId="37" fontId="21" fillId="37" borderId="76" xfId="0" applyNumberFormat="1" applyFont="1" applyFill="1" applyBorder="1"/>
    <xf numFmtId="0" fontId="26" fillId="37" borderId="76" xfId="0" applyFont="1" applyFill="1" applyBorder="1"/>
    <xf numFmtId="0" fontId="26" fillId="37" borderId="85" xfId="0" applyFont="1" applyFill="1" applyBorder="1"/>
    <xf numFmtId="9" fontId="26" fillId="37" borderId="76" xfId="0" applyNumberFormat="1" applyFont="1" applyFill="1" applyBorder="1"/>
    <xf numFmtId="9" fontId="26" fillId="37" borderId="82" xfId="0" applyNumberFormat="1" applyFont="1" applyFill="1" applyBorder="1"/>
    <xf numFmtId="37" fontId="22" fillId="37" borderId="0" xfId="0" applyNumberFormat="1" applyFont="1" applyFill="1"/>
    <xf numFmtId="0" fontId="27" fillId="37" borderId="0" xfId="0" applyFont="1" applyFill="1"/>
    <xf numFmtId="0" fontId="27" fillId="37" borderId="84" xfId="0" applyFont="1" applyFill="1" applyBorder="1"/>
    <xf numFmtId="9" fontId="27" fillId="37" borderId="0" xfId="0" applyNumberFormat="1" applyFont="1" applyFill="1"/>
    <xf numFmtId="9" fontId="27" fillId="37" borderId="81" xfId="0" applyNumberFormat="1" applyFont="1" applyFill="1" applyBorder="1"/>
    <xf numFmtId="37" fontId="21" fillId="37" borderId="17" xfId="0" applyNumberFormat="1" applyFont="1" applyFill="1" applyBorder="1"/>
    <xf numFmtId="0" fontId="26" fillId="37" borderId="83" xfId="0" applyFont="1" applyFill="1" applyBorder="1"/>
    <xf numFmtId="9" fontId="26" fillId="37" borderId="17" xfId="0" applyNumberFormat="1" applyFont="1" applyFill="1" applyBorder="1"/>
    <xf numFmtId="9" fontId="26" fillId="37" borderId="88" xfId="0" applyNumberFormat="1" applyFont="1" applyFill="1" applyBorder="1"/>
    <xf numFmtId="313" fontId="21" fillId="37" borderId="0" xfId="0" applyNumberFormat="1" applyFont="1" applyFill="1"/>
    <xf numFmtId="313" fontId="26" fillId="37" borderId="0" xfId="0" applyNumberFormat="1" applyFont="1" applyFill="1"/>
    <xf numFmtId="313" fontId="26" fillId="37" borderId="84" xfId="0" applyNumberFormat="1" applyFont="1" applyFill="1" applyBorder="1"/>
    <xf numFmtId="313" fontId="26" fillId="37" borderId="81" xfId="0" applyNumberFormat="1" applyFont="1" applyFill="1" applyBorder="1"/>
    <xf numFmtId="313" fontId="22" fillId="37" borderId="94" xfId="0" applyNumberFormat="1" applyFont="1" applyFill="1" applyBorder="1"/>
    <xf numFmtId="313" fontId="27" fillId="37" borderId="94" xfId="0" applyNumberFormat="1" applyFont="1" applyFill="1" applyBorder="1"/>
    <xf numFmtId="313" fontId="27" fillId="37" borderId="101" xfId="0" applyNumberFormat="1" applyFont="1" applyFill="1" applyBorder="1"/>
    <xf numFmtId="313" fontId="27" fillId="37" borderId="89" xfId="0" applyNumberFormat="1" applyFont="1" applyFill="1" applyBorder="1"/>
    <xf numFmtId="313" fontId="21" fillId="37" borderId="94" xfId="0" applyNumberFormat="1" applyFont="1" applyFill="1" applyBorder="1"/>
    <xf numFmtId="313" fontId="26" fillId="37" borderId="94" xfId="0" applyNumberFormat="1" applyFont="1" applyFill="1" applyBorder="1"/>
    <xf numFmtId="313" fontId="26" fillId="37" borderId="101" xfId="0" applyNumberFormat="1" applyFont="1" applyFill="1" applyBorder="1"/>
    <xf numFmtId="313" fontId="26" fillId="37" borderId="89" xfId="0" applyNumberFormat="1" applyFont="1" applyFill="1" applyBorder="1"/>
    <xf numFmtId="313" fontId="21" fillId="37" borderId="76" xfId="0" applyNumberFormat="1" applyFont="1" applyFill="1" applyBorder="1"/>
    <xf numFmtId="313" fontId="26" fillId="37" borderId="76" xfId="0" applyNumberFormat="1" applyFont="1" applyFill="1" applyBorder="1"/>
    <xf numFmtId="313" fontId="26" fillId="37" borderId="85" xfId="0" applyNumberFormat="1" applyFont="1" applyFill="1" applyBorder="1"/>
    <xf numFmtId="313" fontId="26" fillId="37" borderId="82" xfId="0" applyNumberFormat="1" applyFont="1" applyFill="1" applyBorder="1"/>
    <xf numFmtId="313" fontId="26" fillId="37" borderId="17" xfId="0" applyNumberFormat="1" applyFont="1" applyFill="1" applyBorder="1"/>
    <xf numFmtId="9" fontId="21" fillId="37" borderId="0" xfId="0" applyNumberFormat="1" applyFont="1" applyFill="1"/>
    <xf numFmtId="9" fontId="26" fillId="37" borderId="84" xfId="0" applyNumberFormat="1" applyFont="1" applyFill="1" applyBorder="1"/>
    <xf numFmtId="9" fontId="27" fillId="37" borderId="101" xfId="0" applyNumberFormat="1" applyFont="1" applyFill="1" applyBorder="1"/>
    <xf numFmtId="9" fontId="26" fillId="37" borderId="101" xfId="0" applyNumberFormat="1" applyFont="1" applyFill="1" applyBorder="1"/>
    <xf numFmtId="9" fontId="26" fillId="37" borderId="85" xfId="0" applyNumberFormat="1" applyFont="1" applyFill="1" applyBorder="1"/>
    <xf numFmtId="9" fontId="220" fillId="0" borderId="0" xfId="0" applyNumberFormat="1" applyFont="1"/>
    <xf numFmtId="9" fontId="27" fillId="37" borderId="84" xfId="0" applyNumberFormat="1" applyFont="1" applyFill="1" applyBorder="1"/>
    <xf numFmtId="9" fontId="26" fillId="37" borderId="83" xfId="0" applyNumberFormat="1" applyFont="1" applyFill="1" applyBorder="1"/>
    <xf numFmtId="9" fontId="22" fillId="37" borderId="94" xfId="0" applyNumberFormat="1" applyFont="1" applyFill="1" applyBorder="1"/>
    <xf numFmtId="9" fontId="21" fillId="37" borderId="94" xfId="0" applyNumberFormat="1" applyFont="1" applyFill="1" applyBorder="1"/>
    <xf numFmtId="9" fontId="21" fillId="37" borderId="76" xfId="0" applyNumberFormat="1" applyFont="1" applyFill="1" applyBorder="1"/>
    <xf numFmtId="9" fontId="22" fillId="37" borderId="0" xfId="0" applyNumberFormat="1" applyFont="1" applyFill="1"/>
    <xf numFmtId="9" fontId="21" fillId="37" borderId="17" xfId="0" applyNumberFormat="1" applyFont="1" applyFill="1" applyBorder="1"/>
    <xf numFmtId="321" fontId="21" fillId="37" borderId="0" xfId="0" applyNumberFormat="1" applyFont="1" applyFill="1"/>
    <xf numFmtId="321" fontId="26" fillId="37" borderId="0" xfId="0" applyNumberFormat="1" applyFont="1" applyFill="1"/>
    <xf numFmtId="321" fontId="26" fillId="37" borderId="84" xfId="0" applyNumberFormat="1" applyFont="1" applyFill="1" applyBorder="1"/>
    <xf numFmtId="321" fontId="26" fillId="37" borderId="81" xfId="0" applyNumberFormat="1" applyFont="1" applyFill="1" applyBorder="1"/>
    <xf numFmtId="321" fontId="22" fillId="37" borderId="0" xfId="0" applyNumberFormat="1" applyFont="1" applyFill="1"/>
    <xf numFmtId="321" fontId="27" fillId="37" borderId="0" xfId="0" applyNumberFormat="1" applyFont="1" applyFill="1"/>
    <xf numFmtId="321" fontId="27" fillId="37" borderId="84" xfId="0" applyNumberFormat="1" applyFont="1" applyFill="1" applyBorder="1"/>
    <xf numFmtId="321" fontId="27" fillId="37" borderId="81" xfId="0" applyNumberFormat="1" applyFont="1" applyFill="1" applyBorder="1"/>
    <xf numFmtId="321" fontId="21" fillId="37" borderId="17" xfId="0" applyNumberFormat="1" applyFont="1" applyFill="1" applyBorder="1"/>
    <xf numFmtId="321" fontId="26" fillId="37" borderId="17" xfId="0" applyNumberFormat="1" applyFont="1" applyFill="1" applyBorder="1"/>
    <xf numFmtId="321" fontId="26" fillId="37" borderId="83" xfId="0" applyNumberFormat="1" applyFont="1" applyFill="1" applyBorder="1"/>
    <xf numFmtId="321" fontId="26" fillId="37" borderId="88" xfId="0" applyNumberFormat="1" applyFont="1" applyFill="1" applyBorder="1"/>
    <xf numFmtId="340" fontId="21" fillId="37" borderId="17" xfId="0" applyNumberFormat="1" applyFont="1" applyFill="1" applyBorder="1"/>
    <xf numFmtId="340" fontId="26" fillId="37" borderId="17" xfId="0" applyNumberFormat="1" applyFont="1" applyFill="1" applyBorder="1"/>
    <xf numFmtId="340" fontId="26" fillId="37" borderId="83" xfId="0" applyNumberFormat="1" applyFont="1" applyFill="1" applyBorder="1"/>
    <xf numFmtId="340" fontId="26" fillId="37" borderId="88" xfId="0" applyNumberFormat="1" applyFont="1" applyFill="1" applyBorder="1"/>
    <xf numFmtId="340" fontId="26" fillId="0" borderId="0" xfId="0" applyNumberFormat="1" applyFont="1"/>
    <xf numFmtId="340" fontId="21" fillId="37" borderId="76" xfId="0" applyNumberFormat="1" applyFont="1" applyFill="1" applyBorder="1"/>
    <xf numFmtId="340" fontId="26" fillId="37" borderId="76" xfId="0" applyNumberFormat="1" applyFont="1" applyFill="1" applyBorder="1"/>
    <xf numFmtId="340" fontId="26" fillId="37" borderId="85" xfId="0" applyNumberFormat="1" applyFont="1" applyFill="1" applyBorder="1"/>
    <xf numFmtId="340" fontId="26" fillId="37" borderId="82" xfId="0" applyNumberFormat="1" applyFont="1" applyFill="1" applyBorder="1"/>
    <xf numFmtId="340" fontId="21" fillId="37" borderId="0" xfId="0" applyNumberFormat="1" applyFont="1" applyFill="1"/>
    <xf numFmtId="340" fontId="26" fillId="37" borderId="0" xfId="0" applyNumberFormat="1" applyFont="1" applyFill="1"/>
    <xf numFmtId="340" fontId="26" fillId="37" borderId="84" xfId="0" applyNumberFormat="1" applyFont="1" applyFill="1" applyBorder="1"/>
    <xf numFmtId="340" fontId="26" fillId="37" borderId="81" xfId="0" applyNumberFormat="1" applyFont="1" applyFill="1" applyBorder="1"/>
    <xf numFmtId="341" fontId="21" fillId="37" borderId="0" xfId="0" applyNumberFormat="1" applyFont="1" applyFill="1"/>
    <xf numFmtId="341" fontId="26" fillId="37" borderId="0" xfId="0" applyNumberFormat="1" applyFont="1" applyFill="1"/>
    <xf numFmtId="341" fontId="26" fillId="37" borderId="84" xfId="0" applyNumberFormat="1" applyFont="1" applyFill="1" applyBorder="1"/>
    <xf numFmtId="341" fontId="26" fillId="37" borderId="81" xfId="0" applyNumberFormat="1" applyFont="1" applyFill="1" applyBorder="1"/>
    <xf numFmtId="341" fontId="211" fillId="42" borderId="81" xfId="0" applyNumberFormat="1" applyFont="1" applyFill="1" applyBorder="1"/>
    <xf numFmtId="341" fontId="211" fillId="42" borderId="0" xfId="0" applyNumberFormat="1" applyFont="1" applyFill="1"/>
    <xf numFmtId="341" fontId="26" fillId="0" borderId="0" xfId="0" applyNumberFormat="1" applyFont="1"/>
    <xf numFmtId="341" fontId="211" fillId="0" borderId="0" xfId="0" applyNumberFormat="1" applyFont="1"/>
    <xf numFmtId="341" fontId="22" fillId="37" borderId="94" xfId="0" applyNumberFormat="1" applyFont="1" applyFill="1" applyBorder="1"/>
    <xf numFmtId="341" fontId="27" fillId="37" borderId="94" xfId="0" applyNumberFormat="1" applyFont="1" applyFill="1" applyBorder="1"/>
    <xf numFmtId="341" fontId="27" fillId="37" borderId="101" xfId="0" applyNumberFormat="1" applyFont="1" applyFill="1" applyBorder="1"/>
    <xf numFmtId="341" fontId="27" fillId="37" borderId="89" xfId="0" applyNumberFormat="1" applyFont="1" applyFill="1" applyBorder="1"/>
    <xf numFmtId="341" fontId="21" fillId="37" borderId="94" xfId="0" applyNumberFormat="1" applyFont="1" applyFill="1" applyBorder="1"/>
    <xf numFmtId="341" fontId="26" fillId="37" borderId="94" xfId="0" applyNumberFormat="1" applyFont="1" applyFill="1" applyBorder="1"/>
    <xf numFmtId="341" fontId="26" fillId="37" borderId="101" xfId="0" applyNumberFormat="1" applyFont="1" applyFill="1" applyBorder="1"/>
    <xf numFmtId="341" fontId="26" fillId="37" borderId="89" xfId="0" applyNumberFormat="1" applyFont="1" applyFill="1" applyBorder="1"/>
    <xf numFmtId="341" fontId="21" fillId="37" borderId="76" xfId="0" applyNumberFormat="1" applyFont="1" applyFill="1" applyBorder="1"/>
    <xf numFmtId="341" fontId="26" fillId="37" borderId="76" xfId="0" applyNumberFormat="1" applyFont="1" applyFill="1" applyBorder="1"/>
    <xf numFmtId="341" fontId="26" fillId="37" borderId="85" xfId="0" applyNumberFormat="1" applyFont="1" applyFill="1" applyBorder="1"/>
    <xf numFmtId="341" fontId="26" fillId="37" borderId="82" xfId="0" applyNumberFormat="1" applyFont="1" applyFill="1" applyBorder="1"/>
    <xf numFmtId="3" fontId="211" fillId="42" borderId="82" xfId="0" applyNumberFormat="1" applyFont="1" applyFill="1" applyBorder="1"/>
    <xf numFmtId="3" fontId="211" fillId="42" borderId="76" xfId="0" applyNumberFormat="1" applyFont="1" applyFill="1" applyBorder="1"/>
    <xf numFmtId="3" fontId="211" fillId="42" borderId="81" xfId="0" applyNumberFormat="1" applyFont="1" applyFill="1" applyBorder="1"/>
    <xf numFmtId="166" fontId="71" fillId="0" borderId="93" xfId="0" applyNumberFormat="1" applyFont="1" applyBorder="1"/>
    <xf numFmtId="3" fontId="21" fillId="0" borderId="67" xfId="0" applyNumberFormat="1" applyFont="1" applyBorder="1"/>
    <xf numFmtId="3" fontId="21" fillId="0" borderId="77" xfId="0" applyNumberFormat="1" applyFont="1" applyBorder="1"/>
    <xf numFmtId="166" fontId="71" fillId="0" borderId="0" xfId="0" applyNumberFormat="1" applyFont="1"/>
    <xf numFmtId="0" fontId="22" fillId="41" borderId="0" xfId="0" applyFont="1" applyFill="1" applyAlignment="1">
      <alignment horizontal="right"/>
    </xf>
    <xf numFmtId="0" fontId="21" fillId="41" borderId="0" xfId="0" applyFont="1" applyFill="1"/>
    <xf numFmtId="0" fontId="21" fillId="41" borderId="67" xfId="0" applyFont="1" applyFill="1" applyBorder="1"/>
    <xf numFmtId="0" fontId="22" fillId="41" borderId="93" xfId="0" applyFont="1" applyFill="1" applyBorder="1" applyAlignment="1">
      <alignment horizontal="right"/>
    </xf>
    <xf numFmtId="0" fontId="22" fillId="41" borderId="77" xfId="0" applyFont="1" applyFill="1" applyBorder="1" applyAlignment="1">
      <alignment horizontal="right"/>
    </xf>
    <xf numFmtId="313" fontId="26" fillId="37" borderId="67" xfId="0" applyNumberFormat="1" applyFont="1" applyFill="1" applyBorder="1"/>
    <xf numFmtId="313" fontId="26" fillId="37" borderId="93" xfId="0" applyNumberFormat="1" applyFont="1" applyFill="1" applyBorder="1"/>
    <xf numFmtId="313" fontId="27" fillId="37" borderId="109" xfId="0" applyNumberFormat="1" applyFont="1" applyFill="1" applyBorder="1"/>
    <xf numFmtId="313" fontId="26" fillId="37" borderId="109" xfId="0" applyNumberFormat="1" applyFont="1" applyFill="1" applyBorder="1"/>
    <xf numFmtId="313" fontId="26" fillId="37" borderId="77" xfId="0" applyNumberFormat="1" applyFont="1" applyFill="1" applyBorder="1"/>
    <xf numFmtId="341" fontId="26" fillId="37" borderId="17" xfId="0" applyNumberFormat="1" applyFont="1" applyFill="1" applyBorder="1"/>
    <xf numFmtId="165" fontId="220" fillId="41" borderId="0" xfId="0" applyNumberFormat="1" applyFont="1" applyFill="1" applyAlignment="1">
      <alignment horizontal="right"/>
    </xf>
    <xf numFmtId="0" fontId="22" fillId="41" borderId="94" xfId="0" applyFont="1" applyFill="1" applyBorder="1" applyAlignment="1">
      <alignment horizontal="right"/>
    </xf>
    <xf numFmtId="0" fontId="22" fillId="41" borderId="89" xfId="0" applyFont="1" applyFill="1" applyBorder="1" applyAlignment="1">
      <alignment horizontal="right"/>
    </xf>
    <xf numFmtId="0" fontId="22" fillId="41" borderId="94" xfId="0" applyFont="1" applyFill="1" applyBorder="1" applyAlignment="1">
      <alignment horizontal="left"/>
    </xf>
    <xf numFmtId="0" fontId="221" fillId="37" borderId="0" xfId="0" applyFont="1" applyFill="1" applyAlignment="1">
      <alignment horizontal="left"/>
    </xf>
    <xf numFmtId="9" fontId="221" fillId="37" borderId="0" xfId="0" applyNumberFormat="1" applyFont="1" applyFill="1"/>
    <xf numFmtId="9" fontId="221" fillId="37" borderId="81" xfId="0" applyNumberFormat="1" applyFont="1" applyFill="1" applyBorder="1"/>
    <xf numFmtId="9" fontId="221" fillId="37" borderId="92" xfId="0" applyNumberFormat="1" applyFont="1" applyFill="1" applyBorder="1"/>
    <xf numFmtId="0" fontId="221" fillId="37" borderId="0" xfId="0" applyFont="1" applyFill="1"/>
    <xf numFmtId="0" fontId="26" fillId="37" borderId="98" xfId="0" applyFont="1" applyFill="1" applyBorder="1"/>
    <xf numFmtId="9" fontId="26" fillId="37" borderId="98" xfId="0" applyNumberFormat="1" applyFont="1" applyFill="1" applyBorder="1"/>
    <xf numFmtId="9" fontId="26" fillId="37" borderId="97" xfId="0" applyNumberFormat="1" applyFont="1" applyFill="1" applyBorder="1"/>
    <xf numFmtId="9" fontId="26" fillId="37" borderId="100" xfId="0" applyNumberFormat="1" applyFont="1" applyFill="1" applyBorder="1"/>
    <xf numFmtId="9" fontId="26" fillId="37" borderId="92" xfId="0" applyNumberFormat="1" applyFont="1" applyFill="1" applyBorder="1"/>
    <xf numFmtId="9" fontId="27" fillId="37" borderId="96" xfId="0" applyNumberFormat="1" applyFont="1" applyFill="1" applyBorder="1"/>
    <xf numFmtId="9" fontId="211" fillId="37" borderId="81" xfId="0" applyNumberFormat="1" applyFont="1" applyFill="1" applyBorder="1"/>
    <xf numFmtId="9" fontId="21" fillId="0" borderId="17" xfId="2" applyFont="1" applyFill="1" applyBorder="1" applyAlignment="1">
      <alignment horizontal="left"/>
    </xf>
    <xf numFmtId="166" fontId="26" fillId="0" borderId="17" xfId="0" applyNumberFormat="1" applyFont="1" applyBorder="1"/>
    <xf numFmtId="166" fontId="26" fillId="0" borderId="88" xfId="0" applyNumberFormat="1" applyFont="1" applyBorder="1"/>
    <xf numFmtId="166" fontId="21" fillId="0" borderId="17" xfId="2" applyNumberFormat="1" applyFont="1" applyBorder="1"/>
    <xf numFmtId="166" fontId="21" fillId="0" borderId="17" xfId="0" applyNumberFormat="1" applyFont="1" applyBorder="1"/>
    <xf numFmtId="166" fontId="21" fillId="0" borderId="88" xfId="0" applyNumberFormat="1" applyFont="1" applyBorder="1"/>
    <xf numFmtId="9" fontId="21" fillId="0" borderId="17" xfId="2" applyFont="1" applyBorder="1"/>
    <xf numFmtId="9" fontId="21" fillId="0" borderId="88" xfId="2" applyFont="1" applyBorder="1"/>
    <xf numFmtId="9" fontId="21" fillId="0" borderId="17" xfId="2" applyFont="1" applyFill="1" applyBorder="1" applyAlignment="1">
      <alignment horizontal="right"/>
    </xf>
    <xf numFmtId="193" fontId="21" fillId="0" borderId="17" xfId="1" applyNumberFormat="1" applyFont="1" applyBorder="1"/>
    <xf numFmtId="193" fontId="21" fillId="0" borderId="88" xfId="1" applyNumberFormat="1" applyFont="1" applyBorder="1"/>
    <xf numFmtId="193" fontId="21" fillId="0" borderId="90" xfId="1" applyNumberFormat="1" applyFont="1" applyBorder="1"/>
    <xf numFmtId="193" fontId="21" fillId="29" borderId="88" xfId="1" applyNumberFormat="1" applyFont="1" applyFill="1" applyBorder="1"/>
    <xf numFmtId="193" fontId="21" fillId="29" borderId="17" xfId="1" applyNumberFormat="1" applyFont="1" applyFill="1" applyBorder="1"/>
    <xf numFmtId="9" fontId="21" fillId="37" borderId="67" xfId="2" applyFont="1" applyFill="1" applyBorder="1" applyAlignment="1">
      <alignment horizontal="left"/>
    </xf>
    <xf numFmtId="0" fontId="26" fillId="37" borderId="88" xfId="0" applyFont="1" applyFill="1" applyBorder="1"/>
    <xf numFmtId="166" fontId="26" fillId="37" borderId="17" xfId="0" applyNumberFormat="1" applyFont="1" applyFill="1" applyBorder="1"/>
    <xf numFmtId="166" fontId="26" fillId="37" borderId="88" xfId="0" applyNumberFormat="1" applyFont="1" applyFill="1" applyBorder="1"/>
    <xf numFmtId="166" fontId="211" fillId="37" borderId="17" xfId="2" applyNumberFormat="1" applyFont="1" applyFill="1" applyBorder="1"/>
    <xf numFmtId="166" fontId="211" fillId="37" borderId="88" xfId="2" applyNumberFormat="1" applyFont="1" applyFill="1" applyBorder="1"/>
    <xf numFmtId="166" fontId="21" fillId="37" borderId="17" xfId="2" applyNumberFormat="1" applyFont="1" applyFill="1" applyBorder="1"/>
    <xf numFmtId="166" fontId="21" fillId="37" borderId="88" xfId="2" applyNumberFormat="1" applyFont="1" applyFill="1" applyBorder="1"/>
    <xf numFmtId="166" fontId="21" fillId="37" borderId="17" xfId="2" applyNumberFormat="1" applyFont="1" applyFill="1" applyBorder="1" applyAlignment="1">
      <alignment horizontal="right"/>
    </xf>
    <xf numFmtId="166" fontId="21" fillId="37" borderId="90" xfId="2" applyNumberFormat="1" applyFont="1" applyFill="1" applyBorder="1"/>
    <xf numFmtId="9" fontId="21" fillId="37" borderId="93" xfId="2" applyFont="1" applyFill="1" applyBorder="1" applyAlignment="1">
      <alignment horizontal="left"/>
    </xf>
    <xf numFmtId="0" fontId="26" fillId="37" borderId="81" xfId="0" applyFont="1" applyFill="1" applyBorder="1"/>
    <xf numFmtId="166" fontId="26" fillId="37" borderId="0" xfId="0" applyNumberFormat="1" applyFont="1" applyFill="1"/>
    <xf numFmtId="166" fontId="26" fillId="37" borderId="81" xfId="0" applyNumberFormat="1" applyFont="1" applyFill="1" applyBorder="1"/>
    <xf numFmtId="166" fontId="226" fillId="37" borderId="0" xfId="0" applyNumberFormat="1" applyFont="1" applyFill="1"/>
    <xf numFmtId="166" fontId="226" fillId="37" borderId="81" xfId="0" applyNumberFormat="1" applyFont="1" applyFill="1" applyBorder="1"/>
    <xf numFmtId="166" fontId="226" fillId="37" borderId="0" xfId="2" applyNumberFormat="1" applyFont="1" applyFill="1" applyBorder="1"/>
    <xf numFmtId="166" fontId="226" fillId="37" borderId="81" xfId="2" applyNumberFormat="1" applyFont="1" applyFill="1" applyBorder="1"/>
    <xf numFmtId="166" fontId="226" fillId="37" borderId="0" xfId="2" applyNumberFormat="1" applyFont="1" applyFill="1" applyBorder="1" applyAlignment="1">
      <alignment vertical="top"/>
    </xf>
    <xf numFmtId="166" fontId="226" fillId="37" borderId="81" xfId="2" applyNumberFormat="1" applyFont="1" applyFill="1" applyBorder="1" applyAlignment="1">
      <alignment vertical="top"/>
    </xf>
    <xf numFmtId="166" fontId="226" fillId="37" borderId="0" xfId="2" applyNumberFormat="1" applyFont="1" applyFill="1" applyBorder="1" applyAlignment="1">
      <alignment horizontal="right" vertical="top"/>
    </xf>
    <xf numFmtId="166" fontId="21" fillId="37" borderId="0" xfId="2" applyNumberFormat="1" applyFont="1" applyFill="1" applyBorder="1" applyAlignment="1">
      <alignment vertical="top"/>
    </xf>
    <xf numFmtId="166" fontId="21" fillId="37" borderId="81" xfId="2" applyNumberFormat="1" applyFont="1" applyFill="1" applyBorder="1" applyAlignment="1">
      <alignment vertical="top"/>
    </xf>
    <xf numFmtId="166" fontId="21" fillId="37" borderId="0" xfId="2" applyNumberFormat="1" applyFont="1" applyFill="1" applyBorder="1"/>
    <xf numFmtId="166" fontId="21" fillId="37" borderId="81" xfId="2" applyNumberFormat="1" applyFont="1" applyFill="1" applyBorder="1"/>
    <xf numFmtId="166" fontId="21" fillId="37" borderId="92" xfId="2" applyNumberFormat="1" applyFont="1" applyFill="1" applyBorder="1"/>
    <xf numFmtId="9" fontId="21" fillId="37" borderId="109" xfId="2" applyFont="1" applyFill="1" applyBorder="1" applyAlignment="1">
      <alignment horizontal="left"/>
    </xf>
    <xf numFmtId="166" fontId="21" fillId="37" borderId="94" xfId="2" applyNumberFormat="1" applyFont="1" applyFill="1" applyBorder="1"/>
    <xf numFmtId="166" fontId="21" fillId="37" borderId="89" xfId="2" applyNumberFormat="1" applyFont="1" applyFill="1" applyBorder="1"/>
    <xf numFmtId="166" fontId="21" fillId="37" borderId="96" xfId="2" applyNumberFormat="1" applyFont="1" applyFill="1" applyBorder="1"/>
    <xf numFmtId="166" fontId="211" fillId="42" borderId="88" xfId="2" applyNumberFormat="1" applyFont="1" applyFill="1" applyBorder="1"/>
    <xf numFmtId="166" fontId="211" fillId="42" borderId="17" xfId="2" applyNumberFormat="1" applyFont="1" applyFill="1" applyBorder="1"/>
    <xf numFmtId="166" fontId="211" fillId="42" borderId="81" xfId="2" applyNumberFormat="1" applyFont="1" applyFill="1" applyBorder="1"/>
    <xf numFmtId="166" fontId="211" fillId="42" borderId="0" xfId="2" applyNumberFormat="1" applyFont="1" applyFill="1" applyBorder="1"/>
    <xf numFmtId="0" fontId="21" fillId="41" borderId="88" xfId="0" applyFont="1" applyFill="1" applyBorder="1"/>
    <xf numFmtId="0" fontId="22" fillId="41" borderId="81" xfId="0" applyFont="1" applyFill="1" applyBorder="1" applyAlignment="1">
      <alignment horizontal="right"/>
    </xf>
    <xf numFmtId="3" fontId="223" fillId="0" borderId="76" xfId="0" quotePrefix="1" applyNumberFormat="1" applyFont="1" applyBorder="1" applyAlignment="1">
      <alignment horizontal="right"/>
    </xf>
    <xf numFmtId="3" fontId="218" fillId="37" borderId="81" xfId="0" applyNumberFormat="1" applyFont="1" applyFill="1" applyBorder="1"/>
    <xf numFmtId="3" fontId="211" fillId="37" borderId="81" xfId="0" applyNumberFormat="1" applyFont="1" applyFill="1" applyBorder="1"/>
    <xf numFmtId="166" fontId="211" fillId="42" borderId="81" xfId="0" applyNumberFormat="1" applyFont="1" applyFill="1" applyBorder="1"/>
    <xf numFmtId="166" fontId="211" fillId="42" borderId="0" xfId="0" applyNumberFormat="1" applyFont="1" applyFill="1"/>
    <xf numFmtId="203" fontId="211" fillId="42" borderId="81" xfId="66" applyNumberFormat="1" applyFont="1" applyFill="1" applyBorder="1" applyAlignment="1">
      <alignment horizontal="left"/>
    </xf>
    <xf numFmtId="203" fontId="211" fillId="42" borderId="0" xfId="66" applyNumberFormat="1" applyFont="1" applyFill="1" applyAlignment="1">
      <alignment horizontal="left"/>
    </xf>
    <xf numFmtId="5" fontId="26" fillId="37" borderId="81" xfId="0" applyNumberFormat="1" applyFont="1" applyFill="1" applyBorder="1"/>
    <xf numFmtId="341" fontId="211" fillId="29" borderId="0" xfId="0" applyNumberFormat="1" applyFont="1" applyFill="1"/>
    <xf numFmtId="341" fontId="211" fillId="29" borderId="81" xfId="0" applyNumberFormat="1" applyFont="1" applyFill="1" applyBorder="1"/>
    <xf numFmtId="166" fontId="26" fillId="29" borderId="82" xfId="0" applyNumberFormat="1" applyFont="1" applyFill="1" applyBorder="1"/>
    <xf numFmtId="166" fontId="26" fillId="29" borderId="76" xfId="0" applyNumberFormat="1" applyFont="1" applyFill="1" applyBorder="1"/>
    <xf numFmtId="203" fontId="21" fillId="0" borderId="90" xfId="1" applyNumberFormat="1" applyFont="1" applyBorder="1"/>
    <xf numFmtId="3" fontId="226" fillId="42" borderId="92" xfId="0" applyNumberFormat="1" applyFont="1" applyFill="1" applyBorder="1"/>
    <xf numFmtId="3" fontId="226" fillId="42" borderId="0" xfId="0" applyNumberFormat="1" applyFont="1" applyFill="1"/>
    <xf numFmtId="5" fontId="21" fillId="0" borderId="0" xfId="1" applyNumberFormat="1" applyFont="1" applyBorder="1"/>
    <xf numFmtId="5" fontId="21" fillId="0" borderId="81" xfId="1" applyNumberFormat="1" applyFont="1" applyBorder="1"/>
    <xf numFmtId="5" fontId="21" fillId="0" borderId="0" xfId="1" applyNumberFormat="1" applyFont="1" applyBorder="1" applyAlignment="1">
      <alignment vertical="top"/>
    </xf>
    <xf numFmtId="5" fontId="21" fillId="0" borderId="81" xfId="1" applyNumberFormat="1" applyFont="1" applyBorder="1" applyAlignment="1">
      <alignment vertical="top"/>
    </xf>
    <xf numFmtId="5" fontId="21" fillId="29" borderId="0" xfId="1" applyNumberFormat="1" applyFont="1" applyFill="1" applyBorder="1"/>
    <xf numFmtId="5" fontId="21" fillId="29" borderId="81" xfId="1" applyNumberFormat="1" applyFont="1" applyFill="1" applyBorder="1"/>
    <xf numFmtId="5" fontId="26" fillId="0" borderId="0" xfId="2" applyNumberFormat="1" applyFont="1" applyFill="1"/>
    <xf numFmtId="5" fontId="26" fillId="0" borderId="0" xfId="2" applyNumberFormat="1" applyFont="1" applyFill="1" applyBorder="1"/>
    <xf numFmtId="5" fontId="221" fillId="0" borderId="0" xfId="0" applyNumberFormat="1" applyFont="1"/>
    <xf numFmtId="5" fontId="221" fillId="0" borderId="81" xfId="0" applyNumberFormat="1" applyFont="1" applyBorder="1"/>
    <xf numFmtId="5" fontId="71" fillId="0" borderId="0" xfId="1" applyNumberFormat="1" applyFont="1" applyBorder="1"/>
    <xf numFmtId="5" fontId="71" fillId="0" borderId="81" xfId="1" applyNumberFormat="1" applyFont="1" applyBorder="1"/>
    <xf numFmtId="5" fontId="71" fillId="0" borderId="0" xfId="1" applyNumberFormat="1" applyFont="1" applyBorder="1" applyAlignment="1">
      <alignment vertical="top"/>
    </xf>
    <xf numFmtId="5" fontId="71" fillId="0" borderId="81" xfId="1" applyNumberFormat="1" applyFont="1" applyBorder="1" applyAlignment="1">
      <alignment vertical="top"/>
    </xf>
    <xf numFmtId="5" fontId="71" fillId="29" borderId="0" xfId="1" applyNumberFormat="1" applyFont="1" applyFill="1" applyBorder="1"/>
    <xf numFmtId="5" fontId="71" fillId="29" borderId="81" xfId="1" applyNumberFormat="1" applyFont="1" applyFill="1" applyBorder="1"/>
    <xf numFmtId="5" fontId="221" fillId="0" borderId="0" xfId="2" applyNumberFormat="1" applyFont="1" applyFill="1"/>
    <xf numFmtId="5" fontId="221" fillId="0" borderId="0" xfId="2" applyNumberFormat="1" applyFont="1" applyFill="1" applyBorder="1"/>
    <xf numFmtId="204" fontId="211" fillId="42" borderId="0" xfId="0" applyNumberFormat="1" applyFont="1" applyFill="1"/>
    <xf numFmtId="204" fontId="211" fillId="42" borderId="81" xfId="0" applyNumberFormat="1" applyFont="1" applyFill="1" applyBorder="1"/>
    <xf numFmtId="179" fontId="211" fillId="42" borderId="0" xfId="0" applyNumberFormat="1" applyFont="1" applyFill="1"/>
    <xf numFmtId="179" fontId="211" fillId="42" borderId="81" xfId="0" applyNumberFormat="1" applyFont="1" applyFill="1" applyBorder="1"/>
    <xf numFmtId="179" fontId="220" fillId="29" borderId="0" xfId="0" applyNumberFormat="1" applyFont="1" applyFill="1"/>
    <xf numFmtId="3" fontId="220" fillId="37" borderId="81" xfId="0" applyNumberFormat="1" applyFont="1" applyFill="1" applyBorder="1"/>
    <xf numFmtId="9" fontId="21" fillId="0" borderId="0" xfId="0" applyNumberFormat="1" applyFont="1"/>
    <xf numFmtId="9" fontId="211" fillId="42" borderId="81" xfId="0" applyNumberFormat="1" applyFont="1" applyFill="1" applyBorder="1"/>
    <xf numFmtId="9" fontId="211" fillId="42" borderId="0" xfId="0" applyNumberFormat="1" applyFont="1" applyFill="1"/>
    <xf numFmtId="5" fontId="26" fillId="37" borderId="0" xfId="0" applyNumberFormat="1" applyFont="1" applyFill="1"/>
    <xf numFmtId="5" fontId="211" fillId="29" borderId="17" xfId="0" applyNumberFormat="1" applyFont="1" applyFill="1" applyBorder="1"/>
    <xf numFmtId="5" fontId="211" fillId="29" borderId="88" xfId="0" applyNumberFormat="1" applyFont="1" applyFill="1" applyBorder="1"/>
    <xf numFmtId="5" fontId="26" fillId="29" borderId="88" xfId="0" applyNumberFormat="1" applyFont="1" applyFill="1" applyBorder="1"/>
    <xf numFmtId="5" fontId="26" fillId="29" borderId="17" xfId="0" applyNumberFormat="1" applyFont="1" applyFill="1" applyBorder="1"/>
    <xf numFmtId="5" fontId="211" fillId="42" borderId="0" xfId="0" applyNumberFormat="1" applyFont="1" applyFill="1"/>
    <xf numFmtId="5" fontId="211" fillId="42" borderId="81" xfId="0" applyNumberFormat="1" applyFont="1" applyFill="1" applyBorder="1"/>
    <xf numFmtId="5" fontId="211" fillId="29" borderId="0" xfId="0" applyNumberFormat="1" applyFont="1" applyFill="1"/>
    <xf numFmtId="5" fontId="211" fillId="29" borderId="81" xfId="0" applyNumberFormat="1" applyFont="1" applyFill="1" applyBorder="1"/>
    <xf numFmtId="5" fontId="211" fillId="42" borderId="94" xfId="0" applyNumberFormat="1" applyFont="1" applyFill="1" applyBorder="1"/>
    <xf numFmtId="5" fontId="211" fillId="42" borderId="89" xfId="0" applyNumberFormat="1" applyFont="1" applyFill="1" applyBorder="1"/>
    <xf numFmtId="5" fontId="220" fillId="29" borderId="81" xfId="0" applyNumberFormat="1" applyFont="1" applyFill="1" applyBorder="1"/>
    <xf numFmtId="5" fontId="211" fillId="42" borderId="92" xfId="0" applyNumberFormat="1" applyFont="1" applyFill="1" applyBorder="1"/>
    <xf numFmtId="5" fontId="211" fillId="29" borderId="92" xfId="0" applyNumberFormat="1" applyFont="1" applyFill="1" applyBorder="1"/>
    <xf numFmtId="0" fontId="21" fillId="0" borderId="0" xfId="0" applyFont="1" applyAlignment="1">
      <alignment horizontal="left"/>
    </xf>
    <xf numFmtId="5" fontId="21" fillId="37" borderId="100" xfId="0" applyNumberFormat="1" applyFont="1" applyFill="1" applyBorder="1" applyAlignment="1">
      <alignment horizontal="left" indent="1"/>
    </xf>
    <xf numFmtId="5" fontId="26" fillId="37" borderId="98" xfId="0" applyNumberFormat="1" applyFont="1" applyFill="1" applyBorder="1"/>
    <xf numFmtId="5" fontId="26" fillId="37" borderId="97" xfId="0" applyNumberFormat="1" applyFont="1" applyFill="1" applyBorder="1"/>
    <xf numFmtId="5" fontId="21" fillId="37" borderId="92" xfId="0" applyNumberFormat="1" applyFont="1" applyFill="1" applyBorder="1" applyAlignment="1">
      <alignment horizontal="left" indent="1"/>
    </xf>
    <xf numFmtId="5" fontId="211" fillId="37" borderId="0" xfId="0" applyNumberFormat="1" applyFont="1" applyFill="1"/>
    <xf numFmtId="5" fontId="211" fillId="37" borderId="81" xfId="0" applyNumberFormat="1" applyFont="1" applyFill="1" applyBorder="1"/>
    <xf numFmtId="5" fontId="21" fillId="37" borderId="0" xfId="0" applyNumberFormat="1" applyFont="1" applyFill="1"/>
    <xf numFmtId="5" fontId="21" fillId="37" borderId="81" xfId="0" applyNumberFormat="1" applyFont="1" applyFill="1" applyBorder="1"/>
    <xf numFmtId="5" fontId="21" fillId="37" borderId="92" xfId="0" applyNumberFormat="1" applyFont="1" applyFill="1" applyBorder="1"/>
    <xf numFmtId="5" fontId="21" fillId="37" borderId="108" xfId="0" applyNumberFormat="1" applyFont="1" applyFill="1" applyBorder="1" applyAlignment="1">
      <alignment horizontal="left" indent="1"/>
    </xf>
    <xf numFmtId="5" fontId="211" fillId="37" borderId="106" xfId="0" applyNumberFormat="1" applyFont="1" applyFill="1" applyBorder="1"/>
    <xf numFmtId="5" fontId="211" fillId="37" borderId="105" xfId="0" applyNumberFormat="1" applyFont="1" applyFill="1" applyBorder="1"/>
    <xf numFmtId="5" fontId="26" fillId="37" borderId="106" xfId="0" applyNumberFormat="1" applyFont="1" applyFill="1" applyBorder="1"/>
    <xf numFmtId="5" fontId="26" fillId="37" borderId="105" xfId="0" applyNumberFormat="1" applyFont="1" applyFill="1" applyBorder="1"/>
    <xf numFmtId="9" fontId="21" fillId="37" borderId="100" xfId="0" applyNumberFormat="1" applyFont="1" applyFill="1" applyBorder="1" applyAlignment="1">
      <alignment horizontal="left" indent="1"/>
    </xf>
    <xf numFmtId="9" fontId="21" fillId="37" borderId="92" xfId="0" applyNumberFormat="1" applyFont="1" applyFill="1" applyBorder="1" applyAlignment="1">
      <alignment horizontal="left" indent="1"/>
    </xf>
    <xf numFmtId="9" fontId="21" fillId="37" borderId="81" xfId="0" applyNumberFormat="1" applyFont="1" applyFill="1" applyBorder="1"/>
    <xf numFmtId="9" fontId="21" fillId="37" borderId="92" xfId="0" applyNumberFormat="1" applyFont="1" applyFill="1" applyBorder="1"/>
    <xf numFmtId="9" fontId="21" fillId="37" borderId="108" xfId="0" applyNumberFormat="1" applyFont="1" applyFill="1" applyBorder="1" applyAlignment="1">
      <alignment horizontal="left" indent="1"/>
    </xf>
    <xf numFmtId="9" fontId="21" fillId="37" borderId="98" xfId="0" applyNumberFormat="1" applyFont="1" applyFill="1" applyBorder="1"/>
    <xf numFmtId="9" fontId="21" fillId="37" borderId="97" xfId="0" applyNumberFormat="1" applyFont="1" applyFill="1" applyBorder="1"/>
    <xf numFmtId="9" fontId="21" fillId="37" borderId="106" xfId="0" applyNumberFormat="1" applyFont="1" applyFill="1" applyBorder="1"/>
    <xf numFmtId="9" fontId="21" fillId="37" borderId="105" xfId="0" applyNumberFormat="1" applyFont="1" applyFill="1" applyBorder="1"/>
    <xf numFmtId="9" fontId="22" fillId="37" borderId="89" xfId="0" applyNumberFormat="1" applyFont="1" applyFill="1" applyBorder="1"/>
    <xf numFmtId="9" fontId="22" fillId="37" borderId="96" xfId="0" applyNumberFormat="1" applyFont="1" applyFill="1" applyBorder="1"/>
    <xf numFmtId="9" fontId="22" fillId="0" borderId="0" xfId="0" applyNumberFormat="1" applyFont="1"/>
    <xf numFmtId="9" fontId="22" fillId="29" borderId="0" xfId="0" applyNumberFormat="1" applyFont="1" applyFill="1"/>
    <xf numFmtId="9" fontId="21" fillId="37" borderId="106" xfId="0" applyNumberFormat="1" applyFont="1" applyFill="1" applyBorder="1" applyAlignment="1">
      <alignment horizontal="right"/>
    </xf>
    <xf numFmtId="9" fontId="21" fillId="37" borderId="105" xfId="0" applyNumberFormat="1" applyFont="1" applyFill="1" applyBorder="1" applyAlignment="1">
      <alignment horizontal="right"/>
    </xf>
    <xf numFmtId="5" fontId="21" fillId="29" borderId="0" xfId="0" applyNumberFormat="1" applyFont="1" applyFill="1" applyAlignment="1">
      <alignment horizontal="left" indent="1"/>
    </xf>
    <xf numFmtId="5" fontId="226" fillId="37" borderId="92" xfId="0" applyNumberFormat="1" applyFont="1" applyFill="1" applyBorder="1"/>
    <xf numFmtId="5" fontId="226" fillId="37" borderId="0" xfId="0" applyNumberFormat="1" applyFont="1" applyFill="1"/>
    <xf numFmtId="0" fontId="211" fillId="29" borderId="81" xfId="0" applyFont="1" applyFill="1" applyBorder="1"/>
    <xf numFmtId="6" fontId="26" fillId="29" borderId="81" xfId="0" applyNumberFormat="1" applyFont="1" applyFill="1" applyBorder="1"/>
    <xf numFmtId="203" fontId="211" fillId="29" borderId="81" xfId="63" applyNumberFormat="1" applyFont="1" applyFill="1" applyBorder="1"/>
    <xf numFmtId="0" fontId="23" fillId="29" borderId="0" xfId="0" applyFont="1" applyFill="1"/>
    <xf numFmtId="8" fontId="21" fillId="29" borderId="81" xfId="0" applyNumberFormat="1" applyFont="1" applyFill="1" applyBorder="1"/>
    <xf numFmtId="8" fontId="21" fillId="29" borderId="0" xfId="1" applyNumberFormat="1" applyFont="1" applyFill="1" applyBorder="1"/>
    <xf numFmtId="8" fontId="21" fillId="29" borderId="81" xfId="1" applyNumberFormat="1" applyFont="1" applyFill="1" applyBorder="1"/>
    <xf numFmtId="0" fontId="250" fillId="29" borderId="1" xfId="0" applyFont="1" applyFill="1" applyBorder="1"/>
    <xf numFmtId="0" fontId="21" fillId="29" borderId="1" xfId="0" applyFont="1" applyFill="1" applyBorder="1"/>
    <xf numFmtId="0" fontId="26" fillId="29" borderId="1" xfId="0" applyFont="1" applyFill="1" applyBorder="1"/>
    <xf numFmtId="0" fontId="24" fillId="29" borderId="1" xfId="0" applyFont="1" applyFill="1" applyBorder="1"/>
    <xf numFmtId="0" fontId="26" fillId="29" borderId="47" xfId="0" applyFont="1" applyFill="1" applyBorder="1"/>
    <xf numFmtId="0" fontId="211" fillId="29" borderId="82" xfId="0" applyFont="1" applyFill="1" applyBorder="1"/>
    <xf numFmtId="0" fontId="54" fillId="29" borderId="47" xfId="0" applyFont="1" applyFill="1" applyBorder="1" applyAlignment="1">
      <alignment horizontal="right"/>
    </xf>
    <xf numFmtId="0" fontId="21" fillId="29" borderId="2" xfId="0" applyFont="1" applyFill="1" applyBorder="1"/>
    <xf numFmtId="0" fontId="223" fillId="29" borderId="0" xfId="0" quotePrefix="1" applyFont="1" applyFill="1"/>
    <xf numFmtId="3" fontId="223" fillId="29" borderId="76" xfId="0" quotePrefix="1" applyNumberFormat="1" applyFont="1" applyFill="1" applyBorder="1" applyAlignment="1">
      <alignment horizontal="right"/>
    </xf>
    <xf numFmtId="5" fontId="27" fillId="43" borderId="94" xfId="0" applyNumberFormat="1" applyFont="1" applyFill="1" applyBorder="1"/>
    <xf numFmtId="5" fontId="27" fillId="43" borderId="89" xfId="0" applyNumberFormat="1" applyFont="1" applyFill="1" applyBorder="1"/>
    <xf numFmtId="5" fontId="27" fillId="43" borderId="96" xfId="0" applyNumberFormat="1" applyFont="1" applyFill="1" applyBorder="1"/>
    <xf numFmtId="0" fontId="21" fillId="37" borderId="0" xfId="0" applyFont="1" applyFill="1"/>
    <xf numFmtId="0" fontId="21" fillId="37" borderId="0" xfId="0" applyFont="1" applyFill="1" applyAlignment="1">
      <alignment horizontal="left"/>
    </xf>
    <xf numFmtId="0" fontId="218" fillId="37" borderId="0" xfId="0" applyFont="1" applyFill="1"/>
    <xf numFmtId="0" fontId="218" fillId="37" borderId="81" xfId="0" applyFont="1" applyFill="1" applyBorder="1"/>
    <xf numFmtId="3" fontId="218" fillId="37" borderId="0" xfId="0" applyNumberFormat="1" applyFont="1" applyFill="1"/>
    <xf numFmtId="204" fontId="71" fillId="37" borderId="0" xfId="0" applyNumberFormat="1" applyFont="1" applyFill="1"/>
    <xf numFmtId="204" fontId="71" fillId="37" borderId="81" xfId="0" applyNumberFormat="1" applyFont="1" applyFill="1" applyBorder="1"/>
    <xf numFmtId="0" fontId="220" fillId="37" borderId="0" xfId="0" applyFont="1" applyFill="1"/>
    <xf numFmtId="0" fontId="220" fillId="37" borderId="81" xfId="0" applyFont="1" applyFill="1" applyBorder="1"/>
    <xf numFmtId="3" fontId="220" fillId="37" borderId="0" xfId="0" applyNumberFormat="1" applyFont="1" applyFill="1"/>
    <xf numFmtId="204" fontId="218" fillId="37" borderId="0" xfId="0" applyNumberFormat="1" applyFont="1" applyFill="1"/>
    <xf numFmtId="204" fontId="218" fillId="37" borderId="81" xfId="0" applyNumberFormat="1" applyFont="1" applyFill="1" applyBorder="1"/>
    <xf numFmtId="9" fontId="71" fillId="37" borderId="0" xfId="0" applyNumberFormat="1" applyFont="1" applyFill="1"/>
    <xf numFmtId="9" fontId="71" fillId="37" borderId="81" xfId="0" applyNumberFormat="1" applyFont="1" applyFill="1" applyBorder="1"/>
    <xf numFmtId="5" fontId="71" fillId="37" borderId="0" xfId="0" applyNumberFormat="1" applyFont="1" applyFill="1"/>
    <xf numFmtId="5" fontId="71" fillId="37" borderId="81" xfId="0" applyNumberFormat="1" applyFont="1" applyFill="1" applyBorder="1"/>
    <xf numFmtId="0" fontId="211" fillId="37" borderId="0" xfId="0" applyFont="1" applyFill="1"/>
    <xf numFmtId="0" fontId="211" fillId="37" borderId="81" xfId="0" applyFont="1" applyFill="1" applyBorder="1"/>
    <xf numFmtId="3" fontId="211" fillId="37" borderId="0" xfId="0" applyNumberFormat="1" applyFont="1" applyFill="1"/>
    <xf numFmtId="5" fontId="21" fillId="29" borderId="0" xfId="0" applyNumberFormat="1" applyFont="1" applyFill="1"/>
    <xf numFmtId="5" fontId="226" fillId="29" borderId="0" xfId="0" applyNumberFormat="1" applyFont="1" applyFill="1"/>
    <xf numFmtId="5" fontId="21" fillId="29" borderId="81" xfId="0" applyNumberFormat="1" applyFont="1" applyFill="1" applyBorder="1"/>
    <xf numFmtId="5" fontId="26" fillId="29" borderId="92" xfId="0" applyNumberFormat="1" applyFont="1" applyFill="1" applyBorder="1"/>
    <xf numFmtId="5" fontId="226" fillId="29" borderId="92" xfId="0" applyNumberFormat="1" applyFont="1" applyFill="1" applyBorder="1"/>
    <xf numFmtId="341" fontId="21" fillId="29" borderId="0" xfId="0" applyNumberFormat="1" applyFont="1" applyFill="1" applyAlignment="1">
      <alignment horizontal="left"/>
    </xf>
    <xf numFmtId="341" fontId="26" fillId="29" borderId="0" xfId="0" applyNumberFormat="1" applyFont="1" applyFill="1"/>
    <xf numFmtId="5" fontId="21" fillId="29" borderId="0" xfId="0" applyNumberFormat="1" applyFont="1" applyFill="1" applyAlignment="1">
      <alignment horizontal="left"/>
    </xf>
    <xf numFmtId="9" fontId="21" fillId="29" borderId="0" xfId="2" applyFont="1" applyFill="1" applyBorder="1" applyAlignment="1">
      <alignment horizontal="left"/>
    </xf>
    <xf numFmtId="9" fontId="22" fillId="29" borderId="0" xfId="2" applyFont="1" applyFill="1" applyBorder="1" applyAlignment="1">
      <alignment horizontal="left"/>
    </xf>
    <xf numFmtId="0" fontId="22" fillId="29" borderId="0" xfId="0" applyFont="1" applyFill="1" applyAlignment="1">
      <alignment horizontal="left" indent="1"/>
    </xf>
    <xf numFmtId="0" fontId="21" fillId="29" borderId="0" xfId="0" applyFont="1" applyFill="1" applyAlignment="1">
      <alignment horizontal="left" indent="1"/>
    </xf>
    <xf numFmtId="9" fontId="22" fillId="29" borderId="0" xfId="2" applyFont="1" applyFill="1" applyBorder="1" applyAlignment="1">
      <alignment horizontal="left" indent="2"/>
    </xf>
    <xf numFmtId="166" fontId="220" fillId="29" borderId="81" xfId="0" applyNumberFormat="1" applyFont="1" applyFill="1" applyBorder="1"/>
    <xf numFmtId="166" fontId="220" fillId="29" borderId="0" xfId="0" applyNumberFormat="1" applyFont="1" applyFill="1"/>
    <xf numFmtId="9" fontId="21" fillId="29" borderId="0" xfId="2" applyFont="1" applyFill="1" applyBorder="1" applyAlignment="1">
      <alignment horizontal="left" indent="2"/>
    </xf>
    <xf numFmtId="9" fontId="21" fillId="29" borderId="0" xfId="2" applyFont="1" applyFill="1" applyBorder="1" applyAlignment="1">
      <alignment horizontal="left" indent="1"/>
    </xf>
    <xf numFmtId="9" fontId="22" fillId="29" borderId="0" xfId="2" applyFont="1" applyFill="1" applyBorder="1" applyAlignment="1">
      <alignment horizontal="left" indent="1"/>
    </xf>
    <xf numFmtId="1" fontId="220" fillId="29" borderId="0" xfId="0" applyNumberFormat="1" applyFont="1" applyFill="1"/>
    <xf numFmtId="1" fontId="220" fillId="29" borderId="81" xfId="0" applyNumberFormat="1" applyFont="1" applyFill="1" applyBorder="1"/>
    <xf numFmtId="9" fontId="21" fillId="29" borderId="0" xfId="0" applyNumberFormat="1" applyFont="1" applyFill="1"/>
    <xf numFmtId="9" fontId="21" fillId="29" borderId="0" xfId="1216" applyFont="1" applyFill="1" applyBorder="1"/>
    <xf numFmtId="5" fontId="21" fillId="42" borderId="0" xfId="0" applyNumberFormat="1" applyFont="1" applyFill="1"/>
    <xf numFmtId="5" fontId="21" fillId="42" borderId="81" xfId="0" applyNumberFormat="1" applyFont="1" applyFill="1" applyBorder="1"/>
    <xf numFmtId="319" fontId="26" fillId="29" borderId="81" xfId="0" applyNumberFormat="1" applyFont="1" applyFill="1" applyBorder="1"/>
    <xf numFmtId="5" fontId="211" fillId="29" borderId="0" xfId="1216" applyNumberFormat="1" applyFont="1" applyFill="1" applyBorder="1"/>
    <xf numFmtId="214" fontId="21" fillId="29" borderId="0" xfId="1216" applyNumberFormat="1" applyFont="1" applyFill="1" applyBorder="1"/>
    <xf numFmtId="9" fontId="211" fillId="42" borderId="92" xfId="0" applyNumberFormat="1" applyFont="1" applyFill="1" applyBorder="1"/>
    <xf numFmtId="9" fontId="21" fillId="29" borderId="93" xfId="0" applyNumberFormat="1" applyFont="1" applyFill="1" applyBorder="1"/>
    <xf numFmtId="9" fontId="211" fillId="42" borderId="8" xfId="0" applyNumberFormat="1" applyFont="1" applyFill="1" applyBorder="1"/>
    <xf numFmtId="9" fontId="21" fillId="29" borderId="8" xfId="0" applyNumberFormat="1" applyFont="1" applyFill="1" applyBorder="1"/>
    <xf numFmtId="0" fontId="21" fillId="29" borderId="93" xfId="0" applyFont="1" applyFill="1" applyBorder="1"/>
    <xf numFmtId="166" fontId="211" fillId="29" borderId="8" xfId="0" applyNumberFormat="1" applyFont="1" applyFill="1" applyBorder="1"/>
    <xf numFmtId="0" fontId="22" fillId="29" borderId="93" xfId="0" applyFont="1" applyFill="1" applyBorder="1"/>
    <xf numFmtId="5" fontId="21" fillId="29" borderId="93" xfId="2" applyNumberFormat="1" applyFont="1" applyFill="1" applyBorder="1" applyAlignment="1">
      <alignment horizontal="left"/>
    </xf>
    <xf numFmtId="5" fontId="26" fillId="29" borderId="8" xfId="0" applyNumberFormat="1" applyFont="1" applyFill="1" applyBorder="1"/>
    <xf numFmtId="5" fontId="21" fillId="29" borderId="77" xfId="2" applyNumberFormat="1" applyFont="1" applyFill="1" applyBorder="1" applyAlignment="1">
      <alignment horizontal="left"/>
    </xf>
    <xf numFmtId="5" fontId="26" fillId="29" borderId="76" xfId="0" applyNumberFormat="1" applyFont="1" applyFill="1" applyBorder="1"/>
    <xf numFmtId="5" fontId="26" fillId="29" borderId="82" xfId="0" applyNumberFormat="1" applyFont="1" applyFill="1" applyBorder="1"/>
    <xf numFmtId="5" fontId="261" fillId="42" borderId="76" xfId="0" applyNumberFormat="1" applyFont="1" applyFill="1" applyBorder="1"/>
    <xf numFmtId="5" fontId="21" fillId="29" borderId="76" xfId="0" applyNumberFormat="1" applyFont="1" applyFill="1" applyBorder="1"/>
    <xf numFmtId="5" fontId="26" fillId="29" borderId="79" xfId="0" applyNumberFormat="1" applyFont="1" applyFill="1" applyBorder="1"/>
    <xf numFmtId="321" fontId="211" fillId="29" borderId="81" xfId="0" applyNumberFormat="1" applyFont="1" applyFill="1" applyBorder="1"/>
    <xf numFmtId="321" fontId="211" fillId="29" borderId="0" xfId="0" applyNumberFormat="1" applyFont="1" applyFill="1"/>
    <xf numFmtId="321" fontId="26" fillId="29" borderId="0" xfId="0" applyNumberFormat="1" applyFont="1" applyFill="1"/>
    <xf numFmtId="321" fontId="211" fillId="42" borderId="0" xfId="0" applyNumberFormat="1" applyFont="1" applyFill="1"/>
    <xf numFmtId="321" fontId="211" fillId="42" borderId="81" xfId="0" applyNumberFormat="1" applyFont="1" applyFill="1" applyBorder="1"/>
    <xf numFmtId="5" fontId="22" fillId="29" borderId="111" xfId="0" applyNumberFormat="1" applyFont="1" applyFill="1" applyBorder="1"/>
    <xf numFmtId="5" fontId="27" fillId="29" borderId="86" xfId="0" applyNumberFormat="1" applyFont="1" applyFill="1" applyBorder="1"/>
    <xf numFmtId="5" fontId="27" fillId="29" borderId="102" xfId="0" applyNumberFormat="1" applyFont="1" applyFill="1" applyBorder="1"/>
    <xf numFmtId="5" fontId="22" fillId="29" borderId="86" xfId="1216" applyNumberFormat="1" applyFont="1" applyFill="1" applyBorder="1"/>
    <xf numFmtId="5" fontId="22" fillId="29" borderId="86" xfId="0" applyNumberFormat="1" applyFont="1" applyFill="1" applyBorder="1"/>
    <xf numFmtId="5" fontId="22" fillId="29" borderId="102" xfId="0" applyNumberFormat="1" applyFont="1" applyFill="1" applyBorder="1"/>
    <xf numFmtId="5" fontId="22" fillId="29" borderId="113" xfId="0" applyNumberFormat="1" applyFont="1" applyFill="1" applyBorder="1"/>
    <xf numFmtId="5" fontId="21" fillId="29" borderId="109" xfId="0" applyNumberFormat="1" applyFont="1" applyFill="1" applyBorder="1"/>
    <xf numFmtId="5" fontId="26" fillId="29" borderId="94" xfId="0" applyNumberFormat="1" applyFont="1" applyFill="1" applyBorder="1"/>
    <xf numFmtId="5" fontId="26" fillId="29" borderId="89" xfId="0" applyNumberFormat="1" applyFont="1" applyFill="1" applyBorder="1"/>
    <xf numFmtId="313" fontId="26" fillId="29" borderId="94" xfId="0" applyNumberFormat="1" applyFont="1" applyFill="1" applyBorder="1"/>
    <xf numFmtId="313" fontId="26" fillId="29" borderId="89" xfId="0" applyNumberFormat="1" applyFont="1" applyFill="1" applyBorder="1"/>
    <xf numFmtId="313" fontId="21" fillId="29" borderId="94" xfId="1216" applyNumberFormat="1" applyFont="1" applyFill="1" applyBorder="1"/>
    <xf numFmtId="313" fontId="211" fillId="42" borderId="94" xfId="0" applyNumberFormat="1" applyFont="1" applyFill="1" applyBorder="1"/>
    <xf numFmtId="313" fontId="211" fillId="42" borderId="89" xfId="0" applyNumberFormat="1" applyFont="1" applyFill="1" applyBorder="1"/>
    <xf numFmtId="313" fontId="211" fillId="42" borderId="112" xfId="0" applyNumberFormat="1" applyFont="1" applyFill="1" applyBorder="1"/>
    <xf numFmtId="5" fontId="21" fillId="29" borderId="94" xfId="0" applyNumberFormat="1" applyFont="1" applyFill="1" applyBorder="1"/>
    <xf numFmtId="5" fontId="21" fillId="29" borderId="89" xfId="0" applyNumberFormat="1" applyFont="1" applyFill="1" applyBorder="1"/>
    <xf numFmtId="5" fontId="21" fillId="29" borderId="94" xfId="1216" applyNumberFormat="1" applyFont="1" applyFill="1" applyBorder="1"/>
    <xf numFmtId="5" fontId="21" fillId="29" borderId="112" xfId="0" applyNumberFormat="1" applyFont="1" applyFill="1" applyBorder="1"/>
    <xf numFmtId="214" fontId="211" fillId="29" borderId="81" xfId="0" applyNumberFormat="1" applyFont="1" applyFill="1" applyBorder="1"/>
    <xf numFmtId="214" fontId="211" fillId="29" borderId="0" xfId="0" applyNumberFormat="1" applyFont="1" applyFill="1"/>
    <xf numFmtId="214" fontId="211" fillId="42" borderId="0" xfId="0" applyNumberFormat="1" applyFont="1" applyFill="1"/>
    <xf numFmtId="214" fontId="211" fillId="42" borderId="81" xfId="0" applyNumberFormat="1" applyFont="1" applyFill="1" applyBorder="1"/>
    <xf numFmtId="214" fontId="26" fillId="29" borderId="0" xfId="0" applyNumberFormat="1" applyFont="1" applyFill="1"/>
    <xf numFmtId="214" fontId="26" fillId="29" borderId="81" xfId="0" applyNumberFormat="1" applyFont="1" applyFill="1" applyBorder="1"/>
    <xf numFmtId="214" fontId="21" fillId="29" borderId="0" xfId="0" applyNumberFormat="1" applyFont="1" applyFill="1"/>
    <xf numFmtId="214" fontId="211" fillId="42" borderId="92" xfId="0" applyNumberFormat="1" applyFont="1" applyFill="1" applyBorder="1"/>
    <xf numFmtId="5" fontId="26" fillId="29" borderId="86" xfId="0" applyNumberFormat="1" applyFont="1" applyFill="1" applyBorder="1"/>
    <xf numFmtId="5" fontId="26" fillId="29" borderId="102" xfId="0" applyNumberFormat="1" applyFont="1" applyFill="1" applyBorder="1"/>
    <xf numFmtId="5" fontId="27" fillId="29" borderId="102" xfId="1" applyNumberFormat="1" applyFont="1" applyFill="1" applyBorder="1"/>
    <xf numFmtId="5" fontId="27" fillId="29" borderId="86" xfId="1" applyNumberFormat="1" applyFont="1" applyFill="1" applyBorder="1"/>
    <xf numFmtId="5" fontId="21" fillId="29" borderId="92" xfId="0" applyNumberFormat="1" applyFont="1" applyFill="1" applyBorder="1"/>
    <xf numFmtId="5" fontId="27" fillId="29" borderId="113" xfId="1" applyNumberFormat="1" applyFont="1" applyFill="1" applyBorder="1"/>
    <xf numFmtId="214" fontId="21" fillId="29" borderId="93" xfId="2" applyNumberFormat="1" applyFont="1" applyFill="1" applyBorder="1" applyAlignment="1"/>
    <xf numFmtId="214" fontId="26" fillId="29" borderId="8" xfId="0" applyNumberFormat="1" applyFont="1" applyFill="1" applyBorder="1"/>
    <xf numFmtId="321" fontId="21" fillId="29" borderId="93" xfId="2" applyNumberFormat="1" applyFont="1" applyFill="1" applyBorder="1" applyAlignment="1"/>
    <xf numFmtId="321" fontId="211" fillId="42" borderId="8" xfId="0" applyNumberFormat="1" applyFont="1" applyFill="1" applyBorder="1"/>
    <xf numFmtId="214" fontId="21" fillId="29" borderId="77" xfId="0" applyNumberFormat="1" applyFont="1" applyFill="1" applyBorder="1"/>
    <xf numFmtId="214" fontId="26" fillId="29" borderId="76" xfId="0" applyNumberFormat="1" applyFont="1" applyFill="1" applyBorder="1"/>
    <xf numFmtId="214" fontId="26" fillId="29" borderId="82" xfId="0" applyNumberFormat="1" applyFont="1" applyFill="1" applyBorder="1"/>
    <xf numFmtId="214" fontId="21" fillId="29" borderId="76" xfId="1216" applyNumberFormat="1" applyFont="1" applyFill="1" applyBorder="1"/>
    <xf numFmtId="214" fontId="211" fillId="42" borderId="76" xfId="0" applyNumberFormat="1" applyFont="1" applyFill="1" applyBorder="1"/>
    <xf numFmtId="214" fontId="211" fillId="42" borderId="82" xfId="0" applyNumberFormat="1" applyFont="1" applyFill="1" applyBorder="1"/>
    <xf numFmtId="214" fontId="211" fillId="42" borderId="91" xfId="0" applyNumberFormat="1" applyFont="1" applyFill="1" applyBorder="1"/>
    <xf numFmtId="214" fontId="211" fillId="42" borderId="79" xfId="0" applyNumberFormat="1" applyFont="1" applyFill="1" applyBorder="1"/>
    <xf numFmtId="313" fontId="223" fillId="0" borderId="0" xfId="63" applyNumberFormat="1" applyFont="1"/>
    <xf numFmtId="313" fontId="26" fillId="0" borderId="76" xfId="0" applyNumberFormat="1" applyFont="1" applyBorder="1"/>
    <xf numFmtId="214" fontId="21" fillId="29" borderId="93" xfId="0" applyNumberFormat="1" applyFont="1" applyFill="1" applyBorder="1"/>
    <xf numFmtId="214" fontId="211" fillId="42" borderId="8" xfId="0" applyNumberFormat="1" applyFont="1" applyFill="1" applyBorder="1"/>
    <xf numFmtId="340" fontId="21" fillId="29" borderId="0" xfId="0" applyNumberFormat="1" applyFont="1" applyFill="1"/>
    <xf numFmtId="340" fontId="26" fillId="29" borderId="0" xfId="0" applyNumberFormat="1" applyFont="1" applyFill="1"/>
    <xf numFmtId="340" fontId="26" fillId="29" borderId="81" xfId="0" applyNumberFormat="1" applyFont="1" applyFill="1" applyBorder="1"/>
    <xf numFmtId="340" fontId="21" fillId="29" borderId="0" xfId="1216" applyNumberFormat="1" applyFont="1" applyFill="1" applyBorder="1"/>
    <xf numFmtId="340" fontId="211" fillId="29" borderId="0" xfId="0" applyNumberFormat="1" applyFont="1" applyFill="1"/>
    <xf numFmtId="340" fontId="211" fillId="29" borderId="81" xfId="0" applyNumberFormat="1" applyFont="1" applyFill="1" applyBorder="1"/>
    <xf numFmtId="340" fontId="21" fillId="29" borderId="81" xfId="0" applyNumberFormat="1" applyFont="1" applyFill="1" applyBorder="1"/>
    <xf numFmtId="0" fontId="22" fillId="41" borderId="109" xfId="0" applyFont="1" applyFill="1" applyBorder="1" applyAlignment="1">
      <alignment horizontal="left"/>
    </xf>
    <xf numFmtId="0" fontId="22" fillId="41" borderId="112" xfId="0" applyFont="1" applyFill="1" applyBorder="1" applyAlignment="1">
      <alignment horizontal="right"/>
    </xf>
    <xf numFmtId="340" fontId="21" fillId="29" borderId="93" xfId="0" applyNumberFormat="1" applyFont="1" applyFill="1" applyBorder="1"/>
    <xf numFmtId="0" fontId="21" fillId="29" borderId="77" xfId="0" applyFont="1" applyFill="1" applyBorder="1"/>
    <xf numFmtId="166" fontId="21" fillId="29" borderId="76" xfId="1216" applyNumberFormat="1" applyFont="1" applyFill="1" applyBorder="1"/>
    <xf numFmtId="313" fontId="26" fillId="29" borderId="82" xfId="0" applyNumberFormat="1" applyFont="1" applyFill="1" applyBorder="1"/>
    <xf numFmtId="166" fontId="21" fillId="29" borderId="76" xfId="0" applyNumberFormat="1" applyFont="1" applyFill="1" applyBorder="1"/>
    <xf numFmtId="166" fontId="21" fillId="29" borderId="82" xfId="0" applyNumberFormat="1" applyFont="1" applyFill="1" applyBorder="1"/>
    <xf numFmtId="166" fontId="21" fillId="29" borderId="79" xfId="0" applyNumberFormat="1" applyFont="1" applyFill="1" applyBorder="1"/>
    <xf numFmtId="214" fontId="21" fillId="29" borderId="114" xfId="0" applyNumberFormat="1" applyFont="1" applyFill="1" applyBorder="1"/>
    <xf numFmtId="5" fontId="21" fillId="29" borderId="17" xfId="0" applyNumberFormat="1" applyFont="1" applyFill="1" applyBorder="1" applyAlignment="1">
      <alignment horizontal="left"/>
    </xf>
    <xf numFmtId="5" fontId="21" fillId="29" borderId="17" xfId="0" applyNumberFormat="1" applyFont="1" applyFill="1" applyBorder="1" applyAlignment="1">
      <alignment horizontal="right"/>
    </xf>
    <xf numFmtId="5" fontId="21" fillId="29" borderId="88" xfId="0" applyNumberFormat="1" applyFont="1" applyFill="1" applyBorder="1" applyAlignment="1">
      <alignment horizontal="right"/>
    </xf>
    <xf numFmtId="5" fontId="211" fillId="29" borderId="17" xfId="0" applyNumberFormat="1" applyFont="1" applyFill="1" applyBorder="1" applyAlignment="1">
      <alignment horizontal="right"/>
    </xf>
    <xf numFmtId="5" fontId="211" fillId="29" borderId="88" xfId="0" applyNumberFormat="1" applyFont="1" applyFill="1" applyBorder="1" applyAlignment="1">
      <alignment horizontal="right"/>
    </xf>
    <xf numFmtId="5" fontId="21" fillId="29" borderId="0" xfId="0" applyNumberFormat="1" applyFont="1" applyFill="1" applyAlignment="1">
      <alignment horizontal="right"/>
    </xf>
    <xf numFmtId="5" fontId="21" fillId="29" borderId="81" xfId="0" applyNumberFormat="1" applyFont="1" applyFill="1" applyBorder="1" applyAlignment="1">
      <alignment horizontal="right"/>
    </xf>
    <xf numFmtId="5" fontId="211" fillId="29" borderId="0" xfId="0" applyNumberFormat="1" applyFont="1" applyFill="1" applyAlignment="1">
      <alignment horizontal="right"/>
    </xf>
    <xf numFmtId="5" fontId="211" fillId="29" borderId="81" xfId="0" applyNumberFormat="1" applyFont="1" applyFill="1" applyBorder="1" applyAlignment="1">
      <alignment horizontal="right"/>
    </xf>
    <xf numFmtId="0" fontId="22" fillId="37" borderId="94" xfId="0" applyFont="1" applyFill="1" applyBorder="1" applyAlignment="1">
      <alignment horizontal="left"/>
    </xf>
    <xf numFmtId="0" fontId="22" fillId="37" borderId="94" xfId="0" applyFont="1" applyFill="1" applyBorder="1" applyAlignment="1">
      <alignment horizontal="right"/>
    </xf>
    <xf numFmtId="0" fontId="22" fillId="37" borderId="89" xfId="0" applyFont="1" applyFill="1" applyBorder="1" applyAlignment="1">
      <alignment horizontal="right"/>
    </xf>
    <xf numFmtId="0" fontId="22" fillId="37" borderId="112" xfId="0" applyFont="1" applyFill="1" applyBorder="1" applyAlignment="1">
      <alignment horizontal="right"/>
    </xf>
    <xf numFmtId="0" fontId="22" fillId="29" borderId="86" xfId="0" applyFont="1" applyFill="1" applyBorder="1"/>
    <xf numFmtId="0" fontId="27" fillId="29" borderId="86" xfId="0" applyFont="1" applyFill="1" applyBorder="1"/>
    <xf numFmtId="0" fontId="27" fillId="29" borderId="102" xfId="0" applyFont="1" applyFill="1" applyBorder="1"/>
    <xf numFmtId="166" fontId="27" fillId="29" borderId="86" xfId="0" applyNumberFormat="1" applyFont="1" applyFill="1" applyBorder="1"/>
    <xf numFmtId="166" fontId="27" fillId="29" borderId="102" xfId="0" applyNumberFormat="1" applyFont="1" applyFill="1" applyBorder="1"/>
    <xf numFmtId="166" fontId="22" fillId="29" borderId="86" xfId="1216" applyNumberFormat="1" applyFont="1" applyFill="1" applyBorder="1"/>
    <xf numFmtId="5" fontId="21" fillId="37" borderId="109" xfId="0" applyNumberFormat="1" applyFont="1" applyFill="1" applyBorder="1"/>
    <xf numFmtId="5" fontId="211" fillId="37" borderId="94" xfId="0" applyNumberFormat="1" applyFont="1" applyFill="1" applyBorder="1"/>
    <xf numFmtId="5" fontId="211" fillId="37" borderId="89" xfId="0" applyNumberFormat="1" applyFont="1" applyFill="1" applyBorder="1"/>
    <xf numFmtId="5" fontId="26" fillId="37" borderId="94" xfId="0" applyNumberFormat="1" applyFont="1" applyFill="1" applyBorder="1"/>
    <xf numFmtId="5" fontId="26" fillId="37" borderId="89" xfId="0" applyNumberFormat="1" applyFont="1" applyFill="1" applyBorder="1"/>
    <xf numFmtId="5" fontId="26" fillId="37" borderId="112" xfId="0" applyNumberFormat="1" applyFont="1" applyFill="1" applyBorder="1"/>
    <xf numFmtId="0" fontId="22" fillId="38" borderId="94" xfId="0" applyFont="1" applyFill="1" applyBorder="1" applyAlignment="1">
      <alignment horizontal="left"/>
    </xf>
    <xf numFmtId="0" fontId="22" fillId="38" borderId="94" xfId="0" applyFont="1" applyFill="1" applyBorder="1" applyAlignment="1">
      <alignment horizontal="right"/>
    </xf>
    <xf numFmtId="0" fontId="22" fillId="38" borderId="89" xfId="0" applyFont="1" applyFill="1" applyBorder="1" applyAlignment="1">
      <alignment horizontal="right"/>
    </xf>
    <xf numFmtId="214" fontId="211" fillId="42" borderId="76" xfId="0" applyNumberFormat="1" applyFont="1" applyFill="1" applyBorder="1" applyAlignment="1">
      <alignment horizontal="right"/>
    </xf>
    <xf numFmtId="214" fontId="211" fillId="29" borderId="76" xfId="0" applyNumberFormat="1" applyFont="1" applyFill="1" applyBorder="1"/>
    <xf numFmtId="214" fontId="211" fillId="29" borderId="82" xfId="0" applyNumberFormat="1" applyFont="1" applyFill="1" applyBorder="1"/>
    <xf numFmtId="37" fontId="21" fillId="29" borderId="0" xfId="0" applyNumberFormat="1" applyFont="1" applyFill="1"/>
    <xf numFmtId="37" fontId="21" fillId="29" borderId="0" xfId="1216" applyNumberFormat="1" applyFont="1" applyFill="1" applyBorder="1"/>
    <xf numFmtId="37" fontId="211" fillId="29" borderId="0" xfId="0" applyNumberFormat="1" applyFont="1" applyFill="1"/>
    <xf numFmtId="37" fontId="211" fillId="29" borderId="81" xfId="0" applyNumberFormat="1" applyFont="1" applyFill="1" applyBorder="1"/>
    <xf numFmtId="37" fontId="211" fillId="29" borderId="0" xfId="1216" applyNumberFormat="1" applyFont="1" applyFill="1" applyBorder="1"/>
    <xf numFmtId="313" fontId="21" fillId="29" borderId="76" xfId="1216" applyNumberFormat="1" applyFont="1" applyFill="1" applyBorder="1"/>
    <xf numFmtId="313" fontId="21" fillId="29" borderId="76" xfId="0" applyNumberFormat="1" applyFont="1" applyFill="1" applyBorder="1"/>
    <xf numFmtId="313" fontId="26" fillId="29" borderId="76" xfId="0" applyNumberFormat="1" applyFont="1" applyFill="1" applyBorder="1"/>
    <xf numFmtId="214" fontId="211" fillId="42" borderId="0" xfId="1216" applyNumberFormat="1" applyFont="1" applyFill="1" applyBorder="1"/>
    <xf numFmtId="37" fontId="21" fillId="29" borderId="81" xfId="0" applyNumberFormat="1" applyFont="1" applyFill="1" applyBorder="1"/>
    <xf numFmtId="341" fontId="26" fillId="29" borderId="98" xfId="0" applyNumberFormat="1" applyFont="1" applyFill="1" applyBorder="1"/>
    <xf numFmtId="341" fontId="26" fillId="29" borderId="97" xfId="0" applyNumberFormat="1" applyFont="1" applyFill="1" applyBorder="1"/>
    <xf numFmtId="214" fontId="27" fillId="29" borderId="0" xfId="0" applyNumberFormat="1" applyFont="1" applyFill="1"/>
    <xf numFmtId="341" fontId="21" fillId="29" borderId="0" xfId="0" applyNumberFormat="1" applyFont="1" applyFill="1"/>
    <xf numFmtId="341" fontId="26" fillId="29" borderId="81" xfId="0" applyNumberFormat="1" applyFont="1" applyFill="1" applyBorder="1"/>
    <xf numFmtId="341" fontId="21" fillId="29" borderId="0" xfId="1216" applyNumberFormat="1" applyFont="1" applyFill="1" applyBorder="1"/>
    <xf numFmtId="341" fontId="211" fillId="29" borderId="0" xfId="1216" applyNumberFormat="1" applyFont="1" applyFill="1" applyBorder="1"/>
    <xf numFmtId="341" fontId="21" fillId="29" borderId="17" xfId="0" applyNumberFormat="1" applyFont="1" applyFill="1" applyBorder="1"/>
    <xf numFmtId="341" fontId="26" fillId="29" borderId="17" xfId="0" applyNumberFormat="1" applyFont="1" applyFill="1" applyBorder="1"/>
    <xf numFmtId="341" fontId="26" fillId="29" borderId="88" xfId="0" applyNumberFormat="1" applyFont="1" applyFill="1" applyBorder="1"/>
    <xf numFmtId="341" fontId="21" fillId="29" borderId="17" xfId="1216" applyNumberFormat="1" applyFont="1" applyFill="1" applyBorder="1"/>
    <xf numFmtId="341" fontId="211" fillId="29" borderId="17" xfId="0" applyNumberFormat="1" applyFont="1" applyFill="1" applyBorder="1"/>
    <xf numFmtId="341" fontId="211" fillId="29" borderId="88" xfId="0" applyNumberFormat="1" applyFont="1" applyFill="1" applyBorder="1"/>
    <xf numFmtId="341" fontId="211" fillId="42" borderId="88" xfId="0" applyNumberFormat="1" applyFont="1" applyFill="1" applyBorder="1"/>
    <xf numFmtId="341" fontId="211" fillId="42" borderId="17" xfId="1216" applyNumberFormat="1" applyFont="1" applyFill="1" applyBorder="1"/>
    <xf numFmtId="341" fontId="211" fillId="42" borderId="17" xfId="0" applyNumberFormat="1" applyFont="1" applyFill="1" applyBorder="1"/>
    <xf numFmtId="9" fontId="21" fillId="29" borderId="0" xfId="1" applyNumberFormat="1" applyFont="1" applyFill="1" applyBorder="1"/>
    <xf numFmtId="9" fontId="26" fillId="29" borderId="47" xfId="0" applyNumberFormat="1" applyFont="1" applyFill="1" applyBorder="1"/>
    <xf numFmtId="319" fontId="26" fillId="29" borderId="81" xfId="2" applyNumberFormat="1" applyFont="1" applyFill="1" applyBorder="1"/>
    <xf numFmtId="313" fontId="211" fillId="29" borderId="0" xfId="0" applyNumberFormat="1" applyFont="1" applyFill="1"/>
    <xf numFmtId="9" fontId="211" fillId="42" borderId="0" xfId="1216" applyFont="1" applyFill="1" applyBorder="1"/>
    <xf numFmtId="341" fontId="27" fillId="29" borderId="86" xfId="0" applyNumberFormat="1" applyFont="1" applyFill="1" applyBorder="1"/>
    <xf numFmtId="341" fontId="27" fillId="29" borderId="102" xfId="0" applyNumberFormat="1" applyFont="1" applyFill="1" applyBorder="1"/>
    <xf numFmtId="341" fontId="22" fillId="29" borderId="86" xfId="1216" applyNumberFormat="1" applyFont="1" applyFill="1" applyBorder="1"/>
    <xf numFmtId="341" fontId="27" fillId="29" borderId="0" xfId="0" applyNumberFormat="1" applyFont="1" applyFill="1"/>
    <xf numFmtId="5" fontId="226" fillId="29" borderId="82" xfId="0" applyNumberFormat="1" applyFont="1" applyFill="1" applyBorder="1"/>
    <xf numFmtId="5" fontId="226" fillId="29" borderId="76" xfId="0" applyNumberFormat="1" applyFont="1" applyFill="1" applyBorder="1"/>
    <xf numFmtId="5" fontId="226" fillId="29" borderId="81" xfId="0" applyNumberFormat="1" applyFont="1" applyFill="1" applyBorder="1"/>
    <xf numFmtId="5" fontId="211" fillId="29" borderId="82" xfId="0" applyNumberFormat="1" applyFont="1" applyFill="1" applyBorder="1"/>
    <xf numFmtId="321" fontId="211" fillId="42" borderId="0" xfId="0" applyNumberFormat="1" applyFont="1" applyFill="1" applyAlignment="1">
      <alignment horizontal="right"/>
    </xf>
    <xf numFmtId="341" fontId="26" fillId="29" borderId="81" xfId="1" applyNumberFormat="1" applyFont="1" applyFill="1" applyBorder="1"/>
    <xf numFmtId="313" fontId="26" fillId="29" borderId="81" xfId="63" applyNumberFormat="1" applyFont="1" applyFill="1" applyBorder="1"/>
    <xf numFmtId="313" fontId="26" fillId="29" borderId="0" xfId="63" applyNumberFormat="1" applyFont="1" applyFill="1"/>
    <xf numFmtId="3" fontId="220" fillId="29" borderId="86" xfId="0" applyNumberFormat="1" applyFont="1" applyFill="1" applyBorder="1"/>
    <xf numFmtId="3" fontId="220" fillId="29" borderId="102" xfId="0" applyNumberFormat="1" applyFont="1" applyFill="1" applyBorder="1"/>
    <xf numFmtId="5" fontId="22" fillId="36" borderId="86" xfId="0" applyNumberFormat="1" applyFont="1" applyFill="1" applyBorder="1"/>
    <xf numFmtId="5" fontId="22" fillId="37" borderId="104" xfId="0" applyNumberFormat="1" applyFont="1" applyFill="1" applyBorder="1"/>
    <xf numFmtId="5" fontId="22" fillId="37" borderId="86" xfId="0" applyNumberFormat="1" applyFont="1" applyFill="1" applyBorder="1"/>
    <xf numFmtId="5" fontId="22" fillId="37" borderId="102" xfId="0" applyNumberFormat="1" applyFont="1" applyFill="1" applyBorder="1"/>
    <xf numFmtId="5" fontId="220" fillId="29" borderId="86" xfId="0" applyNumberFormat="1" applyFont="1" applyFill="1" applyBorder="1"/>
    <xf numFmtId="5" fontId="220" fillId="29" borderId="102" xfId="0" applyNumberFormat="1" applyFont="1" applyFill="1" applyBorder="1"/>
    <xf numFmtId="5" fontId="220" fillId="29" borderId="104" xfId="0" applyNumberFormat="1" applyFont="1" applyFill="1" applyBorder="1"/>
    <xf numFmtId="9" fontId="21" fillId="29" borderId="92" xfId="0" applyNumberFormat="1" applyFont="1" applyFill="1" applyBorder="1"/>
    <xf numFmtId="9" fontId="26" fillId="37" borderId="17" xfId="0" applyNumberFormat="1" applyFont="1" applyFill="1" applyBorder="1" applyAlignment="1">
      <alignment horizontal="right"/>
    </xf>
    <xf numFmtId="9" fontId="26" fillId="37" borderId="88" xfId="0" applyNumberFormat="1" applyFont="1" applyFill="1" applyBorder="1" applyAlignment="1">
      <alignment horizontal="right"/>
    </xf>
    <xf numFmtId="9" fontId="26" fillId="37" borderId="90" xfId="0" applyNumberFormat="1" applyFont="1" applyFill="1" applyBorder="1" applyAlignment="1">
      <alignment horizontal="right"/>
    </xf>
    <xf numFmtId="9" fontId="26" fillId="37" borderId="0" xfId="0" applyNumberFormat="1" applyFont="1" applyFill="1" applyAlignment="1">
      <alignment horizontal="right"/>
    </xf>
    <xf numFmtId="9" fontId="26" fillId="37" borderId="81" xfId="0" applyNumberFormat="1" applyFont="1" applyFill="1" applyBorder="1" applyAlignment="1">
      <alignment horizontal="right"/>
    </xf>
    <xf numFmtId="9" fontId="26" fillId="37" borderId="92" xfId="0" applyNumberFormat="1" applyFont="1" applyFill="1" applyBorder="1" applyAlignment="1">
      <alignment horizontal="right"/>
    </xf>
    <xf numFmtId="0" fontId="22" fillId="37" borderId="86" xfId="0" applyFont="1" applyFill="1" applyBorder="1"/>
    <xf numFmtId="9" fontId="27" fillId="37" borderId="86" xfId="0" applyNumberFormat="1" applyFont="1" applyFill="1" applyBorder="1"/>
    <xf numFmtId="9" fontId="27" fillId="37" borderId="102" xfId="0" applyNumberFormat="1" applyFont="1" applyFill="1" applyBorder="1"/>
    <xf numFmtId="9" fontId="27" fillId="37" borderId="86" xfId="0" applyNumberFormat="1" applyFont="1" applyFill="1" applyBorder="1" applyAlignment="1">
      <alignment horizontal="right"/>
    </xf>
    <xf numFmtId="9" fontId="27" fillId="37" borderId="102" xfId="0" applyNumberFormat="1" applyFont="1" applyFill="1" applyBorder="1" applyAlignment="1">
      <alignment horizontal="right"/>
    </xf>
    <xf numFmtId="9" fontId="27" fillId="37" borderId="104" xfId="0" applyNumberFormat="1" applyFont="1" applyFill="1" applyBorder="1" applyAlignment="1">
      <alignment horizontal="right"/>
    </xf>
    <xf numFmtId="9" fontId="211" fillId="37" borderId="0" xfId="0" applyNumberFormat="1" applyFont="1" applyFill="1"/>
    <xf numFmtId="9" fontId="21" fillId="37" borderId="0" xfId="0" applyNumberFormat="1" applyFont="1" applyFill="1" applyAlignment="1">
      <alignment horizontal="right"/>
    </xf>
    <xf numFmtId="9" fontId="21" fillId="37" borderId="81" xfId="0" applyNumberFormat="1" applyFont="1" applyFill="1" applyBorder="1" applyAlignment="1">
      <alignment horizontal="right"/>
    </xf>
    <xf numFmtId="9" fontId="21" fillId="37" borderId="0" xfId="1216" applyFont="1" applyFill="1" applyBorder="1"/>
    <xf numFmtId="9" fontId="21" fillId="37" borderId="0" xfId="1216" applyFont="1" applyFill="1" applyBorder="1" applyAlignment="1">
      <alignment horizontal="right"/>
    </xf>
    <xf numFmtId="9" fontId="21" fillId="37" borderId="92" xfId="0" applyNumberFormat="1" applyFont="1" applyFill="1" applyBorder="1" applyAlignment="1">
      <alignment horizontal="right"/>
    </xf>
    <xf numFmtId="9" fontId="22" fillId="37" borderId="86" xfId="1216" applyFont="1" applyFill="1" applyBorder="1" applyAlignment="1">
      <alignment horizontal="right"/>
    </xf>
    <xf numFmtId="9" fontId="22" fillId="37" borderId="86" xfId="0" applyNumberFormat="1" applyFont="1" applyFill="1" applyBorder="1" applyAlignment="1">
      <alignment horizontal="right"/>
    </xf>
    <xf numFmtId="9" fontId="22" fillId="37" borderId="102" xfId="0" applyNumberFormat="1" applyFont="1" applyFill="1" applyBorder="1" applyAlignment="1">
      <alignment horizontal="right"/>
    </xf>
    <xf numFmtId="9" fontId="22" fillId="37" borderId="104" xfId="0" applyNumberFormat="1" applyFont="1" applyFill="1" applyBorder="1" applyAlignment="1">
      <alignment horizontal="right"/>
    </xf>
    <xf numFmtId="341" fontId="22" fillId="29" borderId="111" xfId="0" applyNumberFormat="1" applyFont="1" applyFill="1" applyBorder="1"/>
    <xf numFmtId="341" fontId="27" fillId="29" borderId="113" xfId="0" applyNumberFormat="1" applyFont="1" applyFill="1" applyBorder="1"/>
    <xf numFmtId="341" fontId="21" fillId="29" borderId="67" xfId="0" applyNumberFormat="1" applyFont="1" applyFill="1" applyBorder="1"/>
    <xf numFmtId="341" fontId="211" fillId="42" borderId="68" xfId="0" applyNumberFormat="1" applyFont="1" applyFill="1" applyBorder="1"/>
    <xf numFmtId="341" fontId="21" fillId="29" borderId="93" xfId="0" applyNumberFormat="1" applyFont="1" applyFill="1" applyBorder="1"/>
    <xf numFmtId="341" fontId="211" fillId="29" borderId="8" xfId="0" applyNumberFormat="1" applyFont="1" applyFill="1" applyBorder="1"/>
    <xf numFmtId="341" fontId="22" fillId="29" borderId="93" xfId="0" applyNumberFormat="1" applyFont="1" applyFill="1" applyBorder="1"/>
    <xf numFmtId="9" fontId="26" fillId="29" borderId="8" xfId="0" applyNumberFormat="1" applyFont="1" applyFill="1" applyBorder="1"/>
    <xf numFmtId="9" fontId="21" fillId="29" borderId="109" xfId="0" applyNumberFormat="1" applyFont="1" applyFill="1" applyBorder="1"/>
    <xf numFmtId="9" fontId="26" fillId="29" borderId="94" xfId="0" applyNumberFormat="1" applyFont="1" applyFill="1" applyBorder="1"/>
    <xf numFmtId="9" fontId="26" fillId="29" borderId="89" xfId="0" applyNumberFormat="1" applyFont="1" applyFill="1" applyBorder="1"/>
    <xf numFmtId="9" fontId="21" fillId="29" borderId="94" xfId="1216" applyFont="1" applyFill="1" applyBorder="1"/>
    <xf numFmtId="9" fontId="21" fillId="29" borderId="94" xfId="0" applyNumberFormat="1" applyFont="1" applyFill="1" applyBorder="1"/>
    <xf numFmtId="9" fontId="26" fillId="29" borderId="112" xfId="0" applyNumberFormat="1" applyFont="1" applyFill="1" applyBorder="1"/>
    <xf numFmtId="9" fontId="211" fillId="42" borderId="0" xfId="0" applyNumberFormat="1" applyFont="1" applyFill="1" applyAlignment="1">
      <alignment horizontal="right"/>
    </xf>
    <xf numFmtId="9" fontId="211" fillId="42" borderId="81" xfId="0" applyNumberFormat="1" applyFont="1" applyFill="1" applyBorder="1" applyAlignment="1">
      <alignment horizontal="right"/>
    </xf>
    <xf numFmtId="9" fontId="211" fillId="42" borderId="0" xfId="1216" applyFont="1" applyFill="1" applyBorder="1" applyAlignment="1">
      <alignment horizontal="right"/>
    </xf>
    <xf numFmtId="313" fontId="211" fillId="42" borderId="0" xfId="0" applyNumberFormat="1" applyFont="1" applyFill="1"/>
    <xf numFmtId="313" fontId="211" fillId="42" borderId="81" xfId="0" applyNumberFormat="1" applyFont="1" applyFill="1" applyBorder="1"/>
    <xf numFmtId="334" fontId="211" fillId="42" borderId="0" xfId="1216" applyNumberFormat="1" applyFont="1" applyFill="1" applyBorder="1"/>
    <xf numFmtId="334" fontId="211" fillId="42" borderId="0" xfId="0" applyNumberFormat="1" applyFont="1" applyFill="1"/>
    <xf numFmtId="334" fontId="211" fillId="42" borderId="81" xfId="0" applyNumberFormat="1" applyFont="1" applyFill="1" applyBorder="1"/>
    <xf numFmtId="334" fontId="211" fillId="42" borderId="8" xfId="0" applyNumberFormat="1" applyFont="1" applyFill="1" applyBorder="1"/>
    <xf numFmtId="342" fontId="26" fillId="29" borderId="0" xfId="0" applyNumberFormat="1" applyFont="1" applyFill="1"/>
    <xf numFmtId="341" fontId="26" fillId="0" borderId="98" xfId="0" applyNumberFormat="1" applyFont="1" applyBorder="1"/>
    <xf numFmtId="341" fontId="26" fillId="0" borderId="97" xfId="0" applyNumberFormat="1" applyFont="1" applyBorder="1"/>
    <xf numFmtId="341" fontId="26" fillId="37" borderId="98" xfId="0" applyNumberFormat="1" applyFont="1" applyFill="1" applyBorder="1"/>
    <xf numFmtId="341" fontId="26" fillId="37" borderId="97" xfId="0" applyNumberFormat="1" applyFont="1" applyFill="1" applyBorder="1"/>
    <xf numFmtId="341" fontId="26" fillId="42" borderId="98" xfId="0" applyNumberFormat="1" applyFont="1" applyFill="1" applyBorder="1"/>
    <xf numFmtId="341" fontId="26" fillId="42" borderId="97" xfId="0" applyNumberFormat="1" applyFont="1" applyFill="1" applyBorder="1"/>
    <xf numFmtId="341" fontId="26" fillId="0" borderId="100" xfId="0" applyNumberFormat="1" applyFont="1" applyBorder="1"/>
    <xf numFmtId="341" fontId="26" fillId="0" borderId="81" xfId="0" applyNumberFormat="1" applyFont="1" applyBorder="1"/>
    <xf numFmtId="341" fontId="226" fillId="36" borderId="92" xfId="0" applyNumberFormat="1" applyFont="1" applyFill="1" applyBorder="1"/>
    <xf numFmtId="341" fontId="226" fillId="36" borderId="0" xfId="0" applyNumberFormat="1" applyFont="1" applyFill="1"/>
    <xf numFmtId="341" fontId="226" fillId="36" borderId="81" xfId="0" applyNumberFormat="1" applyFont="1" applyFill="1" applyBorder="1"/>
    <xf numFmtId="341" fontId="226" fillId="37" borderId="92" xfId="0" applyNumberFormat="1" applyFont="1" applyFill="1" applyBorder="1"/>
    <xf numFmtId="341" fontId="226" fillId="37" borderId="0" xfId="0" applyNumberFormat="1" applyFont="1" applyFill="1"/>
    <xf numFmtId="341" fontId="226" fillId="37" borderId="81" xfId="0" applyNumberFormat="1" applyFont="1" applyFill="1" applyBorder="1"/>
    <xf numFmtId="341" fontId="226" fillId="42" borderId="92" xfId="0" applyNumberFormat="1" applyFont="1" applyFill="1" applyBorder="1"/>
    <xf numFmtId="341" fontId="226" fillId="42" borderId="0" xfId="0" applyNumberFormat="1" applyFont="1" applyFill="1"/>
    <xf numFmtId="341" fontId="226" fillId="42" borderId="81" xfId="0" applyNumberFormat="1" applyFont="1" applyFill="1" applyBorder="1"/>
    <xf numFmtId="341" fontId="226" fillId="42" borderId="91" xfId="0" applyNumberFormat="1" applyFont="1" applyFill="1" applyBorder="1"/>
    <xf numFmtId="341" fontId="226" fillId="42" borderId="76" xfId="0" applyNumberFormat="1" applyFont="1" applyFill="1" applyBorder="1"/>
    <xf numFmtId="341" fontId="226" fillId="42" borderId="82" xfId="0" applyNumberFormat="1" applyFont="1" applyFill="1" applyBorder="1"/>
    <xf numFmtId="341" fontId="26" fillId="0" borderId="92" xfId="0" applyNumberFormat="1" applyFont="1" applyBorder="1"/>
    <xf numFmtId="341" fontId="211" fillId="37" borderId="81" xfId="0" applyNumberFormat="1" applyFont="1" applyFill="1" applyBorder="1"/>
    <xf numFmtId="341" fontId="27" fillId="0" borderId="0" xfId="0" applyNumberFormat="1" applyFont="1"/>
    <xf numFmtId="214" fontId="21" fillId="29" borderId="81" xfId="0" applyNumberFormat="1" applyFont="1" applyFill="1" applyBorder="1"/>
    <xf numFmtId="341" fontId="21" fillId="29" borderId="94" xfId="0" applyNumberFormat="1" applyFont="1" applyFill="1" applyBorder="1"/>
    <xf numFmtId="341" fontId="26" fillId="29" borderId="94" xfId="0" applyNumberFormat="1" applyFont="1" applyFill="1" applyBorder="1"/>
    <xf numFmtId="341" fontId="26" fillId="29" borderId="89" xfId="0" applyNumberFormat="1" applyFont="1" applyFill="1" applyBorder="1"/>
    <xf numFmtId="341" fontId="21" fillId="29" borderId="94" xfId="1216" applyNumberFormat="1" applyFont="1" applyFill="1" applyBorder="1"/>
    <xf numFmtId="214" fontId="211" fillId="42" borderId="0" xfId="0" applyNumberFormat="1" applyFont="1" applyFill="1" applyAlignment="1">
      <alignment horizontal="right"/>
    </xf>
    <xf numFmtId="214" fontId="211" fillId="29" borderId="0" xfId="1216" applyNumberFormat="1" applyFont="1" applyFill="1" applyBorder="1"/>
    <xf numFmtId="214" fontId="211" fillId="42" borderId="81" xfId="0" applyNumberFormat="1" applyFont="1" applyFill="1" applyBorder="1" applyAlignment="1">
      <alignment horizontal="right"/>
    </xf>
    <xf numFmtId="0" fontId="22" fillId="41" borderId="0" xfId="0" applyFont="1" applyFill="1" applyAlignment="1">
      <alignment horizontal="center"/>
    </xf>
    <xf numFmtId="193" fontId="22" fillId="19" borderId="0" xfId="1" applyNumberFormat="1" applyFont="1" applyFill="1" applyBorder="1" applyAlignment="1">
      <alignment horizontal="left"/>
    </xf>
    <xf numFmtId="193" fontId="22" fillId="19" borderId="0" xfId="1" applyNumberFormat="1" applyFont="1" applyFill="1" applyBorder="1" applyAlignment="1"/>
    <xf numFmtId="37" fontId="21" fillId="0" borderId="0" xfId="508" applyNumberFormat="1" applyFont="1" applyBorder="1" applyAlignment="1"/>
    <xf numFmtId="37" fontId="21" fillId="0" borderId="0" xfId="508" applyNumberFormat="1" applyFont="1" applyFill="1" applyBorder="1" applyAlignment="1"/>
    <xf numFmtId="0" fontId="22" fillId="37" borderId="94" xfId="63" applyFont="1" applyFill="1" applyBorder="1"/>
    <xf numFmtId="3" fontId="22" fillId="37" borderId="94" xfId="0" applyNumberFormat="1" applyFont="1" applyFill="1" applyBorder="1"/>
    <xf numFmtId="3" fontId="22" fillId="37" borderId="89" xfId="0" applyNumberFormat="1" applyFont="1" applyFill="1" applyBorder="1"/>
    <xf numFmtId="3" fontId="22" fillId="37" borderId="96" xfId="0" applyNumberFormat="1" applyFont="1" applyFill="1" applyBorder="1"/>
    <xf numFmtId="193" fontId="21" fillId="19" borderId="0" xfId="1" applyNumberFormat="1" applyFont="1" applyFill="1" applyBorder="1" applyAlignment="1">
      <alignment horizontal="left"/>
    </xf>
    <xf numFmtId="3" fontId="211" fillId="42" borderId="0" xfId="0" applyNumberFormat="1" applyFont="1" applyFill="1"/>
    <xf numFmtId="3" fontId="261" fillId="42" borderId="81" xfId="0" applyNumberFormat="1" applyFont="1" applyFill="1" applyBorder="1"/>
    <xf numFmtId="3" fontId="261" fillId="42" borderId="0" xfId="0" applyNumberFormat="1" applyFont="1" applyFill="1"/>
    <xf numFmtId="193" fontId="218" fillId="42" borderId="81" xfId="1" applyNumberFormat="1" applyFont="1" applyFill="1" applyBorder="1"/>
    <xf numFmtId="193" fontId="218" fillId="42" borderId="0" xfId="1" applyNumberFormat="1" applyFont="1" applyFill="1" applyBorder="1"/>
    <xf numFmtId="193" fontId="262" fillId="42" borderId="81" xfId="1" applyNumberFormat="1" applyFont="1" applyFill="1" applyBorder="1"/>
    <xf numFmtId="193" fontId="262" fillId="42" borderId="0" xfId="1" applyNumberFormat="1" applyFont="1" applyFill="1" applyBorder="1"/>
    <xf numFmtId="314" fontId="21" fillId="0" borderId="0" xfId="2" applyNumberFormat="1" applyFont="1"/>
    <xf numFmtId="314" fontId="21" fillId="19" borderId="0" xfId="2" applyNumberFormat="1" applyFont="1" applyFill="1" applyBorder="1" applyAlignment="1">
      <alignment horizontal="right"/>
    </xf>
    <xf numFmtId="314" fontId="21" fillId="19" borderId="81" xfId="2" applyNumberFormat="1" applyFont="1" applyFill="1" applyBorder="1" applyAlignment="1">
      <alignment horizontal="right"/>
    </xf>
    <xf numFmtId="314" fontId="21" fillId="0" borderId="81" xfId="2" applyNumberFormat="1" applyFont="1" applyFill="1" applyBorder="1" applyAlignment="1">
      <alignment horizontal="right"/>
    </xf>
    <xf numFmtId="314" fontId="21" fillId="19" borderId="92" xfId="2" applyNumberFormat="1" applyFont="1" applyFill="1" applyBorder="1" applyAlignment="1">
      <alignment horizontal="right"/>
    </xf>
    <xf numFmtId="314" fontId="240" fillId="0" borderId="0" xfId="0" applyNumberFormat="1" applyFont="1" applyAlignment="1">
      <alignment horizontal="right"/>
    </xf>
    <xf numFmtId="314" fontId="21" fillId="0" borderId="0" xfId="2" applyNumberFormat="1" applyFont="1" applyFill="1" applyBorder="1"/>
    <xf numFmtId="317" fontId="262" fillId="42" borderId="81" xfId="0" applyNumberFormat="1" applyFont="1" applyFill="1" applyBorder="1" applyAlignment="1">
      <alignment horizontal="right"/>
    </xf>
    <xf numFmtId="317" fontId="262" fillId="42" borderId="0" xfId="0" applyNumberFormat="1" applyFont="1" applyFill="1" applyAlignment="1">
      <alignment horizontal="right"/>
    </xf>
    <xf numFmtId="0" fontId="22" fillId="41" borderId="90" xfId="0" applyFont="1" applyFill="1" applyBorder="1" applyAlignment="1">
      <alignment horizontal="right"/>
    </xf>
    <xf numFmtId="17" fontId="22" fillId="41" borderId="92" xfId="0" applyNumberFormat="1" applyFont="1" applyFill="1" applyBorder="1" applyAlignment="1">
      <alignment horizontal="right"/>
    </xf>
    <xf numFmtId="3" fontId="27" fillId="37" borderId="94" xfId="0" applyNumberFormat="1" applyFont="1" applyFill="1" applyBorder="1"/>
    <xf numFmtId="3" fontId="27" fillId="37" borderId="89" xfId="0" applyNumberFormat="1" applyFont="1" applyFill="1" applyBorder="1"/>
    <xf numFmtId="3" fontId="27" fillId="37" borderId="96" xfId="0" applyNumberFormat="1" applyFont="1" applyFill="1" applyBorder="1"/>
    <xf numFmtId="0" fontId="22" fillId="42" borderId="86" xfId="63" applyFont="1" applyFill="1" applyBorder="1"/>
    <xf numFmtId="3" fontId="27" fillId="42" borderId="86" xfId="0" applyNumberFormat="1" applyFont="1" applyFill="1" applyBorder="1"/>
    <xf numFmtId="3" fontId="27" fillId="42" borderId="102" xfId="0" applyNumberFormat="1" applyFont="1" applyFill="1" applyBorder="1"/>
    <xf numFmtId="3" fontId="27" fillId="42" borderId="104" xfId="0" applyNumberFormat="1" applyFont="1" applyFill="1" applyBorder="1"/>
    <xf numFmtId="43" fontId="215" fillId="19" borderId="0" xfId="0" applyNumberFormat="1" applyFont="1" applyFill="1" applyAlignment="1">
      <alignment horizontal="left"/>
    </xf>
    <xf numFmtId="317" fontId="71" fillId="0" borderId="0" xfId="0" applyNumberFormat="1" applyFont="1" applyAlignment="1">
      <alignment horizontal="left"/>
    </xf>
    <xf numFmtId="317" fontId="71" fillId="0" borderId="0" xfId="0" applyNumberFormat="1" applyFont="1" applyAlignment="1">
      <alignment horizontal="right"/>
    </xf>
    <xf numFmtId="317" fontId="71" fillId="0" borderId="81" xfId="0" applyNumberFormat="1" applyFont="1" applyBorder="1" applyAlignment="1">
      <alignment horizontal="right"/>
    </xf>
    <xf numFmtId="317" fontId="71" fillId="29" borderId="0" xfId="0" applyNumberFormat="1" applyFont="1" applyFill="1" applyAlignment="1">
      <alignment horizontal="right"/>
    </xf>
    <xf numFmtId="317" fontId="71" fillId="29" borderId="81" xfId="0" applyNumberFormat="1" applyFont="1" applyFill="1" applyBorder="1" applyAlignment="1">
      <alignment horizontal="right"/>
    </xf>
    <xf numFmtId="317" fontId="71" fillId="29" borderId="92" xfId="0" applyNumberFormat="1" applyFont="1" applyFill="1" applyBorder="1" applyAlignment="1">
      <alignment horizontal="right"/>
    </xf>
    <xf numFmtId="193" fontId="21" fillId="0" borderId="0" xfId="1" applyNumberFormat="1" applyFont="1" applyFill="1" applyBorder="1" applyAlignment="1">
      <alignment horizontal="left"/>
    </xf>
    <xf numFmtId="203" fontId="21" fillId="19" borderId="0" xfId="1" applyNumberFormat="1" applyFont="1" applyFill="1" applyBorder="1" applyAlignment="1">
      <alignment horizontal="right"/>
    </xf>
    <xf numFmtId="203" fontId="21" fillId="19" borderId="81" xfId="1" applyNumberFormat="1" applyFont="1" applyFill="1" applyBorder="1" applyAlignment="1">
      <alignment horizontal="right"/>
    </xf>
    <xf numFmtId="203" fontId="21" fillId="29" borderId="0" xfId="1" applyNumberFormat="1" applyFont="1" applyFill="1" applyBorder="1" applyAlignment="1">
      <alignment horizontal="right"/>
    </xf>
    <xf numFmtId="203" fontId="21" fillId="29" borderId="81" xfId="1" applyNumberFormat="1" applyFont="1" applyFill="1" applyBorder="1" applyAlignment="1">
      <alignment horizontal="right"/>
    </xf>
    <xf numFmtId="203" fontId="21" fillId="29" borderId="92" xfId="1" applyNumberFormat="1" applyFont="1" applyFill="1" applyBorder="1" applyAlignment="1">
      <alignment horizontal="right"/>
    </xf>
    <xf numFmtId="43" fontId="21" fillId="19" borderId="0" xfId="0" applyNumberFormat="1" applyFont="1" applyFill="1" applyAlignment="1">
      <alignment horizontal="right"/>
    </xf>
    <xf numFmtId="166" fontId="21" fillId="29" borderId="0" xfId="2" applyNumberFormat="1" applyFont="1" applyFill="1" applyBorder="1" applyAlignment="1">
      <alignment horizontal="right"/>
    </xf>
    <xf numFmtId="166" fontId="21" fillId="29" borderId="81" xfId="2" applyNumberFormat="1" applyFont="1" applyFill="1" applyBorder="1" applyAlignment="1">
      <alignment horizontal="right"/>
    </xf>
    <xf numFmtId="166" fontId="21" fillId="29" borderId="92" xfId="2" applyNumberFormat="1" applyFont="1" applyFill="1" applyBorder="1" applyAlignment="1">
      <alignment horizontal="right"/>
    </xf>
    <xf numFmtId="9" fontId="21" fillId="0" borderId="81" xfId="0" applyNumberFormat="1" applyFont="1" applyBorder="1"/>
    <xf numFmtId="9" fontId="211" fillId="42" borderId="81" xfId="2" applyFont="1" applyFill="1" applyBorder="1" applyAlignment="1"/>
    <xf numFmtId="9" fontId="211" fillId="42" borderId="0" xfId="2" applyFont="1" applyFill="1" applyBorder="1" applyAlignment="1"/>
    <xf numFmtId="0" fontId="214" fillId="0" borderId="17" xfId="0" applyFont="1" applyBorder="1"/>
    <xf numFmtId="3" fontId="26" fillId="29" borderId="90" xfId="0" applyNumberFormat="1" applyFont="1" applyFill="1" applyBorder="1"/>
    <xf numFmtId="314" fontId="211" fillId="42" borderId="81" xfId="2" applyNumberFormat="1" applyFont="1" applyFill="1" applyBorder="1" applyAlignment="1">
      <alignment horizontal="right"/>
    </xf>
    <xf numFmtId="314" fontId="211" fillId="42" borderId="0" xfId="2" applyNumberFormat="1" applyFont="1" applyFill="1" applyBorder="1" applyAlignment="1">
      <alignment horizontal="right"/>
    </xf>
    <xf numFmtId="193" fontId="211" fillId="42" borderId="81" xfId="1" applyNumberFormat="1" applyFont="1" applyFill="1" applyBorder="1"/>
    <xf numFmtId="193" fontId="211" fillId="42" borderId="0" xfId="1" applyNumberFormat="1" applyFont="1" applyFill="1" applyBorder="1"/>
    <xf numFmtId="166" fontId="211" fillId="42" borderId="0" xfId="2" applyNumberFormat="1" applyFont="1" applyFill="1"/>
    <xf numFmtId="3" fontId="211" fillId="42" borderId="0" xfId="0" applyNumberFormat="1" applyFont="1" applyFill="1" applyAlignment="1">
      <alignment horizontal="right"/>
    </xf>
    <xf numFmtId="3" fontId="211" fillId="42" borderId="81" xfId="0" applyNumberFormat="1" applyFont="1" applyFill="1" applyBorder="1" applyAlignment="1">
      <alignment horizontal="right"/>
    </xf>
    <xf numFmtId="193" fontId="231" fillId="0" borderId="81" xfId="1" applyNumberFormat="1" applyFont="1" applyBorder="1"/>
    <xf numFmtId="193" fontId="231" fillId="0" borderId="0" xfId="1" applyNumberFormat="1" applyFont="1" applyBorder="1"/>
    <xf numFmtId="3" fontId="27" fillId="0" borderId="0" xfId="0" applyNumberFormat="1" applyFont="1" applyAlignment="1">
      <alignment horizontal="center"/>
    </xf>
    <xf numFmtId="313" fontId="21" fillId="0" borderId="81" xfId="0" applyNumberFormat="1" applyFont="1" applyBorder="1"/>
    <xf numFmtId="313" fontId="21" fillId="0" borderId="92" xfId="0" applyNumberFormat="1" applyFont="1" applyBorder="1"/>
    <xf numFmtId="313" fontId="211" fillId="42" borderId="92" xfId="0" applyNumberFormat="1" applyFont="1" applyFill="1" applyBorder="1"/>
    <xf numFmtId="193" fontId="27" fillId="0" borderId="0" xfId="1" applyNumberFormat="1" applyFont="1" applyBorder="1" applyAlignment="1">
      <alignment horizontal="center"/>
    </xf>
    <xf numFmtId="0" fontId="252" fillId="29" borderId="0" xfId="0" applyFont="1" applyFill="1"/>
    <xf numFmtId="320" fontId="26" fillId="29" borderId="0" xfId="1331" applyNumberFormat="1" applyFont="1" applyFill="1"/>
    <xf numFmtId="15" fontId="26" fillId="29" borderId="0" xfId="0" applyNumberFormat="1" applyFont="1" applyFill="1"/>
    <xf numFmtId="0" fontId="221" fillId="29" borderId="0" xfId="0" applyFont="1" applyFill="1" applyAlignment="1">
      <alignment horizontal="left" indent="1"/>
    </xf>
    <xf numFmtId="3" fontId="21" fillId="37" borderId="81" xfId="0" applyNumberFormat="1" applyFont="1" applyFill="1" applyBorder="1"/>
    <xf numFmtId="341" fontId="21" fillId="0" borderId="17" xfId="0" applyNumberFormat="1" applyFont="1" applyBorder="1"/>
    <xf numFmtId="341" fontId="21" fillId="0" borderId="88" xfId="0" applyNumberFormat="1" applyFont="1" applyBorder="1"/>
    <xf numFmtId="341" fontId="21" fillId="0" borderId="90" xfId="0" applyNumberFormat="1" applyFont="1" applyBorder="1"/>
    <xf numFmtId="3" fontId="21" fillId="37" borderId="92" xfId="0" applyNumberFormat="1" applyFont="1" applyFill="1" applyBorder="1"/>
    <xf numFmtId="3" fontId="21" fillId="37" borderId="0" xfId="0" applyNumberFormat="1" applyFont="1" applyFill="1"/>
    <xf numFmtId="3" fontId="21" fillId="0" borderId="92" xfId="0" applyNumberFormat="1" applyFont="1" applyBorder="1" applyAlignment="1">
      <alignment horizontal="right"/>
    </xf>
    <xf numFmtId="3" fontId="21" fillId="0" borderId="81" xfId="0" applyNumberFormat="1" applyFont="1" applyBorder="1" applyAlignment="1">
      <alignment horizontal="right"/>
    </xf>
    <xf numFmtId="3" fontId="223" fillId="0" borderId="76" xfId="0" applyNumberFormat="1" applyFont="1" applyBorder="1"/>
    <xf numFmtId="3" fontId="21" fillId="0" borderId="91" xfId="0" applyNumberFormat="1" applyFont="1" applyBorder="1" applyAlignment="1">
      <alignment horizontal="right"/>
    </xf>
    <xf numFmtId="3" fontId="211" fillId="42" borderId="92" xfId="0" applyNumberFormat="1" applyFont="1" applyFill="1" applyBorder="1"/>
    <xf numFmtId="3" fontId="218" fillId="42" borderId="81" xfId="0" applyNumberFormat="1" applyFont="1" applyFill="1" applyBorder="1"/>
    <xf numFmtId="3" fontId="218" fillId="42" borderId="0" xfId="0" applyNumberFormat="1" applyFont="1" applyFill="1"/>
    <xf numFmtId="3" fontId="218" fillId="42" borderId="92" xfId="0" applyNumberFormat="1" applyFont="1" applyFill="1" applyBorder="1"/>
    <xf numFmtId="317" fontId="21" fillId="0" borderId="0" xfId="0" applyNumberFormat="1" applyFont="1" applyAlignment="1">
      <alignment horizontal="right"/>
    </xf>
    <xf numFmtId="317" fontId="21" fillId="0" borderId="81" xfId="0" applyNumberFormat="1" applyFont="1" applyBorder="1" applyAlignment="1">
      <alignment horizontal="right"/>
    </xf>
    <xf numFmtId="317" fontId="21" fillId="29" borderId="0" xfId="0" applyNumberFormat="1" applyFont="1" applyFill="1" applyAlignment="1">
      <alignment horizontal="right"/>
    </xf>
    <xf numFmtId="317" fontId="21" fillId="29" borderId="81" xfId="0" applyNumberFormat="1" applyFont="1" applyFill="1" applyBorder="1" applyAlignment="1">
      <alignment horizontal="right"/>
    </xf>
    <xf numFmtId="37" fontId="21" fillId="0" borderId="0" xfId="1259" applyNumberFormat="1" applyFont="1"/>
    <xf numFmtId="37" fontId="22" fillId="0" borderId="0" xfId="0" applyNumberFormat="1" applyFont="1"/>
    <xf numFmtId="37" fontId="21" fillId="0" borderId="93" xfId="0" applyNumberFormat="1" applyFont="1" applyBorder="1"/>
    <xf numFmtId="37" fontId="71" fillId="37" borderId="93" xfId="0" applyNumberFormat="1" applyFont="1" applyFill="1" applyBorder="1"/>
    <xf numFmtId="37" fontId="71" fillId="37" borderId="0" xfId="0" applyNumberFormat="1" applyFont="1" applyFill="1"/>
    <xf numFmtId="37" fontId="100" fillId="37" borderId="110" xfId="0" applyNumberFormat="1" applyFont="1" applyFill="1" applyBorder="1"/>
    <xf numFmtId="37" fontId="100" fillId="37" borderId="106" xfId="0" applyNumberFormat="1" applyFont="1" applyFill="1" applyBorder="1"/>
    <xf numFmtId="37" fontId="21" fillId="0" borderId="93" xfId="1259" applyNumberFormat="1" applyFont="1" applyBorder="1"/>
    <xf numFmtId="9" fontId="26" fillId="37" borderId="98" xfId="0" applyNumberFormat="1" applyFont="1" applyFill="1" applyBorder="1" applyAlignment="1">
      <alignment horizontal="right"/>
    </xf>
    <xf numFmtId="9" fontId="27" fillId="37" borderId="94" xfId="0" applyNumberFormat="1" applyFont="1" applyFill="1" applyBorder="1" applyAlignment="1">
      <alignment horizontal="right"/>
    </xf>
    <xf numFmtId="166" fontId="26" fillId="29" borderId="17" xfId="0" applyNumberFormat="1" applyFont="1" applyFill="1" applyBorder="1"/>
    <xf numFmtId="3" fontId="221" fillId="0" borderId="17" xfId="0" applyNumberFormat="1" applyFont="1" applyBorder="1"/>
    <xf numFmtId="0" fontId="21" fillId="29" borderId="17" xfId="0" applyFont="1" applyFill="1" applyBorder="1"/>
    <xf numFmtId="0" fontId="211" fillId="29" borderId="17" xfId="0" applyFont="1" applyFill="1" applyBorder="1"/>
    <xf numFmtId="0" fontId="211" fillId="29" borderId="88" xfId="0" applyFont="1" applyFill="1" applyBorder="1"/>
    <xf numFmtId="3" fontId="211" fillId="29" borderId="17" xfId="0" applyNumberFormat="1" applyFont="1" applyFill="1" applyBorder="1"/>
    <xf numFmtId="3" fontId="211" fillId="29" borderId="88" xfId="0" applyNumberFormat="1" applyFont="1" applyFill="1" applyBorder="1"/>
    <xf numFmtId="5" fontId="211" fillId="29" borderId="106" xfId="0" applyNumberFormat="1" applyFont="1" applyFill="1" applyBorder="1"/>
    <xf numFmtId="5" fontId="26" fillId="29" borderId="0" xfId="0" applyNumberFormat="1" applyFont="1" applyFill="1" applyAlignment="1">
      <alignment horizontal="right"/>
    </xf>
    <xf numFmtId="9" fontId="223" fillId="37" borderId="17" xfId="1216" applyFont="1" applyFill="1" applyBorder="1" applyAlignment="1"/>
    <xf numFmtId="9" fontId="223" fillId="37" borderId="0" xfId="1216" applyFont="1" applyFill="1" applyBorder="1" applyAlignment="1"/>
    <xf numFmtId="9" fontId="223" fillId="37" borderId="81" xfId="1216" applyFont="1" applyFill="1" applyBorder="1" applyAlignment="1"/>
    <xf numFmtId="9" fontId="21" fillId="37" borderId="81" xfId="1216" applyFont="1" applyFill="1" applyBorder="1"/>
    <xf numFmtId="9" fontId="21" fillId="37" borderId="92" xfId="1216" applyFont="1" applyFill="1" applyBorder="1"/>
    <xf numFmtId="9" fontId="26" fillId="37" borderId="0" xfId="1216" applyFont="1" applyFill="1" applyBorder="1"/>
    <xf numFmtId="9" fontId="26" fillId="37" borderId="81" xfId="1216" applyFont="1" applyFill="1" applyBorder="1"/>
    <xf numFmtId="9" fontId="26" fillId="37" borderId="0" xfId="1216" applyFont="1" applyFill="1" applyBorder="1" applyAlignment="1">
      <alignment horizontal="right"/>
    </xf>
    <xf numFmtId="9" fontId="21" fillId="37" borderId="0" xfId="0" applyNumberFormat="1" applyFont="1" applyFill="1" applyAlignment="1">
      <alignment horizontal="left"/>
    </xf>
    <xf numFmtId="9" fontId="210" fillId="30" borderId="0" xfId="1216" applyFont="1" applyFill="1" applyBorder="1"/>
    <xf numFmtId="9" fontId="211" fillId="37" borderId="81" xfId="1216" applyFont="1" applyFill="1" applyBorder="1"/>
    <xf numFmtId="9" fontId="211" fillId="37" borderId="0" xfId="1216" applyFont="1" applyFill="1" applyBorder="1"/>
    <xf numFmtId="9" fontId="211" fillId="42" borderId="81" xfId="1216" applyFont="1" applyFill="1" applyBorder="1"/>
    <xf numFmtId="9" fontId="210" fillId="37" borderId="0" xfId="1216" applyFont="1" applyFill="1" applyBorder="1"/>
    <xf numFmtId="9" fontId="210" fillId="37" borderId="81" xfId="1216" applyFont="1" applyFill="1" applyBorder="1"/>
    <xf numFmtId="9" fontId="210" fillId="42" borderId="0" xfId="1216" applyFont="1" applyFill="1" applyBorder="1"/>
    <xf numFmtId="9" fontId="210" fillId="42" borderId="81" xfId="1216" applyFont="1" applyFill="1" applyBorder="1"/>
    <xf numFmtId="5" fontId="211" fillId="29" borderId="115" xfId="0" applyNumberFormat="1" applyFont="1" applyFill="1" applyBorder="1"/>
    <xf numFmtId="314" fontId="21" fillId="42" borderId="94" xfId="0" applyNumberFormat="1" applyFont="1" applyFill="1" applyBorder="1"/>
    <xf numFmtId="341" fontId="211" fillId="42" borderId="0" xfId="1216" applyNumberFormat="1" applyFont="1" applyFill="1" applyBorder="1"/>
    <xf numFmtId="3" fontId="70" fillId="19" borderId="0" xfId="64" applyFont="1" applyFill="1" applyAlignment="1">
      <alignment horizontal="left" indent="5"/>
    </xf>
    <xf numFmtId="0" fontId="40" fillId="0" borderId="0" xfId="1718" applyFont="1"/>
    <xf numFmtId="0" fontId="264" fillId="0" borderId="0" xfId="1718" applyFont="1"/>
    <xf numFmtId="0" fontId="40" fillId="0" borderId="0" xfId="0" applyFont="1"/>
    <xf numFmtId="15" fontId="40" fillId="19" borderId="0" xfId="64" applyNumberFormat="1" applyFont="1" applyFill="1" applyAlignment="1">
      <alignment horizontal="right" indent="2"/>
    </xf>
    <xf numFmtId="37" fontId="70" fillId="19" borderId="0" xfId="1719" applyNumberFormat="1" applyFont="1" applyFill="1"/>
    <xf numFmtId="7" fontId="40" fillId="0" borderId="0" xfId="1720" applyNumberFormat="1" applyFont="1"/>
    <xf numFmtId="0" fontId="235" fillId="42" borderId="5" xfId="0" applyFont="1" applyFill="1" applyBorder="1" applyAlignment="1">
      <alignment horizontal="center"/>
    </xf>
    <xf numFmtId="0" fontId="70" fillId="42" borderId="116" xfId="1718" applyFont="1" applyFill="1" applyBorder="1"/>
    <xf numFmtId="167" fontId="265" fillId="42" borderId="117" xfId="1718" applyNumberFormat="1" applyFont="1" applyFill="1" applyBorder="1"/>
    <xf numFmtId="0" fontId="70" fillId="0" borderId="0" xfId="1718" applyFont="1"/>
    <xf numFmtId="2" fontId="266" fillId="0" borderId="0" xfId="1718" applyNumberFormat="1" applyFont="1" applyAlignment="1">
      <alignment horizontal="center"/>
    </xf>
    <xf numFmtId="0" fontId="40" fillId="0" borderId="118" xfId="1721" applyFont="1" applyBorder="1"/>
    <xf numFmtId="3" fontId="40" fillId="0" borderId="69" xfId="1721" applyNumberFormat="1" applyFont="1" applyBorder="1"/>
    <xf numFmtId="0" fontId="40" fillId="0" borderId="0" xfId="1721" applyFont="1"/>
    <xf numFmtId="37" fontId="268" fillId="0" borderId="0" xfId="1722" applyNumberFormat="1" applyFont="1" applyFill="1" applyBorder="1" applyAlignment="1">
      <alignment horizontal="right"/>
    </xf>
    <xf numFmtId="0" fontId="40" fillId="41" borderId="5" xfId="0" applyFont="1" applyFill="1" applyBorder="1" applyAlignment="1">
      <alignment horizontal="center"/>
    </xf>
    <xf numFmtId="0" fontId="40" fillId="0" borderId="118" xfId="1718" applyFont="1" applyBorder="1"/>
    <xf numFmtId="318" fontId="40" fillId="0" borderId="69" xfId="1718" applyNumberFormat="1" applyFont="1" applyBorder="1"/>
    <xf numFmtId="6" fontId="40" fillId="0" borderId="0" xfId="1718" applyNumberFormat="1" applyFont="1"/>
    <xf numFmtId="14" fontId="40" fillId="0" borderId="0" xfId="1718" applyNumberFormat="1" applyFont="1"/>
    <xf numFmtId="8" fontId="40" fillId="0" borderId="0" xfId="0" applyNumberFormat="1" applyFont="1"/>
    <xf numFmtId="3" fontId="269" fillId="0" borderId="69" xfId="1721" applyNumberFormat="1" applyFont="1" applyBorder="1"/>
    <xf numFmtId="5" fontId="268" fillId="0" borderId="0" xfId="1718" applyNumberFormat="1" applyFont="1"/>
    <xf numFmtId="0" fontId="40" fillId="0" borderId="69" xfId="1718" applyFont="1" applyBorder="1"/>
    <xf numFmtId="229" fontId="40" fillId="0" borderId="0" xfId="1718" applyNumberFormat="1" applyFont="1"/>
    <xf numFmtId="0" fontId="70" fillId="0" borderId="119" xfId="1718" applyFont="1" applyBorder="1"/>
    <xf numFmtId="341" fontId="70" fillId="0" borderId="120" xfId="1718" applyNumberFormat="1" applyFont="1" applyBorder="1"/>
    <xf numFmtId="318" fontId="70" fillId="0" borderId="0" xfId="0" applyNumberFormat="1" applyFont="1" applyAlignment="1">
      <alignment horizontal="center"/>
    </xf>
    <xf numFmtId="40" fontId="40" fillId="0" borderId="0" xfId="1244" applyFont="1" applyBorder="1" applyAlignment="1">
      <alignment horizontal="centerContinuous"/>
    </xf>
    <xf numFmtId="318" fontId="70" fillId="29" borderId="0" xfId="0" applyNumberFormat="1" applyFont="1" applyFill="1" applyAlignment="1">
      <alignment horizontal="center"/>
    </xf>
    <xf numFmtId="9" fontId="40" fillId="0" borderId="0" xfId="1216" applyFont="1"/>
    <xf numFmtId="0" fontId="40" fillId="29" borderId="0" xfId="1718" applyFont="1" applyFill="1"/>
    <xf numFmtId="0" fontId="270" fillId="0" borderId="0" xfId="1718" applyFont="1"/>
    <xf numFmtId="0" fontId="237" fillId="0" borderId="0" xfId="0" applyFont="1"/>
    <xf numFmtId="0" fontId="271" fillId="0" borderId="0" xfId="1718" applyFont="1" applyAlignment="1">
      <alignment horizontal="centerContinuous"/>
    </xf>
    <xf numFmtId="9" fontId="270" fillId="0" borderId="0" xfId="1216" applyFont="1" applyAlignment="1">
      <alignment horizontal="centerContinuous"/>
    </xf>
    <xf numFmtId="7" fontId="40" fillId="0" borderId="0" xfId="1718" applyNumberFormat="1" applyFont="1"/>
    <xf numFmtId="0" fontId="272" fillId="0" borderId="0" xfId="0" applyFont="1" applyAlignment="1">
      <alignment horizontal="center" vertical="center"/>
    </xf>
    <xf numFmtId="0" fontId="271" fillId="44" borderId="116" xfId="1718" applyFont="1" applyFill="1" applyBorder="1"/>
    <xf numFmtId="0" fontId="271" fillId="44" borderId="121" xfId="1718" applyFont="1" applyFill="1" applyBorder="1"/>
    <xf numFmtId="1" fontId="271" fillId="44" borderId="121" xfId="1718" applyNumberFormat="1" applyFont="1" applyFill="1" applyBorder="1"/>
    <xf numFmtId="1" fontId="271" fillId="44" borderId="10" xfId="1718" applyNumberFormat="1" applyFont="1" applyFill="1" applyBorder="1"/>
    <xf numFmtId="1" fontId="271" fillId="44" borderId="117" xfId="1718" applyNumberFormat="1" applyFont="1" applyFill="1" applyBorder="1"/>
    <xf numFmtId="1" fontId="271" fillId="44" borderId="122" xfId="1718" applyNumberFormat="1" applyFont="1" applyFill="1" applyBorder="1" applyAlignment="1">
      <alignment horizontal="right"/>
    </xf>
    <xf numFmtId="1" fontId="271" fillId="0" borderId="0" xfId="1718" applyNumberFormat="1" applyFont="1" applyAlignment="1">
      <alignment horizontal="right"/>
    </xf>
    <xf numFmtId="0" fontId="235" fillId="42" borderId="67" xfId="0" applyFont="1" applyFill="1" applyBorder="1" applyAlignment="1">
      <alignment horizontal="center"/>
    </xf>
    <xf numFmtId="0" fontId="235" fillId="42" borderId="17" xfId="0" applyFont="1" applyFill="1" applyBorder="1" applyAlignment="1">
      <alignment horizontal="center"/>
    </xf>
    <xf numFmtId="0" fontId="235" fillId="42" borderId="68" xfId="0" applyFont="1" applyFill="1" applyBorder="1" applyAlignment="1">
      <alignment horizontal="center"/>
    </xf>
    <xf numFmtId="0" fontId="271" fillId="0" borderId="0" xfId="0" applyFont="1" applyAlignment="1">
      <alignment horizontal="center" vertical="center"/>
    </xf>
    <xf numFmtId="167" fontId="269" fillId="0" borderId="0" xfId="1718" applyNumberFormat="1" applyFont="1"/>
    <xf numFmtId="167" fontId="269" fillId="0" borderId="0" xfId="1722" applyNumberFormat="1" applyFont="1" applyFill="1" applyBorder="1" applyAlignment="1">
      <alignment horizontal="right"/>
    </xf>
    <xf numFmtId="167" fontId="269" fillId="0" borderId="17" xfId="1722" applyNumberFormat="1" applyFont="1" applyFill="1" applyBorder="1" applyAlignment="1">
      <alignment horizontal="right"/>
    </xf>
    <xf numFmtId="167" fontId="269" fillId="0" borderId="69" xfId="1722" applyNumberFormat="1" applyFont="1" applyFill="1" applyBorder="1" applyAlignment="1">
      <alignment horizontal="right"/>
    </xf>
    <xf numFmtId="167" fontId="40" fillId="0" borderId="123" xfId="1722" applyNumberFormat="1" applyFont="1" applyFill="1" applyBorder="1" applyAlignment="1">
      <alignment horizontal="right"/>
    </xf>
    <xf numFmtId="204" fontId="268" fillId="0" borderId="0" xfId="1722" applyNumberFormat="1" applyFont="1" applyFill="1" applyBorder="1" applyAlignment="1">
      <alignment horizontal="right"/>
    </xf>
    <xf numFmtId="0" fontId="232" fillId="0" borderId="67" xfId="0" applyFont="1" applyBorder="1" applyAlignment="1">
      <alignment horizontal="left"/>
    </xf>
    <xf numFmtId="167" fontId="232" fillId="0" borderId="67" xfId="1244" applyNumberFormat="1" applyFont="1" applyFill="1" applyBorder="1" applyAlignment="1">
      <alignment horizontal="center"/>
    </xf>
    <xf numFmtId="167" fontId="232" fillId="0" borderId="17" xfId="1244" applyNumberFormat="1" applyFont="1" applyFill="1" applyBorder="1" applyAlignment="1">
      <alignment horizontal="center"/>
    </xf>
    <xf numFmtId="167" fontId="232" fillId="0" borderId="68" xfId="1244" applyNumberFormat="1" applyFont="1" applyFill="1" applyBorder="1" applyAlignment="1">
      <alignment horizontal="center"/>
    </xf>
    <xf numFmtId="181" fontId="234" fillId="0" borderId="0" xfId="0" applyNumberFormat="1" applyFont="1" applyAlignment="1">
      <alignment horizontal="center" vertical="center"/>
    </xf>
    <xf numFmtId="343" fontId="234" fillId="0" borderId="0" xfId="0" applyNumberFormat="1" applyFont="1" applyAlignment="1">
      <alignment horizontal="center" vertical="center"/>
    </xf>
    <xf numFmtId="9" fontId="40" fillId="0" borderId="0" xfId="1718" applyNumberFormat="1" applyFont="1"/>
    <xf numFmtId="9" fontId="40" fillId="0" borderId="0" xfId="1722" applyNumberFormat="1" applyFont="1" applyFill="1" applyBorder="1" applyAlignment="1">
      <alignment horizontal="right"/>
    </xf>
    <xf numFmtId="9" fontId="40" fillId="0" borderId="69" xfId="1722" applyNumberFormat="1" applyFont="1" applyFill="1" applyBorder="1" applyAlignment="1">
      <alignment horizontal="right"/>
    </xf>
    <xf numFmtId="166" fontId="40" fillId="0" borderId="123" xfId="1722" applyNumberFormat="1" applyFont="1" applyFill="1" applyBorder="1" applyAlignment="1">
      <alignment horizontal="right"/>
    </xf>
    <xf numFmtId="166" fontId="40" fillId="0" borderId="0" xfId="1722" applyNumberFormat="1" applyFont="1" applyFill="1" applyBorder="1" applyAlignment="1">
      <alignment horizontal="right"/>
    </xf>
    <xf numFmtId="0" fontId="232" fillId="0" borderId="65" xfId="0" applyFont="1" applyBorder="1" applyAlignment="1">
      <alignment horizontal="left"/>
    </xf>
    <xf numFmtId="167" fontId="232" fillId="0" borderId="93" xfId="0" applyNumberFormat="1" applyFont="1" applyBorder="1"/>
    <xf numFmtId="167" fontId="232" fillId="0" borderId="8" xfId="0" applyNumberFormat="1" applyFont="1" applyBorder="1"/>
    <xf numFmtId="181" fontId="232" fillId="0" borderId="0" xfId="0" applyNumberFormat="1" applyFont="1" applyAlignment="1">
      <alignment horizontal="center" vertical="center"/>
    </xf>
    <xf numFmtId="343" fontId="232" fillId="0" borderId="0" xfId="0" applyNumberFormat="1" applyFont="1" applyAlignment="1">
      <alignment horizontal="center" vertical="center"/>
    </xf>
    <xf numFmtId="0" fontId="40" fillId="45" borderId="118" xfId="1718" applyFont="1" applyFill="1" applyBorder="1"/>
    <xf numFmtId="0" fontId="40" fillId="45" borderId="0" xfId="1718" applyFont="1" applyFill="1"/>
    <xf numFmtId="9" fontId="40" fillId="45" borderId="0" xfId="1718" applyNumberFormat="1" applyFont="1" applyFill="1"/>
    <xf numFmtId="9" fontId="40" fillId="45" borderId="0" xfId="1723" applyNumberFormat="1" applyFont="1" applyFill="1" applyBorder="1" applyAlignment="1">
      <alignment horizontal="right"/>
    </xf>
    <xf numFmtId="9" fontId="40" fillId="45" borderId="0" xfId="1722" applyNumberFormat="1" applyFont="1" applyFill="1" applyBorder="1" applyAlignment="1">
      <alignment horizontal="right"/>
    </xf>
    <xf numFmtId="9" fontId="40" fillId="45" borderId="69" xfId="1722" quotePrefix="1" applyNumberFormat="1" applyFont="1" applyFill="1" applyBorder="1" applyAlignment="1">
      <alignment horizontal="right"/>
    </xf>
    <xf numFmtId="166" fontId="40" fillId="45" borderId="123" xfId="1722" quotePrefix="1" applyNumberFormat="1" applyFont="1" applyFill="1" applyBorder="1" applyAlignment="1">
      <alignment horizontal="right"/>
    </xf>
    <xf numFmtId="166" fontId="40" fillId="0" borderId="0" xfId="1722" quotePrefix="1" applyNumberFormat="1" applyFont="1" applyFill="1" applyBorder="1" applyAlignment="1">
      <alignment horizontal="right"/>
    </xf>
    <xf numFmtId="0" fontId="232" fillId="0" borderId="93" xfId="0" applyFont="1" applyBorder="1" applyAlignment="1">
      <alignment horizontal="left"/>
    </xf>
    <xf numFmtId="0" fontId="70" fillId="0" borderId="118" xfId="1718" applyFont="1" applyBorder="1"/>
    <xf numFmtId="167" fontId="265" fillId="0" borderId="0" xfId="1718" applyNumberFormat="1" applyFont="1"/>
    <xf numFmtId="167" fontId="265" fillId="0" borderId="0" xfId="1718" applyNumberFormat="1" applyFont="1" applyAlignment="1">
      <alignment horizontal="right"/>
    </xf>
    <xf numFmtId="167" fontId="265" fillId="0" borderId="69" xfId="1718" applyNumberFormat="1" applyFont="1" applyBorder="1" applyAlignment="1">
      <alignment horizontal="right"/>
    </xf>
    <xf numFmtId="179" fontId="70" fillId="0" borderId="123" xfId="1718" applyNumberFormat="1" applyFont="1" applyBorder="1" applyAlignment="1">
      <alignment horizontal="right"/>
    </xf>
    <xf numFmtId="179" fontId="70" fillId="0" borderId="0" xfId="1718" applyNumberFormat="1" applyFont="1" applyAlignment="1">
      <alignment horizontal="right"/>
    </xf>
    <xf numFmtId="167" fontId="232" fillId="0" borderId="93" xfId="1244" applyNumberFormat="1" applyFont="1" applyFill="1" applyBorder="1" applyAlignment="1">
      <alignment horizontal="center"/>
    </xf>
    <xf numFmtId="167" fontId="232" fillId="0" borderId="0" xfId="1244" applyNumberFormat="1" applyFont="1" applyFill="1" applyBorder="1" applyAlignment="1">
      <alignment horizontal="center"/>
    </xf>
    <xf numFmtId="167" fontId="232" fillId="0" borderId="8" xfId="1244" applyNumberFormat="1" applyFont="1" applyFill="1" applyBorder="1" applyAlignment="1">
      <alignment horizontal="center"/>
    </xf>
    <xf numFmtId="0" fontId="232" fillId="0" borderId="93" xfId="0" applyFont="1" applyBorder="1"/>
    <xf numFmtId="0" fontId="232" fillId="0" borderId="8" xfId="0" applyFont="1" applyBorder="1"/>
    <xf numFmtId="166" fontId="40" fillId="45" borderId="123" xfId="1722" applyNumberFormat="1" applyFont="1" applyFill="1" applyBorder="1" applyAlignment="1">
      <alignment horizontal="right"/>
    </xf>
    <xf numFmtId="0" fontId="234" fillId="0" borderId="65" xfId="0" applyFont="1" applyBorder="1" applyAlignment="1">
      <alignment horizontal="left"/>
    </xf>
    <xf numFmtId="8" fontId="40" fillId="0" borderId="0" xfId="1723" applyFont="1" applyFill="1" applyBorder="1" applyAlignment="1">
      <alignment horizontal="right"/>
    </xf>
    <xf numFmtId="166" fontId="40" fillId="0" borderId="69" xfId="1722" applyNumberFormat="1" applyFont="1" applyFill="1" applyBorder="1" applyAlignment="1">
      <alignment horizontal="right"/>
    </xf>
    <xf numFmtId="0" fontId="238" fillId="0" borderId="65" xfId="0" applyFont="1" applyBorder="1" applyAlignment="1">
      <alignment horizontal="left"/>
    </xf>
    <xf numFmtId="0" fontId="238" fillId="0" borderId="93" xfId="0" applyFont="1" applyBorder="1"/>
    <xf numFmtId="0" fontId="238" fillId="0" borderId="8" xfId="0" applyFont="1" applyBorder="1"/>
    <xf numFmtId="3" fontId="269" fillId="0" borderId="0" xfId="1718" applyNumberFormat="1" applyFont="1"/>
    <xf numFmtId="3" fontId="269" fillId="0" borderId="0" xfId="1723" applyNumberFormat="1" applyFont="1" applyFill="1" applyBorder="1" applyAlignment="1">
      <alignment horizontal="right"/>
    </xf>
    <xf numFmtId="3" fontId="269" fillId="0" borderId="0" xfId="1722" applyNumberFormat="1" applyFont="1" applyFill="1" applyBorder="1" applyAlignment="1">
      <alignment horizontal="right"/>
    </xf>
    <xf numFmtId="3" fontId="269" fillId="0" borderId="69" xfId="1722" applyNumberFormat="1" applyFont="1" applyFill="1" applyBorder="1" applyAlignment="1">
      <alignment horizontal="right"/>
    </xf>
    <xf numFmtId="3" fontId="40" fillId="0" borderId="123" xfId="1722" applyNumberFormat="1" applyFont="1" applyFill="1" applyBorder="1" applyAlignment="1">
      <alignment horizontal="right"/>
    </xf>
    <xf numFmtId="3" fontId="232" fillId="0" borderId="93" xfId="1244" applyNumberFormat="1" applyFont="1" applyFill="1" applyBorder="1" applyAlignment="1">
      <alignment horizontal="center"/>
    </xf>
    <xf numFmtId="3" fontId="232" fillId="0" borderId="0" xfId="1244" applyNumberFormat="1" applyFont="1" applyFill="1" applyBorder="1" applyAlignment="1">
      <alignment horizontal="center"/>
    </xf>
    <xf numFmtId="3" fontId="232" fillId="0" borderId="8" xfId="1244" applyNumberFormat="1" applyFont="1" applyFill="1" applyBorder="1" applyAlignment="1">
      <alignment horizontal="center"/>
    </xf>
    <xf numFmtId="204" fontId="40" fillId="0" borderId="123" xfId="1722" applyNumberFormat="1" applyFont="1" applyFill="1" applyBorder="1" applyAlignment="1">
      <alignment horizontal="right"/>
    </xf>
    <xf numFmtId="0" fontId="238" fillId="0" borderId="93" xfId="0" applyFont="1" applyBorder="1" applyAlignment="1">
      <alignment horizontal="left"/>
    </xf>
    <xf numFmtId="0" fontId="238" fillId="0" borderId="77" xfId="0" applyFont="1" applyBorder="1" applyAlignment="1">
      <alignment horizontal="left"/>
    </xf>
    <xf numFmtId="0" fontId="238" fillId="0" borderId="77" xfId="0" applyFont="1" applyBorder="1"/>
    <xf numFmtId="0" fontId="238" fillId="0" borderId="79" xfId="0" applyFont="1" applyBorder="1"/>
    <xf numFmtId="0" fontId="40" fillId="0" borderId="118" xfId="1718" applyFont="1" applyBorder="1" applyAlignment="1">
      <alignment horizontal="left" indent="1"/>
    </xf>
    <xf numFmtId="181" fontId="40" fillId="0" borderId="0" xfId="1216" applyNumberFormat="1" applyFont="1" applyFill="1" applyBorder="1" applyAlignment="1">
      <alignment horizontal="right"/>
    </xf>
    <xf numFmtId="181" fontId="40" fillId="0" borderId="123" xfId="1216" applyNumberFormat="1" applyFont="1" applyFill="1" applyBorder="1" applyAlignment="1">
      <alignment horizontal="right"/>
    </xf>
    <xf numFmtId="0" fontId="40" fillId="0" borderId="0" xfId="1718" applyFont="1" applyAlignment="1">
      <alignment horizontal="right"/>
    </xf>
    <xf numFmtId="7" fontId="40" fillId="0" borderId="0" xfId="0" applyNumberFormat="1" applyFont="1"/>
    <xf numFmtId="5" fontId="40" fillId="0" borderId="0" xfId="0" applyNumberFormat="1" applyFont="1"/>
    <xf numFmtId="0" fontId="40" fillId="45" borderId="118" xfId="1718" applyFont="1" applyFill="1" applyBorder="1" applyAlignment="1">
      <alignment horizontal="left" indent="1"/>
    </xf>
    <xf numFmtId="343" fontId="40" fillId="45" borderId="0" xfId="1216" applyNumberFormat="1" applyFont="1" applyFill="1" applyBorder="1" applyAlignment="1">
      <alignment horizontal="right"/>
    </xf>
    <xf numFmtId="167" fontId="268" fillId="0" borderId="0" xfId="1722" applyNumberFormat="1" applyFont="1" applyFill="1" applyBorder="1" applyAlignment="1">
      <alignment horizontal="right"/>
    </xf>
    <xf numFmtId="204" fontId="40" fillId="0" borderId="0" xfId="1722" applyNumberFormat="1" applyFont="1" applyFill="1" applyBorder="1" applyAlignment="1">
      <alignment horizontal="right"/>
    </xf>
    <xf numFmtId="0" fontId="40" fillId="0" borderId="124" xfId="1718" applyFont="1" applyBorder="1"/>
    <xf numFmtId="0" fontId="40" fillId="0" borderId="76" xfId="1718" applyFont="1" applyBorder="1"/>
    <xf numFmtId="181" fontId="40" fillId="0" borderId="76" xfId="1216" applyNumberFormat="1" applyFont="1" applyFill="1" applyBorder="1" applyAlignment="1">
      <alignment horizontal="right"/>
    </xf>
    <xf numFmtId="0" fontId="40" fillId="0" borderId="0" xfId="1718" applyFont="1" applyAlignment="1">
      <alignment horizontal="left" indent="1"/>
    </xf>
    <xf numFmtId="181" fontId="40" fillId="29" borderId="0" xfId="1216" applyNumberFormat="1" applyFont="1" applyFill="1" applyBorder="1" applyAlignment="1">
      <alignment horizontal="right"/>
    </xf>
    <xf numFmtId="181" fontId="40" fillId="0" borderId="69" xfId="1216" applyNumberFormat="1" applyFont="1" applyFill="1" applyBorder="1" applyAlignment="1">
      <alignment horizontal="right"/>
    </xf>
    <xf numFmtId="318" fontId="40" fillId="0" borderId="123" xfId="0" applyNumberFormat="1" applyFont="1" applyBorder="1"/>
    <xf numFmtId="5" fontId="40" fillId="0" borderId="123" xfId="0" applyNumberFormat="1" applyFont="1" applyBorder="1"/>
    <xf numFmtId="3" fontId="40" fillId="0" borderId="123" xfId="0" applyNumberFormat="1" applyFont="1" applyBorder="1"/>
    <xf numFmtId="318" fontId="70" fillId="0" borderId="0" xfId="1718" applyNumberFormat="1" applyFont="1" applyAlignment="1">
      <alignment horizontal="right"/>
    </xf>
    <xf numFmtId="0" fontId="70" fillId="45" borderId="118" xfId="1718" applyFont="1" applyFill="1" applyBorder="1"/>
    <xf numFmtId="0" fontId="70" fillId="45" borderId="0" xfId="1718" applyFont="1" applyFill="1"/>
    <xf numFmtId="167" fontId="70" fillId="45" borderId="0" xfId="1718" applyNumberFormat="1" applyFont="1" applyFill="1" applyAlignment="1">
      <alignment horizontal="right"/>
    </xf>
    <xf numFmtId="318" fontId="70" fillId="45" borderId="0" xfId="1718" applyNumberFormat="1" applyFont="1" applyFill="1" applyAlignment="1">
      <alignment horizontal="right"/>
    </xf>
    <xf numFmtId="318" fontId="70" fillId="45" borderId="69" xfId="1718" applyNumberFormat="1" applyFont="1" applyFill="1" applyBorder="1" applyAlignment="1">
      <alignment horizontal="right"/>
    </xf>
    <xf numFmtId="341" fontId="70" fillId="45" borderId="123" xfId="1718" applyNumberFormat="1" applyFont="1" applyFill="1" applyBorder="1" applyAlignment="1">
      <alignment horizontal="right"/>
    </xf>
    <xf numFmtId="0" fontId="40" fillId="0" borderId="0" xfId="1216" applyNumberFormat="1" applyFont="1" applyFill="1" applyBorder="1" applyAlignment="1">
      <alignment horizontal="right"/>
    </xf>
    <xf numFmtId="167" fontId="70" fillId="0" borderId="0" xfId="1718" applyNumberFormat="1" applyFont="1" applyAlignment="1">
      <alignment horizontal="right"/>
    </xf>
    <xf numFmtId="318" fontId="70" fillId="0" borderId="69" xfId="1718" applyNumberFormat="1" applyFont="1" applyBorder="1" applyAlignment="1">
      <alignment horizontal="right"/>
    </xf>
    <xf numFmtId="318" fontId="70" fillId="0" borderId="123" xfId="1718" applyNumberFormat="1" applyFont="1" applyBorder="1" applyAlignment="1">
      <alignment horizontal="right"/>
    </xf>
    <xf numFmtId="181" fontId="40" fillId="45" borderId="0" xfId="1216" applyNumberFormat="1" applyFont="1" applyFill="1" applyBorder="1" applyAlignment="1">
      <alignment horizontal="right"/>
    </xf>
    <xf numFmtId="181" fontId="40" fillId="45" borderId="69" xfId="1216" applyNumberFormat="1" applyFont="1" applyFill="1" applyBorder="1" applyAlignment="1">
      <alignment horizontal="right"/>
    </xf>
    <xf numFmtId="181" fontId="40" fillId="45" borderId="123" xfId="1216" applyNumberFormat="1" applyFont="1" applyFill="1" applyBorder="1" applyAlignment="1">
      <alignment horizontal="right"/>
    </xf>
    <xf numFmtId="343" fontId="40" fillId="0" borderId="0" xfId="1216" applyNumberFormat="1" applyFont="1" applyFill="1" applyBorder="1" applyAlignment="1">
      <alignment horizontal="right"/>
    </xf>
    <xf numFmtId="0" fontId="70" fillId="0" borderId="126" xfId="1718" applyFont="1" applyBorder="1"/>
    <xf numFmtId="0" fontId="70" fillId="0" borderId="11" xfId="1718" applyFont="1" applyBorder="1"/>
    <xf numFmtId="166" fontId="70" fillId="0" borderId="11" xfId="65" applyNumberFormat="1" applyFont="1" applyBorder="1" applyAlignment="1">
      <alignment horizontal="right"/>
    </xf>
    <xf numFmtId="166" fontId="70" fillId="0" borderId="127" xfId="65" applyNumberFormat="1" applyFont="1" applyBorder="1" applyAlignment="1">
      <alignment horizontal="right"/>
    </xf>
    <xf numFmtId="166" fontId="70" fillId="0" borderId="128" xfId="65" applyNumberFormat="1" applyFont="1" applyBorder="1" applyAlignment="1">
      <alignment horizontal="right"/>
    </xf>
    <xf numFmtId="1" fontId="70" fillId="0" borderId="0" xfId="1718" applyNumberFormat="1" applyFont="1"/>
    <xf numFmtId="166" fontId="70" fillId="0" borderId="0" xfId="65" applyNumberFormat="1" applyFont="1" applyAlignment="1">
      <alignment horizontal="right"/>
    </xf>
    <xf numFmtId="193" fontId="40" fillId="41" borderId="5" xfId="1" applyNumberFormat="1" applyFont="1" applyFill="1" applyBorder="1" applyAlignment="1">
      <alignment horizontal="center" vertical="center"/>
    </xf>
    <xf numFmtId="314" fontId="21" fillId="37" borderId="0" xfId="0" applyNumberFormat="1" applyFont="1" applyFill="1"/>
    <xf numFmtId="314" fontId="26" fillId="37" borderId="0" xfId="0" applyNumberFormat="1" applyFont="1" applyFill="1"/>
    <xf numFmtId="314" fontId="26" fillId="37" borderId="81" xfId="0" applyNumberFormat="1" applyFont="1" applyFill="1" applyBorder="1"/>
    <xf numFmtId="314" fontId="26" fillId="0" borderId="0" xfId="0" applyNumberFormat="1" applyFont="1"/>
    <xf numFmtId="314" fontId="26" fillId="37" borderId="92" xfId="0" applyNumberFormat="1" applyFont="1" applyFill="1" applyBorder="1"/>
    <xf numFmtId="314" fontId="21" fillId="37" borderId="0" xfId="0" applyNumberFormat="1" applyFont="1" applyFill="1" applyAlignment="1">
      <alignment horizontal="left"/>
    </xf>
    <xf numFmtId="314" fontId="223" fillId="0" borderId="0" xfId="0" applyNumberFormat="1" applyFont="1"/>
    <xf numFmtId="321" fontId="21" fillId="29" borderId="0" xfId="0" applyNumberFormat="1" applyFont="1" applyFill="1"/>
    <xf numFmtId="321" fontId="26" fillId="29" borderId="81" xfId="0" applyNumberFormat="1" applyFont="1" applyFill="1" applyBorder="1"/>
    <xf numFmtId="321" fontId="259" fillId="29" borderId="0" xfId="0" applyNumberFormat="1" applyFont="1" applyFill="1"/>
    <xf numFmtId="321" fontId="259" fillId="29" borderId="81" xfId="0" applyNumberFormat="1" applyFont="1" applyFill="1" applyBorder="1"/>
    <xf numFmtId="0" fontId="26" fillId="41" borderId="17" xfId="0" applyFont="1" applyFill="1" applyBorder="1"/>
    <xf numFmtId="0" fontId="22" fillId="41" borderId="68" xfId="0" applyFont="1" applyFill="1" applyBorder="1" applyAlignment="1">
      <alignment horizontal="right"/>
    </xf>
    <xf numFmtId="17" fontId="22" fillId="41" borderId="8" xfId="0" applyNumberFormat="1" applyFont="1" applyFill="1" applyBorder="1" applyAlignment="1">
      <alignment horizontal="right"/>
    </xf>
    <xf numFmtId="313" fontId="211" fillId="29" borderId="81" xfId="0" applyNumberFormat="1" applyFont="1" applyFill="1" applyBorder="1"/>
    <xf numFmtId="0" fontId="27" fillId="0" borderId="94" xfId="0" applyFont="1" applyBorder="1"/>
    <xf numFmtId="0" fontId="26" fillId="41" borderId="94" xfId="0" applyFont="1" applyFill="1" applyBorder="1"/>
    <xf numFmtId="0" fontId="26" fillId="41" borderId="112" xfId="0" applyFont="1" applyFill="1" applyBorder="1"/>
    <xf numFmtId="9" fontId="26" fillId="41" borderId="94" xfId="2" applyFont="1" applyFill="1" applyBorder="1"/>
    <xf numFmtId="43" fontId="229" fillId="19" borderId="0" xfId="0" applyNumberFormat="1" applyFont="1" applyFill="1" applyAlignment="1">
      <alignment horizontal="right"/>
    </xf>
    <xf numFmtId="43" fontId="229" fillId="19" borderId="8" xfId="0" applyNumberFormat="1" applyFont="1" applyFill="1" applyBorder="1" applyAlignment="1">
      <alignment horizontal="right"/>
    </xf>
    <xf numFmtId="0" fontId="22" fillId="41" borderId="67" xfId="0" applyFont="1" applyFill="1" applyBorder="1" applyAlignment="1">
      <alignment horizontal="right"/>
    </xf>
    <xf numFmtId="17" fontId="22" fillId="41" borderId="93" xfId="0" applyNumberFormat="1" applyFont="1" applyFill="1" applyBorder="1" applyAlignment="1">
      <alignment horizontal="right"/>
    </xf>
    <xf numFmtId="166" fontId="26" fillId="0" borderId="93" xfId="0" applyNumberFormat="1" applyFont="1" applyBorder="1"/>
    <xf numFmtId="3" fontId="21" fillId="0" borderId="93" xfId="0" applyNumberFormat="1" applyFont="1" applyBorder="1"/>
    <xf numFmtId="166" fontId="221" fillId="0" borderId="93" xfId="0" applyNumberFormat="1" applyFont="1" applyBorder="1"/>
    <xf numFmtId="43" fontId="229" fillId="19" borderId="93" xfId="0" applyNumberFormat="1" applyFont="1" applyFill="1" applyBorder="1" applyAlignment="1">
      <alignment horizontal="right"/>
    </xf>
    <xf numFmtId="3" fontId="27" fillId="0" borderId="93" xfId="0" applyNumberFormat="1" applyFont="1" applyBorder="1"/>
    <xf numFmtId="0" fontId="26" fillId="41" borderId="109" xfId="0" applyFont="1" applyFill="1" applyBorder="1"/>
    <xf numFmtId="0" fontId="229" fillId="0" borderId="8" xfId="0" applyFont="1" applyBorder="1"/>
    <xf numFmtId="203" fontId="211" fillId="29" borderId="0" xfId="63" applyNumberFormat="1" applyFont="1" applyFill="1"/>
    <xf numFmtId="203" fontId="26" fillId="29" borderId="0" xfId="63" quotePrefix="1" applyNumberFormat="1" applyFont="1" applyFill="1"/>
    <xf numFmtId="0" fontId="211" fillId="29" borderId="76" xfId="0" applyFont="1" applyFill="1" applyBorder="1"/>
    <xf numFmtId="193" fontId="26" fillId="29" borderId="76" xfId="0" applyNumberFormat="1" applyFont="1" applyFill="1" applyBorder="1"/>
    <xf numFmtId="203" fontId="26" fillId="0" borderId="76" xfId="1" applyNumberFormat="1" applyFont="1" applyBorder="1"/>
    <xf numFmtId="203" fontId="26" fillId="0" borderId="77" xfId="1" applyNumberFormat="1" applyFont="1" applyBorder="1"/>
    <xf numFmtId="203" fontId="26" fillId="0" borderId="79" xfId="1" applyNumberFormat="1" applyFont="1" applyBorder="1"/>
    <xf numFmtId="203" fontId="211" fillId="0" borderId="76" xfId="1" applyNumberFormat="1" applyFont="1" applyBorder="1"/>
    <xf numFmtId="203" fontId="211" fillId="0" borderId="79" xfId="1" applyNumberFormat="1" applyFont="1" applyBorder="1"/>
    <xf numFmtId="203" fontId="211" fillId="0" borderId="77" xfId="1" applyNumberFormat="1" applyFont="1" applyBorder="1"/>
    <xf numFmtId="4" fontId="26" fillId="0" borderId="76" xfId="0" applyNumberFormat="1" applyFont="1" applyBorder="1"/>
    <xf numFmtId="0" fontId="26" fillId="41" borderId="0" xfId="0" applyFont="1" applyFill="1"/>
    <xf numFmtId="0" fontId="27" fillId="41" borderId="0" xfId="0" applyFont="1" applyFill="1" applyAlignment="1">
      <alignment horizontal="right"/>
    </xf>
    <xf numFmtId="0" fontId="229" fillId="0" borderId="0" xfId="0" applyFont="1"/>
    <xf numFmtId="43" fontId="223" fillId="0" borderId="0" xfId="1" applyFont="1" applyBorder="1"/>
    <xf numFmtId="0" fontId="221" fillId="0" borderId="8" xfId="0" applyFont="1" applyBorder="1"/>
    <xf numFmtId="43" fontId="26" fillId="0" borderId="76" xfId="0" applyNumberFormat="1" applyFont="1" applyBorder="1"/>
    <xf numFmtId="9" fontId="26" fillId="41" borderId="94" xfId="2" applyFont="1" applyFill="1" applyBorder="1" applyAlignment="1"/>
    <xf numFmtId="43" fontId="26" fillId="0" borderId="68" xfId="1" applyFont="1" applyBorder="1"/>
    <xf numFmtId="43" fontId="211" fillId="0" borderId="17" xfId="1" applyFont="1" applyBorder="1"/>
    <xf numFmtId="43" fontId="211" fillId="0" borderId="68" xfId="1" applyFont="1" applyBorder="1"/>
    <xf numFmtId="43" fontId="211" fillId="0" borderId="67" xfId="1" applyFont="1" applyBorder="1"/>
    <xf numFmtId="4" fontId="26" fillId="0" borderId="17" xfId="0" applyNumberFormat="1" applyFont="1" applyBorder="1"/>
    <xf numFmtId="43" fontId="26" fillId="0" borderId="17" xfId="0" applyNumberFormat="1" applyFont="1" applyBorder="1"/>
    <xf numFmtId="0" fontId="22" fillId="0" borderId="77" xfId="0" applyFont="1" applyBorder="1"/>
    <xf numFmtId="193" fontId="221" fillId="0" borderId="93" xfId="1" applyNumberFormat="1" applyFont="1" applyBorder="1"/>
    <xf numFmtId="43" fontId="229" fillId="19" borderId="77" xfId="0" applyNumberFormat="1" applyFont="1" applyFill="1" applyBorder="1" applyAlignment="1">
      <alignment horizontal="right"/>
    </xf>
    <xf numFmtId="43" fontId="229" fillId="19" borderId="76" xfId="0" applyNumberFormat="1" applyFont="1" applyFill="1" applyBorder="1" applyAlignment="1">
      <alignment horizontal="right"/>
    </xf>
    <xf numFmtId="43" fontId="229" fillId="19" borderId="79" xfId="0" applyNumberFormat="1" applyFont="1" applyFill="1" applyBorder="1" applyAlignment="1">
      <alignment horizontal="right"/>
    </xf>
    <xf numFmtId="0" fontId="26" fillId="41" borderId="78" xfId="0" applyFont="1" applyFill="1" applyBorder="1"/>
    <xf numFmtId="0" fontId="25" fillId="41" borderId="65" xfId="0" applyFont="1" applyFill="1" applyBorder="1"/>
    <xf numFmtId="166" fontId="21" fillId="0" borderId="65" xfId="2" applyNumberFormat="1" applyFont="1" applyFill="1" applyBorder="1" applyAlignment="1">
      <alignment horizontal="left" indent="1"/>
    </xf>
    <xf numFmtId="166" fontId="71" fillId="0" borderId="65" xfId="2" applyNumberFormat="1" applyFont="1" applyFill="1" applyBorder="1" applyAlignment="1">
      <alignment horizontal="left" indent="1"/>
    </xf>
    <xf numFmtId="0" fontId="27" fillId="0" borderId="65" xfId="0" applyFont="1" applyBorder="1" applyAlignment="1">
      <alignment horizontal="left"/>
    </xf>
    <xf numFmtId="166" fontId="229" fillId="19" borderId="65" xfId="2" applyNumberFormat="1" applyFont="1" applyFill="1" applyBorder="1" applyAlignment="1">
      <alignment horizontal="left" indent="1"/>
    </xf>
    <xf numFmtId="0" fontId="26" fillId="0" borderId="65" xfId="0" applyFont="1" applyBorder="1"/>
    <xf numFmtId="0" fontId="25" fillId="41" borderId="5" xfId="0" applyFont="1" applyFill="1" applyBorder="1"/>
    <xf numFmtId="0" fontId="26" fillId="0" borderId="78" xfId="0" applyFont="1" applyBorder="1"/>
    <xf numFmtId="0" fontId="26" fillId="0" borderId="75" xfId="0" applyFont="1" applyBorder="1"/>
    <xf numFmtId="166" fontId="214" fillId="19" borderId="65" xfId="2" applyNumberFormat="1" applyFont="1" applyFill="1" applyBorder="1" applyAlignment="1">
      <alignment horizontal="left" indent="1"/>
    </xf>
    <xf numFmtId="166" fontId="26" fillId="0" borderId="67" xfId="0" applyNumberFormat="1" applyFont="1" applyBorder="1"/>
    <xf numFmtId="166" fontId="26" fillId="0" borderId="68" xfId="0" applyNumberFormat="1" applyFont="1" applyBorder="1"/>
    <xf numFmtId="37" fontId="70" fillId="0" borderId="0" xfId="0" applyNumberFormat="1" applyFont="1" applyAlignment="1">
      <alignment horizontal="left"/>
    </xf>
    <xf numFmtId="0" fontId="70" fillId="0" borderId="94" xfId="0" applyFont="1" applyBorder="1"/>
    <xf numFmtId="7" fontId="70" fillId="0" borderId="0" xfId="2" applyNumberFormat="1" applyFont="1" applyFill="1" applyBorder="1" applyAlignment="1">
      <alignment horizontal="left"/>
    </xf>
    <xf numFmtId="3" fontId="40" fillId="0" borderId="76" xfId="1" applyNumberFormat="1" applyFont="1" applyFill="1" applyBorder="1"/>
    <xf numFmtId="2" fontId="40" fillId="0" borderId="0" xfId="2" applyNumberFormat="1" applyFont="1" applyFill="1" applyBorder="1" applyAlignment="1">
      <alignment horizontal="left"/>
    </xf>
    <xf numFmtId="3" fontId="232" fillId="0" borderId="76" xfId="0" applyNumberFormat="1" applyFont="1" applyBorder="1"/>
    <xf numFmtId="37" fontId="70" fillId="0" borderId="76" xfId="0" applyNumberFormat="1" applyFont="1" applyBorder="1"/>
    <xf numFmtId="166" fontId="70" fillId="0" borderId="94" xfId="2" applyNumberFormat="1" applyFont="1" applyFill="1" applyBorder="1" applyAlignment="1">
      <alignment horizontal="left"/>
    </xf>
    <xf numFmtId="3" fontId="232" fillId="0" borderId="17" xfId="0" applyNumberFormat="1" applyFont="1" applyBorder="1"/>
    <xf numFmtId="3" fontId="232" fillId="0" borderId="94" xfId="0" applyNumberFormat="1" applyFont="1" applyBorder="1"/>
    <xf numFmtId="0" fontId="253" fillId="46" borderId="94" xfId="0" applyFont="1" applyFill="1" applyBorder="1"/>
    <xf numFmtId="3" fontId="232" fillId="46" borderId="94" xfId="0" applyNumberFormat="1" applyFont="1" applyFill="1" applyBorder="1"/>
    <xf numFmtId="341" fontId="234" fillId="0" borderId="94" xfId="0" applyNumberFormat="1" applyFont="1" applyBorder="1"/>
    <xf numFmtId="0" fontId="234" fillId="0" borderId="94" xfId="0" applyFont="1" applyBorder="1"/>
    <xf numFmtId="341" fontId="232" fillId="0" borderId="0" xfId="0" applyNumberFormat="1" applyFont="1" applyAlignment="1">
      <alignment horizontal="left" indent="1"/>
    </xf>
    <xf numFmtId="9" fontId="232" fillId="0" borderId="0" xfId="0" applyNumberFormat="1" applyFont="1" applyAlignment="1">
      <alignment horizontal="left" indent="1"/>
    </xf>
    <xf numFmtId="9" fontId="234" fillId="0" borderId="94" xfId="0" applyNumberFormat="1" applyFont="1" applyBorder="1"/>
    <xf numFmtId="9" fontId="234" fillId="0" borderId="94" xfId="2" applyFont="1" applyBorder="1"/>
    <xf numFmtId="193" fontId="234" fillId="0" borderId="94" xfId="1" applyNumberFormat="1" applyFont="1" applyBorder="1"/>
    <xf numFmtId="167" fontId="234" fillId="0" borderId="0" xfId="1330" applyNumberFormat="1" applyFont="1" applyBorder="1"/>
    <xf numFmtId="9" fontId="232" fillId="0" borderId="0" xfId="2" applyFont="1" applyBorder="1"/>
    <xf numFmtId="3" fontId="232" fillId="0" borderId="93" xfId="0" applyNumberFormat="1" applyFont="1" applyBorder="1"/>
    <xf numFmtId="9" fontId="232" fillId="0" borderId="8" xfId="2" applyFont="1" applyBorder="1"/>
    <xf numFmtId="3" fontId="232" fillId="0" borderId="77" xfId="0" applyNumberFormat="1" applyFont="1" applyBorder="1"/>
    <xf numFmtId="9" fontId="232" fillId="0" borderId="79" xfId="2" applyFont="1" applyBorder="1"/>
    <xf numFmtId="3" fontId="232" fillId="0" borderId="109" xfId="0" applyNumberFormat="1" applyFont="1" applyBorder="1"/>
    <xf numFmtId="9" fontId="232" fillId="0" borderId="112" xfId="2" applyFont="1" applyBorder="1"/>
    <xf numFmtId="167" fontId="234" fillId="0" borderId="93" xfId="1330" applyNumberFormat="1" applyFont="1" applyBorder="1"/>
    <xf numFmtId="9" fontId="234" fillId="0" borderId="8" xfId="2" applyFont="1" applyBorder="1"/>
    <xf numFmtId="3" fontId="232" fillId="46" borderId="109" xfId="0" applyNumberFormat="1" applyFont="1" applyFill="1" applyBorder="1"/>
    <xf numFmtId="9" fontId="232" fillId="46" borderId="112" xfId="2" applyFont="1" applyFill="1" applyBorder="1"/>
    <xf numFmtId="193" fontId="232" fillId="0" borderId="93" xfId="1" applyNumberFormat="1" applyFont="1" applyBorder="1"/>
    <xf numFmtId="193" fontId="232" fillId="0" borderId="0" xfId="1" applyNumberFormat="1" applyFont="1" applyBorder="1"/>
    <xf numFmtId="193" fontId="234" fillId="0" borderId="109" xfId="1" applyNumberFormat="1" applyFont="1" applyBorder="1"/>
    <xf numFmtId="9" fontId="234" fillId="0" borderId="112" xfId="2" applyFont="1" applyBorder="1"/>
    <xf numFmtId="9" fontId="232" fillId="0" borderId="93" xfId="2" applyFont="1" applyBorder="1"/>
    <xf numFmtId="9" fontId="234" fillId="0" borderId="109" xfId="2" applyFont="1" applyBorder="1"/>
    <xf numFmtId="43" fontId="232" fillId="0" borderId="93" xfId="1" applyFont="1" applyBorder="1"/>
    <xf numFmtId="43" fontId="234" fillId="0" borderId="93" xfId="1" applyFont="1" applyBorder="1"/>
    <xf numFmtId="43" fontId="232" fillId="46" borderId="109" xfId="1" applyFont="1" applyFill="1" applyBorder="1"/>
    <xf numFmtId="43" fontId="234" fillId="0" borderId="109" xfId="1" applyFont="1" applyBorder="1"/>
    <xf numFmtId="3" fontId="235" fillId="0" borderId="17" xfId="0" applyNumberFormat="1" applyFont="1" applyBorder="1"/>
    <xf numFmtId="3" fontId="235" fillId="0" borderId="0" xfId="0" applyNumberFormat="1" applyFont="1"/>
    <xf numFmtId="167" fontId="235" fillId="0" borderId="0" xfId="1330" applyNumberFormat="1" applyFont="1" applyBorder="1"/>
    <xf numFmtId="0" fontId="235" fillId="0" borderId="0" xfId="0" applyFont="1"/>
    <xf numFmtId="193" fontId="235" fillId="0" borderId="0" xfId="1" applyNumberFormat="1" applyFont="1" applyBorder="1"/>
    <xf numFmtId="193" fontId="239" fillId="0" borderId="94" xfId="1" applyNumberFormat="1" applyFont="1" applyBorder="1"/>
    <xf numFmtId="0" fontId="18" fillId="0" borderId="67" xfId="0" applyFont="1" applyBorder="1"/>
    <xf numFmtId="37" fontId="40" fillId="0" borderId="93" xfId="0" applyNumberFormat="1" applyFont="1" applyBorder="1"/>
    <xf numFmtId="37" fontId="40" fillId="0" borderId="77" xfId="0" applyNumberFormat="1" applyFont="1" applyBorder="1"/>
    <xf numFmtId="7" fontId="40" fillId="0" borderId="93" xfId="2" applyNumberFormat="1" applyFont="1" applyFill="1" applyBorder="1" applyAlignment="1">
      <alignment horizontal="left"/>
    </xf>
    <xf numFmtId="37" fontId="40" fillId="0" borderId="93" xfId="0" applyNumberFormat="1" applyFont="1" applyBorder="1" applyAlignment="1">
      <alignment horizontal="left" indent="1"/>
    </xf>
    <xf numFmtId="341" fontId="232" fillId="0" borderId="93" xfId="0" applyNumberFormat="1" applyFont="1" applyBorder="1" applyAlignment="1">
      <alignment horizontal="left" indent="1"/>
    </xf>
    <xf numFmtId="341" fontId="234" fillId="0" borderId="109" xfId="0" applyNumberFormat="1" applyFont="1" applyBorder="1"/>
    <xf numFmtId="9" fontId="232" fillId="0" borderId="93" xfId="0" applyNumberFormat="1" applyFont="1" applyBorder="1" applyAlignment="1">
      <alignment horizontal="left" indent="1"/>
    </xf>
    <xf numFmtId="9" fontId="234" fillId="0" borderId="109" xfId="0" applyNumberFormat="1" applyFont="1" applyBorder="1"/>
    <xf numFmtId="0" fontId="234" fillId="0" borderId="109" xfId="0" applyFont="1" applyBorder="1"/>
    <xf numFmtId="166" fontId="40" fillId="0" borderId="93" xfId="2" applyNumberFormat="1" applyFont="1" applyFill="1" applyBorder="1" applyAlignment="1">
      <alignment horizontal="left"/>
    </xf>
    <xf numFmtId="0" fontId="21" fillId="0" borderId="17" xfId="3" applyFont="1" applyBorder="1" applyAlignment="1">
      <alignment horizontal="left" indent="1"/>
    </xf>
    <xf numFmtId="1" fontId="211" fillId="0" borderId="17" xfId="1216" applyNumberFormat="1" applyFont="1" applyFill="1" applyBorder="1"/>
    <xf numFmtId="1" fontId="211" fillId="29" borderId="88" xfId="1216" applyNumberFormat="1" applyFont="1" applyFill="1" applyBorder="1"/>
    <xf numFmtId="1" fontId="211" fillId="29" borderId="17" xfId="1216" applyNumberFormat="1" applyFont="1" applyFill="1" applyBorder="1"/>
    <xf numFmtId="3" fontId="211" fillId="0" borderId="17" xfId="1216" applyNumberFormat="1" applyFont="1" applyFill="1" applyBorder="1"/>
    <xf numFmtId="3" fontId="21" fillId="0" borderId="88" xfId="1216" applyNumberFormat="1" applyFont="1" applyFill="1" applyBorder="1"/>
    <xf numFmtId="3" fontId="21" fillId="0" borderId="17" xfId="1216" applyNumberFormat="1" applyFont="1" applyFill="1" applyBorder="1"/>
    <xf numFmtId="3" fontId="21" fillId="0" borderId="90" xfId="1216" applyNumberFormat="1" applyFont="1" applyFill="1" applyBorder="1"/>
    <xf numFmtId="3" fontId="21" fillId="29" borderId="88" xfId="1216" applyNumberFormat="1" applyFont="1" applyFill="1" applyBorder="1"/>
    <xf numFmtId="3" fontId="21" fillId="29" borderId="17" xfId="1216" applyNumberFormat="1" applyFont="1" applyFill="1" applyBorder="1"/>
    <xf numFmtId="0" fontId="71" fillId="0" borderId="100" xfId="3" applyFont="1" applyBorder="1" applyAlignment="1">
      <alignment horizontal="left" indent="2"/>
    </xf>
    <xf numFmtId="3" fontId="218" fillId="0" borderId="98" xfId="0" applyNumberFormat="1" applyFont="1" applyBorder="1"/>
    <xf numFmtId="3" fontId="218" fillId="0" borderId="99" xfId="0" applyNumberFormat="1" applyFont="1" applyBorder="1"/>
    <xf numFmtId="3" fontId="218" fillId="0" borderId="97" xfId="0" applyNumberFormat="1" applyFont="1" applyBorder="1"/>
    <xf numFmtId="1" fontId="218" fillId="0" borderId="98" xfId="1216" applyNumberFormat="1" applyFont="1" applyFill="1" applyBorder="1"/>
    <xf numFmtId="1" fontId="218" fillId="29" borderId="97" xfId="1216" applyNumberFormat="1" applyFont="1" applyFill="1" applyBorder="1"/>
    <xf numFmtId="1" fontId="218" fillId="29" borderId="98" xfId="1216" applyNumberFormat="1" applyFont="1" applyFill="1" applyBorder="1"/>
    <xf numFmtId="3" fontId="218" fillId="29" borderId="98" xfId="1216" applyNumberFormat="1" applyFont="1" applyFill="1" applyBorder="1"/>
    <xf numFmtId="3" fontId="218" fillId="29" borderId="97" xfId="1216" applyNumberFormat="1" applyFont="1" applyFill="1" applyBorder="1"/>
    <xf numFmtId="3" fontId="218" fillId="29" borderId="98" xfId="1216" applyNumberFormat="1" applyFont="1" applyFill="1" applyBorder="1" applyAlignment="1">
      <alignment horizontal="right"/>
    </xf>
    <xf numFmtId="3" fontId="71" fillId="29" borderId="97" xfId="1216" applyNumberFormat="1" applyFont="1" applyFill="1" applyBorder="1" applyAlignment="1">
      <alignment horizontal="right"/>
    </xf>
    <xf numFmtId="3" fontId="71" fillId="29" borderId="98" xfId="1216" applyNumberFormat="1" applyFont="1" applyFill="1" applyBorder="1" applyAlignment="1">
      <alignment horizontal="right"/>
    </xf>
    <xf numFmtId="0" fontId="71" fillId="0" borderId="92" xfId="3" applyFont="1" applyBorder="1" applyAlignment="1">
      <alignment horizontal="left" indent="2"/>
    </xf>
    <xf numFmtId="3" fontId="218" fillId="0" borderId="84" xfId="0" applyNumberFormat="1" applyFont="1" applyBorder="1"/>
    <xf numFmtId="1" fontId="218" fillId="0" borderId="0" xfId="1216" applyNumberFormat="1" applyFont="1" applyFill="1" applyBorder="1"/>
    <xf numFmtId="1" fontId="218" fillId="29" borderId="81" xfId="1216" applyNumberFormat="1" applyFont="1" applyFill="1" applyBorder="1"/>
    <xf numFmtId="1" fontId="218" fillId="29" borderId="0" xfId="1216" applyNumberFormat="1" applyFont="1" applyFill="1" applyBorder="1"/>
    <xf numFmtId="3" fontId="218" fillId="29" borderId="0" xfId="1216" applyNumberFormat="1" applyFont="1" applyFill="1" applyBorder="1"/>
    <xf numFmtId="3" fontId="218" fillId="29" borderId="81" xfId="1216" applyNumberFormat="1" applyFont="1" applyFill="1" applyBorder="1"/>
    <xf numFmtId="3" fontId="218" fillId="42" borderId="81" xfId="1216" applyNumberFormat="1" applyFont="1" applyFill="1" applyBorder="1"/>
    <xf numFmtId="3" fontId="218" fillId="42" borderId="0" xfId="1216" applyNumberFormat="1" applyFont="1" applyFill="1" applyBorder="1"/>
    <xf numFmtId="3" fontId="211" fillId="29" borderId="82" xfId="0" applyNumberFormat="1" applyFont="1" applyFill="1" applyBorder="1"/>
    <xf numFmtId="0" fontId="26" fillId="0" borderId="0" xfId="0" applyFont="1" applyAlignment="1">
      <alignment horizontal="left" indent="1"/>
    </xf>
    <xf numFmtId="9" fontId="232" fillId="0" borderId="17" xfId="0" applyNumberFormat="1" applyFont="1" applyBorder="1"/>
    <xf numFmtId="9" fontId="232" fillId="0" borderId="0" xfId="0" applyNumberFormat="1" applyFont="1"/>
    <xf numFmtId="9" fontId="232" fillId="0" borderId="76" xfId="0" applyNumberFormat="1" applyFont="1" applyBorder="1"/>
    <xf numFmtId="9" fontId="232" fillId="0" borderId="0" xfId="1" applyNumberFormat="1" applyFont="1" applyBorder="1"/>
    <xf numFmtId="9" fontId="232" fillId="0" borderId="8" xfId="0" applyNumberFormat="1" applyFont="1" applyBorder="1"/>
    <xf numFmtId="9" fontId="232" fillId="0" borderId="79" xfId="0" applyNumberFormat="1" applyFont="1" applyBorder="1"/>
    <xf numFmtId="9" fontId="232" fillId="46" borderId="112" xfId="0" applyNumberFormat="1" applyFont="1" applyFill="1" applyBorder="1"/>
    <xf numFmtId="9" fontId="232" fillId="0" borderId="8" xfId="1" applyNumberFormat="1" applyFont="1" applyBorder="1"/>
    <xf numFmtId="5" fontId="226" fillId="29" borderId="88" xfId="0" applyNumberFormat="1" applyFont="1" applyFill="1" applyBorder="1"/>
    <xf numFmtId="5" fontId="226" fillId="37" borderId="81" xfId="0" applyNumberFormat="1" applyFont="1" applyFill="1" applyBorder="1"/>
    <xf numFmtId="5" fontId="227" fillId="29" borderId="102" xfId="0" applyNumberFormat="1" applyFont="1" applyFill="1" applyBorder="1"/>
    <xf numFmtId="166" fontId="232" fillId="0" borderId="0" xfId="2" applyNumberFormat="1" applyFont="1" applyBorder="1"/>
    <xf numFmtId="166" fontId="232" fillId="0" borderId="8" xfId="2" applyNumberFormat="1" applyFont="1" applyBorder="1"/>
    <xf numFmtId="166" fontId="232" fillId="0" borderId="93" xfId="2" applyNumberFormat="1" applyFont="1" applyBorder="1"/>
    <xf numFmtId="166" fontId="232" fillId="0" borderId="93" xfId="1" applyNumberFormat="1" applyFont="1" applyBorder="1"/>
    <xf numFmtId="6" fontId="232" fillId="0" borderId="93" xfId="1" applyNumberFormat="1" applyFont="1" applyBorder="1"/>
    <xf numFmtId="6" fontId="232" fillId="0" borderId="0" xfId="1" applyNumberFormat="1" applyFont="1" applyBorder="1"/>
    <xf numFmtId="6" fontId="232" fillId="0" borderId="93" xfId="0" applyNumberFormat="1" applyFont="1" applyBorder="1"/>
    <xf numFmtId="6" fontId="232" fillId="0" borderId="0" xfId="0" applyNumberFormat="1" applyFont="1"/>
    <xf numFmtId="6" fontId="232" fillId="0" borderId="77" xfId="0" applyNumberFormat="1" applyFont="1" applyBorder="1"/>
    <xf numFmtId="6" fontId="232" fillId="0" borderId="76" xfId="0" applyNumberFormat="1" applyFont="1" applyBorder="1"/>
    <xf numFmtId="6" fontId="232" fillId="0" borderId="77" xfId="1" applyNumberFormat="1" applyFont="1" applyBorder="1"/>
    <xf numFmtId="6" fontId="232" fillId="0" borderId="17" xfId="0" applyNumberFormat="1" applyFont="1" applyBorder="1"/>
    <xf numFmtId="9" fontId="214" fillId="19" borderId="65" xfId="2" applyFont="1" applyFill="1" applyBorder="1" applyAlignment="1">
      <alignment horizontal="left" indent="1"/>
    </xf>
    <xf numFmtId="9" fontId="26" fillId="0" borderId="8" xfId="0" applyNumberFormat="1" applyFont="1" applyBorder="1"/>
    <xf numFmtId="9" fontId="26" fillId="29" borderId="68" xfId="0" applyNumberFormat="1" applyFont="1" applyFill="1" applyBorder="1"/>
    <xf numFmtId="9" fontId="122" fillId="19" borderId="5" xfId="2" applyFont="1" applyFill="1" applyBorder="1" applyAlignment="1">
      <alignment horizontal="left"/>
    </xf>
    <xf numFmtId="9" fontId="27" fillId="0" borderId="94" xfId="0" applyNumberFormat="1" applyFont="1" applyBorder="1"/>
    <xf numFmtId="9" fontId="27" fillId="0" borderId="109" xfId="0" applyNumberFormat="1" applyFont="1" applyBorder="1"/>
    <xf numFmtId="9" fontId="27" fillId="0" borderId="112" xfId="0" applyNumberFormat="1" applyFont="1" applyBorder="1"/>
    <xf numFmtId="9" fontId="27" fillId="29" borderId="94" xfId="0" applyNumberFormat="1" applyFont="1" applyFill="1" applyBorder="1"/>
    <xf numFmtId="9" fontId="27" fillId="29" borderId="112" xfId="0" applyNumberFormat="1" applyFont="1" applyFill="1" applyBorder="1"/>
    <xf numFmtId="9" fontId="22" fillId="0" borderId="5" xfId="0" applyNumberFormat="1" applyFont="1" applyBorder="1"/>
    <xf numFmtId="9" fontId="242" fillId="0" borderId="112" xfId="0" applyNumberFormat="1" applyFont="1" applyBorder="1"/>
    <xf numFmtId="9" fontId="242" fillId="0" borderId="94" xfId="0" applyNumberFormat="1" applyFont="1" applyBorder="1"/>
    <xf numFmtId="9" fontId="242" fillId="0" borderId="94" xfId="2" applyFont="1" applyBorder="1"/>
    <xf numFmtId="9" fontId="242" fillId="0" borderId="0" xfId="0" applyNumberFormat="1" applyFont="1"/>
    <xf numFmtId="9" fontId="21" fillId="0" borderId="65" xfId="0" applyNumberFormat="1" applyFont="1" applyBorder="1" applyAlignment="1">
      <alignment horizontal="left" indent="1"/>
    </xf>
    <xf numFmtId="9" fontId="26" fillId="0" borderId="93" xfId="2" applyFont="1" applyBorder="1"/>
    <xf numFmtId="9" fontId="26" fillId="0" borderId="8" xfId="2" applyFont="1" applyBorder="1"/>
    <xf numFmtId="9" fontId="242" fillId="0" borderId="8" xfId="0" applyNumberFormat="1" applyFont="1" applyBorder="1"/>
    <xf numFmtId="9" fontId="221" fillId="0" borderId="0" xfId="2" applyFont="1" applyBorder="1"/>
    <xf numFmtId="9" fontId="221" fillId="0" borderId="0" xfId="0" applyNumberFormat="1" applyFont="1"/>
    <xf numFmtId="9" fontId="221" fillId="0" borderId="17" xfId="2" applyFont="1" applyBorder="1"/>
    <xf numFmtId="9" fontId="26" fillId="0" borderId="77" xfId="2" applyFont="1" applyBorder="1"/>
    <xf numFmtId="9" fontId="26" fillId="0" borderId="76" xfId="2" applyFont="1" applyBorder="1"/>
    <xf numFmtId="9" fontId="221" fillId="0" borderId="76" xfId="2" applyFont="1" applyBorder="1"/>
    <xf numFmtId="3" fontId="231" fillId="42" borderId="0" xfId="0" applyNumberFormat="1" applyFont="1" applyFill="1"/>
    <xf numFmtId="193" fontId="226" fillId="0" borderId="88" xfId="1" applyNumberFormat="1" applyFont="1" applyBorder="1"/>
    <xf numFmtId="193" fontId="226" fillId="0" borderId="89" xfId="1" applyNumberFormat="1" applyFont="1" applyFill="1" applyBorder="1"/>
    <xf numFmtId="314" fontId="26" fillId="37" borderId="88" xfId="0" applyNumberFormat="1" applyFont="1" applyFill="1" applyBorder="1"/>
    <xf numFmtId="9" fontId="22" fillId="37" borderId="94" xfId="2" applyFont="1" applyFill="1" applyBorder="1" applyAlignment="1">
      <alignment horizontal="left"/>
    </xf>
    <xf numFmtId="9" fontId="220" fillId="37" borderId="94" xfId="2" applyFont="1" applyFill="1" applyBorder="1"/>
    <xf numFmtId="9" fontId="220" fillId="37" borderId="89" xfId="2" applyFont="1" applyFill="1" applyBorder="1"/>
    <xf numFmtId="9" fontId="220" fillId="37" borderId="94" xfId="2" applyFont="1" applyFill="1" applyBorder="1" applyAlignment="1">
      <alignment horizontal="right"/>
    </xf>
    <xf numFmtId="9" fontId="224" fillId="37" borderId="89" xfId="0" applyNumberFormat="1" applyFont="1" applyFill="1" applyBorder="1"/>
    <xf numFmtId="9" fontId="224" fillId="37" borderId="94" xfId="0" applyNumberFormat="1" applyFont="1" applyFill="1" applyBorder="1"/>
    <xf numFmtId="9" fontId="220" fillId="37" borderId="94" xfId="0" applyNumberFormat="1" applyFont="1" applyFill="1" applyBorder="1"/>
    <xf numFmtId="9" fontId="21" fillId="19" borderId="65" xfId="2" applyFont="1" applyFill="1" applyBorder="1" applyAlignment="1">
      <alignment horizontal="left" indent="1"/>
    </xf>
    <xf numFmtId="9" fontId="22" fillId="19" borderId="5" xfId="2" applyFont="1" applyFill="1" applyBorder="1" applyAlignment="1">
      <alignment horizontal="left"/>
    </xf>
    <xf numFmtId="9" fontId="26" fillId="0" borderId="17" xfId="2" applyFont="1" applyBorder="1"/>
    <xf numFmtId="9" fontId="26" fillId="0" borderId="67" xfId="2" applyFont="1" applyBorder="1"/>
    <xf numFmtId="9" fontId="26" fillId="0" borderId="68" xfId="2" applyFont="1" applyBorder="1"/>
    <xf numFmtId="9" fontId="242" fillId="0" borderId="17" xfId="0" applyNumberFormat="1" applyFont="1" applyBorder="1"/>
    <xf numFmtId="9" fontId="26" fillId="0" borderId="68" xfId="0" applyNumberFormat="1" applyFont="1" applyBorder="1"/>
    <xf numFmtId="9" fontId="26" fillId="0" borderId="79" xfId="0" applyNumberFormat="1" applyFont="1" applyBorder="1"/>
    <xf numFmtId="3" fontId="226" fillId="0" borderId="90" xfId="1216" applyNumberFormat="1" applyFont="1" applyFill="1" applyBorder="1"/>
    <xf numFmtId="3" fontId="226" fillId="0" borderId="17" xfId="1216" applyNumberFormat="1" applyFont="1" applyFill="1" applyBorder="1"/>
    <xf numFmtId="3" fontId="226" fillId="0" borderId="88" xfId="1216" applyNumberFormat="1" applyFont="1" applyFill="1" applyBorder="1"/>
    <xf numFmtId="0" fontId="22" fillId="41" borderId="76" xfId="0" applyFont="1" applyFill="1" applyBorder="1" applyAlignment="1">
      <alignment horizontal="center"/>
    </xf>
    <xf numFmtId="318" fontId="26" fillId="0" borderId="0" xfId="0" applyNumberFormat="1" applyFont="1"/>
    <xf numFmtId="8" fontId="26" fillId="0" borderId="0" xfId="0" applyNumberFormat="1" applyFont="1" applyAlignment="1">
      <alignment horizontal="left" indent="1"/>
    </xf>
    <xf numFmtId="8" fontId="226" fillId="29" borderId="0" xfId="0" applyNumberFormat="1" applyFont="1" applyFill="1"/>
    <xf numFmtId="8" fontId="262" fillId="42" borderId="81" xfId="1" applyNumberFormat="1" applyFont="1" applyFill="1" applyBorder="1"/>
    <xf numFmtId="8" fontId="262" fillId="42" borderId="0" xfId="1" applyNumberFormat="1" applyFont="1" applyFill="1" applyBorder="1"/>
    <xf numFmtId="3" fontId="262" fillId="42" borderId="81" xfId="1" applyNumberFormat="1" applyFont="1" applyFill="1" applyBorder="1"/>
    <xf numFmtId="3" fontId="262" fillId="42" borderId="0" xfId="1" applyNumberFormat="1" applyFont="1" applyFill="1" applyBorder="1"/>
    <xf numFmtId="318" fontId="26" fillId="0" borderId="81" xfId="0" applyNumberFormat="1" applyFont="1" applyBorder="1"/>
    <xf numFmtId="8" fontId="226" fillId="29" borderId="81" xfId="0" applyNumberFormat="1" applyFont="1" applyFill="1" applyBorder="1"/>
    <xf numFmtId="3" fontId="26" fillId="0" borderId="76" xfId="0" applyNumberFormat="1" applyFont="1" applyBorder="1"/>
    <xf numFmtId="3" fontId="226" fillId="0" borderId="76" xfId="0" applyNumberFormat="1" applyFont="1" applyBorder="1"/>
    <xf numFmtId="3" fontId="226" fillId="0" borderId="82" xfId="0" applyNumberFormat="1" applyFont="1" applyBorder="1"/>
    <xf numFmtId="3" fontId="21" fillId="29" borderId="17" xfId="0" applyNumberFormat="1" applyFont="1" applyFill="1" applyBorder="1"/>
    <xf numFmtId="3" fontId="21" fillId="29" borderId="88" xfId="0" applyNumberFormat="1" applyFont="1" applyFill="1" applyBorder="1"/>
    <xf numFmtId="3" fontId="211" fillId="29" borderId="81" xfId="0" applyNumberFormat="1" applyFont="1" applyFill="1" applyBorder="1" applyAlignment="1">
      <alignment horizontal="right"/>
    </xf>
    <xf numFmtId="3" fontId="211" fillId="29" borderId="0" xfId="0" applyNumberFormat="1" applyFont="1" applyFill="1" applyAlignment="1">
      <alignment horizontal="right"/>
    </xf>
    <xf numFmtId="6" fontId="21" fillId="0" borderId="0" xfId="0" applyNumberFormat="1" applyFont="1"/>
    <xf numFmtId="6" fontId="211" fillId="0" borderId="0" xfId="0" applyNumberFormat="1" applyFont="1"/>
    <xf numFmtId="6" fontId="211" fillId="0" borderId="81" xfId="0" applyNumberFormat="1" applyFont="1" applyBorder="1"/>
    <xf numFmtId="6" fontId="211" fillId="29" borderId="0" xfId="0" applyNumberFormat="1" applyFont="1" applyFill="1"/>
    <xf numFmtId="3" fontId="231" fillId="42" borderId="92" xfId="0" applyNumberFormat="1" applyFont="1" applyFill="1" applyBorder="1"/>
    <xf numFmtId="341" fontId="26" fillId="42" borderId="0" xfId="0" applyNumberFormat="1" applyFont="1" applyFill="1"/>
    <xf numFmtId="341" fontId="26" fillId="42" borderId="81" xfId="0" applyNumberFormat="1" applyFont="1" applyFill="1" applyBorder="1"/>
    <xf numFmtId="341" fontId="26" fillId="0" borderId="0" xfId="0" applyNumberFormat="1" applyFont="1" applyAlignment="1">
      <alignment horizontal="left" indent="1"/>
    </xf>
    <xf numFmtId="0" fontId="26" fillId="37" borderId="0" xfId="0" applyFont="1" applyFill="1" applyAlignment="1">
      <alignment horizontal="left" indent="1"/>
    </xf>
    <xf numFmtId="314" fontId="261" fillId="42" borderId="0" xfId="0" applyNumberFormat="1" applyFont="1" applyFill="1"/>
    <xf numFmtId="314" fontId="261" fillId="42" borderId="81" xfId="0" applyNumberFormat="1" applyFont="1" applyFill="1" applyBorder="1"/>
    <xf numFmtId="9" fontId="261" fillId="37" borderId="0" xfId="0" applyNumberFormat="1" applyFont="1" applyFill="1" applyAlignment="1">
      <alignment horizontal="right"/>
    </xf>
    <xf numFmtId="179" fontId="221" fillId="0" borderId="0" xfId="0" applyNumberFormat="1" applyFont="1"/>
    <xf numFmtId="0" fontId="71" fillId="37" borderId="129" xfId="0" applyFont="1" applyFill="1" applyBorder="1" applyAlignment="1">
      <alignment horizontal="left" indent="1"/>
    </xf>
    <xf numFmtId="0" fontId="218" fillId="37" borderId="130" xfId="0" applyFont="1" applyFill="1" applyBorder="1"/>
    <xf numFmtId="0" fontId="218" fillId="37" borderId="131" xfId="0" applyFont="1" applyFill="1" applyBorder="1"/>
    <xf numFmtId="179" fontId="218" fillId="37" borderId="130" xfId="0" applyNumberFormat="1" applyFont="1" applyFill="1" applyBorder="1"/>
    <xf numFmtId="179" fontId="218" fillId="37" borderId="131" xfId="0" applyNumberFormat="1" applyFont="1" applyFill="1" applyBorder="1"/>
    <xf numFmtId="0" fontId="71" fillId="37" borderId="132" xfId="0" applyFont="1" applyFill="1" applyBorder="1" applyAlignment="1">
      <alignment horizontal="left" indent="1"/>
    </xf>
    <xf numFmtId="179" fontId="218" fillId="37" borderId="0" xfId="0" applyNumberFormat="1" applyFont="1" applyFill="1"/>
    <xf numFmtId="179" fontId="218" fillId="37" borderId="81" xfId="0" applyNumberFormat="1" applyFont="1" applyFill="1" applyBorder="1"/>
    <xf numFmtId="0" fontId="218" fillId="37" borderId="133" xfId="0" applyFont="1" applyFill="1" applyBorder="1"/>
    <xf numFmtId="0" fontId="218" fillId="37" borderId="134" xfId="0" applyFont="1" applyFill="1" applyBorder="1"/>
    <xf numFmtId="179" fontId="218" fillId="37" borderId="133" xfId="0" applyNumberFormat="1" applyFont="1" applyFill="1" applyBorder="1"/>
    <xf numFmtId="179" fontId="218" fillId="37" borderId="134" xfId="0" applyNumberFormat="1" applyFont="1" applyFill="1" applyBorder="1"/>
    <xf numFmtId="0" fontId="71" fillId="37" borderId="133" xfId="0" applyFont="1" applyFill="1" applyBorder="1" applyAlignment="1">
      <alignment horizontal="left" indent="1"/>
    </xf>
    <xf numFmtId="179" fontId="71" fillId="37" borderId="133" xfId="0" applyNumberFormat="1" applyFont="1" applyFill="1" applyBorder="1"/>
    <xf numFmtId="179" fontId="71" fillId="37" borderId="134" xfId="0" applyNumberFormat="1" applyFont="1" applyFill="1" applyBorder="1"/>
    <xf numFmtId="5" fontId="21" fillId="37" borderId="130" xfId="0" applyNumberFormat="1" applyFont="1" applyFill="1" applyBorder="1"/>
    <xf numFmtId="5" fontId="26" fillId="37" borderId="130" xfId="0" applyNumberFormat="1" applyFont="1" applyFill="1" applyBorder="1"/>
    <xf numFmtId="5" fontId="26" fillId="37" borderId="131" xfId="0" applyNumberFormat="1" applyFont="1" applyFill="1" applyBorder="1"/>
    <xf numFmtId="5" fontId="26" fillId="37" borderId="133" xfId="0" applyNumberFormat="1" applyFont="1" applyFill="1" applyBorder="1"/>
    <xf numFmtId="5" fontId="26" fillId="37" borderId="134" xfId="0" applyNumberFormat="1" applyFont="1" applyFill="1" applyBorder="1"/>
    <xf numFmtId="5" fontId="226" fillId="37" borderId="133" xfId="0" applyNumberFormat="1" applyFont="1" applyFill="1" applyBorder="1"/>
    <xf numFmtId="179" fontId="218" fillId="42" borderId="130" xfId="0" applyNumberFormat="1" applyFont="1" applyFill="1" applyBorder="1"/>
    <xf numFmtId="179" fontId="218" fillId="42" borderId="131" xfId="0" applyNumberFormat="1" applyFont="1" applyFill="1" applyBorder="1"/>
    <xf numFmtId="179" fontId="251" fillId="42" borderId="131" xfId="0" applyNumberFormat="1" applyFont="1" applyFill="1" applyBorder="1"/>
    <xf numFmtId="179" fontId="251" fillId="42" borderId="130" xfId="0" applyNumberFormat="1" applyFont="1" applyFill="1" applyBorder="1"/>
    <xf numFmtId="179" fontId="218" fillId="42" borderId="0" xfId="0" applyNumberFormat="1" applyFont="1" applyFill="1"/>
    <xf numFmtId="179" fontId="218" fillId="42" borderId="81" xfId="0" applyNumberFormat="1" applyFont="1" applyFill="1" applyBorder="1"/>
    <xf numFmtId="179" fontId="251" fillId="42" borderId="0" xfId="0" applyNumberFormat="1" applyFont="1" applyFill="1"/>
    <xf numFmtId="179" fontId="251" fillId="42" borderId="81" xfId="0" applyNumberFormat="1" applyFont="1" applyFill="1" applyBorder="1"/>
    <xf numFmtId="5" fontId="261" fillId="42" borderId="130" xfId="0" applyNumberFormat="1" applyFont="1" applyFill="1" applyBorder="1"/>
    <xf numFmtId="5" fontId="261" fillId="42" borderId="131" xfId="0" applyNumberFormat="1" applyFont="1" applyFill="1" applyBorder="1"/>
    <xf numFmtId="5" fontId="261" fillId="42" borderId="0" xfId="0" applyNumberFormat="1" applyFont="1" applyFill="1"/>
    <xf numFmtId="5" fontId="261" fillId="42" borderId="81" xfId="0" applyNumberFormat="1" applyFont="1" applyFill="1" applyBorder="1"/>
    <xf numFmtId="5" fontId="71" fillId="37" borderId="129" xfId="0" applyNumberFormat="1" applyFont="1" applyFill="1" applyBorder="1" applyAlignment="1">
      <alignment horizontal="left" indent="1"/>
    </xf>
    <xf numFmtId="5" fontId="71" fillId="37" borderId="132" xfId="0" applyNumberFormat="1" applyFont="1" applyFill="1" applyBorder="1" applyAlignment="1">
      <alignment horizontal="left" indent="1"/>
    </xf>
    <xf numFmtId="5" fontId="71" fillId="37" borderId="133" xfId="0" applyNumberFormat="1" applyFont="1" applyFill="1" applyBorder="1" applyAlignment="1">
      <alignment horizontal="left" indent="1"/>
    </xf>
    <xf numFmtId="313" fontId="26" fillId="29" borderId="1" xfId="0" applyNumberFormat="1" applyFont="1" applyFill="1" applyBorder="1"/>
    <xf numFmtId="5" fontId="273" fillId="42" borderId="130" xfId="0" applyNumberFormat="1" applyFont="1" applyFill="1" applyBorder="1"/>
    <xf numFmtId="5" fontId="273" fillId="42" borderId="0" xfId="0" applyNumberFormat="1" applyFont="1" applyFill="1"/>
    <xf numFmtId="5" fontId="21" fillId="37" borderId="131" xfId="0" applyNumberFormat="1" applyFont="1" applyFill="1" applyBorder="1"/>
    <xf numFmtId="5" fontId="226" fillId="37" borderId="134" xfId="0" applyNumberFormat="1" applyFont="1" applyFill="1" applyBorder="1"/>
    <xf numFmtId="5" fontId="273" fillId="42" borderId="131" xfId="0" applyNumberFormat="1" applyFont="1" applyFill="1" applyBorder="1"/>
    <xf numFmtId="5" fontId="273" fillId="42" borderId="81" xfId="0" applyNumberFormat="1" applyFont="1" applyFill="1" applyBorder="1"/>
    <xf numFmtId="5" fontId="261" fillId="42" borderId="135" xfId="0" applyNumberFormat="1" applyFont="1" applyFill="1" applyBorder="1"/>
    <xf numFmtId="5" fontId="261" fillId="42" borderId="133" xfId="0" applyNumberFormat="1" applyFont="1" applyFill="1" applyBorder="1"/>
    <xf numFmtId="5" fontId="261" fillId="42" borderId="134" xfId="0" applyNumberFormat="1" applyFont="1" applyFill="1" applyBorder="1"/>
    <xf numFmtId="179" fontId="262" fillId="42" borderId="133" xfId="0" applyNumberFormat="1" applyFont="1" applyFill="1" applyBorder="1"/>
    <xf numFmtId="179" fontId="262" fillId="42" borderId="134" xfId="0" applyNumberFormat="1" applyFont="1" applyFill="1" applyBorder="1"/>
    <xf numFmtId="5" fontId="71" fillId="37" borderId="0" xfId="0" applyNumberFormat="1" applyFont="1" applyFill="1" applyAlignment="1">
      <alignment horizontal="left"/>
    </xf>
    <xf numFmtId="5" fontId="21" fillId="37" borderId="91" xfId="0" applyNumberFormat="1" applyFont="1" applyFill="1" applyBorder="1"/>
    <xf numFmtId="5" fontId="21" fillId="37" borderId="76" xfId="0" applyNumberFormat="1" applyFont="1" applyFill="1" applyBorder="1"/>
    <xf numFmtId="5" fontId="21" fillId="37" borderId="82" xfId="0" applyNumberFormat="1" applyFont="1" applyFill="1" applyBorder="1"/>
    <xf numFmtId="0" fontId="218" fillId="37" borderId="17" xfId="0" applyFont="1" applyFill="1" applyBorder="1"/>
    <xf numFmtId="0" fontId="218" fillId="37" borderId="88" xfId="0" applyFont="1" applyFill="1" applyBorder="1"/>
    <xf numFmtId="179" fontId="218" fillId="37" borderId="17" xfId="0" applyNumberFormat="1" applyFont="1" applyFill="1" applyBorder="1"/>
    <xf numFmtId="179" fontId="218" fillId="37" borderId="88" xfId="0" applyNumberFormat="1" applyFont="1" applyFill="1" applyBorder="1"/>
    <xf numFmtId="179" fontId="218" fillId="42" borderId="17" xfId="0" applyNumberFormat="1" applyFont="1" applyFill="1" applyBorder="1"/>
    <xf numFmtId="179" fontId="218" fillId="42" borderId="88" xfId="0" applyNumberFormat="1" applyFont="1" applyFill="1" applyBorder="1"/>
    <xf numFmtId="0" fontId="71" fillId="37" borderId="136" xfId="0" applyFont="1" applyFill="1" applyBorder="1" applyAlignment="1">
      <alignment horizontal="left"/>
    </xf>
    <xf numFmtId="0" fontId="71" fillId="37" borderId="132" xfId="0" applyFont="1" applyFill="1" applyBorder="1" applyAlignment="1">
      <alignment horizontal="left"/>
    </xf>
    <xf numFmtId="0" fontId="71" fillId="37" borderId="0" xfId="0" applyFont="1" applyFill="1" applyAlignment="1">
      <alignment horizontal="left"/>
    </xf>
    <xf numFmtId="0" fontId="71" fillId="37" borderId="133" xfId="0" applyFont="1" applyFill="1" applyBorder="1" applyAlignment="1">
      <alignment horizontal="left"/>
    </xf>
    <xf numFmtId="6" fontId="71" fillId="37" borderId="136" xfId="0" applyNumberFormat="1" applyFont="1" applyFill="1" applyBorder="1" applyAlignment="1">
      <alignment horizontal="left"/>
    </xf>
    <xf numFmtId="6" fontId="218" fillId="37" borderId="17" xfId="0" applyNumberFormat="1" applyFont="1" applyFill="1" applyBorder="1"/>
    <xf numFmtId="6" fontId="218" fillId="37" borderId="88" xfId="0" applyNumberFormat="1" applyFont="1" applyFill="1" applyBorder="1"/>
    <xf numFmtId="6" fontId="221" fillId="0" borderId="0" xfId="0" applyNumberFormat="1" applyFont="1"/>
    <xf numFmtId="6" fontId="221" fillId="29" borderId="0" xfId="0" applyNumberFormat="1" applyFont="1" applyFill="1"/>
    <xf numFmtId="6" fontId="71" fillId="37" borderId="132" xfId="0" applyNumberFormat="1" applyFont="1" applyFill="1" applyBorder="1" applyAlignment="1">
      <alignment horizontal="left"/>
    </xf>
    <xf numFmtId="6" fontId="218" fillId="37" borderId="0" xfId="0" applyNumberFormat="1" applyFont="1" applyFill="1"/>
    <xf numFmtId="6" fontId="218" fillId="37" borderId="81" xfId="0" applyNumberFormat="1" applyFont="1" applyFill="1" applyBorder="1"/>
    <xf numFmtId="6" fontId="71" fillId="37" borderId="0" xfId="0" applyNumberFormat="1" applyFont="1" applyFill="1" applyAlignment="1">
      <alignment horizontal="left"/>
    </xf>
    <xf numFmtId="6" fontId="71" fillId="37" borderId="133" xfId="0" applyNumberFormat="1" applyFont="1" applyFill="1" applyBorder="1" applyAlignment="1">
      <alignment horizontal="left"/>
    </xf>
    <xf numFmtId="6" fontId="218" fillId="37" borderId="133" xfId="0" applyNumberFormat="1" applyFont="1" applyFill="1" applyBorder="1"/>
    <xf numFmtId="6" fontId="218" fillId="37" borderId="134" xfId="0" applyNumberFormat="1" applyFont="1" applyFill="1" applyBorder="1"/>
    <xf numFmtId="6" fontId="71" fillId="37" borderId="133" xfId="0" applyNumberFormat="1" applyFont="1" applyFill="1" applyBorder="1"/>
    <xf numFmtId="6" fontId="71" fillId="37" borderId="134" xfId="0" applyNumberFormat="1" applyFont="1" applyFill="1" applyBorder="1"/>
    <xf numFmtId="6" fontId="71" fillId="37" borderId="17" xfId="0" applyNumberFormat="1" applyFont="1" applyFill="1" applyBorder="1"/>
    <xf numFmtId="6" fontId="71" fillId="37" borderId="88" xfId="0" applyNumberFormat="1" applyFont="1" applyFill="1" applyBorder="1"/>
    <xf numFmtId="6" fontId="71" fillId="37" borderId="0" xfId="0" applyNumberFormat="1" applyFont="1" applyFill="1"/>
    <xf numFmtId="6" fontId="71" fillId="37" borderId="81" xfId="0" applyNumberFormat="1" applyFont="1" applyFill="1" applyBorder="1"/>
    <xf numFmtId="6" fontId="100" fillId="37" borderId="81" xfId="0" applyNumberFormat="1" applyFont="1" applyFill="1" applyBorder="1"/>
    <xf numFmtId="6" fontId="100" fillId="37" borderId="0" xfId="0" applyNumberFormat="1" applyFont="1" applyFill="1"/>
    <xf numFmtId="6" fontId="231" fillId="37" borderId="133" xfId="0" applyNumberFormat="1" applyFont="1" applyFill="1" applyBorder="1"/>
    <xf numFmtId="6" fontId="231" fillId="37" borderId="134" xfId="0" applyNumberFormat="1" applyFont="1" applyFill="1" applyBorder="1"/>
    <xf numFmtId="5" fontId="22" fillId="37" borderId="81" xfId="0" applyNumberFormat="1" applyFont="1" applyFill="1" applyBorder="1"/>
    <xf numFmtId="5" fontId="22" fillId="37" borderId="130" xfId="0" applyNumberFormat="1" applyFont="1" applyFill="1" applyBorder="1"/>
    <xf numFmtId="5" fontId="22" fillId="37" borderId="0" xfId="0" applyNumberFormat="1" applyFont="1" applyFill="1"/>
    <xf numFmtId="10" fontId="26" fillId="29" borderId="0" xfId="2" applyNumberFormat="1" applyFont="1" applyFill="1" applyBorder="1"/>
    <xf numFmtId="0" fontId="233" fillId="42" borderId="109" xfId="0" applyFont="1" applyFill="1" applyBorder="1" applyAlignment="1">
      <alignment horizontal="centerContinuous"/>
    </xf>
    <xf numFmtId="0" fontId="232" fillId="42" borderId="94" xfId="0" applyFont="1" applyFill="1" applyBorder="1" applyAlignment="1">
      <alignment horizontal="centerContinuous"/>
    </xf>
    <xf numFmtId="0" fontId="232" fillId="42" borderId="67" xfId="0" applyFont="1" applyFill="1" applyBorder="1"/>
    <xf numFmtId="0" fontId="232" fillId="42" borderId="109" xfId="0" applyFont="1" applyFill="1" applyBorder="1" applyAlignment="1">
      <alignment horizontal="center"/>
    </xf>
    <xf numFmtId="0" fontId="232" fillId="42" borderId="94" xfId="0" applyFont="1" applyFill="1" applyBorder="1" applyAlignment="1">
      <alignment horizontal="center"/>
    </xf>
    <xf numFmtId="0" fontId="232" fillId="42" borderId="112" xfId="0" applyFont="1" applyFill="1" applyBorder="1" applyAlignment="1">
      <alignment horizontal="center"/>
    </xf>
    <xf numFmtId="0" fontId="232" fillId="42" borderId="77" xfId="0" applyFont="1" applyFill="1" applyBorder="1"/>
    <xf numFmtId="0" fontId="232" fillId="42" borderId="76" xfId="0" applyFont="1" applyFill="1" applyBorder="1" applyAlignment="1">
      <alignment horizontal="center"/>
    </xf>
    <xf numFmtId="0" fontId="232" fillId="0" borderId="67" xfId="0" applyFont="1" applyBorder="1"/>
    <xf numFmtId="9" fontId="233" fillId="0" borderId="93" xfId="2" applyFont="1" applyBorder="1"/>
    <xf numFmtId="9" fontId="233" fillId="0" borderId="0" xfId="2" applyFont="1" applyBorder="1"/>
    <xf numFmtId="9" fontId="233" fillId="0" borderId="8" xfId="2" applyFont="1" applyBorder="1"/>
    <xf numFmtId="0" fontId="233" fillId="0" borderId="93" xfId="0" applyFont="1" applyBorder="1"/>
    <xf numFmtId="0" fontId="233" fillId="0" borderId="8" xfId="0" applyFont="1" applyBorder="1"/>
    <xf numFmtId="340" fontId="232" fillId="0" borderId="93" xfId="1" applyNumberFormat="1" applyFont="1" applyBorder="1"/>
    <xf numFmtId="340" fontId="232" fillId="0" borderId="77" xfId="1" applyNumberFormat="1" applyFont="1" applyBorder="1"/>
    <xf numFmtId="340" fontId="232" fillId="0" borderId="109" xfId="1" applyNumberFormat="1" applyFont="1" applyBorder="1"/>
    <xf numFmtId="321" fontId="234" fillId="0" borderId="93" xfId="1" applyNumberFormat="1" applyFont="1" applyBorder="1"/>
    <xf numFmtId="340" fontId="234" fillId="0" borderId="109" xfId="1" applyNumberFormat="1" applyFont="1" applyBorder="1"/>
    <xf numFmtId="340" fontId="232" fillId="46" borderId="109" xfId="1" applyNumberFormat="1" applyFont="1" applyFill="1" applyBorder="1"/>
    <xf numFmtId="37" fontId="70" fillId="0" borderId="65" xfId="0" applyNumberFormat="1" applyFont="1" applyBorder="1" applyAlignment="1">
      <alignment horizontal="left"/>
    </xf>
    <xf numFmtId="37" fontId="40" fillId="0" borderId="65" xfId="0" applyNumberFormat="1" applyFont="1" applyBorder="1" applyAlignment="1">
      <alignment horizontal="left" indent="1"/>
    </xf>
    <xf numFmtId="37" fontId="40" fillId="0" borderId="65" xfId="0" applyNumberFormat="1" applyFont="1" applyBorder="1" applyAlignment="1">
      <alignment horizontal="left" indent="2"/>
    </xf>
    <xf numFmtId="166" fontId="40" fillId="0" borderId="65" xfId="2" applyNumberFormat="1" applyFont="1" applyFill="1" applyBorder="1" applyAlignment="1">
      <alignment horizontal="left" indent="2"/>
    </xf>
    <xf numFmtId="0" fontId="40" fillId="0" borderId="75" xfId="0" applyFont="1" applyBorder="1" applyAlignment="1">
      <alignment horizontal="left" indent="1"/>
    </xf>
    <xf numFmtId="0" fontId="40" fillId="0" borderId="65" xfId="0" applyFont="1" applyBorder="1" applyAlignment="1">
      <alignment horizontal="left" indent="1"/>
    </xf>
    <xf numFmtId="3" fontId="40" fillId="0" borderId="65" xfId="0" applyNumberFormat="1" applyFont="1" applyBorder="1" applyAlignment="1">
      <alignment horizontal="left" indent="1"/>
    </xf>
    <xf numFmtId="2" fontId="40" fillId="0" borderId="65" xfId="2" applyNumberFormat="1" applyFont="1" applyFill="1" applyBorder="1" applyAlignment="1">
      <alignment horizontal="left"/>
    </xf>
    <xf numFmtId="0" fontId="253" fillId="46" borderId="5" xfId="0" applyFont="1" applyFill="1" applyBorder="1"/>
    <xf numFmtId="0" fontId="232" fillId="0" borderId="65" xfId="0" applyFont="1" applyBorder="1"/>
    <xf numFmtId="341" fontId="238" fillId="0" borderId="65" xfId="0" applyNumberFormat="1" applyFont="1" applyBorder="1" applyAlignment="1">
      <alignment horizontal="left" indent="2"/>
    </xf>
    <xf numFmtId="341" fontId="232" fillId="0" borderId="65" xfId="0" applyNumberFormat="1" applyFont="1" applyBorder="1" applyAlignment="1">
      <alignment horizontal="left" indent="1"/>
    </xf>
    <xf numFmtId="9" fontId="232" fillId="0" borderId="65" xfId="0" applyNumberFormat="1" applyFont="1" applyBorder="1" applyAlignment="1">
      <alignment horizontal="left" indent="1"/>
    </xf>
    <xf numFmtId="167" fontId="233" fillId="0" borderId="0" xfId="2" applyNumberFormat="1" applyFont="1" applyBorder="1"/>
    <xf numFmtId="3" fontId="40" fillId="0" borderId="5" xfId="1" applyNumberFormat="1" applyFont="1" applyFill="1" applyBorder="1"/>
    <xf numFmtId="3" fontId="232" fillId="0" borderId="109" xfId="1" applyNumberFormat="1" applyFont="1" applyBorder="1"/>
    <xf numFmtId="0" fontId="0" fillId="41" borderId="78" xfId="0" applyFill="1" applyBorder="1"/>
    <xf numFmtId="0" fontId="0" fillId="41" borderId="109" xfId="0" applyFill="1" applyBorder="1" applyAlignment="1">
      <alignment horizontal="centerContinuous"/>
    </xf>
    <xf numFmtId="0" fontId="18" fillId="41" borderId="94" xfId="0" applyFont="1" applyFill="1" applyBorder="1" applyAlignment="1">
      <alignment horizontal="centerContinuous"/>
    </xf>
    <xf numFmtId="0" fontId="18" fillId="41" borderId="112" xfId="0" applyFont="1" applyFill="1" applyBorder="1" applyAlignment="1">
      <alignment horizontal="centerContinuous"/>
    </xf>
    <xf numFmtId="0" fontId="0" fillId="41" borderId="75" xfId="0" applyFill="1" applyBorder="1"/>
    <xf numFmtId="0" fontId="18" fillId="41" borderId="109" xfId="0" applyFont="1" applyFill="1" applyBorder="1" applyAlignment="1">
      <alignment horizontal="center"/>
    </xf>
    <xf numFmtId="0" fontId="0" fillId="41" borderId="109" xfId="0" applyFill="1" applyBorder="1" applyAlignment="1">
      <alignment horizontal="center"/>
    </xf>
    <xf numFmtId="6" fontId="232" fillId="37" borderId="109" xfId="0" applyNumberFormat="1" applyFont="1" applyFill="1" applyBorder="1"/>
    <xf numFmtId="6" fontId="232" fillId="37" borderId="94" xfId="0" applyNumberFormat="1" applyFont="1" applyFill="1" applyBorder="1"/>
    <xf numFmtId="6" fontId="232" fillId="37" borderId="109" xfId="1" applyNumberFormat="1" applyFont="1" applyFill="1" applyBorder="1"/>
    <xf numFmtId="9" fontId="232" fillId="37" borderId="112" xfId="2" applyFont="1" applyFill="1" applyBorder="1"/>
    <xf numFmtId="3" fontId="70" fillId="37" borderId="5" xfId="0" applyNumberFormat="1" applyFont="1" applyFill="1" applyBorder="1"/>
    <xf numFmtId="6" fontId="234" fillId="37" borderId="109" xfId="0" applyNumberFormat="1" applyFont="1" applyFill="1" applyBorder="1"/>
    <xf numFmtId="6" fontId="234" fillId="37" borderId="94" xfId="0" applyNumberFormat="1" applyFont="1" applyFill="1" applyBorder="1"/>
    <xf numFmtId="6" fontId="234" fillId="37" borderId="109" xfId="1" applyNumberFormat="1" applyFont="1" applyFill="1" applyBorder="1"/>
    <xf numFmtId="9" fontId="234" fillId="37" borderId="112" xfId="2" applyFont="1" applyFill="1" applyBorder="1"/>
    <xf numFmtId="166" fontId="70" fillId="37" borderId="5" xfId="2" applyNumberFormat="1" applyFont="1" applyFill="1" applyBorder="1" applyAlignment="1">
      <alignment horizontal="left"/>
    </xf>
    <xf numFmtId="7" fontId="70" fillId="42" borderId="65" xfId="2" applyNumberFormat="1" applyFont="1" applyFill="1" applyBorder="1" applyAlignment="1">
      <alignment horizontal="left"/>
    </xf>
    <xf numFmtId="167" fontId="234" fillId="42" borderId="93" xfId="1330" applyNumberFormat="1" applyFont="1" applyFill="1" applyBorder="1"/>
    <xf numFmtId="167" fontId="234" fillId="42" borderId="0" xfId="1330" applyNumberFormat="1" applyFont="1" applyFill="1" applyBorder="1"/>
    <xf numFmtId="8" fontId="234" fillId="42" borderId="93" xfId="1" applyNumberFormat="1" applyFont="1" applyFill="1" applyBorder="1"/>
    <xf numFmtId="9" fontId="234" fillId="42" borderId="8" xfId="2" applyFont="1" applyFill="1" applyBorder="1"/>
    <xf numFmtId="7" fontId="70" fillId="37" borderId="65" xfId="2" applyNumberFormat="1" applyFont="1" applyFill="1" applyBorder="1" applyAlignment="1">
      <alignment horizontal="left"/>
    </xf>
    <xf numFmtId="167" fontId="234" fillId="37" borderId="93" xfId="1330" applyNumberFormat="1" applyFont="1" applyFill="1" applyBorder="1"/>
    <xf numFmtId="167" fontId="234" fillId="37" borderId="0" xfId="1330" applyNumberFormat="1" applyFont="1" applyFill="1" applyBorder="1"/>
    <xf numFmtId="8" fontId="234" fillId="37" borderId="93" xfId="1" applyNumberFormat="1" applyFont="1" applyFill="1" applyBorder="1"/>
    <xf numFmtId="9" fontId="234" fillId="37" borderId="8" xfId="2" applyFont="1" applyFill="1" applyBorder="1"/>
    <xf numFmtId="0" fontId="70" fillId="42" borderId="5" xfId="0" applyFont="1" applyFill="1" applyBorder="1"/>
    <xf numFmtId="6" fontId="234" fillId="42" borderId="109" xfId="0" applyNumberFormat="1" applyFont="1" applyFill="1" applyBorder="1"/>
    <xf numFmtId="6" fontId="234" fillId="42" borderId="94" xfId="0" applyNumberFormat="1" applyFont="1" applyFill="1" applyBorder="1"/>
    <xf numFmtId="6" fontId="234" fillId="42" borderId="109" xfId="1" applyNumberFormat="1" applyFont="1" applyFill="1" applyBorder="1"/>
    <xf numFmtId="9" fontId="234" fillId="42" borderId="112" xfId="2" applyFont="1" applyFill="1" applyBorder="1"/>
    <xf numFmtId="37" fontId="70" fillId="42" borderId="75" xfId="0" applyNumberFormat="1" applyFont="1" applyFill="1" applyBorder="1"/>
    <xf numFmtId="6" fontId="232" fillId="42" borderId="77" xfId="0" applyNumberFormat="1" applyFont="1" applyFill="1" applyBorder="1"/>
    <xf numFmtId="6" fontId="232" fillId="42" borderId="76" xfId="0" applyNumberFormat="1" applyFont="1" applyFill="1" applyBorder="1"/>
    <xf numFmtId="6" fontId="232" fillId="42" borderId="77" xfId="1" applyNumberFormat="1" applyFont="1" applyFill="1" applyBorder="1"/>
    <xf numFmtId="9" fontId="232" fillId="42" borderId="79" xfId="2" applyFont="1" applyFill="1" applyBorder="1"/>
    <xf numFmtId="37" fontId="70" fillId="42" borderId="5" xfId="0" applyNumberFormat="1" applyFont="1" applyFill="1" applyBorder="1"/>
    <xf numFmtId="6" fontId="232" fillId="42" borderId="109" xfId="0" applyNumberFormat="1" applyFont="1" applyFill="1" applyBorder="1"/>
    <xf numFmtId="6" fontId="232" fillId="42" borderId="94" xfId="0" applyNumberFormat="1" applyFont="1" applyFill="1" applyBorder="1"/>
    <xf numFmtId="6" fontId="232" fillId="42" borderId="109" xfId="1" applyNumberFormat="1" applyFont="1" applyFill="1" applyBorder="1"/>
    <xf numFmtId="9" fontId="232" fillId="42" borderId="112" xfId="2" applyFont="1" applyFill="1" applyBorder="1"/>
    <xf numFmtId="9" fontId="234" fillId="37" borderId="5" xfId="0" applyNumberFormat="1" applyFont="1" applyFill="1" applyBorder="1"/>
    <xf numFmtId="6" fontId="234" fillId="37" borderId="94" xfId="1" applyNumberFormat="1" applyFont="1" applyFill="1" applyBorder="1"/>
    <xf numFmtId="341" fontId="234" fillId="37" borderId="5" xfId="0" applyNumberFormat="1" applyFont="1" applyFill="1" applyBorder="1"/>
    <xf numFmtId="0" fontId="234" fillId="37" borderId="5" xfId="0" applyFont="1" applyFill="1" applyBorder="1"/>
    <xf numFmtId="166" fontId="234" fillId="37" borderId="109" xfId="2" applyNumberFormat="1" applyFont="1" applyFill="1" applyBorder="1"/>
    <xf numFmtId="166" fontId="234" fillId="37" borderId="94" xfId="2" applyNumberFormat="1" applyFont="1" applyFill="1" applyBorder="1"/>
    <xf numFmtId="166" fontId="234" fillId="37" borderId="109" xfId="1" applyNumberFormat="1" applyFont="1" applyFill="1" applyBorder="1"/>
    <xf numFmtId="166" fontId="234" fillId="37" borderId="112" xfId="2" applyNumberFormat="1" applyFont="1" applyFill="1" applyBorder="1"/>
    <xf numFmtId="341" fontId="235" fillId="0" borderId="17" xfId="0" applyNumberFormat="1" applyFont="1" applyBorder="1"/>
    <xf numFmtId="341" fontId="232" fillId="0" borderId="17" xfId="0" applyNumberFormat="1" applyFont="1" applyBorder="1"/>
    <xf numFmtId="341" fontId="235" fillId="0" borderId="76" xfId="0" applyNumberFormat="1" applyFont="1" applyBorder="1"/>
    <xf numFmtId="341" fontId="232" fillId="0" borderId="76" xfId="0" applyNumberFormat="1" applyFont="1" applyBorder="1"/>
    <xf numFmtId="341" fontId="235" fillId="0" borderId="0" xfId="1" applyNumberFormat="1" applyFont="1" applyBorder="1"/>
    <xf numFmtId="341" fontId="232" fillId="0" borderId="0" xfId="1" applyNumberFormat="1" applyFont="1" applyBorder="1"/>
    <xf numFmtId="0" fontId="18" fillId="41" borderId="67" xfId="0" applyFont="1" applyFill="1" applyBorder="1"/>
    <xf numFmtId="0" fontId="18" fillId="41" borderId="17" xfId="0" applyFont="1" applyFill="1" applyBorder="1" applyAlignment="1">
      <alignment horizontal="center"/>
    </xf>
    <xf numFmtId="0" fontId="18" fillId="41" borderId="77" xfId="0" applyFont="1" applyFill="1" applyBorder="1"/>
    <xf numFmtId="0" fontId="18" fillId="41" borderId="76" xfId="0" applyFont="1" applyFill="1" applyBorder="1" applyAlignment="1">
      <alignment horizontal="center"/>
    </xf>
    <xf numFmtId="9" fontId="234" fillId="37" borderId="112" xfId="0" applyNumberFormat="1" applyFont="1" applyFill="1" applyBorder="1"/>
    <xf numFmtId="341" fontId="232" fillId="0" borderId="93" xfId="0" applyNumberFormat="1" applyFont="1" applyBorder="1"/>
    <xf numFmtId="341" fontId="238" fillId="0" borderId="93" xfId="0" applyNumberFormat="1" applyFont="1" applyBorder="1" applyAlignment="1">
      <alignment horizontal="left" indent="1"/>
    </xf>
    <xf numFmtId="341" fontId="234" fillId="46" borderId="94" xfId="0" applyNumberFormat="1" applyFont="1" applyFill="1" applyBorder="1"/>
    <xf numFmtId="9" fontId="234" fillId="46" borderId="94" xfId="0" applyNumberFormat="1" applyFont="1" applyFill="1" applyBorder="1"/>
    <xf numFmtId="3" fontId="234" fillId="46" borderId="94" xfId="0" applyNumberFormat="1" applyFont="1" applyFill="1" applyBorder="1"/>
    <xf numFmtId="341" fontId="239" fillId="46" borderId="94" xfId="0" applyNumberFormat="1" applyFont="1" applyFill="1" applyBorder="1"/>
    <xf numFmtId="9" fontId="234" fillId="0" borderId="68" xfId="0" applyNumberFormat="1" applyFont="1" applyBorder="1"/>
    <xf numFmtId="166" fontId="40" fillId="37" borderId="109" xfId="2" applyNumberFormat="1" applyFont="1" applyFill="1" applyBorder="1" applyAlignment="1">
      <alignment horizontal="left"/>
    </xf>
    <xf numFmtId="9" fontId="232" fillId="37" borderId="94" xfId="0" applyNumberFormat="1" applyFont="1" applyFill="1" applyBorder="1"/>
    <xf numFmtId="3" fontId="232" fillId="37" borderId="94" xfId="0" applyNumberFormat="1" applyFont="1" applyFill="1" applyBorder="1"/>
    <xf numFmtId="341" fontId="235" fillId="37" borderId="94" xfId="0" applyNumberFormat="1" applyFont="1" applyFill="1" applyBorder="1"/>
    <xf numFmtId="341" fontId="232" fillId="37" borderId="94" xfId="0" applyNumberFormat="1" applyFont="1" applyFill="1" applyBorder="1"/>
    <xf numFmtId="9" fontId="232" fillId="37" borderId="112" xfId="0" applyNumberFormat="1" applyFont="1" applyFill="1" applyBorder="1"/>
    <xf numFmtId="7" fontId="40" fillId="37" borderId="77" xfId="2" applyNumberFormat="1" applyFont="1" applyFill="1" applyBorder="1" applyAlignment="1">
      <alignment horizontal="left"/>
    </xf>
    <xf numFmtId="167" fontId="232" fillId="37" borderId="76" xfId="1330" applyNumberFormat="1" applyFont="1" applyFill="1" applyBorder="1"/>
    <xf numFmtId="9" fontId="232" fillId="37" borderId="76" xfId="1330" applyNumberFormat="1" applyFont="1" applyFill="1" applyBorder="1"/>
    <xf numFmtId="167" fontId="235" fillId="37" borderId="76" xfId="1330" applyNumberFormat="1" applyFont="1" applyFill="1" applyBorder="1"/>
    <xf numFmtId="9" fontId="232" fillId="37" borderId="79" xfId="1330" applyNumberFormat="1" applyFont="1" applyFill="1" applyBorder="1"/>
    <xf numFmtId="37" fontId="40" fillId="37" borderId="109" xfId="0" applyNumberFormat="1" applyFont="1" applyFill="1" applyBorder="1"/>
    <xf numFmtId="341" fontId="234" fillId="37" borderId="109" xfId="0" applyNumberFormat="1" applyFont="1" applyFill="1" applyBorder="1"/>
    <xf numFmtId="9" fontId="234" fillId="37" borderId="94" xfId="1" applyNumberFormat="1" applyFont="1" applyFill="1" applyBorder="1"/>
    <xf numFmtId="193" fontId="234" fillId="37" borderId="94" xfId="1" applyNumberFormat="1" applyFont="1" applyFill="1" applyBorder="1"/>
    <xf numFmtId="341" fontId="239" fillId="37" borderId="94" xfId="1" applyNumberFormat="1" applyFont="1" applyFill="1" applyBorder="1"/>
    <xf numFmtId="341" fontId="234" fillId="37" borderId="94" xfId="1" applyNumberFormat="1" applyFont="1" applyFill="1" applyBorder="1"/>
    <xf numFmtId="9" fontId="234" fillId="37" borderId="112" xfId="1" applyNumberFormat="1" applyFont="1" applyFill="1" applyBorder="1"/>
    <xf numFmtId="9" fontId="234" fillId="37" borderId="109" xfId="0" applyNumberFormat="1" applyFont="1" applyFill="1" applyBorder="1"/>
    <xf numFmtId="9" fontId="232" fillId="0" borderId="93" xfId="0" applyNumberFormat="1" applyFont="1" applyBorder="1"/>
    <xf numFmtId="0" fontId="234" fillId="37" borderId="109" xfId="0" applyFont="1" applyFill="1" applyBorder="1"/>
    <xf numFmtId="0" fontId="70" fillId="46" borderId="109" xfId="0" applyFont="1" applyFill="1" applyBorder="1"/>
    <xf numFmtId="313" fontId="0" fillId="0" borderId="0" xfId="0" applyNumberFormat="1"/>
    <xf numFmtId="313" fontId="232" fillId="0" borderId="93" xfId="2" applyNumberFormat="1" applyFont="1" applyBorder="1"/>
    <xf numFmtId="313" fontId="232" fillId="0" borderId="0" xfId="2" applyNumberFormat="1" applyFont="1" applyBorder="1"/>
    <xf numFmtId="313" fontId="232" fillId="0" borderId="93" xfId="1" applyNumberFormat="1" applyFont="1" applyBorder="1"/>
    <xf numFmtId="313" fontId="232" fillId="0" borderId="8" xfId="2" applyNumberFormat="1" applyFont="1" applyBorder="1"/>
    <xf numFmtId="313" fontId="234" fillId="0" borderId="109" xfId="2" applyNumberFormat="1" applyFont="1" applyBorder="1"/>
    <xf numFmtId="313" fontId="234" fillId="0" borderId="94" xfId="2" applyNumberFormat="1" applyFont="1" applyBorder="1"/>
    <xf numFmtId="313" fontId="234" fillId="0" borderId="109" xfId="1" applyNumberFormat="1" applyFont="1" applyBorder="1"/>
    <xf numFmtId="313" fontId="234" fillId="0" borderId="112" xfId="2" applyNumberFormat="1" applyFont="1" applyBorder="1"/>
    <xf numFmtId="313" fontId="233" fillId="0" borderId="0" xfId="0" applyNumberFormat="1" applyFont="1"/>
    <xf numFmtId="313" fontId="233" fillId="0" borderId="8" xfId="0" applyNumberFormat="1" applyFont="1" applyBorder="1" applyAlignment="1">
      <alignment horizontal="center"/>
    </xf>
    <xf numFmtId="313" fontId="233" fillId="0" borderId="8" xfId="0" applyNumberFormat="1" applyFont="1" applyBorder="1"/>
    <xf numFmtId="3" fontId="27" fillId="37" borderId="101" xfId="0" applyNumberFormat="1" applyFont="1" applyFill="1" applyBorder="1"/>
    <xf numFmtId="37" fontId="22" fillId="37" borderId="109" xfId="0" applyNumberFormat="1" applyFont="1" applyFill="1" applyBorder="1"/>
    <xf numFmtId="37" fontId="22" fillId="42" borderId="94" xfId="0" applyNumberFormat="1" applyFont="1" applyFill="1" applyBorder="1"/>
    <xf numFmtId="3" fontId="27" fillId="42" borderId="94" xfId="0" applyNumberFormat="1" applyFont="1" applyFill="1" applyBorder="1"/>
    <xf numFmtId="3" fontId="27" fillId="42" borderId="101" xfId="0" applyNumberFormat="1" applyFont="1" applyFill="1" applyBorder="1"/>
    <xf numFmtId="3" fontId="27" fillId="42" borderId="89" xfId="0" applyNumberFormat="1" applyFont="1" applyFill="1" applyBorder="1"/>
    <xf numFmtId="3" fontId="22" fillId="42" borderId="89" xfId="0" applyNumberFormat="1" applyFont="1" applyFill="1" applyBorder="1"/>
    <xf numFmtId="3" fontId="27" fillId="42" borderId="96" xfId="0" applyNumberFormat="1" applyFont="1" applyFill="1" applyBorder="1"/>
    <xf numFmtId="37" fontId="22" fillId="42" borderId="109" xfId="0" applyNumberFormat="1" applyFont="1" applyFill="1" applyBorder="1"/>
    <xf numFmtId="3" fontId="22" fillId="42" borderId="94" xfId="0" applyNumberFormat="1" applyFont="1" applyFill="1" applyBorder="1"/>
    <xf numFmtId="0" fontId="22" fillId="42" borderId="94" xfId="0" applyFont="1" applyFill="1" applyBorder="1"/>
    <xf numFmtId="3" fontId="22" fillId="42" borderId="109" xfId="0" applyNumberFormat="1" applyFont="1" applyFill="1" applyBorder="1"/>
    <xf numFmtId="166" fontId="22" fillId="42" borderId="86" xfId="2" applyNumberFormat="1" applyFont="1" applyFill="1" applyBorder="1" applyAlignment="1">
      <alignment horizontal="left"/>
    </xf>
    <xf numFmtId="3" fontId="27" fillId="42" borderId="103" xfId="0" applyNumberFormat="1" applyFont="1" applyFill="1" applyBorder="1"/>
    <xf numFmtId="3" fontId="22" fillId="42" borderId="111" xfId="0" applyNumberFormat="1" applyFont="1" applyFill="1" applyBorder="1"/>
    <xf numFmtId="3" fontId="22" fillId="42" borderId="86" xfId="0" applyNumberFormat="1" applyFont="1" applyFill="1" applyBorder="1"/>
    <xf numFmtId="7" fontId="22" fillId="42" borderId="106" xfId="2" applyNumberFormat="1" applyFont="1" applyFill="1" applyBorder="1" applyAlignment="1">
      <alignment horizontal="left"/>
    </xf>
    <xf numFmtId="7" fontId="27" fillId="42" borderId="106" xfId="0" applyNumberFormat="1" applyFont="1" applyFill="1" applyBorder="1"/>
    <xf numFmtId="7" fontId="27" fillId="42" borderId="107" xfId="0" applyNumberFormat="1" applyFont="1" applyFill="1" applyBorder="1"/>
    <xf numFmtId="7" fontId="27" fillId="42" borderId="105" xfId="0" applyNumberFormat="1" applyFont="1" applyFill="1" applyBorder="1"/>
    <xf numFmtId="7" fontId="27" fillId="42" borderId="108" xfId="0" applyNumberFormat="1" applyFont="1" applyFill="1" applyBorder="1"/>
    <xf numFmtId="7" fontId="22" fillId="42" borderId="110" xfId="0" applyNumberFormat="1" applyFont="1" applyFill="1" applyBorder="1"/>
    <xf numFmtId="7" fontId="22" fillId="42" borderId="106" xfId="0" applyNumberFormat="1" applyFont="1" applyFill="1" applyBorder="1"/>
    <xf numFmtId="7" fontId="22" fillId="42" borderId="0" xfId="2" applyNumberFormat="1" applyFont="1" applyFill="1" applyBorder="1" applyAlignment="1">
      <alignment horizontal="left"/>
    </xf>
    <xf numFmtId="7" fontId="27" fillId="42" borderId="0" xfId="0" applyNumberFormat="1" applyFont="1" applyFill="1"/>
    <xf numFmtId="7" fontId="27" fillId="42" borderId="84" xfId="0" applyNumberFormat="1" applyFont="1" applyFill="1" applyBorder="1"/>
    <xf numFmtId="7" fontId="27" fillId="42" borderId="81" xfId="0" applyNumberFormat="1" applyFont="1" applyFill="1" applyBorder="1"/>
    <xf numFmtId="7" fontId="22" fillId="42" borderId="93" xfId="0" applyNumberFormat="1" applyFont="1" applyFill="1" applyBorder="1"/>
    <xf numFmtId="7" fontId="22" fillId="42" borderId="0" xfId="0" applyNumberFormat="1" applyFont="1" applyFill="1"/>
    <xf numFmtId="0" fontId="21" fillId="37" borderId="17" xfId="0" applyFont="1" applyFill="1" applyBorder="1"/>
    <xf numFmtId="3" fontId="26" fillId="37" borderId="17" xfId="0" applyNumberFormat="1" applyFont="1" applyFill="1" applyBorder="1"/>
    <xf numFmtId="3" fontId="26" fillId="37" borderId="83" xfId="0" applyNumberFormat="1" applyFont="1" applyFill="1" applyBorder="1"/>
    <xf numFmtId="3" fontId="26" fillId="37" borderId="88" xfId="0" applyNumberFormat="1" applyFont="1" applyFill="1" applyBorder="1"/>
    <xf numFmtId="3" fontId="26" fillId="37" borderId="90" xfId="0" applyNumberFormat="1" applyFont="1" applyFill="1" applyBorder="1"/>
    <xf numFmtId="37" fontId="21" fillId="37" borderId="67" xfId="0" applyNumberFormat="1" applyFont="1" applyFill="1" applyBorder="1"/>
    <xf numFmtId="7" fontId="21" fillId="37" borderId="0" xfId="2" applyNumberFormat="1" applyFont="1" applyFill="1" applyBorder="1" applyAlignment="1">
      <alignment horizontal="left"/>
    </xf>
    <xf numFmtId="7" fontId="26" fillId="37" borderId="0" xfId="0" applyNumberFormat="1" applyFont="1" applyFill="1"/>
    <xf numFmtId="7" fontId="26" fillId="37" borderId="84" xfId="0" applyNumberFormat="1" applyFont="1" applyFill="1" applyBorder="1"/>
    <xf numFmtId="7" fontId="26" fillId="37" borderId="81" xfId="0" applyNumberFormat="1" applyFont="1" applyFill="1" applyBorder="1"/>
    <xf numFmtId="7" fontId="21" fillId="37" borderId="93" xfId="0" applyNumberFormat="1" applyFont="1" applyFill="1" applyBorder="1"/>
    <xf numFmtId="7" fontId="21" fillId="37" borderId="0" xfId="0" applyNumberFormat="1" applyFont="1" applyFill="1"/>
    <xf numFmtId="7" fontId="26" fillId="37" borderId="92" xfId="0" applyNumberFormat="1" applyFont="1" applyFill="1" applyBorder="1"/>
    <xf numFmtId="165" fontId="22" fillId="29" borderId="0" xfId="0" applyNumberFormat="1" applyFont="1" applyFill="1" applyAlignment="1">
      <alignment horizontal="right"/>
    </xf>
    <xf numFmtId="166" fontId="243" fillId="29" borderId="0" xfId="1216" applyNumberFormat="1" applyFont="1" applyFill="1" applyBorder="1"/>
    <xf numFmtId="37" fontId="22" fillId="29" borderId="0" xfId="0" applyNumberFormat="1" applyFont="1" applyFill="1"/>
    <xf numFmtId="37" fontId="26" fillId="29" borderId="0" xfId="2" applyNumberFormat="1" applyFont="1" applyFill="1" applyBorder="1"/>
    <xf numFmtId="37" fontId="27" fillId="29" borderId="0" xfId="0" applyNumberFormat="1" applyFont="1" applyFill="1"/>
    <xf numFmtId="341" fontId="27" fillId="42" borderId="86" xfId="0" applyNumberFormat="1" applyFont="1" applyFill="1" applyBorder="1"/>
    <xf numFmtId="341" fontId="27" fillId="42" borderId="102" xfId="0" applyNumberFormat="1" applyFont="1" applyFill="1" applyBorder="1"/>
    <xf numFmtId="341" fontId="227" fillId="42" borderId="104" xfId="0" applyNumberFormat="1" applyFont="1" applyFill="1" applyBorder="1"/>
    <xf numFmtId="341" fontId="227" fillId="42" borderId="86" xfId="0" applyNumberFormat="1" applyFont="1" applyFill="1" applyBorder="1"/>
    <xf numFmtId="341" fontId="227" fillId="42" borderId="102" xfId="0" applyNumberFormat="1" applyFont="1" applyFill="1" applyBorder="1"/>
    <xf numFmtId="341" fontId="220" fillId="42" borderId="86" xfId="0" applyNumberFormat="1" applyFont="1" applyFill="1" applyBorder="1"/>
    <xf numFmtId="341" fontId="220" fillId="42" borderId="102" xfId="0" applyNumberFormat="1" applyFont="1" applyFill="1" applyBorder="1"/>
    <xf numFmtId="341" fontId="27" fillId="42" borderId="104" xfId="0" applyNumberFormat="1" applyFont="1" applyFill="1" applyBorder="1"/>
    <xf numFmtId="341" fontId="27" fillId="42" borderId="94" xfId="0" applyNumberFormat="1" applyFont="1" applyFill="1" applyBorder="1"/>
    <xf numFmtId="341" fontId="27" fillId="42" borderId="89" xfId="0" applyNumberFormat="1" applyFont="1" applyFill="1" applyBorder="1"/>
    <xf numFmtId="9" fontId="218" fillId="37" borderId="0" xfId="0" applyNumberFormat="1" applyFont="1" applyFill="1"/>
    <xf numFmtId="9" fontId="218" fillId="37" borderId="81" xfId="0" applyNumberFormat="1" applyFont="1" applyFill="1" applyBorder="1"/>
    <xf numFmtId="340" fontId="211" fillId="42" borderId="0" xfId="0" applyNumberFormat="1" applyFont="1" applyFill="1"/>
    <xf numFmtId="340" fontId="211" fillId="42" borderId="81" xfId="0" applyNumberFormat="1" applyFont="1" applyFill="1" applyBorder="1"/>
    <xf numFmtId="203" fontId="21" fillId="29" borderId="0" xfId="66" applyNumberFormat="1" applyFont="1" applyFill="1" applyAlignment="1">
      <alignment horizontal="left"/>
    </xf>
    <xf numFmtId="0" fontId="218" fillId="29" borderId="0" xfId="0" applyFont="1" applyFill="1"/>
    <xf numFmtId="0" fontId="218" fillId="29" borderId="81" xfId="0" applyFont="1" applyFill="1" applyBorder="1"/>
    <xf numFmtId="3" fontId="218" fillId="29" borderId="81" xfId="0" applyNumberFormat="1" applyFont="1" applyFill="1" applyBorder="1"/>
    <xf numFmtId="204" fontId="218" fillId="29" borderId="0" xfId="0" applyNumberFormat="1" applyFont="1" applyFill="1"/>
    <xf numFmtId="204" fontId="218" fillId="29" borderId="81" xfId="0" applyNumberFormat="1" applyFont="1" applyFill="1" applyBorder="1"/>
    <xf numFmtId="204" fontId="242" fillId="29" borderId="0" xfId="0" applyNumberFormat="1" applyFont="1" applyFill="1"/>
    <xf numFmtId="214" fontId="218" fillId="29" borderId="0" xfId="0" applyNumberFormat="1" applyFont="1" applyFill="1"/>
    <xf numFmtId="214" fontId="218" fillId="29" borderId="81" xfId="0" applyNumberFormat="1" applyFont="1" applyFill="1" applyBorder="1"/>
    <xf numFmtId="214" fontId="71" fillId="29" borderId="0" xfId="0" applyNumberFormat="1" applyFont="1" applyFill="1"/>
    <xf numFmtId="214" fontId="71" fillId="29" borderId="81" xfId="0" applyNumberFormat="1" applyFont="1" applyFill="1" applyBorder="1"/>
    <xf numFmtId="214" fontId="221" fillId="29" borderId="0" xfId="0" applyNumberFormat="1" applyFont="1" applyFill="1"/>
    <xf numFmtId="214" fontId="242" fillId="29" borderId="0" xfId="0" applyNumberFormat="1" applyFont="1" applyFill="1"/>
    <xf numFmtId="9" fontId="218" fillId="42" borderId="81" xfId="0" applyNumberFormat="1" applyFont="1" applyFill="1" applyBorder="1"/>
    <xf numFmtId="9" fontId="218" fillId="42" borderId="0" xfId="0" applyNumberFormat="1" applyFont="1" applyFill="1"/>
    <xf numFmtId="203" fontId="21" fillId="29" borderId="81" xfId="66" applyNumberFormat="1" applyFont="1" applyFill="1" applyBorder="1" applyAlignment="1">
      <alignment horizontal="left"/>
    </xf>
    <xf numFmtId="203" fontId="26" fillId="29" borderId="0" xfId="66" applyNumberFormat="1" applyFont="1" applyFill="1" applyBorder="1" applyAlignment="1">
      <alignment horizontal="left"/>
    </xf>
    <xf numFmtId="340" fontId="21" fillId="0" borderId="0" xfId="2" applyNumberFormat="1" applyFont="1" applyFill="1" applyBorder="1" applyAlignment="1">
      <alignment horizontal="left"/>
    </xf>
    <xf numFmtId="340" fontId="26" fillId="0" borderId="81" xfId="0" applyNumberFormat="1" applyFont="1" applyBorder="1"/>
    <xf numFmtId="340" fontId="21" fillId="0" borderId="0" xfId="1" applyNumberFormat="1" applyFont="1" applyBorder="1"/>
    <xf numFmtId="340" fontId="21" fillId="0" borderId="81" xfId="1" applyNumberFormat="1" applyFont="1" applyBorder="1"/>
    <xf numFmtId="340" fontId="21" fillId="0" borderId="0" xfId="1" applyNumberFormat="1" applyFont="1" applyBorder="1" applyAlignment="1">
      <alignment vertical="top"/>
    </xf>
    <xf numFmtId="340" fontId="21" fillId="0" borderId="81" xfId="1" applyNumberFormat="1" applyFont="1" applyBorder="1" applyAlignment="1">
      <alignment vertical="top"/>
    </xf>
    <xf numFmtId="340" fontId="21" fillId="0" borderId="0" xfId="2" applyNumberFormat="1" applyFont="1" applyFill="1" applyBorder="1"/>
    <xf numFmtId="340" fontId="21" fillId="0" borderId="0" xfId="2" applyNumberFormat="1" applyFont="1" applyFill="1"/>
    <xf numFmtId="340" fontId="211" fillId="0" borderId="0" xfId="1" applyNumberFormat="1" applyFont="1" applyBorder="1" applyAlignment="1">
      <alignment vertical="top"/>
    </xf>
    <xf numFmtId="340" fontId="211" fillId="0" borderId="0" xfId="1" applyNumberFormat="1" applyFont="1" applyFill="1" applyBorder="1" applyAlignment="1">
      <alignment horizontal="right" vertical="top"/>
    </xf>
    <xf numFmtId="340" fontId="211" fillId="0" borderId="81" xfId="1" applyNumberFormat="1" applyFont="1" applyBorder="1" applyAlignment="1">
      <alignment vertical="top"/>
    </xf>
    <xf numFmtId="340" fontId="211" fillId="42" borderId="0" xfId="1" applyNumberFormat="1" applyFont="1" applyFill="1" applyBorder="1" applyAlignment="1">
      <alignment vertical="top"/>
    </xf>
    <xf numFmtId="340" fontId="211" fillId="29" borderId="0" xfId="1" applyNumberFormat="1" applyFont="1" applyFill="1" applyBorder="1"/>
    <xf numFmtId="214" fontId="226" fillId="29" borderId="0" xfId="0" applyNumberFormat="1" applyFont="1" applyFill="1"/>
    <xf numFmtId="214" fontId="226" fillId="29" borderId="81" xfId="0" applyNumberFormat="1" applyFont="1" applyFill="1" applyBorder="1"/>
    <xf numFmtId="214" fontId="22" fillId="29" borderId="94" xfId="0" applyNumberFormat="1" applyFont="1" applyFill="1" applyBorder="1"/>
    <xf numFmtId="214" fontId="220" fillId="29" borderId="94" xfId="0" applyNumberFormat="1" applyFont="1" applyFill="1" applyBorder="1"/>
    <xf numFmtId="214" fontId="220" fillId="29" borderId="89" xfId="0" applyNumberFormat="1" applyFont="1" applyFill="1" applyBorder="1"/>
    <xf numFmtId="214" fontId="22" fillId="29" borderId="89" xfId="0" applyNumberFormat="1" applyFont="1" applyFill="1" applyBorder="1"/>
    <xf numFmtId="340" fontId="211" fillId="29" borderId="0" xfId="1" applyNumberFormat="1" applyFont="1" applyFill="1" applyBorder="1" applyAlignment="1">
      <alignment vertical="top"/>
    </xf>
    <xf numFmtId="340" fontId="211" fillId="29" borderId="81" xfId="1" applyNumberFormat="1" applyFont="1" applyFill="1" applyBorder="1" applyAlignment="1">
      <alignment vertical="top"/>
    </xf>
    <xf numFmtId="314" fontId="218" fillId="37" borderId="0" xfId="0" applyNumberFormat="1" applyFont="1" applyFill="1"/>
    <xf numFmtId="314" fontId="218" fillId="37" borderId="81" xfId="0" applyNumberFormat="1" applyFont="1" applyFill="1" applyBorder="1"/>
    <xf numFmtId="314" fontId="71" fillId="37" borderId="0" xfId="0" applyNumberFormat="1" applyFont="1" applyFill="1"/>
    <xf numFmtId="314" fontId="71" fillId="37" borderId="81" xfId="0" applyNumberFormat="1" applyFont="1" applyFill="1" applyBorder="1"/>
    <xf numFmtId="314" fontId="218" fillId="42" borderId="0" xfId="0" applyNumberFormat="1" applyFont="1" applyFill="1"/>
    <xf numFmtId="314" fontId="218" fillId="42" borderId="81" xfId="0" applyNumberFormat="1" applyFont="1" applyFill="1" applyBorder="1"/>
    <xf numFmtId="314" fontId="221" fillId="29" borderId="0" xfId="0" applyNumberFormat="1" applyFont="1" applyFill="1"/>
    <xf numFmtId="314" fontId="242" fillId="29" borderId="0" xfId="0" applyNumberFormat="1" applyFont="1" applyFill="1"/>
    <xf numFmtId="314" fontId="71" fillId="37" borderId="0" xfId="0" applyNumberFormat="1" applyFont="1" applyFill="1" applyAlignment="1">
      <alignment horizontal="right"/>
    </xf>
    <xf numFmtId="314" fontId="21" fillId="37" borderId="94" xfId="0" applyNumberFormat="1" applyFont="1" applyFill="1" applyBorder="1"/>
    <xf numFmtId="314" fontId="218" fillId="37" borderId="94" xfId="0" applyNumberFormat="1" applyFont="1" applyFill="1" applyBorder="1"/>
    <xf numFmtId="314" fontId="218" fillId="37" borderId="89" xfId="0" applyNumberFormat="1" applyFont="1" applyFill="1" applyBorder="1"/>
    <xf numFmtId="314" fontId="71" fillId="37" borderId="94" xfId="0" applyNumberFormat="1" applyFont="1" applyFill="1" applyBorder="1"/>
    <xf numFmtId="314" fontId="71" fillId="37" borderId="89" xfId="0" applyNumberFormat="1" applyFont="1" applyFill="1" applyBorder="1"/>
    <xf numFmtId="340" fontId="21" fillId="29" borderId="8" xfId="0" applyNumberFormat="1" applyFont="1" applyFill="1" applyBorder="1"/>
    <xf numFmtId="214" fontId="21" fillId="29" borderId="0" xfId="0" applyNumberFormat="1" applyFont="1" applyFill="1" applyAlignment="1">
      <alignment horizontal="right"/>
    </xf>
    <xf numFmtId="3" fontId="27" fillId="37" borderId="0" xfId="0" applyNumberFormat="1" applyFont="1" applyFill="1"/>
    <xf numFmtId="3" fontId="27" fillId="37" borderId="81" xfId="0" applyNumberFormat="1" applyFont="1" applyFill="1" applyBorder="1"/>
    <xf numFmtId="9" fontId="22" fillId="29" borderId="98" xfId="2" applyFont="1" applyFill="1" applyBorder="1" applyAlignment="1">
      <alignment horizontal="left"/>
    </xf>
    <xf numFmtId="0" fontId="27" fillId="29" borderId="98" xfId="0" applyFont="1" applyFill="1" applyBorder="1"/>
    <xf numFmtId="0" fontId="27" fillId="29" borderId="97" xfId="0" applyFont="1" applyFill="1" applyBorder="1"/>
    <xf numFmtId="166" fontId="27" fillId="29" borderId="98" xfId="0" applyNumberFormat="1" applyFont="1" applyFill="1" applyBorder="1"/>
    <xf numFmtId="166" fontId="27" fillId="29" borderId="97" xfId="0" applyNumberFormat="1" applyFont="1" applyFill="1" applyBorder="1"/>
    <xf numFmtId="3" fontId="27" fillId="29" borderId="98" xfId="0" applyNumberFormat="1" applyFont="1" applyFill="1" applyBorder="1"/>
    <xf numFmtId="3" fontId="27" fillId="29" borderId="97" xfId="0" applyNumberFormat="1" applyFont="1" applyFill="1" applyBorder="1"/>
    <xf numFmtId="340" fontId="27" fillId="29" borderId="81" xfId="0" applyNumberFormat="1" applyFont="1" applyFill="1" applyBorder="1"/>
    <xf numFmtId="340" fontId="211" fillId="0" borderId="0" xfId="1" applyNumberFormat="1" applyFont="1" applyBorder="1"/>
    <xf numFmtId="340" fontId="211" fillId="42" borderId="0" xfId="1" applyNumberFormat="1" applyFont="1" applyFill="1" applyBorder="1"/>
    <xf numFmtId="340" fontId="211" fillId="42" borderId="81" xfId="1" applyNumberFormat="1" applyFont="1" applyFill="1" applyBorder="1"/>
    <xf numFmtId="313" fontId="21" fillId="29" borderId="0" xfId="0" applyNumberFormat="1" applyFont="1" applyFill="1"/>
    <xf numFmtId="340" fontId="211" fillId="42" borderId="81" xfId="1" applyNumberFormat="1" applyFont="1" applyFill="1" applyBorder="1" applyAlignment="1">
      <alignment vertical="top"/>
    </xf>
    <xf numFmtId="193" fontId="21" fillId="29" borderId="0" xfId="1" applyNumberFormat="1" applyFont="1" applyFill="1" applyBorder="1" applyAlignment="1">
      <alignment vertical="top"/>
    </xf>
    <xf numFmtId="193" fontId="21" fillId="29" borderId="81" xfId="1" applyNumberFormat="1" applyFont="1" applyFill="1" applyBorder="1" applyAlignment="1">
      <alignment vertical="top"/>
    </xf>
    <xf numFmtId="193" fontId="21" fillId="29" borderId="0" xfId="1" applyNumberFormat="1" applyFont="1" applyFill="1" applyBorder="1" applyAlignment="1">
      <alignment horizontal="right" vertical="top"/>
    </xf>
    <xf numFmtId="193" fontId="21" fillId="29" borderId="0" xfId="2" applyNumberFormat="1" applyFont="1" applyFill="1" applyBorder="1"/>
    <xf numFmtId="340" fontId="21" fillId="29" borderId="0" xfId="2" applyNumberFormat="1" applyFont="1" applyFill="1" applyBorder="1"/>
    <xf numFmtId="193" fontId="21" fillId="29" borderId="81" xfId="1" applyNumberFormat="1" applyFont="1" applyFill="1" applyBorder="1" applyAlignment="1">
      <alignment horizontal="center"/>
    </xf>
    <xf numFmtId="193" fontId="21" fillId="29" borderId="0" xfId="1" applyNumberFormat="1" applyFont="1" applyFill="1" applyBorder="1" applyAlignment="1">
      <alignment horizontal="center"/>
    </xf>
    <xf numFmtId="340" fontId="211" fillId="42" borderId="92" xfId="1" applyNumberFormat="1" applyFont="1" applyFill="1" applyBorder="1"/>
    <xf numFmtId="5" fontId="221" fillId="0" borderId="0" xfId="0" applyNumberFormat="1" applyFont="1" applyAlignment="1">
      <alignment horizontal="left" indent="1"/>
    </xf>
    <xf numFmtId="5" fontId="26" fillId="0" borderId="137" xfId="0" applyNumberFormat="1" applyFont="1" applyBorder="1"/>
    <xf numFmtId="5" fontId="26" fillId="0" borderId="138" xfId="0" applyNumberFormat="1" applyFont="1" applyBorder="1"/>
    <xf numFmtId="5" fontId="21" fillId="0" borderId="137" xfId="1" applyNumberFormat="1" applyFont="1" applyBorder="1"/>
    <xf numFmtId="5" fontId="21" fillId="0" borderId="138" xfId="1" applyNumberFormat="1" applyFont="1" applyBorder="1"/>
    <xf numFmtId="5" fontId="21" fillId="0" borderId="137" xfId="1" applyNumberFormat="1" applyFont="1" applyBorder="1" applyAlignment="1">
      <alignment vertical="top"/>
    </xf>
    <xf numFmtId="5" fontId="21" fillId="0" borderId="138" xfId="1" applyNumberFormat="1" applyFont="1" applyBorder="1" applyAlignment="1">
      <alignment vertical="top"/>
    </xf>
    <xf numFmtId="5" fontId="21" fillId="29" borderId="137" xfId="1" applyNumberFormat="1" applyFont="1" applyFill="1" applyBorder="1"/>
    <xf numFmtId="5" fontId="21" fillId="29" borderId="138" xfId="1" applyNumberFormat="1" applyFont="1" applyFill="1" applyBorder="1"/>
    <xf numFmtId="5" fontId="26" fillId="0" borderId="137" xfId="2" applyNumberFormat="1" applyFont="1" applyFill="1" applyBorder="1"/>
    <xf numFmtId="5" fontId="27" fillId="0" borderId="94" xfId="0" applyNumberFormat="1" applyFont="1" applyBorder="1"/>
    <xf numFmtId="5" fontId="27" fillId="0" borderId="89" xfId="0" applyNumberFormat="1" applyFont="1" applyBorder="1"/>
    <xf numFmtId="5" fontId="22" fillId="0" borderId="94" xfId="1" applyNumberFormat="1" applyFont="1" applyBorder="1"/>
    <xf numFmtId="5" fontId="22" fillId="0" borderId="89" xfId="1" applyNumberFormat="1" applyFont="1" applyBorder="1"/>
    <xf numFmtId="5" fontId="22" fillId="0" borderId="94" xfId="1" applyNumberFormat="1" applyFont="1" applyBorder="1" applyAlignment="1">
      <alignment vertical="top"/>
    </xf>
    <xf numFmtId="5" fontId="22" fillId="0" borderId="89" xfId="1" applyNumberFormat="1" applyFont="1" applyBorder="1" applyAlignment="1">
      <alignment vertical="top"/>
    </xf>
    <xf numFmtId="5" fontId="22" fillId="29" borderId="94" xfId="1" applyNumberFormat="1" applyFont="1" applyFill="1" applyBorder="1"/>
    <xf numFmtId="5" fontId="22" fillId="29" borderId="89" xfId="1" applyNumberFormat="1" applyFont="1" applyFill="1" applyBorder="1"/>
    <xf numFmtId="5" fontId="27" fillId="0" borderId="94" xfId="2" applyNumberFormat="1" applyFont="1" applyFill="1" applyBorder="1"/>
    <xf numFmtId="0" fontId="27" fillId="0" borderId="89" xfId="0" applyFont="1" applyBorder="1"/>
    <xf numFmtId="193" fontId="22" fillId="0" borderId="94" xfId="1" applyNumberFormat="1" applyFont="1" applyBorder="1"/>
    <xf numFmtId="193" fontId="22" fillId="0" borderId="89" xfId="1" applyNumberFormat="1" applyFont="1" applyBorder="1"/>
    <xf numFmtId="9" fontId="22" fillId="0" borderId="94" xfId="2" applyFont="1" applyBorder="1" applyAlignment="1">
      <alignment vertical="top"/>
    </xf>
    <xf numFmtId="9" fontId="22" fillId="0" borderId="89" xfId="2" applyFont="1" applyBorder="1" applyAlignment="1">
      <alignment vertical="top"/>
    </xf>
    <xf numFmtId="9" fontId="22" fillId="0" borderId="94" xfId="2" applyFont="1" applyBorder="1"/>
    <xf numFmtId="9" fontId="22" fillId="0" borderId="89" xfId="2" applyFont="1" applyBorder="1"/>
    <xf numFmtId="9" fontId="22" fillId="29" borderId="94" xfId="2" applyFont="1" applyFill="1" applyBorder="1"/>
    <xf numFmtId="9" fontId="22" fillId="29" borderId="89" xfId="2" applyFont="1" applyFill="1" applyBorder="1"/>
    <xf numFmtId="166" fontId="27" fillId="0" borderId="94" xfId="0" applyNumberFormat="1" applyFont="1" applyBorder="1"/>
    <xf numFmtId="9" fontId="22" fillId="0" borderId="94" xfId="2" applyFont="1" applyFill="1" applyBorder="1"/>
    <xf numFmtId="9" fontId="27" fillId="0" borderId="94" xfId="2" applyFont="1" applyFill="1" applyBorder="1"/>
    <xf numFmtId="0" fontId="26" fillId="0" borderId="137" xfId="0" applyFont="1" applyBorder="1"/>
    <xf numFmtId="0" fontId="26" fillId="0" borderId="138" xfId="0" applyFont="1" applyBorder="1"/>
    <xf numFmtId="193" fontId="21" fillId="0" borderId="137" xfId="1" applyNumberFormat="1" applyFont="1" applyBorder="1"/>
    <xf numFmtId="193" fontId="21" fillId="0" borderId="138" xfId="1" applyNumberFormat="1" applyFont="1" applyBorder="1"/>
    <xf numFmtId="9" fontId="21" fillId="0" borderId="137" xfId="2" applyFont="1" applyBorder="1" applyAlignment="1">
      <alignment vertical="top"/>
    </xf>
    <xf numFmtId="9" fontId="21" fillId="0" borderId="138" xfId="2" applyFont="1" applyBorder="1" applyAlignment="1">
      <alignment vertical="top"/>
    </xf>
    <xf numFmtId="9" fontId="21" fillId="0" borderId="137" xfId="2" applyFont="1" applyBorder="1"/>
    <xf numFmtId="9" fontId="21" fillId="0" borderId="138" xfId="2" applyFont="1" applyBorder="1"/>
    <xf numFmtId="9" fontId="21" fillId="29" borderId="137" xfId="2" applyFont="1" applyFill="1" applyBorder="1"/>
    <xf numFmtId="9" fontId="21" fillId="29" borderId="138" xfId="2" applyFont="1" applyFill="1" applyBorder="1"/>
    <xf numFmtId="166" fontId="26" fillId="0" borderId="137" xfId="0" applyNumberFormat="1" applyFont="1" applyBorder="1"/>
    <xf numFmtId="9" fontId="21" fillId="0" borderId="137" xfId="2" applyFont="1" applyFill="1" applyBorder="1"/>
    <xf numFmtId="9" fontId="26" fillId="0" borderId="137" xfId="2" applyFont="1" applyFill="1" applyBorder="1"/>
    <xf numFmtId="3" fontId="211" fillId="42" borderId="0" xfId="1" applyNumberFormat="1" applyFont="1" applyFill="1" applyBorder="1"/>
    <xf numFmtId="3" fontId="211" fillId="42" borderId="81" xfId="1" applyNumberFormat="1" applyFont="1" applyFill="1" applyBorder="1"/>
    <xf numFmtId="0" fontId="22" fillId="29" borderId="17" xfId="0" applyFont="1" applyFill="1" applyBorder="1"/>
    <xf numFmtId="3" fontId="220" fillId="29" borderId="17" xfId="0" applyNumberFormat="1" applyFont="1" applyFill="1" applyBorder="1"/>
    <xf numFmtId="3" fontId="220" fillId="29" borderId="88" xfId="0" applyNumberFormat="1" applyFont="1" applyFill="1" applyBorder="1"/>
    <xf numFmtId="5" fontId="22" fillId="36" borderId="17" xfId="0" applyNumberFormat="1" applyFont="1" applyFill="1" applyBorder="1"/>
    <xf numFmtId="5" fontId="22" fillId="37" borderId="17" xfId="0" applyNumberFormat="1" applyFont="1" applyFill="1" applyBorder="1"/>
    <xf numFmtId="5" fontId="22" fillId="37" borderId="88" xfId="0" applyNumberFormat="1" applyFont="1" applyFill="1" applyBorder="1"/>
    <xf numFmtId="5" fontId="220" fillId="29" borderId="17" xfId="0" applyNumberFormat="1" applyFont="1" applyFill="1" applyBorder="1"/>
    <xf numFmtId="5" fontId="220" fillId="29" borderId="88" xfId="0" applyNumberFormat="1" applyFont="1" applyFill="1" applyBorder="1"/>
    <xf numFmtId="5" fontId="227" fillId="29" borderId="88" xfId="0" applyNumberFormat="1" applyFont="1" applyFill="1" applyBorder="1"/>
    <xf numFmtId="5" fontId="27" fillId="29" borderId="88" xfId="0" applyNumberFormat="1" applyFont="1" applyFill="1" applyBorder="1"/>
    <xf numFmtId="5" fontId="27" fillId="37" borderId="86" xfId="0" applyNumberFormat="1" applyFont="1" applyFill="1" applyBorder="1" applyAlignment="1">
      <alignment horizontal="right"/>
    </xf>
    <xf numFmtId="5" fontId="26" fillId="37" borderId="88" xfId="0" applyNumberFormat="1" applyFont="1" applyFill="1" applyBorder="1"/>
    <xf numFmtId="0" fontId="22" fillId="41" borderId="88" xfId="0" applyFont="1" applyFill="1" applyBorder="1" applyAlignment="1">
      <alignment horizontal="right"/>
    </xf>
    <xf numFmtId="5" fontId="21" fillId="37" borderId="0" xfId="1216" applyNumberFormat="1" applyFont="1" applyFill="1" applyBorder="1" applyAlignment="1">
      <alignment horizontal="right"/>
    </xf>
    <xf numFmtId="5" fontId="21" fillId="37" borderId="81" xfId="1216" applyNumberFormat="1" applyFont="1" applyFill="1" applyBorder="1" applyAlignment="1">
      <alignment horizontal="right"/>
    </xf>
    <xf numFmtId="5" fontId="27" fillId="37" borderId="102" xfId="0" applyNumberFormat="1" applyFont="1" applyFill="1" applyBorder="1" applyAlignment="1">
      <alignment horizontal="right"/>
    </xf>
    <xf numFmtId="5" fontId="22" fillId="36" borderId="102" xfId="0" applyNumberFormat="1" applyFont="1" applyFill="1" applyBorder="1"/>
    <xf numFmtId="5" fontId="22" fillId="36" borderId="88" xfId="0" applyNumberFormat="1" applyFont="1" applyFill="1" applyBorder="1"/>
    <xf numFmtId="5" fontId="22" fillId="37" borderId="86" xfId="0" applyNumberFormat="1" applyFont="1" applyFill="1" applyBorder="1" applyAlignment="1">
      <alignment horizontal="right"/>
    </xf>
    <xf numFmtId="5" fontId="26" fillId="37" borderId="0" xfId="0" applyNumberFormat="1" applyFont="1" applyFill="1" applyAlignment="1">
      <alignment horizontal="right"/>
    </xf>
    <xf numFmtId="5" fontId="27" fillId="37" borderId="0" xfId="0" applyNumberFormat="1" applyFont="1" applyFill="1"/>
    <xf numFmtId="5" fontId="22" fillId="37" borderId="0" xfId="1216" applyNumberFormat="1" applyFont="1" applyFill="1" applyBorder="1" applyAlignment="1">
      <alignment horizontal="right"/>
    </xf>
    <xf numFmtId="340" fontId="261" fillId="42" borderId="0" xfId="1" applyNumberFormat="1" applyFont="1" applyFill="1" applyBorder="1" applyAlignment="1">
      <alignment vertical="top"/>
    </xf>
    <xf numFmtId="5" fontId="27" fillId="37" borderId="88" xfId="0" applyNumberFormat="1" applyFont="1" applyFill="1" applyBorder="1"/>
    <xf numFmtId="5" fontId="27" fillId="37" borderId="81" xfId="0" applyNumberFormat="1" applyFont="1" applyFill="1" applyBorder="1"/>
    <xf numFmtId="5" fontId="22" fillId="37" borderId="81" xfId="1216" applyNumberFormat="1" applyFont="1" applyFill="1" applyBorder="1" applyAlignment="1">
      <alignment horizontal="right"/>
    </xf>
    <xf numFmtId="5" fontId="27" fillId="37" borderId="0" xfId="0" applyNumberFormat="1" applyFont="1" applyFill="1" applyAlignment="1">
      <alignment horizontal="right"/>
    </xf>
    <xf numFmtId="167" fontId="233" fillId="0" borderId="8" xfId="2" applyNumberFormat="1" applyFont="1" applyBorder="1"/>
    <xf numFmtId="0" fontId="233" fillId="0" borderId="94" xfId="0" applyFont="1" applyBorder="1"/>
    <xf numFmtId="37" fontId="40" fillId="0" borderId="109" xfId="0" applyNumberFormat="1" applyFont="1" applyBorder="1"/>
    <xf numFmtId="3" fontId="235" fillId="0" borderId="94" xfId="0" applyNumberFormat="1" applyFont="1" applyBorder="1"/>
    <xf numFmtId="9" fontId="233" fillId="0" borderId="109" xfId="2" applyFont="1" applyBorder="1"/>
    <xf numFmtId="9" fontId="233" fillId="0" borderId="94" xfId="2" applyFont="1" applyBorder="1"/>
    <xf numFmtId="9" fontId="233" fillId="0" borderId="112" xfId="2" applyFont="1" applyBorder="1"/>
    <xf numFmtId="37" fontId="40" fillId="0" borderId="0" xfId="0" applyNumberFormat="1" applyFont="1"/>
    <xf numFmtId="166" fontId="40" fillId="0" borderId="0" xfId="2" applyNumberFormat="1" applyFont="1" applyFill="1" applyBorder="1" applyAlignment="1"/>
    <xf numFmtId="0" fontId="40" fillId="0" borderId="76" xfId="0" applyFont="1" applyBorder="1"/>
    <xf numFmtId="0" fontId="233" fillId="0" borderId="77" xfId="0" applyFont="1" applyBorder="1"/>
    <xf numFmtId="0" fontId="233" fillId="0" borderId="76" xfId="0" applyFont="1" applyBorder="1"/>
    <xf numFmtId="0" fontId="233" fillId="0" borderId="79" xfId="0" applyFont="1" applyBorder="1"/>
    <xf numFmtId="41" fontId="230" fillId="19" borderId="0" xfId="0" applyNumberFormat="1" applyFont="1" applyFill="1" applyAlignment="1">
      <alignment horizontal="left"/>
    </xf>
    <xf numFmtId="41" fontId="230" fillId="19" borderId="0" xfId="0" applyNumberFormat="1" applyFont="1" applyFill="1" applyAlignment="1">
      <alignment horizontal="right"/>
    </xf>
    <xf numFmtId="41" fontId="230" fillId="0" borderId="0" xfId="0" applyNumberFormat="1" applyFont="1" applyAlignment="1">
      <alignment horizontal="right"/>
    </xf>
    <xf numFmtId="41" fontId="230" fillId="29" borderId="0" xfId="0" applyNumberFormat="1" applyFont="1" applyFill="1" applyAlignment="1">
      <alignment horizontal="right"/>
    </xf>
    <xf numFmtId="41" fontId="230" fillId="0" borderId="0" xfId="0" applyNumberFormat="1" applyFont="1"/>
    <xf numFmtId="3" fontId="230" fillId="19" borderId="0" xfId="0" applyNumberFormat="1" applyFont="1" applyFill="1" applyAlignment="1">
      <alignment horizontal="right"/>
    </xf>
    <xf numFmtId="3" fontId="21" fillId="42" borderId="0" xfId="0" applyNumberFormat="1" applyFont="1" applyFill="1" applyAlignment="1">
      <alignment horizontal="right"/>
    </xf>
    <xf numFmtId="3" fontId="21" fillId="42" borderId="81" xfId="0" applyNumberFormat="1" applyFont="1" applyFill="1" applyBorder="1" applyAlignment="1">
      <alignment horizontal="right"/>
    </xf>
    <xf numFmtId="9" fontId="21" fillId="42" borderId="0" xfId="0" applyNumberFormat="1" applyFont="1" applyFill="1"/>
    <xf numFmtId="204" fontId="27" fillId="29" borderId="94" xfId="0" applyNumberFormat="1" applyFont="1" applyFill="1" applyBorder="1"/>
    <xf numFmtId="314" fontId="221" fillId="29" borderId="94" xfId="0" applyNumberFormat="1" applyFont="1" applyFill="1" applyBorder="1"/>
    <xf numFmtId="313" fontId="26" fillId="29" borderId="81" xfId="63" quotePrefix="1" applyNumberFormat="1" applyFont="1" applyFill="1" applyBorder="1"/>
    <xf numFmtId="204" fontId="26" fillId="29" borderId="130" xfId="0" applyNumberFormat="1" applyFont="1" applyFill="1" applyBorder="1"/>
    <xf numFmtId="179" fontId="26" fillId="29" borderId="133" xfId="0" applyNumberFormat="1" applyFont="1" applyFill="1" applyBorder="1"/>
    <xf numFmtId="179" fontId="26" fillId="0" borderId="133" xfId="0" applyNumberFormat="1" applyFont="1" applyBorder="1"/>
    <xf numFmtId="204" fontId="26" fillId="0" borderId="130" xfId="0" applyNumberFormat="1" applyFont="1" applyBorder="1"/>
    <xf numFmtId="179" fontId="221" fillId="37" borderId="130" xfId="0" applyNumberFormat="1" applyFont="1" applyFill="1" applyBorder="1"/>
    <xf numFmtId="179" fontId="221" fillId="37" borderId="0" xfId="0" applyNumberFormat="1" applyFont="1" applyFill="1"/>
    <xf numFmtId="179" fontId="221" fillId="37" borderId="133" xfId="0" applyNumberFormat="1" applyFont="1" applyFill="1" applyBorder="1"/>
    <xf numFmtId="5" fontId="27" fillId="37" borderId="17" xfId="0" applyNumberFormat="1" applyFont="1" applyFill="1" applyBorder="1"/>
    <xf numFmtId="6" fontId="221" fillId="37" borderId="0" xfId="0" applyNumberFormat="1" applyFont="1" applyFill="1"/>
    <xf numFmtId="6" fontId="27" fillId="37" borderId="17" xfId="0" applyNumberFormat="1" applyFont="1" applyFill="1" applyBorder="1"/>
    <xf numFmtId="6" fontId="22" fillId="37" borderId="17" xfId="0" applyNumberFormat="1" applyFont="1" applyFill="1" applyBorder="1"/>
    <xf numFmtId="5" fontId="26" fillId="29" borderId="130" xfId="0" applyNumberFormat="1" applyFont="1" applyFill="1" applyBorder="1"/>
    <xf numFmtId="5" fontId="21" fillId="29" borderId="130" xfId="0" applyNumberFormat="1" applyFont="1" applyFill="1" applyBorder="1"/>
    <xf numFmtId="341" fontId="71" fillId="37" borderId="136" xfId="0" applyNumberFormat="1" applyFont="1" applyFill="1" applyBorder="1" applyAlignment="1">
      <alignment horizontal="left"/>
    </xf>
    <xf numFmtId="341" fontId="218" fillId="37" borderId="17" xfId="0" applyNumberFormat="1" applyFont="1" applyFill="1" applyBorder="1"/>
    <xf numFmtId="341" fontId="218" fillId="37" borderId="88" xfId="0" applyNumberFormat="1" applyFont="1" applyFill="1" applyBorder="1"/>
    <xf numFmtId="341" fontId="262" fillId="42" borderId="17" xfId="0" applyNumberFormat="1" applyFont="1" applyFill="1" applyBorder="1"/>
    <xf numFmtId="341" fontId="262" fillId="42" borderId="88" xfId="0" applyNumberFormat="1" applyFont="1" applyFill="1" applyBorder="1"/>
    <xf numFmtId="341" fontId="221" fillId="0" borderId="0" xfId="0" applyNumberFormat="1" applyFont="1"/>
    <xf numFmtId="341" fontId="221" fillId="29" borderId="0" xfId="0" applyNumberFormat="1" applyFont="1" applyFill="1"/>
    <xf numFmtId="341" fontId="221" fillId="29" borderId="0" xfId="0" applyNumberFormat="1" applyFont="1" applyFill="1" applyAlignment="1">
      <alignment horizontal="right"/>
    </xf>
    <xf numFmtId="341" fontId="71" fillId="37" borderId="132" xfId="0" applyNumberFormat="1" applyFont="1" applyFill="1" applyBorder="1" applyAlignment="1">
      <alignment horizontal="left"/>
    </xf>
    <xf numFmtId="341" fontId="218" fillId="37" borderId="0" xfId="0" applyNumberFormat="1" applyFont="1" applyFill="1"/>
    <xf numFmtId="341" fontId="218" fillId="37" borderId="81" xfId="0" applyNumberFormat="1" applyFont="1" applyFill="1" applyBorder="1"/>
    <xf numFmtId="341" fontId="262" fillId="42" borderId="0" xfId="0" applyNumberFormat="1" applyFont="1" applyFill="1"/>
    <xf numFmtId="341" fontId="262" fillId="42" borderId="81" xfId="0" applyNumberFormat="1" applyFont="1" applyFill="1" applyBorder="1"/>
    <xf numFmtId="341" fontId="274" fillId="42" borderId="81" xfId="0" applyNumberFormat="1" applyFont="1" applyFill="1" applyBorder="1"/>
    <xf numFmtId="341" fontId="274" fillId="42" borderId="0" xfId="0" applyNumberFormat="1" applyFont="1" applyFill="1"/>
    <xf numFmtId="341" fontId="71" fillId="37" borderId="0" xfId="0" applyNumberFormat="1" applyFont="1" applyFill="1" applyAlignment="1">
      <alignment horizontal="left"/>
    </xf>
    <xf numFmtId="341" fontId="71" fillId="37" borderId="133" xfId="0" applyNumberFormat="1" applyFont="1" applyFill="1" applyBorder="1" applyAlignment="1">
      <alignment horizontal="left"/>
    </xf>
    <xf numFmtId="341" fontId="218" fillId="37" borderId="133" xfId="0" applyNumberFormat="1" applyFont="1" applyFill="1" applyBorder="1"/>
    <xf numFmtId="341" fontId="218" fillId="37" borderId="134" xfId="0" applyNumberFormat="1" applyFont="1" applyFill="1" applyBorder="1"/>
    <xf numFmtId="341" fontId="231" fillId="37" borderId="133" xfId="0" applyNumberFormat="1" applyFont="1" applyFill="1" applyBorder="1"/>
    <xf numFmtId="341" fontId="231" fillId="37" borderId="134" xfId="0" applyNumberFormat="1" applyFont="1" applyFill="1" applyBorder="1"/>
    <xf numFmtId="341" fontId="262" fillId="42" borderId="133" xfId="0" applyNumberFormat="1" applyFont="1" applyFill="1" applyBorder="1"/>
    <xf numFmtId="341" fontId="262" fillId="42" borderId="134" xfId="0" applyNumberFormat="1" applyFont="1" applyFill="1" applyBorder="1"/>
    <xf numFmtId="5" fontId="26" fillId="29" borderId="133" xfId="0" applyNumberFormat="1" applyFont="1" applyFill="1" applyBorder="1"/>
    <xf numFmtId="5" fontId="21" fillId="29" borderId="133" xfId="0" applyNumberFormat="1" applyFont="1" applyFill="1" applyBorder="1"/>
    <xf numFmtId="6" fontId="100" fillId="37" borderId="0" xfId="0" applyNumberFormat="1" applyFont="1" applyFill="1" applyAlignment="1">
      <alignment horizontal="left"/>
    </xf>
    <xf numFmtId="6" fontId="27" fillId="37" borderId="0" xfId="0" applyNumberFormat="1" applyFont="1" applyFill="1"/>
    <xf numFmtId="6" fontId="27" fillId="37" borderId="81" xfId="0" applyNumberFormat="1" applyFont="1" applyFill="1" applyBorder="1"/>
    <xf numFmtId="6" fontId="22" fillId="37" borderId="0" xfId="0" applyNumberFormat="1" applyFont="1" applyFill="1"/>
    <xf numFmtId="6" fontId="22" fillId="37" borderId="81" xfId="0" applyNumberFormat="1" applyFont="1" applyFill="1" applyBorder="1"/>
    <xf numFmtId="6" fontId="27" fillId="29" borderId="0" xfId="0" applyNumberFormat="1" applyFont="1" applyFill="1"/>
    <xf numFmtId="6" fontId="22" fillId="29" borderId="0" xfId="0" applyNumberFormat="1" applyFont="1" applyFill="1"/>
    <xf numFmtId="9" fontId="277" fillId="0" borderId="109" xfId="2" applyFont="1" applyBorder="1"/>
    <xf numFmtId="9" fontId="277" fillId="0" borderId="94" xfId="2" applyFont="1" applyBorder="1"/>
    <xf numFmtId="9" fontId="277" fillId="0" borderId="112" xfId="2" applyFont="1" applyBorder="1"/>
    <xf numFmtId="313" fontId="277" fillId="0" borderId="94" xfId="0" applyNumberFormat="1" applyFont="1" applyBorder="1"/>
    <xf numFmtId="313" fontId="277" fillId="0" borderId="112" xfId="0" applyNumberFormat="1" applyFont="1" applyBorder="1"/>
    <xf numFmtId="0" fontId="253" fillId="46" borderId="109" xfId="0" applyFont="1" applyFill="1" applyBorder="1"/>
    <xf numFmtId="3" fontId="235" fillId="46" borderId="94" xfId="0" applyNumberFormat="1" applyFont="1" applyFill="1" applyBorder="1"/>
    <xf numFmtId="7" fontId="70" fillId="0" borderId="111" xfId="2" applyNumberFormat="1" applyFont="1" applyFill="1" applyBorder="1" applyAlignment="1">
      <alignment horizontal="left"/>
    </xf>
    <xf numFmtId="167" fontId="239" fillId="0" borderId="86" xfId="1330" applyNumberFormat="1" applyFont="1" applyBorder="1"/>
    <xf numFmtId="9" fontId="277" fillId="0" borderId="86" xfId="2" applyFont="1" applyBorder="1"/>
    <xf numFmtId="9" fontId="277" fillId="0" borderId="113" xfId="2" applyFont="1" applyBorder="1"/>
    <xf numFmtId="3" fontId="70" fillId="0" borderId="94" xfId="0" applyNumberFormat="1" applyFont="1" applyBorder="1"/>
    <xf numFmtId="3" fontId="40" fillId="0" borderId="0" xfId="0" applyNumberFormat="1" applyFont="1"/>
    <xf numFmtId="37" fontId="70" fillId="0" borderId="94" xfId="0" applyNumberFormat="1" applyFont="1" applyBorder="1" applyAlignment="1">
      <alignment horizontal="left"/>
    </xf>
    <xf numFmtId="341" fontId="232" fillId="0" borderId="140" xfId="0" applyNumberFormat="1" applyFont="1" applyBorder="1" applyAlignment="1">
      <alignment horizontal="left" indent="1"/>
    </xf>
    <xf numFmtId="193" fontId="232" fillId="0" borderId="141" xfId="1" applyNumberFormat="1" applyFont="1" applyBorder="1"/>
    <xf numFmtId="193" fontId="232" fillId="0" borderId="140" xfId="1" applyNumberFormat="1" applyFont="1" applyBorder="1"/>
    <xf numFmtId="340" fontId="232" fillId="0" borderId="141" xfId="1" applyNumberFormat="1" applyFont="1" applyBorder="1"/>
    <xf numFmtId="9" fontId="232" fillId="0" borderId="139" xfId="2" applyFont="1" applyBorder="1"/>
    <xf numFmtId="341" fontId="232" fillId="0" borderId="141" xfId="0" applyNumberFormat="1" applyFont="1" applyBorder="1" applyAlignment="1">
      <alignment horizontal="left" indent="1"/>
    </xf>
    <xf numFmtId="193" fontId="235" fillId="0" borderId="140" xfId="1" applyNumberFormat="1" applyFont="1" applyBorder="1"/>
    <xf numFmtId="9" fontId="233" fillId="0" borderId="140" xfId="2" applyFont="1" applyBorder="1"/>
    <xf numFmtId="9" fontId="233" fillId="0" borderId="139" xfId="2" applyFont="1" applyBorder="1"/>
    <xf numFmtId="0" fontId="233" fillId="0" borderId="65" xfId="0" applyFont="1" applyBorder="1"/>
    <xf numFmtId="341" fontId="232" fillId="0" borderId="0" xfId="0" applyNumberFormat="1" applyFont="1" applyAlignment="1">
      <alignment horizontal="left" indent="2"/>
    </xf>
    <xf numFmtId="341" fontId="232" fillId="0" borderId="93" xfId="0" applyNumberFormat="1" applyFont="1" applyBorder="1" applyAlignment="1">
      <alignment horizontal="left" indent="2"/>
    </xf>
    <xf numFmtId="37" fontId="21" fillId="0" borderId="17" xfId="0" applyNumberFormat="1" applyFont="1" applyBorder="1"/>
    <xf numFmtId="37" fontId="26" fillId="29" borderId="17" xfId="0" applyNumberFormat="1" applyFont="1" applyFill="1" applyBorder="1"/>
    <xf numFmtId="37" fontId="21" fillId="0" borderId="137" xfId="0" applyNumberFormat="1" applyFont="1" applyBorder="1"/>
    <xf numFmtId="37" fontId="26" fillId="29" borderId="137" xfId="0" applyNumberFormat="1" applyFont="1" applyFill="1" applyBorder="1"/>
    <xf numFmtId="341" fontId="21" fillId="29" borderId="81" xfId="0" applyNumberFormat="1" applyFont="1" applyFill="1" applyBorder="1"/>
    <xf numFmtId="341" fontId="21" fillId="29" borderId="8" xfId="0" applyNumberFormat="1" applyFont="1" applyFill="1" applyBorder="1"/>
    <xf numFmtId="340" fontId="26" fillId="29" borderId="76" xfId="0" applyNumberFormat="1" applyFont="1" applyFill="1" applyBorder="1"/>
    <xf numFmtId="334" fontId="21" fillId="29" borderId="0" xfId="0" applyNumberFormat="1" applyFont="1" applyFill="1"/>
    <xf numFmtId="322" fontId="21" fillId="29" borderId="0" xfId="0" applyNumberFormat="1" applyFont="1" applyFill="1"/>
    <xf numFmtId="321" fontId="21" fillId="42" borderId="0" xfId="0" applyNumberFormat="1" applyFont="1" applyFill="1"/>
    <xf numFmtId="0" fontId="21" fillId="29" borderId="76" xfId="1216" applyNumberFormat="1" applyFont="1" applyFill="1" applyBorder="1"/>
    <xf numFmtId="0" fontId="211" fillId="42" borderId="76" xfId="0" applyFont="1" applyFill="1" applyBorder="1"/>
    <xf numFmtId="0" fontId="211" fillId="42" borderId="82" xfId="0" applyFont="1" applyFill="1" applyBorder="1"/>
    <xf numFmtId="0" fontId="211" fillId="42" borderId="91" xfId="0" applyFont="1" applyFill="1" applyBorder="1"/>
    <xf numFmtId="0" fontId="211" fillId="42" borderId="79" xfId="0" applyFont="1" applyFill="1" applyBorder="1"/>
    <xf numFmtId="0" fontId="21" fillId="29" borderId="93" xfId="2" applyNumberFormat="1" applyFont="1" applyFill="1" applyBorder="1" applyAlignment="1"/>
    <xf numFmtId="0" fontId="26" fillId="29" borderId="8" xfId="0" applyFont="1" applyFill="1" applyBorder="1"/>
    <xf numFmtId="214" fontId="26" fillId="29" borderId="0" xfId="66" applyNumberFormat="1" applyFont="1" applyFill="1" applyAlignment="1">
      <alignment horizontal="left"/>
    </xf>
    <xf numFmtId="214" fontId="26" fillId="29" borderId="81" xfId="66" applyNumberFormat="1" applyFont="1" applyFill="1" applyBorder="1" applyAlignment="1">
      <alignment horizontal="left"/>
    </xf>
    <xf numFmtId="214" fontId="26" fillId="29" borderId="0" xfId="66" applyNumberFormat="1" applyFont="1" applyFill="1" applyAlignment="1">
      <alignment horizontal="right"/>
    </xf>
    <xf numFmtId="214" fontId="26" fillId="29" borderId="81" xfId="66" applyNumberFormat="1" applyFont="1" applyFill="1" applyBorder="1" applyAlignment="1">
      <alignment horizontal="right"/>
    </xf>
    <xf numFmtId="214" fontId="26" fillId="29" borderId="0" xfId="0" applyNumberFormat="1" applyFont="1" applyFill="1" applyAlignment="1">
      <alignment horizontal="right"/>
    </xf>
    <xf numFmtId="214" fontId="21" fillId="29" borderId="0" xfId="2" applyNumberFormat="1" applyFont="1" applyFill="1" applyBorder="1" applyAlignment="1">
      <alignment horizontal="right"/>
    </xf>
    <xf numFmtId="214" fontId="21" fillId="29" borderId="76" xfId="0" applyNumberFormat="1" applyFont="1" applyFill="1" applyBorder="1"/>
    <xf numFmtId="9" fontId="26" fillId="29" borderId="17" xfId="0" applyNumberFormat="1" applyFont="1" applyFill="1" applyBorder="1"/>
    <xf numFmtId="334" fontId="211" fillId="29" borderId="0" xfId="0" applyNumberFormat="1" applyFont="1" applyFill="1"/>
    <xf numFmtId="214" fontId="211" fillId="29" borderId="0" xfId="0" applyNumberFormat="1" applyFont="1" applyFill="1" applyAlignment="1">
      <alignment horizontal="right"/>
    </xf>
    <xf numFmtId="3" fontId="22" fillId="29" borderId="88" xfId="0" applyNumberFormat="1" applyFont="1" applyFill="1" applyBorder="1"/>
    <xf numFmtId="0" fontId="21" fillId="41" borderId="109" xfId="0" applyFont="1" applyFill="1" applyBorder="1" applyAlignment="1">
      <alignment horizontal="centerContinuous"/>
    </xf>
    <xf numFmtId="0" fontId="0" fillId="41" borderId="94" xfId="0" applyFill="1" applyBorder="1" applyAlignment="1">
      <alignment horizontal="centerContinuous"/>
    </xf>
    <xf numFmtId="0" fontId="21" fillId="41" borderId="94" xfId="0" applyFont="1" applyFill="1" applyBorder="1" applyAlignment="1">
      <alignment horizontal="centerContinuous"/>
    </xf>
    <xf numFmtId="6" fontId="27" fillId="29" borderId="17" xfId="0" applyNumberFormat="1" applyFont="1" applyFill="1" applyBorder="1"/>
    <xf numFmtId="0" fontId="221" fillId="0" borderId="92" xfId="0" applyFont="1" applyBorder="1"/>
    <xf numFmtId="313" fontId="211" fillId="29" borderId="8" xfId="0" applyNumberFormat="1" applyFont="1" applyFill="1" applyBorder="1"/>
    <xf numFmtId="313" fontId="21" fillId="29" borderId="0" xfId="2" applyNumberFormat="1" applyFont="1" applyFill="1"/>
    <xf numFmtId="9" fontId="279" fillId="42" borderId="81" xfId="1216" applyFont="1" applyFill="1" applyBorder="1"/>
    <xf numFmtId="341" fontId="122" fillId="19" borderId="5" xfId="0" applyNumberFormat="1" applyFont="1" applyFill="1" applyBorder="1"/>
    <xf numFmtId="341" fontId="27" fillId="0" borderId="94" xfId="0" applyNumberFormat="1" applyFont="1" applyBorder="1"/>
    <xf numFmtId="341" fontId="27" fillId="0" borderId="112" xfId="0" applyNumberFormat="1" applyFont="1" applyBorder="1"/>
    <xf numFmtId="341" fontId="27" fillId="29" borderId="94" xfId="0" applyNumberFormat="1" applyFont="1" applyFill="1" applyBorder="1"/>
    <xf numFmtId="341" fontId="27" fillId="29" borderId="112" xfId="0" applyNumberFormat="1" applyFont="1" applyFill="1" applyBorder="1"/>
    <xf numFmtId="313" fontId="22" fillId="0" borderId="94" xfId="0" applyNumberFormat="1" applyFont="1" applyBorder="1"/>
    <xf numFmtId="313" fontId="27" fillId="0" borderId="0" xfId="0" applyNumberFormat="1" applyFont="1"/>
    <xf numFmtId="314" fontId="214" fillId="19" borderId="65" xfId="2" applyNumberFormat="1" applyFont="1" applyFill="1" applyBorder="1" applyAlignment="1">
      <alignment horizontal="left" indent="1"/>
    </xf>
    <xf numFmtId="314" fontId="26" fillId="0" borderId="93" xfId="0" applyNumberFormat="1" applyFont="1" applyBorder="1"/>
    <xf numFmtId="314" fontId="26" fillId="0" borderId="8" xfId="0" applyNumberFormat="1" applyFont="1" applyBorder="1"/>
    <xf numFmtId="314" fontId="26" fillId="0" borderId="0" xfId="0" applyNumberFormat="1" applyFont="1" applyAlignment="1">
      <alignment horizontal="left" indent="1"/>
    </xf>
    <xf numFmtId="314" fontId="21" fillId="0" borderId="65" xfId="2" applyNumberFormat="1" applyFont="1" applyFill="1" applyBorder="1" applyAlignment="1">
      <alignment horizontal="left" indent="1"/>
    </xf>
    <xf numFmtId="314" fontId="22" fillId="0" borderId="5" xfId="0" applyNumberFormat="1" applyFont="1" applyBorder="1"/>
    <xf numFmtId="314" fontId="22" fillId="0" borderId="94" xfId="2" applyNumberFormat="1" applyFont="1" applyBorder="1" applyAlignment="1"/>
    <xf numFmtId="314" fontId="22" fillId="0" borderId="109" xfId="2" applyNumberFormat="1" applyFont="1" applyBorder="1" applyAlignment="1"/>
    <xf numFmtId="314" fontId="22" fillId="0" borderId="112" xfId="2" applyNumberFormat="1" applyFont="1" applyBorder="1" applyAlignment="1"/>
    <xf numFmtId="314" fontId="22" fillId="0" borderId="112" xfId="0" applyNumberFormat="1" applyFont="1" applyBorder="1"/>
    <xf numFmtId="314" fontId="22" fillId="0" borderId="94" xfId="0" applyNumberFormat="1" applyFont="1" applyBorder="1"/>
    <xf numFmtId="314" fontId="21" fillId="0" borderId="94" xfId="0" applyNumberFormat="1" applyFont="1" applyBorder="1"/>
    <xf numFmtId="314" fontId="26" fillId="0" borderId="94" xfId="0" applyNumberFormat="1" applyFont="1" applyBorder="1"/>
    <xf numFmtId="314" fontId="27" fillId="0" borderId="94" xfId="0" applyNumberFormat="1" applyFont="1" applyBorder="1"/>
    <xf numFmtId="314" fontId="27" fillId="0" borderId="0" xfId="0" applyNumberFormat="1" applyFont="1"/>
    <xf numFmtId="341" fontId="227" fillId="29" borderId="94" xfId="0" applyNumberFormat="1" applyFont="1" applyFill="1" applyBorder="1"/>
    <xf numFmtId="341" fontId="21" fillId="19" borderId="78" xfId="0" applyNumberFormat="1" applyFont="1" applyFill="1" applyBorder="1"/>
    <xf numFmtId="341" fontId="211" fillId="0" borderId="17" xfId="0" applyNumberFormat="1" applyFont="1" applyBorder="1"/>
    <xf numFmtId="341" fontId="211" fillId="0" borderId="67" xfId="0" applyNumberFormat="1" applyFont="1" applyBorder="1"/>
    <xf numFmtId="341" fontId="211" fillId="0" borderId="68" xfId="0" applyNumberFormat="1" applyFont="1" applyBorder="1"/>
    <xf numFmtId="341" fontId="211" fillId="29" borderId="68" xfId="0" applyNumberFormat="1" applyFont="1" applyFill="1" applyBorder="1"/>
    <xf numFmtId="341" fontId="21" fillId="29" borderId="68" xfId="0" applyNumberFormat="1" applyFont="1" applyFill="1" applyBorder="1"/>
    <xf numFmtId="341" fontId="26" fillId="0" borderId="17" xfId="0" applyNumberFormat="1" applyFont="1" applyBorder="1"/>
    <xf numFmtId="341" fontId="21" fillId="19" borderId="65" xfId="0" applyNumberFormat="1" applyFont="1" applyFill="1" applyBorder="1"/>
    <xf numFmtId="341" fontId="211" fillId="0" borderId="93" xfId="0" applyNumberFormat="1" applyFont="1" applyBorder="1"/>
    <xf numFmtId="341" fontId="211" fillId="0" borderId="8" xfId="0" applyNumberFormat="1" applyFont="1" applyBorder="1"/>
    <xf numFmtId="341" fontId="211" fillId="29" borderId="93" xfId="0" applyNumberFormat="1" applyFont="1" applyFill="1" applyBorder="1"/>
    <xf numFmtId="341" fontId="21" fillId="0" borderId="78" xfId="0" applyNumberFormat="1" applyFont="1" applyBorder="1"/>
    <xf numFmtId="341" fontId="21" fillId="0" borderId="68" xfId="0" applyNumberFormat="1" applyFont="1" applyBorder="1"/>
    <xf numFmtId="341" fontId="21" fillId="0" borderId="65" xfId="0" applyNumberFormat="1" applyFont="1" applyBorder="1"/>
    <xf numFmtId="341" fontId="21" fillId="0" borderId="8" xfId="0" applyNumberFormat="1" applyFont="1" applyBorder="1"/>
    <xf numFmtId="341" fontId="26" fillId="0" borderId="8" xfId="0" applyNumberFormat="1" applyFont="1" applyBorder="1"/>
    <xf numFmtId="341" fontId="21" fillId="0" borderId="65" xfId="0" applyNumberFormat="1" applyFont="1" applyBorder="1" applyAlignment="1">
      <alignment horizontal="left"/>
    </xf>
    <xf numFmtId="341" fontId="21" fillId="0" borderId="5" xfId="0" applyNumberFormat="1" applyFont="1" applyBorder="1"/>
    <xf numFmtId="341" fontId="26" fillId="0" borderId="94" xfId="0" applyNumberFormat="1" applyFont="1" applyBorder="1"/>
    <xf numFmtId="341" fontId="26" fillId="0" borderId="109" xfId="0" applyNumberFormat="1" applyFont="1" applyBorder="1"/>
    <xf numFmtId="341" fontId="26" fillId="0" borderId="112" xfId="0" applyNumberFormat="1" applyFont="1" applyBorder="1"/>
    <xf numFmtId="341" fontId="21" fillId="0" borderId="65" xfId="0" applyNumberFormat="1" applyFont="1" applyBorder="1" applyAlignment="1">
      <alignment horizontal="left" indent="1"/>
    </xf>
    <xf numFmtId="341" fontId="26" fillId="0" borderId="93" xfId="0" applyNumberFormat="1" applyFont="1" applyBorder="1"/>
    <xf numFmtId="341" fontId="21" fillId="0" borderId="94" xfId="0" applyNumberFormat="1" applyFont="1" applyBorder="1"/>
    <xf numFmtId="341" fontId="21" fillId="0" borderId="112" xfId="0" applyNumberFormat="1" applyFont="1" applyBorder="1"/>
    <xf numFmtId="166" fontId="211" fillId="42" borderId="93" xfId="0" applyNumberFormat="1" applyFont="1" applyFill="1" applyBorder="1"/>
    <xf numFmtId="166" fontId="211" fillId="42" borderId="8" xfId="0" applyNumberFormat="1" applyFont="1" applyFill="1" applyBorder="1"/>
    <xf numFmtId="313" fontId="22" fillId="0" borderId="5" xfId="0" applyNumberFormat="1" applyFont="1" applyBorder="1"/>
    <xf numFmtId="313" fontId="242" fillId="0" borderId="94" xfId="0" applyNumberFormat="1" applyFont="1" applyBorder="1"/>
    <xf numFmtId="313" fontId="21" fillId="0" borderId="78" xfId="0" applyNumberFormat="1" applyFont="1" applyBorder="1" applyAlignment="1">
      <alignment horizontal="left" indent="1"/>
    </xf>
    <xf numFmtId="313" fontId="26" fillId="0" borderId="67" xfId="2" applyNumberFormat="1" applyFont="1" applyBorder="1"/>
    <xf numFmtId="313" fontId="26" fillId="0" borderId="17" xfId="2" applyNumberFormat="1" applyFont="1" applyBorder="1"/>
    <xf numFmtId="313" fontId="26" fillId="0" borderId="68" xfId="2" applyNumberFormat="1" applyFont="1" applyBorder="1"/>
    <xf numFmtId="313" fontId="26" fillId="0" borderId="68" xfId="0" applyNumberFormat="1" applyFont="1" applyBorder="1"/>
    <xf numFmtId="313" fontId="26" fillId="0" borderId="17" xfId="0" applyNumberFormat="1" applyFont="1" applyBorder="1"/>
    <xf numFmtId="313" fontId="21" fillId="0" borderId="17" xfId="0" applyNumberFormat="1" applyFont="1" applyBorder="1"/>
    <xf numFmtId="313" fontId="221" fillId="0" borderId="17" xfId="0" applyNumberFormat="1" applyFont="1" applyBorder="1"/>
    <xf numFmtId="313" fontId="21" fillId="0" borderId="65" xfId="0" applyNumberFormat="1" applyFont="1" applyBorder="1" applyAlignment="1">
      <alignment horizontal="left" indent="1"/>
    </xf>
    <xf numFmtId="313" fontId="26" fillId="0" borderId="76" xfId="2" applyNumberFormat="1" applyFont="1" applyBorder="1"/>
    <xf numFmtId="313" fontId="26" fillId="0" borderId="77" xfId="2" applyNumberFormat="1" applyFont="1" applyBorder="1"/>
    <xf numFmtId="313" fontId="26" fillId="0" borderId="79" xfId="2" applyNumberFormat="1" applyFont="1" applyBorder="1"/>
    <xf numFmtId="313" fontId="26" fillId="0" borderId="8" xfId="0" applyNumberFormat="1" applyFont="1" applyBorder="1"/>
    <xf numFmtId="313" fontId="21" fillId="0" borderId="76" xfId="0" applyNumberFormat="1" applyFont="1" applyBorder="1"/>
    <xf numFmtId="313" fontId="221" fillId="0" borderId="0" xfId="0" applyNumberFormat="1" applyFont="1"/>
    <xf numFmtId="313" fontId="27" fillId="0" borderId="112" xfId="0" applyNumberFormat="1" applyFont="1" applyBorder="1"/>
    <xf numFmtId="313" fontId="27" fillId="0" borderId="94" xfId="0" applyNumberFormat="1" applyFont="1" applyBorder="1"/>
    <xf numFmtId="313" fontId="27" fillId="0" borderId="94" xfId="2" applyNumberFormat="1" applyFont="1" applyBorder="1"/>
    <xf numFmtId="313" fontId="27" fillId="0" borderId="109" xfId="2" applyNumberFormat="1" applyFont="1" applyBorder="1"/>
    <xf numFmtId="313" fontId="27" fillId="0" borderId="112" xfId="2" applyNumberFormat="1" applyFont="1" applyBorder="1"/>
    <xf numFmtId="341" fontId="21" fillId="0" borderId="0" xfId="0" applyNumberFormat="1" applyFont="1"/>
    <xf numFmtId="9" fontId="221" fillId="0" borderId="8" xfId="0" applyNumberFormat="1" applyFont="1" applyBorder="1"/>
    <xf numFmtId="9" fontId="27" fillId="0" borderId="94" xfId="2" applyFont="1" applyBorder="1"/>
    <xf numFmtId="9" fontId="27" fillId="0" borderId="109" xfId="2" applyFont="1" applyBorder="1"/>
    <xf numFmtId="9" fontId="27" fillId="0" borderId="112" xfId="2" applyFont="1" applyBorder="1"/>
    <xf numFmtId="9" fontId="221" fillId="0" borderId="79" xfId="0" applyNumberFormat="1" applyFont="1" applyBorder="1"/>
    <xf numFmtId="214" fontId="223" fillId="19" borderId="0" xfId="0" applyNumberFormat="1" applyFont="1" applyFill="1" applyAlignment="1">
      <alignment horizontal="right"/>
    </xf>
    <xf numFmtId="214" fontId="223" fillId="19" borderId="79" xfId="0" applyNumberFormat="1" applyFont="1" applyFill="1" applyBorder="1" applyAlignment="1">
      <alignment horizontal="right"/>
    </xf>
    <xf numFmtId="214" fontId="223" fillId="0" borderId="78" xfId="0" applyNumberFormat="1" applyFont="1" applyBorder="1"/>
    <xf numFmtId="214" fontId="223" fillId="0" borderId="17" xfId="0" applyNumberFormat="1" applyFont="1" applyBorder="1"/>
    <xf numFmtId="214" fontId="223" fillId="0" borderId="67" xfId="0" applyNumberFormat="1" applyFont="1" applyBorder="1"/>
    <xf numFmtId="214" fontId="223" fillId="0" borderId="68" xfId="0" applyNumberFormat="1" applyFont="1" applyBorder="1"/>
    <xf numFmtId="214" fontId="223" fillId="0" borderId="0" xfId="0" applyNumberFormat="1" applyFont="1"/>
    <xf numFmtId="313" fontId="26" fillId="0" borderId="0" xfId="0" applyNumberFormat="1" applyFont="1" applyAlignment="1">
      <alignment horizontal="center"/>
    </xf>
    <xf numFmtId="341" fontId="26" fillId="0" borderId="65" xfId="0" applyNumberFormat="1" applyFont="1" applyBorder="1"/>
    <xf numFmtId="341" fontId="26" fillId="29" borderId="8" xfId="0" applyNumberFormat="1" applyFont="1" applyFill="1" applyBorder="1"/>
    <xf numFmtId="313" fontId="21" fillId="29" borderId="0" xfId="1" applyNumberFormat="1" applyFont="1" applyFill="1" applyBorder="1"/>
    <xf numFmtId="313" fontId="21" fillId="29" borderId="94" xfId="1" applyNumberFormat="1" applyFont="1" applyFill="1" applyBorder="1"/>
    <xf numFmtId="214" fontId="21" fillId="37" borderId="0" xfId="0" applyNumberFormat="1" applyFont="1" applyFill="1"/>
    <xf numFmtId="214" fontId="218" fillId="37" borderId="0" xfId="0" applyNumberFormat="1" applyFont="1" applyFill="1"/>
    <xf numFmtId="214" fontId="218" fillId="37" borderId="81" xfId="0" applyNumberFormat="1" applyFont="1" applyFill="1" applyBorder="1"/>
    <xf numFmtId="214" fontId="71" fillId="37" borderId="0" xfId="0" applyNumberFormat="1" applyFont="1" applyFill="1"/>
    <xf numFmtId="214" fontId="71" fillId="37" borderId="81" xfId="0" applyNumberFormat="1" applyFont="1" applyFill="1" applyBorder="1"/>
    <xf numFmtId="214" fontId="71" fillId="37" borderId="0" xfId="0" applyNumberFormat="1" applyFont="1" applyFill="1" applyAlignment="1">
      <alignment horizontal="right"/>
    </xf>
    <xf numFmtId="214" fontId="0" fillId="29" borderId="0" xfId="0" applyNumberFormat="1" applyFill="1"/>
    <xf numFmtId="341" fontId="26" fillId="29" borderId="82" xfId="0" applyNumberFormat="1" applyFont="1" applyFill="1" applyBorder="1"/>
    <xf numFmtId="341" fontId="26" fillId="29" borderId="0" xfId="2" applyNumberFormat="1" applyFont="1" applyFill="1"/>
    <xf numFmtId="318" fontId="26" fillId="29" borderId="0" xfId="0" applyNumberFormat="1" applyFont="1" applyFill="1"/>
    <xf numFmtId="313" fontId="27" fillId="29" borderId="86" xfId="1" applyNumberFormat="1" applyFont="1" applyFill="1" applyBorder="1"/>
    <xf numFmtId="214" fontId="211" fillId="42" borderId="68" xfId="0" applyNumberFormat="1" applyFont="1" applyFill="1" applyBorder="1"/>
    <xf numFmtId="214" fontId="211" fillId="42" borderId="17" xfId="1" applyNumberFormat="1" applyFont="1" applyFill="1" applyBorder="1"/>
    <xf numFmtId="214" fontId="211" fillId="42" borderId="76" xfId="1" applyNumberFormat="1" applyFont="1" applyFill="1" applyBorder="1"/>
    <xf numFmtId="313" fontId="71" fillId="29" borderId="81" xfId="0" applyNumberFormat="1" applyFont="1" applyFill="1" applyBorder="1"/>
    <xf numFmtId="0" fontId="280" fillId="47" borderId="0" xfId="1134" applyFont="1" applyFill="1"/>
    <xf numFmtId="0" fontId="281" fillId="47" borderId="0" xfId="1134" applyFont="1" applyFill="1"/>
    <xf numFmtId="0" fontId="282" fillId="47" borderId="0" xfId="1134" applyFont="1" applyFill="1"/>
    <xf numFmtId="0" fontId="46" fillId="0" borderId="0" xfId="1134" applyFont="1"/>
    <xf numFmtId="0" fontId="36" fillId="0" borderId="0" xfId="1134" applyFont="1"/>
    <xf numFmtId="0" fontId="46" fillId="0" borderId="0" xfId="1134" applyFont="1" applyAlignment="1">
      <alignment horizontal="center"/>
    </xf>
    <xf numFmtId="0" fontId="18" fillId="0" borderId="0" xfId="1134" applyFont="1"/>
    <xf numFmtId="0" fontId="18" fillId="0" borderId="0" xfId="1134" applyFont="1" applyAlignment="1">
      <alignment horizontal="right"/>
    </xf>
    <xf numFmtId="0" fontId="282" fillId="48" borderId="109" xfId="1134" applyFont="1" applyFill="1" applyBorder="1" applyAlignment="1">
      <alignment vertical="center"/>
    </xf>
    <xf numFmtId="0" fontId="18" fillId="0" borderId="0" xfId="1134" quotePrefix="1" applyFont="1"/>
    <xf numFmtId="0" fontId="18" fillId="0" borderId="76" xfId="1134" applyFont="1" applyBorder="1"/>
    <xf numFmtId="0" fontId="285" fillId="0" borderId="86" xfId="1134" applyFont="1" applyBorder="1"/>
    <xf numFmtId="0" fontId="18" fillId="0" borderId="86" xfId="1134" applyFont="1" applyBorder="1"/>
    <xf numFmtId="37" fontId="18" fillId="0" borderId="0" xfId="1134" quotePrefix="1" applyNumberFormat="1" applyFont="1"/>
    <xf numFmtId="0" fontId="285" fillId="0" borderId="0" xfId="1134" applyFont="1"/>
    <xf numFmtId="0" fontId="285" fillId="0" borderId="0" xfId="1134" applyFont="1" applyAlignment="1">
      <alignment horizontal="right"/>
    </xf>
    <xf numFmtId="0" fontId="284" fillId="0" borderId="0" xfId="1134" applyFont="1" applyAlignment="1">
      <alignment horizontal="right"/>
    </xf>
    <xf numFmtId="0" fontId="18" fillId="0" borderId="86" xfId="1134" applyFont="1" applyBorder="1" applyAlignment="1">
      <alignment horizontal="right"/>
    </xf>
    <xf numFmtId="0" fontId="282" fillId="48" borderId="109" xfId="1134" applyFont="1" applyFill="1" applyBorder="1" applyAlignment="1">
      <alignment horizontal="right" vertical="center"/>
    </xf>
    <xf numFmtId="37" fontId="18" fillId="0" borderId="0" xfId="1134" applyNumberFormat="1" applyFont="1" applyAlignment="1">
      <alignment horizontal="right"/>
    </xf>
    <xf numFmtId="313" fontId="18" fillId="0" borderId="0" xfId="1134" applyNumberFormat="1" applyFont="1" applyAlignment="1">
      <alignment horizontal="right"/>
    </xf>
    <xf numFmtId="37" fontId="283" fillId="0" borderId="0" xfId="1134" applyNumberFormat="1" applyFont="1" applyAlignment="1">
      <alignment horizontal="right"/>
    </xf>
    <xf numFmtId="166" fontId="18" fillId="0" borderId="0" xfId="1134" applyNumberFormat="1" applyFont="1" applyAlignment="1">
      <alignment horizontal="right"/>
    </xf>
    <xf numFmtId="0" fontId="285" fillId="0" borderId="86" xfId="1134" applyFont="1" applyBorder="1" applyAlignment="1">
      <alignment horizontal="right"/>
    </xf>
    <xf numFmtId="37" fontId="285" fillId="0" borderId="86" xfId="1134" applyNumberFormat="1" applyFont="1" applyBorder="1" applyAlignment="1">
      <alignment horizontal="right"/>
    </xf>
    <xf numFmtId="166" fontId="18" fillId="0" borderId="0" xfId="722" applyNumberFormat="1" applyFont="1" applyAlignment="1">
      <alignment horizontal="right"/>
    </xf>
    <xf numFmtId="0" fontId="286" fillId="0" borderId="0" xfId="1134" applyFont="1"/>
    <xf numFmtId="39" fontId="18" fillId="0" borderId="0" xfId="1134" applyNumberFormat="1" applyFont="1" applyAlignment="1">
      <alignment horizontal="right"/>
    </xf>
    <xf numFmtId="37" fontId="285" fillId="0" borderId="0" xfId="1134" applyNumberFormat="1" applyFont="1" applyAlignment="1">
      <alignment horizontal="right"/>
    </xf>
    <xf numFmtId="16" fontId="286" fillId="0" borderId="0" xfId="1134" quotePrefix="1" applyNumberFormat="1" applyFont="1" applyAlignment="1">
      <alignment horizontal="right"/>
    </xf>
    <xf numFmtId="0" fontId="286" fillId="0" borderId="0" xfId="1134" applyFont="1" applyAlignment="1">
      <alignment horizontal="right"/>
    </xf>
    <xf numFmtId="37" fontId="46" fillId="0" borderId="0" xfId="1134" applyNumberFormat="1" applyFont="1"/>
    <xf numFmtId="0" fontId="28" fillId="0" borderId="0" xfId="1134"/>
    <xf numFmtId="181" fontId="18" fillId="0" borderId="0" xfId="1134" applyNumberFormat="1" applyFont="1" applyAlignment="1">
      <alignment horizontal="right"/>
    </xf>
    <xf numFmtId="7" fontId="283" fillId="0" borderId="0" xfId="1134" applyNumberFormat="1" applyFont="1" applyAlignment="1">
      <alignment horizontal="right"/>
    </xf>
    <xf numFmtId="0" fontId="244" fillId="42" borderId="0" xfId="1134" applyFont="1" applyFill="1"/>
    <xf numFmtId="0" fontId="18" fillId="42" borderId="0" xfId="1134" applyFont="1" applyFill="1"/>
    <xf numFmtId="0" fontId="18" fillId="37" borderId="65" xfId="1134" applyFont="1" applyFill="1" applyBorder="1"/>
    <xf numFmtId="166" fontId="285" fillId="37" borderId="142" xfId="722" applyNumberFormat="1" applyFont="1" applyFill="1" applyBorder="1" applyAlignment="1">
      <alignment horizontal="right"/>
    </xf>
    <xf numFmtId="0" fontId="18" fillId="37" borderId="65" xfId="1134" applyFont="1" applyFill="1" applyBorder="1" applyAlignment="1">
      <alignment horizontal="right"/>
    </xf>
    <xf numFmtId="166" fontId="18" fillId="37" borderId="65" xfId="1134" applyNumberFormat="1" applyFont="1" applyFill="1" applyBorder="1" applyAlignment="1">
      <alignment horizontal="right"/>
    </xf>
    <xf numFmtId="313" fontId="285" fillId="37" borderId="142" xfId="722" applyNumberFormat="1" applyFont="1" applyFill="1" applyBorder="1" applyAlignment="1">
      <alignment horizontal="right"/>
    </xf>
    <xf numFmtId="181" fontId="18" fillId="37" borderId="65" xfId="1134" applyNumberFormat="1" applyFont="1" applyFill="1" applyBorder="1" applyAlignment="1">
      <alignment horizontal="right"/>
    </xf>
    <xf numFmtId="344" fontId="46" fillId="37" borderId="142" xfId="1134" applyNumberFormat="1" applyFont="1" applyFill="1" applyBorder="1" applyAlignment="1">
      <alignment horizontal="right"/>
    </xf>
    <xf numFmtId="166" fontId="287" fillId="42" borderId="65" xfId="722" applyNumberFormat="1" applyFont="1" applyFill="1" applyBorder="1" applyAlignment="1">
      <alignment horizontal="right"/>
    </xf>
    <xf numFmtId="166" fontId="287" fillId="42" borderId="7" xfId="722" applyNumberFormat="1" applyFont="1" applyFill="1" applyBorder="1" applyAlignment="1">
      <alignment horizontal="right"/>
    </xf>
    <xf numFmtId="175" fontId="287" fillId="42" borderId="7" xfId="722" applyNumberFormat="1" applyFont="1" applyFill="1" applyBorder="1" applyAlignment="1">
      <alignment horizontal="right"/>
    </xf>
    <xf numFmtId="7" fontId="283" fillId="46" borderId="65" xfId="1134" applyNumberFormat="1" applyFont="1" applyFill="1" applyBorder="1" applyAlignment="1">
      <alignment horizontal="right"/>
    </xf>
    <xf numFmtId="37" fontId="18" fillId="46" borderId="65" xfId="1134" applyNumberFormat="1" applyFont="1" applyFill="1" applyBorder="1" applyAlignment="1">
      <alignment horizontal="right"/>
    </xf>
    <xf numFmtId="0" fontId="18" fillId="46" borderId="65" xfId="1134" applyFont="1" applyFill="1" applyBorder="1" applyAlignment="1">
      <alignment horizontal="right"/>
    </xf>
    <xf numFmtId="0" fontId="18" fillId="46" borderId="65" xfId="1134" applyFont="1" applyFill="1" applyBorder="1"/>
    <xf numFmtId="7" fontId="285" fillId="46" borderId="142" xfId="1134" applyNumberFormat="1" applyFont="1" applyFill="1" applyBorder="1" applyAlignment="1">
      <alignment horizontal="right"/>
    </xf>
    <xf numFmtId="8" fontId="283" fillId="46" borderId="65" xfId="1134" applyNumberFormat="1" applyFont="1" applyFill="1" applyBorder="1" applyAlignment="1">
      <alignment horizontal="right"/>
    </xf>
    <xf numFmtId="166" fontId="36" fillId="46" borderId="65" xfId="722" applyNumberFormat="1" applyFont="1" applyFill="1" applyBorder="1" applyAlignment="1">
      <alignment horizontal="right"/>
    </xf>
    <xf numFmtId="166" fontId="18" fillId="46" borderId="65" xfId="722" applyNumberFormat="1" applyFont="1" applyFill="1" applyBorder="1" applyAlignment="1">
      <alignment horizontal="right"/>
    </xf>
    <xf numFmtId="37" fontId="287" fillId="42" borderId="65" xfId="1134" applyNumberFormat="1" applyFont="1" applyFill="1" applyBorder="1" applyAlignment="1">
      <alignment horizontal="right"/>
    </xf>
    <xf numFmtId="9" fontId="287" fillId="42" borderId="65" xfId="722" applyFont="1" applyFill="1" applyBorder="1" applyAlignment="1">
      <alignment horizontal="right"/>
    </xf>
    <xf numFmtId="0" fontId="36" fillId="0" borderId="0" xfId="1134" applyFont="1" applyAlignment="1">
      <alignment horizontal="right"/>
    </xf>
    <xf numFmtId="7" fontId="36" fillId="46" borderId="65" xfId="1134" applyNumberFormat="1" applyFont="1" applyFill="1" applyBorder="1" applyAlignment="1">
      <alignment horizontal="right"/>
    </xf>
    <xf numFmtId="7" fontId="287" fillId="42" borderId="65" xfId="1134" applyNumberFormat="1" applyFont="1" applyFill="1" applyBorder="1" applyAlignment="1">
      <alignment horizontal="right"/>
    </xf>
    <xf numFmtId="0" fontId="36" fillId="37" borderId="65" xfId="1134" applyFont="1" applyFill="1" applyBorder="1" applyAlignment="1">
      <alignment horizontal="right"/>
    </xf>
    <xf numFmtId="37" fontId="46" fillId="37" borderId="142" xfId="1134" applyNumberFormat="1" applyFont="1" applyFill="1" applyBorder="1" applyAlignment="1">
      <alignment horizontal="right"/>
    </xf>
    <xf numFmtId="37" fontId="36" fillId="37" borderId="65" xfId="1134" applyNumberFormat="1" applyFont="1" applyFill="1" applyBorder="1" applyAlignment="1">
      <alignment horizontal="right"/>
    </xf>
    <xf numFmtId="39" fontId="36" fillId="37" borderId="65" xfId="1134" applyNumberFormat="1" applyFont="1" applyFill="1" applyBorder="1" applyAlignment="1">
      <alignment horizontal="right"/>
    </xf>
    <xf numFmtId="37" fontId="46" fillId="37" borderId="65" xfId="1134" applyNumberFormat="1" applyFont="1" applyFill="1" applyBorder="1" applyAlignment="1">
      <alignment horizontal="right"/>
    </xf>
    <xf numFmtId="0" fontId="36" fillId="37" borderId="7" xfId="1134" applyFont="1" applyFill="1" applyBorder="1" applyAlignment="1">
      <alignment horizontal="right"/>
    </xf>
    <xf numFmtId="37" fontId="285" fillId="46" borderId="142" xfId="1134" applyNumberFormat="1" applyFont="1" applyFill="1" applyBorder="1" applyAlignment="1">
      <alignment horizontal="right"/>
    </xf>
    <xf numFmtId="314" fontId="18" fillId="0" borderId="0" xfId="722" applyNumberFormat="1" applyFont="1" applyAlignment="1">
      <alignment horizontal="right"/>
    </xf>
    <xf numFmtId="3" fontId="0" fillId="0" borderId="0" xfId="0" applyNumberFormat="1"/>
    <xf numFmtId="9" fontId="40" fillId="45" borderId="0" xfId="1722" quotePrefix="1" applyNumberFormat="1" applyFont="1" applyFill="1" applyBorder="1" applyAlignment="1">
      <alignment horizontal="right"/>
    </xf>
    <xf numFmtId="167" fontId="269" fillId="0" borderId="143" xfId="1722" applyNumberFormat="1" applyFont="1" applyFill="1" applyBorder="1" applyAlignment="1">
      <alignment horizontal="right"/>
    </xf>
    <xf numFmtId="181" fontId="40" fillId="0" borderId="144" xfId="1216" applyNumberFormat="1" applyFont="1" applyFill="1" applyBorder="1" applyAlignment="1">
      <alignment horizontal="right"/>
    </xf>
    <xf numFmtId="321" fontId="269" fillId="0" borderId="0" xfId="1722" applyNumberFormat="1" applyFont="1" applyFill="1" applyBorder="1" applyAlignment="1">
      <alignment horizontal="right"/>
    </xf>
    <xf numFmtId="321" fontId="269" fillId="0" borderId="69" xfId="1722" applyNumberFormat="1" applyFont="1" applyFill="1" applyBorder="1" applyAlignment="1">
      <alignment horizontal="right"/>
    </xf>
    <xf numFmtId="8" fontId="232" fillId="0" borderId="93" xfId="1244" applyNumberFormat="1" applyFont="1" applyFill="1" applyBorder="1" applyAlignment="1">
      <alignment horizontal="center"/>
    </xf>
    <xf numFmtId="8" fontId="232" fillId="0" borderId="0" xfId="1244" applyNumberFormat="1" applyFont="1" applyFill="1" applyBorder="1" applyAlignment="1">
      <alignment horizontal="center"/>
    </xf>
    <xf numFmtId="8" fontId="232" fillId="0" borderId="8" xfId="1244" applyNumberFormat="1" applyFont="1" applyFill="1" applyBorder="1" applyAlignment="1">
      <alignment horizontal="center"/>
    </xf>
    <xf numFmtId="321" fontId="40" fillId="0" borderId="123" xfId="1722" applyNumberFormat="1" applyFont="1" applyFill="1" applyBorder="1" applyAlignment="1">
      <alignment horizontal="right"/>
    </xf>
    <xf numFmtId="313" fontId="40" fillId="0" borderId="0" xfId="1722" applyNumberFormat="1" applyFont="1" applyFill="1" applyBorder="1" applyAlignment="1">
      <alignment horizontal="right"/>
    </xf>
    <xf numFmtId="313" fontId="40" fillId="0" borderId="69" xfId="1722" applyNumberFormat="1" applyFont="1" applyFill="1" applyBorder="1" applyAlignment="1">
      <alignment horizontal="right"/>
    </xf>
    <xf numFmtId="313" fontId="40" fillId="0" borderId="123" xfId="1722" applyNumberFormat="1" applyFont="1" applyFill="1" applyBorder="1" applyAlignment="1">
      <alignment horizontal="right"/>
    </xf>
    <xf numFmtId="313" fontId="21" fillId="37" borderId="94" xfId="2" applyNumberFormat="1" applyFont="1" applyFill="1" applyBorder="1"/>
    <xf numFmtId="313" fontId="21" fillId="37" borderId="89" xfId="0" applyNumberFormat="1" applyFont="1" applyFill="1" applyBorder="1"/>
    <xf numFmtId="313" fontId="21" fillId="37" borderId="89" xfId="2" applyNumberFormat="1" applyFont="1" applyFill="1" applyBorder="1"/>
    <xf numFmtId="313" fontId="21" fillId="37" borderId="94" xfId="2" applyNumberFormat="1" applyFont="1" applyFill="1" applyBorder="1" applyAlignment="1">
      <alignment horizontal="right"/>
    </xf>
    <xf numFmtId="340" fontId="21" fillId="0" borderId="17" xfId="2" applyNumberFormat="1" applyFont="1" applyFill="1" applyBorder="1" applyAlignment="1">
      <alignment horizontal="left"/>
    </xf>
    <xf numFmtId="340" fontId="26" fillId="0" borderId="17" xfId="0" applyNumberFormat="1" applyFont="1" applyBorder="1"/>
    <xf numFmtId="340" fontId="26" fillId="0" borderId="88" xfId="0" applyNumberFormat="1" applyFont="1" applyBorder="1"/>
    <xf numFmtId="340" fontId="21" fillId="0" borderId="17" xfId="2" applyNumberFormat="1" applyFont="1" applyBorder="1"/>
    <xf numFmtId="340" fontId="21" fillId="0" borderId="17" xfId="0" applyNumberFormat="1" applyFont="1" applyBorder="1"/>
    <xf numFmtId="340" fontId="21" fillId="0" borderId="88" xfId="0" applyNumberFormat="1" applyFont="1" applyBorder="1"/>
    <xf numFmtId="340" fontId="21" fillId="0" borderId="88" xfId="2" applyNumberFormat="1" applyFont="1" applyBorder="1"/>
    <xf numFmtId="340" fontId="21" fillId="0" borderId="17" xfId="2" applyNumberFormat="1" applyFont="1" applyFill="1" applyBorder="1" applyAlignment="1">
      <alignment horizontal="right"/>
    </xf>
    <xf numFmtId="340" fontId="21" fillId="0" borderId="17" xfId="1" applyNumberFormat="1" applyFont="1" applyBorder="1"/>
    <xf numFmtId="340" fontId="21" fillId="0" borderId="88" xfId="1" applyNumberFormat="1" applyFont="1" applyBorder="1"/>
    <xf numFmtId="340" fontId="21" fillId="0" borderId="90" xfId="1" applyNumberFormat="1" applyFont="1" applyBorder="1"/>
    <xf numFmtId="340" fontId="21" fillId="29" borderId="17" xfId="1" applyNumberFormat="1" applyFont="1" applyFill="1" applyBorder="1"/>
    <xf numFmtId="340" fontId="21" fillId="29" borderId="88" xfId="1" applyNumberFormat="1" applyFont="1" applyFill="1" applyBorder="1"/>
    <xf numFmtId="322" fontId="21" fillId="0" borderId="0" xfId="0" applyNumberFormat="1" applyFont="1"/>
    <xf numFmtId="313" fontId="285" fillId="46" borderId="142" xfId="722" applyNumberFormat="1" applyFont="1" applyFill="1" applyBorder="1" applyAlignment="1">
      <alignment horizontal="right"/>
    </xf>
    <xf numFmtId="0" fontId="232" fillId="41" borderId="5" xfId="0" applyFont="1" applyFill="1" applyBorder="1" applyAlignment="1">
      <alignment horizontal="center"/>
    </xf>
    <xf numFmtId="340" fontId="232" fillId="41" borderId="5" xfId="0" applyNumberFormat="1" applyFont="1" applyFill="1" applyBorder="1" applyAlignment="1">
      <alignment horizontal="center"/>
    </xf>
    <xf numFmtId="0" fontId="235" fillId="42" borderId="109" xfId="0" applyFont="1" applyFill="1" applyBorder="1" applyAlignment="1">
      <alignment horizontal="center"/>
    </xf>
    <xf numFmtId="0" fontId="235" fillId="42" borderId="94" xfId="0" applyFont="1" applyFill="1" applyBorder="1" applyAlignment="1">
      <alignment horizontal="center"/>
    </xf>
    <xf numFmtId="0" fontId="235" fillId="42" borderId="112" xfId="0" applyFont="1" applyFill="1" applyBorder="1" applyAlignment="1">
      <alignment horizontal="center"/>
    </xf>
    <xf numFmtId="0" fontId="235" fillId="42" borderId="0" xfId="0" applyFont="1" applyFill="1"/>
    <xf numFmtId="0" fontId="232" fillId="0" borderId="94" xfId="0" applyFont="1" applyBorder="1"/>
    <xf numFmtId="321" fontId="232" fillId="0" borderId="0" xfId="0" applyNumberFormat="1" applyFont="1"/>
    <xf numFmtId="341" fontId="232" fillId="0" borderId="0" xfId="0" applyNumberFormat="1" applyFont="1"/>
    <xf numFmtId="341" fontId="232" fillId="0" borderId="94" xfId="0" applyNumberFormat="1" applyFont="1" applyBorder="1"/>
    <xf numFmtId="341" fontId="232" fillId="0" borderId="69" xfId="0" applyNumberFormat="1" applyFont="1" applyBorder="1"/>
    <xf numFmtId="341" fontId="232" fillId="0" borderId="149" xfId="0" applyNumberFormat="1" applyFont="1" applyBorder="1"/>
    <xf numFmtId="341" fontId="232" fillId="0" borderId="93" xfId="0" applyNumberFormat="1" applyFont="1" applyBorder="1" applyAlignment="1">
      <alignment horizontal="right"/>
    </xf>
    <xf numFmtId="341" fontId="232" fillId="0" borderId="0" xfId="0" applyNumberFormat="1" applyFont="1" applyAlignment="1">
      <alignment horizontal="right"/>
    </xf>
    <xf numFmtId="341" fontId="232" fillId="0" borderId="8" xfId="0" applyNumberFormat="1" applyFont="1" applyBorder="1" applyAlignment="1">
      <alignment horizontal="right"/>
    </xf>
    <xf numFmtId="341" fontId="232" fillId="0" borderId="93" xfId="1244" applyNumberFormat="1" applyFont="1" applyFill="1" applyBorder="1" applyAlignment="1">
      <alignment horizontal="right"/>
    </xf>
    <xf numFmtId="341" fontId="232" fillId="0" borderId="0" xfId="1244" applyNumberFormat="1" applyFont="1" applyFill="1" applyBorder="1" applyAlignment="1">
      <alignment horizontal="right"/>
    </xf>
    <xf numFmtId="341" fontId="232" fillId="0" borderId="8" xfId="1244" applyNumberFormat="1" applyFont="1" applyFill="1" applyBorder="1" applyAlignment="1">
      <alignment horizontal="right"/>
    </xf>
    <xf numFmtId="340" fontId="232" fillId="0" borderId="93" xfId="0" applyNumberFormat="1" applyFont="1" applyBorder="1" applyAlignment="1">
      <alignment horizontal="right"/>
    </xf>
    <xf numFmtId="340" fontId="232" fillId="0" borderId="0" xfId="0" applyNumberFormat="1" applyFont="1" applyAlignment="1">
      <alignment horizontal="right"/>
    </xf>
    <xf numFmtId="340" fontId="232" fillId="0" borderId="8" xfId="0" applyNumberFormat="1" applyFont="1" applyBorder="1" applyAlignment="1">
      <alignment horizontal="right"/>
    </xf>
    <xf numFmtId="214" fontId="232" fillId="0" borderId="0" xfId="0" applyNumberFormat="1" applyFont="1"/>
    <xf numFmtId="340" fontId="232" fillId="0" borderId="0" xfId="0" applyNumberFormat="1" applyFont="1"/>
    <xf numFmtId="340" fontId="232" fillId="0" borderId="69" xfId="0" applyNumberFormat="1" applyFont="1" applyBorder="1"/>
    <xf numFmtId="313" fontId="232" fillId="0" borderId="0" xfId="0" applyNumberFormat="1" applyFont="1"/>
    <xf numFmtId="313" fontId="232" fillId="0" borderId="69" xfId="0" applyNumberFormat="1" applyFont="1" applyBorder="1"/>
    <xf numFmtId="313" fontId="232" fillId="0" borderId="94" xfId="0" applyNumberFormat="1" applyFont="1" applyBorder="1"/>
    <xf numFmtId="314" fontId="232" fillId="0" borderId="0" xfId="0" applyNumberFormat="1" applyFont="1"/>
    <xf numFmtId="314" fontId="232" fillId="0" borderId="69" xfId="0" applyNumberFormat="1" applyFont="1" applyBorder="1"/>
    <xf numFmtId="314" fontId="232" fillId="0" borderId="94" xfId="0" applyNumberFormat="1" applyFont="1" applyBorder="1"/>
    <xf numFmtId="341" fontId="234" fillId="0" borderId="149" xfId="0" applyNumberFormat="1" applyFont="1" applyBorder="1"/>
    <xf numFmtId="0" fontId="234" fillId="0" borderId="86" xfId="0" applyFont="1" applyBorder="1"/>
    <xf numFmtId="341" fontId="234" fillId="0" borderId="86" xfId="0" applyNumberFormat="1" applyFont="1" applyBorder="1"/>
    <xf numFmtId="341" fontId="234" fillId="0" borderId="150" xfId="0" applyNumberFormat="1" applyFont="1" applyBorder="1"/>
    <xf numFmtId="321" fontId="234" fillId="0" borderId="86" xfId="0" applyNumberFormat="1" applyFont="1" applyBorder="1"/>
    <xf numFmtId="321" fontId="234" fillId="0" borderId="150" xfId="0" applyNumberFormat="1" applyFont="1" applyBorder="1"/>
    <xf numFmtId="0" fontId="232" fillId="0" borderId="109" xfId="0" applyFont="1" applyBorder="1"/>
    <xf numFmtId="0" fontId="234" fillId="0" borderId="111" xfId="0" applyFont="1" applyBorder="1"/>
    <xf numFmtId="341" fontId="234" fillId="0" borderId="113" xfId="0" applyNumberFormat="1" applyFont="1" applyBorder="1"/>
    <xf numFmtId="313" fontId="232" fillId="0" borderId="17" xfId="0" applyNumberFormat="1" applyFont="1" applyBorder="1"/>
    <xf numFmtId="313" fontId="232" fillId="0" borderId="143" xfId="0" applyNumberFormat="1" applyFont="1" applyBorder="1"/>
    <xf numFmtId="313" fontId="234" fillId="0" borderId="94" xfId="0" applyNumberFormat="1" applyFont="1" applyBorder="1"/>
    <xf numFmtId="313" fontId="234" fillId="0" borderId="149" xfId="0" applyNumberFormat="1" applyFont="1" applyBorder="1"/>
    <xf numFmtId="313" fontId="234" fillId="0" borderId="86" xfId="0" applyNumberFormat="1" applyFont="1" applyBorder="1"/>
    <xf numFmtId="313" fontId="234" fillId="0" borderId="150" xfId="0" applyNumberFormat="1" applyFont="1" applyBorder="1"/>
    <xf numFmtId="314" fontId="232" fillId="0" borderId="17" xfId="0" applyNumberFormat="1" applyFont="1" applyBorder="1"/>
    <xf numFmtId="314" fontId="232" fillId="0" borderId="143" xfId="0" applyNumberFormat="1" applyFont="1" applyBorder="1"/>
    <xf numFmtId="314" fontId="234" fillId="0" borderId="94" xfId="0" applyNumberFormat="1" applyFont="1" applyBorder="1"/>
    <xf numFmtId="314" fontId="234" fillId="0" borderId="149" xfId="0" applyNumberFormat="1" applyFont="1" applyBorder="1"/>
    <xf numFmtId="314" fontId="234" fillId="0" borderId="86" xfId="0" applyNumberFormat="1" applyFont="1" applyBorder="1"/>
    <xf numFmtId="314" fontId="234" fillId="0" borderId="150" xfId="0" applyNumberFormat="1" applyFont="1" applyBorder="1"/>
    <xf numFmtId="313" fontId="232" fillId="0" borderId="68" xfId="0" applyNumberFormat="1" applyFont="1" applyBorder="1"/>
    <xf numFmtId="313" fontId="232" fillId="0" borderId="8" xfId="0" applyNumberFormat="1" applyFont="1" applyBorder="1"/>
    <xf numFmtId="313" fontId="234" fillId="0" borderId="112" xfId="0" applyNumberFormat="1" applyFont="1" applyBorder="1"/>
    <xf numFmtId="313" fontId="232" fillId="0" borderId="112" xfId="0" applyNumberFormat="1" applyFont="1" applyBorder="1"/>
    <xf numFmtId="313" fontId="234" fillId="0" borderId="113" xfId="0" applyNumberFormat="1" applyFont="1" applyBorder="1"/>
    <xf numFmtId="8" fontId="232" fillId="0" borderId="32" xfId="1244" applyNumberFormat="1" applyFont="1" applyFill="1" applyBorder="1" applyAlignment="1">
      <alignment horizontal="right"/>
    </xf>
    <xf numFmtId="8" fontId="232" fillId="0" borderId="76" xfId="1244" applyNumberFormat="1" applyFont="1" applyFill="1" applyBorder="1" applyAlignment="1">
      <alignment horizontal="right"/>
    </xf>
    <xf numFmtId="8" fontId="232" fillId="0" borderId="79" xfId="1244" applyNumberFormat="1" applyFont="1" applyFill="1" applyBorder="1" applyAlignment="1">
      <alignment horizontal="right"/>
    </xf>
    <xf numFmtId="0" fontId="238" fillId="0" borderId="17" xfId="0" applyFont="1" applyBorder="1"/>
    <xf numFmtId="314" fontId="235" fillId="42" borderId="17" xfId="0" applyNumberFormat="1" applyFont="1" applyFill="1" applyBorder="1"/>
    <xf numFmtId="314" fontId="235" fillId="42" borderId="143" xfId="0" applyNumberFormat="1" applyFont="1" applyFill="1" applyBorder="1"/>
    <xf numFmtId="313" fontId="239" fillId="42" borderId="94" xfId="0" applyNumberFormat="1" applyFont="1" applyFill="1" applyBorder="1"/>
    <xf numFmtId="313" fontId="239" fillId="42" borderId="149" xfId="0" applyNumberFormat="1" applyFont="1" applyFill="1" applyBorder="1"/>
    <xf numFmtId="314" fontId="235" fillId="42" borderId="0" xfId="0" applyNumberFormat="1" applyFont="1" applyFill="1"/>
    <xf numFmtId="314" fontId="235" fillId="42" borderId="69" xfId="0" applyNumberFormat="1" applyFont="1" applyFill="1" applyBorder="1"/>
    <xf numFmtId="341" fontId="235" fillId="42" borderId="0" xfId="0" applyNumberFormat="1" applyFont="1" applyFill="1"/>
    <xf numFmtId="341" fontId="235" fillId="42" borderId="69" xfId="0" applyNumberFormat="1" applyFont="1" applyFill="1" applyBorder="1"/>
    <xf numFmtId="0" fontId="40" fillId="41" borderId="151" xfId="1718" applyFont="1" applyFill="1" applyBorder="1"/>
    <xf numFmtId="1" fontId="235" fillId="42" borderId="10" xfId="1718" applyNumberFormat="1" applyFont="1" applyFill="1" applyBorder="1"/>
    <xf numFmtId="1" fontId="40" fillId="41" borderId="152" xfId="1718" applyNumberFormat="1" applyFont="1" applyFill="1" applyBorder="1" applyAlignment="1">
      <alignment horizontal="right"/>
    </xf>
    <xf numFmtId="0" fontId="234" fillId="41" borderId="28" xfId="0" applyFont="1" applyFill="1" applyBorder="1"/>
    <xf numFmtId="0" fontId="232" fillId="41" borderId="28" xfId="0" applyFont="1" applyFill="1" applyBorder="1"/>
    <xf numFmtId="0" fontId="232" fillId="41" borderId="120" xfId="0" applyFont="1" applyFill="1" applyBorder="1"/>
    <xf numFmtId="0" fontId="232" fillId="41" borderId="0" xfId="0" applyFont="1" applyFill="1"/>
    <xf numFmtId="0" fontId="232" fillId="0" borderId="137" xfId="0" applyFont="1" applyBorder="1"/>
    <xf numFmtId="0" fontId="235" fillId="42" borderId="137" xfId="0" applyFont="1" applyFill="1" applyBorder="1"/>
    <xf numFmtId="341" fontId="232" fillId="0" borderId="155" xfId="0" applyNumberFormat="1" applyFont="1" applyBorder="1" applyAlignment="1">
      <alignment horizontal="right"/>
    </xf>
    <xf numFmtId="341" fontId="232" fillId="0" borderId="137" xfId="0" applyNumberFormat="1" applyFont="1" applyBorder="1" applyAlignment="1">
      <alignment horizontal="right"/>
    </xf>
    <xf numFmtId="341" fontId="232" fillId="0" borderId="153" xfId="0" applyNumberFormat="1" applyFont="1" applyBorder="1" applyAlignment="1">
      <alignment horizontal="right"/>
    </xf>
    <xf numFmtId="341" fontId="232" fillId="0" borderId="8" xfId="0" applyNumberFormat="1" applyFont="1" applyBorder="1"/>
    <xf numFmtId="9" fontId="232" fillId="0" borderId="143" xfId="0" applyNumberFormat="1" applyFont="1" applyBorder="1"/>
    <xf numFmtId="9" fontId="232" fillId="0" borderId="144" xfId="0" applyNumberFormat="1" applyFont="1" applyBorder="1"/>
    <xf numFmtId="341" fontId="238" fillId="0" borderId="67" xfId="0" applyNumberFormat="1" applyFont="1" applyBorder="1" applyAlignment="1">
      <alignment horizontal="left"/>
    </xf>
    <xf numFmtId="341" fontId="238" fillId="0" borderId="32" xfId="0" applyNumberFormat="1" applyFont="1" applyBorder="1"/>
    <xf numFmtId="314" fontId="235" fillId="42" borderId="76" xfId="0" applyNumberFormat="1" applyFont="1" applyFill="1" applyBorder="1"/>
    <xf numFmtId="314" fontId="235" fillId="42" borderId="144" xfId="0" applyNumberFormat="1" applyFont="1" applyFill="1" applyBorder="1"/>
    <xf numFmtId="314" fontId="40" fillId="0" borderId="17" xfId="0" applyNumberFormat="1" applyFont="1" applyBorder="1"/>
    <xf numFmtId="314" fontId="40" fillId="0" borderId="143" xfId="0" applyNumberFormat="1" applyFont="1" applyBorder="1"/>
    <xf numFmtId="0" fontId="234" fillId="0" borderId="137" xfId="0" applyFont="1" applyBorder="1"/>
    <xf numFmtId="341" fontId="234" fillId="0" borderId="137" xfId="0" applyNumberFormat="1" applyFont="1" applyBorder="1"/>
    <xf numFmtId="341" fontId="234" fillId="0" borderId="154" xfId="0" applyNumberFormat="1" applyFont="1" applyBorder="1"/>
    <xf numFmtId="7" fontId="232" fillId="0" borderId="0" xfId="0" applyNumberFormat="1" applyFont="1"/>
    <xf numFmtId="0" fontId="234" fillId="37" borderId="94" xfId="0" applyFont="1" applyFill="1" applyBorder="1"/>
    <xf numFmtId="0" fontId="232" fillId="37" borderId="94" xfId="0" applyFont="1" applyFill="1" applyBorder="1"/>
    <xf numFmtId="0" fontId="232" fillId="37" borderId="112" xfId="0" applyFont="1" applyFill="1" applyBorder="1"/>
    <xf numFmtId="0" fontId="271" fillId="50" borderId="147" xfId="1718" applyFont="1" applyFill="1" applyBorder="1"/>
    <xf numFmtId="1" fontId="237" fillId="50" borderId="13" xfId="1718" applyNumberFormat="1" applyFont="1" applyFill="1" applyBorder="1"/>
    <xf numFmtId="1" fontId="237" fillId="50" borderId="148" xfId="1718" applyNumberFormat="1" applyFont="1" applyFill="1" applyBorder="1"/>
    <xf numFmtId="1" fontId="237" fillId="50" borderId="146" xfId="1718" applyNumberFormat="1" applyFont="1" applyFill="1" applyBorder="1" applyAlignment="1">
      <alignment horizontal="right"/>
    </xf>
    <xf numFmtId="340" fontId="40" fillId="29" borderId="0" xfId="0" applyNumberFormat="1" applyFont="1" applyFill="1"/>
    <xf numFmtId="340" fontId="40" fillId="29" borderId="69" xfId="0" applyNumberFormat="1" applyFont="1" applyFill="1" applyBorder="1"/>
    <xf numFmtId="314" fontId="223" fillId="29" borderId="0" xfId="0" applyNumberFormat="1" applyFont="1" applyFill="1"/>
    <xf numFmtId="341" fontId="234" fillId="0" borderId="137" xfId="0" applyNumberFormat="1" applyFont="1" applyBorder="1" applyAlignment="1">
      <alignment horizontal="center"/>
    </xf>
    <xf numFmtId="341" fontId="235" fillId="42" borderId="152" xfId="0" applyNumberFormat="1" applyFont="1" applyFill="1" applyBorder="1"/>
    <xf numFmtId="341" fontId="235" fillId="42" borderId="123" xfId="0" applyNumberFormat="1" applyFont="1" applyFill="1" applyBorder="1"/>
    <xf numFmtId="341" fontId="234" fillId="0" borderId="157" xfId="0" applyNumberFormat="1" applyFont="1" applyBorder="1"/>
    <xf numFmtId="341" fontId="234" fillId="0" borderId="158" xfId="0" applyNumberFormat="1" applyFont="1" applyBorder="1"/>
    <xf numFmtId="341" fontId="232" fillId="0" borderId="158" xfId="0" applyNumberFormat="1" applyFont="1" applyBorder="1"/>
    <xf numFmtId="341" fontId="234" fillId="0" borderId="159" xfId="0" applyNumberFormat="1" applyFont="1" applyBorder="1"/>
    <xf numFmtId="340" fontId="235" fillId="42" borderId="123" xfId="0" applyNumberFormat="1" applyFont="1" applyFill="1" applyBorder="1"/>
    <xf numFmtId="321" fontId="234" fillId="0" borderId="159" xfId="0" applyNumberFormat="1" applyFont="1" applyBorder="1"/>
    <xf numFmtId="181" fontId="239" fillId="42" borderId="125" xfId="1216" applyNumberFormat="1" applyFont="1" applyFill="1" applyBorder="1" applyAlignment="1">
      <alignment horizontal="right"/>
    </xf>
    <xf numFmtId="321" fontId="232" fillId="0" borderId="17" xfId="0" applyNumberFormat="1" applyFont="1" applyBorder="1"/>
    <xf numFmtId="321" fontId="232" fillId="0" borderId="68" xfId="0" applyNumberFormat="1" applyFont="1" applyBorder="1"/>
    <xf numFmtId="345" fontId="235" fillId="42" borderId="0" xfId="0" applyNumberFormat="1" applyFont="1" applyFill="1"/>
    <xf numFmtId="345" fontId="232" fillId="0" borderId="0" xfId="0" applyNumberFormat="1" applyFont="1"/>
    <xf numFmtId="345" fontId="235" fillId="42" borderId="8" xfId="0" applyNumberFormat="1" applyFont="1" applyFill="1" applyBorder="1"/>
    <xf numFmtId="0" fontId="232" fillId="0" borderId="32" xfId="0" applyFont="1" applyBorder="1"/>
    <xf numFmtId="314" fontId="232" fillId="0" borderId="76" xfId="0" applyNumberFormat="1" applyFont="1" applyBorder="1"/>
    <xf numFmtId="314" fontId="232" fillId="0" borderId="79" xfId="0" applyNumberFormat="1" applyFont="1" applyBorder="1"/>
    <xf numFmtId="0" fontId="238" fillId="41" borderId="0" xfId="0" applyFont="1" applyFill="1"/>
    <xf numFmtId="0" fontId="232" fillId="41" borderId="160" xfId="0" applyFont="1" applyFill="1" applyBorder="1"/>
    <xf numFmtId="341" fontId="232" fillId="0" borderId="123" xfId="0" applyNumberFormat="1" applyFont="1" applyBorder="1"/>
    <xf numFmtId="340" fontId="232" fillId="0" borderId="123" xfId="0" applyNumberFormat="1" applyFont="1" applyBorder="1"/>
    <xf numFmtId="0" fontId="232" fillId="0" borderId="17" xfId="0" applyFont="1" applyBorder="1"/>
    <xf numFmtId="0" fontId="232" fillId="0" borderId="0" xfId="0" quotePrefix="1" applyFont="1"/>
    <xf numFmtId="313" fontId="235" fillId="42" borderId="94" xfId="0" applyNumberFormat="1" applyFont="1" applyFill="1" applyBorder="1" applyAlignment="1">
      <alignment horizontal="right"/>
    </xf>
    <xf numFmtId="313" fontId="235" fillId="42" borderId="94" xfId="0" applyNumberFormat="1" applyFont="1" applyFill="1" applyBorder="1"/>
    <xf numFmtId="313" fontId="235" fillId="42" borderId="149" xfId="0" applyNumberFormat="1" applyFont="1" applyFill="1" applyBorder="1"/>
    <xf numFmtId="313" fontId="235" fillId="42" borderId="94" xfId="0" applyNumberFormat="1" applyFont="1" applyFill="1" applyBorder="1" applyAlignment="1">
      <alignment horizontal="center"/>
    </xf>
    <xf numFmtId="0" fontId="271" fillId="49" borderId="147" xfId="1718" applyFont="1" applyFill="1" applyBorder="1"/>
    <xf numFmtId="1" fontId="237" fillId="49" borderId="13" xfId="1718" applyNumberFormat="1" applyFont="1" applyFill="1" applyBorder="1"/>
    <xf numFmtId="1" fontId="237" fillId="49" borderId="148" xfId="1718" applyNumberFormat="1" applyFont="1" applyFill="1" applyBorder="1"/>
    <xf numFmtId="1" fontId="237" fillId="49" borderId="146" xfId="1718" applyNumberFormat="1" applyFont="1" applyFill="1" applyBorder="1" applyAlignment="1">
      <alignment horizontal="right"/>
    </xf>
    <xf numFmtId="1" fontId="40" fillId="41" borderId="10" xfId="1718" applyNumberFormat="1" applyFont="1" applyFill="1" applyBorder="1"/>
    <xf numFmtId="1" fontId="40" fillId="41" borderId="145" xfId="1718" applyNumberFormat="1" applyFont="1" applyFill="1" applyBorder="1"/>
    <xf numFmtId="0" fontId="232" fillId="41" borderId="76" xfId="0" applyFont="1" applyFill="1" applyBorder="1"/>
    <xf numFmtId="314" fontId="40" fillId="0" borderId="0" xfId="0" applyNumberFormat="1" applyFont="1"/>
    <xf numFmtId="341" fontId="232" fillId="0" borderId="0" xfId="0" applyNumberFormat="1" applyFont="1" applyAlignment="1">
      <alignment horizontal="left"/>
    </xf>
    <xf numFmtId="341" fontId="232" fillId="0" borderId="67" xfId="0" applyNumberFormat="1" applyFont="1" applyBorder="1" applyAlignment="1">
      <alignment horizontal="left"/>
    </xf>
    <xf numFmtId="341" fontId="232" fillId="0" borderId="32" xfId="0" applyNumberFormat="1" applyFont="1" applyBorder="1" applyAlignment="1">
      <alignment horizontal="left"/>
    </xf>
    <xf numFmtId="313" fontId="288" fillId="0" borderId="0" xfId="0" applyNumberFormat="1" applyFont="1"/>
    <xf numFmtId="214" fontId="232" fillId="37" borderId="94" xfId="0" applyNumberFormat="1" applyFont="1" applyFill="1" applyBorder="1"/>
    <xf numFmtId="214" fontId="232" fillId="37" borderId="149" xfId="0" applyNumberFormat="1" applyFont="1" applyFill="1" applyBorder="1"/>
    <xf numFmtId="0" fontId="232" fillId="37" borderId="149" xfId="0" applyFont="1" applyFill="1" applyBorder="1"/>
    <xf numFmtId="0" fontId="232" fillId="37" borderId="156" xfId="0" applyFont="1" applyFill="1" applyBorder="1"/>
    <xf numFmtId="0" fontId="232" fillId="29" borderId="0" xfId="0" applyFont="1" applyFill="1"/>
    <xf numFmtId="193" fontId="232" fillId="29" borderId="0" xfId="0" applyNumberFormat="1" applyFont="1" applyFill="1"/>
    <xf numFmtId="313" fontId="26" fillId="29" borderId="0" xfId="2" applyNumberFormat="1" applyFont="1" applyFill="1" applyBorder="1"/>
    <xf numFmtId="314" fontId="232" fillId="29" borderId="0" xfId="0" applyNumberFormat="1" applyFont="1" applyFill="1"/>
    <xf numFmtId="314" fontId="235" fillId="0" borderId="0" xfId="0" applyNumberFormat="1" applyFont="1"/>
    <xf numFmtId="9" fontId="27" fillId="29" borderId="81" xfId="2" applyFont="1" applyFill="1" applyBorder="1"/>
    <xf numFmtId="214" fontId="21" fillId="29" borderId="92" xfId="0" applyNumberFormat="1" applyFont="1" applyFill="1" applyBorder="1"/>
    <xf numFmtId="313" fontId="211" fillId="29" borderId="0" xfId="1216" applyNumberFormat="1" applyFont="1" applyFill="1" applyBorder="1"/>
    <xf numFmtId="314" fontId="26" fillId="29" borderId="0" xfId="0" applyNumberFormat="1" applyFont="1" applyFill="1"/>
    <xf numFmtId="0" fontId="257" fillId="32" borderId="0" xfId="0" applyFont="1" applyFill="1" applyAlignment="1" applyProtection="1">
      <alignment horizontal="center"/>
      <protection locked="0"/>
    </xf>
    <xf numFmtId="315" fontId="257" fillId="32" borderId="0" xfId="0" applyNumberFormat="1" applyFont="1" applyFill="1" applyAlignment="1" applyProtection="1">
      <alignment horizontal="center"/>
      <protection locked="0"/>
    </xf>
    <xf numFmtId="0" fontId="260" fillId="31" borderId="0" xfId="0" applyFont="1" applyFill="1" applyAlignment="1" applyProtection="1">
      <alignment horizontal="left"/>
      <protection locked="0"/>
    </xf>
    <xf numFmtId="1" fontId="257" fillId="33" borderId="0" xfId="0" applyNumberFormat="1" applyFont="1" applyFill="1" applyProtection="1">
      <protection locked="0"/>
    </xf>
    <xf numFmtId="1" fontId="257" fillId="34" borderId="0" xfId="0" applyNumberFormat="1" applyFont="1" applyFill="1" applyProtection="1">
      <protection locked="0"/>
    </xf>
    <xf numFmtId="179" fontId="257" fillId="34" borderId="0" xfId="0" applyNumberFormat="1" applyFont="1" applyFill="1" applyProtection="1">
      <protection locked="0"/>
    </xf>
    <xf numFmtId="0" fontId="257" fillId="33" borderId="0" xfId="0" applyFont="1" applyFill="1" applyProtection="1">
      <protection locked="0"/>
    </xf>
    <xf numFmtId="166" fontId="257" fillId="34" borderId="0" xfId="0" applyNumberFormat="1" applyFont="1" applyFill="1" applyProtection="1">
      <protection locked="0"/>
    </xf>
    <xf numFmtId="10" fontId="257" fillId="34" borderId="0" xfId="0" applyNumberFormat="1" applyFont="1" applyFill="1" applyProtection="1">
      <protection locked="0"/>
    </xf>
    <xf numFmtId="2" fontId="257" fillId="33" borderId="0" xfId="0" applyNumberFormat="1" applyFont="1" applyFill="1" applyProtection="1">
      <protection locked="0"/>
    </xf>
    <xf numFmtId="179" fontId="257" fillId="33" borderId="0" xfId="0" applyNumberFormat="1" applyFont="1" applyFill="1" applyProtection="1">
      <protection locked="0"/>
    </xf>
    <xf numFmtId="166" fontId="257" fillId="33" borderId="0" xfId="0" applyNumberFormat="1" applyFont="1" applyFill="1" applyProtection="1">
      <protection locked="0"/>
    </xf>
    <xf numFmtId="2" fontId="257" fillId="34" borderId="0" xfId="0" applyNumberFormat="1" applyFont="1" applyFill="1" applyProtection="1">
      <protection locked="0"/>
    </xf>
    <xf numFmtId="9" fontId="257" fillId="33" borderId="0" xfId="0" applyNumberFormat="1" applyFont="1" applyFill="1" applyProtection="1">
      <protection locked="0"/>
    </xf>
    <xf numFmtId="49" fontId="260" fillId="31" borderId="0" xfId="0" applyNumberFormat="1" applyFont="1" applyFill="1" applyAlignment="1">
      <alignment horizontal="left"/>
    </xf>
    <xf numFmtId="49" fontId="260" fillId="31" borderId="0" xfId="0" applyNumberFormat="1" applyFont="1" applyFill="1" applyAlignment="1">
      <alignment horizontal="center"/>
    </xf>
    <xf numFmtId="0" fontId="257" fillId="32" borderId="0" xfId="0" applyFont="1" applyFill="1" applyAlignment="1">
      <alignment horizontal="center"/>
    </xf>
    <xf numFmtId="315" fontId="257" fillId="32" borderId="0" xfId="0" applyNumberFormat="1" applyFont="1" applyFill="1" applyAlignment="1">
      <alignment horizontal="center"/>
    </xf>
    <xf numFmtId="0" fontId="260" fillId="31" borderId="0" xfId="0" applyFont="1" applyFill="1" applyAlignment="1">
      <alignment horizontal="left"/>
    </xf>
    <xf numFmtId="0" fontId="257" fillId="32" borderId="0" xfId="0" applyFont="1" applyFill="1"/>
    <xf numFmtId="5" fontId="226" fillId="29" borderId="131" xfId="0" applyNumberFormat="1" applyFont="1" applyFill="1" applyBorder="1"/>
    <xf numFmtId="5" fontId="226" fillId="29" borderId="134" xfId="0" applyNumberFormat="1" applyFont="1" applyFill="1" applyBorder="1"/>
    <xf numFmtId="179" fontId="71" fillId="37" borderId="161" xfId="0" applyNumberFormat="1" applyFont="1" applyFill="1" applyBorder="1"/>
    <xf numFmtId="179" fontId="71" fillId="37" borderId="162" xfId="0" applyNumberFormat="1" applyFont="1" applyFill="1" applyBorder="1"/>
    <xf numFmtId="341" fontId="220" fillId="29" borderId="81" xfId="0" applyNumberFormat="1" applyFont="1" applyFill="1" applyBorder="1"/>
    <xf numFmtId="341" fontId="211" fillId="29" borderId="0" xfId="0" applyNumberFormat="1" applyFont="1" applyFill="1" applyAlignment="1">
      <alignment horizontal="right"/>
    </xf>
    <xf numFmtId="193" fontId="21" fillId="29" borderId="0" xfId="0" applyNumberFormat="1" applyFont="1" applyFill="1"/>
    <xf numFmtId="0" fontId="18" fillId="41" borderId="94" xfId="0" applyFont="1" applyFill="1" applyBorder="1" applyAlignment="1">
      <alignment horizontal="center"/>
    </xf>
    <xf numFmtId="0" fontId="18" fillId="41" borderId="112" xfId="0" applyFont="1" applyFill="1" applyBorder="1" applyAlignment="1">
      <alignment horizontal="center"/>
    </xf>
    <xf numFmtId="3" fontId="220" fillId="0" borderId="90" xfId="0" applyNumberFormat="1" applyFont="1" applyBorder="1"/>
    <xf numFmtId="9" fontId="226" fillId="37" borderId="81" xfId="0" applyNumberFormat="1" applyFont="1" applyFill="1" applyBorder="1" applyAlignment="1">
      <alignment horizontal="right"/>
    </xf>
    <xf numFmtId="5" fontId="227" fillId="29" borderId="104" xfId="0" applyNumberFormat="1" applyFont="1" applyFill="1" applyBorder="1"/>
    <xf numFmtId="5" fontId="226" fillId="29" borderId="17" xfId="0" applyNumberFormat="1" applyFont="1" applyFill="1" applyBorder="1"/>
    <xf numFmtId="193" fontId="226" fillId="0" borderId="96" xfId="1" applyNumberFormat="1" applyFont="1" applyFill="1" applyBorder="1"/>
    <xf numFmtId="341" fontId="211" fillId="29" borderId="92" xfId="0" applyNumberFormat="1" applyFont="1" applyFill="1" applyBorder="1"/>
    <xf numFmtId="341" fontId="26" fillId="29" borderId="100" xfId="0" applyNumberFormat="1" applyFont="1" applyFill="1" applyBorder="1"/>
    <xf numFmtId="341" fontId="211" fillId="29" borderId="91" xfId="0" applyNumberFormat="1" applyFont="1" applyFill="1" applyBorder="1"/>
    <xf numFmtId="340" fontId="211" fillId="29" borderId="92" xfId="1" applyNumberFormat="1" applyFont="1" applyFill="1" applyBorder="1"/>
    <xf numFmtId="193" fontId="211" fillId="29" borderId="0" xfId="2" applyNumberFormat="1" applyFont="1" applyFill="1" applyBorder="1"/>
    <xf numFmtId="193" fontId="211" fillId="42" borderId="0" xfId="2" applyNumberFormat="1" applyFont="1" applyFill="1" applyBorder="1"/>
    <xf numFmtId="9" fontId="211" fillId="37" borderId="0" xfId="1216" applyFont="1" applyFill="1" applyBorder="1" applyAlignment="1">
      <alignment horizontal="right"/>
    </xf>
    <xf numFmtId="313" fontId="223" fillId="0" borderId="0" xfId="2" applyNumberFormat="1" applyFont="1" applyFill="1" applyBorder="1"/>
    <xf numFmtId="43" fontId="226" fillId="42" borderId="17" xfId="1" applyFont="1" applyFill="1" applyBorder="1"/>
    <xf numFmtId="214" fontId="226" fillId="42" borderId="68" xfId="0" applyNumberFormat="1" applyFont="1" applyFill="1" applyBorder="1"/>
    <xf numFmtId="43" fontId="226" fillId="42" borderId="77" xfId="1" applyFont="1" applyFill="1" applyBorder="1"/>
    <xf numFmtId="43" fontId="226" fillId="42" borderId="76" xfId="1" applyFont="1" applyFill="1" applyBorder="1"/>
    <xf numFmtId="214" fontId="226" fillId="42" borderId="79" xfId="0" applyNumberFormat="1" applyFont="1" applyFill="1" applyBorder="1"/>
    <xf numFmtId="0" fontId="70" fillId="46" borderId="5" xfId="0" applyFont="1" applyFill="1" applyBorder="1"/>
    <xf numFmtId="3" fontId="232" fillId="46" borderId="109" xfId="0" applyNumberFormat="1" applyFont="1" applyFill="1" applyBorder="1" applyAlignment="1">
      <alignment horizontal="center"/>
    </xf>
    <xf numFmtId="3" fontId="232" fillId="46" borderId="94" xfId="0" applyNumberFormat="1" applyFont="1" applyFill="1" applyBorder="1" applyAlignment="1">
      <alignment horizontal="center"/>
    </xf>
    <xf numFmtId="43" fontId="232" fillId="46" borderId="109" xfId="1" applyFont="1" applyFill="1" applyBorder="1" applyAlignment="1">
      <alignment horizontal="center"/>
    </xf>
    <xf numFmtId="9" fontId="232" fillId="46" borderId="112" xfId="2" applyFont="1" applyFill="1" applyBorder="1" applyAlignment="1">
      <alignment horizontal="center"/>
    </xf>
    <xf numFmtId="41" fontId="230" fillId="19" borderId="92" xfId="0" applyNumberFormat="1" applyFont="1" applyFill="1" applyBorder="1" applyAlignment="1">
      <alignment horizontal="right"/>
    </xf>
    <xf numFmtId="41" fontId="230" fillId="29" borderId="81" xfId="0" applyNumberFormat="1" applyFont="1" applyFill="1" applyBorder="1" applyAlignment="1">
      <alignment horizontal="right"/>
    </xf>
    <xf numFmtId="3" fontId="211" fillId="29" borderId="90" xfId="0" applyNumberFormat="1" applyFont="1" applyFill="1" applyBorder="1"/>
    <xf numFmtId="3" fontId="226" fillId="29" borderId="92" xfId="0" applyNumberFormat="1" applyFont="1" applyFill="1" applyBorder="1"/>
    <xf numFmtId="8" fontId="226" fillId="29" borderId="92" xfId="0" applyNumberFormat="1" applyFont="1" applyFill="1" applyBorder="1"/>
    <xf numFmtId="318" fontId="26" fillId="0" borderId="92" xfId="0" applyNumberFormat="1" applyFont="1" applyBorder="1"/>
    <xf numFmtId="3" fontId="226" fillId="0" borderId="91" xfId="0" applyNumberFormat="1" applyFont="1" applyBorder="1"/>
    <xf numFmtId="319" fontId="26" fillId="0" borderId="0" xfId="0" applyNumberFormat="1" applyFont="1"/>
    <xf numFmtId="313" fontId="71" fillId="0" borderId="0" xfId="1" applyNumberFormat="1" applyFont="1" applyBorder="1"/>
    <xf numFmtId="313" fontId="40" fillId="0" borderId="0" xfId="0" applyNumberFormat="1" applyFont="1"/>
    <xf numFmtId="319" fontId="26" fillId="29" borderId="0" xfId="0" applyNumberFormat="1" applyFont="1" applyFill="1"/>
    <xf numFmtId="322" fontId="21" fillId="29" borderId="137" xfId="1" applyNumberFormat="1" applyFont="1" applyFill="1" applyBorder="1"/>
    <xf numFmtId="9" fontId="18" fillId="0" borderId="0" xfId="722" applyFont="1"/>
    <xf numFmtId="9" fontId="18" fillId="0" borderId="0" xfId="1134" applyNumberFormat="1" applyFont="1" applyAlignment="1">
      <alignment horizontal="right"/>
    </xf>
    <xf numFmtId="9" fontId="18" fillId="0" borderId="0" xfId="722" applyFont="1" applyAlignment="1">
      <alignment horizontal="right"/>
    </xf>
    <xf numFmtId="9" fontId="36" fillId="37" borderId="65" xfId="1134" applyNumberFormat="1" applyFont="1" applyFill="1" applyBorder="1" applyAlignment="1">
      <alignment horizontal="right"/>
    </xf>
    <xf numFmtId="9" fontId="0" fillId="0" borderId="0" xfId="0" applyNumberFormat="1"/>
    <xf numFmtId="314" fontId="36" fillId="37" borderId="65" xfId="722" applyNumberFormat="1" applyFont="1" applyFill="1" applyBorder="1" applyAlignment="1">
      <alignment horizontal="right"/>
    </xf>
    <xf numFmtId="314" fontId="18" fillId="0" borderId="0" xfId="1134" applyNumberFormat="1" applyFont="1" applyAlignment="1">
      <alignment horizontal="right"/>
    </xf>
    <xf numFmtId="0" fontId="290" fillId="35" borderId="0" xfId="0" applyFont="1" applyFill="1" applyAlignment="1">
      <alignment horizontal="left"/>
    </xf>
    <xf numFmtId="0" fontId="290" fillId="35" borderId="0" xfId="0" applyFont="1" applyFill="1" applyAlignment="1" applyProtection="1">
      <alignment horizontal="left"/>
      <protection locked="0"/>
    </xf>
    <xf numFmtId="0" fontId="289" fillId="30" borderId="0" xfId="0" applyFont="1" applyFill="1"/>
    <xf numFmtId="0" fontId="0" fillId="30" borderId="0" xfId="0" applyFill="1"/>
    <xf numFmtId="0" fontId="289" fillId="30" borderId="0" xfId="0" applyFont="1" applyFill="1" applyProtection="1">
      <protection locked="0"/>
    </xf>
    <xf numFmtId="323" fontId="291" fillId="30" borderId="0" xfId="0" applyNumberFormat="1" applyFont="1" applyFill="1" applyProtection="1">
      <protection locked="0"/>
    </xf>
    <xf numFmtId="49" fontId="291" fillId="30" borderId="0" xfId="0" applyNumberFormat="1" applyFont="1" applyFill="1" applyProtection="1">
      <protection locked="0"/>
    </xf>
    <xf numFmtId="324" fontId="291" fillId="30" borderId="0" xfId="0" applyNumberFormat="1" applyFont="1" applyFill="1" applyProtection="1">
      <protection locked="0"/>
    </xf>
    <xf numFmtId="9" fontId="291" fillId="30" borderId="0" xfId="0" applyNumberFormat="1" applyFont="1" applyFill="1" applyProtection="1">
      <protection locked="0"/>
    </xf>
    <xf numFmtId="49" fontId="257" fillId="34" borderId="0" xfId="0" applyNumberFormat="1" applyFont="1" applyFill="1" applyProtection="1">
      <protection locked="0"/>
    </xf>
    <xf numFmtId="2" fontId="291" fillId="30" borderId="0" xfId="0" applyNumberFormat="1" applyFont="1" applyFill="1" applyProtection="1">
      <protection locked="0"/>
    </xf>
    <xf numFmtId="9" fontId="26" fillId="29" borderId="0" xfId="63" applyNumberFormat="1" applyFont="1" applyFill="1"/>
    <xf numFmtId="307" fontId="26" fillId="29" borderId="76" xfId="0" applyNumberFormat="1" applyFont="1" applyFill="1" applyBorder="1"/>
    <xf numFmtId="43" fontId="26" fillId="29" borderId="82" xfId="0" applyNumberFormat="1" applyFont="1" applyFill="1" applyBorder="1"/>
    <xf numFmtId="7" fontId="0" fillId="0" borderId="0" xfId="0" applyNumberFormat="1"/>
    <xf numFmtId="8" fontId="26" fillId="29" borderId="81" xfId="0" applyNumberFormat="1" applyFont="1" applyFill="1" applyBorder="1"/>
    <xf numFmtId="341" fontId="0" fillId="0" borderId="0" xfId="0" applyNumberFormat="1"/>
    <xf numFmtId="341" fontId="232" fillId="0" borderId="65" xfId="0" applyNumberFormat="1" applyFont="1" applyBorder="1" applyAlignment="1">
      <alignment horizontal="left" indent="2"/>
    </xf>
    <xf numFmtId="0" fontId="232" fillId="41" borderId="78" xfId="0" applyFont="1" applyFill="1" applyBorder="1"/>
    <xf numFmtId="0" fontId="232" fillId="41" borderId="109" xfId="0" applyFont="1" applyFill="1" applyBorder="1" applyAlignment="1">
      <alignment horizontal="centerContinuous"/>
    </xf>
    <xf numFmtId="0" fontId="232" fillId="41" borderId="94" xfId="0" applyFont="1" applyFill="1" applyBorder="1" applyAlignment="1">
      <alignment horizontal="centerContinuous"/>
    </xf>
    <xf numFmtId="0" fontId="232" fillId="41" borderId="112" xfId="0" applyFont="1" applyFill="1" applyBorder="1" applyAlignment="1">
      <alignment horizontal="centerContinuous"/>
    </xf>
    <xf numFmtId="0" fontId="232" fillId="41" borderId="67" xfId="0" applyFont="1" applyFill="1" applyBorder="1"/>
    <xf numFmtId="0" fontId="232" fillId="41" borderId="17" xfId="0" applyFont="1" applyFill="1" applyBorder="1" applyAlignment="1">
      <alignment horizontal="center"/>
    </xf>
    <xf numFmtId="0" fontId="232" fillId="41" borderId="75" xfId="0" applyFont="1" applyFill="1" applyBorder="1"/>
    <xf numFmtId="0" fontId="232" fillId="41" borderId="109" xfId="0" applyFont="1" applyFill="1" applyBorder="1" applyAlignment="1">
      <alignment horizontal="center"/>
    </xf>
    <xf numFmtId="0" fontId="232" fillId="41" borderId="94" xfId="0" applyFont="1" applyFill="1" applyBorder="1" applyAlignment="1">
      <alignment horizontal="center"/>
    </xf>
    <xf numFmtId="0" fontId="232" fillId="41" borderId="112" xfId="0" applyFont="1" applyFill="1" applyBorder="1" applyAlignment="1">
      <alignment horizontal="center"/>
    </xf>
    <xf numFmtId="0" fontId="232" fillId="41" borderId="76" xfId="0" applyFont="1" applyFill="1" applyBorder="1" applyAlignment="1">
      <alignment horizontal="center"/>
    </xf>
    <xf numFmtId="0" fontId="293" fillId="0" borderId="0" xfId="0" applyFont="1"/>
    <xf numFmtId="214" fontId="232" fillId="0" borderId="93" xfId="1" applyNumberFormat="1" applyFont="1" applyBorder="1"/>
    <xf numFmtId="341" fontId="232" fillId="0" borderId="93" xfId="1" applyNumberFormat="1" applyFont="1" applyBorder="1"/>
    <xf numFmtId="214" fontId="232" fillId="0" borderId="17" xfId="0" applyNumberFormat="1" applyFont="1" applyBorder="1"/>
    <xf numFmtId="214" fontId="232" fillId="0" borderId="67" xfId="1" applyNumberFormat="1" applyFont="1" applyBorder="1"/>
    <xf numFmtId="9" fontId="232" fillId="0" borderId="68" xfId="2" applyFont="1" applyBorder="1"/>
    <xf numFmtId="0" fontId="232" fillId="0" borderId="77" xfId="0" applyFont="1" applyBorder="1"/>
    <xf numFmtId="214" fontId="232" fillId="0" borderId="76" xfId="0" applyNumberFormat="1" applyFont="1" applyBorder="1"/>
    <xf numFmtId="214" fontId="232" fillId="0" borderId="77" xfId="1" applyNumberFormat="1" applyFont="1" applyBorder="1"/>
    <xf numFmtId="341" fontId="232" fillId="0" borderId="67" xfId="1" applyNumberFormat="1" applyFont="1" applyBorder="1"/>
    <xf numFmtId="341" fontId="232" fillId="0" borderId="77" xfId="1" applyNumberFormat="1" applyFont="1" applyBorder="1"/>
    <xf numFmtId="214" fontId="232" fillId="0" borderId="67" xfId="0" applyNumberFormat="1" applyFont="1" applyBorder="1"/>
    <xf numFmtId="214" fontId="232" fillId="0" borderId="93" xfId="0" applyNumberFormat="1" applyFont="1" applyBorder="1"/>
    <xf numFmtId="214" fontId="232" fillId="0" borderId="77" xfId="0" applyNumberFormat="1" applyFont="1" applyBorder="1"/>
    <xf numFmtId="341" fontId="232" fillId="0" borderId="67" xfId="0" applyNumberFormat="1" applyFont="1" applyBorder="1"/>
    <xf numFmtId="341" fontId="232" fillId="0" borderId="77" xfId="0" applyNumberFormat="1" applyFont="1" applyBorder="1"/>
    <xf numFmtId="6" fontId="232" fillId="0" borderId="94" xfId="0" applyNumberFormat="1" applyFont="1" applyBorder="1"/>
    <xf numFmtId="341" fontId="232" fillId="0" borderId="109" xfId="0" applyNumberFormat="1" applyFont="1" applyBorder="1"/>
    <xf numFmtId="341" fontId="232" fillId="0" borderId="109" xfId="1" applyNumberFormat="1" applyFont="1" applyBorder="1"/>
    <xf numFmtId="167" fontId="232" fillId="0" borderId="94" xfId="0" applyNumberFormat="1" applyFont="1" applyBorder="1"/>
    <xf numFmtId="214" fontId="233" fillId="0" borderId="0" xfId="0" applyNumberFormat="1" applyFont="1"/>
    <xf numFmtId="341" fontId="233" fillId="0" borderId="0" xfId="0" applyNumberFormat="1" applyFont="1"/>
    <xf numFmtId="0" fontId="70" fillId="37" borderId="5" xfId="0" applyFont="1" applyFill="1" applyBorder="1"/>
    <xf numFmtId="0" fontId="233" fillId="37" borderId="94" xfId="0" applyFont="1" applyFill="1" applyBorder="1"/>
    <xf numFmtId="0" fontId="233" fillId="37" borderId="112" xfId="0" applyFont="1" applyFill="1" applyBorder="1"/>
    <xf numFmtId="214" fontId="232" fillId="0" borderId="8" xfId="0" applyNumberFormat="1" applyFont="1" applyBorder="1"/>
    <xf numFmtId="341" fontId="233" fillId="0" borderId="8" xfId="0" applyNumberFormat="1" applyFont="1" applyBorder="1"/>
    <xf numFmtId="0" fontId="233" fillId="0" borderId="17" xfId="0" applyFont="1" applyBorder="1"/>
    <xf numFmtId="0" fontId="277" fillId="42" borderId="109" xfId="0" applyFont="1" applyFill="1" applyBorder="1"/>
    <xf numFmtId="0" fontId="233" fillId="42" borderId="94" xfId="0" applyFont="1" applyFill="1" applyBorder="1"/>
    <xf numFmtId="0" fontId="233" fillId="42" borderId="112" xfId="0" applyFont="1" applyFill="1" applyBorder="1"/>
    <xf numFmtId="314" fontId="233" fillId="0" borderId="8" xfId="0" applyNumberFormat="1" applyFont="1" applyBorder="1"/>
    <xf numFmtId="314" fontId="233" fillId="0" borderId="112" xfId="0" applyNumberFormat="1" applyFont="1" applyBorder="1"/>
    <xf numFmtId="0" fontId="233" fillId="37" borderId="109" xfId="0" applyFont="1" applyFill="1" applyBorder="1"/>
    <xf numFmtId="341" fontId="233" fillId="0" borderId="93" xfId="0" applyNumberFormat="1" applyFont="1" applyBorder="1"/>
    <xf numFmtId="214" fontId="232" fillId="0" borderId="68" xfId="0" applyNumberFormat="1" applyFont="1" applyBorder="1"/>
    <xf numFmtId="346" fontId="70" fillId="51" borderId="0" xfId="0" applyNumberFormat="1" applyFont="1" applyFill="1" applyAlignment="1">
      <alignment horizontal="left" vertical="center"/>
    </xf>
    <xf numFmtId="14" fontId="70" fillId="51" borderId="0" xfId="0" applyNumberFormat="1" applyFont="1" applyFill="1" applyAlignment="1">
      <alignment horizontal="left" vertical="center"/>
    </xf>
    <xf numFmtId="346" fontId="70" fillId="51" borderId="8" xfId="0" applyNumberFormat="1" applyFont="1" applyFill="1" applyBorder="1" applyAlignment="1">
      <alignment horizontal="left" vertical="center"/>
    </xf>
    <xf numFmtId="14" fontId="292" fillId="42" borderId="0" xfId="0" applyNumberFormat="1" applyFont="1" applyFill="1" applyAlignment="1">
      <alignment horizontal="left" vertical="center"/>
    </xf>
    <xf numFmtId="14" fontId="294" fillId="42" borderId="0" xfId="0" applyNumberFormat="1" applyFont="1" applyFill="1"/>
    <xf numFmtId="0" fontId="294" fillId="42" borderId="0" xfId="0" applyFont="1" applyFill="1"/>
    <xf numFmtId="9" fontId="233" fillId="0" borderId="67" xfId="2" applyFont="1" applyBorder="1"/>
    <xf numFmtId="9" fontId="233" fillId="0" borderId="17" xfId="2" applyFont="1" applyBorder="1"/>
    <xf numFmtId="9" fontId="233" fillId="0" borderId="68" xfId="2" applyFont="1" applyBorder="1"/>
    <xf numFmtId="9" fontId="233" fillId="0" borderId="77" xfId="2" applyFont="1" applyBorder="1"/>
    <xf numFmtId="9" fontId="233" fillId="0" borderId="76" xfId="2" applyFont="1" applyBorder="1"/>
    <xf numFmtId="9" fontId="233" fillId="0" borderId="79" xfId="2" applyFont="1" applyBorder="1"/>
    <xf numFmtId="341" fontId="233" fillId="0" borderId="94" xfId="0" applyNumberFormat="1" applyFont="1" applyBorder="1"/>
    <xf numFmtId="341" fontId="233" fillId="0" borderId="112" xfId="0" applyNumberFormat="1" applyFont="1" applyBorder="1"/>
    <xf numFmtId="341" fontId="236" fillId="0" borderId="94" xfId="0" applyNumberFormat="1" applyFont="1" applyBorder="1"/>
    <xf numFmtId="341" fontId="236" fillId="0" borderId="112" xfId="0" applyNumberFormat="1" applyFont="1" applyBorder="1"/>
    <xf numFmtId="341" fontId="233" fillId="0" borderId="17" xfId="0" applyNumberFormat="1" applyFont="1" applyBorder="1"/>
    <xf numFmtId="314" fontId="233" fillId="0" borderId="93" xfId="2" applyNumberFormat="1" applyFont="1" applyBorder="1"/>
    <xf numFmtId="314" fontId="233" fillId="0" borderId="0" xfId="2" applyNumberFormat="1" applyFont="1" applyBorder="1"/>
    <xf numFmtId="314" fontId="233" fillId="0" borderId="8" xfId="2" applyNumberFormat="1" applyFont="1" applyBorder="1"/>
    <xf numFmtId="314" fontId="233" fillId="0" borderId="67" xfId="2" applyNumberFormat="1" applyFont="1" applyBorder="1"/>
    <xf numFmtId="314" fontId="233" fillId="0" borderId="17" xfId="2" applyNumberFormat="1" applyFont="1" applyBorder="1"/>
    <xf numFmtId="314" fontId="233" fillId="0" borderId="68" xfId="2" applyNumberFormat="1" applyFont="1" applyBorder="1"/>
    <xf numFmtId="314" fontId="233" fillId="0" borderId="77" xfId="2" applyNumberFormat="1" applyFont="1" applyBorder="1"/>
    <xf numFmtId="314" fontId="233" fillId="0" borderId="76" xfId="2" applyNumberFormat="1" applyFont="1" applyBorder="1"/>
    <xf numFmtId="314" fontId="233" fillId="0" borderId="79" xfId="2" applyNumberFormat="1" applyFont="1" applyBorder="1"/>
    <xf numFmtId="314" fontId="233" fillId="0" borderId="0" xfId="0" applyNumberFormat="1" applyFont="1"/>
    <xf numFmtId="314" fontId="233" fillId="0" borderId="94" xfId="0" applyNumberFormat="1" applyFont="1" applyBorder="1"/>
    <xf numFmtId="321" fontId="236" fillId="0" borderId="94" xfId="0" applyNumberFormat="1" applyFont="1" applyBorder="1"/>
    <xf numFmtId="321" fontId="236" fillId="0" borderId="112" xfId="0" applyNumberFormat="1" applyFont="1" applyBorder="1"/>
    <xf numFmtId="314" fontId="236" fillId="0" borderId="109" xfId="0" applyNumberFormat="1" applyFont="1" applyBorder="1"/>
    <xf numFmtId="314" fontId="236" fillId="0" borderId="94" xfId="0" applyNumberFormat="1" applyFont="1" applyBorder="1"/>
    <xf numFmtId="314" fontId="236" fillId="0" borderId="112" xfId="0" applyNumberFormat="1" applyFont="1" applyBorder="1"/>
    <xf numFmtId="9" fontId="236" fillId="0" borderId="109" xfId="2" applyFont="1" applyBorder="1"/>
    <xf numFmtId="9" fontId="236" fillId="0" borderId="94" xfId="2" applyFont="1" applyBorder="1"/>
    <xf numFmtId="9" fontId="236" fillId="0" borderId="112" xfId="2" applyFont="1" applyBorder="1"/>
    <xf numFmtId="9" fontId="0" fillId="29" borderId="0" xfId="0" applyNumberFormat="1" applyFill="1"/>
    <xf numFmtId="341" fontId="232" fillId="0" borderId="155" xfId="0" applyNumberFormat="1" applyFont="1" applyBorder="1"/>
    <xf numFmtId="6" fontId="232" fillId="0" borderId="137" xfId="1" applyNumberFormat="1" applyFont="1" applyBorder="1"/>
    <xf numFmtId="9" fontId="232" fillId="0" borderId="137" xfId="1" applyNumberFormat="1" applyFont="1" applyBorder="1"/>
    <xf numFmtId="341" fontId="232" fillId="0" borderId="137" xfId="1" applyNumberFormat="1" applyFont="1" applyBorder="1"/>
    <xf numFmtId="9" fontId="232" fillId="0" borderId="153" xfId="1" applyNumberFormat="1" applyFont="1" applyBorder="1"/>
    <xf numFmtId="6" fontId="234" fillId="42" borderId="77" xfId="0" applyNumberFormat="1" applyFont="1" applyFill="1" applyBorder="1"/>
    <xf numFmtId="6" fontId="234" fillId="42" borderId="76" xfId="0" applyNumberFormat="1" applyFont="1" applyFill="1" applyBorder="1"/>
    <xf numFmtId="9" fontId="234" fillId="42" borderId="79" xfId="2" applyFont="1" applyFill="1" applyBorder="1"/>
    <xf numFmtId="6" fontId="234" fillId="0" borderId="93" xfId="0" applyNumberFormat="1" applyFont="1" applyBorder="1"/>
    <xf numFmtId="6" fontId="234" fillId="0" borderId="0" xfId="0" applyNumberFormat="1" applyFont="1"/>
    <xf numFmtId="347" fontId="232" fillId="0" borderId="0" xfId="0" applyNumberFormat="1" applyFont="1"/>
    <xf numFmtId="341" fontId="232" fillId="0" borderId="17" xfId="1" applyNumberFormat="1" applyFont="1" applyBorder="1"/>
    <xf numFmtId="9" fontId="232" fillId="0" borderId="17" xfId="1" applyNumberFormat="1" applyFont="1" applyBorder="1"/>
    <xf numFmtId="9" fontId="232" fillId="0" borderId="68" xfId="1" applyNumberFormat="1" applyFont="1" applyBorder="1"/>
    <xf numFmtId="314" fontId="234" fillId="37" borderId="94" xfId="1" applyNumberFormat="1" applyFont="1" applyFill="1" applyBorder="1"/>
    <xf numFmtId="341" fontId="234" fillId="0" borderId="93" xfId="1" applyNumberFormat="1" applyFont="1" applyBorder="1"/>
    <xf numFmtId="341" fontId="234" fillId="42" borderId="109" xfId="1" applyNumberFormat="1" applyFont="1" applyFill="1" applyBorder="1"/>
    <xf numFmtId="341" fontId="234" fillId="42" borderId="77" xfId="1" applyNumberFormat="1" applyFont="1" applyFill="1" applyBorder="1"/>
    <xf numFmtId="341" fontId="234" fillId="37" borderId="109" xfId="1" applyNumberFormat="1" applyFont="1" applyFill="1" applyBorder="1"/>
    <xf numFmtId="321" fontId="234" fillId="42" borderId="93" xfId="1" applyNumberFormat="1" applyFont="1" applyFill="1" applyBorder="1"/>
    <xf numFmtId="321" fontId="234" fillId="37" borderId="93" xfId="1" applyNumberFormat="1" applyFont="1" applyFill="1" applyBorder="1"/>
    <xf numFmtId="0" fontId="70" fillId="36" borderId="5" xfId="0" applyFont="1" applyFill="1" applyBorder="1"/>
    <xf numFmtId="3" fontId="232" fillId="36" borderId="109" xfId="0" applyNumberFormat="1" applyFont="1" applyFill="1" applyBorder="1" applyAlignment="1">
      <alignment horizontal="center"/>
    </xf>
    <xf numFmtId="3" fontId="232" fillId="36" borderId="94" xfId="0" applyNumberFormat="1" applyFont="1" applyFill="1" applyBorder="1" applyAlignment="1">
      <alignment horizontal="center"/>
    </xf>
    <xf numFmtId="43" fontId="232" fillId="36" borderId="109" xfId="1" applyFont="1" applyFill="1" applyBorder="1" applyAlignment="1">
      <alignment horizontal="center"/>
    </xf>
    <xf numFmtId="9" fontId="232" fillId="36" borderId="112" xfId="2" applyFont="1" applyFill="1" applyBorder="1" applyAlignment="1">
      <alignment horizontal="center"/>
    </xf>
    <xf numFmtId="0" fontId="295" fillId="0" borderId="0" xfId="0" applyFont="1"/>
    <xf numFmtId="166" fontId="40" fillId="0" borderId="65" xfId="2" applyNumberFormat="1" applyFont="1" applyFill="1" applyBorder="1" applyAlignment="1">
      <alignment horizontal="left" indent="1"/>
    </xf>
    <xf numFmtId="0" fontId="40" fillId="0" borderId="5" xfId="0" applyFont="1" applyBorder="1" applyAlignment="1">
      <alignment horizontal="left"/>
    </xf>
    <xf numFmtId="6" fontId="232" fillId="0" borderId="109" xfId="0" applyNumberFormat="1" applyFont="1" applyBorder="1"/>
    <xf numFmtId="317" fontId="71" fillId="37" borderId="0" xfId="0" applyNumberFormat="1" applyFont="1" applyFill="1" applyAlignment="1">
      <alignment horizontal="right"/>
    </xf>
    <xf numFmtId="317" fontId="71" fillId="37" borderId="81" xfId="0" applyNumberFormat="1" applyFont="1" applyFill="1" applyBorder="1" applyAlignment="1">
      <alignment horizontal="right"/>
    </xf>
    <xf numFmtId="341" fontId="211" fillId="29" borderId="76" xfId="0" applyNumberFormat="1" applyFont="1" applyFill="1" applyBorder="1"/>
    <xf numFmtId="193" fontId="226" fillId="0" borderId="17" xfId="1" applyNumberFormat="1" applyFont="1" applyBorder="1"/>
    <xf numFmtId="3" fontId="220" fillId="0" borderId="17" xfId="0" applyNumberFormat="1" applyFont="1" applyBorder="1"/>
    <xf numFmtId="313" fontId="71" fillId="29" borderId="0" xfId="0" applyNumberFormat="1" applyFont="1" applyFill="1"/>
    <xf numFmtId="5" fontId="227" fillId="29" borderId="86" xfId="0" applyNumberFormat="1" applyFont="1" applyFill="1" applyBorder="1"/>
    <xf numFmtId="9" fontId="226" fillId="37" borderId="0" xfId="0" applyNumberFormat="1" applyFont="1" applyFill="1" applyAlignment="1">
      <alignment horizontal="right"/>
    </xf>
    <xf numFmtId="314" fontId="26" fillId="37" borderId="0" xfId="0" applyNumberFormat="1" applyFont="1" applyFill="1" applyAlignment="1">
      <alignment horizontal="right"/>
    </xf>
    <xf numFmtId="314" fontId="26" fillId="37" borderId="81" xfId="0" applyNumberFormat="1" applyFont="1" applyFill="1" applyBorder="1" applyAlignment="1">
      <alignment horizontal="right"/>
    </xf>
    <xf numFmtId="313" fontId="211" fillId="42" borderId="94" xfId="0" applyNumberFormat="1" applyFont="1" applyFill="1" applyBorder="1" applyAlignment="1">
      <alignment horizontal="centerContinuous"/>
    </xf>
    <xf numFmtId="0" fontId="233" fillId="42" borderId="78" xfId="0" applyFont="1" applyFill="1" applyBorder="1"/>
    <xf numFmtId="0" fontId="233" fillId="42" borderId="7" xfId="0" applyFont="1" applyFill="1" applyBorder="1"/>
    <xf numFmtId="9" fontId="233" fillId="0" borderId="0" xfId="0" applyNumberFormat="1" applyFont="1"/>
    <xf numFmtId="0" fontId="0" fillId="41" borderId="112" xfId="0" applyFill="1" applyBorder="1" applyAlignment="1">
      <alignment horizontal="centerContinuous"/>
    </xf>
    <xf numFmtId="0" fontId="22" fillId="41" borderId="8" xfId="0" applyFont="1" applyFill="1" applyBorder="1" applyAlignment="1">
      <alignment horizontal="right"/>
    </xf>
    <xf numFmtId="37" fontId="22" fillId="0" borderId="93" xfId="0" applyNumberFormat="1" applyFont="1" applyBorder="1"/>
    <xf numFmtId="37" fontId="22" fillId="0" borderId="8" xfId="0" applyNumberFormat="1" applyFont="1" applyBorder="1"/>
    <xf numFmtId="37" fontId="21" fillId="0" borderId="8" xfId="0" applyNumberFormat="1" applyFont="1" applyBorder="1"/>
    <xf numFmtId="37" fontId="22" fillId="42" borderId="112" xfId="0" applyNumberFormat="1" applyFont="1" applyFill="1" applyBorder="1"/>
    <xf numFmtId="37" fontId="21" fillId="37" borderId="68" xfId="0" applyNumberFormat="1" applyFont="1" applyFill="1" applyBorder="1"/>
    <xf numFmtId="37" fontId="71" fillId="37" borderId="8" xfId="0" applyNumberFormat="1" applyFont="1" applyFill="1" applyBorder="1"/>
    <xf numFmtId="37" fontId="100" fillId="37" borderId="163" xfId="0" applyNumberFormat="1" applyFont="1" applyFill="1" applyBorder="1"/>
    <xf numFmtId="37" fontId="21" fillId="0" borderId="155" xfId="0" applyNumberFormat="1" applyFont="1" applyBorder="1"/>
    <xf numFmtId="37" fontId="21" fillId="0" borderId="153" xfId="0" applyNumberFormat="1" applyFont="1" applyBorder="1"/>
    <xf numFmtId="37" fontId="21" fillId="0" borderId="67" xfId="0" applyNumberFormat="1" applyFont="1" applyBorder="1"/>
    <xf numFmtId="37" fontId="21" fillId="0" borderId="68" xfId="0" applyNumberFormat="1" applyFont="1" applyBorder="1"/>
    <xf numFmtId="37" fontId="21" fillId="0" borderId="8" xfId="1259" applyNumberFormat="1" applyFont="1" applyBorder="1"/>
    <xf numFmtId="37" fontId="22" fillId="37" borderId="112" xfId="0" applyNumberFormat="1" applyFont="1" applyFill="1" applyBorder="1"/>
    <xf numFmtId="166" fontId="71" fillId="0" borderId="8" xfId="0" applyNumberFormat="1" applyFont="1" applyBorder="1"/>
    <xf numFmtId="3" fontId="22" fillId="42" borderId="112" xfId="0" applyNumberFormat="1" applyFont="1" applyFill="1" applyBorder="1"/>
    <xf numFmtId="3" fontId="22" fillId="42" borderId="113" xfId="0" applyNumberFormat="1" applyFont="1" applyFill="1" applyBorder="1"/>
    <xf numFmtId="7" fontId="21" fillId="37" borderId="8" xfId="0" applyNumberFormat="1" applyFont="1" applyFill="1" applyBorder="1"/>
    <xf numFmtId="7" fontId="22" fillId="42" borderId="163" xfId="0" applyNumberFormat="1" applyFont="1" applyFill="1" applyBorder="1"/>
    <xf numFmtId="7" fontId="22" fillId="42" borderId="8" xfId="0" applyNumberFormat="1" applyFont="1" applyFill="1" applyBorder="1"/>
    <xf numFmtId="3" fontId="21" fillId="0" borderId="68" xfId="0" applyNumberFormat="1" applyFont="1" applyBorder="1"/>
    <xf numFmtId="3" fontId="21" fillId="0" borderId="79" xfId="0" applyNumberFormat="1" applyFont="1" applyBorder="1"/>
    <xf numFmtId="193" fontId="26" fillId="0" borderId="93" xfId="1" applyNumberFormat="1" applyFont="1" applyFill="1" applyBorder="1"/>
    <xf numFmtId="0" fontId="21" fillId="41" borderId="68" xfId="0" applyFont="1" applyFill="1" applyBorder="1"/>
    <xf numFmtId="0" fontId="22" fillId="41" borderId="79" xfId="0" applyFont="1" applyFill="1" applyBorder="1" applyAlignment="1">
      <alignment horizontal="right"/>
    </xf>
    <xf numFmtId="9" fontId="26" fillId="37" borderId="67" xfId="0" applyNumberFormat="1" applyFont="1" applyFill="1" applyBorder="1"/>
    <xf numFmtId="9" fontId="26" fillId="37" borderId="68" xfId="0" applyNumberFormat="1" applyFont="1" applyFill="1" applyBorder="1"/>
    <xf numFmtId="9" fontId="26" fillId="37" borderId="93" xfId="0" applyNumberFormat="1" applyFont="1" applyFill="1" applyBorder="1"/>
    <xf numFmtId="9" fontId="26" fillId="37" borderId="8" xfId="0" applyNumberFormat="1" applyFont="1" applyFill="1" applyBorder="1"/>
    <xf numFmtId="9" fontId="27" fillId="37" borderId="109" xfId="0" applyNumberFormat="1" applyFont="1" applyFill="1" applyBorder="1"/>
    <xf numFmtId="9" fontId="27" fillId="37" borderId="112" xfId="0" applyNumberFormat="1" applyFont="1" applyFill="1" applyBorder="1"/>
    <xf numFmtId="9" fontId="26" fillId="37" borderId="77" xfId="0" applyNumberFormat="1" applyFont="1" applyFill="1" applyBorder="1"/>
    <xf numFmtId="9" fontId="26" fillId="37" borderId="79" xfId="0" applyNumberFormat="1" applyFont="1" applyFill="1" applyBorder="1"/>
    <xf numFmtId="9" fontId="27" fillId="37" borderId="93" xfId="0" applyNumberFormat="1" applyFont="1" applyFill="1" applyBorder="1"/>
    <xf numFmtId="9" fontId="27" fillId="37" borderId="8" xfId="0" applyNumberFormat="1" applyFont="1" applyFill="1" applyBorder="1"/>
    <xf numFmtId="313" fontId="26" fillId="37" borderId="68" xfId="0" applyNumberFormat="1" applyFont="1" applyFill="1" applyBorder="1"/>
    <xf numFmtId="313" fontId="26" fillId="37" borderId="8" xfId="0" applyNumberFormat="1" applyFont="1" applyFill="1" applyBorder="1"/>
    <xf numFmtId="313" fontId="27" fillId="37" borderId="112" xfId="0" applyNumberFormat="1" applyFont="1" applyFill="1" applyBorder="1"/>
    <xf numFmtId="313" fontId="26" fillId="37" borderId="112" xfId="0" applyNumberFormat="1" applyFont="1" applyFill="1" applyBorder="1"/>
    <xf numFmtId="313" fontId="26" fillId="37" borderId="79" xfId="0" applyNumberFormat="1" applyFont="1" applyFill="1" applyBorder="1"/>
    <xf numFmtId="214" fontId="215" fillId="29" borderId="76" xfId="0" applyNumberFormat="1" applyFont="1" applyFill="1" applyBorder="1" applyAlignment="1">
      <alignment horizontal="right"/>
    </xf>
    <xf numFmtId="214" fontId="215" fillId="29" borderId="82" xfId="0" applyNumberFormat="1" applyFont="1" applyFill="1" applyBorder="1" applyAlignment="1">
      <alignment horizontal="right"/>
    </xf>
    <xf numFmtId="3" fontId="226" fillId="29" borderId="17" xfId="1216" applyNumberFormat="1" applyFont="1" applyFill="1" applyBorder="1"/>
    <xf numFmtId="193" fontId="226" fillId="0" borderId="94" xfId="1" applyNumberFormat="1" applyFont="1" applyFill="1" applyBorder="1"/>
    <xf numFmtId="0" fontId="26" fillId="29" borderId="0" xfId="1331" applyFont="1" applyFill="1"/>
    <xf numFmtId="15" fontId="26" fillId="29" borderId="0" xfId="0" quotePrefix="1" applyNumberFormat="1" applyFont="1" applyFill="1" applyAlignment="1">
      <alignment horizontal="right"/>
    </xf>
    <xf numFmtId="17" fontId="26" fillId="29" borderId="0" xfId="0" applyNumberFormat="1" applyFont="1" applyFill="1"/>
    <xf numFmtId="9" fontId="26" fillId="0" borderId="47" xfId="0" applyNumberFormat="1" applyFont="1" applyBorder="1"/>
    <xf numFmtId="0" fontId="291" fillId="30" borderId="0" xfId="0" applyFont="1" applyFill="1" applyProtection="1">
      <protection locked="0"/>
    </xf>
    <xf numFmtId="319" fontId="26" fillId="29" borderId="0" xfId="2" applyNumberFormat="1" applyFont="1" applyFill="1"/>
    <xf numFmtId="313" fontId="26" fillId="29" borderId="76" xfId="1" applyNumberFormat="1" applyFont="1" applyFill="1" applyBorder="1"/>
    <xf numFmtId="0" fontId="235" fillId="42" borderId="5" xfId="0" applyFont="1" applyFill="1" applyBorder="1"/>
    <xf numFmtId="313" fontId="208" fillId="0" borderId="0" xfId="0" applyNumberFormat="1" applyFont="1"/>
    <xf numFmtId="167" fontId="234" fillId="0" borderId="94" xfId="0" applyNumberFormat="1" applyFont="1" applyBorder="1"/>
    <xf numFmtId="321" fontId="234" fillId="0" borderId="94" xfId="0" applyNumberFormat="1" applyFont="1" applyBorder="1"/>
    <xf numFmtId="0" fontId="232" fillId="0" borderId="167" xfId="0" applyFont="1" applyBorder="1"/>
    <xf numFmtId="166" fontId="232" fillId="0" borderId="167" xfId="2" applyNumberFormat="1" applyFont="1" applyBorder="1"/>
    <xf numFmtId="166" fontId="234" fillId="37" borderId="164" xfId="2" applyNumberFormat="1" applyFont="1" applyFill="1" applyBorder="1"/>
    <xf numFmtId="0" fontId="232" fillId="41" borderId="170" xfId="0" applyFont="1" applyFill="1" applyBorder="1" applyAlignment="1">
      <alignment horizontal="center"/>
    </xf>
    <xf numFmtId="341" fontId="235" fillId="0" borderId="171" xfId="0" applyNumberFormat="1" applyFont="1" applyBorder="1"/>
    <xf numFmtId="341" fontId="40" fillId="0" borderId="170" xfId="0" applyNumberFormat="1" applyFont="1" applyBorder="1"/>
    <xf numFmtId="3" fontId="235" fillId="0" borderId="172" xfId="0" applyNumberFormat="1" applyFont="1" applyBorder="1"/>
    <xf numFmtId="341" fontId="235" fillId="0" borderId="172" xfId="1" applyNumberFormat="1" applyFont="1" applyBorder="1"/>
    <xf numFmtId="341" fontId="235" fillId="0" borderId="173" xfId="1" applyNumberFormat="1" applyFont="1" applyBorder="1"/>
    <xf numFmtId="341" fontId="239" fillId="37" borderId="169" xfId="1" applyNumberFormat="1" applyFont="1" applyFill="1" applyBorder="1"/>
    <xf numFmtId="0" fontId="232" fillId="0" borderId="172" xfId="0" applyFont="1" applyBorder="1"/>
    <xf numFmtId="166" fontId="232" fillId="0" borderId="172" xfId="2" applyNumberFormat="1" applyFont="1" applyBorder="1"/>
    <xf numFmtId="166" fontId="234" fillId="37" borderId="169" xfId="2" applyNumberFormat="1" applyFont="1" applyFill="1" applyBorder="1"/>
    <xf numFmtId="341" fontId="235" fillId="0" borderId="171" xfId="1" applyNumberFormat="1" applyFont="1" applyBorder="1"/>
    <xf numFmtId="0" fontId="232" fillId="41" borderId="169" xfId="0" applyFont="1" applyFill="1" applyBorder="1" applyAlignment="1">
      <alignment horizontal="center"/>
    </xf>
    <xf numFmtId="341" fontId="232" fillId="0" borderId="172" xfId="0" applyNumberFormat="1" applyFont="1" applyBorder="1"/>
    <xf numFmtId="341" fontId="232" fillId="0" borderId="169" xfId="0" applyNumberFormat="1" applyFont="1" applyBorder="1"/>
    <xf numFmtId="214" fontId="232" fillId="0" borderId="172" xfId="0" applyNumberFormat="1" applyFont="1" applyBorder="1"/>
    <xf numFmtId="341" fontId="234" fillId="0" borderId="169" xfId="0" applyNumberFormat="1" applyFont="1" applyBorder="1"/>
    <xf numFmtId="341" fontId="232" fillId="0" borderId="171" xfId="0" applyNumberFormat="1" applyFont="1" applyBorder="1"/>
    <xf numFmtId="314" fontId="232" fillId="0" borderId="172" xfId="0" applyNumberFormat="1" applyFont="1" applyBorder="1"/>
    <xf numFmtId="321" fontId="232" fillId="0" borderId="169" xfId="0" applyNumberFormat="1" applyFont="1" applyBorder="1"/>
    <xf numFmtId="0" fontId="232" fillId="41" borderId="166" xfId="0" applyFont="1" applyFill="1" applyBorder="1" applyAlignment="1">
      <alignment horizontal="center"/>
    </xf>
    <xf numFmtId="3" fontId="232" fillId="0" borderId="172" xfId="0" applyNumberFormat="1" applyFont="1" applyBorder="1"/>
    <xf numFmtId="3" fontId="232" fillId="0" borderId="167" xfId="0" applyNumberFormat="1" applyFont="1" applyBorder="1"/>
    <xf numFmtId="6" fontId="232" fillId="0" borderId="172" xfId="1" applyNumberFormat="1" applyFont="1" applyBorder="1"/>
    <xf numFmtId="193" fontId="232" fillId="0" borderId="167" xfId="1" applyNumberFormat="1" applyFont="1" applyBorder="1"/>
    <xf numFmtId="6" fontId="232" fillId="0" borderId="173" xfId="1" applyNumberFormat="1" applyFont="1" applyBorder="1"/>
    <xf numFmtId="193" fontId="232" fillId="0" borderId="168" xfId="1" applyNumberFormat="1" applyFont="1" applyBorder="1"/>
    <xf numFmtId="6" fontId="234" fillId="37" borderId="169" xfId="1" applyNumberFormat="1" applyFont="1" applyFill="1" applyBorder="1"/>
    <xf numFmtId="193" fontId="234" fillId="37" borderId="164" xfId="1" applyNumberFormat="1" applyFont="1" applyFill="1" applyBorder="1"/>
    <xf numFmtId="0" fontId="232" fillId="0" borderId="165" xfId="0" applyFont="1" applyBorder="1"/>
    <xf numFmtId="6" fontId="232" fillId="0" borderId="172" xfId="0" applyNumberFormat="1" applyFont="1" applyBorder="1"/>
    <xf numFmtId="6" fontId="232" fillId="0" borderId="169" xfId="0" applyNumberFormat="1" applyFont="1" applyBorder="1"/>
    <xf numFmtId="167" fontId="232" fillId="0" borderId="169" xfId="0" applyNumberFormat="1" applyFont="1" applyBorder="1"/>
    <xf numFmtId="0" fontId="17" fillId="41" borderId="5" xfId="0" applyFont="1" applyFill="1" applyBorder="1" applyAlignment="1">
      <alignment horizontal="center"/>
    </xf>
    <xf numFmtId="0" fontId="232" fillId="41" borderId="7" xfId="0" applyFont="1" applyFill="1" applyBorder="1" applyAlignment="1">
      <alignment horizontal="center"/>
    </xf>
    <xf numFmtId="3" fontId="232" fillId="0" borderId="65" xfId="0" applyNumberFormat="1" applyFont="1" applyBorder="1"/>
    <xf numFmtId="341" fontId="232" fillId="0" borderId="65" xfId="1" applyNumberFormat="1" applyFont="1" applyBorder="1"/>
    <xf numFmtId="341" fontId="234" fillId="37" borderId="5" xfId="1" applyNumberFormat="1" applyFont="1" applyFill="1" applyBorder="1"/>
    <xf numFmtId="166" fontId="232" fillId="0" borderId="65" xfId="2" applyNumberFormat="1" applyFont="1" applyBorder="1"/>
    <xf numFmtId="166" fontId="234" fillId="37" borderId="5" xfId="2" applyNumberFormat="1" applyFont="1" applyFill="1" applyBorder="1"/>
    <xf numFmtId="341" fontId="232" fillId="0" borderId="78" xfId="1" applyNumberFormat="1" applyFont="1" applyBorder="1"/>
    <xf numFmtId="0" fontId="17" fillId="0" borderId="0" xfId="0" applyFont="1"/>
    <xf numFmtId="0" fontId="232" fillId="0" borderId="164" xfId="0" applyFont="1" applyBorder="1"/>
    <xf numFmtId="341" fontId="235" fillId="0" borderId="169" xfId="1" applyNumberFormat="1" applyFont="1" applyBorder="1"/>
    <xf numFmtId="341" fontId="232" fillId="0" borderId="94" xfId="1" applyNumberFormat="1" applyFont="1" applyBorder="1"/>
    <xf numFmtId="341" fontId="17" fillId="37" borderId="7" xfId="0" applyNumberFormat="1" applyFont="1" applyFill="1" applyBorder="1"/>
    <xf numFmtId="341" fontId="17" fillId="37" borderId="76" xfId="0" applyNumberFormat="1" applyFont="1" applyFill="1" applyBorder="1"/>
    <xf numFmtId="3" fontId="17" fillId="37" borderId="166" xfId="0" applyNumberFormat="1" applyFont="1" applyFill="1" applyBorder="1"/>
    <xf numFmtId="341" fontId="235" fillId="42" borderId="169" xfId="0" applyNumberFormat="1" applyFont="1" applyFill="1" applyBorder="1"/>
    <xf numFmtId="37" fontId="40" fillId="42" borderId="109" xfId="0" applyNumberFormat="1" applyFont="1" applyFill="1" applyBorder="1"/>
    <xf numFmtId="6" fontId="17" fillId="42" borderId="94" xfId="0" applyNumberFormat="1" applyFont="1" applyFill="1" applyBorder="1"/>
    <xf numFmtId="6" fontId="17" fillId="42" borderId="169" xfId="0" applyNumberFormat="1" applyFont="1" applyFill="1" applyBorder="1"/>
    <xf numFmtId="341" fontId="17" fillId="42" borderId="94" xfId="0" applyNumberFormat="1" applyFont="1" applyFill="1" applyBorder="1"/>
    <xf numFmtId="9" fontId="17" fillId="42" borderId="94" xfId="0" applyNumberFormat="1" applyFont="1" applyFill="1" applyBorder="1"/>
    <xf numFmtId="3" fontId="17" fillId="42" borderId="164" xfId="0" applyNumberFormat="1" applyFont="1" applyFill="1" applyBorder="1"/>
    <xf numFmtId="341" fontId="17" fillId="42" borderId="5" xfId="0" applyNumberFormat="1" applyFont="1" applyFill="1" applyBorder="1"/>
    <xf numFmtId="6" fontId="17" fillId="42" borderId="76" xfId="0" applyNumberFormat="1" applyFont="1" applyFill="1" applyBorder="1"/>
    <xf numFmtId="6" fontId="17" fillId="42" borderId="170" xfId="0" applyNumberFormat="1" applyFont="1" applyFill="1" applyBorder="1"/>
    <xf numFmtId="341" fontId="17" fillId="42" borderId="76" xfId="0" applyNumberFormat="1" applyFont="1" applyFill="1" applyBorder="1"/>
    <xf numFmtId="9" fontId="17" fillId="42" borderId="76" xfId="0" applyNumberFormat="1" applyFont="1" applyFill="1" applyBorder="1"/>
    <xf numFmtId="3" fontId="17" fillId="42" borderId="166" xfId="0" applyNumberFormat="1" applyFont="1" applyFill="1" applyBorder="1"/>
    <xf numFmtId="341" fontId="235" fillId="42" borderId="170" xfId="0" applyNumberFormat="1" applyFont="1" applyFill="1" applyBorder="1"/>
    <xf numFmtId="341" fontId="17" fillId="42" borderId="7" xfId="0" applyNumberFormat="1" applyFont="1" applyFill="1" applyBorder="1"/>
    <xf numFmtId="0" fontId="17" fillId="41" borderId="112" xfId="0" applyFont="1" applyFill="1" applyBorder="1" applyAlignment="1">
      <alignment horizontal="center"/>
    </xf>
    <xf numFmtId="341" fontId="17" fillId="0" borderId="7" xfId="0" applyNumberFormat="1" applyFont="1" applyBorder="1"/>
    <xf numFmtId="166" fontId="232" fillId="0" borderId="112" xfId="2" applyNumberFormat="1" applyFont="1" applyBorder="1"/>
    <xf numFmtId="314" fontId="232" fillId="0" borderId="109" xfId="2" applyNumberFormat="1" applyFont="1" applyBorder="1"/>
    <xf numFmtId="314" fontId="232" fillId="0" borderId="94" xfId="2" applyNumberFormat="1" applyFont="1" applyBorder="1"/>
    <xf numFmtId="314" fontId="232" fillId="0" borderId="109" xfId="1" applyNumberFormat="1" applyFont="1" applyBorder="1"/>
    <xf numFmtId="314" fontId="232" fillId="0" borderId="112" xfId="2" applyNumberFormat="1" applyFont="1" applyBorder="1"/>
    <xf numFmtId="9" fontId="17" fillId="0" borderId="5" xfId="0" applyNumberFormat="1" applyFont="1" applyBorder="1" applyAlignment="1">
      <alignment horizontal="left" indent="1"/>
    </xf>
    <xf numFmtId="9" fontId="17" fillId="0" borderId="109" xfId="0" applyNumberFormat="1" applyFont="1" applyBorder="1"/>
    <xf numFmtId="314" fontId="232" fillId="0" borderId="169" xfId="0" applyNumberFormat="1" applyFont="1" applyBorder="1"/>
    <xf numFmtId="314" fontId="232" fillId="0" borderId="94" xfId="1" applyNumberFormat="1" applyFont="1" applyBorder="1"/>
    <xf numFmtId="341" fontId="234" fillId="0" borderId="5" xfId="1" applyNumberFormat="1" applyFont="1" applyBorder="1"/>
    <xf numFmtId="319" fontId="26" fillId="29" borderId="0" xfId="63" applyNumberFormat="1" applyFont="1" applyFill="1"/>
    <xf numFmtId="341" fontId="17" fillId="0" borderId="174" xfId="1" applyNumberFormat="1" applyFont="1" applyBorder="1"/>
    <xf numFmtId="0" fontId="17" fillId="41" borderId="67" xfId="0" applyFont="1" applyFill="1" applyBorder="1"/>
    <xf numFmtId="0" fontId="232" fillId="41" borderId="67" xfId="0" applyFont="1" applyFill="1" applyBorder="1" applyAlignment="1">
      <alignment horizontal="center"/>
    </xf>
    <xf numFmtId="0" fontId="232" fillId="41" borderId="32" xfId="0" applyFont="1" applyFill="1" applyBorder="1" applyAlignment="1">
      <alignment horizontal="center"/>
    </xf>
    <xf numFmtId="3" fontId="17" fillId="42" borderId="109" xfId="0" applyNumberFormat="1" applyFont="1" applyFill="1" applyBorder="1"/>
    <xf numFmtId="9" fontId="17" fillId="42" borderId="112" xfId="0" applyNumberFormat="1" applyFont="1" applyFill="1" applyBorder="1"/>
    <xf numFmtId="3" fontId="17" fillId="42" borderId="32" xfId="0" applyNumberFormat="1" applyFont="1" applyFill="1" applyBorder="1"/>
    <xf numFmtId="9" fontId="17" fillId="42" borderId="79" xfId="0" applyNumberFormat="1" applyFont="1" applyFill="1" applyBorder="1"/>
    <xf numFmtId="193" fontId="232" fillId="0" borderId="155" xfId="1" applyNumberFormat="1" applyFont="1" applyBorder="1"/>
    <xf numFmtId="193" fontId="234" fillId="37" borderId="109" xfId="1" applyNumberFormat="1" applyFont="1" applyFill="1" applyBorder="1"/>
    <xf numFmtId="193" fontId="232" fillId="0" borderId="67" xfId="1" applyNumberFormat="1" applyFont="1" applyBorder="1"/>
    <xf numFmtId="193" fontId="232" fillId="0" borderId="109" xfId="1" applyNumberFormat="1" applyFont="1" applyBorder="1"/>
    <xf numFmtId="9" fontId="232" fillId="0" borderId="112" xfId="1" applyNumberFormat="1" applyFont="1" applyBorder="1"/>
    <xf numFmtId="0" fontId="232" fillId="37" borderId="67" xfId="0" applyFont="1" applyFill="1" applyBorder="1" applyAlignment="1">
      <alignment horizontal="center"/>
    </xf>
    <xf numFmtId="0" fontId="232" fillId="37" borderId="32" xfId="0" applyFont="1" applyFill="1" applyBorder="1" applyAlignment="1">
      <alignment horizontal="center"/>
    </xf>
    <xf numFmtId="0" fontId="232" fillId="37" borderId="76" xfId="0" applyFont="1" applyFill="1" applyBorder="1" applyAlignment="1">
      <alignment horizontal="center"/>
    </xf>
    <xf numFmtId="0" fontId="232" fillId="37" borderId="112" xfId="0" applyFont="1" applyFill="1" applyBorder="1" applyAlignment="1">
      <alignment horizontal="center"/>
    </xf>
    <xf numFmtId="314" fontId="232" fillId="0" borderId="8" xfId="0" applyNumberFormat="1" applyFont="1" applyBorder="1"/>
    <xf numFmtId="314" fontId="232" fillId="0" borderId="112" xfId="0" applyNumberFormat="1" applyFont="1" applyBorder="1"/>
    <xf numFmtId="314" fontId="232" fillId="0" borderId="68" xfId="0" applyNumberFormat="1" applyFont="1" applyBorder="1"/>
    <xf numFmtId="0" fontId="17" fillId="41" borderId="32" xfId="0" applyFont="1" applyFill="1" applyBorder="1"/>
    <xf numFmtId="37" fontId="40" fillId="42" borderId="32" xfId="0" applyNumberFormat="1" applyFont="1" applyFill="1" applyBorder="1"/>
    <xf numFmtId="0" fontId="234" fillId="0" borderId="93" xfId="0" applyFont="1" applyBorder="1"/>
    <xf numFmtId="0" fontId="232" fillId="41" borderId="32" xfId="0" applyFont="1" applyFill="1" applyBorder="1"/>
    <xf numFmtId="0" fontId="293" fillId="0" borderId="93" xfId="0" applyFont="1" applyBorder="1"/>
    <xf numFmtId="0" fontId="232" fillId="29" borderId="93" xfId="0" applyFont="1" applyFill="1" applyBorder="1"/>
    <xf numFmtId="314" fontId="234" fillId="0" borderId="112" xfId="0" applyNumberFormat="1" applyFont="1" applyBorder="1"/>
    <xf numFmtId="341" fontId="232" fillId="0" borderId="67" xfId="0" applyNumberFormat="1" applyFont="1" applyBorder="1" applyAlignment="1">
      <alignment horizontal="left" indent="1"/>
    </xf>
    <xf numFmtId="6" fontId="232" fillId="0" borderId="17" xfId="1" applyNumberFormat="1" applyFont="1" applyBorder="1"/>
    <xf numFmtId="6" fontId="232" fillId="0" borderId="171" xfId="1" applyNumberFormat="1" applyFont="1" applyBorder="1"/>
    <xf numFmtId="193" fontId="232" fillId="0" borderId="165" xfId="1" applyNumberFormat="1" applyFont="1" applyBorder="1"/>
    <xf numFmtId="37" fontId="70" fillId="0" borderId="93" xfId="0" applyNumberFormat="1" applyFont="1" applyBorder="1"/>
    <xf numFmtId="0" fontId="17" fillId="41" borderId="170" xfId="0" applyFont="1" applyFill="1" applyBorder="1" applyAlignment="1">
      <alignment horizontal="center"/>
    </xf>
    <xf numFmtId="313" fontId="232" fillId="0" borderId="93" xfId="0" applyNumberFormat="1" applyFont="1" applyBorder="1"/>
    <xf numFmtId="341" fontId="232" fillId="0" borderId="170" xfId="0" applyNumberFormat="1" applyFont="1" applyBorder="1"/>
    <xf numFmtId="167" fontId="232" fillId="0" borderId="172" xfId="0" applyNumberFormat="1" applyFont="1" applyBorder="1"/>
    <xf numFmtId="321" fontId="232" fillId="0" borderId="172" xfId="0" applyNumberFormat="1" applyFont="1" applyBorder="1"/>
    <xf numFmtId="314" fontId="17" fillId="0" borderId="0" xfId="0" applyNumberFormat="1" applyFont="1"/>
    <xf numFmtId="37" fontId="40" fillId="29" borderId="32" xfId="0" applyNumberFormat="1" applyFont="1" applyFill="1" applyBorder="1"/>
    <xf numFmtId="6" fontId="17" fillId="29" borderId="76" xfId="0" applyNumberFormat="1" applyFont="1" applyFill="1" applyBorder="1"/>
    <xf numFmtId="6" fontId="17" fillId="29" borderId="170" xfId="0" applyNumberFormat="1" applyFont="1" applyFill="1" applyBorder="1"/>
    <xf numFmtId="341" fontId="17" fillId="29" borderId="76" xfId="0" applyNumberFormat="1" applyFont="1" applyFill="1" applyBorder="1"/>
    <xf numFmtId="9" fontId="17" fillId="29" borderId="76" xfId="0" applyNumberFormat="1" applyFont="1" applyFill="1" applyBorder="1"/>
    <xf numFmtId="3" fontId="17" fillId="29" borderId="166" xfId="0" applyNumberFormat="1" applyFont="1" applyFill="1" applyBorder="1"/>
    <xf numFmtId="9" fontId="17" fillId="29" borderId="79" xfId="0" applyNumberFormat="1" applyFont="1" applyFill="1" applyBorder="1"/>
    <xf numFmtId="341" fontId="17" fillId="29" borderId="7" xfId="0" applyNumberFormat="1" applyFont="1" applyFill="1" applyBorder="1"/>
    <xf numFmtId="3" fontId="17" fillId="29" borderId="32" xfId="0" applyNumberFormat="1" applyFont="1" applyFill="1" applyBorder="1"/>
    <xf numFmtId="341" fontId="17" fillId="0" borderId="76" xfId="0" applyNumberFormat="1" applyFont="1" applyBorder="1"/>
    <xf numFmtId="9" fontId="17" fillId="0" borderId="76" xfId="0" applyNumberFormat="1" applyFont="1" applyBorder="1"/>
    <xf numFmtId="9" fontId="17" fillId="0" borderId="79" xfId="0" applyNumberFormat="1" applyFont="1" applyBorder="1"/>
    <xf numFmtId="3" fontId="17" fillId="0" borderId="32" xfId="0" applyNumberFormat="1" applyFont="1" applyBorder="1"/>
    <xf numFmtId="6" fontId="17" fillId="37" borderId="76" xfId="0" applyNumberFormat="1" applyFont="1" applyFill="1" applyBorder="1"/>
    <xf numFmtId="6" fontId="17" fillId="37" borderId="170" xfId="0" applyNumberFormat="1" applyFont="1" applyFill="1" applyBorder="1"/>
    <xf numFmtId="9" fontId="17" fillId="37" borderId="76" xfId="0" applyNumberFormat="1" applyFont="1" applyFill="1" applyBorder="1"/>
    <xf numFmtId="341" fontId="235" fillId="37" borderId="170" xfId="0" applyNumberFormat="1" applyFont="1" applyFill="1" applyBorder="1"/>
    <xf numFmtId="9" fontId="17" fillId="37" borderId="79" xfId="0" applyNumberFormat="1" applyFont="1" applyFill="1" applyBorder="1"/>
    <xf numFmtId="3" fontId="17" fillId="37" borderId="32" xfId="0" applyNumberFormat="1" applyFont="1" applyFill="1" applyBorder="1"/>
    <xf numFmtId="37" fontId="40" fillId="0" borderId="32" xfId="0" applyNumberFormat="1" applyFont="1" applyBorder="1"/>
    <xf numFmtId="6" fontId="17" fillId="0" borderId="76" xfId="0" applyNumberFormat="1" applyFont="1" applyBorder="1"/>
    <xf numFmtId="6" fontId="17" fillId="0" borderId="170" xfId="0" applyNumberFormat="1" applyFont="1" applyBorder="1"/>
    <xf numFmtId="3" fontId="17" fillId="0" borderId="166" xfId="0" applyNumberFormat="1" applyFont="1" applyBorder="1"/>
    <xf numFmtId="341" fontId="40" fillId="29" borderId="170" xfId="0" applyNumberFormat="1" applyFont="1" applyFill="1" applyBorder="1"/>
    <xf numFmtId="37" fontId="40" fillId="29" borderId="67" xfId="0" applyNumberFormat="1" applyFont="1" applyFill="1" applyBorder="1"/>
    <xf numFmtId="6" fontId="17" fillId="29" borderId="17" xfId="0" applyNumberFormat="1" applyFont="1" applyFill="1" applyBorder="1"/>
    <xf numFmtId="6" fontId="17" fillId="29" borderId="171" xfId="0" applyNumberFormat="1" applyFont="1" applyFill="1" applyBorder="1"/>
    <xf numFmtId="341" fontId="17" fillId="29" borderId="17" xfId="0" applyNumberFormat="1" applyFont="1" applyFill="1" applyBorder="1"/>
    <xf numFmtId="9" fontId="17" fillId="29" borderId="17" xfId="0" applyNumberFormat="1" applyFont="1" applyFill="1" applyBorder="1"/>
    <xf numFmtId="3" fontId="17" fillId="29" borderId="165" xfId="0" applyNumberFormat="1" applyFont="1" applyFill="1" applyBorder="1"/>
    <xf numFmtId="341" fontId="235" fillId="29" borderId="171" xfId="0" applyNumberFormat="1" applyFont="1" applyFill="1" applyBorder="1"/>
    <xf numFmtId="9" fontId="17" fillId="29" borderId="68" xfId="0" applyNumberFormat="1" applyFont="1" applyFill="1" applyBorder="1"/>
    <xf numFmtId="341" fontId="17" fillId="29" borderId="78" xfId="0" applyNumberFormat="1" applyFont="1" applyFill="1" applyBorder="1"/>
    <xf numFmtId="3" fontId="17" fillId="29" borderId="67" xfId="0" applyNumberFormat="1" applyFont="1" applyFill="1" applyBorder="1"/>
    <xf numFmtId="166" fontId="40" fillId="46" borderId="109" xfId="2" applyNumberFormat="1" applyFont="1" applyFill="1" applyBorder="1" applyAlignment="1">
      <alignment horizontal="left"/>
    </xf>
    <xf numFmtId="6" fontId="232" fillId="46" borderId="94" xfId="0" applyNumberFormat="1" applyFont="1" applyFill="1" applyBorder="1"/>
    <xf numFmtId="6" fontId="232" fillId="46" borderId="169" xfId="0" applyNumberFormat="1" applyFont="1" applyFill="1" applyBorder="1"/>
    <xf numFmtId="341" fontId="232" fillId="46" borderId="94" xfId="0" applyNumberFormat="1" applyFont="1" applyFill="1" applyBorder="1"/>
    <xf numFmtId="9" fontId="232" fillId="46" borderId="94" xfId="0" applyNumberFormat="1" applyFont="1" applyFill="1" applyBorder="1"/>
    <xf numFmtId="3" fontId="232" fillId="46" borderId="164" xfId="0" applyNumberFormat="1" applyFont="1" applyFill="1" applyBorder="1"/>
    <xf numFmtId="341" fontId="235" fillId="46" borderId="169" xfId="0" applyNumberFormat="1" applyFont="1" applyFill="1" applyBorder="1"/>
    <xf numFmtId="341" fontId="232" fillId="46" borderId="5" xfId="0" applyNumberFormat="1" applyFont="1" applyFill="1" applyBorder="1"/>
    <xf numFmtId="7" fontId="40" fillId="42" borderId="32" xfId="2" applyNumberFormat="1" applyFont="1" applyFill="1" applyBorder="1" applyAlignment="1">
      <alignment horizontal="left"/>
    </xf>
    <xf numFmtId="167" fontId="17" fillId="42" borderId="76" xfId="1330" applyNumberFormat="1" applyFont="1" applyFill="1" applyBorder="1"/>
    <xf numFmtId="167" fontId="17" fillId="42" borderId="170" xfId="1330" applyNumberFormat="1" applyFont="1" applyFill="1" applyBorder="1"/>
    <xf numFmtId="321" fontId="17" fillId="42" borderId="76" xfId="1330" applyNumberFormat="1" applyFont="1" applyFill="1" applyBorder="1"/>
    <xf numFmtId="9" fontId="17" fillId="42" borderId="76" xfId="1330" applyNumberFormat="1" applyFont="1" applyFill="1" applyBorder="1"/>
    <xf numFmtId="167" fontId="17" fillId="42" borderId="166" xfId="1330" applyNumberFormat="1" applyFont="1" applyFill="1" applyBorder="1"/>
    <xf numFmtId="167" fontId="235" fillId="42" borderId="170" xfId="1330" applyNumberFormat="1" applyFont="1" applyFill="1" applyBorder="1"/>
    <xf numFmtId="9" fontId="17" fillId="42" borderId="79" xfId="1330" applyNumberFormat="1" applyFont="1" applyFill="1" applyBorder="1"/>
    <xf numFmtId="167" fontId="17" fillId="42" borderId="7" xfId="1330" applyNumberFormat="1" applyFont="1" applyFill="1" applyBorder="1"/>
    <xf numFmtId="167" fontId="17" fillId="42" borderId="32" xfId="1330" applyNumberFormat="1" applyFont="1" applyFill="1" applyBorder="1"/>
    <xf numFmtId="0" fontId="17" fillId="0" borderId="67" xfId="0" applyFont="1" applyBorder="1"/>
    <xf numFmtId="6" fontId="17" fillId="0" borderId="17" xfId="0" applyNumberFormat="1" applyFont="1" applyBorder="1"/>
    <xf numFmtId="6" fontId="17" fillId="0" borderId="171" xfId="0" applyNumberFormat="1" applyFont="1" applyBorder="1"/>
    <xf numFmtId="341" fontId="17" fillId="0" borderId="17" xfId="0" applyNumberFormat="1" applyFont="1" applyBorder="1"/>
    <xf numFmtId="9" fontId="17" fillId="0" borderId="17" xfId="0" applyNumberFormat="1" applyFont="1" applyBorder="1"/>
    <xf numFmtId="3" fontId="17" fillId="0" borderId="165" xfId="0" applyNumberFormat="1" applyFont="1" applyBorder="1"/>
    <xf numFmtId="9" fontId="17" fillId="0" borderId="68" xfId="0" applyNumberFormat="1" applyFont="1" applyBorder="1"/>
    <xf numFmtId="3" fontId="17" fillId="0" borderId="67" xfId="0" applyNumberFormat="1" applyFont="1" applyBorder="1"/>
    <xf numFmtId="3" fontId="40" fillId="37" borderId="109" xfId="0" applyNumberFormat="1" applyFont="1" applyFill="1" applyBorder="1"/>
    <xf numFmtId="313" fontId="17" fillId="29" borderId="76" xfId="0" applyNumberFormat="1" applyFont="1" applyFill="1" applyBorder="1"/>
    <xf numFmtId="313" fontId="17" fillId="29" borderId="170" xfId="0" applyNumberFormat="1" applyFont="1" applyFill="1" applyBorder="1"/>
    <xf numFmtId="313" fontId="40" fillId="29" borderId="170" xfId="0" applyNumberFormat="1" applyFont="1" applyFill="1" applyBorder="1"/>
    <xf numFmtId="319" fontId="211" fillId="29" borderId="0" xfId="0" applyNumberFormat="1" applyFont="1" applyFill="1"/>
    <xf numFmtId="2" fontId="232" fillId="0" borderId="0" xfId="0" applyNumberFormat="1" applyFont="1"/>
    <xf numFmtId="179" fontId="232" fillId="0" borderId="0" xfId="0" applyNumberFormat="1" applyFont="1"/>
    <xf numFmtId="8" fontId="232" fillId="0" borderId="0" xfId="0" applyNumberFormat="1" applyFont="1"/>
    <xf numFmtId="314" fontId="21" fillId="37" borderId="81" xfId="0" applyNumberFormat="1" applyFont="1" applyFill="1" applyBorder="1"/>
    <xf numFmtId="341" fontId="16" fillId="0" borderId="78" xfId="0" applyNumberFormat="1" applyFont="1" applyBorder="1"/>
    <xf numFmtId="319" fontId="232" fillId="0" borderId="0" xfId="0" applyNumberFormat="1" applyFont="1"/>
    <xf numFmtId="341" fontId="16" fillId="0" borderId="7" xfId="0" applyNumberFormat="1" applyFont="1" applyBorder="1"/>
    <xf numFmtId="341" fontId="16" fillId="0" borderId="65" xfId="1" applyNumberFormat="1" applyFont="1" applyBorder="1"/>
    <xf numFmtId="341" fontId="16" fillId="0" borderId="78" xfId="1" applyNumberFormat="1" applyFont="1" applyBorder="1"/>
    <xf numFmtId="37" fontId="226" fillId="0" borderId="0" xfId="0" applyNumberFormat="1" applyFont="1"/>
    <xf numFmtId="204" fontId="27" fillId="29" borderId="81" xfId="0" applyNumberFormat="1" applyFont="1" applyFill="1" applyBorder="1"/>
    <xf numFmtId="313" fontId="27" fillId="29" borderId="0" xfId="0" applyNumberFormat="1" applyFont="1" applyFill="1"/>
    <xf numFmtId="0" fontId="232" fillId="41" borderId="164" xfId="0" applyFont="1" applyFill="1" applyBorder="1" applyAlignment="1">
      <alignment horizontal="center"/>
    </xf>
    <xf numFmtId="0" fontId="15" fillId="41" borderId="76" xfId="0" applyFont="1" applyFill="1" applyBorder="1" applyAlignment="1">
      <alignment horizontal="center"/>
    </xf>
    <xf numFmtId="0" fontId="232" fillId="41" borderId="79" xfId="0" applyFont="1" applyFill="1" applyBorder="1" applyAlignment="1">
      <alignment horizontal="center"/>
    </xf>
    <xf numFmtId="0" fontId="232" fillId="41" borderId="0" xfId="0" applyFont="1" applyFill="1" applyAlignment="1">
      <alignment horizontal="center"/>
    </xf>
    <xf numFmtId="9" fontId="232" fillId="0" borderId="94" xfId="1" applyNumberFormat="1" applyFont="1" applyBorder="1"/>
    <xf numFmtId="313" fontId="26" fillId="0" borderId="47" xfId="0" applyNumberFormat="1" applyFont="1" applyBorder="1"/>
    <xf numFmtId="204" fontId="220" fillId="42" borderId="0" xfId="0" applyNumberFormat="1" applyFont="1" applyFill="1"/>
    <xf numFmtId="0" fontId="14" fillId="41" borderId="76" xfId="0" applyFont="1" applyFill="1" applyBorder="1"/>
    <xf numFmtId="0" fontId="14" fillId="41" borderId="8" xfId="0" quotePrefix="1" applyFont="1" applyFill="1" applyBorder="1"/>
    <xf numFmtId="0" fontId="14" fillId="41" borderId="8" xfId="0" applyFont="1" applyFill="1" applyBorder="1"/>
    <xf numFmtId="0" fontId="14" fillId="41" borderId="94" xfId="0" applyFont="1" applyFill="1" applyBorder="1"/>
    <xf numFmtId="314" fontId="14" fillId="0" borderId="0" xfId="0" applyNumberFormat="1" applyFont="1" applyAlignment="1">
      <alignment horizontal="centerContinuous"/>
    </xf>
    <xf numFmtId="314" fontId="14" fillId="0" borderId="0" xfId="0" applyNumberFormat="1" applyFont="1"/>
    <xf numFmtId="314" fontId="14" fillId="41" borderId="8" xfId="0" quotePrefix="1" applyNumberFormat="1" applyFont="1" applyFill="1" applyBorder="1"/>
    <xf numFmtId="314" fontId="0" fillId="0" borderId="0" xfId="0" applyNumberFormat="1"/>
    <xf numFmtId="314" fontId="14" fillId="41" borderId="8" xfId="0" applyNumberFormat="1" applyFont="1" applyFill="1" applyBorder="1"/>
    <xf numFmtId="314" fontId="232" fillId="41" borderId="76" xfId="0" applyNumberFormat="1" applyFont="1" applyFill="1" applyBorder="1"/>
    <xf numFmtId="314" fontId="14" fillId="41" borderId="76" xfId="0" applyNumberFormat="1" applyFont="1" applyFill="1" applyBorder="1"/>
    <xf numFmtId="314" fontId="14" fillId="41" borderId="94" xfId="0" applyNumberFormat="1" applyFont="1" applyFill="1" applyBorder="1"/>
    <xf numFmtId="314" fontId="232" fillId="41" borderId="0" xfId="0" applyNumberFormat="1" applyFont="1" applyFill="1"/>
    <xf numFmtId="314" fontId="14" fillId="37" borderId="0" xfId="0" applyNumberFormat="1" applyFont="1" applyFill="1"/>
    <xf numFmtId="314" fontId="14" fillId="37" borderId="0" xfId="0" applyNumberFormat="1" applyFont="1" applyFill="1" applyAlignment="1">
      <alignment horizontal="centerContinuous"/>
    </xf>
    <xf numFmtId="322" fontId="262" fillId="42" borderId="81" xfId="0" applyNumberFormat="1" applyFont="1" applyFill="1" applyBorder="1"/>
    <xf numFmtId="341" fontId="14" fillId="0" borderId="0" xfId="0" applyNumberFormat="1" applyFont="1"/>
    <xf numFmtId="341" fontId="14" fillId="29" borderId="0" xfId="0" applyNumberFormat="1" applyFont="1" applyFill="1"/>
    <xf numFmtId="3" fontId="261" fillId="52" borderId="0" xfId="0" applyNumberFormat="1" applyFont="1" applyFill="1" applyAlignment="1">
      <alignment horizontal="center"/>
    </xf>
    <xf numFmtId="305" fontId="234" fillId="0" borderId="0" xfId="0" applyNumberFormat="1" applyFont="1"/>
    <xf numFmtId="6" fontId="234" fillId="0" borderId="94" xfId="0" applyNumberFormat="1" applyFont="1" applyBorder="1"/>
    <xf numFmtId="341" fontId="234" fillId="37" borderId="94" xfId="0" applyNumberFormat="1" applyFont="1" applyFill="1" applyBorder="1"/>
    <xf numFmtId="313" fontId="234" fillId="37" borderId="94" xfId="0" applyNumberFormat="1" applyFont="1" applyFill="1" applyBorder="1"/>
    <xf numFmtId="314" fontId="234" fillId="37" borderId="94" xfId="0" applyNumberFormat="1" applyFont="1" applyFill="1" applyBorder="1"/>
    <xf numFmtId="314" fontId="234" fillId="37" borderId="112" xfId="0" applyNumberFormat="1" applyFont="1" applyFill="1" applyBorder="1"/>
    <xf numFmtId="193" fontId="226" fillId="29" borderId="88" xfId="1" applyNumberFormat="1" applyFont="1" applyFill="1" applyBorder="1"/>
    <xf numFmtId="166" fontId="71" fillId="29" borderId="81" xfId="1216" applyNumberFormat="1" applyFont="1" applyFill="1" applyBorder="1"/>
    <xf numFmtId="3" fontId="261" fillId="0" borderId="81" xfId="0" applyNumberFormat="1" applyFont="1" applyBorder="1"/>
    <xf numFmtId="44" fontId="232" fillId="0" borderId="0" xfId="0" applyNumberFormat="1" applyFont="1"/>
    <xf numFmtId="44" fontId="234" fillId="0" borderId="0" xfId="0" applyNumberFormat="1" applyFont="1"/>
    <xf numFmtId="9" fontId="233" fillId="0" borderId="32" xfId="2" applyFont="1" applyBorder="1"/>
    <xf numFmtId="0" fontId="14" fillId="42" borderId="112" xfId="0" applyFont="1" applyFill="1" applyBorder="1" applyAlignment="1">
      <alignment horizontal="center"/>
    </xf>
    <xf numFmtId="0" fontId="233" fillId="0" borderId="5" xfId="0" applyFont="1" applyBorder="1"/>
    <xf numFmtId="0" fontId="236" fillId="0" borderId="65" xfId="0" applyFont="1" applyBorder="1"/>
    <xf numFmtId="313" fontId="233" fillId="0" borderId="0" xfId="0" applyNumberFormat="1" applyFont="1" applyAlignment="1">
      <alignment horizontal="center"/>
    </xf>
    <xf numFmtId="341" fontId="14" fillId="0" borderId="78" xfId="0" applyNumberFormat="1" applyFont="1" applyBorder="1"/>
    <xf numFmtId="341" fontId="14" fillId="0" borderId="7" xfId="0" applyNumberFormat="1" applyFont="1" applyBorder="1"/>
    <xf numFmtId="341" fontId="14" fillId="0" borderId="78" xfId="1" applyNumberFormat="1" applyFont="1" applyBorder="1"/>
    <xf numFmtId="341" fontId="14" fillId="0" borderId="65" xfId="1" applyNumberFormat="1" applyFont="1" applyBorder="1"/>
    <xf numFmtId="204" fontId="211" fillId="42" borderId="131" xfId="0" applyNumberFormat="1" applyFont="1" applyFill="1" applyBorder="1"/>
    <xf numFmtId="179" fontId="211" fillId="42" borderId="134" xfId="0" applyNumberFormat="1" applyFont="1" applyFill="1" applyBorder="1"/>
    <xf numFmtId="3" fontId="218" fillId="0" borderId="81" xfId="1216" applyNumberFormat="1" applyFont="1" applyFill="1" applyBorder="1"/>
    <xf numFmtId="3" fontId="218" fillId="0" borderId="97" xfId="1216" applyNumberFormat="1" applyFont="1" applyFill="1" applyBorder="1" applyAlignment="1">
      <alignment horizontal="right"/>
    </xf>
    <xf numFmtId="37" fontId="226" fillId="0" borderId="81" xfId="0" applyNumberFormat="1" applyFont="1" applyBorder="1"/>
    <xf numFmtId="313" fontId="211" fillId="42" borderId="175" xfId="0" applyNumberFormat="1" applyFont="1" applyFill="1" applyBorder="1"/>
    <xf numFmtId="313" fontId="223" fillId="29" borderId="0" xfId="63" applyNumberFormat="1" applyFont="1" applyFill="1"/>
    <xf numFmtId="319" fontId="27" fillId="29" borderId="88" xfId="0" applyNumberFormat="1" applyFont="1" applyFill="1" applyBorder="1"/>
    <xf numFmtId="0" fontId="232" fillId="29" borderId="17" xfId="0" applyFont="1" applyFill="1" applyBorder="1" applyAlignment="1">
      <alignment horizontal="center"/>
    </xf>
    <xf numFmtId="0" fontId="232" fillId="29" borderId="0" xfId="0" applyFont="1" applyFill="1" applyAlignment="1">
      <alignment horizontal="center"/>
    </xf>
    <xf numFmtId="5" fontId="211" fillId="42" borderId="0" xfId="0" applyNumberFormat="1" applyFont="1" applyFill="1" applyAlignment="1">
      <alignment horizontal="right"/>
    </xf>
    <xf numFmtId="9" fontId="235" fillId="0" borderId="0" xfId="1330" applyNumberFormat="1" applyFont="1" applyBorder="1"/>
    <xf numFmtId="313" fontId="18" fillId="0" borderId="0" xfId="1134" applyNumberFormat="1" applyFont="1"/>
    <xf numFmtId="313" fontId="218" fillId="42" borderId="0" xfId="0" applyNumberFormat="1" applyFont="1" applyFill="1"/>
    <xf numFmtId="214" fontId="218" fillId="42" borderId="0" xfId="0" applyNumberFormat="1" applyFont="1" applyFill="1"/>
    <xf numFmtId="341" fontId="13" fillId="0" borderId="65" xfId="1" applyNumberFormat="1" applyFont="1" applyBorder="1"/>
    <xf numFmtId="322" fontId="211" fillId="29" borderId="81" xfId="0" applyNumberFormat="1" applyFont="1" applyFill="1" applyBorder="1"/>
    <xf numFmtId="9" fontId="26" fillId="29" borderId="81" xfId="63" applyNumberFormat="1" applyFont="1" applyFill="1" applyBorder="1"/>
    <xf numFmtId="0" fontId="13" fillId="0" borderId="0" xfId="0" applyFont="1"/>
    <xf numFmtId="0" fontId="13" fillId="41" borderId="17" xfId="0" applyFont="1" applyFill="1" applyBorder="1" applyAlignment="1">
      <alignment horizontal="centerContinuous"/>
    </xf>
    <xf numFmtId="0" fontId="232" fillId="41" borderId="17" xfId="0" applyFont="1" applyFill="1" applyBorder="1" applyAlignment="1">
      <alignment horizontal="centerContinuous"/>
    </xf>
    <xf numFmtId="0" fontId="15" fillId="41" borderId="94" xfId="0" applyFont="1" applyFill="1" applyBorder="1" applyAlignment="1">
      <alignment horizontal="center"/>
    </xf>
    <xf numFmtId="0" fontId="232" fillId="41" borderId="112" xfId="0" applyFont="1" applyFill="1" applyBorder="1" applyAlignment="1">
      <alignment horizontal="centerContinuous" vertical="center"/>
    </xf>
    <xf numFmtId="0" fontId="17" fillId="41" borderId="169" xfId="0" applyFont="1" applyFill="1" applyBorder="1" applyAlignment="1">
      <alignment horizontal="centerContinuous" vertical="center"/>
    </xf>
    <xf numFmtId="0" fontId="232" fillId="41" borderId="94" xfId="0" applyFont="1" applyFill="1" applyBorder="1" applyAlignment="1">
      <alignment horizontal="centerContinuous" vertical="center"/>
    </xf>
    <xf numFmtId="193" fontId="232" fillId="0" borderId="0" xfId="0" applyNumberFormat="1" applyFont="1"/>
    <xf numFmtId="0" fontId="13" fillId="41" borderId="8" xfId="0" quotePrefix="1" applyFont="1" applyFill="1" applyBorder="1"/>
    <xf numFmtId="1" fontId="27" fillId="0" borderId="0" xfId="1" applyNumberFormat="1" applyFont="1" applyBorder="1"/>
    <xf numFmtId="1" fontId="26" fillId="0" borderId="0" xfId="1" applyNumberFormat="1" applyFont="1" applyBorder="1"/>
    <xf numFmtId="1" fontId="221" fillId="0" borderId="0" xfId="1" applyNumberFormat="1" applyFont="1" applyBorder="1"/>
    <xf numFmtId="1" fontId="230" fillId="0" borderId="0" xfId="1" applyNumberFormat="1" applyFont="1" applyBorder="1"/>
    <xf numFmtId="7" fontId="26" fillId="29" borderId="76" xfId="0" applyNumberFormat="1" applyFont="1" applyFill="1" applyBorder="1"/>
    <xf numFmtId="314" fontId="26" fillId="29" borderId="91" xfId="0" applyNumberFormat="1" applyFont="1" applyFill="1" applyBorder="1"/>
    <xf numFmtId="314" fontId="26" fillId="29" borderId="76" xfId="0" applyNumberFormat="1" applyFont="1" applyFill="1" applyBorder="1"/>
    <xf numFmtId="314" fontId="26" fillId="29" borderId="82" xfId="0" applyNumberFormat="1" applyFont="1" applyFill="1" applyBorder="1"/>
    <xf numFmtId="314" fontId="26" fillId="29" borderId="81" xfId="0" applyNumberFormat="1" applyFont="1" applyFill="1" applyBorder="1"/>
    <xf numFmtId="41" fontId="230" fillId="29" borderId="92" xfId="0" applyNumberFormat="1" applyFont="1" applyFill="1" applyBorder="1" applyAlignment="1">
      <alignment horizontal="right"/>
    </xf>
    <xf numFmtId="313" fontId="26" fillId="29" borderId="92" xfId="0" applyNumberFormat="1" applyFont="1" applyFill="1" applyBorder="1"/>
    <xf numFmtId="340" fontId="21" fillId="0" borderId="0" xfId="0" applyNumberFormat="1" applyFont="1"/>
    <xf numFmtId="340" fontId="21" fillId="0" borderId="92" xfId="0" applyNumberFormat="1" applyFont="1" applyBorder="1"/>
    <xf numFmtId="340" fontId="21" fillId="0" borderId="81" xfId="0" applyNumberFormat="1" applyFont="1" applyBorder="1"/>
    <xf numFmtId="340" fontId="21" fillId="29" borderId="92" xfId="0" applyNumberFormat="1" applyFont="1" applyFill="1" applyBorder="1"/>
    <xf numFmtId="319" fontId="223" fillId="29" borderId="0" xfId="63" applyNumberFormat="1" applyFont="1" applyFill="1"/>
    <xf numFmtId="0" fontId="232" fillId="46" borderId="94" xfId="0" applyFont="1" applyFill="1" applyBorder="1" applyAlignment="1">
      <alignment horizontal="center"/>
    </xf>
    <xf numFmtId="341" fontId="13" fillId="0" borderId="78" xfId="0" applyNumberFormat="1" applyFont="1" applyBorder="1"/>
    <xf numFmtId="341" fontId="13" fillId="0" borderId="7" xfId="0" applyNumberFormat="1" applyFont="1" applyBorder="1"/>
    <xf numFmtId="341" fontId="13" fillId="0" borderId="78" xfId="1" applyNumberFormat="1" applyFont="1" applyBorder="1"/>
    <xf numFmtId="3" fontId="218" fillId="42" borderId="98" xfId="1216" applyNumberFormat="1" applyFont="1" applyFill="1" applyBorder="1" applyAlignment="1">
      <alignment horizontal="right"/>
    </xf>
    <xf numFmtId="204" fontId="220" fillId="42" borderId="81" xfId="0" applyNumberFormat="1" applyFont="1" applyFill="1" applyBorder="1"/>
    <xf numFmtId="0" fontId="12" fillId="41" borderId="8" xfId="0" quotePrefix="1" applyFont="1" applyFill="1" applyBorder="1"/>
    <xf numFmtId="10" fontId="26" fillId="29" borderId="0" xfId="0" applyNumberFormat="1" applyFont="1" applyFill="1"/>
    <xf numFmtId="9" fontId="226" fillId="29" borderId="0" xfId="0" applyNumberFormat="1" applyFont="1" applyFill="1"/>
    <xf numFmtId="314" fontId="296" fillId="42" borderId="0" xfId="0" applyNumberFormat="1" applyFont="1" applyFill="1"/>
    <xf numFmtId="0" fontId="11" fillId="37" borderId="76" xfId="0" applyFont="1" applyFill="1" applyBorder="1" applyAlignment="1">
      <alignment horizontal="center"/>
    </xf>
    <xf numFmtId="313" fontId="234" fillId="0" borderId="0" xfId="0" applyNumberFormat="1" applyFont="1"/>
    <xf numFmtId="9" fontId="218" fillId="42" borderId="0" xfId="0" applyNumberFormat="1" applyFont="1" applyFill="1" applyAlignment="1">
      <alignment horizontal="right"/>
    </xf>
    <xf numFmtId="214" fontId="26" fillId="0" borderId="0" xfId="2" applyNumberFormat="1" applyFont="1"/>
    <xf numFmtId="214" fontId="223" fillId="0" borderId="0" xfId="2" applyNumberFormat="1" applyFont="1" applyFill="1" applyBorder="1"/>
    <xf numFmtId="0" fontId="10" fillId="41" borderId="94" xfId="0" applyFont="1" applyFill="1" applyBorder="1" applyAlignment="1">
      <alignment horizontal="center"/>
    </xf>
    <xf numFmtId="0" fontId="15" fillId="41" borderId="164" xfId="0" applyFont="1" applyFill="1" applyBorder="1" applyAlignment="1">
      <alignment horizontal="center"/>
    </xf>
    <xf numFmtId="9" fontId="297" fillId="46" borderId="0" xfId="1216" applyFont="1" applyFill="1" applyBorder="1" applyAlignment="1">
      <alignment horizontal="right"/>
    </xf>
    <xf numFmtId="5" fontId="226" fillId="29" borderId="133" xfId="0" applyNumberFormat="1" applyFont="1" applyFill="1" applyBorder="1"/>
    <xf numFmtId="5" fontId="26" fillId="29" borderId="0" xfId="63" applyNumberFormat="1" applyFont="1" applyFill="1"/>
    <xf numFmtId="3" fontId="231" fillId="29" borderId="0" xfId="1216" applyNumberFormat="1" applyFont="1" applyFill="1" applyBorder="1"/>
    <xf numFmtId="341" fontId="10" fillId="0" borderId="65" xfId="1" applyNumberFormat="1" applyFont="1" applyBorder="1"/>
    <xf numFmtId="341" fontId="10" fillId="0" borderId="7" xfId="0" applyNumberFormat="1" applyFont="1" applyBorder="1"/>
    <xf numFmtId="341" fontId="10" fillId="42" borderId="7" xfId="0" applyNumberFormat="1" applyFont="1" applyFill="1" applyBorder="1"/>
    <xf numFmtId="9" fontId="17" fillId="29" borderId="7" xfId="0" applyNumberFormat="1" applyFont="1" applyFill="1" applyBorder="1" applyAlignment="1">
      <alignment horizontal="left"/>
    </xf>
    <xf numFmtId="341" fontId="9" fillId="0" borderId="7" xfId="0" quotePrefix="1" applyNumberFormat="1" applyFont="1" applyBorder="1"/>
    <xf numFmtId="341" fontId="9" fillId="0" borderId="65" xfId="1" applyNumberFormat="1" applyFont="1" applyBorder="1"/>
    <xf numFmtId="9" fontId="21" fillId="41" borderId="17" xfId="0" applyNumberFormat="1" applyFont="1" applyFill="1" applyBorder="1"/>
    <xf numFmtId="9" fontId="26" fillId="29" borderId="47" xfId="2" applyFont="1" applyFill="1" applyBorder="1"/>
    <xf numFmtId="314" fontId="218" fillId="52" borderId="0" xfId="0" applyNumberFormat="1" applyFont="1" applyFill="1"/>
    <xf numFmtId="322" fontId="0" fillId="29" borderId="0" xfId="0" applyNumberFormat="1" applyFill="1"/>
    <xf numFmtId="214" fontId="251" fillId="42" borderId="81" xfId="0" applyNumberFormat="1" applyFont="1" applyFill="1" applyBorder="1" applyAlignment="1">
      <alignment horizontal="right"/>
    </xf>
    <xf numFmtId="9" fontId="221" fillId="29" borderId="0" xfId="0" applyNumberFormat="1" applyFont="1" applyFill="1" applyAlignment="1">
      <alignment horizontal="right"/>
    </xf>
    <xf numFmtId="313" fontId="221" fillId="29" borderId="0" xfId="0" applyNumberFormat="1" applyFont="1" applyFill="1" applyAlignment="1">
      <alignment horizontal="right"/>
    </xf>
    <xf numFmtId="0" fontId="8" fillId="41" borderId="17" xfId="0" applyFont="1" applyFill="1" applyBorder="1" applyAlignment="1">
      <alignment horizontal="centerContinuous"/>
    </xf>
    <xf numFmtId="179" fontId="220" fillId="42" borderId="0" xfId="0" applyNumberFormat="1" applyFont="1" applyFill="1"/>
    <xf numFmtId="17" fontId="22" fillId="41" borderId="84" xfId="0" applyNumberFormat="1" applyFont="1" applyFill="1" applyBorder="1" applyAlignment="1">
      <alignment horizontal="right"/>
    </xf>
    <xf numFmtId="0" fontId="27" fillId="0" borderId="92" xfId="0" applyFont="1" applyBorder="1"/>
    <xf numFmtId="0" fontId="27" fillId="29" borderId="93" xfId="0" applyFont="1" applyFill="1" applyBorder="1"/>
    <xf numFmtId="0" fontId="26" fillId="29" borderId="93" xfId="0" applyFont="1" applyFill="1" applyBorder="1"/>
    <xf numFmtId="0" fontId="14" fillId="41" borderId="0" xfId="0" applyFont="1" applyFill="1"/>
    <xf numFmtId="314" fontId="14" fillId="41" borderId="0" xfId="0" applyNumberFormat="1" applyFont="1" applyFill="1"/>
    <xf numFmtId="214" fontId="26" fillId="29" borderId="81" xfId="63" applyNumberFormat="1" applyFont="1" applyFill="1" applyBorder="1"/>
    <xf numFmtId="319" fontId="223" fillId="29" borderId="81" xfId="63" applyNumberFormat="1" applyFont="1" applyFill="1" applyBorder="1"/>
    <xf numFmtId="0" fontId="7" fillId="0" borderId="0" xfId="0" applyFont="1"/>
    <xf numFmtId="7" fontId="7" fillId="0" borderId="0" xfId="0" quotePrefix="1" applyNumberFormat="1" applyFont="1"/>
    <xf numFmtId="0" fontId="7" fillId="0" borderId="0" xfId="0" quotePrefix="1" applyFont="1"/>
    <xf numFmtId="341" fontId="22" fillId="42" borderId="86" xfId="0" applyNumberFormat="1" applyFont="1" applyFill="1" applyBorder="1"/>
    <xf numFmtId="41" fontId="229" fillId="19" borderId="65" xfId="2" applyNumberFormat="1" applyFont="1" applyFill="1" applyBorder="1" applyAlignment="1">
      <alignment horizontal="left" indent="1"/>
    </xf>
    <xf numFmtId="41" fontId="229" fillId="19" borderId="0" xfId="0" applyNumberFormat="1" applyFont="1" applyFill="1" applyAlignment="1">
      <alignment horizontal="right"/>
    </xf>
    <xf numFmtId="41" fontId="229" fillId="19" borderId="93" xfId="0" applyNumberFormat="1" applyFont="1" applyFill="1" applyBorder="1" applyAlignment="1">
      <alignment horizontal="right"/>
    </xf>
    <xf numFmtId="41" fontId="229" fillId="19" borderId="8" xfId="0" applyNumberFormat="1" applyFont="1" applyFill="1" applyBorder="1" applyAlignment="1">
      <alignment horizontal="right"/>
    </xf>
    <xf numFmtId="41" fontId="229" fillId="0" borderId="8" xfId="0" applyNumberFormat="1" applyFont="1" applyBorder="1"/>
    <xf numFmtId="41" fontId="229" fillId="0" borderId="0" xfId="0" applyNumberFormat="1" applyFont="1"/>
    <xf numFmtId="322" fontId="26" fillId="29" borderId="76" xfId="0" applyNumberFormat="1" applyFont="1" applyFill="1" applyBorder="1"/>
    <xf numFmtId="166" fontId="17" fillId="29" borderId="7" xfId="0" applyNumberFormat="1" applyFont="1" applyFill="1" applyBorder="1" applyAlignment="1">
      <alignment horizontal="left"/>
    </xf>
    <xf numFmtId="0" fontId="6" fillId="41" borderId="94" xfId="0" applyFont="1" applyFill="1" applyBorder="1" applyAlignment="1">
      <alignment horizontal="center"/>
    </xf>
    <xf numFmtId="345" fontId="40" fillId="0" borderId="0" xfId="1216" applyNumberFormat="1" applyFont="1" applyFill="1" applyBorder="1" applyAlignment="1">
      <alignment horizontal="right"/>
    </xf>
    <xf numFmtId="345" fontId="40" fillId="0" borderId="69" xfId="1216" applyNumberFormat="1" applyFont="1" applyFill="1" applyBorder="1" applyAlignment="1">
      <alignment horizontal="right"/>
    </xf>
    <xf numFmtId="345" fontId="40" fillId="0" borderId="123" xfId="1216" applyNumberFormat="1" applyFont="1" applyFill="1" applyBorder="1" applyAlignment="1">
      <alignment horizontal="right"/>
    </xf>
    <xf numFmtId="345" fontId="40" fillId="45" borderId="0" xfId="1216" applyNumberFormat="1" applyFont="1" applyFill="1" applyBorder="1" applyAlignment="1">
      <alignment horizontal="right"/>
    </xf>
    <xf numFmtId="345" fontId="40" fillId="45" borderId="69" xfId="1216" applyNumberFormat="1" applyFont="1" applyFill="1" applyBorder="1" applyAlignment="1">
      <alignment horizontal="right"/>
    </xf>
    <xf numFmtId="345" fontId="40" fillId="45" borderId="123" xfId="1216" applyNumberFormat="1" applyFont="1" applyFill="1" applyBorder="1" applyAlignment="1">
      <alignment horizontal="right"/>
    </xf>
    <xf numFmtId="3" fontId="21" fillId="0" borderId="0" xfId="2" applyNumberFormat="1" applyFont="1" applyFill="1" applyBorder="1" applyAlignment="1">
      <alignment horizontal="left"/>
    </xf>
    <xf numFmtId="3" fontId="211" fillId="29" borderId="0" xfId="1216" applyNumberFormat="1" applyFont="1" applyFill="1" applyBorder="1"/>
    <xf numFmtId="3" fontId="211" fillId="0" borderId="81" xfId="1216" applyNumberFormat="1" applyFont="1" applyFill="1" applyBorder="1"/>
    <xf numFmtId="3" fontId="211" fillId="0" borderId="0" xfId="1216" applyNumberFormat="1" applyFont="1" applyFill="1" applyBorder="1"/>
    <xf numFmtId="3" fontId="210" fillId="0" borderId="81" xfId="1216" applyNumberFormat="1" applyFont="1" applyFill="1" applyBorder="1"/>
    <xf numFmtId="3" fontId="210" fillId="0" borderId="0" xfId="1216" applyNumberFormat="1" applyFont="1" applyFill="1" applyBorder="1"/>
    <xf numFmtId="3" fontId="211" fillId="0" borderId="92" xfId="1216" applyNumberFormat="1" applyFont="1" applyFill="1" applyBorder="1"/>
    <xf numFmtId="3" fontId="210" fillId="29" borderId="81" xfId="1216" applyNumberFormat="1" applyFont="1" applyFill="1" applyBorder="1"/>
    <xf numFmtId="3" fontId="210" fillId="29" borderId="0" xfId="1216" applyNumberFormat="1" applyFont="1" applyFill="1" applyBorder="1"/>
    <xf numFmtId="3" fontId="226" fillId="29" borderId="88" xfId="1216" applyNumberFormat="1" applyFont="1" applyFill="1" applyBorder="1"/>
    <xf numFmtId="3" fontId="218" fillId="42" borderId="97" xfId="1216" applyNumberFormat="1" applyFont="1" applyFill="1" applyBorder="1" applyAlignment="1">
      <alignment horizontal="right"/>
    </xf>
    <xf numFmtId="3" fontId="231" fillId="29" borderId="82" xfId="1216" applyNumberFormat="1" applyFont="1" applyFill="1" applyBorder="1"/>
    <xf numFmtId="0" fontId="232" fillId="42" borderId="112" xfId="0" applyFont="1" applyFill="1" applyBorder="1" applyAlignment="1">
      <alignment horizontal="centerContinuous"/>
    </xf>
    <xf numFmtId="166" fontId="211" fillId="29" borderId="82" xfId="0" applyNumberFormat="1" applyFont="1" applyFill="1" applyBorder="1"/>
    <xf numFmtId="0" fontId="4" fillId="41" borderId="8" xfId="0" quotePrefix="1" applyFont="1" applyFill="1" applyBorder="1"/>
    <xf numFmtId="166" fontId="232" fillId="0" borderId="0" xfId="0" applyNumberFormat="1" applyFont="1"/>
    <xf numFmtId="0" fontId="4" fillId="46" borderId="94" xfId="0" applyFont="1" applyFill="1" applyBorder="1" applyAlignment="1">
      <alignment horizontal="center"/>
    </xf>
    <xf numFmtId="341" fontId="4" fillId="0" borderId="78" xfId="0" applyNumberFormat="1" applyFont="1" applyBorder="1"/>
    <xf numFmtId="341" fontId="4" fillId="0" borderId="65" xfId="1" applyNumberFormat="1" applyFont="1" applyBorder="1"/>
    <xf numFmtId="341" fontId="4" fillId="0" borderId="7" xfId="0" applyNumberFormat="1" applyFont="1" applyBorder="1"/>
    <xf numFmtId="341" fontId="4" fillId="0" borderId="7" xfId="0" quotePrefix="1" applyNumberFormat="1" applyFont="1" applyBorder="1"/>
    <xf numFmtId="0" fontId="4" fillId="42" borderId="112" xfId="0" applyFont="1" applyFill="1" applyBorder="1" applyAlignment="1">
      <alignment horizontal="center"/>
    </xf>
    <xf numFmtId="9" fontId="233" fillId="0" borderId="0" xfId="2" applyFont="1"/>
    <xf numFmtId="14" fontId="26" fillId="0" borderId="0" xfId="0" applyNumberFormat="1" applyFont="1"/>
    <xf numFmtId="14" fontId="26" fillId="0" borderId="1" xfId="0" applyNumberFormat="1" applyFont="1" applyBorder="1"/>
    <xf numFmtId="2" fontId="22" fillId="0" borderId="94" xfId="2" applyNumberFormat="1" applyFont="1" applyFill="1" applyBorder="1" applyAlignment="1">
      <alignment horizontal="left"/>
    </xf>
    <xf numFmtId="2" fontId="220" fillId="0" borderId="94" xfId="0" applyNumberFormat="1" applyFont="1" applyBorder="1"/>
    <xf numFmtId="2" fontId="220" fillId="0" borderId="101" xfId="0" applyNumberFormat="1" applyFont="1" applyBorder="1"/>
    <xf numFmtId="8" fontId="220" fillId="0" borderId="89" xfId="0" applyNumberFormat="1" applyFont="1" applyBorder="1"/>
    <xf numFmtId="8" fontId="220" fillId="0" borderId="94" xfId="0" applyNumberFormat="1" applyFont="1" applyBorder="1"/>
    <xf numFmtId="8" fontId="220" fillId="0" borderId="94" xfId="1216" applyNumberFormat="1" applyFont="1" applyFill="1" applyBorder="1"/>
    <xf numFmtId="8" fontId="220" fillId="0" borderId="89" xfId="1216" applyNumberFormat="1" applyFont="1" applyFill="1" applyBorder="1"/>
    <xf numFmtId="8" fontId="279" fillId="0" borderId="94" xfId="1216" applyNumberFormat="1" applyFont="1" applyFill="1" applyBorder="1"/>
    <xf numFmtId="8" fontId="279" fillId="0" borderId="89" xfId="1216" applyNumberFormat="1" applyFont="1" applyFill="1" applyBorder="1"/>
    <xf numFmtId="8" fontId="220" fillId="29" borderId="89" xfId="1216" applyNumberFormat="1" applyFont="1" applyFill="1" applyBorder="1"/>
    <xf numFmtId="8" fontId="220" fillId="42" borderId="94" xfId="1216" applyNumberFormat="1" applyFont="1" applyFill="1" applyBorder="1"/>
    <xf numFmtId="8" fontId="220" fillId="42" borderId="89" xfId="1216" applyNumberFormat="1" applyFont="1" applyFill="1" applyBorder="1"/>
    <xf numFmtId="2" fontId="279" fillId="29" borderId="0" xfId="1216" applyNumberFormat="1" applyFont="1" applyFill="1" applyBorder="1"/>
    <xf numFmtId="321" fontId="22" fillId="0" borderId="77" xfId="0" applyNumberFormat="1" applyFont="1" applyBorder="1"/>
    <xf numFmtId="321" fontId="22" fillId="0" borderId="76" xfId="0" applyNumberFormat="1" applyFont="1" applyBorder="1"/>
    <xf numFmtId="321" fontId="22" fillId="0" borderId="79" xfId="0" applyNumberFormat="1" applyFont="1" applyBorder="1"/>
    <xf numFmtId="2" fontId="27" fillId="29" borderId="0" xfId="0" applyNumberFormat="1" applyFont="1" applyFill="1"/>
    <xf numFmtId="2" fontId="27" fillId="0" borderId="0" xfId="0" applyNumberFormat="1" applyFont="1"/>
    <xf numFmtId="43" fontId="26" fillId="29" borderId="0" xfId="0" applyNumberFormat="1" applyFont="1" applyFill="1"/>
    <xf numFmtId="179" fontId="27" fillId="29" borderId="0" xfId="0" applyNumberFormat="1" applyFont="1" applyFill="1"/>
    <xf numFmtId="179" fontId="71" fillId="37" borderId="135" xfId="0" applyNumberFormat="1" applyFont="1" applyFill="1" applyBorder="1"/>
    <xf numFmtId="204" fontId="211" fillId="42" borderId="92" xfId="0" applyNumberFormat="1" applyFont="1" applyFill="1" applyBorder="1"/>
    <xf numFmtId="179" fontId="220" fillId="42" borderId="135" xfId="0" applyNumberFormat="1" applyFont="1" applyFill="1" applyBorder="1"/>
    <xf numFmtId="0" fontId="4" fillId="41" borderId="17" xfId="0" applyFont="1" applyFill="1" applyBorder="1" applyAlignment="1">
      <alignment horizontal="centerContinuous"/>
    </xf>
    <xf numFmtId="340" fontId="211" fillId="0" borderId="92" xfId="1" applyNumberFormat="1" applyFont="1" applyFill="1" applyBorder="1"/>
    <xf numFmtId="314" fontId="27" fillId="37" borderId="94" xfId="0" applyNumberFormat="1" applyFont="1" applyFill="1" applyBorder="1"/>
    <xf numFmtId="314" fontId="27" fillId="37" borderId="89" xfId="0" applyNumberFormat="1" applyFont="1" applyFill="1" applyBorder="1"/>
    <xf numFmtId="314" fontId="220" fillId="37" borderId="89" xfId="0" applyNumberFormat="1" applyFont="1" applyFill="1" applyBorder="1"/>
    <xf numFmtId="314" fontId="220" fillId="37" borderId="94" xfId="0" applyNumberFormat="1" applyFont="1" applyFill="1" applyBorder="1"/>
    <xf numFmtId="314" fontId="220" fillId="42" borderId="89" xfId="0" applyNumberFormat="1" applyFont="1" applyFill="1" applyBorder="1"/>
    <xf numFmtId="314" fontId="220" fillId="42" borderId="94" xfId="0" applyNumberFormat="1" applyFont="1" applyFill="1" applyBorder="1"/>
    <xf numFmtId="314" fontId="220" fillId="46" borderId="94" xfId="0" applyNumberFormat="1" applyFont="1" applyFill="1" applyBorder="1"/>
    <xf numFmtId="314" fontId="27" fillId="37" borderId="94" xfId="0" applyNumberFormat="1" applyFont="1" applyFill="1" applyBorder="1" applyAlignment="1">
      <alignment horizontal="right"/>
    </xf>
    <xf numFmtId="166" fontId="211" fillId="42" borderId="90" xfId="2" applyNumberFormat="1" applyFont="1" applyFill="1" applyBorder="1"/>
    <xf numFmtId="166" fontId="211" fillId="42" borderId="92" xfId="2" applyNumberFormat="1" applyFont="1" applyFill="1" applyBorder="1"/>
    <xf numFmtId="9" fontId="297" fillId="46" borderId="175" xfId="1216" applyFont="1" applyFill="1" applyBorder="1" applyAlignment="1">
      <alignment horizontal="right"/>
    </xf>
    <xf numFmtId="214" fontId="21" fillId="29" borderId="0" xfId="1" applyNumberFormat="1" applyFont="1" applyFill="1" applyBorder="1"/>
    <xf numFmtId="313" fontId="21" fillId="29" borderId="81" xfId="1" applyNumberFormat="1" applyFont="1" applyFill="1" applyBorder="1"/>
    <xf numFmtId="341" fontId="3" fillId="0" borderId="7" xfId="0" applyNumberFormat="1" applyFont="1" applyBorder="1"/>
    <xf numFmtId="341" fontId="3" fillId="0" borderId="7" xfId="0" quotePrefix="1" applyNumberFormat="1" applyFont="1" applyBorder="1"/>
    <xf numFmtId="341" fontId="227" fillId="34" borderId="109" xfId="0" applyNumberFormat="1" applyFont="1" applyFill="1" applyBorder="1"/>
    <xf numFmtId="341" fontId="227" fillId="34" borderId="94" xfId="0" applyNumberFormat="1" applyFont="1" applyFill="1" applyBorder="1"/>
    <xf numFmtId="341" fontId="229" fillId="34" borderId="0" xfId="0" applyNumberFormat="1" applyFont="1" applyFill="1" applyAlignment="1">
      <alignment horizontal="right"/>
    </xf>
    <xf numFmtId="341" fontId="227" fillId="34" borderId="17" xfId="0" applyNumberFormat="1" applyFont="1" applyFill="1" applyBorder="1"/>
    <xf numFmtId="341" fontId="229" fillId="0" borderId="68" xfId="0" applyNumberFormat="1" applyFont="1" applyBorder="1"/>
    <xf numFmtId="341" fontId="227" fillId="34" borderId="68" xfId="0" applyNumberFormat="1" applyFont="1" applyFill="1" applyBorder="1"/>
    <xf numFmtId="341" fontId="298" fillId="0" borderId="8" xfId="0" applyNumberFormat="1" applyFont="1" applyBorder="1"/>
    <xf numFmtId="341" fontId="211" fillId="42" borderId="93" xfId="0" applyNumberFormat="1" applyFont="1" applyFill="1" applyBorder="1"/>
    <xf numFmtId="341" fontId="211" fillId="52" borderId="93" xfId="0" applyNumberFormat="1" applyFont="1" applyFill="1" applyBorder="1"/>
    <xf numFmtId="341" fontId="211" fillId="52" borderId="0" xfId="0" applyNumberFormat="1" applyFont="1" applyFill="1"/>
    <xf numFmtId="341" fontId="211" fillId="52" borderId="8" xfId="0" applyNumberFormat="1" applyFont="1" applyFill="1" applyBorder="1"/>
    <xf numFmtId="341" fontId="21" fillId="0" borderId="65" xfId="2" applyNumberFormat="1" applyFont="1" applyFill="1" applyBorder="1" applyAlignment="1">
      <alignment horizontal="left" indent="1"/>
    </xf>
    <xf numFmtId="341" fontId="298" fillId="34" borderId="0" xfId="0" applyNumberFormat="1" applyFont="1" applyFill="1"/>
    <xf numFmtId="341" fontId="26" fillId="0" borderId="65" xfId="0" applyNumberFormat="1" applyFont="1" applyBorder="1" applyAlignment="1">
      <alignment horizontal="left"/>
    </xf>
    <xf numFmtId="341" fontId="27" fillId="0" borderId="8" xfId="0" applyNumberFormat="1" applyFont="1" applyBorder="1"/>
    <xf numFmtId="341" fontId="27" fillId="0" borderId="93" xfId="0" applyNumberFormat="1" applyFont="1" applyBorder="1"/>
    <xf numFmtId="341" fontId="211" fillId="0" borderId="0" xfId="1" applyNumberFormat="1" applyFont="1" applyBorder="1"/>
    <xf numFmtId="341" fontId="211" fillId="0" borderId="0" xfId="1" applyNumberFormat="1" applyFont="1" applyFill="1" applyBorder="1"/>
    <xf numFmtId="341" fontId="21" fillId="0" borderId="0" xfId="1" applyNumberFormat="1" applyFont="1" applyBorder="1"/>
    <xf numFmtId="341" fontId="298" fillId="34" borderId="93" xfId="0" applyNumberFormat="1" applyFont="1" applyFill="1" applyBorder="1"/>
    <xf numFmtId="313" fontId="21" fillId="0" borderId="81" xfId="1" applyNumberFormat="1" applyFont="1" applyBorder="1" applyAlignment="1">
      <alignment vertical="top"/>
    </xf>
    <xf numFmtId="313" fontId="21" fillId="0" borderId="0" xfId="1" applyNumberFormat="1" applyFont="1" applyBorder="1" applyAlignment="1">
      <alignment vertical="top"/>
    </xf>
    <xf numFmtId="44" fontId="26" fillId="29" borderId="0" xfId="1330" applyFont="1" applyFill="1"/>
    <xf numFmtId="341" fontId="211" fillId="0" borderId="88" xfId="0" applyNumberFormat="1" applyFont="1" applyBorder="1"/>
    <xf numFmtId="341" fontId="211" fillId="0" borderId="17" xfId="1216" applyNumberFormat="1" applyFont="1" applyFill="1" applyBorder="1"/>
    <xf numFmtId="9" fontId="234" fillId="0" borderId="8" xfId="2" applyFont="1" applyFill="1" applyBorder="1"/>
    <xf numFmtId="9" fontId="232" fillId="0" borderId="79" xfId="2" applyFont="1" applyFill="1" applyBorder="1"/>
    <xf numFmtId="9" fontId="232" fillId="0" borderId="8" xfId="2" applyFont="1" applyFill="1" applyBorder="1"/>
    <xf numFmtId="9" fontId="232" fillId="53" borderId="112" xfId="2" applyFont="1" applyFill="1" applyBorder="1"/>
    <xf numFmtId="9" fontId="232" fillId="0" borderId="139" xfId="2" applyFont="1" applyFill="1" applyBorder="1"/>
    <xf numFmtId="9" fontId="234" fillId="0" borderId="112" xfId="2" applyFont="1" applyFill="1" applyBorder="1"/>
    <xf numFmtId="313" fontId="232" fillId="0" borderId="8" xfId="2" applyNumberFormat="1" applyFont="1" applyFill="1" applyBorder="1"/>
    <xf numFmtId="313" fontId="234" fillId="0" borderId="112" xfId="2" applyNumberFormat="1" applyFont="1" applyFill="1" applyBorder="1"/>
    <xf numFmtId="0" fontId="233" fillId="52" borderId="112" xfId="0" applyFont="1" applyFill="1" applyBorder="1"/>
    <xf numFmtId="0" fontId="233" fillId="54" borderId="112" xfId="0" applyFont="1" applyFill="1" applyBorder="1"/>
    <xf numFmtId="313" fontId="26" fillId="29" borderId="47" xfId="0" applyNumberFormat="1" applyFont="1" applyFill="1" applyBorder="1"/>
    <xf numFmtId="0" fontId="2" fillId="41" borderId="17" xfId="0" applyFont="1" applyFill="1" applyBorder="1" applyAlignment="1">
      <alignment horizontal="centerContinuous"/>
    </xf>
    <xf numFmtId="0" fontId="2" fillId="41" borderId="94" xfId="0" applyFont="1" applyFill="1" applyBorder="1" applyAlignment="1">
      <alignment horizontal="center"/>
    </xf>
    <xf numFmtId="9" fontId="211" fillId="46" borderId="0" xfId="1216" applyFont="1" applyFill="1" applyBorder="1" applyAlignment="1">
      <alignment horizontal="right"/>
    </xf>
    <xf numFmtId="6" fontId="211" fillId="29" borderId="81" xfId="0" applyNumberFormat="1" applyFont="1" applyFill="1" applyBorder="1"/>
    <xf numFmtId="341" fontId="26" fillId="0" borderId="76" xfId="0" applyNumberFormat="1" applyFont="1" applyBorder="1"/>
    <xf numFmtId="7" fontId="26" fillId="0" borderId="76" xfId="0" applyNumberFormat="1" applyFont="1" applyBorder="1"/>
    <xf numFmtId="44" fontId="26" fillId="0" borderId="0" xfId="0" applyNumberFormat="1" applyFont="1"/>
    <xf numFmtId="214" fontId="223" fillId="29" borderId="0" xfId="63" applyNumberFormat="1" applyFont="1" applyFill="1"/>
    <xf numFmtId="214" fontId="26" fillId="0" borderId="0" xfId="0" applyNumberFormat="1" applyFont="1"/>
    <xf numFmtId="7" fontId="298" fillId="0" borderId="0" xfId="0" applyNumberFormat="1" applyFont="1"/>
    <xf numFmtId="4" fontId="26" fillId="29" borderId="0" xfId="0" applyNumberFormat="1" applyFont="1" applyFill="1"/>
    <xf numFmtId="9" fontId="223" fillId="29" borderId="0" xfId="0" applyNumberFormat="1" applyFont="1" applyFill="1"/>
    <xf numFmtId="341" fontId="2" fillId="0" borderId="65" xfId="1" applyNumberFormat="1" applyFont="1" applyBorder="1"/>
    <xf numFmtId="341" fontId="2" fillId="0" borderId="78" xfId="0" applyNumberFormat="1" applyFont="1" applyBorder="1"/>
    <xf numFmtId="314" fontId="21" fillId="0" borderId="0" xfId="0" applyNumberFormat="1" applyFont="1"/>
    <xf numFmtId="314" fontId="26" fillId="0" borderId="81" xfId="0" applyNumberFormat="1" applyFont="1" applyBorder="1"/>
    <xf numFmtId="2" fontId="26" fillId="0" borderId="0" xfId="0" applyNumberFormat="1" applyFont="1"/>
    <xf numFmtId="15" fontId="26" fillId="0" borderId="0" xfId="0" quotePrefix="1" applyNumberFormat="1" applyFont="1" applyAlignment="1">
      <alignment horizontal="right"/>
    </xf>
    <xf numFmtId="314" fontId="235" fillId="29" borderId="0" xfId="0" applyNumberFormat="1" applyFont="1" applyFill="1"/>
    <xf numFmtId="313" fontId="27" fillId="29" borderId="17" xfId="0" applyNumberFormat="1" applyFont="1" applyFill="1" applyBorder="1"/>
    <xf numFmtId="9" fontId="232" fillId="0" borderId="0" xfId="2" applyFont="1"/>
    <xf numFmtId="9" fontId="223" fillId="29" borderId="0" xfId="63" applyNumberFormat="1" applyFont="1" applyFill="1"/>
    <xf numFmtId="341" fontId="14" fillId="42" borderId="0" xfId="0" applyNumberFormat="1" applyFont="1" applyFill="1"/>
    <xf numFmtId="0" fontId="1" fillId="41" borderId="8" xfId="0" quotePrefix="1" applyFont="1" applyFill="1" applyBorder="1"/>
    <xf numFmtId="4" fontId="223" fillId="0" borderId="0" xfId="2" applyNumberFormat="1" applyFont="1" applyFill="1" applyBorder="1"/>
    <xf numFmtId="0" fontId="232" fillId="42" borderId="94" xfId="0" applyFont="1" applyFill="1" applyBorder="1" applyAlignment="1">
      <alignment horizontal="center"/>
    </xf>
    <xf numFmtId="0" fontId="232" fillId="42" borderId="112" xfId="0" applyFont="1" applyFill="1" applyBorder="1" applyAlignment="1">
      <alignment horizontal="center"/>
    </xf>
    <xf numFmtId="0" fontId="232" fillId="42" borderId="109" xfId="0" applyFont="1" applyFill="1" applyBorder="1" applyAlignment="1">
      <alignment horizontal="center"/>
    </xf>
    <xf numFmtId="0" fontId="232" fillId="41" borderId="109" xfId="0" applyFont="1" applyFill="1" applyBorder="1" applyAlignment="1">
      <alignment horizontal="center"/>
    </xf>
    <xf numFmtId="0" fontId="232" fillId="41" borderId="94" xfId="0" applyFont="1" applyFill="1" applyBorder="1" applyAlignment="1">
      <alignment horizontal="center"/>
    </xf>
    <xf numFmtId="0" fontId="232" fillId="41" borderId="112" xfId="0" applyFont="1" applyFill="1" applyBorder="1" applyAlignment="1">
      <alignment horizontal="center"/>
    </xf>
    <xf numFmtId="0" fontId="5" fillId="37" borderId="94" xfId="0" applyFont="1" applyFill="1" applyBorder="1" applyAlignment="1">
      <alignment horizontal="center"/>
    </xf>
    <xf numFmtId="0" fontId="232" fillId="37" borderId="112" xfId="0" applyFont="1" applyFill="1" applyBorder="1" applyAlignment="1">
      <alignment horizontal="center"/>
    </xf>
    <xf numFmtId="0" fontId="17" fillId="41" borderId="169" xfId="0" applyFont="1" applyFill="1" applyBorder="1" applyAlignment="1">
      <alignment horizontal="center"/>
    </xf>
    <xf numFmtId="0" fontId="17" fillId="41" borderId="94" xfId="0" applyFont="1" applyFill="1" applyBorder="1" applyAlignment="1">
      <alignment horizontal="center"/>
    </xf>
    <xf numFmtId="0" fontId="232" fillId="41" borderId="169" xfId="0" applyFont="1" applyFill="1" applyBorder="1" applyAlignment="1">
      <alignment horizontal="center"/>
    </xf>
    <xf numFmtId="0" fontId="232" fillId="41" borderId="164" xfId="0" applyFont="1" applyFill="1" applyBorder="1" applyAlignment="1">
      <alignment horizontal="center"/>
    </xf>
    <xf numFmtId="0" fontId="272" fillId="0" borderId="0" xfId="0" applyFont="1" applyAlignment="1">
      <alignment horizontal="center" vertical="center"/>
    </xf>
    <xf numFmtId="0" fontId="232" fillId="37" borderId="94" xfId="0" applyFont="1" applyFill="1" applyBorder="1" applyAlignment="1">
      <alignment horizontal="center"/>
    </xf>
    <xf numFmtId="0" fontId="18" fillId="41" borderId="94" xfId="0" applyFont="1" applyFill="1" applyBorder="1" applyAlignment="1">
      <alignment horizontal="center"/>
    </xf>
    <xf numFmtId="0" fontId="18" fillId="41" borderId="112" xfId="0" applyFont="1" applyFill="1" applyBorder="1" applyAlignment="1">
      <alignment horizontal="center"/>
    </xf>
  </cellXfs>
  <cellStyles count="1724">
    <cellStyle name="—" xfId="1501" xr:uid="{00000000-0005-0000-0000-000000000000}"/>
    <cellStyle name="_x000a_386grabber=M" xfId="1502" xr:uid="{00000000-0005-0000-0000-000001000000}"/>
    <cellStyle name="_x000d__x000a_JournalTemplate=C:\redacted\JOURSTD.TPL_x000d__x000a_LbStateAddress=3 3 0 251 1 89 2 311_x000d__x000a_LbStateJou" xfId="107" xr:uid="{00000000-0005-0000-0000-000002000000}"/>
    <cellStyle name="&quot;X&quot; Men" xfId="9" xr:uid="{00000000-0005-0000-0000-000003000000}"/>
    <cellStyle name="$" xfId="108" xr:uid="{00000000-0005-0000-0000-000004000000}"/>
    <cellStyle name="$ &amp; ¢" xfId="109" xr:uid="{00000000-0005-0000-0000-000005000000}"/>
    <cellStyle name="$_Book1000" xfId="110" xr:uid="{00000000-0005-0000-0000-000006000000}"/>
    <cellStyle name="$_metrics_q106" xfId="111" xr:uid="{00000000-0005-0000-0000-000007000000}"/>
    <cellStyle name="$_N24 Model" xfId="112" xr:uid="{00000000-0005-0000-0000-000008000000}"/>
    <cellStyle name="$_Network24 Projections" xfId="113" xr:uid="{00000000-0005-0000-0000-000009000000}"/>
    <cellStyle name="$_PCP" xfId="114" xr:uid="{00000000-0005-0000-0000-00000A000000}"/>
    <cellStyle name="$0.0" xfId="115" xr:uid="{00000000-0005-0000-0000-00000B000000}"/>
    <cellStyle name="$0.00" xfId="116" xr:uid="{00000000-0005-0000-0000-00000C000000}"/>
    <cellStyle name="$0.000" xfId="117" xr:uid="{00000000-0005-0000-0000-00000D000000}"/>
    <cellStyle name="$3places" xfId="118" xr:uid="{00000000-0005-0000-0000-00000E000000}"/>
    <cellStyle name="$m" xfId="119" xr:uid="{00000000-0005-0000-0000-00000F000000}"/>
    <cellStyle name="$q" xfId="120" xr:uid="{00000000-0005-0000-0000-000010000000}"/>
    <cellStyle name="$q*" xfId="121" xr:uid="{00000000-0005-0000-0000-000011000000}"/>
    <cellStyle name="$qA" xfId="122" xr:uid="{00000000-0005-0000-0000-000012000000}"/>
    <cellStyle name="$qRange" xfId="123" xr:uid="{00000000-0005-0000-0000-000013000000}"/>
    <cellStyle name="$sign" xfId="124" xr:uid="{00000000-0005-0000-0000-000014000000}"/>
    <cellStyle name="%" xfId="10" xr:uid="{00000000-0005-0000-0000-000015000000}"/>
    <cellStyle name="% 2" xfId="64" xr:uid="{00000000-0005-0000-0000-000016000000}"/>
    <cellStyle name="%.00" xfId="125" xr:uid="{00000000-0005-0000-0000-000017000000}"/>
    <cellStyle name="%_metrics_q106" xfId="126" xr:uid="{00000000-0005-0000-0000-000018000000}"/>
    <cellStyle name="(1,000)" xfId="1503" xr:uid="{00000000-0005-0000-0000-000019000000}"/>
    <cellStyle name="(1,000) 2" xfId="1504" xr:uid="{00000000-0005-0000-0000-00001A000000}"/>
    <cellStyle name="(1,000)x" xfId="1505" xr:uid="{00000000-0005-0000-0000-00001B000000}"/>
    <cellStyle name="******************************************" xfId="127" xr:uid="{00000000-0005-0000-0000-00001C000000}"/>
    <cellStyle name="?? [0]_PERSON1154" xfId="128" xr:uid="{00000000-0005-0000-0000-00001D000000}"/>
    <cellStyle name="?????_PERSON1154" xfId="129" xr:uid="{00000000-0005-0000-0000-00001E000000}"/>
    <cellStyle name="??_??????_???" xfId="130" xr:uid="{00000000-0005-0000-0000-00001F000000}"/>
    <cellStyle name="[0.0]" xfId="1506" xr:uid="{00000000-0005-0000-0000-000020000000}"/>
    <cellStyle name="]_x000a__x000a_Extension=conv.dll_x000a__x000a_MS-DOS Tools Extentions=C:\redacted\MSTOOLS.DLL_x000a__x000a__x000a__x000a_[Settings]_x000a__x000a_UNDELETE.DLL=C:\redacted\MSTOOLS.DLL_x000a__x000a_W" xfId="11" xr:uid="{00000000-0005-0000-0000-000021000000}"/>
    <cellStyle name="_%(SignOnly)" xfId="131" xr:uid="{00000000-0005-0000-0000-000022000000}"/>
    <cellStyle name="_%(SignOnly) 2" xfId="1507" xr:uid="{00000000-0005-0000-0000-000023000000}"/>
    <cellStyle name="_%(SignSpaceOnly)" xfId="132" xr:uid="{00000000-0005-0000-0000-000024000000}"/>
    <cellStyle name="_%(SignSpaceOnly) 2" xfId="1508" xr:uid="{00000000-0005-0000-0000-000025000000}"/>
    <cellStyle name="_03mspssna" xfId="1509" xr:uid="{00000000-0005-0000-0000-000026000000}"/>
    <cellStyle name="_116001.xls Chart 2" xfId="1510" xr:uid="{00000000-0005-0000-0000-000027000000}"/>
    <cellStyle name="_116001.xls Chart 2-1" xfId="1511" xr:uid="{00000000-0005-0000-0000-000028000000}"/>
    <cellStyle name="_116001.xls Chart 3" xfId="1512" xr:uid="{00000000-0005-0000-0000-000029000000}"/>
    <cellStyle name="_116001.xls Chart 3-1" xfId="1513" xr:uid="{00000000-0005-0000-0000-00002A000000}"/>
    <cellStyle name="_116001.xls Chart 4" xfId="1514" xr:uid="{00000000-0005-0000-0000-00002B000000}"/>
    <cellStyle name="_116001.xls Chart 5" xfId="1515" xr:uid="{00000000-0005-0000-0000-00002C000000}"/>
    <cellStyle name="_116001.xls Chart 5-1" xfId="1516" xr:uid="{00000000-0005-0000-0000-00002D000000}"/>
    <cellStyle name="_116001.xls Chart 5-2" xfId="1517" xr:uid="{00000000-0005-0000-0000-00002E000000}"/>
    <cellStyle name="_1Red" xfId="1518" xr:uid="{00000000-0005-0000-0000-00002F000000}"/>
    <cellStyle name="_Application Delivery Controller" xfId="1519" xr:uid="{00000000-0005-0000-0000-000030000000}"/>
    <cellStyle name="_Book9" xfId="1520" xr:uid="{00000000-0005-0000-0000-000031000000}"/>
    <cellStyle name="_Company0501" xfId="1521" xr:uid="{00000000-0005-0000-0000-000032000000}"/>
    <cellStyle name="_Comma" xfId="133" xr:uid="{00000000-0005-0000-0000-000033000000}"/>
    <cellStyle name="_Comma 2" xfId="1522" xr:uid="{00000000-0005-0000-0000-000034000000}"/>
    <cellStyle name="_Comma_01 adj for merger plan" xfId="861" xr:uid="{00000000-0005-0000-0000-000035000000}"/>
    <cellStyle name="_Comma_3G Models" xfId="1523" xr:uid="{00000000-0005-0000-0000-000036000000}"/>
    <cellStyle name="_Comma_Ability to Pay Analysis" xfId="862" xr:uid="{00000000-0005-0000-0000-000037000000}"/>
    <cellStyle name="_Comma_AFL" xfId="863" xr:uid="{00000000-0005-0000-0000-000038000000}"/>
    <cellStyle name="_Comma_Company0064" xfId="864" xr:uid="{00000000-0005-0000-0000-000039000000}"/>
    <cellStyle name="_Comma_AIZ04-Quantum2" xfId="865" xr:uid="{00000000-0005-0000-0000-00003A000000}"/>
    <cellStyle name="_Comma_AMP" xfId="866" xr:uid="{00000000-0005-0000-0000-00003B000000}"/>
    <cellStyle name="_Comma_bls roic" xfId="134" xr:uid="{00000000-0005-0000-0000-00003C000000}"/>
    <cellStyle name="_Comma_bls roic 2" xfId="1524" xr:uid="{00000000-0005-0000-0000-00003D000000}"/>
    <cellStyle name="_Comma_Book1" xfId="867" xr:uid="{00000000-0005-0000-0000-00003E000000}"/>
    <cellStyle name="_Comma_Book3" xfId="868" xr:uid="{00000000-0005-0000-0000-00003F000000}"/>
    <cellStyle name="_Comma_capital expenditures 6-18-02" xfId="135" xr:uid="{00000000-0005-0000-0000-000040000000}"/>
    <cellStyle name="_Comma_capital expenditures 6-18-02 2" xfId="1525" xr:uid="{00000000-0005-0000-0000-000041000000}"/>
    <cellStyle name="_Comma_Company0529" xfId="869" xr:uid="{00000000-0005-0000-0000-000042000000}"/>
    <cellStyle name="_Comma_CNO04" xfId="870" xr:uid="{00000000-0005-0000-0000-000043000000}"/>
    <cellStyle name="_Comma_DCF Alexander Person0382" xfId="871" xr:uid="{00000000-0005-0000-0000-000044000000}"/>
    <cellStyle name="_Comma_fmbi counties" xfId="872" xr:uid="{00000000-0005-0000-0000-000045000000}"/>
    <cellStyle name="_Comma_FMBI MBHI Graphs" xfId="873" xr:uid="{00000000-0005-0000-0000-000046000000}"/>
    <cellStyle name="_Comma_FMBI MBHI Graphs 07102001" xfId="874" xr:uid="{00000000-0005-0000-0000-000047000000}"/>
    <cellStyle name="_Comma_FMBI MBHI Graphs_7601" xfId="875" xr:uid="{00000000-0005-0000-0000-000048000000}"/>
    <cellStyle name="_Comma_FT-6June2001" xfId="1526" xr:uid="{00000000-0005-0000-0000-000049000000}"/>
    <cellStyle name="_Comma_FT-6June2001_Company2750 Company1835 November 2002" xfId="1527" xr:uid="{00000000-0005-0000-0000-00004A000000}"/>
    <cellStyle name="_Comma_genworth model" xfId="876" xr:uid="{00000000-0005-0000-0000-00004B000000}"/>
    <cellStyle name="_Comma_Insurance Brokerage CSC_1Q2002" xfId="877" xr:uid="{00000000-0005-0000-0000-00004C000000}"/>
    <cellStyle name="_Comma_JP_Company1563_spread_monitor (2)" xfId="878" xr:uid="{00000000-0005-0000-0000-00004D000000}"/>
    <cellStyle name="_Comma_NFP" xfId="879" xr:uid="{00000000-0005-0000-0000-00004E000000}"/>
    <cellStyle name="_Comma_Company1874" xfId="880" xr:uid="{00000000-0005-0000-0000-00004F000000}"/>
    <cellStyle name="_Comma_Orange-Mar01" xfId="1528" xr:uid="{00000000-0005-0000-0000-000050000000}"/>
    <cellStyle name="_Comma_Orange-May01" xfId="1529" xr:uid="{00000000-0005-0000-0000-000051000000}"/>
    <cellStyle name="_Comma_Overview3" xfId="881" xr:uid="{00000000-0005-0000-0000-000052000000}"/>
    <cellStyle name="_Comma_phil data" xfId="882" xr:uid="{00000000-0005-0000-0000-000053000000}"/>
    <cellStyle name="_Comma_Price Performance Charts" xfId="883" xr:uid="{00000000-0005-0000-0000-000054000000}"/>
    <cellStyle name="_Comma_Quarterly Review by Company" xfId="884" xr:uid="{00000000-0005-0000-0000-000055000000}"/>
    <cellStyle name="_Comma_RBOC historicals" xfId="136" xr:uid="{00000000-0005-0000-0000-000056000000}"/>
    <cellStyle name="_Comma_SFG Data File" xfId="885" xr:uid="{00000000-0005-0000-0000-000057000000}"/>
    <cellStyle name="_Comma_Sheet1" xfId="886" xr:uid="{00000000-0005-0000-0000-000058000000}"/>
    <cellStyle name="_Comma_Stock-QTR1 FDS" xfId="887" xr:uid="{00000000-0005-0000-0000-000059000000}"/>
    <cellStyle name="_Comma_T - new" xfId="137" xr:uid="{00000000-0005-0000-0000-00005A000000}"/>
    <cellStyle name="_Comma_T - new 2" xfId="1530" xr:uid="{00000000-0005-0000-0000-00005B000000}"/>
    <cellStyle name="_Comma_TelenorInitiation-11Jan01" xfId="1531" xr:uid="{00000000-0005-0000-0000-00005C000000}"/>
    <cellStyle name="_Comma_TelenorWIPFeb01" xfId="1532" xr:uid="{00000000-0005-0000-0000-00005D000000}"/>
    <cellStyle name="_Comma_Updated Valuation Changes" xfId="888" xr:uid="{00000000-0005-0000-0000-00005E000000}"/>
    <cellStyle name="_Comma_Valuation Graphs" xfId="889" xr:uid="{00000000-0005-0000-0000-00005F000000}"/>
    <cellStyle name="_Comma_xratio - historical mkt val" xfId="890" xr:uid="{00000000-0005-0000-0000-000060000000}"/>
    <cellStyle name="—_Company0688 Valuation Table_backup_12-08-08" xfId="1533" xr:uid="{00000000-0005-0000-0000-000061000000}"/>
    <cellStyle name="_core emc valuation" xfId="138" xr:uid="{00000000-0005-0000-0000-000062000000}"/>
    <cellStyle name="_CORNMOD" xfId="1534" xr:uid="{00000000-0005-0000-0000-000063000000}"/>
    <cellStyle name="—_Company0610" xfId="1535" xr:uid="{00000000-0005-0000-0000-000064000000}"/>
    <cellStyle name="_Company0610 ROIC 091602" xfId="1536" xr:uid="{00000000-0005-0000-0000-000065000000}"/>
    <cellStyle name="_CSCOMOD" xfId="1537" xr:uid="{00000000-0005-0000-0000-000066000000}"/>
    <cellStyle name="_Currency" xfId="139" xr:uid="{00000000-0005-0000-0000-000067000000}"/>
    <cellStyle name="_Currency 2" xfId="1538" xr:uid="{00000000-0005-0000-0000-000068000000}"/>
    <cellStyle name="_Currency_01 adj for merger plan" xfId="891" xr:uid="{00000000-0005-0000-0000-000069000000}"/>
    <cellStyle name="_Currency_3G Models" xfId="1539" xr:uid="{00000000-0005-0000-0000-00006A000000}"/>
    <cellStyle name="_Currency_Ability to Pay Analysis" xfId="892" xr:uid="{00000000-0005-0000-0000-00006B000000}"/>
    <cellStyle name="_Currency_AFL" xfId="893" xr:uid="{00000000-0005-0000-0000-00006C000000}"/>
    <cellStyle name="_Currency_Company0064" xfId="894" xr:uid="{00000000-0005-0000-0000-00006D000000}"/>
    <cellStyle name="_Currency_AMP" xfId="895" xr:uid="{00000000-0005-0000-0000-00006E000000}"/>
    <cellStyle name="_Currency_AT" xfId="140" xr:uid="{00000000-0005-0000-0000-00006F000000}"/>
    <cellStyle name="_Currency_AWE" xfId="141" xr:uid="{00000000-0005-0000-0000-000070000000}"/>
    <cellStyle name="_Currency_Balance Sheet" xfId="896" xr:uid="{00000000-0005-0000-0000-000071000000}"/>
    <cellStyle name="_Currency_BHI" xfId="142" xr:uid="{00000000-0005-0000-0000-000072000000}"/>
    <cellStyle name="_Currency_BLS" xfId="143" xr:uid="{00000000-0005-0000-0000-000073000000}"/>
    <cellStyle name="_Currency_BLS 2" xfId="1540" xr:uid="{00000000-0005-0000-0000-000074000000}"/>
    <cellStyle name="_Currency_bls roic" xfId="144" xr:uid="{00000000-0005-0000-0000-000075000000}"/>
    <cellStyle name="_Currency_bls roic 2" xfId="1541" xr:uid="{00000000-0005-0000-0000-000076000000}"/>
    <cellStyle name="_Currency_Book1" xfId="897" xr:uid="{00000000-0005-0000-0000-000077000000}"/>
    <cellStyle name="_Currency_Book1_3G Models" xfId="1542" xr:uid="{00000000-0005-0000-0000-000078000000}"/>
    <cellStyle name="_Currency_Book1_FT-6June2001" xfId="1543" xr:uid="{00000000-0005-0000-0000-000079000000}"/>
    <cellStyle name="_Currency_Book1_Company1428 model 16DP3-Exhibits" xfId="1544" xr:uid="{00000000-0005-0000-0000-00007A000000}"/>
    <cellStyle name="_Currency_Book1_Company1428 model 16DP3-Exhibits_3G Models" xfId="1545" xr:uid="{00000000-0005-0000-0000-00007B000000}"/>
    <cellStyle name="_Currency_Book1_Company1428 model 16DP3-Exhibits_ORA 051102" xfId="1546" xr:uid="{00000000-0005-0000-0000-00007C000000}"/>
    <cellStyle name="_Currency_Book1_Company1428 model 16DP3-Exhibits_Orange-Mar01" xfId="1547" xr:uid="{00000000-0005-0000-0000-00007D000000}"/>
    <cellStyle name="_Currency_Book1_Company1428 model 16DP3-Exhibits_Orange-May01" xfId="1548" xr:uid="{00000000-0005-0000-0000-00007E000000}"/>
    <cellStyle name="_Currency_Book1_Company1428 model 16DP3-Exhibits_Orange-May01_FT-6June2001" xfId="1549" xr:uid="{00000000-0005-0000-0000-00007F000000}"/>
    <cellStyle name="_Currency_Book1_Company1428 model 16DP3-Exhibits_T_MOBIL2" xfId="1550" xr:uid="{00000000-0005-0000-0000-000080000000}"/>
    <cellStyle name="_Currency_Book1_Company1428 model 16DP3-Exhibits_T_MOBIL2_ORA 051102" xfId="1551" xr:uid="{00000000-0005-0000-0000-000081000000}"/>
    <cellStyle name="_Currency_Book1_Company1428 model 16DP3-Exhibits_T_MOBIL2_Orange-May01" xfId="1552" xr:uid="{00000000-0005-0000-0000-000082000000}"/>
    <cellStyle name="_Currency_Book1_Company1428 model 16DP3-Exhibits_T_MOBIL2_Orange-May01_Company2750 Company1835 November 2002" xfId="1553" xr:uid="{00000000-0005-0000-0000-000083000000}"/>
    <cellStyle name="_Currency_Book1_Company1428 model 16DP3-Exhibits_T_MOBIL2_Company2750 Company1835" xfId="1554" xr:uid="{00000000-0005-0000-0000-000084000000}"/>
    <cellStyle name="_Currency_Book1_Company1428 model 16DP3-Exhibits_T_MOBIL2_wireless" xfId="1555" xr:uid="{00000000-0005-0000-0000-000085000000}"/>
    <cellStyle name="_Currency_Book1_Company1428 model 16DP3-Exhibits_Company2750 Company1835" xfId="1556" xr:uid="{00000000-0005-0000-0000-000086000000}"/>
    <cellStyle name="_Currency_Book1_Company1428 model 16DP3-Exhibits_TelenorInitiation-11Jan01" xfId="1557" xr:uid="{00000000-0005-0000-0000-000087000000}"/>
    <cellStyle name="_Currency_Book1_Company1428 model 16DP3-Exhibits_TelenorWIPFeb01" xfId="1558" xr:uid="{00000000-0005-0000-0000-000088000000}"/>
    <cellStyle name="_Currency_Book1_Company1428 model 16DP3-Exhibits_wireless" xfId="1559" xr:uid="{00000000-0005-0000-0000-000089000000}"/>
    <cellStyle name="_Currency_Book1_Company1428 model 18DP-exhibits" xfId="1560" xr:uid="{00000000-0005-0000-0000-00008A000000}"/>
    <cellStyle name="_Currency_Book1_Company1428 model 18DP-exhibits_3G Models" xfId="1561" xr:uid="{00000000-0005-0000-0000-00008B000000}"/>
    <cellStyle name="_Currency_Book1_Orange-May01" xfId="1562" xr:uid="{00000000-0005-0000-0000-00008C000000}"/>
    <cellStyle name="_Currency_Book1_Orange-Sep01" xfId="1563" xr:uid="{00000000-0005-0000-0000-00008D000000}"/>
    <cellStyle name="_Currency_Book2" xfId="145" xr:uid="{00000000-0005-0000-0000-00008E000000}"/>
    <cellStyle name="_Currency_Book2_3G Models" xfId="1564" xr:uid="{00000000-0005-0000-0000-00008F000000}"/>
    <cellStyle name="_Currency_Book2_FT-6June2001" xfId="1565" xr:uid="{00000000-0005-0000-0000-000090000000}"/>
    <cellStyle name="_Currency_Book2_Company1428 model 16DP3-Exhibits" xfId="1566" xr:uid="{00000000-0005-0000-0000-000091000000}"/>
    <cellStyle name="_Currency_Book2_Company1428 model 16DP3-Exhibits_3G Models" xfId="1567" xr:uid="{00000000-0005-0000-0000-000092000000}"/>
    <cellStyle name="_Currency_Book2_Company1428 model 16DP3-Exhibits_ORA 051102" xfId="1568" xr:uid="{00000000-0005-0000-0000-000093000000}"/>
    <cellStyle name="_Currency_Book2_Company1428 model 16DP3-Exhibits_Orange-Mar01" xfId="1569" xr:uid="{00000000-0005-0000-0000-000094000000}"/>
    <cellStyle name="_Currency_Book2_Company1428 model 16DP3-Exhibits_Orange-May01" xfId="1570" xr:uid="{00000000-0005-0000-0000-000095000000}"/>
    <cellStyle name="_Currency_Book2_Company1428 model 16DP3-Exhibits_Orange-May01_FT-6June2001" xfId="1571" xr:uid="{00000000-0005-0000-0000-000096000000}"/>
    <cellStyle name="_Currency_Book2_Company1428 model 16DP3-Exhibits_T_MOBIL2" xfId="1572" xr:uid="{00000000-0005-0000-0000-000097000000}"/>
    <cellStyle name="_Currency_Book2_Company1428 model 16DP3-Exhibits_T_MOBIL2_ORA 051102" xfId="1573" xr:uid="{00000000-0005-0000-0000-000098000000}"/>
    <cellStyle name="_Currency_Book2_Company1428 model 16DP3-Exhibits_T_MOBIL2_Orange-May01" xfId="1574" xr:uid="{00000000-0005-0000-0000-000099000000}"/>
    <cellStyle name="_Currency_Book2_Company1428 model 16DP3-Exhibits_T_MOBIL2_Orange-May01_Company2750 Company1835 November 2002" xfId="1575" xr:uid="{00000000-0005-0000-0000-00009A000000}"/>
    <cellStyle name="_Currency_Book2_Company1428 model 16DP3-Exhibits_T_MOBIL2_Company2750 Company1835" xfId="1576" xr:uid="{00000000-0005-0000-0000-00009B000000}"/>
    <cellStyle name="_Currency_Book2_Company1428 model 16DP3-Exhibits_T_MOBIL2_wireless" xfId="1577" xr:uid="{00000000-0005-0000-0000-00009C000000}"/>
    <cellStyle name="_Currency_Book2_Company1428 model 16DP3-Exhibits_Company2750 Company1835" xfId="1578" xr:uid="{00000000-0005-0000-0000-00009D000000}"/>
    <cellStyle name="_Currency_Book2_Company1428 model 16DP3-Exhibits_TelenorInitiation-11Jan01" xfId="1579" xr:uid="{00000000-0005-0000-0000-00009E000000}"/>
    <cellStyle name="_Currency_Book2_Company1428 model 16DP3-Exhibits_TelenorWIPFeb01" xfId="1580" xr:uid="{00000000-0005-0000-0000-00009F000000}"/>
    <cellStyle name="_Currency_Book2_Company1428 model 16DP3-Exhibits_wireless" xfId="1581" xr:uid="{00000000-0005-0000-0000-0000A0000000}"/>
    <cellStyle name="_Currency_Book2_Company1428 model 18DP-exhibits" xfId="1582" xr:uid="{00000000-0005-0000-0000-0000A1000000}"/>
    <cellStyle name="_Currency_Book2_Company1428 model 18DP-exhibits_3G Models" xfId="1583" xr:uid="{00000000-0005-0000-0000-0000A2000000}"/>
    <cellStyle name="_Currency_Book2_Orange-May01" xfId="1584" xr:uid="{00000000-0005-0000-0000-0000A3000000}"/>
    <cellStyle name="_Currency_Book2_Orange-Sep01" xfId="1585" xr:uid="{00000000-0005-0000-0000-0000A4000000}"/>
    <cellStyle name="_Currency_Book29" xfId="898" xr:uid="{00000000-0005-0000-0000-0000A5000000}"/>
    <cellStyle name="_Currency_Book3" xfId="146" xr:uid="{00000000-0005-0000-0000-0000A6000000}"/>
    <cellStyle name="_Currency_Book3_1" xfId="899" xr:uid="{00000000-0005-0000-0000-0000A7000000}"/>
    <cellStyle name="_Currency_Book32" xfId="147" xr:uid="{00000000-0005-0000-0000-0000A8000000}"/>
    <cellStyle name="_Currency_capital expenditures 6-18-02" xfId="148" xr:uid="{00000000-0005-0000-0000-0000A9000000}"/>
    <cellStyle name="_Currency_capital expenditures 6-18-02 2" xfId="1586" xr:uid="{00000000-0005-0000-0000-0000AA000000}"/>
    <cellStyle name="_Currency_Charts for Reinstatement Report" xfId="149" xr:uid="{00000000-0005-0000-0000-0000AB000000}"/>
    <cellStyle name="_Currency_Cingular" xfId="150" xr:uid="{00000000-0005-0000-0000-0000AC000000}"/>
    <cellStyle name="_Currency_CMVTMOD IS, BS, CS" xfId="1587" xr:uid="{00000000-0005-0000-0000-0000AD000000}"/>
    <cellStyle name="_Currency_Company0529" xfId="900" xr:uid="{00000000-0005-0000-0000-0000AE000000}"/>
    <cellStyle name="_Currency_Company0688 Valuation Table_backup_12-08-08" xfId="1588" xr:uid="{00000000-0005-0000-0000-0000AF000000}"/>
    <cellStyle name="_Currency_CSC_excersize" xfId="1589" xr:uid="{00000000-0005-0000-0000-0000B0000000}"/>
    <cellStyle name="_Currency_CSC_excersize_Top 100 Carrier List" xfId="1590" xr:uid="{00000000-0005-0000-0000-0000B1000000}"/>
    <cellStyle name="_Currency_Company0610_MOD" xfId="1591" xr:uid="{00000000-0005-0000-0000-0000B2000000}"/>
    <cellStyle name="_Currency_CSCOMOD" xfId="1592" xr:uid="{00000000-0005-0000-0000-0000B3000000}"/>
    <cellStyle name="_Currency_DCF (ESO)" xfId="151" xr:uid="{00000000-0005-0000-0000-0000B4000000}"/>
    <cellStyle name="_Currency_DCF Alexander Person0382" xfId="901" xr:uid="{00000000-0005-0000-0000-0000B5000000}"/>
    <cellStyle name="_Currency_document(1)" xfId="152" xr:uid="{00000000-0005-0000-0000-0000B6000000}"/>
    <cellStyle name="_Currency_Company1017_now" xfId="1593" xr:uid="{00000000-0005-0000-0000-0000B7000000}"/>
    <cellStyle name="_Currency_fmbi counties" xfId="902" xr:uid="{00000000-0005-0000-0000-0000B8000000}"/>
    <cellStyle name="_Currency_FMBI MBHI Graphs" xfId="903" xr:uid="{00000000-0005-0000-0000-0000B9000000}"/>
    <cellStyle name="_Currency_FMBI MBHI Graphs 07102001" xfId="904" xr:uid="{00000000-0005-0000-0000-0000BA000000}"/>
    <cellStyle name="_Currency_FMBI MBHI Graphs_7601" xfId="905" xr:uid="{00000000-0005-0000-0000-0000BB000000}"/>
    <cellStyle name="_Currency_FON" xfId="153" xr:uid="{00000000-0005-0000-0000-0000BC000000}"/>
    <cellStyle name="_Currency_FT-6June2001" xfId="1594" xr:uid="{00000000-0005-0000-0000-0000BD000000}"/>
    <cellStyle name="_Currency_FT-6June2001_Company2750 Company1835 November 2002" xfId="1595" xr:uid="{00000000-0005-0000-0000-0000BE000000}"/>
    <cellStyle name="_Currency_GLWMOD" xfId="1596" xr:uid="{00000000-0005-0000-0000-0000BF000000}"/>
    <cellStyle name="_Currency_Company1093" xfId="906" xr:uid="{00000000-0005-0000-0000-0000C0000000}"/>
    <cellStyle name="_Currency_gs_beas_internal" xfId="154" xr:uid="{00000000-0005-0000-0000-0000C1000000}"/>
    <cellStyle name="_Currency_gs_bmc_internal" xfId="155" xr:uid="{00000000-0005-0000-0000-0000C2000000}"/>
    <cellStyle name="_Currency_Ticker0015_Person0155_Company0610_mod (Working)" xfId="1597" xr:uid="{00000000-0005-0000-0000-0000C3000000}"/>
    <cellStyle name="_Currency_Ticker0015_Person0155_Company0610_mod (Working) 2" xfId="1598" xr:uid="{00000000-0005-0000-0000-0000C4000000}"/>
    <cellStyle name="_Currency_Ticker0015_Person0114_MOTMOD" xfId="1599" xr:uid="{00000000-0005-0000-0000-0000C5000000}"/>
    <cellStyle name="_Currency_Ticker0015_Person0114_MOTMOD 2" xfId="1600" xr:uid="{00000000-0005-0000-0000-0000C6000000}"/>
    <cellStyle name="_Currency_gs_ca_internal" xfId="156" xr:uid="{00000000-0005-0000-0000-0000C7000000}"/>
    <cellStyle name="_Currency_gs_ctxs_internal" xfId="157" xr:uid="{00000000-0005-0000-0000-0000C8000000}"/>
    <cellStyle name="_Currency_gs_merq_internal" xfId="158" xr:uid="{00000000-0005-0000-0000-0000C9000000}"/>
    <cellStyle name="_Currency_gs_NET_internal" xfId="159" xr:uid="{00000000-0005-0000-0000-0000CA000000}"/>
    <cellStyle name="_Currency_gs_nscn_internal" xfId="160" xr:uid="{00000000-0005-0000-0000-0000CB000000}"/>
    <cellStyle name="_Currency_gs_qsft_internal" xfId="161" xr:uid="{00000000-0005-0000-0000-0000CC000000}"/>
    <cellStyle name="_Currency_gs_scur_internal " xfId="162" xr:uid="{00000000-0005-0000-0000-0000CD000000}"/>
    <cellStyle name="_Currency_gs_symc_internal" xfId="163" xr:uid="{00000000-0005-0000-0000-0000CE000000}"/>
    <cellStyle name="_Currency_gs_tibx_internal" xfId="164" xr:uid="{00000000-0005-0000-0000-0000CF000000}"/>
    <cellStyle name="_Currency_gs_tibx_internal _FG" xfId="165" xr:uid="{00000000-0005-0000-0000-0000D0000000}"/>
    <cellStyle name="_Currency_gs_vrsn_internal" xfId="166" xr:uid="{00000000-0005-0000-0000-0000D1000000}"/>
    <cellStyle name="_Currency_gs_vrsn_public" xfId="167" xr:uid="{00000000-0005-0000-0000-0000D2000000}"/>
    <cellStyle name="_Currency_Initiation Report Tables" xfId="1601" xr:uid="{00000000-0005-0000-0000-0000D3000000}"/>
    <cellStyle name="_Currency_Insurance Brokerage CSC_1Q2002" xfId="907" xr:uid="{00000000-0005-0000-0000-0000D4000000}"/>
    <cellStyle name="_Currency_IS" xfId="1602" xr:uid="{00000000-0005-0000-0000-0000D5000000}"/>
    <cellStyle name="_Currency_Company1428 model 15-exhibits" xfId="1603" xr:uid="{00000000-0005-0000-0000-0000D6000000}"/>
    <cellStyle name="_Currency_Company1428 model 15-exhibits bis" xfId="1604" xr:uid="{00000000-0005-0000-0000-0000D7000000}"/>
    <cellStyle name="_Currency_Company1428 model 15-exhibits bis_3G Models" xfId="1605" xr:uid="{00000000-0005-0000-0000-0000D8000000}"/>
    <cellStyle name="_Currency_Company1428 model 15-exhibits bis_ORA 051102" xfId="1606" xr:uid="{00000000-0005-0000-0000-0000D9000000}"/>
    <cellStyle name="_Currency_Company1428 model 15-exhibits bis_Orange-Mar01" xfId="1607" xr:uid="{00000000-0005-0000-0000-0000DA000000}"/>
    <cellStyle name="_Currency_Company1428 model 15-exhibits bis_Orange-May01" xfId="1608" xr:uid="{00000000-0005-0000-0000-0000DB000000}"/>
    <cellStyle name="_Currency_Company1428 model 15-exhibits bis_Orange-May01_FT-6June2001" xfId="1609" xr:uid="{00000000-0005-0000-0000-0000DC000000}"/>
    <cellStyle name="_Currency_Company1428 model 15-exhibits bis_T_MOBIL2" xfId="1610" xr:uid="{00000000-0005-0000-0000-0000DD000000}"/>
    <cellStyle name="_Currency_Company1428 model 15-exhibits bis_T_MOBIL2_ORA 051102" xfId="1611" xr:uid="{00000000-0005-0000-0000-0000DE000000}"/>
    <cellStyle name="_Currency_Company1428 model 15-exhibits bis_T_MOBIL2_Orange-May01" xfId="1612" xr:uid="{00000000-0005-0000-0000-0000DF000000}"/>
    <cellStyle name="_Currency_Company1428 model 15-exhibits bis_T_MOBIL2_Orange-May01_Company2750 Company1835 November 2002" xfId="1613" xr:uid="{00000000-0005-0000-0000-0000E0000000}"/>
    <cellStyle name="_Currency_Company1428 model 15-exhibits bis_T_MOBIL2_Company2750 Company1835" xfId="1614" xr:uid="{00000000-0005-0000-0000-0000E1000000}"/>
    <cellStyle name="_Currency_Company1428 model 15-exhibits bis_T_MOBIL2_wireless" xfId="1615" xr:uid="{00000000-0005-0000-0000-0000E2000000}"/>
    <cellStyle name="_Currency_Company1428 model 15-exhibits bis_Company2750 Company1835" xfId="1616" xr:uid="{00000000-0005-0000-0000-0000E3000000}"/>
    <cellStyle name="_Currency_Company1428 model 15-exhibits bis_TelenorInitiation-11Jan01" xfId="1617" xr:uid="{00000000-0005-0000-0000-0000E4000000}"/>
    <cellStyle name="_Currency_Company1428 model 15-exhibits bis_TelenorWIPFeb01" xfId="1618" xr:uid="{00000000-0005-0000-0000-0000E5000000}"/>
    <cellStyle name="_Currency_Company1428 model 15-exhibits bis_wireless" xfId="1619" xr:uid="{00000000-0005-0000-0000-0000E6000000}"/>
    <cellStyle name="_Currency_Company1428 model 15-exhibits_3G Models" xfId="1620" xr:uid="{00000000-0005-0000-0000-0000E7000000}"/>
    <cellStyle name="_Currency_Company1428 model 15-exhibits_FT-6June2001" xfId="1621" xr:uid="{00000000-0005-0000-0000-0000E8000000}"/>
    <cellStyle name="_Currency_Company1428 model 15-exhibits_Company1428 model 16DP3-Exhibits" xfId="1622" xr:uid="{00000000-0005-0000-0000-0000E9000000}"/>
    <cellStyle name="_Currency_Company1428 model 15-exhibits_Company1428 model 16DP3-Exhibits_3G Models" xfId="1623" xr:uid="{00000000-0005-0000-0000-0000EA000000}"/>
    <cellStyle name="_Currency_Company1428 model 15-exhibits_Company1428 model 16DP3-Exhibits_ORA 051102" xfId="1624" xr:uid="{00000000-0005-0000-0000-0000EB000000}"/>
    <cellStyle name="_Currency_Company1428 model 15-exhibits_Company1428 model 16DP3-Exhibits_Orange-Mar01" xfId="1625" xr:uid="{00000000-0005-0000-0000-0000EC000000}"/>
    <cellStyle name="_Currency_Company1428 model 15-exhibits_Company1428 model 16DP3-Exhibits_Orange-May01" xfId="1626" xr:uid="{00000000-0005-0000-0000-0000ED000000}"/>
    <cellStyle name="_Currency_Company1428 model 15-exhibits_Company1428 model 16DP3-Exhibits_Orange-May01_FT-6June2001" xfId="1627" xr:uid="{00000000-0005-0000-0000-0000EE000000}"/>
    <cellStyle name="_Currency_Company1428 model 15-exhibits_Company1428 model 16DP3-Exhibits_T_MOBIL2" xfId="1628" xr:uid="{00000000-0005-0000-0000-0000EF000000}"/>
    <cellStyle name="_Currency_Company1428 model 15-exhibits_Company1428 model 16DP3-Exhibits_T_MOBIL2_ORA 051102" xfId="1629" xr:uid="{00000000-0005-0000-0000-0000F0000000}"/>
    <cellStyle name="_Currency_Company1428 model 15-exhibits_Company1428 model 16DP3-Exhibits_T_MOBIL2_Orange-May01" xfId="1630" xr:uid="{00000000-0005-0000-0000-0000F1000000}"/>
    <cellStyle name="_Currency_Company1428 model 15-exhibits_Company1428 model 16DP3-Exhibits_T_MOBIL2_Orange-May01_Company2750 Company1835 November 2002" xfId="1631" xr:uid="{00000000-0005-0000-0000-0000F2000000}"/>
    <cellStyle name="_Currency_Company1428 model 15-exhibits_Company1428 model 16DP3-Exhibits_T_MOBIL2_Company2750 Company1835" xfId="1632" xr:uid="{00000000-0005-0000-0000-0000F3000000}"/>
    <cellStyle name="_Currency_Company1428 model 15-exhibits_Company1428 model 16DP3-Exhibits_T_MOBIL2_wireless" xfId="1633" xr:uid="{00000000-0005-0000-0000-0000F4000000}"/>
    <cellStyle name="_Currency_Company1428 model 15-exhibits_Company1428 model 16DP3-Exhibits_Company2750 Company1835" xfId="1634" xr:uid="{00000000-0005-0000-0000-0000F5000000}"/>
    <cellStyle name="_Currency_Company1428 model 15-exhibits_Company1428 model 16DP3-Exhibits_TelenorInitiation-11Jan01" xfId="1635" xr:uid="{00000000-0005-0000-0000-0000F6000000}"/>
    <cellStyle name="_Currency_Company1428 model 15-exhibits_Company1428 model 16DP3-Exhibits_TelenorWIPFeb01" xfId="1636" xr:uid="{00000000-0005-0000-0000-0000F7000000}"/>
    <cellStyle name="_Currency_Company1428 model 15-exhibits_Company1428 model 16DP3-Exhibits_wireless" xfId="1637" xr:uid="{00000000-0005-0000-0000-0000F8000000}"/>
    <cellStyle name="_Currency_Company1428 model 15-exhibits_Company1428 model 18DP-exhibits" xfId="1638" xr:uid="{00000000-0005-0000-0000-0000F9000000}"/>
    <cellStyle name="_Currency_Company1428 model 15-exhibits_Company1428 model 18DP-exhibits_3G Models" xfId="1639" xr:uid="{00000000-0005-0000-0000-0000FA000000}"/>
    <cellStyle name="_Currency_Company1428 model 15-exhibits_Orange-May01" xfId="1640" xr:uid="{00000000-0005-0000-0000-0000FB000000}"/>
    <cellStyle name="_Currency_Company1428 model 15-exhibits_Orange-Sep01" xfId="1641" xr:uid="{00000000-0005-0000-0000-0000FC000000}"/>
    <cellStyle name="_Currency_Company1428 model 15-exhibits-Friso2" xfId="1642" xr:uid="{00000000-0005-0000-0000-0000FD000000}"/>
    <cellStyle name="_Currency_Company1428 model 15-exhibits-Friso2_3G Models" xfId="1643" xr:uid="{00000000-0005-0000-0000-0000FE000000}"/>
    <cellStyle name="_Currency_Company1428 model 15-exhibits-Friso2_FT-6June2001" xfId="1644" xr:uid="{00000000-0005-0000-0000-0000FF000000}"/>
    <cellStyle name="_Currency_Company1428 model 15-exhibits-Friso2_Company1428 model 16DP3-Exhibits" xfId="1645" xr:uid="{00000000-0005-0000-0000-000000010000}"/>
    <cellStyle name="_Currency_Company1428 model 15-exhibits-Friso2_Company1428 model 16DP3-Exhibits_3G Models" xfId="1646" xr:uid="{00000000-0005-0000-0000-000001010000}"/>
    <cellStyle name="_Currency_Company1428 model 15-exhibits-Friso2_Company1428 model 16DP3-Exhibits_ORA 051102" xfId="1647" xr:uid="{00000000-0005-0000-0000-000002010000}"/>
    <cellStyle name="_Currency_Company1428 model 15-exhibits-Friso2_Company1428 model 16DP3-Exhibits_Orange-Mar01" xfId="1648" xr:uid="{00000000-0005-0000-0000-000003010000}"/>
    <cellStyle name="_Currency_Company1428 model 15-exhibits-Friso2_Company1428 model 16DP3-Exhibits_Orange-May01" xfId="1649" xr:uid="{00000000-0005-0000-0000-000004010000}"/>
    <cellStyle name="_Currency_Company1428 model 15-exhibits-Friso2_Company1428 model 16DP3-Exhibits_Orange-May01_FT-6June2001" xfId="1650" xr:uid="{00000000-0005-0000-0000-000005010000}"/>
    <cellStyle name="_Currency_Company1428 model 15-exhibits-Friso2_Company1428 model 16DP3-Exhibits_T_MOBIL2" xfId="1651" xr:uid="{00000000-0005-0000-0000-000006010000}"/>
    <cellStyle name="_Currency_Company1428 model 15-exhibits-Friso2_Company1428 model 16DP3-Exhibits_T_MOBIL2_ORA 051102" xfId="1652" xr:uid="{00000000-0005-0000-0000-000007010000}"/>
    <cellStyle name="_Currency_Company1428 model 15-exhibits-Friso2_Company1428 model 16DP3-Exhibits_T_MOBIL2_Orange-May01" xfId="1653" xr:uid="{00000000-0005-0000-0000-000008010000}"/>
    <cellStyle name="_Currency_Company1428 model 15-exhibits-Friso2_Company1428 model 16DP3-Exhibits_T_MOBIL2_Orange-May01_Company2750 Company1835 November 2002" xfId="1654" xr:uid="{00000000-0005-0000-0000-000009010000}"/>
    <cellStyle name="_Currency_Company1428 model 15-exhibits-Friso2_Company1428 model 16DP3-Exhibits_T_MOBIL2_Company2750 Company1835" xfId="1655" xr:uid="{00000000-0005-0000-0000-00000A010000}"/>
    <cellStyle name="_Currency_Company1428 model 15-exhibits-Friso2_Company1428 model 16DP3-Exhibits_T_MOBIL2_wireless" xfId="1656" xr:uid="{00000000-0005-0000-0000-00000B010000}"/>
    <cellStyle name="_Currency_Company1428 model 15-exhibits-Friso2_Company1428 model 16DP3-Exhibits_Company2750 Company1835" xfId="1657" xr:uid="{00000000-0005-0000-0000-00000C010000}"/>
    <cellStyle name="_Currency_Company1428 model 15-exhibits-Friso2_Company1428 model 16DP3-Exhibits_TelenorInitiation-11Jan01" xfId="1658" xr:uid="{00000000-0005-0000-0000-00000D010000}"/>
    <cellStyle name="_Currency_Company1428 model 15-exhibits-Friso2_Company1428 model 16DP3-Exhibits_TelenorWIPFeb01" xfId="1659" xr:uid="{00000000-0005-0000-0000-00000E010000}"/>
    <cellStyle name="_Currency_Company1428 model 15-exhibits-Friso2_Company1428 model 16DP3-Exhibits_wireless" xfId="1660" xr:uid="{00000000-0005-0000-0000-00000F010000}"/>
    <cellStyle name="_Currency_Company1428 model 15-exhibits-Friso2_Company1428 model 18DP-exhibits" xfId="1661" xr:uid="{00000000-0005-0000-0000-000010010000}"/>
    <cellStyle name="_Currency_Company1428 model 15-exhibits-Friso2_Company1428 model 18DP-exhibits_3G Models" xfId="1662" xr:uid="{00000000-0005-0000-0000-000011010000}"/>
    <cellStyle name="_Currency_Company1428 model 15-exhibits-Friso2_Orange-May01" xfId="1663" xr:uid="{00000000-0005-0000-0000-000012010000}"/>
    <cellStyle name="_Currency_Company1428 model 15-exhibits-Friso2_Orange-Sep01" xfId="1664" xr:uid="{00000000-0005-0000-0000-000013010000}"/>
    <cellStyle name="_Currency_JDSU initiation report tables" xfId="1665" xr:uid="{00000000-0005-0000-0000-000014010000}"/>
    <cellStyle name="_Currency_JDSUMOD" xfId="1666" xr:uid="{00000000-0005-0000-0000-000015010000}"/>
    <cellStyle name="_Currency_JP" xfId="908" xr:uid="{00000000-0005-0000-0000-000016010000}"/>
    <cellStyle name="_Currency_Company1563" xfId="909" xr:uid="{00000000-0005-0000-0000-000017010000}"/>
    <cellStyle name="_Currency_mcdta_model" xfId="168" xr:uid="{00000000-0005-0000-0000-000018010000}"/>
    <cellStyle name="_Currency_MET" xfId="910" xr:uid="{00000000-0005-0000-0000-000019010000}"/>
    <cellStyle name="_Currency_MET04" xfId="911" xr:uid="{00000000-0005-0000-0000-00001A010000}"/>
    <cellStyle name="_Currency_Mobile content market - public" xfId="169" xr:uid="{00000000-0005-0000-0000-00001B010000}"/>
    <cellStyle name="_Currency_Company1874" xfId="912" xr:uid="{00000000-0005-0000-0000-00001C010000}"/>
    <cellStyle name="_Currency_NSCNqtis" xfId="170" xr:uid="{00000000-0005-0000-0000-00001D010000}"/>
    <cellStyle name="_Currency_NTMOD" xfId="1667" xr:uid="{00000000-0005-0000-0000-00001E010000}"/>
    <cellStyle name="_Currency_Company1920" xfId="171" xr:uid="{00000000-0005-0000-0000-00001F010000}"/>
    <cellStyle name="_Currency_Company1920 2" xfId="1668" xr:uid="{00000000-0005-0000-0000-000020010000}"/>
    <cellStyle name="_Currency_Orange-Mar01" xfId="1669" xr:uid="{00000000-0005-0000-0000-000021010000}"/>
    <cellStyle name="_Currency_Orange-May01" xfId="1670" xr:uid="{00000000-0005-0000-0000-000022010000}"/>
    <cellStyle name="_Currency_Overseas" xfId="1671" xr:uid="{00000000-0005-0000-0000-000023010000}"/>
    <cellStyle name="_Currency_Overview3" xfId="913" xr:uid="{00000000-0005-0000-0000-000024010000}"/>
    <cellStyle name="_Currency_PCS" xfId="172" xr:uid="{00000000-0005-0000-0000-000025010000}"/>
    <cellStyle name="_Currency_PCS 2" xfId="1672" xr:uid="{00000000-0005-0000-0000-000026010000}"/>
    <cellStyle name="_Currency_phil data" xfId="914" xr:uid="{00000000-0005-0000-0000-000027010000}"/>
    <cellStyle name="_Currency_PLUMqtis" xfId="173" xr:uid="{00000000-0005-0000-0000-000028010000}"/>
    <cellStyle name="_Currency_Price Performance Charts" xfId="915" xr:uid="{00000000-0005-0000-0000-000029010000}"/>
    <cellStyle name="_Currency_Company2120" xfId="916" xr:uid="{00000000-0005-0000-0000-00002A010000}"/>
    <cellStyle name="_Currency_PRU04" xfId="917" xr:uid="{00000000-0005-0000-0000-00002B010000}"/>
    <cellStyle name="_Currency_Company2187_MOD" xfId="1673" xr:uid="{00000000-0005-0000-0000-00002C010000}"/>
    <cellStyle name="_Currency_Company2187_MOD_IN PROGRESS" xfId="1674" xr:uid="{00000000-0005-0000-0000-00002D010000}"/>
    <cellStyle name="_Currency_Company2188" xfId="1675" xr:uid="{00000000-0005-0000-0000-00002E010000}"/>
    <cellStyle name="_Currency_QCOMMOD" xfId="1676" xr:uid="{00000000-0005-0000-0000-00002F010000}"/>
    <cellStyle name="_Currency_RBOC historicals" xfId="174" xr:uid="{00000000-0005-0000-0000-000030010000}"/>
    <cellStyle name="_Currency_RIMMMOD" xfId="1677" xr:uid="{00000000-0005-0000-0000-000031010000}"/>
    <cellStyle name="_Currency_RiskReward" xfId="918" xr:uid="{00000000-0005-0000-0000-000032010000}"/>
    <cellStyle name="_Currency_SFG" xfId="919" xr:uid="{00000000-0005-0000-0000-000033010000}"/>
    <cellStyle name="_Currency_Sheet1" xfId="920" xr:uid="{00000000-0005-0000-0000-000034010000}"/>
    <cellStyle name="_Currency_Sheet2" xfId="175" xr:uid="{00000000-0005-0000-0000-000035010000}"/>
    <cellStyle name="_Currency_Stock-QTR1 FDS" xfId="921" xr:uid="{00000000-0005-0000-0000-000036010000}"/>
    <cellStyle name="_Currency_SUNWDCFtemp" xfId="176" xr:uid="{00000000-0005-0000-0000-000037010000}"/>
    <cellStyle name="_Currency_symcqtis" xfId="177" xr:uid="{00000000-0005-0000-0000-000038010000}"/>
    <cellStyle name="_Currency_T - new" xfId="178" xr:uid="{00000000-0005-0000-0000-000039010000}"/>
    <cellStyle name="_Currency_T - new 2" xfId="1678" xr:uid="{00000000-0005-0000-0000-00003A010000}"/>
    <cellStyle name="_Currency_TelenorInitiation-11Jan01" xfId="1679" xr:uid="{00000000-0005-0000-0000-00003B010000}"/>
    <cellStyle name="_Currency_TelenorWIPFeb01" xfId="1680" xr:uid="{00000000-0005-0000-0000-00003C010000}"/>
    <cellStyle name="_Currency_THE TELECOM SERVICES CSC (3Q99)_AP2K_SU" xfId="1681" xr:uid="{00000000-0005-0000-0000-00003D010000}"/>
    <cellStyle name="_Currency_THE TELECOM SERVICES CSC (3Q99)_AP2K_SU_Top 100 Carrier List" xfId="1682" xr:uid="{00000000-0005-0000-0000-00003E010000}"/>
    <cellStyle name="_Currency_Company2661" xfId="922" xr:uid="{00000000-0005-0000-0000-00003F010000}"/>
    <cellStyle name="_Currency_Top 100 Carrier List" xfId="1683" xr:uid="{00000000-0005-0000-0000-000040010000}"/>
    <cellStyle name="_Currency_Updated Valuation Changes" xfId="923" xr:uid="{00000000-0005-0000-0000-000041010000}"/>
    <cellStyle name="_Currency_US Wireless Industry Model (Person0741 INTERNAL ONLY)" xfId="1684" xr:uid="{00000000-0005-0000-0000-000042010000}"/>
    <cellStyle name="_Currency_Valuation Graphs" xfId="924" xr:uid="{00000000-0005-0000-0000-000043010000}"/>
    <cellStyle name="_Currency_Company2879_Model" xfId="179" xr:uid="{00000000-0005-0000-0000-000044010000}"/>
    <cellStyle name="_Currency_Company2879-SYMC Merger Model" xfId="180" xr:uid="{00000000-0005-0000-0000-000045010000}"/>
    <cellStyle name="_Currency_VZ" xfId="181" xr:uid="{00000000-0005-0000-0000-000046010000}"/>
    <cellStyle name="_Currency_Company2891" xfId="182" xr:uid="{00000000-0005-0000-0000-000047010000}"/>
    <cellStyle name="_Currency_Weekly Product UPDATED for Product0304 - for the Initiation Report Tables" xfId="1685" xr:uid="{00000000-0005-0000-0000-000048010000}"/>
    <cellStyle name="_Currency_wireless" xfId="1686" xr:uid="{00000000-0005-0000-0000-000049010000}"/>
    <cellStyle name="_Currency_Wireless data tables" xfId="1687" xr:uid="{00000000-0005-0000-0000-00004A010000}"/>
    <cellStyle name="_Currency_wireless_1" xfId="1688" xr:uid="{00000000-0005-0000-0000-00004B010000}"/>
    <cellStyle name="_Currency_xratio - historical mkt val" xfId="925" xr:uid="{00000000-0005-0000-0000-00004C010000}"/>
    <cellStyle name="_CurrencySpace" xfId="183" xr:uid="{00000000-0005-0000-0000-00004D010000}"/>
    <cellStyle name="_CurrencySpace 2" xfId="1689" xr:uid="{00000000-0005-0000-0000-00004E010000}"/>
    <cellStyle name="_CurrencySpace_01 adj for merger plan" xfId="926" xr:uid="{00000000-0005-0000-0000-00004F010000}"/>
    <cellStyle name="_CurrencySpace_Ability to Pay Analysis" xfId="927" xr:uid="{00000000-0005-0000-0000-000050010000}"/>
    <cellStyle name="_CurrencySpace_AFL" xfId="928" xr:uid="{00000000-0005-0000-0000-000051010000}"/>
    <cellStyle name="_CurrencySpace_Company0064" xfId="929" xr:uid="{00000000-0005-0000-0000-000052010000}"/>
    <cellStyle name="_CurrencySpace_Americas" xfId="184" xr:uid="{00000000-0005-0000-0000-000053010000}"/>
    <cellStyle name="_CurrencySpace_AMP" xfId="930" xr:uid="{00000000-0005-0000-0000-000054010000}"/>
    <cellStyle name="_CurrencySpace_Balance Sheet" xfId="931" xr:uid="{00000000-0005-0000-0000-000055010000}"/>
    <cellStyle name="_CurrencySpace_BHI" xfId="185" xr:uid="{00000000-0005-0000-0000-000056010000}"/>
    <cellStyle name="_CurrencySpace_bls roic" xfId="186" xr:uid="{00000000-0005-0000-0000-000057010000}"/>
    <cellStyle name="_CurrencySpace_bls roic 2" xfId="1690" xr:uid="{00000000-0005-0000-0000-000058010000}"/>
    <cellStyle name="_CurrencySpace_Book1" xfId="932" xr:uid="{00000000-0005-0000-0000-000059010000}"/>
    <cellStyle name="_CurrencySpace_Book29" xfId="933" xr:uid="{00000000-0005-0000-0000-00005A010000}"/>
    <cellStyle name="_CurrencySpace_Book3" xfId="187" xr:uid="{00000000-0005-0000-0000-00005B010000}"/>
    <cellStyle name="_CurrencySpace_Book3_1" xfId="934" xr:uid="{00000000-0005-0000-0000-00005C010000}"/>
    <cellStyle name="_CurrencySpace_capital expenditures 6-18-02" xfId="188" xr:uid="{00000000-0005-0000-0000-00005D010000}"/>
    <cellStyle name="_CurrencySpace_capital expenditures 6-18-02 2" xfId="1691" xr:uid="{00000000-0005-0000-0000-00005E010000}"/>
    <cellStyle name="_CurrencySpace_Charts for Reinstatement Report" xfId="189" xr:uid="{00000000-0005-0000-0000-00005F010000}"/>
    <cellStyle name="_CurrencySpace_CMVTMOD IS, BS, CS" xfId="1692" xr:uid="{00000000-0005-0000-0000-000060010000}"/>
    <cellStyle name="_CurrencySpace_Company0529" xfId="935" xr:uid="{00000000-0005-0000-0000-000061010000}"/>
    <cellStyle name="_CurrencySpace_Company0610_MOD" xfId="1693" xr:uid="{00000000-0005-0000-0000-000062010000}"/>
    <cellStyle name="_CurrencySpace_CSCOMOD" xfId="1694" xr:uid="{00000000-0005-0000-0000-000063010000}"/>
    <cellStyle name="_CurrencySpace_DCF Alexander Person0382" xfId="936" xr:uid="{00000000-0005-0000-0000-000064010000}"/>
    <cellStyle name="_CurrencySpace_document(1)" xfId="190" xr:uid="{00000000-0005-0000-0000-000065010000}"/>
    <cellStyle name="_CurrencySpace_fmbi counties" xfId="937" xr:uid="{00000000-0005-0000-0000-000066010000}"/>
    <cellStyle name="_CurrencySpace_FMBI MBHI Graphs" xfId="938" xr:uid="{00000000-0005-0000-0000-000067010000}"/>
    <cellStyle name="_CurrencySpace_FMBI MBHI Graphs 07102001" xfId="939" xr:uid="{00000000-0005-0000-0000-000068010000}"/>
    <cellStyle name="_CurrencySpace_FMBI MBHI Graphs_7601" xfId="940" xr:uid="{00000000-0005-0000-0000-000069010000}"/>
    <cellStyle name="_CurrencySpace_GLWMOD" xfId="1695" xr:uid="{00000000-0005-0000-0000-00006A010000}"/>
    <cellStyle name="_CurrencySpace_Company1093" xfId="941" xr:uid="{00000000-0005-0000-0000-00006B010000}"/>
    <cellStyle name="_CurrencySpace_gs_beas_internal" xfId="191" xr:uid="{00000000-0005-0000-0000-00006C010000}"/>
    <cellStyle name="_CurrencySpace_gs_bmc_internal" xfId="192" xr:uid="{00000000-0005-0000-0000-00006D010000}"/>
    <cellStyle name="_CurrencySpace_Ticker0015_mcdta_model_ext-values" xfId="193" xr:uid="{00000000-0005-0000-0000-00006E010000}"/>
    <cellStyle name="_CurrencySpace_gs_merq_internal" xfId="194" xr:uid="{00000000-0005-0000-0000-00006F010000}"/>
    <cellStyle name="_CurrencySpace_gs_NET_internal" xfId="195" xr:uid="{00000000-0005-0000-0000-000070010000}"/>
    <cellStyle name="_CurrencySpace_gs_nscn_internal" xfId="196" xr:uid="{00000000-0005-0000-0000-000071010000}"/>
    <cellStyle name="_CurrencySpace_gs_qsft_internal" xfId="197" xr:uid="{00000000-0005-0000-0000-000072010000}"/>
    <cellStyle name="_CurrencySpace_gs_successfactors_internal" xfId="198" xr:uid="{00000000-0005-0000-0000-000073010000}"/>
    <cellStyle name="_CurrencySpace_gs_symc_internal" xfId="199" xr:uid="{00000000-0005-0000-0000-000074010000}"/>
    <cellStyle name="_CurrencySpace_gs_vrsn_internal" xfId="200" xr:uid="{00000000-0005-0000-0000-000075010000}"/>
    <cellStyle name="_CurrencySpace_gs_vrsn_public" xfId="201" xr:uid="{00000000-0005-0000-0000-000076010000}"/>
    <cellStyle name="_CurrencySpace_Initiation Report Tables" xfId="1696" xr:uid="{00000000-0005-0000-0000-000077010000}"/>
    <cellStyle name="_CurrencySpace_Insurance Brokerage CSC_1Q2002" xfId="942" xr:uid="{00000000-0005-0000-0000-000078010000}"/>
    <cellStyle name="_CurrencySpace_IS" xfId="1697" xr:uid="{00000000-0005-0000-0000-000079010000}"/>
    <cellStyle name="_CurrencySpace_JDSU initiation report tables" xfId="1698" xr:uid="{00000000-0005-0000-0000-00007A010000}"/>
    <cellStyle name="_CurrencySpace_JDSUMOD" xfId="1699" xr:uid="{00000000-0005-0000-0000-00007B010000}"/>
    <cellStyle name="_CurrencySpace_JP" xfId="943" xr:uid="{00000000-0005-0000-0000-00007C010000}"/>
    <cellStyle name="_CurrencySpace_Company1563" xfId="944" xr:uid="{00000000-0005-0000-0000-00007D010000}"/>
    <cellStyle name="_CurrencySpace_mcdta_model" xfId="202" xr:uid="{00000000-0005-0000-0000-00007E010000}"/>
    <cellStyle name="_CurrencySpace_MET" xfId="945" xr:uid="{00000000-0005-0000-0000-00007F010000}"/>
    <cellStyle name="_CurrencySpace_MET04" xfId="946" xr:uid="{00000000-0005-0000-0000-000080010000}"/>
    <cellStyle name="_CurrencySpace_Mobile content market - public" xfId="203" xr:uid="{00000000-0005-0000-0000-000081010000}"/>
    <cellStyle name="_CurrencySpace_Company1874" xfId="947" xr:uid="{00000000-0005-0000-0000-000082010000}"/>
    <cellStyle name="_CurrencySpace_NSCNqtis" xfId="204" xr:uid="{00000000-0005-0000-0000-000083010000}"/>
    <cellStyle name="_CurrencySpace_NTMOD" xfId="1700" xr:uid="{00000000-0005-0000-0000-000084010000}"/>
    <cellStyle name="_CurrencySpace_Overview3" xfId="948" xr:uid="{00000000-0005-0000-0000-000085010000}"/>
    <cellStyle name="_CurrencySpace_phil data" xfId="949" xr:uid="{00000000-0005-0000-0000-000086010000}"/>
    <cellStyle name="_CurrencySpace_Price Performance Charts" xfId="950" xr:uid="{00000000-0005-0000-0000-000087010000}"/>
    <cellStyle name="_CurrencySpace_Company2120" xfId="951" xr:uid="{00000000-0005-0000-0000-000088010000}"/>
    <cellStyle name="_CurrencySpace_PRU04" xfId="952" xr:uid="{00000000-0005-0000-0000-000089010000}"/>
    <cellStyle name="_CurrencySpace_Company2187_MOD" xfId="1701" xr:uid="{00000000-0005-0000-0000-00008A010000}"/>
    <cellStyle name="_CurrencySpace_Company2187_MOD_IN PROGRESS" xfId="1702" xr:uid="{00000000-0005-0000-0000-00008B010000}"/>
    <cellStyle name="_CurrencySpace_Company2188" xfId="1703" xr:uid="{00000000-0005-0000-0000-00008C010000}"/>
    <cellStyle name="_CurrencySpace_QCOMMOD" xfId="1704" xr:uid="{00000000-0005-0000-0000-00008D010000}"/>
    <cellStyle name="_CurrencySpace_qlgc_model" xfId="205" xr:uid="{00000000-0005-0000-0000-00008E010000}"/>
    <cellStyle name="_CurrencySpace_RATLqtis" xfId="206" xr:uid="{00000000-0005-0000-0000-00008F010000}"/>
    <cellStyle name="_CurrencySpace_RATLqtis 2" xfId="1705" xr:uid="{00000000-0005-0000-0000-000090010000}"/>
    <cellStyle name="_CurrencySpace_RBOC historicals" xfId="207" xr:uid="{00000000-0005-0000-0000-000091010000}"/>
    <cellStyle name="_CurrencySpace_RIMMMOD" xfId="1706" xr:uid="{00000000-0005-0000-0000-000092010000}"/>
    <cellStyle name="_CurrencySpace_RiskReward" xfId="953" xr:uid="{00000000-0005-0000-0000-000093010000}"/>
    <cellStyle name="_CurrencySpace_SFG" xfId="954" xr:uid="{00000000-0005-0000-0000-000094010000}"/>
    <cellStyle name="_CurrencySpace_Sheet1" xfId="955" xr:uid="{00000000-0005-0000-0000-000095010000}"/>
    <cellStyle name="_CurrencySpace_Sheet2" xfId="208" xr:uid="{00000000-0005-0000-0000-000096010000}"/>
    <cellStyle name="_CurrencySpace_Stock-QTR1 FDS" xfId="956" xr:uid="{00000000-0005-0000-0000-000097010000}"/>
    <cellStyle name="_CurrencySpace_SUNWDCFtemp" xfId="209" xr:uid="{00000000-0005-0000-0000-000098010000}"/>
    <cellStyle name="_CurrencySpace_T - new" xfId="210" xr:uid="{00000000-0005-0000-0000-000099010000}"/>
    <cellStyle name="_CurrencySpace_T - new 2" xfId="1707" xr:uid="{00000000-0005-0000-0000-00009A010000}"/>
    <cellStyle name="_CurrencySpace_Company2661" xfId="957" xr:uid="{00000000-0005-0000-0000-00009B010000}"/>
    <cellStyle name="_CurrencySpace_Top 100 Carrier List" xfId="1708" xr:uid="{00000000-0005-0000-0000-00009C010000}"/>
    <cellStyle name="_CurrencySpace_Updated Valuation Changes" xfId="958" xr:uid="{00000000-0005-0000-0000-00009D010000}"/>
    <cellStyle name="_CurrencySpace_Valuation Graphs" xfId="959" xr:uid="{00000000-0005-0000-0000-00009E010000}"/>
    <cellStyle name="_CurrencySpace_Company2879_Model" xfId="211" xr:uid="{00000000-0005-0000-0000-00009F010000}"/>
    <cellStyle name="_CurrencySpace_Company2879-SYMC Merger Model" xfId="212" xr:uid="{00000000-0005-0000-0000-0000A0010000}"/>
    <cellStyle name="_CurrencySpace_Weekly Product UPDATED for Product0304 - for the Initiation Report Tables" xfId="1709" xr:uid="{00000000-0005-0000-0000-0000A1010000}"/>
    <cellStyle name="_CurrencySpace_Wireless data tables" xfId="1710" xr:uid="{00000000-0005-0000-0000-0000A2010000}"/>
    <cellStyle name="_CurrencySpace_xratio - historical mkt val" xfId="960" xr:uid="{00000000-0005-0000-0000-0000A3010000}"/>
    <cellStyle name="_DCF" xfId="213" xr:uid="{00000000-0005-0000-0000-0000A4010000}"/>
    <cellStyle name="_Company0717" xfId="214" xr:uid="{00000000-0005-0000-0000-0000A5010000}"/>
    <cellStyle name="_Dollar" xfId="961" xr:uid="{00000000-0005-0000-0000-0000A6010000}"/>
    <cellStyle name="_Dollar_3G Models" xfId="1711" xr:uid="{00000000-0005-0000-0000-0000A7010000}"/>
    <cellStyle name="_Dollar_FT-6June2001" xfId="1712" xr:uid="{00000000-0005-0000-0000-0000A8010000}"/>
    <cellStyle name="_Dollar_Company1428 model 16DP3-Exhibits" xfId="1713" xr:uid="{00000000-0005-0000-0000-0000A9010000}"/>
    <cellStyle name="_Dollar_Company1428 model 16DP3-Exhibits_3G Models" xfId="1714" xr:uid="{00000000-0005-0000-0000-0000AA010000}"/>
    <cellStyle name="_EMC Model" xfId="12" xr:uid="{00000000-0005-0000-0000-0000AB010000}"/>
    <cellStyle name="_EMC Model_Company1211 Model tester" xfId="13" xr:uid="{00000000-0005-0000-0000-0000AC010000}"/>
    <cellStyle name="_EMC New" xfId="14" xr:uid="{00000000-0005-0000-0000-0000AD010000}"/>
    <cellStyle name="_Euro" xfId="215" xr:uid="{00000000-0005-0000-0000-0000AE010000}"/>
    <cellStyle name="_Euro_Request Template" xfId="216" xr:uid="{00000000-0005-0000-0000-0000AF010000}"/>
    <cellStyle name="_exhibits" xfId="217" xr:uid="{00000000-0005-0000-0000-0000B0010000}"/>
    <cellStyle name="_Heading" xfId="218" xr:uid="{00000000-0005-0000-0000-0000B1010000}"/>
    <cellStyle name="_Heading_BLS" xfId="219" xr:uid="{00000000-0005-0000-0000-0000B2010000}"/>
    <cellStyle name="_Heading_bls roic" xfId="220" xr:uid="{00000000-0005-0000-0000-0000B3010000}"/>
    <cellStyle name="_Heading_Book9" xfId="221" xr:uid="{00000000-0005-0000-0000-0000B4010000}"/>
    <cellStyle name="_Heading_Broadband Comps" xfId="222" xr:uid="{00000000-0005-0000-0000-0000B5010000}"/>
    <cellStyle name="_Heading_capital expenditures 6-18-02" xfId="223" xr:uid="{00000000-0005-0000-0000-0000B6010000}"/>
    <cellStyle name="_Heading_Company0619" xfId="224" xr:uid="{00000000-0005-0000-0000-0000B7010000}"/>
    <cellStyle name="_Heading_prestemp" xfId="962" xr:uid="{00000000-0005-0000-0000-0000B8010000}"/>
    <cellStyle name="_Heading_Q" xfId="225" xr:uid="{00000000-0005-0000-0000-0000B9010000}"/>
    <cellStyle name="_Heading_q - new guidance" xfId="226" xr:uid="{00000000-0005-0000-0000-0000BA010000}"/>
    <cellStyle name="_Heading_q - valuation" xfId="227" xr:uid="{00000000-0005-0000-0000-0000BB010000}"/>
    <cellStyle name="_Heading_Q model_041802" xfId="228" xr:uid="{00000000-0005-0000-0000-0000BC010000}"/>
    <cellStyle name="_Heading_Q_update" xfId="229" xr:uid="{00000000-0005-0000-0000-0000BD010000}"/>
    <cellStyle name="_Heading_Company2209 Analysis" xfId="230" xr:uid="{00000000-0005-0000-0000-0000BE010000}"/>
    <cellStyle name="_Heading_RBOC historicals" xfId="231" xr:uid="{00000000-0005-0000-0000-0000BF010000}"/>
    <cellStyle name="_Heading_T - new" xfId="232" xr:uid="{00000000-0005-0000-0000-0000C0010000}"/>
    <cellStyle name="_Heading_VZ" xfId="233" xr:uid="{00000000-0005-0000-0000-0000C1010000}"/>
    <cellStyle name="_Headline" xfId="234" xr:uid="{00000000-0005-0000-0000-0000C2010000}"/>
    <cellStyle name="_Highlight" xfId="235" xr:uid="{00000000-0005-0000-0000-0000C3010000}"/>
    <cellStyle name="_msft-dcf" xfId="236" xr:uid="{00000000-0005-0000-0000-0000C4010000}"/>
    <cellStyle name="_Multiple" xfId="237" xr:uid="{00000000-0005-0000-0000-0000C5010000}"/>
    <cellStyle name="_Multiple_01 adj for merger plan" xfId="963" xr:uid="{00000000-0005-0000-0000-0000C6010000}"/>
    <cellStyle name="_Multiple_Ability to Pay Analysis" xfId="964" xr:uid="{00000000-0005-0000-0000-0000C7010000}"/>
    <cellStyle name="_Multiple_AFL" xfId="965" xr:uid="{00000000-0005-0000-0000-0000C8010000}"/>
    <cellStyle name="_Multiple_Company0064" xfId="966" xr:uid="{00000000-0005-0000-0000-0000C9010000}"/>
    <cellStyle name="_Multiple_AMP" xfId="967" xr:uid="{00000000-0005-0000-0000-0000CA010000}"/>
    <cellStyle name="_Multiple_Balance Sheet" xfId="968" xr:uid="{00000000-0005-0000-0000-0000CB010000}"/>
    <cellStyle name="_Multiple_BHI" xfId="238" xr:uid="{00000000-0005-0000-0000-0000CC010000}"/>
    <cellStyle name="_Multiple_bls roic" xfId="239" xr:uid="{00000000-0005-0000-0000-0000CD010000}"/>
    <cellStyle name="_Multiple_Book1" xfId="969" xr:uid="{00000000-0005-0000-0000-0000CE010000}"/>
    <cellStyle name="_Multiple_Book29" xfId="970" xr:uid="{00000000-0005-0000-0000-0000CF010000}"/>
    <cellStyle name="_Multiple_Book3" xfId="240" xr:uid="{00000000-0005-0000-0000-0000D0010000}"/>
    <cellStyle name="_Multiple_Book3_1" xfId="971" xr:uid="{00000000-0005-0000-0000-0000D1010000}"/>
    <cellStyle name="_Multiple_capital expenditures 6-18-02" xfId="241" xr:uid="{00000000-0005-0000-0000-0000D2010000}"/>
    <cellStyle name="_Multiple_Charts for Reinstatement Report" xfId="242" xr:uid="{00000000-0005-0000-0000-0000D3010000}"/>
    <cellStyle name="_Multiple_Company0529" xfId="972" xr:uid="{00000000-0005-0000-0000-0000D4010000}"/>
    <cellStyle name="_Multiple_DCF (ESO)" xfId="243" xr:uid="{00000000-0005-0000-0000-0000D5010000}"/>
    <cellStyle name="_Multiple_DCF Alexander Person0382" xfId="973" xr:uid="{00000000-0005-0000-0000-0000D6010000}"/>
    <cellStyle name="_Multiple_document(1)" xfId="244" xr:uid="{00000000-0005-0000-0000-0000D7010000}"/>
    <cellStyle name="_Multiple_fmbi counties" xfId="974" xr:uid="{00000000-0005-0000-0000-0000D8010000}"/>
    <cellStyle name="_Multiple_FMBI MBHI Graphs" xfId="975" xr:uid="{00000000-0005-0000-0000-0000D9010000}"/>
    <cellStyle name="_Multiple_FMBI MBHI Graphs 07102001" xfId="976" xr:uid="{00000000-0005-0000-0000-0000DA010000}"/>
    <cellStyle name="_Multiple_FMBI MBHI Graphs_7601" xfId="977" xr:uid="{00000000-0005-0000-0000-0000DB010000}"/>
    <cellStyle name="_Multiple_Company1093" xfId="978" xr:uid="{00000000-0005-0000-0000-0000DC010000}"/>
    <cellStyle name="_Multiple_gs_beas_internal" xfId="245" xr:uid="{00000000-0005-0000-0000-0000DD010000}"/>
    <cellStyle name="_Multiple_gs_bmc_internal" xfId="246" xr:uid="{00000000-0005-0000-0000-0000DE010000}"/>
    <cellStyle name="_Multiple_gs_ca_internal" xfId="247" xr:uid="{00000000-0005-0000-0000-0000DF010000}"/>
    <cellStyle name="_Multiple_gs_ctxs_internal" xfId="248" xr:uid="{00000000-0005-0000-0000-0000E0010000}"/>
    <cellStyle name="_Multiple_gs_merq_internal" xfId="249" xr:uid="{00000000-0005-0000-0000-0000E1010000}"/>
    <cellStyle name="_Multiple_gs_NET_internal" xfId="250" xr:uid="{00000000-0005-0000-0000-0000E2010000}"/>
    <cellStyle name="_Multiple_gs_nscn_internal" xfId="251" xr:uid="{00000000-0005-0000-0000-0000E3010000}"/>
    <cellStyle name="_Multiple_gs_qsft_internal" xfId="252" xr:uid="{00000000-0005-0000-0000-0000E4010000}"/>
    <cellStyle name="_Multiple_gs_scur_internal " xfId="253" xr:uid="{00000000-0005-0000-0000-0000E5010000}"/>
    <cellStyle name="_Multiple_gs_symc_internal" xfId="254" xr:uid="{00000000-0005-0000-0000-0000E6010000}"/>
    <cellStyle name="_Multiple_gs_tibx_internal" xfId="255" xr:uid="{00000000-0005-0000-0000-0000E7010000}"/>
    <cellStyle name="_Multiple_gs_tibx_internal _FG" xfId="256" xr:uid="{00000000-0005-0000-0000-0000E8010000}"/>
    <cellStyle name="_Multiple_gs_vrsn_internal" xfId="257" xr:uid="{00000000-0005-0000-0000-0000E9010000}"/>
    <cellStyle name="_Multiple_gs_vrsn_public" xfId="258" xr:uid="{00000000-0005-0000-0000-0000EA010000}"/>
    <cellStyle name="_Multiple_Insurance Brokerage CSC_1Q2002" xfId="979" xr:uid="{00000000-0005-0000-0000-0000EB010000}"/>
    <cellStyle name="_Multiple_JP" xfId="980" xr:uid="{00000000-0005-0000-0000-0000EC010000}"/>
    <cellStyle name="_Multiple_Company1563" xfId="981" xr:uid="{00000000-0005-0000-0000-0000ED010000}"/>
    <cellStyle name="_Multiple_mcdta_model" xfId="259" xr:uid="{00000000-0005-0000-0000-0000EE010000}"/>
    <cellStyle name="_Multiple_MET" xfId="982" xr:uid="{00000000-0005-0000-0000-0000EF010000}"/>
    <cellStyle name="_Multiple_MET04" xfId="983" xr:uid="{00000000-0005-0000-0000-0000F0010000}"/>
    <cellStyle name="_Multiple_Mobile content market - public" xfId="260" xr:uid="{00000000-0005-0000-0000-0000F1010000}"/>
    <cellStyle name="_Multiple_Company1874" xfId="984" xr:uid="{00000000-0005-0000-0000-0000F2010000}"/>
    <cellStyle name="_Multiple_NSCNqtis" xfId="261" xr:uid="{00000000-0005-0000-0000-0000F3010000}"/>
    <cellStyle name="_Multiple_Overview3" xfId="985" xr:uid="{00000000-0005-0000-0000-0000F4010000}"/>
    <cellStyle name="_Multiple_phil data" xfId="986" xr:uid="{00000000-0005-0000-0000-0000F5010000}"/>
    <cellStyle name="_Multiple_PLUMqtis" xfId="262" xr:uid="{00000000-0005-0000-0000-0000F6010000}"/>
    <cellStyle name="_Multiple_Price Performance Charts" xfId="987" xr:uid="{00000000-0005-0000-0000-0000F7010000}"/>
    <cellStyle name="_Multiple_Company2120" xfId="988" xr:uid="{00000000-0005-0000-0000-0000F8010000}"/>
    <cellStyle name="_Multiple_PRU04" xfId="989" xr:uid="{00000000-0005-0000-0000-0000F9010000}"/>
    <cellStyle name="_Multiple_RBOC historicals" xfId="263" xr:uid="{00000000-0005-0000-0000-0000FA010000}"/>
    <cellStyle name="_Multiple_RiskReward" xfId="990" xr:uid="{00000000-0005-0000-0000-0000FB010000}"/>
    <cellStyle name="_Multiple_SFG" xfId="991" xr:uid="{00000000-0005-0000-0000-0000FC010000}"/>
    <cellStyle name="_Multiple_Sheet1" xfId="992" xr:uid="{00000000-0005-0000-0000-0000FD010000}"/>
    <cellStyle name="_Multiple_Sheet2" xfId="264" xr:uid="{00000000-0005-0000-0000-0000FE010000}"/>
    <cellStyle name="_Multiple_Stock-QTR1 FDS" xfId="993" xr:uid="{00000000-0005-0000-0000-0000FF010000}"/>
    <cellStyle name="_Multiple_SUNWDCFtemp" xfId="265" xr:uid="{00000000-0005-0000-0000-000000020000}"/>
    <cellStyle name="_Multiple_symcqtis" xfId="266" xr:uid="{00000000-0005-0000-0000-000001020000}"/>
    <cellStyle name="_Multiple_T - new" xfId="267" xr:uid="{00000000-0005-0000-0000-000002020000}"/>
    <cellStyle name="_Multiple_Company2661" xfId="994" xr:uid="{00000000-0005-0000-0000-000003020000}"/>
    <cellStyle name="_Multiple_Updated Valuation Changes" xfId="995" xr:uid="{00000000-0005-0000-0000-000004020000}"/>
    <cellStyle name="_Multiple_Valuation Graphs" xfId="996" xr:uid="{00000000-0005-0000-0000-000005020000}"/>
    <cellStyle name="_Multiple_Company2879_Model" xfId="268" xr:uid="{00000000-0005-0000-0000-000006020000}"/>
    <cellStyle name="_Multiple_Company2879-SYMC Merger Model" xfId="269" xr:uid="{00000000-0005-0000-0000-000007020000}"/>
    <cellStyle name="_Multiple_xratio - historical mkt val" xfId="997" xr:uid="{00000000-0005-0000-0000-000008020000}"/>
    <cellStyle name="_MultipleSpace" xfId="270" xr:uid="{00000000-0005-0000-0000-000009020000}"/>
    <cellStyle name="_MultipleSpace_01 adj for merger plan" xfId="998" xr:uid="{00000000-0005-0000-0000-00000A020000}"/>
    <cellStyle name="_MultipleSpace_Ability to Pay Analysis" xfId="999" xr:uid="{00000000-0005-0000-0000-00000B020000}"/>
    <cellStyle name="_MultipleSpace_AFL" xfId="1000" xr:uid="{00000000-0005-0000-0000-00000C020000}"/>
    <cellStyle name="_MultipleSpace_Company0064" xfId="1001" xr:uid="{00000000-0005-0000-0000-00000D020000}"/>
    <cellStyle name="_MultipleSpace_AMP" xfId="1002" xr:uid="{00000000-0005-0000-0000-00000E020000}"/>
    <cellStyle name="_MultipleSpace_Balance Sheet" xfId="1003" xr:uid="{00000000-0005-0000-0000-00000F020000}"/>
    <cellStyle name="_MultipleSpace_BHI" xfId="271" xr:uid="{00000000-0005-0000-0000-000010020000}"/>
    <cellStyle name="_MultipleSpace_bls roic" xfId="272" xr:uid="{00000000-0005-0000-0000-000011020000}"/>
    <cellStyle name="_MultipleSpace_Book1" xfId="1004" xr:uid="{00000000-0005-0000-0000-000012020000}"/>
    <cellStyle name="_MultipleSpace_Book29" xfId="1005" xr:uid="{00000000-0005-0000-0000-000013020000}"/>
    <cellStyle name="_MultipleSpace_Book3" xfId="273" xr:uid="{00000000-0005-0000-0000-000014020000}"/>
    <cellStyle name="_MultipleSpace_Book3_1" xfId="1006" xr:uid="{00000000-0005-0000-0000-000015020000}"/>
    <cellStyle name="_MultipleSpace_capital expenditures 6-18-02" xfId="274" xr:uid="{00000000-0005-0000-0000-000016020000}"/>
    <cellStyle name="_MultipleSpace_Charts for Reinstatement Report" xfId="275" xr:uid="{00000000-0005-0000-0000-000017020000}"/>
    <cellStyle name="_MultipleSpace_Company0529" xfId="1007" xr:uid="{00000000-0005-0000-0000-000018020000}"/>
    <cellStyle name="_MultipleSpace_DCF (ESO)" xfId="276" xr:uid="{00000000-0005-0000-0000-000019020000}"/>
    <cellStyle name="_MultipleSpace_DCF Alexander Person0382" xfId="1008" xr:uid="{00000000-0005-0000-0000-00001A020000}"/>
    <cellStyle name="_MultipleSpace_document(1)" xfId="277" xr:uid="{00000000-0005-0000-0000-00001B020000}"/>
    <cellStyle name="_MultipleSpace_fmbi counties" xfId="1009" xr:uid="{00000000-0005-0000-0000-00001C020000}"/>
    <cellStyle name="_MultipleSpace_FMBI MBHI Graphs" xfId="1010" xr:uid="{00000000-0005-0000-0000-00001D020000}"/>
    <cellStyle name="_MultipleSpace_FMBI MBHI Graphs 07102001" xfId="1011" xr:uid="{00000000-0005-0000-0000-00001E020000}"/>
    <cellStyle name="_MultipleSpace_FMBI MBHI Graphs_7601" xfId="1012" xr:uid="{00000000-0005-0000-0000-00001F020000}"/>
    <cellStyle name="_MultipleSpace_Company1093" xfId="1013" xr:uid="{00000000-0005-0000-0000-000020020000}"/>
    <cellStyle name="_MultipleSpace_gs_beas_internal" xfId="278" xr:uid="{00000000-0005-0000-0000-000021020000}"/>
    <cellStyle name="_MultipleSpace_gs_bmc_internal" xfId="279" xr:uid="{00000000-0005-0000-0000-000022020000}"/>
    <cellStyle name="_MultipleSpace_gs_ca_internal" xfId="280" xr:uid="{00000000-0005-0000-0000-000023020000}"/>
    <cellStyle name="_MultipleSpace_gs_ctxs_internal" xfId="281" xr:uid="{00000000-0005-0000-0000-000024020000}"/>
    <cellStyle name="_MultipleSpace_gs_merq_internal" xfId="282" xr:uid="{00000000-0005-0000-0000-000025020000}"/>
    <cellStyle name="_MultipleSpace_gs_NET_internal" xfId="283" xr:uid="{00000000-0005-0000-0000-000026020000}"/>
    <cellStyle name="_MultipleSpace_gs_nscn_internal" xfId="284" xr:uid="{00000000-0005-0000-0000-000027020000}"/>
    <cellStyle name="_MultipleSpace_gs_qsft_internal" xfId="285" xr:uid="{00000000-0005-0000-0000-000028020000}"/>
    <cellStyle name="_MultipleSpace_gs_scur_internal " xfId="286" xr:uid="{00000000-0005-0000-0000-000029020000}"/>
    <cellStyle name="_MultipleSpace_gs_symc_internal" xfId="287" xr:uid="{00000000-0005-0000-0000-00002A020000}"/>
    <cellStyle name="_MultipleSpace_gs_tibx_internal" xfId="288" xr:uid="{00000000-0005-0000-0000-00002B020000}"/>
    <cellStyle name="_MultipleSpace_gs_tibx_internal _FG" xfId="289" xr:uid="{00000000-0005-0000-0000-00002C020000}"/>
    <cellStyle name="_MultipleSpace_gs_vrsn_internal" xfId="290" xr:uid="{00000000-0005-0000-0000-00002D020000}"/>
    <cellStyle name="_MultipleSpace_gs_vrsn_public" xfId="291" xr:uid="{00000000-0005-0000-0000-00002E020000}"/>
    <cellStyle name="_MultipleSpace_Insurance Brokerage CSC_1Q2002" xfId="1014" xr:uid="{00000000-0005-0000-0000-00002F020000}"/>
    <cellStyle name="_MultipleSpace_JP" xfId="1015" xr:uid="{00000000-0005-0000-0000-000030020000}"/>
    <cellStyle name="_MultipleSpace_Company1563" xfId="1016" xr:uid="{00000000-0005-0000-0000-000031020000}"/>
    <cellStyle name="_MultipleSpace_mcdta_model" xfId="292" xr:uid="{00000000-0005-0000-0000-000032020000}"/>
    <cellStyle name="_MultipleSpace_MET" xfId="1017" xr:uid="{00000000-0005-0000-0000-000033020000}"/>
    <cellStyle name="_MultipleSpace_MET04" xfId="1018" xr:uid="{00000000-0005-0000-0000-000034020000}"/>
    <cellStyle name="_MultipleSpace_Mobile content market - public" xfId="293" xr:uid="{00000000-0005-0000-0000-000035020000}"/>
    <cellStyle name="_MultipleSpace_Company1874" xfId="1019" xr:uid="{00000000-0005-0000-0000-000036020000}"/>
    <cellStyle name="_MultipleSpace_NSCNqtis" xfId="294" xr:uid="{00000000-0005-0000-0000-000037020000}"/>
    <cellStyle name="_MultipleSpace_Overview3" xfId="1020" xr:uid="{00000000-0005-0000-0000-000038020000}"/>
    <cellStyle name="_MultipleSpace_phil data" xfId="1021" xr:uid="{00000000-0005-0000-0000-000039020000}"/>
    <cellStyle name="_MultipleSpace_PLUMqtis" xfId="295" xr:uid="{00000000-0005-0000-0000-00003A020000}"/>
    <cellStyle name="_MultipleSpace_Price Performance Charts" xfId="1022" xr:uid="{00000000-0005-0000-0000-00003B020000}"/>
    <cellStyle name="_MultipleSpace_Company2120" xfId="1023" xr:uid="{00000000-0005-0000-0000-00003C020000}"/>
    <cellStyle name="_MultipleSpace_PRU04" xfId="1024" xr:uid="{00000000-0005-0000-0000-00003D020000}"/>
    <cellStyle name="_MultipleSpace_RBOC historicals" xfId="296" xr:uid="{00000000-0005-0000-0000-00003E020000}"/>
    <cellStyle name="_MultipleSpace_RiskReward" xfId="1025" xr:uid="{00000000-0005-0000-0000-00003F020000}"/>
    <cellStyle name="_MultipleSpace_SFG" xfId="1026" xr:uid="{00000000-0005-0000-0000-000040020000}"/>
    <cellStyle name="_MultipleSpace_Sheet1" xfId="1027" xr:uid="{00000000-0005-0000-0000-000041020000}"/>
    <cellStyle name="_MultipleSpace_Sheet2" xfId="297" xr:uid="{00000000-0005-0000-0000-000042020000}"/>
    <cellStyle name="_MultipleSpace_Stock-QTR1 FDS" xfId="1028" xr:uid="{00000000-0005-0000-0000-000043020000}"/>
    <cellStyle name="_MultipleSpace_SUNWDCFtemp" xfId="298" xr:uid="{00000000-0005-0000-0000-000044020000}"/>
    <cellStyle name="_MultipleSpace_symcqtis" xfId="299" xr:uid="{00000000-0005-0000-0000-000045020000}"/>
    <cellStyle name="_MultipleSpace_T - new" xfId="300" xr:uid="{00000000-0005-0000-0000-000046020000}"/>
    <cellStyle name="_MultipleSpace_Company2661" xfId="1029" xr:uid="{00000000-0005-0000-0000-000047020000}"/>
    <cellStyle name="_MultipleSpace_Updated Valuation Changes" xfId="1030" xr:uid="{00000000-0005-0000-0000-000048020000}"/>
    <cellStyle name="_MultipleSpace_Valuation Graphs" xfId="1031" xr:uid="{00000000-0005-0000-0000-000049020000}"/>
    <cellStyle name="_MultipleSpace_Company2879_Model" xfId="301" xr:uid="{00000000-0005-0000-0000-00004A020000}"/>
    <cellStyle name="_MultipleSpace_Company2879-SYMC Merger Model" xfId="302" xr:uid="{00000000-0005-0000-0000-00004B020000}"/>
    <cellStyle name="_MultipleSpace_xratio - historical mkt val" xfId="1032" xr:uid="{00000000-0005-0000-0000-00004C020000}"/>
    <cellStyle name="_Percent" xfId="303" xr:uid="{00000000-0005-0000-0000-00004D020000}"/>
    <cellStyle name="_Percent_BHI" xfId="304" xr:uid="{00000000-0005-0000-0000-00004E020000}"/>
    <cellStyle name="_Percent_Book3" xfId="305" xr:uid="{00000000-0005-0000-0000-00004F020000}"/>
    <cellStyle name="_Percent_Charts for Reinstatement Report" xfId="306" xr:uid="{00000000-0005-0000-0000-000050020000}"/>
    <cellStyle name="_Percent_DCF (ESO)" xfId="307" xr:uid="{00000000-0005-0000-0000-000051020000}"/>
    <cellStyle name="_Percent_DCF Alexander Person0382" xfId="1033" xr:uid="{00000000-0005-0000-0000-000052020000}"/>
    <cellStyle name="_Percent_document(1)" xfId="308" xr:uid="{00000000-0005-0000-0000-000053020000}"/>
    <cellStyle name="_Percent_FMBI MBHI Graphs" xfId="1034" xr:uid="{00000000-0005-0000-0000-000054020000}"/>
    <cellStyle name="_Percent_FMBI MBHI Graphs 07102001" xfId="1035" xr:uid="{00000000-0005-0000-0000-000055020000}"/>
    <cellStyle name="_Percent_FMBI MBHI Graphs_7601" xfId="1036" xr:uid="{00000000-0005-0000-0000-000056020000}"/>
    <cellStyle name="_Percent_gs_beas_internal" xfId="309" xr:uid="{00000000-0005-0000-0000-000057020000}"/>
    <cellStyle name="_Percent_gs_bmc_internal" xfId="310" xr:uid="{00000000-0005-0000-0000-000058020000}"/>
    <cellStyle name="_Percent_gs_ca_internal" xfId="311" xr:uid="{00000000-0005-0000-0000-000059020000}"/>
    <cellStyle name="_Percent_gs_ctxs_internal" xfId="312" xr:uid="{00000000-0005-0000-0000-00005A020000}"/>
    <cellStyle name="_Percent_gs_merq_internal" xfId="313" xr:uid="{00000000-0005-0000-0000-00005B020000}"/>
    <cellStyle name="_Percent_gs_NET_internal" xfId="314" xr:uid="{00000000-0005-0000-0000-00005C020000}"/>
    <cellStyle name="_Percent_gs_nscn_internal" xfId="315" xr:uid="{00000000-0005-0000-0000-00005D020000}"/>
    <cellStyle name="_Percent_gs_qsft_internal" xfId="316" xr:uid="{00000000-0005-0000-0000-00005E020000}"/>
    <cellStyle name="_Percent_gs_scur_internal " xfId="317" xr:uid="{00000000-0005-0000-0000-00005F020000}"/>
    <cellStyle name="_Percent_gs_symc_internal" xfId="318" xr:uid="{00000000-0005-0000-0000-000060020000}"/>
    <cellStyle name="_Percent_gs_tibx_internal" xfId="319" xr:uid="{00000000-0005-0000-0000-000061020000}"/>
    <cellStyle name="_Percent_gs_tibx_internal _FG" xfId="320" xr:uid="{00000000-0005-0000-0000-000062020000}"/>
    <cellStyle name="_Percent_gs_vrsn_internal" xfId="321" xr:uid="{00000000-0005-0000-0000-000063020000}"/>
    <cellStyle name="_Percent_gs_vrsn_public" xfId="322" xr:uid="{00000000-0005-0000-0000-000064020000}"/>
    <cellStyle name="_Percent_mcdta_model" xfId="323" xr:uid="{00000000-0005-0000-0000-000065020000}"/>
    <cellStyle name="_Percent_Mobile content market - public" xfId="324" xr:uid="{00000000-0005-0000-0000-000066020000}"/>
    <cellStyle name="_Percent_NSCNqtis" xfId="325" xr:uid="{00000000-0005-0000-0000-000067020000}"/>
    <cellStyle name="_Percent_PLUMqtis" xfId="326" xr:uid="{00000000-0005-0000-0000-000068020000}"/>
    <cellStyle name="_Percent_Sheet2" xfId="327" xr:uid="{00000000-0005-0000-0000-000069020000}"/>
    <cellStyle name="_Percent_SUNWDCFtemp" xfId="328" xr:uid="{00000000-0005-0000-0000-00006A020000}"/>
    <cellStyle name="_Percent_symcqtis" xfId="329" xr:uid="{00000000-0005-0000-0000-00006B020000}"/>
    <cellStyle name="_Percent_Company2879_Model" xfId="330" xr:uid="{00000000-0005-0000-0000-00006C020000}"/>
    <cellStyle name="_Percent_Company2879-SYMC Merger Model" xfId="331" xr:uid="{00000000-0005-0000-0000-00006D020000}"/>
    <cellStyle name="_PercentSpace" xfId="332" xr:uid="{00000000-0005-0000-0000-00006E020000}"/>
    <cellStyle name="_PercentSpace_01 adj for merger plan" xfId="1037" xr:uid="{00000000-0005-0000-0000-00006F020000}"/>
    <cellStyle name="_PercentSpace_BHI" xfId="333" xr:uid="{00000000-0005-0000-0000-000070020000}"/>
    <cellStyle name="_PercentSpace_Book3" xfId="334" xr:uid="{00000000-0005-0000-0000-000071020000}"/>
    <cellStyle name="_PercentSpace_Charts for Reinstatement Report" xfId="335" xr:uid="{00000000-0005-0000-0000-000072020000}"/>
    <cellStyle name="_PercentSpace_DCF (ESO)" xfId="336" xr:uid="{00000000-0005-0000-0000-000073020000}"/>
    <cellStyle name="_PercentSpace_DCF Alexander Person0382" xfId="1038" xr:uid="{00000000-0005-0000-0000-000074020000}"/>
    <cellStyle name="_PercentSpace_document(1)" xfId="337" xr:uid="{00000000-0005-0000-0000-000075020000}"/>
    <cellStyle name="_PercentSpace_FMBI MBHI Graphs" xfId="1039" xr:uid="{00000000-0005-0000-0000-000076020000}"/>
    <cellStyle name="_PercentSpace_FMBI MBHI Graphs 07102001" xfId="1040" xr:uid="{00000000-0005-0000-0000-000077020000}"/>
    <cellStyle name="_PercentSpace_FMBI MBHI Graphs_7601" xfId="1041" xr:uid="{00000000-0005-0000-0000-000078020000}"/>
    <cellStyle name="_PercentSpace_gs_beas_internal" xfId="338" xr:uid="{00000000-0005-0000-0000-000079020000}"/>
    <cellStyle name="_PercentSpace_gs_bmc_internal" xfId="339" xr:uid="{00000000-0005-0000-0000-00007A020000}"/>
    <cellStyle name="_PercentSpace_gs_ca_internal" xfId="340" xr:uid="{00000000-0005-0000-0000-00007B020000}"/>
    <cellStyle name="_PercentSpace_gs_ctxs_internal" xfId="341" xr:uid="{00000000-0005-0000-0000-00007C020000}"/>
    <cellStyle name="_PercentSpace_gs_merq_internal" xfId="342" xr:uid="{00000000-0005-0000-0000-00007D020000}"/>
    <cellStyle name="_PercentSpace_gs_NET_internal" xfId="343" xr:uid="{00000000-0005-0000-0000-00007E020000}"/>
    <cellStyle name="_PercentSpace_gs_nscn_internal" xfId="344" xr:uid="{00000000-0005-0000-0000-00007F020000}"/>
    <cellStyle name="_PercentSpace_gs_qsft_internal" xfId="345" xr:uid="{00000000-0005-0000-0000-000080020000}"/>
    <cellStyle name="_PercentSpace_gs_scur_internal " xfId="346" xr:uid="{00000000-0005-0000-0000-000081020000}"/>
    <cellStyle name="_PercentSpace_gs_symc_internal" xfId="347" xr:uid="{00000000-0005-0000-0000-000082020000}"/>
    <cellStyle name="_PercentSpace_gs_tibx_internal" xfId="348" xr:uid="{00000000-0005-0000-0000-000083020000}"/>
    <cellStyle name="_PercentSpace_gs_tibx_internal _FG" xfId="349" xr:uid="{00000000-0005-0000-0000-000084020000}"/>
    <cellStyle name="_PercentSpace_gs_vrsn_internal" xfId="350" xr:uid="{00000000-0005-0000-0000-000085020000}"/>
    <cellStyle name="_PercentSpace_gs_vrsn_public" xfId="351" xr:uid="{00000000-0005-0000-0000-000086020000}"/>
    <cellStyle name="_PercentSpace_mcdta_model" xfId="352" xr:uid="{00000000-0005-0000-0000-000087020000}"/>
    <cellStyle name="_PercentSpace_Mobile content market - public" xfId="353" xr:uid="{00000000-0005-0000-0000-000088020000}"/>
    <cellStyle name="_PercentSpace_NSCNqtis" xfId="354" xr:uid="{00000000-0005-0000-0000-000089020000}"/>
    <cellStyle name="_PercentSpace_PLUMqtis" xfId="355" xr:uid="{00000000-0005-0000-0000-00008A020000}"/>
    <cellStyle name="_PercentSpace_Sheet2" xfId="356" xr:uid="{00000000-0005-0000-0000-00008B020000}"/>
    <cellStyle name="_PercentSpace_SUNWDCFtemp" xfId="357" xr:uid="{00000000-0005-0000-0000-00008C020000}"/>
    <cellStyle name="_PercentSpace_symcqtis" xfId="358" xr:uid="{00000000-0005-0000-0000-00008D020000}"/>
    <cellStyle name="_PercentSpace_Company2879_Model" xfId="359" xr:uid="{00000000-0005-0000-0000-00008E020000}"/>
    <cellStyle name="_PercentSpace_Company2879-SYMC Merger Model" xfId="360" xr:uid="{00000000-0005-0000-0000-00008F020000}"/>
    <cellStyle name="_SubHeading" xfId="361" xr:uid="{00000000-0005-0000-0000-000090020000}"/>
    <cellStyle name="_SubHeading_Ability to Pay Analysis" xfId="1042" xr:uid="{00000000-0005-0000-0000-000091020000}"/>
    <cellStyle name="_SubHeading_Company0358 Model" xfId="1043" xr:uid="{00000000-0005-0000-0000-000092020000}"/>
    <cellStyle name="_SubHeading_BLS" xfId="362" xr:uid="{00000000-0005-0000-0000-000093020000}"/>
    <cellStyle name="_SubHeading_bls roic" xfId="363" xr:uid="{00000000-0005-0000-0000-000094020000}"/>
    <cellStyle name="_SubHeading_Book9" xfId="364" xr:uid="{00000000-0005-0000-0000-000095020000}"/>
    <cellStyle name="_SubHeading_Broadband Comps" xfId="365" xr:uid="{00000000-0005-0000-0000-000096020000}"/>
    <cellStyle name="_SubHeading_capital expenditures 6-18-02" xfId="366" xr:uid="{00000000-0005-0000-0000-000097020000}"/>
    <cellStyle name="_SubHeading_Company0619" xfId="367" xr:uid="{00000000-0005-0000-0000-000098020000}"/>
    <cellStyle name="_SubHeading_fmbi counties" xfId="1044" xr:uid="{00000000-0005-0000-0000-000099020000}"/>
    <cellStyle name="_SubHeading_FMBI MBHI Graphs" xfId="1045" xr:uid="{00000000-0005-0000-0000-00009A020000}"/>
    <cellStyle name="_SubHeading_FMBI MBHI Graphs 07102001" xfId="1046" xr:uid="{00000000-0005-0000-0000-00009B020000}"/>
    <cellStyle name="_SubHeading_FMBI MBHI Graphs_7601" xfId="1047" xr:uid="{00000000-0005-0000-0000-00009C020000}"/>
    <cellStyle name="_SubHeading_prestemp" xfId="1048" xr:uid="{00000000-0005-0000-0000-00009D020000}"/>
    <cellStyle name="_SubHeading_prestemp_Insurance Brokerage CSC_1Q2002" xfId="1049" xr:uid="{00000000-0005-0000-0000-00009E020000}"/>
    <cellStyle name="_SubHeading_prestemp_Overview3" xfId="1050" xr:uid="{00000000-0005-0000-0000-00009F020000}"/>
    <cellStyle name="_SubHeading_prestemp_Updated Valuation Changes" xfId="1051" xr:uid="{00000000-0005-0000-0000-0000A0020000}"/>
    <cellStyle name="_SubHeading_Q" xfId="368" xr:uid="{00000000-0005-0000-0000-0000A1020000}"/>
    <cellStyle name="_SubHeading_q - new guidance" xfId="369" xr:uid="{00000000-0005-0000-0000-0000A2020000}"/>
    <cellStyle name="_SubHeading_q - valuation" xfId="370" xr:uid="{00000000-0005-0000-0000-0000A3020000}"/>
    <cellStyle name="_SubHeading_Q model_041802" xfId="371" xr:uid="{00000000-0005-0000-0000-0000A4020000}"/>
    <cellStyle name="_SubHeading_Q_update" xfId="372" xr:uid="{00000000-0005-0000-0000-0000A5020000}"/>
    <cellStyle name="_SubHeading_Company2209 Analysis" xfId="373" xr:uid="{00000000-0005-0000-0000-0000A6020000}"/>
    <cellStyle name="_SubHeading_RBOC historicals" xfId="374" xr:uid="{00000000-0005-0000-0000-0000A7020000}"/>
    <cellStyle name="_SubHeading_T - new" xfId="375" xr:uid="{00000000-0005-0000-0000-0000A8020000}"/>
    <cellStyle name="_SubHeading_VZ" xfId="376" xr:uid="{00000000-0005-0000-0000-0000A9020000}"/>
    <cellStyle name="_SubHeading_xratio - historical mkt val" xfId="1052" xr:uid="{00000000-0005-0000-0000-0000AA020000}"/>
    <cellStyle name="_Table" xfId="377" xr:uid="{00000000-0005-0000-0000-0000AB020000}"/>
    <cellStyle name="_Table_Ability to Pay Analysis" xfId="1053" xr:uid="{00000000-0005-0000-0000-0000AC020000}"/>
    <cellStyle name="_Table_Company0358 Model" xfId="1054" xr:uid="{00000000-0005-0000-0000-0000AD020000}"/>
    <cellStyle name="_Table_BLS" xfId="378" xr:uid="{00000000-0005-0000-0000-0000AE020000}"/>
    <cellStyle name="_Table_bls roic" xfId="379" xr:uid="{00000000-0005-0000-0000-0000AF020000}"/>
    <cellStyle name="_Table_Book9" xfId="380" xr:uid="{00000000-0005-0000-0000-0000B0020000}"/>
    <cellStyle name="_Table_Broadband Comps" xfId="381" xr:uid="{00000000-0005-0000-0000-0000B1020000}"/>
    <cellStyle name="_Table_capital expenditures 6-18-02" xfId="382" xr:uid="{00000000-0005-0000-0000-0000B2020000}"/>
    <cellStyle name="_Table_Company0619" xfId="383" xr:uid="{00000000-0005-0000-0000-0000B3020000}"/>
    <cellStyle name="_Table_fmbi counties" xfId="1055" xr:uid="{00000000-0005-0000-0000-0000B4020000}"/>
    <cellStyle name="_Table_Q" xfId="384" xr:uid="{00000000-0005-0000-0000-0000B5020000}"/>
    <cellStyle name="_Table_q - new guidance" xfId="385" xr:uid="{00000000-0005-0000-0000-0000B6020000}"/>
    <cellStyle name="_Table_q - valuation" xfId="386" xr:uid="{00000000-0005-0000-0000-0000B7020000}"/>
    <cellStyle name="_Table_Q model_041802" xfId="387" xr:uid="{00000000-0005-0000-0000-0000B8020000}"/>
    <cellStyle name="_Table_Q_update" xfId="388" xr:uid="{00000000-0005-0000-0000-0000B9020000}"/>
    <cellStyle name="_Table_Company2209 Analysis" xfId="389" xr:uid="{00000000-0005-0000-0000-0000BA020000}"/>
    <cellStyle name="_Table_RBOC historicals" xfId="390" xr:uid="{00000000-0005-0000-0000-0000BB020000}"/>
    <cellStyle name="_Table_T - new" xfId="391" xr:uid="{00000000-0005-0000-0000-0000BC020000}"/>
    <cellStyle name="_Table_VZ" xfId="392" xr:uid="{00000000-0005-0000-0000-0000BD020000}"/>
    <cellStyle name="_Table_xratio - historical mkt val" xfId="1056" xr:uid="{00000000-0005-0000-0000-0000BE020000}"/>
    <cellStyle name="_TableHead" xfId="393" xr:uid="{00000000-0005-0000-0000-0000BF020000}"/>
    <cellStyle name="_TableHead_BLS" xfId="394" xr:uid="{00000000-0005-0000-0000-0000C0020000}"/>
    <cellStyle name="_TableHead_bls roic" xfId="395" xr:uid="{00000000-0005-0000-0000-0000C1020000}"/>
    <cellStyle name="_TableHead_Book9" xfId="396" xr:uid="{00000000-0005-0000-0000-0000C2020000}"/>
    <cellStyle name="_TableHead_Broadband Comps" xfId="397" xr:uid="{00000000-0005-0000-0000-0000C3020000}"/>
    <cellStyle name="_TableHead_capital expenditures 6-18-02" xfId="398" xr:uid="{00000000-0005-0000-0000-0000C4020000}"/>
    <cellStyle name="_TableHead_Company0619" xfId="399" xr:uid="{00000000-0005-0000-0000-0000C5020000}"/>
    <cellStyle name="_TableHead_Q" xfId="400" xr:uid="{00000000-0005-0000-0000-0000C6020000}"/>
    <cellStyle name="_TableHead_q - new guidance" xfId="401" xr:uid="{00000000-0005-0000-0000-0000C7020000}"/>
    <cellStyle name="_TableHead_q - valuation" xfId="402" xr:uid="{00000000-0005-0000-0000-0000C8020000}"/>
    <cellStyle name="_TableHead_Q model_041802" xfId="403" xr:uid="{00000000-0005-0000-0000-0000C9020000}"/>
    <cellStyle name="_TableHead_Q_update" xfId="404" xr:uid="{00000000-0005-0000-0000-0000CA020000}"/>
    <cellStyle name="_TableHead_QP_XXX" xfId="405" xr:uid="{00000000-0005-0000-0000-0000CB020000}"/>
    <cellStyle name="_TableHead_Company2209 Analysis" xfId="406" xr:uid="{00000000-0005-0000-0000-0000CC020000}"/>
    <cellStyle name="_TableHead_RBOC historicals" xfId="407" xr:uid="{00000000-0005-0000-0000-0000CD020000}"/>
    <cellStyle name="_TableHead_T - new" xfId="408" xr:uid="{00000000-0005-0000-0000-0000CE020000}"/>
    <cellStyle name="_TableHead_VZ" xfId="409" xr:uid="{00000000-0005-0000-0000-0000CF020000}"/>
    <cellStyle name="_TableHeading" xfId="410" xr:uid="{00000000-0005-0000-0000-0000D0020000}"/>
    <cellStyle name="_TableRowBorder" xfId="411" xr:uid="{00000000-0005-0000-0000-0000D1020000}"/>
    <cellStyle name="_TableRowBorder 2" xfId="1182" xr:uid="{00000000-0005-0000-0000-0000D2020000}"/>
    <cellStyle name="_TableRowBorder 2 2" xfId="1395" xr:uid="{00000000-0005-0000-0000-0000D3020000}"/>
    <cellStyle name="_TableRowBorder 3" xfId="1208" xr:uid="{00000000-0005-0000-0000-0000D4020000}"/>
    <cellStyle name="_TableRowBorder 3 2" xfId="1416" xr:uid="{00000000-0005-0000-0000-0000D5020000}"/>
    <cellStyle name="_TableRowBorder 4" xfId="1303" xr:uid="{00000000-0005-0000-0000-0000D6020000}"/>
    <cellStyle name="_TableRowBorder 4 2" xfId="1481" xr:uid="{00000000-0005-0000-0000-0000D7020000}"/>
    <cellStyle name="_TableRowBorder 5" xfId="1128" xr:uid="{00000000-0005-0000-0000-0000D8020000}"/>
    <cellStyle name="_TableRowBorder 5 2" xfId="1363" xr:uid="{00000000-0005-0000-0000-0000D9020000}"/>
    <cellStyle name="_TableRowBorder 6" xfId="1262" xr:uid="{00000000-0005-0000-0000-0000DA020000}"/>
    <cellStyle name="_TableRowBorder 6 2" xfId="1451" xr:uid="{00000000-0005-0000-0000-0000DB020000}"/>
    <cellStyle name="_TableRowBorder 7" xfId="1181" xr:uid="{00000000-0005-0000-0000-0000DC020000}"/>
    <cellStyle name="_TableRowBorder 7 2" xfId="1394" xr:uid="{00000000-0005-0000-0000-0000DD020000}"/>
    <cellStyle name="_TableRowBorder 8" xfId="1337" xr:uid="{00000000-0005-0000-0000-0000DE020000}"/>
    <cellStyle name="_TableRowHead" xfId="412" xr:uid="{00000000-0005-0000-0000-0000DF020000}"/>
    <cellStyle name="_TableRowHead_BLS" xfId="413" xr:uid="{00000000-0005-0000-0000-0000E0020000}"/>
    <cellStyle name="_TableRowHead_bls roic" xfId="414" xr:uid="{00000000-0005-0000-0000-0000E1020000}"/>
    <cellStyle name="_TableRowHead_Book9" xfId="415" xr:uid="{00000000-0005-0000-0000-0000E2020000}"/>
    <cellStyle name="_TableRowHead_Broadband Comps" xfId="416" xr:uid="{00000000-0005-0000-0000-0000E3020000}"/>
    <cellStyle name="_TableRowHead_capital expenditures 6-18-02" xfId="417" xr:uid="{00000000-0005-0000-0000-0000E4020000}"/>
    <cellStyle name="_TableRowHead_Company0619" xfId="418" xr:uid="{00000000-0005-0000-0000-0000E5020000}"/>
    <cellStyle name="_TableRowHead_Q" xfId="419" xr:uid="{00000000-0005-0000-0000-0000E6020000}"/>
    <cellStyle name="_TableRowHead_q - new guidance" xfId="420" xr:uid="{00000000-0005-0000-0000-0000E7020000}"/>
    <cellStyle name="_TableRowHead_q - valuation" xfId="421" xr:uid="{00000000-0005-0000-0000-0000E8020000}"/>
    <cellStyle name="_TableRowHead_Q model_041802" xfId="422" xr:uid="{00000000-0005-0000-0000-0000E9020000}"/>
    <cellStyle name="_TableRowHead_Q_update" xfId="423" xr:uid="{00000000-0005-0000-0000-0000EA020000}"/>
    <cellStyle name="_TableRowHead_QP_XXX" xfId="424" xr:uid="{00000000-0005-0000-0000-0000EB020000}"/>
    <cellStyle name="_TableRowHead_Company2209 Analysis" xfId="425" xr:uid="{00000000-0005-0000-0000-0000EC020000}"/>
    <cellStyle name="_TableRowHead_RBOC historicals" xfId="426" xr:uid="{00000000-0005-0000-0000-0000ED020000}"/>
    <cellStyle name="_TableRowHead_T - new" xfId="427" xr:uid="{00000000-0005-0000-0000-0000EE020000}"/>
    <cellStyle name="_TableRowHead_VZ" xfId="428" xr:uid="{00000000-0005-0000-0000-0000EF020000}"/>
    <cellStyle name="_TableRowHeading" xfId="429" xr:uid="{00000000-0005-0000-0000-0000F0020000}"/>
    <cellStyle name="_TableSuperHead" xfId="430" xr:uid="{00000000-0005-0000-0000-0000F1020000}"/>
    <cellStyle name="_TableSuperHead_Ability to Pay Analysis" xfId="1057" xr:uid="{00000000-0005-0000-0000-0000F2020000}"/>
    <cellStyle name="_TableSuperHead_Company0358 Model" xfId="1058" xr:uid="{00000000-0005-0000-0000-0000F3020000}"/>
    <cellStyle name="_TableSuperHead_BLS" xfId="431" xr:uid="{00000000-0005-0000-0000-0000F4020000}"/>
    <cellStyle name="_TableSuperHead_bls roic" xfId="432" xr:uid="{00000000-0005-0000-0000-0000F5020000}"/>
    <cellStyle name="_TableSuperHead_Book9" xfId="433" xr:uid="{00000000-0005-0000-0000-0000F6020000}"/>
    <cellStyle name="_TableSuperHead_Broadband Comps" xfId="434" xr:uid="{00000000-0005-0000-0000-0000F7020000}"/>
    <cellStyle name="_TableSuperHead_capital expenditures 6-18-02" xfId="435" xr:uid="{00000000-0005-0000-0000-0000F8020000}"/>
    <cellStyle name="_TableSuperHead_Company0619" xfId="436" xr:uid="{00000000-0005-0000-0000-0000F9020000}"/>
    <cellStyle name="_TableSuperHead_fmbi counties" xfId="1059" xr:uid="{00000000-0005-0000-0000-0000FA020000}"/>
    <cellStyle name="_TableSuperHead_Q" xfId="437" xr:uid="{00000000-0005-0000-0000-0000FB020000}"/>
    <cellStyle name="_TableSuperHead_q - new guidance" xfId="438" xr:uid="{00000000-0005-0000-0000-0000FC020000}"/>
    <cellStyle name="_TableSuperHead_q - valuation" xfId="439" xr:uid="{00000000-0005-0000-0000-0000FD020000}"/>
    <cellStyle name="_TableSuperHead_Q model_041802" xfId="440" xr:uid="{00000000-0005-0000-0000-0000FE020000}"/>
    <cellStyle name="_TableSuperHead_Q_update" xfId="441" xr:uid="{00000000-0005-0000-0000-0000FF020000}"/>
    <cellStyle name="_TableSuperHead_Company2209 Analysis" xfId="442" xr:uid="{00000000-0005-0000-0000-000000030000}"/>
    <cellStyle name="_TableSuperHead_RBOC historicals" xfId="443" xr:uid="{00000000-0005-0000-0000-000001030000}"/>
    <cellStyle name="_TableSuperHead_T - new" xfId="444" xr:uid="{00000000-0005-0000-0000-000002030000}"/>
    <cellStyle name="_TableSuperHead_VZ" xfId="445" xr:uid="{00000000-0005-0000-0000-000003030000}"/>
    <cellStyle name="_TableSuperHead_xratio - historical mkt val" xfId="1060" xr:uid="{00000000-0005-0000-0000-000004030000}"/>
    <cellStyle name="_TableSuperHeading" xfId="446" xr:uid="{00000000-0005-0000-0000-000005030000}"/>
    <cellStyle name="_TableText" xfId="447" xr:uid="{00000000-0005-0000-0000-000006030000}"/>
    <cellStyle name="_Template Stats" xfId="448" xr:uid="{00000000-0005-0000-0000-000007030000}"/>
    <cellStyle name="_usr_Person0558_Core_Items" xfId="15" xr:uid="{00000000-0005-0000-0000-000008030000}"/>
    <cellStyle name="£3places" xfId="450" xr:uid="{00000000-0005-0000-0000-000009030000}"/>
    <cellStyle name="=C:\redacted\COMMAND.COM" xfId="449" xr:uid="{00000000-0005-0000-0000-00000A030000}"/>
    <cellStyle name="•W_laroux" xfId="451" xr:uid="{00000000-0005-0000-0000-00000B030000}"/>
    <cellStyle name="0.0" xfId="452" xr:uid="{00000000-0005-0000-0000-00000C030000}"/>
    <cellStyle name="0.00" xfId="453" xr:uid="{00000000-0005-0000-0000-00000D030000}"/>
    <cellStyle name="0.000" xfId="454" xr:uid="{00000000-0005-0000-0000-00000E030000}"/>
    <cellStyle name="a" xfId="455" xr:uid="{00000000-0005-0000-0000-00000F030000}"/>
    <cellStyle name="A$2places" xfId="456" xr:uid="{00000000-0005-0000-0000-000010030000}"/>
    <cellStyle name="A$3places" xfId="457" xr:uid="{00000000-0005-0000-0000-000011030000}"/>
    <cellStyle name="Actual data" xfId="458" xr:uid="{00000000-0005-0000-0000-000012030000}"/>
    <cellStyle name="Actual year" xfId="459" xr:uid="{00000000-0005-0000-0000-000013030000}"/>
    <cellStyle name="Actuals Cells" xfId="460" xr:uid="{00000000-0005-0000-0000-000014030000}"/>
    <cellStyle name="Adj L1" xfId="461" xr:uid="{00000000-0005-0000-0000-000015030000}"/>
    <cellStyle name="Adj L2" xfId="462" xr:uid="{00000000-0005-0000-0000-000016030000}"/>
    <cellStyle name="Adj L3" xfId="463" xr:uid="{00000000-0005-0000-0000-000017030000}"/>
    <cellStyle name="Adj Space" xfId="464" xr:uid="{00000000-0005-0000-0000-000018030000}"/>
    <cellStyle name="adj_share" xfId="16" xr:uid="{00000000-0005-0000-0000-000019030000}"/>
    <cellStyle name="AFE" xfId="465" xr:uid="{00000000-0005-0000-0000-00001A030000}"/>
    <cellStyle name="Afjusted" xfId="17" xr:uid="{00000000-0005-0000-0000-00001B030000}"/>
    <cellStyle name="Afjusted 2" xfId="1094" xr:uid="{00000000-0005-0000-0000-00001C030000}"/>
    <cellStyle name="Afjusted 3" xfId="1308" xr:uid="{00000000-0005-0000-0000-00001D030000}"/>
    <cellStyle name="Afjusted 3 2" xfId="1485" xr:uid="{00000000-0005-0000-0000-00001E030000}"/>
    <cellStyle name="Afjusted 4" xfId="1239" xr:uid="{00000000-0005-0000-0000-00001F030000}"/>
    <cellStyle name="Afjusted 4 2" xfId="1435" xr:uid="{00000000-0005-0000-0000-000020030000}"/>
    <cellStyle name="Afjusted 5" xfId="1226" xr:uid="{00000000-0005-0000-0000-000021030000}"/>
    <cellStyle name="Afjusted 5 2" xfId="1429" xr:uid="{00000000-0005-0000-0000-000022030000}"/>
    <cellStyle name="afl" xfId="1061" xr:uid="{00000000-0005-0000-0000-000023030000}"/>
    <cellStyle name="Person0075 Title" xfId="1062" xr:uid="{00000000-0005-0000-0000-000024030000}"/>
    <cellStyle name="Arial" xfId="466" xr:uid="{00000000-0005-0000-0000-000025030000}"/>
    <cellStyle name="Arial 10" xfId="467" xr:uid="{00000000-0005-0000-0000-000026030000}"/>
    <cellStyle name="Arial 12" xfId="468" xr:uid="{00000000-0005-0000-0000-000027030000}"/>
    <cellStyle name="ArialNormal" xfId="18" xr:uid="{00000000-0005-0000-0000-000028030000}"/>
    <cellStyle name="Array" xfId="19" xr:uid="{00000000-0005-0000-0000-000029030000}"/>
    <cellStyle name="Array 2" xfId="1095" xr:uid="{00000000-0005-0000-0000-00002A030000}"/>
    <cellStyle name="Array 2 2" xfId="1339" xr:uid="{00000000-0005-0000-0000-00002B030000}"/>
    <cellStyle name="Array 3" xfId="1141" xr:uid="{00000000-0005-0000-0000-00002C030000}"/>
    <cellStyle name="Array 3 2" xfId="1367" xr:uid="{00000000-0005-0000-0000-00002D030000}"/>
    <cellStyle name="Array 4" xfId="1122" xr:uid="{00000000-0005-0000-0000-00002E030000}"/>
    <cellStyle name="Array 4 2" xfId="1359" xr:uid="{00000000-0005-0000-0000-00002F030000}"/>
    <cellStyle name="Array 5" xfId="1222" xr:uid="{00000000-0005-0000-0000-000030030000}"/>
    <cellStyle name="Array 5 2" xfId="1426" xr:uid="{00000000-0005-0000-0000-000031030000}"/>
    <cellStyle name="Array 6" xfId="1315" xr:uid="{00000000-0005-0000-0000-000032030000}"/>
    <cellStyle name="Array 6 2" xfId="1490" xr:uid="{00000000-0005-0000-0000-000033030000}"/>
    <cellStyle name="Array 7" xfId="1098" xr:uid="{00000000-0005-0000-0000-000034030000}"/>
    <cellStyle name="Array 7 2" xfId="1341" xr:uid="{00000000-0005-0000-0000-000035030000}"/>
    <cellStyle name="Array 8" xfId="1183" xr:uid="{00000000-0005-0000-0000-000036030000}"/>
    <cellStyle name="Array Enter" xfId="20" xr:uid="{00000000-0005-0000-0000-000037030000}"/>
    <cellStyle name="Array Enter 2" xfId="1096" xr:uid="{00000000-0005-0000-0000-000038030000}"/>
    <cellStyle name="Array Enter 2 2" xfId="1340" xr:uid="{00000000-0005-0000-0000-000039030000}"/>
    <cellStyle name="Array Enter 3" xfId="1142" xr:uid="{00000000-0005-0000-0000-00003A030000}"/>
    <cellStyle name="Array Enter 3 2" xfId="1368" xr:uid="{00000000-0005-0000-0000-00003B030000}"/>
    <cellStyle name="Array Enter 4" xfId="1271" xr:uid="{00000000-0005-0000-0000-00003C030000}"/>
    <cellStyle name="Array Enter 4 2" xfId="1456" xr:uid="{00000000-0005-0000-0000-00003D030000}"/>
    <cellStyle name="Array Enter 5" xfId="1156" xr:uid="{00000000-0005-0000-0000-00003E030000}"/>
    <cellStyle name="Array Enter 5 2" xfId="1380" xr:uid="{00000000-0005-0000-0000-00003F030000}"/>
    <cellStyle name="Array Enter 6" xfId="1276" xr:uid="{00000000-0005-0000-0000-000040030000}"/>
    <cellStyle name="Array Enter 6 2" xfId="1459" xr:uid="{00000000-0005-0000-0000-000041030000}"/>
    <cellStyle name="Array Enter 7" xfId="1168" xr:uid="{00000000-0005-0000-0000-000042030000}"/>
    <cellStyle name="Array Enter 7 2" xfId="1389" xr:uid="{00000000-0005-0000-0000-000043030000}"/>
    <cellStyle name="Array Enter 8" xfId="1202" xr:uid="{00000000-0005-0000-0000-000044030000}"/>
    <cellStyle name="b" xfId="469" xr:uid="{00000000-0005-0000-0000-000045030000}"/>
    <cellStyle name="Balance" xfId="68" xr:uid="{00000000-0005-0000-0000-000046030000}"/>
    <cellStyle name="BalanceSheet" xfId="69" xr:uid="{00000000-0005-0000-0000-000047030000}"/>
    <cellStyle name="Blank" xfId="470" xr:uid="{00000000-0005-0000-0000-000048030000}"/>
    <cellStyle name="Blue" xfId="471" xr:uid="{00000000-0005-0000-0000-000049030000}"/>
    <cellStyle name="Blue Title" xfId="1063" xr:uid="{00000000-0005-0000-0000-00004A030000}"/>
    <cellStyle name="Border Heavy" xfId="472" xr:uid="{00000000-0005-0000-0000-00004B030000}"/>
    <cellStyle name="Border Thin" xfId="473" xr:uid="{00000000-0005-0000-0000-00004C030000}"/>
    <cellStyle name="Border, Bottom" xfId="474" xr:uid="{00000000-0005-0000-0000-00004D030000}"/>
    <cellStyle name="Border, Bottom 2" xfId="1197" xr:uid="{00000000-0005-0000-0000-00004E030000}"/>
    <cellStyle name="Border, Bottom 2 2" xfId="1406" xr:uid="{00000000-0005-0000-0000-00004F030000}"/>
    <cellStyle name="Border, Bottom 3" xfId="1200" xr:uid="{00000000-0005-0000-0000-000050030000}"/>
    <cellStyle name="Border, Bottom 3 2" xfId="1409" xr:uid="{00000000-0005-0000-0000-000051030000}"/>
    <cellStyle name="Border, Bottom 4" xfId="1282" xr:uid="{00000000-0005-0000-0000-000052030000}"/>
    <cellStyle name="Border, Bottom 4 2" xfId="1464" xr:uid="{00000000-0005-0000-0000-000053030000}"/>
    <cellStyle name="Border, Bottom 5" xfId="1250" xr:uid="{00000000-0005-0000-0000-000054030000}"/>
    <cellStyle name="Border, Bottom 5 2" xfId="1445" xr:uid="{00000000-0005-0000-0000-000055030000}"/>
    <cellStyle name="Border, Bottom 6" xfId="1130" xr:uid="{00000000-0005-0000-0000-000056030000}"/>
    <cellStyle name="Border, Bottom 6 2" xfId="1365" xr:uid="{00000000-0005-0000-0000-000057030000}"/>
    <cellStyle name="Border, Bottom 7" xfId="1288" xr:uid="{00000000-0005-0000-0000-000058030000}"/>
    <cellStyle name="Border, Bottom 7 2" xfId="1468" xr:uid="{00000000-0005-0000-0000-000059030000}"/>
    <cellStyle name="Border, Bottom 8" xfId="1126" xr:uid="{00000000-0005-0000-0000-00005A030000}"/>
    <cellStyle name="Border, Bottom 8 2" xfId="1361" xr:uid="{00000000-0005-0000-0000-00005B030000}"/>
    <cellStyle name="Border, Left" xfId="475" xr:uid="{00000000-0005-0000-0000-00005C030000}"/>
    <cellStyle name="Border, Left 2" xfId="1198" xr:uid="{00000000-0005-0000-0000-00005D030000}"/>
    <cellStyle name="Border, Left 2 2" xfId="1407" xr:uid="{00000000-0005-0000-0000-00005E030000}"/>
    <cellStyle name="Border, Left 3" xfId="1195" xr:uid="{00000000-0005-0000-0000-00005F030000}"/>
    <cellStyle name="Border, Left 3 2" xfId="1404" xr:uid="{00000000-0005-0000-0000-000060030000}"/>
    <cellStyle name="Border, Left 4" xfId="1281" xr:uid="{00000000-0005-0000-0000-000061030000}"/>
    <cellStyle name="Border, Left 4 2" xfId="1463" xr:uid="{00000000-0005-0000-0000-000062030000}"/>
    <cellStyle name="Border, Left 5" xfId="1143" xr:uid="{00000000-0005-0000-0000-000063030000}"/>
    <cellStyle name="Border, Left 5 2" xfId="1369" xr:uid="{00000000-0005-0000-0000-000064030000}"/>
    <cellStyle name="Border, Left 6" xfId="1270" xr:uid="{00000000-0005-0000-0000-000065030000}"/>
    <cellStyle name="Border, Left 6 2" xfId="1455" xr:uid="{00000000-0005-0000-0000-000066030000}"/>
    <cellStyle name="Border, Left 7" xfId="1152" xr:uid="{00000000-0005-0000-0000-000067030000}"/>
    <cellStyle name="Border, Left 7 2" xfId="1377" xr:uid="{00000000-0005-0000-0000-000068030000}"/>
    <cellStyle name="Border, Left 8" xfId="1312" xr:uid="{00000000-0005-0000-0000-000069030000}"/>
    <cellStyle name="Border, Right" xfId="476" xr:uid="{00000000-0005-0000-0000-00006A030000}"/>
    <cellStyle name="Border, Top" xfId="477" xr:uid="{00000000-0005-0000-0000-00006B030000}"/>
    <cellStyle name="Border, Top 2" xfId="1108" xr:uid="{00000000-0005-0000-0000-00006C030000}"/>
    <cellStyle name="British Pound" xfId="478" xr:uid="{00000000-0005-0000-0000-00006D030000}"/>
    <cellStyle name="c" xfId="479" xr:uid="{00000000-0005-0000-0000-00006E030000}"/>
    <cellStyle name="c_Americas" xfId="480" xr:uid="{00000000-0005-0000-0000-00006F030000}"/>
    <cellStyle name="Calc Cells" xfId="481" xr:uid="{00000000-0005-0000-0000-000070030000}"/>
    <cellStyle name="Calc Currency (0)" xfId="482" xr:uid="{00000000-0005-0000-0000-000071030000}"/>
    <cellStyle name="Calc Currency (2)" xfId="483" xr:uid="{00000000-0005-0000-0000-000072030000}"/>
    <cellStyle name="Calc Percent (0)" xfId="484" xr:uid="{00000000-0005-0000-0000-000073030000}"/>
    <cellStyle name="Calc Percent (1)" xfId="485" xr:uid="{00000000-0005-0000-0000-000074030000}"/>
    <cellStyle name="Calc Percent (2)" xfId="486" xr:uid="{00000000-0005-0000-0000-000075030000}"/>
    <cellStyle name="Calc Units (0)" xfId="487" xr:uid="{00000000-0005-0000-0000-000076030000}"/>
    <cellStyle name="Calc Units (1)" xfId="488" xr:uid="{00000000-0005-0000-0000-000077030000}"/>
    <cellStyle name="Calc Units (2)" xfId="489" xr:uid="{00000000-0005-0000-0000-000078030000}"/>
    <cellStyle name="Case" xfId="1064" xr:uid="{00000000-0005-0000-0000-000079030000}"/>
    <cellStyle name="CashFlow" xfId="70" xr:uid="{00000000-0005-0000-0000-00007A030000}"/>
    <cellStyle name="Check" xfId="71" xr:uid="{00000000-0005-0000-0000-00007B030000}"/>
    <cellStyle name="Co. Names" xfId="490" xr:uid="{00000000-0005-0000-0000-00007C030000}"/>
    <cellStyle name="Co. Names - Bold" xfId="491" xr:uid="{00000000-0005-0000-0000-00007D030000}"/>
    <cellStyle name="Co. Names_Blend" xfId="1065" xr:uid="{00000000-0005-0000-0000-00007E030000}"/>
    <cellStyle name="Col Head" xfId="1066" xr:uid="{00000000-0005-0000-0000-00007F030000}"/>
    <cellStyle name="Colhead_left" xfId="21" xr:uid="{00000000-0005-0000-0000-000080030000}"/>
    <cellStyle name="ColHeading" xfId="22" xr:uid="{00000000-0005-0000-0000-000081030000}"/>
    <cellStyle name="Comma" xfId="1" builtinId="3"/>
    <cellStyle name="Comma  - Style1" xfId="492" xr:uid="{00000000-0005-0000-0000-000083030000}"/>
    <cellStyle name="Comma  - Style2" xfId="493" xr:uid="{00000000-0005-0000-0000-000084030000}"/>
    <cellStyle name="Comma  - Style3" xfId="494" xr:uid="{00000000-0005-0000-0000-000085030000}"/>
    <cellStyle name="Comma  - Style4" xfId="495" xr:uid="{00000000-0005-0000-0000-000086030000}"/>
    <cellStyle name="Comma  - Style5" xfId="496" xr:uid="{00000000-0005-0000-0000-000087030000}"/>
    <cellStyle name="Comma  - Style6" xfId="497" xr:uid="{00000000-0005-0000-0000-000088030000}"/>
    <cellStyle name="Comma  - Style7" xfId="498" xr:uid="{00000000-0005-0000-0000-000089030000}"/>
    <cellStyle name="Comma  - Style8" xfId="499" xr:uid="{00000000-0005-0000-0000-00008A030000}"/>
    <cellStyle name="comma (0)" xfId="500" xr:uid="{00000000-0005-0000-0000-00008B030000}"/>
    <cellStyle name="comma (0) 2" xfId="1201" xr:uid="{00000000-0005-0000-0000-00008C030000}"/>
    <cellStyle name="comma (0) 2 2" xfId="1410" xr:uid="{00000000-0005-0000-0000-00008D030000}"/>
    <cellStyle name="comma (0) 3" xfId="1193" xr:uid="{00000000-0005-0000-0000-00008E030000}"/>
    <cellStyle name="comma (0) 3 2" xfId="1403" xr:uid="{00000000-0005-0000-0000-00008F030000}"/>
    <cellStyle name="comma (0) 4" xfId="1304" xr:uid="{00000000-0005-0000-0000-000090030000}"/>
    <cellStyle name="comma (0) 4 2" xfId="1482" xr:uid="{00000000-0005-0000-0000-000091030000}"/>
    <cellStyle name="comma (0) 5" xfId="1199" xr:uid="{00000000-0005-0000-0000-000092030000}"/>
    <cellStyle name="comma (0) 5 2" xfId="1408" xr:uid="{00000000-0005-0000-0000-000093030000}"/>
    <cellStyle name="comma (0) 6" xfId="1260" xr:uid="{00000000-0005-0000-0000-000094030000}"/>
    <cellStyle name="comma (0) 6 2" xfId="1449" xr:uid="{00000000-0005-0000-0000-000095030000}"/>
    <cellStyle name="comma (0) 7" xfId="1302" xr:uid="{00000000-0005-0000-0000-000096030000}"/>
    <cellStyle name="comma (0) 7 2" xfId="1480" xr:uid="{00000000-0005-0000-0000-000097030000}"/>
    <cellStyle name="comma (0) 8" xfId="1313" xr:uid="{00000000-0005-0000-0000-000098030000}"/>
    <cellStyle name="comma (0) 8 2" xfId="1488" xr:uid="{00000000-0005-0000-0000-000099030000}"/>
    <cellStyle name="Comma (1)" xfId="23" xr:uid="{00000000-0005-0000-0000-00009A030000}"/>
    <cellStyle name="Comma [_x0001_]_SHEET" xfId="501" xr:uid="{00000000-0005-0000-0000-00009B030000}"/>
    <cellStyle name="Comma [00]" xfId="502" xr:uid="{00000000-0005-0000-0000-00009C030000}"/>
    <cellStyle name="Comma [1]" xfId="503" xr:uid="{00000000-0005-0000-0000-00009D030000}"/>
    <cellStyle name="Comma 0" xfId="504" xr:uid="{00000000-0005-0000-0000-00009E030000}"/>
    <cellStyle name="Comma 0*" xfId="505" xr:uid="{00000000-0005-0000-0000-00009F030000}"/>
    <cellStyle name="Comma 0_ACCC" xfId="506" xr:uid="{00000000-0005-0000-0000-0000A0030000}"/>
    <cellStyle name="Comma 1" xfId="507" xr:uid="{00000000-0005-0000-0000-0000A1030000}"/>
    <cellStyle name="Comma 10" xfId="1244" xr:uid="{00000000-0005-0000-0000-0000A2030000}"/>
    <cellStyle name="Comma 11" xfId="1217" xr:uid="{00000000-0005-0000-0000-0000A3030000}"/>
    <cellStyle name="Comma 12" xfId="1221" xr:uid="{00000000-0005-0000-0000-0000A4030000}"/>
    <cellStyle name="Comma 13" xfId="1147" xr:uid="{00000000-0005-0000-0000-0000A5030000}"/>
    <cellStyle name="Comma 14" xfId="1180" xr:uid="{00000000-0005-0000-0000-0000A6030000}"/>
    <cellStyle name="Comma 15" xfId="1316" xr:uid="{00000000-0005-0000-0000-0000A7030000}"/>
    <cellStyle name="Comma 16" xfId="1263" xr:uid="{00000000-0005-0000-0000-0000A8030000}"/>
    <cellStyle name="Comma 17" xfId="1158" xr:uid="{00000000-0005-0000-0000-0000A9030000}"/>
    <cellStyle name="Comma 18" xfId="1307" xr:uid="{00000000-0005-0000-0000-0000AA030000}"/>
    <cellStyle name="Comma 19" xfId="1177" xr:uid="{00000000-0005-0000-0000-0000AB030000}"/>
    <cellStyle name="Comma 2" xfId="66" xr:uid="{00000000-0005-0000-0000-0000AC030000}"/>
    <cellStyle name="Comma 2 2" xfId="508" xr:uid="{00000000-0005-0000-0000-0000AD030000}"/>
    <cellStyle name="Comma 2 3" xfId="1496" xr:uid="{00000000-0005-0000-0000-0000AE030000}"/>
    <cellStyle name="Comma 20" xfId="1109" xr:uid="{00000000-0005-0000-0000-0000AF030000}"/>
    <cellStyle name="Comma 21" xfId="1321" xr:uid="{00000000-0005-0000-0000-0000B0030000}"/>
    <cellStyle name="Comma 22" xfId="1325" xr:uid="{00000000-0005-0000-0000-0000B1030000}"/>
    <cellStyle name="Comma 23" xfId="1499" xr:uid="{00000000-0005-0000-0000-0000B2030000}"/>
    <cellStyle name="Comma 3" xfId="509" xr:uid="{00000000-0005-0000-0000-0000B3030000}"/>
    <cellStyle name="Comma 4" xfId="844" xr:uid="{00000000-0005-0000-0000-0000B4030000}"/>
    <cellStyle name="Comma 40" xfId="1333" xr:uid="{00000000-0005-0000-0000-0000B5030000}"/>
    <cellStyle name="Comma 5" xfId="4" xr:uid="{00000000-0005-0000-0000-0000B6030000}"/>
    <cellStyle name="Comma 6" xfId="1089" xr:uid="{00000000-0005-0000-0000-0000B7030000}"/>
    <cellStyle name="Comma 7" xfId="1258" xr:uid="{00000000-0005-0000-0000-0000B8030000}"/>
    <cellStyle name="Comma 7 2" xfId="1493" xr:uid="{00000000-0005-0000-0000-0000B9030000}"/>
    <cellStyle name="Comma 8" xfId="1136" xr:uid="{00000000-0005-0000-0000-0000BA030000}"/>
    <cellStyle name="Comma 9" xfId="1233" xr:uid="{00000000-0005-0000-0000-0000BB030000}"/>
    <cellStyle name="Comma(0)" xfId="510" xr:uid="{00000000-0005-0000-0000-0000BC030000}"/>
    <cellStyle name="Comma(1)" xfId="511" xr:uid="{00000000-0005-0000-0000-0000BD030000}"/>
    <cellStyle name="comma(2)" xfId="512" xr:uid="{00000000-0005-0000-0000-0000BE030000}"/>
    <cellStyle name="Comma(3)" xfId="513" xr:uid="{00000000-0005-0000-0000-0000BF030000}"/>
    <cellStyle name="Comma(3) 2" xfId="1097" xr:uid="{00000000-0005-0000-0000-0000C0030000}"/>
    <cellStyle name="Comma_Company0826" xfId="1722" xr:uid="{0AF020C0-9AC5-4FB2-BE44-717E1AF9EA38}"/>
    <cellStyle name="Comma0" xfId="514" xr:uid="{00000000-0005-0000-0000-0000C1030000}"/>
    <cellStyle name="Company" xfId="24" xr:uid="{00000000-0005-0000-0000-0000C2030000}"/>
    <cellStyle name="Company name" xfId="515" xr:uid="{00000000-0005-0000-0000-0000C3030000}"/>
    <cellStyle name="CompanyTitle" xfId="1067" xr:uid="{00000000-0005-0000-0000-0000C4030000}"/>
    <cellStyle name="Comps" xfId="25" xr:uid="{00000000-0005-0000-0000-0000C5030000}"/>
    <cellStyle name="Copied" xfId="516" xr:uid="{00000000-0005-0000-0000-0000C6030000}"/>
    <cellStyle name="Copyright_xlr8r" xfId="517" xr:uid="{00000000-0005-0000-0000-0000C7030000}"/>
    <cellStyle name="Cover Date" xfId="518" xr:uid="{00000000-0005-0000-0000-0000C8030000}"/>
    <cellStyle name="Cover Subtitle" xfId="519" xr:uid="{00000000-0005-0000-0000-0000C9030000}"/>
    <cellStyle name="Cover Title" xfId="520" xr:uid="{00000000-0005-0000-0000-0000CA030000}"/>
    <cellStyle name="CurRatio" xfId="26" xr:uid="{00000000-0005-0000-0000-0000CB030000}"/>
    <cellStyle name="Currency" xfId="1330" builtinId="4"/>
    <cellStyle name="Currency (3)" xfId="521" xr:uid="{00000000-0005-0000-0000-0000CD030000}"/>
    <cellStyle name="Currency [00]" xfId="522" xr:uid="{00000000-0005-0000-0000-0000CE030000}"/>
    <cellStyle name="Currency [2]" xfId="523" xr:uid="{00000000-0005-0000-0000-0000CF030000}"/>
    <cellStyle name="Currency 0" xfId="524" xr:uid="{00000000-0005-0000-0000-0000D0030000}"/>
    <cellStyle name="Currency 1" xfId="525" xr:uid="{00000000-0005-0000-0000-0000D1030000}"/>
    <cellStyle name="Currency 10" xfId="1234" xr:uid="{00000000-0005-0000-0000-0000D2030000}"/>
    <cellStyle name="Currency 11" xfId="1171" xr:uid="{00000000-0005-0000-0000-0000D3030000}"/>
    <cellStyle name="Currency 12" xfId="1235" xr:uid="{00000000-0005-0000-0000-0000D4030000}"/>
    <cellStyle name="Currency 13" xfId="1169" xr:uid="{00000000-0005-0000-0000-0000D5030000}"/>
    <cellStyle name="Currency 14" xfId="1319" xr:uid="{00000000-0005-0000-0000-0000D6030000}"/>
    <cellStyle name="Currency 15" xfId="1173" xr:uid="{00000000-0005-0000-0000-0000D7030000}"/>
    <cellStyle name="Currency 16" xfId="1093" xr:uid="{00000000-0005-0000-0000-0000D8030000}"/>
    <cellStyle name="Currency 17" xfId="1278" xr:uid="{00000000-0005-0000-0000-0000D9030000}"/>
    <cellStyle name="Currency 18" xfId="1317" xr:uid="{00000000-0005-0000-0000-0000DA030000}"/>
    <cellStyle name="Currency 19" xfId="1140" xr:uid="{00000000-0005-0000-0000-0000DB030000}"/>
    <cellStyle name="Currency 2" xfId="67" xr:uid="{00000000-0005-0000-0000-0000DC030000}"/>
    <cellStyle name="Currency 2 2" xfId="526" xr:uid="{00000000-0005-0000-0000-0000DD030000}"/>
    <cellStyle name="Currency 20" xfId="1267" xr:uid="{00000000-0005-0000-0000-0000DE030000}"/>
    <cellStyle name="Currency 21" xfId="1120" xr:uid="{00000000-0005-0000-0000-0000DF030000}"/>
    <cellStyle name="Currency 3" xfId="527" xr:uid="{00000000-0005-0000-0000-0000E0030000}"/>
    <cellStyle name="Currency 4" xfId="5" xr:uid="{00000000-0005-0000-0000-0000E1030000}"/>
    <cellStyle name="Currency 5" xfId="1090" xr:uid="{00000000-0005-0000-0000-0000E2030000}"/>
    <cellStyle name="Currency 6" xfId="1257" xr:uid="{00000000-0005-0000-0000-0000E3030000}"/>
    <cellStyle name="Currency 7" xfId="1137" xr:uid="{00000000-0005-0000-0000-0000E4030000}"/>
    <cellStyle name="Currency 8" xfId="1232" xr:uid="{00000000-0005-0000-0000-0000E5030000}"/>
    <cellStyle name="Currency 9" xfId="1106" xr:uid="{00000000-0005-0000-0000-0000E6030000}"/>
    <cellStyle name="currency(0)" xfId="528" xr:uid="{00000000-0005-0000-0000-0000E7030000}"/>
    <cellStyle name="Currency(1)" xfId="529" xr:uid="{00000000-0005-0000-0000-0000E8030000}"/>
    <cellStyle name="Currency(2)" xfId="530" xr:uid="{00000000-0005-0000-0000-0000E9030000}"/>
    <cellStyle name="Currency(2) 2" xfId="1207" xr:uid="{00000000-0005-0000-0000-0000EA030000}"/>
    <cellStyle name="Currency(2) 2 2" xfId="1415" xr:uid="{00000000-0005-0000-0000-0000EB030000}"/>
    <cellStyle name="Currency(2) 3" xfId="1186" xr:uid="{00000000-0005-0000-0000-0000EC030000}"/>
    <cellStyle name="Currency(2) 3 2" xfId="1398" xr:uid="{00000000-0005-0000-0000-0000ED030000}"/>
    <cellStyle name="Currency(2) 4" xfId="1191" xr:uid="{00000000-0005-0000-0000-0000EE030000}"/>
    <cellStyle name="Currency(2) 4 2" xfId="1402" xr:uid="{00000000-0005-0000-0000-0000EF030000}"/>
    <cellStyle name="Currency(2) 5" xfId="1241" xr:uid="{00000000-0005-0000-0000-0000F0030000}"/>
    <cellStyle name="Currency(2) 5 2" xfId="1437" xr:uid="{00000000-0005-0000-0000-0000F1030000}"/>
    <cellStyle name="Currency(2) 6" xfId="1298" xr:uid="{00000000-0005-0000-0000-0000F2030000}"/>
    <cellStyle name="Currency(2) 6 2" xfId="1476" xr:uid="{00000000-0005-0000-0000-0000F3030000}"/>
    <cellStyle name="Currency(2) 7" xfId="1284" xr:uid="{00000000-0005-0000-0000-0000F4030000}"/>
    <cellStyle name="Currency(2) 7 2" xfId="1466" xr:uid="{00000000-0005-0000-0000-0000F5030000}"/>
    <cellStyle name="Currency(2) 8" xfId="1115" xr:uid="{00000000-0005-0000-0000-0000F6030000}"/>
    <cellStyle name="Currency(2) 8 2" xfId="1353" xr:uid="{00000000-0005-0000-0000-0000F7030000}"/>
    <cellStyle name="Currency_Company0826" xfId="1723" xr:uid="{48D8D7C4-377B-476D-B88B-5B1C31D7D7C6}"/>
    <cellStyle name="Currency0" xfId="531" xr:uid="{00000000-0005-0000-0000-0000F8030000}"/>
    <cellStyle name="Currency2" xfId="532" xr:uid="{00000000-0005-0000-0000-0000F9030000}"/>
    <cellStyle name="custom" xfId="533" xr:uid="{00000000-0005-0000-0000-0000FA030000}"/>
    <cellStyle name="d" xfId="534" xr:uid="{00000000-0005-0000-0000-0000FB030000}"/>
    <cellStyle name="d_yield" xfId="535" xr:uid="{00000000-0005-0000-0000-0000FC030000}"/>
    <cellStyle name="data" xfId="536" xr:uid="{00000000-0005-0000-0000-0000FD030000}"/>
    <cellStyle name="Date" xfId="27" xr:uid="{00000000-0005-0000-0000-0000FE030000}"/>
    <cellStyle name="Date [mmm-yy]" xfId="537" xr:uid="{00000000-0005-0000-0000-0000FF030000}"/>
    <cellStyle name="Date Aligned" xfId="538" xr:uid="{00000000-0005-0000-0000-000000040000}"/>
    <cellStyle name="Date Short" xfId="539" xr:uid="{00000000-0005-0000-0000-000001040000}"/>
    <cellStyle name="Date_Americas" xfId="540" xr:uid="{00000000-0005-0000-0000-000002040000}"/>
    <cellStyle name="Dates" xfId="72" xr:uid="{00000000-0005-0000-0000-000003040000}"/>
    <cellStyle name="DateYear" xfId="73" xr:uid="{00000000-0005-0000-0000-000004040000}"/>
    <cellStyle name="days" xfId="541" xr:uid="{00000000-0005-0000-0000-000005040000}"/>
    <cellStyle name="Dec_0" xfId="542" xr:uid="{00000000-0005-0000-0000-000006040000}"/>
    <cellStyle name="default" xfId="1068" xr:uid="{00000000-0005-0000-0000-000007040000}"/>
    <cellStyle name="Derive" xfId="543" xr:uid="{00000000-0005-0000-0000-000008040000}"/>
    <cellStyle name="Dollar" xfId="28" xr:uid="{00000000-0005-0000-0000-000009040000}"/>
    <cellStyle name="Dollars" xfId="74" xr:uid="{00000000-0005-0000-0000-00000A040000}"/>
    <cellStyle name="DollarWhole" xfId="75" xr:uid="{00000000-0005-0000-0000-00000B040000}"/>
    <cellStyle name="Dotted Line" xfId="544" xr:uid="{00000000-0005-0000-0000-00000C040000}"/>
    <cellStyle name="Double Accounting" xfId="545" xr:uid="{00000000-0005-0000-0000-00000D040000}"/>
    <cellStyle name="Duizenden" xfId="546" xr:uid="{00000000-0005-0000-0000-00000E040000}"/>
    <cellStyle name="E" xfId="547" xr:uid="{00000000-0005-0000-0000-00000F040000}"/>
    <cellStyle name="E 2" xfId="1210" xr:uid="{00000000-0005-0000-0000-000010040000}"/>
    <cellStyle name="E 2 2" xfId="1418" xr:uid="{00000000-0005-0000-0000-000011040000}"/>
    <cellStyle name="E 3" xfId="1185" xr:uid="{00000000-0005-0000-0000-000012040000}"/>
    <cellStyle name="E 3 2" xfId="1397" xr:uid="{00000000-0005-0000-0000-000013040000}"/>
    <cellStyle name="E 4" xfId="1189" xr:uid="{00000000-0005-0000-0000-000014040000}"/>
    <cellStyle name="E 4 2" xfId="1401" xr:uid="{00000000-0005-0000-0000-000015040000}"/>
    <cellStyle name="E 5" xfId="1228" xr:uid="{00000000-0005-0000-0000-000016040000}"/>
    <cellStyle name="E 5 2" xfId="1431" xr:uid="{00000000-0005-0000-0000-000017040000}"/>
    <cellStyle name="E 6" xfId="1253" xr:uid="{00000000-0005-0000-0000-000018040000}"/>
    <cellStyle name="E 6 2" xfId="1446" xr:uid="{00000000-0005-0000-0000-000019040000}"/>
    <cellStyle name="E 7" xfId="1196" xr:uid="{00000000-0005-0000-0000-00001A040000}"/>
    <cellStyle name="E 7 2" xfId="1405" xr:uid="{00000000-0005-0000-0000-00001B040000}"/>
    <cellStyle name="E 8" xfId="1261" xr:uid="{00000000-0005-0000-0000-00001C040000}"/>
    <cellStyle name="E 8 2" xfId="1450" xr:uid="{00000000-0005-0000-0000-00001D040000}"/>
    <cellStyle name="emp" xfId="1069" xr:uid="{00000000-0005-0000-0000-00001E040000}"/>
    <cellStyle name="Enter Currency (0)" xfId="548" xr:uid="{00000000-0005-0000-0000-00001F040000}"/>
    <cellStyle name="Enter Currency (2)" xfId="549" xr:uid="{00000000-0005-0000-0000-000020040000}"/>
    <cellStyle name="Enter Units (0)" xfId="550" xr:uid="{00000000-0005-0000-0000-000021040000}"/>
    <cellStyle name="Enter Units (1)" xfId="551" xr:uid="{00000000-0005-0000-0000-000022040000}"/>
    <cellStyle name="Enter Units (2)" xfId="552" xr:uid="{00000000-0005-0000-0000-000023040000}"/>
    <cellStyle name="Entered" xfId="553" xr:uid="{00000000-0005-0000-0000-000024040000}"/>
    <cellStyle name="Entries" xfId="554" xr:uid="{00000000-0005-0000-0000-000025040000}"/>
    <cellStyle name="Entry" xfId="555" xr:uid="{00000000-0005-0000-0000-000026040000}"/>
    <cellStyle name="EPS" xfId="76" xr:uid="{00000000-0005-0000-0000-000027040000}"/>
    <cellStyle name="EPS Input" xfId="556" xr:uid="{00000000-0005-0000-0000-000028040000}"/>
    <cellStyle name="eps$" xfId="557" xr:uid="{00000000-0005-0000-0000-000029040000}"/>
    <cellStyle name="eps$A" xfId="558" xr:uid="{00000000-0005-0000-0000-00002A040000}"/>
    <cellStyle name="eps$E" xfId="559" xr:uid="{00000000-0005-0000-0000-00002B040000}"/>
    <cellStyle name="eps_Company0205_Model_Master012301" xfId="560" xr:uid="{00000000-0005-0000-0000-00002C040000}"/>
    <cellStyle name="epsA" xfId="561" xr:uid="{00000000-0005-0000-0000-00002D040000}"/>
    <cellStyle name="EPSActual" xfId="77" xr:uid="{00000000-0005-0000-0000-00002E040000}"/>
    <cellStyle name="epsE" xfId="562" xr:uid="{00000000-0005-0000-0000-00002F040000}"/>
    <cellStyle name="EPSEstimate" xfId="78" xr:uid="{00000000-0005-0000-0000-000030040000}"/>
    <cellStyle name="Euro" xfId="29" xr:uid="{00000000-0005-0000-0000-000031040000}"/>
    <cellStyle name="ExchRate" xfId="563" xr:uid="{00000000-0005-0000-0000-000032040000}"/>
    <cellStyle name="External File Cells" xfId="564" xr:uid="{00000000-0005-0000-0000-000033040000}"/>
    <cellStyle name="External File Cells 2" xfId="1264" xr:uid="{00000000-0005-0000-0000-000034040000}"/>
    <cellStyle name="FF" xfId="565" xr:uid="{00000000-0005-0000-0000-000035040000}"/>
    <cellStyle name="Financial" xfId="566" xr:uid="{00000000-0005-0000-0000-000036040000}"/>
    <cellStyle name="Fit" xfId="1070" xr:uid="{00000000-0005-0000-0000-000037040000}"/>
    <cellStyle name="Fixed" xfId="567" xr:uid="{00000000-0005-0000-0000-000038040000}"/>
    <cellStyle name="Footer SBILogo1" xfId="568" xr:uid="{00000000-0005-0000-0000-000039040000}"/>
    <cellStyle name="Footer SBILogo2" xfId="569" xr:uid="{00000000-0005-0000-0000-00003A040000}"/>
    <cellStyle name="Footnote" xfId="30" xr:uid="{00000000-0005-0000-0000-00003B040000}"/>
    <cellStyle name="Footnote Reference" xfId="570" xr:uid="{00000000-0005-0000-0000-00003C040000}"/>
    <cellStyle name="Footnote_ACCC" xfId="571" xr:uid="{00000000-0005-0000-0000-00003D040000}"/>
    <cellStyle name="Footnotes" xfId="572" xr:uid="{00000000-0005-0000-0000-00003E040000}"/>
    <cellStyle name="Forecast Cells" xfId="573" xr:uid="{00000000-0005-0000-0000-00003F040000}"/>
    <cellStyle name="fy_eps$" xfId="574" xr:uid="{00000000-0005-0000-0000-000040040000}"/>
    <cellStyle name="g_rate" xfId="575" xr:uid="{00000000-0005-0000-0000-000041040000}"/>
    <cellStyle name="g_rate_3 Year  Model 4-15.1 Base with 2006 and 2007 v1" xfId="576" xr:uid="{00000000-0005-0000-0000-000042040000}"/>
    <cellStyle name="g_rate_3 Year Plan CapEx swag for 7 21 BOD (2)" xfId="577" xr:uid="{00000000-0005-0000-0000-000043040000}"/>
    <cellStyle name="g_rate_Company0205_Model_Master012301" xfId="578" xr:uid="{00000000-0005-0000-0000-000044040000}"/>
    <cellStyle name="g_rate_Company0205_Model_Master021601" xfId="579" xr:uid="{00000000-0005-0000-0000-000045040000}"/>
    <cellStyle name="g_rate_Company0205_Model_Master061001" xfId="580" xr:uid="{00000000-0005-0000-0000-000046040000}"/>
    <cellStyle name="g_rate_Company0112_Model_Master" xfId="581" xr:uid="{00000000-0005-0000-0000-000047040000}"/>
    <cellStyle name="g_rate_deprec update 7.1.04" xfId="582" xr:uid="{00000000-0005-0000-0000-000048040000}"/>
    <cellStyle name="g_rate_deprec update 7.8.04" xfId="583" xr:uid="{00000000-0005-0000-0000-000049040000}"/>
    <cellStyle name="g_rate_EarningsModel" xfId="584" xr:uid="{00000000-0005-0000-0000-00004A040000}"/>
    <cellStyle name="g_rate_Info for monthly COGS meeting" xfId="585" xr:uid="{00000000-0005-0000-0000-00004B040000}"/>
    <cellStyle name="g_rate_LC Model082901 - MASTER" xfId="586" xr:uid="{00000000-0005-0000-0000-00004C040000}"/>
    <cellStyle name="g_rate_Mapping Points" xfId="587" xr:uid="{00000000-0005-0000-0000-00004D040000}"/>
    <cellStyle name="g_rate_Mapping Points2" xfId="588" xr:uid="{00000000-0005-0000-0000-00004E040000}"/>
    <cellStyle name="g_rate_Ticker0024_Model_Master012201" xfId="589" xr:uid="{00000000-0005-0000-0000-00004F040000}"/>
    <cellStyle name="g_rate_Ticker0024_Model_Master101801.xls1" xfId="590" xr:uid="{00000000-0005-0000-0000-000050040000}"/>
    <cellStyle name="g_rate_New Company2235 022101" xfId="591" xr:uid="{00000000-0005-0000-0000-000051040000}"/>
    <cellStyle name="g_rate_VRSN Model Master 071201" xfId="592" xr:uid="{00000000-0005-0000-0000-000052040000}"/>
    <cellStyle name="G1_1999 figures" xfId="593" xr:uid="{00000000-0005-0000-0000-000053040000}"/>
    <cellStyle name="Gen_Black_pD" xfId="1715" xr:uid="{00000000-0005-0000-0000-000054040000}"/>
    <cellStyle name="General" xfId="31" xr:uid="{00000000-0005-0000-0000-000055040000}"/>
    <cellStyle name="Grey" xfId="594" xr:uid="{00000000-0005-0000-0000-000056040000}"/>
    <cellStyle name="GrowthRate" xfId="79" xr:uid="{00000000-0005-0000-0000-000057040000}"/>
    <cellStyle name="GrowthSeq" xfId="80" xr:uid="{00000000-0005-0000-0000-000058040000}"/>
    <cellStyle name="H_1998_col_head" xfId="595" xr:uid="{00000000-0005-0000-0000-000059040000}"/>
    <cellStyle name="H_1998_col_head_BHI" xfId="596" xr:uid="{00000000-0005-0000-0000-00005A040000}"/>
    <cellStyle name="H_1998_col_head_BHI_working7" xfId="597" xr:uid="{00000000-0005-0000-0000-00005B040000}"/>
    <cellStyle name="H_1998_col_head_Company0309" xfId="598" xr:uid="{00000000-0005-0000-0000-00005C040000}"/>
    <cellStyle name="H_1998_col_head_bjs-working9" xfId="599" xr:uid="{00000000-0005-0000-0000-00005D040000}"/>
    <cellStyle name="H_1998_col_head_EVA" xfId="600" xr:uid="{00000000-0005-0000-0000-00005E040000}"/>
    <cellStyle name="H_1998_col_head_HAL" xfId="601" xr:uid="{00000000-0005-0000-0000-00005F040000}"/>
    <cellStyle name="H_1998_col_head_HAL - 7" xfId="602" xr:uid="{00000000-0005-0000-0000-000060040000}"/>
    <cellStyle name="H_1998_col_head_Company1174_working13" xfId="603" xr:uid="{00000000-0005-0000-0000-000061040000}"/>
    <cellStyle name="H_1998_col_head_IS" xfId="604" xr:uid="{00000000-0005-0000-0000-000062040000}"/>
    <cellStyle name="H_1998_col_head_IS - Rptd" xfId="605" xr:uid="{00000000-0005-0000-0000-000063040000}"/>
    <cellStyle name="H_1998_col_head_IS - Rptd_1" xfId="606" xr:uid="{00000000-0005-0000-0000-000064040000}"/>
    <cellStyle name="H_1998_col_head_SII" xfId="607" xr:uid="{00000000-0005-0000-0000-000065040000}"/>
    <cellStyle name="H_1998_col_head_SII-Post 3Q05 v4" xfId="608" xr:uid="{00000000-0005-0000-0000-000066040000}"/>
    <cellStyle name="H_1998_col_head_Company2416" xfId="609" xr:uid="{00000000-0005-0000-0000-000067040000}"/>
    <cellStyle name="H_1998_col_head_Company2416-working7" xfId="610" xr:uid="{00000000-0005-0000-0000-000068040000}"/>
    <cellStyle name="H_1999_col_head" xfId="611" xr:uid="{00000000-0005-0000-0000-000069040000}"/>
    <cellStyle name="H1_1998 figures" xfId="612" xr:uid="{00000000-0005-0000-0000-00006A040000}"/>
    <cellStyle name="hard no." xfId="613" xr:uid="{00000000-0005-0000-0000-00006B040000}"/>
    <cellStyle name="Hard Percent" xfId="614" xr:uid="{00000000-0005-0000-0000-00006C040000}"/>
    <cellStyle name="Header" xfId="615" xr:uid="{00000000-0005-0000-0000-00006D040000}"/>
    <cellStyle name="Header Draft Stamp" xfId="616" xr:uid="{00000000-0005-0000-0000-00006E040000}"/>
    <cellStyle name="Header_ACCC" xfId="617" xr:uid="{00000000-0005-0000-0000-00006F040000}"/>
    <cellStyle name="Header1" xfId="618" xr:uid="{00000000-0005-0000-0000-000070040000}"/>
    <cellStyle name="Header2" xfId="619" xr:uid="{00000000-0005-0000-0000-000071040000}"/>
    <cellStyle name="headers" xfId="620" xr:uid="{00000000-0005-0000-0000-000072040000}"/>
    <cellStyle name="Heading" xfId="621" xr:uid="{00000000-0005-0000-0000-000073040000}"/>
    <cellStyle name="Heading 1 Above" xfId="622" xr:uid="{00000000-0005-0000-0000-000074040000}"/>
    <cellStyle name="Heading 1+" xfId="623" xr:uid="{00000000-0005-0000-0000-000075040000}"/>
    <cellStyle name="Heading 1+ 2" xfId="1219" xr:uid="{00000000-0005-0000-0000-000076040000}"/>
    <cellStyle name="Heading 1+ 2 2" xfId="1424" xr:uid="{00000000-0005-0000-0000-000077040000}"/>
    <cellStyle name="Heading 1+ 3" xfId="1213" xr:uid="{00000000-0005-0000-0000-000078040000}"/>
    <cellStyle name="Heading 1+ 3 2" xfId="1421" xr:uid="{00000000-0005-0000-0000-000079040000}"/>
    <cellStyle name="Heading 1+ 4" xfId="1254" xr:uid="{00000000-0005-0000-0000-00007A040000}"/>
    <cellStyle name="Heading 1+ 4 2" xfId="1447" xr:uid="{00000000-0005-0000-0000-00007B040000}"/>
    <cellStyle name="Heading 1+ 5" xfId="1205" xr:uid="{00000000-0005-0000-0000-00007C040000}"/>
    <cellStyle name="Heading 1+ 5 2" xfId="1413" xr:uid="{00000000-0005-0000-0000-00007D040000}"/>
    <cellStyle name="Heading 1+ 6" xfId="1214" xr:uid="{00000000-0005-0000-0000-00007E040000}"/>
    <cellStyle name="Heading 1+ 6 2" xfId="1422" xr:uid="{00000000-0005-0000-0000-00007F040000}"/>
    <cellStyle name="Heading 1+ 7" xfId="1227" xr:uid="{00000000-0005-0000-0000-000080040000}"/>
    <cellStyle name="Heading 1+ 7 2" xfId="1430" xr:uid="{00000000-0005-0000-0000-000081040000}"/>
    <cellStyle name="Heading 1+ 8" xfId="1323" xr:uid="{00000000-0005-0000-0000-000082040000}"/>
    <cellStyle name="Heading 2 Below" xfId="624" xr:uid="{00000000-0005-0000-0000-000083040000}"/>
    <cellStyle name="Heading 2+" xfId="625" xr:uid="{00000000-0005-0000-0000-000084040000}"/>
    <cellStyle name="Heading 2+ 2" xfId="1220" xr:uid="{00000000-0005-0000-0000-000085040000}"/>
    <cellStyle name="Heading 2+ 2 2" xfId="1425" xr:uid="{00000000-0005-0000-0000-000086040000}"/>
    <cellStyle name="Heading 2+ 3" xfId="1299" xr:uid="{00000000-0005-0000-0000-000087040000}"/>
    <cellStyle name="Heading 2+ 3 2" xfId="1477" xr:uid="{00000000-0005-0000-0000-000088040000}"/>
    <cellStyle name="Heading 2+ 4" xfId="1178" xr:uid="{00000000-0005-0000-0000-000089040000}"/>
    <cellStyle name="Heading 2+ 4 2" xfId="1392" xr:uid="{00000000-0005-0000-0000-00008A040000}"/>
    <cellStyle name="Heading 2+ 5" xfId="1206" xr:uid="{00000000-0005-0000-0000-00008B040000}"/>
    <cellStyle name="Heading 2+ 5 2" xfId="1414" xr:uid="{00000000-0005-0000-0000-00008C040000}"/>
    <cellStyle name="Heading 2+ 6" xfId="1311" xr:uid="{00000000-0005-0000-0000-00008D040000}"/>
    <cellStyle name="Heading 2+ 6 2" xfId="1487" xr:uid="{00000000-0005-0000-0000-00008E040000}"/>
    <cellStyle name="Heading 2+ 7" xfId="1269" xr:uid="{00000000-0005-0000-0000-00008F040000}"/>
    <cellStyle name="Heading 2+ 7 2" xfId="1454" xr:uid="{00000000-0005-0000-0000-000090040000}"/>
    <cellStyle name="Heading 2+ 8" xfId="1297" xr:uid="{00000000-0005-0000-0000-000091040000}"/>
    <cellStyle name="Heading 3+" xfId="626" xr:uid="{00000000-0005-0000-0000-000092040000}"/>
    <cellStyle name="Heading1" xfId="627" xr:uid="{00000000-0005-0000-0000-000093040000}"/>
    <cellStyle name="Hyperlink" xfId="1497" builtinId="8"/>
    <cellStyle name="Income" xfId="81" xr:uid="{00000000-0005-0000-0000-000095040000}"/>
    <cellStyle name="IncomeStatement" xfId="82" xr:uid="{00000000-0005-0000-0000-000096040000}"/>
    <cellStyle name="Index_entry_xlr8r" xfId="628" xr:uid="{00000000-0005-0000-0000-000097040000}"/>
    <cellStyle name="Info_Main" xfId="629" xr:uid="{00000000-0005-0000-0000-000098040000}"/>
    <cellStyle name="Input [yellow]" xfId="630" xr:uid="{00000000-0005-0000-0000-000099040000}"/>
    <cellStyle name="Input Cells" xfId="631" xr:uid="{00000000-0005-0000-0000-00009A040000}"/>
    <cellStyle name="Input Currency" xfId="632" xr:uid="{00000000-0005-0000-0000-00009B040000}"/>
    <cellStyle name="Input Currency 2" xfId="633" xr:uid="{00000000-0005-0000-0000-00009C040000}"/>
    <cellStyle name="Input Currency_BHI" xfId="634" xr:uid="{00000000-0005-0000-0000-00009D040000}"/>
    <cellStyle name="Input Multiple" xfId="635" xr:uid="{00000000-0005-0000-0000-00009E040000}"/>
    <cellStyle name="Input Percent" xfId="636" xr:uid="{00000000-0005-0000-0000-00009F040000}"/>
    <cellStyle name="InputCurrency" xfId="637" xr:uid="{00000000-0005-0000-0000-0000A0040000}"/>
    <cellStyle name="InputCurrency2" xfId="638" xr:uid="{00000000-0005-0000-0000-0000A1040000}"/>
    <cellStyle name="InputDateDMth" xfId="639" xr:uid="{00000000-0005-0000-0000-0000A2040000}"/>
    <cellStyle name="InputDateNorm" xfId="640" xr:uid="{00000000-0005-0000-0000-0000A3040000}"/>
    <cellStyle name="InputMultiple1" xfId="641" xr:uid="{00000000-0005-0000-0000-0000A4040000}"/>
    <cellStyle name="InputPercent1" xfId="642" xr:uid="{00000000-0005-0000-0000-0000A5040000}"/>
    <cellStyle name="InputUlineNumeric" xfId="643" xr:uid="{00000000-0005-0000-0000-0000A6040000}"/>
    <cellStyle name="InputUlineNumeric 2" xfId="1223" xr:uid="{00000000-0005-0000-0000-0000A7040000}"/>
    <cellStyle name="InputUlineNumeric 2 2" xfId="1427" xr:uid="{00000000-0005-0000-0000-0000A8040000}"/>
    <cellStyle name="InputUlineNumeric 3" xfId="1293" xr:uid="{00000000-0005-0000-0000-0000A9040000}"/>
    <cellStyle name="InputUlineNumeric 3 2" xfId="1473" xr:uid="{00000000-0005-0000-0000-0000AA040000}"/>
    <cellStyle name="InputUlineNumeric 4" xfId="1175" xr:uid="{00000000-0005-0000-0000-0000AB040000}"/>
    <cellStyle name="InputUlineNumeric 4 2" xfId="1391" xr:uid="{00000000-0005-0000-0000-0000AC040000}"/>
    <cellStyle name="InputUlineNumeric 5" xfId="1266" xr:uid="{00000000-0005-0000-0000-0000AD040000}"/>
    <cellStyle name="InputUlineNumeric 5 2" xfId="1452" xr:uid="{00000000-0005-0000-0000-0000AE040000}"/>
    <cellStyle name="InputUlineNumeric 6" xfId="1164" xr:uid="{00000000-0005-0000-0000-0000AF040000}"/>
    <cellStyle name="InputUlineNumeric 6 2" xfId="1386" xr:uid="{00000000-0005-0000-0000-0000B0040000}"/>
    <cellStyle name="InputUlineNumeric 7" xfId="1160" xr:uid="{00000000-0005-0000-0000-0000B1040000}"/>
    <cellStyle name="InputUlineNumeric 7 2" xfId="1382" xr:uid="{00000000-0005-0000-0000-0000B2040000}"/>
    <cellStyle name="InputUlineNumeric 8" xfId="1300" xr:uid="{00000000-0005-0000-0000-0000B3040000}"/>
    <cellStyle name="InputUlineNumeric 8 2" xfId="1478" xr:uid="{00000000-0005-0000-0000-0000B4040000}"/>
    <cellStyle name="Integer" xfId="32" xr:uid="{00000000-0005-0000-0000-0000B5040000}"/>
    <cellStyle name="Italics" xfId="644" xr:uid="{00000000-0005-0000-0000-0000B6040000}"/>
    <cellStyle name="Item" xfId="7" xr:uid="{00000000-0005-0000-0000-0000B7040000}"/>
    <cellStyle name="Item Descriptions" xfId="1071" xr:uid="{00000000-0005-0000-0000-0000B8040000}"/>
    <cellStyle name="ItemTypeClass" xfId="33" xr:uid="{00000000-0005-0000-0000-0000B9040000}"/>
    <cellStyle name="Jason" xfId="645" xr:uid="{00000000-0005-0000-0000-0000BA040000}"/>
    <cellStyle name="KP_Normal" xfId="34" xr:uid="{00000000-0005-0000-0000-0000BB040000}"/>
    <cellStyle name="lead" xfId="646" xr:uid="{00000000-0005-0000-0000-0000BC040000}"/>
    <cellStyle name="Line" xfId="647" xr:uid="{00000000-0005-0000-0000-0000BD040000}"/>
    <cellStyle name="Link Currency (0)" xfId="648" xr:uid="{00000000-0005-0000-0000-0000BE040000}"/>
    <cellStyle name="Link Currency (2)" xfId="649" xr:uid="{00000000-0005-0000-0000-0000BF040000}"/>
    <cellStyle name="Link Units (0)" xfId="650" xr:uid="{00000000-0005-0000-0000-0000C0040000}"/>
    <cellStyle name="Link Units (1)" xfId="651" xr:uid="{00000000-0005-0000-0000-0000C1040000}"/>
    <cellStyle name="Link Units (2)" xfId="652" xr:uid="{00000000-0005-0000-0000-0000C2040000}"/>
    <cellStyle name="LTGR" xfId="83" xr:uid="{00000000-0005-0000-0000-0000C3040000}"/>
    <cellStyle name="m" xfId="653" xr:uid="{00000000-0005-0000-0000-0000C4040000}"/>
    <cellStyle name="m$" xfId="654" xr:uid="{00000000-0005-0000-0000-0000C5040000}"/>
    <cellStyle name="m_3 Year  Model 4-15.1 Base with 2006 and 2007 v1" xfId="655" xr:uid="{00000000-0005-0000-0000-0000C6040000}"/>
    <cellStyle name="m_3 Year Plan CapEx swag for 7 21 BOD (2)" xfId="656" xr:uid="{00000000-0005-0000-0000-0000C7040000}"/>
    <cellStyle name="m_Company0205_Model_Master012301" xfId="657" xr:uid="{00000000-0005-0000-0000-0000C8040000}"/>
    <cellStyle name="m_Company0205_Model_Master021601" xfId="658" xr:uid="{00000000-0005-0000-0000-0000C9040000}"/>
    <cellStyle name="m_Company0205_Model_Master061001" xfId="659" xr:uid="{00000000-0005-0000-0000-0000CA040000}"/>
    <cellStyle name="m_Company0112_Model_Master" xfId="660" xr:uid="{00000000-0005-0000-0000-0000CB040000}"/>
    <cellStyle name="m_deprec update 7.1.04" xfId="661" xr:uid="{00000000-0005-0000-0000-0000CC040000}"/>
    <cellStyle name="m_deprec update 7.8.04" xfId="662" xr:uid="{00000000-0005-0000-0000-0000CD040000}"/>
    <cellStyle name="m_EarningsModel" xfId="663" xr:uid="{00000000-0005-0000-0000-0000CE040000}"/>
    <cellStyle name="m_Info for monthly COGS meeting" xfId="664" xr:uid="{00000000-0005-0000-0000-0000CF040000}"/>
    <cellStyle name="m_LC Model082901 - MASTER" xfId="665" xr:uid="{00000000-0005-0000-0000-0000D0040000}"/>
    <cellStyle name="m_Mapping Points" xfId="666" xr:uid="{00000000-0005-0000-0000-0000D1040000}"/>
    <cellStyle name="m_Mapping Points2" xfId="667" xr:uid="{00000000-0005-0000-0000-0000D2040000}"/>
    <cellStyle name="m_Ticker0024_Model_Master012201" xfId="668" xr:uid="{00000000-0005-0000-0000-0000D3040000}"/>
    <cellStyle name="m_Ticker0024_Model_Master101801.xls1" xfId="669" xr:uid="{00000000-0005-0000-0000-0000D4040000}"/>
    <cellStyle name="m_New Company2235 022101" xfId="670" xr:uid="{00000000-0005-0000-0000-0000D5040000}"/>
    <cellStyle name="m_VRSN Model Master 071201" xfId="671" xr:uid="{00000000-0005-0000-0000-0000D6040000}"/>
    <cellStyle name="MacroCode" xfId="35" xr:uid="{00000000-0005-0000-0000-0000D7040000}"/>
    <cellStyle name="MacroCode 2" xfId="1100" xr:uid="{00000000-0005-0000-0000-0000D8040000}"/>
    <cellStyle name="MacroCode 2 2" xfId="1343" xr:uid="{00000000-0005-0000-0000-0000D9040000}"/>
    <cellStyle name="MacroCode 3" xfId="1144" xr:uid="{00000000-0005-0000-0000-0000DA040000}"/>
    <cellStyle name="MacroCode 3 2" xfId="1370" xr:uid="{00000000-0005-0000-0000-0000DB040000}"/>
    <cellStyle name="MacroCode 4" xfId="1121" xr:uid="{00000000-0005-0000-0000-0000DC040000}"/>
    <cellStyle name="MacroCode 4 2" xfId="1358" xr:uid="{00000000-0005-0000-0000-0000DD040000}"/>
    <cellStyle name="MacroCode 5" xfId="1296" xr:uid="{00000000-0005-0000-0000-0000DE040000}"/>
    <cellStyle name="MacroCode 5 2" xfId="1475" xr:uid="{00000000-0005-0000-0000-0000DF040000}"/>
    <cellStyle name="MacroCode 6" xfId="1209" xr:uid="{00000000-0005-0000-0000-0000E0040000}"/>
    <cellStyle name="MacroCode 6 2" xfId="1417" xr:uid="{00000000-0005-0000-0000-0000E1040000}"/>
    <cellStyle name="MacroCode 7" xfId="1184" xr:uid="{00000000-0005-0000-0000-0000E2040000}"/>
    <cellStyle name="MacroCode 7 2" xfId="1396" xr:uid="{00000000-0005-0000-0000-0000E3040000}"/>
    <cellStyle name="MacroCode 8" xfId="1324" xr:uid="{00000000-0005-0000-0000-0000E4040000}"/>
    <cellStyle name="Mainhead" xfId="672" xr:uid="{00000000-0005-0000-0000-0000E5040000}"/>
    <cellStyle name="Major item" xfId="673" xr:uid="{00000000-0005-0000-0000-0000E6040000}"/>
    <cellStyle name="Margin" xfId="84" xr:uid="{00000000-0005-0000-0000-0000E7040000}"/>
    <cellStyle name="Margins" xfId="85" xr:uid="{00000000-0005-0000-0000-0000E8040000}"/>
    <cellStyle name="Company1806" xfId="1072" xr:uid="{00000000-0005-0000-0000-0000E9040000}"/>
    <cellStyle name="Migliaia (0)_Bourse" xfId="674" xr:uid="{00000000-0005-0000-0000-0000EA040000}"/>
    <cellStyle name="Migliaia_Bourse" xfId="675" xr:uid="{00000000-0005-0000-0000-0000EB040000}"/>
    <cellStyle name="Mike" xfId="36" xr:uid="{00000000-0005-0000-0000-0000EC040000}"/>
    <cellStyle name="Millions" xfId="37" xr:uid="{00000000-0005-0000-0000-0000ED040000}"/>
    <cellStyle name="Mix" xfId="1073" xr:uid="{00000000-0005-0000-0000-0000EE040000}"/>
    <cellStyle name="mm" xfId="676" xr:uid="{00000000-0005-0000-0000-0000EF040000}"/>
    <cellStyle name="mm/dd/yy" xfId="677" xr:uid="{00000000-0005-0000-0000-0000F0040000}"/>
    <cellStyle name="mm_3 Year  Model 4-15.1 Base with 2006 and 2007 v1" xfId="678" xr:uid="{00000000-0005-0000-0000-0000F1040000}"/>
    <cellStyle name="Model" xfId="679" xr:uid="{00000000-0005-0000-0000-0000F2040000}"/>
    <cellStyle name="Monitor" xfId="680" xr:uid="{00000000-0005-0000-0000-0000F3040000}"/>
    <cellStyle name="muiltiple" xfId="681" xr:uid="{00000000-0005-0000-0000-0000F4040000}"/>
    <cellStyle name="multiple" xfId="38" xr:uid="{00000000-0005-0000-0000-0000F5040000}"/>
    <cellStyle name="Multiple1" xfId="682" xr:uid="{00000000-0005-0000-0000-0000F6040000}"/>
    <cellStyle name="MultipleBelow" xfId="683" xr:uid="{00000000-0005-0000-0000-0000F7040000}"/>
    <cellStyle name="no dec" xfId="684" xr:uid="{00000000-0005-0000-0000-0000F8040000}"/>
    <cellStyle name="Normal" xfId="0" builtinId="0"/>
    <cellStyle name="Normal - Style1" xfId="685" xr:uid="{00000000-0005-0000-0000-0000FA040000}"/>
    <cellStyle name="Normal [1]" xfId="39" xr:uid="{00000000-0005-0000-0000-0000FB040000}"/>
    <cellStyle name="Normal 10" xfId="1103" xr:uid="{00000000-0005-0000-0000-0000FC040000}"/>
    <cellStyle name="Normal 11" xfId="1134" xr:uid="{00000000-0005-0000-0000-0000FD040000}"/>
    <cellStyle name="Normal 12" xfId="1285" xr:uid="{00000000-0005-0000-0000-0000FE040000}"/>
    <cellStyle name="Normal 13" xfId="1273" xr:uid="{00000000-0005-0000-0000-0000FF040000}"/>
    <cellStyle name="Normal 14" xfId="1236" xr:uid="{00000000-0005-0000-0000-000000050000}"/>
    <cellStyle name="Normal 15" xfId="1275" xr:uid="{00000000-0005-0000-0000-000001050000}"/>
    <cellStyle name="Normal 16" xfId="1167" xr:uid="{00000000-0005-0000-0000-000002050000}"/>
    <cellStyle name="Normal 167" xfId="1331" xr:uid="{00000000-0005-0000-0000-000003050000}"/>
    <cellStyle name="Normal 17" xfId="1124" xr:uid="{00000000-0005-0000-0000-000004050000}"/>
    <cellStyle name="Normal 18" xfId="1170" xr:uid="{00000000-0005-0000-0000-000005050000}"/>
    <cellStyle name="Normal 19" xfId="1218" xr:uid="{00000000-0005-0000-0000-000006050000}"/>
    <cellStyle name="Normal 2" xfId="63" xr:uid="{00000000-0005-0000-0000-000007050000}"/>
    <cellStyle name="Normal 2 2" xfId="105" xr:uid="{00000000-0005-0000-0000-000008050000}"/>
    <cellStyle name="Normal 2 2 2" xfId="1334" xr:uid="{00000000-0005-0000-0000-000009050000}"/>
    <cellStyle name="Normal 2 3" xfId="1495" xr:uid="{00000000-0005-0000-0000-00000A050000}"/>
    <cellStyle name="Normal 2 4" xfId="1498" xr:uid="{00000000-0005-0000-0000-00000B050000}"/>
    <cellStyle name="Normal 20" xfId="1230" xr:uid="{00000000-0005-0000-0000-00000C050000}"/>
    <cellStyle name="Normal 21" xfId="1265" xr:uid="{00000000-0005-0000-0000-00000D050000}"/>
    <cellStyle name="Normal 22" xfId="1294" xr:uid="{00000000-0005-0000-0000-00000E050000}"/>
    <cellStyle name="Normal 23" xfId="1320" xr:uid="{00000000-0005-0000-0000-00000F050000}"/>
    <cellStyle name="Normal 24" xfId="1327" xr:uid="{00000000-0005-0000-0000-000010050000}"/>
    <cellStyle name="Normal 28" xfId="1335" xr:uid="{00000000-0005-0000-0000-000011050000}"/>
    <cellStyle name="Normal 29" xfId="1326" xr:uid="{00000000-0005-0000-0000-000012050000}"/>
    <cellStyle name="Normal 3" xfId="106" xr:uid="{00000000-0005-0000-0000-000013050000}"/>
    <cellStyle name="Normal 3 2" xfId="845" xr:uid="{00000000-0005-0000-0000-000014050000}"/>
    <cellStyle name="Normal 3 2 2" xfId="849" xr:uid="{00000000-0005-0000-0000-000015050000}"/>
    <cellStyle name="Normal 3 2 3" xfId="852" xr:uid="{00000000-0005-0000-0000-000016050000}"/>
    <cellStyle name="Normal 3 2 4" xfId="855" xr:uid="{00000000-0005-0000-0000-000017050000}"/>
    <cellStyle name="Normal 3 3" xfId="847" xr:uid="{00000000-0005-0000-0000-000018050000}"/>
    <cellStyle name="Normal 3 3 2" xfId="851" xr:uid="{00000000-0005-0000-0000-000019050000}"/>
    <cellStyle name="Normal 3 3 3" xfId="857" xr:uid="{00000000-0005-0000-0000-00001A050000}"/>
    <cellStyle name="Normal 3 4" xfId="850" xr:uid="{00000000-0005-0000-0000-00001B050000}"/>
    <cellStyle name="Normal 3 4 2" xfId="859" xr:uid="{00000000-0005-0000-0000-00001C050000}"/>
    <cellStyle name="Normal 3 5" xfId="854" xr:uid="{00000000-0005-0000-0000-00001D050000}"/>
    <cellStyle name="Normal 30" xfId="1328" xr:uid="{00000000-0005-0000-0000-00001E050000}"/>
    <cellStyle name="Normal 4" xfId="686" xr:uid="{00000000-0005-0000-0000-00001F050000}"/>
    <cellStyle name="Normal 5" xfId="860" xr:uid="{00000000-0005-0000-0000-000020050000}"/>
    <cellStyle name="Normal 6" xfId="3" xr:uid="{00000000-0005-0000-0000-000021050000}"/>
    <cellStyle name="Normal 7" xfId="1088" xr:uid="{00000000-0005-0000-0000-000022050000}"/>
    <cellStyle name="Normal 8" xfId="1259" xr:uid="{00000000-0005-0000-0000-000023050000}"/>
    <cellStyle name="Normal 9" xfId="1135" xr:uid="{00000000-0005-0000-0000-000024050000}"/>
    <cellStyle name="Normal Cells" xfId="687" xr:uid="{00000000-0005-0000-0000-000025050000}"/>
    <cellStyle name="Normal_Company0826" xfId="1718" xr:uid="{D17033FC-508B-4F99-9DE6-979505346C6D}"/>
    <cellStyle name="Normal_LH_model" xfId="1719" xr:uid="{5964589B-12BF-420F-B694-EF52EE229B7F}"/>
    <cellStyle name="Normal_Company2049 VALUATION" xfId="1721" xr:uid="{B1063E50-E8CE-4446-B5FC-524772CD8DEF}"/>
    <cellStyle name="Normal_SBC" xfId="1720" xr:uid="{87F25621-6C02-4706-809E-6E323FDF2863}"/>
    <cellStyle name="Normal2" xfId="688" xr:uid="{00000000-0005-0000-0000-000026050000}"/>
    <cellStyle name="Normale_Bourse" xfId="689" xr:uid="{00000000-0005-0000-0000-000027050000}"/>
    <cellStyle name="NormalGB" xfId="690" xr:uid="{00000000-0005-0000-0000-000028050000}"/>
    <cellStyle name="Notes" xfId="40" xr:uid="{00000000-0005-0000-0000-000029050000}"/>
    <cellStyle name="Notes 2" xfId="1104" xr:uid="{00000000-0005-0000-0000-00002A050000}"/>
    <cellStyle name="Notes 2 2" xfId="1345" xr:uid="{00000000-0005-0000-0000-00002B050000}"/>
    <cellStyle name="Notes 3" xfId="1114" xr:uid="{00000000-0005-0000-0000-00002C050000}"/>
    <cellStyle name="Notes 3 2" xfId="1352" xr:uid="{00000000-0005-0000-0000-00002D050000}"/>
    <cellStyle name="Notes 4" xfId="1280" xr:uid="{00000000-0005-0000-0000-00002E050000}"/>
    <cellStyle name="Notes 4 2" xfId="1462" xr:uid="{00000000-0005-0000-0000-00002F050000}"/>
    <cellStyle name="Notes 5" xfId="1092" xr:uid="{00000000-0005-0000-0000-000030050000}"/>
    <cellStyle name="Notes 5 2" xfId="1338" xr:uid="{00000000-0005-0000-0000-000031050000}"/>
    <cellStyle name="Notes 6" xfId="1287" xr:uid="{00000000-0005-0000-0000-000032050000}"/>
    <cellStyle name="Notes 6 2" xfId="1467" xr:uid="{00000000-0005-0000-0000-000033050000}"/>
    <cellStyle name="Notes 7" xfId="1310" xr:uid="{00000000-0005-0000-0000-000034050000}"/>
    <cellStyle name="Notes 7 2" xfId="1486" xr:uid="{00000000-0005-0000-0000-000035050000}"/>
    <cellStyle name="Notes 8" xfId="1131" xr:uid="{00000000-0005-0000-0000-000036050000}"/>
    <cellStyle name="Number" xfId="41" xr:uid="{00000000-0005-0000-0000-000037050000}"/>
    <cellStyle name="number2" xfId="691" xr:uid="{00000000-0005-0000-0000-000038050000}"/>
    <cellStyle name="Numbers" xfId="692" xr:uid="{00000000-0005-0000-0000-000039050000}"/>
    <cellStyle name="Numbers - Bold" xfId="693" xr:uid="{00000000-0005-0000-0000-00003A050000}"/>
    <cellStyle name="Numbers - Bold - Italic" xfId="694" xr:uid="{00000000-0005-0000-0000-00003B050000}"/>
    <cellStyle name="Numbers - Bold_Blend" xfId="1074" xr:uid="{00000000-0005-0000-0000-00003C050000}"/>
    <cellStyle name="Numbers - Large" xfId="695" xr:uid="{00000000-0005-0000-0000-00003D050000}"/>
    <cellStyle name="Numbers_Comps" xfId="696" xr:uid="{00000000-0005-0000-0000-00003E050000}"/>
    <cellStyle name="Œ…‹æØ‚è [0.00]_laroux" xfId="697" xr:uid="{00000000-0005-0000-0000-00003F050000}"/>
    <cellStyle name="Œ…‹æØ‚è_laroux" xfId="698" xr:uid="{00000000-0005-0000-0000-000040050000}"/>
    <cellStyle name="Original L1" xfId="699" xr:uid="{00000000-0005-0000-0000-000041050000}"/>
    <cellStyle name="Original L2" xfId="700" xr:uid="{00000000-0005-0000-0000-000042050000}"/>
    <cellStyle name="Original L3" xfId="701" xr:uid="{00000000-0005-0000-0000-000043050000}"/>
    <cellStyle name="Original Space" xfId="702" xr:uid="{00000000-0005-0000-0000-000044050000}"/>
    <cellStyle name="OSW_ColumnLabels" xfId="1075" xr:uid="{00000000-0005-0000-0000-000045050000}"/>
    <cellStyle name="Output Amounts" xfId="703" xr:uid="{00000000-0005-0000-0000-000046050000}"/>
    <cellStyle name="Output Column Headings" xfId="704" xr:uid="{00000000-0005-0000-0000-000047050000}"/>
    <cellStyle name="Output Line Items" xfId="705" xr:uid="{00000000-0005-0000-0000-000048050000}"/>
    <cellStyle name="Output Report Heading" xfId="706" xr:uid="{00000000-0005-0000-0000-000049050000}"/>
    <cellStyle name="Output Report Title" xfId="707" xr:uid="{00000000-0005-0000-0000-00004A050000}"/>
    <cellStyle name="P/E" xfId="86" xr:uid="{00000000-0005-0000-0000-00004B050000}"/>
    <cellStyle name="Page" xfId="1076" xr:uid="{00000000-0005-0000-0000-00004C050000}"/>
    <cellStyle name="Page header" xfId="708" xr:uid="{00000000-0005-0000-0000-00004D050000}"/>
    <cellStyle name="Page Heading Large" xfId="709" xr:uid="{00000000-0005-0000-0000-00004E050000}"/>
    <cellStyle name="Page Heading Small" xfId="710" xr:uid="{00000000-0005-0000-0000-00004F050000}"/>
    <cellStyle name="Page Number" xfId="711" xr:uid="{00000000-0005-0000-0000-000050050000}"/>
    <cellStyle name="Palatino" xfId="712" xr:uid="{00000000-0005-0000-0000-000051050000}"/>
    <cellStyle name="pe" xfId="713" xr:uid="{00000000-0005-0000-0000-000052050000}"/>
    <cellStyle name="PE Multiple" xfId="714" xr:uid="{00000000-0005-0000-0000-000053050000}"/>
    <cellStyle name="PE/LTGR" xfId="87" xr:uid="{00000000-0005-0000-0000-000054050000}"/>
    <cellStyle name="pe_Americas" xfId="715" xr:uid="{00000000-0005-0000-0000-000055050000}"/>
    <cellStyle name="PEG" xfId="716" xr:uid="{00000000-0005-0000-0000-000056050000}"/>
    <cellStyle name="Per aandeel" xfId="717" xr:uid="{00000000-0005-0000-0000-000057050000}"/>
    <cellStyle name="Percent" xfId="2" builtinId="5"/>
    <cellStyle name="Percent [0]" xfId="718" xr:uid="{00000000-0005-0000-0000-000059050000}"/>
    <cellStyle name="Percent [00]" xfId="719" xr:uid="{00000000-0005-0000-0000-00005A050000}"/>
    <cellStyle name="Percent [1]" xfId="720" xr:uid="{00000000-0005-0000-0000-00005B050000}"/>
    <cellStyle name="Percent [2]" xfId="42" xr:uid="{00000000-0005-0000-0000-00005C050000}"/>
    <cellStyle name="Percent 10" xfId="1216" xr:uid="{00000000-0005-0000-0000-00005D050000}"/>
    <cellStyle name="Percent 11" xfId="1309" xr:uid="{00000000-0005-0000-0000-00005E050000}"/>
    <cellStyle name="Percent 12" xfId="1286" xr:uid="{00000000-0005-0000-0000-00005F050000}"/>
    <cellStyle name="Percent 13" xfId="1133" xr:uid="{00000000-0005-0000-0000-000060050000}"/>
    <cellStyle name="Percent 14" xfId="1172" xr:uid="{00000000-0005-0000-0000-000061050000}"/>
    <cellStyle name="Percent 15" xfId="1139" xr:uid="{00000000-0005-0000-0000-000062050000}"/>
    <cellStyle name="Percent 16" xfId="1154" xr:uid="{00000000-0005-0000-0000-000063050000}"/>
    <cellStyle name="Percent 17" xfId="1192" xr:uid="{00000000-0005-0000-0000-000064050000}"/>
    <cellStyle name="Percent 18" xfId="1176" xr:uid="{00000000-0005-0000-0000-000065050000}"/>
    <cellStyle name="Percent 19" xfId="1194" xr:uid="{00000000-0005-0000-0000-000066050000}"/>
    <cellStyle name="Percent 2" xfId="65" xr:uid="{00000000-0005-0000-0000-000067050000}"/>
    <cellStyle name="Percent 2 2" xfId="721" xr:uid="{00000000-0005-0000-0000-000068050000}"/>
    <cellStyle name="Percent 2 3" xfId="1494" xr:uid="{00000000-0005-0000-0000-000069050000}"/>
    <cellStyle name="Percent 20" xfId="1252" xr:uid="{00000000-0005-0000-0000-00006A050000}"/>
    <cellStyle name="Percent 21" xfId="1101" xr:uid="{00000000-0005-0000-0000-00006B050000}"/>
    <cellStyle name="Percent 22" xfId="1336" xr:uid="{00000000-0005-0000-0000-00006C050000}"/>
    <cellStyle name="Percent 23" xfId="1500" xr:uid="{00000000-0005-0000-0000-00006D050000}"/>
    <cellStyle name="Percent 27" xfId="1329" xr:uid="{00000000-0005-0000-0000-00006E050000}"/>
    <cellStyle name="Percent 3" xfId="722" xr:uid="{00000000-0005-0000-0000-00006F050000}"/>
    <cellStyle name="Percent 3 2" xfId="846" xr:uid="{00000000-0005-0000-0000-000070050000}"/>
    <cellStyle name="Percent 3 2 2" xfId="856" xr:uid="{00000000-0005-0000-0000-000071050000}"/>
    <cellStyle name="Percent 3 3" xfId="848" xr:uid="{00000000-0005-0000-0000-000072050000}"/>
    <cellStyle name="Percent 3 3 2" xfId="853" xr:uid="{00000000-0005-0000-0000-000073050000}"/>
    <cellStyle name="Percent 3 3 3" xfId="858" xr:uid="{00000000-0005-0000-0000-000074050000}"/>
    <cellStyle name="Percent 4" xfId="6" xr:uid="{00000000-0005-0000-0000-000075050000}"/>
    <cellStyle name="Percent 46" xfId="1332" xr:uid="{00000000-0005-0000-0000-000076050000}"/>
    <cellStyle name="Percent 5" xfId="1091" xr:uid="{00000000-0005-0000-0000-000077050000}"/>
    <cellStyle name="Percent 6" xfId="1256" xr:uid="{00000000-0005-0000-0000-000078050000}"/>
    <cellStyle name="Percent 7" xfId="1138" xr:uid="{00000000-0005-0000-0000-000079050000}"/>
    <cellStyle name="Percent 8" xfId="1231" xr:uid="{00000000-0005-0000-0000-00007A050000}"/>
    <cellStyle name="Percent 9" xfId="1251" xr:uid="{00000000-0005-0000-0000-00007B050000}"/>
    <cellStyle name="Percent Hard" xfId="723" xr:uid="{00000000-0005-0000-0000-00007C050000}"/>
    <cellStyle name="Percent(1)" xfId="724" xr:uid="{00000000-0005-0000-0000-00007D050000}"/>
    <cellStyle name="Percent(1) 2" xfId="1238" xr:uid="{00000000-0005-0000-0000-00007E050000}"/>
    <cellStyle name="Percent(1) 2 2" xfId="1434" xr:uid="{00000000-0005-0000-0000-00007F050000}"/>
    <cellStyle name="Percent(1) 3" xfId="1155" xr:uid="{00000000-0005-0000-0000-000080050000}"/>
    <cellStyle name="Percent(1) 3 2" xfId="1379" xr:uid="{00000000-0005-0000-0000-000081050000}"/>
    <cellStyle name="Percent(1) 4" xfId="1132" xr:uid="{00000000-0005-0000-0000-000082050000}"/>
    <cellStyle name="Percent(1) 4 2" xfId="1366" xr:uid="{00000000-0005-0000-0000-000083050000}"/>
    <cellStyle name="Percent(1) 5" xfId="1099" xr:uid="{00000000-0005-0000-0000-000084050000}"/>
    <cellStyle name="Percent(1) 5 2" xfId="1342" xr:uid="{00000000-0005-0000-0000-000085050000}"/>
    <cellStyle name="Percent(1) 6" xfId="1279" xr:uid="{00000000-0005-0000-0000-000086050000}"/>
    <cellStyle name="Percent(1) 6 2" xfId="1461" xr:uid="{00000000-0005-0000-0000-000087050000}"/>
    <cellStyle name="Percent(1) 7" xfId="1179" xr:uid="{00000000-0005-0000-0000-000088050000}"/>
    <cellStyle name="Percent(1) 7 2" xfId="1393" xr:uid="{00000000-0005-0000-0000-000089050000}"/>
    <cellStyle name="Percent(1) 8" xfId="1314" xr:uid="{00000000-0005-0000-0000-00008A050000}"/>
    <cellStyle name="Percent(1) 8 2" xfId="1489" xr:uid="{00000000-0005-0000-0000-00008B050000}"/>
    <cellStyle name="Percent(3)" xfId="725" xr:uid="{00000000-0005-0000-0000-00008C050000}"/>
    <cellStyle name="Percent1" xfId="726" xr:uid="{00000000-0005-0000-0000-00008D050000}"/>
    <cellStyle name="percent3" xfId="727" xr:uid="{00000000-0005-0000-0000-00008E050000}"/>
    <cellStyle name="Percentage" xfId="728" xr:uid="{00000000-0005-0000-0000-00008F050000}"/>
    <cellStyle name="PercentChange" xfId="43" xr:uid="{00000000-0005-0000-0000-000090050000}"/>
    <cellStyle name="PercentPresentation" xfId="88" xr:uid="{00000000-0005-0000-0000-000091050000}"/>
    <cellStyle name="PerShare" xfId="89" xr:uid="{00000000-0005-0000-0000-000092050000}"/>
    <cellStyle name="POPS" xfId="90" xr:uid="{00000000-0005-0000-0000-000093050000}"/>
    <cellStyle name="pound" xfId="729" xr:uid="{00000000-0005-0000-0000-000094050000}"/>
    <cellStyle name="PrePop Currency (0)" xfId="730" xr:uid="{00000000-0005-0000-0000-000095050000}"/>
    <cellStyle name="PrePop Currency (2)" xfId="731" xr:uid="{00000000-0005-0000-0000-000096050000}"/>
    <cellStyle name="PrePop Units (0)" xfId="732" xr:uid="{00000000-0005-0000-0000-000097050000}"/>
    <cellStyle name="PrePop Units (1)" xfId="733" xr:uid="{00000000-0005-0000-0000-000098050000}"/>
    <cellStyle name="PrePop Units (2)" xfId="734" xr:uid="{00000000-0005-0000-0000-000099050000}"/>
    <cellStyle name="Presentation" xfId="44" xr:uid="{00000000-0005-0000-0000-00009A050000}"/>
    <cellStyle name="PresentationZero" xfId="91" xr:uid="{00000000-0005-0000-0000-00009B050000}"/>
    <cellStyle name="Price" xfId="92" xr:uid="{00000000-0005-0000-0000-00009C050000}"/>
    <cellStyle name="Company2176" xfId="735" xr:uid="{00000000-0005-0000-0000-00009D050000}"/>
    <cellStyle name="Company2176 estimate" xfId="736" xr:uid="{00000000-0005-0000-0000-00009E050000}"/>
    <cellStyle name="Company2176_EMI" xfId="737" xr:uid="{00000000-0005-0000-0000-00009F050000}"/>
    <cellStyle name="PROJECT" xfId="45" xr:uid="{00000000-0005-0000-0000-0000A0050000}"/>
    <cellStyle name="PROJECT R" xfId="46" xr:uid="{00000000-0005-0000-0000-0000A1050000}"/>
    <cellStyle name="prot" xfId="1077" xr:uid="{00000000-0005-0000-0000-0000A2050000}"/>
    <cellStyle name="Punto" xfId="1078" xr:uid="{00000000-0005-0000-0000-0000A3050000}"/>
    <cellStyle name="q" xfId="738" xr:uid="{00000000-0005-0000-0000-0000A4050000}"/>
    <cellStyle name="QEPS-h" xfId="739" xr:uid="{00000000-0005-0000-0000-0000A5050000}"/>
    <cellStyle name="QEPS-H1" xfId="740" xr:uid="{00000000-0005-0000-0000-0000A6050000}"/>
    <cellStyle name="QEPS-H1 2" xfId="1240" xr:uid="{00000000-0005-0000-0000-0000A7050000}"/>
    <cellStyle name="QEPS-H1 2 2" xfId="1436" xr:uid="{00000000-0005-0000-0000-0000A8050000}"/>
    <cellStyle name="QEPS-H1 3" xfId="1153" xr:uid="{00000000-0005-0000-0000-0000A9050000}"/>
    <cellStyle name="QEPS-H1 3 2" xfId="1378" xr:uid="{00000000-0005-0000-0000-0000AA050000}"/>
    <cellStyle name="QEPS-H1 4" xfId="1292" xr:uid="{00000000-0005-0000-0000-0000AB050000}"/>
    <cellStyle name="QEPS-H1 4 2" xfId="1472" xr:uid="{00000000-0005-0000-0000-0000AC050000}"/>
    <cellStyle name="QEPS-H1 5" xfId="1224" xr:uid="{00000000-0005-0000-0000-0000AD050000}"/>
    <cellStyle name="QEPS-H1 5 2" xfId="1428" xr:uid="{00000000-0005-0000-0000-0000AE050000}"/>
    <cellStyle name="QEPS-H1 6" xfId="1211" xr:uid="{00000000-0005-0000-0000-0000AF050000}"/>
    <cellStyle name="QEPS-H1 6 2" xfId="1419" xr:uid="{00000000-0005-0000-0000-0000B0050000}"/>
    <cellStyle name="QEPS-H1 7" xfId="1110" xr:uid="{00000000-0005-0000-0000-0000B1050000}"/>
    <cellStyle name="QEPS-H1 7 2" xfId="1348" xr:uid="{00000000-0005-0000-0000-0000B2050000}"/>
    <cellStyle name="QEPS-H1 8" xfId="1203" xr:uid="{00000000-0005-0000-0000-0000B3050000}"/>
    <cellStyle name="QEPS-H1 8 2" xfId="1411" xr:uid="{00000000-0005-0000-0000-0000B4050000}"/>
    <cellStyle name="qRange" xfId="741" xr:uid="{00000000-0005-0000-0000-0000B5050000}"/>
    <cellStyle name="r" xfId="742" xr:uid="{00000000-0005-0000-0000-0000B6050000}"/>
    <cellStyle name="r_newmrgr" xfId="743" xr:uid="{00000000-0005-0000-0000-0000B7050000}"/>
    <cellStyle name="r_pldt" xfId="744" xr:uid="{00000000-0005-0000-0000-0000B8050000}"/>
    <cellStyle name="range" xfId="745" xr:uid="{00000000-0005-0000-0000-0000B9050000}"/>
    <cellStyle name="RatioX" xfId="47" xr:uid="{00000000-0005-0000-0000-0000BA050000}"/>
    <cellStyle name="Red Text" xfId="48" xr:uid="{00000000-0005-0000-0000-0000BB050000}"/>
    <cellStyle name="Red Text 2" xfId="1105" xr:uid="{00000000-0005-0000-0000-0000BC050000}"/>
    <cellStyle name="Red Text 2 2" xfId="1346" xr:uid="{00000000-0005-0000-0000-0000BD050000}"/>
    <cellStyle name="Red Text 3" xfId="1305" xr:uid="{00000000-0005-0000-0000-0000BE050000}"/>
    <cellStyle name="Red Text 3 2" xfId="1483" xr:uid="{00000000-0005-0000-0000-0000BF050000}"/>
    <cellStyle name="Red Text 4" xfId="1111" xr:uid="{00000000-0005-0000-0000-0000C0050000}"/>
    <cellStyle name="Red Text 4 2" xfId="1349" xr:uid="{00000000-0005-0000-0000-0000C1050000}"/>
    <cellStyle name="Red Text 5" xfId="1318" xr:uid="{00000000-0005-0000-0000-0000C2050000}"/>
    <cellStyle name="Red Text 5 2" xfId="1491" xr:uid="{00000000-0005-0000-0000-0000C3050000}"/>
    <cellStyle name="Red Text 6" xfId="1159" xr:uid="{00000000-0005-0000-0000-0000C4050000}"/>
    <cellStyle name="Red Text 6 2" xfId="1381" xr:uid="{00000000-0005-0000-0000-0000C5050000}"/>
    <cellStyle name="Red Text 7" xfId="1322" xr:uid="{00000000-0005-0000-0000-0000C6050000}"/>
    <cellStyle name="Red Text 7 2" xfId="1492" xr:uid="{00000000-0005-0000-0000-0000C7050000}"/>
    <cellStyle name="Red Text 8" xfId="1190" xr:uid="{00000000-0005-0000-0000-0000C8050000}"/>
    <cellStyle name="Ref Numbers" xfId="746" xr:uid="{00000000-0005-0000-0000-0000C9050000}"/>
    <cellStyle name="Report" xfId="93" xr:uid="{00000000-0005-0000-0000-0000CA050000}"/>
    <cellStyle name="results" xfId="747" xr:uid="{00000000-0005-0000-0000-0000CB050000}"/>
    <cellStyle name="Reuters Cells" xfId="748" xr:uid="{00000000-0005-0000-0000-0000CC050000}"/>
    <cellStyle name="Reuters Cells 2" xfId="1212" xr:uid="{00000000-0005-0000-0000-0000CD050000}"/>
    <cellStyle name="Reuters Cells 2 2" xfId="1420" xr:uid="{00000000-0005-0000-0000-0000CE050000}"/>
    <cellStyle name="Reuters Cells 3" xfId="1145" xr:uid="{00000000-0005-0000-0000-0000CF050000}"/>
    <cellStyle name="Reuters Cells 3 2" xfId="1371" xr:uid="{00000000-0005-0000-0000-0000D0050000}"/>
    <cellStyle name="RevList" xfId="749" xr:uid="{00000000-0005-0000-0000-0000D1050000}"/>
    <cellStyle name="Right" xfId="49" xr:uid="{00000000-0005-0000-0000-0000D2050000}"/>
    <cellStyle name="s" xfId="1079" xr:uid="{00000000-0005-0000-0000-0000D3050000}"/>
    <cellStyle name="Company2527 Logo" xfId="750" xr:uid="{00000000-0005-0000-0000-0000D4050000}"/>
    <cellStyle name="SectionHeading" xfId="50" xr:uid="{00000000-0005-0000-0000-0000D5050000}"/>
    <cellStyle name="Shade" xfId="751" xr:uid="{00000000-0005-0000-0000-0000D6050000}"/>
    <cellStyle name="Shaded" xfId="752" xr:uid="{00000000-0005-0000-0000-0000D7050000}"/>
    <cellStyle name="ShadedCells_Database" xfId="753" xr:uid="{00000000-0005-0000-0000-0000D8050000}"/>
    <cellStyle name="Share" xfId="754" xr:uid="{00000000-0005-0000-0000-0000D9050000}"/>
    <cellStyle name="Share 2" xfId="1242" xr:uid="{00000000-0005-0000-0000-0000DA050000}"/>
    <cellStyle name="Share 2 2" xfId="1438" xr:uid="{00000000-0005-0000-0000-0000DB050000}"/>
    <cellStyle name="Share 3" xfId="1151" xr:uid="{00000000-0005-0000-0000-0000DC050000}"/>
    <cellStyle name="Share 3 2" xfId="1376" xr:uid="{00000000-0005-0000-0000-0000DD050000}"/>
    <cellStyle name="Share 4" xfId="1113" xr:uid="{00000000-0005-0000-0000-0000DE050000}"/>
    <cellStyle name="Share 4 2" xfId="1351" xr:uid="{00000000-0005-0000-0000-0000DF050000}"/>
    <cellStyle name="Share 5" xfId="1102" xr:uid="{00000000-0005-0000-0000-0000E0050000}"/>
    <cellStyle name="Share 5 2" xfId="1344" xr:uid="{00000000-0005-0000-0000-0000E1050000}"/>
    <cellStyle name="Share 6" xfId="1165" xr:uid="{00000000-0005-0000-0000-0000E2050000}"/>
    <cellStyle name="Share 6 2" xfId="1387" xr:uid="{00000000-0005-0000-0000-0000E3050000}"/>
    <cellStyle name="Share 7" xfId="1301" xr:uid="{00000000-0005-0000-0000-0000E4050000}"/>
    <cellStyle name="Share 7 2" xfId="1479" xr:uid="{00000000-0005-0000-0000-0000E5050000}"/>
    <cellStyle name="Share 8" xfId="1148" xr:uid="{00000000-0005-0000-0000-0000E6050000}"/>
    <cellStyle name="Share 8 2" xfId="1373" xr:uid="{00000000-0005-0000-0000-0000E7050000}"/>
    <cellStyle name="Shares" xfId="51" xr:uid="{00000000-0005-0000-0000-0000E8050000}"/>
    <cellStyle name="Sheet Title" xfId="1080" xr:uid="{00000000-0005-0000-0000-0000E9050000}"/>
    <cellStyle name="ShOut" xfId="1081" xr:uid="{00000000-0005-0000-0000-0000EA050000}"/>
    <cellStyle name="Single Accounting" xfId="755" xr:uid="{00000000-0005-0000-0000-0000EB050000}"/>
    <cellStyle name="Source" xfId="756" xr:uid="{00000000-0005-0000-0000-0000EC050000}"/>
    <cellStyle name="Source Line" xfId="757" xr:uid="{00000000-0005-0000-0000-0000ED050000}"/>
    <cellStyle name="Space" xfId="758" xr:uid="{00000000-0005-0000-0000-0000EE050000}"/>
    <cellStyle name="SS1000" xfId="52" xr:uid="{00000000-0005-0000-0000-0000EF050000}"/>
    <cellStyle name="Standard_BLUE" xfId="759" xr:uid="{00000000-0005-0000-0000-0000F0050000}"/>
    <cellStyle name="Stock price" xfId="760" xr:uid="{00000000-0005-0000-0000-0000F1050000}"/>
    <cellStyle name="StockPrice" xfId="94" xr:uid="{00000000-0005-0000-0000-0000F2050000}"/>
    <cellStyle name="Style 1" xfId="8" xr:uid="{00000000-0005-0000-0000-0000F3050000}"/>
    <cellStyle name="Style 1 2" xfId="761" xr:uid="{00000000-0005-0000-0000-0000F4050000}"/>
    <cellStyle name="Style 2" xfId="1082" xr:uid="{00000000-0005-0000-0000-0000F5050000}"/>
    <cellStyle name="Style 3" xfId="1083" xr:uid="{00000000-0005-0000-0000-0000F6050000}"/>
    <cellStyle name="Style D green" xfId="762" xr:uid="{00000000-0005-0000-0000-0000F7050000}"/>
    <cellStyle name="Style E" xfId="763" xr:uid="{00000000-0005-0000-0000-0000F8050000}"/>
    <cellStyle name="Style H" xfId="764" xr:uid="{00000000-0005-0000-0000-0000F9050000}"/>
    <cellStyle name="Sub total" xfId="765" xr:uid="{00000000-0005-0000-0000-0000FA050000}"/>
    <cellStyle name="Sub total 2" xfId="1225" xr:uid="{00000000-0005-0000-0000-0000FB050000}"/>
    <cellStyle name="SubDollar" xfId="95" xr:uid="{00000000-0005-0000-0000-0000FC050000}"/>
    <cellStyle name="SubGrowth" xfId="96" xr:uid="{00000000-0005-0000-0000-0000FD050000}"/>
    <cellStyle name="SubGrowthRate" xfId="97" xr:uid="{00000000-0005-0000-0000-0000FE050000}"/>
    <cellStyle name="Subhead" xfId="53" xr:uid="{00000000-0005-0000-0000-0000FF050000}"/>
    <cellStyle name="SubMargins" xfId="98" xr:uid="{00000000-0005-0000-0000-000000060000}"/>
    <cellStyle name="SubPenetration" xfId="99" xr:uid="{00000000-0005-0000-0000-000001060000}"/>
    <cellStyle name="Subscribers" xfId="100" xr:uid="{00000000-0005-0000-0000-000002060000}"/>
    <cellStyle name="Subtitle" xfId="54" xr:uid="{00000000-0005-0000-0000-000003060000}"/>
    <cellStyle name="Subtotal" xfId="766" xr:uid="{00000000-0005-0000-0000-000004060000}"/>
    <cellStyle name="SubVariable" xfId="101" xr:uid="{00000000-0005-0000-0000-000005060000}"/>
    <cellStyle name="Sum" xfId="1084" xr:uid="{00000000-0005-0000-0000-000006060000}"/>
    <cellStyle name="survey_question_xlr8r" xfId="767" xr:uid="{00000000-0005-0000-0000-000007060000}"/>
    <cellStyle name="Swiss" xfId="1085" xr:uid="{00000000-0005-0000-0000-000008060000}"/>
    <cellStyle name="swisses" xfId="768" xr:uid="{00000000-0005-0000-0000-000009060000}"/>
    <cellStyle name="Synopsis" xfId="769" xr:uid="{00000000-0005-0000-0000-00000A060000}"/>
    <cellStyle name="Synopsis 2" xfId="1246" xr:uid="{00000000-0005-0000-0000-00000B060000}"/>
    <cellStyle name="Synopsis 2 2" xfId="1441" xr:uid="{00000000-0005-0000-0000-00000C060000}"/>
    <cellStyle name="Synopsis 3" xfId="1268" xr:uid="{00000000-0005-0000-0000-00000D060000}"/>
    <cellStyle name="Synopsis 3 2" xfId="1453" xr:uid="{00000000-0005-0000-0000-00000E060000}"/>
    <cellStyle name="Synopsis 4" xfId="1163" xr:uid="{00000000-0005-0000-0000-00000F060000}"/>
    <cellStyle name="Synopsis 4 2" xfId="1385" xr:uid="{00000000-0005-0000-0000-000010060000}"/>
    <cellStyle name="Synopsis 5" xfId="1116" xr:uid="{00000000-0005-0000-0000-000011060000}"/>
    <cellStyle name="Synopsis 5 2" xfId="1354" xr:uid="{00000000-0005-0000-0000-000012060000}"/>
    <cellStyle name="Synopsis 6" xfId="1188" xr:uid="{00000000-0005-0000-0000-000013060000}"/>
    <cellStyle name="Synopsis 6 2" xfId="1400" xr:uid="{00000000-0005-0000-0000-000014060000}"/>
    <cellStyle name="Synopsis 7" xfId="1237" xr:uid="{00000000-0005-0000-0000-000015060000}"/>
    <cellStyle name="Synopsis 7 2" xfId="1433" xr:uid="{00000000-0005-0000-0000-000016060000}"/>
    <cellStyle name="Synopsis 8" xfId="1157" xr:uid="{00000000-0005-0000-0000-000017060000}"/>
    <cellStyle name="t" xfId="770" xr:uid="{00000000-0005-0000-0000-000018060000}"/>
    <cellStyle name="Table Col Head" xfId="771" xr:uid="{00000000-0005-0000-0000-000019060000}"/>
    <cellStyle name="Table end" xfId="772" xr:uid="{00000000-0005-0000-0000-00001A060000}"/>
    <cellStyle name="Table head" xfId="773" xr:uid="{00000000-0005-0000-0000-00001B060000}"/>
    <cellStyle name="Table head 2" xfId="1247" xr:uid="{00000000-0005-0000-0000-00001C060000}"/>
    <cellStyle name="Table head 2 2" xfId="1442" xr:uid="{00000000-0005-0000-0000-00001D060000}"/>
    <cellStyle name="Table head 3" xfId="1150" xr:uid="{00000000-0005-0000-0000-00001E060000}"/>
    <cellStyle name="Table head 3 2" xfId="1375" xr:uid="{00000000-0005-0000-0000-00001F060000}"/>
    <cellStyle name="Table head 4" xfId="1162" xr:uid="{00000000-0005-0000-0000-000020060000}"/>
    <cellStyle name="Table head 4 2" xfId="1384" xr:uid="{00000000-0005-0000-0000-000021060000}"/>
    <cellStyle name="Table head 5" xfId="1174" xr:uid="{00000000-0005-0000-0000-000022060000}"/>
    <cellStyle name="Table head 5 2" xfId="1390" xr:uid="{00000000-0005-0000-0000-000023060000}"/>
    <cellStyle name="Table head 6" xfId="1117" xr:uid="{00000000-0005-0000-0000-000024060000}"/>
    <cellStyle name="Table head 6 2" xfId="1355" xr:uid="{00000000-0005-0000-0000-000025060000}"/>
    <cellStyle name="Table head 7" xfId="1187" xr:uid="{00000000-0005-0000-0000-000026060000}"/>
    <cellStyle name="Table head 7 2" xfId="1399" xr:uid="{00000000-0005-0000-0000-000027060000}"/>
    <cellStyle name="Table head 8" xfId="1245" xr:uid="{00000000-0005-0000-0000-000028060000}"/>
    <cellStyle name="Table head 8 2" xfId="1440" xr:uid="{00000000-0005-0000-0000-000029060000}"/>
    <cellStyle name="Table Head Aligned" xfId="774" xr:uid="{00000000-0005-0000-0000-00002A060000}"/>
    <cellStyle name="Table Head Aligned 2" xfId="1248" xr:uid="{00000000-0005-0000-0000-00002B060000}"/>
    <cellStyle name="Table Head Aligned 2 2" xfId="1443" xr:uid="{00000000-0005-0000-0000-00002C060000}"/>
    <cellStyle name="Table Head Aligned 3" xfId="1283" xr:uid="{00000000-0005-0000-0000-00002D060000}"/>
    <cellStyle name="Table Head Aligned 3 2" xfId="1465" xr:uid="{00000000-0005-0000-0000-00002E060000}"/>
    <cellStyle name="Table Head Aligned 4" xfId="1161" xr:uid="{00000000-0005-0000-0000-00002F060000}"/>
    <cellStyle name="Table Head Aligned 4 2" xfId="1383" xr:uid="{00000000-0005-0000-0000-000030060000}"/>
    <cellStyle name="Table Head Aligned 5" xfId="1112" xr:uid="{00000000-0005-0000-0000-000031060000}"/>
    <cellStyle name="Table Head Aligned 5 2" xfId="1350" xr:uid="{00000000-0005-0000-0000-000032060000}"/>
    <cellStyle name="Table Head Aligned 6" xfId="1118" xr:uid="{00000000-0005-0000-0000-000033060000}"/>
    <cellStyle name="Table Head Aligned 6 2" xfId="1356" xr:uid="{00000000-0005-0000-0000-000034060000}"/>
    <cellStyle name="Table Head Aligned 7" xfId="1274" xr:uid="{00000000-0005-0000-0000-000035060000}"/>
    <cellStyle name="Table Head Aligned 7 2" xfId="1458" xr:uid="{00000000-0005-0000-0000-000036060000}"/>
    <cellStyle name="Table Head Aligned 8" xfId="1272" xr:uid="{00000000-0005-0000-0000-000037060000}"/>
    <cellStyle name="Table Head Aligned 8 2" xfId="1457" xr:uid="{00000000-0005-0000-0000-000038060000}"/>
    <cellStyle name="Table Head Blue" xfId="775" xr:uid="{00000000-0005-0000-0000-000039060000}"/>
    <cellStyle name="Table Head Green" xfId="776" xr:uid="{00000000-0005-0000-0000-00003A060000}"/>
    <cellStyle name="Table Head Green 2" xfId="1249" xr:uid="{00000000-0005-0000-0000-00003B060000}"/>
    <cellStyle name="Table Head Green 2 2" xfId="1444" xr:uid="{00000000-0005-0000-0000-00003C060000}"/>
    <cellStyle name="Table Head Green 3" xfId="1149" xr:uid="{00000000-0005-0000-0000-00003D060000}"/>
    <cellStyle name="Table Head Green 3 2" xfId="1374" xr:uid="{00000000-0005-0000-0000-00003E060000}"/>
    <cellStyle name="Table Head Green 4" xfId="1129" xr:uid="{00000000-0005-0000-0000-00003F060000}"/>
    <cellStyle name="Table Head Green 4 2" xfId="1364" xr:uid="{00000000-0005-0000-0000-000040060000}"/>
    <cellStyle name="Table Head Green 5" xfId="1127" xr:uid="{00000000-0005-0000-0000-000041060000}"/>
    <cellStyle name="Table Head Green 5 2" xfId="1362" xr:uid="{00000000-0005-0000-0000-000042060000}"/>
    <cellStyle name="Table Head Green 6" xfId="1289" xr:uid="{00000000-0005-0000-0000-000043060000}"/>
    <cellStyle name="Table Head Green 6 2" xfId="1469" xr:uid="{00000000-0005-0000-0000-000044060000}"/>
    <cellStyle name="Table Head Green 7" xfId="1215" xr:uid="{00000000-0005-0000-0000-000045060000}"/>
    <cellStyle name="Table Head Green 7 2" xfId="1423" xr:uid="{00000000-0005-0000-0000-000046060000}"/>
    <cellStyle name="Table Head Green 8" xfId="1204" xr:uid="{00000000-0005-0000-0000-000047060000}"/>
    <cellStyle name="Table Head Green 8 2" xfId="1412" xr:uid="{00000000-0005-0000-0000-000048060000}"/>
    <cellStyle name="Table Head_4. Debt Schedule" xfId="777" xr:uid="{00000000-0005-0000-0000-000049060000}"/>
    <cellStyle name="Table Heading" xfId="778" xr:uid="{00000000-0005-0000-0000-00004A060000}"/>
    <cellStyle name="Table Source" xfId="779" xr:uid="{00000000-0005-0000-0000-00004B060000}"/>
    <cellStyle name="Table Sub Head" xfId="780" xr:uid="{00000000-0005-0000-0000-00004C060000}"/>
    <cellStyle name="Table Text" xfId="781" xr:uid="{00000000-0005-0000-0000-00004D060000}"/>
    <cellStyle name="table text bold" xfId="782" xr:uid="{00000000-0005-0000-0000-00004E060000}"/>
    <cellStyle name="table text bold green" xfId="783" xr:uid="{00000000-0005-0000-0000-00004F060000}"/>
    <cellStyle name="table text bold_BHI" xfId="784" xr:uid="{00000000-0005-0000-0000-000050060000}"/>
    <cellStyle name="table text light" xfId="785" xr:uid="{00000000-0005-0000-0000-000051060000}"/>
    <cellStyle name="Table Title" xfId="786" xr:uid="{00000000-0005-0000-0000-000052060000}"/>
    <cellStyle name="Table Units" xfId="787" xr:uid="{00000000-0005-0000-0000-000053060000}"/>
    <cellStyle name="Table_Header" xfId="788" xr:uid="{00000000-0005-0000-0000-000054060000}"/>
    <cellStyle name="TableBody" xfId="789" xr:uid="{00000000-0005-0000-0000-000055060000}"/>
    <cellStyle name="TableBodyR" xfId="790" xr:uid="{00000000-0005-0000-0000-000056060000}"/>
    <cellStyle name="TableColHeads" xfId="791" xr:uid="{00000000-0005-0000-0000-000057060000}"/>
    <cellStyle name="tbl_note_xlr8r" xfId="792" xr:uid="{00000000-0005-0000-0000-000058060000}"/>
    <cellStyle name="tcn" xfId="793" xr:uid="{00000000-0005-0000-0000-000059060000}"/>
    <cellStyle name="Text" xfId="794" xr:uid="{00000000-0005-0000-0000-00005A060000}"/>
    <cellStyle name="Text 1" xfId="795" xr:uid="{00000000-0005-0000-0000-00005B060000}"/>
    <cellStyle name="Text 2" xfId="796" xr:uid="{00000000-0005-0000-0000-00005C060000}"/>
    <cellStyle name="Text Head" xfId="797" xr:uid="{00000000-0005-0000-0000-00005D060000}"/>
    <cellStyle name="Text Head 1" xfId="798" xr:uid="{00000000-0005-0000-0000-00005E060000}"/>
    <cellStyle name="Text Head 2" xfId="799" xr:uid="{00000000-0005-0000-0000-00005F060000}"/>
    <cellStyle name="Text Head_BHI" xfId="800" xr:uid="{00000000-0005-0000-0000-000060060000}"/>
    <cellStyle name="Text Indent 1" xfId="801" xr:uid="{00000000-0005-0000-0000-000061060000}"/>
    <cellStyle name="Text Indent 2" xfId="802" xr:uid="{00000000-0005-0000-0000-000062060000}"/>
    <cellStyle name="Text Indent A" xfId="803" xr:uid="{00000000-0005-0000-0000-000063060000}"/>
    <cellStyle name="Text Indent B" xfId="804" xr:uid="{00000000-0005-0000-0000-000064060000}"/>
    <cellStyle name="Text Indent C" xfId="805" xr:uid="{00000000-0005-0000-0000-000065060000}"/>
    <cellStyle name="Text Wrap" xfId="806" xr:uid="{00000000-0005-0000-0000-000066060000}"/>
    <cellStyle name="Text_Americas" xfId="807" xr:uid="{00000000-0005-0000-0000-000067060000}"/>
    <cellStyle name="Time" xfId="1086" xr:uid="{00000000-0005-0000-0000-000068060000}"/>
    <cellStyle name="Times 10" xfId="808" xr:uid="{00000000-0005-0000-0000-000069060000}"/>
    <cellStyle name="Times 12" xfId="809" xr:uid="{00000000-0005-0000-0000-00006A060000}"/>
    <cellStyle name="Title - PROJECT" xfId="810" xr:uid="{00000000-0005-0000-0000-00006B060000}"/>
    <cellStyle name="Title - Underline" xfId="811" xr:uid="{00000000-0005-0000-0000-00006C060000}"/>
    <cellStyle name="Title Line" xfId="812" xr:uid="{00000000-0005-0000-0000-00006D060000}"/>
    <cellStyle name="title1" xfId="55" xr:uid="{00000000-0005-0000-0000-00006E060000}"/>
    <cellStyle name="title2" xfId="56" xr:uid="{00000000-0005-0000-0000-00006F060000}"/>
    <cellStyle name="TitleCols_Gen_pD" xfId="1717" xr:uid="{00000000-0005-0000-0000-000070060000}"/>
    <cellStyle name="TitleII" xfId="102" xr:uid="{00000000-0005-0000-0000-000071060000}"/>
    <cellStyle name="TitleLines_Gen" xfId="1716" xr:uid="{00000000-0005-0000-0000-000072060000}"/>
    <cellStyle name="Titles" xfId="57" xr:uid="{00000000-0005-0000-0000-000073060000}"/>
    <cellStyle name="Titles - Col. Headings" xfId="813" xr:uid="{00000000-0005-0000-0000-000074060000}"/>
    <cellStyle name="Titles - Other" xfId="814" xr:uid="{00000000-0005-0000-0000-000075060000}"/>
    <cellStyle name="TitleSub" xfId="103" xr:uid="{00000000-0005-0000-0000-000076060000}"/>
    <cellStyle name="tn" xfId="815" xr:uid="{00000000-0005-0000-0000-000077060000}"/>
    <cellStyle name="TOC 1" xfId="816" xr:uid="{00000000-0005-0000-0000-000078060000}"/>
    <cellStyle name="TOC 2" xfId="817" xr:uid="{00000000-0005-0000-0000-000079060000}"/>
    <cellStyle name="Top Row" xfId="818" xr:uid="{00000000-0005-0000-0000-00007A060000}"/>
    <cellStyle name="TopGrey" xfId="58" xr:uid="{00000000-0005-0000-0000-00007B060000}"/>
    <cellStyle name="TopGrey 2" xfId="1107" xr:uid="{00000000-0005-0000-0000-00007C060000}"/>
    <cellStyle name="TopGrey 2 2" xfId="1347" xr:uid="{00000000-0005-0000-0000-00007D060000}"/>
    <cellStyle name="TopGrey 3" xfId="1146" xr:uid="{00000000-0005-0000-0000-00007E060000}"/>
    <cellStyle name="TopGrey 3 2" xfId="1372" xr:uid="{00000000-0005-0000-0000-00007F060000}"/>
    <cellStyle name="TopGrey 4" xfId="1229" xr:uid="{00000000-0005-0000-0000-000080060000}"/>
    <cellStyle name="TopGrey 4 2" xfId="1432" xr:uid="{00000000-0005-0000-0000-000081060000}"/>
    <cellStyle name="TopGrey 5" xfId="1290" xr:uid="{00000000-0005-0000-0000-000082060000}"/>
    <cellStyle name="TopGrey 5 2" xfId="1470" xr:uid="{00000000-0005-0000-0000-000083060000}"/>
    <cellStyle name="TopGrey 6" xfId="1123" xr:uid="{00000000-0005-0000-0000-000084060000}"/>
    <cellStyle name="TopGrey 6 2" xfId="1360" xr:uid="{00000000-0005-0000-0000-000085060000}"/>
    <cellStyle name="TopGrey 7" xfId="1166" xr:uid="{00000000-0005-0000-0000-000086060000}"/>
    <cellStyle name="TopGrey 7 2" xfId="1388" xr:uid="{00000000-0005-0000-0000-000087060000}"/>
    <cellStyle name="TopGrey 8" xfId="1125" xr:uid="{00000000-0005-0000-0000-000088060000}"/>
    <cellStyle name="Total Currency" xfId="819" xr:uid="{00000000-0005-0000-0000-000089060000}"/>
    <cellStyle name="Total Normal" xfId="820" xr:uid="{00000000-0005-0000-0000-00008A060000}"/>
    <cellStyle name="Total Row" xfId="821" xr:uid="{00000000-0005-0000-0000-00008B060000}"/>
    <cellStyle name="Total Row 2" xfId="1255" xr:uid="{00000000-0005-0000-0000-00008C060000}"/>
    <cellStyle name="Total Row 2 2" xfId="1448" xr:uid="{00000000-0005-0000-0000-00008D060000}"/>
    <cellStyle name="Total Row 3" xfId="1277" xr:uid="{00000000-0005-0000-0000-00008E060000}"/>
    <cellStyle name="Total Row 3 2" xfId="1460" xr:uid="{00000000-0005-0000-0000-00008F060000}"/>
    <cellStyle name="Total Row 4" xfId="1291" xr:uid="{00000000-0005-0000-0000-000090060000}"/>
    <cellStyle name="Total Row 4 2" xfId="1471" xr:uid="{00000000-0005-0000-0000-000091060000}"/>
    <cellStyle name="Total Row 5" xfId="1295" xr:uid="{00000000-0005-0000-0000-000092060000}"/>
    <cellStyle name="Total Row 5 2" xfId="1474" xr:uid="{00000000-0005-0000-0000-000093060000}"/>
    <cellStyle name="Total Row 6" xfId="1119" xr:uid="{00000000-0005-0000-0000-000094060000}"/>
    <cellStyle name="Total Row 6 2" xfId="1357" xr:uid="{00000000-0005-0000-0000-000095060000}"/>
    <cellStyle name="Total Row 7" xfId="1243" xr:uid="{00000000-0005-0000-0000-000096060000}"/>
    <cellStyle name="Total Row 7 2" xfId="1439" xr:uid="{00000000-0005-0000-0000-000097060000}"/>
    <cellStyle name="Total Row 8" xfId="1306" xr:uid="{00000000-0005-0000-0000-000098060000}"/>
    <cellStyle name="Total Row 8 2" xfId="1484" xr:uid="{00000000-0005-0000-0000-000099060000}"/>
    <cellStyle name="TotalCurrency" xfId="822" xr:uid="{00000000-0005-0000-0000-00009A060000}"/>
    <cellStyle name="TR 8" xfId="823" xr:uid="{00000000-0005-0000-0000-00009B060000}"/>
    <cellStyle name="TR 8B" xfId="824" xr:uid="{00000000-0005-0000-0000-00009C060000}"/>
    <cellStyle name="Twodig" xfId="59" xr:uid="{00000000-0005-0000-0000-00009D060000}"/>
    <cellStyle name="Underline" xfId="60" xr:uid="{00000000-0005-0000-0000-00009E060000}"/>
    <cellStyle name="undernum" xfId="825" xr:uid="{00000000-0005-0000-0000-00009F060000}"/>
    <cellStyle name="unm" xfId="1087" xr:uid="{00000000-0005-0000-0000-0000A0060000}"/>
    <cellStyle name="Use_1dp" xfId="826" xr:uid="{00000000-0005-0000-0000-0000A1060000}"/>
    <cellStyle name="UseB_1dp" xfId="827" xr:uid="{00000000-0005-0000-0000-0000A2060000}"/>
    <cellStyle name="Validation" xfId="828" xr:uid="{00000000-0005-0000-0000-0000A3060000}"/>
    <cellStyle name="Valuta (0)_Bourse" xfId="829" xr:uid="{00000000-0005-0000-0000-0000A4060000}"/>
    <cellStyle name="Valuta_Bourse" xfId="830" xr:uid="{00000000-0005-0000-0000-0000A5060000}"/>
    <cellStyle name="WhiteCells" xfId="831" xr:uid="{00000000-0005-0000-0000-0000A6060000}"/>
    <cellStyle name="WholeNumber" xfId="104" xr:uid="{00000000-0005-0000-0000-0000A7060000}"/>
    <cellStyle name="wild guess" xfId="832" xr:uid="{00000000-0005-0000-0000-0000A8060000}"/>
    <cellStyle name="Wildguess" xfId="833" xr:uid="{00000000-0005-0000-0000-0000A9060000}"/>
    <cellStyle name="WP" xfId="61" xr:uid="{00000000-0005-0000-0000-0000AA060000}"/>
    <cellStyle name="x" xfId="834" xr:uid="{00000000-0005-0000-0000-0000AB060000}"/>
    <cellStyle name="x Men" xfId="62" xr:uid="{00000000-0005-0000-0000-0000AC060000}"/>
    <cellStyle name="Year" xfId="835" xr:uid="{00000000-0005-0000-0000-0000AD060000}"/>
    <cellStyle name="Year Estimate" xfId="836" xr:uid="{00000000-0005-0000-0000-0000AE060000}"/>
    <cellStyle name="year_BHI" xfId="837" xr:uid="{00000000-0005-0000-0000-0000AF060000}"/>
    <cellStyle name="years" xfId="838" xr:uid="{00000000-0005-0000-0000-0000B0060000}"/>
    <cellStyle name="yellow" xfId="839" xr:uid="{00000000-0005-0000-0000-0000B1060000}"/>
    <cellStyle name="yen" xfId="840" xr:uid="{00000000-0005-0000-0000-0000B2060000}"/>
    <cellStyle name="パーセント_QTBLNEW" xfId="841" xr:uid="{00000000-0005-0000-0000-0000B3060000}"/>
    <cellStyle name="常规_全进度数据" xfId="842" xr:uid="{00000000-0005-0000-0000-0000B4060000}"/>
    <cellStyle name="標準_Total (2)" xfId="843" xr:uid="{00000000-0005-0000-0000-0000B5060000}"/>
  </cellStyles>
  <dxfs count="20">
    <dxf>
      <font>
        <b val="0"/>
        <i val="0"/>
        <color rgb="FF000000"/>
      </font>
      <fill>
        <patternFill>
          <bgColor rgb="FFFFC000"/>
        </patternFill>
      </fill>
    </dxf>
    <dxf>
      <font>
        <b val="0"/>
        <i val="0"/>
        <color rgb="FF000000"/>
      </font>
      <border>
        <left style="thin">
          <color rgb="FFFF0000"/>
        </left>
        <right style="thin">
          <color rgb="FFFF0000"/>
        </right>
        <top style="thin">
          <color rgb="FFFF0000"/>
        </top>
        <bottom style="thin">
          <color rgb="FFFF0000"/>
        </bottom>
      </border>
    </dxf>
    <dxf>
      <fill>
        <patternFill>
          <bgColor rgb="FFCCFFCC"/>
        </patternFill>
      </fill>
    </dxf>
    <dxf>
      <fill>
        <patternFill>
          <bgColor rgb="FFA5A5A5"/>
        </patternFill>
      </fill>
    </dxf>
    <dxf>
      <fill>
        <patternFill>
          <bgColor rgb="FFA5A5A5"/>
        </patternFill>
      </fill>
    </dxf>
    <dxf>
      <fill>
        <patternFill>
          <bgColor rgb="FFCCCCCC"/>
        </patternFill>
      </fill>
    </dxf>
    <dxf>
      <font>
        <b val="0"/>
        <i val="0"/>
        <color rgb="FF000000"/>
      </font>
      <fill>
        <patternFill>
          <bgColor rgb="FFFFC000"/>
        </patternFill>
      </fill>
    </dxf>
    <dxf>
      <font>
        <b val="0"/>
        <i val="0"/>
        <color rgb="FF000000"/>
      </font>
      <border>
        <left style="thin">
          <color rgb="FFFF0000"/>
        </left>
        <right style="thin">
          <color rgb="FFFF0000"/>
        </right>
        <top style="thin">
          <color rgb="FFFF0000"/>
        </top>
        <bottom style="thin">
          <color rgb="FFFF0000"/>
        </bottom>
      </border>
    </dxf>
    <dxf>
      <font>
        <b val="0"/>
        <i val="0"/>
        <color rgb="FF000000"/>
      </font>
      <fill>
        <patternFill>
          <bgColor rgb="FFFFC000"/>
        </patternFill>
      </fill>
    </dxf>
    <dxf>
      <font>
        <b val="0"/>
        <i val="0"/>
        <color rgb="FF000000"/>
      </font>
      <border>
        <left style="thin">
          <color rgb="FFFF0000"/>
        </left>
        <right style="thin">
          <color rgb="FFFF0000"/>
        </right>
        <top style="thin">
          <color rgb="FFFF0000"/>
        </top>
        <bottom style="thin">
          <color rgb="FFFF0000"/>
        </bottom>
      </border>
    </dxf>
    <dxf>
      <font>
        <b val="0"/>
        <i val="0"/>
        <color rgb="FF000000"/>
      </font>
      <fill>
        <patternFill>
          <bgColor rgb="FFFFC000"/>
        </patternFill>
      </fill>
    </dxf>
    <dxf>
      <font>
        <b val="0"/>
        <i val="0"/>
        <color rgb="FF000000"/>
      </font>
      <border>
        <left style="thin">
          <color rgb="FFFF0000"/>
        </left>
        <right style="thin">
          <color rgb="FFFF0000"/>
        </right>
        <top style="thin">
          <color rgb="FFFF0000"/>
        </top>
        <bottom style="thin">
          <color rgb="FFFF0000"/>
        </bottom>
      </border>
    </dxf>
    <dxf>
      <font>
        <b val="0"/>
        <i val="0"/>
        <color rgb="FF000000"/>
      </font>
      <fill>
        <patternFill>
          <bgColor rgb="FFFFC000"/>
        </patternFill>
      </fill>
    </dxf>
    <dxf>
      <font>
        <b val="0"/>
        <i val="0"/>
        <color rgb="FF000000"/>
      </font>
      <border>
        <left style="thin">
          <color rgb="FFFF0000"/>
        </left>
        <right style="thin">
          <color rgb="FFFF0000"/>
        </right>
        <top style="thin">
          <color rgb="FFFF0000"/>
        </top>
        <bottom style="thin">
          <color rgb="FFFF0000"/>
        </bottom>
      </border>
    </dxf>
    <dxf>
      <font>
        <b val="0"/>
        <i val="0"/>
        <color rgb="FF000000"/>
      </font>
      <fill>
        <patternFill>
          <bgColor rgb="FFFFC000"/>
        </patternFill>
      </fill>
    </dxf>
    <dxf>
      <font>
        <b val="0"/>
        <i val="0"/>
        <color rgb="FF000000"/>
      </font>
      <border>
        <left style="thin">
          <color rgb="FFFF0000"/>
        </left>
        <right style="thin">
          <color rgb="FFFF0000"/>
        </right>
        <top style="thin">
          <color rgb="FFFF0000"/>
        </top>
        <bottom style="thin">
          <color rgb="FFFF0000"/>
        </bottom>
      </border>
    </dxf>
    <dxf>
      <fill>
        <patternFill>
          <bgColor rgb="FFCCFFCC"/>
        </patternFill>
      </fill>
    </dxf>
    <dxf>
      <fill>
        <patternFill>
          <bgColor rgb="FFA5A5A5"/>
        </patternFill>
      </fill>
    </dxf>
    <dxf>
      <fill>
        <patternFill>
          <bgColor rgb="FFA5A5A5"/>
        </patternFill>
      </fill>
    </dxf>
    <dxf>
      <fill>
        <patternFill>
          <bgColor rgb="FFCCCCCC"/>
        </patternFill>
      </fill>
    </dxf>
  </dxfs>
  <tableStyles count="1" defaultTableStyle="TableStyleMedium2" defaultPivotStyle="PivotStyleLight16">
    <tableStyle name="Invisible" pivot="0" table="0" count="0" xr9:uid="{943854FF-C572-4C3A-B289-8E8B2DF1ED0E}"/>
  </tableStyles>
  <colors>
    <mruColors>
      <color rgb="FF0000FF"/>
      <color rgb="FFFFFFCC"/>
      <color rgb="FFFFCCFF"/>
      <color rgb="FFFF9900"/>
      <color rgb="FF66FF66"/>
      <color rgb="FF0000CC"/>
      <color rgb="FF003300"/>
      <color rgb="FFCC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'Scenario analysis'!$A$13</c:f>
              <c:strCache>
                <c:ptCount val="1"/>
                <c:pt idx="0">
                  <c:v>Base case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'Scenario analysis'!$B$12:$K$12</c:f>
              <c:strCache>
                <c:ptCount val="9"/>
                <c:pt idx="0">
                  <c:v>FY'2022</c:v>
                </c:pt>
                <c:pt idx="1">
                  <c:v>FY'2023</c:v>
                </c:pt>
                <c:pt idx="2">
                  <c:v>FY'2024</c:v>
                </c:pt>
                <c:pt idx="3">
                  <c:v>FY'2025E</c:v>
                </c:pt>
                <c:pt idx="4">
                  <c:v>FY'2026E</c:v>
                </c:pt>
                <c:pt idx="5">
                  <c:v>FY'2027E</c:v>
                </c:pt>
                <c:pt idx="6">
                  <c:v>FY'2028E</c:v>
                </c:pt>
                <c:pt idx="7">
                  <c:v>FY'2029E</c:v>
                </c:pt>
                <c:pt idx="8">
                  <c:v>FY'2030E</c:v>
                </c:pt>
              </c:strCache>
            </c:strRef>
          </c:cat>
          <c:val>
            <c:numRef>
              <c:f>'Scenario analysis'!$B$16:$K$16</c:f>
              <c:numCache>
                <c:formatCode>"$"#,##0_);\("$"#,##0\);"$"#,##0_);@_)</c:formatCode>
                <c:ptCount val="9"/>
                <c:pt idx="0">
                  <c:v>394328</c:v>
                </c:pt>
                <c:pt idx="1">
                  <c:v>383285</c:v>
                </c:pt>
                <c:pt idx="2">
                  <c:v>391035</c:v>
                </c:pt>
                <c:pt idx="3">
                  <c:v>416236.11549228651</c:v>
                </c:pt>
                <c:pt idx="4">
                  <c:v>444846.95482159359</c:v>
                </c:pt>
                <c:pt idx="5">
                  <c:v>480238.63159123133</c:v>
                </c:pt>
                <c:pt idx="6">
                  <c:v>501919.60862533213</c:v>
                </c:pt>
                <c:pt idx="7">
                  <c:v>524320.10830642236</c:v>
                </c:pt>
                <c:pt idx="8">
                  <c:v>547558.42154306651</c:v>
                </c:pt>
              </c:numCache>
            </c:numRef>
          </c:val>
          <c:smooth val="0"/>
          <c:extLst>
            <c:ext xmlns:c16="http://schemas.microsoft.com/office/drawing/2014/chart" uri="{C3380CC4-5D6E-409C-BE32-E72D297353CC}">
              <c16:uniqueId val="{00000000-27A5-49EA-A92D-D9EB184884EE}"/>
            </c:ext>
          </c:extLst>
        </c:ser>
        <c:ser>
          <c:idx val="1"/>
          <c:order val="1"/>
          <c:tx>
            <c:strRef>
              <c:f>'Scenario analysis'!$A$49</c:f>
              <c:strCache>
                <c:ptCount val="1"/>
                <c:pt idx="0">
                  <c:v>Bull case</c:v>
                </c:pt>
              </c:strCache>
            </c:strRef>
          </c:tx>
          <c:spPr>
            <a:ln w="28575" cap="rnd">
              <a:solidFill>
                <a:schemeClr val="accent5"/>
              </a:solidFill>
              <a:round/>
            </a:ln>
            <a:effectLst/>
          </c:spPr>
          <c:marker>
            <c:symbol val="circle"/>
            <c:size val="5"/>
            <c:spPr>
              <a:solidFill>
                <a:schemeClr val="accent2"/>
              </a:solidFill>
              <a:ln w="9525">
                <a:solidFill>
                  <a:schemeClr val="accent2"/>
                </a:solidFill>
              </a:ln>
              <a:effectLst/>
            </c:spPr>
          </c:marker>
          <c:val>
            <c:numRef>
              <c:f>'Scenario analysis'!$B$52:$K$52</c:f>
              <c:numCache>
                <c:formatCode>"$"#,##0_);\("$"#,##0\);"$"#,##0_);@_)</c:formatCode>
                <c:ptCount val="9"/>
                <c:pt idx="0">
                  <c:v>394328</c:v>
                </c:pt>
                <c:pt idx="1">
                  <c:v>392933.35</c:v>
                </c:pt>
                <c:pt idx="2">
                  <c:v>408137.60783404903</c:v>
                </c:pt>
                <c:pt idx="3">
                  <c:v>441937.49978890183</c:v>
                </c:pt>
                <c:pt idx="4">
                  <c:v>483019.82727655664</c:v>
                </c:pt>
                <c:pt idx="5">
                  <c:v>533510.34645652387</c:v>
                </c:pt>
                <c:pt idx="6">
                  <c:v>572345.9956927842</c:v>
                </c:pt>
                <c:pt idx="7">
                  <c:v>615480.3505796704</c:v>
                </c:pt>
                <c:pt idx="8">
                  <c:v>663184.21363102586</c:v>
                </c:pt>
              </c:numCache>
            </c:numRef>
          </c:val>
          <c:smooth val="0"/>
          <c:extLst>
            <c:ext xmlns:c16="http://schemas.microsoft.com/office/drawing/2014/chart" uri="{C3380CC4-5D6E-409C-BE32-E72D297353CC}">
              <c16:uniqueId val="{00000001-27A5-49EA-A92D-D9EB184884EE}"/>
            </c:ext>
          </c:extLst>
        </c:ser>
        <c:ser>
          <c:idx val="2"/>
          <c:order val="2"/>
          <c:tx>
            <c:strRef>
              <c:f>'Scenario analysis'!$A$84</c:f>
              <c:strCache>
                <c:ptCount val="1"/>
                <c:pt idx="0">
                  <c:v>Bear case</c:v>
                </c:pt>
              </c:strCache>
            </c:strRef>
          </c:tx>
          <c:spPr>
            <a:ln w="28575" cap="rnd">
              <a:solidFill>
                <a:schemeClr val="tx2"/>
              </a:solidFill>
              <a:round/>
            </a:ln>
            <a:effectLst/>
          </c:spPr>
          <c:marker>
            <c:symbol val="circle"/>
            <c:size val="5"/>
            <c:spPr>
              <a:solidFill>
                <a:schemeClr val="accent3"/>
              </a:solidFill>
              <a:ln w="9525">
                <a:solidFill>
                  <a:schemeClr val="accent3"/>
                </a:solidFill>
              </a:ln>
              <a:effectLst/>
            </c:spPr>
          </c:marker>
          <c:val>
            <c:numRef>
              <c:f>'Scenario analysis'!$B$87:$K$87</c:f>
              <c:numCache>
                <c:formatCode>"$"#,##0_);\("$"#,##0\);"$"#,##0_);@_)</c:formatCode>
                <c:ptCount val="9"/>
                <c:pt idx="0">
                  <c:v>394328</c:v>
                </c:pt>
                <c:pt idx="1">
                  <c:v>379427.45</c:v>
                </c:pt>
                <c:pt idx="2">
                  <c:v>383529.22250000003</c:v>
                </c:pt>
                <c:pt idx="3">
                  <c:v>387836.08362500003</c:v>
                </c:pt>
                <c:pt idx="4">
                  <c:v>392358.28780625004</c:v>
                </c:pt>
                <c:pt idx="5">
                  <c:v>397106.60219656251</c:v>
                </c:pt>
                <c:pt idx="6">
                  <c:v>402092.33230639063</c:v>
                </c:pt>
                <c:pt idx="7">
                  <c:v>407327.34892171016</c:v>
                </c:pt>
                <c:pt idx="8">
                  <c:v>412824.11636779574</c:v>
                </c:pt>
              </c:numCache>
            </c:numRef>
          </c:val>
          <c:smooth val="0"/>
          <c:extLst>
            <c:ext xmlns:c16="http://schemas.microsoft.com/office/drawing/2014/chart" uri="{C3380CC4-5D6E-409C-BE32-E72D297353CC}">
              <c16:uniqueId val="{00000002-27A5-49EA-A92D-D9EB184884EE}"/>
            </c:ext>
          </c:extLst>
        </c:ser>
        <c:dLbls>
          <c:showLegendKey val="0"/>
          <c:showVal val="0"/>
          <c:showCatName val="0"/>
          <c:showSerName val="0"/>
          <c:showPercent val="0"/>
          <c:showBubbleSize val="0"/>
        </c:dLbls>
        <c:marker val="1"/>
        <c:smooth val="0"/>
        <c:axId val="866952560"/>
        <c:axId val="866937168"/>
      </c:lineChart>
      <c:catAx>
        <c:axId val="86695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866937168"/>
        <c:crosses val="autoZero"/>
        <c:auto val="1"/>
        <c:lblAlgn val="ctr"/>
        <c:lblOffset val="100"/>
        <c:noMultiLvlLbl val="0"/>
      </c:catAx>
      <c:valAx>
        <c:axId val="866937168"/>
        <c:scaling>
          <c:orientation val="minMax"/>
          <c:min val="30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Ticker0001 revenue ($, bn)</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quot;$&quot;#,##0_);\(&quot;$&quot;#,##0\);&quot;$&quot;#,##0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866952560"/>
        <c:crosses val="autoZero"/>
        <c:crossBetween val="between"/>
        <c:dispUnits>
          <c:builtInUnit val="thousands"/>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0"/>
          <c:spPr>
            <a:noFill/>
            <a:ln>
              <a:noFill/>
            </a:ln>
            <a:effectLst/>
          </c:spPr>
          <c:invertIfNegative val="0"/>
          <c:cat>
            <c:strRef>
              <c:f>'Scenario analysis'!$T$80:$T$86</c:f>
              <c:strCache>
                <c:ptCount val="7"/>
                <c:pt idx="0">
                  <c:v>Bear case revenue</c:v>
                </c:pt>
                <c:pt idx="1">
                  <c:v>Services
(-)</c:v>
                </c:pt>
                <c:pt idx="2">
                  <c:v>Product
(-)</c:v>
                </c:pt>
                <c:pt idx="3">
                  <c:v>Base case revenue</c:v>
                </c:pt>
                <c:pt idx="4">
                  <c:v>Services
(+)</c:v>
                </c:pt>
                <c:pt idx="5">
                  <c:v>Product
(+)</c:v>
                </c:pt>
                <c:pt idx="6">
                  <c:v>Bull case revenue</c:v>
                </c:pt>
              </c:strCache>
            </c:strRef>
          </c:cat>
          <c:val>
            <c:numRef>
              <c:f>'Scenario analysis'!$V$80:$V$86</c:f>
              <c:numCache>
                <c:formatCode>"$"#,##0_);\("$"#,##0\);"$"#,##0_);@_)</c:formatCode>
                <c:ptCount val="7"/>
                <c:pt idx="0">
                  <c:v>0</c:v>
                </c:pt>
                <c:pt idx="1">
                  <c:v>412824.11636779574</c:v>
                </c:pt>
                <c:pt idx="2">
                  <c:v>466365.80377268739</c:v>
                </c:pt>
                <c:pt idx="3">
                  <c:v>0</c:v>
                </c:pt>
                <c:pt idx="4">
                  <c:v>547558.42154306639</c:v>
                </c:pt>
                <c:pt idx="5">
                  <c:v>617583.01499769324</c:v>
                </c:pt>
                <c:pt idx="6">
                  <c:v>0</c:v>
                </c:pt>
              </c:numCache>
            </c:numRef>
          </c:val>
          <c:extLst>
            <c:ext xmlns:c16="http://schemas.microsoft.com/office/drawing/2014/chart" uri="{C3380CC4-5D6E-409C-BE32-E72D297353CC}">
              <c16:uniqueId val="{00000000-9C5E-4085-B619-6831F0852116}"/>
            </c:ext>
          </c:extLst>
        </c:ser>
        <c:ser>
          <c:idx val="0"/>
          <c:order val="1"/>
          <c:spPr>
            <a:solidFill>
              <a:schemeClr val="accent1"/>
            </a:solidFill>
            <a:ln>
              <a:noFill/>
            </a:ln>
            <a:effectLst/>
          </c:spPr>
          <c:invertIfNegative val="0"/>
          <c:dPt>
            <c:idx val="0"/>
            <c:invertIfNegative val="0"/>
            <c:bubble3D val="0"/>
            <c:spPr>
              <a:solidFill>
                <a:schemeClr val="tx2"/>
              </a:solidFill>
              <a:ln>
                <a:noFill/>
              </a:ln>
              <a:effectLst/>
            </c:spPr>
            <c:extLst>
              <c:ext xmlns:c16="http://schemas.microsoft.com/office/drawing/2014/chart" uri="{C3380CC4-5D6E-409C-BE32-E72D297353CC}">
                <c16:uniqueId val="{00000002-9C5E-4085-B619-6831F0852116}"/>
              </c:ext>
            </c:extLst>
          </c:dPt>
          <c:dPt>
            <c:idx val="1"/>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4-9C5E-4085-B619-6831F0852116}"/>
              </c:ext>
            </c:extLst>
          </c:dPt>
          <c:dPt>
            <c:idx val="2"/>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6-9C5E-4085-B619-6831F0852116}"/>
              </c:ext>
            </c:extLst>
          </c:dPt>
          <c:dPt>
            <c:idx val="4"/>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8-9C5E-4085-B619-6831F0852116}"/>
              </c:ext>
            </c:extLst>
          </c:dPt>
          <c:dPt>
            <c:idx val="5"/>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A-9C5E-4085-B619-6831F0852116}"/>
              </c:ext>
            </c:extLst>
          </c:dPt>
          <c:dPt>
            <c:idx val="6"/>
            <c:invertIfNegative val="0"/>
            <c:bubble3D val="0"/>
            <c:spPr>
              <a:solidFill>
                <a:schemeClr val="accent6"/>
              </a:solidFill>
              <a:ln>
                <a:noFill/>
              </a:ln>
              <a:effectLst/>
            </c:spPr>
            <c:extLst>
              <c:ext xmlns:c16="http://schemas.microsoft.com/office/drawing/2014/chart" uri="{C3380CC4-5D6E-409C-BE32-E72D297353CC}">
                <c16:uniqueId val="{0000000C-9C5E-4085-B619-6831F0852116}"/>
              </c:ext>
            </c:extLst>
          </c:dPt>
          <c:cat>
            <c:strRef>
              <c:f>'Scenario analysis'!$T$80:$T$86</c:f>
              <c:strCache>
                <c:ptCount val="7"/>
                <c:pt idx="0">
                  <c:v>Bear case revenue</c:v>
                </c:pt>
                <c:pt idx="1">
                  <c:v>Services
(-)</c:v>
                </c:pt>
                <c:pt idx="2">
                  <c:v>Product
(-)</c:v>
                </c:pt>
                <c:pt idx="3">
                  <c:v>Base case revenue</c:v>
                </c:pt>
                <c:pt idx="4">
                  <c:v>Services
(+)</c:v>
                </c:pt>
                <c:pt idx="5">
                  <c:v>Product
(+)</c:v>
                </c:pt>
                <c:pt idx="6">
                  <c:v>Bull case revenue</c:v>
                </c:pt>
              </c:strCache>
            </c:strRef>
          </c:cat>
          <c:val>
            <c:numRef>
              <c:f>'Scenario analysis'!$U$80:$U$86</c:f>
              <c:numCache>
                <c:formatCode>"$"#,##0_);\("$"#,##0\);"$"#,##0_);@_)</c:formatCode>
                <c:ptCount val="7"/>
                <c:pt idx="0">
                  <c:v>412824.11636779574</c:v>
                </c:pt>
                <c:pt idx="1">
                  <c:v>53541.687404891651</c:v>
                </c:pt>
                <c:pt idx="2">
                  <c:v>81192.61777037906</c:v>
                </c:pt>
                <c:pt idx="3">
                  <c:v>547558.42154306639</c:v>
                </c:pt>
                <c:pt idx="4">
                  <c:v>70024.593454626884</c:v>
                </c:pt>
                <c:pt idx="5">
                  <c:v>45601.198633332562</c:v>
                </c:pt>
                <c:pt idx="6">
                  <c:v>663184.21363102575</c:v>
                </c:pt>
              </c:numCache>
            </c:numRef>
          </c:val>
          <c:extLst>
            <c:ext xmlns:c16="http://schemas.microsoft.com/office/drawing/2014/chart" uri="{C3380CC4-5D6E-409C-BE32-E72D297353CC}">
              <c16:uniqueId val="{0000000D-9C5E-4085-B619-6831F0852116}"/>
            </c:ext>
          </c:extLst>
        </c:ser>
        <c:dLbls>
          <c:showLegendKey val="0"/>
          <c:showVal val="0"/>
          <c:showCatName val="0"/>
          <c:showSerName val="0"/>
          <c:showPercent val="0"/>
          <c:showBubbleSize val="0"/>
        </c:dLbls>
        <c:gapWidth val="150"/>
        <c:overlap val="100"/>
        <c:axId val="1599606320"/>
        <c:axId val="1599610064"/>
      </c:barChart>
      <c:catAx>
        <c:axId val="159960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99610064"/>
        <c:crosses val="autoZero"/>
        <c:auto val="1"/>
        <c:lblAlgn val="ctr"/>
        <c:lblOffset val="100"/>
        <c:noMultiLvlLbl val="0"/>
      </c:catAx>
      <c:valAx>
        <c:axId val="1599610064"/>
        <c:scaling>
          <c:orientation val="minMax"/>
          <c:min val="30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Ticker0001 F2030 revenue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quot;$&quot;#,##0_);\(&quot;$&quot;#,##0\);&quot;$&quot;#,##0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99606320"/>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0"/>
          <c:spPr>
            <a:noFill/>
            <a:ln>
              <a:noFill/>
            </a:ln>
            <a:effectLst/>
          </c:spPr>
          <c:invertIfNegative val="0"/>
          <c:cat>
            <c:strRef>
              <c:f>'Scenario analysis'!$T$70:$T$76</c:f>
              <c:strCache>
                <c:ptCount val="7"/>
                <c:pt idx="0">
                  <c:v>Bear case revenue</c:v>
                </c:pt>
                <c:pt idx="1">
                  <c:v>Services
(-)</c:v>
                </c:pt>
                <c:pt idx="2">
                  <c:v>Product
(-)</c:v>
                </c:pt>
                <c:pt idx="3">
                  <c:v>Base case revenue</c:v>
                </c:pt>
                <c:pt idx="4">
                  <c:v>Services
(+)</c:v>
                </c:pt>
                <c:pt idx="5">
                  <c:v>Product
(+)</c:v>
                </c:pt>
                <c:pt idx="6">
                  <c:v>Bull case revenue</c:v>
                </c:pt>
              </c:strCache>
            </c:strRef>
          </c:cat>
          <c:val>
            <c:numRef>
              <c:f>'Scenario analysis'!$V$70:$V$76</c:f>
              <c:numCache>
                <c:formatCode>"$"#,##0_);\("$"#,##0\);"$"#,##0_);@_)</c:formatCode>
                <c:ptCount val="7"/>
                <c:pt idx="0">
                  <c:v>0</c:v>
                </c:pt>
                <c:pt idx="1">
                  <c:v>392358.28780625004</c:v>
                </c:pt>
                <c:pt idx="2">
                  <c:v>417116.35808210168</c:v>
                </c:pt>
                <c:pt idx="3">
                  <c:v>0</c:v>
                </c:pt>
                <c:pt idx="4">
                  <c:v>444846.95482159365</c:v>
                </c:pt>
                <c:pt idx="5">
                  <c:v>461770.70604574191</c:v>
                </c:pt>
                <c:pt idx="6">
                  <c:v>0</c:v>
                </c:pt>
              </c:numCache>
            </c:numRef>
          </c:val>
          <c:extLst>
            <c:ext xmlns:c16="http://schemas.microsoft.com/office/drawing/2014/chart" uri="{C3380CC4-5D6E-409C-BE32-E72D297353CC}">
              <c16:uniqueId val="{00000000-356D-4441-B064-C4431C7E0EAA}"/>
            </c:ext>
          </c:extLst>
        </c:ser>
        <c:ser>
          <c:idx val="0"/>
          <c:order val="1"/>
          <c:spPr>
            <a:solidFill>
              <a:schemeClr val="accent1"/>
            </a:solidFill>
            <a:ln>
              <a:noFill/>
            </a:ln>
            <a:effectLst/>
          </c:spPr>
          <c:invertIfNegative val="0"/>
          <c:dPt>
            <c:idx val="0"/>
            <c:invertIfNegative val="0"/>
            <c:bubble3D val="0"/>
            <c:spPr>
              <a:solidFill>
                <a:schemeClr val="tx2"/>
              </a:solidFill>
              <a:ln>
                <a:noFill/>
              </a:ln>
              <a:effectLst/>
            </c:spPr>
            <c:extLst>
              <c:ext xmlns:c16="http://schemas.microsoft.com/office/drawing/2014/chart" uri="{C3380CC4-5D6E-409C-BE32-E72D297353CC}">
                <c16:uniqueId val="{00000002-356D-4441-B064-C4431C7E0EAA}"/>
              </c:ext>
            </c:extLst>
          </c:dPt>
          <c:dPt>
            <c:idx val="1"/>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4-356D-4441-B064-C4431C7E0EAA}"/>
              </c:ext>
            </c:extLst>
          </c:dPt>
          <c:dPt>
            <c:idx val="2"/>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6-356D-4441-B064-C4431C7E0EAA}"/>
              </c:ext>
            </c:extLst>
          </c:dPt>
          <c:dPt>
            <c:idx val="4"/>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8-356D-4441-B064-C4431C7E0EAA}"/>
              </c:ext>
            </c:extLst>
          </c:dPt>
          <c:dPt>
            <c:idx val="5"/>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A-356D-4441-B064-C4431C7E0EAA}"/>
              </c:ext>
            </c:extLst>
          </c:dPt>
          <c:dPt>
            <c:idx val="6"/>
            <c:invertIfNegative val="0"/>
            <c:bubble3D val="0"/>
            <c:spPr>
              <a:solidFill>
                <a:schemeClr val="accent6"/>
              </a:solidFill>
              <a:ln>
                <a:noFill/>
              </a:ln>
              <a:effectLst/>
            </c:spPr>
            <c:extLst>
              <c:ext xmlns:c16="http://schemas.microsoft.com/office/drawing/2014/chart" uri="{C3380CC4-5D6E-409C-BE32-E72D297353CC}">
                <c16:uniqueId val="{0000000C-356D-4441-B064-C4431C7E0EAA}"/>
              </c:ext>
            </c:extLst>
          </c:dPt>
          <c:cat>
            <c:strRef>
              <c:f>'Scenario analysis'!$T$70:$T$76</c:f>
              <c:strCache>
                <c:ptCount val="7"/>
                <c:pt idx="0">
                  <c:v>Bear case revenue</c:v>
                </c:pt>
                <c:pt idx="1">
                  <c:v>Services
(-)</c:v>
                </c:pt>
                <c:pt idx="2">
                  <c:v>Product
(-)</c:v>
                </c:pt>
                <c:pt idx="3">
                  <c:v>Base case revenue</c:v>
                </c:pt>
                <c:pt idx="4">
                  <c:v>Services
(+)</c:v>
                </c:pt>
                <c:pt idx="5">
                  <c:v>Product
(+)</c:v>
                </c:pt>
                <c:pt idx="6">
                  <c:v>Bull case revenue</c:v>
                </c:pt>
              </c:strCache>
            </c:strRef>
          </c:cat>
          <c:val>
            <c:numRef>
              <c:f>'Scenario analysis'!$U$70:$U$76</c:f>
              <c:numCache>
                <c:formatCode>"$"#,##0_);\("$"#,##0\);"$"#,##0_);@_)</c:formatCode>
                <c:ptCount val="7"/>
                <c:pt idx="0">
                  <c:v>392358.28780625004</c:v>
                </c:pt>
                <c:pt idx="1">
                  <c:v>24758.070275851642</c:v>
                </c:pt>
                <c:pt idx="2">
                  <c:v>27730.596739491972</c:v>
                </c:pt>
                <c:pt idx="3">
                  <c:v>444846.95482159365</c:v>
                </c:pt>
                <c:pt idx="4">
                  <c:v>16923.751224148276</c:v>
                </c:pt>
                <c:pt idx="5">
                  <c:v>21249.121230814722</c:v>
                </c:pt>
                <c:pt idx="6">
                  <c:v>483019.82727655664</c:v>
                </c:pt>
              </c:numCache>
            </c:numRef>
          </c:val>
          <c:extLst>
            <c:ext xmlns:c16="http://schemas.microsoft.com/office/drawing/2014/chart" uri="{C3380CC4-5D6E-409C-BE32-E72D297353CC}">
              <c16:uniqueId val="{0000000D-356D-4441-B064-C4431C7E0EAA}"/>
            </c:ext>
          </c:extLst>
        </c:ser>
        <c:dLbls>
          <c:showLegendKey val="0"/>
          <c:showVal val="0"/>
          <c:showCatName val="0"/>
          <c:showSerName val="0"/>
          <c:showPercent val="0"/>
          <c:showBubbleSize val="0"/>
        </c:dLbls>
        <c:gapWidth val="150"/>
        <c:overlap val="100"/>
        <c:axId val="1599606320"/>
        <c:axId val="1599610064"/>
      </c:barChart>
      <c:catAx>
        <c:axId val="159960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99610064"/>
        <c:crosses val="autoZero"/>
        <c:auto val="1"/>
        <c:lblAlgn val="ctr"/>
        <c:lblOffset val="100"/>
        <c:noMultiLvlLbl val="0"/>
      </c:catAx>
      <c:valAx>
        <c:axId val="1599610064"/>
        <c:scaling>
          <c:orientation val="minMax"/>
          <c:min val="30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Ticker0001 F2026 revenue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quot;$&quot;#,##0_);\(&quot;$&quot;#,##0\);&quot;$&quot;#,##0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99606320"/>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'Scenario analysis'!$T$8</c:f>
              <c:strCache>
                <c:ptCount val="1"/>
                <c:pt idx="0">
                  <c:v>Downside</c:v>
                </c:pt>
              </c:strCache>
            </c:strRef>
          </c:tx>
          <c:spPr>
            <a:ln w="28575" cap="rnd">
              <a:solidFill>
                <a:schemeClr val="accent1"/>
              </a:solidFill>
              <a:round/>
            </a:ln>
            <a:effectLst/>
          </c:spPr>
          <c:marker>
            <c:symbol val="none"/>
          </c:marker>
          <c:cat>
            <c:strRef>
              <c:f>'Scenario analysis'!$U$7:$V$7</c:f>
              <c:strCache>
                <c:ptCount val="2"/>
                <c:pt idx="0">
                  <c:v>Current</c:v>
                </c:pt>
                <c:pt idx="1">
                  <c:v>Scenario</c:v>
                </c:pt>
              </c:strCache>
            </c:strRef>
          </c:cat>
          <c:val>
            <c:numRef>
              <c:f>'Scenario analysis'!$U$8:$V$8</c:f>
              <c:numCache>
                <c:formatCode>"$"#,##0_);\("$"#,##0\);"$"#,##0_);@_)</c:formatCode>
                <c:ptCount val="2"/>
                <c:pt idx="0">
                  <c:v>209.05</c:v>
                </c:pt>
                <c:pt idx="1">
                  <c:v>#N/A</c:v>
                </c:pt>
              </c:numCache>
            </c:numRef>
          </c:val>
          <c:smooth val="0"/>
          <c:extLst>
            <c:ext xmlns:c16="http://schemas.microsoft.com/office/drawing/2014/chart" uri="{C3380CC4-5D6E-409C-BE32-E72D297353CC}">
              <c16:uniqueId val="{00000000-1014-4CA0-B7E2-4C3F39961BD7}"/>
            </c:ext>
          </c:extLst>
        </c:ser>
        <c:ser>
          <c:idx val="1"/>
          <c:order val="1"/>
          <c:tx>
            <c:strRef>
              <c:f>'Scenario analysis'!$T$9</c:f>
              <c:strCache>
                <c:ptCount val="1"/>
                <c:pt idx="0">
                  <c:v>Product0167</c:v>
                </c:pt>
              </c:strCache>
            </c:strRef>
          </c:tx>
          <c:spPr>
            <a:ln w="28575" cap="rnd">
              <a:solidFill>
                <a:schemeClr val="accent2"/>
              </a:solidFill>
              <a:round/>
            </a:ln>
            <a:effectLst/>
          </c:spPr>
          <c:marker>
            <c:symbol val="none"/>
          </c:marker>
          <c:cat>
            <c:strRef>
              <c:f>'Scenario analysis'!$U$7:$V$7</c:f>
              <c:strCache>
                <c:ptCount val="2"/>
                <c:pt idx="0">
                  <c:v>Current</c:v>
                </c:pt>
                <c:pt idx="1">
                  <c:v>Scenario</c:v>
                </c:pt>
              </c:strCache>
            </c:strRef>
          </c:cat>
          <c:val>
            <c:numRef>
              <c:f>'Scenario analysis'!$U$9:$V$9</c:f>
              <c:numCache>
                <c:formatCode>"$"#,##0_);\("$"#,##0\);"$"#,##0_);@_)</c:formatCode>
                <c:ptCount val="2"/>
                <c:pt idx="0">
                  <c:v>209.05</c:v>
                </c:pt>
                <c:pt idx="1">
                  <c:v>266.12227614220757</c:v>
                </c:pt>
              </c:numCache>
            </c:numRef>
          </c:val>
          <c:smooth val="0"/>
          <c:extLst>
            <c:ext xmlns:c16="http://schemas.microsoft.com/office/drawing/2014/chart" uri="{C3380CC4-5D6E-409C-BE32-E72D297353CC}">
              <c16:uniqueId val="{00000001-1014-4CA0-B7E2-4C3F39961BD7}"/>
            </c:ext>
          </c:extLst>
        </c:ser>
        <c:ser>
          <c:idx val="2"/>
          <c:order val="2"/>
          <c:tx>
            <c:strRef>
              <c:f>'Scenario analysis'!$T$10</c:f>
              <c:strCache>
                <c:ptCount val="1"/>
                <c:pt idx="0">
                  <c:v>Upside</c:v>
                </c:pt>
              </c:strCache>
            </c:strRef>
          </c:tx>
          <c:spPr>
            <a:ln w="28575" cap="rnd">
              <a:solidFill>
                <a:schemeClr val="accent3"/>
              </a:solidFill>
              <a:round/>
            </a:ln>
            <a:effectLst/>
          </c:spPr>
          <c:marker>
            <c:symbol val="none"/>
          </c:marker>
          <c:cat>
            <c:strRef>
              <c:f>'Scenario analysis'!$U$7:$V$7</c:f>
              <c:strCache>
                <c:ptCount val="2"/>
                <c:pt idx="0">
                  <c:v>Current</c:v>
                </c:pt>
                <c:pt idx="1">
                  <c:v>Scenario</c:v>
                </c:pt>
              </c:strCache>
            </c:strRef>
          </c:cat>
          <c:val>
            <c:numRef>
              <c:f>'Scenario analysis'!$U$10:$V$10</c:f>
              <c:numCache>
                <c:formatCode>"$"#,##0_);\("$"#,##0\);"$"#,##0_);@_)</c:formatCode>
                <c:ptCount val="2"/>
                <c:pt idx="0">
                  <c:v>209.05</c:v>
                </c:pt>
                <c:pt idx="1">
                  <c:v>#N/A</c:v>
                </c:pt>
              </c:numCache>
            </c:numRef>
          </c:val>
          <c:smooth val="0"/>
          <c:extLst>
            <c:ext xmlns:c16="http://schemas.microsoft.com/office/drawing/2014/chart" uri="{C3380CC4-5D6E-409C-BE32-E72D297353CC}">
              <c16:uniqueId val="{00000003-1014-4CA0-B7E2-4C3F39961BD7}"/>
            </c:ext>
          </c:extLst>
        </c:ser>
        <c:dLbls>
          <c:showLegendKey val="0"/>
          <c:showVal val="0"/>
          <c:showCatName val="0"/>
          <c:showSerName val="0"/>
          <c:showPercent val="0"/>
          <c:showBubbleSize val="0"/>
        </c:dLbls>
        <c:smooth val="0"/>
        <c:axId val="917851664"/>
        <c:axId val="917840016"/>
      </c:lineChart>
      <c:catAx>
        <c:axId val="91785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840016"/>
        <c:crosses val="autoZero"/>
        <c:auto val="1"/>
        <c:lblAlgn val="ctr"/>
        <c:lblOffset val="100"/>
        <c:noMultiLvlLbl val="0"/>
      </c:catAx>
      <c:valAx>
        <c:axId val="9178400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quot;$&quot;#,##0\);&quot;$&quot;#,##0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851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'Scenario analysis'!$A$13</c:f>
              <c:strCache>
                <c:ptCount val="1"/>
                <c:pt idx="0">
                  <c:v>Base case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'Scenario analysis'!$B$12:$K$12</c:f>
              <c:strCache>
                <c:ptCount val="9"/>
                <c:pt idx="0">
                  <c:v>FY'2022</c:v>
                </c:pt>
                <c:pt idx="1">
                  <c:v>FY'2023</c:v>
                </c:pt>
                <c:pt idx="2">
                  <c:v>FY'2024</c:v>
                </c:pt>
                <c:pt idx="3">
                  <c:v>FY'2025E</c:v>
                </c:pt>
                <c:pt idx="4">
                  <c:v>FY'2026E</c:v>
                </c:pt>
                <c:pt idx="5">
                  <c:v>FY'2027E</c:v>
                </c:pt>
                <c:pt idx="6">
                  <c:v>FY'2028E</c:v>
                </c:pt>
                <c:pt idx="7">
                  <c:v>FY'2029E</c:v>
                </c:pt>
                <c:pt idx="8">
                  <c:v>FY'2030E</c:v>
                </c:pt>
              </c:strCache>
            </c:strRef>
          </c:cat>
          <c:val>
            <c:numRef>
              <c:f>'Scenario analysis'!$B$26:$K$26</c:f>
              <c:numCache>
                <c:formatCode>"$"#,##0.00_);\("$"#,##0.00\);"$"#,##0.00_);@_)</c:formatCode>
                <c:ptCount val="9"/>
                <c:pt idx="0">
                  <c:v>#N/A</c:v>
                </c:pt>
                <c:pt idx="1">
                  <c:v>#N/A</c:v>
                </c:pt>
                <c:pt idx="2">
                  <c:v>#N/A</c:v>
                </c:pt>
                <c:pt idx="3">
                  <c:v>#N/A</c:v>
                </c:pt>
                <c:pt idx="4">
                  <c:v>#N/A</c:v>
                </c:pt>
                <c:pt idx="5">
                  <c:v>#N/A</c:v>
                </c:pt>
                <c:pt idx="6">
                  <c:v>#N/A</c:v>
                </c:pt>
                <c:pt idx="7">
                  <c:v>#N/A</c:v>
                </c:pt>
                <c:pt idx="8">
                  <c:v>#N/A</c:v>
                </c:pt>
              </c:numCache>
            </c:numRef>
          </c:val>
          <c:smooth val="0"/>
          <c:extLst>
            <c:ext xmlns:c16="http://schemas.microsoft.com/office/drawing/2014/chart" uri="{C3380CC4-5D6E-409C-BE32-E72D297353CC}">
              <c16:uniqueId val="{00000000-C067-4B71-A9F3-7B3EB7FA4389}"/>
            </c:ext>
          </c:extLst>
        </c:ser>
        <c:ser>
          <c:idx val="1"/>
          <c:order val="1"/>
          <c:tx>
            <c:strRef>
              <c:f>'Scenario analysis'!$A$49</c:f>
              <c:strCache>
                <c:ptCount val="1"/>
                <c:pt idx="0">
                  <c:v>Bull case</c:v>
                </c:pt>
              </c:strCache>
            </c:strRef>
          </c:tx>
          <c:spPr>
            <a:ln w="28575" cap="rnd">
              <a:solidFill>
                <a:schemeClr val="accent5"/>
              </a:solidFill>
              <a:round/>
            </a:ln>
            <a:effectLst/>
          </c:spPr>
          <c:marker>
            <c:symbol val="circle"/>
            <c:size val="5"/>
            <c:spPr>
              <a:solidFill>
                <a:schemeClr val="accent2"/>
              </a:solidFill>
              <a:ln w="9525">
                <a:solidFill>
                  <a:schemeClr val="accent2"/>
                </a:solidFill>
              </a:ln>
              <a:effectLst/>
            </c:spPr>
          </c:marker>
          <c:val>
            <c:numRef>
              <c:f>'Scenario analysis'!$B$62:$K$62</c:f>
              <c:numCache>
                <c:formatCode>"$"#,##0.00_);\("$"#,##0.00\);"$"#,##0.00_);@_)</c:formatCode>
                <c:ptCount val="9"/>
                <c:pt idx="0">
                  <c:v>#N/A</c:v>
                </c:pt>
                <c:pt idx="1">
                  <c:v>#N/A</c:v>
                </c:pt>
                <c:pt idx="2">
                  <c:v>#N/A</c:v>
                </c:pt>
                <c:pt idx="3">
                  <c:v>#N/A</c:v>
                </c:pt>
                <c:pt idx="4">
                  <c:v>#N/A</c:v>
                </c:pt>
                <c:pt idx="5">
                  <c:v>#N/A</c:v>
                </c:pt>
                <c:pt idx="6">
                  <c:v>#N/A</c:v>
                </c:pt>
                <c:pt idx="7">
                  <c:v>#N/A</c:v>
                </c:pt>
                <c:pt idx="8">
                  <c:v>#N/A</c:v>
                </c:pt>
              </c:numCache>
            </c:numRef>
          </c:val>
          <c:smooth val="0"/>
          <c:extLst>
            <c:ext xmlns:c16="http://schemas.microsoft.com/office/drawing/2014/chart" uri="{C3380CC4-5D6E-409C-BE32-E72D297353CC}">
              <c16:uniqueId val="{00000002-C067-4B71-A9F3-7B3EB7FA4389}"/>
            </c:ext>
          </c:extLst>
        </c:ser>
        <c:ser>
          <c:idx val="2"/>
          <c:order val="2"/>
          <c:tx>
            <c:strRef>
              <c:f>'Scenario analysis'!$A$84</c:f>
              <c:strCache>
                <c:ptCount val="1"/>
                <c:pt idx="0">
                  <c:v>Bear case</c:v>
                </c:pt>
              </c:strCache>
            </c:strRef>
          </c:tx>
          <c:spPr>
            <a:ln w="28575" cap="rnd">
              <a:solidFill>
                <a:schemeClr val="tx2"/>
              </a:solidFill>
              <a:round/>
            </a:ln>
            <a:effectLst/>
          </c:spPr>
          <c:marker>
            <c:symbol val="circle"/>
            <c:size val="5"/>
            <c:spPr>
              <a:solidFill>
                <a:schemeClr val="accent3"/>
              </a:solidFill>
              <a:ln w="9525">
                <a:solidFill>
                  <a:schemeClr val="accent3"/>
                </a:solidFill>
              </a:ln>
              <a:effectLst/>
            </c:spPr>
          </c:marker>
          <c:val>
            <c:numRef>
              <c:f>'Scenario analysis'!$B$97:$K$97</c:f>
              <c:numCache>
                <c:formatCode>"$"#,##0.00_);\("$"#,##0.00\);"$"#,##0.00_);@_)</c:formatCode>
                <c:ptCount val="9"/>
                <c:pt idx="0">
                  <c:v>#N/A</c:v>
                </c:pt>
                <c:pt idx="1">
                  <c:v>#N/A</c:v>
                </c:pt>
                <c:pt idx="2">
                  <c:v>#N/A</c:v>
                </c:pt>
                <c:pt idx="3">
                  <c:v>#N/A</c:v>
                </c:pt>
                <c:pt idx="4">
                  <c:v>#N/A</c:v>
                </c:pt>
                <c:pt idx="5">
                  <c:v>#N/A</c:v>
                </c:pt>
                <c:pt idx="6">
                  <c:v>#N/A</c:v>
                </c:pt>
                <c:pt idx="7">
                  <c:v>#N/A</c:v>
                </c:pt>
                <c:pt idx="8">
                  <c:v>#N/A</c:v>
                </c:pt>
              </c:numCache>
            </c:numRef>
          </c:val>
          <c:smooth val="0"/>
          <c:extLst>
            <c:ext xmlns:c16="http://schemas.microsoft.com/office/drawing/2014/chart" uri="{C3380CC4-5D6E-409C-BE32-E72D297353CC}">
              <c16:uniqueId val="{00000003-C067-4B71-A9F3-7B3EB7FA4389}"/>
            </c:ext>
          </c:extLst>
        </c:ser>
        <c:dLbls>
          <c:showLegendKey val="0"/>
          <c:showVal val="0"/>
          <c:showCatName val="0"/>
          <c:showSerName val="0"/>
          <c:showPercent val="0"/>
          <c:showBubbleSize val="0"/>
        </c:dLbls>
        <c:marker val="1"/>
        <c:smooth val="0"/>
        <c:axId val="866952560"/>
        <c:axId val="866937168"/>
      </c:lineChart>
      <c:catAx>
        <c:axId val="86695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866937168"/>
        <c:crosses val="autoZero"/>
        <c:auto val="1"/>
        <c:lblAlgn val="ctr"/>
        <c:lblOffset val="100"/>
        <c:noMultiLvlLbl val="0"/>
      </c:catAx>
      <c:valAx>
        <c:axId val="866937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Ticker0001 EPS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quot;$&quot;#,##0.00_);\(&quot;$&quot;#,##0.00\);&quot;$&quot;#,##0.00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866952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paperSize="0"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0"/>
          <c:spPr>
            <a:noFill/>
            <a:ln>
              <a:noFill/>
            </a:ln>
            <a:effectLst/>
          </c:spPr>
          <c:invertIfNegative val="0"/>
          <c:cat>
            <c:strRef>
              <c:f>'Scenario analysis'!$T$37:$T$43</c:f>
              <c:strCache>
                <c:ptCount val="7"/>
                <c:pt idx="0">
                  <c:v>Bear case revenue</c:v>
                </c:pt>
                <c:pt idx="1">
                  <c:v>Services
(-)</c:v>
                </c:pt>
                <c:pt idx="2">
                  <c:v>Product
(-)</c:v>
                </c:pt>
                <c:pt idx="3">
                  <c:v>Base case revenue</c:v>
                </c:pt>
                <c:pt idx="4">
                  <c:v>Services
(+)</c:v>
                </c:pt>
                <c:pt idx="5">
                  <c:v>Product
(+)</c:v>
                </c:pt>
                <c:pt idx="6">
                  <c:v>Bull case revenue</c:v>
                </c:pt>
              </c:strCache>
            </c:strRef>
          </c:cat>
          <c:val>
            <c:numRef>
              <c:f>'Scenario analysis'!$V$37:$V$43</c:f>
              <c:numCache>
                <c:formatCode>"$"#,##0_);\("$"#,##0\);"$"#,##0_);@_)</c:formatCode>
                <c:ptCount val="7"/>
                <c:pt idx="0">
                  <c:v>0</c:v>
                </c:pt>
                <c:pt idx="1">
                  <c:v>384605.93778124999</c:v>
                </c:pt>
                <c:pt idx="2">
                  <c:v>425971.35986215214</c:v>
                </c:pt>
                <c:pt idx="3">
                  <c:v>0</c:v>
                </c:pt>
                <c:pt idx="4">
                  <c:v>476211.11021514412</c:v>
                </c:pt>
                <c:pt idx="5">
                  <c:v>454832.06294674193</c:v>
                </c:pt>
                <c:pt idx="6">
                  <c:v>0</c:v>
                </c:pt>
              </c:numCache>
            </c:numRef>
          </c:val>
          <c:extLst>
            <c:ext xmlns:c16="http://schemas.microsoft.com/office/drawing/2014/chart" uri="{C3380CC4-5D6E-409C-BE32-E72D297353CC}">
              <c16:uniqueId val="{00000001-980C-4259-843F-3612E0A9F0EB}"/>
            </c:ext>
          </c:extLst>
        </c:ser>
        <c:ser>
          <c:idx val="0"/>
          <c:order val="1"/>
          <c:spPr>
            <a:solidFill>
              <a:schemeClr val="accent1"/>
            </a:solidFill>
            <a:ln>
              <a:noFill/>
            </a:ln>
            <a:effectLst/>
          </c:spPr>
          <c:invertIfNegative val="0"/>
          <c:dPt>
            <c:idx val="0"/>
            <c:invertIfNegative val="0"/>
            <c:bubble3D val="0"/>
            <c:spPr>
              <a:solidFill>
                <a:schemeClr val="tx2"/>
              </a:solidFill>
              <a:ln>
                <a:noFill/>
              </a:ln>
              <a:effectLst/>
            </c:spPr>
            <c:extLst>
              <c:ext xmlns:c16="http://schemas.microsoft.com/office/drawing/2014/chart" uri="{C3380CC4-5D6E-409C-BE32-E72D297353CC}">
                <c16:uniqueId val="{00000005-980C-4259-843F-3612E0A9F0EB}"/>
              </c:ext>
            </c:extLst>
          </c:dPt>
          <c:dPt>
            <c:idx val="1"/>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4-980C-4259-843F-3612E0A9F0EB}"/>
              </c:ext>
            </c:extLst>
          </c:dPt>
          <c:dPt>
            <c:idx val="2"/>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3-980C-4259-843F-3612E0A9F0EB}"/>
              </c:ext>
            </c:extLst>
          </c:dPt>
          <c:dPt>
            <c:idx val="4"/>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8-980C-4259-843F-3612E0A9F0EB}"/>
              </c:ext>
            </c:extLst>
          </c:dPt>
          <c:dPt>
            <c:idx val="5"/>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7-980C-4259-843F-3612E0A9F0EB}"/>
              </c:ext>
            </c:extLst>
          </c:dPt>
          <c:dPt>
            <c:idx val="6"/>
            <c:invertIfNegative val="0"/>
            <c:bubble3D val="0"/>
            <c:spPr>
              <a:solidFill>
                <a:schemeClr val="accent6"/>
              </a:solidFill>
              <a:ln>
                <a:noFill/>
              </a:ln>
              <a:effectLst/>
            </c:spPr>
            <c:extLst>
              <c:ext xmlns:c16="http://schemas.microsoft.com/office/drawing/2014/chart" uri="{C3380CC4-5D6E-409C-BE32-E72D297353CC}">
                <c16:uniqueId val="{00000006-980C-4259-843F-3612E0A9F0EB}"/>
              </c:ext>
            </c:extLst>
          </c:dPt>
          <c:cat>
            <c:strRef>
              <c:f>'Scenario analysis'!$T$37:$T$43</c:f>
              <c:strCache>
                <c:ptCount val="7"/>
                <c:pt idx="0">
                  <c:v>Bear case revenue</c:v>
                </c:pt>
                <c:pt idx="1">
                  <c:v>Services
(-)</c:v>
                </c:pt>
                <c:pt idx="2">
                  <c:v>Product
(-)</c:v>
                </c:pt>
                <c:pt idx="3">
                  <c:v>Base case revenue</c:v>
                </c:pt>
                <c:pt idx="4">
                  <c:v>Services
(+)</c:v>
                </c:pt>
                <c:pt idx="5">
                  <c:v>Product
(+)</c:v>
                </c:pt>
                <c:pt idx="6">
                  <c:v>Bull case revenue</c:v>
                </c:pt>
              </c:strCache>
            </c:strRef>
          </c:cat>
          <c:val>
            <c:numRef>
              <c:f>'Scenario analysis'!$U$37:$U$43</c:f>
              <c:numCache>
                <c:formatCode>"$"#,##0_);\("$"#,##0\);"$"#,##0_);@_)</c:formatCode>
                <c:ptCount val="7"/>
                <c:pt idx="0">
                  <c:v>384605.93778124999</c:v>
                </c:pt>
                <c:pt idx="1">
                  <c:v>41365.422080902121</c:v>
                </c:pt>
                <c:pt idx="2">
                  <c:v>50239.750352991978</c:v>
                </c:pt>
                <c:pt idx="3">
                  <c:v>476211.11021514412</c:v>
                </c:pt>
                <c:pt idx="4">
                  <c:v>-21379.047268402152</c:v>
                </c:pt>
                <c:pt idx="5">
                  <c:v>-38244.482123979717</c:v>
                </c:pt>
                <c:pt idx="6">
                  <c:v>416587.58082276222</c:v>
                </c:pt>
              </c:numCache>
            </c:numRef>
          </c:val>
          <c:extLst>
            <c:ext xmlns:c16="http://schemas.microsoft.com/office/drawing/2014/chart" uri="{C3380CC4-5D6E-409C-BE32-E72D297353CC}">
              <c16:uniqueId val="{00000000-980C-4259-843F-3612E0A9F0EB}"/>
            </c:ext>
          </c:extLst>
        </c:ser>
        <c:dLbls>
          <c:showLegendKey val="0"/>
          <c:showVal val="0"/>
          <c:showCatName val="0"/>
          <c:showSerName val="0"/>
          <c:showPercent val="0"/>
          <c:showBubbleSize val="0"/>
        </c:dLbls>
        <c:gapWidth val="150"/>
        <c:overlap val="100"/>
        <c:axId val="1599606320"/>
        <c:axId val="1599610064"/>
      </c:barChart>
      <c:catAx>
        <c:axId val="159960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99610064"/>
        <c:crosses val="autoZero"/>
        <c:auto val="1"/>
        <c:lblAlgn val="ctr"/>
        <c:lblOffset val="100"/>
        <c:noMultiLvlLbl val="0"/>
      </c:catAx>
      <c:valAx>
        <c:axId val="1599610064"/>
        <c:scaling>
          <c:orientation val="minMax"/>
          <c:min val="30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Ticker0001 NTM+1Y revenue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quot;$&quot;#,##0_);\(&quot;$&quot;#,##0\);&quot;$&quot;#,##0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99606320"/>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paperSize="0"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57150</xdr:rowOff>
    </xdr:from>
    <xdr:to>
      <xdr:col>0</xdr:col>
      <xdr:colOff>590136</xdr:colOff>
      <xdr:row>4</xdr:row>
      <xdr:rowOff>20682</xdr:rowOff>
    </xdr:to>
    <xdr:pic>
      <xdr:nvPicPr>
        <xdr:cNvPr id="2" name="Picture 267">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704850" y="57150"/>
          <a:ext cx="571086" cy="573132"/>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0</xdr:col>
      <xdr:colOff>302885</xdr:colOff>
      <xdr:row>2</xdr:row>
      <xdr:rowOff>9525</xdr:rowOff>
    </xdr:to>
    <xdr:pic>
      <xdr:nvPicPr>
        <xdr:cNvPr id="2" name="Picture 267">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 y="0"/>
          <a:ext cx="293360" cy="295275"/>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9524</xdr:colOff>
      <xdr:row>0</xdr:row>
      <xdr:rowOff>0</xdr:rowOff>
    </xdr:from>
    <xdr:to>
      <xdr:col>0</xdr:col>
      <xdr:colOff>514349</xdr:colOff>
      <xdr:row>2</xdr:row>
      <xdr:rowOff>156806</xdr:rowOff>
    </xdr:to>
    <xdr:pic>
      <xdr:nvPicPr>
        <xdr:cNvPr id="2" name="Picture 267">
          <a:extLst>
            <a:ext uri="{FF2B5EF4-FFF2-40B4-BE49-F238E27FC236}">
              <a16:creationId xmlns:a16="http://schemas.microsoft.com/office/drawing/2014/main" id="{A7C66B81-9EA3-456D-AE0A-0D5CDCF92923}"/>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4" y="0"/>
          <a:ext cx="504825" cy="442556"/>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0</xdr:col>
      <xdr:colOff>302885</xdr:colOff>
      <xdr:row>1</xdr:row>
      <xdr:rowOff>114300</xdr:rowOff>
    </xdr:to>
    <xdr:pic>
      <xdr:nvPicPr>
        <xdr:cNvPr id="2" name="Picture 267">
          <a:extLst>
            <a:ext uri="{FF2B5EF4-FFF2-40B4-BE49-F238E27FC236}">
              <a16:creationId xmlns:a16="http://schemas.microsoft.com/office/drawing/2014/main" id="{8D61BBD2-1B97-4195-86D0-A9CA76B4C97E}"/>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 y="0"/>
          <a:ext cx="293360" cy="25717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28575</xdr:colOff>
      <xdr:row>0</xdr:row>
      <xdr:rowOff>0</xdr:rowOff>
    </xdr:from>
    <xdr:to>
      <xdr:col>0</xdr:col>
      <xdr:colOff>371475</xdr:colOff>
      <xdr:row>2</xdr:row>
      <xdr:rowOff>28575</xdr:rowOff>
    </xdr:to>
    <xdr:pic>
      <xdr:nvPicPr>
        <xdr:cNvPr id="2" name="Picture 267">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0"/>
          <a:ext cx="342900" cy="31432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9526</xdr:rowOff>
    </xdr:from>
    <xdr:to>
      <xdr:col>0</xdr:col>
      <xdr:colOff>257175</xdr:colOff>
      <xdr:row>1</xdr:row>
      <xdr:rowOff>125504</xdr:rowOff>
    </xdr:to>
    <xdr:pic>
      <xdr:nvPicPr>
        <xdr:cNvPr id="2" name="Picture 267">
          <a:extLst>
            <a:ext uri="{FF2B5EF4-FFF2-40B4-BE49-F238E27FC236}">
              <a16:creationId xmlns:a16="http://schemas.microsoft.com/office/drawing/2014/main" id="{00000000-0008-0000-0C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526"/>
          <a:ext cx="257175" cy="258853"/>
        </a:xfrm>
        <a:prstGeom prst="rect">
          <a:avLst/>
        </a:prstGeom>
        <a:noFill/>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9525</xdr:colOff>
      <xdr:row>0</xdr:row>
      <xdr:rowOff>28576</xdr:rowOff>
    </xdr:from>
    <xdr:to>
      <xdr:col>0</xdr:col>
      <xdr:colOff>293422</xdr:colOff>
      <xdr:row>2</xdr:row>
      <xdr:rowOff>28576</xdr:rowOff>
    </xdr:to>
    <xdr:pic>
      <xdr:nvPicPr>
        <xdr:cNvPr id="2" name="Picture 267">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 y="28576"/>
          <a:ext cx="283897" cy="285750"/>
        </a:xfrm>
        <a:prstGeom prst="rect">
          <a:avLst/>
        </a:prstGeom>
        <a:noFill/>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0</xdr:col>
      <xdr:colOff>302885</xdr:colOff>
      <xdr:row>1</xdr:row>
      <xdr:rowOff>114300</xdr:rowOff>
    </xdr:to>
    <xdr:pic>
      <xdr:nvPicPr>
        <xdr:cNvPr id="4" name="Picture 267">
          <a:extLst>
            <a:ext uri="{FF2B5EF4-FFF2-40B4-BE49-F238E27FC236}">
              <a16:creationId xmlns:a16="http://schemas.microsoft.com/office/drawing/2014/main" id="{FD52C182-C69C-42EB-BBEB-289AA0395E39}"/>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 y="0"/>
          <a:ext cx="293360" cy="257175"/>
        </a:xfrm>
        <a:prstGeom prst="rect">
          <a:avLst/>
        </a:prstGeom>
        <a:noFill/>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114300</xdr:colOff>
      <xdr:row>0</xdr:row>
      <xdr:rowOff>114300</xdr:rowOff>
    </xdr:from>
    <xdr:to>
      <xdr:col>0</xdr:col>
      <xdr:colOff>685386</xdr:colOff>
      <xdr:row>3</xdr:row>
      <xdr:rowOff>108088</xdr:rowOff>
    </xdr:to>
    <xdr:pic>
      <xdr:nvPicPr>
        <xdr:cNvPr id="2" name="Picture 267">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4300" y="114300"/>
          <a:ext cx="571086" cy="574813"/>
        </a:xfrm>
        <a:prstGeom prst="rect">
          <a:avLst/>
        </a:prstGeom>
        <a:noFill/>
      </xdr:spPr>
    </xdr:pic>
    <xdr:clientData/>
  </xdr:twoCellAnchor>
  <xdr:twoCellAnchor editAs="oneCell">
    <xdr:from>
      <xdr:col>0</xdr:col>
      <xdr:colOff>114300</xdr:colOff>
      <xdr:row>0</xdr:row>
      <xdr:rowOff>114300</xdr:rowOff>
    </xdr:from>
    <xdr:to>
      <xdr:col>0</xdr:col>
      <xdr:colOff>685386</xdr:colOff>
      <xdr:row>3</xdr:row>
      <xdr:rowOff>108088</xdr:rowOff>
    </xdr:to>
    <xdr:pic>
      <xdr:nvPicPr>
        <xdr:cNvPr id="3" name="Picture 267">
          <a:extLst>
            <a:ext uri="{FF2B5EF4-FFF2-40B4-BE49-F238E27FC236}">
              <a16:creationId xmlns:a16="http://schemas.microsoft.com/office/drawing/2014/main" id="{00000000-0008-0000-11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4300" y="114300"/>
          <a:ext cx="571086" cy="574813"/>
        </a:xfrm>
        <a:prstGeom prst="rect">
          <a:avLst/>
        </a:prstGeom>
        <a:noFill/>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486832</xdr:colOff>
      <xdr:row>2</xdr:row>
      <xdr:rowOff>98629</xdr:rowOff>
    </xdr:to>
    <xdr:pic>
      <xdr:nvPicPr>
        <xdr:cNvPr id="2" name="Picture 190" descr="Logo_solid_6in">
          <a:extLst>
            <a:ext uri="{FF2B5EF4-FFF2-40B4-BE49-F238E27FC236}">
              <a16:creationId xmlns:a16="http://schemas.microsoft.com/office/drawing/2014/main" id="{0EFB5805-1B50-4C0F-BF1C-726629EB6856}"/>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3825" y="0"/>
          <a:ext cx="486832" cy="403429"/>
        </a:xfrm>
        <a:prstGeom prst="rect">
          <a:avLst/>
        </a:prstGeom>
        <a:noFill/>
      </xdr:spPr>
    </xdr:pic>
    <xdr:clientData/>
  </xdr:twoCellAnchor>
</xdr:wsDr>
</file>

<file path=xl/drawings/drawing11.xml><?xml version="1.0" encoding="utf-8"?>
<xdr:wsDr xmlns:xdr="http://schemas.openxmlformats.org/drawingml/2006/spreadsheetDrawing" xmlns:a="http://schemas.openxmlformats.org/drawingml/2006/main">
  <xdr:twoCellAnchor>
    <xdr:from>
      <xdr:col>13</xdr:col>
      <xdr:colOff>437030</xdr:colOff>
      <xdr:row>31</xdr:row>
      <xdr:rowOff>123263</xdr:rowOff>
    </xdr:from>
    <xdr:to>
      <xdr:col>18</xdr:col>
      <xdr:colOff>453839</xdr:colOff>
      <xdr:row>51</xdr:row>
      <xdr:rowOff>10831</xdr:rowOff>
    </xdr:to>
    <xdr:graphicFrame macro="">
      <xdr:nvGraphicFramePr>
        <xdr:cNvPr id="3" name="Chart 2">
          <a:extLst>
            <a:ext uri="{FF2B5EF4-FFF2-40B4-BE49-F238E27FC236}">
              <a16:creationId xmlns:a16="http://schemas.microsoft.com/office/drawing/2014/main" id="{D50623FA-A8BD-4C9A-8186-523E8483BF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504266</xdr:colOff>
      <xdr:row>70</xdr:row>
      <xdr:rowOff>67235</xdr:rowOff>
    </xdr:from>
    <xdr:to>
      <xdr:col>24</xdr:col>
      <xdr:colOff>361391</xdr:colOff>
      <xdr:row>89</xdr:row>
      <xdr:rowOff>111685</xdr:rowOff>
    </xdr:to>
    <xdr:graphicFrame macro="">
      <xdr:nvGraphicFramePr>
        <xdr:cNvPr id="7" name="Chart 6">
          <a:extLst>
            <a:ext uri="{FF2B5EF4-FFF2-40B4-BE49-F238E27FC236}">
              <a16:creationId xmlns:a16="http://schemas.microsoft.com/office/drawing/2014/main" id="{E49F0030-25B2-4CD1-9ACF-544EC173F2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0</xdr:colOff>
      <xdr:row>91</xdr:row>
      <xdr:rowOff>0</xdr:rowOff>
    </xdr:from>
    <xdr:to>
      <xdr:col>23</xdr:col>
      <xdr:colOff>4867275</xdr:colOff>
      <xdr:row>110</xdr:row>
      <xdr:rowOff>34925</xdr:rowOff>
    </xdr:to>
    <xdr:graphicFrame macro="">
      <xdr:nvGraphicFramePr>
        <xdr:cNvPr id="8" name="Chart 7">
          <a:extLst>
            <a:ext uri="{FF2B5EF4-FFF2-40B4-BE49-F238E27FC236}">
              <a16:creationId xmlns:a16="http://schemas.microsoft.com/office/drawing/2014/main" id="{AD4D4733-DC09-4263-9C2D-34E06A9339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3081617</xdr:colOff>
      <xdr:row>41</xdr:row>
      <xdr:rowOff>145683</xdr:rowOff>
    </xdr:from>
    <xdr:to>
      <xdr:col>28</xdr:col>
      <xdr:colOff>195542</xdr:colOff>
      <xdr:row>61</xdr:row>
      <xdr:rowOff>47258</xdr:rowOff>
    </xdr:to>
    <xdr:graphicFrame macro="">
      <xdr:nvGraphicFramePr>
        <xdr:cNvPr id="13" name="Chart 12">
          <a:extLst>
            <a:ext uri="{FF2B5EF4-FFF2-40B4-BE49-F238E27FC236}">
              <a16:creationId xmlns:a16="http://schemas.microsoft.com/office/drawing/2014/main" id="{28F5FDD6-36C7-4182-990A-F33C095DA5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437030</xdr:colOff>
      <xdr:row>51</xdr:row>
      <xdr:rowOff>124385</xdr:rowOff>
    </xdr:from>
    <xdr:to>
      <xdr:col>18</xdr:col>
      <xdr:colOff>456080</xdr:colOff>
      <xdr:row>71</xdr:row>
      <xdr:rowOff>45010</xdr:rowOff>
    </xdr:to>
    <xdr:graphicFrame macro="">
      <xdr:nvGraphicFramePr>
        <xdr:cNvPr id="2" name="Chart 1">
          <a:extLst>
            <a:ext uri="{FF2B5EF4-FFF2-40B4-BE49-F238E27FC236}">
              <a16:creationId xmlns:a16="http://schemas.microsoft.com/office/drawing/2014/main" id="{C0A646B2-A618-4C34-9719-D86787D124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795619</xdr:colOff>
      <xdr:row>46</xdr:row>
      <xdr:rowOff>90767</xdr:rowOff>
    </xdr:from>
    <xdr:to>
      <xdr:col>23</xdr:col>
      <xdr:colOff>1938619</xdr:colOff>
      <xdr:row>65</xdr:row>
      <xdr:rowOff>125692</xdr:rowOff>
    </xdr:to>
    <xdr:graphicFrame macro="">
      <xdr:nvGraphicFramePr>
        <xdr:cNvPr id="5" name="Chart 4">
          <a:extLst>
            <a:ext uri="{FF2B5EF4-FFF2-40B4-BE49-F238E27FC236}">
              <a16:creationId xmlns:a16="http://schemas.microsoft.com/office/drawing/2014/main" id="{6D6DFA24-23F6-48E4-AB18-1D8338FD21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Author3" id="{1CC1DF68-42D1-4A85-8FC7-B9233B1D6090}" userId="" providerId="None"/>
</personList>
</file>

<file path=xl/theme/theme1.xml><?xml version="1.0" encoding="utf-8"?>
<a:theme xmlns:a="http://schemas.openxmlformats.org/drawingml/2006/main" name="GIR Product">
  <a:themeElements>
    <a:clrScheme name="GIR Exhibits">
      <a:dk1>
        <a:srgbClr val="000000"/>
      </a:dk1>
      <a:lt1>
        <a:sysClr val="window" lastClr="FFFFFF"/>
      </a:lt1>
      <a:dk2>
        <a:srgbClr val="BE3232"/>
      </a:dk2>
      <a:lt2>
        <a:srgbClr val="F67F26"/>
      </a:lt2>
      <a:accent1>
        <a:srgbClr val="00355F"/>
      </a:accent1>
      <a:accent2>
        <a:srgbClr val="ACD4F1"/>
      </a:accent2>
      <a:accent3>
        <a:srgbClr val="A5A5A5"/>
      </a:accent3>
      <a:accent4>
        <a:srgbClr val="7399C6"/>
      </a:accent4>
      <a:accent5>
        <a:srgbClr val="078549"/>
      </a:accent5>
      <a:accent6>
        <a:srgbClr val="8BC346"/>
      </a:accent6>
      <a:hlink>
        <a:srgbClr val="7399C6"/>
      </a:hlink>
      <a:folHlink>
        <a:srgbClr val="A5A5A5"/>
      </a:folHlink>
    </a:clrScheme>
    <a:fontScheme name="GIR Product">
      <a:majorFont>
        <a:latin typeface="Univers LT Std 65 Bold"/>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Jpan" typeface="MS Gothic"/>
      </a:majorFont>
      <a:minorFont>
        <a:latin typeface="Univers LT Std 55"/>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GIR Produc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65" dT="2022-09-29T16:56:19.87" personId="{1CC1DF68-42D1-4A85-8FC7-B9233B1D6090}" id="{522D088C-EE26-4F49-8B2C-2C6286E0EB3A}">
    <text>Product0047 participating banks by region:
https://example.com/</text>
  </threadedComment>
  <threadedComment ref="CS169" dT="2022-09-29T17:33:53.69" personId="{1CC1DF68-42D1-4A85-8FC7-B9233B1D6090}" id="{5193396F-80A5-4496-9CAE-336AA58F39C3}">
    <text>Company2135 says $46.9 bn (2019) and $91.7 bn (2021)</text>
  </threadedComment>
  <threadedComment ref="DA169" dT="2022-09-29T17:33:53.69" personId="{1CC1DF68-42D1-4A85-8FC7-B9233B1D6090}" id="{988311F1-0912-45A7-92A7-954D417EDA16}">
    <text>Company2135 says $46.9 bn (2019) and $91.7 bn (2021)</text>
  </threadedComment>
</ThreadedComments>
</file>

<file path=xl/worksheets/_rels/sheet1.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3.bin"/><Relationship Id="rId2" Type="http://schemas.openxmlformats.org/officeDocument/2006/relationships/printerSettings" Target="../printerSettings/printerSettings2.bin"/><Relationship Id="rId1" Type="http://schemas.openxmlformats.org/officeDocument/2006/relationships/hyperlink" Target="https://example.com/" TargetMode="External"/><Relationship Id="rId5" Type="http://schemas.openxmlformats.org/officeDocument/2006/relationships/drawing" Target="../drawings/drawing1.xml"/><Relationship Id="rId4" Type="http://schemas.openxmlformats.org/officeDocument/2006/relationships/customProperty" Target="../customProperty4.bin"/></Relationships>
</file>

<file path=xl/worksheets/_rels/sheet3.xml.rels><?xml version="1.0" encoding="UTF-8" standalone="yes"?>
<Relationships xmlns="http://schemas.openxmlformats.org/package/2006/relationships"><Relationship Id="rId3" Type="http://schemas.openxmlformats.org/officeDocument/2006/relationships/customProperty" Target="../customProperty6.bin"/><Relationship Id="rId2" Type="http://schemas.openxmlformats.org/officeDocument/2006/relationships/customProperty" Target="../customProperty5.bin"/><Relationship Id="rId1" Type="http://schemas.openxmlformats.org/officeDocument/2006/relationships/printerSettings" Target="../printerSettings/printerSettings3.bin"/><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7.bin"/><Relationship Id="rId1" Type="http://schemas.openxmlformats.org/officeDocument/2006/relationships/printerSettings" Target="../printerSettings/printerSettings4.bin"/><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8.bin"/><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8" Type="http://schemas.openxmlformats.org/officeDocument/2006/relationships/customProperty" Target="../customProperty15.bin"/><Relationship Id="rId3" Type="http://schemas.openxmlformats.org/officeDocument/2006/relationships/customProperty" Target="../customProperty10.bin"/><Relationship Id="rId7" Type="http://schemas.openxmlformats.org/officeDocument/2006/relationships/customProperty" Target="../customProperty14.bin"/><Relationship Id="rId2" Type="http://schemas.openxmlformats.org/officeDocument/2006/relationships/customProperty" Target="../customProperty9.bin"/><Relationship Id="rId1" Type="http://schemas.openxmlformats.org/officeDocument/2006/relationships/printerSettings" Target="../printerSettings/printerSettings6.bin"/><Relationship Id="rId6" Type="http://schemas.openxmlformats.org/officeDocument/2006/relationships/customProperty" Target="../customProperty13.bin"/><Relationship Id="rId5" Type="http://schemas.openxmlformats.org/officeDocument/2006/relationships/customProperty" Target="../customProperty12.bin"/><Relationship Id="rId4" Type="http://schemas.openxmlformats.org/officeDocument/2006/relationships/customProperty" Target="../customProperty11.bin"/><Relationship Id="rId9" Type="http://schemas.openxmlformats.org/officeDocument/2006/relationships/customProperty" Target="../customProperty16.bin"/></Relationships>
</file>

<file path=xl/worksheets/_rels/sheet7.xml.rels><?xml version="1.0" encoding="UTF-8" standalone="yes"?>
<Relationships xmlns="http://schemas.openxmlformats.org/package/2006/relationships"><Relationship Id="rId8" Type="http://schemas.openxmlformats.org/officeDocument/2006/relationships/customProperty" Target="../customProperty23.bin"/><Relationship Id="rId3" Type="http://schemas.openxmlformats.org/officeDocument/2006/relationships/customProperty" Target="../customProperty18.bin"/><Relationship Id="rId7" Type="http://schemas.openxmlformats.org/officeDocument/2006/relationships/customProperty" Target="../customProperty22.bin"/><Relationship Id="rId2" Type="http://schemas.openxmlformats.org/officeDocument/2006/relationships/customProperty" Target="../customProperty17.bin"/><Relationship Id="rId1" Type="http://schemas.openxmlformats.org/officeDocument/2006/relationships/printerSettings" Target="../printerSettings/printerSettings7.bin"/><Relationship Id="rId6" Type="http://schemas.openxmlformats.org/officeDocument/2006/relationships/customProperty" Target="../customProperty21.bin"/><Relationship Id="rId5" Type="http://schemas.openxmlformats.org/officeDocument/2006/relationships/customProperty" Target="../customProperty20.bin"/><Relationship Id="rId10" Type="http://schemas.openxmlformats.org/officeDocument/2006/relationships/customProperty" Target="../customProperty25.bin"/><Relationship Id="rId4" Type="http://schemas.openxmlformats.org/officeDocument/2006/relationships/customProperty" Target="../customProperty19.bin"/><Relationship Id="rId9" Type="http://schemas.openxmlformats.org/officeDocument/2006/relationships/customProperty" Target="../customProperty24.bin"/></Relationships>
</file>

<file path=xl/worksheets/_rels/sheet8.xml.rels><?xml version="1.0" encoding="UTF-8" standalone="yes"?>
<Relationships xmlns="http://schemas.openxmlformats.org/package/2006/relationships"><Relationship Id="rId8" Type="http://schemas.openxmlformats.org/officeDocument/2006/relationships/customProperty" Target="../customProperty32.bin"/><Relationship Id="rId3" Type="http://schemas.openxmlformats.org/officeDocument/2006/relationships/customProperty" Target="../customProperty27.bin"/><Relationship Id="rId7" Type="http://schemas.openxmlformats.org/officeDocument/2006/relationships/customProperty" Target="../customProperty31.bin"/><Relationship Id="rId2" Type="http://schemas.openxmlformats.org/officeDocument/2006/relationships/customProperty" Target="../customProperty26.bin"/><Relationship Id="rId1" Type="http://schemas.openxmlformats.org/officeDocument/2006/relationships/printerSettings" Target="../printerSettings/printerSettings8.bin"/><Relationship Id="rId6" Type="http://schemas.openxmlformats.org/officeDocument/2006/relationships/customProperty" Target="../customProperty30.bin"/><Relationship Id="rId5" Type="http://schemas.openxmlformats.org/officeDocument/2006/relationships/customProperty" Target="../customProperty29.bin"/><Relationship Id="rId4" Type="http://schemas.openxmlformats.org/officeDocument/2006/relationships/customProperty" Target="../customProperty28.bin"/><Relationship Id="rId9" Type="http://schemas.openxmlformats.org/officeDocument/2006/relationships/customProperty" Target="../customProperty33.bin"/></Relationships>
</file>

<file path=xl/worksheets/_rels/sheet9.xml.rels><?xml version="1.0" encoding="UTF-8" standalone="yes"?>
<Relationships xmlns="http://schemas.openxmlformats.org/package/2006/relationships"><Relationship Id="rId3" Type="http://schemas.openxmlformats.org/officeDocument/2006/relationships/customProperty" Target="../customProperty35.bin"/><Relationship Id="rId2" Type="http://schemas.openxmlformats.org/officeDocument/2006/relationships/customProperty" Target="../customProperty34.bin"/><Relationship Id="rId1" Type="http://schemas.openxmlformats.org/officeDocument/2006/relationships/printerSettings" Target="../printerSettings/printerSettings9.bin"/><Relationship Id="rId6" Type="http://schemas.openxmlformats.org/officeDocument/2006/relationships/comments" Target="../comments5.xml"/><Relationship Id="rId5" Type="http://schemas.openxmlformats.org/officeDocument/2006/relationships/vmlDrawing" Target="../drawings/vmlDrawing5.vml"/><Relationship Id="rId4"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customProperty" Target="../customProperty37.bin"/><Relationship Id="rId2" Type="http://schemas.openxmlformats.org/officeDocument/2006/relationships/customProperty" Target="../customProperty36.bin"/><Relationship Id="rId1" Type="http://schemas.openxmlformats.org/officeDocument/2006/relationships/printerSettings" Target="../printerSettings/printerSettings10.bin"/><Relationship Id="rId6" Type="http://schemas.openxmlformats.org/officeDocument/2006/relationships/comments" Target="../comments6.xml"/><Relationship Id="rId5" Type="http://schemas.openxmlformats.org/officeDocument/2006/relationships/vmlDrawing" Target="../drawings/vmlDrawing6.vml"/><Relationship Id="rId4"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3" Type="http://schemas.openxmlformats.org/officeDocument/2006/relationships/customProperty" Target="../customProperty39.bin"/><Relationship Id="rId7" Type="http://schemas.openxmlformats.org/officeDocument/2006/relationships/comments" Target="../comments7.xml"/><Relationship Id="rId2" Type="http://schemas.openxmlformats.org/officeDocument/2006/relationships/customProperty" Target="../customProperty38.bin"/><Relationship Id="rId1" Type="http://schemas.openxmlformats.org/officeDocument/2006/relationships/printerSettings" Target="../printerSettings/printerSettings11.bin"/><Relationship Id="rId6" Type="http://schemas.openxmlformats.org/officeDocument/2006/relationships/vmlDrawing" Target="../drawings/vmlDrawing7.vml"/><Relationship Id="rId5" Type="http://schemas.openxmlformats.org/officeDocument/2006/relationships/drawing" Target="../drawings/drawing7.xml"/><Relationship Id="rId4" Type="http://schemas.openxmlformats.org/officeDocument/2006/relationships/customProperty" Target="../customProperty40.bin"/></Relationships>
</file>

<file path=xl/worksheets/_rels/sheet12.xml.rels><?xml version="1.0" encoding="UTF-8" standalone="yes"?>
<Relationships xmlns="http://schemas.openxmlformats.org/package/2006/relationships"><Relationship Id="rId3" Type="http://schemas.openxmlformats.org/officeDocument/2006/relationships/customProperty" Target="../customProperty42.bin"/><Relationship Id="rId2" Type="http://schemas.openxmlformats.org/officeDocument/2006/relationships/customProperty" Target="../customProperty41.bin"/><Relationship Id="rId1" Type="http://schemas.openxmlformats.org/officeDocument/2006/relationships/printerSettings" Target="../printerSettings/printerSettings12.bin"/><Relationship Id="rId6" Type="http://schemas.openxmlformats.org/officeDocument/2006/relationships/comments" Target="../comments8.xml"/><Relationship Id="rId5" Type="http://schemas.openxmlformats.org/officeDocument/2006/relationships/vmlDrawing" Target="../drawings/vmlDrawing8.vml"/><Relationship Id="rId4"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3" Type="http://schemas.openxmlformats.org/officeDocument/2006/relationships/customProperty" Target="../customProperty44.bin"/><Relationship Id="rId2" Type="http://schemas.openxmlformats.org/officeDocument/2006/relationships/customProperty" Target="../customProperty43.bin"/><Relationship Id="rId1" Type="http://schemas.openxmlformats.org/officeDocument/2006/relationships/printerSettings" Target="../printerSettings/printerSettings13.bin"/><Relationship Id="rId6" Type="http://schemas.openxmlformats.org/officeDocument/2006/relationships/comments" Target="../comments9.xml"/><Relationship Id="rId5" Type="http://schemas.openxmlformats.org/officeDocument/2006/relationships/vmlDrawing" Target="../drawings/vmlDrawing9.vml"/><Relationship Id="rId4"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2" Type="http://schemas.openxmlformats.org/officeDocument/2006/relationships/customProperty" Target="../customProperty45.bin"/><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customProperty" Target="../customProperty4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customProperty" Target="../customProperty47.bin"/><Relationship Id="rId1" Type="http://schemas.openxmlformats.org/officeDocument/2006/relationships/printerSettings" Target="../printerSettings/printerSettings16.bin"/><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customProperty" Target="../customProperty48.bin"/><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customProperty" Target="../customProperty49.bin"/><Relationship Id="rId1" Type="http://schemas.openxmlformats.org/officeDocument/2006/relationships/printerSettings" Target="../printerSettings/printerSettings18.bin"/><Relationship Id="rId4" Type="http://schemas.openxmlformats.org/officeDocument/2006/relationships/comments" Target="../comments11.xml"/></Relationships>
</file>

<file path=xl/worksheets/_rels/sheet19.xml.rels><?xml version="1.0" encoding="UTF-8" standalone="yes"?>
<Relationships xmlns="http://schemas.openxmlformats.org/package/2006/relationships"><Relationship Id="rId8" Type="http://schemas.openxmlformats.org/officeDocument/2006/relationships/customProperty" Target="../customProperty56.bin"/><Relationship Id="rId3" Type="http://schemas.openxmlformats.org/officeDocument/2006/relationships/customProperty" Target="../customProperty51.bin"/><Relationship Id="rId7" Type="http://schemas.openxmlformats.org/officeDocument/2006/relationships/customProperty" Target="../customProperty55.bin"/><Relationship Id="rId12" Type="http://schemas.openxmlformats.org/officeDocument/2006/relationships/customProperty" Target="../customProperty60.bin"/><Relationship Id="rId2" Type="http://schemas.openxmlformats.org/officeDocument/2006/relationships/customProperty" Target="../customProperty50.bin"/><Relationship Id="rId1" Type="http://schemas.openxmlformats.org/officeDocument/2006/relationships/printerSettings" Target="../printerSettings/printerSettings19.bin"/><Relationship Id="rId6" Type="http://schemas.openxmlformats.org/officeDocument/2006/relationships/customProperty" Target="../customProperty54.bin"/><Relationship Id="rId11" Type="http://schemas.openxmlformats.org/officeDocument/2006/relationships/customProperty" Target="../customProperty59.bin"/><Relationship Id="rId5" Type="http://schemas.openxmlformats.org/officeDocument/2006/relationships/customProperty" Target="../customProperty53.bin"/><Relationship Id="rId10" Type="http://schemas.openxmlformats.org/officeDocument/2006/relationships/customProperty" Target="../customProperty58.bin"/><Relationship Id="rId4" Type="http://schemas.openxmlformats.org/officeDocument/2006/relationships/customProperty" Target="../customProperty52.bin"/><Relationship Id="rId9" Type="http://schemas.openxmlformats.org/officeDocument/2006/relationships/customProperty" Target="../customProperty57.bin"/></Relationships>
</file>

<file path=xl/worksheets/_rels/sheet20.xml.rels><?xml version="1.0" encoding="UTF-8" standalone="yes"?>
<Relationships xmlns="http://schemas.openxmlformats.org/package/2006/relationships"><Relationship Id="rId2" Type="http://schemas.openxmlformats.org/officeDocument/2006/relationships/customProperty" Target="../customProperty61.bin"/><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customProperty" Target="../customProperty62.bin"/><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customProperty" Target="../customProperty63.bin"/><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customProperty" Target="../customProperty64.bin"/></Relationships>
</file>

<file path=xl/worksheets/_rels/sheet24.xml.rels><?xml version="1.0" encoding="UTF-8" standalone="yes"?>
<Relationships xmlns="http://schemas.openxmlformats.org/package/2006/relationships"><Relationship Id="rId2" Type="http://schemas.openxmlformats.org/officeDocument/2006/relationships/customProperty" Target="../customProperty65.bin"/><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customProperty" Target="../customProperty66.bin"/><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customProperty" Target="../customProperty67.bin"/><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customProperty" Target="../customProperty68.bin"/><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1"/>
  <sheetViews>
    <sheetView workbookViewId="0"/>
  </sheetViews>
  <sheetFormatPr defaultRowHeight="13.8"/>
  <sheetData>
    <row r="1" spans="1:2">
      <c r="B1" t="s">
        <v>661</v>
      </c>
    </row>
  </sheetData>
  <pageMargins left="0.7" right="0.7" top="0.75" bottom="0.75" header="0.3" footer="0.3"/>
  <pageSetup orientation="portrait" r:id="rId1"/>
  <customProperties>
    <customPr name="Qube.Worksheet.Visibility" r:id="rId2"/>
    <customPr name="QXL_SHEET_ID" r:id="rId3"/>
  </customProperties>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2:N31"/>
  <sheetViews>
    <sheetView showGridLines="0" tabSelected="1" zoomScale="115" zoomScaleNormal="115" zoomScaleSheetLayoutView="100" workbookViewId="0">
      <selection activeCell="I22" sqref="I22"/>
    </sheetView>
  </sheetViews>
  <sheetFormatPr defaultColWidth="9" defaultRowHeight="11.4"/>
  <cols>
    <col min="1" max="16384" width="9" style="160"/>
  </cols>
  <sheetData>
    <row r="2" spans="1:14">
      <c r="I2" s="160" t="s">
        <v>941</v>
      </c>
    </row>
    <row r="3" spans="1:14">
      <c r="I3" s="160" t="s">
        <v>940</v>
      </c>
    </row>
    <row r="4" spans="1:14">
      <c r="I4" s="161"/>
    </row>
    <row r="6" spans="1:14" ht="12">
      <c r="A6" s="163" t="s">
        <v>943</v>
      </c>
      <c r="L6" s="2643"/>
      <c r="M6" s="2643"/>
      <c r="N6" s="2643"/>
    </row>
    <row r="7" spans="1:14" ht="12">
      <c r="A7" s="163"/>
      <c r="L7" s="2643"/>
      <c r="M7" s="2643"/>
      <c r="N7" s="2643"/>
    </row>
    <row r="8" spans="1:14" ht="12">
      <c r="A8" s="278" t="s">
        <v>942</v>
      </c>
      <c r="B8" s="195"/>
      <c r="C8" s="195"/>
      <c r="D8" s="195"/>
      <c r="E8" s="195"/>
      <c r="F8" s="195"/>
      <c r="G8" s="195"/>
      <c r="H8" s="195"/>
      <c r="I8" s="195"/>
      <c r="J8" s="195"/>
      <c r="K8" s="195"/>
      <c r="L8" s="2643"/>
      <c r="M8" s="2643"/>
      <c r="N8" s="2643"/>
    </row>
    <row r="9" spans="1:14" ht="12">
      <c r="A9" s="163"/>
      <c r="L9" s="2643"/>
      <c r="M9" s="2643"/>
      <c r="N9" s="2643"/>
    </row>
    <row r="10" spans="1:14" ht="15.6">
      <c r="A10" s="279" t="s">
        <v>0</v>
      </c>
    </row>
    <row r="11" spans="1:14">
      <c r="A11" s="195"/>
      <c r="B11" s="195"/>
      <c r="C11" s="195"/>
      <c r="D11" s="195"/>
      <c r="E11" s="195"/>
      <c r="F11" s="195"/>
      <c r="G11" s="195"/>
      <c r="H11" s="195"/>
      <c r="I11" s="195"/>
      <c r="J11" s="195"/>
      <c r="K11" s="195"/>
    </row>
    <row r="13" spans="1:14">
      <c r="A13" s="160" t="s">
        <v>1147</v>
      </c>
    </row>
    <row r="14" spans="1:14">
      <c r="A14" s="280" t="s">
        <v>1148</v>
      </c>
      <c r="G14" s="280"/>
    </row>
    <row r="15" spans="1:14">
      <c r="A15" s="492" t="s">
        <v>1149</v>
      </c>
      <c r="G15" s="492"/>
    </row>
    <row r="18" spans="1:7">
      <c r="A18" s="280"/>
      <c r="G18" s="280"/>
    </row>
    <row r="19" spans="1:7">
      <c r="A19" s="492"/>
      <c r="G19" s="492"/>
    </row>
    <row r="23" spans="1:7" ht="12">
      <c r="A23" s="163"/>
    </row>
    <row r="24" spans="1:7">
      <c r="A24" s="165"/>
    </row>
    <row r="25" spans="1:7">
      <c r="A25" s="165"/>
    </row>
    <row r="26" spans="1:7">
      <c r="A26" s="165"/>
    </row>
    <row r="27" spans="1:7">
      <c r="A27" s="165"/>
    </row>
    <row r="28" spans="1:7">
      <c r="A28" s="165"/>
    </row>
    <row r="29" spans="1:7">
      <c r="A29" s="165"/>
    </row>
    <row r="31" spans="1:7">
      <c r="A31" s="11" t="s">
        <v>1274</v>
      </c>
    </row>
  </sheetData>
  <hyperlinks>
    <hyperlink ref="A15" r:id="rId1" xr:uid="{00000000-0004-0000-0400-000001000000}"/>
  </hyperlinks>
  <pageMargins left="0.7" right="0.7" top="0.75" bottom="0.75" header="0.3" footer="0.3"/>
  <pageSetup scale="51" orientation="landscape" r:id="rId2"/>
  <headerFooter>
    <oddFooter>&amp;L&amp;P/&amp;N&amp;R&amp;F
&amp;A
&amp;D</oddFooter>
  </headerFooter>
  <customProperties>
    <customPr name="Qube.Worksheet.Visibility" r:id="rId3"/>
    <customPr name="QXL_SHEET_ID" r:id="rId4"/>
  </customProperties>
  <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pageSetUpPr fitToPage="1"/>
  </sheetPr>
  <dimension ref="A1:HE137"/>
  <sheetViews>
    <sheetView showGridLines="0" zoomScale="85" zoomScaleNormal="85" zoomScaleSheetLayoutView="85" workbookViewId="0">
      <pane xSplit="1" ySplit="9" topLeftCell="B10" activePane="bottomRight" state="frozen"/>
      <selection pane="topRight"/>
      <selection pane="bottomLeft"/>
      <selection pane="bottomRight"/>
    </sheetView>
  </sheetViews>
  <sheetFormatPr defaultColWidth="9" defaultRowHeight="13.8" outlineLevelCol="1"/>
  <cols>
    <col min="1" max="1" width="38.59765625" bestFit="1" customWidth="1"/>
    <col min="2" max="73" width="9" hidden="1" customWidth="1" outlineLevel="1"/>
    <col min="74" max="74" width="7.19921875" hidden="1" customWidth="1" outlineLevel="1"/>
    <col min="75" max="75" width="7.09765625" hidden="1" customWidth="1" outlineLevel="1"/>
    <col min="76" max="76" width="7" hidden="1" customWidth="1" outlineLevel="1"/>
    <col min="77" max="77" width="7.19921875" hidden="1" customWidth="1" outlineLevel="1"/>
    <col min="78" max="78" width="7.19921875" hidden="1" customWidth="1" outlineLevel="1" collapsed="1"/>
    <col min="79" max="79" width="7.09765625" hidden="1" customWidth="1" outlineLevel="1"/>
    <col min="80" max="80" width="7" hidden="1" customWidth="1" outlineLevel="1"/>
    <col min="81" max="81" width="7.19921875" hidden="1" customWidth="1" outlineLevel="1"/>
    <col min="82" max="89" width="7.09765625" hidden="1" customWidth="1" outlineLevel="1"/>
    <col min="90" max="90" width="7.09765625" hidden="1" customWidth="1" outlineLevel="1" collapsed="1"/>
    <col min="91" max="93" width="7.09765625" hidden="1" customWidth="1" outlineLevel="1"/>
    <col min="94" max="94" width="7.09765625" hidden="1" customWidth="1" outlineLevel="1" collapsed="1"/>
    <col min="95" max="101" width="7.09765625" hidden="1" customWidth="1" outlineLevel="1"/>
    <col min="102" max="102" width="7.09765625" hidden="1" customWidth="1" outlineLevel="1" collapsed="1"/>
    <col min="103" max="105" width="7.09765625" hidden="1" customWidth="1" outlineLevel="1"/>
    <col min="106" max="106" width="7.09765625" style="342" hidden="1" customWidth="1" outlineLevel="1" collapsed="1"/>
    <col min="107" max="109" width="7.09765625" style="342" hidden="1" customWidth="1" outlineLevel="1"/>
    <col min="110" max="110" width="7.09765625" style="342" customWidth="1" collapsed="1"/>
    <col min="111" max="123" width="7.09765625" style="342" customWidth="1"/>
    <col min="124" max="124" width="7" style="342" customWidth="1"/>
    <col min="125" max="125" width="7.19921875" style="342" customWidth="1"/>
    <col min="126" max="127" width="7.09765625" style="342" hidden="1" customWidth="1" outlineLevel="1"/>
    <col min="128" max="128" width="7" style="342" hidden="1" customWidth="1" outlineLevel="1"/>
    <col min="129" max="129" width="7.19921875" style="342" hidden="1" customWidth="1" outlineLevel="1"/>
    <col min="130" max="131" width="7.09765625" style="342" hidden="1" customWidth="1" outlineLevel="1"/>
    <col min="132" max="132" width="7" style="342" hidden="1" customWidth="1" outlineLevel="1"/>
    <col min="133" max="133" width="7.19921875" style="342" hidden="1" customWidth="1" outlineLevel="1"/>
    <col min="134" max="135" width="7.09765625" style="342" hidden="1" customWidth="1" outlineLevel="1"/>
    <col min="136" max="136" width="7" style="342" hidden="1" customWidth="1" outlineLevel="1"/>
    <col min="137" max="137" width="7.19921875" style="342" hidden="1" customWidth="1" outlineLevel="1"/>
    <col min="138" max="139" width="7.09765625" style="342" hidden="1" customWidth="1" outlineLevel="1"/>
    <col min="140" max="140" width="7" style="342" hidden="1" customWidth="1" outlineLevel="1"/>
    <col min="141" max="141" width="7.19921875" style="342" hidden="1" customWidth="1" outlineLevel="1"/>
    <col min="142" max="142" width="2.3984375" customWidth="1" collapsed="1"/>
    <col min="143" max="160" width="9" hidden="1" customWidth="1" outlineLevel="1"/>
    <col min="161" max="161" width="9" hidden="1" customWidth="1" outlineLevel="1" collapsed="1"/>
    <col min="162" max="162" width="9" hidden="1" customWidth="1" outlineLevel="1"/>
    <col min="163" max="164" width="9" hidden="1" customWidth="1" outlineLevel="1" collapsed="1"/>
    <col min="165" max="165" width="7.19921875" hidden="1" customWidth="1" outlineLevel="1" collapsed="1"/>
    <col min="166" max="167" width="7.19921875" hidden="1" customWidth="1" outlineLevel="1"/>
    <col min="168" max="168" width="7.19921875" hidden="1" customWidth="1" outlineLevel="1" collapsed="1"/>
    <col min="169" max="169" width="7.19921875" customWidth="1" collapsed="1"/>
    <col min="170" max="172" width="7.19921875" customWidth="1"/>
    <col min="173" max="173" width="8.09765625" bestFit="1" customWidth="1"/>
    <col min="174" max="174" width="7.19921875" customWidth="1"/>
    <col min="175" max="177" width="7.19921875" hidden="1" customWidth="1" outlineLevel="1"/>
    <col min="178" max="178" width="7.19921875" customWidth="1" collapsed="1"/>
    <col min="179" max="179" width="7.3984375" customWidth="1"/>
    <col min="180" max="197" width="9" hidden="1" customWidth="1" outlineLevel="1"/>
    <col min="198" max="198" width="9" hidden="1" customWidth="1" outlineLevel="1" collapsed="1"/>
    <col min="199" max="199" width="9" hidden="1" customWidth="1" outlineLevel="1"/>
    <col min="200" max="200" width="9" hidden="1" customWidth="1" outlineLevel="1" collapsed="1"/>
    <col min="201" max="201" width="9" hidden="1" customWidth="1" outlineLevel="1"/>
    <col min="202" max="202" width="7.19921875" customWidth="1" collapsed="1"/>
    <col min="203" max="213" width="7.19921875" customWidth="1"/>
  </cols>
  <sheetData>
    <row r="1" spans="1:213" s="11" customFormat="1" ht="10.199999999999999">
      <c r="A1" s="1"/>
      <c r="E1" s="170"/>
      <c r="I1" s="170"/>
      <c r="M1" s="170"/>
      <c r="Q1" s="170"/>
      <c r="U1" s="170"/>
      <c r="Y1" s="170"/>
      <c r="AC1" s="170"/>
      <c r="AG1" s="170"/>
      <c r="AK1" s="170"/>
      <c r="AO1" s="170"/>
      <c r="AS1" s="170"/>
      <c r="AW1" s="170"/>
      <c r="BA1" s="170"/>
      <c r="BE1" s="170"/>
      <c r="BI1" s="170"/>
      <c r="BM1" s="170"/>
      <c r="BQ1" s="170"/>
      <c r="BU1" s="170"/>
      <c r="BY1" s="170"/>
      <c r="CC1" s="170"/>
      <c r="CG1" s="170"/>
      <c r="CK1" s="170"/>
      <c r="CO1" s="170"/>
      <c r="CS1" s="170"/>
      <c r="CW1" s="170"/>
      <c r="DA1" s="177"/>
      <c r="DB1" s="89"/>
      <c r="DC1" s="89"/>
      <c r="DD1" s="89"/>
      <c r="DE1" s="268"/>
      <c r="DF1" s="89"/>
      <c r="DG1" s="537"/>
      <c r="DH1" s="89"/>
      <c r="DI1" s="260"/>
      <c r="DJ1" s="372"/>
      <c r="DK1" s="89"/>
      <c r="DL1" s="905"/>
      <c r="DM1" s="923"/>
      <c r="DN1" s="89"/>
      <c r="DO1" s="3381"/>
      <c r="DP1" s="970"/>
      <c r="DQ1" s="260"/>
      <c r="DR1" s="89"/>
      <c r="DS1" s="89"/>
      <c r="DT1" s="89"/>
      <c r="DU1" s="260"/>
      <c r="DV1" s="89"/>
      <c r="DW1" s="89"/>
      <c r="DX1" s="89"/>
      <c r="DY1" s="260"/>
      <c r="DZ1" s="89"/>
      <c r="EA1" s="89"/>
      <c r="EB1" s="89"/>
      <c r="EC1" s="260"/>
      <c r="ED1" s="89"/>
      <c r="EE1" s="89"/>
      <c r="EF1" s="89"/>
      <c r="EG1" s="260"/>
      <c r="EH1" s="89"/>
      <c r="EI1" s="89"/>
      <c r="EJ1" s="89"/>
      <c r="EK1" s="260"/>
      <c r="FM1" s="58"/>
      <c r="FN1" s="58"/>
      <c r="FP1" s="3379"/>
      <c r="FR1" s="3379"/>
    </row>
    <row r="2" spans="1:213" s="11" customFormat="1" ht="11.25" customHeight="1">
      <c r="A2" s="1"/>
      <c r="E2" s="170"/>
      <c r="I2" s="170"/>
      <c r="M2" s="170"/>
      <c r="Q2" s="170"/>
      <c r="U2" s="170"/>
      <c r="Y2" s="170"/>
      <c r="AC2" s="170"/>
      <c r="AG2" s="170"/>
      <c r="AK2" s="170"/>
      <c r="AO2" s="170"/>
      <c r="AS2" s="170"/>
      <c r="AW2" s="170"/>
      <c r="BA2" s="170"/>
      <c r="BE2" s="170"/>
      <c r="BI2" s="170"/>
      <c r="BM2" s="170"/>
      <c r="BQ2" s="170"/>
      <c r="BU2" s="170"/>
      <c r="BY2" s="170"/>
      <c r="CB2" s="92"/>
      <c r="CC2" s="170"/>
      <c r="CG2" s="214"/>
      <c r="CH2" s="58"/>
      <c r="CI2" s="68"/>
      <c r="CJ2" s="68"/>
      <c r="CK2" s="214"/>
      <c r="CL2" s="91"/>
      <c r="CM2" s="91"/>
      <c r="CN2" s="91"/>
      <c r="CO2" s="246"/>
      <c r="CP2" s="91"/>
      <c r="CQ2" s="91"/>
      <c r="CR2" s="91"/>
      <c r="CS2" s="246"/>
      <c r="CT2" s="452"/>
      <c r="CU2" s="452"/>
      <c r="CV2" s="992"/>
      <c r="CW2" s="453"/>
      <c r="CX2" s="452"/>
      <c r="CY2" s="452"/>
      <c r="CZ2" s="452"/>
      <c r="DA2" s="527"/>
      <c r="DB2" s="454"/>
      <c r="DC2" s="454"/>
      <c r="DD2" s="520"/>
      <c r="DE2" s="455"/>
      <c r="DF2" s="454"/>
      <c r="DG2" s="454"/>
      <c r="DH2" s="454"/>
      <c r="DI2" s="455"/>
      <c r="DJ2" s="454"/>
      <c r="DK2" s="454"/>
      <c r="DL2" s="3170"/>
      <c r="DM2" s="3250"/>
      <c r="DN2" s="454"/>
      <c r="DO2" s="3392"/>
      <c r="DP2" s="3378"/>
      <c r="DQ2" s="455"/>
      <c r="DR2" s="454"/>
      <c r="DS2" s="454"/>
      <c r="DT2" s="454"/>
      <c r="DU2" s="455"/>
      <c r="DV2" s="454"/>
      <c r="DW2" s="454"/>
      <c r="DX2" s="454"/>
      <c r="DY2" s="455"/>
      <c r="DZ2" s="454"/>
      <c r="EA2" s="454"/>
      <c r="EB2" s="454"/>
      <c r="EC2" s="455"/>
      <c r="ED2" s="454"/>
      <c r="EE2" s="454"/>
      <c r="EF2" s="454"/>
      <c r="EG2" s="455"/>
      <c r="EH2" s="454"/>
      <c r="EI2" s="454"/>
      <c r="EJ2" s="454"/>
      <c r="EK2" s="455"/>
      <c r="FP2" s="673"/>
      <c r="FQ2" s="585"/>
      <c r="FR2" s="673"/>
      <c r="FV2" s="585"/>
      <c r="FW2" s="3380"/>
      <c r="GT2" s="91"/>
    </row>
    <row r="3" spans="1:213" s="11" customFormat="1" ht="22.8">
      <c r="A3" s="4" t="s">
        <v>0</v>
      </c>
      <c r="B3" s="1"/>
      <c r="E3" s="170"/>
      <c r="I3" s="170"/>
      <c r="M3" s="170"/>
      <c r="Q3" s="170"/>
      <c r="U3" s="170"/>
      <c r="Y3" s="170"/>
      <c r="AC3" s="170"/>
      <c r="AG3" s="170"/>
      <c r="AK3" s="170"/>
      <c r="AO3" s="170"/>
      <c r="AS3" s="170"/>
      <c r="AW3" s="170"/>
      <c r="BA3" s="170"/>
      <c r="BE3" s="170"/>
      <c r="BI3" s="170"/>
      <c r="BM3" s="170"/>
      <c r="BQ3" s="170"/>
      <c r="BU3" s="170"/>
      <c r="BV3" s="4"/>
      <c r="BW3" s="4"/>
      <c r="BY3" s="170"/>
      <c r="BZ3" s="4"/>
      <c r="CB3" s="15"/>
      <c r="CC3" s="170"/>
      <c r="CD3" s="4"/>
      <c r="CG3" s="228"/>
      <c r="CH3" s="96"/>
      <c r="CI3" s="96"/>
      <c r="CJ3" s="96"/>
      <c r="CK3" s="215"/>
      <c r="CL3" s="96"/>
      <c r="CM3" s="96"/>
      <c r="CN3" s="96"/>
      <c r="CO3" s="215"/>
      <c r="CP3" s="96"/>
      <c r="CQ3" s="96"/>
      <c r="CR3" s="96"/>
      <c r="CS3" s="215"/>
      <c r="CT3" s="297"/>
      <c r="CU3" s="297"/>
      <c r="CV3" s="992"/>
      <c r="CW3" s="453"/>
      <c r="CX3" s="297"/>
      <c r="CY3" s="297"/>
      <c r="CZ3" s="297"/>
      <c r="DA3" s="527"/>
      <c r="DB3" s="428"/>
      <c r="DC3" s="428"/>
      <c r="DD3" s="143"/>
      <c r="DE3" s="538"/>
      <c r="DF3" s="2734"/>
      <c r="DG3" s="143"/>
      <c r="DH3" s="2734"/>
      <c r="DI3" s="3181"/>
      <c r="DJ3" s="3002"/>
      <c r="DK3" s="1086"/>
      <c r="DL3" s="428"/>
      <c r="DM3" s="429"/>
      <c r="DN3" s="2734"/>
      <c r="DO3" s="3002"/>
      <c r="DP3" s="428"/>
      <c r="DQ3" s="429"/>
      <c r="DR3" s="428"/>
      <c r="DS3" s="428"/>
      <c r="DT3" s="428"/>
      <c r="DU3" s="429"/>
      <c r="DV3" s="428"/>
      <c r="DW3" s="428"/>
      <c r="DX3" s="428"/>
      <c r="DY3" s="429"/>
      <c r="DZ3" s="428"/>
      <c r="EA3" s="428"/>
      <c r="EB3" s="428"/>
      <c r="EC3" s="429"/>
      <c r="ED3" s="428"/>
      <c r="EE3" s="428"/>
      <c r="EF3" s="428"/>
      <c r="EG3" s="429"/>
      <c r="EH3" s="428"/>
      <c r="EI3" s="428"/>
      <c r="EJ3" s="428"/>
      <c r="EK3" s="429"/>
      <c r="EL3" s="67"/>
      <c r="FO3" s="58"/>
      <c r="FP3" s="673"/>
      <c r="FQ3" s="585"/>
      <c r="FR3" s="3377"/>
      <c r="FV3" s="585"/>
    </row>
    <row r="4" spans="1:213" s="11" customFormat="1" ht="15.6">
      <c r="A4" s="295" t="s">
        <v>1254</v>
      </c>
      <c r="B4" s="12"/>
      <c r="C4" s="14"/>
      <c r="D4" s="14"/>
      <c r="E4" s="179"/>
      <c r="F4" s="14"/>
      <c r="G4" s="14"/>
      <c r="H4" s="14"/>
      <c r="I4" s="179"/>
      <c r="J4" s="14"/>
      <c r="K4" s="14"/>
      <c r="L4" s="14"/>
      <c r="M4" s="179"/>
      <c r="N4" s="14"/>
      <c r="O4" s="14"/>
      <c r="P4" s="14"/>
      <c r="Q4" s="179"/>
      <c r="R4" s="14"/>
      <c r="S4" s="14"/>
      <c r="T4" s="14"/>
      <c r="U4" s="179"/>
      <c r="V4" s="14"/>
      <c r="W4" s="14"/>
      <c r="X4" s="14"/>
      <c r="Y4" s="179"/>
      <c r="Z4" s="14"/>
      <c r="AA4" s="14"/>
      <c r="AB4" s="14"/>
      <c r="AC4" s="179"/>
      <c r="AD4" s="14"/>
      <c r="AE4" s="14"/>
      <c r="AF4" s="14"/>
      <c r="AG4" s="179"/>
      <c r="AH4" s="14"/>
      <c r="AI4" s="14"/>
      <c r="AJ4" s="14"/>
      <c r="AK4" s="179"/>
      <c r="AL4" s="14"/>
      <c r="AM4" s="14"/>
      <c r="AN4" s="14"/>
      <c r="AO4" s="179"/>
      <c r="AP4" s="14"/>
      <c r="AQ4" s="14"/>
      <c r="AR4" s="14"/>
      <c r="AS4" s="179"/>
      <c r="AT4" s="14"/>
      <c r="AU4" s="14"/>
      <c r="AV4" s="14"/>
      <c r="AW4" s="179"/>
      <c r="AX4" s="14"/>
      <c r="AY4" s="14"/>
      <c r="AZ4" s="14"/>
      <c r="BA4" s="179"/>
      <c r="BB4" s="14"/>
      <c r="BC4" s="14"/>
      <c r="BD4" s="14"/>
      <c r="BE4" s="179"/>
      <c r="BF4" s="14"/>
      <c r="BG4" s="14"/>
      <c r="BH4" s="14"/>
      <c r="BI4" s="179"/>
      <c r="BJ4" s="14"/>
      <c r="BK4" s="14"/>
      <c r="BL4" s="14"/>
      <c r="BM4" s="179"/>
      <c r="BN4" s="14"/>
      <c r="BO4" s="14"/>
      <c r="BP4" s="14"/>
      <c r="BQ4" s="179"/>
      <c r="BR4" s="14"/>
      <c r="BS4" s="14"/>
      <c r="BT4" s="14"/>
      <c r="BU4" s="179"/>
      <c r="BV4" s="5"/>
      <c r="BW4" s="5"/>
      <c r="BX4" s="14"/>
      <c r="BY4" s="179"/>
      <c r="BZ4" s="5"/>
      <c r="CA4" s="14"/>
      <c r="CB4" s="14"/>
      <c r="CC4" s="179"/>
      <c r="CD4" s="295"/>
      <c r="CE4" s="14"/>
      <c r="CF4" s="14"/>
      <c r="CG4" s="179"/>
      <c r="CH4" s="14"/>
      <c r="CI4" s="14"/>
      <c r="CJ4" s="14"/>
      <c r="CK4" s="179"/>
      <c r="CL4" s="14"/>
      <c r="CM4" s="14"/>
      <c r="CN4" s="14"/>
      <c r="CO4" s="179"/>
      <c r="CP4" s="48"/>
      <c r="CQ4" s="48"/>
      <c r="CR4" s="48"/>
      <c r="CS4" s="179"/>
      <c r="CT4" s="134"/>
      <c r="CU4" s="134"/>
      <c r="CV4" s="993"/>
      <c r="CW4" s="179"/>
      <c r="CX4" s="134"/>
      <c r="CY4" s="134"/>
      <c r="CZ4" s="134"/>
      <c r="DA4" s="528"/>
      <c r="DB4" s="144"/>
      <c r="DC4" s="144"/>
      <c r="DD4" s="531"/>
      <c r="DE4" s="261"/>
      <c r="DF4" s="144"/>
      <c r="DG4" s="532"/>
      <c r="DH4" s="145"/>
      <c r="DI4" s="533"/>
      <c r="DJ4" s="144"/>
      <c r="DK4" s="144"/>
      <c r="DL4" s="3261"/>
      <c r="DM4" s="261"/>
      <c r="DN4" s="144"/>
      <c r="DO4" s="144"/>
      <c r="DP4" s="144"/>
      <c r="DQ4" s="261"/>
      <c r="DR4" s="144"/>
      <c r="DS4" s="144"/>
      <c r="DT4" s="144"/>
      <c r="DU4" s="261"/>
      <c r="DV4" s="144"/>
      <c r="DW4" s="144"/>
      <c r="DX4" s="144"/>
      <c r="DY4" s="261"/>
      <c r="DZ4" s="144"/>
      <c r="EA4" s="144"/>
      <c r="EB4" s="144"/>
      <c r="EC4" s="261"/>
      <c r="ED4" s="144"/>
      <c r="EE4" s="144"/>
      <c r="EF4" s="144"/>
      <c r="EG4" s="261"/>
      <c r="EH4" s="144"/>
      <c r="EI4" s="144"/>
      <c r="EJ4" s="144"/>
      <c r="EK4" s="261"/>
      <c r="EL4" s="14"/>
      <c r="EM4" s="14"/>
      <c r="EN4" s="14"/>
      <c r="EO4" s="14"/>
      <c r="EP4" s="14"/>
      <c r="EQ4" s="14"/>
      <c r="ER4" s="14"/>
      <c r="ES4" s="14"/>
      <c r="ET4" s="14"/>
      <c r="EU4" s="14"/>
      <c r="EV4" s="14"/>
      <c r="EW4" s="14"/>
      <c r="EX4" s="14"/>
      <c r="EY4" s="14"/>
      <c r="EZ4" s="14"/>
      <c r="FA4" s="14"/>
      <c r="FB4" s="14"/>
      <c r="FC4" s="14"/>
      <c r="FD4" s="14"/>
      <c r="FE4" s="14"/>
      <c r="FF4" s="14"/>
      <c r="FG4" s="14"/>
      <c r="FH4" s="14"/>
      <c r="FI4" s="14"/>
      <c r="FJ4" s="48"/>
      <c r="FK4" s="48"/>
      <c r="FL4" s="48"/>
      <c r="FM4" s="48"/>
      <c r="FN4" s="48"/>
      <c r="FO4" s="48"/>
      <c r="FP4" s="3375"/>
      <c r="FQ4" s="3376"/>
      <c r="FR4" s="3376"/>
      <c r="FS4" s="134"/>
      <c r="FT4" s="134"/>
      <c r="FU4" s="134"/>
      <c r="FV4" s="134"/>
      <c r="FW4" s="14"/>
      <c r="FX4" s="14"/>
      <c r="FY4" s="14"/>
      <c r="FZ4" s="14"/>
      <c r="GA4" s="14"/>
      <c r="GB4" s="14"/>
      <c r="GC4" s="14"/>
      <c r="GD4" s="14"/>
      <c r="GE4" s="14"/>
      <c r="GF4" s="14"/>
      <c r="GG4" s="14"/>
      <c r="GH4" s="14"/>
      <c r="GI4" s="14"/>
      <c r="GJ4" s="14"/>
      <c r="GK4" s="14"/>
      <c r="GL4" s="14"/>
      <c r="GM4" s="14"/>
      <c r="GN4" s="14"/>
      <c r="GO4" s="14"/>
      <c r="GP4" s="14"/>
      <c r="GQ4" s="14"/>
      <c r="GR4" s="14"/>
      <c r="GS4" s="43"/>
      <c r="GT4" s="43"/>
      <c r="GU4" s="43"/>
      <c r="GV4" s="43"/>
      <c r="GW4" s="43"/>
      <c r="GX4" s="43"/>
      <c r="GY4" s="43"/>
      <c r="GZ4" s="43"/>
      <c r="HA4" s="43"/>
      <c r="HB4" s="43"/>
      <c r="HC4" s="43"/>
      <c r="HD4" s="43"/>
      <c r="HE4" s="43"/>
    </row>
    <row r="5" spans="1:213" s="11" customFormat="1" ht="10.199999999999999">
      <c r="A5" s="2"/>
      <c r="E5" s="170"/>
      <c r="I5" s="170"/>
      <c r="M5" s="170"/>
      <c r="Q5" s="170"/>
      <c r="U5" s="170"/>
      <c r="Y5" s="170"/>
      <c r="AC5" s="170"/>
      <c r="AG5" s="170"/>
      <c r="AK5" s="170"/>
      <c r="AO5" s="170"/>
      <c r="AS5" s="170"/>
      <c r="AW5" s="170"/>
      <c r="BA5" s="170"/>
      <c r="BE5" s="170"/>
      <c r="BI5" s="170"/>
      <c r="BM5" s="170"/>
      <c r="BQ5" s="170"/>
      <c r="BU5" s="170"/>
      <c r="BY5" s="170"/>
      <c r="CC5" s="170"/>
      <c r="CG5" s="170"/>
      <c r="CK5" s="170"/>
      <c r="CO5" s="170"/>
      <c r="CS5" s="170"/>
      <c r="CW5" s="170"/>
      <c r="DA5" s="170"/>
      <c r="DB5" s="89"/>
      <c r="DC5" s="89"/>
      <c r="DD5" s="89"/>
      <c r="DE5" s="260"/>
      <c r="DF5" s="89"/>
      <c r="DG5" s="89"/>
      <c r="DH5" s="89"/>
      <c r="DI5" s="260"/>
      <c r="DJ5" s="89"/>
      <c r="DK5" s="89"/>
      <c r="DL5" s="3214"/>
      <c r="DM5" s="260"/>
      <c r="DN5" s="89"/>
      <c r="DO5" s="89"/>
      <c r="DP5" s="89"/>
      <c r="DQ5" s="260"/>
      <c r="DR5" s="89"/>
      <c r="DS5" s="89"/>
      <c r="DT5" s="89"/>
      <c r="DU5" s="260"/>
      <c r="DV5" s="89"/>
      <c r="DW5" s="89"/>
      <c r="DX5" s="89"/>
      <c r="DY5" s="260"/>
      <c r="DZ5" s="89"/>
      <c r="EA5" s="89"/>
      <c r="EB5" s="89"/>
      <c r="EC5" s="260"/>
      <c r="ED5" s="89"/>
      <c r="EE5" s="89"/>
      <c r="EF5" s="89"/>
      <c r="EG5" s="260"/>
      <c r="EH5" s="89"/>
      <c r="EI5" s="89"/>
      <c r="EJ5" s="89"/>
      <c r="EK5" s="260"/>
      <c r="FP5" s="673"/>
      <c r="FQ5" s="585"/>
      <c r="FR5" s="585"/>
      <c r="FV5" s="585"/>
    </row>
    <row r="6" spans="1:213" s="11" customFormat="1" ht="10.199999999999999">
      <c r="A6" s="1" t="s">
        <v>874</v>
      </c>
      <c r="BQ6" s="170"/>
      <c r="BR6" s="11">
        <v>13</v>
      </c>
      <c r="BS6" s="11">
        <v>13</v>
      </c>
      <c r="BT6" s="11">
        <v>13</v>
      </c>
      <c r="BU6" s="170">
        <v>13</v>
      </c>
      <c r="BV6" s="92">
        <v>13</v>
      </c>
      <c r="BW6" s="92">
        <f t="shared" ref="BW6:DB6" si="0">(BW7-BV7)/7</f>
      </c>
      <c r="BX6" s="92">
        <f t="shared" si="0"/>
      </c>
      <c r="BY6" s="186">
        <f t="shared" si="0"/>
      </c>
      <c r="BZ6" s="92">
        <f t="shared" si="0"/>
      </c>
      <c r="CA6" s="92">
        <f t="shared" si="0"/>
      </c>
      <c r="CB6" s="92">
        <f t="shared" si="0"/>
      </c>
      <c r="CC6" s="186">
        <f t="shared" si="0"/>
      </c>
      <c r="CD6" s="92">
        <f t="shared" si="0"/>
      </c>
      <c r="CE6" s="92">
        <f t="shared" si="0"/>
      </c>
      <c r="CF6" s="92">
        <f t="shared" si="0"/>
      </c>
      <c r="CG6" s="186">
        <f t="shared" si="0"/>
      </c>
      <c r="CH6" s="92">
        <f t="shared" si="0"/>
      </c>
      <c r="CI6" s="92">
        <f t="shared" si="0"/>
      </c>
      <c r="CJ6" s="92">
        <f t="shared" si="0"/>
      </c>
      <c r="CK6" s="186">
        <f t="shared" si="0"/>
      </c>
      <c r="CL6" s="92">
        <f t="shared" si="0"/>
      </c>
      <c r="CM6" s="92">
        <f t="shared" si="0"/>
      </c>
      <c r="CN6" s="92">
        <f t="shared" si="0"/>
      </c>
      <c r="CO6" s="186">
        <f t="shared" si="0"/>
      </c>
      <c r="CP6" s="92">
        <f t="shared" si="0"/>
      </c>
      <c r="CQ6" s="92">
        <f t="shared" si="0"/>
      </c>
      <c r="CR6" s="92">
        <f t="shared" si="0"/>
      </c>
      <c r="CS6" s="186">
        <f t="shared" si="0"/>
      </c>
      <c r="CT6" s="92">
        <f t="shared" si="0"/>
      </c>
      <c r="CU6" s="92">
        <f t="shared" si="0"/>
      </c>
      <c r="CV6" s="92">
        <f t="shared" si="0"/>
      </c>
      <c r="CW6" s="186">
        <f t="shared" si="0"/>
      </c>
      <c r="CX6" s="92">
        <f t="shared" si="0"/>
      </c>
      <c r="CY6" s="92">
        <f t="shared" si="0"/>
      </c>
      <c r="CZ6" s="92">
        <f t="shared" si="0"/>
      </c>
      <c r="DA6" s="186">
        <f t="shared" si="0"/>
      </c>
      <c r="DB6" s="142">
        <f t="shared" si="0"/>
      </c>
      <c r="DC6" s="142">
        <f t="shared" ref="DC6:DU6" si="1">(DC7-DB7)/7</f>
      </c>
      <c r="DD6" s="142">
        <f t="shared" si="1"/>
      </c>
      <c r="DE6" s="268">
        <f t="shared" si="1"/>
      </c>
      <c r="DF6" s="142">
        <f t="shared" si="1"/>
      </c>
      <c r="DG6" s="142">
        <f t="shared" si="1"/>
      </c>
      <c r="DH6" s="142">
        <f t="shared" si="1"/>
      </c>
      <c r="DI6" s="268">
        <f t="shared" si="1"/>
      </c>
      <c r="DJ6" s="142">
        <f t="shared" si="1"/>
      </c>
      <c r="DK6" s="142">
        <f t="shared" si="1"/>
      </c>
      <c r="DL6" s="142">
        <f t="shared" si="1"/>
      </c>
      <c r="DM6" s="268">
        <f t="shared" si="1"/>
      </c>
      <c r="DN6" s="142">
        <f t="shared" si="1"/>
      </c>
      <c r="DO6" s="142">
        <f t="shared" si="1"/>
      </c>
      <c r="DP6" s="142">
        <f t="shared" si="1"/>
      </c>
      <c r="DQ6" s="268">
        <f t="shared" si="1"/>
      </c>
      <c r="DR6" s="142">
        <f t="shared" si="1"/>
      </c>
      <c r="DS6" s="142">
        <f t="shared" si="1"/>
      </c>
      <c r="DT6" s="142">
        <f t="shared" si="1"/>
      </c>
      <c r="DU6" s="268">
        <f t="shared" si="1"/>
      </c>
      <c r="DV6" s="142">
        <f t="shared" ref="DV6" si="2">(DV7-DU7)/7</f>
      </c>
      <c r="DW6" s="142">
        <f t="shared" ref="DW6" si="3">(DW7-DV7)/7</f>
      </c>
      <c r="DX6" s="142">
        <f t="shared" ref="DX6" si="4">(DX7-DW7)/7</f>
      </c>
      <c r="DY6" s="268">
        <f t="shared" ref="DY6" si="5">(DY7-DX7)/7</f>
      </c>
      <c r="DZ6" s="142">
        <f t="shared" ref="DZ6" si="6">(DZ7-DY7)/7</f>
      </c>
      <c r="EA6" s="142">
        <f t="shared" ref="EA6" si="7">(EA7-DZ7)/7</f>
      </c>
      <c r="EB6" s="142">
        <f t="shared" ref="EB6" si="8">(EB7-EA7)/7</f>
      </c>
      <c r="EC6" s="268">
        <f t="shared" ref="EC6" si="9">(EC7-EB7)/7</f>
      </c>
      <c r="ED6" s="142">
        <f t="shared" ref="ED6" si="10">(ED7-EC7)/7</f>
      </c>
      <c r="EE6" s="142">
        <f t="shared" ref="EE6" si="11">(EE7-ED7)/7</f>
      </c>
      <c r="EF6" s="142">
        <f t="shared" ref="EF6" si="12">(EF7-EE7)/7</f>
      </c>
      <c r="EG6" s="268">
        <f t="shared" ref="EG6" si="13">(EG7-EF7)/7</f>
      </c>
      <c r="EH6" s="142">
        <f t="shared" ref="EH6" si="14">(EH7-EG7)/7</f>
      </c>
      <c r="EI6" s="142">
        <f t="shared" ref="EI6" si="15">(EI7-EH7)/7</f>
      </c>
      <c r="EJ6" s="142">
        <f t="shared" ref="EJ6" si="16">(EJ7-EI7)/7</f>
      </c>
      <c r="EK6" s="268">
        <f t="shared" ref="EK6" si="17">(EK7-EJ7)/7</f>
      </c>
      <c r="FH6" s="344"/>
      <c r="FP6" s="673"/>
      <c r="FQ6" s="585"/>
      <c r="FV6" s="585"/>
    </row>
    <row r="7" spans="1:213" s="11" customFormat="1" ht="10.199999999999999">
      <c r="A7" s="2" t="s">
        <v>873</v>
      </c>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326"/>
      <c r="BR7" s="1"/>
      <c r="BS7" s="1"/>
      <c r="BT7" s="1"/>
      <c r="BU7" s="326"/>
      <c r="BV7" s="327">
        <v>41636</v>
      </c>
      <c r="BW7" s="327">
        <v>41727</v>
      </c>
      <c r="BX7" s="327">
        <v>41818</v>
      </c>
      <c r="BY7" s="328">
        <v>41909</v>
      </c>
      <c r="BZ7" s="327">
        <v>42000</v>
      </c>
      <c r="CA7" s="327">
        <v>42091</v>
      </c>
      <c r="CB7" s="327">
        <v>42182</v>
      </c>
      <c r="CC7" s="328">
        <v>42273</v>
      </c>
      <c r="CD7" s="327">
        <f>'Income Statement'!CD6</f>
      </c>
      <c r="CE7" s="327">
        <f>'Income Statement'!CE6</f>
      </c>
      <c r="CF7" s="327">
        <f>'Income Statement'!CF6</f>
      </c>
      <c r="CG7" s="328">
        <f>'Income Statement'!CG6</f>
      </c>
      <c r="CH7" s="327">
        <f>'Income Statement'!CH6</f>
      </c>
      <c r="CI7" s="327">
        <f>'Income Statement'!CI6</f>
      </c>
      <c r="CJ7" s="327">
        <f>'Income Statement'!CJ6</f>
      </c>
      <c r="CK7" s="328">
        <f>'Income Statement'!CK6</f>
      </c>
      <c r="CL7" s="327">
        <f>'Income Statement'!CL6</f>
      </c>
      <c r="CM7" s="327">
        <f>'Income Statement'!CM6</f>
      </c>
      <c r="CN7" s="327">
        <f>'Income Statement'!CN6</f>
      </c>
      <c r="CO7" s="328">
        <f>'Income Statement'!CO6</f>
      </c>
      <c r="CP7" s="327">
        <f>'Income Statement'!CP6</f>
      </c>
      <c r="CQ7" s="327">
        <f>'Income Statement'!CQ6</f>
      </c>
      <c r="CR7" s="327">
        <f>'Income Statement'!CR6</f>
      </c>
      <c r="CS7" s="328">
        <f>'Income Statement'!CS6</f>
      </c>
      <c r="CT7" s="327">
        <f>'Income Statement'!CT6</f>
      </c>
      <c r="CU7" s="327">
        <f>'Income Statement'!CU6</f>
      </c>
      <c r="CV7" s="327">
        <f>'Income Statement'!CV6</f>
      </c>
      <c r="CW7" s="328">
        <f>'Income Statement'!CW6</f>
      </c>
      <c r="CX7" s="327">
        <f>'Income Statement'!CX6</f>
      </c>
      <c r="CY7" s="327">
        <f>'Income Statement'!CY6</f>
      </c>
      <c r="CZ7" s="327">
        <f>'Income Statement'!CZ6</f>
      </c>
      <c r="DA7" s="328">
        <f>'Income Statement'!DA6</f>
      </c>
      <c r="DB7" s="413">
        <f>'Income Statement'!DB6</f>
      </c>
      <c r="DC7" s="413">
        <f>'Income Statement'!DC6</f>
      </c>
      <c r="DD7" s="413">
        <f>'Income Statement'!DD6</f>
      </c>
      <c r="DE7" s="414">
        <f>'Income Statement'!DE6</f>
      </c>
      <c r="DF7" s="413">
        <f>'Income Statement'!DF6</f>
      </c>
      <c r="DG7" s="413">
        <f>'Income Statement'!DG6</f>
      </c>
      <c r="DH7" s="413">
        <f>'Income Statement'!DH6</f>
      </c>
      <c r="DI7" s="414">
        <f>'Income Statement'!DI6</f>
      </c>
      <c r="DJ7" s="413">
        <f>'Income Statement'!DJ6</f>
      </c>
      <c r="DK7" s="413">
        <f>'Income Statement'!DK6</f>
      </c>
      <c r="DL7" s="413">
        <f>'Income Statement'!DL6</f>
      </c>
      <c r="DM7" s="414">
        <f>'Income Statement'!DM6</f>
      </c>
      <c r="DN7" s="413">
        <f>'Income Statement'!DN6</f>
      </c>
      <c r="DO7" s="413">
        <f>'Income Statement'!DO6</f>
      </c>
      <c r="DP7" s="413">
        <f>'Income Statement'!DP6</f>
      </c>
      <c r="DQ7" s="414">
        <f>'Income Statement'!DQ6</f>
      </c>
      <c r="DR7" s="413">
        <f>'Income Statement'!DR6</f>
      </c>
      <c r="DS7" s="413">
        <f>'Income Statement'!DS6</f>
      </c>
      <c r="DT7" s="413">
        <f>'Income Statement'!DT6</f>
      </c>
      <c r="DU7" s="414">
        <f>'Income Statement'!DU6</f>
      </c>
      <c r="DV7" s="413">
        <f>'Income Statement'!DV6</f>
      </c>
      <c r="DW7" s="413">
        <f>'Income Statement'!DW6</f>
      </c>
      <c r="DX7" s="413">
        <f>'Income Statement'!DX6</f>
      </c>
      <c r="DY7" s="414">
        <f>'Income Statement'!DY6</f>
      </c>
      <c r="DZ7" s="413">
        <f>'Income Statement'!DZ6</f>
      </c>
      <c r="EA7" s="413">
        <f>'Income Statement'!EA6</f>
      </c>
      <c r="EB7" s="413">
        <f>'Income Statement'!EB6</f>
      </c>
      <c r="EC7" s="414">
        <f>'Income Statement'!EC6</f>
      </c>
      <c r="ED7" s="413">
        <f>'Income Statement'!ED6</f>
      </c>
      <c r="EE7" s="413">
        <f>'Income Statement'!EE6</f>
      </c>
      <c r="EF7" s="413">
        <f>'Income Statement'!EF6</f>
      </c>
      <c r="EG7" s="414">
        <f>'Income Statement'!EG6</f>
      </c>
      <c r="EH7" s="413">
        <f>'Income Statement'!EH6</f>
      </c>
      <c r="EI7" s="413">
        <f>'Income Statement'!EI6</f>
      </c>
      <c r="EJ7" s="413">
        <f>'Income Statement'!EJ6</f>
      </c>
      <c r="EK7" s="414">
        <f>'Income Statement'!EK6</f>
      </c>
      <c r="FH7" s="771"/>
      <c r="FP7" s="58"/>
      <c r="FQ7" s="58"/>
    </row>
    <row r="8" spans="1:213" s="11" customFormat="1" ht="10.199999999999999">
      <c r="A8" s="543"/>
      <c r="B8" s="543" t="s">
        <v>1</v>
      </c>
      <c r="C8" s="543" t="s">
        <v>2</v>
      </c>
      <c r="D8" s="543" t="s">
        <v>3</v>
      </c>
      <c r="E8" s="547" t="s">
        <v>4</v>
      </c>
      <c r="F8" s="543" t="s">
        <v>5</v>
      </c>
      <c r="G8" s="543" t="s">
        <v>6</v>
      </c>
      <c r="H8" s="543" t="s">
        <v>7</v>
      </c>
      <c r="I8" s="547" t="s">
        <v>8</v>
      </c>
      <c r="J8" s="543" t="s">
        <v>9</v>
      </c>
      <c r="K8" s="543" t="s">
        <v>10</v>
      </c>
      <c r="L8" s="543" t="s">
        <v>11</v>
      </c>
      <c r="M8" s="547" t="s">
        <v>12</v>
      </c>
      <c r="N8" s="543" t="s">
        <v>13</v>
      </c>
      <c r="O8" s="543" t="s">
        <v>14</v>
      </c>
      <c r="P8" s="543" t="s">
        <v>15</v>
      </c>
      <c r="Q8" s="547" t="s">
        <v>16</v>
      </c>
      <c r="R8" s="543" t="s">
        <v>17</v>
      </c>
      <c r="S8" s="543" t="s">
        <v>18</v>
      </c>
      <c r="T8" s="543" t="s">
        <v>19</v>
      </c>
      <c r="U8" s="547" t="s">
        <v>20</v>
      </c>
      <c r="V8" s="543" t="s">
        <v>21</v>
      </c>
      <c r="W8" s="543" t="s">
        <v>22</v>
      </c>
      <c r="X8" s="543" t="s">
        <v>23</v>
      </c>
      <c r="Y8" s="547" t="s">
        <v>24</v>
      </c>
      <c r="Z8" s="543" t="s">
        <v>25</v>
      </c>
      <c r="AA8" s="543" t="s">
        <v>26</v>
      </c>
      <c r="AB8" s="543" t="s">
        <v>27</v>
      </c>
      <c r="AC8" s="547" t="s">
        <v>28</v>
      </c>
      <c r="AD8" s="543" t="s">
        <v>29</v>
      </c>
      <c r="AE8" s="543" t="s">
        <v>30</v>
      </c>
      <c r="AF8" s="543" t="s">
        <v>31</v>
      </c>
      <c r="AG8" s="547" t="s">
        <v>32</v>
      </c>
      <c r="AH8" s="543" t="s">
        <v>33</v>
      </c>
      <c r="AI8" s="543" t="s">
        <v>34</v>
      </c>
      <c r="AJ8" s="543" t="s">
        <v>35</v>
      </c>
      <c r="AK8" s="547" t="s">
        <v>36</v>
      </c>
      <c r="AL8" s="543" t="s">
        <v>37</v>
      </c>
      <c r="AM8" s="543" t="s">
        <v>38</v>
      </c>
      <c r="AN8" s="543" t="s">
        <v>39</v>
      </c>
      <c r="AO8" s="547" t="s">
        <v>40</v>
      </c>
      <c r="AP8" s="543" t="s">
        <v>41</v>
      </c>
      <c r="AQ8" s="543" t="s">
        <v>42</v>
      </c>
      <c r="AR8" s="543" t="s">
        <v>43</v>
      </c>
      <c r="AS8" s="547" t="s">
        <v>44</v>
      </c>
      <c r="AT8" s="543" t="s">
        <v>45</v>
      </c>
      <c r="AU8" s="543" t="s">
        <v>46</v>
      </c>
      <c r="AV8" s="543" t="s">
        <v>47</v>
      </c>
      <c r="AW8" s="547" t="s">
        <v>48</v>
      </c>
      <c r="AX8" s="543" t="s">
        <v>49</v>
      </c>
      <c r="AY8" s="543" t="s">
        <v>50</v>
      </c>
      <c r="AZ8" s="543" t="s">
        <v>51</v>
      </c>
      <c r="BA8" s="547" t="s">
        <v>52</v>
      </c>
      <c r="BB8" s="543" t="s">
        <v>53</v>
      </c>
      <c r="BC8" s="543" t="s">
        <v>54</v>
      </c>
      <c r="BD8" s="543" t="s">
        <v>55</v>
      </c>
      <c r="BE8" s="547" t="s">
        <v>56</v>
      </c>
      <c r="BF8" s="543" t="s">
        <v>57</v>
      </c>
      <c r="BG8" s="543" t="s">
        <v>58</v>
      </c>
      <c r="BH8" s="543" t="s">
        <v>59</v>
      </c>
      <c r="BI8" s="547" t="s">
        <v>60</v>
      </c>
      <c r="BJ8" s="543" t="str">
        <f>'Income Statement'!BJ7</f>
      </c>
      <c r="BK8" s="543" t="str">
        <f>'Income Statement'!BK7</f>
      </c>
      <c r="BL8" s="543" t="str">
        <f>'Income Statement'!BL7</f>
      </c>
      <c r="BM8" s="547" t="str">
        <f>'Income Statement'!BM7</f>
      </c>
      <c r="BN8" s="543" t="str">
        <f>'Income Statement'!BN7</f>
      </c>
      <c r="BO8" s="543" t="str">
        <f>'Income Statement'!BO7</f>
      </c>
      <c r="BP8" s="543" t="str">
        <f>'Income Statement'!BP7</f>
      </c>
      <c r="BQ8" s="547" t="str">
        <f>'Income Statement'!BQ7</f>
      </c>
      <c r="BR8" s="543" t="str">
        <f>'Income Statement'!BR7</f>
      </c>
      <c r="BS8" s="543" t="str">
        <f>'Income Statement'!BS7</f>
      </c>
      <c r="BT8" s="543" t="str">
        <f>'Income Statement'!BT7</f>
      </c>
      <c r="BU8" s="547" t="str">
        <f>'Income Statement'!BU7</f>
      </c>
      <c r="BV8" s="543" t="str">
        <f>'Income Statement'!BV7</f>
      </c>
      <c r="BW8" s="543" t="str">
        <f>'Income Statement'!BW7</f>
      </c>
      <c r="BX8" s="543" t="str">
        <f>'Income Statement'!BX7</f>
      </c>
      <c r="BY8" s="547" t="str">
        <f>'Income Statement'!BY7</f>
      </c>
      <c r="BZ8" s="543" t="str">
        <f>'Income Statement'!BZ7</f>
      </c>
      <c r="CA8" s="543" t="str">
        <f>'Income Statement'!CA7</f>
      </c>
      <c r="CB8" s="543" t="str">
        <f>'Income Statement'!CB7</f>
      </c>
      <c r="CC8" s="547" t="str">
        <f>'Income Statement'!CC7</f>
      </c>
      <c r="CD8" s="543" t="str">
        <f>'Income Statement'!CD7</f>
      </c>
      <c r="CE8" s="543" t="str">
        <f>'Income Statement'!CE7</f>
      </c>
      <c r="CF8" s="543" t="str">
        <f>'Income Statement'!CF7</f>
      </c>
      <c r="CG8" s="547" t="str">
        <f>'Income Statement'!CG7</f>
      </c>
      <c r="CH8" s="543" t="str">
        <f>'Income Statement'!CH7</f>
      </c>
      <c r="CI8" s="543" t="str">
        <f>'Income Statement'!CI7</f>
      </c>
      <c r="CJ8" s="543" t="str">
        <f>'Income Statement'!CJ7</f>
      </c>
      <c r="CK8" s="547" t="str">
        <f>'Income Statement'!CK7</f>
      </c>
      <c r="CL8" s="543" t="str">
        <f>'Income Statement'!CL7</f>
      </c>
      <c r="CM8" s="543" t="str">
        <f>'Income Statement'!CM7</f>
      </c>
      <c r="CN8" s="543" t="str">
        <f>'Income Statement'!CN7</f>
      </c>
      <c r="CO8" s="547" t="str">
        <f>'Income Statement'!CO7</f>
      </c>
      <c r="CP8" s="543" t="str">
        <f>'Income Statement'!CP7</f>
      </c>
      <c r="CQ8" s="543" t="str">
        <f>'Income Statement'!CQ7</f>
      </c>
      <c r="CR8" s="543" t="str">
        <f>'Income Statement'!CR7</f>
      </c>
      <c r="CS8" s="547" t="str">
        <f>'Income Statement'!CS7</f>
      </c>
      <c r="CT8" s="543" t="str">
        <f>'Income Statement'!CT7</f>
      </c>
      <c r="CU8" s="543" t="str">
        <f>'Income Statement'!CU7</f>
      </c>
      <c r="CV8" s="543" t="str">
        <f>'Income Statement'!CV7</f>
      </c>
      <c r="CW8" s="547" t="str">
        <f>'Income Statement'!CW7</f>
      </c>
      <c r="CX8" s="543" t="str">
        <f>'Income Statement'!CX7</f>
      </c>
      <c r="CY8" s="543" t="str">
        <f>'Income Statement'!CY7</f>
      </c>
      <c r="CZ8" s="543" t="str">
        <f>'Income Statement'!CZ7</f>
      </c>
      <c r="DA8" s="547" t="str">
        <f>'Income Statement'!DA7</f>
      </c>
      <c r="DB8" s="543" t="str">
        <f>'Income Statement'!DB7</f>
      </c>
      <c r="DC8" s="543" t="str">
        <f>'Income Statement'!DC7</f>
      </c>
      <c r="DD8" s="543" t="str">
        <f>'Income Statement'!DD7</f>
      </c>
      <c r="DE8" s="547" t="str">
        <f>'Income Statement'!DE7</f>
      </c>
      <c r="DF8" s="543" t="str">
        <f>'Income Statement'!DF7</f>
      </c>
      <c r="DG8" s="543" t="str">
        <f>'Income Statement'!DG7</f>
      </c>
      <c r="DH8" s="543" t="str">
        <f>'Income Statement'!DH7</f>
      </c>
      <c r="DI8" s="547" t="str">
        <f>'Income Statement'!DI7</f>
      </c>
      <c r="DJ8" s="543" t="str">
        <f>'Income Statement'!DJ7</f>
      </c>
      <c r="DK8" s="543" t="str">
        <f>'Income Statement'!DK7</f>
      </c>
      <c r="DL8" s="543" t="str">
        <f>'Income Statement'!DL7</f>
      </c>
      <c r="DM8" s="547" t="str">
        <f>'Income Statement'!DM7</f>
      </c>
      <c r="DN8" s="543" t="str">
        <f>'Income Statement'!DN7</f>
      </c>
      <c r="DO8" s="543" t="str">
        <f>'Income Statement'!DO7</f>
      </c>
      <c r="DP8" s="543" t="str">
        <f>'Income Statement'!DP7</f>
      </c>
      <c r="DQ8" s="547" t="str">
        <f>'Income Statement'!DQ7</f>
      </c>
      <c r="DR8" s="543" t="str">
        <f>'Income Statement'!DR7</f>
      </c>
      <c r="DS8" s="543" t="str">
        <f>'Income Statement'!DS7</f>
      </c>
      <c r="DT8" s="543" t="str">
        <f>'Income Statement'!DT7</f>
      </c>
      <c r="DU8" s="547" t="str">
        <f>'Income Statement'!DU7</f>
      </c>
      <c r="DV8" s="543" t="str">
        <f>'Income Statement'!DV7</f>
      </c>
      <c r="DW8" s="543" t="str">
        <f>'Income Statement'!DW7</f>
      </c>
      <c r="DX8" s="543" t="str">
        <f>'Income Statement'!DX7</f>
      </c>
      <c r="DY8" s="547" t="str">
        <f>'Income Statement'!DY7</f>
      </c>
      <c r="DZ8" s="543" t="str">
        <f>'Income Statement'!DZ7</f>
      </c>
      <c r="EA8" s="543" t="str">
        <f>'Income Statement'!EA7</f>
      </c>
      <c r="EB8" s="543" t="str">
        <f>'Income Statement'!EB7</f>
      </c>
      <c r="EC8" s="547" t="str">
        <f>'Income Statement'!EC7</f>
      </c>
      <c r="ED8" s="543" t="str">
        <f>'Income Statement'!ED7</f>
      </c>
      <c r="EE8" s="543" t="str">
        <f>'Income Statement'!EE7</f>
      </c>
      <c r="EF8" s="543" t="str">
        <f>'Income Statement'!EF7</f>
      </c>
      <c r="EG8" s="547" t="str">
        <f>'Income Statement'!EG7</f>
      </c>
      <c r="EH8" s="543" t="str">
        <f>'Income Statement'!EH7</f>
      </c>
      <c r="EI8" s="543" t="str">
        <f>'Income Statement'!EI7</f>
      </c>
      <c r="EJ8" s="543" t="str">
        <f>'Income Statement'!EJ7</f>
      </c>
      <c r="EK8" s="547" t="str">
        <f>'Income Statement'!EK7</f>
      </c>
      <c r="EL8" s="39"/>
      <c r="EM8" s="579"/>
      <c r="EN8" s="579"/>
      <c r="EO8" s="579"/>
      <c r="EP8" s="579"/>
      <c r="EQ8" s="579"/>
      <c r="ER8" s="579"/>
      <c r="ES8" s="579"/>
      <c r="ET8" s="579"/>
      <c r="EU8" s="579"/>
      <c r="EV8" s="579"/>
      <c r="EW8" s="579"/>
      <c r="EX8" s="579"/>
      <c r="EY8" s="579"/>
      <c r="EZ8" s="579"/>
      <c r="FA8" s="579"/>
      <c r="FB8" s="579"/>
      <c r="FC8" s="579"/>
      <c r="FD8" s="579"/>
      <c r="FE8" s="579"/>
      <c r="FF8" s="580" t="s">
        <v>61</v>
      </c>
      <c r="FG8" s="579"/>
      <c r="FH8" s="769"/>
      <c r="FI8" s="579"/>
      <c r="FJ8" s="579"/>
      <c r="FK8" s="579"/>
      <c r="FL8" s="579"/>
      <c r="FM8" s="579"/>
      <c r="FN8" s="579"/>
      <c r="FO8" s="579"/>
      <c r="FP8" s="579"/>
      <c r="FQ8" s="579"/>
      <c r="FR8" s="579"/>
      <c r="FS8" s="579"/>
      <c r="FT8" s="579"/>
      <c r="FU8" s="579"/>
      <c r="FV8" s="579"/>
      <c r="FW8" s="579"/>
      <c r="FX8" s="579"/>
      <c r="FY8" s="579"/>
      <c r="FZ8" s="579"/>
      <c r="GA8" s="579"/>
      <c r="GB8" s="579"/>
      <c r="GC8" s="579"/>
      <c r="GD8" s="579"/>
      <c r="GE8" s="579"/>
      <c r="GF8" s="579"/>
      <c r="GG8" s="579"/>
      <c r="GH8" s="579"/>
      <c r="GI8" s="579"/>
      <c r="GJ8" s="579"/>
      <c r="GK8" s="579"/>
      <c r="GL8" s="579"/>
      <c r="GM8" s="579"/>
      <c r="GN8" s="579"/>
      <c r="GO8" s="579"/>
      <c r="GP8" s="579"/>
      <c r="GQ8" s="580" t="s">
        <v>62</v>
      </c>
      <c r="GR8" s="579"/>
      <c r="GS8" s="579"/>
      <c r="GT8" s="579"/>
      <c r="GU8" s="579"/>
      <c r="GV8" s="579"/>
      <c r="GW8" s="579"/>
      <c r="GX8" s="579"/>
      <c r="GY8" s="579"/>
      <c r="GZ8" s="579"/>
      <c r="HA8" s="579"/>
      <c r="HB8" s="579"/>
      <c r="HC8" s="579"/>
      <c r="HD8" s="579"/>
      <c r="HE8" s="579"/>
    </row>
    <row r="9" spans="1:213" s="11" customFormat="1" ht="10.199999999999999">
      <c r="A9" s="548" t="s">
        <v>1171</v>
      </c>
      <c r="B9" s="549">
        <v>35064</v>
      </c>
      <c r="C9" s="549">
        <v>35155</v>
      </c>
      <c r="D9" s="549">
        <v>35246</v>
      </c>
      <c r="E9" s="550">
        <v>35338</v>
      </c>
      <c r="F9" s="549">
        <v>35430</v>
      </c>
      <c r="G9" s="549">
        <v>35520</v>
      </c>
      <c r="H9" s="549">
        <v>35611</v>
      </c>
      <c r="I9" s="550">
        <v>35703</v>
      </c>
      <c r="J9" s="549">
        <v>35795</v>
      </c>
      <c r="K9" s="549">
        <v>35885</v>
      </c>
      <c r="L9" s="549">
        <v>35976</v>
      </c>
      <c r="M9" s="550">
        <v>36068</v>
      </c>
      <c r="N9" s="549">
        <v>36160</v>
      </c>
      <c r="O9" s="549">
        <v>36250</v>
      </c>
      <c r="P9" s="549">
        <v>36341</v>
      </c>
      <c r="Q9" s="550">
        <v>36433</v>
      </c>
      <c r="R9" s="549">
        <v>36525</v>
      </c>
      <c r="S9" s="549">
        <v>36616</v>
      </c>
      <c r="T9" s="549">
        <v>36707</v>
      </c>
      <c r="U9" s="550">
        <v>36799</v>
      </c>
      <c r="V9" s="549">
        <v>36891</v>
      </c>
      <c r="W9" s="549">
        <v>36981</v>
      </c>
      <c r="X9" s="549">
        <v>37072</v>
      </c>
      <c r="Y9" s="550">
        <v>37164</v>
      </c>
      <c r="Z9" s="549">
        <v>37256</v>
      </c>
      <c r="AA9" s="549">
        <v>37346</v>
      </c>
      <c r="AB9" s="549">
        <v>37437</v>
      </c>
      <c r="AC9" s="550">
        <v>37529</v>
      </c>
      <c r="AD9" s="549">
        <v>37621</v>
      </c>
      <c r="AE9" s="549">
        <v>37711</v>
      </c>
      <c r="AF9" s="549">
        <v>37802</v>
      </c>
      <c r="AG9" s="550">
        <v>37894</v>
      </c>
      <c r="AH9" s="549">
        <v>37986</v>
      </c>
      <c r="AI9" s="549">
        <v>38077</v>
      </c>
      <c r="AJ9" s="549">
        <v>38168</v>
      </c>
      <c r="AK9" s="550">
        <v>38260</v>
      </c>
      <c r="AL9" s="549">
        <v>38352</v>
      </c>
      <c r="AM9" s="549">
        <v>38442</v>
      </c>
      <c r="AN9" s="549">
        <v>38533</v>
      </c>
      <c r="AO9" s="550">
        <v>38625</v>
      </c>
      <c r="AP9" s="549">
        <v>38717</v>
      </c>
      <c r="AQ9" s="549">
        <v>38807</v>
      </c>
      <c r="AR9" s="549">
        <v>38898</v>
      </c>
      <c r="AS9" s="550">
        <v>38990</v>
      </c>
      <c r="AT9" s="549">
        <v>39082</v>
      </c>
      <c r="AU9" s="549">
        <v>39172</v>
      </c>
      <c r="AV9" s="549">
        <v>39263</v>
      </c>
      <c r="AW9" s="550">
        <v>39355</v>
      </c>
      <c r="AX9" s="549">
        <v>39447</v>
      </c>
      <c r="AY9" s="549">
        <v>39538</v>
      </c>
      <c r="AZ9" s="549">
        <v>39629</v>
      </c>
      <c r="BA9" s="550">
        <v>39721</v>
      </c>
      <c r="BB9" s="549">
        <v>39813</v>
      </c>
      <c r="BC9" s="549">
        <v>39903</v>
      </c>
      <c r="BD9" s="549">
        <v>39994</v>
      </c>
      <c r="BE9" s="550">
        <v>40086</v>
      </c>
      <c r="BF9" s="549">
        <v>40178</v>
      </c>
      <c r="BG9" s="549">
        <v>40268</v>
      </c>
      <c r="BH9" s="549">
        <v>40359</v>
      </c>
      <c r="BI9" s="550">
        <v>40451</v>
      </c>
      <c r="BJ9" s="549">
        <v>40543</v>
      </c>
      <c r="BK9" s="549">
        <v>40633</v>
      </c>
      <c r="BL9" s="549">
        <v>40724</v>
      </c>
      <c r="BM9" s="550">
        <v>40816</v>
      </c>
      <c r="BN9" s="549">
        <v>40908</v>
      </c>
      <c r="BO9" s="549">
        <v>40999</v>
      </c>
      <c r="BP9" s="549">
        <v>41090</v>
      </c>
      <c r="BQ9" s="550">
        <v>41182</v>
      </c>
      <c r="BR9" s="549">
        <v>41274</v>
      </c>
      <c r="BS9" s="549">
        <v>41364</v>
      </c>
      <c r="BT9" s="549">
        <v>41455</v>
      </c>
      <c r="BU9" s="550">
        <v>41547</v>
      </c>
      <c r="BV9" s="549">
        <v>41639</v>
      </c>
      <c r="BW9" s="549">
        <v>41729</v>
      </c>
      <c r="BX9" s="549">
        <v>41820</v>
      </c>
      <c r="BY9" s="550">
        <v>41912</v>
      </c>
      <c r="BZ9" s="549">
        <f>'Income Statement'!BZ8</f>
      </c>
      <c r="CA9" s="549">
        <f>'Income Statement'!CA8</f>
      </c>
      <c r="CB9" s="549">
        <f>'Income Statement'!CB8</f>
      </c>
      <c r="CC9" s="550">
        <f>'Income Statement'!CC8</f>
      </c>
      <c r="CD9" s="549">
        <f>'Income Statement'!CD8</f>
      </c>
      <c r="CE9" s="549">
        <f>'Income Statement'!CE8</f>
      </c>
      <c r="CF9" s="549">
        <f>'Income Statement'!CF8</f>
      </c>
      <c r="CG9" s="550">
        <f>'Income Statement'!CG8</f>
      </c>
      <c r="CH9" s="549">
        <f>'Income Statement'!CH8</f>
      </c>
      <c r="CI9" s="549">
        <f>'Income Statement'!CI8</f>
      </c>
      <c r="CJ9" s="549">
        <f>'Income Statement'!CJ8</f>
      </c>
      <c r="CK9" s="550">
        <f>'Income Statement'!CK8</f>
      </c>
      <c r="CL9" s="549">
        <f>'Income Statement'!CL8</f>
      </c>
      <c r="CM9" s="549">
        <f>'Income Statement'!CM8</f>
      </c>
      <c r="CN9" s="549">
        <f>'Income Statement'!CN8</f>
      </c>
      <c r="CO9" s="550">
        <f>'Income Statement'!CO8</f>
      </c>
      <c r="CP9" s="549">
        <f>'Income Statement'!CP8</f>
      </c>
      <c r="CQ9" s="549">
        <f>'Income Statement'!CQ8</f>
      </c>
      <c r="CR9" s="549">
        <f>'Income Statement'!CR8</f>
      </c>
      <c r="CS9" s="550">
        <f>'Income Statement'!CS8</f>
      </c>
      <c r="CT9" s="549">
        <f>'Income Statement'!CT8</f>
      </c>
      <c r="CU9" s="549">
        <f>'Income Statement'!CU8</f>
      </c>
      <c r="CV9" s="549">
        <f>'Income Statement'!CV8</f>
      </c>
      <c r="CW9" s="550">
        <f>'Income Statement'!CW8</f>
      </c>
      <c r="CX9" s="549">
        <f>'Income Statement'!CX8</f>
      </c>
      <c r="CY9" s="549">
        <f>'Income Statement'!CY8</f>
      </c>
      <c r="CZ9" s="549">
        <f>'Income Statement'!CZ8</f>
      </c>
      <c r="DA9" s="550">
        <f>'Income Statement'!DA8</f>
      </c>
      <c r="DB9" s="549">
        <f>'Income Statement'!DB8</f>
      </c>
      <c r="DC9" s="549">
        <f>'Income Statement'!DC8</f>
      </c>
      <c r="DD9" s="549">
        <f>'Income Statement'!DD8</f>
      </c>
      <c r="DE9" s="550">
        <f>'Income Statement'!DE8</f>
      </c>
      <c r="DF9" s="549">
        <f>'Income Statement'!DF8</f>
      </c>
      <c r="DG9" s="549">
        <f>'Income Statement'!DG8</f>
      </c>
      <c r="DH9" s="549">
        <f>'Income Statement'!DH8</f>
      </c>
      <c r="DI9" s="550">
        <f>'Income Statement'!DI8</f>
      </c>
      <c r="DJ9" s="549">
        <f>'Income Statement'!DJ8</f>
      </c>
      <c r="DK9" s="549">
        <f>'Income Statement'!DK8</f>
      </c>
      <c r="DL9" s="549">
        <f>'Income Statement'!DL8</f>
      </c>
      <c r="DM9" s="550">
        <f>'Income Statement'!DM8</f>
      </c>
      <c r="DN9" s="549">
        <f>'Income Statement'!DN8</f>
      </c>
      <c r="DO9" s="549">
        <f>'Income Statement'!DO8</f>
      </c>
      <c r="DP9" s="549">
        <f>'Income Statement'!DP8</f>
      </c>
      <c r="DQ9" s="550">
        <f>'Income Statement'!DQ8</f>
      </c>
      <c r="DR9" s="549">
        <f>'Income Statement'!DR8</f>
      </c>
      <c r="DS9" s="549">
        <f>'Income Statement'!DS8</f>
      </c>
      <c r="DT9" s="549">
        <f>'Income Statement'!DT8</f>
      </c>
      <c r="DU9" s="550">
        <f>'Income Statement'!DU8</f>
      </c>
      <c r="DV9" s="549">
        <f>'Income Statement'!DV8</f>
      </c>
      <c r="DW9" s="549">
        <f>'Income Statement'!DW8</f>
      </c>
      <c r="DX9" s="549">
        <f>'Income Statement'!DX8</f>
      </c>
      <c r="DY9" s="550">
        <f>'Income Statement'!DY8</f>
      </c>
      <c r="DZ9" s="549">
        <f>'Income Statement'!DZ8</f>
      </c>
      <c r="EA9" s="549">
        <f>'Income Statement'!EA8</f>
      </c>
      <c r="EB9" s="549">
        <f>'Income Statement'!EB8</f>
      </c>
      <c r="EC9" s="550">
        <f>'Income Statement'!EC8</f>
      </c>
      <c r="ED9" s="549">
        <f>'Income Statement'!ED8</f>
      </c>
      <c r="EE9" s="549">
        <f>'Income Statement'!EE8</f>
      </c>
      <c r="EF9" s="549">
        <f>'Income Statement'!EF8</f>
      </c>
      <c r="EG9" s="550">
        <f>'Income Statement'!EG8</f>
      </c>
      <c r="EH9" s="549">
        <f>'Income Statement'!EH8</f>
      </c>
      <c r="EI9" s="549">
        <f>'Income Statement'!EI8</f>
      </c>
      <c r="EJ9" s="549">
        <f>'Income Statement'!EJ8</f>
      </c>
      <c r="EK9" s="550">
        <f>'Income Statement'!EK8</f>
      </c>
      <c r="EM9" s="694">
        <v>1996</v>
      </c>
      <c r="EN9" s="694">
        <v>1997</v>
      </c>
      <c r="EO9" s="694">
        <v>1998</v>
      </c>
      <c r="EP9" s="694">
        <v>1999</v>
      </c>
      <c r="EQ9" s="694">
        <v>2000</v>
      </c>
      <c r="ER9" s="694">
        <v>2001</v>
      </c>
      <c r="ES9" s="694">
        <v>2002</v>
      </c>
      <c r="ET9" s="694">
        <v>2003</v>
      </c>
      <c r="EU9" s="694">
        <v>2004</v>
      </c>
      <c r="EV9" s="694">
        <v>2005</v>
      </c>
      <c r="EW9" s="694">
        <v>2006</v>
      </c>
      <c r="EX9" s="694">
        <v>2007</v>
      </c>
      <c r="EY9" s="694">
        <v>2008</v>
      </c>
      <c r="EZ9" s="694">
        <v>2009</v>
      </c>
      <c r="FA9" s="694">
        <v>2010</v>
      </c>
      <c r="FB9" s="694">
        <v>2011</v>
      </c>
      <c r="FC9" s="694">
        <v>2012</v>
      </c>
      <c r="FD9" s="694" t="s">
        <v>879</v>
      </c>
      <c r="FE9" s="694" t="str">
        <f>'Income Statement'!FE8</f>
      </c>
      <c r="FF9" s="694" t="str">
        <f>'Income Statement'!FF8</f>
      </c>
      <c r="FG9" s="694" t="str">
        <f>'Income Statement'!FG8</f>
      </c>
      <c r="FH9" s="770" t="str">
        <f>'Income Statement'!FH8</f>
      </c>
      <c r="FI9" s="694" t="str">
        <f>'Income Statement'!FI8</f>
      </c>
      <c r="FJ9" s="694" t="str">
        <f>'Income Statement'!FJ8</f>
      </c>
      <c r="FK9" s="694" t="str">
        <f>'Income Statement'!FK8</f>
      </c>
      <c r="FL9" s="694" t="str">
        <f>'Income Statement'!FL8</f>
      </c>
      <c r="FM9" s="694" t="str">
        <f>'Income Statement'!FM8</f>
      </c>
      <c r="FN9" s="694" t="str">
        <f>'Income Statement'!FN8</f>
      </c>
      <c r="FO9" s="694" t="str">
        <f>'Income Statement'!FO8</f>
      </c>
      <c r="FP9" s="694" t="str">
        <f>'Income Statement'!FP8</f>
      </c>
      <c r="FQ9" s="694" t="str">
        <f>'Income Statement'!FQ8</f>
      </c>
      <c r="FR9" s="694" t="str">
        <f>'Income Statement'!FR8</f>
      </c>
      <c r="FS9" s="694" t="str">
        <f>'Income Statement'!FS8</f>
      </c>
      <c r="FT9" s="694" t="str">
        <f>'Income Statement'!FT8</f>
      </c>
      <c r="FU9" s="694" t="str">
        <f>'Income Statement'!FU8</f>
      </c>
      <c r="FV9" s="694"/>
      <c r="FW9" s="695"/>
      <c r="FX9" s="694">
        <v>1996</v>
      </c>
      <c r="FY9" s="694">
        <v>1997</v>
      </c>
      <c r="FZ9" s="694">
        <v>1998</v>
      </c>
      <c r="GA9" s="694">
        <v>1999</v>
      </c>
      <c r="GB9" s="694">
        <v>2000</v>
      </c>
      <c r="GC9" s="694">
        <v>2001</v>
      </c>
      <c r="GD9" s="694">
        <v>2002</v>
      </c>
      <c r="GE9" s="694">
        <v>2003</v>
      </c>
      <c r="GF9" s="694">
        <v>2004</v>
      </c>
      <c r="GG9" s="694">
        <v>2005</v>
      </c>
      <c r="GH9" s="694">
        <v>2006</v>
      </c>
      <c r="GI9" s="694">
        <v>2007</v>
      </c>
      <c r="GJ9" s="694">
        <v>2008</v>
      </c>
      <c r="GK9" s="694">
        <v>2009</v>
      </c>
      <c r="GL9" s="694">
        <v>2010</v>
      </c>
      <c r="GM9" s="694">
        <v>2011</v>
      </c>
      <c r="GN9" s="694">
        <v>2012</v>
      </c>
      <c r="GO9" s="694">
        <v>2013</v>
      </c>
      <c r="GP9" s="694" t="str">
        <f>'Income Statement'!GO8</f>
      </c>
      <c r="GQ9" s="694" t="str">
        <f>'Income Statement'!GP8</f>
      </c>
      <c r="GR9" s="694" t="str">
        <f>'Income Statement'!GQ8</f>
      </c>
      <c r="GS9" s="694" t="str">
        <f>'Income Statement'!GR8</f>
      </c>
      <c r="GT9" s="694" t="str">
        <f>'Income Statement'!GS8</f>
      </c>
      <c r="GU9" s="694" t="str">
        <f>'Income Statement'!GT8</f>
      </c>
      <c r="GV9" s="694" t="str">
        <f>'Income Statement'!GU8</f>
      </c>
      <c r="GW9" s="694" t="str">
        <f>'Income Statement'!GV8</f>
      </c>
      <c r="GX9" s="694" t="str">
        <f>'Income Statement'!GW8</f>
      </c>
      <c r="GY9" s="694" t="str">
        <f>'Income Statement'!GX8</f>
      </c>
      <c r="GZ9" s="694" t="str">
        <f>'Income Statement'!GY8</f>
      </c>
      <c r="HA9" s="694" t="str">
        <f>'Income Statement'!GZ8</f>
      </c>
      <c r="HB9" s="694" t="str">
        <f>'Income Statement'!HA8</f>
      </c>
      <c r="HC9" s="694" t="str">
        <f>'Income Statement'!HB8</f>
      </c>
      <c r="HD9" s="694" t="str">
        <f>'Income Statement'!HC8</f>
      </c>
      <c r="HE9" s="694" t="str">
        <f>'Income Statement'!HD8</f>
      </c>
    </row>
    <row r="10" spans="1:213" s="11" customFormat="1" ht="10.199999999999999">
      <c r="A10" s="129" t="s">
        <v>872</v>
      </c>
      <c r="E10" s="170"/>
      <c r="I10" s="170"/>
      <c r="M10" s="170"/>
      <c r="Q10" s="170"/>
      <c r="U10" s="170"/>
      <c r="Y10" s="170"/>
      <c r="AC10" s="170"/>
      <c r="AG10" s="170"/>
      <c r="AK10" s="170"/>
      <c r="AO10" s="170"/>
      <c r="AS10" s="170"/>
      <c r="AW10" s="170"/>
      <c r="BA10" s="170"/>
      <c r="BE10" s="170"/>
      <c r="BI10" s="170"/>
      <c r="BM10" s="170"/>
      <c r="BQ10" s="170"/>
      <c r="BR10" s="136"/>
      <c r="BU10" s="170"/>
      <c r="BV10" s="136" t="s">
        <v>1046</v>
      </c>
      <c r="BY10" s="170"/>
      <c r="CC10" s="170"/>
      <c r="CF10" s="15"/>
      <c r="CG10" s="174"/>
      <c r="CH10" s="18"/>
      <c r="CI10" s="15"/>
      <c r="CJ10" s="15"/>
      <c r="CK10" s="367"/>
      <c r="CL10" s="15"/>
      <c r="CM10" s="15"/>
      <c r="CN10" s="15"/>
      <c r="CO10" s="174"/>
      <c r="CP10" s="15"/>
      <c r="CQ10" s="15"/>
      <c r="CR10" s="15"/>
      <c r="CS10" s="174"/>
      <c r="CT10" s="15"/>
      <c r="CU10" s="15"/>
      <c r="CV10" s="15"/>
      <c r="CW10" s="174"/>
      <c r="CX10" s="15"/>
      <c r="CY10" s="15"/>
      <c r="CZ10" s="305"/>
      <c r="DA10" s="306"/>
      <c r="DB10" s="526"/>
      <c r="DC10" s="15"/>
      <c r="DD10" s="62"/>
      <c r="DE10" s="226"/>
      <c r="DF10" s="62"/>
      <c r="DG10" s="62"/>
      <c r="DH10" s="62"/>
      <c r="DI10" s="226"/>
      <c r="DJ10" s="62"/>
      <c r="DK10" s="62"/>
      <c r="DL10" s="62"/>
      <c r="DM10" s="226"/>
      <c r="DN10" s="62"/>
      <c r="DO10" s="62"/>
      <c r="DP10" s="62"/>
      <c r="DQ10" s="226"/>
      <c r="DR10" s="62"/>
      <c r="DS10" s="62"/>
      <c r="DT10" s="62"/>
      <c r="DU10" s="226"/>
      <c r="DV10" s="62"/>
      <c r="DW10" s="62"/>
      <c r="DX10" s="62"/>
      <c r="DY10" s="226"/>
      <c r="DZ10" s="62"/>
      <c r="EA10" s="62"/>
      <c r="EB10" s="62"/>
      <c r="EC10" s="226"/>
      <c r="ED10" s="62"/>
      <c r="EE10" s="62"/>
      <c r="EF10" s="62"/>
      <c r="EG10" s="226"/>
      <c r="EH10" s="62"/>
      <c r="EI10" s="62"/>
      <c r="EJ10" s="62"/>
      <c r="EK10" s="226"/>
      <c r="FE10" s="136"/>
      <c r="FH10" s="367"/>
      <c r="GS10" s="367" t="s">
        <v>1045</v>
      </c>
    </row>
    <row r="11" spans="1:213" s="673" customFormat="1" ht="10.199999999999999">
      <c r="A11" s="1716" t="s">
        <v>84</v>
      </c>
      <c r="E11" s="1150"/>
      <c r="I11" s="1150"/>
      <c r="M11" s="1150"/>
      <c r="Q11" s="1150"/>
      <c r="U11" s="1150"/>
      <c r="Y11" s="1150"/>
      <c r="AC11" s="1150"/>
      <c r="AG11" s="1150"/>
      <c r="AK11" s="1150"/>
      <c r="AO11" s="1150"/>
      <c r="AS11" s="1150"/>
      <c r="AT11" s="668"/>
      <c r="AU11" s="668"/>
      <c r="AV11" s="668">
        <f>'Segment - Products'!AV194</f>
      </c>
      <c r="AW11" s="670">
        <f>'Segment - Products'!AW194</f>
      </c>
      <c r="AX11" s="668">
        <f>'Segment - Products'!AX194</f>
      </c>
      <c r="AY11" s="668">
        <f>'Segment - Products'!AY194</f>
      </c>
      <c r="AZ11" s="668">
        <f>'Segment - Products'!AZ194</f>
      </c>
      <c r="BA11" s="670">
        <f>'Segment - Products'!BA194</f>
      </c>
      <c r="BB11" s="668">
        <f>'Segment - Products'!BB194</f>
      </c>
      <c r="BC11" s="668">
        <f>'Segment - Products'!BC194</f>
      </c>
      <c r="BD11" s="668">
        <f>'Segment - Products'!BD194</f>
      </c>
      <c r="BE11" s="670">
        <f>'Segment - Products'!BE194</f>
      </c>
      <c r="BF11" s="668">
        <f>'Segment - Products'!BF194</f>
      </c>
      <c r="BG11" s="668">
        <f>'Segment - Products'!BG194</f>
      </c>
      <c r="BH11" s="668">
        <f>'Segment - Products'!BH194</f>
      </c>
      <c r="BI11" s="670">
        <f>'Segment - Products'!BI194</f>
      </c>
      <c r="BJ11" s="668">
        <f>'Segment - Products'!BJ194</f>
      </c>
      <c r="BK11" s="668">
        <f>'Segment - Products'!BK194</f>
      </c>
      <c r="BL11" s="668">
        <f>'Segment - Products'!BL194</f>
      </c>
      <c r="BM11" s="670">
        <f>'Segment - Products'!BM194</f>
      </c>
      <c r="BN11" s="668">
        <f>'Segment - Products'!BN194</f>
      </c>
      <c r="BO11" s="668">
        <f>'Segment - Products'!BO194</f>
      </c>
      <c r="BP11" s="668">
        <f>'Segment - Products'!BP194</f>
      </c>
      <c r="BQ11" s="670">
        <f>'Segment - Products'!BQ194</f>
      </c>
      <c r="BR11" s="668">
        <f>'Segment - Products'!BR194</f>
      </c>
      <c r="BS11" s="668">
        <f>'Segment - Products'!BS194</f>
      </c>
      <c r="BT11" s="668">
        <f>'Segment - Products'!BT194</f>
      </c>
      <c r="BU11" s="670">
        <f>'Segment - Products'!BU194</f>
      </c>
      <c r="BV11" s="1714">
        <f>'Segment - Products'!BV11</f>
      </c>
      <c r="BW11" s="1714">
        <f>'Segment - Products'!BW11</f>
      </c>
      <c r="BX11" s="1714">
        <f>'Segment - Products'!BX11</f>
      </c>
      <c r="BY11" s="1715">
        <f>'Segment - Products'!BY11</f>
      </c>
      <c r="BZ11" s="1714">
        <f>'Segment - Products'!BZ11</f>
      </c>
      <c r="CA11" s="1714">
        <f>'Segment - Products'!CA11</f>
      </c>
      <c r="CB11" s="1714">
        <f>'Segment - Products'!CB11</f>
      </c>
      <c r="CC11" s="1715">
        <f>'Segment - Products'!CC11</f>
      </c>
      <c r="CD11" s="1714">
        <f>'Segment - Products'!CD11</f>
      </c>
      <c r="CE11" s="1714">
        <f>'Segment - Products'!CE11</f>
      </c>
      <c r="CF11" s="1714">
        <f>'Segment - Products'!CF11</f>
      </c>
      <c r="CG11" s="1715">
        <f>'Segment - Products'!CG11</f>
      </c>
      <c r="CH11" s="1714">
        <f>'Segment - Products'!CH11</f>
      </c>
      <c r="CI11" s="1714">
        <f>'Segment - Products'!CI11</f>
      </c>
      <c r="CJ11" s="1714">
        <f>'Segment - Products'!CJ11</f>
      </c>
      <c r="CK11" s="1715">
        <f>'Segment - Products'!CK11</f>
      </c>
      <c r="CL11" s="673">
        <f>'Segment - Products'!CL11</f>
      </c>
      <c r="CM11" s="673">
        <f>'Segment - Products'!CM11</f>
      </c>
      <c r="CN11" s="673">
        <f>'Segment - Products'!CN11</f>
      </c>
      <c r="CO11" s="1150">
        <f>'Segment - Products'!CO11</f>
      </c>
      <c r="CP11" s="673">
        <f>'Segment - Products'!CP11</f>
      </c>
      <c r="CQ11" s="673">
        <f>'Segment - Products'!CQ11</f>
      </c>
      <c r="CR11" s="673">
        <f>'Segment - Products'!CR11</f>
      </c>
      <c r="CS11" s="1150">
        <f>'Segment - Products'!CS11</f>
      </c>
      <c r="CT11" s="673">
        <f>'Segment - Products'!CT11</f>
      </c>
      <c r="CU11" s="673">
        <f>'Segment - Products'!CU11</f>
      </c>
      <c r="CV11" s="673">
        <f>'Segment - Products'!CV11</f>
      </c>
      <c r="CW11" s="1150">
        <f>'Segment - Products'!CW11</f>
      </c>
      <c r="CX11" s="1163">
        <f>'Segment - Products'!CX11</f>
      </c>
      <c r="CY11" s="673">
        <f>'Segment - Products'!CY11</f>
      </c>
      <c r="CZ11" s="673">
        <f>'Segment - Products'!CZ11</f>
      </c>
      <c r="DA11" s="1150">
        <f>'Segment - Products'!DA11</f>
      </c>
      <c r="DB11" s="905">
        <f>'Segment - Products'!DB11</f>
      </c>
      <c r="DC11" s="673">
        <f>'Segment - Products'!DC11</f>
      </c>
      <c r="DD11" s="673">
        <f>'Segment - Products'!DD11</f>
      </c>
      <c r="DE11" s="780">
        <v>42626</v>
      </c>
      <c r="DF11" s="2686">
        <v>65775</v>
      </c>
      <c r="DG11" s="779">
        <v>51334</v>
      </c>
      <c r="DH11" s="779">
        <v>39669</v>
      </c>
      <c r="DI11" s="780">
        <v>43805</v>
      </c>
      <c r="DJ11" s="2686">
        <v>69702</v>
      </c>
      <c r="DK11" s="779">
        <v>45963</v>
      </c>
      <c r="DL11" s="779">
        <v>39296</v>
      </c>
      <c r="DM11" s="780">
        <v>46222</v>
      </c>
      <c r="DN11" s="2686">
        <v>69138</v>
      </c>
      <c r="DO11" s="779">
        <v>46841</v>
      </c>
      <c r="DP11" s="779">
        <v>44582</v>
      </c>
      <c r="DQ11" s="1058">
        <f>'Segment - Products'!DQ11</f>
      </c>
      <c r="DR11" s="905">
        <f>'Segment - Products'!DR11</f>
      </c>
      <c r="DS11" s="905">
        <f>'Segment - Products'!DS11</f>
      </c>
      <c r="DT11" s="905">
        <f>'Segment - Products'!DT11</f>
      </c>
      <c r="DU11" s="1058">
        <f>'Segment - Products'!DU11</f>
      </c>
      <c r="DV11" s="905">
        <f>'Segment - Products'!DV11</f>
      </c>
      <c r="DW11" s="905">
        <f>'Segment - Products'!DW11</f>
      </c>
      <c r="DX11" s="905">
        <f>'Segment - Products'!DX11</f>
      </c>
      <c r="DY11" s="1058">
        <f>'Segment - Products'!DY11</f>
      </c>
      <c r="DZ11" s="905">
        <f>'Segment - Products'!DZ11</f>
      </c>
      <c r="EA11" s="905">
        <f>'Segment - Products'!EA11</f>
      </c>
      <c r="EB11" s="905">
        <f>'Segment - Products'!EB11</f>
      </c>
      <c r="EC11" s="1058">
        <f>'Segment - Products'!EC11</f>
      </c>
      <c r="ED11" s="905">
        <f>'Segment - Products'!ED11</f>
      </c>
      <c r="EE11" s="905">
        <f>'Segment - Products'!EE11</f>
      </c>
      <c r="EF11" s="905">
        <f>'Segment - Products'!EF11</f>
      </c>
      <c r="EG11" s="1058">
        <f>'Segment - Products'!EG11</f>
      </c>
      <c r="EH11" s="905">
        <f>'Segment - Products'!EH11</f>
      </c>
      <c r="EI11" s="905">
        <f>'Segment - Products'!EI11</f>
      </c>
      <c r="EJ11" s="905">
        <f>'Segment - Products'!EJ11</f>
      </c>
      <c r="EK11" s="1058">
        <f>'Segment - Products'!EK11</f>
      </c>
      <c r="EX11" s="668">
        <f t="shared" ref="EX11:EX17" si="18">SUM(AT11:AW11)</f>
      </c>
      <c r="EY11" s="668">
        <f t="shared" ref="EY11:EY17" si="19">SUM(AX11:BA11)</f>
      </c>
      <c r="EZ11" s="668">
        <f t="shared" ref="EZ11:EZ17" si="20">SUM(BB11:BE11)</f>
      </c>
      <c r="FA11" s="668">
        <f t="shared" ref="FA11:FA17" si="21">SUM(BF11:BI11)</f>
      </c>
      <c r="FB11" s="668">
        <f t="shared" ref="FB11:FB17" si="22">SUM(BJ11:BM11)</f>
      </c>
      <c r="FC11" s="668">
        <f t="shared" ref="FC11:FC17" si="23">SUM(BN11:BQ11)</f>
      </c>
      <c r="FD11" s="668">
        <f t="shared" ref="FD11:FD17" si="24">SUM(BR11:BU11)</f>
      </c>
      <c r="FE11" s="668">
        <f t="shared" ref="FE11:FE17" si="25">SUM(BV11:BY11)</f>
      </c>
      <c r="FF11" s="668">
        <f t="shared" ref="FF11:FF17" si="26">SUM(BZ11:CC11)</f>
      </c>
      <c r="FG11" s="668">
        <f t="shared" ref="FG11:FG17" si="27">SUM(CD11:CG11)</f>
      </c>
      <c r="FH11" s="1164">
        <v>139337</v>
      </c>
      <c r="FI11" s="905">
        <f t="shared" ref="FI11:FI17" si="28">SUM(CL11:CO11)</f>
      </c>
      <c r="FJ11" s="673">
        <f t="shared" ref="FJ11:FJ17" si="29">SUM(CP11:CS11)</f>
      </c>
      <c r="FK11" s="673">
        <f t="shared" ref="FK11:FK17" si="30">SUM(CT11:CW11)</f>
      </c>
      <c r="FL11" s="673">
        <f t="shared" ref="FL11:FL17" si="31">SUM(CX11:DA11)</f>
      </c>
      <c r="FM11" s="673">
        <f t="shared" ref="FM11:FM17" si="32">SUM(DB11:DE11)</f>
      </c>
      <c r="FN11" s="673">
        <f t="shared" ref="FN11:FN17" si="33">SUM(DF11:DI11)</f>
      </c>
      <c r="FO11" s="673">
        <f t="shared" ref="FO11:FO17" si="34">SUM(DJ11:DM11)</f>
      </c>
      <c r="FP11" s="673">
        <f t="shared" ref="FP11:FP17" si="35">SUM(DN11:DQ11)</f>
      </c>
      <c r="FQ11" s="673">
        <f t="shared" ref="FQ11:FQ17" si="36">SUM(DR11:DU11)</f>
      </c>
      <c r="FR11" s="673">
        <f t="shared" ref="FR11:FR17" si="37">SUM(DV11:DY11)</f>
      </c>
      <c r="FS11" s="673">
        <f t="shared" ref="FS11:FS17" si="38">SUM(DZ11:EC11)</f>
      </c>
      <c r="FT11" s="673">
        <f t="shared" ref="FT11:FT17" si="39">SUM(ED11:EG11)</f>
      </c>
      <c r="FU11" s="673">
        <f t="shared" ref="FU11:FU17" si="40">SUM(EH11:EK11)</f>
      </c>
      <c r="GI11" s="668">
        <f t="shared" ref="GI11:GI17" si="41">SUM(AU11:AX11)</f>
      </c>
      <c r="GJ11" s="668">
        <f t="shared" ref="GJ11:GJ17" si="42">SUM(AY11:BB11)</f>
      </c>
      <c r="GK11" s="668">
        <f t="shared" ref="GK11:GK17" si="43">SUM(BC11:BF11)</f>
      </c>
      <c r="GL11" s="668">
        <f t="shared" ref="GL11:GL17" si="44">SUM(BG11:BJ11)</f>
      </c>
      <c r="GM11" s="668">
        <f t="shared" ref="GM11:GM17" si="45">SUM(BK11:BN11)</f>
      </c>
      <c r="GN11" s="668">
        <f t="shared" ref="GN11:GN17" si="46">SUM(BO11:BR11)</f>
      </c>
      <c r="GO11" s="668">
        <f t="shared" ref="GO11:GO17" si="47">SUM(BS11:BV11)</f>
      </c>
      <c r="GP11" s="668">
        <f t="shared" ref="GP11:GP17" si="48">SUM(BW11:BZ11)</f>
      </c>
      <c r="GQ11" s="668">
        <f t="shared" ref="GQ11:GQ17" si="49">SUM(CA11:CD11)</f>
      </c>
      <c r="GR11" s="668">
        <f t="shared" ref="GR11:GR17" si="50">SUM(CE11:CH11)</f>
      </c>
      <c r="GS11" s="670">
        <f t="shared" ref="GS11:GS17" si="51">SUM(CI11:CL11)</f>
      </c>
      <c r="GT11" s="673">
        <f t="shared" ref="GT11:GT17" si="52">SUM(CM11:CP11)</f>
      </c>
      <c r="GU11" s="673">
        <f t="shared" ref="GU11:GU17" si="53">SUM(CQ11:CT11)</f>
      </c>
      <c r="GV11" s="673">
        <f t="shared" ref="GV11:GV17" si="54">SUM(CU11:CX11)</f>
      </c>
      <c r="GW11" s="673">
        <f t="shared" ref="GW11:GW17" si="55">SUM(CY11:DB11)</f>
      </c>
      <c r="GX11" s="673">
        <f t="shared" ref="GX11:GX17" si="56">SUM(DC11:DF11)</f>
      </c>
      <c r="GY11" s="673">
        <f t="shared" ref="GY11:GY17" si="57">SUM(DG11:DJ11)</f>
      </c>
      <c r="GZ11" s="673">
        <f t="shared" ref="GZ11:GZ17" si="58">SUM(DK11:DN11)</f>
      </c>
      <c r="HA11" s="673">
        <f t="shared" ref="HA11:HA17" si="59">SUM(DO11:DR11)</f>
      </c>
      <c r="HB11" s="673">
        <f t="shared" ref="HB11:HB17" si="60">SUM(DS11:DV11)</f>
      </c>
      <c r="HC11" s="673">
        <f t="shared" ref="HC11:HC17" si="61">SUM(DW11:DZ11)</f>
      </c>
      <c r="HD11" s="673">
        <f t="shared" ref="HD11:HD17" si="62">SUM(EA11:ED11)</f>
      </c>
      <c r="HE11" s="673">
        <f t="shared" ref="HE11:HE17" si="63">SUM(EE11:EH11)</f>
      </c>
    </row>
    <row r="12" spans="1:213" s="673" customFormat="1" ht="10.199999999999999">
      <c r="A12" s="1716" t="s">
        <v>86</v>
      </c>
      <c r="E12" s="1150"/>
      <c r="I12" s="1150"/>
      <c r="M12" s="1150"/>
      <c r="Q12" s="1150"/>
      <c r="U12" s="1150"/>
      <c r="Y12" s="1150"/>
      <c r="AC12" s="1150"/>
      <c r="AG12" s="1150"/>
      <c r="AK12" s="1150"/>
      <c r="AO12" s="1150"/>
      <c r="AS12" s="1150"/>
      <c r="AT12" s="668">
        <f>'Segment - Products'!AT196</f>
      </c>
      <c r="AU12" s="668">
        <f>'Segment - Products'!AU196</f>
      </c>
      <c r="AV12" s="668">
        <f>'Segment - Products'!AV196</f>
      </c>
      <c r="AW12" s="670">
        <f>'Segment - Products'!AW196</f>
      </c>
      <c r="AX12" s="668">
        <f>'Segment - Products'!AX196</f>
      </c>
      <c r="AY12" s="668">
        <f>'Segment - Products'!AY196</f>
      </c>
      <c r="AZ12" s="668">
        <f>'Segment - Products'!AZ196</f>
      </c>
      <c r="BA12" s="670">
        <f>'Segment - Products'!BA196</f>
      </c>
      <c r="BB12" s="668">
        <f>'Segment - Products'!BB196</f>
      </c>
      <c r="BC12" s="668">
        <f>'Segment - Products'!BC196</f>
      </c>
      <c r="BD12" s="668">
        <f>'Segment - Products'!BD196</f>
      </c>
      <c r="BE12" s="670">
        <f>'Segment - Products'!BE196</f>
      </c>
      <c r="BF12" s="668">
        <f>'Segment - Products'!BF196</f>
      </c>
      <c r="BG12" s="668">
        <f>'Segment - Products'!BG196</f>
      </c>
      <c r="BH12" s="668">
        <f>'Segment - Products'!BH196</f>
      </c>
      <c r="BI12" s="670">
        <f>'Segment - Products'!BI196</f>
      </c>
      <c r="BJ12" s="668">
        <f>'Segment - Products'!BJ196</f>
      </c>
      <c r="BK12" s="668">
        <f>'Segment - Products'!BK196</f>
      </c>
      <c r="BL12" s="668">
        <f>'Segment - Products'!BL196</f>
      </c>
      <c r="BM12" s="670">
        <f>'Segment - Products'!BM196</f>
      </c>
      <c r="BN12" s="668">
        <f>'Segment - Products'!BN196</f>
      </c>
      <c r="BO12" s="668">
        <f>'Segment - Products'!BO196</f>
      </c>
      <c r="BP12" s="668">
        <f>'Segment - Products'!BP196</f>
      </c>
      <c r="BQ12" s="670">
        <f>'Segment - Products'!BQ196</f>
      </c>
      <c r="BR12" s="668">
        <f>'Segment - Products'!BR196</f>
      </c>
      <c r="BS12" s="668">
        <f>'Segment - Products'!BS196</f>
      </c>
      <c r="BT12" s="668">
        <f>'Segment - Products'!BT196</f>
      </c>
      <c r="BU12" s="670">
        <f>'Segment - Products'!BU196</f>
      </c>
      <c r="BV12" s="1714">
        <f>'Segment - Products'!BV12</f>
      </c>
      <c r="BW12" s="1714">
        <f>'Segment - Products'!BW12</f>
      </c>
      <c r="BX12" s="1714">
        <f>'Segment - Products'!BX12</f>
      </c>
      <c r="BY12" s="1715">
        <f>'Segment - Products'!BY12</f>
      </c>
      <c r="BZ12" s="1714">
        <f>'Segment - Products'!BZ12</f>
      </c>
      <c r="CA12" s="1714">
        <f>'Segment - Products'!CA12</f>
      </c>
      <c r="CB12" s="1714">
        <f>'Segment - Products'!CB12</f>
      </c>
      <c r="CC12" s="1715">
        <f>'Segment - Products'!CC12</f>
      </c>
      <c r="CD12" s="1714">
        <f>'Segment - Products'!CD12</f>
      </c>
      <c r="CE12" s="1714">
        <f>'Segment - Products'!CE12</f>
      </c>
      <c r="CF12" s="1714">
        <f>'Segment - Products'!CF12</f>
      </c>
      <c r="CG12" s="1715">
        <f>'Segment - Products'!CG12</f>
      </c>
      <c r="CH12" s="1714">
        <f>'Segment - Products'!CH12</f>
      </c>
      <c r="CI12" s="1714">
        <f>'Segment - Products'!CI12</f>
      </c>
      <c r="CJ12" s="1714">
        <f>'Segment - Products'!CJ12</f>
      </c>
      <c r="CK12" s="1715">
        <f>'Segment - Products'!CK12</f>
      </c>
      <c r="CL12" s="673">
        <f>'Segment - Products'!CL12</f>
      </c>
      <c r="CM12" s="673">
        <f>'Segment - Products'!CM12</f>
      </c>
      <c r="CN12" s="673">
        <f>'Segment - Products'!CN12</f>
      </c>
      <c r="CO12" s="1150">
        <f>'Segment - Products'!CO12</f>
      </c>
      <c r="CP12" s="673">
        <f>'Segment - Products'!CP12</f>
      </c>
      <c r="CQ12" s="673">
        <f>'Segment - Products'!CQ12</f>
      </c>
      <c r="CR12" s="673">
        <f>'Segment - Products'!CR12</f>
      </c>
      <c r="CS12" s="1150">
        <f>'Segment - Products'!CS12</f>
      </c>
      <c r="CT12" s="673">
        <f>'Segment - Products'!CT12</f>
      </c>
      <c r="CU12" s="673">
        <f>'Segment - Products'!CU12</f>
      </c>
      <c r="CV12" s="673">
        <f>'Segment - Products'!CV12</f>
      </c>
      <c r="CW12" s="1150">
        <f>'Segment - Products'!CW12</f>
      </c>
      <c r="CX12" s="1163">
        <f>'Segment - Products'!CX12</f>
      </c>
      <c r="CY12" s="673">
        <f>'Segment - Products'!CY12</f>
      </c>
      <c r="CZ12" s="673">
        <f>'Segment - Products'!CZ12</f>
      </c>
      <c r="DA12" s="1150">
        <f>'Segment - Products'!DA12</f>
      </c>
      <c r="DB12" s="905">
        <f>'Segment - Products'!DB12</f>
      </c>
      <c r="DC12" s="673">
        <f>'Segment - Products'!DC12</f>
      </c>
      <c r="DD12" s="673">
        <f>'Segment - Products'!DD12</f>
      </c>
      <c r="DE12" s="780">
        <v>11508</v>
      </c>
      <c r="DF12" s="2686">
        <v>7735</v>
      </c>
      <c r="DG12" s="779">
        <v>7168</v>
      </c>
      <c r="DH12" s="779">
        <v>6840</v>
      </c>
      <c r="DI12" s="780">
        <v>7614</v>
      </c>
      <c r="DJ12" s="2686">
        <v>7780</v>
      </c>
      <c r="DK12" s="779">
        <v>7451</v>
      </c>
      <c r="DL12" s="779">
        <v>7009</v>
      </c>
      <c r="DM12" s="780">
        <v>7744</v>
      </c>
      <c r="DN12" s="2686">
        <v>8987</v>
      </c>
      <c r="DO12" s="779">
        <v>7949</v>
      </c>
      <c r="DP12" s="779">
        <v>8046</v>
      </c>
      <c r="DQ12" s="1058">
        <f>'Segment - Products'!DQ12</f>
      </c>
      <c r="DR12" s="905">
        <f>'Segment - Products'!DR12</f>
      </c>
      <c r="DS12" s="905">
        <f>'Segment - Products'!DS12</f>
      </c>
      <c r="DT12" s="905">
        <f>'Segment - Products'!DT12</f>
      </c>
      <c r="DU12" s="1058">
        <f>'Segment - Products'!DU12</f>
      </c>
      <c r="DV12" s="905">
        <f>'Segment - Products'!DV12</f>
      </c>
      <c r="DW12" s="905">
        <f>'Segment - Products'!DW12</f>
      </c>
      <c r="DX12" s="905">
        <f>'Segment - Products'!DX12</f>
      </c>
      <c r="DY12" s="1058">
        <f>'Segment - Products'!DY12</f>
      </c>
      <c r="DZ12" s="905">
        <f>'Segment - Products'!DZ12</f>
      </c>
      <c r="EA12" s="905">
        <f>'Segment - Products'!EA12</f>
      </c>
      <c r="EB12" s="905">
        <f>'Segment - Products'!EB12</f>
      </c>
      <c r="EC12" s="1058">
        <f>'Segment - Products'!EC12</f>
      </c>
      <c r="ED12" s="905">
        <f>'Segment - Products'!ED12</f>
      </c>
      <c r="EE12" s="905">
        <f>'Segment - Products'!EE12</f>
      </c>
      <c r="EF12" s="905">
        <f>'Segment - Products'!EF12</f>
      </c>
      <c r="EG12" s="1058">
        <f>'Segment - Products'!EG12</f>
      </c>
      <c r="EH12" s="905">
        <f>'Segment - Products'!EH12</f>
      </c>
      <c r="EI12" s="905">
        <f>'Segment - Products'!EI12</f>
      </c>
      <c r="EJ12" s="905">
        <f>'Segment - Products'!EJ12</f>
      </c>
      <c r="EK12" s="1058">
        <f>'Segment - Products'!EK12</f>
      </c>
      <c r="EX12" s="668">
        <f t="shared" si="18"/>
      </c>
      <c r="EY12" s="668">
        <f t="shared" si="19"/>
      </c>
      <c r="EZ12" s="668">
        <f t="shared" si="20"/>
      </c>
      <c r="FA12" s="668">
        <f t="shared" si="21"/>
      </c>
      <c r="FB12" s="668">
        <f t="shared" si="22"/>
      </c>
      <c r="FC12" s="668">
        <f t="shared" si="23"/>
      </c>
      <c r="FD12" s="668">
        <f t="shared" si="24"/>
      </c>
      <c r="FE12" s="668">
        <f t="shared" si="25"/>
      </c>
      <c r="FF12" s="668">
        <f t="shared" si="26"/>
      </c>
      <c r="FG12" s="668">
        <f t="shared" si="27"/>
      </c>
      <c r="FH12" s="1164">
        <v>25569</v>
      </c>
      <c r="FI12" s="905">
        <f t="shared" si="28"/>
      </c>
      <c r="FJ12" s="673">
        <f t="shared" si="29"/>
      </c>
      <c r="FK12" s="673">
        <f t="shared" si="30"/>
      </c>
      <c r="FL12" s="673">
        <f t="shared" si="31"/>
      </c>
      <c r="FM12" s="673">
        <f t="shared" si="32"/>
      </c>
      <c r="FN12" s="673">
        <f t="shared" si="33"/>
      </c>
      <c r="FO12" s="673">
        <f t="shared" si="34"/>
      </c>
      <c r="FP12" s="673">
        <f t="shared" si="35"/>
      </c>
      <c r="FQ12" s="673">
        <f t="shared" si="36"/>
      </c>
      <c r="FR12" s="673">
        <f t="shared" si="37"/>
      </c>
      <c r="FS12" s="673">
        <f t="shared" si="38"/>
      </c>
      <c r="FT12" s="673">
        <f t="shared" si="39"/>
      </c>
      <c r="FU12" s="673">
        <f t="shared" si="40"/>
      </c>
      <c r="GI12" s="668">
        <f t="shared" si="41"/>
      </c>
      <c r="GJ12" s="668">
        <f t="shared" si="42"/>
      </c>
      <c r="GK12" s="668">
        <f t="shared" si="43"/>
      </c>
      <c r="GL12" s="668">
        <f t="shared" si="44"/>
      </c>
      <c r="GM12" s="668">
        <f t="shared" si="45"/>
      </c>
      <c r="GN12" s="668">
        <f t="shared" si="46"/>
      </c>
      <c r="GO12" s="668">
        <f t="shared" si="47"/>
      </c>
      <c r="GP12" s="668">
        <f t="shared" si="48"/>
      </c>
      <c r="GQ12" s="668">
        <f t="shared" si="49"/>
      </c>
      <c r="GR12" s="668">
        <f t="shared" si="50"/>
      </c>
      <c r="GS12" s="670">
        <f t="shared" si="51"/>
      </c>
      <c r="GT12" s="673">
        <f t="shared" si="52"/>
      </c>
      <c r="GU12" s="673">
        <f t="shared" si="53"/>
      </c>
      <c r="GV12" s="673">
        <f t="shared" si="54"/>
      </c>
      <c r="GW12" s="673">
        <f t="shared" si="55"/>
      </c>
      <c r="GX12" s="673">
        <f t="shared" si="56"/>
      </c>
      <c r="GY12" s="673">
        <f t="shared" si="57"/>
      </c>
      <c r="GZ12" s="673">
        <f t="shared" si="58"/>
      </c>
      <c r="HA12" s="673">
        <f t="shared" si="59"/>
      </c>
      <c r="HB12" s="673">
        <f t="shared" si="60"/>
      </c>
      <c r="HC12" s="673">
        <f t="shared" si="61"/>
      </c>
      <c r="HD12" s="673">
        <f t="shared" si="62"/>
      </c>
      <c r="HE12" s="673">
        <f t="shared" si="63"/>
      </c>
    </row>
    <row r="13" spans="1:213" s="673" customFormat="1" ht="10.199999999999999">
      <c r="A13" s="1716" t="s">
        <v>85</v>
      </c>
      <c r="E13" s="1150"/>
      <c r="I13" s="1150"/>
      <c r="M13" s="1150"/>
      <c r="Q13" s="1150"/>
      <c r="U13" s="1150"/>
      <c r="Y13" s="1150"/>
      <c r="AC13" s="1150"/>
      <c r="AG13" s="1150"/>
      <c r="AK13" s="1150"/>
      <c r="AO13" s="1150"/>
      <c r="AS13" s="1150"/>
      <c r="AT13" s="668"/>
      <c r="AU13" s="668"/>
      <c r="AV13" s="668">
        <f>'Segment - Products'!AV195</f>
      </c>
      <c r="AW13" s="670">
        <f>'Segment - Products'!AW195</f>
      </c>
      <c r="AX13" s="668">
        <f>'Segment - Products'!AX195</f>
      </c>
      <c r="AY13" s="668">
        <f>'Segment - Products'!AY195</f>
      </c>
      <c r="AZ13" s="668">
        <f>'Segment - Products'!AZ195</f>
      </c>
      <c r="BA13" s="670">
        <f>'Segment - Products'!BA195</f>
      </c>
      <c r="BB13" s="668">
        <f>'Segment - Products'!BB195</f>
      </c>
      <c r="BC13" s="668">
        <f>'Segment - Products'!BC195</f>
      </c>
      <c r="BD13" s="668">
        <f>'Segment - Products'!BD195</f>
      </c>
      <c r="BE13" s="670">
        <f>'Segment - Products'!BE195</f>
      </c>
      <c r="BF13" s="668">
        <f>'Segment - Products'!BF195</f>
      </c>
      <c r="BG13" s="668">
        <f>'Segment - Products'!BG195</f>
      </c>
      <c r="BH13" s="668">
        <f>'Segment - Products'!BH195</f>
      </c>
      <c r="BI13" s="670">
        <f>'Segment - Products'!BI195</f>
      </c>
      <c r="BJ13" s="668">
        <f>'Segment - Products'!BJ195</f>
      </c>
      <c r="BK13" s="668">
        <f>'Segment - Products'!BK195</f>
      </c>
      <c r="BL13" s="668">
        <f>'Segment - Products'!BL195</f>
      </c>
      <c r="BM13" s="670">
        <f>'Segment - Products'!BM195</f>
      </c>
      <c r="BN13" s="668">
        <f>'Segment - Products'!BN195</f>
      </c>
      <c r="BO13" s="668">
        <f>'Segment - Products'!BO195</f>
      </c>
      <c r="BP13" s="668">
        <f>'Segment - Products'!BP195</f>
      </c>
      <c r="BQ13" s="670">
        <f>'Segment - Products'!BQ195</f>
      </c>
      <c r="BR13" s="668">
        <f>'Segment - Products'!BR195</f>
      </c>
      <c r="BS13" s="668">
        <f>'Segment - Products'!BS195</f>
      </c>
      <c r="BT13" s="668">
        <f>'Segment - Products'!BT195</f>
      </c>
      <c r="BU13" s="670">
        <f>'Segment - Products'!BU195</f>
      </c>
      <c r="BV13" s="1714">
        <f>'Segment - Products'!BV13</f>
      </c>
      <c r="BW13" s="1714">
        <f>'Segment - Products'!BW13</f>
      </c>
      <c r="BX13" s="1714">
        <f>'Segment - Products'!BX13</f>
      </c>
      <c r="BY13" s="1715">
        <f>'Segment - Products'!BY13</f>
      </c>
      <c r="BZ13" s="1714">
        <f>'Segment - Products'!BZ13</f>
      </c>
      <c r="CA13" s="1714">
        <f>'Segment - Products'!CA13</f>
      </c>
      <c r="CB13" s="1714">
        <f>'Segment - Products'!CB13</f>
      </c>
      <c r="CC13" s="1715">
        <f>'Segment - Products'!CC13</f>
      </c>
      <c r="CD13" s="1714">
        <f>'Segment - Products'!CD13</f>
      </c>
      <c r="CE13" s="1714">
        <f>'Segment - Products'!CE13</f>
      </c>
      <c r="CF13" s="1714">
        <f>'Segment - Products'!CF13</f>
      </c>
      <c r="CG13" s="1715">
        <f>'Segment - Products'!CG13</f>
      </c>
      <c r="CH13" s="1714">
        <f>'Segment - Products'!CH13</f>
      </c>
      <c r="CI13" s="1714">
        <f>'Segment - Products'!CI13</f>
      </c>
      <c r="CJ13" s="1714">
        <f>'Segment - Products'!CJ13</f>
      </c>
      <c r="CK13" s="1715">
        <f>'Segment - Products'!CK13</f>
      </c>
      <c r="CL13" s="673">
        <f>'Segment - Products'!CL13</f>
      </c>
      <c r="CM13" s="673">
        <f>'Segment - Products'!CM13</f>
      </c>
      <c r="CN13" s="673">
        <f>'Segment - Products'!CN13</f>
      </c>
      <c r="CO13" s="1150">
        <f>'Segment - Products'!CO13</f>
      </c>
      <c r="CP13" s="673">
        <f>'Segment - Products'!CP13</f>
      </c>
      <c r="CQ13" s="673">
        <f>'Segment - Products'!CQ13</f>
      </c>
      <c r="CR13" s="673">
        <f>'Segment - Products'!CR13</f>
      </c>
      <c r="CS13" s="1150">
        <f>'Segment - Products'!CS13</f>
      </c>
      <c r="CT13" s="673">
        <f>'Segment - Products'!CT13</f>
      </c>
      <c r="CU13" s="673">
        <f>'Segment - Products'!CU13</f>
      </c>
      <c r="CV13" s="673">
        <f>'Segment - Products'!CV13</f>
      </c>
      <c r="CW13" s="1150">
        <f>'Segment - Products'!CW13</f>
      </c>
      <c r="CX13" s="1163">
        <f>'Segment - Products'!CX13</f>
      </c>
      <c r="CY13" s="673">
        <f>'Segment - Products'!CY13</f>
      </c>
      <c r="CZ13" s="673">
        <f>'Segment - Products'!CZ13</f>
      </c>
      <c r="DA13" s="1150">
        <f>'Segment - Products'!DA13</f>
      </c>
      <c r="DB13" s="905">
        <f>'Segment - Products'!DB13</f>
      </c>
      <c r="DC13" s="673">
        <f>'Segment - Products'!DC13</f>
      </c>
      <c r="DD13" s="673">
        <f>'Segment - Products'!DD13</f>
      </c>
      <c r="DE13" s="780">
        <v>7174</v>
      </c>
      <c r="DF13" s="2686">
        <v>9396</v>
      </c>
      <c r="DG13" s="779">
        <v>6670</v>
      </c>
      <c r="DH13" s="779">
        <v>5791</v>
      </c>
      <c r="DI13" s="780">
        <v>6443</v>
      </c>
      <c r="DJ13" s="2686">
        <v>7023</v>
      </c>
      <c r="DK13" s="779">
        <v>5559</v>
      </c>
      <c r="DL13" s="779">
        <v>7162</v>
      </c>
      <c r="DM13" s="780">
        <v>6950</v>
      </c>
      <c r="DN13" s="2686">
        <v>8088</v>
      </c>
      <c r="DO13" s="779">
        <v>6402</v>
      </c>
      <c r="DP13" s="779">
        <v>6581</v>
      </c>
      <c r="DQ13" s="1058">
        <f>'Segment - Products'!DQ13</f>
      </c>
      <c r="DR13" s="905">
        <f>'Segment - Products'!DR13</f>
      </c>
      <c r="DS13" s="905">
        <f>'Segment - Products'!DS13</f>
      </c>
      <c r="DT13" s="905">
        <f>'Segment - Products'!DT13</f>
      </c>
      <c r="DU13" s="1058">
        <f>'Segment - Products'!DU13</f>
      </c>
      <c r="DV13" s="905">
        <f>'Segment - Products'!DV13</f>
      </c>
      <c r="DW13" s="905">
        <f>'Segment - Products'!DW13</f>
      </c>
      <c r="DX13" s="905">
        <f>'Segment - Products'!DX13</f>
      </c>
      <c r="DY13" s="1058">
        <f>'Segment - Products'!DY13</f>
      </c>
      <c r="DZ13" s="905">
        <f>'Segment - Products'!DZ13</f>
      </c>
      <c r="EA13" s="905">
        <f>'Segment - Products'!EA13</f>
      </c>
      <c r="EB13" s="905">
        <f>'Segment - Products'!EB13</f>
      </c>
      <c r="EC13" s="1058">
        <f>'Segment - Products'!EC13</f>
      </c>
      <c r="ED13" s="905">
        <f>'Segment - Products'!ED13</f>
      </c>
      <c r="EE13" s="905">
        <f>'Segment - Products'!EE13</f>
      </c>
      <c r="EF13" s="905">
        <f>'Segment - Products'!EF13</f>
      </c>
      <c r="EG13" s="1058">
        <f>'Segment - Products'!EG13</f>
      </c>
      <c r="EH13" s="905">
        <f>'Segment - Products'!EH13</f>
      </c>
      <c r="EI13" s="905">
        <f>'Segment - Products'!EI13</f>
      </c>
      <c r="EJ13" s="905">
        <f>'Segment - Products'!EJ13</f>
      </c>
      <c r="EK13" s="1058">
        <f>'Segment - Products'!EK13</f>
      </c>
      <c r="EX13" s="668">
        <f t="shared" si="18"/>
      </c>
      <c r="EY13" s="668">
        <f t="shared" si="19"/>
      </c>
      <c r="EZ13" s="668">
        <f t="shared" si="20"/>
      </c>
      <c r="FA13" s="668">
        <f t="shared" si="21"/>
      </c>
      <c r="FB13" s="668">
        <f t="shared" si="22"/>
      </c>
      <c r="FC13" s="668">
        <f t="shared" si="23"/>
      </c>
      <c r="FD13" s="668">
        <f t="shared" si="24"/>
      </c>
      <c r="FE13" s="668">
        <f t="shared" si="25"/>
      </c>
      <c r="FF13" s="668">
        <f t="shared" si="26"/>
      </c>
      <c r="FG13" s="668">
        <f t="shared" si="27"/>
      </c>
      <c r="FH13" s="1164">
        <v>18802</v>
      </c>
      <c r="FI13" s="905">
        <f t="shared" si="28"/>
      </c>
      <c r="FJ13" s="673">
        <f t="shared" si="29"/>
      </c>
      <c r="FK13" s="673">
        <f t="shared" si="30"/>
      </c>
      <c r="FL13" s="673">
        <f t="shared" si="31"/>
      </c>
      <c r="FM13" s="673">
        <f t="shared" si="32"/>
      </c>
      <c r="FN13" s="673">
        <f t="shared" si="33"/>
      </c>
      <c r="FO13" s="673">
        <f t="shared" si="34"/>
      </c>
      <c r="FP13" s="673">
        <f t="shared" si="35"/>
      </c>
      <c r="FQ13" s="673">
        <f t="shared" si="36"/>
      </c>
      <c r="FR13" s="673">
        <f t="shared" si="37"/>
      </c>
      <c r="FS13" s="673">
        <f t="shared" si="38"/>
      </c>
      <c r="FT13" s="673">
        <f t="shared" si="39"/>
      </c>
      <c r="FU13" s="673">
        <f t="shared" si="40"/>
      </c>
      <c r="GI13" s="668">
        <f t="shared" si="41"/>
      </c>
      <c r="GJ13" s="668">
        <f t="shared" si="42"/>
      </c>
      <c r="GK13" s="668">
        <f t="shared" si="43"/>
      </c>
      <c r="GL13" s="668">
        <f t="shared" si="44"/>
      </c>
      <c r="GM13" s="668">
        <f t="shared" si="45"/>
      </c>
      <c r="GN13" s="668">
        <f t="shared" si="46"/>
      </c>
      <c r="GO13" s="668">
        <f t="shared" si="47"/>
      </c>
      <c r="GP13" s="668">
        <f t="shared" si="48"/>
      </c>
      <c r="GQ13" s="668">
        <f t="shared" si="49"/>
      </c>
      <c r="GR13" s="668">
        <f t="shared" si="50"/>
      </c>
      <c r="GS13" s="670">
        <f t="shared" si="51"/>
      </c>
      <c r="GT13" s="673">
        <f t="shared" si="52"/>
      </c>
      <c r="GU13" s="673">
        <f t="shared" si="53"/>
      </c>
      <c r="GV13" s="673">
        <f t="shared" si="54"/>
      </c>
      <c r="GW13" s="673">
        <f t="shared" si="55"/>
      </c>
      <c r="GX13" s="673">
        <f t="shared" si="56"/>
      </c>
      <c r="GY13" s="673">
        <f t="shared" si="57"/>
      </c>
      <c r="GZ13" s="673">
        <f t="shared" si="58"/>
      </c>
      <c r="HA13" s="673">
        <f t="shared" si="59"/>
      </c>
      <c r="HB13" s="673">
        <f t="shared" si="60"/>
      </c>
      <c r="HC13" s="673">
        <f t="shared" si="61"/>
      </c>
      <c r="HD13" s="673">
        <f t="shared" si="62"/>
      </c>
      <c r="HE13" s="673">
        <f t="shared" si="63"/>
      </c>
    </row>
    <row r="14" spans="1:213" s="673" customFormat="1" ht="10.199999999999999">
      <c r="A14" s="1716" t="s">
        <v>1120</v>
      </c>
      <c r="E14" s="1150"/>
      <c r="I14" s="1150"/>
      <c r="M14" s="1150"/>
      <c r="Q14" s="1150"/>
      <c r="U14" s="1150"/>
      <c r="Y14" s="1150"/>
      <c r="AC14" s="1150"/>
      <c r="AG14" s="1150"/>
      <c r="AK14" s="1150"/>
      <c r="AO14" s="1150"/>
      <c r="AS14" s="1150"/>
      <c r="AT14" s="668">
        <f>'Segment - Products'!AT197</f>
      </c>
      <c r="AU14" s="668">
        <f>'Segment - Products'!AU197</f>
      </c>
      <c r="AV14" s="668">
        <f>'Segment - Products'!AV197</f>
      </c>
      <c r="AW14" s="670">
        <f>'Segment - Products'!AW197</f>
      </c>
      <c r="AX14" s="668">
        <f>'Segment - Products'!AX197</f>
      </c>
      <c r="AY14" s="668">
        <f>'Segment - Products'!AY197</f>
      </c>
      <c r="AZ14" s="668">
        <f>'Segment - Products'!AZ197</f>
      </c>
      <c r="BA14" s="670">
        <f>'Segment - Products'!BA197</f>
      </c>
      <c r="BB14" s="668">
        <f>'Segment - Products'!BB197</f>
      </c>
      <c r="BC14" s="668">
        <f>'Segment - Products'!BC197</f>
      </c>
      <c r="BD14" s="668">
        <f>'Segment - Products'!BD197</f>
      </c>
      <c r="BE14" s="670">
        <f>'Segment - Products'!BE197</f>
      </c>
      <c r="BF14" s="668">
        <f>'Segment - Products'!BF197</f>
      </c>
      <c r="BG14" s="668">
        <f>'Segment - Products'!BG197</f>
      </c>
      <c r="BH14" s="668">
        <f>'Segment - Products'!BH197</f>
      </c>
      <c r="BI14" s="670">
        <f>'Segment - Products'!BI197</f>
      </c>
      <c r="BJ14" s="668">
        <f>'Segment - Products'!BJ197</f>
      </c>
      <c r="BK14" s="668">
        <f>'Segment - Products'!BK197</f>
      </c>
      <c r="BL14" s="668">
        <f>'Segment - Products'!BL197</f>
      </c>
      <c r="BM14" s="670">
        <f>'Segment - Products'!BM197</f>
      </c>
      <c r="BN14" s="668">
        <f>'Segment - Products'!BN197</f>
      </c>
      <c r="BO14" s="668">
        <f>'Segment - Products'!BO197</f>
      </c>
      <c r="BP14" s="668">
        <f>'Segment - Products'!BP197</f>
      </c>
      <c r="BQ14" s="670">
        <f>'Segment - Products'!BQ197</f>
      </c>
      <c r="BR14" s="668">
        <f>'Segment - Products'!BR197</f>
      </c>
      <c r="BS14" s="668">
        <f>'Segment - Products'!BS197</f>
      </c>
      <c r="BT14" s="668">
        <f>'Segment - Products'!BT197</f>
      </c>
      <c r="BU14" s="670">
        <f>'Segment - Products'!BU197</f>
      </c>
      <c r="BV14" s="1714">
        <f>'Segment - Products'!BV14</f>
      </c>
      <c r="BW14" s="1714">
        <f>'Segment - Products'!BW14</f>
      </c>
      <c r="BX14" s="1714">
        <f>'Segment - Products'!BX14</f>
      </c>
      <c r="BY14" s="1715">
        <f>'Segment - Products'!BY14</f>
      </c>
      <c r="BZ14" s="1714">
        <f>'Segment - Products'!BZ14</f>
      </c>
      <c r="CA14" s="1714">
        <f>'Segment - Products'!CA14</f>
      </c>
      <c r="CB14" s="1714">
        <f>'Segment - Products'!CB14</f>
      </c>
      <c r="CC14" s="1715">
        <f>'Segment - Products'!CC14</f>
      </c>
      <c r="CD14" s="1714">
        <f>'Segment - Products'!CD14</f>
      </c>
      <c r="CE14" s="1714">
        <f>'Segment - Products'!CE14</f>
      </c>
      <c r="CF14" s="1714">
        <f>'Segment - Products'!CF14</f>
      </c>
      <c r="CG14" s="1715">
        <f>'Segment - Products'!CG14</f>
      </c>
      <c r="CH14" s="1714">
        <f>'Segment - Products'!CH14</f>
      </c>
      <c r="CI14" s="1714">
        <f>'Segment - Products'!CI14</f>
      </c>
      <c r="CJ14" s="1714">
        <f>'Segment - Products'!CJ14</f>
      </c>
      <c r="CK14" s="1715">
        <f>'Segment - Products'!CK14</f>
      </c>
      <c r="CL14" s="673">
        <f>'Segment - Products'!CL14</f>
      </c>
      <c r="CM14" s="673">
        <f>'Segment - Products'!CM14</f>
      </c>
      <c r="CN14" s="673">
        <f>'Segment - Products'!CN14</f>
      </c>
      <c r="CO14" s="1150">
        <f>'Segment - Products'!CO14</f>
      </c>
      <c r="CP14" s="673">
        <f>'Segment - Products'!CP14</f>
      </c>
      <c r="CQ14" s="673">
        <f>'Segment - Products'!CQ14</f>
      </c>
      <c r="CR14" s="673">
        <f>'Segment - Products'!CR14</f>
      </c>
      <c r="CS14" s="1150">
        <f>'Segment - Products'!CS14</f>
      </c>
      <c r="CT14" s="673">
        <f>'Segment - Products'!CT14</f>
      </c>
      <c r="CU14" s="673">
        <f>'Segment - Products'!CU14</f>
      </c>
      <c r="CV14" s="673">
        <f>'Segment - Products'!CV14</f>
      </c>
      <c r="CW14" s="1150">
        <f>'Segment - Products'!CW14</f>
      </c>
      <c r="CX14" s="1163">
        <f>'Segment - Products'!CX14</f>
      </c>
      <c r="CY14" s="673">
        <f>'Segment - Products'!CY14</f>
      </c>
      <c r="CZ14" s="673">
        <f>'Segment - Products'!CZ14</f>
      </c>
      <c r="DA14" s="1150">
        <f>'Segment - Products'!DA14</f>
      </c>
      <c r="DB14" s="905">
        <f>'Segment - Products'!DB14</f>
      </c>
      <c r="DC14" s="673">
        <f>'Segment - Products'!DC14</f>
      </c>
      <c r="DD14" s="673">
        <f>'Segment - Products'!DD14</f>
      </c>
      <c r="DE14" s="780">
        <v>9650</v>
      </c>
      <c r="DF14" s="2686">
        <v>13482</v>
      </c>
      <c r="DG14" s="779">
        <v>8757</v>
      </c>
      <c r="DH14" s="779">
        <v>8284</v>
      </c>
      <c r="DI14" s="780">
        <v>9322</v>
      </c>
      <c r="DJ14" s="2686">
        <v>11953</v>
      </c>
      <c r="DK14" s="779">
        <v>7913</v>
      </c>
      <c r="DL14" s="779">
        <v>8097</v>
      </c>
      <c r="DM14" s="780">
        <v>9042</v>
      </c>
      <c r="DN14" s="2686">
        <v>11747</v>
      </c>
      <c r="DO14" s="779">
        <v>7522</v>
      </c>
      <c r="DP14" s="779">
        <v>7404</v>
      </c>
      <c r="DQ14" s="1058">
        <f>'Segment - Products'!DQ14</f>
      </c>
      <c r="DR14" s="905">
        <f>'Segment - Products'!DR14</f>
      </c>
      <c r="DS14" s="905">
        <f>'Segment - Products'!DS14</f>
      </c>
      <c r="DT14" s="905">
        <f>'Segment - Products'!DT14</f>
      </c>
      <c r="DU14" s="1058">
        <f>'Segment - Products'!DU14</f>
      </c>
      <c r="DV14" s="905">
        <f>'Segment - Products'!DV14</f>
      </c>
      <c r="DW14" s="905">
        <f>'Segment - Products'!DW14</f>
      </c>
      <c r="DX14" s="905">
        <f>'Segment - Products'!DX14</f>
      </c>
      <c r="DY14" s="1058">
        <f>'Segment - Products'!DY14</f>
      </c>
      <c r="DZ14" s="905">
        <f>'Segment - Products'!DZ14</f>
      </c>
      <c r="EA14" s="905">
        <f>'Segment - Products'!EA14</f>
      </c>
      <c r="EB14" s="905">
        <f>'Segment - Products'!EB14</f>
      </c>
      <c r="EC14" s="1058">
        <f>'Segment - Products'!EC14</f>
      </c>
      <c r="ED14" s="905">
        <f>'Segment - Products'!ED14</f>
      </c>
      <c r="EE14" s="905">
        <f>'Segment - Products'!EE14</f>
      </c>
      <c r="EF14" s="905">
        <f>'Segment - Products'!EF14</f>
      </c>
      <c r="EG14" s="1058">
        <f>'Segment - Products'!EG14</f>
      </c>
      <c r="EH14" s="905">
        <f>'Segment - Products'!EH14</f>
      </c>
      <c r="EI14" s="905">
        <f>'Segment - Products'!EI14</f>
      </c>
      <c r="EJ14" s="905">
        <f>'Segment - Products'!EJ14</f>
      </c>
      <c r="EK14" s="1058">
        <f>'Segment - Products'!EK14</f>
      </c>
      <c r="EX14" s="668">
        <f t="shared" si="18"/>
      </c>
      <c r="EY14" s="668">
        <f t="shared" si="19"/>
      </c>
      <c r="EZ14" s="668">
        <f t="shared" si="20"/>
      </c>
      <c r="FA14" s="668">
        <f t="shared" si="21"/>
      </c>
      <c r="FB14" s="668">
        <f t="shared" si="22"/>
      </c>
      <c r="FC14" s="668">
        <f t="shared" si="23"/>
      </c>
      <c r="FD14" s="668">
        <f t="shared" si="24"/>
      </c>
      <c r="FE14" s="668">
        <f t="shared" si="25"/>
      </c>
      <c r="FF14" s="668">
        <f t="shared" si="26"/>
      </c>
      <c r="FG14" s="668">
        <f t="shared" si="27"/>
      </c>
      <c r="FH14" s="1164">
        <v>12826</v>
      </c>
      <c r="FI14" s="905">
        <f t="shared" si="28"/>
      </c>
      <c r="FJ14" s="673">
        <f t="shared" si="29"/>
      </c>
      <c r="FK14" s="673">
        <f t="shared" si="30"/>
      </c>
      <c r="FL14" s="673">
        <f t="shared" si="31"/>
      </c>
      <c r="FM14" s="673">
        <f t="shared" si="32"/>
      </c>
      <c r="FN14" s="673">
        <f t="shared" si="33"/>
      </c>
      <c r="FO14" s="673">
        <f t="shared" si="34"/>
      </c>
      <c r="FP14" s="673">
        <f t="shared" si="35"/>
      </c>
      <c r="FQ14" s="673">
        <f t="shared" si="36"/>
      </c>
      <c r="FR14" s="673">
        <f t="shared" si="37"/>
      </c>
      <c r="FS14" s="673">
        <f t="shared" si="38"/>
      </c>
      <c r="FT14" s="673">
        <f t="shared" si="39"/>
      </c>
      <c r="FU14" s="673">
        <f t="shared" si="40"/>
      </c>
      <c r="GI14" s="668">
        <f t="shared" si="41"/>
      </c>
      <c r="GJ14" s="668">
        <f t="shared" si="42"/>
      </c>
      <c r="GK14" s="668">
        <f t="shared" si="43"/>
      </c>
      <c r="GL14" s="668">
        <f t="shared" si="44"/>
      </c>
      <c r="GM14" s="668">
        <f t="shared" si="45"/>
      </c>
      <c r="GN14" s="668">
        <f t="shared" si="46"/>
      </c>
      <c r="GO14" s="668">
        <f t="shared" si="47"/>
      </c>
      <c r="GP14" s="668">
        <f t="shared" si="48"/>
      </c>
      <c r="GQ14" s="668">
        <f t="shared" si="49"/>
      </c>
      <c r="GR14" s="668">
        <f t="shared" si="50"/>
      </c>
      <c r="GS14" s="670">
        <f t="shared" si="51"/>
      </c>
      <c r="GT14" s="673">
        <f t="shared" si="52"/>
      </c>
      <c r="GU14" s="673">
        <f t="shared" si="53"/>
      </c>
      <c r="GV14" s="673">
        <f t="shared" si="54"/>
      </c>
      <c r="GW14" s="673">
        <f t="shared" si="55"/>
      </c>
      <c r="GX14" s="673">
        <f t="shared" si="56"/>
      </c>
      <c r="GY14" s="673">
        <f t="shared" si="57"/>
      </c>
      <c r="GZ14" s="673">
        <f t="shared" si="58"/>
      </c>
      <c r="HA14" s="673">
        <f t="shared" si="59"/>
      </c>
      <c r="HB14" s="673">
        <f t="shared" si="60"/>
      </c>
      <c r="HC14" s="673">
        <f t="shared" si="61"/>
      </c>
      <c r="HD14" s="673">
        <f t="shared" si="62"/>
      </c>
      <c r="HE14" s="673">
        <f t="shared" si="63"/>
      </c>
    </row>
    <row r="15" spans="1:213" s="673" customFormat="1" ht="10.199999999999999">
      <c r="A15" s="1143" t="s">
        <v>667</v>
      </c>
      <c r="B15" s="1143"/>
      <c r="C15" s="1143"/>
      <c r="D15" s="1143"/>
      <c r="E15" s="1144"/>
      <c r="F15" s="1143"/>
      <c r="G15" s="1143"/>
      <c r="H15" s="1143"/>
      <c r="I15" s="1144"/>
      <c r="J15" s="1143"/>
      <c r="K15" s="1143"/>
      <c r="L15" s="1143"/>
      <c r="M15" s="1144"/>
      <c r="N15" s="1143"/>
      <c r="O15" s="1143"/>
      <c r="P15" s="1143"/>
      <c r="Q15" s="1144"/>
      <c r="R15" s="1143"/>
      <c r="S15" s="1143"/>
      <c r="T15" s="1143"/>
      <c r="U15" s="1144"/>
      <c r="V15" s="1143"/>
      <c r="W15" s="1143"/>
      <c r="X15" s="1143"/>
      <c r="Y15" s="1144"/>
      <c r="Z15" s="1143"/>
      <c r="AA15" s="1143"/>
      <c r="AB15" s="1143"/>
      <c r="AC15" s="1144"/>
      <c r="AD15" s="1143"/>
      <c r="AE15" s="1143"/>
      <c r="AF15" s="1143"/>
      <c r="AG15" s="1144"/>
      <c r="AH15" s="1143"/>
      <c r="AI15" s="1143"/>
      <c r="AJ15" s="1143"/>
      <c r="AK15" s="1144"/>
      <c r="AL15" s="1143"/>
      <c r="AM15" s="1143"/>
      <c r="AN15" s="1143"/>
      <c r="AO15" s="1144"/>
      <c r="AP15" s="1143"/>
      <c r="AQ15" s="1143"/>
      <c r="AR15" s="1143"/>
      <c r="AS15" s="1144"/>
      <c r="AT15" s="1145">
        <f t="shared" ref="AT15:BY15" si="64">SUM(AT11:AT14)</f>
      </c>
      <c r="AU15" s="1145">
        <f t="shared" si="64"/>
      </c>
      <c r="AV15" s="1145">
        <f t="shared" si="64"/>
      </c>
      <c r="AW15" s="1146">
        <f t="shared" si="64"/>
      </c>
      <c r="AX15" s="1145">
        <f t="shared" si="64"/>
      </c>
      <c r="AY15" s="1145">
        <f t="shared" si="64"/>
      </c>
      <c r="AZ15" s="1145">
        <f t="shared" si="64"/>
      </c>
      <c r="BA15" s="1146">
        <f t="shared" si="64"/>
      </c>
      <c r="BB15" s="1145">
        <f t="shared" si="64"/>
      </c>
      <c r="BC15" s="1145">
        <f t="shared" si="64"/>
      </c>
      <c r="BD15" s="1145">
        <f t="shared" si="64"/>
      </c>
      <c r="BE15" s="1146">
        <f t="shared" si="64"/>
      </c>
      <c r="BF15" s="1145">
        <f t="shared" si="64"/>
      </c>
      <c r="BG15" s="1145">
        <f t="shared" si="64"/>
      </c>
      <c r="BH15" s="1145">
        <f t="shared" si="64"/>
      </c>
      <c r="BI15" s="1146">
        <f t="shared" si="64"/>
      </c>
      <c r="BJ15" s="1145">
        <f t="shared" si="64"/>
      </c>
      <c r="BK15" s="1145">
        <f t="shared" si="64"/>
      </c>
      <c r="BL15" s="1145">
        <f t="shared" si="64"/>
      </c>
      <c r="BM15" s="1146">
        <f t="shared" si="64"/>
      </c>
      <c r="BN15" s="1145">
        <f t="shared" si="64"/>
      </c>
      <c r="BO15" s="1145">
        <f t="shared" si="64"/>
      </c>
      <c r="BP15" s="1145">
        <f t="shared" si="64"/>
      </c>
      <c r="BQ15" s="1146">
        <f t="shared" si="64"/>
      </c>
      <c r="BR15" s="1145">
        <f t="shared" si="64"/>
      </c>
      <c r="BS15" s="1145">
        <f t="shared" si="64"/>
      </c>
      <c r="BT15" s="1145">
        <f t="shared" si="64"/>
      </c>
      <c r="BU15" s="1146">
        <f t="shared" si="64"/>
      </c>
      <c r="BV15" s="1147">
        <f t="shared" si="64"/>
      </c>
      <c r="BW15" s="1147">
        <f t="shared" si="64"/>
      </c>
      <c r="BX15" s="1147">
        <f t="shared" si="64"/>
      </c>
      <c r="BY15" s="1148">
        <f t="shared" si="64"/>
      </c>
      <c r="BZ15" s="1147">
        <f t="shared" ref="BZ15:DE15" si="65">SUM(BZ11:BZ14)</f>
      </c>
      <c r="CA15" s="1147">
        <f t="shared" si="65"/>
      </c>
      <c r="CB15" s="1147">
        <f t="shared" si="65"/>
      </c>
      <c r="CC15" s="1148">
        <f t="shared" si="65"/>
      </c>
      <c r="CD15" s="1147">
        <f t="shared" si="65"/>
      </c>
      <c r="CE15" s="1147">
        <f t="shared" si="65"/>
      </c>
      <c r="CF15" s="1147">
        <f t="shared" si="65"/>
      </c>
      <c r="CG15" s="1148">
        <f t="shared" si="65"/>
      </c>
      <c r="CH15" s="1147">
        <f t="shared" si="65"/>
      </c>
      <c r="CI15" s="1147">
        <f t="shared" si="65"/>
      </c>
      <c r="CJ15" s="1147">
        <f t="shared" si="65"/>
      </c>
      <c r="CK15" s="1148">
        <f t="shared" si="65"/>
      </c>
      <c r="CL15" s="1143">
        <f t="shared" si="65"/>
      </c>
      <c r="CM15" s="1143">
        <f t="shared" si="65"/>
      </c>
      <c r="CN15" s="1143">
        <f t="shared" si="65"/>
      </c>
      <c r="CO15" s="1144">
        <f t="shared" si="65"/>
      </c>
      <c r="CP15" s="1143">
        <f t="shared" si="65"/>
      </c>
      <c r="CQ15" s="1143">
        <f t="shared" si="65"/>
      </c>
      <c r="CR15" s="1143">
        <f t="shared" si="65"/>
      </c>
      <c r="CS15" s="1144">
        <f t="shared" si="65"/>
      </c>
      <c r="CT15" s="1143">
        <f t="shared" si="65"/>
      </c>
      <c r="CU15" s="1143">
        <f t="shared" si="65"/>
      </c>
      <c r="CV15" s="1143">
        <f t="shared" si="65"/>
      </c>
      <c r="CW15" s="1144">
        <f t="shared" si="65"/>
      </c>
      <c r="CX15" s="1149">
        <f t="shared" si="65"/>
      </c>
      <c r="CY15" s="1143">
        <f t="shared" si="65"/>
      </c>
      <c r="CZ15" s="1143">
        <f t="shared" si="65"/>
      </c>
      <c r="DA15" s="1144">
        <f t="shared" si="65"/>
      </c>
      <c r="DB15" s="1054">
        <f t="shared" si="65"/>
      </c>
      <c r="DC15" s="1143">
        <f t="shared" si="65"/>
      </c>
      <c r="DD15" s="1143">
        <f t="shared" si="65"/>
      </c>
      <c r="DE15" s="1055">
        <f t="shared" si="65"/>
      </c>
      <c r="DF15" s="2687">
        <f t="shared" ref="DF15" si="66">SUM(DF11:DF14)</f>
      </c>
      <c r="DG15" s="1054">
        <f>SUM(DG11:DG14)</f>
      </c>
      <c r="DH15" s="1054">
        <f>SUM(DH11:DH14)</f>
      </c>
      <c r="DI15" s="1055">
        <f t="shared" ref="DI15:DU15" si="67">SUM(DI11:DI14)</f>
      </c>
      <c r="DJ15" s="2687">
        <f t="shared" si="67"/>
      </c>
      <c r="DK15" s="1054">
        <f>SUM(DK11:DK14)</f>
      </c>
      <c r="DL15" s="1054">
        <f>SUM(DL11:DL14)</f>
      </c>
      <c r="DM15" s="1055">
        <f t="shared" ref="DM15:DN15" si="68">SUM(DM11:DM14)</f>
      </c>
      <c r="DN15" s="2687">
        <f t="shared" si="68"/>
      </c>
      <c r="DO15" s="1054">
        <f>SUM(DO11:DO14)</f>
      </c>
      <c r="DP15" s="1054">
        <f>SUM(DP11:DP14)</f>
      </c>
      <c r="DQ15" s="1055">
        <f t="shared" si="67"/>
      </c>
      <c r="DR15" s="1054">
        <f t="shared" si="67"/>
      </c>
      <c r="DS15" s="1054">
        <f t="shared" si="67"/>
      </c>
      <c r="DT15" s="1054">
        <f t="shared" si="67"/>
      </c>
      <c r="DU15" s="1055">
        <f t="shared" si="67"/>
      </c>
      <c r="DV15" s="1054">
        <f t="shared" ref="DV15:EK15" si="69">SUM(DV11:DV14)</f>
      </c>
      <c r="DW15" s="1054">
        <f t="shared" si="69"/>
      </c>
      <c r="DX15" s="1054">
        <f t="shared" si="69"/>
      </c>
      <c r="DY15" s="1055">
        <f t="shared" si="69"/>
      </c>
      <c r="DZ15" s="1054">
        <f t="shared" si="69"/>
      </c>
      <c r="EA15" s="1054">
        <f t="shared" si="69"/>
      </c>
      <c r="EB15" s="1054">
        <f t="shared" si="69"/>
      </c>
      <c r="EC15" s="1055">
        <f t="shared" si="69"/>
      </c>
      <c r="ED15" s="1054">
        <f t="shared" si="69"/>
      </c>
      <c r="EE15" s="1054">
        <f t="shared" si="69"/>
      </c>
      <c r="EF15" s="1054">
        <f t="shared" si="69"/>
      </c>
      <c r="EG15" s="1055">
        <f t="shared" si="69"/>
      </c>
      <c r="EH15" s="1054">
        <f t="shared" si="69"/>
      </c>
      <c r="EI15" s="1054">
        <f t="shared" si="69"/>
      </c>
      <c r="EJ15" s="1054">
        <f t="shared" si="69"/>
      </c>
      <c r="EK15" s="1055">
        <f t="shared" si="69"/>
      </c>
      <c r="EM15" s="1143"/>
      <c r="EN15" s="1143"/>
      <c r="EO15" s="1143"/>
      <c r="EP15" s="1143"/>
      <c r="EQ15" s="1143"/>
      <c r="ER15" s="1143"/>
      <c r="ES15" s="1143"/>
      <c r="ET15" s="1143"/>
      <c r="EU15" s="1143"/>
      <c r="EV15" s="1143"/>
      <c r="EW15" s="1143"/>
      <c r="EX15" s="1145">
        <f t="shared" si="18"/>
      </c>
      <c r="EY15" s="1145">
        <f t="shared" si="19"/>
      </c>
      <c r="EZ15" s="1145">
        <f t="shared" si="20"/>
      </c>
      <c r="FA15" s="1145">
        <f t="shared" si="21"/>
      </c>
      <c r="FB15" s="1145">
        <f t="shared" si="22"/>
      </c>
      <c r="FC15" s="1145">
        <f t="shared" si="23"/>
      </c>
      <c r="FD15" s="1145">
        <f t="shared" si="24"/>
      </c>
      <c r="FE15" s="1145">
        <f t="shared" si="25"/>
      </c>
      <c r="FF15" s="1145">
        <f t="shared" si="26"/>
      </c>
      <c r="FG15" s="1145">
        <f t="shared" si="27"/>
      </c>
      <c r="FH15" s="1146">
        <f>SUM(FH11:FH14)</f>
      </c>
      <c r="FI15" s="1054">
        <f t="shared" si="28"/>
      </c>
      <c r="FJ15" s="1143">
        <f t="shared" si="29"/>
      </c>
      <c r="FK15" s="1143">
        <f t="shared" si="30"/>
      </c>
      <c r="FL15" s="1143">
        <f t="shared" si="31"/>
      </c>
      <c r="FM15" s="1143">
        <f t="shared" si="32"/>
      </c>
      <c r="FN15" s="1143">
        <f t="shared" si="33"/>
      </c>
      <c r="FO15" s="1143">
        <f t="shared" si="34"/>
      </c>
      <c r="FP15" s="1143">
        <f t="shared" si="35"/>
      </c>
      <c r="FQ15" s="1143">
        <f t="shared" si="36"/>
      </c>
      <c r="FR15" s="1143">
        <f t="shared" si="37"/>
      </c>
      <c r="FS15" s="1143">
        <f t="shared" si="38"/>
      </c>
      <c r="FT15" s="1143">
        <f t="shared" si="39"/>
      </c>
      <c r="FU15" s="1143">
        <f t="shared" si="40"/>
      </c>
      <c r="FV15" s="1143"/>
      <c r="FW15" s="1143"/>
      <c r="FX15" s="1143"/>
      <c r="FY15" s="1143"/>
      <c r="FZ15" s="1143"/>
      <c r="GA15" s="1143"/>
      <c r="GB15" s="1143"/>
      <c r="GC15" s="1143"/>
      <c r="GD15" s="1143"/>
      <c r="GE15" s="1143"/>
      <c r="GF15" s="1143"/>
      <c r="GG15" s="1143"/>
      <c r="GH15" s="1143"/>
      <c r="GI15" s="1145">
        <f t="shared" si="41"/>
      </c>
      <c r="GJ15" s="1145">
        <f t="shared" si="42"/>
      </c>
      <c r="GK15" s="1145">
        <f t="shared" si="43"/>
      </c>
      <c r="GL15" s="1145">
        <f t="shared" si="44"/>
      </c>
      <c r="GM15" s="1145">
        <f t="shared" si="45"/>
      </c>
      <c r="GN15" s="1145">
        <f t="shared" si="46"/>
      </c>
      <c r="GO15" s="1145">
        <f t="shared" si="47"/>
      </c>
      <c r="GP15" s="1145">
        <f t="shared" si="48"/>
      </c>
      <c r="GQ15" s="1145">
        <f t="shared" si="49"/>
      </c>
      <c r="GR15" s="1145">
        <f t="shared" si="50"/>
      </c>
      <c r="GS15" s="1146">
        <f t="shared" si="51"/>
      </c>
      <c r="GT15" s="1143">
        <f t="shared" si="52"/>
      </c>
      <c r="GU15" s="1143">
        <f t="shared" si="53"/>
      </c>
      <c r="GV15" s="1143">
        <f t="shared" si="54"/>
      </c>
      <c r="GW15" s="1143">
        <f t="shared" si="55"/>
      </c>
      <c r="GX15" s="1143">
        <f t="shared" si="56"/>
      </c>
      <c r="GY15" s="1143">
        <f t="shared" si="57"/>
      </c>
      <c r="GZ15" s="1143">
        <f t="shared" si="58"/>
      </c>
      <c r="HA15" s="1143">
        <f t="shared" si="59"/>
      </c>
      <c r="HB15" s="1143">
        <f t="shared" si="60"/>
      </c>
      <c r="HC15" s="1143">
        <f t="shared" si="61"/>
      </c>
      <c r="HD15" s="1143">
        <f t="shared" si="62"/>
      </c>
      <c r="HE15" s="1143">
        <f t="shared" si="63"/>
      </c>
    </row>
    <row r="16" spans="1:213" s="673" customFormat="1" ht="10.199999999999999">
      <c r="A16" s="673" t="s">
        <v>81</v>
      </c>
      <c r="E16" s="1150"/>
      <c r="I16" s="1150"/>
      <c r="M16" s="1150"/>
      <c r="Q16" s="1150"/>
      <c r="U16" s="1150"/>
      <c r="Y16" s="1150"/>
      <c r="AC16" s="1150"/>
      <c r="AG16" s="1150"/>
      <c r="AK16" s="1150"/>
      <c r="AO16" s="1150"/>
      <c r="AS16" s="1150"/>
      <c r="AT16" s="1151">
        <f t="shared" ref="AT16:CK16" si="70">AT17-AT15</f>
      </c>
      <c r="AU16" s="1152">
        <f t="shared" si="70"/>
      </c>
      <c r="AV16" s="1152">
        <f t="shared" si="70"/>
      </c>
      <c r="AW16" s="1153">
        <f t="shared" si="70"/>
      </c>
      <c r="AX16" s="1151">
        <f t="shared" si="70"/>
      </c>
      <c r="AY16" s="1152">
        <f t="shared" si="70"/>
      </c>
      <c r="AZ16" s="1152">
        <f t="shared" si="70"/>
      </c>
      <c r="BA16" s="1153">
        <f t="shared" si="70"/>
      </c>
      <c r="BB16" s="1154">
        <f t="shared" si="70"/>
      </c>
      <c r="BC16" s="1155">
        <f t="shared" si="70"/>
      </c>
      <c r="BD16" s="1155">
        <f t="shared" si="70"/>
      </c>
      <c r="BE16" s="1156">
        <f t="shared" si="70"/>
      </c>
      <c r="BF16" s="1154">
        <f t="shared" si="70"/>
      </c>
      <c r="BG16" s="1155">
        <f t="shared" si="70"/>
      </c>
      <c r="BH16" s="1155">
        <f t="shared" si="70"/>
      </c>
      <c r="BI16" s="1156">
        <f t="shared" si="70"/>
      </c>
      <c r="BJ16" s="1154">
        <f t="shared" si="70"/>
      </c>
      <c r="BK16" s="1155">
        <f t="shared" si="70"/>
      </c>
      <c r="BL16" s="1155">
        <f t="shared" si="70"/>
      </c>
      <c r="BM16" s="1156">
        <f t="shared" si="70"/>
      </c>
      <c r="BN16" s="1154">
        <f t="shared" si="70"/>
      </c>
      <c r="BO16" s="1155">
        <f t="shared" si="70"/>
      </c>
      <c r="BP16" s="1155">
        <f t="shared" si="70"/>
      </c>
      <c r="BQ16" s="1156">
        <f t="shared" si="70"/>
      </c>
      <c r="BR16" s="1154">
        <f t="shared" si="70"/>
      </c>
      <c r="BS16" s="1155">
        <f t="shared" si="70"/>
      </c>
      <c r="BT16" s="1155">
        <f t="shared" si="70"/>
      </c>
      <c r="BU16" s="1156">
        <f t="shared" si="70"/>
      </c>
      <c r="BV16" s="1157">
        <f t="shared" si="70"/>
      </c>
      <c r="BW16" s="1158">
        <f t="shared" si="70"/>
      </c>
      <c r="BX16" s="1158">
        <f t="shared" si="70"/>
      </c>
      <c r="BY16" s="1159">
        <f t="shared" si="70"/>
      </c>
      <c r="BZ16" s="1157">
        <f t="shared" si="70"/>
      </c>
      <c r="CA16" s="1158">
        <f t="shared" si="70"/>
      </c>
      <c r="CB16" s="1158">
        <f t="shared" si="70"/>
      </c>
      <c r="CC16" s="1159">
        <f t="shared" si="70"/>
      </c>
      <c r="CD16" s="1157">
        <f t="shared" si="70"/>
      </c>
      <c r="CE16" s="1158">
        <f t="shared" si="70"/>
      </c>
      <c r="CF16" s="1158">
        <f t="shared" si="70"/>
      </c>
      <c r="CG16" s="1159">
        <f t="shared" si="70"/>
      </c>
      <c r="CH16" s="1160">
        <f t="shared" si="70"/>
      </c>
      <c r="CI16" s="1161">
        <f t="shared" si="70"/>
      </c>
      <c r="CJ16" s="1161">
        <f t="shared" si="70"/>
      </c>
      <c r="CK16" s="1162">
        <f t="shared" si="70"/>
      </c>
      <c r="CL16" s="673">
        <f>'Segment - Services'!CL21</f>
      </c>
      <c r="CM16" s="673">
        <f>'Segment - Services'!CM21</f>
      </c>
      <c r="CN16" s="673">
        <f>'Segment - Services'!CN21</f>
      </c>
      <c r="CO16" s="1150">
        <f>'Segment - Services'!CO21</f>
      </c>
      <c r="CP16" s="673">
        <f>'Segment - Services'!CP21</f>
      </c>
      <c r="CQ16" s="673">
        <f>'Segment - Services'!CQ21</f>
      </c>
      <c r="CR16" s="673">
        <f>'Segment - Services'!CR21</f>
      </c>
      <c r="CS16" s="1150">
        <f>'Segment - Services'!CS21</f>
      </c>
      <c r="CT16" s="673">
        <f>'Segment - Services'!CT21</f>
      </c>
      <c r="CU16" s="673">
        <f>'Segment - Services'!CU21</f>
      </c>
      <c r="CV16" s="673">
        <f>'Segment - Services'!CV21</f>
      </c>
      <c r="CW16" s="1150">
        <f>'Segment - Services'!CW21</f>
      </c>
      <c r="CX16" s="1163">
        <f>'Segment - Services'!CX21</f>
      </c>
      <c r="CY16" s="673">
        <f>'Segment - Services'!CY21</f>
      </c>
      <c r="CZ16" s="673">
        <f>'Segment - Services'!CZ21</f>
      </c>
      <c r="DA16" s="1150">
        <f>'Segment - Services'!DA21</f>
      </c>
      <c r="DB16" s="905">
        <f>'Segment - Services'!DB21</f>
      </c>
      <c r="DC16" s="673">
        <f>'Segment - Services'!DC21</f>
      </c>
      <c r="DD16" s="673">
        <f>'Segment - Services'!DD21</f>
      </c>
      <c r="DE16" s="780">
        <v>19188</v>
      </c>
      <c r="DF16" s="2688">
        <v>20766</v>
      </c>
      <c r="DG16" s="2857">
        <v>20907</v>
      </c>
      <c r="DH16" s="2857">
        <v>21213</v>
      </c>
      <c r="DI16" s="780">
        <v>22314</v>
      </c>
      <c r="DJ16" s="2688">
        <v>23117</v>
      </c>
      <c r="DK16" s="2857">
        <v>23867</v>
      </c>
      <c r="DL16" s="2857">
        <v>24213</v>
      </c>
      <c r="DM16" s="780">
        <v>24972</v>
      </c>
      <c r="DN16" s="2688">
        <v>26340</v>
      </c>
      <c r="DO16" s="2857">
        <v>26645</v>
      </c>
      <c r="DP16" s="2857">
        <v>27423</v>
      </c>
      <c r="DQ16" s="1058">
        <f>'Segment - Services'!DQ21</f>
      </c>
      <c r="DR16" s="905">
        <f>'Segment - Services'!DR21</f>
      </c>
      <c r="DS16" s="905">
        <f>'Segment - Services'!DS21</f>
      </c>
      <c r="DT16" s="905">
        <f>'Segment - Services'!DT21</f>
      </c>
      <c r="DU16" s="1058">
        <f>'Segment - Services'!DU21</f>
      </c>
      <c r="DV16" s="905">
        <f>'Segment - Services'!DV21</f>
      </c>
      <c r="DW16" s="905">
        <f>'Segment - Services'!DW21</f>
      </c>
      <c r="DX16" s="905">
        <f>'Segment - Services'!DX21</f>
      </c>
      <c r="DY16" s="1058">
        <f>'Segment - Services'!DY21</f>
      </c>
      <c r="DZ16" s="905">
        <f>'Segment - Services'!DZ21</f>
      </c>
      <c r="EA16" s="905">
        <f>'Segment - Services'!EA21</f>
      </c>
      <c r="EB16" s="905">
        <f>'Segment - Services'!EB21</f>
      </c>
      <c r="EC16" s="1058">
        <f>'Segment - Services'!EC21</f>
      </c>
      <c r="ED16" s="905">
        <f>'Segment - Services'!ED21</f>
      </c>
      <c r="EE16" s="905">
        <f>'Segment - Services'!EE21</f>
      </c>
      <c r="EF16" s="905">
        <f>'Segment - Services'!EF21</f>
      </c>
      <c r="EG16" s="1058">
        <f>'Segment - Services'!EG21</f>
      </c>
      <c r="EH16" s="905">
        <f>'Segment - Services'!EH21</f>
      </c>
      <c r="EI16" s="905">
        <f>'Segment - Services'!EI21</f>
      </c>
      <c r="EJ16" s="905">
        <f>'Segment - Services'!EJ21</f>
      </c>
      <c r="EK16" s="1058">
        <f>'Segment - Services'!EK21</f>
      </c>
      <c r="EL16" s="905"/>
      <c r="EX16" s="668">
        <f t="shared" si="18"/>
      </c>
      <c r="EY16" s="668">
        <f t="shared" si="19"/>
      </c>
      <c r="EZ16" s="668">
        <f t="shared" si="20"/>
      </c>
      <c r="FA16" s="668">
        <f t="shared" si="21"/>
      </c>
      <c r="FB16" s="668">
        <f t="shared" si="22"/>
      </c>
      <c r="FC16" s="668">
        <f t="shared" si="23"/>
      </c>
      <c r="FD16" s="668">
        <f t="shared" si="24"/>
      </c>
      <c r="FE16" s="668">
        <f t="shared" si="25"/>
      </c>
      <c r="FF16" s="668">
        <f t="shared" si="26"/>
      </c>
      <c r="FG16" s="668">
        <f t="shared" si="27"/>
      </c>
      <c r="FH16" s="1164">
        <v>32700</v>
      </c>
      <c r="FI16" s="905">
        <f t="shared" si="28"/>
      </c>
      <c r="FJ16" s="673">
        <f t="shared" si="29"/>
      </c>
      <c r="FK16" s="673">
        <f t="shared" si="30"/>
      </c>
      <c r="FL16" s="673">
        <f t="shared" si="31"/>
      </c>
      <c r="FM16" s="673">
        <f t="shared" si="32"/>
      </c>
      <c r="FN16" s="673">
        <f t="shared" si="33"/>
      </c>
      <c r="FO16" s="673">
        <f t="shared" si="34"/>
      </c>
      <c r="FP16" s="673">
        <f t="shared" si="35"/>
      </c>
      <c r="FQ16" s="673">
        <f t="shared" si="36"/>
      </c>
      <c r="FR16" s="673">
        <f t="shared" si="37"/>
      </c>
      <c r="FS16" s="673">
        <f t="shared" si="38"/>
      </c>
      <c r="FT16" s="673">
        <f t="shared" si="39"/>
      </c>
      <c r="FU16" s="673">
        <f t="shared" si="40"/>
      </c>
      <c r="GI16" s="668">
        <f t="shared" si="41"/>
      </c>
      <c r="GJ16" s="668">
        <f t="shared" si="42"/>
      </c>
      <c r="GK16" s="668">
        <f t="shared" si="43"/>
      </c>
      <c r="GL16" s="668">
        <f t="shared" si="44"/>
      </c>
      <c r="GM16" s="668">
        <f t="shared" si="45"/>
      </c>
      <c r="GN16" s="668">
        <f t="shared" si="46"/>
      </c>
      <c r="GO16" s="668">
        <f t="shared" si="47"/>
      </c>
      <c r="GP16" s="668">
        <f t="shared" si="48"/>
      </c>
      <c r="GQ16" s="668">
        <f t="shared" si="49"/>
      </c>
      <c r="GR16" s="668">
        <f t="shared" si="50"/>
      </c>
      <c r="GS16" s="670">
        <f t="shared" si="51"/>
      </c>
      <c r="GT16" s="673">
        <f t="shared" si="52"/>
      </c>
      <c r="GU16" s="673">
        <f t="shared" si="53"/>
      </c>
      <c r="GV16" s="673">
        <f t="shared" si="54"/>
      </c>
      <c r="GW16" s="673">
        <f t="shared" si="55"/>
      </c>
      <c r="GX16" s="673">
        <f t="shared" si="56"/>
      </c>
      <c r="GY16" s="673">
        <f t="shared" si="57"/>
      </c>
      <c r="GZ16" s="673">
        <f t="shared" si="58"/>
      </c>
      <c r="HA16" s="673">
        <f t="shared" si="59"/>
      </c>
      <c r="HB16" s="673">
        <f t="shared" si="60"/>
      </c>
      <c r="HC16" s="673">
        <f t="shared" si="61"/>
      </c>
      <c r="HD16" s="673">
        <f t="shared" si="62"/>
      </c>
      <c r="HE16" s="673">
        <f t="shared" si="63"/>
      </c>
    </row>
    <row r="17" spans="1:213" s="1165" customFormat="1" ht="10.8" thickBot="1">
      <c r="A17" s="1995" t="s">
        <v>1246</v>
      </c>
      <c r="B17" s="1995"/>
      <c r="C17" s="1995"/>
      <c r="D17" s="1995"/>
      <c r="E17" s="1996"/>
      <c r="F17" s="1995"/>
      <c r="G17" s="1995"/>
      <c r="H17" s="1995"/>
      <c r="I17" s="1996"/>
      <c r="J17" s="1997">
        <f>'Income Statement'!J9</f>
      </c>
      <c r="K17" s="1998">
        <f>'Income Statement'!K9</f>
      </c>
      <c r="L17" s="1998">
        <f>'Income Statement'!L9</f>
      </c>
      <c r="M17" s="1999">
        <f>'Income Statement'!M9</f>
      </c>
      <c r="N17" s="1997">
        <f>'Income Statement'!N9</f>
      </c>
      <c r="O17" s="1998">
        <f>'Income Statement'!O9</f>
      </c>
      <c r="P17" s="1998">
        <f>'Income Statement'!P9</f>
      </c>
      <c r="Q17" s="1999">
        <f>'Income Statement'!Q9</f>
      </c>
      <c r="R17" s="1997">
        <f>'Income Statement'!R9</f>
      </c>
      <c r="S17" s="1998">
        <f>'Income Statement'!S9</f>
      </c>
      <c r="T17" s="1998">
        <f>'Income Statement'!T9</f>
      </c>
      <c r="U17" s="1999">
        <f>'Income Statement'!U9</f>
      </c>
      <c r="V17" s="1997">
        <f>'Income Statement'!V9</f>
      </c>
      <c r="W17" s="1998">
        <f>'Income Statement'!W9</f>
      </c>
      <c r="X17" s="1998">
        <f>'Income Statement'!X9</f>
      </c>
      <c r="Y17" s="1999">
        <f>'Income Statement'!Y9</f>
      </c>
      <c r="Z17" s="1997">
        <f>'Income Statement'!Z9</f>
      </c>
      <c r="AA17" s="1998">
        <f>'Income Statement'!AA9</f>
      </c>
      <c r="AB17" s="1998">
        <f>'Income Statement'!AB9</f>
      </c>
      <c r="AC17" s="1999">
        <f>'Income Statement'!AC9</f>
      </c>
      <c r="AD17" s="1997">
        <f>'Income Statement'!AD9</f>
      </c>
      <c r="AE17" s="1998">
        <f>'Income Statement'!AE9</f>
      </c>
      <c r="AF17" s="1998">
        <f>'Income Statement'!AF9</f>
      </c>
      <c r="AG17" s="1999">
        <f>'Income Statement'!AG9</f>
      </c>
      <c r="AH17" s="1997">
        <f>'Income Statement'!AH9</f>
      </c>
      <c r="AI17" s="1998">
        <f>'Income Statement'!AI9</f>
      </c>
      <c r="AJ17" s="1998">
        <f>'Income Statement'!AJ9</f>
      </c>
      <c r="AK17" s="1999">
        <f>'Income Statement'!AK9</f>
      </c>
      <c r="AL17" s="1997">
        <f>'Income Statement'!AL9</f>
      </c>
      <c r="AM17" s="1998">
        <f>'Income Statement'!AM9</f>
      </c>
      <c r="AN17" s="1998">
        <f>'Income Statement'!AN9</f>
      </c>
      <c r="AO17" s="1999">
        <f>'Income Statement'!AO9</f>
      </c>
      <c r="AP17" s="1997">
        <f>'Income Statement'!AP9</f>
      </c>
      <c r="AQ17" s="1998">
        <f>'Income Statement'!AQ9</f>
      </c>
      <c r="AR17" s="1998">
        <f>'Income Statement'!AR9</f>
      </c>
      <c r="AS17" s="1999">
        <f>'Income Statement'!AS9</f>
      </c>
      <c r="AT17" s="1997">
        <f>'Income Statement'!AT9</f>
      </c>
      <c r="AU17" s="1998">
        <f>'Income Statement'!AU9</f>
      </c>
      <c r="AV17" s="1998">
        <f>'Income Statement'!AV9</f>
      </c>
      <c r="AW17" s="1999">
        <f>'Income Statement'!AW9</f>
      </c>
      <c r="AX17" s="1997">
        <f>'Income Statement'!AX9</f>
      </c>
      <c r="AY17" s="1998">
        <f>'Income Statement'!AY9</f>
      </c>
      <c r="AZ17" s="1998">
        <f>'Income Statement'!AZ9</f>
      </c>
      <c r="BA17" s="1999">
        <f>'Income Statement'!BA9</f>
      </c>
      <c r="BB17" s="1997">
        <f>'Income Statement'!BB9</f>
      </c>
      <c r="BC17" s="1998">
        <f>'Income Statement'!BC9</f>
      </c>
      <c r="BD17" s="1998">
        <f>'Income Statement'!BD9</f>
      </c>
      <c r="BE17" s="1999">
        <f>'Income Statement'!BE9</f>
      </c>
      <c r="BF17" s="1997">
        <f>'Income Statement'!BF9</f>
      </c>
      <c r="BG17" s="1998">
        <f>'Income Statement'!BG9</f>
      </c>
      <c r="BH17" s="1998">
        <f>'Income Statement'!BH9</f>
      </c>
      <c r="BI17" s="1999">
        <f>'Income Statement'!BI9</f>
      </c>
      <c r="BJ17" s="1997">
        <f>'Income Statement'!BJ9</f>
      </c>
      <c r="BK17" s="1998">
        <f>'Income Statement'!BK9</f>
      </c>
      <c r="BL17" s="1998">
        <f>'Income Statement'!BL9</f>
      </c>
      <c r="BM17" s="1999">
        <f>'Income Statement'!BM9</f>
      </c>
      <c r="BN17" s="1997">
        <f>'Income Statement'!BN9</f>
      </c>
      <c r="BO17" s="1998">
        <f>'Income Statement'!BO9</f>
      </c>
      <c r="BP17" s="1998">
        <f>'Income Statement'!BP9</f>
      </c>
      <c r="BQ17" s="1999">
        <f>'Income Statement'!BQ9</f>
      </c>
      <c r="BR17" s="1997">
        <f>'Income Statement'!BR9</f>
      </c>
      <c r="BS17" s="1998">
        <f>'Income Statement'!BS9</f>
      </c>
      <c r="BT17" s="1998">
        <f>'Income Statement'!BT9</f>
      </c>
      <c r="BU17" s="1999">
        <f>'Income Statement'!BU9</f>
      </c>
      <c r="BV17" s="1997">
        <f>'Income Statement'!BV9</f>
      </c>
      <c r="BW17" s="1998">
        <f>'Income Statement'!BW9</f>
      </c>
      <c r="BX17" s="1998">
        <f>'Income Statement'!BX9</f>
      </c>
      <c r="BY17" s="1999">
        <f>'Income Statement'!BY9</f>
      </c>
      <c r="BZ17" s="1997">
        <f>'Income Statement'!BZ9</f>
      </c>
      <c r="CA17" s="1998">
        <f>'Income Statement'!CA9</f>
      </c>
      <c r="CB17" s="1998">
        <f>'Income Statement'!CB9</f>
      </c>
      <c r="CC17" s="1999">
        <f>'Income Statement'!CC9</f>
      </c>
      <c r="CD17" s="1997">
        <f>'Income Statement'!CD9</f>
      </c>
      <c r="CE17" s="1998">
        <f>'Income Statement'!CE9</f>
      </c>
      <c r="CF17" s="1998">
        <f>'Income Statement'!CF9</f>
      </c>
      <c r="CG17" s="1999">
        <f>'Income Statement'!CG9</f>
      </c>
      <c r="CH17" s="2000">
        <v>78351</v>
      </c>
      <c r="CI17" s="2000">
        <v>52896</v>
      </c>
      <c r="CJ17" s="2000">
        <v>45408</v>
      </c>
      <c r="CK17" s="2001">
        <v>52579</v>
      </c>
      <c r="CL17" s="1995">
        <f t="shared" ref="CL17:DU17" si="71">CL15+CL16</f>
      </c>
      <c r="CM17" s="1995">
        <f t="shared" si="71"/>
      </c>
      <c r="CN17" s="1995">
        <f t="shared" si="71"/>
      </c>
      <c r="CO17" s="1996">
        <f t="shared" si="71"/>
      </c>
      <c r="CP17" s="1995">
        <f t="shared" si="71"/>
      </c>
      <c r="CQ17" s="1995">
        <f t="shared" si="71"/>
      </c>
      <c r="CR17" s="1995">
        <f t="shared" si="71"/>
      </c>
      <c r="CS17" s="1996">
        <f t="shared" si="71"/>
      </c>
      <c r="CT17" s="1995">
        <f t="shared" si="71"/>
      </c>
      <c r="CU17" s="1995">
        <f t="shared" si="71"/>
      </c>
      <c r="CV17" s="1995">
        <f t="shared" si="71"/>
      </c>
      <c r="CW17" s="1996">
        <f t="shared" si="71"/>
      </c>
      <c r="CX17" s="2002">
        <f t="shared" si="71"/>
      </c>
      <c r="CY17" s="1995">
        <f t="shared" si="71"/>
      </c>
      <c r="CZ17" s="1995">
        <f t="shared" si="71"/>
      </c>
      <c r="DA17" s="1996">
        <f t="shared" si="71"/>
      </c>
      <c r="DB17" s="1995">
        <f t="shared" si="71"/>
      </c>
      <c r="DC17" s="1995">
        <f t="shared" si="71"/>
      </c>
      <c r="DD17" s="1995">
        <f t="shared" si="71"/>
      </c>
      <c r="DE17" s="1996">
        <f t="shared" si="71"/>
      </c>
      <c r="DF17" s="1995">
        <f t="shared" si="71"/>
      </c>
      <c r="DG17" s="1995">
        <f t="shared" si="71"/>
      </c>
      <c r="DH17" s="1995">
        <f t="shared" si="71"/>
      </c>
      <c r="DI17" s="1996">
        <f t="shared" si="71"/>
      </c>
      <c r="DJ17" s="1995">
        <f t="shared" ref="DJ17:DM17" si="72">DJ15+DJ16</f>
      </c>
      <c r="DK17" s="1995">
        <f t="shared" si="72"/>
      </c>
      <c r="DL17" s="1995">
        <f t="shared" si="72"/>
      </c>
      <c r="DM17" s="1996">
        <f t="shared" si="72"/>
      </c>
      <c r="DN17" s="1995">
        <f t="shared" ref="DN17:DP17" si="73">DN15+DN16</f>
      </c>
      <c r="DO17" s="1995">
        <f t="shared" si="73"/>
      </c>
      <c r="DP17" s="1995">
        <f t="shared" si="73"/>
      </c>
      <c r="DQ17" s="1996">
        <f t="shared" si="71"/>
      </c>
      <c r="DR17" s="1995">
        <f t="shared" si="71"/>
      </c>
      <c r="DS17" s="1995">
        <f t="shared" si="71"/>
      </c>
      <c r="DT17" s="1995">
        <f t="shared" si="71"/>
      </c>
      <c r="DU17" s="1996">
        <f t="shared" si="71"/>
      </c>
      <c r="DV17" s="1995">
        <f t="shared" ref="DV17:EK17" si="74">DV15+DV16</f>
      </c>
      <c r="DW17" s="1995">
        <f t="shared" si="74"/>
      </c>
      <c r="DX17" s="1995">
        <f t="shared" si="74"/>
      </c>
      <c r="DY17" s="1996">
        <f t="shared" si="74"/>
      </c>
      <c r="DZ17" s="1995">
        <f t="shared" si="74"/>
      </c>
      <c r="EA17" s="1995">
        <f t="shared" si="74"/>
      </c>
      <c r="EB17" s="1995">
        <f t="shared" si="74"/>
      </c>
      <c r="EC17" s="1996">
        <f t="shared" si="74"/>
      </c>
      <c r="ED17" s="1995">
        <f t="shared" si="74"/>
      </c>
      <c r="EE17" s="1995">
        <f t="shared" si="74"/>
      </c>
      <c r="EF17" s="1995">
        <f t="shared" si="74"/>
      </c>
      <c r="EG17" s="1996">
        <f t="shared" si="74"/>
      </c>
      <c r="EH17" s="1995">
        <f t="shared" si="74"/>
      </c>
      <c r="EI17" s="1995">
        <f t="shared" si="74"/>
      </c>
      <c r="EJ17" s="1995">
        <f t="shared" si="74"/>
      </c>
      <c r="EK17" s="1996">
        <f t="shared" si="74"/>
      </c>
      <c r="EL17" s="1078"/>
      <c r="EM17" s="2003"/>
      <c r="EN17" s="2003"/>
      <c r="EO17" s="2003">
        <f>SUM(J17:M17)</f>
      </c>
      <c r="EP17" s="2003">
        <f>SUM(N17:Q17)</f>
      </c>
      <c r="EQ17" s="2003">
        <f>SUM(R17:U17)</f>
      </c>
      <c r="ER17" s="2003">
        <f>SUM(V17:Y17)</f>
      </c>
      <c r="ES17" s="2003">
        <f>SUM(Z17:AC17)</f>
      </c>
      <c r="ET17" s="2003">
        <f>SUM(AD17:AG17)</f>
      </c>
      <c r="EU17" s="2003">
        <f>SUM(AI17:AL17)</f>
      </c>
      <c r="EV17" s="2003">
        <f>SUM(AM17:AP17)</f>
      </c>
      <c r="EW17" s="2003">
        <f>SUM(AQ17:AT17)</f>
      </c>
      <c r="EX17" s="2003">
        <f t="shared" si="18"/>
      </c>
      <c r="EY17" s="2003">
        <f t="shared" si="19"/>
      </c>
      <c r="EZ17" s="2003">
        <f t="shared" si="20"/>
      </c>
      <c r="FA17" s="2003">
        <f t="shared" si="21"/>
      </c>
      <c r="FB17" s="2003">
        <f t="shared" si="22"/>
      </c>
      <c r="FC17" s="2003">
        <f t="shared" si="23"/>
      </c>
      <c r="FD17" s="2003">
        <f t="shared" si="24"/>
      </c>
      <c r="FE17" s="2003">
        <f t="shared" si="25"/>
      </c>
      <c r="FF17" s="2003">
        <f t="shared" si="26"/>
      </c>
      <c r="FG17" s="2003">
        <f t="shared" si="27"/>
      </c>
      <c r="FH17" s="2004">
        <f>FH15+FH16</f>
      </c>
      <c r="FI17" s="2003">
        <f t="shared" si="28"/>
      </c>
      <c r="FJ17" s="2003">
        <f t="shared" si="29"/>
      </c>
      <c r="FK17" s="2003">
        <f t="shared" si="30"/>
      </c>
      <c r="FL17" s="2003">
        <f t="shared" si="31"/>
      </c>
      <c r="FM17" s="2003">
        <f t="shared" si="32"/>
      </c>
      <c r="FN17" s="2003">
        <f t="shared" si="33"/>
      </c>
      <c r="FO17" s="2003">
        <f t="shared" si="34"/>
      </c>
      <c r="FP17" s="2003">
        <f t="shared" si="35"/>
      </c>
      <c r="FQ17" s="2003">
        <f t="shared" si="36"/>
      </c>
      <c r="FR17" s="2003">
        <f t="shared" si="37"/>
      </c>
      <c r="FS17" s="2003">
        <f t="shared" si="38"/>
      </c>
      <c r="FT17" s="2003">
        <f t="shared" si="39"/>
      </c>
      <c r="FU17" s="2003">
        <f t="shared" si="40"/>
      </c>
      <c r="FV17" s="2003"/>
      <c r="FW17" s="2003"/>
      <c r="FX17" s="2003"/>
      <c r="FY17" s="2003">
        <f>SUM(G17:J17)</f>
      </c>
      <c r="FZ17" s="2003">
        <f>SUM(K17:N17)</f>
      </c>
      <c r="GA17" s="2003">
        <f>SUM(O17:R17)</f>
      </c>
      <c r="GB17" s="2003">
        <f>SUM(S17:V17)</f>
      </c>
      <c r="GC17" s="2003">
        <f>SUM(W17:Z17)</f>
      </c>
      <c r="GD17" s="2003">
        <f>SUM(AA17:AD17)</f>
      </c>
      <c r="GE17" s="2003">
        <f>SUM(AE17:AH17)</f>
      </c>
      <c r="GF17" s="2003">
        <f>SUM(AI17:AL17)</f>
      </c>
      <c r="GG17" s="2003">
        <f>SUM(AM17:AP17)</f>
      </c>
      <c r="GH17" s="2003">
        <f>SUM(AQ17:AT17)</f>
      </c>
      <c r="GI17" s="2003">
        <f t="shared" si="41"/>
      </c>
      <c r="GJ17" s="2003">
        <f t="shared" si="42"/>
      </c>
      <c r="GK17" s="2003">
        <f t="shared" si="43"/>
      </c>
      <c r="GL17" s="2003">
        <f t="shared" si="44"/>
      </c>
      <c r="GM17" s="2003">
        <f t="shared" si="45"/>
      </c>
      <c r="GN17" s="2003">
        <f t="shared" si="46"/>
      </c>
      <c r="GO17" s="2003">
        <f t="shared" si="47"/>
      </c>
      <c r="GP17" s="2003">
        <f t="shared" si="48"/>
      </c>
      <c r="GQ17" s="2003">
        <f t="shared" si="49"/>
      </c>
      <c r="GR17" s="2003">
        <f t="shared" si="50"/>
      </c>
      <c r="GS17" s="2004">
        <f t="shared" si="51"/>
      </c>
      <c r="GT17" s="2003">
        <f t="shared" si="52"/>
      </c>
      <c r="GU17" s="2003">
        <f t="shared" si="53"/>
      </c>
      <c r="GV17" s="2003">
        <f t="shared" si="54"/>
      </c>
      <c r="GW17" s="2003">
        <f t="shared" si="55"/>
      </c>
      <c r="GX17" s="2003">
        <f t="shared" si="56"/>
      </c>
      <c r="GY17" s="2003">
        <f t="shared" si="57"/>
      </c>
      <c r="GZ17" s="2003">
        <f t="shared" si="58"/>
      </c>
      <c r="HA17" s="2003">
        <f t="shared" si="59"/>
      </c>
      <c r="HB17" s="2003">
        <f t="shared" si="60"/>
      </c>
      <c r="HC17" s="2003">
        <f t="shared" si="61"/>
      </c>
      <c r="HD17" s="2003">
        <f t="shared" si="62"/>
      </c>
      <c r="HE17" s="2003">
        <f t="shared" si="63"/>
      </c>
    </row>
    <row r="18" spans="1:213" s="1" customFormat="1" ht="10.8" thickTop="1">
      <c r="A18" s="536"/>
      <c r="B18" s="166"/>
      <c r="C18" s="166"/>
      <c r="D18" s="166"/>
      <c r="E18" s="534"/>
      <c r="F18" s="166"/>
      <c r="G18" s="166"/>
      <c r="H18" s="166"/>
      <c r="I18" s="534"/>
      <c r="J18" s="316"/>
      <c r="K18" s="316"/>
      <c r="L18" s="316"/>
      <c r="M18" s="317"/>
      <c r="N18" s="316"/>
      <c r="O18" s="316"/>
      <c r="P18" s="316"/>
      <c r="Q18" s="317"/>
      <c r="R18" s="316"/>
      <c r="S18" s="316"/>
      <c r="T18" s="316"/>
      <c r="U18" s="317"/>
      <c r="V18" s="316"/>
      <c r="W18" s="316"/>
      <c r="X18" s="316"/>
      <c r="Y18" s="317"/>
      <c r="Z18" s="316"/>
      <c r="AA18" s="316"/>
      <c r="AB18" s="316"/>
      <c r="AC18" s="317"/>
      <c r="AD18" s="316"/>
      <c r="AE18" s="316"/>
      <c r="AF18" s="316"/>
      <c r="AG18" s="317"/>
      <c r="AH18" s="316"/>
      <c r="AI18" s="316"/>
      <c r="AJ18" s="316"/>
      <c r="AK18" s="317"/>
      <c r="AL18" s="316"/>
      <c r="AM18" s="316"/>
      <c r="AN18" s="316"/>
      <c r="AO18" s="317"/>
      <c r="AP18" s="316"/>
      <c r="AQ18" s="316"/>
      <c r="AR18" s="316"/>
      <c r="AS18" s="317"/>
      <c r="AT18" s="316"/>
      <c r="AU18" s="316"/>
      <c r="AV18" s="316"/>
      <c r="AW18" s="317"/>
      <c r="AX18" s="316"/>
      <c r="AY18" s="316"/>
      <c r="AZ18" s="316"/>
      <c r="BA18" s="317"/>
      <c r="BB18" s="316"/>
      <c r="BC18" s="316"/>
      <c r="BD18" s="316"/>
      <c r="BE18" s="317"/>
      <c r="BF18" s="316"/>
      <c r="BG18" s="316"/>
      <c r="BH18" s="316"/>
      <c r="BI18" s="317"/>
      <c r="BJ18" s="316"/>
      <c r="BK18" s="124"/>
      <c r="BL18" s="124"/>
      <c r="BM18" s="189"/>
      <c r="BN18" s="124"/>
      <c r="BO18" s="124"/>
      <c r="BP18" s="124"/>
      <c r="BQ18" s="189"/>
      <c r="BR18" s="124"/>
      <c r="BS18" s="124"/>
      <c r="BT18" s="124"/>
      <c r="BU18" s="189"/>
      <c r="BV18" s="124"/>
      <c r="BW18" s="124"/>
      <c r="BX18" s="124"/>
      <c r="BY18" s="189"/>
      <c r="BZ18" s="124"/>
      <c r="CA18" s="124"/>
      <c r="CB18" s="124"/>
      <c r="CC18" s="189"/>
      <c r="CD18" s="124"/>
      <c r="CE18" s="124"/>
      <c r="CF18" s="124"/>
      <c r="CG18" s="189"/>
      <c r="CH18" s="124"/>
      <c r="CI18" s="124"/>
      <c r="CJ18" s="124"/>
      <c r="CK18" s="189"/>
      <c r="CL18" s="124"/>
      <c r="CM18" s="124"/>
      <c r="CN18" s="124"/>
      <c r="CO18" s="189"/>
      <c r="CP18" s="124"/>
      <c r="CQ18" s="124"/>
      <c r="CR18" s="124"/>
      <c r="CS18" s="189"/>
      <c r="CT18" s="124"/>
      <c r="CU18" s="124"/>
      <c r="CV18" s="124"/>
      <c r="CW18" s="189"/>
      <c r="CX18" s="535"/>
      <c r="CY18" s="124"/>
      <c r="CZ18" s="124"/>
      <c r="DA18" s="189"/>
      <c r="DB18" s="316"/>
      <c r="DC18" s="124"/>
      <c r="DD18" s="316"/>
      <c r="DE18" s="317"/>
      <c r="DF18" s="316"/>
      <c r="DG18" s="316"/>
      <c r="DH18" s="316"/>
      <c r="DI18" s="317"/>
      <c r="DJ18" s="316"/>
      <c r="DK18" s="3215"/>
      <c r="DL18" s="316"/>
      <c r="DM18" s="317"/>
      <c r="DN18" s="316"/>
      <c r="DO18" s="316"/>
      <c r="DP18" s="316"/>
      <c r="DQ18" s="317"/>
      <c r="DR18" s="316"/>
      <c r="DS18" s="316"/>
      <c r="DT18" s="316"/>
      <c r="DU18" s="317"/>
      <c r="DV18" s="316"/>
      <c r="DW18" s="316"/>
      <c r="DX18" s="316"/>
      <c r="DY18" s="317"/>
      <c r="DZ18" s="316"/>
      <c r="EA18" s="316"/>
      <c r="EB18" s="316"/>
      <c r="EC18" s="317"/>
      <c r="ED18" s="316"/>
      <c r="EE18" s="316"/>
      <c r="EF18" s="316"/>
      <c r="EG18" s="317"/>
      <c r="EH18" s="316"/>
      <c r="EI18" s="316"/>
      <c r="EJ18" s="316"/>
      <c r="EK18" s="317"/>
      <c r="EM18" s="10"/>
      <c r="EN18" s="10"/>
      <c r="EO18" s="10"/>
      <c r="EP18" s="10"/>
      <c r="EQ18" s="10"/>
      <c r="ER18" s="10"/>
      <c r="ES18" s="10"/>
      <c r="ET18" s="10"/>
      <c r="EU18" s="10"/>
      <c r="EV18" s="10"/>
      <c r="EW18" s="10"/>
      <c r="EX18" s="2494"/>
      <c r="EY18" s="2494"/>
      <c r="EZ18" s="2494"/>
      <c r="FA18" s="2494"/>
      <c r="FB18" s="2494"/>
      <c r="FC18" s="2494"/>
      <c r="FD18" s="2494"/>
      <c r="FE18" s="2494"/>
      <c r="FF18" s="2494"/>
      <c r="FG18" s="2263"/>
      <c r="FH18" s="2263"/>
      <c r="FI18" s="2263"/>
      <c r="FJ18" s="2494"/>
      <c r="FK18" s="2494"/>
      <c r="FL18" s="2494"/>
      <c r="FM18" s="2494"/>
      <c r="FN18" s="2494"/>
      <c r="FO18" s="10"/>
      <c r="FP18" s="10"/>
      <c r="FQ18" s="10"/>
      <c r="FR18" s="10"/>
      <c r="FS18" s="10"/>
      <c r="FT18" s="10"/>
      <c r="FU18" s="10"/>
      <c r="FV18" s="10"/>
      <c r="FX18" s="10"/>
      <c r="FY18" s="10"/>
      <c r="FZ18" s="10"/>
      <c r="GA18" s="10"/>
      <c r="GB18" s="10"/>
      <c r="GC18" s="10"/>
      <c r="GD18" s="10"/>
      <c r="GE18" s="10"/>
      <c r="GF18" s="10"/>
      <c r="GG18" s="10"/>
      <c r="GH18" s="10"/>
      <c r="GI18" s="10"/>
      <c r="GJ18" s="10"/>
      <c r="GK18" s="10"/>
      <c r="GL18" s="10"/>
      <c r="GM18" s="10"/>
      <c r="GN18" s="10"/>
      <c r="GO18" s="10"/>
      <c r="GP18" s="10"/>
      <c r="GQ18" s="10"/>
      <c r="GR18" s="10"/>
      <c r="GS18" s="10"/>
      <c r="GT18" s="10"/>
      <c r="GU18" s="10"/>
      <c r="GV18" s="10"/>
      <c r="GW18" s="10"/>
      <c r="GX18" s="10"/>
      <c r="GY18" s="10"/>
      <c r="GZ18" s="10"/>
      <c r="HA18" s="10"/>
      <c r="HB18" s="10"/>
      <c r="HC18" s="10"/>
      <c r="HD18" s="10"/>
      <c r="HE18" s="10"/>
    </row>
    <row r="19" spans="1:213">
      <c r="A19" s="708" t="s">
        <v>1155</v>
      </c>
      <c r="B19" s="706" t="str">
        <f t="shared" ref="B19:AG19" si="75">B$8</f>
      </c>
      <c r="C19" s="706" t="str">
        <f t="shared" si="75"/>
      </c>
      <c r="D19" s="706" t="str">
        <f t="shared" si="75"/>
      </c>
      <c r="E19" s="707" t="str">
        <f t="shared" si="75"/>
      </c>
      <c r="F19" s="706" t="str">
        <f t="shared" si="75"/>
      </c>
      <c r="G19" s="706" t="str">
        <f t="shared" si="75"/>
      </c>
      <c r="H19" s="706" t="str">
        <f t="shared" si="75"/>
      </c>
      <c r="I19" s="707" t="str">
        <f t="shared" si="75"/>
      </c>
      <c r="J19" s="706" t="str">
        <f t="shared" si="75"/>
      </c>
      <c r="K19" s="706" t="str">
        <f t="shared" si="75"/>
      </c>
      <c r="L19" s="706" t="str">
        <f t="shared" si="75"/>
      </c>
      <c r="M19" s="707" t="str">
        <f t="shared" si="75"/>
      </c>
      <c r="N19" s="706" t="str">
        <f t="shared" si="75"/>
      </c>
      <c r="O19" s="706" t="str">
        <f t="shared" si="75"/>
      </c>
      <c r="P19" s="706" t="str">
        <f t="shared" si="75"/>
      </c>
      <c r="Q19" s="707" t="str">
        <f t="shared" si="75"/>
      </c>
      <c r="R19" s="706" t="str">
        <f t="shared" si="75"/>
      </c>
      <c r="S19" s="706" t="str">
        <f t="shared" si="75"/>
      </c>
      <c r="T19" s="706" t="str">
        <f t="shared" si="75"/>
      </c>
      <c r="U19" s="707" t="str">
        <f t="shared" si="75"/>
      </c>
      <c r="V19" s="706" t="str">
        <f t="shared" si="75"/>
      </c>
      <c r="W19" s="706" t="str">
        <f t="shared" si="75"/>
      </c>
      <c r="X19" s="706" t="str">
        <f t="shared" si="75"/>
      </c>
      <c r="Y19" s="707" t="str">
        <f t="shared" si="75"/>
      </c>
      <c r="Z19" s="706" t="str">
        <f t="shared" si="75"/>
      </c>
      <c r="AA19" s="706" t="str">
        <f t="shared" si="75"/>
      </c>
      <c r="AB19" s="706" t="str">
        <f t="shared" si="75"/>
      </c>
      <c r="AC19" s="707" t="str">
        <f t="shared" si="75"/>
      </c>
      <c r="AD19" s="706" t="str">
        <f t="shared" si="75"/>
      </c>
      <c r="AE19" s="706" t="str">
        <f t="shared" si="75"/>
      </c>
      <c r="AF19" s="706" t="str">
        <f t="shared" si="75"/>
      </c>
      <c r="AG19" s="707" t="str">
        <f t="shared" si="75"/>
      </c>
      <c r="AH19" s="706" t="str">
        <f t="shared" ref="AH19:BM19" si="76">AH$8</f>
      </c>
      <c r="AI19" s="706" t="str">
        <f t="shared" si="76"/>
      </c>
      <c r="AJ19" s="706" t="str">
        <f t="shared" si="76"/>
      </c>
      <c r="AK19" s="707" t="str">
        <f t="shared" si="76"/>
      </c>
      <c r="AL19" s="706" t="str">
        <f t="shared" si="76"/>
      </c>
      <c r="AM19" s="706" t="str">
        <f t="shared" si="76"/>
      </c>
      <c r="AN19" s="706" t="str">
        <f t="shared" si="76"/>
      </c>
      <c r="AO19" s="707" t="str">
        <f t="shared" si="76"/>
      </c>
      <c r="AP19" s="706" t="str">
        <f t="shared" si="76"/>
      </c>
      <c r="AQ19" s="706" t="str">
        <f t="shared" si="76"/>
      </c>
      <c r="AR19" s="706" t="str">
        <f t="shared" si="76"/>
      </c>
      <c r="AS19" s="707" t="str">
        <f t="shared" si="76"/>
      </c>
      <c r="AT19" s="706" t="str">
        <f t="shared" si="76"/>
      </c>
      <c r="AU19" s="706" t="str">
        <f t="shared" si="76"/>
      </c>
      <c r="AV19" s="706" t="str">
        <f t="shared" si="76"/>
      </c>
      <c r="AW19" s="707" t="str">
        <f t="shared" si="76"/>
      </c>
      <c r="AX19" s="706" t="str">
        <f t="shared" si="76"/>
      </c>
      <c r="AY19" s="706" t="str">
        <f t="shared" si="76"/>
      </c>
      <c r="AZ19" s="706" t="str">
        <f t="shared" si="76"/>
      </c>
      <c r="BA19" s="707" t="str">
        <f t="shared" si="76"/>
      </c>
      <c r="BB19" s="706" t="str">
        <f t="shared" si="76"/>
      </c>
      <c r="BC19" s="706" t="str">
        <f t="shared" si="76"/>
      </c>
      <c r="BD19" s="706" t="str">
        <f t="shared" si="76"/>
      </c>
      <c r="BE19" s="707" t="str">
        <f t="shared" si="76"/>
      </c>
      <c r="BF19" s="706" t="str">
        <f t="shared" si="76"/>
      </c>
      <c r="BG19" s="706" t="str">
        <f t="shared" si="76"/>
      </c>
      <c r="BH19" s="706" t="str">
        <f t="shared" si="76"/>
      </c>
      <c r="BI19" s="707" t="str">
        <f t="shared" si="76"/>
      </c>
      <c r="BJ19" s="706" t="str">
        <f t="shared" si="76"/>
      </c>
      <c r="BK19" s="706" t="str">
        <f t="shared" si="76"/>
      </c>
      <c r="BL19" s="706" t="str">
        <f t="shared" si="76"/>
      </c>
      <c r="BM19" s="707" t="str">
        <f t="shared" si="76"/>
      </c>
      <c r="BN19" s="706" t="str">
        <f t="shared" ref="BN19:CS19" si="77">BN$8</f>
      </c>
      <c r="BO19" s="706" t="str">
        <f t="shared" si="77"/>
      </c>
      <c r="BP19" s="706" t="str">
        <f t="shared" si="77"/>
      </c>
      <c r="BQ19" s="707" t="str">
        <f t="shared" si="77"/>
      </c>
      <c r="BR19" s="706" t="str">
        <f t="shared" si="77"/>
      </c>
      <c r="BS19" s="706" t="str">
        <f t="shared" si="77"/>
      </c>
      <c r="BT19" s="706" t="str">
        <f t="shared" si="77"/>
      </c>
      <c r="BU19" s="707" t="str">
        <f t="shared" si="77"/>
      </c>
      <c r="BV19" s="706" t="str">
        <f t="shared" si="77"/>
      </c>
      <c r="BW19" s="706" t="str">
        <f t="shared" si="77"/>
      </c>
      <c r="BX19" s="706" t="str">
        <f t="shared" si="77"/>
      </c>
      <c r="BY19" s="707" t="str">
        <f t="shared" si="77"/>
      </c>
      <c r="BZ19" s="706" t="str">
        <f t="shared" si="77"/>
      </c>
      <c r="CA19" s="706" t="str">
        <f t="shared" si="77"/>
      </c>
      <c r="CB19" s="706" t="str">
        <f t="shared" si="77"/>
      </c>
      <c r="CC19" s="707" t="str">
        <f t="shared" si="77"/>
      </c>
      <c r="CD19" s="706" t="str">
        <f t="shared" si="77"/>
      </c>
      <c r="CE19" s="706" t="str">
        <f t="shared" si="77"/>
      </c>
      <c r="CF19" s="706" t="str">
        <f t="shared" si="77"/>
      </c>
      <c r="CG19" s="707" t="str">
        <f t="shared" si="77"/>
      </c>
      <c r="CH19" s="706" t="str">
        <f t="shared" si="77"/>
      </c>
      <c r="CI19" s="706" t="str">
        <f t="shared" si="77"/>
      </c>
      <c r="CJ19" s="706" t="str">
        <f t="shared" si="77"/>
      </c>
      <c r="CK19" s="707" t="str">
        <f t="shared" si="77"/>
      </c>
      <c r="CL19" s="706" t="str">
        <f t="shared" si="77"/>
      </c>
      <c r="CM19" s="706" t="str">
        <f t="shared" si="77"/>
      </c>
      <c r="CN19" s="706" t="str">
        <f t="shared" si="77"/>
      </c>
      <c r="CO19" s="707" t="str">
        <f t="shared" si="77"/>
      </c>
      <c r="CP19" s="706" t="str">
        <f t="shared" si="77"/>
      </c>
      <c r="CQ19" s="706" t="str">
        <f t="shared" si="77"/>
      </c>
      <c r="CR19" s="706" t="str">
        <f t="shared" si="77"/>
      </c>
      <c r="CS19" s="707" t="str">
        <f t="shared" si="77"/>
      </c>
      <c r="CT19" s="706" t="str">
        <f t="shared" ref="CT19:EK19" si="78">CT$8</f>
      </c>
      <c r="CU19" s="706" t="str">
        <f t="shared" si="78"/>
      </c>
      <c r="CV19" s="706" t="str">
        <f t="shared" si="78"/>
      </c>
      <c r="CW19" s="707" t="str">
        <f t="shared" si="78"/>
      </c>
      <c r="CX19" s="706" t="str">
        <f t="shared" si="78"/>
      </c>
      <c r="CY19" s="706" t="str">
        <f t="shared" si="78"/>
      </c>
      <c r="CZ19" s="706" t="str">
        <f t="shared" si="78"/>
      </c>
      <c r="DA19" s="707" t="str">
        <f t="shared" si="78"/>
      </c>
      <c r="DB19" s="706" t="str">
        <f t="shared" si="78"/>
      </c>
      <c r="DC19" s="706" t="str">
        <f t="shared" si="78"/>
      </c>
      <c r="DD19" s="706" t="str">
        <f t="shared" si="78"/>
      </c>
      <c r="DE19" s="707" t="str">
        <f t="shared" si="78"/>
      </c>
      <c r="DF19" s="706" t="str">
        <f t="shared" si="78"/>
      </c>
      <c r="DG19" s="706" t="str">
        <f t="shared" si="78"/>
      </c>
      <c r="DH19" s="706" t="str">
        <f t="shared" si="78"/>
      </c>
      <c r="DI19" s="707" t="str">
        <f t="shared" si="78"/>
      </c>
      <c r="DJ19" s="706" t="str">
        <f t="shared" si="78"/>
      </c>
      <c r="DK19" s="706" t="str">
        <f t="shared" si="78"/>
      </c>
      <c r="DL19" s="706" t="str">
        <f t="shared" si="78"/>
      </c>
      <c r="DM19" s="707" t="str">
        <f t="shared" si="78"/>
      </c>
      <c r="DN19" s="706" t="str">
        <f t="shared" si="78"/>
      </c>
      <c r="DO19" s="706" t="str">
        <f t="shared" si="78"/>
      </c>
      <c r="DP19" s="706" t="str">
        <f t="shared" si="78"/>
      </c>
      <c r="DQ19" s="707" t="str">
        <f t="shared" si="78"/>
      </c>
      <c r="DR19" s="706" t="str">
        <f t="shared" si="78"/>
      </c>
      <c r="DS19" s="706" t="str">
        <f t="shared" si="78"/>
      </c>
      <c r="DT19" s="706" t="str">
        <f t="shared" si="78"/>
      </c>
      <c r="DU19" s="707" t="str">
        <f t="shared" si="78"/>
      </c>
      <c r="DV19" s="706" t="str">
        <f t="shared" si="78"/>
      </c>
      <c r="DW19" s="706" t="str">
        <f t="shared" si="78"/>
      </c>
      <c r="DX19" s="706" t="str">
        <f t="shared" si="78"/>
      </c>
      <c r="DY19" s="707" t="str">
        <f t="shared" si="78"/>
      </c>
      <c r="DZ19" s="706" t="str">
        <f t="shared" si="78"/>
      </c>
      <c r="EA19" s="706" t="str">
        <f t="shared" si="78"/>
      </c>
      <c r="EB19" s="706" t="str">
        <f t="shared" si="78"/>
      </c>
      <c r="EC19" s="707" t="str">
        <f t="shared" si="78"/>
      </c>
      <c r="ED19" s="706" t="str">
        <f t="shared" si="78"/>
      </c>
      <c r="EE19" s="706" t="str">
        <f t="shared" si="78"/>
      </c>
      <c r="EF19" s="706" t="str">
        <f t="shared" si="78"/>
      </c>
      <c r="EG19" s="707" t="str">
        <f t="shared" si="78"/>
      </c>
      <c r="EH19" s="706" t="str">
        <f t="shared" si="78"/>
      </c>
      <c r="EI19" s="706" t="str">
        <f t="shared" si="78"/>
      </c>
      <c r="EJ19" s="706" t="str">
        <f t="shared" si="78"/>
      </c>
      <c r="EK19" s="707" t="str">
        <f t="shared" si="78"/>
      </c>
      <c r="EM19" s="706"/>
      <c r="EN19" s="706">
        <f t="shared" ref="EN19:FU19" si="79">EN$9</f>
      </c>
      <c r="EO19" s="706">
        <f t="shared" si="79"/>
      </c>
      <c r="EP19" s="706">
        <f t="shared" si="79"/>
      </c>
      <c r="EQ19" s="706">
        <f t="shared" si="79"/>
      </c>
      <c r="ER19" s="706">
        <f t="shared" si="79"/>
      </c>
      <c r="ES19" s="706">
        <f t="shared" si="79"/>
      </c>
      <c r="ET19" s="706">
        <f t="shared" si="79"/>
      </c>
      <c r="EU19" s="706">
        <f t="shared" si="79"/>
      </c>
      <c r="EV19" s="706">
        <f t="shared" si="79"/>
      </c>
      <c r="EW19" s="706">
        <f t="shared" si="79"/>
      </c>
      <c r="EX19" s="706">
        <f t="shared" si="79"/>
      </c>
      <c r="EY19" s="706">
        <f t="shared" si="79"/>
      </c>
      <c r="EZ19" s="706">
        <f t="shared" si="79"/>
      </c>
      <c r="FA19" s="706">
        <f t="shared" si="79"/>
      </c>
      <c r="FB19" s="706">
        <f t="shared" si="79"/>
      </c>
      <c r="FC19" s="706">
        <f t="shared" si="79"/>
      </c>
      <c r="FD19" s="706" t="str">
        <f t="shared" si="79"/>
      </c>
      <c r="FE19" s="706" t="str">
        <f t="shared" si="79"/>
      </c>
      <c r="FF19" s="706" t="str">
        <f t="shared" si="79"/>
      </c>
      <c r="FG19" s="706" t="str">
        <f t="shared" si="79"/>
      </c>
      <c r="FH19" s="706" t="str">
        <f t="shared" si="79"/>
      </c>
      <c r="FI19" s="706" t="str">
        <f t="shared" si="79"/>
      </c>
      <c r="FJ19" s="706" t="str">
        <f t="shared" si="79"/>
      </c>
      <c r="FK19" s="706" t="str">
        <f t="shared" si="79"/>
      </c>
      <c r="FL19" s="706" t="str">
        <f t="shared" si="79"/>
      </c>
      <c r="FM19" s="706" t="str">
        <f t="shared" si="79"/>
      </c>
      <c r="FN19" s="706" t="str">
        <f t="shared" si="79"/>
      </c>
      <c r="FO19" s="706" t="str">
        <f t="shared" si="79"/>
      </c>
      <c r="FP19" s="706" t="str">
        <f t="shared" si="79"/>
      </c>
      <c r="FQ19" s="706" t="str">
        <f t="shared" si="79"/>
      </c>
      <c r="FR19" s="706" t="str">
        <f t="shared" si="79"/>
      </c>
      <c r="FS19" s="706" t="str">
        <f t="shared" si="79"/>
      </c>
      <c r="FT19" s="706" t="str">
        <f t="shared" si="79"/>
      </c>
      <c r="FU19" s="706" t="str">
        <f t="shared" si="79"/>
      </c>
      <c r="FV19" s="706"/>
      <c r="FW19" s="706"/>
      <c r="FX19" s="706">
        <f t="shared" ref="FX19:HE19" si="80">FX$9</f>
      </c>
      <c r="FY19" s="706">
        <f t="shared" si="80"/>
      </c>
      <c r="FZ19" s="706">
        <f t="shared" si="80"/>
      </c>
      <c r="GA19" s="706">
        <f t="shared" si="80"/>
      </c>
      <c r="GB19" s="706">
        <f t="shared" si="80"/>
      </c>
      <c r="GC19" s="706">
        <f t="shared" si="80"/>
      </c>
      <c r="GD19" s="706">
        <f t="shared" si="80"/>
      </c>
      <c r="GE19" s="706">
        <f t="shared" si="80"/>
      </c>
      <c r="GF19" s="706">
        <f t="shared" si="80"/>
      </c>
      <c r="GG19" s="706">
        <f t="shared" si="80"/>
      </c>
      <c r="GH19" s="706">
        <f t="shared" si="80"/>
      </c>
      <c r="GI19" s="706">
        <f t="shared" si="80"/>
      </c>
      <c r="GJ19" s="706">
        <f t="shared" si="80"/>
      </c>
      <c r="GK19" s="706">
        <f t="shared" si="80"/>
      </c>
      <c r="GL19" s="706">
        <f t="shared" si="80"/>
      </c>
      <c r="GM19" s="706">
        <f t="shared" si="80"/>
      </c>
      <c r="GN19" s="706">
        <f t="shared" si="80"/>
      </c>
      <c r="GO19" s="706">
        <f t="shared" si="80"/>
      </c>
      <c r="GP19" s="706" t="str">
        <f t="shared" si="80"/>
      </c>
      <c r="GQ19" s="706" t="str">
        <f t="shared" si="80"/>
      </c>
      <c r="GR19" s="706" t="str">
        <f t="shared" si="80"/>
      </c>
      <c r="GS19" s="706" t="str">
        <f t="shared" si="80"/>
      </c>
      <c r="GT19" s="706" t="str">
        <f t="shared" si="80"/>
      </c>
      <c r="GU19" s="706" t="str">
        <f t="shared" si="80"/>
      </c>
      <c r="GV19" s="706" t="str">
        <f t="shared" si="80"/>
      </c>
      <c r="GW19" s="706" t="str">
        <f t="shared" si="80"/>
      </c>
      <c r="GX19" s="706" t="str">
        <f t="shared" si="80"/>
      </c>
      <c r="GY19" s="706" t="str">
        <f t="shared" si="80"/>
      </c>
      <c r="GZ19" s="706" t="str">
        <f t="shared" si="80"/>
      </c>
      <c r="HA19" s="706" t="str">
        <f t="shared" si="80"/>
      </c>
      <c r="HB19" s="706" t="str">
        <f t="shared" si="80"/>
      </c>
      <c r="HC19" s="706" t="str">
        <f t="shared" si="80"/>
      </c>
      <c r="HD19" s="706" t="str">
        <f t="shared" si="80"/>
      </c>
      <c r="HE19" s="706" t="str">
        <f t="shared" si="80"/>
      </c>
    </row>
    <row r="20" spans="1:213" s="11" customFormat="1" ht="10.199999999999999">
      <c r="A20" s="1717" t="s">
        <v>84</v>
      </c>
      <c r="B20" s="589"/>
      <c r="C20" s="589"/>
      <c r="D20" s="589"/>
      <c r="E20" s="590"/>
      <c r="F20" s="589"/>
      <c r="G20" s="589"/>
      <c r="H20" s="589"/>
      <c r="I20" s="590"/>
      <c r="J20" s="589"/>
      <c r="K20" s="589"/>
      <c r="L20" s="589"/>
      <c r="M20" s="590"/>
      <c r="N20" s="589"/>
      <c r="O20" s="589"/>
      <c r="P20" s="589"/>
      <c r="Q20" s="590"/>
      <c r="R20" s="589"/>
      <c r="S20" s="589"/>
      <c r="T20" s="589"/>
      <c r="U20" s="590"/>
      <c r="V20" s="589"/>
      <c r="W20" s="589"/>
      <c r="X20" s="589"/>
      <c r="Y20" s="590"/>
      <c r="Z20" s="589"/>
      <c r="AA20" s="589"/>
      <c r="AB20" s="589"/>
      <c r="AC20" s="590"/>
      <c r="AD20" s="589"/>
      <c r="AE20" s="589"/>
      <c r="AF20" s="589"/>
      <c r="AG20" s="590"/>
      <c r="AH20" s="589"/>
      <c r="AI20" s="589"/>
      <c r="AJ20" s="589"/>
      <c r="AK20" s="590"/>
      <c r="AL20" s="589"/>
      <c r="AM20" s="589"/>
      <c r="AN20" s="589"/>
      <c r="AO20" s="590"/>
      <c r="AP20" s="589"/>
      <c r="AQ20" s="589"/>
      <c r="AR20" s="589"/>
      <c r="AS20" s="590"/>
      <c r="AT20" s="589"/>
      <c r="AU20" s="589"/>
      <c r="AV20" s="589"/>
      <c r="AW20" s="590"/>
      <c r="AX20" s="589"/>
      <c r="AY20" s="589"/>
      <c r="AZ20" s="589">
        <f t="shared" ref="AZ20:BI21" si="81">+AZ11/AV11-1</f>
      </c>
      <c r="BA20" s="590">
        <f t="shared" si="81"/>
      </c>
      <c r="BB20" s="589">
        <f t="shared" si="81"/>
      </c>
      <c r="BC20" s="589">
        <f t="shared" si="81"/>
      </c>
      <c r="BD20" s="589">
        <f t="shared" si="81"/>
      </c>
      <c r="BE20" s="590">
        <f t="shared" si="81"/>
      </c>
      <c r="BF20" s="589">
        <f t="shared" si="81"/>
      </c>
      <c r="BG20" s="589">
        <f t="shared" si="81"/>
      </c>
      <c r="BH20" s="589">
        <f t="shared" si="81"/>
      </c>
      <c r="BI20" s="590">
        <f t="shared" si="81"/>
      </c>
      <c r="BJ20" s="589">
        <f t="shared" ref="BJ20:BS21" si="82">+BJ11/BF11-1</f>
      </c>
      <c r="BK20" s="589">
        <f t="shared" si="82"/>
      </c>
      <c r="BL20" s="589">
        <f t="shared" si="82"/>
      </c>
      <c r="BM20" s="590">
        <f t="shared" si="82"/>
      </c>
      <c r="BN20" s="589">
        <f t="shared" si="82"/>
      </c>
      <c r="BO20" s="589">
        <f t="shared" si="82"/>
      </c>
      <c r="BP20" s="589">
        <f t="shared" si="82"/>
      </c>
      <c r="BQ20" s="590">
        <f t="shared" si="82"/>
      </c>
      <c r="BR20" s="589">
        <f t="shared" si="82"/>
      </c>
      <c r="BS20" s="589">
        <f t="shared" si="82"/>
      </c>
      <c r="BT20" s="589">
        <f t="shared" ref="BT20:CC21" si="83">+BT11/BP11-1</f>
      </c>
      <c r="BU20" s="590">
        <f t="shared" si="83"/>
      </c>
      <c r="BV20" s="589">
        <f t="shared" si="83"/>
      </c>
      <c r="BW20" s="589">
        <f t="shared" si="83"/>
      </c>
      <c r="BX20" s="589">
        <f t="shared" si="83"/>
      </c>
      <c r="BY20" s="590">
        <f t="shared" si="83"/>
      </c>
      <c r="BZ20" s="589">
        <f t="shared" si="83"/>
      </c>
      <c r="CA20" s="589">
        <f t="shared" si="83"/>
      </c>
      <c r="CB20" s="589">
        <f t="shared" si="83"/>
      </c>
      <c r="CC20" s="590">
        <f t="shared" si="83"/>
      </c>
      <c r="CD20" s="589">
        <f t="shared" ref="CD20:CM21" si="84">+CD11/BZ11-1</f>
      </c>
      <c r="CE20" s="589">
        <f t="shared" si="84"/>
      </c>
      <c r="CF20" s="589">
        <f t="shared" si="84"/>
      </c>
      <c r="CG20" s="590">
        <f t="shared" si="84"/>
      </c>
      <c r="CH20" s="589">
        <f t="shared" si="84"/>
      </c>
      <c r="CI20" s="589">
        <f t="shared" si="84"/>
      </c>
      <c r="CJ20" s="589">
        <f t="shared" si="84"/>
      </c>
      <c r="CK20" s="590">
        <f t="shared" si="84"/>
      </c>
      <c r="CL20" s="589">
        <f t="shared" si="84"/>
      </c>
      <c r="CM20" s="589">
        <f t="shared" si="84"/>
      </c>
      <c r="CN20" s="589">
        <f t="shared" ref="CN20:CW21" si="85">+CN11/CJ11-1</f>
      </c>
      <c r="CO20" s="590">
        <f t="shared" si="85"/>
      </c>
      <c r="CP20" s="589">
        <f t="shared" si="85"/>
      </c>
      <c r="CQ20" s="589">
        <f t="shared" si="85"/>
      </c>
      <c r="CR20" s="589">
        <f t="shared" si="85"/>
      </c>
      <c r="CS20" s="590">
        <f t="shared" si="85"/>
      </c>
      <c r="CT20" s="589">
        <f t="shared" si="85"/>
      </c>
      <c r="CU20" s="589">
        <f t="shared" si="85"/>
      </c>
      <c r="CV20" s="589">
        <f t="shared" si="85"/>
      </c>
      <c r="CW20" s="590">
        <f t="shared" si="85"/>
      </c>
      <c r="CX20" s="718">
        <f t="shared" ref="CX20:DG21" si="86">+CX11/CT11-1</f>
      </c>
      <c r="CY20" s="589">
        <f t="shared" si="86"/>
      </c>
      <c r="CZ20" s="589">
        <f t="shared" si="86"/>
      </c>
      <c r="DA20" s="590">
        <f t="shared" si="86"/>
      </c>
      <c r="DB20" s="589">
        <f t="shared" si="86"/>
      </c>
      <c r="DC20" s="589">
        <f t="shared" si="86"/>
      </c>
      <c r="DD20" s="589">
        <f t="shared" si="86"/>
      </c>
      <c r="DE20" s="590">
        <f t="shared" si="86"/>
      </c>
      <c r="DF20" s="589">
        <f t="shared" si="86"/>
      </c>
      <c r="DG20" s="589">
        <f t="shared" si="86"/>
      </c>
      <c r="DH20" s="589">
        <f t="shared" ref="DH20:DQ21" si="87">+DH11/DD11-1</f>
      </c>
      <c r="DI20" s="590">
        <f t="shared" si="87"/>
      </c>
      <c r="DJ20" s="589">
        <f t="shared" si="87"/>
      </c>
      <c r="DK20" s="589">
        <f t="shared" si="87"/>
      </c>
      <c r="DL20" s="589">
        <f t="shared" si="87"/>
      </c>
      <c r="DM20" s="590">
        <f t="shared" si="87"/>
      </c>
      <c r="DN20" s="589">
        <f t="shared" si="87"/>
      </c>
      <c r="DO20" s="589">
        <f t="shared" si="87"/>
      </c>
      <c r="DP20" s="589">
        <f t="shared" si="87"/>
      </c>
      <c r="DQ20" s="590">
        <f t="shared" si="87"/>
      </c>
      <c r="DR20" s="589">
        <f t="shared" ref="DR20:DU21" si="88">+DR11/DN11-1</f>
      </c>
      <c r="DS20" s="589">
        <f t="shared" si="88"/>
      </c>
      <c r="DT20" s="589">
        <f t="shared" si="88"/>
      </c>
      <c r="DU20" s="590">
        <f t="shared" si="88"/>
      </c>
      <c r="DV20" s="589">
        <f t="shared" ref="DV20:DV26" si="89">+DV11/DR11-1</f>
      </c>
      <c r="DW20" s="589">
        <f t="shared" ref="DW20:DW26" si="90">+DW11/DS11-1</f>
      </c>
      <c r="DX20" s="589">
        <f t="shared" ref="DX20:DX26" si="91">+DX11/DT11-1</f>
      </c>
      <c r="DY20" s="590">
        <f t="shared" ref="DY20:DY26" si="92">+DY11/DU11-1</f>
      </c>
      <c r="DZ20" s="589">
        <f t="shared" ref="DZ20:DZ26" si="93">+DZ11/DV11-1</f>
      </c>
      <c r="EA20" s="589">
        <f t="shared" ref="EA20:EA26" si="94">+EA11/DW11-1</f>
      </c>
      <c r="EB20" s="589">
        <f t="shared" ref="EB20:EB26" si="95">+EB11/DX11-1</f>
      </c>
      <c r="EC20" s="590">
        <f t="shared" ref="EC20:EC26" si="96">+EC11/DY11-1</f>
      </c>
      <c r="ED20" s="589">
        <f t="shared" ref="ED20:ED26" si="97">+ED11/DZ11-1</f>
      </c>
      <c r="EE20" s="589">
        <f t="shared" ref="EE20:EE26" si="98">+EE11/EA11-1</f>
      </c>
      <c r="EF20" s="589">
        <f t="shared" ref="EF20:EF26" si="99">+EF11/EB11-1</f>
      </c>
      <c r="EG20" s="590">
        <f t="shared" ref="EG20:EG26" si="100">+EG11/EC11-1</f>
      </c>
      <c r="EH20" s="589">
        <f t="shared" ref="EH20:EH26" si="101">+EH11/ED11-1</f>
      </c>
      <c r="EI20" s="589">
        <f t="shared" ref="EI20:EI26" si="102">+EI11/EE11-1</f>
      </c>
      <c r="EJ20" s="589">
        <f t="shared" ref="EJ20:EJ26" si="103">+EJ11/EF11-1</f>
      </c>
      <c r="EK20" s="590">
        <f t="shared" ref="EK20:EK26" si="104">+EK11/EG11-1</f>
      </c>
      <c r="EM20" s="589"/>
      <c r="EN20" s="589"/>
      <c r="EO20" s="589"/>
      <c r="EP20" s="589"/>
      <c r="EQ20" s="589"/>
      <c r="ER20" s="589"/>
      <c r="ES20" s="589"/>
      <c r="ET20" s="589"/>
      <c r="EU20" s="589"/>
      <c r="EV20" s="589"/>
      <c r="EW20" s="589"/>
      <c r="EX20" s="589"/>
      <c r="EY20" s="589">
        <f t="shared" ref="EY20:FG20" si="105">+EY11/EX11-1</f>
      </c>
      <c r="EZ20" s="589">
        <f t="shared" si="105"/>
      </c>
      <c r="FA20" s="589">
        <f t="shared" si="105"/>
      </c>
      <c r="FB20" s="589">
        <f t="shared" si="105"/>
      </c>
      <c r="FC20" s="589">
        <f t="shared" si="105"/>
      </c>
      <c r="FD20" s="589">
        <f t="shared" si="105"/>
      </c>
      <c r="FE20" s="589">
        <f t="shared" si="105"/>
      </c>
      <c r="FF20" s="589">
        <f t="shared" si="105"/>
      </c>
      <c r="FG20" s="589">
        <f t="shared" si="105"/>
      </c>
      <c r="FH20" s="589"/>
      <c r="FI20" s="589">
        <f t="shared" ref="FI20:FQ20" si="106">+FI11/FH11-1</f>
      </c>
      <c r="FJ20" s="589">
        <f t="shared" si="106"/>
      </c>
      <c r="FK20" s="589">
        <f t="shared" si="106"/>
      </c>
      <c r="FL20" s="589">
        <f t="shared" si="106"/>
      </c>
      <c r="FM20" s="589">
        <f t="shared" si="106"/>
      </c>
      <c r="FN20" s="589">
        <f t="shared" si="106"/>
      </c>
      <c r="FO20" s="589">
        <f t="shared" si="106"/>
      </c>
      <c r="FP20" s="589">
        <f t="shared" si="106"/>
      </c>
      <c r="FQ20" s="589">
        <f t="shared" si="106"/>
      </c>
      <c r="FR20" s="589">
        <f t="shared" ref="FR20:FR26" si="107">+FR11/FQ11-1</f>
      </c>
      <c r="FS20" s="589">
        <f t="shared" ref="FS20:FS26" si="108">+FS11/FR11-1</f>
      </c>
      <c r="FT20" s="589">
        <f t="shared" ref="FT20:FT26" si="109">+FT11/FS11-1</f>
      </c>
      <c r="FU20" s="589">
        <f t="shared" ref="FU20:FU26" si="110">+FU11/FT11-1</f>
      </c>
      <c r="FV20" s="589"/>
      <c r="FW20" s="589"/>
      <c r="FX20" s="589"/>
      <c r="FY20" s="589"/>
      <c r="FZ20" s="589"/>
      <c r="GA20" s="589"/>
      <c r="GB20" s="589"/>
      <c r="GC20" s="589"/>
      <c r="GD20" s="589"/>
      <c r="GE20" s="589"/>
      <c r="GF20" s="589"/>
      <c r="GG20" s="589"/>
      <c r="GH20" s="589"/>
      <c r="GI20" s="589"/>
      <c r="GJ20" s="1100">
        <f t="shared" ref="GJ20:HA20" si="111">+GJ11/GI11-1</f>
      </c>
      <c r="GK20" s="1100">
        <f t="shared" si="111"/>
      </c>
      <c r="GL20" s="1100">
        <f t="shared" si="111"/>
      </c>
      <c r="GM20" s="1100">
        <f t="shared" si="111"/>
      </c>
      <c r="GN20" s="1100">
        <f t="shared" si="111"/>
      </c>
      <c r="GO20" s="1100">
        <f t="shared" si="111"/>
      </c>
      <c r="GP20" s="1100">
        <f t="shared" si="111"/>
      </c>
      <c r="GQ20" s="1100">
        <f t="shared" si="111"/>
      </c>
      <c r="GR20" s="1100">
        <f t="shared" si="111"/>
      </c>
      <c r="GS20" s="1100">
        <f t="shared" si="111"/>
      </c>
      <c r="GT20" s="1100">
        <f t="shared" si="111"/>
      </c>
      <c r="GU20" s="1100">
        <f t="shared" si="111"/>
      </c>
      <c r="GV20" s="1100">
        <f t="shared" si="111"/>
      </c>
      <c r="GW20" s="1100">
        <f t="shared" si="111"/>
      </c>
      <c r="GX20" s="1100">
        <f t="shared" si="111"/>
      </c>
      <c r="GY20" s="1100">
        <f t="shared" si="111"/>
      </c>
      <c r="GZ20" s="1100">
        <f t="shared" si="111"/>
      </c>
      <c r="HA20" s="1100">
        <f t="shared" si="111"/>
      </c>
      <c r="HB20" s="1100">
        <f t="shared" ref="HB20:HB26" si="112">+HB11/HA11-1</f>
      </c>
      <c r="HC20" s="1100">
        <f t="shared" ref="HC20:HC26" si="113">+HC11/HB11-1</f>
      </c>
      <c r="HD20" s="1100">
        <f t="shared" ref="HD20:HD26" si="114">+HD11/HC11-1</f>
      </c>
      <c r="HE20" s="1100">
        <f t="shared" ref="HE20:HE26" si="115">+HE11/HD11-1</f>
      </c>
    </row>
    <row r="21" spans="1:213" s="11" customFormat="1" ht="10.199999999999999">
      <c r="A21" s="1717" t="s">
        <v>86</v>
      </c>
      <c r="B21" s="589"/>
      <c r="C21" s="589"/>
      <c r="D21" s="589"/>
      <c r="E21" s="590"/>
      <c r="F21" s="589"/>
      <c r="G21" s="589"/>
      <c r="H21" s="589"/>
      <c r="I21" s="590"/>
      <c r="J21" s="589"/>
      <c r="K21" s="589"/>
      <c r="L21" s="589"/>
      <c r="M21" s="590"/>
      <c r="N21" s="589"/>
      <c r="O21" s="589"/>
      <c r="P21" s="589"/>
      <c r="Q21" s="590"/>
      <c r="R21" s="589"/>
      <c r="S21" s="589"/>
      <c r="T21" s="589"/>
      <c r="U21" s="590"/>
      <c r="V21" s="589"/>
      <c r="W21" s="589"/>
      <c r="X21" s="589"/>
      <c r="Y21" s="590"/>
      <c r="Z21" s="589"/>
      <c r="AA21" s="589"/>
      <c r="AB21" s="589"/>
      <c r="AC21" s="590"/>
      <c r="AD21" s="589"/>
      <c r="AE21" s="589"/>
      <c r="AF21" s="589"/>
      <c r="AG21" s="590"/>
      <c r="AH21" s="589"/>
      <c r="AI21" s="589"/>
      <c r="AJ21" s="589"/>
      <c r="AK21" s="590"/>
      <c r="AL21" s="589"/>
      <c r="AM21" s="589"/>
      <c r="AN21" s="589"/>
      <c r="AO21" s="590"/>
      <c r="AP21" s="589"/>
      <c r="AQ21" s="589"/>
      <c r="AR21" s="589"/>
      <c r="AS21" s="590"/>
      <c r="AT21" s="589"/>
      <c r="AU21" s="589"/>
      <c r="AV21" s="589"/>
      <c r="AW21" s="590"/>
      <c r="AX21" s="589">
        <f>+AX12/AT12-1</f>
      </c>
      <c r="AY21" s="589">
        <f>+AY12/AU12-1</f>
      </c>
      <c r="AZ21" s="589">
        <f t="shared" si="81"/>
      </c>
      <c r="BA21" s="590">
        <f t="shared" si="81"/>
      </c>
      <c r="BB21" s="589">
        <f t="shared" si="81"/>
      </c>
      <c r="BC21" s="589">
        <f t="shared" si="81"/>
      </c>
      <c r="BD21" s="589">
        <f t="shared" si="81"/>
      </c>
      <c r="BE21" s="590">
        <f t="shared" si="81"/>
      </c>
      <c r="BF21" s="589">
        <f t="shared" si="81"/>
      </c>
      <c r="BG21" s="589">
        <f t="shared" si="81"/>
      </c>
      <c r="BH21" s="589">
        <f t="shared" si="81"/>
      </c>
      <c r="BI21" s="590">
        <f t="shared" si="81"/>
      </c>
      <c r="BJ21" s="589">
        <f t="shared" si="82"/>
      </c>
      <c r="BK21" s="589">
        <f t="shared" si="82"/>
      </c>
      <c r="BL21" s="589">
        <f t="shared" si="82"/>
      </c>
      <c r="BM21" s="590">
        <f t="shared" si="82"/>
      </c>
      <c r="BN21" s="589">
        <f t="shared" si="82"/>
      </c>
      <c r="BO21" s="589">
        <f t="shared" si="82"/>
      </c>
      <c r="BP21" s="589">
        <f t="shared" si="82"/>
      </c>
      <c r="BQ21" s="590">
        <f t="shared" si="82"/>
      </c>
      <c r="BR21" s="589">
        <f t="shared" si="82"/>
      </c>
      <c r="BS21" s="589">
        <f t="shared" si="82"/>
      </c>
      <c r="BT21" s="589">
        <f t="shared" si="83"/>
      </c>
      <c r="BU21" s="590">
        <f t="shared" si="83"/>
      </c>
      <c r="BV21" s="589">
        <f t="shared" si="83"/>
      </c>
      <c r="BW21" s="589">
        <f t="shared" si="83"/>
      </c>
      <c r="BX21" s="589">
        <f t="shared" si="83"/>
      </c>
      <c r="BY21" s="590">
        <f t="shared" si="83"/>
      </c>
      <c r="BZ21" s="589">
        <f t="shared" si="83"/>
      </c>
      <c r="CA21" s="589">
        <f t="shared" si="83"/>
      </c>
      <c r="CB21" s="589">
        <f t="shared" si="83"/>
      </c>
      <c r="CC21" s="590">
        <f t="shared" si="83"/>
      </c>
      <c r="CD21" s="589">
        <f t="shared" si="84"/>
      </c>
      <c r="CE21" s="589">
        <f t="shared" si="84"/>
      </c>
      <c r="CF21" s="589">
        <f t="shared" si="84"/>
      </c>
      <c r="CG21" s="590">
        <f t="shared" si="84"/>
      </c>
      <c r="CH21" s="589">
        <f t="shared" si="84"/>
      </c>
      <c r="CI21" s="589">
        <f t="shared" si="84"/>
      </c>
      <c r="CJ21" s="589">
        <f t="shared" si="84"/>
      </c>
      <c r="CK21" s="590">
        <f t="shared" si="84"/>
      </c>
      <c r="CL21" s="589">
        <f t="shared" si="84"/>
      </c>
      <c r="CM21" s="589">
        <f t="shared" si="84"/>
      </c>
      <c r="CN21" s="589">
        <f t="shared" si="85"/>
      </c>
      <c r="CO21" s="590">
        <f t="shared" si="85"/>
      </c>
      <c r="CP21" s="589">
        <f t="shared" si="85"/>
      </c>
      <c r="CQ21" s="589">
        <f t="shared" si="85"/>
      </c>
      <c r="CR21" s="589">
        <f t="shared" si="85"/>
      </c>
      <c r="CS21" s="590">
        <f t="shared" si="85"/>
      </c>
      <c r="CT21" s="589">
        <f t="shared" si="85"/>
      </c>
      <c r="CU21" s="589">
        <f t="shared" si="85"/>
      </c>
      <c r="CV21" s="589">
        <f t="shared" si="85"/>
      </c>
      <c r="CW21" s="590">
        <f t="shared" si="85"/>
      </c>
      <c r="CX21" s="718">
        <f t="shared" si="86"/>
      </c>
      <c r="CY21" s="589">
        <f t="shared" si="86"/>
      </c>
      <c r="CZ21" s="589">
        <f t="shared" si="86"/>
      </c>
      <c r="DA21" s="590">
        <f t="shared" si="86"/>
      </c>
      <c r="DB21" s="589">
        <f t="shared" si="86"/>
      </c>
      <c r="DC21" s="589">
        <f t="shared" si="86"/>
      </c>
      <c r="DD21" s="589">
        <f t="shared" si="86"/>
      </c>
      <c r="DE21" s="590">
        <f t="shared" si="86"/>
      </c>
      <c r="DF21" s="589">
        <f t="shared" si="86"/>
      </c>
      <c r="DG21" s="589">
        <f t="shared" si="86"/>
      </c>
      <c r="DH21" s="589">
        <f t="shared" si="87"/>
      </c>
      <c r="DI21" s="590">
        <f t="shared" si="87"/>
      </c>
      <c r="DJ21" s="589">
        <f t="shared" si="87"/>
      </c>
      <c r="DK21" s="589">
        <f t="shared" si="87"/>
      </c>
      <c r="DL21" s="589">
        <f t="shared" si="87"/>
      </c>
      <c r="DM21" s="590">
        <f t="shared" si="87"/>
      </c>
      <c r="DN21" s="589">
        <f t="shared" si="87"/>
      </c>
      <c r="DO21" s="589">
        <f t="shared" si="87"/>
      </c>
      <c r="DP21" s="589">
        <f t="shared" si="87"/>
      </c>
      <c r="DQ21" s="590">
        <f t="shared" si="87"/>
      </c>
      <c r="DR21" s="589">
        <f t="shared" si="88"/>
      </c>
      <c r="DS21" s="589">
        <f t="shared" si="88"/>
      </c>
      <c r="DT21" s="589">
        <f t="shared" si="88"/>
      </c>
      <c r="DU21" s="590">
        <f t="shared" si="88"/>
      </c>
      <c r="DV21" s="589">
        <f t="shared" si="89"/>
      </c>
      <c r="DW21" s="589">
        <f t="shared" si="90"/>
      </c>
      <c r="DX21" s="589">
        <f t="shared" si="91"/>
      </c>
      <c r="DY21" s="590">
        <f t="shared" si="92"/>
      </c>
      <c r="DZ21" s="589">
        <f t="shared" si="93"/>
      </c>
      <c r="EA21" s="589">
        <f t="shared" si="94"/>
      </c>
      <c r="EB21" s="589">
        <f t="shared" si="95"/>
      </c>
      <c r="EC21" s="590">
        <f t="shared" si="96"/>
      </c>
      <c r="ED21" s="589">
        <f t="shared" si="97"/>
      </c>
      <c r="EE21" s="589">
        <f t="shared" si="98"/>
      </c>
      <c r="EF21" s="589">
        <f t="shared" si="99"/>
      </c>
      <c r="EG21" s="590">
        <f t="shared" si="100"/>
      </c>
      <c r="EH21" s="589">
        <f t="shared" si="101"/>
      </c>
      <c r="EI21" s="589">
        <f t="shared" si="102"/>
      </c>
      <c r="EJ21" s="589">
        <f t="shared" si="103"/>
      </c>
      <c r="EK21" s="590">
        <f t="shared" si="104"/>
      </c>
      <c r="EM21" s="589"/>
      <c r="EN21" s="589"/>
      <c r="EO21" s="589"/>
      <c r="EP21" s="589"/>
      <c r="EQ21" s="589"/>
      <c r="ER21" s="589"/>
      <c r="ES21" s="589"/>
      <c r="ET21" s="589"/>
      <c r="EU21" s="589"/>
      <c r="EV21" s="589"/>
      <c r="EW21" s="589"/>
      <c r="EX21" s="589"/>
      <c r="EY21" s="589">
        <f t="shared" ref="EY21:FG21" si="116">+EY12/EX12-1</f>
      </c>
      <c r="EZ21" s="589">
        <f t="shared" si="116"/>
      </c>
      <c r="FA21" s="589">
        <f t="shared" si="116"/>
      </c>
      <c r="FB21" s="589">
        <f t="shared" si="116"/>
      </c>
      <c r="FC21" s="589">
        <f t="shared" si="116"/>
      </c>
      <c r="FD21" s="589">
        <f t="shared" si="116"/>
      </c>
      <c r="FE21" s="589">
        <f t="shared" si="116"/>
      </c>
      <c r="FF21" s="589">
        <f t="shared" si="116"/>
      </c>
      <c r="FG21" s="589">
        <f t="shared" si="116"/>
      </c>
      <c r="FH21" s="589"/>
      <c r="FI21" s="589">
        <f t="shared" ref="FI21:FQ21" si="117">+FI12/FH12-1</f>
      </c>
      <c r="FJ21" s="589">
        <f t="shared" si="117"/>
      </c>
      <c r="FK21" s="589">
        <f t="shared" si="117"/>
      </c>
      <c r="FL21" s="589">
        <f t="shared" si="117"/>
      </c>
      <c r="FM21" s="589">
        <f t="shared" si="117"/>
      </c>
      <c r="FN21" s="589">
        <f t="shared" si="117"/>
      </c>
      <c r="FO21" s="589">
        <f t="shared" si="117"/>
      </c>
      <c r="FP21" s="589">
        <f t="shared" si="117"/>
      </c>
      <c r="FQ21" s="589">
        <f t="shared" si="117"/>
      </c>
      <c r="FR21" s="589">
        <f t="shared" si="107"/>
      </c>
      <c r="FS21" s="589">
        <f t="shared" si="108"/>
      </c>
      <c r="FT21" s="589">
        <f t="shared" si="109"/>
      </c>
      <c r="FU21" s="589">
        <f t="shared" si="110"/>
      </c>
      <c r="FV21" s="589"/>
      <c r="FW21" s="589"/>
      <c r="FX21" s="589"/>
      <c r="FY21" s="589"/>
      <c r="FZ21" s="589"/>
      <c r="GA21" s="589"/>
      <c r="GB21" s="589"/>
      <c r="GC21" s="589"/>
      <c r="GD21" s="589"/>
      <c r="GE21" s="589"/>
      <c r="GF21" s="589"/>
      <c r="GG21" s="589"/>
      <c r="GH21" s="589"/>
      <c r="GI21" s="589"/>
      <c r="GJ21" s="1100">
        <f t="shared" ref="GJ21:HA21" si="118">+GJ12/GI12-1</f>
      </c>
      <c r="GK21" s="1100">
        <f t="shared" si="118"/>
      </c>
      <c r="GL21" s="1100">
        <f t="shared" si="118"/>
      </c>
      <c r="GM21" s="1100">
        <f t="shared" si="118"/>
      </c>
      <c r="GN21" s="1100">
        <f t="shared" si="118"/>
      </c>
      <c r="GO21" s="1100">
        <f t="shared" si="118"/>
      </c>
      <c r="GP21" s="1100">
        <f t="shared" si="118"/>
      </c>
      <c r="GQ21" s="1100">
        <f t="shared" si="118"/>
      </c>
      <c r="GR21" s="1100">
        <f t="shared" si="118"/>
      </c>
      <c r="GS21" s="1100">
        <f t="shared" si="118"/>
      </c>
      <c r="GT21" s="1100">
        <f t="shared" si="118"/>
      </c>
      <c r="GU21" s="1100">
        <f t="shared" si="118"/>
      </c>
      <c r="GV21" s="1100">
        <f t="shared" si="118"/>
      </c>
      <c r="GW21" s="1100">
        <f t="shared" si="118"/>
      </c>
      <c r="GX21" s="1100">
        <f t="shared" si="118"/>
      </c>
      <c r="GY21" s="1100">
        <f t="shared" si="118"/>
      </c>
      <c r="GZ21" s="1100">
        <f t="shared" si="118"/>
      </c>
      <c r="HA21" s="1100">
        <f t="shared" si="118"/>
      </c>
      <c r="HB21" s="1100">
        <f t="shared" si="112"/>
      </c>
      <c r="HC21" s="1100">
        <f t="shared" si="113"/>
      </c>
      <c r="HD21" s="1100">
        <f t="shared" si="114"/>
      </c>
      <c r="HE21" s="1100">
        <f t="shared" si="115"/>
      </c>
    </row>
    <row r="22" spans="1:213" s="11" customFormat="1" ht="10.199999999999999">
      <c r="A22" s="1717" t="s">
        <v>85</v>
      </c>
      <c r="B22" s="589"/>
      <c r="C22" s="589"/>
      <c r="D22" s="589"/>
      <c r="E22" s="590"/>
      <c r="F22" s="589"/>
      <c r="G22" s="589"/>
      <c r="H22" s="589"/>
      <c r="I22" s="590"/>
      <c r="J22" s="589"/>
      <c r="K22" s="589"/>
      <c r="L22" s="589"/>
      <c r="M22" s="590"/>
      <c r="N22" s="589"/>
      <c r="O22" s="589"/>
      <c r="P22" s="589"/>
      <c r="Q22" s="590"/>
      <c r="R22" s="589"/>
      <c r="S22" s="589"/>
      <c r="T22" s="589"/>
      <c r="U22" s="590"/>
      <c r="V22" s="589"/>
      <c r="W22" s="589"/>
      <c r="X22" s="589"/>
      <c r="Y22" s="590"/>
      <c r="Z22" s="589"/>
      <c r="AA22" s="589"/>
      <c r="AB22" s="589"/>
      <c r="AC22" s="590"/>
      <c r="AD22" s="589"/>
      <c r="AE22" s="589"/>
      <c r="AF22" s="589"/>
      <c r="AG22" s="590"/>
      <c r="AH22" s="589"/>
      <c r="AI22" s="589"/>
      <c r="AJ22" s="589"/>
      <c r="AK22" s="590"/>
      <c r="AL22" s="589"/>
      <c r="AM22" s="589"/>
      <c r="AN22" s="589"/>
      <c r="AO22" s="590"/>
      <c r="AP22" s="589"/>
      <c r="AQ22" s="589"/>
      <c r="AR22" s="589"/>
      <c r="AS22" s="590"/>
      <c r="AT22" s="589"/>
      <c r="AU22" s="589"/>
      <c r="AV22" s="589"/>
      <c r="AW22" s="590"/>
      <c r="AX22" s="589"/>
      <c r="AY22" s="589"/>
      <c r="AZ22" s="589"/>
      <c r="BA22" s="590"/>
      <c r="BB22" s="589"/>
      <c r="BC22" s="589"/>
      <c r="BD22" s="589"/>
      <c r="BE22" s="590"/>
      <c r="BF22" s="589"/>
      <c r="BG22" s="589"/>
      <c r="BH22" s="589"/>
      <c r="BI22" s="590"/>
      <c r="BJ22" s="589"/>
      <c r="BK22" s="589"/>
      <c r="BL22" s="589"/>
      <c r="BM22" s="590"/>
      <c r="BN22" s="589"/>
      <c r="BO22" s="589"/>
      <c r="BP22" s="589"/>
      <c r="BQ22" s="590"/>
      <c r="BR22" s="589"/>
      <c r="BS22" s="589"/>
      <c r="BT22" s="589"/>
      <c r="BU22" s="590"/>
      <c r="BV22" s="589"/>
      <c r="BW22" s="589"/>
      <c r="BX22" s="589"/>
      <c r="BY22" s="590"/>
      <c r="BZ22" s="589">
        <f t="shared" ref="BZ22:CI24" si="119">+BZ13/BV13-1</f>
      </c>
      <c r="CA22" s="589">
        <f t="shared" si="119"/>
      </c>
      <c r="CB22" s="589">
        <f t="shared" si="119"/>
      </c>
      <c r="CC22" s="590">
        <f t="shared" si="119"/>
      </c>
      <c r="CD22" s="589">
        <f t="shared" si="119"/>
      </c>
      <c r="CE22" s="589">
        <f t="shared" si="119"/>
      </c>
      <c r="CF22" s="589">
        <f t="shared" si="119"/>
      </c>
      <c r="CG22" s="590">
        <f t="shared" si="119"/>
      </c>
      <c r="CH22" s="589">
        <f t="shared" si="119"/>
      </c>
      <c r="CI22" s="589">
        <f t="shared" si="119"/>
      </c>
      <c r="CJ22" s="589">
        <f t="shared" ref="CJ22:CS24" si="120">+CJ13/CF13-1</f>
      </c>
      <c r="CK22" s="590">
        <f t="shared" si="120"/>
      </c>
      <c r="CL22" s="589">
        <f t="shared" si="120"/>
      </c>
      <c r="CM22" s="589">
        <f t="shared" si="120"/>
      </c>
      <c r="CN22" s="589">
        <f t="shared" si="120"/>
      </c>
      <c r="CO22" s="590">
        <f t="shared" si="120"/>
      </c>
      <c r="CP22" s="589">
        <f t="shared" si="120"/>
      </c>
      <c r="CQ22" s="589">
        <f t="shared" si="120"/>
      </c>
      <c r="CR22" s="589">
        <f t="shared" si="120"/>
      </c>
      <c r="CS22" s="590">
        <f t="shared" si="120"/>
      </c>
      <c r="CT22" s="589">
        <f t="shared" ref="CT22:DC24" si="121">+CT13/CP13-1</f>
      </c>
      <c r="CU22" s="589">
        <f t="shared" si="121"/>
      </c>
      <c r="CV22" s="589">
        <f t="shared" si="121"/>
      </c>
      <c r="CW22" s="590">
        <f t="shared" si="121"/>
      </c>
      <c r="CX22" s="718">
        <f t="shared" si="121"/>
      </c>
      <c r="CY22" s="589">
        <f t="shared" si="121"/>
      </c>
      <c r="CZ22" s="589">
        <f t="shared" si="121"/>
      </c>
      <c r="DA22" s="590">
        <f t="shared" si="121"/>
      </c>
      <c r="DB22" s="589">
        <f t="shared" si="121"/>
      </c>
      <c r="DC22" s="589">
        <f t="shared" si="121"/>
      </c>
      <c r="DD22" s="589">
        <f t="shared" ref="DD22:DN24" si="122">+DD13/CZ13-1</f>
      </c>
      <c r="DE22" s="590">
        <f t="shared" si="122"/>
      </c>
      <c r="DF22" s="589">
        <f t="shared" si="122"/>
      </c>
      <c r="DG22" s="589">
        <f t="shared" si="122"/>
      </c>
      <c r="DH22" s="589">
        <f t="shared" si="122"/>
      </c>
      <c r="DI22" s="590">
        <f t="shared" si="122"/>
      </c>
      <c r="DJ22" s="589">
        <f t="shared" si="122"/>
      </c>
      <c r="DK22" s="589">
        <f t="shared" si="122"/>
      </c>
      <c r="DL22" s="589">
        <f t="shared" si="122"/>
      </c>
      <c r="DM22" s="590">
        <f t="shared" si="122"/>
      </c>
      <c r="DN22" s="589">
        <f t="shared" si="122"/>
      </c>
      <c r="DO22" s="589">
        <f t="shared" ref="DO22:DU24" si="123">+DO13/DK13-1</f>
      </c>
      <c r="DP22" s="589">
        <f t="shared" si="123"/>
      </c>
      <c r="DQ22" s="590">
        <f t="shared" si="123"/>
      </c>
      <c r="DR22" s="589">
        <f t="shared" si="123"/>
      </c>
      <c r="DS22" s="589">
        <f t="shared" si="123"/>
      </c>
      <c r="DT22" s="589">
        <f t="shared" si="123"/>
      </c>
      <c r="DU22" s="590">
        <f t="shared" si="123"/>
      </c>
      <c r="DV22" s="589">
        <f t="shared" si="89"/>
      </c>
      <c r="DW22" s="589">
        <f t="shared" si="90"/>
      </c>
      <c r="DX22" s="589">
        <f t="shared" si="91"/>
      </c>
      <c r="DY22" s="590">
        <f t="shared" si="92"/>
      </c>
      <c r="DZ22" s="589">
        <f t="shared" si="93"/>
      </c>
      <c r="EA22" s="589">
        <f t="shared" si="94"/>
      </c>
      <c r="EB22" s="589">
        <f t="shared" si="95"/>
      </c>
      <c r="EC22" s="590">
        <f t="shared" si="96"/>
      </c>
      <c r="ED22" s="589">
        <f t="shared" si="97"/>
      </c>
      <c r="EE22" s="589">
        <f t="shared" si="98"/>
      </c>
      <c r="EF22" s="589">
        <f t="shared" si="99"/>
      </c>
      <c r="EG22" s="590">
        <f t="shared" si="100"/>
      </c>
      <c r="EH22" s="589">
        <f t="shared" si="101"/>
      </c>
      <c r="EI22" s="589">
        <f t="shared" si="102"/>
      </c>
      <c r="EJ22" s="589">
        <f t="shared" si="103"/>
      </c>
      <c r="EK22" s="590">
        <f t="shared" si="104"/>
      </c>
      <c r="EM22" s="589"/>
      <c r="EN22" s="589"/>
      <c r="EO22" s="589"/>
      <c r="EP22" s="589"/>
      <c r="EQ22" s="589"/>
      <c r="ER22" s="589"/>
      <c r="ES22" s="589"/>
      <c r="ET22" s="589"/>
      <c r="EU22" s="589"/>
      <c r="EV22" s="589"/>
      <c r="EW22" s="589"/>
      <c r="EX22" s="589"/>
      <c r="EY22" s="589"/>
      <c r="EZ22" s="589"/>
      <c r="FA22" s="589"/>
      <c r="FB22" s="589"/>
      <c r="FC22" s="589"/>
      <c r="FD22" s="589"/>
      <c r="FE22" s="589">
        <f t="shared" ref="FE22:FG26" si="124">+FE13/FD13-1</f>
      </c>
      <c r="FF22" s="589">
        <f t="shared" si="124"/>
      </c>
      <c r="FG22" s="589">
        <f t="shared" si="124"/>
      </c>
      <c r="FH22" s="589"/>
      <c r="FI22" s="589">
        <f t="shared" ref="FI22:FQ22" si="125">+FI13/FH13-1</f>
      </c>
      <c r="FJ22" s="589">
        <f t="shared" si="125"/>
      </c>
      <c r="FK22" s="589">
        <f t="shared" si="125"/>
      </c>
      <c r="FL22" s="589">
        <f t="shared" si="125"/>
      </c>
      <c r="FM22" s="589">
        <f t="shared" si="125"/>
      </c>
      <c r="FN22" s="589">
        <f t="shared" si="125"/>
      </c>
      <c r="FO22" s="589">
        <f t="shared" si="125"/>
      </c>
      <c r="FP22" s="589">
        <f t="shared" si="125"/>
      </c>
      <c r="FQ22" s="589">
        <f t="shared" si="125"/>
      </c>
      <c r="FR22" s="589">
        <f t="shared" si="107"/>
      </c>
      <c r="FS22" s="589">
        <f t="shared" si="108"/>
      </c>
      <c r="FT22" s="589">
        <f t="shared" si="109"/>
      </c>
      <c r="FU22" s="589">
        <f t="shared" si="110"/>
      </c>
      <c r="FV22" s="589"/>
      <c r="FW22" s="589"/>
      <c r="FX22" s="589"/>
      <c r="FY22" s="589"/>
      <c r="FZ22" s="589"/>
      <c r="GA22" s="589"/>
      <c r="GB22" s="589"/>
      <c r="GC22" s="589"/>
      <c r="GD22" s="589"/>
      <c r="GE22" s="589"/>
      <c r="GF22" s="589"/>
      <c r="GG22" s="589"/>
      <c r="GH22" s="589"/>
      <c r="GI22" s="589"/>
      <c r="GJ22" s="1100"/>
      <c r="GK22" s="1100"/>
      <c r="GL22" s="1100"/>
      <c r="GM22" s="1100">
        <f t="shared" ref="GM22:HA22" si="126">+GM13/GL13-1</f>
      </c>
      <c r="GN22" s="1100">
        <f t="shared" si="126"/>
      </c>
      <c r="GO22" s="1100">
        <f t="shared" si="126"/>
      </c>
      <c r="GP22" s="1100">
        <f t="shared" si="126"/>
      </c>
      <c r="GQ22" s="1100">
        <f t="shared" si="126"/>
      </c>
      <c r="GR22" s="1100">
        <f t="shared" si="126"/>
      </c>
      <c r="GS22" s="1100">
        <f t="shared" si="126"/>
      </c>
      <c r="GT22" s="1100">
        <f t="shared" si="126"/>
      </c>
      <c r="GU22" s="1100">
        <f t="shared" si="126"/>
      </c>
      <c r="GV22" s="1100">
        <f t="shared" si="126"/>
      </c>
      <c r="GW22" s="1100">
        <f t="shared" si="126"/>
      </c>
      <c r="GX22" s="1100">
        <f t="shared" si="126"/>
      </c>
      <c r="GY22" s="1100">
        <f t="shared" si="126"/>
      </c>
      <c r="GZ22" s="1100">
        <f t="shared" si="126"/>
      </c>
      <c r="HA22" s="1100">
        <f t="shared" si="126"/>
      </c>
      <c r="HB22" s="1100">
        <f t="shared" si="112"/>
      </c>
      <c r="HC22" s="1100">
        <f t="shared" si="113"/>
      </c>
      <c r="HD22" s="1100">
        <f t="shared" si="114"/>
      </c>
      <c r="HE22" s="1100">
        <f t="shared" si="115"/>
      </c>
    </row>
    <row r="23" spans="1:213" s="11" customFormat="1" ht="10.199999999999999">
      <c r="A23" s="1717" t="s">
        <v>1120</v>
      </c>
      <c r="B23" s="589"/>
      <c r="C23" s="589"/>
      <c r="D23" s="589"/>
      <c r="E23" s="590"/>
      <c r="F23" s="589"/>
      <c r="G23" s="589"/>
      <c r="H23" s="589"/>
      <c r="I23" s="590"/>
      <c r="J23" s="589"/>
      <c r="K23" s="589"/>
      <c r="L23" s="589"/>
      <c r="M23" s="590"/>
      <c r="N23" s="589"/>
      <c r="O23" s="589"/>
      <c r="P23" s="589"/>
      <c r="Q23" s="590"/>
      <c r="R23" s="589"/>
      <c r="S23" s="589"/>
      <c r="T23" s="589"/>
      <c r="U23" s="590"/>
      <c r="V23" s="589"/>
      <c r="W23" s="589"/>
      <c r="X23" s="589"/>
      <c r="Y23" s="590"/>
      <c r="Z23" s="589"/>
      <c r="AA23" s="589"/>
      <c r="AB23" s="589"/>
      <c r="AC23" s="590"/>
      <c r="AD23" s="589"/>
      <c r="AE23" s="589"/>
      <c r="AF23" s="589"/>
      <c r="AG23" s="590"/>
      <c r="AH23" s="589"/>
      <c r="AI23" s="589"/>
      <c r="AJ23" s="589"/>
      <c r="AK23" s="590"/>
      <c r="AL23" s="589"/>
      <c r="AM23" s="589"/>
      <c r="AN23" s="589"/>
      <c r="AO23" s="590"/>
      <c r="AP23" s="589"/>
      <c r="AQ23" s="589"/>
      <c r="AR23" s="589"/>
      <c r="AS23" s="590"/>
      <c r="AT23" s="589"/>
      <c r="AU23" s="589"/>
      <c r="AV23" s="589"/>
      <c r="AW23" s="590"/>
      <c r="AX23" s="589">
        <f t="shared" ref="AX23:BG26" si="127">+AX14/AT14-1</f>
      </c>
      <c r="AY23" s="589">
        <f t="shared" si="127"/>
      </c>
      <c r="AZ23" s="589">
        <f t="shared" si="127"/>
      </c>
      <c r="BA23" s="590">
        <f t="shared" si="127"/>
      </c>
      <c r="BB23" s="589">
        <f t="shared" si="127"/>
      </c>
      <c r="BC23" s="589">
        <f t="shared" si="127"/>
      </c>
      <c r="BD23" s="589">
        <f t="shared" si="127"/>
      </c>
      <c r="BE23" s="590">
        <f t="shared" si="127"/>
      </c>
      <c r="BF23" s="589">
        <f t="shared" si="127"/>
      </c>
      <c r="BG23" s="589">
        <f t="shared" si="127"/>
      </c>
      <c r="BH23" s="589">
        <f t="shared" ref="BH23:BQ26" si="128">+BH14/BD14-1</f>
      </c>
      <c r="BI23" s="590">
        <f t="shared" si="128"/>
      </c>
      <c r="BJ23" s="589">
        <f t="shared" si="128"/>
      </c>
      <c r="BK23" s="589">
        <f t="shared" si="128"/>
      </c>
      <c r="BL23" s="589">
        <f t="shared" si="128"/>
      </c>
      <c r="BM23" s="590">
        <f t="shared" si="128"/>
      </c>
      <c r="BN23" s="589">
        <f t="shared" si="128"/>
      </c>
      <c r="BO23" s="589">
        <f t="shared" si="128"/>
      </c>
      <c r="BP23" s="589">
        <f t="shared" si="128"/>
      </c>
      <c r="BQ23" s="590">
        <f t="shared" si="128"/>
      </c>
      <c r="BR23" s="589">
        <f t="shared" ref="BR23:BY26" si="129">+BR14/BN14-1</f>
      </c>
      <c r="BS23" s="589">
        <f t="shared" si="129"/>
      </c>
      <c r="BT23" s="589">
        <f t="shared" si="129"/>
      </c>
      <c r="BU23" s="590">
        <f t="shared" si="129"/>
      </c>
      <c r="BV23" s="589">
        <f t="shared" si="129"/>
      </c>
      <c r="BW23" s="589">
        <f t="shared" si="129"/>
      </c>
      <c r="BX23" s="589">
        <f t="shared" si="129"/>
      </c>
      <c r="BY23" s="590">
        <f t="shared" si="129"/>
      </c>
      <c r="BZ23" s="589">
        <f t="shared" si="119"/>
      </c>
      <c r="CA23" s="589">
        <f t="shared" si="119"/>
      </c>
      <c r="CB23" s="589">
        <f t="shared" si="119"/>
      </c>
      <c r="CC23" s="590">
        <f t="shared" si="119"/>
      </c>
      <c r="CD23" s="589">
        <f t="shared" si="119"/>
      </c>
      <c r="CE23" s="589">
        <f t="shared" si="119"/>
      </c>
      <c r="CF23" s="589">
        <f t="shared" si="119"/>
      </c>
      <c r="CG23" s="590">
        <f t="shared" si="119"/>
      </c>
      <c r="CH23" s="589">
        <f t="shared" si="119"/>
      </c>
      <c r="CI23" s="589">
        <f t="shared" si="119"/>
      </c>
      <c r="CJ23" s="589">
        <f t="shared" si="120"/>
      </c>
      <c r="CK23" s="590">
        <f t="shared" si="120"/>
      </c>
      <c r="CL23" s="589">
        <f t="shared" si="120"/>
      </c>
      <c r="CM23" s="589">
        <f t="shared" si="120"/>
      </c>
      <c r="CN23" s="589">
        <f t="shared" si="120"/>
      </c>
      <c r="CO23" s="590">
        <f t="shared" si="120"/>
      </c>
      <c r="CP23" s="589">
        <f t="shared" si="120"/>
      </c>
      <c r="CQ23" s="589">
        <f t="shared" si="120"/>
      </c>
      <c r="CR23" s="589">
        <f t="shared" si="120"/>
      </c>
      <c r="CS23" s="590">
        <f t="shared" si="120"/>
      </c>
      <c r="CT23" s="589">
        <f t="shared" si="121"/>
      </c>
      <c r="CU23" s="589">
        <f t="shared" si="121"/>
      </c>
      <c r="CV23" s="589">
        <f t="shared" si="121"/>
      </c>
      <c r="CW23" s="590">
        <f t="shared" si="121"/>
      </c>
      <c r="CX23" s="718">
        <f t="shared" si="121"/>
      </c>
      <c r="CY23" s="589">
        <f t="shared" si="121"/>
      </c>
      <c r="CZ23" s="589">
        <f t="shared" si="121"/>
      </c>
      <c r="DA23" s="590">
        <f t="shared" si="121"/>
      </c>
      <c r="DB23" s="589">
        <f t="shared" si="121"/>
      </c>
      <c r="DC23" s="589">
        <f t="shared" si="121"/>
      </c>
      <c r="DD23" s="589">
        <f t="shared" si="122"/>
      </c>
      <c r="DE23" s="590">
        <f t="shared" si="122"/>
      </c>
      <c r="DF23" s="589">
        <f t="shared" si="122"/>
      </c>
      <c r="DG23" s="589">
        <f t="shared" si="122"/>
      </c>
      <c r="DH23" s="589">
        <f t="shared" si="122"/>
      </c>
      <c r="DI23" s="590">
        <f t="shared" si="122"/>
      </c>
      <c r="DJ23" s="589">
        <f t="shared" si="122"/>
      </c>
      <c r="DK23" s="589">
        <f t="shared" si="122"/>
      </c>
      <c r="DL23" s="589">
        <f t="shared" si="122"/>
      </c>
      <c r="DM23" s="590">
        <f t="shared" si="122"/>
      </c>
      <c r="DN23" s="589">
        <f t="shared" si="122"/>
      </c>
      <c r="DO23" s="589">
        <f t="shared" si="123"/>
      </c>
      <c r="DP23" s="589">
        <f t="shared" si="123"/>
      </c>
      <c r="DQ23" s="590">
        <f t="shared" si="123"/>
      </c>
      <c r="DR23" s="589">
        <f t="shared" si="123"/>
      </c>
      <c r="DS23" s="589">
        <f t="shared" si="123"/>
      </c>
      <c r="DT23" s="589">
        <f t="shared" si="123"/>
      </c>
      <c r="DU23" s="590">
        <f t="shared" si="123"/>
      </c>
      <c r="DV23" s="589">
        <f t="shared" si="89"/>
      </c>
      <c r="DW23" s="589">
        <f t="shared" si="90"/>
      </c>
      <c r="DX23" s="589">
        <f t="shared" si="91"/>
      </c>
      <c r="DY23" s="590">
        <f t="shared" si="92"/>
      </c>
      <c r="DZ23" s="589">
        <f t="shared" si="93"/>
      </c>
      <c r="EA23" s="589">
        <f t="shared" si="94"/>
      </c>
      <c r="EB23" s="589">
        <f t="shared" si="95"/>
      </c>
      <c r="EC23" s="590">
        <f t="shared" si="96"/>
      </c>
      <c r="ED23" s="589">
        <f t="shared" si="97"/>
      </c>
      <c r="EE23" s="589">
        <f t="shared" si="98"/>
      </c>
      <c r="EF23" s="589">
        <f t="shared" si="99"/>
      </c>
      <c r="EG23" s="590">
        <f t="shared" si="100"/>
      </c>
      <c r="EH23" s="589">
        <f t="shared" si="101"/>
      </c>
      <c r="EI23" s="589">
        <f t="shared" si="102"/>
      </c>
      <c r="EJ23" s="589">
        <f t="shared" si="103"/>
      </c>
      <c r="EK23" s="590">
        <f t="shared" si="104"/>
      </c>
      <c r="EM23" s="589"/>
      <c r="EN23" s="589"/>
      <c r="EO23" s="589"/>
      <c r="EP23" s="589"/>
      <c r="EQ23" s="589"/>
      <c r="ER23" s="589"/>
      <c r="ES23" s="589"/>
      <c r="ET23" s="589"/>
      <c r="EU23" s="589"/>
      <c r="EV23" s="589"/>
      <c r="EW23" s="589"/>
      <c r="EX23" s="589"/>
      <c r="EY23" s="589">
        <f t="shared" ref="EY23:FD26" si="130">+EY14/EX14-1</f>
      </c>
      <c r="EZ23" s="589">
        <f t="shared" si="130"/>
      </c>
      <c r="FA23" s="589">
        <f t="shared" si="130"/>
      </c>
      <c r="FB23" s="589">
        <f t="shared" si="130"/>
      </c>
      <c r="FC23" s="589">
        <f t="shared" si="130"/>
      </c>
      <c r="FD23" s="589">
        <f t="shared" si="130"/>
      </c>
      <c r="FE23" s="589">
        <f t="shared" si="124"/>
      </c>
      <c r="FF23" s="589">
        <f t="shared" si="124"/>
      </c>
      <c r="FG23" s="589">
        <f t="shared" si="124"/>
      </c>
      <c r="FH23" s="589"/>
      <c r="FI23" s="589">
        <f t="shared" ref="FI23:FQ23" si="131">+FI14/FH14-1</f>
      </c>
      <c r="FJ23" s="589">
        <f t="shared" si="131"/>
      </c>
      <c r="FK23" s="589">
        <f t="shared" si="131"/>
      </c>
      <c r="FL23" s="589">
        <f t="shared" si="131"/>
      </c>
      <c r="FM23" s="589">
        <f t="shared" si="131"/>
      </c>
      <c r="FN23" s="589">
        <f t="shared" si="131"/>
      </c>
      <c r="FO23" s="589">
        <f t="shared" si="131"/>
      </c>
      <c r="FP23" s="589">
        <f t="shared" si="131"/>
      </c>
      <c r="FQ23" s="589">
        <f t="shared" si="131"/>
      </c>
      <c r="FR23" s="589">
        <f t="shared" si="107"/>
      </c>
      <c r="FS23" s="589">
        <f t="shared" si="108"/>
      </c>
      <c r="FT23" s="589">
        <f t="shared" si="109"/>
      </c>
      <c r="FU23" s="589">
        <f t="shared" si="110"/>
      </c>
      <c r="FV23" s="589"/>
      <c r="FW23" s="589"/>
      <c r="FX23" s="589"/>
      <c r="FY23" s="589"/>
      <c r="FZ23" s="589"/>
      <c r="GA23" s="589"/>
      <c r="GB23" s="589"/>
      <c r="GC23" s="589"/>
      <c r="GD23" s="589"/>
      <c r="GE23" s="589"/>
      <c r="GF23" s="589"/>
      <c r="GG23" s="589"/>
      <c r="GH23" s="589"/>
      <c r="GI23" s="589"/>
      <c r="GJ23" s="1100">
        <f t="shared" ref="GJ23:GL26" si="132">+GJ14/GI14-1</f>
      </c>
      <c r="GK23" s="1100">
        <f t="shared" si="132"/>
      </c>
      <c r="GL23" s="1100">
        <f t="shared" si="132"/>
      </c>
      <c r="GM23" s="1100">
        <f t="shared" ref="GM23:HA23" si="133">+GM14/GL14-1</f>
      </c>
      <c r="GN23" s="1100">
        <f t="shared" si="133"/>
      </c>
      <c r="GO23" s="1100">
        <f t="shared" si="133"/>
      </c>
      <c r="GP23" s="1100">
        <f t="shared" si="133"/>
      </c>
      <c r="GQ23" s="1100">
        <f t="shared" si="133"/>
      </c>
      <c r="GR23" s="1100">
        <f t="shared" si="133"/>
      </c>
      <c r="GS23" s="1100">
        <f t="shared" si="133"/>
      </c>
      <c r="GT23" s="1100">
        <f t="shared" si="133"/>
      </c>
      <c r="GU23" s="1100">
        <f t="shared" si="133"/>
      </c>
      <c r="GV23" s="1100">
        <f t="shared" si="133"/>
      </c>
      <c r="GW23" s="1100">
        <f t="shared" si="133"/>
      </c>
      <c r="GX23" s="1100">
        <f t="shared" si="133"/>
      </c>
      <c r="GY23" s="1100">
        <f t="shared" si="133"/>
      </c>
      <c r="GZ23" s="1100">
        <f t="shared" si="133"/>
      </c>
      <c r="HA23" s="1100">
        <f t="shared" si="133"/>
      </c>
      <c r="HB23" s="1100">
        <f t="shared" si="112"/>
      </c>
      <c r="HC23" s="1100">
        <f t="shared" si="113"/>
      </c>
      <c r="HD23" s="1100">
        <f t="shared" si="114"/>
      </c>
      <c r="HE23" s="1100">
        <f t="shared" si="115"/>
      </c>
    </row>
    <row r="24" spans="1:213" s="11" customFormat="1" ht="10.199999999999999">
      <c r="A24" s="714" t="s">
        <v>667</v>
      </c>
      <c r="B24" s="715"/>
      <c r="C24" s="715"/>
      <c r="D24" s="715"/>
      <c r="E24" s="716"/>
      <c r="F24" s="715"/>
      <c r="G24" s="715"/>
      <c r="H24" s="715"/>
      <c r="I24" s="716"/>
      <c r="J24" s="715"/>
      <c r="K24" s="715"/>
      <c r="L24" s="715"/>
      <c r="M24" s="716"/>
      <c r="N24" s="715"/>
      <c r="O24" s="715"/>
      <c r="P24" s="715"/>
      <c r="Q24" s="716"/>
      <c r="R24" s="715"/>
      <c r="S24" s="715"/>
      <c r="T24" s="715"/>
      <c r="U24" s="716"/>
      <c r="V24" s="715"/>
      <c r="W24" s="715"/>
      <c r="X24" s="715"/>
      <c r="Y24" s="716"/>
      <c r="Z24" s="715"/>
      <c r="AA24" s="715"/>
      <c r="AB24" s="715"/>
      <c r="AC24" s="716"/>
      <c r="AD24" s="715"/>
      <c r="AE24" s="715"/>
      <c r="AF24" s="715"/>
      <c r="AG24" s="716"/>
      <c r="AH24" s="715"/>
      <c r="AI24" s="715"/>
      <c r="AJ24" s="715"/>
      <c r="AK24" s="716"/>
      <c r="AL24" s="715"/>
      <c r="AM24" s="715"/>
      <c r="AN24" s="715"/>
      <c r="AO24" s="716"/>
      <c r="AP24" s="715"/>
      <c r="AQ24" s="715"/>
      <c r="AR24" s="715"/>
      <c r="AS24" s="716"/>
      <c r="AT24" s="715"/>
      <c r="AU24" s="715"/>
      <c r="AV24" s="715"/>
      <c r="AW24" s="716"/>
      <c r="AX24" s="715">
        <f t="shared" si="127"/>
      </c>
      <c r="AY24" s="715">
        <f t="shared" si="127"/>
      </c>
      <c r="AZ24" s="715">
        <f t="shared" si="127"/>
      </c>
      <c r="BA24" s="716">
        <f t="shared" si="127"/>
      </c>
      <c r="BB24" s="715">
        <f t="shared" si="127"/>
      </c>
      <c r="BC24" s="715">
        <f t="shared" si="127"/>
      </c>
      <c r="BD24" s="715">
        <f t="shared" si="127"/>
      </c>
      <c r="BE24" s="716">
        <f t="shared" si="127"/>
      </c>
      <c r="BF24" s="715">
        <f t="shared" si="127"/>
      </c>
      <c r="BG24" s="715">
        <f t="shared" si="127"/>
      </c>
      <c r="BH24" s="715">
        <f t="shared" si="128"/>
      </c>
      <c r="BI24" s="716">
        <f t="shared" si="128"/>
      </c>
      <c r="BJ24" s="715">
        <f t="shared" si="128"/>
      </c>
      <c r="BK24" s="715">
        <f t="shared" si="128"/>
      </c>
      <c r="BL24" s="715">
        <f t="shared" si="128"/>
      </c>
      <c r="BM24" s="716">
        <f t="shared" si="128"/>
      </c>
      <c r="BN24" s="715">
        <f t="shared" si="128"/>
      </c>
      <c r="BO24" s="715">
        <f t="shared" si="128"/>
      </c>
      <c r="BP24" s="715">
        <f t="shared" si="128"/>
      </c>
      <c r="BQ24" s="716">
        <f t="shared" si="128"/>
      </c>
      <c r="BR24" s="715">
        <f t="shared" si="129"/>
      </c>
      <c r="BS24" s="715">
        <f t="shared" si="129"/>
      </c>
      <c r="BT24" s="715">
        <f t="shared" si="129"/>
      </c>
      <c r="BU24" s="716">
        <f t="shared" si="129"/>
      </c>
      <c r="BV24" s="715">
        <f t="shared" si="129"/>
      </c>
      <c r="BW24" s="715">
        <f t="shared" si="129"/>
      </c>
      <c r="BX24" s="715">
        <f t="shared" si="129"/>
      </c>
      <c r="BY24" s="716">
        <f t="shared" si="129"/>
      </c>
      <c r="BZ24" s="715">
        <f t="shared" si="119"/>
      </c>
      <c r="CA24" s="715">
        <f t="shared" si="119"/>
      </c>
      <c r="CB24" s="715">
        <f t="shared" si="119"/>
      </c>
      <c r="CC24" s="716">
        <f t="shared" si="119"/>
      </c>
      <c r="CD24" s="715">
        <f t="shared" si="119"/>
      </c>
      <c r="CE24" s="715">
        <f t="shared" si="119"/>
      </c>
      <c r="CF24" s="715">
        <f t="shared" si="119"/>
      </c>
      <c r="CG24" s="716">
        <f t="shared" si="119"/>
      </c>
      <c r="CH24" s="715">
        <f t="shared" si="119"/>
      </c>
      <c r="CI24" s="715">
        <f t="shared" si="119"/>
      </c>
      <c r="CJ24" s="715">
        <f t="shared" si="120"/>
      </c>
      <c r="CK24" s="716">
        <f t="shared" si="120"/>
      </c>
      <c r="CL24" s="715">
        <f t="shared" si="120"/>
      </c>
      <c r="CM24" s="715">
        <f t="shared" si="120"/>
      </c>
      <c r="CN24" s="715">
        <f t="shared" si="120"/>
      </c>
      <c r="CO24" s="716">
        <f t="shared" si="120"/>
      </c>
      <c r="CP24" s="715">
        <f t="shared" si="120"/>
      </c>
      <c r="CQ24" s="715">
        <f t="shared" si="120"/>
      </c>
      <c r="CR24" s="715">
        <f t="shared" si="120"/>
      </c>
      <c r="CS24" s="716">
        <f t="shared" si="120"/>
      </c>
      <c r="CT24" s="715">
        <f t="shared" si="121"/>
      </c>
      <c r="CU24" s="715">
        <f t="shared" si="121"/>
      </c>
      <c r="CV24" s="715">
        <f t="shared" si="121"/>
      </c>
      <c r="CW24" s="716">
        <f t="shared" si="121"/>
      </c>
      <c r="CX24" s="717">
        <f t="shared" si="121"/>
      </c>
      <c r="CY24" s="715">
        <f t="shared" si="121"/>
      </c>
      <c r="CZ24" s="715">
        <f t="shared" si="121"/>
      </c>
      <c r="DA24" s="716">
        <f t="shared" si="121"/>
      </c>
      <c r="DB24" s="715">
        <f t="shared" si="121"/>
      </c>
      <c r="DC24" s="715">
        <f t="shared" si="121"/>
      </c>
      <c r="DD24" s="715">
        <f t="shared" si="122"/>
      </c>
      <c r="DE24" s="716">
        <f t="shared" si="122"/>
      </c>
      <c r="DF24" s="715">
        <f t="shared" si="122"/>
      </c>
      <c r="DG24" s="715">
        <f t="shared" si="122"/>
      </c>
      <c r="DH24" s="715">
        <f t="shared" si="122"/>
      </c>
      <c r="DI24" s="716">
        <f t="shared" si="122"/>
      </c>
      <c r="DJ24" s="715">
        <f t="shared" si="122"/>
      </c>
      <c r="DK24" s="715">
        <f t="shared" si="122"/>
      </c>
      <c r="DL24" s="715">
        <f t="shared" si="122"/>
      </c>
      <c r="DM24" s="716">
        <f t="shared" si="122"/>
      </c>
      <c r="DN24" s="715">
        <f t="shared" si="122"/>
      </c>
      <c r="DO24" s="715">
        <f t="shared" si="123"/>
      </c>
      <c r="DP24" s="715">
        <f t="shared" si="123"/>
      </c>
      <c r="DQ24" s="716">
        <f t="shared" si="123"/>
      </c>
      <c r="DR24" s="715">
        <f t="shared" si="123"/>
      </c>
      <c r="DS24" s="715">
        <f t="shared" si="123"/>
      </c>
      <c r="DT24" s="715">
        <f t="shared" si="123"/>
      </c>
      <c r="DU24" s="716">
        <f t="shared" si="123"/>
      </c>
      <c r="DV24" s="715">
        <f t="shared" si="89"/>
      </c>
      <c r="DW24" s="715">
        <f t="shared" si="90"/>
      </c>
      <c r="DX24" s="715">
        <f t="shared" si="91"/>
      </c>
      <c r="DY24" s="716">
        <f t="shared" si="92"/>
      </c>
      <c r="DZ24" s="715">
        <f t="shared" si="93"/>
      </c>
      <c r="EA24" s="715">
        <f t="shared" si="94"/>
      </c>
      <c r="EB24" s="715">
        <f t="shared" si="95"/>
      </c>
      <c r="EC24" s="716">
        <f t="shared" si="96"/>
      </c>
      <c r="ED24" s="715">
        <f t="shared" si="97"/>
      </c>
      <c r="EE24" s="715">
        <f t="shared" si="98"/>
      </c>
      <c r="EF24" s="715">
        <f t="shared" si="99"/>
      </c>
      <c r="EG24" s="716">
        <f t="shared" si="100"/>
      </c>
      <c r="EH24" s="715">
        <f t="shared" si="101"/>
      </c>
      <c r="EI24" s="715">
        <f t="shared" si="102"/>
      </c>
      <c r="EJ24" s="715">
        <f t="shared" si="103"/>
      </c>
      <c r="EK24" s="716">
        <f t="shared" si="104"/>
      </c>
      <c r="EM24" s="715"/>
      <c r="EN24" s="715"/>
      <c r="EO24" s="715"/>
      <c r="EP24" s="715"/>
      <c r="EQ24" s="715"/>
      <c r="ER24" s="715"/>
      <c r="ES24" s="715"/>
      <c r="ET24" s="715"/>
      <c r="EU24" s="715"/>
      <c r="EV24" s="715"/>
      <c r="EW24" s="715"/>
      <c r="EX24" s="715"/>
      <c r="EY24" s="715">
        <f t="shared" si="130"/>
      </c>
      <c r="EZ24" s="715">
        <f t="shared" si="130"/>
      </c>
      <c r="FA24" s="715">
        <f t="shared" si="130"/>
      </c>
      <c r="FB24" s="715">
        <f t="shared" si="130"/>
      </c>
      <c r="FC24" s="715">
        <f t="shared" si="130"/>
      </c>
      <c r="FD24" s="715">
        <f t="shared" si="130"/>
      </c>
      <c r="FE24" s="715">
        <f t="shared" si="124"/>
      </c>
      <c r="FF24" s="715">
        <f t="shared" si="124"/>
      </c>
      <c r="FG24" s="715">
        <f t="shared" si="124"/>
      </c>
      <c r="FH24" s="715"/>
      <c r="FI24" s="715">
        <f t="shared" ref="FI24:FQ24" si="134">+FI15/FH15-1</f>
      </c>
      <c r="FJ24" s="715">
        <f t="shared" si="134"/>
      </c>
      <c r="FK24" s="715">
        <f t="shared" si="134"/>
      </c>
      <c r="FL24" s="715">
        <f t="shared" si="134"/>
      </c>
      <c r="FM24" s="715">
        <f t="shared" si="134"/>
      </c>
      <c r="FN24" s="715">
        <f t="shared" si="134"/>
      </c>
      <c r="FO24" s="715">
        <f t="shared" si="134"/>
      </c>
      <c r="FP24" s="715">
        <f t="shared" si="134"/>
      </c>
      <c r="FQ24" s="715">
        <f t="shared" si="134"/>
      </c>
      <c r="FR24" s="715">
        <f t="shared" si="107"/>
      </c>
      <c r="FS24" s="715">
        <f t="shared" si="108"/>
      </c>
      <c r="FT24" s="715">
        <f t="shared" si="109"/>
      </c>
      <c r="FU24" s="715">
        <f t="shared" si="110"/>
      </c>
      <c r="FV24" s="715"/>
      <c r="FW24" s="715"/>
      <c r="FX24" s="715"/>
      <c r="FY24" s="715"/>
      <c r="FZ24" s="715"/>
      <c r="GA24" s="715"/>
      <c r="GB24" s="715"/>
      <c r="GC24" s="715"/>
      <c r="GD24" s="715"/>
      <c r="GE24" s="715"/>
      <c r="GF24" s="715"/>
      <c r="GG24" s="715"/>
      <c r="GH24" s="715"/>
      <c r="GI24" s="715"/>
      <c r="GJ24" s="1275">
        <f t="shared" si="132"/>
      </c>
      <c r="GK24" s="1275">
        <f t="shared" si="132"/>
      </c>
      <c r="GL24" s="1275">
        <f t="shared" si="132"/>
      </c>
      <c r="GM24" s="1275">
        <f t="shared" ref="GM24:HA24" si="135">+GM15/GL15-1</f>
      </c>
      <c r="GN24" s="1275">
        <f t="shared" si="135"/>
      </c>
      <c r="GO24" s="1275">
        <f t="shared" si="135"/>
      </c>
      <c r="GP24" s="1275">
        <f t="shared" si="135"/>
      </c>
      <c r="GQ24" s="1275">
        <f t="shared" si="135"/>
      </c>
      <c r="GR24" s="1275">
        <f t="shared" si="135"/>
      </c>
      <c r="GS24" s="1275">
        <f t="shared" si="135"/>
      </c>
      <c r="GT24" s="1275">
        <f t="shared" si="135"/>
      </c>
      <c r="GU24" s="1275">
        <f t="shared" si="135"/>
      </c>
      <c r="GV24" s="1275">
        <f t="shared" si="135"/>
      </c>
      <c r="GW24" s="1275">
        <f t="shared" si="135"/>
      </c>
      <c r="GX24" s="1275">
        <f t="shared" si="135"/>
      </c>
      <c r="GY24" s="1275">
        <f t="shared" si="135"/>
      </c>
      <c r="GZ24" s="1275">
        <f t="shared" si="135"/>
      </c>
      <c r="HA24" s="1275">
        <f t="shared" si="135"/>
      </c>
      <c r="HB24" s="1275">
        <f t="shared" si="112"/>
      </c>
      <c r="HC24" s="1275">
        <f t="shared" si="113"/>
      </c>
      <c r="HD24" s="1275">
        <f t="shared" si="114"/>
      </c>
      <c r="HE24" s="1275">
        <f t="shared" si="115"/>
      </c>
    </row>
    <row r="25" spans="1:213" s="11" customFormat="1" ht="10.199999999999999">
      <c r="A25" s="587" t="s">
        <v>81</v>
      </c>
      <c r="B25" s="589"/>
      <c r="C25" s="589"/>
      <c r="D25" s="589"/>
      <c r="E25" s="590"/>
      <c r="F25" s="589"/>
      <c r="G25" s="589"/>
      <c r="H25" s="589"/>
      <c r="I25" s="590"/>
      <c r="J25" s="589"/>
      <c r="K25" s="589"/>
      <c r="L25" s="589"/>
      <c r="M25" s="590"/>
      <c r="N25" s="589"/>
      <c r="O25" s="589"/>
      <c r="P25" s="589"/>
      <c r="Q25" s="590"/>
      <c r="R25" s="589"/>
      <c r="S25" s="589"/>
      <c r="T25" s="589"/>
      <c r="U25" s="590"/>
      <c r="V25" s="589"/>
      <c r="W25" s="589"/>
      <c r="X25" s="589"/>
      <c r="Y25" s="590"/>
      <c r="Z25" s="589"/>
      <c r="AA25" s="589"/>
      <c r="AB25" s="589"/>
      <c r="AC25" s="590"/>
      <c r="AD25" s="589"/>
      <c r="AE25" s="589"/>
      <c r="AF25" s="589"/>
      <c r="AG25" s="590"/>
      <c r="AH25" s="589"/>
      <c r="AI25" s="589"/>
      <c r="AJ25" s="589"/>
      <c r="AK25" s="590"/>
      <c r="AL25" s="589"/>
      <c r="AM25" s="589"/>
      <c r="AN25" s="589"/>
      <c r="AO25" s="590"/>
      <c r="AP25" s="589"/>
      <c r="AQ25" s="589"/>
      <c r="AR25" s="589"/>
      <c r="AS25" s="590"/>
      <c r="AT25" s="589"/>
      <c r="AU25" s="589"/>
      <c r="AV25" s="589"/>
      <c r="AW25" s="590"/>
      <c r="AX25" s="589">
        <f t="shared" si="127"/>
      </c>
      <c r="AY25" s="589">
        <f t="shared" si="127"/>
      </c>
      <c r="AZ25" s="589">
        <f t="shared" si="127"/>
      </c>
      <c r="BA25" s="590">
        <f t="shared" si="127"/>
      </c>
      <c r="BB25" s="589">
        <f t="shared" si="127"/>
      </c>
      <c r="BC25" s="589">
        <f t="shared" si="127"/>
      </c>
      <c r="BD25" s="589">
        <f t="shared" si="127"/>
      </c>
      <c r="BE25" s="590">
        <f t="shared" si="127"/>
      </c>
      <c r="BF25" s="589">
        <f t="shared" si="127"/>
      </c>
      <c r="BG25" s="589">
        <f t="shared" si="127"/>
      </c>
      <c r="BH25" s="589">
        <f t="shared" si="128"/>
      </c>
      <c r="BI25" s="590">
        <f t="shared" si="128"/>
      </c>
      <c r="BJ25" s="589">
        <f t="shared" si="128"/>
      </c>
      <c r="BK25" s="589">
        <f t="shared" si="128"/>
      </c>
      <c r="BL25" s="589">
        <f t="shared" si="128"/>
      </c>
      <c r="BM25" s="590">
        <f t="shared" si="128"/>
      </c>
      <c r="BN25" s="589">
        <f t="shared" si="128"/>
      </c>
      <c r="BO25" s="589">
        <f t="shared" si="128"/>
      </c>
      <c r="BP25" s="589">
        <f t="shared" si="128"/>
      </c>
      <c r="BQ25" s="590">
        <f t="shared" si="128"/>
      </c>
      <c r="BR25" s="589">
        <f t="shared" si="129"/>
      </c>
      <c r="BS25" s="589">
        <f t="shared" si="129"/>
      </c>
      <c r="BT25" s="589">
        <f t="shared" si="129"/>
      </c>
      <c r="BU25" s="590">
        <f t="shared" si="129"/>
      </c>
      <c r="BV25" s="589">
        <f t="shared" si="129"/>
      </c>
      <c r="BW25" s="589">
        <f t="shared" si="129"/>
      </c>
      <c r="BX25" s="589">
        <f t="shared" si="129"/>
      </c>
      <c r="BY25" s="590">
        <f t="shared" si="129"/>
      </c>
      <c r="BZ25" s="589">
        <f t="shared" ref="BZ25:CN26" si="136">+BZ16/BV16-1</f>
      </c>
      <c r="CA25" s="589">
        <f t="shared" si="136"/>
      </c>
      <c r="CB25" s="589">
        <f t="shared" si="136"/>
      </c>
      <c r="CC25" s="590">
        <f t="shared" si="136"/>
      </c>
      <c r="CD25" s="589">
        <f t="shared" si="136"/>
      </c>
      <c r="CE25" s="589">
        <f t="shared" si="136"/>
      </c>
      <c r="CF25" s="589">
        <f t="shared" si="136"/>
      </c>
      <c r="CG25" s="590">
        <f t="shared" si="136"/>
      </c>
      <c r="CH25" s="589">
        <f t="shared" si="136"/>
      </c>
      <c r="CI25" s="589">
        <f t="shared" si="136"/>
      </c>
      <c r="CJ25" s="589">
        <f t="shared" si="136"/>
      </c>
      <c r="CK25" s="590">
        <f t="shared" si="136"/>
      </c>
      <c r="CL25" s="589">
        <f t="shared" si="136"/>
      </c>
      <c r="CM25" s="589">
        <f t="shared" si="136"/>
      </c>
      <c r="CN25" s="589">
        <f t="shared" si="136"/>
      </c>
      <c r="CO25" s="720">
        <v>0.245</v>
      </c>
      <c r="CP25" s="589">
        <f t="shared" ref="CP25:CY26" si="137">+CP16/CL16-1</f>
      </c>
      <c r="CQ25" s="589">
        <f t="shared" si="137"/>
      </c>
      <c r="CR25" s="589">
        <f t="shared" si="137"/>
      </c>
      <c r="CS25" s="590">
        <f t="shared" si="137"/>
      </c>
      <c r="CT25" s="589">
        <f t="shared" si="137"/>
      </c>
      <c r="CU25" s="589">
        <f t="shared" si="137"/>
      </c>
      <c r="CV25" s="589">
        <f t="shared" si="137"/>
      </c>
      <c r="CW25" s="590">
        <f t="shared" si="137"/>
      </c>
      <c r="CX25" s="718">
        <f t="shared" si="137"/>
      </c>
      <c r="CY25" s="589">
        <f t="shared" si="137"/>
      </c>
      <c r="CZ25" s="589">
        <f t="shared" ref="CZ25:DI26" si="138">+CZ16/CV16-1</f>
      </c>
      <c r="DA25" s="590">
        <f t="shared" si="138"/>
      </c>
      <c r="DB25" s="589">
        <f t="shared" si="138"/>
      </c>
      <c r="DC25" s="589">
        <f t="shared" si="138"/>
      </c>
      <c r="DD25" s="589">
        <f t="shared" si="138"/>
      </c>
      <c r="DE25" s="590">
        <f t="shared" si="138"/>
      </c>
      <c r="DF25" s="589">
        <f t="shared" si="138"/>
      </c>
      <c r="DG25" s="589">
        <f t="shared" si="138"/>
      </c>
      <c r="DH25" s="589">
        <f t="shared" si="138"/>
      </c>
      <c r="DI25" s="590">
        <f t="shared" si="138"/>
      </c>
      <c r="DJ25" s="589">
        <f t="shared" ref="DJ25:DS26" si="139">+DJ16/DF16-1</f>
      </c>
      <c r="DK25" s="589">
        <f t="shared" si="139"/>
      </c>
      <c r="DL25" s="589">
        <f t="shared" si="139"/>
      </c>
      <c r="DM25" s="590">
        <f t="shared" si="139"/>
      </c>
      <c r="DN25" s="589">
        <f t="shared" si="139"/>
      </c>
      <c r="DO25" s="589">
        <f t="shared" si="139"/>
      </c>
      <c r="DP25" s="589">
        <f t="shared" si="139"/>
      </c>
      <c r="DQ25" s="590">
        <f t="shared" si="139"/>
      </c>
      <c r="DR25" s="589">
        <f t="shared" si="139"/>
      </c>
      <c r="DS25" s="589">
        <f t="shared" si="139"/>
      </c>
      <c r="DT25" s="589">
        <f t="shared" ref="DT25:DU26" si="140">+DT16/DP16-1</f>
      </c>
      <c r="DU25" s="590">
        <f t="shared" si="140"/>
      </c>
      <c r="DV25" s="589">
        <f t="shared" si="89"/>
      </c>
      <c r="DW25" s="589">
        <f t="shared" si="90"/>
      </c>
      <c r="DX25" s="589">
        <f t="shared" si="91"/>
      </c>
      <c r="DY25" s="590">
        <f t="shared" si="92"/>
      </c>
      <c r="DZ25" s="589">
        <f t="shared" si="93"/>
      </c>
      <c r="EA25" s="589">
        <f t="shared" si="94"/>
      </c>
      <c r="EB25" s="589">
        <f t="shared" si="95"/>
      </c>
      <c r="EC25" s="590">
        <f t="shared" si="96"/>
      </c>
      <c r="ED25" s="589">
        <f t="shared" si="97"/>
      </c>
      <c r="EE25" s="589">
        <f t="shared" si="98"/>
      </c>
      <c r="EF25" s="589">
        <f t="shared" si="99"/>
      </c>
      <c r="EG25" s="590">
        <f t="shared" si="100"/>
      </c>
      <c r="EH25" s="589">
        <f t="shared" si="101"/>
      </c>
      <c r="EI25" s="589">
        <f t="shared" si="102"/>
      </c>
      <c r="EJ25" s="589">
        <f t="shared" si="103"/>
      </c>
      <c r="EK25" s="590">
        <f t="shared" si="104"/>
      </c>
      <c r="EM25" s="589"/>
      <c r="EN25" s="589"/>
      <c r="EO25" s="589"/>
      <c r="EP25" s="589"/>
      <c r="EQ25" s="589"/>
      <c r="ER25" s="589"/>
      <c r="ES25" s="589"/>
      <c r="ET25" s="589"/>
      <c r="EU25" s="589"/>
      <c r="EV25" s="589"/>
      <c r="EW25" s="589"/>
      <c r="EX25" s="589"/>
      <c r="EY25" s="589">
        <f t="shared" si="130"/>
      </c>
      <c r="EZ25" s="589">
        <f t="shared" si="130"/>
      </c>
      <c r="FA25" s="589">
        <f t="shared" si="130"/>
      </c>
      <c r="FB25" s="589">
        <f t="shared" si="130"/>
      </c>
      <c r="FC25" s="589">
        <f t="shared" si="130"/>
      </c>
      <c r="FD25" s="589">
        <f t="shared" si="130"/>
      </c>
      <c r="FE25" s="589">
        <f t="shared" si="124"/>
      </c>
      <c r="FF25" s="589">
        <f t="shared" si="124"/>
      </c>
      <c r="FG25" s="589">
        <f t="shared" si="124"/>
      </c>
      <c r="FH25" s="589"/>
      <c r="FI25" s="589">
        <f t="shared" ref="FI25:FQ25" si="141">+FI16/FH16-1</f>
      </c>
      <c r="FJ25" s="589">
        <f t="shared" si="141"/>
      </c>
      <c r="FK25" s="589">
        <f t="shared" si="141"/>
      </c>
      <c r="FL25" s="589">
        <f t="shared" si="141"/>
      </c>
      <c r="FM25" s="589">
        <f t="shared" si="141"/>
      </c>
      <c r="FN25" s="589">
        <f t="shared" si="141"/>
      </c>
      <c r="FO25" s="589">
        <f t="shared" si="141"/>
      </c>
      <c r="FP25" s="589">
        <f t="shared" si="141"/>
      </c>
      <c r="FQ25" s="589">
        <f t="shared" si="141"/>
      </c>
      <c r="FR25" s="589">
        <f t="shared" si="107"/>
      </c>
      <c r="FS25" s="589">
        <f t="shared" si="108"/>
      </c>
      <c r="FT25" s="589">
        <f t="shared" si="109"/>
      </c>
      <c r="FU25" s="589">
        <f t="shared" si="110"/>
      </c>
      <c r="FV25" s="589"/>
      <c r="FW25" s="589"/>
      <c r="FX25" s="589"/>
      <c r="FY25" s="589"/>
      <c r="FZ25" s="589"/>
      <c r="GA25" s="589"/>
      <c r="GB25" s="589"/>
      <c r="GC25" s="589"/>
      <c r="GD25" s="589"/>
      <c r="GE25" s="589"/>
      <c r="GF25" s="589"/>
      <c r="GG25" s="589"/>
      <c r="GH25" s="589"/>
      <c r="GI25" s="589"/>
      <c r="GJ25" s="1100">
        <f t="shared" si="132"/>
      </c>
      <c r="GK25" s="1100">
        <f t="shared" si="132"/>
      </c>
      <c r="GL25" s="1100">
        <f t="shared" si="132"/>
      </c>
      <c r="GM25" s="1100">
        <f t="shared" ref="GM25:HA25" si="142">+GM16/GL16-1</f>
      </c>
      <c r="GN25" s="1100">
        <f t="shared" si="142"/>
      </c>
      <c r="GO25" s="1100">
        <f t="shared" si="142"/>
      </c>
      <c r="GP25" s="1100">
        <f t="shared" si="142"/>
      </c>
      <c r="GQ25" s="1100">
        <f t="shared" si="142"/>
      </c>
      <c r="GR25" s="1100">
        <f t="shared" si="142"/>
      </c>
      <c r="GS25" s="1100">
        <f t="shared" si="142"/>
      </c>
      <c r="GT25" s="1100">
        <f t="shared" si="142"/>
      </c>
      <c r="GU25" s="1100">
        <f t="shared" si="142"/>
      </c>
      <c r="GV25" s="1100">
        <f t="shared" si="142"/>
      </c>
      <c r="GW25" s="1100">
        <f t="shared" si="142"/>
      </c>
      <c r="GX25" s="1100">
        <f t="shared" si="142"/>
      </c>
      <c r="GY25" s="1100">
        <f t="shared" si="142"/>
      </c>
      <c r="GZ25" s="1100">
        <f t="shared" si="142"/>
      </c>
      <c r="HA25" s="1100">
        <f t="shared" si="142"/>
      </c>
      <c r="HB25" s="1100">
        <f t="shared" si="112"/>
      </c>
      <c r="HC25" s="1100">
        <f t="shared" si="113"/>
      </c>
      <c r="HD25" s="1100">
        <f t="shared" si="114"/>
      </c>
      <c r="HE25" s="1100">
        <f t="shared" si="115"/>
      </c>
    </row>
    <row r="26" spans="1:213" s="16" customFormat="1" ht="10.199999999999999">
      <c r="A26" s="592" t="s">
        <v>1246</v>
      </c>
      <c r="B26" s="594"/>
      <c r="C26" s="594"/>
      <c r="D26" s="594"/>
      <c r="E26" s="595"/>
      <c r="F26" s="594"/>
      <c r="G26" s="594"/>
      <c r="H26" s="594"/>
      <c r="I26" s="595"/>
      <c r="J26" s="594"/>
      <c r="K26" s="594"/>
      <c r="L26" s="594"/>
      <c r="M26" s="595"/>
      <c r="N26" s="594">
        <f t="shared" ref="N26:AW26" si="143">+N17/J17-1</f>
      </c>
      <c r="O26" s="594">
        <f t="shared" si="143"/>
      </c>
      <c r="P26" s="594">
        <f t="shared" si="143"/>
      </c>
      <c r="Q26" s="595">
        <f t="shared" si="143"/>
      </c>
      <c r="R26" s="594">
        <f t="shared" si="143"/>
      </c>
      <c r="S26" s="594">
        <f t="shared" si="143"/>
      </c>
      <c r="T26" s="594">
        <f t="shared" si="143"/>
      </c>
      <c r="U26" s="595">
        <f t="shared" si="143"/>
      </c>
      <c r="V26" s="594">
        <f t="shared" si="143"/>
      </c>
      <c r="W26" s="594">
        <f t="shared" si="143"/>
      </c>
      <c r="X26" s="594">
        <f t="shared" si="143"/>
      </c>
      <c r="Y26" s="595">
        <f t="shared" si="143"/>
      </c>
      <c r="Z26" s="594">
        <f t="shared" si="143"/>
      </c>
      <c r="AA26" s="594">
        <f t="shared" si="143"/>
      </c>
      <c r="AB26" s="594">
        <f t="shared" si="143"/>
      </c>
      <c r="AC26" s="595">
        <f t="shared" si="143"/>
      </c>
      <c r="AD26" s="594">
        <f t="shared" si="143"/>
      </c>
      <c r="AE26" s="594">
        <f t="shared" si="143"/>
      </c>
      <c r="AF26" s="594">
        <f t="shared" si="143"/>
      </c>
      <c r="AG26" s="595">
        <f t="shared" si="143"/>
      </c>
      <c r="AH26" s="594">
        <f t="shared" si="143"/>
      </c>
      <c r="AI26" s="594">
        <f t="shared" si="143"/>
      </c>
      <c r="AJ26" s="594">
        <f t="shared" si="143"/>
      </c>
      <c r="AK26" s="595">
        <f t="shared" si="143"/>
      </c>
      <c r="AL26" s="594">
        <f t="shared" si="143"/>
      </c>
      <c r="AM26" s="594">
        <f t="shared" si="143"/>
      </c>
      <c r="AN26" s="594">
        <f t="shared" si="143"/>
      </c>
      <c r="AO26" s="595">
        <f t="shared" si="143"/>
      </c>
      <c r="AP26" s="594">
        <f t="shared" si="143"/>
      </c>
      <c r="AQ26" s="594">
        <f t="shared" si="143"/>
      </c>
      <c r="AR26" s="594">
        <f t="shared" si="143"/>
      </c>
      <c r="AS26" s="595">
        <f t="shared" si="143"/>
      </c>
      <c r="AT26" s="594">
        <f t="shared" si="143"/>
      </c>
      <c r="AU26" s="594">
        <f t="shared" si="143"/>
      </c>
      <c r="AV26" s="594">
        <f t="shared" si="143"/>
      </c>
      <c r="AW26" s="595">
        <f t="shared" si="143"/>
      </c>
      <c r="AX26" s="594">
        <f t="shared" si="127"/>
      </c>
      <c r="AY26" s="594">
        <f t="shared" si="127"/>
      </c>
      <c r="AZ26" s="594">
        <f t="shared" si="127"/>
      </c>
      <c r="BA26" s="595">
        <f t="shared" si="127"/>
      </c>
      <c r="BB26" s="594">
        <f t="shared" si="127"/>
      </c>
      <c r="BC26" s="594">
        <f t="shared" si="127"/>
      </c>
      <c r="BD26" s="594">
        <f t="shared" si="127"/>
      </c>
      <c r="BE26" s="595">
        <f t="shared" si="127"/>
      </c>
      <c r="BF26" s="594">
        <f t="shared" si="127"/>
      </c>
      <c r="BG26" s="594">
        <f t="shared" si="127"/>
      </c>
      <c r="BH26" s="594">
        <f t="shared" si="128"/>
      </c>
      <c r="BI26" s="595">
        <f t="shared" si="128"/>
      </c>
      <c r="BJ26" s="594">
        <f t="shared" si="128"/>
      </c>
      <c r="BK26" s="594">
        <f t="shared" si="128"/>
      </c>
      <c r="BL26" s="594">
        <f t="shared" si="128"/>
      </c>
      <c r="BM26" s="595">
        <f t="shared" si="128"/>
      </c>
      <c r="BN26" s="594">
        <f t="shared" si="128"/>
      </c>
      <c r="BO26" s="594">
        <f t="shared" si="128"/>
      </c>
      <c r="BP26" s="594">
        <f t="shared" si="128"/>
      </c>
      <c r="BQ26" s="595">
        <f t="shared" si="128"/>
      </c>
      <c r="BR26" s="594">
        <f t="shared" si="129"/>
      </c>
      <c r="BS26" s="594">
        <f t="shared" si="129"/>
      </c>
      <c r="BT26" s="594">
        <f t="shared" si="129"/>
      </c>
      <c r="BU26" s="595">
        <f t="shared" si="129"/>
      </c>
      <c r="BV26" s="594">
        <f t="shared" si="129"/>
      </c>
      <c r="BW26" s="594">
        <f t="shared" si="129"/>
      </c>
      <c r="BX26" s="594">
        <f t="shared" si="129"/>
      </c>
      <c r="BY26" s="595">
        <f t="shared" si="129"/>
      </c>
      <c r="BZ26" s="594">
        <f t="shared" si="136"/>
      </c>
      <c r="CA26" s="594">
        <f t="shared" si="136"/>
      </c>
      <c r="CB26" s="594">
        <f t="shared" si="136"/>
      </c>
      <c r="CC26" s="595">
        <f t="shared" si="136"/>
      </c>
      <c r="CD26" s="594">
        <f t="shared" si="136"/>
      </c>
      <c r="CE26" s="594">
        <f t="shared" si="136"/>
      </c>
      <c r="CF26" s="594">
        <f t="shared" si="136"/>
      </c>
      <c r="CG26" s="595">
        <f t="shared" si="136"/>
      </c>
      <c r="CH26" s="594">
        <f t="shared" si="136"/>
      </c>
      <c r="CI26" s="594">
        <f t="shared" si="136"/>
      </c>
      <c r="CJ26" s="594">
        <f t="shared" si="136"/>
      </c>
      <c r="CK26" s="595">
        <f t="shared" si="136"/>
      </c>
      <c r="CL26" s="594">
        <f t="shared" si="136"/>
      </c>
      <c r="CM26" s="594">
        <f t="shared" si="136"/>
      </c>
      <c r="CN26" s="594">
        <f t="shared" si="136"/>
      </c>
      <c r="CO26" s="595">
        <f>+CO17/CK17-1</f>
      </c>
      <c r="CP26" s="594">
        <f t="shared" si="137"/>
      </c>
      <c r="CQ26" s="594">
        <f t="shared" si="137"/>
      </c>
      <c r="CR26" s="594">
        <f t="shared" si="137"/>
      </c>
      <c r="CS26" s="595">
        <f t="shared" si="137"/>
      </c>
      <c r="CT26" s="594">
        <f t="shared" si="137"/>
      </c>
      <c r="CU26" s="594">
        <f t="shared" si="137"/>
      </c>
      <c r="CV26" s="594">
        <f t="shared" si="137"/>
      </c>
      <c r="CW26" s="595">
        <f t="shared" si="137"/>
      </c>
      <c r="CX26" s="719">
        <f t="shared" si="137"/>
      </c>
      <c r="CY26" s="594">
        <f t="shared" si="137"/>
      </c>
      <c r="CZ26" s="594">
        <f t="shared" si="138"/>
      </c>
      <c r="DA26" s="595">
        <f t="shared" si="138"/>
      </c>
      <c r="DB26" s="594">
        <f t="shared" si="138"/>
      </c>
      <c r="DC26" s="594">
        <f t="shared" si="138"/>
      </c>
      <c r="DD26" s="594">
        <f t="shared" si="138"/>
      </c>
      <c r="DE26" s="595">
        <f t="shared" si="138"/>
      </c>
      <c r="DF26" s="594">
        <f t="shared" si="138"/>
      </c>
      <c r="DG26" s="594">
        <f t="shared" si="138"/>
      </c>
      <c r="DH26" s="594">
        <f t="shared" si="138"/>
      </c>
      <c r="DI26" s="595">
        <f t="shared" si="138"/>
      </c>
      <c r="DJ26" s="594">
        <f t="shared" si="139"/>
      </c>
      <c r="DK26" s="594">
        <f t="shared" si="139"/>
      </c>
      <c r="DL26" s="594">
        <f t="shared" si="139"/>
      </c>
      <c r="DM26" s="595">
        <f t="shared" si="139"/>
      </c>
      <c r="DN26" s="594">
        <f t="shared" si="139"/>
      </c>
      <c r="DO26" s="594">
        <f t="shared" si="139"/>
      </c>
      <c r="DP26" s="594">
        <f t="shared" si="139"/>
      </c>
      <c r="DQ26" s="595">
        <f t="shared" si="139"/>
      </c>
      <c r="DR26" s="594">
        <f t="shared" si="139"/>
      </c>
      <c r="DS26" s="594">
        <f t="shared" si="139"/>
      </c>
      <c r="DT26" s="594">
        <f t="shared" si="140"/>
      </c>
      <c r="DU26" s="595">
        <f t="shared" si="140"/>
      </c>
      <c r="DV26" s="594">
        <f t="shared" si="89"/>
      </c>
      <c r="DW26" s="594">
        <f t="shared" si="90"/>
      </c>
      <c r="DX26" s="594">
        <f t="shared" si="91"/>
      </c>
      <c r="DY26" s="595">
        <f t="shared" si="92"/>
      </c>
      <c r="DZ26" s="594">
        <f t="shared" si="93"/>
      </c>
      <c r="EA26" s="594">
        <f t="shared" si="94"/>
      </c>
      <c r="EB26" s="594">
        <f t="shared" si="95"/>
      </c>
      <c r="EC26" s="595">
        <f t="shared" si="96"/>
      </c>
      <c r="ED26" s="594">
        <f t="shared" si="97"/>
      </c>
      <c r="EE26" s="594">
        <f t="shared" si="98"/>
      </c>
      <c r="EF26" s="594">
        <f t="shared" si="99"/>
      </c>
      <c r="EG26" s="595">
        <f t="shared" si="100"/>
      </c>
      <c r="EH26" s="594">
        <f t="shared" si="101"/>
      </c>
      <c r="EI26" s="594">
        <f t="shared" si="102"/>
      </c>
      <c r="EJ26" s="594">
        <f t="shared" si="103"/>
      </c>
      <c r="EK26" s="595">
        <f t="shared" si="104"/>
      </c>
      <c r="EM26" s="594"/>
      <c r="EN26" s="594"/>
      <c r="EO26" s="594"/>
      <c r="EP26" s="594">
        <f t="shared" ref="EP26:EX26" si="144">+EP17/EO17-1</f>
      </c>
      <c r="EQ26" s="594">
        <f t="shared" si="144"/>
      </c>
      <c r="ER26" s="594">
        <f t="shared" si="144"/>
      </c>
      <c r="ES26" s="594">
        <f t="shared" si="144"/>
      </c>
      <c r="ET26" s="594">
        <f t="shared" si="144"/>
      </c>
      <c r="EU26" s="594">
        <f t="shared" si="144"/>
      </c>
      <c r="EV26" s="594">
        <f t="shared" si="144"/>
      </c>
      <c r="EW26" s="594">
        <f t="shared" si="144"/>
      </c>
      <c r="EX26" s="594">
        <f t="shared" si="144"/>
      </c>
      <c r="EY26" s="594">
        <f t="shared" si="130"/>
      </c>
      <c r="EZ26" s="594">
        <f t="shared" si="130"/>
      </c>
      <c r="FA26" s="594">
        <f t="shared" si="130"/>
      </c>
      <c r="FB26" s="594">
        <f t="shared" si="130"/>
      </c>
      <c r="FC26" s="594">
        <f t="shared" si="130"/>
      </c>
      <c r="FD26" s="594">
        <f t="shared" si="130"/>
      </c>
      <c r="FE26" s="594">
        <f t="shared" si="124"/>
      </c>
      <c r="FF26" s="594">
        <f t="shared" si="124"/>
      </c>
      <c r="FG26" s="594">
        <f t="shared" si="124"/>
      </c>
      <c r="FH26" s="594">
        <f>+FH17/FG17-1</f>
      </c>
      <c r="FI26" s="594">
        <f t="shared" ref="FI26:FQ26" si="145">+FI17/FH17-1</f>
      </c>
      <c r="FJ26" s="594">
        <f t="shared" si="145"/>
      </c>
      <c r="FK26" s="594">
        <f t="shared" si="145"/>
      </c>
      <c r="FL26" s="594">
        <f t="shared" si="145"/>
      </c>
      <c r="FM26" s="594">
        <f t="shared" si="145"/>
      </c>
      <c r="FN26" s="594">
        <f t="shared" si="145"/>
      </c>
      <c r="FO26" s="594">
        <f t="shared" si="145"/>
      </c>
      <c r="FP26" s="594">
        <f t="shared" si="145"/>
      </c>
      <c r="FQ26" s="594">
        <f t="shared" si="145"/>
      </c>
      <c r="FR26" s="594">
        <f t="shared" si="107"/>
      </c>
      <c r="FS26" s="594">
        <f t="shared" si="108"/>
      </c>
      <c r="FT26" s="594">
        <f t="shared" si="109"/>
      </c>
      <c r="FU26" s="594">
        <f t="shared" si="110"/>
      </c>
      <c r="FV26" s="594"/>
      <c r="FW26" s="594"/>
      <c r="FX26" s="594"/>
      <c r="FY26" s="594"/>
      <c r="FZ26" s="594"/>
      <c r="GA26" s="594"/>
      <c r="GB26" s="594"/>
      <c r="GC26" s="594"/>
      <c r="GD26" s="594"/>
      <c r="GE26" s="594"/>
      <c r="GF26" s="594"/>
      <c r="GG26" s="594"/>
      <c r="GH26" s="594"/>
      <c r="GI26" s="594"/>
      <c r="GJ26" s="1276">
        <f t="shared" si="132"/>
      </c>
      <c r="GK26" s="1276">
        <f t="shared" si="132"/>
      </c>
      <c r="GL26" s="1276">
        <f t="shared" si="132"/>
      </c>
      <c r="GM26" s="1276">
        <f t="shared" ref="GM26:HA26" si="146">+GM17/GL17-1</f>
      </c>
      <c r="GN26" s="1276">
        <f t="shared" si="146"/>
      </c>
      <c r="GO26" s="1276">
        <f t="shared" si="146"/>
      </c>
      <c r="GP26" s="1276">
        <f t="shared" si="146"/>
      </c>
      <c r="GQ26" s="1276">
        <f t="shared" si="146"/>
      </c>
      <c r="GR26" s="1276">
        <f t="shared" si="146"/>
      </c>
      <c r="GS26" s="1276">
        <f t="shared" si="146"/>
      </c>
      <c r="GT26" s="1276">
        <f t="shared" si="146"/>
      </c>
      <c r="GU26" s="1276">
        <f t="shared" si="146"/>
      </c>
      <c r="GV26" s="1276">
        <f t="shared" si="146"/>
      </c>
      <c r="GW26" s="1276">
        <f t="shared" si="146"/>
      </c>
      <c r="GX26" s="1276">
        <f t="shared" si="146"/>
      </c>
      <c r="GY26" s="1276">
        <f t="shared" si="146"/>
      </c>
      <c r="GZ26" s="1276">
        <f t="shared" si="146"/>
      </c>
      <c r="HA26" s="1276">
        <f t="shared" si="146"/>
      </c>
      <c r="HB26" s="1276">
        <f t="shared" si="112"/>
      </c>
      <c r="HC26" s="1276">
        <f t="shared" si="113"/>
      </c>
      <c r="HD26" s="1276">
        <f t="shared" si="114"/>
      </c>
      <c r="HE26" s="1276">
        <f t="shared" si="115"/>
      </c>
    </row>
    <row r="27" spans="1:213" s="2312" customFormat="1" ht="10.199999999999999">
      <c r="A27" s="3320" t="s">
        <v>1440</v>
      </c>
      <c r="B27" s="3320"/>
      <c r="C27" s="3320"/>
      <c r="D27" s="3320"/>
      <c r="E27" s="3321"/>
      <c r="F27" s="3320"/>
      <c r="G27" s="3320"/>
      <c r="H27" s="3320"/>
      <c r="I27" s="3321"/>
      <c r="J27" s="3320"/>
      <c r="K27" s="3320"/>
      <c r="L27" s="3320"/>
      <c r="M27" s="3321"/>
      <c r="N27" s="3320"/>
      <c r="O27" s="3320"/>
      <c r="P27" s="3320"/>
      <c r="Q27" s="3321"/>
      <c r="R27" s="3320"/>
      <c r="S27" s="3320"/>
      <c r="T27" s="3320"/>
      <c r="U27" s="3321"/>
      <c r="V27" s="3320"/>
      <c r="W27" s="3320"/>
      <c r="X27" s="3320"/>
      <c r="Y27" s="3321"/>
      <c r="Z27" s="3320"/>
      <c r="AA27" s="3320"/>
      <c r="AB27" s="3320"/>
      <c r="AC27" s="3321"/>
      <c r="AD27" s="3320"/>
      <c r="AE27" s="3320"/>
      <c r="AF27" s="3320"/>
      <c r="AG27" s="3321"/>
      <c r="AH27" s="3320"/>
      <c r="AI27" s="3320"/>
      <c r="AJ27" s="3320"/>
      <c r="AK27" s="3321"/>
      <c r="AL27" s="3320"/>
      <c r="AM27" s="3320"/>
      <c r="AN27" s="3320"/>
      <c r="AO27" s="3321"/>
      <c r="AP27" s="3320"/>
      <c r="AQ27" s="3320"/>
      <c r="AR27" s="3320"/>
      <c r="AS27" s="3321"/>
      <c r="AT27" s="3320"/>
      <c r="AU27" s="3320"/>
      <c r="AV27" s="3320"/>
      <c r="AW27" s="3321"/>
      <c r="AX27" s="3320"/>
      <c r="AY27" s="3320"/>
      <c r="AZ27" s="3320"/>
      <c r="BA27" s="3321"/>
      <c r="BB27" s="3320"/>
      <c r="BC27" s="3320"/>
      <c r="BD27" s="3320"/>
      <c r="BE27" s="3321"/>
      <c r="BF27" s="3320"/>
      <c r="BG27" s="3320"/>
      <c r="BH27" s="3320"/>
      <c r="BI27" s="3321"/>
      <c r="BJ27" s="3320"/>
      <c r="BK27" s="3320"/>
      <c r="BL27" s="3320"/>
      <c r="BM27" s="3321"/>
      <c r="BN27" s="3320"/>
      <c r="BO27" s="3320"/>
      <c r="BP27" s="3320"/>
      <c r="BQ27" s="3321"/>
      <c r="BR27" s="3320"/>
      <c r="BS27" s="3320"/>
      <c r="BT27" s="3320"/>
      <c r="BU27" s="3321"/>
      <c r="BV27" s="3320"/>
      <c r="BW27" s="3320"/>
      <c r="BX27" s="3320"/>
      <c r="BY27" s="3321"/>
      <c r="BZ27" s="3320">
        <f>BZ26-BZ28</f>
      </c>
      <c r="CA27" s="3320"/>
      <c r="CB27" s="3320">
        <f>CB26-CB28</f>
      </c>
      <c r="CC27" s="3321">
        <f>CC26-CC28</f>
      </c>
      <c r="CD27" s="3320">
        <f>CD26-CD28</f>
      </c>
      <c r="CE27" s="3320">
        <f>CE26-CE28</f>
      </c>
      <c r="CF27" s="3320"/>
      <c r="CG27" s="3321"/>
      <c r="CH27" s="3320">
        <f>CH26-CH28</f>
      </c>
      <c r="CI27" s="3320">
        <f>CI26-CI28</f>
      </c>
      <c r="CJ27" s="3320">
        <f>CJ26-CJ28</f>
      </c>
      <c r="CK27" s="3321"/>
      <c r="CL27" s="3320"/>
      <c r="CM27" s="3320"/>
      <c r="CN27" s="3320"/>
      <c r="CO27" s="3322">
        <f>-200/CK17</f>
      </c>
      <c r="CP27" s="3320">
        <f>CP26-CP28</f>
      </c>
      <c r="CQ27" s="3320">
        <f>-1300/CM17</f>
      </c>
      <c r="CR27" s="3323">
        <v>-0.03</v>
      </c>
      <c r="CS27" s="3321">
        <f>-1000/CO17</f>
      </c>
      <c r="CT27" s="3320">
        <f>-1000/CP17</f>
      </c>
      <c r="CU27" s="3323">
        <v>-0.01</v>
      </c>
      <c r="CV27" s="3323">
        <v>-0.03</v>
      </c>
      <c r="CW27" s="3324">
        <v>0</v>
      </c>
      <c r="CX27" s="3325">
        <v>0</v>
      </c>
      <c r="CY27" s="3325">
        <v>0.05</v>
      </c>
      <c r="CZ27" s="3325">
        <v>0.05</v>
      </c>
      <c r="DA27" s="3322">
        <f>CZ27-3%</f>
      </c>
      <c r="DB27" s="3323">
        <v>0.01</v>
      </c>
      <c r="DC27" s="3323">
        <v>-0.02</v>
      </c>
      <c r="DD27" s="3323">
        <v>-3.2000000000000001E-2</v>
      </c>
      <c r="DE27" s="3322">
        <v>-0.06</v>
      </c>
      <c r="DF27" s="3323">
        <v>-0.08</v>
      </c>
      <c r="DG27" s="3323">
        <v>-0.05</v>
      </c>
      <c r="DH27" s="3323">
        <v>-0.04</v>
      </c>
      <c r="DI27" s="3322">
        <v>-0.02</v>
      </c>
      <c r="DJ27" s="3326">
        <v>0</v>
      </c>
      <c r="DK27" s="3323">
        <v>-1.4E-2</v>
      </c>
      <c r="DL27" s="3323">
        <v>-2.5000000000000001E-2</v>
      </c>
      <c r="DM27" s="3324">
        <v>-1.4999999999999999E-2</v>
      </c>
      <c r="DN27" s="3325">
        <v>0</v>
      </c>
      <c r="DO27" s="3326">
        <v>-2.5000000000000001E-2</v>
      </c>
      <c r="DP27" s="3323">
        <v>0</v>
      </c>
      <c r="DQ27" s="3324">
        <v>1.3786600894333943E-2</v>
      </c>
      <c r="DR27" s="3325">
        <v>2.4440997903252739E-2</v>
      </c>
      <c r="DS27" s="3325">
        <v>3.5794556786992525E-2</v>
      </c>
      <c r="DT27" s="3325">
        <v>7.855435309519954E-3</v>
      </c>
      <c r="DU27" s="3325">
        <v>-1.5877282781063032E-3</v>
      </c>
      <c r="DV27" s="3320"/>
      <c r="DW27" s="3320"/>
      <c r="DX27" s="3320"/>
      <c r="DY27" s="3321"/>
      <c r="DZ27" s="3320"/>
      <c r="EA27" s="3320"/>
      <c r="EB27" s="3320"/>
      <c r="EC27" s="3321"/>
      <c r="ED27" s="3320"/>
      <c r="EE27" s="3320"/>
      <c r="EF27" s="3320"/>
      <c r="EG27" s="3321"/>
      <c r="EH27" s="3320"/>
      <c r="EI27" s="3320"/>
      <c r="EJ27" s="3320"/>
      <c r="EK27" s="3321"/>
      <c r="EM27" s="3320"/>
      <c r="EN27" s="3320"/>
      <c r="EO27" s="3320"/>
      <c r="EP27" s="3320"/>
      <c r="EQ27" s="3320"/>
      <c r="ER27" s="3320"/>
      <c r="ES27" s="3320"/>
      <c r="ET27" s="3320"/>
      <c r="EU27" s="3320"/>
      <c r="EV27" s="3320"/>
      <c r="EW27" s="3320"/>
      <c r="EX27" s="3320"/>
      <c r="EY27" s="3320"/>
      <c r="EZ27" s="3320"/>
      <c r="FA27" s="3320"/>
      <c r="FB27" s="3320"/>
      <c r="FC27" s="3320"/>
      <c r="FD27" s="3320"/>
      <c r="FE27" s="3320"/>
      <c r="FF27" s="3320"/>
      <c r="FG27" s="3320"/>
      <c r="FH27" s="3320"/>
      <c r="FI27" s="3320"/>
      <c r="FJ27" s="3320"/>
      <c r="FK27" s="3320"/>
      <c r="FL27" s="3320"/>
      <c r="FM27" s="3320"/>
      <c r="FN27" s="3320"/>
      <c r="FO27" s="3320"/>
      <c r="FP27" s="3320"/>
      <c r="FQ27" s="3320"/>
      <c r="FR27" s="3320"/>
      <c r="FS27" s="3320"/>
      <c r="FT27" s="3320"/>
      <c r="FU27" s="3320"/>
      <c r="FV27" s="3320"/>
      <c r="FW27" s="3320"/>
      <c r="FX27" s="3320"/>
      <c r="FY27" s="3320"/>
      <c r="FZ27" s="3320"/>
      <c r="GA27" s="3320"/>
      <c r="GB27" s="3320"/>
      <c r="GC27" s="3320"/>
      <c r="GD27" s="3320"/>
      <c r="GE27" s="3320"/>
      <c r="GF27" s="3320"/>
      <c r="GG27" s="3320"/>
      <c r="GH27" s="3320"/>
      <c r="GI27" s="3320"/>
      <c r="GJ27" s="3327"/>
      <c r="GK27" s="3327"/>
      <c r="GL27" s="3327"/>
      <c r="GM27" s="3327"/>
      <c r="GN27" s="3327"/>
      <c r="GO27" s="3327"/>
      <c r="GP27" s="3327"/>
      <c r="GQ27" s="3327"/>
      <c r="GR27" s="3327"/>
      <c r="GS27" s="3327"/>
      <c r="GT27" s="3327"/>
      <c r="GU27" s="3327"/>
      <c r="GV27" s="3327"/>
      <c r="GW27" s="3327"/>
      <c r="GX27" s="3327"/>
      <c r="GY27" s="3327"/>
      <c r="GZ27" s="3327"/>
      <c r="HA27" s="3327"/>
      <c r="HB27" s="3327"/>
      <c r="HC27" s="3327"/>
      <c r="HD27" s="3327"/>
      <c r="HE27" s="3327"/>
    </row>
    <row r="28" spans="1:213" s="50" customFormat="1" ht="10.199999999999999">
      <c r="A28" s="1674" t="s">
        <v>1439</v>
      </c>
      <c r="B28" s="594"/>
      <c r="C28" s="594"/>
      <c r="D28" s="594"/>
      <c r="E28" s="595"/>
      <c r="F28" s="594"/>
      <c r="G28" s="594"/>
      <c r="H28" s="594"/>
      <c r="I28" s="595"/>
      <c r="J28" s="594"/>
      <c r="K28" s="594"/>
      <c r="L28" s="594"/>
      <c r="M28" s="595"/>
      <c r="N28" s="594"/>
      <c r="O28" s="594"/>
      <c r="P28" s="594"/>
      <c r="Q28" s="595"/>
      <c r="R28" s="594"/>
      <c r="S28" s="594"/>
      <c r="T28" s="594"/>
      <c r="U28" s="595"/>
      <c r="V28" s="594"/>
      <c r="W28" s="594"/>
      <c r="X28" s="594"/>
      <c r="Y28" s="595"/>
      <c r="Z28" s="594"/>
      <c r="AA28" s="594"/>
      <c r="AB28" s="594"/>
      <c r="AC28" s="595"/>
      <c r="AD28" s="594"/>
      <c r="AE28" s="594"/>
      <c r="AF28" s="594"/>
      <c r="AG28" s="595"/>
      <c r="AH28" s="594"/>
      <c r="AI28" s="594"/>
      <c r="AJ28" s="594"/>
      <c r="AK28" s="595"/>
      <c r="AL28" s="594"/>
      <c r="AM28" s="594"/>
      <c r="AN28" s="594"/>
      <c r="AO28" s="595"/>
      <c r="AP28" s="594"/>
      <c r="AQ28" s="594"/>
      <c r="AR28" s="594"/>
      <c r="AS28" s="595"/>
      <c r="AT28" s="594"/>
      <c r="AU28" s="594"/>
      <c r="AV28" s="594"/>
      <c r="AW28" s="595"/>
      <c r="AX28" s="594"/>
      <c r="AY28" s="594"/>
      <c r="AZ28" s="594"/>
      <c r="BA28" s="595"/>
      <c r="BB28" s="594"/>
      <c r="BC28" s="594"/>
      <c r="BD28" s="594"/>
      <c r="BE28" s="595"/>
      <c r="BF28" s="594"/>
      <c r="BG28" s="594"/>
      <c r="BH28" s="594"/>
      <c r="BI28" s="595"/>
      <c r="BJ28" s="594"/>
      <c r="BK28" s="594"/>
      <c r="BL28" s="594"/>
      <c r="BM28" s="595"/>
      <c r="BN28" s="594"/>
      <c r="BO28" s="594"/>
      <c r="BP28" s="594"/>
      <c r="BQ28" s="595"/>
      <c r="BR28" s="594"/>
      <c r="BS28" s="594"/>
      <c r="BT28" s="594"/>
      <c r="BU28" s="595"/>
      <c r="BV28" s="594"/>
      <c r="BW28" s="594"/>
      <c r="BX28" s="594"/>
      <c r="BY28" s="595"/>
      <c r="BZ28" s="1675">
        <v>0.33500000000000002</v>
      </c>
      <c r="CA28" s="594"/>
      <c r="CB28" s="1675">
        <v>0.40500000000000003</v>
      </c>
      <c r="CC28" s="1676">
        <v>0.30299999999999999</v>
      </c>
      <c r="CD28" s="1675">
        <v>0.08</v>
      </c>
      <c r="CE28" s="1675">
        <v>-8.7999999999999995E-2</v>
      </c>
      <c r="CF28" s="594"/>
      <c r="CG28" s="595"/>
      <c r="CH28" s="1680">
        <v>0.05</v>
      </c>
      <c r="CI28" s="1677">
        <v>6.6000000000000003E-2</v>
      </c>
      <c r="CJ28" s="1675">
        <v>9.1999999999999998E-2</v>
      </c>
      <c r="CK28" s="1678"/>
      <c r="CL28" s="1679"/>
      <c r="CM28" s="1679"/>
      <c r="CN28" s="594"/>
      <c r="CO28" s="595">
        <f t="shared" ref="CO28:DU28" si="147">CO26-CO27</f>
      </c>
      <c r="CP28" s="1675">
        <v>-0.03</v>
      </c>
      <c r="CQ28" s="1675">
        <f t="shared" si="147"/>
      </c>
      <c r="CR28" s="594">
        <f t="shared" si="147"/>
      </c>
      <c r="CS28" s="595">
        <f t="shared" si="147"/>
      </c>
      <c r="CT28" s="594">
        <f t="shared" si="147"/>
      </c>
      <c r="CU28" s="594">
        <f t="shared" si="147"/>
      </c>
      <c r="CV28" s="594">
        <f t="shared" si="147"/>
      </c>
      <c r="CW28" s="595">
        <f t="shared" si="147"/>
      </c>
      <c r="CX28" s="594">
        <f t="shared" si="147"/>
      </c>
      <c r="CY28" s="594">
        <f t="shared" si="147"/>
      </c>
      <c r="CZ28" s="594">
        <f t="shared" si="147"/>
      </c>
      <c r="DA28" s="595">
        <f t="shared" si="147"/>
      </c>
      <c r="DB28" s="594">
        <f t="shared" si="147"/>
      </c>
      <c r="DC28" s="594">
        <f t="shared" si="147"/>
      </c>
      <c r="DD28" s="594">
        <f t="shared" si="147"/>
      </c>
      <c r="DE28" s="851">
        <f t="shared" si="147"/>
      </c>
      <c r="DF28" s="594">
        <f t="shared" si="147"/>
      </c>
      <c r="DG28" s="594">
        <f t="shared" si="147"/>
      </c>
      <c r="DH28" s="594">
        <f t="shared" si="147"/>
      </c>
      <c r="DI28" s="595">
        <f>DI26-DI27</f>
      </c>
      <c r="DJ28" s="594">
        <f t="shared" si="147"/>
      </c>
      <c r="DK28" s="594">
        <f t="shared" si="147"/>
      </c>
      <c r="DL28" s="594">
        <f t="shared" si="147"/>
      </c>
      <c r="DM28" s="595">
        <f t="shared" si="147"/>
      </c>
      <c r="DN28" s="594">
        <f t="shared" si="147"/>
      </c>
      <c r="DO28" s="594">
        <f t="shared" si="147"/>
      </c>
      <c r="DP28" s="594">
        <f t="shared" si="147"/>
      </c>
      <c r="DQ28" s="595">
        <f t="shared" si="147"/>
      </c>
      <c r="DR28" s="594">
        <f t="shared" si="147"/>
      </c>
      <c r="DS28" s="594">
        <f t="shared" si="147"/>
      </c>
      <c r="DT28" s="594">
        <f t="shared" si="147"/>
      </c>
      <c r="DU28" s="595">
        <f t="shared" si="147"/>
      </c>
      <c r="DV28" s="594">
        <f t="shared" ref="DV28:EK28" si="148">DV26-DV27</f>
      </c>
      <c r="DW28" s="594">
        <f t="shared" si="148"/>
      </c>
      <c r="DX28" s="594">
        <f t="shared" si="148"/>
      </c>
      <c r="DY28" s="595">
        <f t="shared" si="148"/>
      </c>
      <c r="DZ28" s="594">
        <f t="shared" si="148"/>
      </c>
      <c r="EA28" s="594">
        <f t="shared" si="148"/>
      </c>
      <c r="EB28" s="594">
        <f t="shared" si="148"/>
      </c>
      <c r="EC28" s="595">
        <f t="shared" si="148"/>
      </c>
      <c r="ED28" s="594">
        <f t="shared" si="148"/>
      </c>
      <c r="EE28" s="594">
        <f t="shared" si="148"/>
      </c>
      <c r="EF28" s="594">
        <f t="shared" si="148"/>
      </c>
      <c r="EG28" s="595">
        <f t="shared" si="148"/>
      </c>
      <c r="EH28" s="594">
        <f t="shared" si="148"/>
      </c>
      <c r="EI28" s="594">
        <f t="shared" si="148"/>
      </c>
      <c r="EJ28" s="594">
        <f t="shared" si="148"/>
      </c>
      <c r="EK28" s="595">
        <f t="shared" si="148"/>
      </c>
    </row>
    <row r="29" spans="1:213" s="11" customFormat="1" ht="10.199999999999999">
      <c r="A29" s="47"/>
      <c r="E29" s="170"/>
      <c r="I29" s="170"/>
      <c r="J29" s="21"/>
      <c r="K29" s="21"/>
      <c r="L29" s="21"/>
      <c r="M29" s="172"/>
      <c r="N29" s="21"/>
      <c r="O29" s="21"/>
      <c r="P29" s="21"/>
      <c r="Q29" s="172"/>
      <c r="R29" s="21"/>
      <c r="S29" s="21"/>
      <c r="T29" s="21"/>
      <c r="U29" s="172"/>
      <c r="V29" s="21"/>
      <c r="W29" s="21"/>
      <c r="X29" s="21"/>
      <c r="Y29" s="172"/>
      <c r="Z29" s="21"/>
      <c r="AA29" s="21"/>
      <c r="AB29" s="21"/>
      <c r="AC29" s="172"/>
      <c r="AD29" s="21"/>
      <c r="AE29" s="21"/>
      <c r="AF29" s="21"/>
      <c r="AG29" s="172"/>
      <c r="AH29" s="21"/>
      <c r="AI29" s="21"/>
      <c r="AJ29" s="21"/>
      <c r="AK29" s="172"/>
      <c r="AL29" s="21"/>
      <c r="AM29" s="21"/>
      <c r="AN29" s="21"/>
      <c r="AO29" s="172"/>
      <c r="AP29" s="21"/>
      <c r="AQ29" s="21"/>
      <c r="AR29" s="21"/>
      <c r="AS29" s="172"/>
      <c r="AT29" s="21"/>
      <c r="AU29" s="21"/>
      <c r="AV29" s="21"/>
      <c r="AW29" s="172"/>
      <c r="AX29" s="21"/>
      <c r="AY29" s="21"/>
      <c r="AZ29" s="21"/>
      <c r="BA29" s="172"/>
      <c r="BB29" s="21"/>
      <c r="BC29" s="21"/>
      <c r="BD29" s="21"/>
      <c r="BE29" s="172"/>
      <c r="BF29" s="21"/>
      <c r="BG29" s="21"/>
      <c r="BH29" s="21"/>
      <c r="BI29" s="172"/>
      <c r="BJ29" s="21"/>
      <c r="BK29" s="21"/>
      <c r="BL29" s="21"/>
      <c r="BM29" s="172"/>
      <c r="BN29" s="21"/>
      <c r="BO29" s="21"/>
      <c r="BP29" s="21"/>
      <c r="BQ29" s="172"/>
      <c r="BR29" s="21"/>
      <c r="BS29" s="21"/>
      <c r="BT29" s="21"/>
      <c r="BU29" s="172"/>
      <c r="BV29" s="21"/>
      <c r="BW29" s="21"/>
      <c r="BX29" s="21"/>
      <c r="BY29" s="172"/>
      <c r="BZ29" s="21"/>
      <c r="CA29" s="21"/>
      <c r="CB29" s="21"/>
      <c r="CC29" s="172"/>
      <c r="CD29" s="21"/>
      <c r="CE29" s="21"/>
      <c r="CF29" s="21"/>
      <c r="CG29" s="172"/>
      <c r="CH29" s="21"/>
      <c r="CI29" s="21"/>
      <c r="CJ29" s="21"/>
      <c r="CK29" s="172"/>
      <c r="CL29" s="21"/>
      <c r="CM29" s="21"/>
      <c r="CN29" s="21"/>
      <c r="CO29" s="172"/>
      <c r="CP29" s="21"/>
      <c r="CQ29" s="21"/>
      <c r="CR29" s="21"/>
      <c r="CS29" s="172"/>
      <c r="CT29" s="21"/>
      <c r="CU29" s="21"/>
      <c r="CV29" s="21"/>
      <c r="CW29" s="172"/>
      <c r="CX29" s="448"/>
      <c r="CY29" s="21"/>
      <c r="CZ29" s="21"/>
      <c r="DA29" s="172"/>
      <c r="DB29" s="407"/>
      <c r="DC29" s="21"/>
      <c r="DD29" s="407"/>
      <c r="DE29" s="529"/>
      <c r="DF29" s="530"/>
      <c r="DG29" s="530"/>
      <c r="DH29" s="407"/>
      <c r="DI29" s="459"/>
      <c r="DJ29" s="407"/>
      <c r="DK29" s="407"/>
      <c r="DL29" s="407"/>
      <c r="DM29" s="459"/>
      <c r="DN29" s="407"/>
      <c r="DO29" s="407"/>
      <c r="DP29" s="407"/>
      <c r="DQ29" s="459"/>
      <c r="DR29" s="407"/>
      <c r="DS29" s="407"/>
      <c r="DT29" s="407"/>
      <c r="DU29" s="459"/>
      <c r="DV29" s="407"/>
      <c r="DW29" s="407"/>
      <c r="DX29" s="407"/>
      <c r="DY29" s="459"/>
      <c r="DZ29" s="407"/>
      <c r="EA29" s="407"/>
      <c r="EB29" s="407"/>
      <c r="EC29" s="459"/>
      <c r="ED29" s="407"/>
      <c r="EE29" s="407"/>
      <c r="EF29" s="407"/>
      <c r="EG29" s="459"/>
      <c r="EH29" s="407"/>
      <c r="EI29" s="407"/>
      <c r="EJ29" s="407"/>
      <c r="EK29" s="459"/>
      <c r="EY29" s="21"/>
      <c r="EZ29" s="21"/>
      <c r="FA29" s="21"/>
      <c r="FB29" s="21"/>
      <c r="FC29" s="21"/>
      <c r="FD29" s="21"/>
      <c r="FE29" s="21"/>
      <c r="FF29" s="21"/>
      <c r="FG29" s="21"/>
      <c r="FH29" s="21"/>
      <c r="FI29" s="21"/>
      <c r="FJ29" s="21"/>
      <c r="FK29" s="21"/>
      <c r="FL29" s="21"/>
      <c r="FM29" s="21"/>
      <c r="FN29" s="21"/>
      <c r="FO29" s="21"/>
      <c r="FP29" s="21"/>
      <c r="FQ29" s="21"/>
      <c r="FR29" s="21"/>
      <c r="FS29" s="21"/>
      <c r="FT29" s="21"/>
      <c r="FU29" s="21"/>
      <c r="FV29" s="21"/>
      <c r="GJ29" s="21"/>
      <c r="GK29" s="21"/>
      <c r="GL29" s="21"/>
      <c r="GM29" s="21"/>
      <c r="GN29" s="21"/>
      <c r="GO29" s="21"/>
      <c r="GP29" s="21"/>
      <c r="GQ29" s="21"/>
      <c r="GR29" s="21"/>
      <c r="GS29" s="21"/>
      <c r="GT29" s="21"/>
      <c r="GU29" s="21"/>
      <c r="GV29" s="21"/>
      <c r="GW29" s="21"/>
      <c r="GX29" s="21"/>
      <c r="GY29" s="21"/>
      <c r="GZ29" s="21"/>
      <c r="HA29" s="21"/>
      <c r="HB29" s="21"/>
      <c r="HC29" s="21"/>
      <c r="HD29" s="21"/>
      <c r="HE29" s="21"/>
    </row>
    <row r="30" spans="1:213" s="11" customFormat="1" ht="10.199999999999999">
      <c r="A30" s="708" t="s">
        <v>1157</v>
      </c>
      <c r="B30" s="706" t="str">
        <f t="shared" ref="B30:AG30" si="149">B$8</f>
      </c>
      <c r="C30" s="706" t="str">
        <f t="shared" si="149"/>
      </c>
      <c r="D30" s="706" t="str">
        <f t="shared" si="149"/>
      </c>
      <c r="E30" s="707" t="str">
        <f t="shared" si="149"/>
      </c>
      <c r="F30" s="706" t="str">
        <f t="shared" si="149"/>
      </c>
      <c r="G30" s="706" t="str">
        <f t="shared" si="149"/>
      </c>
      <c r="H30" s="706" t="str">
        <f t="shared" si="149"/>
      </c>
      <c r="I30" s="707" t="str">
        <f t="shared" si="149"/>
      </c>
      <c r="J30" s="706" t="str">
        <f t="shared" si="149"/>
      </c>
      <c r="K30" s="706" t="str">
        <f t="shared" si="149"/>
      </c>
      <c r="L30" s="706" t="str">
        <f t="shared" si="149"/>
      </c>
      <c r="M30" s="707" t="str">
        <f t="shared" si="149"/>
      </c>
      <c r="N30" s="706" t="str">
        <f t="shared" si="149"/>
      </c>
      <c r="O30" s="706" t="str">
        <f t="shared" si="149"/>
      </c>
      <c r="P30" s="706" t="str">
        <f t="shared" si="149"/>
      </c>
      <c r="Q30" s="707" t="str">
        <f t="shared" si="149"/>
      </c>
      <c r="R30" s="706" t="str">
        <f t="shared" si="149"/>
      </c>
      <c r="S30" s="706" t="str">
        <f t="shared" si="149"/>
      </c>
      <c r="T30" s="706" t="str">
        <f t="shared" si="149"/>
      </c>
      <c r="U30" s="707" t="str">
        <f t="shared" si="149"/>
      </c>
      <c r="V30" s="706" t="str">
        <f t="shared" si="149"/>
      </c>
      <c r="W30" s="706" t="str">
        <f t="shared" si="149"/>
      </c>
      <c r="X30" s="706" t="str">
        <f t="shared" si="149"/>
      </c>
      <c r="Y30" s="707" t="str">
        <f t="shared" si="149"/>
      </c>
      <c r="Z30" s="706" t="str">
        <f t="shared" si="149"/>
      </c>
      <c r="AA30" s="706" t="str">
        <f t="shared" si="149"/>
      </c>
      <c r="AB30" s="706" t="str">
        <f t="shared" si="149"/>
      </c>
      <c r="AC30" s="707" t="str">
        <f t="shared" si="149"/>
      </c>
      <c r="AD30" s="706" t="str">
        <f t="shared" si="149"/>
      </c>
      <c r="AE30" s="706" t="str">
        <f t="shared" si="149"/>
      </c>
      <c r="AF30" s="706" t="str">
        <f t="shared" si="149"/>
      </c>
      <c r="AG30" s="707" t="str">
        <f t="shared" si="149"/>
      </c>
      <c r="AH30" s="706" t="str">
        <f t="shared" ref="AH30:BM30" si="150">AH$8</f>
      </c>
      <c r="AI30" s="706" t="str">
        <f t="shared" si="150"/>
      </c>
      <c r="AJ30" s="706" t="str">
        <f t="shared" si="150"/>
      </c>
      <c r="AK30" s="707" t="str">
        <f t="shared" si="150"/>
      </c>
      <c r="AL30" s="706" t="str">
        <f t="shared" si="150"/>
      </c>
      <c r="AM30" s="706" t="str">
        <f t="shared" si="150"/>
      </c>
      <c r="AN30" s="706" t="str">
        <f t="shared" si="150"/>
      </c>
      <c r="AO30" s="707" t="str">
        <f t="shared" si="150"/>
      </c>
      <c r="AP30" s="706" t="str">
        <f t="shared" si="150"/>
      </c>
      <c r="AQ30" s="706" t="str">
        <f t="shared" si="150"/>
      </c>
      <c r="AR30" s="706" t="str">
        <f t="shared" si="150"/>
      </c>
      <c r="AS30" s="707" t="str">
        <f t="shared" si="150"/>
      </c>
      <c r="AT30" s="706" t="str">
        <f t="shared" si="150"/>
      </c>
      <c r="AU30" s="706" t="str">
        <f t="shared" si="150"/>
      </c>
      <c r="AV30" s="706" t="str">
        <f t="shared" si="150"/>
      </c>
      <c r="AW30" s="707" t="str">
        <f t="shared" si="150"/>
      </c>
      <c r="AX30" s="706" t="str">
        <f t="shared" si="150"/>
      </c>
      <c r="AY30" s="706" t="str">
        <f t="shared" si="150"/>
      </c>
      <c r="AZ30" s="706" t="str">
        <f t="shared" si="150"/>
      </c>
      <c r="BA30" s="707" t="str">
        <f t="shared" si="150"/>
      </c>
      <c r="BB30" s="706" t="str">
        <f t="shared" si="150"/>
      </c>
      <c r="BC30" s="706" t="str">
        <f t="shared" si="150"/>
      </c>
      <c r="BD30" s="706" t="str">
        <f t="shared" si="150"/>
      </c>
      <c r="BE30" s="707" t="str">
        <f t="shared" si="150"/>
      </c>
      <c r="BF30" s="706" t="str">
        <f t="shared" si="150"/>
      </c>
      <c r="BG30" s="706" t="str">
        <f t="shared" si="150"/>
      </c>
      <c r="BH30" s="706" t="str">
        <f t="shared" si="150"/>
      </c>
      <c r="BI30" s="707" t="str">
        <f t="shared" si="150"/>
      </c>
      <c r="BJ30" s="706" t="str">
        <f t="shared" si="150"/>
      </c>
      <c r="BK30" s="706" t="str">
        <f t="shared" si="150"/>
      </c>
      <c r="BL30" s="706" t="str">
        <f t="shared" si="150"/>
      </c>
      <c r="BM30" s="707" t="str">
        <f t="shared" si="150"/>
      </c>
      <c r="BN30" s="706" t="str">
        <f t="shared" ref="BN30:CS30" si="151">BN$8</f>
      </c>
      <c r="BO30" s="706" t="str">
        <f t="shared" si="151"/>
      </c>
      <c r="BP30" s="706" t="str">
        <f t="shared" si="151"/>
      </c>
      <c r="BQ30" s="707" t="str">
        <f t="shared" si="151"/>
      </c>
      <c r="BR30" s="706" t="str">
        <f t="shared" si="151"/>
      </c>
      <c r="BS30" s="706" t="str">
        <f t="shared" si="151"/>
      </c>
      <c r="BT30" s="706" t="str">
        <f t="shared" si="151"/>
      </c>
      <c r="BU30" s="707" t="str">
        <f t="shared" si="151"/>
      </c>
      <c r="BV30" s="706" t="str">
        <f t="shared" si="151"/>
      </c>
      <c r="BW30" s="706" t="str">
        <f t="shared" si="151"/>
      </c>
      <c r="BX30" s="706" t="str">
        <f t="shared" si="151"/>
      </c>
      <c r="BY30" s="707" t="str">
        <f t="shared" si="151"/>
      </c>
      <c r="BZ30" s="706" t="str">
        <f t="shared" si="151"/>
      </c>
      <c r="CA30" s="706" t="str">
        <f t="shared" si="151"/>
      </c>
      <c r="CB30" s="706" t="str">
        <f t="shared" si="151"/>
      </c>
      <c r="CC30" s="707" t="str">
        <f t="shared" si="151"/>
      </c>
      <c r="CD30" s="706" t="str">
        <f t="shared" si="151"/>
      </c>
      <c r="CE30" s="706" t="str">
        <f t="shared" si="151"/>
      </c>
      <c r="CF30" s="706" t="str">
        <f t="shared" si="151"/>
      </c>
      <c r="CG30" s="707" t="str">
        <f t="shared" si="151"/>
      </c>
      <c r="CH30" s="706" t="str">
        <f t="shared" si="151"/>
      </c>
      <c r="CI30" s="706" t="str">
        <f t="shared" si="151"/>
      </c>
      <c r="CJ30" s="706" t="str">
        <f t="shared" si="151"/>
      </c>
      <c r="CK30" s="707" t="str">
        <f t="shared" si="151"/>
      </c>
      <c r="CL30" s="706" t="str">
        <f t="shared" si="151"/>
      </c>
      <c r="CM30" s="706" t="str">
        <f t="shared" si="151"/>
      </c>
      <c r="CN30" s="706" t="str">
        <f t="shared" si="151"/>
      </c>
      <c r="CO30" s="707" t="str">
        <f t="shared" si="151"/>
      </c>
      <c r="CP30" s="706" t="str">
        <f t="shared" si="151"/>
      </c>
      <c r="CQ30" s="706" t="str">
        <f t="shared" si="151"/>
      </c>
      <c r="CR30" s="706" t="str">
        <f t="shared" si="151"/>
      </c>
      <c r="CS30" s="707" t="str">
        <f t="shared" si="151"/>
      </c>
      <c r="CT30" s="706" t="str">
        <f t="shared" ref="CT30:EK30" si="152">CT$8</f>
      </c>
      <c r="CU30" s="706" t="str">
        <f t="shared" si="152"/>
      </c>
      <c r="CV30" s="706" t="str">
        <f t="shared" si="152"/>
      </c>
      <c r="CW30" s="707" t="str">
        <f t="shared" si="152"/>
      </c>
      <c r="CX30" s="706" t="str">
        <f t="shared" si="152"/>
      </c>
      <c r="CY30" s="706" t="str">
        <f t="shared" si="152"/>
      </c>
      <c r="CZ30" s="706" t="str">
        <f t="shared" si="152"/>
      </c>
      <c r="DA30" s="707" t="str">
        <f t="shared" si="152"/>
      </c>
      <c r="DB30" s="706" t="str">
        <f t="shared" si="152"/>
      </c>
      <c r="DC30" s="706" t="str">
        <f t="shared" si="152"/>
      </c>
      <c r="DD30" s="706" t="str">
        <f t="shared" si="152"/>
      </c>
      <c r="DE30" s="707" t="str">
        <f t="shared" si="152"/>
      </c>
      <c r="DF30" s="706" t="str">
        <f t="shared" si="152"/>
      </c>
      <c r="DG30" s="706" t="str">
        <f t="shared" si="152"/>
      </c>
      <c r="DH30" s="706" t="str">
        <f t="shared" si="152"/>
      </c>
      <c r="DI30" s="707" t="str">
        <f t="shared" si="152"/>
      </c>
      <c r="DJ30" s="706" t="str">
        <f t="shared" si="152"/>
      </c>
      <c r="DK30" s="706" t="str">
        <f t="shared" si="152"/>
      </c>
      <c r="DL30" s="706" t="str">
        <f t="shared" si="152"/>
      </c>
      <c r="DM30" s="707" t="str">
        <f t="shared" si="152"/>
      </c>
      <c r="DN30" s="706" t="str">
        <f t="shared" si="152"/>
      </c>
      <c r="DO30" s="706" t="str">
        <f t="shared" si="152"/>
      </c>
      <c r="DP30" s="706" t="str">
        <f t="shared" si="152"/>
      </c>
      <c r="DQ30" s="707" t="str">
        <f t="shared" si="152"/>
      </c>
      <c r="DR30" s="706" t="str">
        <f t="shared" si="152"/>
      </c>
      <c r="DS30" s="706" t="str">
        <f t="shared" si="152"/>
      </c>
      <c r="DT30" s="706" t="str">
        <f t="shared" si="152"/>
      </c>
      <c r="DU30" s="707" t="str">
        <f t="shared" si="152"/>
      </c>
      <c r="DV30" s="706" t="str">
        <f t="shared" si="152"/>
      </c>
      <c r="DW30" s="706" t="str">
        <f t="shared" si="152"/>
      </c>
      <c r="DX30" s="706" t="str">
        <f t="shared" si="152"/>
      </c>
      <c r="DY30" s="707" t="str">
        <f t="shared" si="152"/>
      </c>
      <c r="DZ30" s="706" t="str">
        <f t="shared" si="152"/>
      </c>
      <c r="EA30" s="706" t="str">
        <f t="shared" si="152"/>
      </c>
      <c r="EB30" s="706" t="str">
        <f t="shared" si="152"/>
      </c>
      <c r="EC30" s="707" t="str">
        <f t="shared" si="152"/>
      </c>
      <c r="ED30" s="706" t="str">
        <f t="shared" si="152"/>
      </c>
      <c r="EE30" s="706" t="str">
        <f t="shared" si="152"/>
      </c>
      <c r="EF30" s="706" t="str">
        <f t="shared" si="152"/>
      </c>
      <c r="EG30" s="707" t="str">
        <f t="shared" si="152"/>
      </c>
      <c r="EH30" s="706" t="str">
        <f t="shared" si="152"/>
      </c>
      <c r="EI30" s="706" t="str">
        <f t="shared" si="152"/>
      </c>
      <c r="EJ30" s="706" t="str">
        <f t="shared" si="152"/>
      </c>
      <c r="EK30" s="707" t="str">
        <f t="shared" si="152"/>
      </c>
      <c r="EY30" s="21"/>
      <c r="EZ30" s="21"/>
      <c r="FA30" s="21"/>
      <c r="FB30" s="21"/>
      <c r="FC30" s="21"/>
      <c r="FD30" s="21"/>
      <c r="FE30" s="21"/>
      <c r="FF30" s="21"/>
      <c r="FG30" s="21"/>
      <c r="FH30" s="21"/>
      <c r="FI30" s="21"/>
      <c r="FJ30" s="21"/>
      <c r="FK30" s="21"/>
      <c r="FL30" s="21"/>
      <c r="FM30" s="21"/>
      <c r="FN30" s="21"/>
      <c r="FO30" s="21"/>
      <c r="FP30" s="21"/>
      <c r="FQ30" s="21"/>
      <c r="FR30" s="21"/>
      <c r="FS30" s="21"/>
      <c r="FT30" s="21"/>
      <c r="FU30" s="21"/>
      <c r="FV30" s="21"/>
      <c r="GJ30" s="21"/>
      <c r="GK30" s="21"/>
      <c r="GL30" s="21"/>
      <c r="GM30" s="21"/>
      <c r="GN30" s="21"/>
      <c r="GO30" s="21"/>
      <c r="GP30" s="21"/>
      <c r="GQ30" s="21"/>
      <c r="GR30" s="21"/>
      <c r="GS30" s="21"/>
      <c r="GT30" s="21"/>
      <c r="GU30" s="21"/>
      <c r="GV30" s="21"/>
      <c r="GW30" s="21"/>
      <c r="GX30" s="21"/>
      <c r="GY30" s="21"/>
      <c r="GZ30" s="21"/>
      <c r="HA30" s="21"/>
      <c r="HB30" s="21"/>
      <c r="HC30" s="21"/>
      <c r="HD30" s="21"/>
      <c r="HE30" s="21"/>
    </row>
    <row r="31" spans="1:213" s="11" customFormat="1" ht="10.199999999999999">
      <c r="A31" s="1717" t="s">
        <v>84</v>
      </c>
      <c r="B31" s="589"/>
      <c r="C31" s="589"/>
      <c r="D31" s="589"/>
      <c r="E31" s="590"/>
      <c r="F31" s="589"/>
      <c r="G31" s="589"/>
      <c r="H31" s="589"/>
      <c r="I31" s="590"/>
      <c r="J31" s="589"/>
      <c r="K31" s="589"/>
      <c r="L31" s="589"/>
      <c r="M31" s="590"/>
      <c r="N31" s="589"/>
      <c r="O31" s="589"/>
      <c r="P31" s="589"/>
      <c r="Q31" s="590"/>
      <c r="R31" s="589"/>
      <c r="S31" s="589"/>
      <c r="T31" s="589"/>
      <c r="U31" s="590"/>
      <c r="V31" s="589"/>
      <c r="W31" s="589"/>
      <c r="X31" s="589"/>
      <c r="Y31" s="590"/>
      <c r="Z31" s="589"/>
      <c r="AA31" s="589"/>
      <c r="AB31" s="589"/>
      <c r="AC31" s="590"/>
      <c r="AD31" s="589"/>
      <c r="AE31" s="589"/>
      <c r="AF31" s="589"/>
      <c r="AG31" s="590"/>
      <c r="AH31" s="589"/>
      <c r="AI31" s="589"/>
      <c r="AJ31" s="589"/>
      <c r="AK31" s="590"/>
      <c r="AL31" s="589"/>
      <c r="AM31" s="589"/>
      <c r="AN31" s="589"/>
      <c r="AO31" s="590"/>
      <c r="AP31" s="589"/>
      <c r="AQ31" s="589"/>
      <c r="AR31" s="589"/>
      <c r="AS31" s="590"/>
      <c r="AT31" s="589"/>
      <c r="AU31" s="589"/>
      <c r="AV31" s="589"/>
      <c r="AW31" s="590">
        <f t="shared" ref="AW31:CB31" si="153">+AW11/AV11-1</f>
      </c>
      <c r="AX31" s="589">
        <f t="shared" si="153"/>
      </c>
      <c r="AY31" s="589">
        <f t="shared" si="153"/>
      </c>
      <c r="AZ31" s="589">
        <f t="shared" si="153"/>
      </c>
      <c r="BA31" s="590">
        <f t="shared" si="153"/>
      </c>
      <c r="BB31" s="589">
        <f t="shared" si="153"/>
      </c>
      <c r="BC31" s="589">
        <f t="shared" si="153"/>
      </c>
      <c r="BD31" s="589">
        <f t="shared" si="153"/>
      </c>
      <c r="BE31" s="590">
        <f t="shared" si="153"/>
      </c>
      <c r="BF31" s="589">
        <f t="shared" si="153"/>
      </c>
      <c r="BG31" s="589">
        <f t="shared" si="153"/>
      </c>
      <c r="BH31" s="589">
        <f t="shared" si="153"/>
      </c>
      <c r="BI31" s="590">
        <f t="shared" si="153"/>
      </c>
      <c r="BJ31" s="589">
        <f t="shared" si="153"/>
      </c>
      <c r="BK31" s="589">
        <f t="shared" si="153"/>
      </c>
      <c r="BL31" s="589">
        <f t="shared" si="153"/>
      </c>
      <c r="BM31" s="590">
        <f t="shared" si="153"/>
      </c>
      <c r="BN31" s="589">
        <f t="shared" si="153"/>
      </c>
      <c r="BO31" s="589">
        <f t="shared" si="153"/>
      </c>
      <c r="BP31" s="589">
        <f t="shared" si="153"/>
      </c>
      <c r="BQ31" s="590">
        <f t="shared" si="153"/>
      </c>
      <c r="BR31" s="589">
        <f t="shared" si="153"/>
      </c>
      <c r="BS31" s="589">
        <f t="shared" si="153"/>
      </c>
      <c r="BT31" s="589">
        <f t="shared" si="153"/>
      </c>
      <c r="BU31" s="590">
        <f t="shared" si="153"/>
      </c>
      <c r="BV31" s="589">
        <f t="shared" si="153"/>
      </c>
      <c r="BW31" s="589">
        <f t="shared" si="153"/>
      </c>
      <c r="BX31" s="589">
        <f t="shared" si="153"/>
      </c>
      <c r="BY31" s="590">
        <f t="shared" si="153"/>
      </c>
      <c r="BZ31" s="589">
        <f t="shared" si="153"/>
      </c>
      <c r="CA31" s="589">
        <f t="shared" si="153"/>
      </c>
      <c r="CB31" s="589">
        <f t="shared" si="153"/>
      </c>
      <c r="CC31" s="590">
        <f t="shared" ref="CC31:DH31" si="154">+CC11/CB11-1</f>
      </c>
      <c r="CD31" s="589">
        <f t="shared" si="154"/>
      </c>
      <c r="CE31" s="589">
        <f t="shared" si="154"/>
      </c>
      <c r="CF31" s="589">
        <f t="shared" si="154"/>
      </c>
      <c r="CG31" s="590">
        <f t="shared" si="154"/>
      </c>
      <c r="CH31" s="589">
        <f t="shared" si="154"/>
      </c>
      <c r="CI31" s="589">
        <f t="shared" si="154"/>
      </c>
      <c r="CJ31" s="589">
        <f t="shared" si="154"/>
      </c>
      <c r="CK31" s="590">
        <f t="shared" si="154"/>
      </c>
      <c r="CL31" s="589">
        <f t="shared" si="154"/>
      </c>
      <c r="CM31" s="589">
        <f t="shared" si="154"/>
      </c>
      <c r="CN31" s="589">
        <f t="shared" si="154"/>
      </c>
      <c r="CO31" s="590">
        <f t="shared" si="154"/>
      </c>
      <c r="CP31" s="589">
        <f t="shared" si="154"/>
      </c>
      <c r="CQ31" s="589">
        <f t="shared" si="154"/>
      </c>
      <c r="CR31" s="589">
        <f t="shared" si="154"/>
      </c>
      <c r="CS31" s="590">
        <f t="shared" si="154"/>
      </c>
      <c r="CT31" s="589">
        <f t="shared" si="154"/>
      </c>
      <c r="CU31" s="589">
        <f t="shared" si="154"/>
      </c>
      <c r="CV31" s="589">
        <f t="shared" si="154"/>
      </c>
      <c r="CW31" s="590">
        <f t="shared" si="154"/>
      </c>
      <c r="CX31" s="718">
        <f t="shared" si="154"/>
      </c>
      <c r="CY31" s="589">
        <f t="shared" si="154"/>
      </c>
      <c r="CZ31" s="589">
        <f t="shared" si="154"/>
      </c>
      <c r="DA31" s="590">
        <f t="shared" si="154"/>
      </c>
      <c r="DB31" s="589">
        <f t="shared" si="154"/>
      </c>
      <c r="DC31" s="589">
        <f t="shared" si="154"/>
      </c>
      <c r="DD31" s="589">
        <f t="shared" si="154"/>
      </c>
      <c r="DE31" s="590">
        <f t="shared" si="154"/>
      </c>
      <c r="DF31" s="589">
        <f t="shared" si="154"/>
      </c>
      <c r="DG31" s="589">
        <f t="shared" si="154"/>
      </c>
      <c r="DH31" s="589">
        <f t="shared" si="154"/>
      </c>
      <c r="DI31" s="590">
        <f t="shared" ref="DI31:DU31" si="155">+DI11/DH11-1</f>
      </c>
      <c r="DJ31" s="589">
        <f t="shared" si="155"/>
      </c>
      <c r="DK31" s="589">
        <f t="shared" si="155"/>
      </c>
      <c r="DL31" s="589">
        <f t="shared" si="155"/>
      </c>
      <c r="DM31" s="590">
        <f t="shared" si="155"/>
      </c>
      <c r="DN31" s="589">
        <f t="shared" si="155"/>
      </c>
      <c r="DO31" s="589">
        <f t="shared" si="155"/>
      </c>
      <c r="DP31" s="589">
        <f t="shared" si="155"/>
      </c>
      <c r="DQ31" s="590">
        <f t="shared" si="155"/>
      </c>
      <c r="DR31" s="589">
        <f t="shared" si="155"/>
      </c>
      <c r="DS31" s="589">
        <f t="shared" si="155"/>
      </c>
      <c r="DT31" s="589">
        <f t="shared" si="155"/>
      </c>
      <c r="DU31" s="590">
        <f t="shared" si="155"/>
      </c>
      <c r="DV31" s="589">
        <f t="shared" ref="DV31:DV37" si="156">+DV11/DU11-1</f>
      </c>
      <c r="DW31" s="589">
        <f t="shared" ref="DW31:DW37" si="157">+DW11/DV11-1</f>
      </c>
      <c r="DX31" s="589">
        <f t="shared" ref="DX31:DX37" si="158">+DX11/DW11-1</f>
      </c>
      <c r="DY31" s="590">
        <f t="shared" ref="DY31:DY37" si="159">+DY11/DX11-1</f>
      </c>
      <c r="DZ31" s="589">
        <f t="shared" ref="DZ31:DZ37" si="160">+DZ11/DY11-1</f>
      </c>
      <c r="EA31" s="589">
        <f t="shared" ref="EA31:EA37" si="161">+EA11/DZ11-1</f>
      </c>
      <c r="EB31" s="589">
        <f t="shared" ref="EB31:EB37" si="162">+EB11/EA11-1</f>
      </c>
      <c r="EC31" s="590">
        <f t="shared" ref="EC31:EC37" si="163">+EC11/EB11-1</f>
      </c>
      <c r="ED31" s="589">
        <f t="shared" ref="ED31:ED37" si="164">+ED11/EC11-1</f>
      </c>
      <c r="EE31" s="589">
        <f t="shared" ref="EE31:EE37" si="165">+EE11/ED11-1</f>
      </c>
      <c r="EF31" s="589">
        <f t="shared" ref="EF31:EF37" si="166">+EF11/EE11-1</f>
      </c>
      <c r="EG31" s="590">
        <f t="shared" ref="EG31:EG37" si="167">+EG11/EF11-1</f>
      </c>
      <c r="EH31" s="589">
        <f t="shared" ref="EH31:EH37" si="168">+EH11/EG11-1</f>
      </c>
      <c r="EI31" s="589">
        <f t="shared" ref="EI31:EI37" si="169">+EI11/EH11-1</f>
      </c>
      <c r="EJ31" s="589">
        <f t="shared" ref="EJ31:EJ37" si="170">+EJ11/EI11-1</f>
      </c>
      <c r="EK31" s="590">
        <f t="shared" ref="EK31:EK37" si="171">+EK11/EJ11-1</f>
      </c>
    </row>
    <row r="32" spans="1:213" s="11" customFormat="1" ht="10.199999999999999">
      <c r="A32" s="1717" t="s">
        <v>86</v>
      </c>
      <c r="B32" s="589"/>
      <c r="C32" s="589"/>
      <c r="D32" s="589"/>
      <c r="E32" s="590"/>
      <c r="F32" s="589"/>
      <c r="G32" s="589"/>
      <c r="H32" s="589"/>
      <c r="I32" s="590"/>
      <c r="J32" s="589"/>
      <c r="K32" s="589"/>
      <c r="L32" s="589"/>
      <c r="M32" s="590"/>
      <c r="N32" s="589"/>
      <c r="O32" s="589"/>
      <c r="P32" s="589"/>
      <c r="Q32" s="590"/>
      <c r="R32" s="589"/>
      <c r="S32" s="589"/>
      <c r="T32" s="589"/>
      <c r="U32" s="590"/>
      <c r="V32" s="589"/>
      <c r="W32" s="589"/>
      <c r="X32" s="589"/>
      <c r="Y32" s="590"/>
      <c r="Z32" s="589"/>
      <c r="AA32" s="589"/>
      <c r="AB32" s="589"/>
      <c r="AC32" s="590"/>
      <c r="AD32" s="589"/>
      <c r="AE32" s="589"/>
      <c r="AF32" s="589"/>
      <c r="AG32" s="590"/>
      <c r="AH32" s="589"/>
      <c r="AI32" s="589"/>
      <c r="AJ32" s="589"/>
      <c r="AK32" s="590"/>
      <c r="AL32" s="589"/>
      <c r="AM32" s="589"/>
      <c r="AN32" s="589"/>
      <c r="AO32" s="590"/>
      <c r="AP32" s="589"/>
      <c r="AQ32" s="589"/>
      <c r="AR32" s="589"/>
      <c r="AS32" s="590"/>
      <c r="AT32" s="589"/>
      <c r="AU32" s="589">
        <f>+AU12/AT12-1</f>
      </c>
      <c r="AV32" s="589">
        <f>+AV12/AU12-1</f>
      </c>
      <c r="AW32" s="590">
        <f t="shared" ref="AW32:CB32" si="172">+AW12/AV12-1</f>
      </c>
      <c r="AX32" s="589">
        <f t="shared" si="172"/>
      </c>
      <c r="AY32" s="589">
        <f t="shared" si="172"/>
      </c>
      <c r="AZ32" s="589">
        <f t="shared" si="172"/>
      </c>
      <c r="BA32" s="590">
        <f t="shared" si="172"/>
      </c>
      <c r="BB32" s="589">
        <f t="shared" si="172"/>
      </c>
      <c r="BC32" s="589">
        <f t="shared" si="172"/>
      </c>
      <c r="BD32" s="589">
        <f t="shared" si="172"/>
      </c>
      <c r="BE32" s="590">
        <f t="shared" si="172"/>
      </c>
      <c r="BF32" s="589">
        <f t="shared" si="172"/>
      </c>
      <c r="BG32" s="589">
        <f t="shared" si="172"/>
      </c>
      <c r="BH32" s="589">
        <f t="shared" si="172"/>
      </c>
      <c r="BI32" s="590">
        <f t="shared" si="172"/>
      </c>
      <c r="BJ32" s="589">
        <f t="shared" si="172"/>
      </c>
      <c r="BK32" s="589">
        <f t="shared" si="172"/>
      </c>
      <c r="BL32" s="589">
        <f t="shared" si="172"/>
      </c>
      <c r="BM32" s="590">
        <f t="shared" si="172"/>
      </c>
      <c r="BN32" s="589">
        <f t="shared" si="172"/>
      </c>
      <c r="BO32" s="589">
        <f t="shared" si="172"/>
      </c>
      <c r="BP32" s="589">
        <f t="shared" si="172"/>
      </c>
      <c r="BQ32" s="590">
        <f t="shared" si="172"/>
      </c>
      <c r="BR32" s="589">
        <f t="shared" si="172"/>
      </c>
      <c r="BS32" s="589">
        <f t="shared" si="172"/>
      </c>
      <c r="BT32" s="589">
        <f t="shared" si="172"/>
      </c>
      <c r="BU32" s="590">
        <f t="shared" si="172"/>
      </c>
      <c r="BV32" s="589">
        <f t="shared" si="172"/>
      </c>
      <c r="BW32" s="589">
        <f t="shared" si="172"/>
      </c>
      <c r="BX32" s="589">
        <f t="shared" si="172"/>
      </c>
      <c r="BY32" s="590">
        <f t="shared" si="172"/>
      </c>
      <c r="BZ32" s="589">
        <f t="shared" si="172"/>
      </c>
      <c r="CA32" s="589">
        <f t="shared" si="172"/>
      </c>
      <c r="CB32" s="589">
        <f t="shared" si="172"/>
      </c>
      <c r="CC32" s="590">
        <f t="shared" ref="CC32:DH32" si="173">+CC12/CB12-1</f>
      </c>
      <c r="CD32" s="589">
        <f t="shared" si="173"/>
      </c>
      <c r="CE32" s="589">
        <f t="shared" si="173"/>
      </c>
      <c r="CF32" s="589">
        <f t="shared" si="173"/>
      </c>
      <c r="CG32" s="590">
        <f t="shared" si="173"/>
      </c>
      <c r="CH32" s="589">
        <f t="shared" si="173"/>
      </c>
      <c r="CI32" s="589">
        <f t="shared" si="173"/>
      </c>
      <c r="CJ32" s="589">
        <f t="shared" si="173"/>
      </c>
      <c r="CK32" s="590">
        <f t="shared" si="173"/>
      </c>
      <c r="CL32" s="589">
        <f t="shared" si="173"/>
      </c>
      <c r="CM32" s="589">
        <f t="shared" si="173"/>
      </c>
      <c r="CN32" s="589">
        <f t="shared" si="173"/>
      </c>
      <c r="CO32" s="590">
        <f t="shared" si="173"/>
      </c>
      <c r="CP32" s="589">
        <f t="shared" si="173"/>
      </c>
      <c r="CQ32" s="589">
        <f t="shared" si="173"/>
      </c>
      <c r="CR32" s="589">
        <f t="shared" si="173"/>
      </c>
      <c r="CS32" s="590">
        <f t="shared" si="173"/>
      </c>
      <c r="CT32" s="589">
        <f t="shared" si="173"/>
      </c>
      <c r="CU32" s="589">
        <f t="shared" si="173"/>
      </c>
      <c r="CV32" s="589">
        <f t="shared" si="173"/>
      </c>
      <c r="CW32" s="590">
        <f t="shared" si="173"/>
      </c>
      <c r="CX32" s="718">
        <f t="shared" si="173"/>
      </c>
      <c r="CY32" s="589">
        <f t="shared" si="173"/>
      </c>
      <c r="CZ32" s="589">
        <f t="shared" si="173"/>
      </c>
      <c r="DA32" s="590">
        <f t="shared" si="173"/>
      </c>
      <c r="DB32" s="589">
        <f t="shared" si="173"/>
      </c>
      <c r="DC32" s="589">
        <f t="shared" si="173"/>
      </c>
      <c r="DD32" s="589">
        <f t="shared" si="173"/>
      </c>
      <c r="DE32" s="590">
        <f t="shared" si="173"/>
      </c>
      <c r="DF32" s="589">
        <f t="shared" si="173"/>
      </c>
      <c r="DG32" s="589">
        <f t="shared" si="173"/>
      </c>
      <c r="DH32" s="589">
        <f t="shared" si="173"/>
      </c>
      <c r="DI32" s="590">
        <f t="shared" ref="DI32:DU32" si="174">+DI12/DH12-1</f>
      </c>
      <c r="DJ32" s="589">
        <f t="shared" si="174"/>
      </c>
      <c r="DK32" s="589">
        <f t="shared" si="174"/>
      </c>
      <c r="DL32" s="589">
        <f t="shared" si="174"/>
      </c>
      <c r="DM32" s="590">
        <f t="shared" si="174"/>
      </c>
      <c r="DN32" s="589">
        <f t="shared" si="174"/>
      </c>
      <c r="DO32" s="589">
        <f t="shared" si="174"/>
      </c>
      <c r="DP32" s="589">
        <f t="shared" si="174"/>
      </c>
      <c r="DQ32" s="590">
        <f t="shared" si="174"/>
      </c>
      <c r="DR32" s="589">
        <f t="shared" si="174"/>
      </c>
      <c r="DS32" s="589">
        <f t="shared" si="174"/>
      </c>
      <c r="DT32" s="589">
        <f t="shared" si="174"/>
      </c>
      <c r="DU32" s="590">
        <f t="shared" si="174"/>
      </c>
      <c r="DV32" s="589">
        <f t="shared" si="156"/>
      </c>
      <c r="DW32" s="589">
        <f t="shared" si="157"/>
      </c>
      <c r="DX32" s="589">
        <f t="shared" si="158"/>
      </c>
      <c r="DY32" s="590">
        <f t="shared" si="159"/>
      </c>
      <c r="DZ32" s="589">
        <f t="shared" si="160"/>
      </c>
      <c r="EA32" s="589">
        <f t="shared" si="161"/>
      </c>
      <c r="EB32" s="589">
        <f t="shared" si="162"/>
      </c>
      <c r="EC32" s="590">
        <f t="shared" si="163"/>
      </c>
      <c r="ED32" s="589">
        <f t="shared" si="164"/>
      </c>
      <c r="EE32" s="589">
        <f t="shared" si="165"/>
      </c>
      <c r="EF32" s="589">
        <f t="shared" si="166"/>
      </c>
      <c r="EG32" s="590">
        <f t="shared" si="167"/>
      </c>
      <c r="EH32" s="589">
        <f t="shared" si="168"/>
      </c>
      <c r="EI32" s="589">
        <f t="shared" si="169"/>
      </c>
      <c r="EJ32" s="589">
        <f t="shared" si="170"/>
      </c>
      <c r="EK32" s="590">
        <f t="shared" si="171"/>
      </c>
    </row>
    <row r="33" spans="1:213" s="11" customFormat="1" ht="10.199999999999999">
      <c r="A33" s="1717" t="s">
        <v>85</v>
      </c>
      <c r="B33" s="589"/>
      <c r="C33" s="589"/>
      <c r="D33" s="589"/>
      <c r="E33" s="590"/>
      <c r="F33" s="589"/>
      <c r="G33" s="589"/>
      <c r="H33" s="589"/>
      <c r="I33" s="590"/>
      <c r="J33" s="589"/>
      <c r="K33" s="589"/>
      <c r="L33" s="589"/>
      <c r="M33" s="590"/>
      <c r="N33" s="589"/>
      <c r="O33" s="589"/>
      <c r="P33" s="589"/>
      <c r="Q33" s="590"/>
      <c r="R33" s="589"/>
      <c r="S33" s="589"/>
      <c r="T33" s="589"/>
      <c r="U33" s="590"/>
      <c r="V33" s="589"/>
      <c r="W33" s="589"/>
      <c r="X33" s="589"/>
      <c r="Y33" s="590"/>
      <c r="Z33" s="589"/>
      <c r="AA33" s="589"/>
      <c r="AB33" s="589"/>
      <c r="AC33" s="590"/>
      <c r="AD33" s="589"/>
      <c r="AE33" s="589"/>
      <c r="AF33" s="589"/>
      <c r="AG33" s="590"/>
      <c r="AH33" s="589"/>
      <c r="AI33" s="589"/>
      <c r="AJ33" s="589"/>
      <c r="AK33" s="590"/>
      <c r="AL33" s="589"/>
      <c r="AM33" s="589"/>
      <c r="AN33" s="589"/>
      <c r="AO33" s="590"/>
      <c r="AP33" s="589"/>
      <c r="AQ33" s="589"/>
      <c r="AR33" s="589"/>
      <c r="AS33" s="590"/>
      <c r="AT33" s="589"/>
      <c r="AU33" s="589"/>
      <c r="AV33" s="589"/>
      <c r="AW33" s="590"/>
      <c r="AX33" s="589"/>
      <c r="AY33" s="589"/>
      <c r="AZ33" s="589"/>
      <c r="BA33" s="590"/>
      <c r="BB33" s="589"/>
      <c r="BC33" s="589"/>
      <c r="BD33" s="589"/>
      <c r="BE33" s="590"/>
      <c r="BF33" s="589"/>
      <c r="BG33" s="589"/>
      <c r="BH33" s="589"/>
      <c r="BI33" s="590"/>
      <c r="BJ33" s="589"/>
      <c r="BK33" s="589"/>
      <c r="BL33" s="589"/>
      <c r="BM33" s="590"/>
      <c r="BN33" s="589"/>
      <c r="BO33" s="589"/>
      <c r="BP33" s="589"/>
      <c r="BQ33" s="590"/>
      <c r="BR33" s="589"/>
      <c r="BS33" s="589"/>
      <c r="BT33" s="589"/>
      <c r="BU33" s="590"/>
      <c r="BV33" s="589"/>
      <c r="BW33" s="589">
        <f t="shared" ref="BW33:DB33" si="175">+BW13/BV13-1</f>
      </c>
      <c r="BX33" s="589">
        <f t="shared" si="175"/>
      </c>
      <c r="BY33" s="590">
        <f t="shared" si="175"/>
      </c>
      <c r="BZ33" s="589">
        <f t="shared" si="175"/>
      </c>
      <c r="CA33" s="589">
        <f t="shared" si="175"/>
      </c>
      <c r="CB33" s="589">
        <f t="shared" si="175"/>
      </c>
      <c r="CC33" s="590">
        <f t="shared" si="175"/>
      </c>
      <c r="CD33" s="589">
        <f t="shared" si="175"/>
      </c>
      <c r="CE33" s="589">
        <f t="shared" si="175"/>
      </c>
      <c r="CF33" s="589">
        <f t="shared" si="175"/>
      </c>
      <c r="CG33" s="590">
        <f t="shared" si="175"/>
      </c>
      <c r="CH33" s="589">
        <f t="shared" si="175"/>
      </c>
      <c r="CI33" s="589">
        <f t="shared" si="175"/>
      </c>
      <c r="CJ33" s="589">
        <f t="shared" si="175"/>
      </c>
      <c r="CK33" s="590">
        <f t="shared" si="175"/>
      </c>
      <c r="CL33" s="589">
        <f t="shared" si="175"/>
      </c>
      <c r="CM33" s="589">
        <f t="shared" si="175"/>
      </c>
      <c r="CN33" s="589">
        <f t="shared" si="175"/>
      </c>
      <c r="CO33" s="590">
        <f t="shared" si="175"/>
      </c>
      <c r="CP33" s="589">
        <f t="shared" si="175"/>
      </c>
      <c r="CQ33" s="589">
        <f t="shared" si="175"/>
      </c>
      <c r="CR33" s="589">
        <f t="shared" si="175"/>
      </c>
      <c r="CS33" s="590">
        <f t="shared" si="175"/>
      </c>
      <c r="CT33" s="589">
        <f t="shared" si="175"/>
      </c>
      <c r="CU33" s="589">
        <f t="shared" si="175"/>
      </c>
      <c r="CV33" s="589">
        <f t="shared" si="175"/>
      </c>
      <c r="CW33" s="590">
        <f t="shared" si="175"/>
      </c>
      <c r="CX33" s="718">
        <f t="shared" si="175"/>
      </c>
      <c r="CY33" s="589">
        <f t="shared" si="175"/>
      </c>
      <c r="CZ33" s="589">
        <f t="shared" si="175"/>
      </c>
      <c r="DA33" s="590">
        <f t="shared" si="175"/>
      </c>
      <c r="DB33" s="589">
        <f t="shared" si="175"/>
      </c>
      <c r="DC33" s="589">
        <f t="shared" ref="DC33:DU33" si="176">+DC13/DB13-1</f>
      </c>
      <c r="DD33" s="589">
        <f t="shared" si="176"/>
      </c>
      <c r="DE33" s="590">
        <f t="shared" si="176"/>
      </c>
      <c r="DF33" s="589">
        <f t="shared" si="176"/>
      </c>
      <c r="DG33" s="589">
        <f t="shared" si="176"/>
      </c>
      <c r="DH33" s="589">
        <f t="shared" si="176"/>
      </c>
      <c r="DI33" s="590">
        <f t="shared" si="176"/>
      </c>
      <c r="DJ33" s="589">
        <f t="shared" si="176"/>
      </c>
      <c r="DK33" s="589">
        <f t="shared" si="176"/>
      </c>
      <c r="DL33" s="589">
        <f t="shared" si="176"/>
      </c>
      <c r="DM33" s="590">
        <f t="shared" si="176"/>
      </c>
      <c r="DN33" s="589">
        <f t="shared" si="176"/>
      </c>
      <c r="DO33" s="589">
        <f t="shared" si="176"/>
      </c>
      <c r="DP33" s="589">
        <f t="shared" si="176"/>
      </c>
      <c r="DQ33" s="590">
        <f t="shared" si="176"/>
      </c>
      <c r="DR33" s="589">
        <f t="shared" si="176"/>
      </c>
      <c r="DS33" s="589">
        <f t="shared" si="176"/>
      </c>
      <c r="DT33" s="589">
        <f t="shared" si="176"/>
      </c>
      <c r="DU33" s="590">
        <f t="shared" si="176"/>
      </c>
      <c r="DV33" s="589">
        <f t="shared" si="156"/>
      </c>
      <c r="DW33" s="589">
        <f t="shared" si="157"/>
      </c>
      <c r="DX33" s="589">
        <f t="shared" si="158"/>
      </c>
      <c r="DY33" s="590">
        <f t="shared" si="159"/>
      </c>
      <c r="DZ33" s="589">
        <f t="shared" si="160"/>
      </c>
      <c r="EA33" s="589">
        <f t="shared" si="161"/>
      </c>
      <c r="EB33" s="589">
        <f t="shared" si="162"/>
      </c>
      <c r="EC33" s="590">
        <f t="shared" si="163"/>
      </c>
      <c r="ED33" s="589">
        <f t="shared" si="164"/>
      </c>
      <c r="EE33" s="589">
        <f t="shared" si="165"/>
      </c>
      <c r="EF33" s="589">
        <f t="shared" si="166"/>
      </c>
      <c r="EG33" s="590">
        <f t="shared" si="167"/>
      </c>
      <c r="EH33" s="589">
        <f t="shared" si="168"/>
      </c>
      <c r="EI33" s="589">
        <f t="shared" si="169"/>
      </c>
      <c r="EJ33" s="589">
        <f t="shared" si="170"/>
      </c>
      <c r="EK33" s="590">
        <f t="shared" si="171"/>
      </c>
    </row>
    <row r="34" spans="1:213" s="11" customFormat="1" ht="10.199999999999999">
      <c r="A34" s="1717" t="s">
        <v>1120</v>
      </c>
      <c r="B34" s="589"/>
      <c r="C34" s="589"/>
      <c r="D34" s="589"/>
      <c r="E34" s="590"/>
      <c r="F34" s="589"/>
      <c r="G34" s="589"/>
      <c r="H34" s="589"/>
      <c r="I34" s="590"/>
      <c r="J34" s="589"/>
      <c r="K34" s="589"/>
      <c r="L34" s="589"/>
      <c r="M34" s="590"/>
      <c r="N34" s="589"/>
      <c r="O34" s="589"/>
      <c r="P34" s="589"/>
      <c r="Q34" s="590"/>
      <c r="R34" s="589"/>
      <c r="S34" s="589"/>
      <c r="T34" s="589"/>
      <c r="U34" s="590"/>
      <c r="V34" s="589"/>
      <c r="W34" s="589"/>
      <c r="X34" s="589"/>
      <c r="Y34" s="590"/>
      <c r="Z34" s="589"/>
      <c r="AA34" s="589"/>
      <c r="AB34" s="589"/>
      <c r="AC34" s="590"/>
      <c r="AD34" s="589"/>
      <c r="AE34" s="589"/>
      <c r="AF34" s="589"/>
      <c r="AG34" s="590"/>
      <c r="AH34" s="589"/>
      <c r="AI34" s="589"/>
      <c r="AJ34" s="589"/>
      <c r="AK34" s="590"/>
      <c r="AL34" s="589"/>
      <c r="AM34" s="589"/>
      <c r="AN34" s="589"/>
      <c r="AO34" s="590"/>
      <c r="AP34" s="589"/>
      <c r="AQ34" s="589"/>
      <c r="AR34" s="589"/>
      <c r="AS34" s="590"/>
      <c r="AT34" s="589"/>
      <c r="AU34" s="589">
        <f t="shared" ref="AU34:BV34" si="177">+AU14/AT14-1</f>
      </c>
      <c r="AV34" s="589">
        <f t="shared" si="177"/>
      </c>
      <c r="AW34" s="590">
        <f t="shared" si="177"/>
      </c>
      <c r="AX34" s="589">
        <f t="shared" si="177"/>
      </c>
      <c r="AY34" s="589">
        <f t="shared" si="177"/>
      </c>
      <c r="AZ34" s="589">
        <f t="shared" si="177"/>
      </c>
      <c r="BA34" s="590">
        <f t="shared" si="177"/>
      </c>
      <c r="BB34" s="589">
        <f t="shared" si="177"/>
      </c>
      <c r="BC34" s="589">
        <f t="shared" si="177"/>
      </c>
      <c r="BD34" s="589">
        <f t="shared" si="177"/>
      </c>
      <c r="BE34" s="590">
        <f t="shared" si="177"/>
      </c>
      <c r="BF34" s="589">
        <f t="shared" si="177"/>
      </c>
      <c r="BG34" s="589">
        <f t="shared" si="177"/>
      </c>
      <c r="BH34" s="589">
        <f t="shared" si="177"/>
      </c>
      <c r="BI34" s="590">
        <f t="shared" si="177"/>
      </c>
      <c r="BJ34" s="589">
        <f t="shared" si="177"/>
      </c>
      <c r="BK34" s="589">
        <f t="shared" si="177"/>
      </c>
      <c r="BL34" s="589">
        <f t="shared" si="177"/>
      </c>
      <c r="BM34" s="590">
        <f t="shared" si="177"/>
      </c>
      <c r="BN34" s="589">
        <f t="shared" si="177"/>
      </c>
      <c r="BO34" s="589">
        <f t="shared" si="177"/>
      </c>
      <c r="BP34" s="589">
        <f t="shared" si="177"/>
      </c>
      <c r="BQ34" s="590">
        <f t="shared" si="177"/>
      </c>
      <c r="BR34" s="589">
        <f t="shared" si="177"/>
      </c>
      <c r="BS34" s="589">
        <f t="shared" si="177"/>
      </c>
      <c r="BT34" s="589">
        <f t="shared" si="177"/>
      </c>
      <c r="BU34" s="590">
        <f t="shared" si="177"/>
      </c>
      <c r="BV34" s="589">
        <f t="shared" si="177"/>
      </c>
      <c r="BW34" s="589">
        <f t="shared" ref="BW34:DB34" si="178">+BW14/BV14-1</f>
      </c>
      <c r="BX34" s="589">
        <f t="shared" si="178"/>
      </c>
      <c r="BY34" s="590">
        <f t="shared" si="178"/>
      </c>
      <c r="BZ34" s="589">
        <f t="shared" si="178"/>
      </c>
      <c r="CA34" s="589">
        <f t="shared" si="178"/>
      </c>
      <c r="CB34" s="589">
        <f t="shared" si="178"/>
      </c>
      <c r="CC34" s="590">
        <f t="shared" si="178"/>
      </c>
      <c r="CD34" s="589">
        <f t="shared" si="178"/>
      </c>
      <c r="CE34" s="589">
        <f t="shared" si="178"/>
      </c>
      <c r="CF34" s="589">
        <f t="shared" si="178"/>
      </c>
      <c r="CG34" s="590">
        <f t="shared" si="178"/>
      </c>
      <c r="CH34" s="589">
        <f t="shared" si="178"/>
      </c>
      <c r="CI34" s="589">
        <f t="shared" si="178"/>
      </c>
      <c r="CJ34" s="589">
        <f t="shared" si="178"/>
      </c>
      <c r="CK34" s="590">
        <f t="shared" si="178"/>
      </c>
      <c r="CL34" s="589">
        <f t="shared" si="178"/>
      </c>
      <c r="CM34" s="589">
        <f t="shared" si="178"/>
      </c>
      <c r="CN34" s="589">
        <f t="shared" si="178"/>
      </c>
      <c r="CO34" s="590">
        <f t="shared" si="178"/>
      </c>
      <c r="CP34" s="589">
        <f t="shared" si="178"/>
      </c>
      <c r="CQ34" s="589">
        <f t="shared" si="178"/>
      </c>
      <c r="CR34" s="589">
        <f t="shared" si="178"/>
      </c>
      <c r="CS34" s="590">
        <f t="shared" si="178"/>
      </c>
      <c r="CT34" s="589">
        <f t="shared" si="178"/>
      </c>
      <c r="CU34" s="589">
        <f t="shared" si="178"/>
      </c>
      <c r="CV34" s="589">
        <f t="shared" si="178"/>
      </c>
      <c r="CW34" s="590">
        <f t="shared" si="178"/>
      </c>
      <c r="CX34" s="718">
        <f t="shared" si="178"/>
      </c>
      <c r="CY34" s="589">
        <f t="shared" si="178"/>
      </c>
      <c r="CZ34" s="589">
        <f t="shared" si="178"/>
      </c>
      <c r="DA34" s="590">
        <f t="shared" si="178"/>
      </c>
      <c r="DB34" s="589">
        <f t="shared" si="178"/>
      </c>
      <c r="DC34" s="589">
        <f t="shared" ref="DC34:DU34" si="179">+DC14/DB14-1</f>
      </c>
      <c r="DD34" s="589">
        <f t="shared" si="179"/>
      </c>
      <c r="DE34" s="590">
        <f t="shared" si="179"/>
      </c>
      <c r="DF34" s="589">
        <f t="shared" si="179"/>
      </c>
      <c r="DG34" s="589">
        <f t="shared" si="179"/>
      </c>
      <c r="DH34" s="589">
        <f t="shared" si="179"/>
      </c>
      <c r="DI34" s="590">
        <f t="shared" si="179"/>
      </c>
      <c r="DJ34" s="589">
        <f t="shared" si="179"/>
      </c>
      <c r="DK34" s="589">
        <f t="shared" si="179"/>
      </c>
      <c r="DL34" s="589">
        <f t="shared" si="179"/>
      </c>
      <c r="DM34" s="590">
        <f t="shared" si="179"/>
      </c>
      <c r="DN34" s="589">
        <f t="shared" si="179"/>
      </c>
      <c r="DO34" s="589">
        <f t="shared" si="179"/>
      </c>
      <c r="DP34" s="589">
        <f t="shared" si="179"/>
      </c>
      <c r="DQ34" s="590">
        <f t="shared" si="179"/>
      </c>
      <c r="DR34" s="589">
        <f t="shared" si="179"/>
      </c>
      <c r="DS34" s="589">
        <f t="shared" si="179"/>
      </c>
      <c r="DT34" s="589">
        <f t="shared" si="179"/>
      </c>
      <c r="DU34" s="590">
        <f t="shared" si="179"/>
      </c>
      <c r="DV34" s="589">
        <f t="shared" si="156"/>
      </c>
      <c r="DW34" s="589">
        <f t="shared" si="157"/>
      </c>
      <c r="DX34" s="589">
        <f t="shared" si="158"/>
      </c>
      <c r="DY34" s="590">
        <f t="shared" si="159"/>
      </c>
      <c r="DZ34" s="589">
        <f t="shared" si="160"/>
      </c>
      <c r="EA34" s="589">
        <f t="shared" si="161"/>
      </c>
      <c r="EB34" s="589">
        <f t="shared" si="162"/>
      </c>
      <c r="EC34" s="590">
        <f t="shared" si="163"/>
      </c>
      <c r="ED34" s="589">
        <f t="shared" si="164"/>
      </c>
      <c r="EE34" s="589">
        <f t="shared" si="165"/>
      </c>
      <c r="EF34" s="589">
        <f t="shared" si="166"/>
      </c>
      <c r="EG34" s="590">
        <f t="shared" si="167"/>
      </c>
      <c r="EH34" s="589">
        <f t="shared" si="168"/>
      </c>
      <c r="EI34" s="589">
        <f t="shared" si="169"/>
      </c>
      <c r="EJ34" s="589">
        <f t="shared" si="170"/>
      </c>
      <c r="EK34" s="590">
        <f t="shared" si="171"/>
      </c>
    </row>
    <row r="35" spans="1:213" s="11" customFormat="1" ht="10.199999999999999">
      <c r="A35" s="714" t="s">
        <v>667</v>
      </c>
      <c r="B35" s="715"/>
      <c r="C35" s="715"/>
      <c r="D35" s="715"/>
      <c r="E35" s="716"/>
      <c r="F35" s="715"/>
      <c r="G35" s="715"/>
      <c r="H35" s="715"/>
      <c r="I35" s="716"/>
      <c r="J35" s="715"/>
      <c r="K35" s="715"/>
      <c r="L35" s="715"/>
      <c r="M35" s="716"/>
      <c r="N35" s="715"/>
      <c r="O35" s="715"/>
      <c r="P35" s="715"/>
      <c r="Q35" s="716"/>
      <c r="R35" s="715"/>
      <c r="S35" s="715"/>
      <c r="T35" s="715"/>
      <c r="U35" s="716"/>
      <c r="V35" s="715"/>
      <c r="W35" s="715"/>
      <c r="X35" s="715"/>
      <c r="Y35" s="716"/>
      <c r="Z35" s="715"/>
      <c r="AA35" s="715"/>
      <c r="AB35" s="715"/>
      <c r="AC35" s="716"/>
      <c r="AD35" s="715"/>
      <c r="AE35" s="715"/>
      <c r="AF35" s="715"/>
      <c r="AG35" s="716"/>
      <c r="AH35" s="715"/>
      <c r="AI35" s="715"/>
      <c r="AJ35" s="715"/>
      <c r="AK35" s="716"/>
      <c r="AL35" s="715"/>
      <c r="AM35" s="715"/>
      <c r="AN35" s="715"/>
      <c r="AO35" s="716"/>
      <c r="AP35" s="715"/>
      <c r="AQ35" s="715"/>
      <c r="AR35" s="715"/>
      <c r="AS35" s="716"/>
      <c r="AT35" s="715"/>
      <c r="AU35" s="715">
        <f t="shared" ref="AU35:BV35" si="180">+AU15/AT15-1</f>
      </c>
      <c r="AV35" s="715">
        <f t="shared" si="180"/>
      </c>
      <c r="AW35" s="716">
        <f t="shared" si="180"/>
      </c>
      <c r="AX35" s="715">
        <f t="shared" si="180"/>
      </c>
      <c r="AY35" s="715">
        <f t="shared" si="180"/>
      </c>
      <c r="AZ35" s="715">
        <f t="shared" si="180"/>
      </c>
      <c r="BA35" s="716">
        <f t="shared" si="180"/>
      </c>
      <c r="BB35" s="715">
        <f t="shared" si="180"/>
      </c>
      <c r="BC35" s="715">
        <f t="shared" si="180"/>
      </c>
      <c r="BD35" s="715">
        <f t="shared" si="180"/>
      </c>
      <c r="BE35" s="716">
        <f t="shared" si="180"/>
      </c>
      <c r="BF35" s="715">
        <f t="shared" si="180"/>
      </c>
      <c r="BG35" s="715">
        <f t="shared" si="180"/>
      </c>
      <c r="BH35" s="715">
        <f t="shared" si="180"/>
      </c>
      <c r="BI35" s="716">
        <f t="shared" si="180"/>
      </c>
      <c r="BJ35" s="715">
        <f t="shared" si="180"/>
      </c>
      <c r="BK35" s="715">
        <f t="shared" si="180"/>
      </c>
      <c r="BL35" s="715">
        <f t="shared" si="180"/>
      </c>
      <c r="BM35" s="716">
        <f t="shared" si="180"/>
      </c>
      <c r="BN35" s="715">
        <f t="shared" si="180"/>
      </c>
      <c r="BO35" s="715">
        <f t="shared" si="180"/>
      </c>
      <c r="BP35" s="715">
        <f t="shared" si="180"/>
      </c>
      <c r="BQ35" s="716">
        <f t="shared" si="180"/>
      </c>
      <c r="BR35" s="715">
        <f t="shared" si="180"/>
      </c>
      <c r="BS35" s="715">
        <f t="shared" si="180"/>
      </c>
      <c r="BT35" s="715">
        <f t="shared" si="180"/>
      </c>
      <c r="BU35" s="716">
        <f t="shared" si="180"/>
      </c>
      <c r="BV35" s="715">
        <f t="shared" si="180"/>
      </c>
      <c r="BW35" s="715">
        <f t="shared" ref="BW35:DB35" si="181">+BW15/BV15-1</f>
      </c>
      <c r="BX35" s="715">
        <f t="shared" si="181"/>
      </c>
      <c r="BY35" s="716">
        <f t="shared" si="181"/>
      </c>
      <c r="BZ35" s="715">
        <f t="shared" si="181"/>
      </c>
      <c r="CA35" s="715">
        <f t="shared" si="181"/>
      </c>
      <c r="CB35" s="715">
        <f t="shared" si="181"/>
      </c>
      <c r="CC35" s="716">
        <f t="shared" si="181"/>
      </c>
      <c r="CD35" s="715">
        <f t="shared" si="181"/>
      </c>
      <c r="CE35" s="715">
        <f t="shared" si="181"/>
      </c>
      <c r="CF35" s="715">
        <f t="shared" si="181"/>
      </c>
      <c r="CG35" s="716">
        <f t="shared" si="181"/>
      </c>
      <c r="CH35" s="715">
        <f t="shared" si="181"/>
      </c>
      <c r="CI35" s="715">
        <f t="shared" si="181"/>
      </c>
      <c r="CJ35" s="715">
        <f t="shared" si="181"/>
      </c>
      <c r="CK35" s="716">
        <f t="shared" si="181"/>
      </c>
      <c r="CL35" s="715">
        <f t="shared" si="181"/>
      </c>
      <c r="CM35" s="715">
        <f t="shared" si="181"/>
      </c>
      <c r="CN35" s="715">
        <f t="shared" si="181"/>
      </c>
      <c r="CO35" s="716">
        <f t="shared" si="181"/>
      </c>
      <c r="CP35" s="715">
        <f t="shared" si="181"/>
      </c>
      <c r="CQ35" s="715">
        <f t="shared" si="181"/>
      </c>
      <c r="CR35" s="715">
        <f t="shared" si="181"/>
      </c>
      <c r="CS35" s="716">
        <f t="shared" si="181"/>
      </c>
      <c r="CT35" s="715">
        <f t="shared" si="181"/>
      </c>
      <c r="CU35" s="715">
        <f t="shared" si="181"/>
      </c>
      <c r="CV35" s="715">
        <f t="shared" si="181"/>
      </c>
      <c r="CW35" s="716">
        <f t="shared" si="181"/>
      </c>
      <c r="CX35" s="717">
        <f t="shared" si="181"/>
      </c>
      <c r="CY35" s="715">
        <f t="shared" si="181"/>
      </c>
      <c r="CZ35" s="715">
        <f t="shared" si="181"/>
      </c>
      <c r="DA35" s="716">
        <f t="shared" si="181"/>
      </c>
      <c r="DB35" s="715">
        <f t="shared" si="181"/>
      </c>
      <c r="DC35" s="715">
        <f t="shared" ref="DC35:DU35" si="182">+DC15/DB15-1</f>
      </c>
      <c r="DD35" s="715">
        <f t="shared" si="182"/>
      </c>
      <c r="DE35" s="716">
        <f t="shared" si="182"/>
      </c>
      <c r="DF35" s="715">
        <f t="shared" si="182"/>
      </c>
      <c r="DG35" s="715">
        <f t="shared" si="182"/>
      </c>
      <c r="DH35" s="715">
        <f t="shared" si="182"/>
      </c>
      <c r="DI35" s="716">
        <f t="shared" si="182"/>
      </c>
      <c r="DJ35" s="715">
        <f t="shared" si="182"/>
      </c>
      <c r="DK35" s="715">
        <f t="shared" si="182"/>
      </c>
      <c r="DL35" s="715">
        <f t="shared" si="182"/>
      </c>
      <c r="DM35" s="716">
        <f t="shared" si="182"/>
      </c>
      <c r="DN35" s="715">
        <f t="shared" si="182"/>
      </c>
      <c r="DO35" s="715">
        <f t="shared" si="182"/>
      </c>
      <c r="DP35" s="715">
        <f t="shared" si="182"/>
      </c>
      <c r="DQ35" s="716">
        <f t="shared" si="182"/>
      </c>
      <c r="DR35" s="715">
        <f t="shared" si="182"/>
      </c>
      <c r="DS35" s="715">
        <f t="shared" si="182"/>
      </c>
      <c r="DT35" s="715">
        <f t="shared" si="182"/>
      </c>
      <c r="DU35" s="716">
        <f t="shared" si="182"/>
      </c>
      <c r="DV35" s="715">
        <f t="shared" si="156"/>
      </c>
      <c r="DW35" s="715">
        <f t="shared" si="157"/>
      </c>
      <c r="DX35" s="715">
        <f t="shared" si="158"/>
      </c>
      <c r="DY35" s="716">
        <f t="shared" si="159"/>
      </c>
      <c r="DZ35" s="715">
        <f t="shared" si="160"/>
      </c>
      <c r="EA35" s="715">
        <f t="shared" si="161"/>
      </c>
      <c r="EB35" s="715">
        <f t="shared" si="162"/>
      </c>
      <c r="EC35" s="716">
        <f t="shared" si="163"/>
      </c>
      <c r="ED35" s="715">
        <f t="shared" si="164"/>
      </c>
      <c r="EE35" s="715">
        <f t="shared" si="165"/>
      </c>
      <c r="EF35" s="715">
        <f t="shared" si="166"/>
      </c>
      <c r="EG35" s="716">
        <f t="shared" si="167"/>
      </c>
      <c r="EH35" s="715">
        <f t="shared" si="168"/>
      </c>
      <c r="EI35" s="715">
        <f t="shared" si="169"/>
      </c>
      <c r="EJ35" s="715">
        <f t="shared" si="170"/>
      </c>
      <c r="EK35" s="716">
        <f t="shared" si="171"/>
      </c>
    </row>
    <row r="36" spans="1:213" s="11" customFormat="1" ht="10.199999999999999">
      <c r="A36" s="587" t="s">
        <v>81</v>
      </c>
      <c r="B36" s="589"/>
      <c r="C36" s="589"/>
      <c r="D36" s="589"/>
      <c r="E36" s="590"/>
      <c r="F36" s="589"/>
      <c r="G36" s="589"/>
      <c r="H36" s="589"/>
      <c r="I36" s="590"/>
      <c r="J36" s="589"/>
      <c r="K36" s="589"/>
      <c r="L36" s="589"/>
      <c r="M36" s="590"/>
      <c r="N36" s="589"/>
      <c r="O36" s="589"/>
      <c r="P36" s="589"/>
      <c r="Q36" s="590"/>
      <c r="R36" s="589"/>
      <c r="S36" s="589"/>
      <c r="T36" s="589"/>
      <c r="U36" s="590"/>
      <c r="V36" s="589"/>
      <c r="W36" s="589"/>
      <c r="X36" s="589"/>
      <c r="Y36" s="590"/>
      <c r="Z36" s="589"/>
      <c r="AA36" s="589"/>
      <c r="AB36" s="589"/>
      <c r="AC36" s="590"/>
      <c r="AD36" s="589"/>
      <c r="AE36" s="589"/>
      <c r="AF36" s="589"/>
      <c r="AG36" s="590"/>
      <c r="AH36" s="589"/>
      <c r="AI36" s="589"/>
      <c r="AJ36" s="589"/>
      <c r="AK36" s="590"/>
      <c r="AL36" s="589"/>
      <c r="AM36" s="589"/>
      <c r="AN36" s="589"/>
      <c r="AO36" s="590"/>
      <c r="AP36" s="589"/>
      <c r="AQ36" s="589"/>
      <c r="AR36" s="589"/>
      <c r="AS36" s="590"/>
      <c r="AT36" s="589"/>
      <c r="AU36" s="589">
        <f t="shared" ref="AU36:BV36" si="183">+AU16/AT16-1</f>
      </c>
      <c r="AV36" s="589">
        <f t="shared" si="183"/>
      </c>
      <c r="AW36" s="590">
        <f t="shared" si="183"/>
      </c>
      <c r="AX36" s="589">
        <f t="shared" si="183"/>
      </c>
      <c r="AY36" s="589">
        <f t="shared" si="183"/>
      </c>
      <c r="AZ36" s="589">
        <f t="shared" si="183"/>
      </c>
      <c r="BA36" s="590">
        <f t="shared" si="183"/>
      </c>
      <c r="BB36" s="589">
        <f t="shared" si="183"/>
      </c>
      <c r="BC36" s="589">
        <f t="shared" si="183"/>
      </c>
      <c r="BD36" s="589">
        <f t="shared" si="183"/>
      </c>
      <c r="BE36" s="590">
        <f t="shared" si="183"/>
      </c>
      <c r="BF36" s="589">
        <f t="shared" si="183"/>
      </c>
      <c r="BG36" s="589">
        <f t="shared" si="183"/>
      </c>
      <c r="BH36" s="589">
        <f t="shared" si="183"/>
      </c>
      <c r="BI36" s="590">
        <f t="shared" si="183"/>
      </c>
      <c r="BJ36" s="589">
        <f t="shared" si="183"/>
      </c>
      <c r="BK36" s="589">
        <f t="shared" si="183"/>
      </c>
      <c r="BL36" s="589">
        <f t="shared" si="183"/>
      </c>
      <c r="BM36" s="590">
        <f t="shared" si="183"/>
      </c>
      <c r="BN36" s="589">
        <f t="shared" si="183"/>
      </c>
      <c r="BO36" s="589">
        <f t="shared" si="183"/>
      </c>
      <c r="BP36" s="589">
        <f t="shared" si="183"/>
      </c>
      <c r="BQ36" s="590">
        <f t="shared" si="183"/>
      </c>
      <c r="BR36" s="589">
        <f t="shared" si="183"/>
      </c>
      <c r="BS36" s="589">
        <f t="shared" si="183"/>
      </c>
      <c r="BT36" s="589">
        <f t="shared" si="183"/>
      </c>
      <c r="BU36" s="590">
        <f t="shared" si="183"/>
      </c>
      <c r="BV36" s="589">
        <f t="shared" si="183"/>
      </c>
      <c r="BW36" s="589">
        <f t="shared" ref="BW36:DB36" si="184">+BW16/BV16-1</f>
      </c>
      <c r="BX36" s="589">
        <f t="shared" si="184"/>
      </c>
      <c r="BY36" s="590">
        <f t="shared" si="184"/>
      </c>
      <c r="BZ36" s="589">
        <f t="shared" si="184"/>
      </c>
      <c r="CA36" s="589">
        <f t="shared" si="184"/>
      </c>
      <c r="CB36" s="589">
        <f t="shared" si="184"/>
      </c>
      <c r="CC36" s="590">
        <f t="shared" si="184"/>
      </c>
      <c r="CD36" s="589">
        <f t="shared" si="184"/>
      </c>
      <c r="CE36" s="589">
        <f t="shared" si="184"/>
      </c>
      <c r="CF36" s="589">
        <f t="shared" si="184"/>
      </c>
      <c r="CG36" s="590">
        <f t="shared" si="184"/>
      </c>
      <c r="CH36" s="589">
        <f t="shared" si="184"/>
      </c>
      <c r="CI36" s="589">
        <f t="shared" si="184"/>
      </c>
      <c r="CJ36" s="589">
        <f t="shared" si="184"/>
      </c>
      <c r="CK36" s="590">
        <f t="shared" si="184"/>
      </c>
      <c r="CL36" s="589">
        <f t="shared" si="184"/>
      </c>
      <c r="CM36" s="589">
        <f t="shared" si="184"/>
      </c>
      <c r="CN36" s="589">
        <f t="shared" si="184"/>
      </c>
      <c r="CO36" s="590">
        <f t="shared" si="184"/>
      </c>
      <c r="CP36" s="589">
        <f t="shared" si="184"/>
      </c>
      <c r="CQ36" s="589">
        <f t="shared" si="184"/>
      </c>
      <c r="CR36" s="589">
        <f t="shared" si="184"/>
      </c>
      <c r="CS36" s="590">
        <f t="shared" si="184"/>
      </c>
      <c r="CT36" s="589">
        <f t="shared" si="184"/>
      </c>
      <c r="CU36" s="589">
        <f t="shared" si="184"/>
      </c>
      <c r="CV36" s="589">
        <f t="shared" si="184"/>
      </c>
      <c r="CW36" s="590">
        <f t="shared" si="184"/>
      </c>
      <c r="CX36" s="718">
        <f t="shared" si="184"/>
      </c>
      <c r="CY36" s="589">
        <f t="shared" si="184"/>
      </c>
      <c r="CZ36" s="589">
        <f t="shared" si="184"/>
      </c>
      <c r="DA36" s="590">
        <f t="shared" si="184"/>
      </c>
      <c r="DB36" s="589">
        <f t="shared" si="184"/>
      </c>
      <c r="DC36" s="589">
        <f t="shared" ref="DC36:DU36" si="185">+DC16/DB16-1</f>
      </c>
      <c r="DD36" s="589">
        <f t="shared" si="185"/>
      </c>
      <c r="DE36" s="590">
        <f t="shared" si="185"/>
      </c>
      <c r="DF36" s="589">
        <f t="shared" si="185"/>
      </c>
      <c r="DG36" s="589">
        <f t="shared" si="185"/>
      </c>
      <c r="DH36" s="589">
        <f t="shared" si="185"/>
      </c>
      <c r="DI36" s="590">
        <f t="shared" si="185"/>
      </c>
      <c r="DJ36" s="589">
        <f t="shared" si="185"/>
      </c>
      <c r="DK36" s="589">
        <f t="shared" si="185"/>
      </c>
      <c r="DL36" s="589">
        <f t="shared" si="185"/>
      </c>
      <c r="DM36" s="590">
        <f t="shared" si="185"/>
      </c>
      <c r="DN36" s="589">
        <f t="shared" si="185"/>
      </c>
      <c r="DO36" s="589">
        <f t="shared" si="185"/>
      </c>
      <c r="DP36" s="589">
        <f t="shared" si="185"/>
      </c>
      <c r="DQ36" s="590">
        <f t="shared" si="185"/>
      </c>
      <c r="DR36" s="589">
        <f t="shared" si="185"/>
      </c>
      <c r="DS36" s="589">
        <f t="shared" si="185"/>
      </c>
      <c r="DT36" s="589">
        <f t="shared" si="185"/>
      </c>
      <c r="DU36" s="590">
        <f t="shared" si="185"/>
      </c>
      <c r="DV36" s="589">
        <f t="shared" si="156"/>
      </c>
      <c r="DW36" s="589">
        <f t="shared" si="157"/>
      </c>
      <c r="DX36" s="589">
        <f t="shared" si="158"/>
      </c>
      <c r="DY36" s="590">
        <f t="shared" si="159"/>
      </c>
      <c r="DZ36" s="589">
        <f t="shared" si="160"/>
      </c>
      <c r="EA36" s="589">
        <f t="shared" si="161"/>
      </c>
      <c r="EB36" s="589">
        <f t="shared" si="162"/>
      </c>
      <c r="EC36" s="590">
        <f t="shared" si="163"/>
      </c>
      <c r="ED36" s="589">
        <f t="shared" si="164"/>
      </c>
      <c r="EE36" s="589">
        <f t="shared" si="165"/>
      </c>
      <c r="EF36" s="589">
        <f t="shared" si="166"/>
      </c>
      <c r="EG36" s="590">
        <f t="shared" si="167"/>
      </c>
      <c r="EH36" s="589">
        <f t="shared" si="168"/>
      </c>
      <c r="EI36" s="589">
        <f t="shared" si="169"/>
      </c>
      <c r="EJ36" s="589">
        <f t="shared" si="170"/>
      </c>
      <c r="EK36" s="590">
        <f t="shared" si="171"/>
      </c>
    </row>
    <row r="37" spans="1:213" s="16" customFormat="1" ht="10.199999999999999">
      <c r="A37" s="592" t="s">
        <v>1246</v>
      </c>
      <c r="B37" s="594"/>
      <c r="C37" s="594"/>
      <c r="D37" s="594"/>
      <c r="E37" s="595"/>
      <c r="F37" s="594"/>
      <c r="G37" s="594"/>
      <c r="H37" s="594"/>
      <c r="I37" s="595"/>
      <c r="J37" s="594"/>
      <c r="K37" s="594">
        <f t="shared" ref="K37:AT37" si="186">+K17/J17-1</f>
      </c>
      <c r="L37" s="594">
        <f t="shared" si="186"/>
      </c>
      <c r="M37" s="595">
        <f t="shared" si="186"/>
      </c>
      <c r="N37" s="594">
        <f t="shared" si="186"/>
      </c>
      <c r="O37" s="594">
        <f t="shared" si="186"/>
      </c>
      <c r="P37" s="594">
        <f t="shared" si="186"/>
      </c>
      <c r="Q37" s="595">
        <f t="shared" si="186"/>
      </c>
      <c r="R37" s="594">
        <f t="shared" si="186"/>
      </c>
      <c r="S37" s="594">
        <f t="shared" si="186"/>
      </c>
      <c r="T37" s="594">
        <f t="shared" si="186"/>
      </c>
      <c r="U37" s="595">
        <f t="shared" si="186"/>
      </c>
      <c r="V37" s="594">
        <f t="shared" si="186"/>
      </c>
      <c r="W37" s="594">
        <f t="shared" si="186"/>
      </c>
      <c r="X37" s="594">
        <f t="shared" si="186"/>
      </c>
      <c r="Y37" s="595">
        <f t="shared" si="186"/>
      </c>
      <c r="Z37" s="594">
        <f t="shared" si="186"/>
      </c>
      <c r="AA37" s="594">
        <f t="shared" si="186"/>
      </c>
      <c r="AB37" s="594">
        <f t="shared" si="186"/>
      </c>
      <c r="AC37" s="595">
        <f t="shared" si="186"/>
      </c>
      <c r="AD37" s="594">
        <f t="shared" si="186"/>
      </c>
      <c r="AE37" s="594">
        <f t="shared" si="186"/>
      </c>
      <c r="AF37" s="594">
        <f t="shared" si="186"/>
      </c>
      <c r="AG37" s="595">
        <f t="shared" si="186"/>
      </c>
      <c r="AH37" s="594">
        <f t="shared" si="186"/>
      </c>
      <c r="AI37" s="594">
        <f t="shared" si="186"/>
      </c>
      <c r="AJ37" s="594">
        <f t="shared" si="186"/>
      </c>
      <c r="AK37" s="595">
        <f t="shared" si="186"/>
      </c>
      <c r="AL37" s="594">
        <f t="shared" si="186"/>
      </c>
      <c r="AM37" s="594">
        <f t="shared" si="186"/>
      </c>
      <c r="AN37" s="594">
        <f t="shared" si="186"/>
      </c>
      <c r="AO37" s="595">
        <f t="shared" si="186"/>
      </c>
      <c r="AP37" s="594">
        <f t="shared" si="186"/>
      </c>
      <c r="AQ37" s="594">
        <f t="shared" si="186"/>
      </c>
      <c r="AR37" s="594">
        <f t="shared" si="186"/>
      </c>
      <c r="AS37" s="595">
        <f t="shared" si="186"/>
      </c>
      <c r="AT37" s="594">
        <f t="shared" si="186"/>
      </c>
      <c r="AU37" s="594">
        <f t="shared" ref="AU37:BV37" si="187">+AU17/AT17-1</f>
      </c>
      <c r="AV37" s="594">
        <f t="shared" si="187"/>
      </c>
      <c r="AW37" s="595">
        <f t="shared" si="187"/>
      </c>
      <c r="AX37" s="594">
        <f t="shared" si="187"/>
      </c>
      <c r="AY37" s="594">
        <f t="shared" si="187"/>
      </c>
      <c r="AZ37" s="594">
        <f t="shared" si="187"/>
      </c>
      <c r="BA37" s="595">
        <f t="shared" si="187"/>
      </c>
      <c r="BB37" s="594">
        <f t="shared" si="187"/>
      </c>
      <c r="BC37" s="594">
        <f t="shared" si="187"/>
      </c>
      <c r="BD37" s="594">
        <f t="shared" si="187"/>
      </c>
      <c r="BE37" s="595">
        <f t="shared" si="187"/>
      </c>
      <c r="BF37" s="594">
        <f t="shared" si="187"/>
      </c>
      <c r="BG37" s="594">
        <f t="shared" si="187"/>
      </c>
      <c r="BH37" s="594">
        <f t="shared" si="187"/>
      </c>
      <c r="BI37" s="595">
        <f t="shared" si="187"/>
      </c>
      <c r="BJ37" s="594">
        <f t="shared" si="187"/>
      </c>
      <c r="BK37" s="594">
        <f t="shared" si="187"/>
      </c>
      <c r="BL37" s="594">
        <f t="shared" si="187"/>
      </c>
      <c r="BM37" s="595">
        <f t="shared" si="187"/>
      </c>
      <c r="BN37" s="594">
        <f t="shared" si="187"/>
      </c>
      <c r="BO37" s="594">
        <f t="shared" si="187"/>
      </c>
      <c r="BP37" s="594">
        <f t="shared" si="187"/>
      </c>
      <c r="BQ37" s="595">
        <f t="shared" si="187"/>
      </c>
      <c r="BR37" s="594">
        <f t="shared" si="187"/>
      </c>
      <c r="BS37" s="594">
        <f t="shared" si="187"/>
      </c>
      <c r="BT37" s="594">
        <f t="shared" si="187"/>
      </c>
      <c r="BU37" s="595">
        <f t="shared" si="187"/>
      </c>
      <c r="BV37" s="594">
        <f t="shared" si="187"/>
      </c>
      <c r="BW37" s="594">
        <f t="shared" ref="BW37:DB37" si="188">+BW17/BV17-1</f>
      </c>
      <c r="BX37" s="594">
        <f t="shared" si="188"/>
      </c>
      <c r="BY37" s="595">
        <f t="shared" si="188"/>
      </c>
      <c r="BZ37" s="594">
        <f t="shared" si="188"/>
      </c>
      <c r="CA37" s="594">
        <f t="shared" si="188"/>
      </c>
      <c r="CB37" s="594">
        <f t="shared" si="188"/>
      </c>
      <c r="CC37" s="595">
        <f t="shared" si="188"/>
      </c>
      <c r="CD37" s="594">
        <f t="shared" si="188"/>
      </c>
      <c r="CE37" s="594">
        <f t="shared" si="188"/>
      </c>
      <c r="CF37" s="594">
        <f t="shared" si="188"/>
      </c>
      <c r="CG37" s="595">
        <f t="shared" si="188"/>
      </c>
      <c r="CH37" s="594">
        <f t="shared" si="188"/>
      </c>
      <c r="CI37" s="594">
        <f t="shared" si="188"/>
      </c>
      <c r="CJ37" s="594">
        <f t="shared" si="188"/>
      </c>
      <c r="CK37" s="595">
        <f t="shared" si="188"/>
      </c>
      <c r="CL37" s="594">
        <f t="shared" si="188"/>
      </c>
      <c r="CM37" s="594">
        <f t="shared" si="188"/>
      </c>
      <c r="CN37" s="594">
        <f t="shared" si="188"/>
      </c>
      <c r="CO37" s="595">
        <f t="shared" si="188"/>
      </c>
      <c r="CP37" s="594">
        <f t="shared" si="188"/>
      </c>
      <c r="CQ37" s="594">
        <f t="shared" si="188"/>
      </c>
      <c r="CR37" s="594">
        <f t="shared" si="188"/>
      </c>
      <c r="CS37" s="595">
        <f t="shared" si="188"/>
      </c>
      <c r="CT37" s="594">
        <f t="shared" si="188"/>
      </c>
      <c r="CU37" s="594">
        <f t="shared" si="188"/>
      </c>
      <c r="CV37" s="594">
        <f t="shared" si="188"/>
      </c>
      <c r="CW37" s="595">
        <f t="shared" si="188"/>
      </c>
      <c r="CX37" s="719">
        <f t="shared" si="188"/>
      </c>
      <c r="CY37" s="594">
        <f t="shared" si="188"/>
      </c>
      <c r="CZ37" s="594">
        <f t="shared" si="188"/>
      </c>
      <c r="DA37" s="595">
        <f t="shared" si="188"/>
      </c>
      <c r="DB37" s="594">
        <f t="shared" si="188"/>
      </c>
      <c r="DC37" s="594">
        <f t="shared" ref="DC37:DU37" si="189">+DC17/DB17-1</f>
      </c>
      <c r="DD37" s="594">
        <f t="shared" si="189"/>
      </c>
      <c r="DE37" s="595">
        <f t="shared" si="189"/>
      </c>
      <c r="DF37" s="594">
        <f t="shared" si="189"/>
      </c>
      <c r="DG37" s="594">
        <f t="shared" si="189"/>
      </c>
      <c r="DH37" s="594">
        <f t="shared" si="189"/>
      </c>
      <c r="DI37" s="595">
        <f t="shared" si="189"/>
      </c>
      <c r="DJ37" s="594">
        <f t="shared" si="189"/>
      </c>
      <c r="DK37" s="594">
        <f t="shared" si="189"/>
      </c>
      <c r="DL37" s="594">
        <f t="shared" si="189"/>
      </c>
      <c r="DM37" s="595">
        <f t="shared" si="189"/>
      </c>
      <c r="DN37" s="594">
        <f t="shared" si="189"/>
      </c>
      <c r="DO37" s="594">
        <f t="shared" si="189"/>
      </c>
      <c r="DP37" s="594">
        <f t="shared" si="189"/>
      </c>
      <c r="DQ37" s="595">
        <f t="shared" si="189"/>
      </c>
      <c r="DR37" s="594">
        <f t="shared" si="189"/>
      </c>
      <c r="DS37" s="594">
        <f t="shared" si="189"/>
      </c>
      <c r="DT37" s="594">
        <f t="shared" si="189"/>
      </c>
      <c r="DU37" s="595">
        <f t="shared" si="189"/>
      </c>
      <c r="DV37" s="594">
        <f t="shared" si="156"/>
      </c>
      <c r="DW37" s="594">
        <f t="shared" si="157"/>
      </c>
      <c r="DX37" s="594">
        <f t="shared" si="158"/>
      </c>
      <c r="DY37" s="595">
        <f t="shared" si="159"/>
      </c>
      <c r="DZ37" s="594">
        <f t="shared" si="160"/>
      </c>
      <c r="EA37" s="594">
        <f t="shared" si="161"/>
      </c>
      <c r="EB37" s="594">
        <f t="shared" si="162"/>
      </c>
      <c r="EC37" s="595">
        <f t="shared" si="163"/>
      </c>
      <c r="ED37" s="594">
        <f t="shared" si="164"/>
      </c>
      <c r="EE37" s="594">
        <f t="shared" si="165"/>
      </c>
      <c r="EF37" s="594">
        <f t="shared" si="166"/>
      </c>
      <c r="EG37" s="595">
        <f t="shared" si="167"/>
      </c>
      <c r="EH37" s="594">
        <f t="shared" si="168"/>
      </c>
      <c r="EI37" s="594">
        <f t="shared" si="169"/>
      </c>
      <c r="EJ37" s="594">
        <f t="shared" si="170"/>
      </c>
      <c r="EK37" s="595">
        <f t="shared" si="171"/>
      </c>
    </row>
    <row r="38" spans="1:213" s="11" customFormat="1" ht="10.199999999999999">
      <c r="A38" s="47"/>
      <c r="E38" s="170"/>
      <c r="I38" s="170"/>
      <c r="J38" s="21"/>
      <c r="K38" s="21"/>
      <c r="L38" s="21"/>
      <c r="M38" s="172"/>
      <c r="N38" s="21"/>
      <c r="O38" s="21"/>
      <c r="P38" s="21"/>
      <c r="Q38" s="172"/>
      <c r="R38" s="21"/>
      <c r="S38" s="21"/>
      <c r="T38" s="21"/>
      <c r="U38" s="172"/>
      <c r="V38" s="21"/>
      <c r="W38" s="21"/>
      <c r="X38" s="21"/>
      <c r="Y38" s="172"/>
      <c r="Z38" s="21"/>
      <c r="AA38" s="21"/>
      <c r="AB38" s="21"/>
      <c r="AC38" s="172"/>
      <c r="AD38" s="21"/>
      <c r="AE38" s="21"/>
      <c r="AF38" s="21"/>
      <c r="AG38" s="172"/>
      <c r="AH38" s="21"/>
      <c r="AI38" s="21"/>
      <c r="AJ38" s="21"/>
      <c r="AK38" s="172"/>
      <c r="AL38" s="21"/>
      <c r="AM38" s="21"/>
      <c r="AN38" s="21"/>
      <c r="AO38" s="172"/>
      <c r="AP38" s="21"/>
      <c r="AQ38" s="21"/>
      <c r="AR38" s="21"/>
      <c r="AS38" s="172"/>
      <c r="AT38" s="21"/>
      <c r="AU38" s="21"/>
      <c r="AV38" s="21"/>
      <c r="AW38" s="172"/>
      <c r="AX38" s="21"/>
      <c r="AY38" s="21"/>
      <c r="AZ38" s="21"/>
      <c r="BA38" s="172"/>
      <c r="BB38" s="21"/>
      <c r="BC38" s="21"/>
      <c r="BD38" s="21"/>
      <c r="BE38" s="172"/>
      <c r="BF38" s="21"/>
      <c r="BG38" s="21"/>
      <c r="BH38" s="21"/>
      <c r="BI38" s="172"/>
      <c r="BJ38" s="21"/>
      <c r="BK38" s="21"/>
      <c r="BL38" s="21"/>
      <c r="BM38" s="172"/>
      <c r="BN38" s="21"/>
      <c r="BO38" s="21"/>
      <c r="BP38" s="21"/>
      <c r="BQ38" s="172"/>
      <c r="BR38" s="21"/>
      <c r="BS38" s="21"/>
      <c r="BT38" s="21"/>
      <c r="BU38" s="172"/>
      <c r="BV38" s="21"/>
      <c r="BW38" s="21"/>
      <c r="BX38" s="21"/>
      <c r="BY38" s="172"/>
      <c r="BZ38" s="21"/>
      <c r="CA38" s="21"/>
      <c r="CB38" s="21"/>
      <c r="CC38" s="172"/>
      <c r="CD38" s="21"/>
      <c r="CE38" s="21"/>
      <c r="CF38" s="21"/>
      <c r="CG38" s="172"/>
      <c r="CH38" s="21"/>
      <c r="CI38" s="21"/>
      <c r="CJ38" s="21"/>
      <c r="CK38" s="172"/>
      <c r="CL38" s="21"/>
      <c r="CM38" s="21"/>
      <c r="CN38" s="21"/>
      <c r="CO38" s="172"/>
      <c r="CP38" s="21"/>
      <c r="CQ38" s="21"/>
      <c r="CR38" s="21"/>
      <c r="CS38" s="172"/>
      <c r="CT38" s="21"/>
      <c r="CU38" s="21"/>
      <c r="CV38" s="21"/>
      <c r="CW38" s="172"/>
      <c r="CX38" s="448"/>
      <c r="CY38" s="21"/>
      <c r="CZ38" s="21"/>
      <c r="DA38" s="519"/>
      <c r="DB38" s="72"/>
      <c r="DC38" s="21"/>
      <c r="DD38" s="72"/>
      <c r="DE38" s="227"/>
      <c r="DF38" s="72"/>
      <c r="DG38" s="72"/>
      <c r="DH38" s="72"/>
      <c r="DI38" s="227"/>
      <c r="DJ38" s="72"/>
      <c r="DK38" s="72"/>
      <c r="DL38" s="72"/>
      <c r="DM38" s="227"/>
      <c r="DN38" s="72"/>
      <c r="DO38" s="72"/>
      <c r="DP38" s="72"/>
      <c r="DQ38" s="227"/>
      <c r="DR38" s="72"/>
      <c r="DS38" s="72"/>
      <c r="DT38" s="72"/>
      <c r="DU38" s="227"/>
      <c r="DV38" s="72"/>
      <c r="DW38" s="72"/>
      <c r="DX38" s="72"/>
      <c r="DY38" s="227"/>
      <c r="DZ38" s="72"/>
      <c r="EA38" s="72"/>
      <c r="EB38" s="72"/>
      <c r="EC38" s="227"/>
      <c r="ED38" s="72"/>
      <c r="EE38" s="72"/>
      <c r="EF38" s="72"/>
      <c r="EG38" s="227"/>
      <c r="EH38" s="72"/>
      <c r="EI38" s="72"/>
      <c r="EJ38" s="72"/>
      <c r="EK38" s="227"/>
    </row>
    <row r="39" spans="1:213" s="11" customFormat="1" ht="10.199999999999999">
      <c r="A39" s="708" t="s">
        <v>1156</v>
      </c>
      <c r="B39" s="706" t="str">
        <f t="shared" ref="B39:AG39" si="190">B$8</f>
      </c>
      <c r="C39" s="706" t="str">
        <f t="shared" si="190"/>
      </c>
      <c r="D39" s="706" t="str">
        <f t="shared" si="190"/>
      </c>
      <c r="E39" s="707" t="str">
        <f t="shared" si="190"/>
      </c>
      <c r="F39" s="706" t="str">
        <f t="shared" si="190"/>
      </c>
      <c r="G39" s="706" t="str">
        <f t="shared" si="190"/>
      </c>
      <c r="H39" s="706" t="str">
        <f t="shared" si="190"/>
      </c>
      <c r="I39" s="707" t="str">
        <f t="shared" si="190"/>
      </c>
      <c r="J39" s="706" t="str">
        <f t="shared" si="190"/>
      </c>
      <c r="K39" s="706" t="str">
        <f t="shared" si="190"/>
      </c>
      <c r="L39" s="706" t="str">
        <f t="shared" si="190"/>
      </c>
      <c r="M39" s="707" t="str">
        <f t="shared" si="190"/>
      </c>
      <c r="N39" s="706" t="str">
        <f t="shared" si="190"/>
      </c>
      <c r="O39" s="706" t="str">
        <f t="shared" si="190"/>
      </c>
      <c r="P39" s="706" t="str">
        <f t="shared" si="190"/>
      </c>
      <c r="Q39" s="707" t="str">
        <f t="shared" si="190"/>
      </c>
      <c r="R39" s="706" t="str">
        <f t="shared" si="190"/>
      </c>
      <c r="S39" s="706" t="str">
        <f t="shared" si="190"/>
      </c>
      <c r="T39" s="706" t="str">
        <f t="shared" si="190"/>
      </c>
      <c r="U39" s="707" t="str">
        <f t="shared" si="190"/>
      </c>
      <c r="V39" s="706" t="str">
        <f t="shared" si="190"/>
      </c>
      <c r="W39" s="706" t="str">
        <f t="shared" si="190"/>
      </c>
      <c r="X39" s="706" t="str">
        <f t="shared" si="190"/>
      </c>
      <c r="Y39" s="707" t="str">
        <f t="shared" si="190"/>
      </c>
      <c r="Z39" s="706" t="str">
        <f t="shared" si="190"/>
      </c>
      <c r="AA39" s="706" t="str">
        <f t="shared" si="190"/>
      </c>
      <c r="AB39" s="706" t="str">
        <f t="shared" si="190"/>
      </c>
      <c r="AC39" s="707" t="str">
        <f t="shared" si="190"/>
      </c>
      <c r="AD39" s="706" t="str">
        <f t="shared" si="190"/>
      </c>
      <c r="AE39" s="706" t="str">
        <f t="shared" si="190"/>
      </c>
      <c r="AF39" s="706" t="str">
        <f t="shared" si="190"/>
      </c>
      <c r="AG39" s="707" t="str">
        <f t="shared" si="190"/>
      </c>
      <c r="AH39" s="706" t="str">
        <f t="shared" ref="AH39:BM39" si="191">AH$8</f>
      </c>
      <c r="AI39" s="706" t="str">
        <f t="shared" si="191"/>
      </c>
      <c r="AJ39" s="706" t="str">
        <f t="shared" si="191"/>
      </c>
      <c r="AK39" s="707" t="str">
        <f t="shared" si="191"/>
      </c>
      <c r="AL39" s="706" t="str">
        <f t="shared" si="191"/>
      </c>
      <c r="AM39" s="706" t="str">
        <f t="shared" si="191"/>
      </c>
      <c r="AN39" s="706" t="str">
        <f t="shared" si="191"/>
      </c>
      <c r="AO39" s="707" t="str">
        <f t="shared" si="191"/>
      </c>
      <c r="AP39" s="706" t="str">
        <f t="shared" si="191"/>
      </c>
      <c r="AQ39" s="706" t="str">
        <f t="shared" si="191"/>
      </c>
      <c r="AR39" s="706" t="str">
        <f t="shared" si="191"/>
      </c>
      <c r="AS39" s="707" t="str">
        <f t="shared" si="191"/>
      </c>
      <c r="AT39" s="706" t="str">
        <f t="shared" si="191"/>
      </c>
      <c r="AU39" s="706" t="str">
        <f t="shared" si="191"/>
      </c>
      <c r="AV39" s="706" t="str">
        <f t="shared" si="191"/>
      </c>
      <c r="AW39" s="707" t="str">
        <f t="shared" si="191"/>
      </c>
      <c r="AX39" s="706" t="str">
        <f t="shared" si="191"/>
      </c>
      <c r="AY39" s="706" t="str">
        <f t="shared" si="191"/>
      </c>
      <c r="AZ39" s="706" t="str">
        <f t="shared" si="191"/>
      </c>
      <c r="BA39" s="707" t="str">
        <f t="shared" si="191"/>
      </c>
      <c r="BB39" s="706" t="str">
        <f t="shared" si="191"/>
      </c>
      <c r="BC39" s="706" t="str">
        <f t="shared" si="191"/>
      </c>
      <c r="BD39" s="706" t="str">
        <f t="shared" si="191"/>
      </c>
      <c r="BE39" s="707" t="str">
        <f t="shared" si="191"/>
      </c>
      <c r="BF39" s="706" t="str">
        <f t="shared" si="191"/>
      </c>
      <c r="BG39" s="706" t="str">
        <f t="shared" si="191"/>
      </c>
      <c r="BH39" s="706" t="str">
        <f t="shared" si="191"/>
      </c>
      <c r="BI39" s="707" t="str">
        <f t="shared" si="191"/>
      </c>
      <c r="BJ39" s="706" t="str">
        <f t="shared" si="191"/>
      </c>
      <c r="BK39" s="706" t="str">
        <f t="shared" si="191"/>
      </c>
      <c r="BL39" s="706" t="str">
        <f t="shared" si="191"/>
      </c>
      <c r="BM39" s="707" t="str">
        <f t="shared" si="191"/>
      </c>
      <c r="BN39" s="706" t="str">
        <f t="shared" ref="BN39:CS39" si="192">BN$8</f>
      </c>
      <c r="BO39" s="706" t="str">
        <f t="shared" si="192"/>
      </c>
      <c r="BP39" s="706" t="str">
        <f t="shared" si="192"/>
      </c>
      <c r="BQ39" s="707" t="str">
        <f t="shared" si="192"/>
      </c>
      <c r="BR39" s="706" t="str">
        <f t="shared" si="192"/>
      </c>
      <c r="BS39" s="706" t="str">
        <f t="shared" si="192"/>
      </c>
      <c r="BT39" s="706" t="str">
        <f t="shared" si="192"/>
      </c>
      <c r="BU39" s="707" t="str">
        <f t="shared" si="192"/>
      </c>
      <c r="BV39" s="706" t="str">
        <f t="shared" si="192"/>
      </c>
      <c r="BW39" s="706" t="str">
        <f t="shared" si="192"/>
      </c>
      <c r="BX39" s="706" t="str">
        <f t="shared" si="192"/>
      </c>
      <c r="BY39" s="707" t="str">
        <f t="shared" si="192"/>
      </c>
      <c r="BZ39" s="706" t="str">
        <f t="shared" si="192"/>
      </c>
      <c r="CA39" s="706" t="str">
        <f t="shared" si="192"/>
      </c>
      <c r="CB39" s="706" t="str">
        <f t="shared" si="192"/>
      </c>
      <c r="CC39" s="707" t="str">
        <f t="shared" si="192"/>
      </c>
      <c r="CD39" s="706" t="str">
        <f t="shared" si="192"/>
      </c>
      <c r="CE39" s="706" t="str">
        <f t="shared" si="192"/>
      </c>
      <c r="CF39" s="706" t="str">
        <f t="shared" si="192"/>
      </c>
      <c r="CG39" s="707" t="str">
        <f t="shared" si="192"/>
      </c>
      <c r="CH39" s="706" t="str">
        <f t="shared" si="192"/>
      </c>
      <c r="CI39" s="706" t="str">
        <f t="shared" si="192"/>
      </c>
      <c r="CJ39" s="706" t="str">
        <f t="shared" si="192"/>
      </c>
      <c r="CK39" s="707" t="str">
        <f t="shared" si="192"/>
      </c>
      <c r="CL39" s="706" t="str">
        <f t="shared" si="192"/>
      </c>
      <c r="CM39" s="706" t="str">
        <f t="shared" si="192"/>
      </c>
      <c r="CN39" s="706" t="str">
        <f t="shared" si="192"/>
      </c>
      <c r="CO39" s="707" t="str">
        <f t="shared" si="192"/>
      </c>
      <c r="CP39" s="706" t="str">
        <f t="shared" si="192"/>
      </c>
      <c r="CQ39" s="706" t="str">
        <f t="shared" si="192"/>
      </c>
      <c r="CR39" s="706" t="str">
        <f t="shared" si="192"/>
      </c>
      <c r="CS39" s="707" t="str">
        <f t="shared" si="192"/>
      </c>
      <c r="CT39" s="706" t="str">
        <f t="shared" ref="CT39:EK39" si="193">CT$8</f>
      </c>
      <c r="CU39" s="706" t="str">
        <f t="shared" si="193"/>
      </c>
      <c r="CV39" s="706" t="str">
        <f t="shared" si="193"/>
      </c>
      <c r="CW39" s="707" t="str">
        <f t="shared" si="193"/>
      </c>
      <c r="CX39" s="706" t="str">
        <f t="shared" si="193"/>
      </c>
      <c r="CY39" s="706" t="str">
        <f t="shared" si="193"/>
      </c>
      <c r="CZ39" s="706" t="str">
        <f t="shared" si="193"/>
      </c>
      <c r="DA39" s="707" t="str">
        <f t="shared" si="193"/>
      </c>
      <c r="DB39" s="706" t="str">
        <f t="shared" si="193"/>
      </c>
      <c r="DC39" s="706" t="str">
        <f t="shared" si="193"/>
      </c>
      <c r="DD39" s="706" t="str">
        <f t="shared" si="193"/>
      </c>
      <c r="DE39" s="707" t="str">
        <f t="shared" si="193"/>
      </c>
      <c r="DF39" s="706" t="str">
        <f t="shared" si="193"/>
      </c>
      <c r="DG39" s="706" t="str">
        <f t="shared" si="193"/>
      </c>
      <c r="DH39" s="706" t="str">
        <f t="shared" si="193"/>
      </c>
      <c r="DI39" s="707" t="str">
        <f t="shared" si="193"/>
      </c>
      <c r="DJ39" s="706" t="str">
        <f t="shared" si="193"/>
      </c>
      <c r="DK39" s="706" t="str">
        <f t="shared" si="193"/>
      </c>
      <c r="DL39" s="706" t="str">
        <f t="shared" si="193"/>
      </c>
      <c r="DM39" s="707" t="str">
        <f t="shared" si="193"/>
      </c>
      <c r="DN39" s="706" t="str">
        <f t="shared" si="193"/>
      </c>
      <c r="DO39" s="706" t="str">
        <f t="shared" si="193"/>
      </c>
      <c r="DP39" s="706" t="str">
        <f t="shared" si="193"/>
      </c>
      <c r="DQ39" s="707" t="str">
        <f t="shared" si="193"/>
      </c>
      <c r="DR39" s="706" t="str">
        <f t="shared" si="193"/>
      </c>
      <c r="DS39" s="706" t="str">
        <f t="shared" si="193"/>
      </c>
      <c r="DT39" s="706" t="str">
        <f t="shared" si="193"/>
      </c>
      <c r="DU39" s="707" t="str">
        <f t="shared" si="193"/>
      </c>
      <c r="DV39" s="706" t="str">
        <f t="shared" si="193"/>
      </c>
      <c r="DW39" s="706" t="str">
        <f t="shared" si="193"/>
      </c>
      <c r="DX39" s="706" t="str">
        <f t="shared" si="193"/>
      </c>
      <c r="DY39" s="707" t="str">
        <f t="shared" si="193"/>
      </c>
      <c r="DZ39" s="706" t="str">
        <f t="shared" si="193"/>
      </c>
      <c r="EA39" s="706" t="str">
        <f t="shared" si="193"/>
      </c>
      <c r="EB39" s="706" t="str">
        <f t="shared" si="193"/>
      </c>
      <c r="EC39" s="707" t="str">
        <f t="shared" si="193"/>
      </c>
      <c r="ED39" s="706" t="str">
        <f t="shared" si="193"/>
      </c>
      <c r="EE39" s="706" t="str">
        <f t="shared" si="193"/>
      </c>
      <c r="EF39" s="706" t="str">
        <f t="shared" si="193"/>
      </c>
      <c r="EG39" s="707" t="str">
        <f t="shared" si="193"/>
      </c>
      <c r="EH39" s="706" t="str">
        <f t="shared" si="193"/>
      </c>
      <c r="EI39" s="706" t="str">
        <f t="shared" si="193"/>
      </c>
      <c r="EJ39" s="706" t="str">
        <f t="shared" si="193"/>
      </c>
      <c r="EK39" s="707" t="str">
        <f t="shared" si="193"/>
      </c>
      <c r="EM39" s="706">
        <f t="shared" ref="EM39:FU39" si="194">EM$9</f>
      </c>
      <c r="EN39" s="706">
        <f t="shared" si="194"/>
      </c>
      <c r="EO39" s="706">
        <f t="shared" si="194"/>
      </c>
      <c r="EP39" s="706">
        <f t="shared" si="194"/>
      </c>
      <c r="EQ39" s="706">
        <f t="shared" si="194"/>
      </c>
      <c r="ER39" s="706">
        <f t="shared" si="194"/>
      </c>
      <c r="ES39" s="706">
        <f t="shared" si="194"/>
      </c>
      <c r="ET39" s="706">
        <f t="shared" si="194"/>
      </c>
      <c r="EU39" s="706">
        <f t="shared" si="194"/>
      </c>
      <c r="EV39" s="706">
        <f t="shared" si="194"/>
      </c>
      <c r="EW39" s="706">
        <f t="shared" si="194"/>
      </c>
      <c r="EX39" s="706">
        <f t="shared" si="194"/>
      </c>
      <c r="EY39" s="706">
        <f t="shared" si="194"/>
      </c>
      <c r="EZ39" s="706">
        <f t="shared" si="194"/>
      </c>
      <c r="FA39" s="706">
        <f t="shared" si="194"/>
      </c>
      <c r="FB39" s="706">
        <f t="shared" si="194"/>
      </c>
      <c r="FC39" s="706">
        <f t="shared" si="194"/>
      </c>
      <c r="FD39" s="706" t="str">
        <f t="shared" si="194"/>
      </c>
      <c r="FE39" s="706" t="str">
        <f t="shared" si="194"/>
      </c>
      <c r="FF39" s="706" t="str">
        <f t="shared" si="194"/>
      </c>
      <c r="FG39" s="706" t="str">
        <f t="shared" si="194"/>
      </c>
      <c r="FH39" s="706" t="str">
        <f t="shared" si="194"/>
      </c>
      <c r="FI39" s="706" t="str">
        <f t="shared" si="194"/>
      </c>
      <c r="FJ39" s="706" t="str">
        <f t="shared" si="194"/>
      </c>
      <c r="FK39" s="706" t="str">
        <f t="shared" si="194"/>
      </c>
      <c r="FL39" s="706" t="str">
        <f t="shared" si="194"/>
      </c>
      <c r="FM39" s="706" t="str">
        <f t="shared" si="194"/>
      </c>
      <c r="FN39" s="706" t="str">
        <f t="shared" si="194"/>
      </c>
      <c r="FO39" s="706" t="str">
        <f t="shared" si="194"/>
      </c>
      <c r="FP39" s="706" t="str">
        <f t="shared" si="194"/>
      </c>
      <c r="FQ39" s="706" t="str">
        <f t="shared" si="194"/>
      </c>
      <c r="FR39" s="706" t="str">
        <f t="shared" si="194"/>
      </c>
      <c r="FS39" s="706" t="str">
        <f t="shared" si="194"/>
      </c>
      <c r="FT39" s="706" t="str">
        <f t="shared" si="194"/>
      </c>
      <c r="FU39" s="706" t="str">
        <f t="shared" si="194"/>
      </c>
      <c r="FV39" s="706"/>
      <c r="FW39" s="706"/>
      <c r="FX39" s="706">
        <f t="shared" ref="FX39:HE39" si="195">FX$9</f>
      </c>
      <c r="FY39" s="706">
        <f t="shared" si="195"/>
      </c>
      <c r="FZ39" s="706">
        <f t="shared" si="195"/>
      </c>
      <c r="GA39" s="706">
        <f t="shared" si="195"/>
      </c>
      <c r="GB39" s="706">
        <f t="shared" si="195"/>
      </c>
      <c r="GC39" s="706">
        <f t="shared" si="195"/>
      </c>
      <c r="GD39" s="706">
        <f t="shared" si="195"/>
      </c>
      <c r="GE39" s="706">
        <f t="shared" si="195"/>
      </c>
      <c r="GF39" s="706">
        <f t="shared" si="195"/>
      </c>
      <c r="GG39" s="706">
        <f t="shared" si="195"/>
      </c>
      <c r="GH39" s="706">
        <f t="shared" si="195"/>
      </c>
      <c r="GI39" s="706">
        <f t="shared" si="195"/>
      </c>
      <c r="GJ39" s="706">
        <f t="shared" si="195"/>
      </c>
      <c r="GK39" s="706">
        <f t="shared" si="195"/>
      </c>
      <c r="GL39" s="706">
        <f t="shared" si="195"/>
      </c>
      <c r="GM39" s="706">
        <f t="shared" si="195"/>
      </c>
      <c r="GN39" s="706">
        <f t="shared" si="195"/>
      </c>
      <c r="GO39" s="706">
        <f t="shared" si="195"/>
      </c>
      <c r="GP39" s="706" t="str">
        <f t="shared" si="195"/>
      </c>
      <c r="GQ39" s="706" t="str">
        <f t="shared" si="195"/>
      </c>
      <c r="GR39" s="706" t="str">
        <f t="shared" si="195"/>
      </c>
      <c r="GS39" s="706" t="str">
        <f t="shared" si="195"/>
      </c>
      <c r="GT39" s="706" t="str">
        <f t="shared" si="195"/>
      </c>
      <c r="GU39" s="706" t="str">
        <f t="shared" si="195"/>
      </c>
      <c r="GV39" s="706" t="str">
        <f t="shared" si="195"/>
      </c>
      <c r="GW39" s="706" t="str">
        <f t="shared" si="195"/>
      </c>
      <c r="GX39" s="706" t="str">
        <f t="shared" si="195"/>
      </c>
      <c r="GY39" s="706" t="str">
        <f t="shared" si="195"/>
      </c>
      <c r="GZ39" s="706" t="str">
        <f t="shared" si="195"/>
      </c>
      <c r="HA39" s="706" t="str">
        <f t="shared" si="195"/>
      </c>
      <c r="HB39" s="706" t="str">
        <f t="shared" si="195"/>
      </c>
      <c r="HC39" s="706" t="str">
        <f t="shared" si="195"/>
      </c>
      <c r="HD39" s="706" t="str">
        <f t="shared" si="195"/>
      </c>
      <c r="HE39" s="706" t="str">
        <f t="shared" si="195"/>
      </c>
    </row>
    <row r="40" spans="1:213" s="11" customFormat="1" ht="10.199999999999999">
      <c r="A40" s="1717" t="s">
        <v>84</v>
      </c>
      <c r="B40" s="589"/>
      <c r="C40" s="589"/>
      <c r="D40" s="589"/>
      <c r="E40" s="590"/>
      <c r="F40" s="589"/>
      <c r="G40" s="589"/>
      <c r="H40" s="589"/>
      <c r="I40" s="590"/>
      <c r="J40" s="589"/>
      <c r="K40" s="589"/>
      <c r="L40" s="589"/>
      <c r="M40" s="590"/>
      <c r="N40" s="589"/>
      <c r="O40" s="589"/>
      <c r="P40" s="589"/>
      <c r="Q40" s="590"/>
      <c r="R40" s="589"/>
      <c r="S40" s="589"/>
      <c r="T40" s="589"/>
      <c r="U40" s="590"/>
      <c r="V40" s="589"/>
      <c r="W40" s="589"/>
      <c r="X40" s="589"/>
      <c r="Y40" s="590"/>
      <c r="Z40" s="589"/>
      <c r="AA40" s="589"/>
      <c r="AB40" s="589"/>
      <c r="AC40" s="590"/>
      <c r="AD40" s="589"/>
      <c r="AE40" s="589"/>
      <c r="AF40" s="589"/>
      <c r="AG40" s="590"/>
      <c r="AH40" s="589"/>
      <c r="AI40" s="589"/>
      <c r="AJ40" s="589"/>
      <c r="AK40" s="590"/>
      <c r="AL40" s="589"/>
      <c r="AM40" s="589"/>
      <c r="AN40" s="589"/>
      <c r="AO40" s="590"/>
      <c r="AP40" s="589"/>
      <c r="AQ40" s="589"/>
      <c r="AR40" s="589"/>
      <c r="AS40" s="590"/>
      <c r="AT40" s="589">
        <f t="shared" ref="AT40:BY40" si="196">AT11/AT$17</f>
      </c>
      <c r="AU40" s="589">
        <f t="shared" si="196"/>
      </c>
      <c r="AV40" s="589">
        <f t="shared" si="196"/>
      </c>
      <c r="AW40" s="590">
        <f t="shared" si="196"/>
      </c>
      <c r="AX40" s="589">
        <f t="shared" si="196"/>
      </c>
      <c r="AY40" s="589">
        <f t="shared" si="196"/>
      </c>
      <c r="AZ40" s="589">
        <f t="shared" si="196"/>
      </c>
      <c r="BA40" s="590">
        <f t="shared" si="196"/>
      </c>
      <c r="BB40" s="589">
        <f t="shared" si="196"/>
      </c>
      <c r="BC40" s="589">
        <f t="shared" si="196"/>
      </c>
      <c r="BD40" s="589">
        <f t="shared" si="196"/>
      </c>
      <c r="BE40" s="590">
        <f t="shared" si="196"/>
      </c>
      <c r="BF40" s="589">
        <f t="shared" si="196"/>
      </c>
      <c r="BG40" s="589">
        <f t="shared" si="196"/>
      </c>
      <c r="BH40" s="589">
        <f t="shared" si="196"/>
      </c>
      <c r="BI40" s="590">
        <f t="shared" si="196"/>
      </c>
      <c r="BJ40" s="589">
        <f t="shared" si="196"/>
      </c>
      <c r="BK40" s="589">
        <f t="shared" si="196"/>
      </c>
      <c r="BL40" s="589">
        <f t="shared" si="196"/>
      </c>
      <c r="BM40" s="590">
        <f t="shared" si="196"/>
      </c>
      <c r="BN40" s="589">
        <f t="shared" si="196"/>
      </c>
      <c r="BO40" s="589">
        <f t="shared" si="196"/>
      </c>
      <c r="BP40" s="589">
        <f t="shared" si="196"/>
      </c>
      <c r="BQ40" s="590">
        <f t="shared" si="196"/>
      </c>
      <c r="BR40" s="589">
        <f t="shared" si="196"/>
      </c>
      <c r="BS40" s="589">
        <f t="shared" si="196"/>
      </c>
      <c r="BT40" s="589">
        <f t="shared" si="196"/>
      </c>
      <c r="BU40" s="590">
        <f t="shared" si="196"/>
      </c>
      <c r="BV40" s="589">
        <f t="shared" si="196"/>
      </c>
      <c r="BW40" s="589">
        <f t="shared" si="196"/>
      </c>
      <c r="BX40" s="589">
        <f t="shared" si="196"/>
      </c>
      <c r="BY40" s="590">
        <f t="shared" si="196"/>
      </c>
      <c r="BZ40" s="589">
        <f t="shared" ref="BZ40:DE40" si="197">BZ11/BZ$17</f>
      </c>
      <c r="CA40" s="589">
        <f t="shared" si="197"/>
      </c>
      <c r="CB40" s="589">
        <f t="shared" si="197"/>
      </c>
      <c r="CC40" s="590">
        <f t="shared" si="197"/>
      </c>
      <c r="CD40" s="589">
        <f t="shared" si="197"/>
      </c>
      <c r="CE40" s="589">
        <f t="shared" si="197"/>
      </c>
      <c r="CF40" s="589">
        <f t="shared" si="197"/>
      </c>
      <c r="CG40" s="590">
        <f t="shared" si="197"/>
      </c>
      <c r="CH40" s="589">
        <f t="shared" si="197"/>
      </c>
      <c r="CI40" s="589">
        <f t="shared" si="197"/>
      </c>
      <c r="CJ40" s="589">
        <f t="shared" si="197"/>
      </c>
      <c r="CK40" s="590">
        <f t="shared" si="197"/>
      </c>
      <c r="CL40" s="589">
        <f t="shared" si="197"/>
      </c>
      <c r="CM40" s="589">
        <f t="shared" si="197"/>
      </c>
      <c r="CN40" s="589">
        <f t="shared" si="197"/>
      </c>
      <c r="CO40" s="590">
        <f t="shared" si="197"/>
      </c>
      <c r="CP40" s="589">
        <f t="shared" si="197"/>
      </c>
      <c r="CQ40" s="589">
        <f t="shared" si="197"/>
      </c>
      <c r="CR40" s="589">
        <f t="shared" si="197"/>
      </c>
      <c r="CS40" s="590">
        <f t="shared" si="197"/>
      </c>
      <c r="CT40" s="589">
        <f t="shared" si="197"/>
      </c>
      <c r="CU40" s="589">
        <f t="shared" si="197"/>
      </c>
      <c r="CV40" s="589">
        <f t="shared" si="197"/>
      </c>
      <c r="CW40" s="590">
        <f t="shared" si="197"/>
      </c>
      <c r="CX40" s="718">
        <f t="shared" si="197"/>
      </c>
      <c r="CY40" s="589">
        <f t="shared" si="197"/>
      </c>
      <c r="CZ40" s="589">
        <f t="shared" si="197"/>
      </c>
      <c r="DA40" s="590">
        <f t="shared" si="197"/>
      </c>
      <c r="DB40" s="589">
        <f t="shared" si="197"/>
      </c>
      <c r="DC40" s="589">
        <f t="shared" si="197"/>
      </c>
      <c r="DD40" s="589">
        <f t="shared" si="197"/>
      </c>
      <c r="DE40" s="590">
        <f t="shared" si="197"/>
      </c>
      <c r="DF40" s="589">
        <f t="shared" ref="DF40:DU40" si="198">DF11/DF$17</f>
      </c>
      <c r="DG40" s="589">
        <f t="shared" si="198"/>
      </c>
      <c r="DH40" s="589">
        <f t="shared" si="198"/>
      </c>
      <c r="DI40" s="590">
        <f t="shared" si="198"/>
      </c>
      <c r="DJ40" s="589">
        <f t="shared" si="198"/>
      </c>
      <c r="DK40" s="589">
        <f t="shared" si="198"/>
      </c>
      <c r="DL40" s="589">
        <f t="shared" si="198"/>
      </c>
      <c r="DM40" s="590">
        <f t="shared" si="198"/>
      </c>
      <c r="DN40" s="589">
        <f t="shared" si="198"/>
      </c>
      <c r="DO40" s="589">
        <f t="shared" si="198"/>
      </c>
      <c r="DP40" s="589">
        <f t="shared" si="198"/>
      </c>
      <c r="DQ40" s="590">
        <f t="shared" si="198"/>
      </c>
      <c r="DR40" s="589">
        <f t="shared" si="198"/>
      </c>
      <c r="DS40" s="589">
        <f t="shared" si="198"/>
      </c>
      <c r="DT40" s="589">
        <f t="shared" si="198"/>
      </c>
      <c r="DU40" s="590">
        <f t="shared" si="198"/>
      </c>
      <c r="DV40" s="589">
        <f t="shared" ref="DV40:EK40" si="199">DV11/DV$17</f>
      </c>
      <c r="DW40" s="589">
        <f t="shared" si="199"/>
      </c>
      <c r="DX40" s="589">
        <f t="shared" si="199"/>
      </c>
      <c r="DY40" s="590">
        <f t="shared" si="199"/>
      </c>
      <c r="DZ40" s="589">
        <f t="shared" si="199"/>
      </c>
      <c r="EA40" s="589">
        <f t="shared" si="199"/>
      </c>
      <c r="EB40" s="589">
        <f t="shared" si="199"/>
      </c>
      <c r="EC40" s="590">
        <f t="shared" si="199"/>
      </c>
      <c r="ED40" s="589">
        <f t="shared" si="199"/>
      </c>
      <c r="EE40" s="589">
        <f t="shared" si="199"/>
      </c>
      <c r="EF40" s="589">
        <f t="shared" si="199"/>
      </c>
      <c r="EG40" s="590">
        <f t="shared" si="199"/>
      </c>
      <c r="EH40" s="589">
        <f t="shared" si="199"/>
      </c>
      <c r="EI40" s="589">
        <f t="shared" si="199"/>
      </c>
      <c r="EJ40" s="589">
        <f t="shared" si="199"/>
      </c>
      <c r="EK40" s="590">
        <f t="shared" si="199"/>
      </c>
      <c r="EM40" s="589"/>
      <c r="EN40" s="589"/>
      <c r="EO40" s="589"/>
      <c r="EP40" s="589"/>
      <c r="EQ40" s="589"/>
      <c r="ER40" s="589"/>
      <c r="ES40" s="589"/>
      <c r="ET40" s="589"/>
      <c r="EU40" s="589"/>
      <c r="EV40" s="589"/>
      <c r="EW40" s="589"/>
      <c r="EX40" s="589">
        <f t="shared" ref="EX40:FQ40" si="200">EX11/EX$17</f>
      </c>
      <c r="EY40" s="589">
        <f t="shared" si="200"/>
      </c>
      <c r="EZ40" s="589">
        <f t="shared" si="200"/>
      </c>
      <c r="FA40" s="589">
        <f t="shared" si="200"/>
      </c>
      <c r="FB40" s="589">
        <f t="shared" si="200"/>
      </c>
      <c r="FC40" s="589">
        <f t="shared" si="200"/>
      </c>
      <c r="FD40" s="589">
        <f t="shared" si="200"/>
      </c>
      <c r="FE40" s="589">
        <f t="shared" si="200"/>
      </c>
      <c r="FF40" s="589">
        <f t="shared" si="200"/>
      </c>
      <c r="FG40" s="589">
        <f t="shared" si="200"/>
      </c>
      <c r="FH40" s="589">
        <f t="shared" si="200"/>
      </c>
      <c r="FI40" s="589">
        <f t="shared" si="200"/>
      </c>
      <c r="FJ40" s="589">
        <f t="shared" si="200"/>
      </c>
      <c r="FK40" s="589">
        <f t="shared" si="200"/>
      </c>
      <c r="FL40" s="589">
        <f t="shared" si="200"/>
      </c>
      <c r="FM40" s="589">
        <f t="shared" si="200"/>
      </c>
      <c r="FN40" s="589">
        <f t="shared" si="200"/>
      </c>
      <c r="FO40" s="589">
        <f t="shared" si="200"/>
      </c>
      <c r="FP40" s="589">
        <f t="shared" si="200"/>
      </c>
      <c r="FQ40" s="589">
        <f t="shared" si="200"/>
      </c>
      <c r="FR40" s="589">
        <f t="shared" ref="FR40:FU40" si="201">FR11/FR$17</f>
      </c>
      <c r="FS40" s="589">
        <f t="shared" si="201"/>
      </c>
      <c r="FT40" s="589">
        <f t="shared" si="201"/>
      </c>
      <c r="FU40" s="589">
        <f t="shared" si="201"/>
      </c>
      <c r="FV40" s="589"/>
      <c r="FW40" s="589"/>
      <c r="FX40" s="589"/>
      <c r="FY40" s="589"/>
      <c r="FZ40" s="589"/>
      <c r="GA40" s="589"/>
      <c r="GB40" s="589"/>
      <c r="GC40" s="589"/>
      <c r="GD40" s="589"/>
      <c r="GE40" s="589"/>
      <c r="GF40" s="589"/>
      <c r="GG40" s="589"/>
      <c r="GH40" s="589"/>
      <c r="GI40" s="589">
        <f t="shared" ref="GI40:HA40" si="202">GI11/GI$17</f>
      </c>
      <c r="GJ40" s="589">
        <f t="shared" si="202"/>
      </c>
      <c r="GK40" s="589">
        <f t="shared" si="202"/>
      </c>
      <c r="GL40" s="589">
        <f t="shared" si="202"/>
      </c>
      <c r="GM40" s="589">
        <f t="shared" si="202"/>
      </c>
      <c r="GN40" s="589">
        <f t="shared" si="202"/>
      </c>
      <c r="GO40" s="589">
        <f t="shared" si="202"/>
      </c>
      <c r="GP40" s="589">
        <f t="shared" si="202"/>
      </c>
      <c r="GQ40" s="589">
        <f t="shared" si="202"/>
      </c>
      <c r="GR40" s="589">
        <f t="shared" si="202"/>
      </c>
      <c r="GS40" s="589">
        <f t="shared" si="202"/>
      </c>
      <c r="GT40" s="589">
        <f t="shared" si="202"/>
      </c>
      <c r="GU40" s="589">
        <f t="shared" si="202"/>
      </c>
      <c r="GV40" s="589">
        <f t="shared" si="202"/>
      </c>
      <c r="GW40" s="589">
        <f t="shared" si="202"/>
      </c>
      <c r="GX40" s="589">
        <f t="shared" si="202"/>
      </c>
      <c r="GY40" s="589">
        <f t="shared" si="202"/>
      </c>
      <c r="GZ40" s="589">
        <f t="shared" si="202"/>
      </c>
      <c r="HA40" s="589">
        <f t="shared" si="202"/>
      </c>
      <c r="HB40" s="589">
        <f t="shared" ref="HB40:HE40" si="203">HB11/HB$17</f>
      </c>
      <c r="HC40" s="589">
        <f t="shared" si="203"/>
      </c>
      <c r="HD40" s="589">
        <f t="shared" si="203"/>
      </c>
      <c r="HE40" s="589">
        <f t="shared" si="203"/>
      </c>
    </row>
    <row r="41" spans="1:213" s="11" customFormat="1" ht="10.199999999999999">
      <c r="A41" s="1717" t="s">
        <v>86</v>
      </c>
      <c r="B41" s="589"/>
      <c r="C41" s="589"/>
      <c r="D41" s="589"/>
      <c r="E41" s="590"/>
      <c r="F41" s="589"/>
      <c r="G41" s="589"/>
      <c r="H41" s="589"/>
      <c r="I41" s="590"/>
      <c r="J41" s="589"/>
      <c r="K41" s="589"/>
      <c r="L41" s="589"/>
      <c r="M41" s="590"/>
      <c r="N41" s="589"/>
      <c r="O41" s="589"/>
      <c r="P41" s="589"/>
      <c r="Q41" s="590"/>
      <c r="R41" s="589"/>
      <c r="S41" s="589"/>
      <c r="T41" s="589"/>
      <c r="U41" s="590"/>
      <c r="V41" s="589"/>
      <c r="W41" s="589"/>
      <c r="X41" s="589"/>
      <c r="Y41" s="590"/>
      <c r="Z41" s="589"/>
      <c r="AA41" s="589"/>
      <c r="AB41" s="589"/>
      <c r="AC41" s="590"/>
      <c r="AD41" s="589"/>
      <c r="AE41" s="589"/>
      <c r="AF41" s="589"/>
      <c r="AG41" s="590"/>
      <c r="AH41" s="589"/>
      <c r="AI41" s="589"/>
      <c r="AJ41" s="589"/>
      <c r="AK41" s="590"/>
      <c r="AL41" s="589"/>
      <c r="AM41" s="589"/>
      <c r="AN41" s="589"/>
      <c r="AO41" s="590"/>
      <c r="AP41" s="589"/>
      <c r="AQ41" s="589"/>
      <c r="AR41" s="589"/>
      <c r="AS41" s="590"/>
      <c r="AT41" s="589">
        <f t="shared" ref="AT41:BY41" si="204">AT12/AT$17</f>
      </c>
      <c r="AU41" s="589">
        <f t="shared" si="204"/>
      </c>
      <c r="AV41" s="589">
        <f t="shared" si="204"/>
      </c>
      <c r="AW41" s="590">
        <f t="shared" si="204"/>
      </c>
      <c r="AX41" s="589">
        <f t="shared" si="204"/>
      </c>
      <c r="AY41" s="589">
        <f t="shared" si="204"/>
      </c>
      <c r="AZ41" s="589">
        <f t="shared" si="204"/>
      </c>
      <c r="BA41" s="590">
        <f t="shared" si="204"/>
      </c>
      <c r="BB41" s="589">
        <f t="shared" si="204"/>
      </c>
      <c r="BC41" s="589">
        <f t="shared" si="204"/>
      </c>
      <c r="BD41" s="589">
        <f t="shared" si="204"/>
      </c>
      <c r="BE41" s="590">
        <f t="shared" si="204"/>
      </c>
      <c r="BF41" s="589">
        <f t="shared" si="204"/>
      </c>
      <c r="BG41" s="589">
        <f t="shared" si="204"/>
      </c>
      <c r="BH41" s="589">
        <f t="shared" si="204"/>
      </c>
      <c r="BI41" s="590">
        <f t="shared" si="204"/>
      </c>
      <c r="BJ41" s="589">
        <f t="shared" si="204"/>
      </c>
      <c r="BK41" s="589">
        <f t="shared" si="204"/>
      </c>
      <c r="BL41" s="589">
        <f t="shared" si="204"/>
      </c>
      <c r="BM41" s="590">
        <f t="shared" si="204"/>
      </c>
      <c r="BN41" s="589">
        <f t="shared" si="204"/>
      </c>
      <c r="BO41" s="589">
        <f t="shared" si="204"/>
      </c>
      <c r="BP41" s="589">
        <f t="shared" si="204"/>
      </c>
      <c r="BQ41" s="590">
        <f t="shared" si="204"/>
      </c>
      <c r="BR41" s="589">
        <f t="shared" si="204"/>
      </c>
      <c r="BS41" s="589">
        <f t="shared" si="204"/>
      </c>
      <c r="BT41" s="589">
        <f t="shared" si="204"/>
      </c>
      <c r="BU41" s="590">
        <f t="shared" si="204"/>
      </c>
      <c r="BV41" s="589">
        <f t="shared" si="204"/>
      </c>
      <c r="BW41" s="589">
        <f t="shared" si="204"/>
      </c>
      <c r="BX41" s="589">
        <f t="shared" si="204"/>
      </c>
      <c r="BY41" s="590">
        <f t="shared" si="204"/>
      </c>
      <c r="BZ41" s="589">
        <f t="shared" ref="BZ41:DE41" si="205">BZ12/BZ$17</f>
      </c>
      <c r="CA41" s="589">
        <f t="shared" si="205"/>
      </c>
      <c r="CB41" s="589">
        <f t="shared" si="205"/>
      </c>
      <c r="CC41" s="590">
        <f t="shared" si="205"/>
      </c>
      <c r="CD41" s="589">
        <f t="shared" si="205"/>
      </c>
      <c r="CE41" s="589">
        <f t="shared" si="205"/>
      </c>
      <c r="CF41" s="589">
        <f t="shared" si="205"/>
      </c>
      <c r="CG41" s="590">
        <f t="shared" si="205"/>
      </c>
      <c r="CH41" s="589">
        <f t="shared" si="205"/>
      </c>
      <c r="CI41" s="589">
        <f t="shared" si="205"/>
      </c>
      <c r="CJ41" s="589">
        <f t="shared" si="205"/>
      </c>
      <c r="CK41" s="590">
        <f t="shared" si="205"/>
      </c>
      <c r="CL41" s="589">
        <f t="shared" si="205"/>
      </c>
      <c r="CM41" s="589">
        <f t="shared" si="205"/>
      </c>
      <c r="CN41" s="589">
        <f t="shared" si="205"/>
      </c>
      <c r="CO41" s="590">
        <f t="shared" si="205"/>
      </c>
      <c r="CP41" s="589">
        <f t="shared" si="205"/>
      </c>
      <c r="CQ41" s="589">
        <f t="shared" si="205"/>
      </c>
      <c r="CR41" s="589">
        <f t="shared" si="205"/>
      </c>
      <c r="CS41" s="590">
        <f t="shared" si="205"/>
      </c>
      <c r="CT41" s="589">
        <f t="shared" si="205"/>
      </c>
      <c r="CU41" s="589">
        <f t="shared" si="205"/>
      </c>
      <c r="CV41" s="589">
        <f t="shared" si="205"/>
      </c>
      <c r="CW41" s="590">
        <f t="shared" si="205"/>
      </c>
      <c r="CX41" s="718">
        <f t="shared" si="205"/>
      </c>
      <c r="CY41" s="589">
        <f t="shared" si="205"/>
      </c>
      <c r="CZ41" s="589">
        <f t="shared" si="205"/>
      </c>
      <c r="DA41" s="590">
        <f t="shared" si="205"/>
      </c>
      <c r="DB41" s="589">
        <f t="shared" si="205"/>
      </c>
      <c r="DC41" s="589">
        <f t="shared" si="205"/>
      </c>
      <c r="DD41" s="589">
        <f t="shared" si="205"/>
      </c>
      <c r="DE41" s="590">
        <f t="shared" si="205"/>
      </c>
      <c r="DF41" s="589">
        <f t="shared" ref="DF41:DU41" si="206">DF12/DF$17</f>
      </c>
      <c r="DG41" s="589">
        <f t="shared" si="206"/>
      </c>
      <c r="DH41" s="589">
        <f t="shared" si="206"/>
      </c>
      <c r="DI41" s="590">
        <f t="shared" si="206"/>
      </c>
      <c r="DJ41" s="589">
        <f t="shared" si="206"/>
      </c>
      <c r="DK41" s="589">
        <f t="shared" si="206"/>
      </c>
      <c r="DL41" s="589">
        <f t="shared" si="206"/>
      </c>
      <c r="DM41" s="590">
        <f t="shared" si="206"/>
      </c>
      <c r="DN41" s="589">
        <f t="shared" si="206"/>
      </c>
      <c r="DO41" s="589">
        <f t="shared" si="206"/>
      </c>
      <c r="DP41" s="589">
        <f t="shared" si="206"/>
      </c>
      <c r="DQ41" s="590">
        <f t="shared" si="206"/>
      </c>
      <c r="DR41" s="589">
        <f t="shared" si="206"/>
      </c>
      <c r="DS41" s="589">
        <f t="shared" si="206"/>
      </c>
      <c r="DT41" s="589">
        <f t="shared" si="206"/>
      </c>
      <c r="DU41" s="590">
        <f t="shared" si="206"/>
      </c>
      <c r="DV41" s="589">
        <f t="shared" ref="DV41:EK41" si="207">DV12/DV$17</f>
      </c>
      <c r="DW41" s="589">
        <f t="shared" si="207"/>
      </c>
      <c r="DX41" s="589">
        <f t="shared" si="207"/>
      </c>
      <c r="DY41" s="590">
        <f t="shared" si="207"/>
      </c>
      <c r="DZ41" s="589">
        <f t="shared" si="207"/>
      </c>
      <c r="EA41" s="589">
        <f t="shared" si="207"/>
      </c>
      <c r="EB41" s="589">
        <f t="shared" si="207"/>
      </c>
      <c r="EC41" s="590">
        <f t="shared" si="207"/>
      </c>
      <c r="ED41" s="589">
        <f t="shared" si="207"/>
      </c>
      <c r="EE41" s="589">
        <f t="shared" si="207"/>
      </c>
      <c r="EF41" s="589">
        <f t="shared" si="207"/>
      </c>
      <c r="EG41" s="590">
        <f t="shared" si="207"/>
      </c>
      <c r="EH41" s="589">
        <f t="shared" si="207"/>
      </c>
      <c r="EI41" s="589">
        <f t="shared" si="207"/>
      </c>
      <c r="EJ41" s="589">
        <f t="shared" si="207"/>
      </c>
      <c r="EK41" s="590">
        <f t="shared" si="207"/>
      </c>
      <c r="EM41" s="589"/>
      <c r="EN41" s="589"/>
      <c r="EO41" s="589"/>
      <c r="EP41" s="589"/>
      <c r="EQ41" s="589"/>
      <c r="ER41" s="589"/>
      <c r="ES41" s="589"/>
      <c r="ET41" s="589"/>
      <c r="EU41" s="589"/>
      <c r="EV41" s="589"/>
      <c r="EW41" s="589"/>
      <c r="EX41" s="589">
        <f t="shared" ref="EX41:FQ41" si="208">EX12/EX$17</f>
      </c>
      <c r="EY41" s="589">
        <f t="shared" si="208"/>
      </c>
      <c r="EZ41" s="589">
        <f t="shared" si="208"/>
      </c>
      <c r="FA41" s="589">
        <f t="shared" si="208"/>
      </c>
      <c r="FB41" s="589">
        <f t="shared" si="208"/>
      </c>
      <c r="FC41" s="589">
        <f t="shared" si="208"/>
      </c>
      <c r="FD41" s="589">
        <f t="shared" si="208"/>
      </c>
      <c r="FE41" s="589">
        <f t="shared" si="208"/>
      </c>
      <c r="FF41" s="589">
        <f t="shared" si="208"/>
      </c>
      <c r="FG41" s="589">
        <f t="shared" si="208"/>
      </c>
      <c r="FH41" s="589">
        <f t="shared" si="208"/>
      </c>
      <c r="FI41" s="589">
        <f t="shared" si="208"/>
      </c>
      <c r="FJ41" s="589">
        <f t="shared" si="208"/>
      </c>
      <c r="FK41" s="589">
        <f t="shared" si="208"/>
      </c>
      <c r="FL41" s="589">
        <f t="shared" si="208"/>
      </c>
      <c r="FM41" s="589">
        <f t="shared" si="208"/>
      </c>
      <c r="FN41" s="589">
        <f t="shared" si="208"/>
      </c>
      <c r="FO41" s="589">
        <f t="shared" si="208"/>
      </c>
      <c r="FP41" s="589">
        <f t="shared" si="208"/>
      </c>
      <c r="FQ41" s="589">
        <f t="shared" si="208"/>
      </c>
      <c r="FR41" s="589">
        <f t="shared" ref="FR41:FU41" si="209">FR12/FR$17</f>
      </c>
      <c r="FS41" s="589">
        <f t="shared" si="209"/>
      </c>
      <c r="FT41" s="589">
        <f t="shared" si="209"/>
      </c>
      <c r="FU41" s="589">
        <f t="shared" si="209"/>
      </c>
      <c r="FV41" s="589"/>
      <c r="FW41" s="589"/>
      <c r="FX41" s="589"/>
      <c r="FY41" s="589"/>
      <c r="FZ41" s="589"/>
      <c r="GA41" s="589"/>
      <c r="GB41" s="589"/>
      <c r="GC41" s="589"/>
      <c r="GD41" s="589"/>
      <c r="GE41" s="589"/>
      <c r="GF41" s="589"/>
      <c r="GG41" s="589"/>
      <c r="GH41" s="589"/>
      <c r="GI41" s="589">
        <f t="shared" ref="GI41:HA41" si="210">GI12/GI$17</f>
      </c>
      <c r="GJ41" s="589">
        <f t="shared" si="210"/>
      </c>
      <c r="GK41" s="589">
        <f t="shared" si="210"/>
      </c>
      <c r="GL41" s="589">
        <f t="shared" si="210"/>
      </c>
      <c r="GM41" s="589">
        <f t="shared" si="210"/>
      </c>
      <c r="GN41" s="589">
        <f t="shared" si="210"/>
      </c>
      <c r="GO41" s="589">
        <f t="shared" si="210"/>
      </c>
      <c r="GP41" s="589">
        <f t="shared" si="210"/>
      </c>
      <c r="GQ41" s="589">
        <f t="shared" si="210"/>
      </c>
      <c r="GR41" s="589">
        <f t="shared" si="210"/>
      </c>
      <c r="GS41" s="589">
        <f t="shared" si="210"/>
      </c>
      <c r="GT41" s="589">
        <f t="shared" si="210"/>
      </c>
      <c r="GU41" s="589">
        <f t="shared" si="210"/>
      </c>
      <c r="GV41" s="589">
        <f t="shared" si="210"/>
      </c>
      <c r="GW41" s="589">
        <f t="shared" si="210"/>
      </c>
      <c r="GX41" s="589">
        <f t="shared" si="210"/>
      </c>
      <c r="GY41" s="589">
        <f t="shared" si="210"/>
      </c>
      <c r="GZ41" s="589">
        <f t="shared" si="210"/>
      </c>
      <c r="HA41" s="589">
        <f t="shared" si="210"/>
      </c>
      <c r="HB41" s="589">
        <f t="shared" ref="HB41:HE41" si="211">HB12/HB$17</f>
      </c>
      <c r="HC41" s="589">
        <f t="shared" si="211"/>
      </c>
      <c r="HD41" s="589">
        <f t="shared" si="211"/>
      </c>
      <c r="HE41" s="589">
        <f t="shared" si="211"/>
      </c>
    </row>
    <row r="42" spans="1:213" s="11" customFormat="1" ht="10.199999999999999">
      <c r="A42" s="1717" t="s">
        <v>85</v>
      </c>
      <c r="B42" s="589"/>
      <c r="C42" s="589"/>
      <c r="D42" s="589"/>
      <c r="E42" s="590"/>
      <c r="F42" s="589"/>
      <c r="G42" s="589"/>
      <c r="H42" s="589"/>
      <c r="I42" s="590"/>
      <c r="J42" s="589"/>
      <c r="K42" s="589"/>
      <c r="L42" s="589"/>
      <c r="M42" s="590"/>
      <c r="N42" s="589"/>
      <c r="O42" s="589"/>
      <c r="P42" s="589"/>
      <c r="Q42" s="590"/>
      <c r="R42" s="589"/>
      <c r="S42" s="589"/>
      <c r="T42" s="589"/>
      <c r="U42" s="590"/>
      <c r="V42" s="589"/>
      <c r="W42" s="589"/>
      <c r="X42" s="589"/>
      <c r="Y42" s="590"/>
      <c r="Z42" s="589"/>
      <c r="AA42" s="589"/>
      <c r="AB42" s="589"/>
      <c r="AC42" s="590"/>
      <c r="AD42" s="589"/>
      <c r="AE42" s="589"/>
      <c r="AF42" s="589"/>
      <c r="AG42" s="590"/>
      <c r="AH42" s="589"/>
      <c r="AI42" s="589"/>
      <c r="AJ42" s="589"/>
      <c r="AK42" s="590"/>
      <c r="AL42" s="589"/>
      <c r="AM42" s="589"/>
      <c r="AN42" s="589"/>
      <c r="AO42" s="590"/>
      <c r="AP42" s="589"/>
      <c r="AQ42" s="589"/>
      <c r="AR42" s="589"/>
      <c r="AS42" s="590"/>
      <c r="AT42" s="589">
        <f t="shared" ref="AT42:BY42" si="212">AT13/AT$17</f>
      </c>
      <c r="AU42" s="589">
        <f t="shared" si="212"/>
      </c>
      <c r="AV42" s="589">
        <f t="shared" si="212"/>
      </c>
      <c r="AW42" s="590">
        <f t="shared" si="212"/>
      </c>
      <c r="AX42" s="589">
        <f t="shared" si="212"/>
      </c>
      <c r="AY42" s="589">
        <f t="shared" si="212"/>
      </c>
      <c r="AZ42" s="589">
        <f t="shared" si="212"/>
      </c>
      <c r="BA42" s="590">
        <f t="shared" si="212"/>
      </c>
      <c r="BB42" s="589">
        <f t="shared" si="212"/>
      </c>
      <c r="BC42" s="589">
        <f t="shared" si="212"/>
      </c>
      <c r="BD42" s="589">
        <f t="shared" si="212"/>
      </c>
      <c r="BE42" s="590">
        <f t="shared" si="212"/>
      </c>
      <c r="BF42" s="589">
        <f t="shared" si="212"/>
      </c>
      <c r="BG42" s="589">
        <f t="shared" si="212"/>
      </c>
      <c r="BH42" s="589">
        <f t="shared" si="212"/>
      </c>
      <c r="BI42" s="590">
        <f t="shared" si="212"/>
      </c>
      <c r="BJ42" s="589">
        <f t="shared" si="212"/>
      </c>
      <c r="BK42" s="589">
        <f t="shared" si="212"/>
      </c>
      <c r="BL42" s="589">
        <f t="shared" si="212"/>
      </c>
      <c r="BM42" s="590">
        <f t="shared" si="212"/>
      </c>
      <c r="BN42" s="589">
        <f t="shared" si="212"/>
      </c>
      <c r="BO42" s="589">
        <f t="shared" si="212"/>
      </c>
      <c r="BP42" s="589">
        <f t="shared" si="212"/>
      </c>
      <c r="BQ42" s="590">
        <f t="shared" si="212"/>
      </c>
      <c r="BR42" s="589">
        <f t="shared" si="212"/>
      </c>
      <c r="BS42" s="589">
        <f t="shared" si="212"/>
      </c>
      <c r="BT42" s="589">
        <f t="shared" si="212"/>
      </c>
      <c r="BU42" s="590">
        <f t="shared" si="212"/>
      </c>
      <c r="BV42" s="589">
        <f t="shared" si="212"/>
      </c>
      <c r="BW42" s="589">
        <f t="shared" si="212"/>
      </c>
      <c r="BX42" s="589">
        <f t="shared" si="212"/>
      </c>
      <c r="BY42" s="590">
        <f t="shared" si="212"/>
      </c>
      <c r="BZ42" s="589">
        <f t="shared" ref="BZ42:DE42" si="213">BZ13/BZ$17</f>
      </c>
      <c r="CA42" s="589">
        <f t="shared" si="213"/>
      </c>
      <c r="CB42" s="589">
        <f t="shared" si="213"/>
      </c>
      <c r="CC42" s="590">
        <f t="shared" si="213"/>
      </c>
      <c r="CD42" s="589">
        <f t="shared" si="213"/>
      </c>
      <c r="CE42" s="589">
        <f t="shared" si="213"/>
      </c>
      <c r="CF42" s="589">
        <f t="shared" si="213"/>
      </c>
      <c r="CG42" s="590">
        <f t="shared" si="213"/>
      </c>
      <c r="CH42" s="589">
        <f t="shared" si="213"/>
      </c>
      <c r="CI42" s="589">
        <f t="shared" si="213"/>
      </c>
      <c r="CJ42" s="589">
        <f t="shared" si="213"/>
      </c>
      <c r="CK42" s="590">
        <f t="shared" si="213"/>
      </c>
      <c r="CL42" s="589">
        <f t="shared" si="213"/>
      </c>
      <c r="CM42" s="589">
        <f t="shared" si="213"/>
      </c>
      <c r="CN42" s="589">
        <f t="shared" si="213"/>
      </c>
      <c r="CO42" s="590">
        <f t="shared" si="213"/>
      </c>
      <c r="CP42" s="589">
        <f t="shared" si="213"/>
      </c>
      <c r="CQ42" s="589">
        <f t="shared" si="213"/>
      </c>
      <c r="CR42" s="589">
        <f t="shared" si="213"/>
      </c>
      <c r="CS42" s="590">
        <f t="shared" si="213"/>
      </c>
      <c r="CT42" s="589">
        <f t="shared" si="213"/>
      </c>
      <c r="CU42" s="589">
        <f t="shared" si="213"/>
      </c>
      <c r="CV42" s="589">
        <f t="shared" si="213"/>
      </c>
      <c r="CW42" s="590">
        <f t="shared" si="213"/>
      </c>
      <c r="CX42" s="718">
        <f t="shared" si="213"/>
      </c>
      <c r="CY42" s="589">
        <f t="shared" si="213"/>
      </c>
      <c r="CZ42" s="589">
        <f t="shared" si="213"/>
      </c>
      <c r="DA42" s="590">
        <f t="shared" si="213"/>
      </c>
      <c r="DB42" s="589">
        <f t="shared" si="213"/>
      </c>
      <c r="DC42" s="589">
        <f t="shared" si="213"/>
      </c>
      <c r="DD42" s="589">
        <f t="shared" si="213"/>
      </c>
      <c r="DE42" s="590">
        <f t="shared" si="213"/>
      </c>
      <c r="DF42" s="589">
        <f t="shared" ref="DF42:DU42" si="214">DF13/DF$17</f>
      </c>
      <c r="DG42" s="589">
        <f t="shared" si="214"/>
      </c>
      <c r="DH42" s="589">
        <f t="shared" si="214"/>
      </c>
      <c r="DI42" s="590">
        <f t="shared" si="214"/>
      </c>
      <c r="DJ42" s="589">
        <f t="shared" si="214"/>
      </c>
      <c r="DK42" s="589">
        <f t="shared" si="214"/>
      </c>
      <c r="DL42" s="589">
        <f t="shared" si="214"/>
      </c>
      <c r="DM42" s="590">
        <f t="shared" si="214"/>
      </c>
      <c r="DN42" s="589">
        <f t="shared" si="214"/>
      </c>
      <c r="DO42" s="589">
        <f t="shared" si="214"/>
      </c>
      <c r="DP42" s="589">
        <f t="shared" si="214"/>
      </c>
      <c r="DQ42" s="590">
        <f t="shared" si="214"/>
      </c>
      <c r="DR42" s="589">
        <f t="shared" si="214"/>
      </c>
      <c r="DS42" s="589">
        <f t="shared" si="214"/>
      </c>
      <c r="DT42" s="589">
        <f t="shared" si="214"/>
      </c>
      <c r="DU42" s="590">
        <f t="shared" si="214"/>
      </c>
      <c r="DV42" s="589">
        <f t="shared" ref="DV42:EK42" si="215">DV13/DV$17</f>
      </c>
      <c r="DW42" s="589">
        <f t="shared" si="215"/>
      </c>
      <c r="DX42" s="589">
        <f t="shared" si="215"/>
      </c>
      <c r="DY42" s="590">
        <f t="shared" si="215"/>
      </c>
      <c r="DZ42" s="589">
        <f t="shared" si="215"/>
      </c>
      <c r="EA42" s="589">
        <f t="shared" si="215"/>
      </c>
      <c r="EB42" s="589">
        <f t="shared" si="215"/>
      </c>
      <c r="EC42" s="590">
        <f t="shared" si="215"/>
      </c>
      <c r="ED42" s="589">
        <f t="shared" si="215"/>
      </c>
      <c r="EE42" s="589">
        <f t="shared" si="215"/>
      </c>
      <c r="EF42" s="589">
        <f t="shared" si="215"/>
      </c>
      <c r="EG42" s="590">
        <f t="shared" si="215"/>
      </c>
      <c r="EH42" s="589">
        <f t="shared" si="215"/>
      </c>
      <c r="EI42" s="589">
        <f t="shared" si="215"/>
      </c>
      <c r="EJ42" s="589">
        <f t="shared" si="215"/>
      </c>
      <c r="EK42" s="590">
        <f t="shared" si="215"/>
      </c>
      <c r="EM42" s="589"/>
      <c r="EN42" s="589"/>
      <c r="EO42" s="589"/>
      <c r="EP42" s="589"/>
      <c r="EQ42" s="589"/>
      <c r="ER42" s="589"/>
      <c r="ES42" s="589"/>
      <c r="ET42" s="589"/>
      <c r="EU42" s="589"/>
      <c r="EV42" s="589"/>
      <c r="EW42" s="589"/>
      <c r="EX42" s="589">
        <f t="shared" ref="EX42:FQ42" si="216">EX13/EX$17</f>
      </c>
      <c r="EY42" s="589">
        <f t="shared" si="216"/>
      </c>
      <c r="EZ42" s="589">
        <f t="shared" si="216"/>
      </c>
      <c r="FA42" s="589">
        <f t="shared" si="216"/>
      </c>
      <c r="FB42" s="589">
        <f t="shared" si="216"/>
      </c>
      <c r="FC42" s="589">
        <f t="shared" si="216"/>
      </c>
      <c r="FD42" s="589">
        <f t="shared" si="216"/>
      </c>
      <c r="FE42" s="589">
        <f t="shared" si="216"/>
      </c>
      <c r="FF42" s="589">
        <f t="shared" si="216"/>
      </c>
      <c r="FG42" s="589">
        <f t="shared" si="216"/>
      </c>
      <c r="FH42" s="589">
        <f t="shared" si="216"/>
      </c>
      <c r="FI42" s="589">
        <f t="shared" si="216"/>
      </c>
      <c r="FJ42" s="589">
        <f t="shared" si="216"/>
      </c>
      <c r="FK42" s="589">
        <f t="shared" si="216"/>
      </c>
      <c r="FL42" s="589">
        <f t="shared" si="216"/>
      </c>
      <c r="FM42" s="589">
        <f t="shared" si="216"/>
      </c>
      <c r="FN42" s="589">
        <f t="shared" si="216"/>
      </c>
      <c r="FO42" s="589">
        <f t="shared" si="216"/>
      </c>
      <c r="FP42" s="589">
        <f t="shared" si="216"/>
      </c>
      <c r="FQ42" s="589">
        <f t="shared" si="216"/>
      </c>
      <c r="FR42" s="589">
        <f t="shared" ref="FR42:FU42" si="217">FR13/FR$17</f>
      </c>
      <c r="FS42" s="589">
        <f t="shared" si="217"/>
      </c>
      <c r="FT42" s="589">
        <f t="shared" si="217"/>
      </c>
      <c r="FU42" s="589">
        <f t="shared" si="217"/>
      </c>
      <c r="FV42" s="589"/>
      <c r="FW42" s="589"/>
      <c r="FX42" s="589"/>
      <c r="FY42" s="589"/>
      <c r="FZ42" s="589"/>
      <c r="GA42" s="589"/>
      <c r="GB42" s="589"/>
      <c r="GC42" s="589"/>
      <c r="GD42" s="589"/>
      <c r="GE42" s="589"/>
      <c r="GF42" s="589"/>
      <c r="GG42" s="589"/>
      <c r="GH42" s="589"/>
      <c r="GI42" s="589">
        <f t="shared" ref="GI42:HA42" si="218">GI13/GI$17</f>
      </c>
      <c r="GJ42" s="589">
        <f t="shared" si="218"/>
      </c>
      <c r="GK42" s="589">
        <f t="shared" si="218"/>
      </c>
      <c r="GL42" s="589">
        <f t="shared" si="218"/>
      </c>
      <c r="GM42" s="589">
        <f t="shared" si="218"/>
      </c>
      <c r="GN42" s="589">
        <f t="shared" si="218"/>
      </c>
      <c r="GO42" s="589">
        <f t="shared" si="218"/>
      </c>
      <c r="GP42" s="589">
        <f t="shared" si="218"/>
      </c>
      <c r="GQ42" s="589">
        <f t="shared" si="218"/>
      </c>
      <c r="GR42" s="589">
        <f t="shared" si="218"/>
      </c>
      <c r="GS42" s="589">
        <f t="shared" si="218"/>
      </c>
      <c r="GT42" s="589">
        <f t="shared" si="218"/>
      </c>
      <c r="GU42" s="589">
        <f t="shared" si="218"/>
      </c>
      <c r="GV42" s="589">
        <f t="shared" si="218"/>
      </c>
      <c r="GW42" s="589">
        <f t="shared" si="218"/>
      </c>
      <c r="GX42" s="589">
        <f t="shared" si="218"/>
      </c>
      <c r="GY42" s="589">
        <f t="shared" si="218"/>
      </c>
      <c r="GZ42" s="589">
        <f t="shared" si="218"/>
      </c>
      <c r="HA42" s="589">
        <f t="shared" si="218"/>
      </c>
      <c r="HB42" s="589">
        <f t="shared" ref="HB42:HE42" si="219">HB13/HB$17</f>
      </c>
      <c r="HC42" s="589">
        <f t="shared" si="219"/>
      </c>
      <c r="HD42" s="589">
        <f t="shared" si="219"/>
      </c>
      <c r="HE42" s="589">
        <f t="shared" si="219"/>
      </c>
    </row>
    <row r="43" spans="1:213" s="11" customFormat="1" ht="10.199999999999999">
      <c r="A43" s="1717" t="s">
        <v>1120</v>
      </c>
      <c r="B43" s="589"/>
      <c r="C43" s="589"/>
      <c r="D43" s="589"/>
      <c r="E43" s="590"/>
      <c r="F43" s="589"/>
      <c r="G43" s="589"/>
      <c r="H43" s="589"/>
      <c r="I43" s="590"/>
      <c r="J43" s="589"/>
      <c r="K43" s="589"/>
      <c r="L43" s="589"/>
      <c r="M43" s="590"/>
      <c r="N43" s="589"/>
      <c r="O43" s="589"/>
      <c r="P43" s="589"/>
      <c r="Q43" s="590"/>
      <c r="R43" s="589"/>
      <c r="S43" s="589"/>
      <c r="T43" s="589"/>
      <c r="U43" s="590"/>
      <c r="V43" s="589"/>
      <c r="W43" s="589"/>
      <c r="X43" s="589"/>
      <c r="Y43" s="590"/>
      <c r="Z43" s="589"/>
      <c r="AA43" s="589"/>
      <c r="AB43" s="589"/>
      <c r="AC43" s="590"/>
      <c r="AD43" s="589"/>
      <c r="AE43" s="589"/>
      <c r="AF43" s="589"/>
      <c r="AG43" s="590"/>
      <c r="AH43" s="589"/>
      <c r="AI43" s="589"/>
      <c r="AJ43" s="589"/>
      <c r="AK43" s="590"/>
      <c r="AL43" s="589"/>
      <c r="AM43" s="589"/>
      <c r="AN43" s="589"/>
      <c r="AO43" s="590"/>
      <c r="AP43" s="589"/>
      <c r="AQ43" s="589"/>
      <c r="AR43" s="589"/>
      <c r="AS43" s="590"/>
      <c r="AT43" s="589">
        <f t="shared" ref="AT43:BY43" si="220">AT14/AT$17</f>
      </c>
      <c r="AU43" s="589">
        <f t="shared" si="220"/>
      </c>
      <c r="AV43" s="589">
        <f t="shared" si="220"/>
      </c>
      <c r="AW43" s="590">
        <f t="shared" si="220"/>
      </c>
      <c r="AX43" s="589">
        <f t="shared" si="220"/>
      </c>
      <c r="AY43" s="589">
        <f t="shared" si="220"/>
      </c>
      <c r="AZ43" s="589">
        <f t="shared" si="220"/>
      </c>
      <c r="BA43" s="590">
        <f t="shared" si="220"/>
      </c>
      <c r="BB43" s="589">
        <f t="shared" si="220"/>
      </c>
      <c r="BC43" s="589">
        <f t="shared" si="220"/>
      </c>
      <c r="BD43" s="589">
        <f t="shared" si="220"/>
      </c>
      <c r="BE43" s="590">
        <f t="shared" si="220"/>
      </c>
      <c r="BF43" s="589">
        <f t="shared" si="220"/>
      </c>
      <c r="BG43" s="589">
        <f t="shared" si="220"/>
      </c>
      <c r="BH43" s="589">
        <f t="shared" si="220"/>
      </c>
      <c r="BI43" s="590">
        <f t="shared" si="220"/>
      </c>
      <c r="BJ43" s="589">
        <f t="shared" si="220"/>
      </c>
      <c r="BK43" s="589">
        <f t="shared" si="220"/>
      </c>
      <c r="BL43" s="589">
        <f t="shared" si="220"/>
      </c>
      <c r="BM43" s="590">
        <f t="shared" si="220"/>
      </c>
      <c r="BN43" s="589">
        <f t="shared" si="220"/>
      </c>
      <c r="BO43" s="589">
        <f t="shared" si="220"/>
      </c>
      <c r="BP43" s="589">
        <f t="shared" si="220"/>
      </c>
      <c r="BQ43" s="590">
        <f t="shared" si="220"/>
      </c>
      <c r="BR43" s="589">
        <f t="shared" si="220"/>
      </c>
      <c r="BS43" s="589">
        <f t="shared" si="220"/>
      </c>
      <c r="BT43" s="589">
        <f t="shared" si="220"/>
      </c>
      <c r="BU43" s="590">
        <f t="shared" si="220"/>
      </c>
      <c r="BV43" s="589">
        <f t="shared" si="220"/>
      </c>
      <c r="BW43" s="589">
        <f t="shared" si="220"/>
      </c>
      <c r="BX43" s="589">
        <f t="shared" si="220"/>
      </c>
      <c r="BY43" s="590">
        <f t="shared" si="220"/>
      </c>
      <c r="BZ43" s="589">
        <f t="shared" ref="BZ43:DE43" si="221">BZ14/BZ$17</f>
      </c>
      <c r="CA43" s="589">
        <f t="shared" si="221"/>
      </c>
      <c r="CB43" s="589">
        <f t="shared" si="221"/>
      </c>
      <c r="CC43" s="590">
        <f t="shared" si="221"/>
      </c>
      <c r="CD43" s="589">
        <f t="shared" si="221"/>
      </c>
      <c r="CE43" s="589">
        <f t="shared" si="221"/>
      </c>
      <c r="CF43" s="589">
        <f t="shared" si="221"/>
      </c>
      <c r="CG43" s="590">
        <f t="shared" si="221"/>
      </c>
      <c r="CH43" s="589">
        <f t="shared" si="221"/>
      </c>
      <c r="CI43" s="589">
        <f t="shared" si="221"/>
      </c>
      <c r="CJ43" s="589">
        <f t="shared" si="221"/>
      </c>
      <c r="CK43" s="590">
        <f t="shared" si="221"/>
      </c>
      <c r="CL43" s="589">
        <f t="shared" si="221"/>
      </c>
      <c r="CM43" s="589">
        <f t="shared" si="221"/>
      </c>
      <c r="CN43" s="589">
        <f t="shared" si="221"/>
      </c>
      <c r="CO43" s="590">
        <f t="shared" si="221"/>
      </c>
      <c r="CP43" s="589">
        <f t="shared" si="221"/>
      </c>
      <c r="CQ43" s="589">
        <f t="shared" si="221"/>
      </c>
      <c r="CR43" s="589">
        <f t="shared" si="221"/>
      </c>
      <c r="CS43" s="590">
        <f t="shared" si="221"/>
      </c>
      <c r="CT43" s="589">
        <f t="shared" si="221"/>
      </c>
      <c r="CU43" s="589">
        <f t="shared" si="221"/>
      </c>
      <c r="CV43" s="589">
        <f t="shared" si="221"/>
      </c>
      <c r="CW43" s="590">
        <f t="shared" si="221"/>
      </c>
      <c r="CX43" s="718">
        <f t="shared" si="221"/>
      </c>
      <c r="CY43" s="589">
        <f t="shared" si="221"/>
      </c>
      <c r="CZ43" s="589">
        <f t="shared" si="221"/>
      </c>
      <c r="DA43" s="590">
        <f t="shared" si="221"/>
      </c>
      <c r="DB43" s="589">
        <f t="shared" si="221"/>
      </c>
      <c r="DC43" s="589">
        <f t="shared" si="221"/>
      </c>
      <c r="DD43" s="589">
        <f t="shared" si="221"/>
      </c>
      <c r="DE43" s="590">
        <f t="shared" si="221"/>
      </c>
      <c r="DF43" s="589">
        <f t="shared" ref="DF43:DU43" si="222">DF14/DF$17</f>
      </c>
      <c r="DG43" s="589">
        <f t="shared" si="222"/>
      </c>
      <c r="DH43" s="589">
        <f t="shared" si="222"/>
      </c>
      <c r="DI43" s="590">
        <f t="shared" si="222"/>
      </c>
      <c r="DJ43" s="589">
        <f t="shared" si="222"/>
      </c>
      <c r="DK43" s="589">
        <f t="shared" si="222"/>
      </c>
      <c r="DL43" s="589">
        <f t="shared" si="222"/>
      </c>
      <c r="DM43" s="590">
        <f t="shared" si="222"/>
      </c>
      <c r="DN43" s="589">
        <f t="shared" si="222"/>
      </c>
      <c r="DO43" s="589">
        <f t="shared" si="222"/>
      </c>
      <c r="DP43" s="589">
        <f t="shared" si="222"/>
      </c>
      <c r="DQ43" s="590">
        <f t="shared" si="222"/>
      </c>
      <c r="DR43" s="589">
        <f t="shared" si="222"/>
      </c>
      <c r="DS43" s="589">
        <f t="shared" si="222"/>
      </c>
      <c r="DT43" s="589">
        <f t="shared" si="222"/>
      </c>
      <c r="DU43" s="590">
        <f t="shared" si="222"/>
      </c>
      <c r="DV43" s="589">
        <f t="shared" ref="DV43:EK43" si="223">DV14/DV$17</f>
      </c>
      <c r="DW43" s="589">
        <f t="shared" si="223"/>
      </c>
      <c r="DX43" s="589">
        <f t="shared" si="223"/>
      </c>
      <c r="DY43" s="590">
        <f t="shared" si="223"/>
      </c>
      <c r="DZ43" s="589">
        <f t="shared" si="223"/>
      </c>
      <c r="EA43" s="589">
        <f t="shared" si="223"/>
      </c>
      <c r="EB43" s="589">
        <f t="shared" si="223"/>
      </c>
      <c r="EC43" s="590">
        <f t="shared" si="223"/>
      </c>
      <c r="ED43" s="589">
        <f t="shared" si="223"/>
      </c>
      <c r="EE43" s="589">
        <f t="shared" si="223"/>
      </c>
      <c r="EF43" s="589">
        <f t="shared" si="223"/>
      </c>
      <c r="EG43" s="590">
        <f t="shared" si="223"/>
      </c>
      <c r="EH43" s="589">
        <f t="shared" si="223"/>
      </c>
      <c r="EI43" s="589">
        <f t="shared" si="223"/>
      </c>
      <c r="EJ43" s="589">
        <f t="shared" si="223"/>
      </c>
      <c r="EK43" s="590">
        <f t="shared" si="223"/>
      </c>
      <c r="EM43" s="589"/>
      <c r="EN43" s="589"/>
      <c r="EO43" s="589"/>
      <c r="EP43" s="589"/>
      <c r="EQ43" s="589"/>
      <c r="ER43" s="589"/>
      <c r="ES43" s="589"/>
      <c r="ET43" s="589"/>
      <c r="EU43" s="589"/>
      <c r="EV43" s="589"/>
      <c r="EW43" s="589"/>
      <c r="EX43" s="589">
        <f t="shared" ref="EX43:FQ43" si="224">EX14/EX$17</f>
      </c>
      <c r="EY43" s="589">
        <f t="shared" si="224"/>
      </c>
      <c r="EZ43" s="589">
        <f t="shared" si="224"/>
      </c>
      <c r="FA43" s="589">
        <f t="shared" si="224"/>
      </c>
      <c r="FB43" s="589">
        <f t="shared" si="224"/>
      </c>
      <c r="FC43" s="589">
        <f t="shared" si="224"/>
      </c>
      <c r="FD43" s="589">
        <f t="shared" si="224"/>
      </c>
      <c r="FE43" s="589">
        <f t="shared" si="224"/>
      </c>
      <c r="FF43" s="589">
        <f t="shared" si="224"/>
      </c>
      <c r="FG43" s="589">
        <f t="shared" si="224"/>
      </c>
      <c r="FH43" s="589">
        <f t="shared" si="224"/>
      </c>
      <c r="FI43" s="589">
        <f t="shared" si="224"/>
      </c>
      <c r="FJ43" s="589">
        <f t="shared" si="224"/>
      </c>
      <c r="FK43" s="589">
        <f t="shared" si="224"/>
      </c>
      <c r="FL43" s="589">
        <f t="shared" si="224"/>
      </c>
      <c r="FM43" s="589">
        <f t="shared" si="224"/>
      </c>
      <c r="FN43" s="589">
        <f t="shared" si="224"/>
      </c>
      <c r="FO43" s="589">
        <f t="shared" si="224"/>
      </c>
      <c r="FP43" s="589">
        <f t="shared" si="224"/>
      </c>
      <c r="FQ43" s="589">
        <f t="shared" si="224"/>
      </c>
      <c r="FR43" s="589">
        <f t="shared" ref="FR43:FU43" si="225">FR14/FR$17</f>
      </c>
      <c r="FS43" s="589">
        <f t="shared" si="225"/>
      </c>
      <c r="FT43" s="589">
        <f t="shared" si="225"/>
      </c>
      <c r="FU43" s="589">
        <f t="shared" si="225"/>
      </c>
      <c r="FV43" s="589"/>
      <c r="FW43" s="589"/>
      <c r="FX43" s="589"/>
      <c r="FY43" s="589"/>
      <c r="FZ43" s="589"/>
      <c r="GA43" s="589"/>
      <c r="GB43" s="589"/>
      <c r="GC43" s="589"/>
      <c r="GD43" s="589"/>
      <c r="GE43" s="589"/>
      <c r="GF43" s="589"/>
      <c r="GG43" s="589"/>
      <c r="GH43" s="589"/>
      <c r="GI43" s="589">
        <f t="shared" ref="GI43:HA43" si="226">GI14/GI$17</f>
      </c>
      <c r="GJ43" s="589">
        <f t="shared" si="226"/>
      </c>
      <c r="GK43" s="589">
        <f t="shared" si="226"/>
      </c>
      <c r="GL43" s="589">
        <f t="shared" si="226"/>
      </c>
      <c r="GM43" s="589">
        <f t="shared" si="226"/>
      </c>
      <c r="GN43" s="589">
        <f t="shared" si="226"/>
      </c>
      <c r="GO43" s="589">
        <f t="shared" si="226"/>
      </c>
      <c r="GP43" s="589">
        <f t="shared" si="226"/>
      </c>
      <c r="GQ43" s="589">
        <f t="shared" si="226"/>
      </c>
      <c r="GR43" s="589">
        <f t="shared" si="226"/>
      </c>
      <c r="GS43" s="589">
        <f t="shared" si="226"/>
      </c>
      <c r="GT43" s="589">
        <f t="shared" si="226"/>
      </c>
      <c r="GU43" s="589">
        <f t="shared" si="226"/>
      </c>
      <c r="GV43" s="589">
        <f t="shared" si="226"/>
      </c>
      <c r="GW43" s="589">
        <f t="shared" si="226"/>
      </c>
      <c r="GX43" s="589">
        <f t="shared" si="226"/>
      </c>
      <c r="GY43" s="589">
        <f t="shared" si="226"/>
      </c>
      <c r="GZ43" s="589">
        <f t="shared" si="226"/>
      </c>
      <c r="HA43" s="589">
        <f t="shared" si="226"/>
      </c>
      <c r="HB43" s="589">
        <f t="shared" ref="HB43:HE43" si="227">HB14/HB$17</f>
      </c>
      <c r="HC43" s="589">
        <f t="shared" si="227"/>
      </c>
      <c r="HD43" s="589">
        <f t="shared" si="227"/>
      </c>
      <c r="HE43" s="589">
        <f t="shared" si="227"/>
      </c>
    </row>
    <row r="44" spans="1:213" s="11" customFormat="1" ht="10.199999999999999">
      <c r="A44" s="714" t="s">
        <v>667</v>
      </c>
      <c r="B44" s="715"/>
      <c r="C44" s="715"/>
      <c r="D44" s="715"/>
      <c r="E44" s="716"/>
      <c r="F44" s="715"/>
      <c r="G44" s="715"/>
      <c r="H44" s="715"/>
      <c r="I44" s="716"/>
      <c r="J44" s="715"/>
      <c r="K44" s="715"/>
      <c r="L44" s="715"/>
      <c r="M44" s="716"/>
      <c r="N44" s="715"/>
      <c r="O44" s="715"/>
      <c r="P44" s="715"/>
      <c r="Q44" s="716"/>
      <c r="R44" s="715"/>
      <c r="S44" s="715"/>
      <c r="T44" s="715"/>
      <c r="U44" s="716"/>
      <c r="V44" s="715"/>
      <c r="W44" s="715"/>
      <c r="X44" s="715"/>
      <c r="Y44" s="716"/>
      <c r="Z44" s="715"/>
      <c r="AA44" s="715"/>
      <c r="AB44" s="715"/>
      <c r="AC44" s="716"/>
      <c r="AD44" s="715"/>
      <c r="AE44" s="715"/>
      <c r="AF44" s="715"/>
      <c r="AG44" s="716"/>
      <c r="AH44" s="715"/>
      <c r="AI44" s="715"/>
      <c r="AJ44" s="715"/>
      <c r="AK44" s="716"/>
      <c r="AL44" s="715"/>
      <c r="AM44" s="715"/>
      <c r="AN44" s="715"/>
      <c r="AO44" s="716"/>
      <c r="AP44" s="715"/>
      <c r="AQ44" s="715"/>
      <c r="AR44" s="715"/>
      <c r="AS44" s="716"/>
      <c r="AT44" s="715">
        <f t="shared" ref="AT44:BY44" si="228">AT15/AT$17</f>
      </c>
      <c r="AU44" s="715">
        <f t="shared" si="228"/>
      </c>
      <c r="AV44" s="715">
        <f t="shared" si="228"/>
      </c>
      <c r="AW44" s="716">
        <f t="shared" si="228"/>
      </c>
      <c r="AX44" s="715">
        <f t="shared" si="228"/>
      </c>
      <c r="AY44" s="715">
        <f t="shared" si="228"/>
      </c>
      <c r="AZ44" s="715">
        <f t="shared" si="228"/>
      </c>
      <c r="BA44" s="716">
        <f t="shared" si="228"/>
      </c>
      <c r="BB44" s="715">
        <f t="shared" si="228"/>
      </c>
      <c r="BC44" s="715">
        <f t="shared" si="228"/>
      </c>
      <c r="BD44" s="715">
        <f t="shared" si="228"/>
      </c>
      <c r="BE44" s="716">
        <f t="shared" si="228"/>
      </c>
      <c r="BF44" s="715">
        <f t="shared" si="228"/>
      </c>
      <c r="BG44" s="715">
        <f t="shared" si="228"/>
      </c>
      <c r="BH44" s="715">
        <f t="shared" si="228"/>
      </c>
      <c r="BI44" s="716">
        <f t="shared" si="228"/>
      </c>
      <c r="BJ44" s="715">
        <f t="shared" si="228"/>
      </c>
      <c r="BK44" s="715">
        <f t="shared" si="228"/>
      </c>
      <c r="BL44" s="715">
        <f t="shared" si="228"/>
      </c>
      <c r="BM44" s="716">
        <f t="shared" si="228"/>
      </c>
      <c r="BN44" s="715">
        <f t="shared" si="228"/>
      </c>
      <c r="BO44" s="715">
        <f t="shared" si="228"/>
      </c>
      <c r="BP44" s="715">
        <f t="shared" si="228"/>
      </c>
      <c r="BQ44" s="716">
        <f t="shared" si="228"/>
      </c>
      <c r="BR44" s="715">
        <f t="shared" si="228"/>
      </c>
      <c r="BS44" s="715">
        <f t="shared" si="228"/>
      </c>
      <c r="BT44" s="715">
        <f t="shared" si="228"/>
      </c>
      <c r="BU44" s="716">
        <f t="shared" si="228"/>
      </c>
      <c r="BV44" s="715">
        <f t="shared" si="228"/>
      </c>
      <c r="BW44" s="715">
        <f t="shared" si="228"/>
      </c>
      <c r="BX44" s="715">
        <f t="shared" si="228"/>
      </c>
      <c r="BY44" s="716">
        <f t="shared" si="228"/>
      </c>
      <c r="BZ44" s="715">
        <f t="shared" ref="BZ44:DE44" si="229">BZ15/BZ$17</f>
      </c>
      <c r="CA44" s="715">
        <f t="shared" si="229"/>
      </c>
      <c r="CB44" s="715">
        <f t="shared" si="229"/>
      </c>
      <c r="CC44" s="716">
        <f t="shared" si="229"/>
      </c>
      <c r="CD44" s="715">
        <f t="shared" si="229"/>
      </c>
      <c r="CE44" s="715">
        <f t="shared" si="229"/>
      </c>
      <c r="CF44" s="715">
        <f t="shared" si="229"/>
      </c>
      <c r="CG44" s="716">
        <f t="shared" si="229"/>
      </c>
      <c r="CH44" s="715">
        <f t="shared" si="229"/>
      </c>
      <c r="CI44" s="715">
        <f t="shared" si="229"/>
      </c>
      <c r="CJ44" s="715">
        <f t="shared" si="229"/>
      </c>
      <c r="CK44" s="716">
        <f t="shared" si="229"/>
      </c>
      <c r="CL44" s="715">
        <f t="shared" si="229"/>
      </c>
      <c r="CM44" s="715">
        <f t="shared" si="229"/>
      </c>
      <c r="CN44" s="715">
        <f t="shared" si="229"/>
      </c>
      <c r="CO44" s="716">
        <f t="shared" si="229"/>
      </c>
      <c r="CP44" s="715">
        <f t="shared" si="229"/>
      </c>
      <c r="CQ44" s="715">
        <f t="shared" si="229"/>
      </c>
      <c r="CR44" s="715">
        <f t="shared" si="229"/>
      </c>
      <c r="CS44" s="716">
        <f t="shared" si="229"/>
      </c>
      <c r="CT44" s="715">
        <f t="shared" si="229"/>
      </c>
      <c r="CU44" s="715">
        <f t="shared" si="229"/>
      </c>
      <c r="CV44" s="715">
        <f t="shared" si="229"/>
      </c>
      <c r="CW44" s="716">
        <f t="shared" si="229"/>
      </c>
      <c r="CX44" s="717">
        <f t="shared" si="229"/>
      </c>
      <c r="CY44" s="715">
        <f t="shared" si="229"/>
      </c>
      <c r="CZ44" s="715">
        <f t="shared" si="229"/>
      </c>
      <c r="DA44" s="716">
        <f t="shared" si="229"/>
      </c>
      <c r="DB44" s="715">
        <f t="shared" si="229"/>
      </c>
      <c r="DC44" s="715">
        <f t="shared" si="229"/>
      </c>
      <c r="DD44" s="715">
        <f t="shared" si="229"/>
      </c>
      <c r="DE44" s="716">
        <f t="shared" si="229"/>
      </c>
      <c r="DF44" s="715">
        <f t="shared" ref="DF44:DU44" si="230">DF15/DF$17</f>
      </c>
      <c r="DG44" s="715">
        <f t="shared" si="230"/>
      </c>
      <c r="DH44" s="715">
        <f t="shared" si="230"/>
      </c>
      <c r="DI44" s="716">
        <f t="shared" si="230"/>
      </c>
      <c r="DJ44" s="715">
        <f t="shared" si="230"/>
      </c>
      <c r="DK44" s="715">
        <f t="shared" si="230"/>
      </c>
      <c r="DL44" s="715">
        <f t="shared" si="230"/>
      </c>
      <c r="DM44" s="716">
        <f t="shared" si="230"/>
      </c>
      <c r="DN44" s="715">
        <f t="shared" si="230"/>
      </c>
      <c r="DO44" s="715">
        <f t="shared" si="230"/>
      </c>
      <c r="DP44" s="715">
        <f t="shared" si="230"/>
      </c>
      <c r="DQ44" s="716">
        <f t="shared" si="230"/>
      </c>
      <c r="DR44" s="715">
        <f t="shared" si="230"/>
      </c>
      <c r="DS44" s="715">
        <f t="shared" si="230"/>
      </c>
      <c r="DT44" s="715">
        <f t="shared" si="230"/>
      </c>
      <c r="DU44" s="716">
        <f t="shared" si="230"/>
      </c>
      <c r="DV44" s="715">
        <f t="shared" ref="DV44:EK44" si="231">DV15/DV$17</f>
      </c>
      <c r="DW44" s="715">
        <f t="shared" si="231"/>
      </c>
      <c r="DX44" s="715">
        <f t="shared" si="231"/>
      </c>
      <c r="DY44" s="716">
        <f t="shared" si="231"/>
      </c>
      <c r="DZ44" s="715">
        <f t="shared" si="231"/>
      </c>
      <c r="EA44" s="715">
        <f t="shared" si="231"/>
      </c>
      <c r="EB44" s="715">
        <f t="shared" si="231"/>
      </c>
      <c r="EC44" s="716">
        <f t="shared" si="231"/>
      </c>
      <c r="ED44" s="715">
        <f t="shared" si="231"/>
      </c>
      <c r="EE44" s="715">
        <f t="shared" si="231"/>
      </c>
      <c r="EF44" s="715">
        <f t="shared" si="231"/>
      </c>
      <c r="EG44" s="716">
        <f t="shared" si="231"/>
      </c>
      <c r="EH44" s="715">
        <f t="shared" si="231"/>
      </c>
      <c r="EI44" s="715">
        <f t="shared" si="231"/>
      </c>
      <c r="EJ44" s="715">
        <f t="shared" si="231"/>
      </c>
      <c r="EK44" s="716">
        <f t="shared" si="231"/>
      </c>
      <c r="EM44" s="715"/>
      <c r="EN44" s="715"/>
      <c r="EO44" s="715"/>
      <c r="EP44" s="715"/>
      <c r="EQ44" s="715"/>
      <c r="ER44" s="715"/>
      <c r="ES44" s="715"/>
      <c r="ET44" s="715"/>
      <c r="EU44" s="715"/>
      <c r="EV44" s="715"/>
      <c r="EW44" s="715"/>
      <c r="EX44" s="715">
        <f t="shared" ref="EX44:FQ44" si="232">EX15/EX$17</f>
      </c>
      <c r="EY44" s="715">
        <f t="shared" si="232"/>
      </c>
      <c r="EZ44" s="715">
        <f t="shared" si="232"/>
      </c>
      <c r="FA44" s="715">
        <f t="shared" si="232"/>
      </c>
      <c r="FB44" s="715">
        <f t="shared" si="232"/>
      </c>
      <c r="FC44" s="715">
        <f t="shared" si="232"/>
      </c>
      <c r="FD44" s="715">
        <f t="shared" si="232"/>
      </c>
      <c r="FE44" s="715">
        <f t="shared" si="232"/>
      </c>
      <c r="FF44" s="715">
        <f t="shared" si="232"/>
      </c>
      <c r="FG44" s="715">
        <f t="shared" si="232"/>
      </c>
      <c r="FH44" s="715">
        <f t="shared" si="232"/>
      </c>
      <c r="FI44" s="715">
        <f t="shared" si="232"/>
      </c>
      <c r="FJ44" s="715">
        <f t="shared" si="232"/>
      </c>
      <c r="FK44" s="715">
        <f t="shared" si="232"/>
      </c>
      <c r="FL44" s="715">
        <f t="shared" si="232"/>
      </c>
      <c r="FM44" s="715">
        <f t="shared" si="232"/>
      </c>
      <c r="FN44" s="715">
        <f t="shared" si="232"/>
      </c>
      <c r="FO44" s="715">
        <f t="shared" si="232"/>
      </c>
      <c r="FP44" s="715">
        <f t="shared" si="232"/>
      </c>
      <c r="FQ44" s="715">
        <f t="shared" si="232"/>
      </c>
      <c r="FR44" s="715">
        <f t="shared" ref="FR44:FU44" si="233">FR15/FR$17</f>
      </c>
      <c r="FS44" s="715">
        <f t="shared" si="233"/>
      </c>
      <c r="FT44" s="715">
        <f t="shared" si="233"/>
      </c>
      <c r="FU44" s="715">
        <f t="shared" si="233"/>
      </c>
      <c r="FV44" s="715"/>
      <c r="FW44" s="715"/>
      <c r="FX44" s="715"/>
      <c r="FY44" s="715"/>
      <c r="FZ44" s="715"/>
      <c r="GA44" s="715"/>
      <c r="GB44" s="715"/>
      <c r="GC44" s="715"/>
      <c r="GD44" s="715"/>
      <c r="GE44" s="715"/>
      <c r="GF44" s="715"/>
      <c r="GG44" s="715"/>
      <c r="GH44" s="715"/>
      <c r="GI44" s="715">
        <f t="shared" ref="GI44:HA44" si="234">GI15/GI$17</f>
      </c>
      <c r="GJ44" s="715">
        <f t="shared" si="234"/>
      </c>
      <c r="GK44" s="715">
        <f t="shared" si="234"/>
      </c>
      <c r="GL44" s="715">
        <f t="shared" si="234"/>
      </c>
      <c r="GM44" s="715">
        <f t="shared" si="234"/>
      </c>
      <c r="GN44" s="715">
        <f t="shared" si="234"/>
      </c>
      <c r="GO44" s="715">
        <f t="shared" si="234"/>
      </c>
      <c r="GP44" s="715">
        <f t="shared" si="234"/>
      </c>
      <c r="GQ44" s="715">
        <f t="shared" si="234"/>
      </c>
      <c r="GR44" s="715">
        <f t="shared" si="234"/>
      </c>
      <c r="GS44" s="715">
        <f t="shared" si="234"/>
      </c>
      <c r="GT44" s="715">
        <f t="shared" si="234"/>
      </c>
      <c r="GU44" s="715">
        <f t="shared" si="234"/>
      </c>
      <c r="GV44" s="715">
        <f t="shared" si="234"/>
      </c>
      <c r="GW44" s="715">
        <f t="shared" si="234"/>
      </c>
      <c r="GX44" s="715">
        <f t="shared" si="234"/>
      </c>
      <c r="GY44" s="715">
        <f t="shared" si="234"/>
      </c>
      <c r="GZ44" s="715">
        <f t="shared" si="234"/>
      </c>
      <c r="HA44" s="715">
        <f t="shared" si="234"/>
      </c>
      <c r="HB44" s="715">
        <f t="shared" ref="HB44:HE44" si="235">HB15/HB$17</f>
      </c>
      <c r="HC44" s="715">
        <f t="shared" si="235"/>
      </c>
      <c r="HD44" s="715">
        <f t="shared" si="235"/>
      </c>
      <c r="HE44" s="715">
        <f t="shared" si="235"/>
      </c>
    </row>
    <row r="45" spans="1:213" s="11" customFormat="1" ht="10.199999999999999">
      <c r="A45" s="587" t="s">
        <v>81</v>
      </c>
      <c r="B45" s="589"/>
      <c r="C45" s="589"/>
      <c r="D45" s="589"/>
      <c r="E45" s="590"/>
      <c r="F45" s="589"/>
      <c r="G45" s="589"/>
      <c r="H45" s="589"/>
      <c r="I45" s="590"/>
      <c r="J45" s="589"/>
      <c r="K45" s="589"/>
      <c r="L45" s="589"/>
      <c r="M45" s="590"/>
      <c r="N45" s="589"/>
      <c r="O45" s="589"/>
      <c r="P45" s="589"/>
      <c r="Q45" s="590"/>
      <c r="R45" s="589"/>
      <c r="S45" s="589"/>
      <c r="T45" s="589"/>
      <c r="U45" s="590"/>
      <c r="V45" s="589"/>
      <c r="W45" s="589"/>
      <c r="X45" s="589"/>
      <c r="Y45" s="590"/>
      <c r="Z45" s="589"/>
      <c r="AA45" s="589"/>
      <c r="AB45" s="589"/>
      <c r="AC45" s="590"/>
      <c r="AD45" s="589"/>
      <c r="AE45" s="589"/>
      <c r="AF45" s="589"/>
      <c r="AG45" s="590"/>
      <c r="AH45" s="589"/>
      <c r="AI45" s="589"/>
      <c r="AJ45" s="589"/>
      <c r="AK45" s="590"/>
      <c r="AL45" s="589"/>
      <c r="AM45" s="589"/>
      <c r="AN45" s="589"/>
      <c r="AO45" s="590"/>
      <c r="AP45" s="589"/>
      <c r="AQ45" s="589"/>
      <c r="AR45" s="589"/>
      <c r="AS45" s="590"/>
      <c r="AT45" s="589">
        <f t="shared" ref="AT45:BY45" si="236">AT16/AT$17</f>
      </c>
      <c r="AU45" s="589">
        <f t="shared" si="236"/>
      </c>
      <c r="AV45" s="589">
        <f t="shared" si="236"/>
      </c>
      <c r="AW45" s="590">
        <f t="shared" si="236"/>
      </c>
      <c r="AX45" s="589">
        <f t="shared" si="236"/>
      </c>
      <c r="AY45" s="589">
        <f t="shared" si="236"/>
      </c>
      <c r="AZ45" s="589">
        <f t="shared" si="236"/>
      </c>
      <c r="BA45" s="590">
        <f t="shared" si="236"/>
      </c>
      <c r="BB45" s="589">
        <f t="shared" si="236"/>
      </c>
      <c r="BC45" s="589">
        <f t="shared" si="236"/>
      </c>
      <c r="BD45" s="589">
        <f t="shared" si="236"/>
      </c>
      <c r="BE45" s="590">
        <f t="shared" si="236"/>
      </c>
      <c r="BF45" s="589">
        <f t="shared" si="236"/>
      </c>
      <c r="BG45" s="589">
        <f t="shared" si="236"/>
      </c>
      <c r="BH45" s="589">
        <f t="shared" si="236"/>
      </c>
      <c r="BI45" s="590">
        <f t="shared" si="236"/>
      </c>
      <c r="BJ45" s="589">
        <f t="shared" si="236"/>
      </c>
      <c r="BK45" s="589">
        <f t="shared" si="236"/>
      </c>
      <c r="BL45" s="589">
        <f t="shared" si="236"/>
      </c>
      <c r="BM45" s="590">
        <f t="shared" si="236"/>
      </c>
      <c r="BN45" s="589">
        <f t="shared" si="236"/>
      </c>
      <c r="BO45" s="589">
        <f t="shared" si="236"/>
      </c>
      <c r="BP45" s="589">
        <f t="shared" si="236"/>
      </c>
      <c r="BQ45" s="590">
        <f t="shared" si="236"/>
      </c>
      <c r="BR45" s="589">
        <f t="shared" si="236"/>
      </c>
      <c r="BS45" s="589">
        <f t="shared" si="236"/>
      </c>
      <c r="BT45" s="589">
        <f t="shared" si="236"/>
      </c>
      <c r="BU45" s="590">
        <f t="shared" si="236"/>
      </c>
      <c r="BV45" s="589">
        <f t="shared" si="236"/>
      </c>
      <c r="BW45" s="589">
        <f t="shared" si="236"/>
      </c>
      <c r="BX45" s="589">
        <f t="shared" si="236"/>
      </c>
      <c r="BY45" s="590">
        <f t="shared" si="236"/>
      </c>
      <c r="BZ45" s="589">
        <f t="shared" ref="BZ45:DE45" si="237">BZ16/BZ$17</f>
      </c>
      <c r="CA45" s="589">
        <f t="shared" si="237"/>
      </c>
      <c r="CB45" s="589">
        <f t="shared" si="237"/>
      </c>
      <c r="CC45" s="590">
        <f t="shared" si="237"/>
      </c>
      <c r="CD45" s="589">
        <f t="shared" si="237"/>
      </c>
      <c r="CE45" s="589">
        <f t="shared" si="237"/>
      </c>
      <c r="CF45" s="589">
        <f t="shared" si="237"/>
      </c>
      <c r="CG45" s="590">
        <f t="shared" si="237"/>
      </c>
      <c r="CH45" s="589">
        <f t="shared" si="237"/>
      </c>
      <c r="CI45" s="589">
        <f t="shared" si="237"/>
      </c>
      <c r="CJ45" s="589">
        <f t="shared" si="237"/>
      </c>
      <c r="CK45" s="590">
        <f t="shared" si="237"/>
      </c>
      <c r="CL45" s="589">
        <f t="shared" si="237"/>
      </c>
      <c r="CM45" s="589">
        <f t="shared" si="237"/>
      </c>
      <c r="CN45" s="589">
        <f t="shared" si="237"/>
      </c>
      <c r="CO45" s="590">
        <f t="shared" si="237"/>
      </c>
      <c r="CP45" s="589">
        <f t="shared" si="237"/>
      </c>
      <c r="CQ45" s="589">
        <f t="shared" si="237"/>
      </c>
      <c r="CR45" s="589">
        <f t="shared" si="237"/>
      </c>
      <c r="CS45" s="590">
        <f t="shared" si="237"/>
      </c>
      <c r="CT45" s="589">
        <f t="shared" si="237"/>
      </c>
      <c r="CU45" s="589">
        <f t="shared" si="237"/>
      </c>
      <c r="CV45" s="589">
        <f t="shared" si="237"/>
      </c>
      <c r="CW45" s="590">
        <f t="shared" si="237"/>
      </c>
      <c r="CX45" s="718">
        <f t="shared" si="237"/>
      </c>
      <c r="CY45" s="589">
        <f t="shared" si="237"/>
      </c>
      <c r="CZ45" s="589">
        <f t="shared" si="237"/>
      </c>
      <c r="DA45" s="590">
        <f t="shared" si="237"/>
      </c>
      <c r="DB45" s="589">
        <f t="shared" si="237"/>
      </c>
      <c r="DC45" s="589">
        <f t="shared" si="237"/>
      </c>
      <c r="DD45" s="589">
        <f t="shared" si="237"/>
      </c>
      <c r="DE45" s="590">
        <f t="shared" si="237"/>
      </c>
      <c r="DF45" s="589">
        <f t="shared" ref="DF45:DU45" si="238">DF16/DF$17</f>
      </c>
      <c r="DG45" s="589">
        <f t="shared" si="238"/>
      </c>
      <c r="DH45" s="589">
        <f t="shared" si="238"/>
      </c>
      <c r="DI45" s="590">
        <f t="shared" si="238"/>
      </c>
      <c r="DJ45" s="589">
        <f t="shared" si="238"/>
      </c>
      <c r="DK45" s="589">
        <f t="shared" si="238"/>
      </c>
      <c r="DL45" s="589">
        <f t="shared" si="238"/>
      </c>
      <c r="DM45" s="590">
        <f t="shared" si="238"/>
      </c>
      <c r="DN45" s="589">
        <f t="shared" si="238"/>
      </c>
      <c r="DO45" s="589">
        <f t="shared" si="238"/>
      </c>
      <c r="DP45" s="589">
        <f t="shared" si="238"/>
      </c>
      <c r="DQ45" s="590">
        <f t="shared" si="238"/>
      </c>
      <c r="DR45" s="589">
        <f t="shared" si="238"/>
      </c>
      <c r="DS45" s="589">
        <f t="shared" si="238"/>
      </c>
      <c r="DT45" s="589">
        <f t="shared" si="238"/>
      </c>
      <c r="DU45" s="590">
        <f t="shared" si="238"/>
      </c>
      <c r="DV45" s="589">
        <f t="shared" ref="DV45:EK45" si="239">DV16/DV$17</f>
      </c>
      <c r="DW45" s="589">
        <f t="shared" si="239"/>
      </c>
      <c r="DX45" s="589">
        <f t="shared" si="239"/>
      </c>
      <c r="DY45" s="590">
        <f t="shared" si="239"/>
      </c>
      <c r="DZ45" s="589">
        <f t="shared" si="239"/>
      </c>
      <c r="EA45" s="589">
        <f t="shared" si="239"/>
      </c>
      <c r="EB45" s="589">
        <f t="shared" si="239"/>
      </c>
      <c r="EC45" s="590">
        <f t="shared" si="239"/>
      </c>
      <c r="ED45" s="589">
        <f t="shared" si="239"/>
      </c>
      <c r="EE45" s="589">
        <f t="shared" si="239"/>
      </c>
      <c r="EF45" s="589">
        <f t="shared" si="239"/>
      </c>
      <c r="EG45" s="590">
        <f t="shared" si="239"/>
      </c>
      <c r="EH45" s="589">
        <f t="shared" si="239"/>
      </c>
      <c r="EI45" s="589">
        <f t="shared" si="239"/>
      </c>
      <c r="EJ45" s="589">
        <f t="shared" si="239"/>
      </c>
      <c r="EK45" s="590">
        <f t="shared" si="239"/>
      </c>
      <c r="EM45" s="589"/>
      <c r="EN45" s="589"/>
      <c r="EO45" s="589"/>
      <c r="EP45" s="589"/>
      <c r="EQ45" s="589"/>
      <c r="ER45" s="589"/>
      <c r="ES45" s="589"/>
      <c r="ET45" s="589"/>
      <c r="EU45" s="589"/>
      <c r="EV45" s="589"/>
      <c r="EW45" s="589"/>
      <c r="EX45" s="589">
        <f t="shared" ref="EX45:FQ45" si="240">EX16/EX$17</f>
      </c>
      <c r="EY45" s="589">
        <f t="shared" si="240"/>
      </c>
      <c r="EZ45" s="589">
        <f t="shared" si="240"/>
      </c>
      <c r="FA45" s="589">
        <f t="shared" si="240"/>
      </c>
      <c r="FB45" s="589">
        <f t="shared" si="240"/>
      </c>
      <c r="FC45" s="589">
        <f t="shared" si="240"/>
      </c>
      <c r="FD45" s="589">
        <f t="shared" si="240"/>
      </c>
      <c r="FE45" s="589">
        <f t="shared" si="240"/>
      </c>
      <c r="FF45" s="589">
        <f t="shared" si="240"/>
      </c>
      <c r="FG45" s="589">
        <f t="shared" si="240"/>
      </c>
      <c r="FH45" s="589">
        <f t="shared" si="240"/>
      </c>
      <c r="FI45" s="589">
        <f t="shared" si="240"/>
      </c>
      <c r="FJ45" s="589">
        <f t="shared" si="240"/>
      </c>
      <c r="FK45" s="589">
        <f t="shared" si="240"/>
      </c>
      <c r="FL45" s="589">
        <f t="shared" si="240"/>
      </c>
      <c r="FM45" s="589">
        <f t="shared" si="240"/>
      </c>
      <c r="FN45" s="589">
        <f t="shared" si="240"/>
      </c>
      <c r="FO45" s="589">
        <f t="shared" si="240"/>
      </c>
      <c r="FP45" s="589">
        <f t="shared" si="240"/>
      </c>
      <c r="FQ45" s="589">
        <f t="shared" si="240"/>
      </c>
      <c r="FR45" s="589">
        <f t="shared" ref="FR45:FU45" si="241">FR16/FR$17</f>
      </c>
      <c r="FS45" s="589">
        <f t="shared" si="241"/>
      </c>
      <c r="FT45" s="589">
        <f t="shared" si="241"/>
      </c>
      <c r="FU45" s="589">
        <f t="shared" si="241"/>
      </c>
      <c r="FV45" s="589"/>
      <c r="FW45" s="589"/>
      <c r="FX45" s="589"/>
      <c r="FY45" s="589"/>
      <c r="FZ45" s="589"/>
      <c r="GA45" s="589"/>
      <c r="GB45" s="589"/>
      <c r="GC45" s="589"/>
      <c r="GD45" s="589"/>
      <c r="GE45" s="589"/>
      <c r="GF45" s="589"/>
      <c r="GG45" s="589"/>
      <c r="GH45" s="589"/>
      <c r="GI45" s="589">
        <f t="shared" ref="GI45:HA45" si="242">GI16/GI$17</f>
      </c>
      <c r="GJ45" s="589">
        <f t="shared" si="242"/>
      </c>
      <c r="GK45" s="589">
        <f t="shared" si="242"/>
      </c>
      <c r="GL45" s="589">
        <f t="shared" si="242"/>
      </c>
      <c r="GM45" s="589">
        <f t="shared" si="242"/>
      </c>
      <c r="GN45" s="589">
        <f t="shared" si="242"/>
      </c>
      <c r="GO45" s="589">
        <f t="shared" si="242"/>
      </c>
      <c r="GP45" s="589">
        <f t="shared" si="242"/>
      </c>
      <c r="GQ45" s="589">
        <f t="shared" si="242"/>
      </c>
      <c r="GR45" s="589">
        <f t="shared" si="242"/>
      </c>
      <c r="GS45" s="589">
        <f t="shared" si="242"/>
      </c>
      <c r="GT45" s="589">
        <f t="shared" si="242"/>
      </c>
      <c r="GU45" s="589">
        <f t="shared" si="242"/>
      </c>
      <c r="GV45" s="589">
        <f t="shared" si="242"/>
      </c>
      <c r="GW45" s="589">
        <f t="shared" si="242"/>
      </c>
      <c r="GX45" s="589">
        <f t="shared" si="242"/>
      </c>
      <c r="GY45" s="589">
        <f t="shared" si="242"/>
      </c>
      <c r="GZ45" s="589">
        <f t="shared" si="242"/>
      </c>
      <c r="HA45" s="589">
        <f t="shared" si="242"/>
      </c>
      <c r="HB45" s="589">
        <f t="shared" ref="HB45:HE45" si="243">HB16/HB$17</f>
      </c>
      <c r="HC45" s="589">
        <f t="shared" si="243"/>
      </c>
      <c r="HD45" s="589">
        <f t="shared" si="243"/>
      </c>
      <c r="HE45" s="589">
        <f t="shared" si="243"/>
      </c>
    </row>
    <row r="46" spans="1:213" s="16" customFormat="1" ht="10.199999999999999">
      <c r="A46" s="592" t="s">
        <v>1246</v>
      </c>
      <c r="B46" s="594"/>
      <c r="C46" s="594"/>
      <c r="D46" s="594"/>
      <c r="E46" s="595"/>
      <c r="F46" s="594"/>
      <c r="G46" s="594"/>
      <c r="H46" s="594"/>
      <c r="I46" s="595"/>
      <c r="J46" s="594"/>
      <c r="K46" s="594"/>
      <c r="L46" s="594"/>
      <c r="M46" s="595"/>
      <c r="N46" s="594"/>
      <c r="O46" s="594"/>
      <c r="P46" s="594"/>
      <c r="Q46" s="595"/>
      <c r="R46" s="594"/>
      <c r="S46" s="594"/>
      <c r="T46" s="594"/>
      <c r="U46" s="595"/>
      <c r="V46" s="594"/>
      <c r="W46" s="594"/>
      <c r="X46" s="594"/>
      <c r="Y46" s="595"/>
      <c r="Z46" s="594"/>
      <c r="AA46" s="594"/>
      <c r="AB46" s="594"/>
      <c r="AC46" s="595"/>
      <c r="AD46" s="594"/>
      <c r="AE46" s="594"/>
      <c r="AF46" s="594"/>
      <c r="AG46" s="595"/>
      <c r="AH46" s="594"/>
      <c r="AI46" s="594"/>
      <c r="AJ46" s="594"/>
      <c r="AK46" s="595"/>
      <c r="AL46" s="594"/>
      <c r="AM46" s="594"/>
      <c r="AN46" s="594"/>
      <c r="AO46" s="595"/>
      <c r="AP46" s="594"/>
      <c r="AQ46" s="594"/>
      <c r="AR46" s="594"/>
      <c r="AS46" s="595"/>
      <c r="AT46" s="594">
        <f t="shared" ref="AT46:BY46" si="244">AT17/AT$17</f>
      </c>
      <c r="AU46" s="594">
        <f t="shared" si="244"/>
      </c>
      <c r="AV46" s="594">
        <f t="shared" si="244"/>
      </c>
      <c r="AW46" s="595">
        <f t="shared" si="244"/>
      </c>
      <c r="AX46" s="594">
        <f t="shared" si="244"/>
      </c>
      <c r="AY46" s="594">
        <f t="shared" si="244"/>
      </c>
      <c r="AZ46" s="594">
        <f t="shared" si="244"/>
      </c>
      <c r="BA46" s="595">
        <f t="shared" si="244"/>
      </c>
      <c r="BB46" s="594">
        <f t="shared" si="244"/>
      </c>
      <c r="BC46" s="594">
        <f t="shared" si="244"/>
      </c>
      <c r="BD46" s="594">
        <f t="shared" si="244"/>
      </c>
      <c r="BE46" s="595">
        <f t="shared" si="244"/>
      </c>
      <c r="BF46" s="594">
        <f t="shared" si="244"/>
      </c>
      <c r="BG46" s="594">
        <f t="shared" si="244"/>
      </c>
      <c r="BH46" s="594">
        <f t="shared" si="244"/>
      </c>
      <c r="BI46" s="595">
        <f t="shared" si="244"/>
      </c>
      <c r="BJ46" s="594">
        <f t="shared" si="244"/>
      </c>
      <c r="BK46" s="594">
        <f t="shared" si="244"/>
      </c>
      <c r="BL46" s="594">
        <f t="shared" si="244"/>
      </c>
      <c r="BM46" s="595">
        <f t="shared" si="244"/>
      </c>
      <c r="BN46" s="594">
        <f t="shared" si="244"/>
      </c>
      <c r="BO46" s="594">
        <f t="shared" si="244"/>
      </c>
      <c r="BP46" s="594">
        <f t="shared" si="244"/>
      </c>
      <c r="BQ46" s="595">
        <f t="shared" si="244"/>
      </c>
      <c r="BR46" s="594">
        <f t="shared" si="244"/>
      </c>
      <c r="BS46" s="594">
        <f t="shared" si="244"/>
      </c>
      <c r="BT46" s="594">
        <f t="shared" si="244"/>
      </c>
      <c r="BU46" s="595">
        <f t="shared" si="244"/>
      </c>
      <c r="BV46" s="594">
        <f t="shared" si="244"/>
      </c>
      <c r="BW46" s="594">
        <f t="shared" si="244"/>
      </c>
      <c r="BX46" s="594">
        <f t="shared" si="244"/>
      </c>
      <c r="BY46" s="595">
        <f t="shared" si="244"/>
      </c>
      <c r="BZ46" s="594">
        <f t="shared" ref="BZ46:DE46" si="245">BZ17/BZ$17</f>
      </c>
      <c r="CA46" s="594">
        <f t="shared" si="245"/>
      </c>
      <c r="CB46" s="594">
        <f t="shared" si="245"/>
      </c>
      <c r="CC46" s="595">
        <f t="shared" si="245"/>
      </c>
      <c r="CD46" s="594">
        <f t="shared" si="245"/>
      </c>
      <c r="CE46" s="594">
        <f t="shared" si="245"/>
      </c>
      <c r="CF46" s="594">
        <f t="shared" si="245"/>
      </c>
      <c r="CG46" s="595">
        <f t="shared" si="245"/>
      </c>
      <c r="CH46" s="594">
        <f t="shared" si="245"/>
      </c>
      <c r="CI46" s="594">
        <f t="shared" si="245"/>
      </c>
      <c r="CJ46" s="594">
        <f t="shared" si="245"/>
      </c>
      <c r="CK46" s="595">
        <f t="shared" si="245"/>
      </c>
      <c r="CL46" s="594">
        <f t="shared" si="245"/>
      </c>
      <c r="CM46" s="594">
        <f t="shared" si="245"/>
      </c>
      <c r="CN46" s="594">
        <f t="shared" si="245"/>
      </c>
      <c r="CO46" s="595">
        <f t="shared" si="245"/>
      </c>
      <c r="CP46" s="594">
        <f t="shared" si="245"/>
      </c>
      <c r="CQ46" s="594">
        <f t="shared" si="245"/>
      </c>
      <c r="CR46" s="594">
        <f t="shared" si="245"/>
      </c>
      <c r="CS46" s="595">
        <f t="shared" si="245"/>
      </c>
      <c r="CT46" s="594">
        <f t="shared" si="245"/>
      </c>
      <c r="CU46" s="594">
        <f t="shared" si="245"/>
      </c>
      <c r="CV46" s="594">
        <f t="shared" si="245"/>
      </c>
      <c r="CW46" s="595">
        <f t="shared" si="245"/>
      </c>
      <c r="CX46" s="719">
        <f t="shared" si="245"/>
      </c>
      <c r="CY46" s="594">
        <f t="shared" si="245"/>
      </c>
      <c r="CZ46" s="594">
        <f t="shared" si="245"/>
      </c>
      <c r="DA46" s="595">
        <f t="shared" si="245"/>
      </c>
      <c r="DB46" s="594">
        <f t="shared" si="245"/>
      </c>
      <c r="DC46" s="594">
        <f t="shared" si="245"/>
      </c>
      <c r="DD46" s="594">
        <f t="shared" si="245"/>
      </c>
      <c r="DE46" s="595">
        <f t="shared" si="245"/>
      </c>
      <c r="DF46" s="594">
        <f t="shared" ref="DF46:DU46" si="246">DF17/DF$17</f>
      </c>
      <c r="DG46" s="594">
        <f t="shared" si="246"/>
      </c>
      <c r="DH46" s="594">
        <f t="shared" si="246"/>
      </c>
      <c r="DI46" s="595">
        <f t="shared" si="246"/>
      </c>
      <c r="DJ46" s="594">
        <f t="shared" si="246"/>
      </c>
      <c r="DK46" s="594">
        <f t="shared" si="246"/>
      </c>
      <c r="DL46" s="594">
        <f t="shared" si="246"/>
      </c>
      <c r="DM46" s="595">
        <f t="shared" si="246"/>
      </c>
      <c r="DN46" s="594">
        <f t="shared" si="246"/>
      </c>
      <c r="DO46" s="594">
        <f t="shared" si="246"/>
      </c>
      <c r="DP46" s="594">
        <f t="shared" si="246"/>
      </c>
      <c r="DQ46" s="595">
        <f t="shared" si="246"/>
      </c>
      <c r="DR46" s="594">
        <f t="shared" si="246"/>
      </c>
      <c r="DS46" s="594">
        <f t="shared" si="246"/>
      </c>
      <c r="DT46" s="594">
        <f t="shared" si="246"/>
      </c>
      <c r="DU46" s="595">
        <f t="shared" si="246"/>
      </c>
      <c r="DV46" s="594">
        <f t="shared" ref="DV46:EK46" si="247">DV17/DV$17</f>
      </c>
      <c r="DW46" s="594">
        <f t="shared" si="247"/>
      </c>
      <c r="DX46" s="594">
        <f t="shared" si="247"/>
      </c>
      <c r="DY46" s="595">
        <f t="shared" si="247"/>
      </c>
      <c r="DZ46" s="594">
        <f t="shared" si="247"/>
      </c>
      <c r="EA46" s="594">
        <f t="shared" si="247"/>
      </c>
      <c r="EB46" s="594">
        <f t="shared" si="247"/>
      </c>
      <c r="EC46" s="595">
        <f t="shared" si="247"/>
      </c>
      <c r="ED46" s="594">
        <f t="shared" si="247"/>
      </c>
      <c r="EE46" s="594">
        <f t="shared" si="247"/>
      </c>
      <c r="EF46" s="594">
        <f t="shared" si="247"/>
      </c>
      <c r="EG46" s="595">
        <f t="shared" si="247"/>
      </c>
      <c r="EH46" s="594">
        <f t="shared" si="247"/>
      </c>
      <c r="EI46" s="594">
        <f t="shared" si="247"/>
      </c>
      <c r="EJ46" s="594">
        <f t="shared" si="247"/>
      </c>
      <c r="EK46" s="595">
        <f t="shared" si="247"/>
      </c>
      <c r="EM46" s="594"/>
      <c r="EN46" s="594"/>
      <c r="EO46" s="594"/>
      <c r="EP46" s="594"/>
      <c r="EQ46" s="594"/>
      <c r="ER46" s="594"/>
      <c r="ES46" s="594"/>
      <c r="ET46" s="594"/>
      <c r="EU46" s="594"/>
      <c r="EV46" s="594"/>
      <c r="EW46" s="594"/>
      <c r="EX46" s="594">
        <f t="shared" ref="EX46:FQ46" si="248">EX17/EX$17</f>
      </c>
      <c r="EY46" s="594">
        <f t="shared" si="248"/>
      </c>
      <c r="EZ46" s="594">
        <f t="shared" si="248"/>
      </c>
      <c r="FA46" s="594">
        <f t="shared" si="248"/>
      </c>
      <c r="FB46" s="594">
        <f t="shared" si="248"/>
      </c>
      <c r="FC46" s="594">
        <f t="shared" si="248"/>
      </c>
      <c r="FD46" s="594">
        <f t="shared" si="248"/>
      </c>
      <c r="FE46" s="594">
        <f t="shared" si="248"/>
      </c>
      <c r="FF46" s="594">
        <f t="shared" si="248"/>
      </c>
      <c r="FG46" s="594">
        <f t="shared" si="248"/>
      </c>
      <c r="FH46" s="594">
        <f t="shared" si="248"/>
      </c>
      <c r="FI46" s="594">
        <f t="shared" si="248"/>
      </c>
      <c r="FJ46" s="594">
        <f t="shared" si="248"/>
      </c>
      <c r="FK46" s="594">
        <f t="shared" si="248"/>
      </c>
      <c r="FL46" s="594">
        <f t="shared" si="248"/>
      </c>
      <c r="FM46" s="594">
        <f t="shared" si="248"/>
      </c>
      <c r="FN46" s="594">
        <f t="shared" si="248"/>
      </c>
      <c r="FO46" s="594">
        <f t="shared" si="248"/>
      </c>
      <c r="FP46" s="594">
        <f t="shared" si="248"/>
      </c>
      <c r="FQ46" s="594">
        <f t="shared" si="248"/>
      </c>
      <c r="FR46" s="594">
        <f t="shared" ref="FR46:FU46" si="249">FR17/FR$17</f>
      </c>
      <c r="FS46" s="594">
        <f t="shared" si="249"/>
      </c>
      <c r="FT46" s="594">
        <f t="shared" si="249"/>
      </c>
      <c r="FU46" s="594">
        <f t="shared" si="249"/>
      </c>
      <c r="FV46" s="594"/>
      <c r="FW46" s="594"/>
      <c r="FX46" s="594"/>
      <c r="FY46" s="594">
        <f t="shared" ref="FY46:GH46" si="250">FY17/FY$17</f>
      </c>
      <c r="FZ46" s="594">
        <f t="shared" si="250"/>
      </c>
      <c r="GA46" s="594">
        <f t="shared" si="250"/>
      </c>
      <c r="GB46" s="594">
        <f t="shared" si="250"/>
      </c>
      <c r="GC46" s="594">
        <f t="shared" si="250"/>
      </c>
      <c r="GD46" s="594">
        <f t="shared" si="250"/>
      </c>
      <c r="GE46" s="594">
        <f t="shared" si="250"/>
      </c>
      <c r="GF46" s="594">
        <f t="shared" si="250"/>
      </c>
      <c r="GG46" s="594">
        <f t="shared" si="250"/>
      </c>
      <c r="GH46" s="594">
        <f t="shared" si="250"/>
      </c>
      <c r="GI46" s="594">
        <f t="shared" ref="GI46:HA46" si="251">GI17/GI$17</f>
      </c>
      <c r="GJ46" s="594">
        <f t="shared" si="251"/>
      </c>
      <c r="GK46" s="594">
        <f t="shared" si="251"/>
      </c>
      <c r="GL46" s="594">
        <f t="shared" si="251"/>
      </c>
      <c r="GM46" s="594">
        <f t="shared" si="251"/>
      </c>
      <c r="GN46" s="594">
        <f t="shared" si="251"/>
      </c>
      <c r="GO46" s="594">
        <f t="shared" si="251"/>
      </c>
      <c r="GP46" s="594">
        <f t="shared" si="251"/>
      </c>
      <c r="GQ46" s="594">
        <f t="shared" si="251"/>
      </c>
      <c r="GR46" s="594">
        <f t="shared" si="251"/>
      </c>
      <c r="GS46" s="594">
        <f t="shared" si="251"/>
      </c>
      <c r="GT46" s="594">
        <f t="shared" si="251"/>
      </c>
      <c r="GU46" s="594">
        <f t="shared" si="251"/>
      </c>
      <c r="GV46" s="594">
        <f t="shared" si="251"/>
      </c>
      <c r="GW46" s="594">
        <f t="shared" si="251"/>
      </c>
      <c r="GX46" s="594">
        <f t="shared" si="251"/>
      </c>
      <c r="GY46" s="594">
        <f t="shared" si="251"/>
      </c>
      <c r="GZ46" s="594">
        <f t="shared" si="251"/>
      </c>
      <c r="HA46" s="594">
        <f t="shared" si="251"/>
      </c>
      <c r="HB46" s="594">
        <f t="shared" ref="HB46:HE46" si="252">HB17/HB$17</f>
      </c>
      <c r="HC46" s="594">
        <f t="shared" si="252"/>
      </c>
      <c r="HD46" s="594">
        <f t="shared" si="252"/>
      </c>
      <c r="HE46" s="594">
        <f t="shared" si="252"/>
      </c>
    </row>
    <row r="47" spans="1:213" s="11" customFormat="1" ht="10.199999999999999">
      <c r="A47" s="47"/>
      <c r="E47" s="170"/>
      <c r="I47" s="170"/>
      <c r="J47" s="21"/>
      <c r="K47" s="21"/>
      <c r="L47" s="21"/>
      <c r="M47" s="172"/>
      <c r="N47" s="21"/>
      <c r="O47" s="21"/>
      <c r="P47" s="21"/>
      <c r="Q47" s="172"/>
      <c r="R47" s="21"/>
      <c r="S47" s="21"/>
      <c r="T47" s="21"/>
      <c r="U47" s="172"/>
      <c r="V47" s="21"/>
      <c r="W47" s="21"/>
      <c r="X47" s="21"/>
      <c r="Y47" s="172"/>
      <c r="Z47" s="21"/>
      <c r="AA47" s="21"/>
      <c r="AB47" s="21"/>
      <c r="AC47" s="172"/>
      <c r="AD47" s="21"/>
      <c r="AE47" s="21"/>
      <c r="AF47" s="21"/>
      <c r="AG47" s="172"/>
      <c r="AH47" s="21"/>
      <c r="AI47" s="21"/>
      <c r="AJ47" s="21"/>
      <c r="AK47" s="172"/>
      <c r="AL47" s="21"/>
      <c r="AM47" s="21"/>
      <c r="AN47" s="21"/>
      <c r="AO47" s="172"/>
      <c r="AP47" s="21"/>
      <c r="AQ47" s="21"/>
      <c r="AR47" s="21"/>
      <c r="AS47" s="172"/>
      <c r="AT47" s="21"/>
      <c r="AU47" s="21"/>
      <c r="AV47" s="21"/>
      <c r="AW47" s="172"/>
      <c r="AX47" s="21"/>
      <c r="AY47" s="21"/>
      <c r="AZ47" s="21"/>
      <c r="BA47" s="172"/>
      <c r="BB47" s="21"/>
      <c r="BC47" s="21"/>
      <c r="BD47" s="21"/>
      <c r="BE47" s="172"/>
      <c r="BF47" s="21"/>
      <c r="BG47" s="21"/>
      <c r="BH47" s="21"/>
      <c r="BI47" s="172"/>
      <c r="BJ47" s="21"/>
      <c r="BK47" s="21"/>
      <c r="BL47" s="21"/>
      <c r="BM47" s="172"/>
      <c r="BN47" s="21"/>
      <c r="BO47" s="21"/>
      <c r="BP47" s="21"/>
      <c r="BQ47" s="172"/>
      <c r="BR47" s="21"/>
      <c r="BS47" s="21"/>
      <c r="BT47" s="21"/>
      <c r="BU47" s="172"/>
      <c r="BV47" s="21"/>
      <c r="BW47" s="21"/>
      <c r="BX47" s="21"/>
      <c r="BY47" s="172"/>
      <c r="BZ47" s="21"/>
      <c r="CA47" s="21"/>
      <c r="CB47" s="21"/>
      <c r="CC47" s="172"/>
      <c r="CD47" s="21"/>
      <c r="CE47" s="21"/>
      <c r="CF47" s="21"/>
      <c r="CG47" s="172"/>
      <c r="CH47" s="21"/>
      <c r="CI47" s="21"/>
      <c r="CJ47" s="21"/>
      <c r="CK47" s="172"/>
      <c r="CL47" s="21"/>
      <c r="CM47" s="21"/>
      <c r="CN47" s="21"/>
      <c r="CO47" s="172"/>
      <c r="CP47" s="281"/>
      <c r="CQ47" s="168"/>
      <c r="CR47" s="21"/>
      <c r="CS47" s="172"/>
      <c r="CT47" s="456"/>
      <c r="CU47" s="456"/>
      <c r="CV47" s="456"/>
      <c r="CW47" s="457"/>
      <c r="CX47" s="456"/>
      <c r="CY47" s="456"/>
      <c r="CZ47" s="456"/>
      <c r="DA47" s="457"/>
      <c r="DB47" s="458"/>
      <c r="DC47" s="456"/>
      <c r="DD47" s="72"/>
      <c r="DE47" s="227"/>
      <c r="DF47" s="2598"/>
      <c r="DG47" s="72"/>
      <c r="DH47" s="72"/>
      <c r="DI47" s="227"/>
      <c r="DJ47" s="458"/>
      <c r="DK47" s="72"/>
      <c r="DL47" s="72"/>
      <c r="DM47" s="227"/>
      <c r="DN47" s="458"/>
      <c r="DO47" s="72"/>
      <c r="DP47" s="72"/>
      <c r="DQ47" s="971"/>
      <c r="DR47" s="458"/>
      <c r="DS47" s="72"/>
      <c r="DT47" s="72"/>
      <c r="DU47" s="227"/>
      <c r="DV47" s="458"/>
      <c r="DW47" s="72"/>
      <c r="DX47" s="72"/>
      <c r="DY47" s="227"/>
      <c r="DZ47" s="458"/>
      <c r="EA47" s="72"/>
      <c r="EB47" s="72"/>
      <c r="EC47" s="227"/>
      <c r="ED47" s="458"/>
      <c r="EE47" s="72"/>
      <c r="EF47" s="72"/>
      <c r="EG47" s="227"/>
      <c r="EH47" s="458"/>
      <c r="EI47" s="72"/>
      <c r="EJ47" s="72"/>
      <c r="EK47" s="227"/>
      <c r="EM47" s="1277"/>
      <c r="EN47" s="1277"/>
      <c r="EO47" s="1277"/>
      <c r="EP47" s="1277"/>
      <c r="EQ47" s="1277"/>
      <c r="ER47" s="1277"/>
      <c r="ES47" s="1277"/>
      <c r="ET47" s="1277"/>
      <c r="EU47" s="1277"/>
      <c r="EV47" s="1277"/>
      <c r="EW47" s="1277"/>
      <c r="EX47" s="1277"/>
      <c r="EY47" s="1277"/>
      <c r="EZ47" s="1277"/>
      <c r="FA47" s="1277"/>
      <c r="FB47" s="1277"/>
      <c r="FC47" s="1277"/>
      <c r="FD47" s="1277"/>
      <c r="FE47" s="1277"/>
      <c r="FF47" s="1277"/>
      <c r="FG47" s="1277"/>
      <c r="FH47" s="1277"/>
      <c r="FI47" s="1277"/>
      <c r="FJ47" s="1277"/>
      <c r="FK47" s="1277"/>
      <c r="FL47" s="1277"/>
      <c r="FM47" s="1277"/>
      <c r="FN47" s="1277"/>
      <c r="FO47" s="1277"/>
      <c r="FP47" s="1277"/>
      <c r="FQ47" s="1277"/>
      <c r="FR47" s="1277"/>
      <c r="FS47" s="1277"/>
      <c r="FT47" s="1277"/>
      <c r="FU47" s="1277"/>
      <c r="FV47" s="1277"/>
      <c r="FW47" s="1277"/>
      <c r="FX47" s="1277"/>
      <c r="FY47" s="1277"/>
      <c r="FZ47" s="1277"/>
      <c r="GA47" s="1277"/>
      <c r="GB47" s="1277"/>
      <c r="GC47" s="1277"/>
      <c r="GD47" s="1277"/>
      <c r="GE47" s="1277"/>
      <c r="GF47" s="1277"/>
      <c r="GG47" s="1277"/>
      <c r="GH47" s="1277"/>
      <c r="GI47" s="1277"/>
      <c r="GJ47" s="1277"/>
      <c r="GK47" s="1277"/>
      <c r="GL47" s="1277"/>
      <c r="GM47" s="1277"/>
      <c r="GN47" s="1277"/>
      <c r="GO47" s="1277"/>
      <c r="GP47" s="1277"/>
      <c r="GQ47" s="1277"/>
      <c r="GR47" s="1277"/>
      <c r="GS47" s="1277"/>
      <c r="GT47" s="1277"/>
      <c r="GU47" s="1277"/>
      <c r="GV47" s="1277"/>
      <c r="GW47" s="1277"/>
      <c r="GX47" s="1277"/>
      <c r="GY47" s="1277"/>
      <c r="GZ47" s="1277"/>
      <c r="HA47" s="1277"/>
      <c r="HB47" s="1277"/>
      <c r="HC47" s="1277"/>
      <c r="HD47" s="1277"/>
      <c r="HE47" s="1277"/>
    </row>
    <row r="48" spans="1:213" s="11" customFormat="1" ht="10.199999999999999">
      <c r="A48" s="47" t="s">
        <v>1042</v>
      </c>
      <c r="E48" s="170"/>
      <c r="I48" s="170"/>
      <c r="M48" s="170"/>
      <c r="Q48" s="170"/>
      <c r="U48" s="170"/>
      <c r="Y48" s="170"/>
      <c r="AC48" s="170"/>
      <c r="AG48" s="170"/>
      <c r="AK48" s="170"/>
      <c r="AO48" s="170"/>
      <c r="AS48" s="170"/>
      <c r="AV48" s="21"/>
      <c r="AW48" s="172"/>
      <c r="AX48" s="21"/>
      <c r="AY48" s="21"/>
      <c r="AZ48" s="21"/>
      <c r="BA48" s="172"/>
      <c r="BB48" s="21"/>
      <c r="BC48" s="21"/>
      <c r="BD48" s="21"/>
      <c r="BE48" s="172"/>
      <c r="BF48" s="21"/>
      <c r="BG48" s="21"/>
      <c r="BH48" s="21"/>
      <c r="BI48" s="172"/>
      <c r="BJ48" s="21"/>
      <c r="BK48" s="21"/>
      <c r="BL48" s="21"/>
      <c r="BM48" s="172"/>
      <c r="BN48" s="21"/>
      <c r="BO48" s="21"/>
      <c r="BP48" s="21"/>
      <c r="BQ48" s="172"/>
      <c r="BR48" s="21"/>
      <c r="BS48" s="21"/>
      <c r="BT48" s="21"/>
      <c r="BU48" s="172"/>
      <c r="BV48" s="21"/>
      <c r="BW48" s="21"/>
      <c r="BX48" s="21"/>
      <c r="BY48" s="172"/>
      <c r="BZ48" s="339"/>
      <c r="CA48" s="21"/>
      <c r="CB48" s="339"/>
      <c r="CC48" s="243"/>
      <c r="CD48" s="363"/>
      <c r="CE48" s="363"/>
      <c r="CF48" s="363"/>
      <c r="CG48" s="362"/>
      <c r="CH48" s="363"/>
      <c r="CI48" s="364"/>
      <c r="CJ48" s="363"/>
      <c r="CK48" s="362"/>
      <c r="CL48" s="357">
        <v>50575</v>
      </c>
      <c r="CM48" s="357">
        <v>33936</v>
      </c>
      <c r="CN48" s="357">
        <v>28956</v>
      </c>
      <c r="CO48" s="341">
        <v>34697</v>
      </c>
      <c r="CP48" s="357">
        <v>48238</v>
      </c>
      <c r="CQ48" s="357">
        <v>32047</v>
      </c>
      <c r="CR48" s="357">
        <v>29473</v>
      </c>
      <c r="CS48" s="341">
        <v>35238</v>
      </c>
      <c r="CT48" s="357">
        <v>52075</v>
      </c>
      <c r="CU48" s="357">
        <v>31321</v>
      </c>
      <c r="CV48" s="357">
        <v>32693</v>
      </c>
      <c r="CW48" s="461">
        <v>35197</v>
      </c>
      <c r="CX48" s="471">
        <v>62130</v>
      </c>
      <c r="CY48" s="357">
        <v>46447</v>
      </c>
      <c r="CZ48" s="357">
        <v>40899</v>
      </c>
      <c r="DA48" s="461">
        <v>42790</v>
      </c>
      <c r="DB48" s="471">
        <v>64309</v>
      </c>
      <c r="DC48" s="357">
        <v>49290</v>
      </c>
      <c r="DD48" s="357">
        <v>41485</v>
      </c>
      <c r="DE48" s="461">
        <v>46387</v>
      </c>
      <c r="DF48" s="357">
        <v>60765</v>
      </c>
      <c r="DG48" s="357">
        <v>46795</v>
      </c>
      <c r="DH48" s="357">
        <v>39136</v>
      </c>
      <c r="DI48" s="461">
        <v>42586</v>
      </c>
      <c r="DJ48" s="357">
        <v>58440</v>
      </c>
      <c r="DK48" s="357">
        <v>42424</v>
      </c>
      <c r="DL48" s="357">
        <v>39803</v>
      </c>
      <c r="DM48" s="461">
        <v>44566</v>
      </c>
      <c r="DN48" s="357">
        <v>59447</v>
      </c>
      <c r="DO48" s="357">
        <v>44030</v>
      </c>
      <c r="DP48" s="357">
        <v>43620</v>
      </c>
      <c r="DQ48" s="362">
        <f t="shared" ref="DQ48:DU48" si="253">DQ15-DQ52</f>
      </c>
      <c r="DR48" s="363">
        <f t="shared" si="253"/>
      </c>
      <c r="DS48" s="363">
        <f t="shared" si="253"/>
      </c>
      <c r="DT48" s="363">
        <f t="shared" si="253"/>
      </c>
      <c r="DU48" s="362">
        <f t="shared" si="253"/>
      </c>
      <c r="DV48" s="363">
        <f t="shared" ref="DV48:EK48" si="254">DV15-DV52</f>
      </c>
      <c r="DW48" s="363">
        <f t="shared" si="254"/>
      </c>
      <c r="DX48" s="363">
        <f t="shared" si="254"/>
      </c>
      <c r="DY48" s="362">
        <f t="shared" si="254"/>
      </c>
      <c r="DZ48" s="363">
        <f t="shared" si="254"/>
      </c>
      <c r="EA48" s="363">
        <f t="shared" si="254"/>
      </c>
      <c r="EB48" s="363">
        <f t="shared" si="254"/>
      </c>
      <c r="EC48" s="362">
        <f t="shared" si="254"/>
      </c>
      <c r="ED48" s="363">
        <f t="shared" si="254"/>
      </c>
      <c r="EE48" s="363">
        <f t="shared" si="254"/>
      </c>
      <c r="EF48" s="363">
        <f t="shared" si="254"/>
      </c>
      <c r="EG48" s="362">
        <f t="shared" si="254"/>
      </c>
      <c r="EH48" s="363">
        <f t="shared" si="254"/>
      </c>
      <c r="EI48" s="363">
        <f t="shared" si="254"/>
      </c>
      <c r="EJ48" s="363">
        <f t="shared" si="254"/>
      </c>
      <c r="EK48" s="362">
        <f t="shared" si="254"/>
      </c>
      <c r="EM48" s="363"/>
      <c r="EN48" s="363"/>
      <c r="EO48" s="363"/>
      <c r="EP48" s="363"/>
      <c r="EQ48" s="363"/>
      <c r="ER48" s="363"/>
      <c r="ES48" s="363"/>
      <c r="ET48" s="363"/>
      <c r="EU48" s="363"/>
      <c r="EV48" s="363"/>
      <c r="EW48" s="363"/>
      <c r="EX48" s="363"/>
      <c r="EY48" s="363"/>
      <c r="EZ48" s="363"/>
      <c r="FA48" s="363"/>
      <c r="FB48" s="363"/>
      <c r="FC48" s="363"/>
      <c r="FD48" s="363"/>
      <c r="FE48" s="363"/>
      <c r="FF48" s="363"/>
      <c r="FG48" s="363"/>
      <c r="FH48" s="363">
        <v>126337</v>
      </c>
      <c r="FI48" s="363">
        <f>SUM(CL48:CO48)</f>
      </c>
      <c r="FJ48" s="363">
        <f>SUM(CP48:CS48)</f>
      </c>
      <c r="FK48" s="363">
        <f>SUM(CT48:CW48)</f>
      </c>
      <c r="FL48" s="363">
        <f>SUM(CX48:DA48)</f>
      </c>
      <c r="FM48" s="363">
        <f>SUM(DB48:DE48)</f>
      </c>
      <c r="FN48" s="363">
        <f>SUM(DF48:DI48)</f>
      </c>
      <c r="FO48" s="363">
        <f>SUM(DJ48:DM48)</f>
      </c>
      <c r="FP48" s="363">
        <f>SUM(DN48:DQ48)</f>
      </c>
      <c r="FQ48" s="363">
        <f>SUM(DR48:DU48)</f>
      </c>
      <c r="FR48" s="363">
        <f>SUM(DV48:DY48)</f>
      </c>
      <c r="FS48" s="363">
        <f>SUM(DZ48:EC48)</f>
      </c>
      <c r="FT48" s="363">
        <f>SUM(ED48:EG48)</f>
      </c>
      <c r="FU48" s="363">
        <f>SUM(EH48:EK48)</f>
      </c>
      <c r="FV48" s="363"/>
      <c r="FW48" s="363"/>
      <c r="FX48" s="363"/>
      <c r="FY48" s="363"/>
      <c r="FZ48" s="363"/>
      <c r="GA48" s="363"/>
      <c r="GB48" s="363"/>
      <c r="GC48" s="363"/>
      <c r="GD48" s="363"/>
      <c r="GE48" s="363"/>
      <c r="GF48" s="363"/>
      <c r="GG48" s="363"/>
      <c r="GH48" s="363"/>
      <c r="GI48" s="363"/>
      <c r="GJ48" s="363"/>
      <c r="GK48" s="363"/>
      <c r="GL48" s="363"/>
      <c r="GM48" s="363"/>
      <c r="GN48" s="363"/>
      <c r="GO48" s="363"/>
      <c r="GP48" s="363"/>
      <c r="GQ48" s="363"/>
      <c r="GR48" s="363"/>
      <c r="GS48" s="363"/>
      <c r="GT48" s="363">
        <f>SUM(CM48:CP48)</f>
      </c>
      <c r="GU48" s="363">
        <f>SUM(CQ48:CT48)</f>
      </c>
      <c r="GV48" s="363">
        <f>SUM(CU48:CX48)</f>
      </c>
      <c r="GW48" s="363">
        <f>SUM(CY48:DB48)</f>
      </c>
      <c r="GX48" s="363">
        <f>SUM(DC48:DF48)</f>
      </c>
      <c r="GY48" s="363">
        <f>SUM(DG48:DJ48)</f>
      </c>
      <c r="GZ48" s="363">
        <f>SUM(DK48:DN48)</f>
      </c>
      <c r="HA48" s="363">
        <f>SUM(DO48:DR48)</f>
      </c>
      <c r="HB48" s="363">
        <f>SUM(DS48:DV48)</f>
      </c>
      <c r="HC48" s="363">
        <f>SUM(DW48:DZ48)</f>
      </c>
      <c r="HD48" s="363">
        <f>SUM(EA48:ED48)</f>
      </c>
      <c r="HE48" s="363">
        <f>SUM(EE48:EH48)</f>
      </c>
    </row>
    <row r="49" spans="1:213" s="11" customFormat="1" ht="10.199999999999999">
      <c r="A49" s="47" t="s">
        <v>1043</v>
      </c>
      <c r="E49" s="170"/>
      <c r="I49" s="170"/>
      <c r="M49" s="170"/>
      <c r="Q49" s="170"/>
      <c r="U49" s="170"/>
      <c r="Y49" s="170"/>
      <c r="AC49" s="170"/>
      <c r="AG49" s="170"/>
      <c r="AK49" s="170"/>
      <c r="AO49" s="170"/>
      <c r="AS49" s="170"/>
      <c r="AV49" s="21"/>
      <c r="AW49" s="172"/>
      <c r="AX49" s="21"/>
      <c r="AY49" s="21"/>
      <c r="AZ49" s="21"/>
      <c r="BA49" s="172"/>
      <c r="BB49" s="21"/>
      <c r="BC49" s="21"/>
      <c r="BD49" s="21"/>
      <c r="BE49" s="172"/>
      <c r="BF49" s="21"/>
      <c r="BG49" s="21"/>
      <c r="BH49" s="21"/>
      <c r="BI49" s="172"/>
      <c r="BJ49" s="21"/>
      <c r="BK49" s="21"/>
      <c r="BL49" s="21"/>
      <c r="BM49" s="172"/>
      <c r="BN49" s="21"/>
      <c r="BO49" s="21"/>
      <c r="BP49" s="21"/>
      <c r="BQ49" s="172"/>
      <c r="BR49" s="21"/>
      <c r="BS49" s="21"/>
      <c r="BT49" s="21"/>
      <c r="BU49" s="172"/>
      <c r="BV49" s="167"/>
      <c r="BW49" s="167"/>
      <c r="BX49" s="167"/>
      <c r="BY49" s="349"/>
      <c r="BZ49" s="350"/>
      <c r="CA49" s="167"/>
      <c r="CB49" s="350"/>
      <c r="CC49" s="351"/>
      <c r="CD49" s="324"/>
      <c r="CE49" s="324"/>
      <c r="CF49" s="324"/>
      <c r="CG49" s="323"/>
      <c r="CH49" s="324"/>
      <c r="CI49" s="365"/>
      <c r="CJ49" s="324"/>
      <c r="CK49" s="323"/>
      <c r="CL49" s="357">
        <v>3806</v>
      </c>
      <c r="CM49" s="357">
        <v>3779</v>
      </c>
      <c r="CN49" s="357">
        <v>3888</v>
      </c>
      <c r="CO49" s="341">
        <v>4119</v>
      </c>
      <c r="CP49" s="357">
        <v>4041</v>
      </c>
      <c r="CQ49" s="357">
        <v>4147</v>
      </c>
      <c r="CR49" s="357">
        <v>4109</v>
      </c>
      <c r="CS49" s="341">
        <v>4489</v>
      </c>
      <c r="CT49" s="357">
        <v>4527</v>
      </c>
      <c r="CU49" s="357">
        <v>4622</v>
      </c>
      <c r="CV49" s="357">
        <v>4312</v>
      </c>
      <c r="CW49" s="461">
        <v>4812</v>
      </c>
      <c r="CX49" s="471">
        <v>4981</v>
      </c>
      <c r="CY49" s="357">
        <v>5058</v>
      </c>
      <c r="CZ49" s="357">
        <v>5280</v>
      </c>
      <c r="DA49" s="461">
        <v>5396</v>
      </c>
      <c r="DB49" s="471">
        <v>5393</v>
      </c>
      <c r="DC49" s="357">
        <v>5429</v>
      </c>
      <c r="DD49" s="357">
        <v>5589</v>
      </c>
      <c r="DE49" s="461">
        <v>5664</v>
      </c>
      <c r="DF49" s="357">
        <v>6057</v>
      </c>
      <c r="DG49" s="357">
        <v>6065</v>
      </c>
      <c r="DH49" s="357">
        <v>6248</v>
      </c>
      <c r="DI49" s="461">
        <v>6485</v>
      </c>
      <c r="DJ49" s="357">
        <v>6280</v>
      </c>
      <c r="DK49" s="357">
        <v>6058</v>
      </c>
      <c r="DL49" s="357">
        <v>6296</v>
      </c>
      <c r="DM49" s="461">
        <v>6485</v>
      </c>
      <c r="DN49" s="357">
        <v>6578</v>
      </c>
      <c r="DO49" s="357">
        <v>6462</v>
      </c>
      <c r="DP49" s="357">
        <v>6698</v>
      </c>
      <c r="DQ49" s="362">
        <f t="shared" ref="DQ49:DU49" si="255">DQ16-DQ53</f>
      </c>
      <c r="DR49" s="363">
        <f t="shared" si="255"/>
      </c>
      <c r="DS49" s="363">
        <f t="shared" si="255"/>
      </c>
      <c r="DT49" s="363">
        <f t="shared" si="255"/>
      </c>
      <c r="DU49" s="362">
        <f t="shared" si="255"/>
      </c>
      <c r="DV49" s="363">
        <f t="shared" ref="DV49:EK49" si="256">DV16-DV53</f>
      </c>
      <c r="DW49" s="363">
        <f t="shared" si="256"/>
      </c>
      <c r="DX49" s="363">
        <f t="shared" si="256"/>
      </c>
      <c r="DY49" s="362">
        <f t="shared" si="256"/>
      </c>
      <c r="DZ49" s="363">
        <f t="shared" si="256"/>
      </c>
      <c r="EA49" s="363">
        <f t="shared" si="256"/>
      </c>
      <c r="EB49" s="363">
        <f t="shared" si="256"/>
      </c>
      <c r="EC49" s="362">
        <f t="shared" si="256"/>
      </c>
      <c r="ED49" s="363">
        <f t="shared" si="256"/>
      </c>
      <c r="EE49" s="363">
        <f t="shared" si="256"/>
      </c>
      <c r="EF49" s="363">
        <f t="shared" si="256"/>
      </c>
      <c r="EG49" s="362">
        <f t="shared" si="256"/>
      </c>
      <c r="EH49" s="363">
        <f t="shared" si="256"/>
      </c>
      <c r="EI49" s="363">
        <f t="shared" si="256"/>
      </c>
      <c r="EJ49" s="363">
        <f t="shared" si="256"/>
      </c>
      <c r="EK49" s="362">
        <f t="shared" si="256"/>
      </c>
      <c r="EM49" s="363"/>
      <c r="EN49" s="363"/>
      <c r="EO49" s="363"/>
      <c r="EP49" s="363"/>
      <c r="EQ49" s="363"/>
      <c r="ER49" s="363"/>
      <c r="ES49" s="363"/>
      <c r="ET49" s="363"/>
      <c r="EU49" s="363"/>
      <c r="EV49" s="363"/>
      <c r="EW49" s="363"/>
      <c r="EX49" s="363"/>
      <c r="EY49" s="363"/>
      <c r="EZ49" s="363"/>
      <c r="FA49" s="363"/>
      <c r="FB49" s="363"/>
      <c r="FC49" s="363"/>
      <c r="FD49" s="363"/>
      <c r="FE49" s="363"/>
      <c r="FF49" s="363"/>
      <c r="FG49" s="363"/>
      <c r="FH49" s="363">
        <v>14711</v>
      </c>
      <c r="FI49" s="363">
        <f>SUM(CL49:CO49)</f>
      </c>
      <c r="FJ49" s="363">
        <f>SUM(CP49:CS49)</f>
      </c>
      <c r="FK49" s="363">
        <f>SUM(CT49:CW49)</f>
      </c>
      <c r="FL49" s="363">
        <f>SUM(CX49:DA49)</f>
      </c>
      <c r="FM49" s="363">
        <f>SUM(DB49:DE49)</f>
      </c>
      <c r="FN49" s="363">
        <f>SUM(DF49:DI49)</f>
      </c>
      <c r="FO49" s="363">
        <f>SUM(DJ49:DM49)</f>
      </c>
      <c r="FP49" s="363">
        <f>SUM(DN49:DQ49)</f>
      </c>
      <c r="FQ49" s="363">
        <f>SUM(DR49:DU49)</f>
      </c>
      <c r="FR49" s="363">
        <f>SUM(DV49:DY49)</f>
      </c>
      <c r="FS49" s="363">
        <f>SUM(DZ49:EC49)</f>
      </c>
      <c r="FT49" s="363">
        <f>SUM(ED49:EG49)</f>
      </c>
      <c r="FU49" s="363">
        <f>SUM(EH49:EK49)</f>
      </c>
      <c r="FV49" s="363"/>
      <c r="FW49" s="363"/>
      <c r="FX49" s="363"/>
      <c r="FY49" s="363"/>
      <c r="FZ49" s="363"/>
      <c r="GA49" s="363"/>
      <c r="GB49" s="363"/>
      <c r="GC49" s="363"/>
      <c r="GD49" s="363"/>
      <c r="GE49" s="363"/>
      <c r="GF49" s="363"/>
      <c r="GG49" s="363"/>
      <c r="GH49" s="363"/>
      <c r="GI49" s="363"/>
      <c r="GJ49" s="363"/>
      <c r="GK49" s="363"/>
      <c r="GL49" s="363"/>
      <c r="GM49" s="363"/>
      <c r="GN49" s="363"/>
      <c r="GO49" s="363"/>
      <c r="GP49" s="363"/>
      <c r="GQ49" s="363"/>
      <c r="GR49" s="363"/>
      <c r="GS49" s="363"/>
      <c r="GT49" s="363">
        <f>SUM(CM49:CP49)</f>
      </c>
      <c r="GU49" s="363">
        <f>SUM(CQ49:CT49)</f>
      </c>
      <c r="GV49" s="363">
        <f>SUM(CU49:CX49)</f>
      </c>
      <c r="GW49" s="363">
        <f>SUM(CY49:DB49)</f>
      </c>
      <c r="GX49" s="363">
        <f>SUM(DC49:DF49)</f>
      </c>
      <c r="GY49" s="363">
        <f>SUM(DG49:DJ49)</f>
      </c>
      <c r="GZ49" s="363">
        <f>SUM(DK49:DN49)</f>
      </c>
      <c r="HA49" s="363">
        <f>SUM(DO49:DR49)</f>
      </c>
      <c r="HB49" s="363">
        <f>SUM(DS49:DV49)</f>
      </c>
      <c r="HC49" s="363">
        <f>SUM(DW49:DZ49)</f>
      </c>
      <c r="HD49" s="363">
        <f>SUM(EA49:ED49)</f>
      </c>
      <c r="HE49" s="363">
        <f>SUM(EE49:EH49)</f>
      </c>
    </row>
    <row r="50" spans="1:213" s="658" customFormat="1" ht="10.199999999999999">
      <c r="A50" s="2481" t="s">
        <v>83</v>
      </c>
      <c r="B50" s="2482">
        <f>'Income Statement'!B10</f>
      </c>
      <c r="C50" s="2482">
        <f>'Income Statement'!C10</f>
      </c>
      <c r="D50" s="2482">
        <f>'Income Statement'!D10</f>
      </c>
      <c r="E50" s="2483">
        <f>'Income Statement'!E10</f>
      </c>
      <c r="F50" s="2482">
        <f>'Income Statement'!F10</f>
      </c>
      <c r="G50" s="2482">
        <f>'Income Statement'!G10</f>
      </c>
      <c r="H50" s="2482">
        <f>'Income Statement'!H10</f>
      </c>
      <c r="I50" s="2483">
        <f>'Income Statement'!I10</f>
      </c>
      <c r="J50" s="2482">
        <f>'Income Statement'!J10</f>
      </c>
      <c r="K50" s="2482">
        <f>'Income Statement'!K10</f>
      </c>
      <c r="L50" s="2482">
        <f>'Income Statement'!L10</f>
      </c>
      <c r="M50" s="2483">
        <f>'Income Statement'!M10</f>
      </c>
      <c r="N50" s="2482">
        <f>'Income Statement'!N10</f>
      </c>
      <c r="O50" s="2482">
        <f>'Income Statement'!O10</f>
      </c>
      <c r="P50" s="2482">
        <f>'Income Statement'!P10</f>
      </c>
      <c r="Q50" s="2483">
        <f>'Income Statement'!Q10</f>
      </c>
      <c r="R50" s="2482">
        <f>'Income Statement'!R10</f>
      </c>
      <c r="S50" s="2482">
        <f>'Income Statement'!S10</f>
      </c>
      <c r="T50" s="2482">
        <f>'Income Statement'!T10</f>
      </c>
      <c r="U50" s="2483">
        <f>'Income Statement'!U10</f>
      </c>
      <c r="V50" s="2482">
        <f>'Income Statement'!V10</f>
      </c>
      <c r="W50" s="2482">
        <f>'Income Statement'!W10</f>
      </c>
      <c r="X50" s="2482">
        <f>'Income Statement'!X10</f>
      </c>
      <c r="Y50" s="2483">
        <f>'Income Statement'!Y10</f>
      </c>
      <c r="Z50" s="2482">
        <f>'Income Statement'!Z10</f>
      </c>
      <c r="AA50" s="2482">
        <f>'Income Statement'!AA10</f>
      </c>
      <c r="AB50" s="2482">
        <f>'Income Statement'!AB10</f>
      </c>
      <c r="AC50" s="2483">
        <f>'Income Statement'!AC10</f>
      </c>
      <c r="AD50" s="2482">
        <f>'Income Statement'!AD10</f>
      </c>
      <c r="AE50" s="2482">
        <f>'Income Statement'!AE10</f>
      </c>
      <c r="AF50" s="2482">
        <f>'Income Statement'!AF10</f>
      </c>
      <c r="AG50" s="2483">
        <f>'Income Statement'!AG10</f>
      </c>
      <c r="AH50" s="2482">
        <f>'Income Statement'!AH10</f>
      </c>
      <c r="AI50" s="2482">
        <f>'Income Statement'!AI10</f>
      </c>
      <c r="AJ50" s="2482">
        <f>'Income Statement'!AJ10</f>
      </c>
      <c r="AK50" s="2483">
        <f>'Income Statement'!AK10</f>
      </c>
      <c r="AL50" s="2482">
        <f>'Income Statement'!AL10</f>
      </c>
      <c r="AM50" s="2482">
        <f>'Income Statement'!AM10</f>
      </c>
      <c r="AN50" s="2482">
        <f>'Income Statement'!AN10</f>
      </c>
      <c r="AO50" s="2483">
        <f>'Income Statement'!AO10</f>
      </c>
      <c r="AP50" s="2482">
        <f>'Income Statement'!AP10</f>
      </c>
      <c r="AQ50" s="2482">
        <f>'Income Statement'!AQ10</f>
      </c>
      <c r="AR50" s="2482">
        <f>'Income Statement'!AR10</f>
      </c>
      <c r="AS50" s="2483">
        <f>'Income Statement'!AS10</f>
      </c>
      <c r="AT50" s="2482">
        <f>'Income Statement'!AT10</f>
      </c>
      <c r="AU50" s="2482">
        <f>'Income Statement'!AU10</f>
      </c>
      <c r="AV50" s="2482">
        <f>'Income Statement'!AV10</f>
      </c>
      <c r="AW50" s="2483">
        <f>'Income Statement'!AW10</f>
      </c>
      <c r="AX50" s="2482">
        <f>'Income Statement'!AX10</f>
      </c>
      <c r="AY50" s="2482">
        <f>'Income Statement'!AY10</f>
      </c>
      <c r="AZ50" s="2482">
        <f>'Income Statement'!AZ10</f>
      </c>
      <c r="BA50" s="2483">
        <f>'Income Statement'!BA10</f>
      </c>
      <c r="BB50" s="2482">
        <f>'Income Statement'!BB10</f>
      </c>
      <c r="BC50" s="2482">
        <f>'Income Statement'!BC10</f>
      </c>
      <c r="BD50" s="2482">
        <f>'Income Statement'!BD10</f>
      </c>
      <c r="BE50" s="2483">
        <f>'Income Statement'!BE10</f>
      </c>
      <c r="BF50" s="2482">
        <f>'Income Statement'!BF10</f>
      </c>
      <c r="BG50" s="2482">
        <f>'Income Statement'!BG10</f>
      </c>
      <c r="BH50" s="2482">
        <f>'Income Statement'!BH10</f>
      </c>
      <c r="BI50" s="2483">
        <f>'Income Statement'!BI10</f>
      </c>
      <c r="BJ50" s="2482">
        <f>'Income Statement'!BJ10</f>
      </c>
      <c r="BK50" s="2482">
        <f>'Income Statement'!BK10</f>
      </c>
      <c r="BL50" s="2482">
        <f>'Income Statement'!BL10</f>
      </c>
      <c r="BM50" s="2483">
        <f>'Income Statement'!BM10</f>
      </c>
      <c r="BN50" s="2482">
        <f>'Income Statement'!BN10</f>
      </c>
      <c r="BO50" s="2482">
        <f>'Income Statement'!BO10</f>
      </c>
      <c r="BP50" s="2482">
        <f>'Income Statement'!BP10</f>
      </c>
      <c r="BQ50" s="2483">
        <f>'Income Statement'!BQ10</f>
      </c>
      <c r="BR50" s="2482">
        <f>'Income Statement'!BR10</f>
      </c>
      <c r="BS50" s="2482">
        <f>'Income Statement'!BS10</f>
      </c>
      <c r="BT50" s="2482">
        <f>'Income Statement'!BT10</f>
      </c>
      <c r="BU50" s="2483">
        <f>'Income Statement'!BU10</f>
      </c>
      <c r="BV50" s="2484">
        <f>'Income Statement'!BV10</f>
      </c>
      <c r="BW50" s="2484">
        <f>'Income Statement'!BW10</f>
      </c>
      <c r="BX50" s="2485">
        <f>'Income Statement'!BX10</f>
      </c>
      <c r="BY50" s="2486">
        <f>'Income Statement'!BY10</f>
      </c>
      <c r="BZ50" s="2484">
        <f>'Income Statement'!BZ10</f>
      </c>
      <c r="CA50" s="2484">
        <f>'Income Statement'!CA10</f>
      </c>
      <c r="CB50" s="2485">
        <f>'Income Statement'!CB10</f>
      </c>
      <c r="CC50" s="2486">
        <f>'Income Statement'!CC10</f>
      </c>
      <c r="CD50" s="2484">
        <f>'Income Statement'!CD10</f>
      </c>
      <c r="CE50" s="2484">
        <f>'Income Statement'!CE10</f>
      </c>
      <c r="CF50" s="2484">
        <f>'Income Statement'!CF10</f>
      </c>
      <c r="CG50" s="2487">
        <f>'Income Statement'!CG10</f>
      </c>
      <c r="CH50" s="2484">
        <f>'Income Statement'!CH10</f>
      </c>
      <c r="CI50" s="2488">
        <f>'Income Statement'!CI10</f>
      </c>
      <c r="CJ50" s="2484">
        <f>'Income Statement'!CJ10</f>
      </c>
      <c r="CK50" s="2487">
        <f>'Income Statement'!CK10</f>
      </c>
      <c r="CL50" s="2489">
        <f>'Income Statement'!CL10</f>
      </c>
      <c r="CM50" s="2489">
        <f>'Income Statement'!CM10</f>
      </c>
      <c r="CN50" s="2489">
        <f>'Income Statement'!CN10</f>
      </c>
      <c r="CO50" s="2490">
        <f>'Income Statement'!CO10</f>
      </c>
      <c r="CP50" s="2489">
        <f>'Income Statement'!CP10</f>
      </c>
      <c r="CQ50" s="2489">
        <f>'Income Statement'!CQ10</f>
      </c>
      <c r="CR50" s="2489">
        <f>'Income Statement'!CR10</f>
      </c>
      <c r="CS50" s="2490">
        <f>'Income Statement'!CS10</f>
      </c>
      <c r="CT50" s="2489">
        <f>'Income Statement'!CT10</f>
      </c>
      <c r="CU50" s="2489">
        <f>'Income Statement'!CU10</f>
      </c>
      <c r="CV50" s="2489">
        <f>'Income Statement'!CV10</f>
      </c>
      <c r="CW50" s="2490">
        <f>'Income Statement'!CW10</f>
      </c>
      <c r="CX50" s="2491">
        <f>'Income Statement'!CX10</f>
      </c>
      <c r="CY50" s="2489">
        <f>'Income Statement'!CY10</f>
      </c>
      <c r="CZ50" s="2489">
        <f>'Income Statement'!CZ10</f>
      </c>
      <c r="DA50" s="2490">
        <f>'Income Statement'!DA10</f>
      </c>
      <c r="DB50" s="2491">
        <f>'Income Statement'!DB10</f>
      </c>
      <c r="DC50" s="2489">
        <f>'Income Statement'!DC10</f>
      </c>
      <c r="DD50" s="2489">
        <f>'Income Statement'!DD10</f>
      </c>
      <c r="DE50" s="2490">
        <f t="shared" ref="DE50:DU50" si="257">SUM(DE48:DE49)</f>
      </c>
      <c r="DF50" s="2492">
        <f t="shared" si="257"/>
      </c>
      <c r="DG50" s="2492">
        <f>SUM(DG48:DG49)</f>
      </c>
      <c r="DH50" s="2492">
        <f t="shared" si="257"/>
      </c>
      <c r="DI50" s="2493">
        <f t="shared" si="257"/>
      </c>
      <c r="DJ50" s="2492">
        <f t="shared" ref="DJ50" si="258">SUM(DJ48:DJ49)</f>
      </c>
      <c r="DK50" s="2492">
        <f>SUM(DK48:DK49)</f>
      </c>
      <c r="DL50" s="2492">
        <f t="shared" ref="DL50:DN50" si="259">SUM(DL48:DL49)</f>
      </c>
      <c r="DM50" s="2493">
        <f t="shared" si="259"/>
      </c>
      <c r="DN50" s="2492">
        <f t="shared" si="259"/>
      </c>
      <c r="DO50" s="2492">
        <f>SUM(DO48:DO49)</f>
      </c>
      <c r="DP50" s="2492">
        <f t="shared" ref="DP50" si="260">SUM(DP48:DP49)</f>
      </c>
      <c r="DQ50" s="2493">
        <f t="shared" si="257"/>
      </c>
      <c r="DR50" s="2492">
        <f t="shared" si="257"/>
      </c>
      <c r="DS50" s="2492">
        <f t="shared" si="257"/>
      </c>
      <c r="DT50" s="2492">
        <f t="shared" si="257"/>
      </c>
      <c r="DU50" s="2493">
        <f t="shared" si="257"/>
      </c>
      <c r="DV50" s="2492">
        <f t="shared" ref="DV50:EK50" si="261">SUM(DV48:DV49)</f>
      </c>
      <c r="DW50" s="2492">
        <f t="shared" si="261"/>
      </c>
      <c r="DX50" s="2492">
        <f t="shared" si="261"/>
      </c>
      <c r="DY50" s="2493">
        <f t="shared" si="261"/>
      </c>
      <c r="DZ50" s="2492">
        <f t="shared" si="261"/>
      </c>
      <c r="EA50" s="2492">
        <f t="shared" si="261"/>
      </c>
      <c r="EB50" s="2492">
        <f t="shared" si="261"/>
      </c>
      <c r="EC50" s="2493">
        <f t="shared" si="261"/>
      </c>
      <c r="ED50" s="2492">
        <f t="shared" si="261"/>
      </c>
      <c r="EE50" s="2492">
        <f t="shared" si="261"/>
      </c>
      <c r="EF50" s="2492">
        <f t="shared" si="261"/>
      </c>
      <c r="EG50" s="2493">
        <f t="shared" si="261"/>
      </c>
      <c r="EH50" s="2492">
        <f t="shared" si="261"/>
      </c>
      <c r="EI50" s="2492">
        <f t="shared" si="261"/>
      </c>
      <c r="EJ50" s="2492">
        <f t="shared" si="261"/>
      </c>
      <c r="EK50" s="2493">
        <f t="shared" si="261"/>
      </c>
      <c r="EM50" s="2492"/>
      <c r="EN50" s="2492"/>
      <c r="EO50" s="2492"/>
      <c r="EP50" s="2492"/>
      <c r="EQ50" s="2492"/>
      <c r="ER50" s="2492"/>
      <c r="ES50" s="2492"/>
      <c r="ET50" s="2492"/>
      <c r="EU50" s="2492"/>
      <c r="EV50" s="2492"/>
      <c r="EW50" s="2492"/>
      <c r="EX50" s="2492"/>
      <c r="EY50" s="2492"/>
      <c r="EZ50" s="2492"/>
      <c r="FA50" s="2492"/>
      <c r="FB50" s="2492"/>
      <c r="FC50" s="2492"/>
      <c r="FD50" s="2492"/>
      <c r="FE50" s="2492"/>
      <c r="FF50" s="2492"/>
      <c r="FG50" s="2492"/>
      <c r="FH50" s="2492">
        <f>FH48+FH49</f>
      </c>
      <c r="FI50" s="2492">
        <f>SUM(CL50:CO50)</f>
      </c>
      <c r="FJ50" s="2492">
        <f>SUM(CP50:CS50)</f>
      </c>
      <c r="FK50" s="2492">
        <f>SUM(CT50:CW50)</f>
      </c>
      <c r="FL50" s="2492">
        <f>SUM(CX50:DA50)</f>
      </c>
      <c r="FM50" s="2492">
        <f>SUM(DB50:DE50)</f>
      </c>
      <c r="FN50" s="2492">
        <f>SUM(DF50:DI50)</f>
      </c>
      <c r="FO50" s="2492">
        <f>SUM(DJ50:DM50)</f>
      </c>
      <c r="FP50" s="2492">
        <f>SUM(DN50:DQ50)</f>
      </c>
      <c r="FQ50" s="2492">
        <f>SUM(DR50:DU50)</f>
      </c>
      <c r="FR50" s="2492">
        <f>SUM(DV50:DY50)</f>
      </c>
      <c r="FS50" s="2492">
        <f>SUM(DZ50:EC50)</f>
      </c>
      <c r="FT50" s="2492">
        <f>SUM(ED50:EG50)</f>
      </c>
      <c r="FU50" s="2492">
        <f>SUM(EH50:EK50)</f>
      </c>
      <c r="FV50" s="2492"/>
      <c r="FW50" s="2492"/>
      <c r="FX50" s="2492"/>
      <c r="FY50" s="2492"/>
      <c r="FZ50" s="2492"/>
      <c r="GA50" s="2492"/>
      <c r="GB50" s="2492"/>
      <c r="GC50" s="2492"/>
      <c r="GD50" s="2492"/>
      <c r="GE50" s="2492"/>
      <c r="GF50" s="2492"/>
      <c r="GG50" s="2492"/>
      <c r="GH50" s="2492"/>
      <c r="GI50" s="2492"/>
      <c r="GJ50" s="2492"/>
      <c r="GK50" s="2492"/>
      <c r="GL50" s="2492"/>
      <c r="GM50" s="2492"/>
      <c r="GN50" s="2492"/>
      <c r="GO50" s="2492"/>
      <c r="GP50" s="2492"/>
      <c r="GQ50" s="2492"/>
      <c r="GR50" s="2492"/>
      <c r="GS50" s="2492"/>
      <c r="GT50" s="2492">
        <f>SUM(CM50:CP50)</f>
      </c>
      <c r="GU50" s="2492">
        <f>SUM(CQ50:CT50)</f>
      </c>
      <c r="GV50" s="2492">
        <f>SUM(CU50:CX50)</f>
      </c>
      <c r="GW50" s="2492">
        <f>SUM(CY50:DB50)</f>
      </c>
      <c r="GX50" s="2492">
        <f>SUM(DC50:DF50)</f>
      </c>
      <c r="GY50" s="2492">
        <f>SUM(DG50:DJ50)</f>
      </c>
      <c r="GZ50" s="2492">
        <f>SUM(DK50:DN50)</f>
      </c>
      <c r="HA50" s="2492">
        <f>SUM(DO50:DR50)</f>
      </c>
      <c r="HB50" s="2492">
        <f>SUM(DS50:DV50)</f>
      </c>
      <c r="HC50" s="2492">
        <f>SUM(DW50:DZ50)</f>
      </c>
      <c r="HD50" s="2492">
        <f>SUM(EA50:ED50)</f>
      </c>
      <c r="HE50" s="2492">
        <f>SUM(EE50:EH50)</f>
      </c>
    </row>
    <row r="51" spans="1:213" s="11" customFormat="1" ht="10.199999999999999">
      <c r="E51" s="170"/>
      <c r="I51" s="170"/>
      <c r="M51" s="170"/>
      <c r="Q51" s="170"/>
      <c r="U51" s="170"/>
      <c r="Y51" s="170"/>
      <c r="AC51" s="170"/>
      <c r="AG51" s="170"/>
      <c r="AK51" s="170"/>
      <c r="AO51" s="170"/>
      <c r="AS51" s="170"/>
      <c r="AW51" s="170"/>
      <c r="BA51" s="170"/>
      <c r="BE51" s="170"/>
      <c r="BI51" s="170"/>
      <c r="BM51" s="170"/>
      <c r="BQ51" s="170"/>
      <c r="BU51" s="170"/>
      <c r="BX51" s="18"/>
      <c r="BY51" s="170"/>
      <c r="CC51" s="221"/>
      <c r="CD51" s="56"/>
      <c r="CE51" s="56"/>
      <c r="CF51" s="56"/>
      <c r="CG51" s="221"/>
      <c r="CH51" s="56"/>
      <c r="CJ51" s="56"/>
      <c r="CK51" s="219"/>
      <c r="CL51" s="74"/>
      <c r="CM51" s="74"/>
      <c r="CN51" s="91"/>
      <c r="CO51" s="362"/>
      <c r="CP51" s="74"/>
      <c r="CQ51" s="15"/>
      <c r="CR51" s="91"/>
      <c r="CS51" s="366"/>
      <c r="CT51" s="15"/>
      <c r="CU51" s="15"/>
      <c r="CV51" s="15"/>
      <c r="CW51" s="174"/>
      <c r="CX51" s="447"/>
      <c r="CY51" s="15"/>
      <c r="CZ51" s="15"/>
      <c r="DA51" s="174"/>
      <c r="DB51" s="89"/>
      <c r="DC51" s="15"/>
      <c r="DD51" s="15"/>
      <c r="DE51" s="260"/>
      <c r="DF51" s="89"/>
      <c r="DG51" s="89"/>
      <c r="DH51" s="89"/>
      <c r="DI51" s="260"/>
      <c r="DJ51" s="89"/>
      <c r="DK51" s="89"/>
      <c r="DL51" s="89"/>
      <c r="DM51" s="260"/>
      <c r="DN51" s="89"/>
      <c r="DO51" s="89"/>
      <c r="DP51" s="89"/>
      <c r="DQ51" s="260"/>
      <c r="DR51" s="89"/>
      <c r="DS51" s="89"/>
      <c r="DT51" s="89"/>
      <c r="DU51" s="260"/>
      <c r="DV51" s="89"/>
      <c r="DW51" s="89"/>
      <c r="DX51" s="89"/>
      <c r="DY51" s="260"/>
      <c r="DZ51" s="89"/>
      <c r="EA51" s="89"/>
      <c r="EB51" s="89"/>
      <c r="EC51" s="260"/>
      <c r="ED51" s="89"/>
      <c r="EE51" s="89"/>
      <c r="EF51" s="89"/>
      <c r="EG51" s="260"/>
      <c r="EH51" s="89"/>
      <c r="EI51" s="89"/>
      <c r="EJ51" s="89"/>
      <c r="EK51" s="260"/>
      <c r="FE51" s="64"/>
      <c r="FF51" s="64"/>
      <c r="FG51" s="64"/>
      <c r="FH51" s="63"/>
      <c r="FI51" s="63"/>
      <c r="FJ51" s="63"/>
      <c r="FK51" s="63"/>
      <c r="FL51" s="63"/>
      <c r="FM51" s="63"/>
      <c r="FN51" s="63"/>
      <c r="FO51" s="63"/>
      <c r="FP51" s="63"/>
      <c r="FQ51" s="63"/>
      <c r="FR51" s="2922"/>
      <c r="FS51" s="63"/>
      <c r="FT51" s="63"/>
      <c r="FU51" s="63"/>
      <c r="FV51" s="63"/>
    </row>
    <row r="52" spans="1:213" s="11" customFormat="1" ht="10.199999999999999">
      <c r="A52" s="47" t="s">
        <v>1105</v>
      </c>
      <c r="E52" s="170"/>
      <c r="I52" s="170"/>
      <c r="M52" s="170"/>
      <c r="Q52" s="170"/>
      <c r="U52" s="170"/>
      <c r="Y52" s="170"/>
      <c r="AC52" s="170"/>
      <c r="AG52" s="170"/>
      <c r="AK52" s="170"/>
      <c r="AO52" s="170"/>
      <c r="AS52" s="170"/>
      <c r="AV52" s="21"/>
      <c r="AW52" s="172"/>
      <c r="AX52" s="21"/>
      <c r="AY52" s="21"/>
      <c r="AZ52" s="21"/>
      <c r="BA52" s="172"/>
      <c r="BB52" s="21"/>
      <c r="BC52" s="21"/>
      <c r="BD52" s="21"/>
      <c r="BE52" s="172"/>
      <c r="BF52" s="21"/>
      <c r="BG52" s="21"/>
      <c r="BH52" s="21"/>
      <c r="BI52" s="172"/>
      <c r="BJ52" s="21"/>
      <c r="BK52" s="21"/>
      <c r="BL52" s="21"/>
      <c r="BM52" s="172"/>
      <c r="BN52" s="21"/>
      <c r="BO52" s="21"/>
      <c r="BP52" s="21"/>
      <c r="BQ52" s="172"/>
      <c r="BR52" s="21"/>
      <c r="BS52" s="21"/>
      <c r="BT52" s="21"/>
      <c r="BU52" s="172"/>
      <c r="BV52" s="21"/>
      <c r="BW52" s="21"/>
      <c r="BX52" s="21"/>
      <c r="BY52" s="172"/>
      <c r="BZ52" s="339"/>
      <c r="CA52" s="21"/>
      <c r="CB52" s="339"/>
      <c r="CC52" s="243"/>
      <c r="CD52" s="363"/>
      <c r="CE52" s="363"/>
      <c r="CF52" s="363"/>
      <c r="CG52" s="362"/>
      <c r="CH52" s="363"/>
      <c r="CI52" s="364"/>
      <c r="CJ52" s="363"/>
      <c r="CK52" s="362"/>
      <c r="CL52" s="363">
        <f t="shared" ref="CL52:DE53" si="262">CL15-CL48</f>
      </c>
      <c r="CM52" s="363">
        <f t="shared" si="262"/>
      </c>
      <c r="CN52" s="363">
        <f t="shared" si="262"/>
      </c>
      <c r="CO52" s="330">
        <f t="shared" si="262"/>
      </c>
      <c r="CP52" s="363">
        <f t="shared" si="262"/>
      </c>
      <c r="CQ52" s="363">
        <f t="shared" si="262"/>
      </c>
      <c r="CR52" s="363">
        <f t="shared" si="262"/>
      </c>
      <c r="CS52" s="330">
        <f t="shared" si="262"/>
      </c>
      <c r="CT52" s="363">
        <f t="shared" si="262"/>
      </c>
      <c r="CU52" s="363">
        <f t="shared" si="262"/>
      </c>
      <c r="CV52" s="363">
        <f t="shared" si="262"/>
      </c>
      <c r="CW52" s="362">
        <f t="shared" si="262"/>
      </c>
      <c r="CX52" s="472">
        <f t="shared" si="262"/>
      </c>
      <c r="CY52" s="363">
        <f t="shared" si="262"/>
      </c>
      <c r="CZ52" s="363">
        <f t="shared" si="262"/>
      </c>
      <c r="DA52" s="362">
        <f t="shared" si="262"/>
      </c>
      <c r="DB52" s="472">
        <f t="shared" si="262"/>
      </c>
      <c r="DC52" s="324">
        <f t="shared" si="262"/>
      </c>
      <c r="DD52" s="324">
        <f t="shared" si="262"/>
      </c>
      <c r="DE52" s="323">
        <f t="shared" si="262"/>
      </c>
      <c r="DF52" s="324">
        <f t="shared" ref="DF52" si="263">DF15-DF48</f>
      </c>
      <c r="DG52" s="324">
        <f t="shared" ref="DG52:DH52" si="264">DG15-DG48</f>
      </c>
      <c r="DH52" s="324">
        <f t="shared" si="264"/>
      </c>
      <c r="DI52" s="323">
        <f t="shared" ref="DI52:DL53" si="265">DI15-DI48</f>
      </c>
      <c r="DJ52" s="324">
        <f t="shared" si="265"/>
      </c>
      <c r="DK52" s="324">
        <f t="shared" si="265"/>
      </c>
      <c r="DL52" s="324">
        <f t="shared" si="265"/>
      </c>
      <c r="DM52" s="323">
        <f t="shared" ref="DM52:DP53" si="266">DM15-DM48</f>
      </c>
      <c r="DN52" s="324">
        <f t="shared" si="266"/>
      </c>
      <c r="DO52" s="324">
        <f t="shared" si="266"/>
      </c>
      <c r="DP52" s="324">
        <f t="shared" si="266"/>
      </c>
      <c r="DQ52" s="362">
        <f t="shared" ref="DQ52:DU52" si="267">DQ57*DQ15</f>
      </c>
      <c r="DR52" s="363">
        <f t="shared" si="267"/>
      </c>
      <c r="DS52" s="363">
        <f t="shared" si="267"/>
      </c>
      <c r="DT52" s="363">
        <f t="shared" si="267"/>
      </c>
      <c r="DU52" s="362">
        <f t="shared" si="267"/>
      </c>
      <c r="DV52" s="363">
        <f t="shared" ref="DV52:EK52" si="268">DV57*DV15</f>
      </c>
      <c r="DW52" s="363">
        <f t="shared" si="268"/>
      </c>
      <c r="DX52" s="363">
        <f t="shared" si="268"/>
      </c>
      <c r="DY52" s="362">
        <f t="shared" si="268"/>
      </c>
      <c r="DZ52" s="363">
        <f t="shared" si="268"/>
      </c>
      <c r="EA52" s="363">
        <f t="shared" si="268"/>
      </c>
      <c r="EB52" s="363">
        <f t="shared" si="268"/>
      </c>
      <c r="EC52" s="362">
        <f t="shared" si="268"/>
      </c>
      <c r="ED52" s="363">
        <f t="shared" si="268"/>
      </c>
      <c r="EE52" s="363">
        <f t="shared" si="268"/>
      </c>
      <c r="EF52" s="363">
        <f t="shared" si="268"/>
      </c>
      <c r="EG52" s="362">
        <f t="shared" si="268"/>
      </c>
      <c r="EH52" s="363">
        <f t="shared" si="268"/>
      </c>
      <c r="EI52" s="363">
        <f t="shared" si="268"/>
      </c>
      <c r="EJ52" s="363">
        <f t="shared" si="268"/>
      </c>
      <c r="EK52" s="362">
        <f t="shared" si="268"/>
      </c>
      <c r="EX52" s="363"/>
      <c r="EY52" s="363"/>
      <c r="EZ52" s="363"/>
      <c r="FA52" s="363"/>
      <c r="FB52" s="363"/>
      <c r="FC52" s="363"/>
      <c r="FD52" s="363"/>
      <c r="FE52" s="363"/>
      <c r="FF52" s="363"/>
      <c r="FG52" s="363"/>
      <c r="FH52" s="363">
        <f>FH15-FH48</f>
      </c>
      <c r="FI52" s="15">
        <f>SUM(CL52:CO52)</f>
      </c>
      <c r="FJ52" s="15">
        <f>SUM(CP52:CS52)</f>
      </c>
      <c r="FK52" s="15">
        <f>SUM(CT52:CW52)</f>
      </c>
      <c r="FL52" s="15">
        <f>SUM(CX52:DA52)</f>
      </c>
      <c r="FM52" s="15">
        <f>SUM(DB52:DE52)</f>
      </c>
      <c r="FN52" s="15">
        <f>SUM(DF52:DI52)</f>
      </c>
      <c r="FO52" s="15">
        <f>SUM(DJ52:DM52)</f>
      </c>
      <c r="FP52" s="15">
        <f>SUM(DN52:DQ52)</f>
      </c>
      <c r="FQ52" s="15">
        <f>SUM(DR52:DU52)</f>
      </c>
      <c r="FR52" s="15">
        <f>SUM(DV52:DY52)</f>
      </c>
      <c r="FS52" s="15">
        <f>SUM(DZ52:EC52)</f>
      </c>
      <c r="FT52" s="15">
        <f>SUM(ED52:EG52)</f>
      </c>
      <c r="FU52" s="15">
        <f>SUM(EH52:EK52)</f>
      </c>
      <c r="FV52" s="15"/>
      <c r="GI52" s="21"/>
      <c r="GJ52" s="21"/>
      <c r="GK52" s="21"/>
      <c r="GL52" s="21"/>
      <c r="GM52" s="21"/>
      <c r="GN52" s="21"/>
      <c r="GO52" s="21"/>
      <c r="GP52" s="21"/>
      <c r="GQ52" s="352"/>
      <c r="GR52" s="128"/>
      <c r="GS52" s="128"/>
      <c r="GT52" s="15">
        <f>SUM(CM52:CP52)</f>
      </c>
      <c r="GU52" s="15">
        <f>SUM(CQ52:CT52)</f>
      </c>
      <c r="GV52" s="15">
        <f>SUM(CU52:CX52)</f>
      </c>
      <c r="GW52" s="15">
        <f>SUM(CY52:DB52)</f>
      </c>
      <c r="GX52" s="15">
        <f>SUM(DC52:DF52)</f>
      </c>
      <c r="GY52" s="15">
        <f>SUM(DG52:DJ52)</f>
      </c>
      <c r="GZ52" s="15">
        <f>SUM(DK52:DN52)</f>
      </c>
      <c r="HA52" s="15">
        <f>SUM(DO52:DR52)</f>
      </c>
      <c r="HB52" s="15">
        <f>SUM(DS52:DV52)</f>
      </c>
      <c r="HC52" s="15">
        <f>SUM(DW52:DZ52)</f>
      </c>
      <c r="HD52" s="15">
        <f>SUM(EA52:ED52)</f>
      </c>
      <c r="HE52" s="15">
        <f>SUM(EE52:EH52)</f>
      </c>
    </row>
    <row r="53" spans="1:213" s="11" customFormat="1" ht="10.199999999999999">
      <c r="A53" s="47" t="s">
        <v>995</v>
      </c>
      <c r="E53" s="170"/>
      <c r="I53" s="170"/>
      <c r="M53" s="170"/>
      <c r="Q53" s="170"/>
      <c r="U53" s="170"/>
      <c r="Y53" s="170"/>
      <c r="AC53" s="170"/>
      <c r="AG53" s="170"/>
      <c r="AK53" s="170"/>
      <c r="AO53" s="170"/>
      <c r="AS53" s="170"/>
      <c r="AV53" s="21"/>
      <c r="AW53" s="172"/>
      <c r="AX53" s="21"/>
      <c r="AY53" s="21"/>
      <c r="AZ53" s="21"/>
      <c r="BA53" s="172"/>
      <c r="BB53" s="21"/>
      <c r="BC53" s="21"/>
      <c r="BD53" s="21"/>
      <c r="BE53" s="172"/>
      <c r="BF53" s="21"/>
      <c r="BG53" s="21"/>
      <c r="BH53" s="21"/>
      <c r="BI53" s="172"/>
      <c r="BJ53" s="21"/>
      <c r="BK53" s="21"/>
      <c r="BL53" s="21"/>
      <c r="BM53" s="172"/>
      <c r="BN53" s="21"/>
      <c r="BO53" s="21"/>
      <c r="BP53" s="21"/>
      <c r="BQ53" s="172"/>
      <c r="BR53" s="21"/>
      <c r="BS53" s="21"/>
      <c r="BT53" s="21"/>
      <c r="BU53" s="172"/>
      <c r="BV53" s="167"/>
      <c r="BW53" s="167"/>
      <c r="BX53" s="167"/>
      <c r="BY53" s="349"/>
      <c r="BZ53" s="350"/>
      <c r="CA53" s="167"/>
      <c r="CB53" s="350"/>
      <c r="CC53" s="351"/>
      <c r="CD53" s="324"/>
      <c r="CE53" s="324"/>
      <c r="CF53" s="324"/>
      <c r="CG53" s="323"/>
      <c r="CH53" s="324"/>
      <c r="CI53" s="365"/>
      <c r="CJ53" s="324"/>
      <c r="CK53" s="323"/>
      <c r="CL53" s="363">
        <f t="shared" ref="CL53:DD53" si="269">CL16-CL49</f>
      </c>
      <c r="CM53" s="363">
        <f t="shared" si="269"/>
      </c>
      <c r="CN53" s="363">
        <f t="shared" si="269"/>
      </c>
      <c r="CO53" s="330">
        <f t="shared" si="269"/>
      </c>
      <c r="CP53" s="363">
        <f t="shared" si="269"/>
      </c>
      <c r="CQ53" s="363">
        <f t="shared" si="269"/>
      </c>
      <c r="CR53" s="363">
        <f t="shared" si="269"/>
      </c>
      <c r="CS53" s="330">
        <f t="shared" si="269"/>
      </c>
      <c r="CT53" s="363">
        <f t="shared" si="269"/>
      </c>
      <c r="CU53" s="363">
        <f t="shared" si="269"/>
      </c>
      <c r="CV53" s="363">
        <f t="shared" si="269"/>
      </c>
      <c r="CW53" s="362">
        <f t="shared" si="269"/>
      </c>
      <c r="CX53" s="472">
        <f t="shared" si="269"/>
      </c>
      <c r="CY53" s="363">
        <f t="shared" si="269"/>
      </c>
      <c r="CZ53" s="363">
        <f t="shared" si="269"/>
      </c>
      <c r="DA53" s="362">
        <f t="shared" si="269"/>
      </c>
      <c r="DB53" s="472">
        <f t="shared" si="269"/>
      </c>
      <c r="DC53" s="324">
        <f t="shared" si="269"/>
      </c>
      <c r="DD53" s="324">
        <f t="shared" si="269"/>
      </c>
      <c r="DE53" s="323">
        <f t="shared" si="262"/>
      </c>
      <c r="DF53" s="324">
        <f t="shared" ref="DF53" si="270">DF16-DF49</f>
      </c>
      <c r="DG53" s="324">
        <f t="shared" ref="DG53:DH53" si="271">DG16-DG49</f>
      </c>
      <c r="DH53" s="324">
        <f t="shared" si="271"/>
      </c>
      <c r="DI53" s="323">
        <f t="shared" ref="DI53" si="272">DI16-DI49</f>
      </c>
      <c r="DJ53" s="324">
        <f t="shared" si="265"/>
      </c>
      <c r="DK53" s="324">
        <f t="shared" si="265"/>
      </c>
      <c r="DL53" s="324">
        <f t="shared" si="265"/>
      </c>
      <c r="DM53" s="323">
        <f t="shared" si="266"/>
      </c>
      <c r="DN53" s="324">
        <f t="shared" si="266"/>
      </c>
      <c r="DO53" s="324">
        <f t="shared" si="266"/>
      </c>
      <c r="DP53" s="324">
        <f t="shared" si="266"/>
      </c>
      <c r="DQ53" s="362">
        <f t="shared" ref="DQ53:DU53" si="273">DQ58*DQ16</f>
      </c>
      <c r="DR53" s="363">
        <f t="shared" si="273"/>
      </c>
      <c r="DS53" s="363">
        <f t="shared" si="273"/>
      </c>
      <c r="DT53" s="363">
        <f t="shared" si="273"/>
      </c>
      <c r="DU53" s="362">
        <f t="shared" si="273"/>
      </c>
      <c r="DV53" s="363">
        <f t="shared" ref="DV53:EK53" si="274">DV58*DV16</f>
      </c>
      <c r="DW53" s="363">
        <f t="shared" si="274"/>
      </c>
      <c r="DX53" s="363">
        <f t="shared" si="274"/>
      </c>
      <c r="DY53" s="362">
        <f t="shared" si="274"/>
      </c>
      <c r="DZ53" s="363">
        <f t="shared" si="274"/>
      </c>
      <c r="EA53" s="363">
        <f t="shared" si="274"/>
      </c>
      <c r="EB53" s="363">
        <f t="shared" si="274"/>
      </c>
      <c r="EC53" s="362">
        <f t="shared" si="274"/>
      </c>
      <c r="ED53" s="363">
        <f t="shared" si="274"/>
      </c>
      <c r="EE53" s="363">
        <f t="shared" si="274"/>
      </c>
      <c r="EF53" s="363">
        <f t="shared" si="274"/>
      </c>
      <c r="EG53" s="362">
        <f t="shared" si="274"/>
      </c>
      <c r="EH53" s="363">
        <f t="shared" si="274"/>
      </c>
      <c r="EI53" s="363">
        <f t="shared" si="274"/>
      </c>
      <c r="EJ53" s="363">
        <f t="shared" si="274"/>
      </c>
      <c r="EK53" s="362">
        <f t="shared" si="274"/>
      </c>
      <c r="EX53" s="363"/>
      <c r="EY53" s="363"/>
      <c r="EZ53" s="363"/>
      <c r="FA53" s="363"/>
      <c r="FB53" s="363"/>
      <c r="FC53" s="363"/>
      <c r="FD53" s="363"/>
      <c r="FE53" s="363"/>
      <c r="FF53" s="363"/>
      <c r="FG53" s="363"/>
      <c r="FH53" s="363">
        <f>FH16-FH49</f>
      </c>
      <c r="FI53" s="15">
        <f>SUM(CL53:CO53)</f>
      </c>
      <c r="FJ53" s="15">
        <f>SUM(CP53:CS53)</f>
      </c>
      <c r="FK53" s="15">
        <f>SUM(CT53:CW53)</f>
      </c>
      <c r="FL53" s="15">
        <f>SUM(CX53:DA53)</f>
      </c>
      <c r="FM53" s="15">
        <f>SUM(DB53:DE53)</f>
      </c>
      <c r="FN53" s="15">
        <f>SUM(DF53:DI53)</f>
      </c>
      <c r="FO53" s="15">
        <f>SUM(DJ53:DM53)</f>
      </c>
      <c r="FP53" s="15">
        <f>SUM(DN53:DQ53)</f>
      </c>
      <c r="FQ53" s="15">
        <f>SUM(DR53:DU53)</f>
      </c>
      <c r="FR53" s="15">
        <f>SUM(DV53:DY53)</f>
      </c>
      <c r="FS53" s="15">
        <f>SUM(DZ53:EC53)</f>
      </c>
      <c r="FT53" s="15">
        <f>SUM(ED53:EG53)</f>
      </c>
      <c r="FU53" s="15">
        <f>SUM(EH53:EK53)</f>
      </c>
      <c r="FV53" s="15"/>
      <c r="GI53" s="21"/>
      <c r="GJ53" s="21"/>
      <c r="GK53" s="21"/>
      <c r="GL53" s="21"/>
      <c r="GM53" s="21"/>
      <c r="GN53" s="21"/>
      <c r="GO53" s="21"/>
      <c r="GP53" s="21"/>
      <c r="GQ53" s="354"/>
      <c r="GR53" s="128"/>
      <c r="GS53" s="128"/>
      <c r="GT53" s="15">
        <f>SUM(CM53:CP53)</f>
      </c>
      <c r="GU53" s="15">
        <f>SUM(CQ53:CT53)</f>
      </c>
      <c r="GV53" s="15">
        <f>SUM(CU53:CX53)</f>
      </c>
      <c r="GW53" s="15">
        <f>SUM(CY53:DB53)</f>
      </c>
      <c r="GX53" s="15">
        <f>SUM(DC53:DF53)</f>
      </c>
      <c r="GY53" s="15">
        <f>SUM(DG53:DJ53)</f>
      </c>
      <c r="GZ53" s="15">
        <f>SUM(DK53:DN53)</f>
      </c>
      <c r="HA53" s="15">
        <f>SUM(DO53:DR53)</f>
      </c>
      <c r="HB53" s="15">
        <f>SUM(DS53:DV53)</f>
      </c>
      <c r="HC53" s="15">
        <f>SUM(DW53:DZ53)</f>
      </c>
      <c r="HD53" s="15">
        <f>SUM(EA53:ED53)</f>
      </c>
      <c r="HE53" s="15">
        <f>SUM(EE53:EH53)</f>
      </c>
    </row>
    <row r="54" spans="1:213" s="11" customFormat="1" ht="10.199999999999999">
      <c r="A54" s="721" t="s">
        <v>67</v>
      </c>
      <c r="B54" s="39"/>
      <c r="C54" s="39"/>
      <c r="D54" s="39"/>
      <c r="E54" s="387"/>
      <c r="F54" s="39"/>
      <c r="G54" s="39"/>
      <c r="H54" s="39"/>
      <c r="I54" s="387"/>
      <c r="J54" s="39"/>
      <c r="K54" s="39"/>
      <c r="L54" s="39"/>
      <c r="M54" s="387"/>
      <c r="N54" s="39"/>
      <c r="O54" s="39"/>
      <c r="P54" s="39"/>
      <c r="Q54" s="387"/>
      <c r="R54" s="39"/>
      <c r="S54" s="39"/>
      <c r="T54" s="39"/>
      <c r="U54" s="387"/>
      <c r="V54" s="39"/>
      <c r="W54" s="39"/>
      <c r="X54" s="39"/>
      <c r="Y54" s="387"/>
      <c r="Z54" s="39"/>
      <c r="AA54" s="39"/>
      <c r="AB54" s="39"/>
      <c r="AC54" s="387"/>
      <c r="AD54" s="39"/>
      <c r="AE54" s="39"/>
      <c r="AF54" s="39"/>
      <c r="AG54" s="387"/>
      <c r="AH54" s="39"/>
      <c r="AI54" s="39"/>
      <c r="AJ54" s="39"/>
      <c r="AK54" s="387"/>
      <c r="AL54" s="39"/>
      <c r="AM54" s="39"/>
      <c r="AN54" s="39"/>
      <c r="AO54" s="387"/>
      <c r="AP54" s="39"/>
      <c r="AQ54" s="39"/>
      <c r="AR54" s="39"/>
      <c r="AS54" s="387"/>
      <c r="AT54" s="39"/>
      <c r="AU54" s="39"/>
      <c r="AV54" s="722"/>
      <c r="AW54" s="723"/>
      <c r="AX54" s="722"/>
      <c r="AY54" s="722"/>
      <c r="AZ54" s="722"/>
      <c r="BA54" s="723"/>
      <c r="BB54" s="722"/>
      <c r="BC54" s="722"/>
      <c r="BD54" s="722"/>
      <c r="BE54" s="723"/>
      <c r="BF54" s="722"/>
      <c r="BG54" s="722"/>
      <c r="BH54" s="722"/>
      <c r="BI54" s="723"/>
      <c r="BJ54" s="722"/>
      <c r="BK54" s="722"/>
      <c r="BL54" s="722"/>
      <c r="BM54" s="723"/>
      <c r="BN54" s="722"/>
      <c r="BO54" s="722"/>
      <c r="BP54" s="722"/>
      <c r="BQ54" s="723"/>
      <c r="BR54" s="722"/>
      <c r="BS54" s="722"/>
      <c r="BT54" s="722"/>
      <c r="BU54" s="723"/>
      <c r="BV54" s="724"/>
      <c r="BW54" s="724"/>
      <c r="BX54" s="725"/>
      <c r="BY54" s="726"/>
      <c r="BZ54" s="724"/>
      <c r="CA54" s="724"/>
      <c r="CB54" s="725"/>
      <c r="CC54" s="726"/>
      <c r="CD54" s="727"/>
      <c r="CE54" s="727"/>
      <c r="CF54" s="727"/>
      <c r="CG54" s="728"/>
      <c r="CH54" s="727"/>
      <c r="CI54" s="729"/>
      <c r="CJ54" s="727"/>
      <c r="CK54" s="728"/>
      <c r="CL54" s="730">
        <f t="shared" ref="CL54:DU54" si="275">SUM(CL52:CL53)</f>
      </c>
      <c r="CM54" s="730">
        <f t="shared" si="275"/>
      </c>
      <c r="CN54" s="730">
        <f t="shared" si="275"/>
      </c>
      <c r="CO54" s="731">
        <f t="shared" si="275"/>
      </c>
      <c r="CP54" s="730">
        <f t="shared" si="275"/>
      </c>
      <c r="CQ54" s="730">
        <f t="shared" si="275"/>
      </c>
      <c r="CR54" s="730">
        <f t="shared" si="275"/>
      </c>
      <c r="CS54" s="731">
        <f t="shared" si="275"/>
      </c>
      <c r="CT54" s="730">
        <f t="shared" si="275"/>
      </c>
      <c r="CU54" s="730">
        <f t="shared" si="275"/>
      </c>
      <c r="CV54" s="730">
        <f t="shared" si="275"/>
      </c>
      <c r="CW54" s="731">
        <f t="shared" si="275"/>
      </c>
      <c r="CX54" s="732">
        <f t="shared" si="275"/>
      </c>
      <c r="CY54" s="730">
        <f t="shared" si="275"/>
      </c>
      <c r="CZ54" s="730">
        <f t="shared" si="275"/>
      </c>
      <c r="DA54" s="731">
        <f t="shared" si="275"/>
      </c>
      <c r="DB54" s="732">
        <f t="shared" si="275"/>
      </c>
      <c r="DC54" s="2858">
        <f t="shared" si="275"/>
      </c>
      <c r="DD54" s="2858">
        <f t="shared" si="275"/>
      </c>
      <c r="DE54" s="3150">
        <f t="shared" si="275"/>
      </c>
      <c r="DF54" s="2858">
        <f t="shared" si="275"/>
      </c>
      <c r="DG54" s="2858">
        <f t="shared" ref="DG54:DH54" si="276">SUM(DG52:DG53)</f>
      </c>
      <c r="DH54" s="2858">
        <f t="shared" si="276"/>
      </c>
      <c r="DI54" s="3150">
        <f t="shared" ref="DI54:DL54" si="277">SUM(DI52:DI53)</f>
      </c>
      <c r="DJ54" s="2858">
        <f t="shared" si="277"/>
      </c>
      <c r="DK54" s="2858">
        <f t="shared" si="277"/>
      </c>
      <c r="DL54" s="2858">
        <f t="shared" si="277"/>
      </c>
      <c r="DM54" s="3150">
        <f t="shared" ref="DM54:DP54" si="278">SUM(DM52:DM53)</f>
      </c>
      <c r="DN54" s="2858">
        <f t="shared" si="278"/>
      </c>
      <c r="DO54" s="2858">
        <f t="shared" si="278"/>
      </c>
      <c r="DP54" s="2858">
        <f t="shared" si="278"/>
      </c>
      <c r="DQ54" s="733">
        <f t="shared" si="275"/>
      </c>
      <c r="DR54" s="734">
        <f t="shared" si="275"/>
      </c>
      <c r="DS54" s="734">
        <f t="shared" si="275"/>
      </c>
      <c r="DT54" s="734">
        <f t="shared" si="275"/>
      </c>
      <c r="DU54" s="733">
        <f t="shared" si="275"/>
      </c>
      <c r="DV54" s="734">
        <f t="shared" ref="DV54:EK54" si="279">SUM(DV52:DV53)</f>
      </c>
      <c r="DW54" s="734">
        <f t="shared" si="279"/>
      </c>
      <c r="DX54" s="734">
        <f t="shared" si="279"/>
      </c>
      <c r="DY54" s="733">
        <f t="shared" si="279"/>
      </c>
      <c r="DZ54" s="734">
        <f t="shared" si="279"/>
      </c>
      <c r="EA54" s="734">
        <f t="shared" si="279"/>
      </c>
      <c r="EB54" s="734">
        <f t="shared" si="279"/>
      </c>
      <c r="EC54" s="733">
        <f t="shared" si="279"/>
      </c>
      <c r="ED54" s="734">
        <f t="shared" si="279"/>
      </c>
      <c r="EE54" s="734">
        <f t="shared" si="279"/>
      </c>
      <c r="EF54" s="734">
        <f t="shared" si="279"/>
      </c>
      <c r="EG54" s="733">
        <f t="shared" si="279"/>
      </c>
      <c r="EH54" s="734">
        <f t="shared" si="279"/>
      </c>
      <c r="EI54" s="734">
        <f t="shared" si="279"/>
      </c>
      <c r="EJ54" s="734">
        <f t="shared" si="279"/>
      </c>
      <c r="EK54" s="733">
        <f t="shared" si="279"/>
      </c>
      <c r="EM54" s="39"/>
      <c r="EN54" s="39"/>
      <c r="EO54" s="39"/>
      <c r="EP54" s="39"/>
      <c r="EQ54" s="39"/>
      <c r="ER54" s="39"/>
      <c r="ES54" s="39"/>
      <c r="ET54" s="39"/>
      <c r="EU54" s="39"/>
      <c r="EV54" s="39"/>
      <c r="EW54" s="39"/>
      <c r="EX54" s="730"/>
      <c r="EY54" s="730"/>
      <c r="EZ54" s="730"/>
      <c r="FA54" s="730"/>
      <c r="FB54" s="730"/>
      <c r="FC54" s="730"/>
      <c r="FD54" s="730"/>
      <c r="FE54" s="730"/>
      <c r="FF54" s="730"/>
      <c r="FG54" s="730"/>
      <c r="FH54" s="730">
        <f>SUM(FH52:FH53)</f>
      </c>
      <c r="FI54" s="60">
        <f>SUM(CL54:CO54)</f>
      </c>
      <c r="FJ54" s="60">
        <f>SUM(CP54:CS54)</f>
      </c>
      <c r="FK54" s="60">
        <f>SUM(CT54:CW54)</f>
      </c>
      <c r="FL54" s="60">
        <f>SUM(CX54:DA54)</f>
      </c>
      <c r="FM54" s="60">
        <f>SUM(DB54:DE54)</f>
      </c>
      <c r="FN54" s="60">
        <f>SUM(DF54:DI54)</f>
      </c>
      <c r="FO54" s="60">
        <f>SUM(DJ54:DM54)</f>
      </c>
      <c r="FP54" s="60">
        <f>SUM(DN54:DQ54)</f>
      </c>
      <c r="FQ54" s="60">
        <f>SUM(DR54:DU54)</f>
      </c>
      <c r="FR54" s="60">
        <f>SUM(DV54:DY54)</f>
      </c>
      <c r="FS54" s="60">
        <f>SUM(DZ54:EC54)</f>
      </c>
      <c r="FT54" s="60">
        <f>SUM(ED54:EG54)</f>
      </c>
      <c r="FU54" s="60">
        <f>SUM(EH54:EK54)</f>
      </c>
      <c r="FV54" s="60"/>
      <c r="FW54" s="39"/>
      <c r="FX54" s="39"/>
      <c r="FY54" s="39"/>
      <c r="FZ54" s="39"/>
      <c r="GA54" s="39"/>
      <c r="GB54" s="39"/>
      <c r="GC54" s="39"/>
      <c r="GD54" s="39"/>
      <c r="GE54" s="39"/>
      <c r="GF54" s="39"/>
      <c r="GG54" s="39"/>
      <c r="GH54" s="39"/>
      <c r="GI54" s="722"/>
      <c r="GJ54" s="722"/>
      <c r="GK54" s="722"/>
      <c r="GL54" s="722"/>
      <c r="GM54" s="722"/>
      <c r="GN54" s="722"/>
      <c r="GO54" s="722"/>
      <c r="GP54" s="722"/>
      <c r="GQ54" s="727"/>
      <c r="GR54" s="1278"/>
      <c r="GS54" s="1278"/>
      <c r="GT54" s="60">
        <f>SUM(CM54:CP54)</f>
      </c>
      <c r="GU54" s="60">
        <f>SUM(CQ54:CT54)</f>
      </c>
      <c r="GV54" s="60">
        <f>SUM(CU54:CX54)</f>
      </c>
      <c r="GW54" s="60">
        <f>SUM(CY54:DB54)</f>
      </c>
      <c r="GX54" s="60">
        <f>SUM(DC54:DF54)</f>
      </c>
      <c r="GY54" s="60">
        <f>SUM(DG54:DJ54)</f>
      </c>
      <c r="GZ54" s="60">
        <f>SUM(DK54:DN54)</f>
      </c>
      <c r="HA54" s="60">
        <f>SUM(DO54:DR54)</f>
      </c>
      <c r="HB54" s="60">
        <f>SUM(DS54:DV54)</f>
      </c>
      <c r="HC54" s="60">
        <f>SUM(DW54:DZ54)</f>
      </c>
      <c r="HD54" s="60">
        <f>SUM(EA54:ED54)</f>
      </c>
      <c r="HE54" s="60">
        <f>SUM(EE54:EH54)</f>
      </c>
    </row>
    <row r="55" spans="1:213" s="11" customFormat="1" ht="10.199999999999999">
      <c r="A55" s="47"/>
      <c r="E55" s="170"/>
      <c r="I55" s="170"/>
      <c r="M55" s="170"/>
      <c r="Q55" s="170"/>
      <c r="U55" s="170"/>
      <c r="Y55" s="170"/>
      <c r="AC55" s="170"/>
      <c r="AG55" s="170"/>
      <c r="AK55" s="170"/>
      <c r="AO55" s="170"/>
      <c r="AS55" s="170"/>
      <c r="AV55" s="21"/>
      <c r="AW55" s="172"/>
      <c r="AX55" s="21"/>
      <c r="AY55" s="21"/>
      <c r="AZ55" s="21"/>
      <c r="BA55" s="172"/>
      <c r="BB55" s="21"/>
      <c r="BC55" s="21"/>
      <c r="BD55" s="21"/>
      <c r="BE55" s="172"/>
      <c r="BF55" s="21"/>
      <c r="BG55" s="21"/>
      <c r="BH55" s="21"/>
      <c r="BI55" s="172"/>
      <c r="BJ55" s="21"/>
      <c r="BK55" s="21"/>
      <c r="BL55" s="21"/>
      <c r="BM55" s="172"/>
      <c r="BN55" s="21"/>
      <c r="BO55" s="21"/>
      <c r="BP55" s="21"/>
      <c r="BQ55" s="172"/>
      <c r="BR55" s="21"/>
      <c r="BS55" s="21"/>
      <c r="BT55" s="21"/>
      <c r="BU55" s="172"/>
      <c r="BV55" s="167"/>
      <c r="BW55" s="167"/>
      <c r="BX55" s="167"/>
      <c r="BY55" s="349"/>
      <c r="BZ55" s="350"/>
      <c r="CA55" s="167"/>
      <c r="CB55" s="350"/>
      <c r="CC55" s="351"/>
      <c r="CD55" s="324"/>
      <c r="CE55" s="324"/>
      <c r="CF55" s="324"/>
      <c r="CG55" s="323"/>
      <c r="CH55" s="324"/>
      <c r="CI55" s="365"/>
      <c r="CJ55" s="324"/>
      <c r="CK55" s="323"/>
      <c r="CL55" s="357"/>
      <c r="CM55" s="357"/>
      <c r="CN55" s="357"/>
      <c r="CO55" s="341"/>
      <c r="CP55" s="357"/>
      <c r="CQ55" s="357"/>
      <c r="CR55" s="357"/>
      <c r="CS55" s="341"/>
      <c r="CT55" s="357"/>
      <c r="CU55" s="357"/>
      <c r="CV55" s="357"/>
      <c r="CW55" s="461"/>
      <c r="CX55" s="471"/>
      <c r="CY55" s="357"/>
      <c r="CZ55" s="357"/>
      <c r="DA55" s="461"/>
      <c r="DB55" s="471"/>
      <c r="DC55" s="357"/>
      <c r="DD55" s="357"/>
      <c r="DE55" s="362"/>
      <c r="DF55" s="363"/>
      <c r="DG55" s="363"/>
      <c r="DH55" s="363"/>
      <c r="DI55" s="362"/>
      <c r="DJ55" s="363"/>
      <c r="DK55" s="2379"/>
      <c r="DL55" s="363"/>
      <c r="DM55" s="3332"/>
      <c r="DN55" s="363"/>
      <c r="DO55" s="2379"/>
      <c r="DP55" s="363"/>
      <c r="DQ55" s="362"/>
      <c r="DR55" s="363"/>
      <c r="DS55" s="363"/>
      <c r="DT55" s="363"/>
      <c r="DU55" s="362"/>
      <c r="DV55" s="363"/>
      <c r="DW55" s="363"/>
      <c r="DX55" s="363"/>
      <c r="DY55" s="362"/>
      <c r="DZ55" s="363"/>
      <c r="EA55" s="363"/>
      <c r="EB55" s="363"/>
      <c r="EC55" s="362"/>
      <c r="ED55" s="363"/>
      <c r="EE55" s="363"/>
      <c r="EF55" s="363"/>
      <c r="EG55" s="362"/>
      <c r="EH55" s="363"/>
      <c r="EI55" s="363"/>
      <c r="EJ55" s="363"/>
      <c r="EK55" s="362"/>
      <c r="EY55" s="21"/>
      <c r="EZ55" s="21"/>
      <c r="FA55" s="21"/>
      <c r="FB55" s="21"/>
      <c r="FC55" s="21"/>
      <c r="FD55" s="21"/>
      <c r="FE55" s="21"/>
      <c r="FF55" s="21"/>
      <c r="FG55" s="354"/>
      <c r="FH55" s="357"/>
      <c r="FI55" s="15"/>
      <c r="FJ55" s="15"/>
      <c r="FK55" s="15"/>
      <c r="FL55" s="15"/>
      <c r="FM55" s="58"/>
      <c r="FN55" s="58"/>
      <c r="FO55" s="517"/>
      <c r="FP55" s="58"/>
      <c r="FQ55" s="58"/>
      <c r="FR55" s="58"/>
      <c r="FS55" s="58"/>
      <c r="FT55" s="58"/>
      <c r="FU55" s="58"/>
      <c r="FV55" s="15"/>
      <c r="GI55" s="21"/>
      <c r="GJ55" s="21"/>
      <c r="GK55" s="21"/>
      <c r="GL55" s="21"/>
      <c r="GM55" s="21"/>
      <c r="GN55" s="21"/>
      <c r="GO55" s="21"/>
      <c r="GP55" s="21"/>
      <c r="GQ55" s="354"/>
      <c r="GR55" s="128"/>
      <c r="GS55" s="128"/>
      <c r="GT55" s="128"/>
      <c r="GU55" s="128"/>
      <c r="GV55" s="128"/>
      <c r="GW55" s="128"/>
      <c r="GX55" s="128"/>
      <c r="GY55" s="128"/>
      <c r="GZ55" s="128"/>
      <c r="HA55" s="128"/>
      <c r="HB55" s="128"/>
      <c r="HC55" s="128"/>
      <c r="HD55" s="128"/>
      <c r="HE55" s="128"/>
    </row>
    <row r="56" spans="1:213" s="11" customFormat="1" ht="10.199999999999999">
      <c r="A56" s="708" t="s">
        <v>1156</v>
      </c>
      <c r="B56" s="706" t="str">
        <f t="shared" ref="B56:AG56" si="280">B$8</f>
      </c>
      <c r="C56" s="706" t="str">
        <f t="shared" si="280"/>
      </c>
      <c r="D56" s="706" t="str">
        <f t="shared" si="280"/>
      </c>
      <c r="E56" s="707" t="str">
        <f t="shared" si="280"/>
      </c>
      <c r="F56" s="706" t="str">
        <f t="shared" si="280"/>
      </c>
      <c r="G56" s="706" t="str">
        <f t="shared" si="280"/>
      </c>
      <c r="H56" s="706" t="str">
        <f t="shared" si="280"/>
      </c>
      <c r="I56" s="707" t="str">
        <f t="shared" si="280"/>
      </c>
      <c r="J56" s="706" t="str">
        <f t="shared" si="280"/>
      </c>
      <c r="K56" s="706" t="str">
        <f t="shared" si="280"/>
      </c>
      <c r="L56" s="706" t="str">
        <f t="shared" si="280"/>
      </c>
      <c r="M56" s="707" t="str">
        <f t="shared" si="280"/>
      </c>
      <c r="N56" s="706" t="str">
        <f t="shared" si="280"/>
      </c>
      <c r="O56" s="706" t="str">
        <f t="shared" si="280"/>
      </c>
      <c r="P56" s="706" t="str">
        <f t="shared" si="280"/>
      </c>
      <c r="Q56" s="707" t="str">
        <f t="shared" si="280"/>
      </c>
      <c r="R56" s="706" t="str">
        <f t="shared" si="280"/>
      </c>
      <c r="S56" s="706" t="str">
        <f t="shared" si="280"/>
      </c>
      <c r="T56" s="706" t="str">
        <f t="shared" si="280"/>
      </c>
      <c r="U56" s="707" t="str">
        <f t="shared" si="280"/>
      </c>
      <c r="V56" s="706" t="str">
        <f t="shared" si="280"/>
      </c>
      <c r="W56" s="706" t="str">
        <f t="shared" si="280"/>
      </c>
      <c r="X56" s="706" t="str">
        <f t="shared" si="280"/>
      </c>
      <c r="Y56" s="707" t="str">
        <f t="shared" si="280"/>
      </c>
      <c r="Z56" s="706" t="str">
        <f t="shared" si="280"/>
      </c>
      <c r="AA56" s="706" t="str">
        <f t="shared" si="280"/>
      </c>
      <c r="AB56" s="706" t="str">
        <f t="shared" si="280"/>
      </c>
      <c r="AC56" s="707" t="str">
        <f t="shared" si="280"/>
      </c>
      <c r="AD56" s="706" t="str">
        <f t="shared" si="280"/>
      </c>
      <c r="AE56" s="706" t="str">
        <f t="shared" si="280"/>
      </c>
      <c r="AF56" s="706" t="str">
        <f t="shared" si="280"/>
      </c>
      <c r="AG56" s="707" t="str">
        <f t="shared" si="280"/>
      </c>
      <c r="AH56" s="706" t="str">
        <f t="shared" ref="AH56:BM56" si="281">AH$8</f>
      </c>
      <c r="AI56" s="706" t="str">
        <f t="shared" si="281"/>
      </c>
      <c r="AJ56" s="706" t="str">
        <f t="shared" si="281"/>
      </c>
      <c r="AK56" s="707" t="str">
        <f t="shared" si="281"/>
      </c>
      <c r="AL56" s="706" t="str">
        <f t="shared" si="281"/>
      </c>
      <c r="AM56" s="706" t="str">
        <f t="shared" si="281"/>
      </c>
      <c r="AN56" s="706" t="str">
        <f t="shared" si="281"/>
      </c>
      <c r="AO56" s="707" t="str">
        <f t="shared" si="281"/>
      </c>
      <c r="AP56" s="706" t="str">
        <f t="shared" si="281"/>
      </c>
      <c r="AQ56" s="706" t="str">
        <f t="shared" si="281"/>
      </c>
      <c r="AR56" s="706" t="str">
        <f t="shared" si="281"/>
      </c>
      <c r="AS56" s="707" t="str">
        <f t="shared" si="281"/>
      </c>
      <c r="AT56" s="706" t="str">
        <f t="shared" si="281"/>
      </c>
      <c r="AU56" s="706" t="str">
        <f t="shared" si="281"/>
      </c>
      <c r="AV56" s="706" t="str">
        <f t="shared" si="281"/>
      </c>
      <c r="AW56" s="707" t="str">
        <f t="shared" si="281"/>
      </c>
      <c r="AX56" s="706" t="str">
        <f t="shared" si="281"/>
      </c>
      <c r="AY56" s="706" t="str">
        <f t="shared" si="281"/>
      </c>
      <c r="AZ56" s="706" t="str">
        <f t="shared" si="281"/>
      </c>
      <c r="BA56" s="707" t="str">
        <f t="shared" si="281"/>
      </c>
      <c r="BB56" s="706" t="str">
        <f t="shared" si="281"/>
      </c>
      <c r="BC56" s="706" t="str">
        <f t="shared" si="281"/>
      </c>
      <c r="BD56" s="706" t="str">
        <f t="shared" si="281"/>
      </c>
      <c r="BE56" s="707" t="str">
        <f t="shared" si="281"/>
      </c>
      <c r="BF56" s="706" t="str">
        <f t="shared" si="281"/>
      </c>
      <c r="BG56" s="706" t="str">
        <f t="shared" si="281"/>
      </c>
      <c r="BH56" s="706" t="str">
        <f t="shared" si="281"/>
      </c>
      <c r="BI56" s="707" t="str">
        <f t="shared" si="281"/>
      </c>
      <c r="BJ56" s="706" t="str">
        <f t="shared" si="281"/>
      </c>
      <c r="BK56" s="706" t="str">
        <f t="shared" si="281"/>
      </c>
      <c r="BL56" s="706" t="str">
        <f t="shared" si="281"/>
      </c>
      <c r="BM56" s="707" t="str">
        <f t="shared" si="281"/>
      </c>
      <c r="BN56" s="706" t="str">
        <f t="shared" ref="BN56:CS56" si="282">BN$8</f>
      </c>
      <c r="BO56" s="706" t="str">
        <f t="shared" si="282"/>
      </c>
      <c r="BP56" s="706" t="str">
        <f t="shared" si="282"/>
      </c>
      <c r="BQ56" s="707" t="str">
        <f t="shared" si="282"/>
      </c>
      <c r="BR56" s="706" t="str">
        <f t="shared" si="282"/>
      </c>
      <c r="BS56" s="706" t="str">
        <f t="shared" si="282"/>
      </c>
      <c r="BT56" s="706" t="str">
        <f t="shared" si="282"/>
      </c>
      <c r="BU56" s="707" t="str">
        <f t="shared" si="282"/>
      </c>
      <c r="BV56" s="706" t="str">
        <f t="shared" si="282"/>
      </c>
      <c r="BW56" s="706" t="str">
        <f t="shared" si="282"/>
      </c>
      <c r="BX56" s="706" t="str">
        <f t="shared" si="282"/>
      </c>
      <c r="BY56" s="707" t="str">
        <f t="shared" si="282"/>
      </c>
      <c r="BZ56" s="706" t="str">
        <f t="shared" si="282"/>
      </c>
      <c r="CA56" s="706" t="str">
        <f t="shared" si="282"/>
      </c>
      <c r="CB56" s="706" t="str">
        <f t="shared" si="282"/>
      </c>
      <c r="CC56" s="707" t="str">
        <f t="shared" si="282"/>
      </c>
      <c r="CD56" s="706" t="str">
        <f t="shared" si="282"/>
      </c>
      <c r="CE56" s="706" t="str">
        <f t="shared" si="282"/>
      </c>
      <c r="CF56" s="706" t="str">
        <f t="shared" si="282"/>
      </c>
      <c r="CG56" s="707" t="str">
        <f t="shared" si="282"/>
      </c>
      <c r="CH56" s="706" t="str">
        <f t="shared" si="282"/>
      </c>
      <c r="CI56" s="706" t="str">
        <f t="shared" si="282"/>
      </c>
      <c r="CJ56" s="706" t="str">
        <f t="shared" si="282"/>
      </c>
      <c r="CK56" s="707" t="str">
        <f t="shared" si="282"/>
      </c>
      <c r="CL56" s="706" t="str">
        <f t="shared" si="282"/>
      </c>
      <c r="CM56" s="706" t="str">
        <f t="shared" si="282"/>
      </c>
      <c r="CN56" s="706" t="str">
        <f t="shared" si="282"/>
      </c>
      <c r="CO56" s="707" t="str">
        <f t="shared" si="282"/>
      </c>
      <c r="CP56" s="706" t="str">
        <f t="shared" si="282"/>
      </c>
      <c r="CQ56" s="706" t="str">
        <f t="shared" si="282"/>
      </c>
      <c r="CR56" s="706" t="str">
        <f t="shared" si="282"/>
      </c>
      <c r="CS56" s="707" t="str">
        <f t="shared" si="282"/>
      </c>
      <c r="CT56" s="706" t="str">
        <f t="shared" ref="CT56:EK56" si="283">CT$8</f>
      </c>
      <c r="CU56" s="706" t="str">
        <f t="shared" si="283"/>
      </c>
      <c r="CV56" s="706" t="str">
        <f t="shared" si="283"/>
      </c>
      <c r="CW56" s="707" t="str">
        <f t="shared" si="283"/>
      </c>
      <c r="CX56" s="706" t="str">
        <f t="shared" si="283"/>
      </c>
      <c r="CY56" s="706" t="str">
        <f t="shared" si="283"/>
      </c>
      <c r="CZ56" s="706" t="str">
        <f t="shared" si="283"/>
      </c>
      <c r="DA56" s="707" t="str">
        <f t="shared" si="283"/>
      </c>
      <c r="DB56" s="706" t="str">
        <f t="shared" si="283"/>
      </c>
      <c r="DC56" s="706" t="str">
        <f t="shared" si="283"/>
      </c>
      <c r="DD56" s="706" t="str">
        <f t="shared" si="283"/>
      </c>
      <c r="DE56" s="707" t="str">
        <f t="shared" si="283"/>
      </c>
      <c r="DF56" s="706" t="str">
        <f t="shared" si="283"/>
      </c>
      <c r="DG56" s="706" t="str">
        <f t="shared" si="283"/>
      </c>
      <c r="DH56" s="706" t="str">
        <f t="shared" si="283"/>
      </c>
      <c r="DI56" s="707" t="str">
        <f t="shared" si="283"/>
      </c>
      <c r="DJ56" s="706" t="str">
        <f t="shared" si="283"/>
      </c>
      <c r="DK56" s="706" t="str">
        <f t="shared" si="283"/>
      </c>
      <c r="DL56" s="706" t="str">
        <f t="shared" si="283"/>
      </c>
      <c r="DM56" s="707" t="str">
        <f t="shared" si="283"/>
      </c>
      <c r="DN56" s="706" t="str">
        <f t="shared" si="283"/>
      </c>
      <c r="DO56" s="706" t="str">
        <f t="shared" si="283"/>
      </c>
      <c r="DP56" s="706" t="str">
        <f t="shared" si="283"/>
      </c>
      <c r="DQ56" s="707" t="str">
        <f t="shared" si="283"/>
      </c>
      <c r="DR56" s="706" t="str">
        <f t="shared" si="283"/>
      </c>
      <c r="DS56" s="706" t="str">
        <f t="shared" si="283"/>
      </c>
      <c r="DT56" s="706" t="str">
        <f t="shared" si="283"/>
      </c>
      <c r="DU56" s="707" t="str">
        <f t="shared" si="283"/>
      </c>
      <c r="DV56" s="706" t="str">
        <f t="shared" si="283"/>
      </c>
      <c r="DW56" s="706" t="str">
        <f t="shared" si="283"/>
      </c>
      <c r="DX56" s="706" t="str">
        <f t="shared" si="283"/>
      </c>
      <c r="DY56" s="707" t="str">
        <f t="shared" si="283"/>
      </c>
      <c r="DZ56" s="706" t="str">
        <f t="shared" si="283"/>
      </c>
      <c r="EA56" s="706" t="str">
        <f t="shared" si="283"/>
      </c>
      <c r="EB56" s="706" t="str">
        <f t="shared" si="283"/>
      </c>
      <c r="EC56" s="707" t="str">
        <f t="shared" si="283"/>
      </c>
      <c r="ED56" s="706" t="str">
        <f t="shared" si="283"/>
      </c>
      <c r="EE56" s="706" t="str">
        <f t="shared" si="283"/>
      </c>
      <c r="EF56" s="706" t="str">
        <f t="shared" si="283"/>
      </c>
      <c r="EG56" s="707" t="str">
        <f t="shared" si="283"/>
      </c>
      <c r="EH56" s="706" t="str">
        <f t="shared" si="283"/>
      </c>
      <c r="EI56" s="706" t="str">
        <f t="shared" si="283"/>
      </c>
      <c r="EJ56" s="706" t="str">
        <f t="shared" si="283"/>
      </c>
      <c r="EK56" s="707" t="str">
        <f t="shared" si="283"/>
      </c>
      <c r="EM56" s="706">
        <f t="shared" ref="EM56:FU56" si="284">EM$9</f>
      </c>
      <c r="EN56" s="706">
        <f t="shared" si="284"/>
      </c>
      <c r="EO56" s="706">
        <f t="shared" si="284"/>
      </c>
      <c r="EP56" s="706">
        <f t="shared" si="284"/>
      </c>
      <c r="EQ56" s="706">
        <f t="shared" si="284"/>
      </c>
      <c r="ER56" s="706">
        <f t="shared" si="284"/>
      </c>
      <c r="ES56" s="706">
        <f t="shared" si="284"/>
      </c>
      <c r="ET56" s="706">
        <f t="shared" si="284"/>
      </c>
      <c r="EU56" s="706">
        <f t="shared" si="284"/>
      </c>
      <c r="EV56" s="706">
        <f t="shared" si="284"/>
      </c>
      <c r="EW56" s="706">
        <f t="shared" si="284"/>
      </c>
      <c r="EX56" s="706">
        <f t="shared" si="284"/>
      </c>
      <c r="EY56" s="706">
        <f t="shared" si="284"/>
      </c>
      <c r="EZ56" s="706">
        <f t="shared" si="284"/>
      </c>
      <c r="FA56" s="706">
        <f t="shared" si="284"/>
      </c>
      <c r="FB56" s="706">
        <f t="shared" si="284"/>
      </c>
      <c r="FC56" s="706">
        <f t="shared" si="284"/>
      </c>
      <c r="FD56" s="706" t="str">
        <f t="shared" si="284"/>
      </c>
      <c r="FE56" s="706" t="str">
        <f t="shared" si="284"/>
      </c>
      <c r="FF56" s="706" t="str">
        <f t="shared" si="284"/>
      </c>
      <c r="FG56" s="706" t="str">
        <f t="shared" si="284"/>
      </c>
      <c r="FH56" s="706" t="str">
        <f t="shared" si="284"/>
      </c>
      <c r="FI56" s="706" t="str">
        <f t="shared" si="284"/>
      </c>
      <c r="FJ56" s="706" t="str">
        <f t="shared" si="284"/>
      </c>
      <c r="FK56" s="706" t="str">
        <f t="shared" si="284"/>
      </c>
      <c r="FL56" s="706" t="str">
        <f t="shared" si="284"/>
      </c>
      <c r="FM56" s="706" t="str">
        <f t="shared" si="284"/>
      </c>
      <c r="FN56" s="706" t="str">
        <f t="shared" si="284"/>
      </c>
      <c r="FO56" s="706" t="str">
        <f t="shared" si="284"/>
      </c>
      <c r="FP56" s="706" t="str">
        <f t="shared" si="284"/>
      </c>
      <c r="FQ56" s="706" t="str">
        <f t="shared" si="284"/>
      </c>
      <c r="FR56" s="706" t="str">
        <f t="shared" si="284"/>
      </c>
      <c r="FS56" s="706" t="str">
        <f t="shared" si="284"/>
      </c>
      <c r="FT56" s="706" t="str">
        <f t="shared" si="284"/>
      </c>
      <c r="FU56" s="706" t="str">
        <f t="shared" si="284"/>
      </c>
      <c r="FV56" s="706"/>
      <c r="FW56" s="706"/>
      <c r="FX56" s="706">
        <f t="shared" ref="FX56:HE56" si="285">FX$9</f>
      </c>
      <c r="FY56" s="706">
        <f t="shared" si="285"/>
      </c>
      <c r="FZ56" s="706">
        <f t="shared" si="285"/>
      </c>
      <c r="GA56" s="706">
        <f t="shared" si="285"/>
      </c>
      <c r="GB56" s="706">
        <f t="shared" si="285"/>
      </c>
      <c r="GC56" s="706">
        <f t="shared" si="285"/>
      </c>
      <c r="GD56" s="706">
        <f t="shared" si="285"/>
      </c>
      <c r="GE56" s="706">
        <f t="shared" si="285"/>
      </c>
      <c r="GF56" s="706">
        <f t="shared" si="285"/>
      </c>
      <c r="GG56" s="706">
        <f t="shared" si="285"/>
      </c>
      <c r="GH56" s="706">
        <f t="shared" si="285"/>
      </c>
      <c r="GI56" s="706">
        <f t="shared" si="285"/>
      </c>
      <c r="GJ56" s="706">
        <f t="shared" si="285"/>
      </c>
      <c r="GK56" s="706">
        <f t="shared" si="285"/>
      </c>
      <c r="GL56" s="706">
        <f t="shared" si="285"/>
      </c>
      <c r="GM56" s="706">
        <f t="shared" si="285"/>
      </c>
      <c r="GN56" s="706">
        <f t="shared" si="285"/>
      </c>
      <c r="GO56" s="706">
        <f t="shared" si="285"/>
      </c>
      <c r="GP56" s="706" t="str">
        <f t="shared" si="285"/>
      </c>
      <c r="GQ56" s="706" t="str">
        <f t="shared" si="285"/>
      </c>
      <c r="GR56" s="706" t="str">
        <f t="shared" si="285"/>
      </c>
      <c r="GS56" s="706" t="str">
        <f t="shared" si="285"/>
      </c>
      <c r="GT56" s="706" t="str">
        <f t="shared" si="285"/>
      </c>
      <c r="GU56" s="706" t="str">
        <f t="shared" si="285"/>
      </c>
      <c r="GV56" s="706" t="str">
        <f t="shared" si="285"/>
      </c>
      <c r="GW56" s="706" t="str">
        <f t="shared" si="285"/>
      </c>
      <c r="GX56" s="706" t="str">
        <f t="shared" si="285"/>
      </c>
      <c r="GY56" s="706" t="str">
        <f t="shared" si="285"/>
      </c>
      <c r="GZ56" s="706" t="str">
        <f t="shared" si="285"/>
      </c>
      <c r="HA56" s="706" t="str">
        <f t="shared" si="285"/>
      </c>
      <c r="HB56" s="706" t="str">
        <f t="shared" si="285"/>
      </c>
      <c r="HC56" s="706" t="str">
        <f t="shared" si="285"/>
      </c>
      <c r="HD56" s="706" t="str">
        <f t="shared" si="285"/>
      </c>
      <c r="HE56" s="706" t="str">
        <f t="shared" si="285"/>
      </c>
    </row>
    <row r="57" spans="1:213" s="11" customFormat="1" ht="10.199999999999999">
      <c r="A57" s="735" t="s">
        <v>1173</v>
      </c>
      <c r="B57" s="300"/>
      <c r="C57" s="300"/>
      <c r="D57" s="300"/>
      <c r="E57" s="736"/>
      <c r="F57" s="300"/>
      <c r="G57" s="300"/>
      <c r="H57" s="300"/>
      <c r="I57" s="736"/>
      <c r="J57" s="300"/>
      <c r="K57" s="300"/>
      <c r="L57" s="300"/>
      <c r="M57" s="736"/>
      <c r="N57" s="300"/>
      <c r="O57" s="300"/>
      <c r="P57" s="300"/>
      <c r="Q57" s="736"/>
      <c r="R57" s="300"/>
      <c r="S57" s="300"/>
      <c r="T57" s="300"/>
      <c r="U57" s="736"/>
      <c r="V57" s="300"/>
      <c r="W57" s="300"/>
      <c r="X57" s="300"/>
      <c r="Y57" s="736"/>
      <c r="Z57" s="300"/>
      <c r="AA57" s="300"/>
      <c r="AB57" s="300"/>
      <c r="AC57" s="736"/>
      <c r="AD57" s="300"/>
      <c r="AE57" s="300"/>
      <c r="AF57" s="300"/>
      <c r="AG57" s="736"/>
      <c r="AH57" s="300"/>
      <c r="AI57" s="300"/>
      <c r="AJ57" s="300"/>
      <c r="AK57" s="736"/>
      <c r="AL57" s="300"/>
      <c r="AM57" s="300"/>
      <c r="AN57" s="300"/>
      <c r="AO57" s="736"/>
      <c r="AP57" s="300"/>
      <c r="AQ57" s="300"/>
      <c r="AR57" s="300"/>
      <c r="AS57" s="736"/>
      <c r="AT57" s="300"/>
      <c r="AU57" s="300"/>
      <c r="AV57" s="737"/>
      <c r="AW57" s="738"/>
      <c r="AX57" s="737"/>
      <c r="AY57" s="737"/>
      <c r="AZ57" s="737"/>
      <c r="BA57" s="738"/>
      <c r="BB57" s="737"/>
      <c r="BC57" s="737"/>
      <c r="BD57" s="737"/>
      <c r="BE57" s="738"/>
      <c r="BF57" s="737"/>
      <c r="BG57" s="737"/>
      <c r="BH57" s="737"/>
      <c r="BI57" s="738"/>
      <c r="BJ57" s="737"/>
      <c r="BK57" s="737"/>
      <c r="BL57" s="737"/>
      <c r="BM57" s="738"/>
      <c r="BN57" s="737"/>
      <c r="BO57" s="737"/>
      <c r="BP57" s="737"/>
      <c r="BQ57" s="738"/>
      <c r="BR57" s="737"/>
      <c r="BS57" s="737"/>
      <c r="BT57" s="737"/>
      <c r="BU57" s="738"/>
      <c r="BV57" s="737"/>
      <c r="BW57" s="737"/>
      <c r="BX57" s="737"/>
      <c r="BY57" s="738"/>
      <c r="BZ57" s="739"/>
      <c r="CA57" s="737"/>
      <c r="CB57" s="739"/>
      <c r="CC57" s="740"/>
      <c r="CD57" s="741"/>
      <c r="CE57" s="741"/>
      <c r="CF57" s="741"/>
      <c r="CG57" s="742"/>
      <c r="CH57" s="741"/>
      <c r="CI57" s="743"/>
      <c r="CJ57" s="741"/>
      <c r="CK57" s="742"/>
      <c r="CL57" s="741">
        <f t="shared" ref="CL57:DE57" si="286">1-CL48/CL15</f>
      </c>
      <c r="CM57" s="741">
        <f t="shared" si="286"/>
      </c>
      <c r="CN57" s="741">
        <f t="shared" si="286"/>
      </c>
      <c r="CO57" s="742">
        <f t="shared" si="286"/>
      </c>
      <c r="CP57" s="741">
        <f t="shared" si="286"/>
      </c>
      <c r="CQ57" s="741">
        <f t="shared" si="286"/>
      </c>
      <c r="CR57" s="741">
        <f t="shared" si="286"/>
      </c>
      <c r="CS57" s="742">
        <f t="shared" si="286"/>
      </c>
      <c r="CT57" s="741">
        <f t="shared" si="286"/>
      </c>
      <c r="CU57" s="741">
        <f t="shared" si="286"/>
      </c>
      <c r="CV57" s="741">
        <f t="shared" si="286"/>
      </c>
      <c r="CW57" s="742">
        <f t="shared" si="286"/>
      </c>
      <c r="CX57" s="744">
        <f t="shared" si="286"/>
      </c>
      <c r="CY57" s="741">
        <f t="shared" si="286"/>
      </c>
      <c r="CZ57" s="741">
        <f t="shared" si="286"/>
      </c>
      <c r="DA57" s="742">
        <f t="shared" si="286"/>
      </c>
      <c r="DB57" s="744">
        <f t="shared" si="286"/>
      </c>
      <c r="DC57" s="741">
        <f t="shared" si="286"/>
      </c>
      <c r="DD57" s="741">
        <f t="shared" si="286"/>
      </c>
      <c r="DE57" s="742">
        <f t="shared" si="286"/>
      </c>
      <c r="DF57" s="741">
        <f t="shared" ref="DF57" si="287">1-DF48/DF15</f>
      </c>
      <c r="DG57" s="741">
        <f t="shared" ref="DG57:DJ58" si="288">1-DG48/DG15</f>
      </c>
      <c r="DH57" s="741">
        <f t="shared" si="288"/>
      </c>
      <c r="DI57" s="742">
        <f t="shared" si="288"/>
      </c>
      <c r="DJ57" s="741">
        <f t="shared" si="288"/>
      </c>
      <c r="DK57" s="741">
        <f t="shared" ref="DK57:DN57" si="289">1-DK48/DK15</f>
      </c>
      <c r="DL57" s="741">
        <f t="shared" si="289"/>
      </c>
      <c r="DM57" s="742">
        <f t="shared" si="289"/>
      </c>
      <c r="DN57" s="741">
        <f t="shared" si="289"/>
      </c>
      <c r="DO57" s="741">
        <f t="shared" ref="DO57:DP57" si="290">1-DO48/DO15</f>
      </c>
      <c r="DP57" s="741">
        <f t="shared" si="290"/>
      </c>
      <c r="DQ57" s="765">
        <f>DP57-(300/DQ15)+1.5%</f>
      </c>
      <c r="DR57" s="3328">
        <f>DQ57-(400/DR15)+2%</f>
      </c>
      <c r="DS57" s="766">
        <f>DR57-(0/DS15)-2%</f>
      </c>
      <c r="DT57" s="766">
        <f>DS57-(0/DT15)-1%</f>
      </c>
      <c r="DU57" s="765">
        <f>DT57+1%</f>
      </c>
      <c r="DV57" s="3328">
        <f>DU57+3%</f>
      </c>
      <c r="DW57" s="766">
        <f>DV57-3%</f>
      </c>
      <c r="DX57" s="766">
        <f>DW57-1%</f>
      </c>
      <c r="DY57" s="765">
        <f>DX57+1%</f>
      </c>
      <c r="DZ57" s="3328">
        <f>DY57+3%</f>
      </c>
      <c r="EA57" s="766">
        <f>DZ57-3%</f>
      </c>
      <c r="EB57" s="766">
        <f>EA57-1%</f>
      </c>
      <c r="EC57" s="765">
        <f>EB57+1%</f>
      </c>
      <c r="ED57" s="3328">
        <f>EC57+3%</f>
      </c>
      <c r="EE57" s="766">
        <f>ED57-3%</f>
      </c>
      <c r="EF57" s="766">
        <f>EE57-1%</f>
      </c>
      <c r="EG57" s="765">
        <f>EF57+1%</f>
      </c>
      <c r="EH57" s="3328">
        <f>EG57+3%</f>
      </c>
      <c r="EI57" s="766">
        <f>EH57-3%</f>
      </c>
      <c r="EJ57" s="766">
        <f>EI57-1%</f>
      </c>
      <c r="EK57" s="765">
        <f>EJ57+1%</f>
      </c>
      <c r="EM57" s="741"/>
      <c r="EN57" s="741"/>
      <c r="EO57" s="741"/>
      <c r="EP57" s="741"/>
      <c r="EQ57" s="741"/>
      <c r="ER57" s="741"/>
      <c r="ES57" s="741"/>
      <c r="ET57" s="741"/>
      <c r="EU57" s="741"/>
      <c r="EV57" s="741"/>
      <c r="EW57" s="741"/>
      <c r="EX57" s="741"/>
      <c r="EY57" s="741"/>
      <c r="EZ57" s="741"/>
      <c r="FA57" s="741"/>
      <c r="FB57" s="741"/>
      <c r="FC57" s="741"/>
      <c r="FD57" s="741"/>
      <c r="FE57" s="741"/>
      <c r="FF57" s="741"/>
      <c r="FG57" s="741"/>
      <c r="FH57" s="741">
        <f t="shared" ref="FH57:FI59" si="291">1-FH48/FH15</f>
      </c>
      <c r="FI57" s="741">
        <f t="shared" si="291"/>
      </c>
      <c r="FJ57" s="741">
        <f t="shared" ref="FJ57:FQ57" si="292">(FJ59*FJ17-FJ58*FJ16)/FJ15</f>
      </c>
      <c r="FK57" s="741">
        <f t="shared" si="292"/>
      </c>
      <c r="FL57" s="741">
        <f t="shared" si="292"/>
      </c>
      <c r="FM57" s="741">
        <f t="shared" si="292"/>
      </c>
      <c r="FN57" s="741">
        <f t="shared" si="292"/>
      </c>
      <c r="FO57" s="741">
        <f t="shared" si="292"/>
      </c>
      <c r="FP57" s="741">
        <f t="shared" si="292"/>
      </c>
      <c r="FQ57" s="741">
        <f t="shared" si="292"/>
      </c>
      <c r="FR57" s="741">
        <f t="shared" ref="FR57:FU57" si="293">(FR59*FR17-FR58*FR16)/FR15</f>
      </c>
      <c r="FS57" s="741">
        <f t="shared" si="293"/>
      </c>
      <c r="FT57" s="741">
        <f t="shared" si="293"/>
      </c>
      <c r="FU57" s="741">
        <f t="shared" si="293"/>
      </c>
      <c r="FV57" s="741"/>
      <c r="FW57" s="741"/>
      <c r="FX57" s="741"/>
      <c r="FY57" s="741"/>
      <c r="FZ57" s="741"/>
      <c r="GA57" s="741"/>
      <c r="GB57" s="741"/>
      <c r="GC57" s="741"/>
      <c r="GD57" s="741"/>
      <c r="GE57" s="741"/>
      <c r="GF57" s="741"/>
      <c r="GG57" s="741"/>
      <c r="GH57" s="741"/>
      <c r="GI57" s="741"/>
      <c r="GJ57" s="741"/>
      <c r="GK57" s="741"/>
      <c r="GL57" s="741"/>
      <c r="GM57" s="741"/>
      <c r="GN57" s="741"/>
      <c r="GO57" s="741"/>
      <c r="GP57" s="741"/>
      <c r="GQ57" s="741"/>
      <c r="GR57" s="741"/>
      <c r="GS57" s="741"/>
      <c r="GT57" s="741">
        <f t="shared" ref="GT57:HA57" si="294">(GT59*GT17-GT58*GT16)/GT15</f>
      </c>
      <c r="GU57" s="741">
        <f t="shared" si="294"/>
      </c>
      <c r="GV57" s="741">
        <f t="shared" si="294"/>
      </c>
      <c r="GW57" s="741">
        <f t="shared" si="294"/>
      </c>
      <c r="GX57" s="741">
        <f t="shared" si="294"/>
      </c>
      <c r="GY57" s="741">
        <f t="shared" si="294"/>
      </c>
      <c r="GZ57" s="741">
        <f t="shared" si="294"/>
      </c>
      <c r="HA57" s="741">
        <f t="shared" si="294"/>
      </c>
      <c r="HB57" s="741">
        <f t="shared" ref="HB57:HE57" si="295">(HB59*HB17-HB58*HB16)/HB15</f>
      </c>
      <c r="HC57" s="741">
        <f t="shared" si="295"/>
      </c>
      <c r="HD57" s="741">
        <f t="shared" si="295"/>
      </c>
      <c r="HE57" s="741">
        <f t="shared" si="295"/>
      </c>
    </row>
    <row r="58" spans="1:213" s="11" customFormat="1" ht="10.199999999999999">
      <c r="A58" s="745" t="s">
        <v>1172</v>
      </c>
      <c r="B58" s="587"/>
      <c r="C58" s="587"/>
      <c r="D58" s="587"/>
      <c r="E58" s="746"/>
      <c r="F58" s="587"/>
      <c r="G58" s="587"/>
      <c r="H58" s="587"/>
      <c r="I58" s="746"/>
      <c r="J58" s="587"/>
      <c r="K58" s="587"/>
      <c r="L58" s="587"/>
      <c r="M58" s="746"/>
      <c r="N58" s="587"/>
      <c r="O58" s="587"/>
      <c r="P58" s="587"/>
      <c r="Q58" s="746"/>
      <c r="R58" s="587"/>
      <c r="S58" s="587"/>
      <c r="T58" s="587"/>
      <c r="U58" s="746"/>
      <c r="V58" s="587"/>
      <c r="W58" s="587"/>
      <c r="X58" s="587"/>
      <c r="Y58" s="746"/>
      <c r="Z58" s="587"/>
      <c r="AA58" s="587"/>
      <c r="AB58" s="587"/>
      <c r="AC58" s="746"/>
      <c r="AD58" s="587"/>
      <c r="AE58" s="587"/>
      <c r="AF58" s="587"/>
      <c r="AG58" s="746"/>
      <c r="AH58" s="587"/>
      <c r="AI58" s="587"/>
      <c r="AJ58" s="587"/>
      <c r="AK58" s="746"/>
      <c r="AL58" s="587"/>
      <c r="AM58" s="587"/>
      <c r="AN58" s="587"/>
      <c r="AO58" s="746"/>
      <c r="AP58" s="587"/>
      <c r="AQ58" s="587"/>
      <c r="AR58" s="587"/>
      <c r="AS58" s="746"/>
      <c r="AT58" s="587"/>
      <c r="AU58" s="587"/>
      <c r="AV58" s="747"/>
      <c r="AW58" s="748"/>
      <c r="AX58" s="747"/>
      <c r="AY58" s="747"/>
      <c r="AZ58" s="747"/>
      <c r="BA58" s="748"/>
      <c r="BB58" s="747"/>
      <c r="BC58" s="747"/>
      <c r="BD58" s="747"/>
      <c r="BE58" s="748"/>
      <c r="BF58" s="747"/>
      <c r="BG58" s="747"/>
      <c r="BH58" s="747"/>
      <c r="BI58" s="748"/>
      <c r="BJ58" s="747"/>
      <c r="BK58" s="747"/>
      <c r="BL58" s="747"/>
      <c r="BM58" s="748"/>
      <c r="BN58" s="747"/>
      <c r="BO58" s="747"/>
      <c r="BP58" s="747"/>
      <c r="BQ58" s="748"/>
      <c r="BR58" s="747"/>
      <c r="BS58" s="747"/>
      <c r="BT58" s="747"/>
      <c r="BU58" s="748"/>
      <c r="BV58" s="749"/>
      <c r="BW58" s="749"/>
      <c r="BX58" s="749"/>
      <c r="BY58" s="750"/>
      <c r="BZ58" s="751"/>
      <c r="CA58" s="749"/>
      <c r="CB58" s="751"/>
      <c r="CC58" s="752"/>
      <c r="CD58" s="753"/>
      <c r="CE58" s="753"/>
      <c r="CF58" s="753"/>
      <c r="CG58" s="754"/>
      <c r="CH58" s="753"/>
      <c r="CI58" s="755"/>
      <c r="CJ58" s="753"/>
      <c r="CK58" s="754"/>
      <c r="CL58" s="756">
        <f t="shared" ref="CL58:DE58" si="296">1-CL49/CL16</f>
      </c>
      <c r="CM58" s="756">
        <f t="shared" si="296"/>
      </c>
      <c r="CN58" s="756">
        <f t="shared" si="296"/>
      </c>
      <c r="CO58" s="757">
        <f t="shared" si="296"/>
      </c>
      <c r="CP58" s="756">
        <f t="shared" si="296"/>
      </c>
      <c r="CQ58" s="756">
        <f t="shared" si="296"/>
      </c>
      <c r="CR58" s="756">
        <f t="shared" si="296"/>
      </c>
      <c r="CS58" s="757">
        <f t="shared" si="296"/>
      </c>
      <c r="CT58" s="758">
        <f t="shared" si="296"/>
      </c>
      <c r="CU58" s="758">
        <f t="shared" si="296"/>
      </c>
      <c r="CV58" s="758">
        <f t="shared" si="296"/>
      </c>
      <c r="CW58" s="759">
        <f t="shared" si="296"/>
      </c>
      <c r="CX58" s="760">
        <f t="shared" si="296"/>
      </c>
      <c r="CY58" s="758">
        <f t="shared" si="296"/>
      </c>
      <c r="CZ58" s="758">
        <f t="shared" si="296"/>
      </c>
      <c r="DA58" s="759">
        <f t="shared" si="296"/>
      </c>
      <c r="DB58" s="760">
        <f t="shared" si="296"/>
      </c>
      <c r="DC58" s="758">
        <f t="shared" si="296"/>
      </c>
      <c r="DD58" s="758">
        <f t="shared" si="296"/>
      </c>
      <c r="DE58" s="759">
        <f t="shared" si="296"/>
      </c>
      <c r="DF58" s="758">
        <f t="shared" ref="DF58" si="297">1-DF49/DF16</f>
      </c>
      <c r="DG58" s="758">
        <f t="shared" si="288"/>
      </c>
      <c r="DH58" s="758">
        <f t="shared" si="288"/>
      </c>
      <c r="DI58" s="759">
        <f t="shared" si="288"/>
      </c>
      <c r="DJ58" s="758">
        <f t="shared" si="288"/>
      </c>
      <c r="DK58" s="758">
        <f t="shared" ref="DK58:DN58" si="298">1-DK49/DK16</f>
      </c>
      <c r="DL58" s="758">
        <f t="shared" si="298"/>
      </c>
      <c r="DM58" s="759">
        <f t="shared" si="298"/>
      </c>
      <c r="DN58" s="758">
        <f t="shared" si="298"/>
      </c>
      <c r="DO58" s="758">
        <f t="shared" ref="DO58:DP58" si="299">1-DO49/DO16</f>
      </c>
      <c r="DP58" s="758">
        <f t="shared" si="299"/>
      </c>
      <c r="DQ58" s="767">
        <v>0.755</v>
      </c>
      <c r="DR58" s="3329">
        <v>0.755</v>
      </c>
      <c r="DS58" s="768">
        <f>DO58+0%</f>
      </c>
      <c r="DT58" s="768">
        <f t="shared" ref="DT58:DU58" si="300">DP58+0.1%</f>
      </c>
      <c r="DU58" s="767">
        <f t="shared" si="300"/>
      </c>
      <c r="DV58" s="3329">
        <f t="shared" ref="DV58" si="301">DR58+0.1%</f>
      </c>
      <c r="DW58" s="768">
        <f t="shared" ref="DW58" si="302">DS58+0.1%</f>
      </c>
      <c r="DX58" s="768">
        <f t="shared" ref="DX58" si="303">DT58+0.1%</f>
      </c>
      <c r="DY58" s="767">
        <f t="shared" ref="DY58" si="304">DU58+0.1%</f>
      </c>
      <c r="DZ58" s="3329">
        <f t="shared" ref="DZ58" si="305">DV58+0.1%</f>
      </c>
      <c r="EA58" s="768">
        <f t="shared" ref="EA58" si="306">DW58+0.1%</f>
      </c>
      <c r="EB58" s="768">
        <f t="shared" ref="EB58" si="307">DX58+0.1%</f>
      </c>
      <c r="EC58" s="767">
        <f t="shared" ref="EC58" si="308">DY58+0.1%</f>
      </c>
      <c r="ED58" s="3329">
        <f t="shared" ref="ED58" si="309">DZ58+0.1%</f>
      </c>
      <c r="EE58" s="768">
        <f t="shared" ref="EE58" si="310">EA58+0.1%</f>
      </c>
      <c r="EF58" s="768">
        <f t="shared" ref="EF58" si="311">EB58+0.1%</f>
      </c>
      <c r="EG58" s="767">
        <f t="shared" ref="EG58" si="312">EC58+0.1%</f>
      </c>
      <c r="EH58" s="3329">
        <f t="shared" ref="EH58" si="313">ED58+0.1%</f>
      </c>
      <c r="EI58" s="768">
        <f t="shared" ref="EI58" si="314">EE58+0.1%</f>
      </c>
      <c r="EJ58" s="768">
        <f t="shared" ref="EJ58" si="315">EF58+0.1%</f>
      </c>
      <c r="EK58" s="767">
        <f t="shared" ref="EK58" si="316">EG58+0.1%</f>
      </c>
      <c r="EM58" s="758"/>
      <c r="EN58" s="758"/>
      <c r="EO58" s="758"/>
      <c r="EP58" s="758"/>
      <c r="EQ58" s="758"/>
      <c r="ER58" s="758"/>
      <c r="ES58" s="758"/>
      <c r="ET58" s="758"/>
      <c r="EU58" s="758"/>
      <c r="EV58" s="758"/>
      <c r="EW58" s="758"/>
      <c r="EX58" s="758"/>
      <c r="EY58" s="758"/>
      <c r="EZ58" s="758"/>
      <c r="FA58" s="758"/>
      <c r="FB58" s="758"/>
      <c r="FC58" s="758"/>
      <c r="FD58" s="758"/>
      <c r="FE58" s="758"/>
      <c r="FF58" s="758"/>
      <c r="FG58" s="758"/>
      <c r="FH58" s="758">
        <f t="shared" si="291"/>
      </c>
      <c r="FI58" s="758">
        <f t="shared" si="291"/>
      </c>
      <c r="FJ58" s="758">
        <f t="shared" ref="FJ58:FQ59" si="317">1-FJ49/FJ16</f>
      </c>
      <c r="FK58" s="758">
        <f t="shared" si="317"/>
      </c>
      <c r="FL58" s="758">
        <f t="shared" si="317"/>
      </c>
      <c r="FM58" s="758">
        <f t="shared" si="317"/>
      </c>
      <c r="FN58" s="758">
        <f t="shared" si="317"/>
      </c>
      <c r="FO58" s="758">
        <f>1-FO49/FO16</f>
      </c>
      <c r="FP58" s="758">
        <f t="shared" si="317"/>
      </c>
      <c r="FQ58" s="758">
        <f t="shared" si="317"/>
      </c>
      <c r="FR58" s="758">
        <f t="shared" ref="FR58:FU58" si="318">1-FR49/FR16</f>
      </c>
      <c r="FS58" s="758">
        <f t="shared" si="318"/>
      </c>
      <c r="FT58" s="758">
        <f t="shared" si="318"/>
      </c>
      <c r="FU58" s="758">
        <f t="shared" si="318"/>
      </c>
      <c r="FV58" s="758"/>
      <c r="FW58" s="758"/>
      <c r="FX58" s="758"/>
      <c r="FY58" s="758"/>
      <c r="FZ58" s="758"/>
      <c r="GA58" s="758"/>
      <c r="GB58" s="758"/>
      <c r="GC58" s="758"/>
      <c r="GD58" s="758"/>
      <c r="GE58" s="758"/>
      <c r="GF58" s="758"/>
      <c r="GG58" s="758"/>
      <c r="GH58" s="758"/>
      <c r="GI58" s="758"/>
      <c r="GJ58" s="758"/>
      <c r="GK58" s="758"/>
      <c r="GL58" s="758"/>
      <c r="GM58" s="758"/>
      <c r="GN58" s="758"/>
      <c r="GO58" s="758"/>
      <c r="GP58" s="758"/>
      <c r="GQ58" s="758"/>
      <c r="GR58" s="758"/>
      <c r="GS58" s="758"/>
      <c r="GT58" s="758">
        <f t="shared" ref="GT58:HA59" si="319">1-GT49/GT16</f>
      </c>
      <c r="GU58" s="758">
        <f t="shared" si="319"/>
      </c>
      <c r="GV58" s="758">
        <f t="shared" si="319"/>
      </c>
      <c r="GW58" s="758">
        <f t="shared" si="319"/>
      </c>
      <c r="GX58" s="758">
        <f t="shared" si="319"/>
      </c>
      <c r="GY58" s="758">
        <f t="shared" si="319"/>
      </c>
      <c r="GZ58" s="758">
        <f t="shared" si="319"/>
      </c>
      <c r="HA58" s="758">
        <f t="shared" si="319"/>
      </c>
      <c r="HB58" s="758">
        <f t="shared" ref="HB58:HE58" si="320">1-HB49/HB16</f>
      </c>
      <c r="HC58" s="758">
        <f t="shared" si="320"/>
      </c>
      <c r="HD58" s="758">
        <f t="shared" si="320"/>
      </c>
      <c r="HE58" s="758">
        <f t="shared" si="320"/>
      </c>
    </row>
    <row r="59" spans="1:213" s="11" customFormat="1" ht="10.199999999999999">
      <c r="A59" s="761" t="s">
        <v>741</v>
      </c>
      <c r="B59" s="621">
        <f>'Income Statement'!B62</f>
      </c>
      <c r="C59" s="621">
        <f>'Income Statement'!C62</f>
      </c>
      <c r="D59" s="621">
        <f>'Income Statement'!D62</f>
      </c>
      <c r="E59" s="623">
        <f>'Income Statement'!E62</f>
      </c>
      <c r="F59" s="621">
        <f>'Income Statement'!F62</f>
      </c>
      <c r="G59" s="621">
        <f>'Income Statement'!G62</f>
      </c>
      <c r="H59" s="621">
        <f>'Income Statement'!H62</f>
      </c>
      <c r="I59" s="623">
        <f>'Income Statement'!I62</f>
      </c>
      <c r="J59" s="621">
        <f>'Income Statement'!J62</f>
      </c>
      <c r="K59" s="621">
        <f>'Income Statement'!K62</f>
      </c>
      <c r="L59" s="621">
        <f>'Income Statement'!L62</f>
      </c>
      <c r="M59" s="623">
        <f>'Income Statement'!M62</f>
      </c>
      <c r="N59" s="621">
        <f>'Income Statement'!N62</f>
      </c>
      <c r="O59" s="621">
        <f>'Income Statement'!O62</f>
      </c>
      <c r="P59" s="621">
        <f>'Income Statement'!P62</f>
      </c>
      <c r="Q59" s="623">
        <f>'Income Statement'!Q62</f>
      </c>
      <c r="R59" s="621">
        <f>'Income Statement'!R62</f>
      </c>
      <c r="S59" s="621">
        <f>'Income Statement'!S62</f>
      </c>
      <c r="T59" s="621">
        <f>'Income Statement'!T62</f>
      </c>
      <c r="U59" s="623">
        <f>'Income Statement'!U62</f>
      </c>
      <c r="V59" s="621">
        <f>'Income Statement'!V62</f>
      </c>
      <c r="W59" s="621">
        <f>'Income Statement'!W62</f>
      </c>
      <c r="X59" s="621">
        <f>'Income Statement'!X62</f>
      </c>
      <c r="Y59" s="623">
        <f>'Income Statement'!Y62</f>
      </c>
      <c r="Z59" s="621">
        <f>'Income Statement'!Z62</f>
      </c>
      <c r="AA59" s="621">
        <f>'Income Statement'!AA62</f>
      </c>
      <c r="AB59" s="621">
        <f>'Income Statement'!AB62</f>
      </c>
      <c r="AC59" s="623">
        <f>'Income Statement'!AC62</f>
      </c>
      <c r="AD59" s="621">
        <f>'Income Statement'!AD62</f>
      </c>
      <c r="AE59" s="621">
        <f>'Income Statement'!AE62</f>
      </c>
      <c r="AF59" s="621">
        <f>'Income Statement'!AF62</f>
      </c>
      <c r="AG59" s="623">
        <f>'Income Statement'!AG62</f>
      </c>
      <c r="AH59" s="621">
        <f>'Income Statement'!AH62</f>
      </c>
      <c r="AI59" s="621">
        <f>'Income Statement'!AI62</f>
      </c>
      <c r="AJ59" s="621">
        <f>'Income Statement'!AJ62</f>
      </c>
      <c r="AK59" s="623">
        <f>'Income Statement'!AK62</f>
      </c>
      <c r="AL59" s="621">
        <f>'Income Statement'!AL62</f>
      </c>
      <c r="AM59" s="621">
        <f>'Income Statement'!AM62</f>
      </c>
      <c r="AN59" s="621">
        <f>'Income Statement'!AN62</f>
      </c>
      <c r="AO59" s="623">
        <f>'Income Statement'!AO62</f>
      </c>
      <c r="AP59" s="621">
        <f>'Income Statement'!AP62</f>
      </c>
      <c r="AQ59" s="621">
        <f>'Income Statement'!AQ62</f>
      </c>
      <c r="AR59" s="621">
        <f>'Income Statement'!AR62</f>
      </c>
      <c r="AS59" s="623">
        <f>'Income Statement'!AS62</f>
      </c>
      <c r="AT59" s="621">
        <f>'Income Statement'!AT62</f>
      </c>
      <c r="AU59" s="621">
        <f>'Income Statement'!AU62</f>
      </c>
      <c r="AV59" s="621">
        <f>'Income Statement'!AV62</f>
      </c>
      <c r="AW59" s="623">
        <f>'Income Statement'!AW62</f>
      </c>
      <c r="AX59" s="621">
        <f>'Income Statement'!AX62</f>
      </c>
      <c r="AY59" s="621">
        <f>'Income Statement'!AY62</f>
      </c>
      <c r="AZ59" s="621">
        <f>'Income Statement'!AZ62</f>
      </c>
      <c r="BA59" s="623">
        <f>'Income Statement'!BA62</f>
      </c>
      <c r="BB59" s="621">
        <f>'Income Statement'!BB62</f>
      </c>
      <c r="BC59" s="621">
        <f>'Income Statement'!BC62</f>
      </c>
      <c r="BD59" s="621">
        <f>'Income Statement'!BD62</f>
      </c>
      <c r="BE59" s="623">
        <f>'Income Statement'!BE62</f>
      </c>
      <c r="BF59" s="621">
        <f>'Income Statement'!BF62</f>
      </c>
      <c r="BG59" s="621">
        <f>'Income Statement'!BG62</f>
      </c>
      <c r="BH59" s="621">
        <f>'Income Statement'!BH62</f>
      </c>
      <c r="BI59" s="623">
        <f>'Income Statement'!BI62</f>
      </c>
      <c r="BJ59" s="621">
        <f>'Income Statement'!BJ62</f>
      </c>
      <c r="BK59" s="621">
        <f>'Income Statement'!BK62</f>
      </c>
      <c r="BL59" s="621">
        <f>'Income Statement'!BL62</f>
      </c>
      <c r="BM59" s="623">
        <f>'Income Statement'!BM62</f>
      </c>
      <c r="BN59" s="621">
        <f>'Income Statement'!BN62</f>
      </c>
      <c r="BO59" s="621">
        <f>'Income Statement'!BO62</f>
      </c>
      <c r="BP59" s="621">
        <f>'Income Statement'!BP62</f>
      </c>
      <c r="BQ59" s="623">
        <f>'Income Statement'!BQ62</f>
      </c>
      <c r="BR59" s="621">
        <f>'Income Statement'!BR62</f>
      </c>
      <c r="BS59" s="621">
        <f>'Income Statement'!BS62</f>
      </c>
      <c r="BT59" s="621">
        <f>'Income Statement'!BT62</f>
      </c>
      <c r="BU59" s="623">
        <f>'Income Statement'!BU62</f>
      </c>
      <c r="BV59" s="2477">
        <f>'Income Statement'!BV62</f>
      </c>
      <c r="BW59" s="2477">
        <f>'Income Statement'!BW62</f>
      </c>
      <c r="BX59" s="620">
        <f>'Income Statement'!BX62</f>
      </c>
      <c r="BY59" s="2478">
        <f>'Income Statement'!BY62</f>
      </c>
      <c r="BZ59" s="2477">
        <f>'Income Statement'!BZ62</f>
      </c>
      <c r="CA59" s="2477">
        <f>'Income Statement'!CA62</f>
      </c>
      <c r="CB59" s="620">
        <f>'Income Statement'!CB62</f>
      </c>
      <c r="CC59" s="2478">
        <f>'Income Statement'!CC62</f>
      </c>
      <c r="CD59" s="2477">
        <f>'Income Statement'!CD62</f>
      </c>
      <c r="CE59" s="2477">
        <f>'Income Statement'!CE62</f>
      </c>
      <c r="CF59" s="2477">
        <f>'Income Statement'!CF62</f>
      </c>
      <c r="CG59" s="2479">
        <f>'Income Statement'!CG62</f>
      </c>
      <c r="CH59" s="2477">
        <f>'Income Statement'!CH62</f>
      </c>
      <c r="CI59" s="2480">
        <f>'Income Statement'!CI62</f>
      </c>
      <c r="CJ59" s="2477">
        <f>'Income Statement'!CJ62</f>
      </c>
      <c r="CK59" s="2479">
        <f>'Income Statement'!CK62</f>
      </c>
      <c r="CL59" s="2477">
        <f>'Income Statement'!CL62</f>
      </c>
      <c r="CM59" s="762">
        <f>'Income Statement'!CM62</f>
      </c>
      <c r="CN59" s="762">
        <f>'Income Statement'!CN62</f>
      </c>
      <c r="CO59" s="763">
        <f>'Income Statement'!CO62</f>
      </c>
      <c r="CP59" s="762">
        <f>'Income Statement'!CP62</f>
      </c>
      <c r="CQ59" s="762">
        <f>'Income Statement'!CQ62</f>
      </c>
      <c r="CR59" s="762">
        <f>'Income Statement'!CR62</f>
      </c>
      <c r="CS59" s="763">
        <f>'Income Statement'!CS62</f>
      </c>
      <c r="CT59" s="762">
        <f>'Income Statement'!CT62</f>
      </c>
      <c r="CU59" s="762">
        <f>'Income Statement'!CU62</f>
      </c>
      <c r="CV59" s="762">
        <f>'Income Statement'!CV62</f>
      </c>
      <c r="CW59" s="763">
        <f>'Income Statement'!CW62</f>
      </c>
      <c r="CX59" s="764">
        <f>'Income Statement'!CX62</f>
      </c>
      <c r="CY59" s="762">
        <f>'Income Statement'!CY62</f>
      </c>
      <c r="CZ59" s="762">
        <f>'Income Statement'!CZ62</f>
      </c>
      <c r="DA59" s="763">
        <f>'Income Statement'!DA62</f>
      </c>
      <c r="DB59" s="764">
        <f>'Income Statement'!DB62</f>
      </c>
      <c r="DC59" s="762">
        <f>'Income Statement'!DC62</f>
      </c>
      <c r="DD59" s="762">
        <f>'Income Statement'!DD62</f>
      </c>
      <c r="DE59" s="763">
        <f>'Income Statement'!DE62</f>
      </c>
      <c r="DF59" s="762">
        <f>'Income Statement'!DF62</f>
      </c>
      <c r="DG59" s="762">
        <f>'Income Statement'!DG62</f>
      </c>
      <c r="DH59" s="762">
        <f>'Income Statement'!DH62</f>
      </c>
      <c r="DI59" s="763">
        <f>'Income Statement'!DI62</f>
      </c>
      <c r="DJ59" s="762">
        <f>'Income Statement'!DJ62</f>
      </c>
      <c r="DK59" s="762">
        <f>'Income Statement'!DK62</f>
      </c>
      <c r="DL59" s="762">
        <f>'Income Statement'!DL62</f>
      </c>
      <c r="DM59" s="763">
        <f>'Income Statement'!DM62</f>
      </c>
      <c r="DN59" s="762">
        <f>'Income Statement'!DN62</f>
      </c>
      <c r="DO59" s="762">
        <f>'Income Statement'!DO62</f>
      </c>
      <c r="DP59" s="762">
        <f>'Income Statement'!DP62</f>
      </c>
      <c r="DQ59" s="763">
        <f>'Income Statement'!DQ62</f>
      </c>
      <c r="DR59" s="764">
        <f>'Income Statement'!DR62</f>
      </c>
      <c r="DS59" s="762">
        <f>'Income Statement'!DS62</f>
      </c>
      <c r="DT59" s="762">
        <f>'Income Statement'!DT62</f>
      </c>
      <c r="DU59" s="763">
        <f>'Income Statement'!DU62</f>
      </c>
      <c r="DV59" s="764">
        <f>'Income Statement'!DV62</f>
      </c>
      <c r="DW59" s="762">
        <f>'Income Statement'!DW62</f>
      </c>
      <c r="DX59" s="762">
        <f>'Income Statement'!DX62</f>
      </c>
      <c r="DY59" s="763">
        <f>'Income Statement'!DY62</f>
      </c>
      <c r="DZ59" s="764">
        <f>'Income Statement'!DZ62</f>
      </c>
      <c r="EA59" s="762">
        <f>'Income Statement'!EA62</f>
      </c>
      <c r="EB59" s="762">
        <f>'Income Statement'!EB62</f>
      </c>
      <c r="EC59" s="763">
        <f>'Income Statement'!EC62</f>
      </c>
      <c r="ED59" s="764">
        <f>'Income Statement'!ED62</f>
      </c>
      <c r="EE59" s="762">
        <f>'Income Statement'!EE62</f>
      </c>
      <c r="EF59" s="762">
        <f>'Income Statement'!EF62</f>
      </c>
      <c r="EG59" s="763">
        <f>'Income Statement'!EG62</f>
      </c>
      <c r="EH59" s="764">
        <f>'Income Statement'!EH62</f>
      </c>
      <c r="EI59" s="762">
        <f>'Income Statement'!EI62</f>
      </c>
      <c r="EJ59" s="762">
        <f>'Income Statement'!EJ62</f>
      </c>
      <c r="EK59" s="763">
        <f>'Income Statement'!EK62</f>
      </c>
      <c r="EM59" s="762"/>
      <c r="EN59" s="762"/>
      <c r="EO59" s="762"/>
      <c r="EP59" s="762"/>
      <c r="EQ59" s="762"/>
      <c r="ER59" s="762"/>
      <c r="ES59" s="762"/>
      <c r="ET59" s="762"/>
      <c r="EU59" s="762"/>
      <c r="EV59" s="762"/>
      <c r="EW59" s="762"/>
      <c r="EX59" s="762"/>
      <c r="EY59" s="762"/>
      <c r="EZ59" s="762"/>
      <c r="FA59" s="762"/>
      <c r="FB59" s="762"/>
      <c r="FC59" s="762"/>
      <c r="FD59" s="762"/>
      <c r="FE59" s="762"/>
      <c r="FF59" s="762"/>
      <c r="FG59" s="762"/>
      <c r="FH59" s="762">
        <f t="shared" si="291"/>
      </c>
      <c r="FI59" s="762">
        <f t="shared" si="291"/>
      </c>
      <c r="FJ59" s="762">
        <f t="shared" si="317"/>
      </c>
      <c r="FK59" s="762">
        <f t="shared" si="317"/>
      </c>
      <c r="FL59" s="762">
        <f t="shared" si="317"/>
      </c>
      <c r="FM59" s="762">
        <f t="shared" si="317"/>
      </c>
      <c r="FN59" s="762">
        <f t="shared" si="317"/>
      </c>
      <c r="FO59" s="762">
        <f t="shared" si="317"/>
      </c>
      <c r="FP59" s="762">
        <f t="shared" si="317"/>
      </c>
      <c r="FQ59" s="762">
        <f t="shared" si="317"/>
      </c>
      <c r="FR59" s="762">
        <f t="shared" ref="FR59:FU59" si="321">1-FR50/FR17</f>
      </c>
      <c r="FS59" s="762">
        <f t="shared" si="321"/>
      </c>
      <c r="FT59" s="762">
        <f t="shared" si="321"/>
      </c>
      <c r="FU59" s="762">
        <f t="shared" si="321"/>
      </c>
      <c r="FV59" s="762"/>
      <c r="FW59" s="762"/>
      <c r="FX59" s="762"/>
      <c r="FY59" s="762"/>
      <c r="FZ59" s="762"/>
      <c r="GA59" s="762"/>
      <c r="GB59" s="762"/>
      <c r="GC59" s="762"/>
      <c r="GD59" s="762"/>
      <c r="GE59" s="762"/>
      <c r="GF59" s="762"/>
      <c r="GG59" s="762"/>
      <c r="GH59" s="762"/>
      <c r="GI59" s="762"/>
      <c r="GJ59" s="762"/>
      <c r="GK59" s="762"/>
      <c r="GL59" s="762"/>
      <c r="GM59" s="762"/>
      <c r="GN59" s="762"/>
      <c r="GO59" s="762"/>
      <c r="GP59" s="762"/>
      <c r="GQ59" s="762"/>
      <c r="GR59" s="762"/>
      <c r="GS59" s="762"/>
      <c r="GT59" s="762">
        <f t="shared" si="319"/>
      </c>
      <c r="GU59" s="762">
        <f t="shared" si="319"/>
      </c>
      <c r="GV59" s="762">
        <f t="shared" si="319"/>
      </c>
      <c r="GW59" s="762">
        <f t="shared" si="319"/>
      </c>
      <c r="GX59" s="762">
        <f t="shared" si="319"/>
      </c>
      <c r="GY59" s="762">
        <f t="shared" si="319"/>
      </c>
      <c r="GZ59" s="762">
        <f t="shared" si="319"/>
      </c>
      <c r="HA59" s="762">
        <f t="shared" si="319"/>
      </c>
      <c r="HB59" s="762">
        <f t="shared" ref="HB59:HE59" si="322">1-HB50/HB17</f>
      </c>
      <c r="HC59" s="762">
        <f t="shared" si="322"/>
      </c>
      <c r="HD59" s="762">
        <f t="shared" si="322"/>
      </c>
      <c r="HE59" s="762">
        <f t="shared" si="322"/>
      </c>
    </row>
    <row r="60" spans="1:213" s="11" customFormat="1" ht="10.199999999999999">
      <c r="A60" s="47"/>
      <c r="E60" s="170"/>
      <c r="I60" s="170"/>
      <c r="M60" s="170"/>
      <c r="Q60" s="170"/>
      <c r="U60" s="170"/>
      <c r="Y60" s="170"/>
      <c r="AC60" s="170"/>
      <c r="AG60" s="170"/>
      <c r="AK60" s="170"/>
      <c r="AO60" s="170"/>
      <c r="AS60" s="170"/>
      <c r="AV60" s="281"/>
      <c r="AW60" s="330"/>
      <c r="AX60" s="281"/>
      <c r="AY60" s="281"/>
      <c r="AZ60" s="281"/>
      <c r="BA60" s="330"/>
      <c r="BB60" s="281"/>
      <c r="BC60" s="281"/>
      <c r="BD60" s="281"/>
      <c r="BE60" s="330"/>
      <c r="BF60" s="281"/>
      <c r="BG60" s="281"/>
      <c r="BH60" s="281"/>
      <c r="BI60" s="330"/>
      <c r="BJ60" s="281"/>
      <c r="BK60" s="281"/>
      <c r="BL60" s="281"/>
      <c r="BM60" s="330"/>
      <c r="BN60" s="281"/>
      <c r="BO60" s="281"/>
      <c r="BP60" s="281"/>
      <c r="BQ60" s="330"/>
      <c r="BR60" s="281"/>
      <c r="BS60" s="281"/>
      <c r="BT60" s="281"/>
      <c r="BU60" s="330"/>
      <c r="BV60" s="281"/>
      <c r="BW60" s="281"/>
      <c r="BX60" s="281"/>
      <c r="BY60" s="330"/>
      <c r="BZ60" s="281"/>
      <c r="CA60" s="281"/>
      <c r="CB60" s="281"/>
      <c r="CC60" s="330"/>
      <c r="CD60" s="498"/>
      <c r="CE60" s="498"/>
      <c r="CF60" s="498"/>
      <c r="CG60" s="499"/>
      <c r="CH60" s="498"/>
      <c r="CI60" s="500"/>
      <c r="CJ60" s="498"/>
      <c r="CK60" s="499"/>
      <c r="CL60" s="3356">
        <f t="shared" ref="CL60:DE60" si="323">CL57-CK57</f>
      </c>
      <c r="CM60" s="2379">
        <f t="shared" si="323"/>
      </c>
      <c r="CN60" s="2379">
        <f t="shared" si="323"/>
      </c>
      <c r="CO60" s="3355">
        <f t="shared" si="323"/>
      </c>
      <c r="CP60" s="3356">
        <f t="shared" si="323"/>
      </c>
      <c r="CQ60" s="2379">
        <f t="shared" si="323"/>
      </c>
      <c r="CR60" s="2379">
        <f t="shared" si="323"/>
      </c>
      <c r="CS60" s="3355">
        <f t="shared" si="323"/>
      </c>
      <c r="CT60" s="3356">
        <f t="shared" si="323"/>
      </c>
      <c r="CU60" s="2379">
        <f t="shared" si="323"/>
      </c>
      <c r="CV60" s="2379">
        <f t="shared" si="323"/>
      </c>
      <c r="CW60" s="3355">
        <f t="shared" si="323"/>
      </c>
      <c r="CX60" s="3356">
        <f t="shared" si="323"/>
      </c>
      <c r="CY60" s="2379">
        <f t="shared" si="323"/>
      </c>
      <c r="CZ60" s="2379">
        <f t="shared" si="323"/>
      </c>
      <c r="DA60" s="3355">
        <f t="shared" si="323"/>
      </c>
      <c r="DB60" s="3356">
        <f t="shared" si="323"/>
      </c>
      <c r="DC60" s="2379">
        <f t="shared" si="323"/>
      </c>
      <c r="DD60" s="2379">
        <f t="shared" si="323"/>
      </c>
      <c r="DE60" s="3355">
        <f t="shared" si="323"/>
      </c>
      <c r="DF60" s="363"/>
      <c r="DG60" s="2379"/>
      <c r="DH60" s="2379"/>
      <c r="DI60" s="362"/>
      <c r="DJ60" s="363"/>
      <c r="DK60" s="2379"/>
      <c r="DL60" s="2379"/>
      <c r="DM60" s="362"/>
      <c r="DN60" s="363"/>
      <c r="DO60" s="2379"/>
      <c r="DP60" s="2379"/>
      <c r="DQ60" s="362"/>
      <c r="DR60" s="363"/>
      <c r="DS60" s="363"/>
      <c r="DT60" s="363"/>
      <c r="DU60" s="362"/>
      <c r="DV60" s="363"/>
      <c r="DW60" s="363"/>
      <c r="DX60" s="363"/>
      <c r="DY60" s="362"/>
      <c r="DZ60" s="363"/>
      <c r="EA60" s="363"/>
      <c r="EB60" s="363"/>
      <c r="EC60" s="362"/>
      <c r="ED60" s="363"/>
      <c r="EE60" s="363"/>
      <c r="EF60" s="363"/>
      <c r="EG60" s="362"/>
      <c r="EH60" s="363"/>
      <c r="EI60" s="363"/>
      <c r="EJ60" s="363"/>
      <c r="EK60" s="362"/>
      <c r="EY60" s="21"/>
      <c r="EZ60" s="21"/>
      <c r="FA60" s="21"/>
      <c r="FB60" s="21"/>
      <c r="FC60" s="21"/>
      <c r="FD60" s="21"/>
      <c r="FE60" s="21"/>
      <c r="FF60" s="21"/>
      <c r="FG60" s="354"/>
      <c r="FH60" s="354"/>
      <c r="FI60" s="501"/>
      <c r="FJ60" s="501"/>
      <c r="FK60" s="501"/>
      <c r="FL60" s="501"/>
      <c r="FM60" s="501"/>
      <c r="FN60" s="501"/>
      <c r="FO60" s="501"/>
      <c r="FP60" s="501"/>
      <c r="FQ60" s="501"/>
      <c r="FR60" s="501"/>
      <c r="FS60" s="501"/>
      <c r="FT60" s="501"/>
      <c r="FU60" s="501"/>
      <c r="FV60" s="501"/>
      <c r="FW60" s="446"/>
      <c r="FX60" s="446"/>
      <c r="FY60" s="446"/>
      <c r="FZ60" s="446"/>
      <c r="GA60" s="446"/>
      <c r="GB60" s="446"/>
      <c r="GC60" s="446"/>
      <c r="GD60" s="446"/>
      <c r="GE60" s="446"/>
      <c r="GF60" s="446"/>
      <c r="GG60" s="446"/>
      <c r="GH60" s="446"/>
      <c r="GI60" s="340"/>
      <c r="GJ60" s="340"/>
      <c r="GK60" s="340"/>
      <c r="GL60" s="340"/>
      <c r="GM60" s="340"/>
      <c r="GN60" s="340"/>
      <c r="GO60" s="340"/>
      <c r="GP60" s="340"/>
      <c r="GQ60" s="501"/>
      <c r="GR60" s="501"/>
      <c r="GS60" s="501"/>
      <c r="GT60" s="501"/>
      <c r="GU60" s="501"/>
      <c r="GV60" s="501"/>
      <c r="GW60" s="501"/>
      <c r="GX60" s="501"/>
      <c r="GY60" s="501"/>
      <c r="GZ60" s="501"/>
      <c r="HA60" s="501"/>
      <c r="HB60" s="501"/>
      <c r="HC60" s="501"/>
      <c r="HD60" s="501"/>
      <c r="HE60" s="501"/>
    </row>
    <row r="61" spans="1:213" s="11" customFormat="1" ht="10.199999999999999">
      <c r="A61" s="93" t="s">
        <v>1492</v>
      </c>
      <c r="E61" s="170"/>
      <c r="I61" s="170"/>
      <c r="M61" s="170"/>
      <c r="Q61" s="170"/>
      <c r="U61" s="170"/>
      <c r="Y61" s="170"/>
      <c r="AC61" s="170"/>
      <c r="AG61" s="170"/>
      <c r="AK61" s="170"/>
      <c r="AO61" s="170"/>
      <c r="AS61" s="170"/>
      <c r="AV61" s="281"/>
      <c r="AW61" s="330"/>
      <c r="AX61" s="281"/>
      <c r="AY61" s="281"/>
      <c r="AZ61" s="281"/>
      <c r="BA61" s="330"/>
      <c r="BB61" s="281"/>
      <c r="BC61" s="281"/>
      <c r="BD61" s="281"/>
      <c r="BE61" s="330"/>
      <c r="BF61" s="281"/>
      <c r="BG61" s="281"/>
      <c r="BH61" s="281"/>
      <c r="BI61" s="330"/>
      <c r="BJ61" s="281"/>
      <c r="BK61" s="281"/>
      <c r="BL61" s="281"/>
      <c r="BM61" s="330"/>
      <c r="BN61" s="281"/>
      <c r="BO61" s="281"/>
      <c r="BP61" s="281"/>
      <c r="BQ61" s="330"/>
      <c r="BR61" s="281"/>
      <c r="BS61" s="281"/>
      <c r="BT61" s="281"/>
      <c r="BU61" s="330"/>
      <c r="BV61" s="281"/>
      <c r="BW61" s="281"/>
      <c r="BX61" s="281"/>
      <c r="BY61" s="330"/>
      <c r="BZ61" s="281"/>
      <c r="CA61" s="281"/>
      <c r="CB61" s="281"/>
      <c r="CC61" s="330"/>
      <c r="CD61" s="498"/>
      <c r="CE61" s="498"/>
      <c r="CF61" s="498"/>
      <c r="CG61" s="499"/>
      <c r="CH61" s="498"/>
      <c r="CI61" s="500"/>
      <c r="CJ61" s="498"/>
      <c r="CK61" s="499"/>
      <c r="CL61" s="3356">
        <f t="shared" ref="CL61:DE61" si="324">CL58-CK58</f>
      </c>
      <c r="CM61" s="2379">
        <f t="shared" si="324"/>
      </c>
      <c r="CN61" s="2379">
        <f t="shared" si="324"/>
      </c>
      <c r="CO61" s="3355">
        <f t="shared" si="324"/>
      </c>
      <c r="CP61" s="3356">
        <f t="shared" si="324"/>
      </c>
      <c r="CQ61" s="2379">
        <f t="shared" si="324"/>
      </c>
      <c r="CR61" s="2379">
        <f t="shared" si="324"/>
      </c>
      <c r="CS61" s="3355">
        <f t="shared" si="324"/>
      </c>
      <c r="CT61" s="3356">
        <f t="shared" si="324"/>
      </c>
      <c r="CU61" s="2379">
        <f t="shared" si="324"/>
      </c>
      <c r="CV61" s="2379">
        <f t="shared" si="324"/>
      </c>
      <c r="CW61" s="3355">
        <f t="shared" si="324"/>
      </c>
      <c r="CX61" s="3356">
        <f t="shared" si="324"/>
      </c>
      <c r="CY61" s="2379">
        <f t="shared" si="324"/>
      </c>
      <c r="CZ61" s="2379">
        <f t="shared" si="324"/>
      </c>
      <c r="DA61" s="3355">
        <f t="shared" si="324"/>
      </c>
      <c r="DB61" s="3356">
        <f t="shared" si="324"/>
      </c>
      <c r="DC61" s="2379">
        <f t="shared" si="324"/>
      </c>
      <c r="DD61" s="2379">
        <f t="shared" si="324"/>
      </c>
      <c r="DE61" s="3355">
        <f t="shared" si="324"/>
      </c>
      <c r="DF61" s="363"/>
      <c r="DG61" s="2379"/>
      <c r="DH61" s="2379"/>
      <c r="DI61" s="362"/>
      <c r="DJ61" s="363"/>
      <c r="DK61" s="2379"/>
      <c r="DL61" s="2379"/>
      <c r="DM61" s="362"/>
      <c r="DN61" s="363"/>
      <c r="DO61" s="2379"/>
      <c r="DP61" s="2379"/>
      <c r="DQ61" s="362"/>
      <c r="DR61" s="363"/>
      <c r="DS61" s="363"/>
      <c r="DT61" s="363"/>
      <c r="DU61" s="362"/>
      <c r="DV61" s="363"/>
      <c r="DW61" s="363"/>
      <c r="DX61" s="363"/>
      <c r="DY61" s="362"/>
      <c r="DZ61" s="363"/>
      <c r="EA61" s="363"/>
      <c r="EB61" s="363"/>
      <c r="EC61" s="362"/>
      <c r="ED61" s="363"/>
      <c r="EE61" s="363"/>
      <c r="EF61" s="363"/>
      <c r="EG61" s="362"/>
      <c r="EH61" s="363"/>
      <c r="EI61" s="363"/>
      <c r="EJ61" s="363"/>
      <c r="EK61" s="362"/>
      <c r="EY61" s="21"/>
      <c r="EZ61" s="21"/>
      <c r="FA61" s="21"/>
      <c r="FB61" s="21"/>
      <c r="FC61" s="21"/>
      <c r="FD61" s="21"/>
      <c r="FE61" s="21"/>
      <c r="FF61" s="21"/>
      <c r="FG61" s="354"/>
      <c r="FH61" s="354"/>
      <c r="FI61" s="501"/>
      <c r="FJ61" s="501"/>
      <c r="FK61" s="501"/>
      <c r="FL61" s="501"/>
      <c r="FM61" s="501"/>
      <c r="FN61" s="501"/>
      <c r="FO61" s="501"/>
      <c r="FP61" s="501"/>
      <c r="FQ61" s="501"/>
      <c r="FR61" s="501"/>
      <c r="FS61" s="501"/>
      <c r="FT61" s="501"/>
      <c r="FU61" s="501"/>
      <c r="FV61" s="501"/>
      <c r="FW61" s="446"/>
      <c r="FX61" s="446"/>
      <c r="FY61" s="446"/>
      <c r="FZ61" s="446"/>
      <c r="GA61" s="446"/>
      <c r="GB61" s="446"/>
      <c r="GC61" s="446"/>
      <c r="GD61" s="446"/>
      <c r="GE61" s="446"/>
      <c r="GF61" s="446"/>
      <c r="GG61" s="446"/>
      <c r="GH61" s="446"/>
      <c r="GI61" s="340"/>
      <c r="GJ61" s="340"/>
      <c r="GK61" s="340"/>
      <c r="GL61" s="340"/>
      <c r="GM61" s="340"/>
      <c r="GN61" s="340"/>
      <c r="GO61" s="340"/>
      <c r="GP61" s="340"/>
      <c r="GQ61" s="501"/>
      <c r="GR61" s="501"/>
      <c r="GS61" s="501"/>
      <c r="GT61" s="501"/>
      <c r="GU61" s="501"/>
      <c r="GV61" s="501"/>
      <c r="GW61" s="501"/>
      <c r="GX61" s="501"/>
      <c r="GY61" s="501"/>
      <c r="GZ61" s="501"/>
      <c r="HA61" s="501"/>
      <c r="HB61" s="501"/>
      <c r="HC61" s="501"/>
      <c r="HD61" s="501"/>
      <c r="HE61" s="501"/>
    </row>
    <row r="62" spans="1:213" s="345" customFormat="1" ht="10.199999999999999">
      <c r="A62" s="2086" t="s">
        <v>84</v>
      </c>
      <c r="B62" s="794"/>
      <c r="C62" s="794"/>
      <c r="D62" s="794"/>
      <c r="E62" s="795"/>
      <c r="F62" s="794"/>
      <c r="G62" s="794"/>
      <c r="H62" s="794"/>
      <c r="I62" s="795"/>
      <c r="J62" s="794"/>
      <c r="K62" s="794"/>
      <c r="L62" s="794"/>
      <c r="M62" s="795"/>
      <c r="N62" s="794"/>
      <c r="O62" s="794"/>
      <c r="P62" s="794"/>
      <c r="Q62" s="795"/>
      <c r="R62" s="794"/>
      <c r="S62" s="794"/>
      <c r="T62" s="794"/>
      <c r="U62" s="795"/>
      <c r="V62" s="794"/>
      <c r="W62" s="794"/>
      <c r="X62" s="794"/>
      <c r="Y62" s="795"/>
      <c r="Z62" s="794"/>
      <c r="AA62" s="794"/>
      <c r="AB62" s="794"/>
      <c r="AC62" s="795"/>
      <c r="AD62" s="794"/>
      <c r="AE62" s="794"/>
      <c r="AF62" s="794"/>
      <c r="AG62" s="795"/>
      <c r="AH62" s="794"/>
      <c r="AI62" s="794"/>
      <c r="AJ62" s="794"/>
      <c r="AK62" s="795"/>
      <c r="AL62" s="794"/>
      <c r="AM62" s="794"/>
      <c r="AN62" s="794"/>
      <c r="AO62" s="795"/>
      <c r="AP62" s="794"/>
      <c r="AQ62" s="794"/>
      <c r="AR62" s="794"/>
      <c r="AS62" s="795"/>
      <c r="AT62" s="794"/>
      <c r="AU62" s="794"/>
      <c r="AV62" s="796"/>
      <c r="AW62" s="797"/>
      <c r="AX62" s="798">
        <f>AX11/AX$79</f>
      </c>
      <c r="AY62" s="798">
        <f t="shared" ref="AY62:DJ62" si="325">AY11/AY$79</f>
      </c>
      <c r="AZ62" s="798">
        <f t="shared" si="325"/>
      </c>
      <c r="BA62" s="799">
        <f t="shared" si="325"/>
      </c>
      <c r="BB62" s="798">
        <f t="shared" si="325"/>
      </c>
      <c r="BC62" s="798">
        <f t="shared" si="325"/>
      </c>
      <c r="BD62" s="798">
        <f t="shared" si="325"/>
      </c>
      <c r="BE62" s="799">
        <f t="shared" si="325"/>
      </c>
      <c r="BF62" s="798">
        <f t="shared" si="325"/>
      </c>
      <c r="BG62" s="798">
        <f t="shared" si="325"/>
      </c>
      <c r="BH62" s="798">
        <f t="shared" si="325"/>
      </c>
      <c r="BI62" s="799">
        <f t="shared" si="325"/>
      </c>
      <c r="BJ62" s="798">
        <f t="shared" si="325"/>
      </c>
      <c r="BK62" s="798">
        <f t="shared" si="325"/>
      </c>
      <c r="BL62" s="798">
        <f t="shared" si="325"/>
      </c>
      <c r="BM62" s="799">
        <f t="shared" si="325"/>
      </c>
      <c r="BN62" s="798">
        <f t="shared" si="325"/>
      </c>
      <c r="BO62" s="798">
        <f t="shared" si="325"/>
      </c>
      <c r="BP62" s="798">
        <f t="shared" si="325"/>
      </c>
      <c r="BQ62" s="799">
        <f t="shared" si="325"/>
      </c>
      <c r="BR62" s="798">
        <f t="shared" si="325"/>
      </c>
      <c r="BS62" s="798">
        <f t="shared" si="325"/>
      </c>
      <c r="BT62" s="798">
        <f t="shared" si="325"/>
      </c>
      <c r="BU62" s="799">
        <f t="shared" si="325"/>
      </c>
      <c r="BV62" s="798">
        <f t="shared" si="325"/>
      </c>
      <c r="BW62" s="798">
        <f t="shared" si="325"/>
      </c>
      <c r="BX62" s="798">
        <f t="shared" si="325"/>
      </c>
      <c r="BY62" s="799">
        <f t="shared" si="325"/>
      </c>
      <c r="BZ62" s="798">
        <f t="shared" si="325"/>
      </c>
      <c r="CA62" s="798">
        <f t="shared" si="325"/>
      </c>
      <c r="CB62" s="798">
        <f t="shared" si="325"/>
      </c>
      <c r="CC62" s="799">
        <f t="shared" si="325"/>
      </c>
      <c r="CD62" s="798">
        <f t="shared" si="325"/>
      </c>
      <c r="CE62" s="798">
        <f t="shared" si="325"/>
      </c>
      <c r="CF62" s="798">
        <f t="shared" si="325"/>
      </c>
      <c r="CG62" s="799">
        <f t="shared" si="325"/>
      </c>
      <c r="CH62" s="798">
        <f t="shared" si="325"/>
      </c>
      <c r="CI62" s="798">
        <f t="shared" si="325"/>
      </c>
      <c r="CJ62" s="798">
        <f t="shared" si="325"/>
      </c>
      <c r="CK62" s="799">
        <f t="shared" si="325"/>
      </c>
      <c r="CL62" s="798">
        <f t="shared" si="325"/>
      </c>
      <c r="CM62" s="798">
        <f t="shared" si="325"/>
      </c>
      <c r="CN62" s="798">
        <f t="shared" si="325"/>
      </c>
      <c r="CO62" s="799">
        <f t="shared" si="325"/>
      </c>
      <c r="CP62" s="798">
        <f t="shared" si="325"/>
      </c>
      <c r="CQ62" s="798">
        <f t="shared" si="325"/>
      </c>
      <c r="CR62" s="798">
        <f t="shared" si="325"/>
      </c>
      <c r="CS62" s="799">
        <f t="shared" si="325"/>
      </c>
      <c r="CT62" s="796">
        <f t="shared" si="325"/>
      </c>
      <c r="CU62" s="796">
        <f t="shared" si="325"/>
      </c>
      <c r="CV62" s="796">
        <f t="shared" si="325"/>
      </c>
      <c r="CW62" s="797">
        <f t="shared" si="325"/>
      </c>
      <c r="CX62" s="796">
        <f t="shared" si="325"/>
      </c>
      <c r="CY62" s="796">
        <f t="shared" si="325"/>
      </c>
      <c r="CZ62" s="796">
        <f t="shared" si="325"/>
      </c>
      <c r="DA62" s="797">
        <f t="shared" si="325"/>
      </c>
      <c r="DB62" s="800">
        <f t="shared" si="325"/>
      </c>
      <c r="DC62" s="796">
        <f t="shared" si="325"/>
      </c>
      <c r="DD62" s="800">
        <f t="shared" si="325"/>
      </c>
      <c r="DE62" s="801">
        <f t="shared" si="325"/>
      </c>
      <c r="DF62" s="800">
        <f t="shared" si="325"/>
      </c>
      <c r="DG62" s="800">
        <f t="shared" si="325"/>
      </c>
      <c r="DH62" s="800">
        <f t="shared" si="325"/>
      </c>
      <c r="DI62" s="801">
        <f t="shared" si="325"/>
      </c>
      <c r="DJ62" s="800">
        <f t="shared" si="325"/>
      </c>
      <c r="DK62" s="800">
        <f t="shared" ref="DK62:DQ62" si="326">DK11/DK$79</f>
      </c>
      <c r="DL62" s="800">
        <f>DL11/DL$79</f>
      </c>
      <c r="DM62" s="801">
        <f t="shared" si="326"/>
      </c>
      <c r="DN62" s="800">
        <f t="shared" si="326"/>
      </c>
      <c r="DO62" s="800">
        <f t="shared" si="326"/>
      </c>
      <c r="DP62" s="800">
        <f t="shared" si="326"/>
      </c>
      <c r="DQ62" s="801">
        <f t="shared" si="326"/>
      </c>
      <c r="DR62" s="800">
        <f>DR11/'Segment - Products'!DR$231</f>
      </c>
      <c r="DS62" s="800">
        <f>DS11/'Segment - Products'!DS$231</f>
      </c>
      <c r="DT62" s="800">
        <f>DT11/'Segment - Products'!DT$231</f>
      </c>
      <c r="DU62" s="801">
        <f>DU11/'Segment - Products'!DU$231</f>
      </c>
      <c r="DV62" s="800">
        <f>DV11/'Segment - Products'!DV$231</f>
      </c>
      <c r="DW62" s="800">
        <f>DW11/'Segment - Products'!DW$231</f>
      </c>
      <c r="DX62" s="800">
        <f>DX11/'Segment - Products'!DX$231</f>
      </c>
      <c r="DY62" s="801">
        <f>DY11/'Segment - Products'!DY$231</f>
      </c>
      <c r="DZ62" s="800">
        <f>DZ11/'Segment - Products'!DZ$231</f>
      </c>
      <c r="EA62" s="800">
        <f>EA11/'Segment - Products'!EA$231</f>
      </c>
      <c r="EB62" s="800">
        <f>EB11/'Segment - Products'!EB$231</f>
      </c>
      <c r="EC62" s="801">
        <f>EC11/'Segment - Products'!EC$231</f>
      </c>
      <c r="ED62" s="800">
        <f>ED11/'Segment - Products'!ED$231</f>
      </c>
      <c r="EE62" s="800">
        <f>EE11/'Segment - Products'!EE$231</f>
      </c>
      <c r="EF62" s="800">
        <f>EF11/'Segment - Products'!EF$231</f>
      </c>
      <c r="EG62" s="801">
        <f>EG11/'Segment - Products'!EG$231</f>
      </c>
      <c r="EH62" s="800">
        <f>EH11/'Segment - Products'!EH$231</f>
      </c>
      <c r="EI62" s="800">
        <f>EI11/'Segment - Products'!EI$231</f>
      </c>
      <c r="EJ62" s="800">
        <f>EJ11/'Segment - Products'!EJ$231</f>
      </c>
      <c r="EK62" s="801">
        <f>EK11/'Segment - Products'!EK$231</f>
      </c>
      <c r="EL62" s="794"/>
      <c r="EM62" s="794"/>
      <c r="EN62" s="794"/>
      <c r="EO62" s="794"/>
      <c r="EP62" s="794"/>
      <c r="EQ62" s="794"/>
      <c r="ER62" s="794"/>
      <c r="ES62" s="794"/>
      <c r="ET62" s="794"/>
      <c r="EU62" s="794"/>
      <c r="EV62" s="794"/>
      <c r="EW62" s="794"/>
      <c r="EX62" s="794"/>
      <c r="EY62" s="794"/>
      <c r="EZ62" s="794"/>
      <c r="FA62" s="800"/>
      <c r="FB62" s="800">
        <f t="shared" ref="FB62:FF62" si="327">FB11/FB$79</f>
      </c>
      <c r="FC62" s="800">
        <f t="shared" si="327"/>
      </c>
      <c r="FD62" s="800">
        <f t="shared" si="327"/>
      </c>
      <c r="FE62" s="800">
        <f t="shared" si="327"/>
      </c>
      <c r="FF62" s="800">
        <f t="shared" si="327"/>
      </c>
      <c r="FG62" s="800">
        <f t="shared" ref="FG62" si="328">FG11/FG$79</f>
      </c>
      <c r="FH62" s="800">
        <f t="shared" ref="FH62" si="329">FH11/FH$79</f>
      </c>
      <c r="FI62" s="800">
        <f t="shared" ref="FI62:FU62" si="330">FI11/FI$79</f>
      </c>
      <c r="FJ62" s="800">
        <f t="shared" si="330"/>
      </c>
      <c r="FK62" s="800">
        <f t="shared" si="330"/>
      </c>
      <c r="FL62" s="800">
        <f t="shared" si="330"/>
      </c>
      <c r="FM62" s="800">
        <f t="shared" si="330"/>
      </c>
      <c r="FN62" s="800">
        <f t="shared" si="330"/>
      </c>
      <c r="FO62" s="800">
        <f t="shared" si="330"/>
      </c>
      <c r="FP62" s="800">
        <f t="shared" si="330"/>
      </c>
      <c r="FQ62" s="800">
        <f t="shared" si="330"/>
      </c>
      <c r="FR62" s="800">
        <f t="shared" si="330"/>
      </c>
      <c r="FS62" s="800">
        <f t="shared" si="330"/>
      </c>
      <c r="FT62" s="800">
        <f t="shared" si="330"/>
      </c>
      <c r="FU62" s="800">
        <f t="shared" si="330"/>
      </c>
      <c r="FV62" s="800"/>
      <c r="FW62" s="802"/>
      <c r="FX62" s="802"/>
      <c r="FY62" s="802"/>
      <c r="FZ62" s="802"/>
      <c r="GA62" s="802"/>
      <c r="GB62" s="802"/>
      <c r="GC62" s="802"/>
      <c r="GD62" s="802"/>
      <c r="GE62" s="802"/>
      <c r="GF62" s="802"/>
      <c r="GG62" s="802"/>
      <c r="GH62" s="802"/>
      <c r="GI62" s="803"/>
      <c r="GJ62" s="803"/>
      <c r="GK62" s="803"/>
      <c r="GL62" s="803"/>
      <c r="GM62" s="803"/>
      <c r="GN62" s="803"/>
      <c r="GO62" s="800" t="e">
        <f>GO11/'Segment - Products'!GN$231</f>
      </c>
      <c r="GP62" s="800" t="e">
        <f>GP11/'Segment - Products'!GO$231</f>
      </c>
      <c r="GQ62" s="800" t="e">
        <f>GQ11/'Segment - Products'!GP$231</f>
      </c>
      <c r="GR62" s="800" t="e">
        <f>GR11/'Segment - Products'!GQ$231</f>
      </c>
      <c r="GS62" s="800" t="e">
        <f>GS11/'Segment - Products'!GR$231</f>
      </c>
      <c r="GT62" s="800"/>
      <c r="GU62" s="800"/>
      <c r="GV62" s="800"/>
      <c r="GW62" s="800"/>
      <c r="GX62" s="800"/>
      <c r="GY62" s="800"/>
      <c r="GZ62" s="800"/>
      <c r="HA62" s="800"/>
      <c r="HB62" s="800"/>
      <c r="HC62" s="800"/>
      <c r="HD62" s="800"/>
      <c r="HE62" s="800"/>
    </row>
    <row r="63" spans="1:213" s="345" customFormat="1" ht="10.199999999999999">
      <c r="A63" s="2086" t="s">
        <v>85</v>
      </c>
      <c r="B63" s="794"/>
      <c r="C63" s="794"/>
      <c r="D63" s="794"/>
      <c r="E63" s="795"/>
      <c r="F63" s="794"/>
      <c r="G63" s="794"/>
      <c r="H63" s="794"/>
      <c r="I63" s="795"/>
      <c r="J63" s="794"/>
      <c r="K63" s="794"/>
      <c r="L63" s="794"/>
      <c r="M63" s="795"/>
      <c r="N63" s="794"/>
      <c r="O63" s="794"/>
      <c r="P63" s="794"/>
      <c r="Q63" s="795"/>
      <c r="R63" s="794"/>
      <c r="S63" s="794"/>
      <c r="T63" s="794"/>
      <c r="U63" s="795"/>
      <c r="V63" s="794"/>
      <c r="W63" s="794"/>
      <c r="X63" s="794"/>
      <c r="Y63" s="795"/>
      <c r="Z63" s="794"/>
      <c r="AA63" s="794"/>
      <c r="AB63" s="794"/>
      <c r="AC63" s="795"/>
      <c r="AD63" s="794"/>
      <c r="AE63" s="794"/>
      <c r="AF63" s="794"/>
      <c r="AG63" s="795"/>
      <c r="AH63" s="794"/>
      <c r="AI63" s="794"/>
      <c r="AJ63" s="794"/>
      <c r="AK63" s="795"/>
      <c r="AL63" s="794"/>
      <c r="AM63" s="794"/>
      <c r="AN63" s="794"/>
      <c r="AO63" s="795"/>
      <c r="AP63" s="794"/>
      <c r="AQ63" s="794"/>
      <c r="AR63" s="794"/>
      <c r="AS63" s="795"/>
      <c r="AT63" s="794"/>
      <c r="AU63" s="794"/>
      <c r="AV63" s="796"/>
      <c r="AW63" s="797"/>
      <c r="AX63" s="798">
        <f>AX13/AX$79</f>
      </c>
      <c r="AY63" s="798">
        <f t="shared" ref="AY63:DJ63" si="331">AY13/AY$79</f>
      </c>
      <c r="AZ63" s="798">
        <f t="shared" si="331"/>
      </c>
      <c r="BA63" s="799">
        <f t="shared" si="331"/>
      </c>
      <c r="BB63" s="798">
        <f t="shared" si="331"/>
      </c>
      <c r="BC63" s="798">
        <f t="shared" si="331"/>
      </c>
      <c r="BD63" s="798">
        <f t="shared" si="331"/>
      </c>
      <c r="BE63" s="799">
        <f t="shared" si="331"/>
      </c>
      <c r="BF63" s="798">
        <f t="shared" si="331"/>
      </c>
      <c r="BG63" s="798">
        <f t="shared" si="331"/>
      </c>
      <c r="BH63" s="798">
        <f t="shared" si="331"/>
      </c>
      <c r="BI63" s="799">
        <f t="shared" si="331"/>
      </c>
      <c r="BJ63" s="798">
        <f t="shared" si="331"/>
      </c>
      <c r="BK63" s="798">
        <f t="shared" si="331"/>
      </c>
      <c r="BL63" s="798">
        <f t="shared" si="331"/>
      </c>
      <c r="BM63" s="799">
        <f t="shared" si="331"/>
      </c>
      <c r="BN63" s="798">
        <f t="shared" si="331"/>
      </c>
      <c r="BO63" s="798">
        <f t="shared" si="331"/>
      </c>
      <c r="BP63" s="798">
        <f t="shared" si="331"/>
      </c>
      <c r="BQ63" s="799">
        <f t="shared" si="331"/>
      </c>
      <c r="BR63" s="798">
        <f t="shared" si="331"/>
      </c>
      <c r="BS63" s="798">
        <f t="shared" si="331"/>
      </c>
      <c r="BT63" s="798">
        <f t="shared" si="331"/>
      </c>
      <c r="BU63" s="799">
        <f t="shared" si="331"/>
      </c>
      <c r="BV63" s="798">
        <f t="shared" si="331"/>
      </c>
      <c r="BW63" s="798">
        <f t="shared" si="331"/>
      </c>
      <c r="BX63" s="798">
        <f t="shared" si="331"/>
      </c>
      <c r="BY63" s="799">
        <f t="shared" si="331"/>
      </c>
      <c r="BZ63" s="798">
        <f t="shared" si="331"/>
      </c>
      <c r="CA63" s="798">
        <f t="shared" si="331"/>
      </c>
      <c r="CB63" s="798">
        <f t="shared" si="331"/>
      </c>
      <c r="CC63" s="799">
        <f t="shared" si="331"/>
      </c>
      <c r="CD63" s="798">
        <f t="shared" si="331"/>
      </c>
      <c r="CE63" s="798">
        <f t="shared" si="331"/>
      </c>
      <c r="CF63" s="798">
        <f t="shared" si="331"/>
      </c>
      <c r="CG63" s="799">
        <f t="shared" si="331"/>
      </c>
      <c r="CH63" s="798">
        <f t="shared" si="331"/>
      </c>
      <c r="CI63" s="798">
        <f t="shared" si="331"/>
      </c>
      <c r="CJ63" s="798">
        <f t="shared" si="331"/>
      </c>
      <c r="CK63" s="799">
        <f t="shared" si="331"/>
      </c>
      <c r="CL63" s="798">
        <f t="shared" si="331"/>
      </c>
      <c r="CM63" s="798">
        <f t="shared" si="331"/>
      </c>
      <c r="CN63" s="798">
        <f t="shared" si="331"/>
      </c>
      <c r="CO63" s="799">
        <f t="shared" si="331"/>
      </c>
      <c r="CP63" s="798">
        <f t="shared" si="331"/>
      </c>
      <c r="CQ63" s="798">
        <f t="shared" si="331"/>
      </c>
      <c r="CR63" s="798">
        <f t="shared" si="331"/>
      </c>
      <c r="CS63" s="799">
        <f t="shared" si="331"/>
      </c>
      <c r="CT63" s="796">
        <f t="shared" si="331"/>
      </c>
      <c r="CU63" s="796">
        <f t="shared" si="331"/>
      </c>
      <c r="CV63" s="796">
        <f t="shared" si="331"/>
      </c>
      <c r="CW63" s="797">
        <f t="shared" si="331"/>
      </c>
      <c r="CX63" s="796">
        <f t="shared" si="331"/>
      </c>
      <c r="CY63" s="796">
        <f t="shared" si="331"/>
      </c>
      <c r="CZ63" s="796">
        <f t="shared" si="331"/>
      </c>
      <c r="DA63" s="797">
        <f t="shared" si="331"/>
      </c>
      <c r="DB63" s="800">
        <f t="shared" si="331"/>
      </c>
      <c r="DC63" s="796">
        <f t="shared" si="331"/>
      </c>
      <c r="DD63" s="800">
        <f t="shared" si="331"/>
      </c>
      <c r="DE63" s="801">
        <f t="shared" si="331"/>
      </c>
      <c r="DF63" s="800">
        <f t="shared" si="331"/>
      </c>
      <c r="DG63" s="800">
        <f t="shared" si="331"/>
      </c>
      <c r="DH63" s="800">
        <f t="shared" si="331"/>
      </c>
      <c r="DI63" s="801">
        <f t="shared" si="331"/>
      </c>
      <c r="DJ63" s="800">
        <f t="shared" si="331"/>
      </c>
      <c r="DK63" s="800">
        <f t="shared" ref="DK63:DQ63" si="332">DK13/DK$79</f>
      </c>
      <c r="DL63" s="800">
        <f t="shared" si="332"/>
      </c>
      <c r="DM63" s="801">
        <f t="shared" si="332"/>
      </c>
      <c r="DN63" s="800">
        <f t="shared" si="332"/>
      </c>
      <c r="DO63" s="800">
        <f t="shared" si="332"/>
      </c>
      <c r="DP63" s="800">
        <f t="shared" si="332"/>
      </c>
      <c r="DQ63" s="801">
        <f t="shared" si="332"/>
      </c>
      <c r="DR63" s="800">
        <f>DR13/'Segment - Products'!DR$231</f>
      </c>
      <c r="DS63" s="800">
        <f>DS13/'Segment - Products'!DS$231</f>
      </c>
      <c r="DT63" s="800">
        <f>DT13/'Segment - Products'!DT$231</f>
      </c>
      <c r="DU63" s="801">
        <f>DU13/'Segment - Products'!DU$231</f>
      </c>
      <c r="DV63" s="800">
        <f>DV13/'Segment - Products'!DV$231</f>
      </c>
      <c r="DW63" s="800">
        <f>DW13/'Segment - Products'!DW$231</f>
      </c>
      <c r="DX63" s="800">
        <f>DX13/'Segment - Products'!DX$231</f>
      </c>
      <c r="DY63" s="801">
        <f>DY13/'Segment - Products'!DY$231</f>
      </c>
      <c r="DZ63" s="800">
        <f>DZ13/'Segment - Products'!DZ$231</f>
      </c>
      <c r="EA63" s="800">
        <f>EA13/'Segment - Products'!EA$231</f>
      </c>
      <c r="EB63" s="800">
        <f>EB13/'Segment - Products'!EB$231</f>
      </c>
      <c r="EC63" s="801">
        <f>EC13/'Segment - Products'!EC$231</f>
      </c>
      <c r="ED63" s="800">
        <f>ED13/'Segment - Products'!ED$231</f>
      </c>
      <c r="EE63" s="800">
        <f>EE13/'Segment - Products'!EE$231</f>
      </c>
      <c r="EF63" s="800">
        <f>EF13/'Segment - Products'!EF$231</f>
      </c>
      <c r="EG63" s="801">
        <f>EG13/'Segment - Products'!EG$231</f>
      </c>
      <c r="EH63" s="800">
        <f>EH13/'Segment - Products'!EH$231</f>
      </c>
      <c r="EI63" s="800">
        <f>EI13/'Segment - Products'!EI$231</f>
      </c>
      <c r="EJ63" s="800">
        <f>EJ13/'Segment - Products'!EJ$231</f>
      </c>
      <c r="EK63" s="801">
        <f>EK13/'Segment - Products'!EK$231</f>
      </c>
      <c r="EL63" s="794"/>
      <c r="EM63" s="794"/>
      <c r="EN63" s="794"/>
      <c r="EO63" s="794"/>
      <c r="EP63" s="794"/>
      <c r="EQ63" s="794"/>
      <c r="ER63" s="794"/>
      <c r="ES63" s="794"/>
      <c r="ET63" s="794"/>
      <c r="EU63" s="794"/>
      <c r="EV63" s="794"/>
      <c r="EW63" s="794"/>
      <c r="EX63" s="794"/>
      <c r="EY63" s="794"/>
      <c r="EZ63" s="794"/>
      <c r="FA63" s="800"/>
      <c r="FB63" s="800">
        <f t="shared" ref="FB63:FF63" si="333">FB13/FB$79</f>
      </c>
      <c r="FC63" s="800">
        <f t="shared" si="333"/>
      </c>
      <c r="FD63" s="800">
        <f t="shared" si="333"/>
      </c>
      <c r="FE63" s="800">
        <f t="shared" si="333"/>
      </c>
      <c r="FF63" s="800">
        <f t="shared" si="333"/>
      </c>
      <c r="FG63" s="800">
        <f t="shared" ref="FG63" si="334">FG13/FG$79</f>
      </c>
      <c r="FH63" s="800">
        <f t="shared" ref="FH63" si="335">FH13/FH$79</f>
      </c>
      <c r="FI63" s="800">
        <f t="shared" ref="FI63:FU63" si="336">FI13/FI$79</f>
      </c>
      <c r="FJ63" s="800">
        <f t="shared" si="336"/>
      </c>
      <c r="FK63" s="800">
        <f t="shared" si="336"/>
      </c>
      <c r="FL63" s="800">
        <f t="shared" si="336"/>
      </c>
      <c r="FM63" s="800">
        <f t="shared" si="336"/>
      </c>
      <c r="FN63" s="800">
        <f t="shared" si="336"/>
      </c>
      <c r="FO63" s="800">
        <f t="shared" si="336"/>
      </c>
      <c r="FP63" s="800">
        <f t="shared" si="336"/>
      </c>
      <c r="FQ63" s="800">
        <f t="shared" si="336"/>
      </c>
      <c r="FR63" s="800">
        <f t="shared" si="336"/>
      </c>
      <c r="FS63" s="800">
        <f t="shared" si="336"/>
      </c>
      <c r="FT63" s="800">
        <f t="shared" si="336"/>
      </c>
      <c r="FU63" s="800">
        <f t="shared" si="336"/>
      </c>
      <c r="FV63" s="800"/>
      <c r="FW63" s="802"/>
      <c r="FX63" s="802"/>
      <c r="FY63" s="802"/>
      <c r="FZ63" s="802"/>
      <c r="GA63" s="802"/>
      <c r="GB63" s="802"/>
      <c r="GC63" s="802"/>
      <c r="GD63" s="802"/>
      <c r="GE63" s="802"/>
      <c r="GF63" s="802"/>
      <c r="GG63" s="802"/>
      <c r="GH63" s="802"/>
      <c r="GI63" s="803"/>
      <c r="GJ63" s="803"/>
      <c r="GK63" s="803"/>
      <c r="GL63" s="803"/>
      <c r="GM63" s="803"/>
      <c r="GN63" s="803"/>
      <c r="GO63" s="800" t="e">
        <f>GO13/'Segment - Products'!GN$231</f>
      </c>
      <c r="GP63" s="800" t="e">
        <f>GP13/'Segment - Products'!GO$231</f>
      </c>
      <c r="GQ63" s="800" t="e">
        <f>GQ13/'Segment - Products'!GP$231</f>
      </c>
      <c r="GR63" s="800" t="e">
        <f>GR13/'Segment - Products'!GQ$231</f>
      </c>
      <c r="GS63" s="800" t="e">
        <f>GS13/'Segment - Products'!GR$231</f>
      </c>
      <c r="GT63" s="800"/>
      <c r="GU63" s="800"/>
      <c r="GV63" s="800"/>
      <c r="GW63" s="800"/>
      <c r="GX63" s="800"/>
      <c r="GY63" s="800"/>
      <c r="GZ63" s="800"/>
      <c r="HA63" s="800"/>
      <c r="HB63" s="800"/>
      <c r="HC63" s="800"/>
      <c r="HD63" s="800"/>
      <c r="HE63" s="800"/>
    </row>
    <row r="64" spans="1:213" s="345" customFormat="1" ht="10.199999999999999">
      <c r="A64" s="2086" t="s">
        <v>86</v>
      </c>
      <c r="B64" s="794"/>
      <c r="C64" s="794"/>
      <c r="D64" s="794"/>
      <c r="E64" s="795"/>
      <c r="F64" s="794"/>
      <c r="G64" s="794"/>
      <c r="H64" s="794"/>
      <c r="I64" s="795"/>
      <c r="J64" s="794"/>
      <c r="K64" s="794"/>
      <c r="L64" s="794"/>
      <c r="M64" s="795"/>
      <c r="N64" s="794"/>
      <c r="O64" s="794"/>
      <c r="P64" s="794"/>
      <c r="Q64" s="795"/>
      <c r="R64" s="794"/>
      <c r="S64" s="794"/>
      <c r="T64" s="794"/>
      <c r="U64" s="795"/>
      <c r="V64" s="794"/>
      <c r="W64" s="794"/>
      <c r="X64" s="794"/>
      <c r="Y64" s="795"/>
      <c r="Z64" s="794"/>
      <c r="AA64" s="794"/>
      <c r="AB64" s="794"/>
      <c r="AC64" s="795"/>
      <c r="AD64" s="794"/>
      <c r="AE64" s="794"/>
      <c r="AF64" s="794"/>
      <c r="AG64" s="795"/>
      <c r="AH64" s="794"/>
      <c r="AI64" s="794"/>
      <c r="AJ64" s="794"/>
      <c r="AK64" s="795"/>
      <c r="AL64" s="794"/>
      <c r="AM64" s="794"/>
      <c r="AN64" s="794"/>
      <c r="AO64" s="795"/>
      <c r="AP64" s="794"/>
      <c r="AQ64" s="794"/>
      <c r="AR64" s="794"/>
      <c r="AS64" s="795"/>
      <c r="AT64" s="794"/>
      <c r="AU64" s="794"/>
      <c r="AV64" s="796"/>
      <c r="AW64" s="797"/>
      <c r="AX64" s="798">
        <f>AX12/AX$79</f>
      </c>
      <c r="AY64" s="798">
        <f t="shared" ref="AY64:DJ64" si="337">AY12/AY$79</f>
      </c>
      <c r="AZ64" s="798">
        <f t="shared" si="337"/>
      </c>
      <c r="BA64" s="799">
        <f t="shared" si="337"/>
      </c>
      <c r="BB64" s="798">
        <f t="shared" si="337"/>
      </c>
      <c r="BC64" s="798">
        <f t="shared" si="337"/>
      </c>
      <c r="BD64" s="798">
        <f t="shared" si="337"/>
      </c>
      <c r="BE64" s="799">
        <f t="shared" si="337"/>
      </c>
      <c r="BF64" s="798">
        <f t="shared" si="337"/>
      </c>
      <c r="BG64" s="798">
        <f t="shared" si="337"/>
      </c>
      <c r="BH64" s="798">
        <f t="shared" si="337"/>
      </c>
      <c r="BI64" s="799">
        <f t="shared" si="337"/>
      </c>
      <c r="BJ64" s="798">
        <f t="shared" si="337"/>
      </c>
      <c r="BK64" s="798">
        <f t="shared" si="337"/>
      </c>
      <c r="BL64" s="798">
        <f t="shared" si="337"/>
      </c>
      <c r="BM64" s="799">
        <f t="shared" si="337"/>
      </c>
      <c r="BN64" s="798">
        <f t="shared" si="337"/>
      </c>
      <c r="BO64" s="798">
        <f t="shared" si="337"/>
      </c>
      <c r="BP64" s="798">
        <f t="shared" si="337"/>
      </c>
      <c r="BQ64" s="799">
        <f t="shared" si="337"/>
      </c>
      <c r="BR64" s="798">
        <f t="shared" si="337"/>
      </c>
      <c r="BS64" s="798">
        <f t="shared" si="337"/>
      </c>
      <c r="BT64" s="798">
        <f t="shared" si="337"/>
      </c>
      <c r="BU64" s="799">
        <f t="shared" si="337"/>
      </c>
      <c r="BV64" s="798">
        <f t="shared" si="337"/>
      </c>
      <c r="BW64" s="798">
        <f t="shared" si="337"/>
      </c>
      <c r="BX64" s="798">
        <f t="shared" si="337"/>
      </c>
      <c r="BY64" s="799">
        <f t="shared" si="337"/>
      </c>
      <c r="BZ64" s="798">
        <f t="shared" si="337"/>
      </c>
      <c r="CA64" s="798">
        <f t="shared" si="337"/>
      </c>
      <c r="CB64" s="798">
        <f t="shared" si="337"/>
      </c>
      <c r="CC64" s="799">
        <f t="shared" si="337"/>
      </c>
      <c r="CD64" s="798">
        <f t="shared" si="337"/>
      </c>
      <c r="CE64" s="798">
        <f t="shared" si="337"/>
      </c>
      <c r="CF64" s="798">
        <f t="shared" si="337"/>
      </c>
      <c r="CG64" s="799">
        <f t="shared" si="337"/>
      </c>
      <c r="CH64" s="798">
        <f t="shared" si="337"/>
      </c>
      <c r="CI64" s="798">
        <f t="shared" si="337"/>
      </c>
      <c r="CJ64" s="798">
        <f t="shared" si="337"/>
      </c>
      <c r="CK64" s="799">
        <f t="shared" si="337"/>
      </c>
      <c r="CL64" s="798">
        <f t="shared" si="337"/>
      </c>
      <c r="CM64" s="798">
        <f t="shared" si="337"/>
      </c>
      <c r="CN64" s="798">
        <f t="shared" si="337"/>
      </c>
      <c r="CO64" s="799">
        <f t="shared" si="337"/>
      </c>
      <c r="CP64" s="798">
        <f t="shared" si="337"/>
      </c>
      <c r="CQ64" s="798">
        <f t="shared" si="337"/>
      </c>
      <c r="CR64" s="798">
        <f t="shared" si="337"/>
      </c>
      <c r="CS64" s="799">
        <f t="shared" si="337"/>
      </c>
      <c r="CT64" s="796">
        <f t="shared" si="337"/>
      </c>
      <c r="CU64" s="796">
        <f t="shared" si="337"/>
      </c>
      <c r="CV64" s="796">
        <f t="shared" si="337"/>
      </c>
      <c r="CW64" s="797">
        <f t="shared" si="337"/>
      </c>
      <c r="CX64" s="796">
        <f t="shared" si="337"/>
      </c>
      <c r="CY64" s="796">
        <f t="shared" si="337"/>
      </c>
      <c r="CZ64" s="796">
        <f t="shared" si="337"/>
      </c>
      <c r="DA64" s="797">
        <f t="shared" si="337"/>
      </c>
      <c r="DB64" s="800">
        <f t="shared" si="337"/>
      </c>
      <c r="DC64" s="796">
        <f t="shared" si="337"/>
      </c>
      <c r="DD64" s="800">
        <f t="shared" si="337"/>
      </c>
      <c r="DE64" s="801">
        <f t="shared" si="337"/>
      </c>
      <c r="DF64" s="800">
        <f t="shared" si="337"/>
      </c>
      <c r="DG64" s="800">
        <f t="shared" si="337"/>
      </c>
      <c r="DH64" s="800">
        <f t="shared" si="337"/>
      </c>
      <c r="DI64" s="801">
        <f t="shared" si="337"/>
      </c>
      <c r="DJ64" s="800">
        <f t="shared" si="337"/>
      </c>
      <c r="DK64" s="800">
        <f t="shared" ref="DK64:DQ64" si="338">DK12/DK$79</f>
      </c>
      <c r="DL64" s="800">
        <f t="shared" si="338"/>
      </c>
      <c r="DM64" s="801">
        <f t="shared" si="338"/>
      </c>
      <c r="DN64" s="800">
        <f t="shared" si="338"/>
      </c>
      <c r="DO64" s="800">
        <f t="shared" si="338"/>
      </c>
      <c r="DP64" s="800">
        <f t="shared" si="338"/>
      </c>
      <c r="DQ64" s="801">
        <f t="shared" si="338"/>
      </c>
      <c r="DR64" s="800">
        <f>DR12/'Segment - Products'!DR$231</f>
      </c>
      <c r="DS64" s="800">
        <f>DS12/'Segment - Products'!DS$231</f>
      </c>
      <c r="DT64" s="800">
        <f>DT12/'Segment - Products'!DT$231</f>
      </c>
      <c r="DU64" s="801">
        <f>DU12/'Segment - Products'!DU$231</f>
      </c>
      <c r="DV64" s="800">
        <f>DV12/'Segment - Products'!DV$231</f>
      </c>
      <c r="DW64" s="800">
        <f>DW12/'Segment - Products'!DW$231</f>
      </c>
      <c r="DX64" s="800">
        <f>DX12/'Segment - Products'!DX$231</f>
      </c>
      <c r="DY64" s="801">
        <f>DY12/'Segment - Products'!DY$231</f>
      </c>
      <c r="DZ64" s="800">
        <f>DZ12/'Segment - Products'!DZ$231</f>
      </c>
      <c r="EA64" s="800">
        <f>EA12/'Segment - Products'!EA$231</f>
      </c>
      <c r="EB64" s="800">
        <f>EB12/'Segment - Products'!EB$231</f>
      </c>
      <c r="EC64" s="801">
        <f>EC12/'Segment - Products'!EC$231</f>
      </c>
      <c r="ED64" s="800">
        <f>ED12/'Segment - Products'!ED$231</f>
      </c>
      <c r="EE64" s="800">
        <f>EE12/'Segment - Products'!EE$231</f>
      </c>
      <c r="EF64" s="800">
        <f>EF12/'Segment - Products'!EF$231</f>
      </c>
      <c r="EG64" s="801">
        <f>EG12/'Segment - Products'!EG$231</f>
      </c>
      <c r="EH64" s="800">
        <f>EH12/'Segment - Products'!EH$231</f>
      </c>
      <c r="EI64" s="800">
        <f>EI12/'Segment - Products'!EI$231</f>
      </c>
      <c r="EJ64" s="800">
        <f>EJ12/'Segment - Products'!EJ$231</f>
      </c>
      <c r="EK64" s="801">
        <f>EK12/'Segment - Products'!EK$231</f>
      </c>
      <c r="EL64" s="794"/>
      <c r="EM64" s="794"/>
      <c r="EN64" s="794"/>
      <c r="EO64" s="794"/>
      <c r="EP64" s="794"/>
      <c r="EQ64" s="794"/>
      <c r="ER64" s="794"/>
      <c r="ES64" s="794"/>
      <c r="ET64" s="794"/>
      <c r="EU64" s="794"/>
      <c r="EV64" s="794"/>
      <c r="EW64" s="794"/>
      <c r="EX64" s="794"/>
      <c r="EY64" s="794"/>
      <c r="EZ64" s="794"/>
      <c r="FA64" s="800"/>
      <c r="FB64" s="800">
        <f t="shared" ref="FB64:FF64" si="339">FB12/FB$79</f>
      </c>
      <c r="FC64" s="800">
        <f t="shared" si="339"/>
      </c>
      <c r="FD64" s="800">
        <f t="shared" si="339"/>
      </c>
      <c r="FE64" s="800">
        <f t="shared" si="339"/>
      </c>
      <c r="FF64" s="800">
        <f t="shared" si="339"/>
      </c>
      <c r="FG64" s="800">
        <f t="shared" ref="FG64" si="340">FG12/FG$79</f>
      </c>
      <c r="FH64" s="800">
        <f t="shared" ref="FH64" si="341">FH12/FH$79</f>
      </c>
      <c r="FI64" s="800">
        <f t="shared" ref="FI64:FU64" si="342">FI12/FI$79</f>
      </c>
      <c r="FJ64" s="800">
        <f t="shared" si="342"/>
      </c>
      <c r="FK64" s="800">
        <f t="shared" si="342"/>
      </c>
      <c r="FL64" s="800">
        <f t="shared" si="342"/>
      </c>
      <c r="FM64" s="800">
        <f t="shared" si="342"/>
      </c>
      <c r="FN64" s="800">
        <f t="shared" si="342"/>
      </c>
      <c r="FO64" s="800">
        <f t="shared" si="342"/>
      </c>
      <c r="FP64" s="800">
        <f t="shared" si="342"/>
      </c>
      <c r="FQ64" s="800">
        <f t="shared" si="342"/>
      </c>
      <c r="FR64" s="800">
        <f t="shared" si="342"/>
      </c>
      <c r="FS64" s="800">
        <f t="shared" si="342"/>
      </c>
      <c r="FT64" s="800">
        <f t="shared" si="342"/>
      </c>
      <c r="FU64" s="800">
        <f t="shared" si="342"/>
      </c>
      <c r="FV64" s="800"/>
      <c r="FW64" s="802"/>
      <c r="FX64" s="802"/>
      <c r="FY64" s="802"/>
      <c r="FZ64" s="802"/>
      <c r="GA64" s="802"/>
      <c r="GB64" s="802"/>
      <c r="GC64" s="802"/>
      <c r="GD64" s="802"/>
      <c r="GE64" s="802"/>
      <c r="GF64" s="802"/>
      <c r="GG64" s="802"/>
      <c r="GH64" s="802"/>
      <c r="GI64" s="803"/>
      <c r="GJ64" s="803"/>
      <c r="GK64" s="803"/>
      <c r="GL64" s="803"/>
      <c r="GM64" s="803"/>
      <c r="GN64" s="803"/>
      <c r="GO64" s="800" t="e">
        <f>GO12/'Segment - Products'!GN$231</f>
      </c>
      <c r="GP64" s="800" t="e">
        <f>GP12/'Segment - Products'!GO$231</f>
      </c>
      <c r="GQ64" s="800" t="e">
        <f>GQ12/'Segment - Products'!GP$231</f>
      </c>
      <c r="GR64" s="800" t="e">
        <f>GR12/'Segment - Products'!GQ$231</f>
      </c>
      <c r="GS64" s="800" t="e">
        <f>GS12/'Segment - Products'!GR$231</f>
      </c>
      <c r="GT64" s="800"/>
      <c r="GU64" s="800"/>
      <c r="GV64" s="800"/>
      <c r="GW64" s="800"/>
      <c r="GX64" s="800"/>
      <c r="GY64" s="800"/>
      <c r="GZ64" s="800"/>
      <c r="HA64" s="800"/>
      <c r="HB64" s="800"/>
      <c r="HC64" s="800"/>
      <c r="HD64" s="800"/>
      <c r="HE64" s="800"/>
    </row>
    <row r="65" spans="1:213" s="345" customFormat="1" ht="10.199999999999999">
      <c r="A65" s="2086" t="s">
        <v>1120</v>
      </c>
      <c r="B65" s="794"/>
      <c r="C65" s="794"/>
      <c r="D65" s="794"/>
      <c r="E65" s="795"/>
      <c r="F65" s="794"/>
      <c r="G65" s="794"/>
      <c r="H65" s="794"/>
      <c r="I65" s="795"/>
      <c r="J65" s="794"/>
      <c r="K65" s="794"/>
      <c r="L65" s="794"/>
      <c r="M65" s="795"/>
      <c r="N65" s="794"/>
      <c r="O65" s="794"/>
      <c r="P65" s="794"/>
      <c r="Q65" s="795"/>
      <c r="R65" s="794"/>
      <c r="S65" s="794"/>
      <c r="T65" s="794"/>
      <c r="U65" s="795"/>
      <c r="V65" s="794"/>
      <c r="W65" s="794"/>
      <c r="X65" s="794"/>
      <c r="Y65" s="795"/>
      <c r="Z65" s="794"/>
      <c r="AA65" s="794"/>
      <c r="AB65" s="794"/>
      <c r="AC65" s="795"/>
      <c r="AD65" s="794"/>
      <c r="AE65" s="794"/>
      <c r="AF65" s="794"/>
      <c r="AG65" s="795"/>
      <c r="AH65" s="794"/>
      <c r="AI65" s="794"/>
      <c r="AJ65" s="794"/>
      <c r="AK65" s="795"/>
      <c r="AL65" s="794"/>
      <c r="AM65" s="794"/>
      <c r="AN65" s="794"/>
      <c r="AO65" s="795"/>
      <c r="AP65" s="794"/>
      <c r="AQ65" s="794"/>
      <c r="AR65" s="794"/>
      <c r="AS65" s="795"/>
      <c r="AT65" s="794"/>
      <c r="AU65" s="794"/>
      <c r="AV65" s="796"/>
      <c r="AW65" s="797"/>
      <c r="AX65" s="798">
        <f>AX14/AX$79</f>
      </c>
      <c r="AY65" s="798">
        <f t="shared" ref="AY65:DJ65" si="343">AY14/AY$79</f>
      </c>
      <c r="AZ65" s="798">
        <f t="shared" si="343"/>
      </c>
      <c r="BA65" s="799">
        <f t="shared" si="343"/>
      </c>
      <c r="BB65" s="798">
        <f t="shared" si="343"/>
      </c>
      <c r="BC65" s="798">
        <f t="shared" si="343"/>
      </c>
      <c r="BD65" s="798">
        <f t="shared" si="343"/>
      </c>
      <c r="BE65" s="799">
        <f t="shared" si="343"/>
      </c>
      <c r="BF65" s="798">
        <f t="shared" si="343"/>
      </c>
      <c r="BG65" s="798">
        <f t="shared" si="343"/>
      </c>
      <c r="BH65" s="798">
        <f t="shared" si="343"/>
      </c>
      <c r="BI65" s="799">
        <f t="shared" si="343"/>
      </c>
      <c r="BJ65" s="798">
        <f t="shared" si="343"/>
      </c>
      <c r="BK65" s="798">
        <f t="shared" si="343"/>
      </c>
      <c r="BL65" s="798">
        <f t="shared" si="343"/>
      </c>
      <c r="BM65" s="799">
        <f t="shared" si="343"/>
      </c>
      <c r="BN65" s="798">
        <f t="shared" si="343"/>
      </c>
      <c r="BO65" s="798">
        <f t="shared" si="343"/>
      </c>
      <c r="BP65" s="798">
        <f t="shared" si="343"/>
      </c>
      <c r="BQ65" s="799">
        <f t="shared" si="343"/>
      </c>
      <c r="BR65" s="798">
        <f t="shared" si="343"/>
      </c>
      <c r="BS65" s="798">
        <f t="shared" si="343"/>
      </c>
      <c r="BT65" s="798">
        <f t="shared" si="343"/>
      </c>
      <c r="BU65" s="799">
        <f t="shared" si="343"/>
      </c>
      <c r="BV65" s="798">
        <f t="shared" si="343"/>
      </c>
      <c r="BW65" s="798">
        <f t="shared" si="343"/>
      </c>
      <c r="BX65" s="798">
        <f t="shared" si="343"/>
      </c>
      <c r="BY65" s="799">
        <f t="shared" si="343"/>
      </c>
      <c r="BZ65" s="798">
        <f t="shared" si="343"/>
      </c>
      <c r="CA65" s="798">
        <f t="shared" si="343"/>
      </c>
      <c r="CB65" s="798">
        <f t="shared" si="343"/>
      </c>
      <c r="CC65" s="799">
        <f t="shared" si="343"/>
      </c>
      <c r="CD65" s="798">
        <f t="shared" si="343"/>
      </c>
      <c r="CE65" s="798">
        <f t="shared" si="343"/>
      </c>
      <c r="CF65" s="798">
        <f t="shared" si="343"/>
      </c>
      <c r="CG65" s="799">
        <f t="shared" si="343"/>
      </c>
      <c r="CH65" s="798">
        <f t="shared" si="343"/>
      </c>
      <c r="CI65" s="798">
        <f t="shared" si="343"/>
      </c>
      <c r="CJ65" s="798">
        <f t="shared" si="343"/>
      </c>
      <c r="CK65" s="799">
        <f t="shared" si="343"/>
      </c>
      <c r="CL65" s="798">
        <f t="shared" si="343"/>
      </c>
      <c r="CM65" s="798">
        <f t="shared" si="343"/>
      </c>
      <c r="CN65" s="798">
        <f t="shared" si="343"/>
      </c>
      <c r="CO65" s="799">
        <f t="shared" si="343"/>
      </c>
      <c r="CP65" s="798">
        <f t="shared" si="343"/>
      </c>
      <c r="CQ65" s="798">
        <f t="shared" si="343"/>
      </c>
      <c r="CR65" s="798">
        <f t="shared" si="343"/>
      </c>
      <c r="CS65" s="799">
        <f t="shared" si="343"/>
      </c>
      <c r="CT65" s="796">
        <f t="shared" si="343"/>
      </c>
      <c r="CU65" s="796">
        <f t="shared" si="343"/>
      </c>
      <c r="CV65" s="796">
        <f t="shared" si="343"/>
      </c>
      <c r="CW65" s="797">
        <f t="shared" si="343"/>
      </c>
      <c r="CX65" s="796">
        <f t="shared" si="343"/>
      </c>
      <c r="CY65" s="796">
        <f t="shared" si="343"/>
      </c>
      <c r="CZ65" s="796">
        <f t="shared" si="343"/>
      </c>
      <c r="DA65" s="797">
        <f t="shared" si="343"/>
      </c>
      <c r="DB65" s="800">
        <f t="shared" si="343"/>
      </c>
      <c r="DC65" s="796">
        <f t="shared" si="343"/>
      </c>
      <c r="DD65" s="800">
        <f t="shared" si="343"/>
      </c>
      <c r="DE65" s="801">
        <f t="shared" si="343"/>
      </c>
      <c r="DF65" s="800">
        <f t="shared" si="343"/>
      </c>
      <c r="DG65" s="800">
        <f t="shared" si="343"/>
      </c>
      <c r="DH65" s="800">
        <f t="shared" si="343"/>
      </c>
      <c r="DI65" s="801">
        <f t="shared" si="343"/>
      </c>
      <c r="DJ65" s="800">
        <f t="shared" si="343"/>
      </c>
      <c r="DK65" s="800">
        <f t="shared" ref="DK65:DQ65" si="344">DK14/DK$79</f>
      </c>
      <c r="DL65" s="800">
        <f t="shared" si="344"/>
      </c>
      <c r="DM65" s="801">
        <f t="shared" si="344"/>
      </c>
      <c r="DN65" s="800">
        <f t="shared" si="344"/>
      </c>
      <c r="DO65" s="800">
        <f t="shared" si="344"/>
      </c>
      <c r="DP65" s="800">
        <f t="shared" si="344"/>
      </c>
      <c r="DQ65" s="801">
        <f t="shared" si="344"/>
      </c>
      <c r="DR65" s="800">
        <f>DR14/'Segment - Products'!DR$231</f>
      </c>
      <c r="DS65" s="800">
        <f>DS14/'Segment - Products'!DS$231</f>
      </c>
      <c r="DT65" s="800">
        <f>DT14/'Segment - Products'!DT$231</f>
      </c>
      <c r="DU65" s="801">
        <f>DU14/'Segment - Products'!DU$231</f>
      </c>
      <c r="DV65" s="800">
        <f>DV14/'Segment - Products'!DV$231</f>
      </c>
      <c r="DW65" s="800">
        <f>DW14/'Segment - Products'!DW$231</f>
      </c>
      <c r="DX65" s="800">
        <f>DX14/'Segment - Products'!DX$231</f>
      </c>
      <c r="DY65" s="801">
        <f>DY14/'Segment - Products'!DY$231</f>
      </c>
      <c r="DZ65" s="800">
        <f>DZ14/'Segment - Products'!DZ$231</f>
      </c>
      <c r="EA65" s="800">
        <f>EA14/'Segment - Products'!EA$231</f>
      </c>
      <c r="EB65" s="800">
        <f>EB14/'Segment - Products'!EB$231</f>
      </c>
      <c r="EC65" s="801">
        <f>EC14/'Segment - Products'!EC$231</f>
      </c>
      <c r="ED65" s="800">
        <f>ED14/'Segment - Products'!ED$231</f>
      </c>
      <c r="EE65" s="800">
        <f>EE14/'Segment - Products'!EE$231</f>
      </c>
      <c r="EF65" s="800">
        <f>EF14/'Segment - Products'!EF$231</f>
      </c>
      <c r="EG65" s="801">
        <f>EG14/'Segment - Products'!EG$231</f>
      </c>
      <c r="EH65" s="800">
        <f>EH14/'Segment - Products'!EH$231</f>
      </c>
      <c r="EI65" s="800">
        <f>EI14/'Segment - Products'!EI$231</f>
      </c>
      <c r="EJ65" s="800">
        <f>EJ14/'Segment - Products'!EJ$231</f>
      </c>
      <c r="EK65" s="801">
        <f>EK14/'Segment - Products'!EK$231</f>
      </c>
      <c r="EL65" s="794"/>
      <c r="EM65" s="794"/>
      <c r="EN65" s="794"/>
      <c r="EO65" s="794"/>
      <c r="EP65" s="794"/>
      <c r="EQ65" s="794"/>
      <c r="ER65" s="794"/>
      <c r="ES65" s="794"/>
      <c r="ET65" s="794"/>
      <c r="EU65" s="794"/>
      <c r="EV65" s="794"/>
      <c r="EW65" s="794"/>
      <c r="EX65" s="794"/>
      <c r="EY65" s="794"/>
      <c r="EZ65" s="794"/>
      <c r="FA65" s="800"/>
      <c r="FB65" s="800">
        <f t="shared" ref="FB65:FF68" si="345">FB14/FB$79</f>
      </c>
      <c r="FC65" s="800">
        <f t="shared" si="345"/>
      </c>
      <c r="FD65" s="800">
        <f t="shared" si="345"/>
      </c>
      <c r="FE65" s="800">
        <f t="shared" si="345"/>
      </c>
      <c r="FF65" s="800">
        <f t="shared" si="345"/>
      </c>
      <c r="FG65" s="800">
        <f t="shared" ref="FG65" si="346">FG14/FG$79</f>
      </c>
      <c r="FH65" s="800">
        <f t="shared" ref="FH65" si="347">FH14/FH$79</f>
      </c>
      <c r="FI65" s="800">
        <f t="shared" ref="FI65:FU65" si="348">FI14/FI$79</f>
      </c>
      <c r="FJ65" s="800">
        <f t="shared" si="348"/>
      </c>
      <c r="FK65" s="800">
        <f t="shared" si="348"/>
      </c>
      <c r="FL65" s="800">
        <f t="shared" si="348"/>
      </c>
      <c r="FM65" s="800">
        <f t="shared" si="348"/>
      </c>
      <c r="FN65" s="800">
        <f t="shared" si="348"/>
      </c>
      <c r="FO65" s="800">
        <f t="shared" si="348"/>
      </c>
      <c r="FP65" s="800">
        <f t="shared" si="348"/>
      </c>
      <c r="FQ65" s="800">
        <f t="shared" si="348"/>
      </c>
      <c r="FR65" s="800">
        <f t="shared" si="348"/>
      </c>
      <c r="FS65" s="800">
        <f t="shared" si="348"/>
      </c>
      <c r="FT65" s="800">
        <f t="shared" si="348"/>
      </c>
      <c r="FU65" s="800">
        <f t="shared" si="348"/>
      </c>
      <c r="FV65" s="800"/>
      <c r="FW65" s="802"/>
      <c r="FX65" s="802"/>
      <c r="FY65" s="802"/>
      <c r="FZ65" s="802"/>
      <c r="GA65" s="802"/>
      <c r="GB65" s="802"/>
      <c r="GC65" s="802"/>
      <c r="GD65" s="802"/>
      <c r="GE65" s="802"/>
      <c r="GF65" s="802"/>
      <c r="GG65" s="802"/>
      <c r="GH65" s="802"/>
      <c r="GI65" s="803"/>
      <c r="GJ65" s="803"/>
      <c r="GK65" s="803"/>
      <c r="GL65" s="803"/>
      <c r="GM65" s="803"/>
      <c r="GN65" s="803"/>
      <c r="GO65" s="800" t="e">
        <f>GO14/'Segment - Products'!GN$231</f>
      </c>
      <c r="GP65" s="800" t="e">
        <f>GP14/'Segment - Products'!GO$231</f>
      </c>
      <c r="GQ65" s="800" t="e">
        <f>GQ14/'Segment - Products'!GP$231</f>
      </c>
      <c r="GR65" s="800" t="e">
        <f>GR14/'Segment - Products'!GQ$231</f>
      </c>
      <c r="GS65" s="800" t="e">
        <f>GS14/'Segment - Products'!GR$231</f>
      </c>
      <c r="GT65" s="800"/>
      <c r="GU65" s="800"/>
      <c r="GV65" s="800"/>
      <c r="GW65" s="800"/>
      <c r="GX65" s="800"/>
      <c r="GY65" s="800"/>
      <c r="GZ65" s="800"/>
      <c r="HA65" s="800"/>
      <c r="HB65" s="800"/>
      <c r="HC65" s="800"/>
      <c r="HD65" s="800"/>
      <c r="HE65" s="800"/>
    </row>
    <row r="66" spans="1:213" s="345" customFormat="1" ht="10.199999999999999">
      <c r="A66" s="2087" t="s">
        <v>667</v>
      </c>
      <c r="B66" s="2087"/>
      <c r="C66" s="2087"/>
      <c r="D66" s="2087"/>
      <c r="E66" s="2088"/>
      <c r="F66" s="2087"/>
      <c r="G66" s="2087"/>
      <c r="H66" s="2087"/>
      <c r="I66" s="2088"/>
      <c r="J66" s="2087"/>
      <c r="K66" s="2087"/>
      <c r="L66" s="2087"/>
      <c r="M66" s="2088"/>
      <c r="N66" s="2087"/>
      <c r="O66" s="2087"/>
      <c r="P66" s="2087"/>
      <c r="Q66" s="2088"/>
      <c r="R66" s="2087"/>
      <c r="S66" s="2087"/>
      <c r="T66" s="2087"/>
      <c r="U66" s="2088"/>
      <c r="V66" s="2087"/>
      <c r="W66" s="2087"/>
      <c r="X66" s="2087"/>
      <c r="Y66" s="2088"/>
      <c r="Z66" s="2087"/>
      <c r="AA66" s="2087"/>
      <c r="AB66" s="2087"/>
      <c r="AC66" s="2088"/>
      <c r="AD66" s="2087"/>
      <c r="AE66" s="2087"/>
      <c r="AF66" s="2087"/>
      <c r="AG66" s="2088"/>
      <c r="AH66" s="2087"/>
      <c r="AI66" s="2087"/>
      <c r="AJ66" s="2087"/>
      <c r="AK66" s="2088"/>
      <c r="AL66" s="2087"/>
      <c r="AM66" s="2087"/>
      <c r="AN66" s="2087"/>
      <c r="AO66" s="2088"/>
      <c r="AP66" s="2087"/>
      <c r="AQ66" s="2087"/>
      <c r="AR66" s="2087"/>
      <c r="AS66" s="2088"/>
      <c r="AT66" s="2087"/>
      <c r="AU66" s="2087"/>
      <c r="AV66" s="2089"/>
      <c r="AW66" s="2090"/>
      <c r="AX66" s="2091">
        <f>AX15/AX$79</f>
      </c>
      <c r="AY66" s="2091">
        <f t="shared" ref="AY66:DJ66" si="349">AY15/AY$79</f>
      </c>
      <c r="AZ66" s="2091">
        <f t="shared" si="349"/>
      </c>
      <c r="BA66" s="2092">
        <f t="shared" si="349"/>
      </c>
      <c r="BB66" s="2091">
        <f t="shared" si="349"/>
      </c>
      <c r="BC66" s="2091">
        <f t="shared" si="349"/>
      </c>
      <c r="BD66" s="2091">
        <f t="shared" si="349"/>
      </c>
      <c r="BE66" s="2092">
        <f t="shared" si="349"/>
      </c>
      <c r="BF66" s="2091">
        <f t="shared" si="349"/>
      </c>
      <c r="BG66" s="2091">
        <f t="shared" si="349"/>
      </c>
      <c r="BH66" s="2091">
        <f t="shared" si="349"/>
      </c>
      <c r="BI66" s="2092">
        <f t="shared" si="349"/>
      </c>
      <c r="BJ66" s="2091">
        <f t="shared" si="349"/>
      </c>
      <c r="BK66" s="2091">
        <f t="shared" si="349"/>
      </c>
      <c r="BL66" s="2091">
        <f t="shared" si="349"/>
      </c>
      <c r="BM66" s="2092">
        <f t="shared" si="349"/>
      </c>
      <c r="BN66" s="2091">
        <f t="shared" si="349"/>
      </c>
      <c r="BO66" s="2091">
        <f t="shared" si="349"/>
      </c>
      <c r="BP66" s="2091">
        <f t="shared" si="349"/>
      </c>
      <c r="BQ66" s="2092">
        <f t="shared" si="349"/>
      </c>
      <c r="BR66" s="2091">
        <f t="shared" si="349"/>
      </c>
      <c r="BS66" s="2091">
        <f t="shared" si="349"/>
      </c>
      <c r="BT66" s="2091">
        <f t="shared" si="349"/>
      </c>
      <c r="BU66" s="2092">
        <f t="shared" si="349"/>
      </c>
      <c r="BV66" s="2091">
        <f t="shared" si="349"/>
      </c>
      <c r="BW66" s="2091">
        <f t="shared" si="349"/>
      </c>
      <c r="BX66" s="2091">
        <f t="shared" si="349"/>
      </c>
      <c r="BY66" s="2092">
        <f t="shared" si="349"/>
      </c>
      <c r="BZ66" s="2091">
        <f t="shared" si="349"/>
      </c>
      <c r="CA66" s="2091">
        <f t="shared" si="349"/>
      </c>
      <c r="CB66" s="2091">
        <f t="shared" si="349"/>
      </c>
      <c r="CC66" s="2092">
        <f t="shared" si="349"/>
      </c>
      <c r="CD66" s="2091">
        <f t="shared" si="349"/>
      </c>
      <c r="CE66" s="2091">
        <f t="shared" si="349"/>
      </c>
      <c r="CF66" s="2091">
        <f t="shared" si="349"/>
      </c>
      <c r="CG66" s="2092">
        <f t="shared" si="349"/>
      </c>
      <c r="CH66" s="2091">
        <f t="shared" si="349"/>
      </c>
      <c r="CI66" s="2091">
        <f t="shared" si="349"/>
      </c>
      <c r="CJ66" s="2091">
        <f t="shared" si="349"/>
      </c>
      <c r="CK66" s="2092">
        <f t="shared" si="349"/>
      </c>
      <c r="CL66" s="2091">
        <f t="shared" si="349"/>
      </c>
      <c r="CM66" s="2091">
        <f t="shared" si="349"/>
      </c>
      <c r="CN66" s="2091">
        <f t="shared" si="349"/>
      </c>
      <c r="CO66" s="2092">
        <f t="shared" si="349"/>
      </c>
      <c r="CP66" s="2091">
        <f t="shared" si="349"/>
      </c>
      <c r="CQ66" s="2091">
        <f t="shared" si="349"/>
      </c>
      <c r="CR66" s="2091">
        <f t="shared" si="349"/>
      </c>
      <c r="CS66" s="2092">
        <f t="shared" si="349"/>
      </c>
      <c r="CT66" s="2089">
        <f t="shared" si="349"/>
      </c>
      <c r="CU66" s="2089">
        <f t="shared" si="349"/>
      </c>
      <c r="CV66" s="2089">
        <f t="shared" si="349"/>
      </c>
      <c r="CW66" s="2090">
        <f t="shared" si="349"/>
      </c>
      <c r="CX66" s="2089">
        <f t="shared" si="349"/>
      </c>
      <c r="CY66" s="2089">
        <f t="shared" si="349"/>
      </c>
      <c r="CZ66" s="2089">
        <f t="shared" si="349"/>
      </c>
      <c r="DA66" s="2090">
        <f t="shared" si="349"/>
      </c>
      <c r="DB66" s="2093">
        <f t="shared" si="349"/>
      </c>
      <c r="DC66" s="2089">
        <f t="shared" si="349"/>
      </c>
      <c r="DD66" s="2093">
        <f t="shared" si="349"/>
      </c>
      <c r="DE66" s="2094">
        <f t="shared" si="349"/>
      </c>
      <c r="DF66" s="2093">
        <f t="shared" si="349"/>
      </c>
      <c r="DG66" s="2093">
        <f t="shared" si="349"/>
      </c>
      <c r="DH66" s="2093">
        <f t="shared" si="349"/>
      </c>
      <c r="DI66" s="2094">
        <f t="shared" si="349"/>
      </c>
      <c r="DJ66" s="2093">
        <f t="shared" si="349"/>
      </c>
      <c r="DK66" s="2093">
        <f t="shared" ref="DK66:DQ66" si="350">DK15/DK$79</f>
      </c>
      <c r="DL66" s="2093">
        <f t="shared" si="350"/>
      </c>
      <c r="DM66" s="2094">
        <f t="shared" si="350"/>
      </c>
      <c r="DN66" s="2093">
        <f t="shared" si="350"/>
      </c>
      <c r="DO66" s="2093">
        <f t="shared" si="350"/>
      </c>
      <c r="DP66" s="2093">
        <f t="shared" si="350"/>
      </c>
      <c r="DQ66" s="2094">
        <f t="shared" si="350"/>
      </c>
      <c r="DR66" s="2093">
        <f>DR15/'Segment - Products'!DR$231</f>
      </c>
      <c r="DS66" s="2093">
        <f>DS15/'Segment - Products'!DS$231</f>
      </c>
      <c r="DT66" s="2093">
        <f>DT15/'Segment - Products'!DT$231</f>
      </c>
      <c r="DU66" s="2094">
        <f>DU15/'Segment - Products'!DU$231</f>
      </c>
      <c r="DV66" s="2093">
        <f>DV15/'Segment - Products'!DV$231</f>
      </c>
      <c r="DW66" s="2093">
        <f>DW15/'Segment - Products'!DW$231</f>
      </c>
      <c r="DX66" s="2093">
        <f>DX15/'Segment - Products'!DX$231</f>
      </c>
      <c r="DY66" s="2094">
        <f>DY15/'Segment - Products'!DY$231</f>
      </c>
      <c r="DZ66" s="2093">
        <f>DZ15/'Segment - Products'!DZ$231</f>
      </c>
      <c r="EA66" s="2093">
        <f>EA15/'Segment - Products'!EA$231</f>
      </c>
      <c r="EB66" s="2093">
        <f>EB15/'Segment - Products'!EB$231</f>
      </c>
      <c r="EC66" s="2094">
        <f>EC15/'Segment - Products'!EC$231</f>
      </c>
      <c r="ED66" s="2093">
        <f>ED15/'Segment - Products'!ED$231</f>
      </c>
      <c r="EE66" s="2093">
        <f>EE15/'Segment - Products'!EE$231</f>
      </c>
      <c r="EF66" s="2093">
        <f>EF15/'Segment - Products'!EF$231</f>
      </c>
      <c r="EG66" s="2094">
        <f>EG15/'Segment - Products'!EG$231</f>
      </c>
      <c r="EH66" s="2093">
        <f>EH15/'Segment - Products'!EH$231</f>
      </c>
      <c r="EI66" s="2093">
        <f>EI15/'Segment - Products'!EI$231</f>
      </c>
      <c r="EJ66" s="2093">
        <f>EJ15/'Segment - Products'!EJ$231</f>
      </c>
      <c r="EK66" s="2094">
        <f>EK15/'Segment - Products'!EK$231</f>
      </c>
      <c r="EL66" s="2087"/>
      <c r="EM66" s="2087"/>
      <c r="EN66" s="2087"/>
      <c r="EO66" s="2087"/>
      <c r="EP66" s="2087"/>
      <c r="EQ66" s="2087"/>
      <c r="ER66" s="2087"/>
      <c r="ES66" s="2087"/>
      <c r="ET66" s="2087"/>
      <c r="EU66" s="2087"/>
      <c r="EV66" s="2087"/>
      <c r="EW66" s="2087"/>
      <c r="EX66" s="2087"/>
      <c r="EY66" s="2087"/>
      <c r="EZ66" s="2087"/>
      <c r="FA66" s="2093"/>
      <c r="FB66" s="2093">
        <f t="shared" si="345"/>
      </c>
      <c r="FC66" s="2093">
        <f t="shared" si="345"/>
      </c>
      <c r="FD66" s="2093">
        <f t="shared" si="345"/>
      </c>
      <c r="FE66" s="2093">
        <f t="shared" si="345"/>
      </c>
      <c r="FF66" s="2093">
        <f t="shared" si="345"/>
      </c>
      <c r="FG66" s="2093">
        <f t="shared" ref="FG66" si="351">FG15/FG$79</f>
      </c>
      <c r="FH66" s="2093">
        <f t="shared" ref="FH66" si="352">FH15/FH$79</f>
      </c>
      <c r="FI66" s="2093">
        <f t="shared" ref="FI66:FU66" si="353">FI15/FI$79</f>
      </c>
      <c r="FJ66" s="2093">
        <f t="shared" si="353"/>
      </c>
      <c r="FK66" s="2093">
        <f t="shared" si="353"/>
      </c>
      <c r="FL66" s="2093">
        <f t="shared" si="353"/>
      </c>
      <c r="FM66" s="2093">
        <f t="shared" si="353"/>
      </c>
      <c r="FN66" s="2093">
        <f t="shared" si="353"/>
      </c>
      <c r="FO66" s="2093">
        <f t="shared" si="353"/>
      </c>
      <c r="FP66" s="2093">
        <f t="shared" si="353"/>
      </c>
      <c r="FQ66" s="2093">
        <f t="shared" si="353"/>
      </c>
      <c r="FR66" s="2093">
        <f t="shared" si="353"/>
      </c>
      <c r="FS66" s="2093">
        <f t="shared" si="353"/>
      </c>
      <c r="FT66" s="2093">
        <f t="shared" si="353"/>
      </c>
      <c r="FU66" s="2093">
        <f t="shared" si="353"/>
      </c>
      <c r="FV66" s="2715"/>
      <c r="FW66" s="2095"/>
      <c r="FX66" s="2095"/>
      <c r="FY66" s="2095"/>
      <c r="FZ66" s="2095"/>
      <c r="GA66" s="2095"/>
      <c r="GB66" s="2095"/>
      <c r="GC66" s="2095"/>
      <c r="GD66" s="2095"/>
      <c r="GE66" s="2095"/>
      <c r="GF66" s="2095"/>
      <c r="GG66" s="2095"/>
      <c r="GH66" s="2095"/>
      <c r="GI66" s="2095"/>
      <c r="GJ66" s="2095"/>
      <c r="GK66" s="2095"/>
      <c r="GL66" s="2095"/>
      <c r="GM66" s="2095"/>
      <c r="GN66" s="2095"/>
      <c r="GO66" s="2093" t="e">
        <f>GO15/'Segment - Products'!GN$231</f>
      </c>
      <c r="GP66" s="2093" t="e">
        <f>GP15/'Segment - Products'!GO$231</f>
      </c>
      <c r="GQ66" s="2093" t="e">
        <f>GQ15/'Segment - Products'!GP$231</f>
      </c>
      <c r="GR66" s="2093" t="e">
        <f>GR15/'Segment - Products'!GQ$231</f>
      </c>
      <c r="GS66" s="2093" t="e">
        <f>GS15/'Segment - Products'!GR$231</f>
      </c>
      <c r="GT66" s="2093"/>
      <c r="GU66" s="2093"/>
      <c r="GV66" s="2093"/>
      <c r="GW66" s="2093"/>
      <c r="GX66" s="2093"/>
      <c r="GY66" s="2093"/>
      <c r="GZ66" s="2093"/>
      <c r="HA66" s="2093"/>
      <c r="HB66" s="2093"/>
      <c r="HC66" s="2093"/>
      <c r="HD66" s="2093"/>
      <c r="HE66" s="2093"/>
    </row>
    <row r="67" spans="1:213" s="345" customFormat="1" ht="10.199999999999999">
      <c r="A67" s="345" t="s">
        <v>81</v>
      </c>
      <c r="E67" s="346"/>
      <c r="I67" s="346"/>
      <c r="M67" s="346"/>
      <c r="Q67" s="346"/>
      <c r="U67" s="346"/>
      <c r="Y67" s="346"/>
      <c r="AC67" s="346"/>
      <c r="AG67" s="346"/>
      <c r="AK67" s="346"/>
      <c r="AO67" s="346"/>
      <c r="AS67" s="346"/>
      <c r="AV67" s="786"/>
      <c r="AW67" s="787"/>
      <c r="AX67" s="788">
        <f>AX16/AX$79</f>
      </c>
      <c r="AY67" s="788">
        <f t="shared" ref="AY67:DJ67" si="354">AY16/AY$79</f>
      </c>
      <c r="AZ67" s="788">
        <f t="shared" si="354"/>
      </c>
      <c r="BA67" s="789">
        <f t="shared" si="354"/>
      </c>
      <c r="BB67" s="788">
        <f t="shared" si="354"/>
      </c>
      <c r="BC67" s="788">
        <f t="shared" si="354"/>
      </c>
      <c r="BD67" s="788">
        <f t="shared" si="354"/>
      </c>
      <c r="BE67" s="789">
        <f t="shared" si="354"/>
      </c>
      <c r="BF67" s="788">
        <f t="shared" si="354"/>
      </c>
      <c r="BG67" s="788">
        <f t="shared" si="354"/>
      </c>
      <c r="BH67" s="788">
        <f t="shared" si="354"/>
      </c>
      <c r="BI67" s="789">
        <f t="shared" si="354"/>
      </c>
      <c r="BJ67" s="788">
        <f t="shared" si="354"/>
      </c>
      <c r="BK67" s="788">
        <f t="shared" si="354"/>
      </c>
      <c r="BL67" s="788">
        <f t="shared" si="354"/>
      </c>
      <c r="BM67" s="789">
        <f t="shared" si="354"/>
      </c>
      <c r="BN67" s="788">
        <f t="shared" si="354"/>
      </c>
      <c r="BO67" s="788">
        <f t="shared" si="354"/>
      </c>
      <c r="BP67" s="788">
        <f t="shared" si="354"/>
      </c>
      <c r="BQ67" s="789">
        <f t="shared" si="354"/>
      </c>
      <c r="BR67" s="788">
        <f t="shared" si="354"/>
      </c>
      <c r="BS67" s="788">
        <f t="shared" si="354"/>
      </c>
      <c r="BT67" s="788">
        <f t="shared" si="354"/>
      </c>
      <c r="BU67" s="789">
        <f t="shared" si="354"/>
      </c>
      <c r="BV67" s="788">
        <f t="shared" si="354"/>
      </c>
      <c r="BW67" s="788">
        <f t="shared" si="354"/>
      </c>
      <c r="BX67" s="788">
        <f t="shared" si="354"/>
      </c>
      <c r="BY67" s="789">
        <f t="shared" si="354"/>
      </c>
      <c r="BZ67" s="788">
        <f t="shared" si="354"/>
      </c>
      <c r="CA67" s="788">
        <f t="shared" si="354"/>
      </c>
      <c r="CB67" s="788">
        <f t="shared" si="354"/>
      </c>
      <c r="CC67" s="789">
        <f t="shared" si="354"/>
      </c>
      <c r="CD67" s="788">
        <f t="shared" si="354"/>
      </c>
      <c r="CE67" s="788">
        <f t="shared" si="354"/>
      </c>
      <c r="CF67" s="788">
        <f t="shared" si="354"/>
      </c>
      <c r="CG67" s="789">
        <f t="shared" si="354"/>
      </c>
      <c r="CH67" s="788">
        <f t="shared" si="354"/>
      </c>
      <c r="CI67" s="788">
        <f t="shared" si="354"/>
      </c>
      <c r="CJ67" s="788">
        <f t="shared" si="354"/>
      </c>
      <c r="CK67" s="789">
        <f t="shared" si="354"/>
      </c>
      <c r="CL67" s="788">
        <f t="shared" si="354"/>
      </c>
      <c r="CM67" s="788">
        <f t="shared" si="354"/>
      </c>
      <c r="CN67" s="788">
        <f t="shared" si="354"/>
      </c>
      <c r="CO67" s="789">
        <f t="shared" si="354"/>
      </c>
      <c r="CP67" s="788">
        <f t="shared" si="354"/>
      </c>
      <c r="CQ67" s="788">
        <f t="shared" si="354"/>
      </c>
      <c r="CR67" s="788">
        <f t="shared" si="354"/>
      </c>
      <c r="CS67" s="789">
        <f t="shared" si="354"/>
      </c>
      <c r="CT67" s="786">
        <f t="shared" si="354"/>
      </c>
      <c r="CU67" s="786">
        <f t="shared" si="354"/>
      </c>
      <c r="CV67" s="786">
        <f t="shared" si="354"/>
      </c>
      <c r="CW67" s="787">
        <f t="shared" si="354"/>
      </c>
      <c r="CX67" s="786">
        <f t="shared" si="354"/>
      </c>
      <c r="CY67" s="786">
        <f t="shared" si="354"/>
      </c>
      <c r="CZ67" s="786">
        <f t="shared" si="354"/>
      </c>
      <c r="DA67" s="787">
        <f t="shared" si="354"/>
      </c>
      <c r="DB67" s="790">
        <f t="shared" si="354"/>
      </c>
      <c r="DC67" s="786">
        <f t="shared" si="354"/>
      </c>
      <c r="DD67" s="790">
        <f t="shared" si="354"/>
      </c>
      <c r="DE67" s="791">
        <f t="shared" si="354"/>
      </c>
      <c r="DF67" s="790">
        <f t="shared" si="354"/>
      </c>
      <c r="DG67" s="790">
        <f t="shared" si="354"/>
      </c>
      <c r="DH67" s="790">
        <f t="shared" si="354"/>
      </c>
      <c r="DI67" s="791">
        <f t="shared" si="354"/>
      </c>
      <c r="DJ67" s="790">
        <f t="shared" si="354"/>
      </c>
      <c r="DK67" s="790">
        <f t="shared" ref="DK67:DQ67" si="355">DK16/DK$79</f>
      </c>
      <c r="DL67" s="790">
        <f t="shared" si="355"/>
      </c>
      <c r="DM67" s="791">
        <f t="shared" si="355"/>
      </c>
      <c r="DN67" s="790">
        <f t="shared" si="355"/>
      </c>
      <c r="DO67" s="790">
        <f t="shared" si="355"/>
      </c>
      <c r="DP67" s="790">
        <f t="shared" si="355"/>
      </c>
      <c r="DQ67" s="791">
        <f t="shared" si="355"/>
      </c>
      <c r="DR67" s="790">
        <f>DR16/'Segment - Products'!DR$231</f>
      </c>
      <c r="DS67" s="790">
        <f>DS16/'Segment - Products'!DS$231</f>
      </c>
      <c r="DT67" s="790">
        <f>DT16/'Segment - Products'!DT$231</f>
      </c>
      <c r="DU67" s="791">
        <f>DU16/'Segment - Products'!DU$231</f>
      </c>
      <c r="DV67" s="790">
        <f>DV16/'Segment - Products'!DV$231</f>
      </c>
      <c r="DW67" s="790">
        <f>DW16/'Segment - Products'!DW$231</f>
      </c>
      <c r="DX67" s="790">
        <f>DX16/'Segment - Products'!DX$231</f>
      </c>
      <c r="DY67" s="791">
        <f>DY16/'Segment - Products'!DY$231</f>
      </c>
      <c r="DZ67" s="790">
        <f>DZ16/'Segment - Products'!DZ$231</f>
      </c>
      <c r="EA67" s="790">
        <f>EA16/'Segment - Products'!EA$231</f>
      </c>
      <c r="EB67" s="790">
        <f>EB16/'Segment - Products'!EB$231</f>
      </c>
      <c r="EC67" s="791">
        <f>EC16/'Segment - Products'!EC$231</f>
      </c>
      <c r="ED67" s="790">
        <f>ED16/'Segment - Products'!ED$231</f>
      </c>
      <c r="EE67" s="790">
        <f>EE16/'Segment - Products'!EE$231</f>
      </c>
      <c r="EF67" s="790">
        <f>EF16/'Segment - Products'!EF$231</f>
      </c>
      <c r="EG67" s="791">
        <f>EG16/'Segment - Products'!EG$231</f>
      </c>
      <c r="EH67" s="790">
        <f>EH16/'Segment - Products'!EH$231</f>
      </c>
      <c r="EI67" s="790">
        <f>EI16/'Segment - Products'!EI$231</f>
      </c>
      <c r="EJ67" s="790">
        <f>EJ16/'Segment - Products'!EJ$231</f>
      </c>
      <c r="EK67" s="791">
        <f>EK16/'Segment - Products'!EK$231</f>
      </c>
      <c r="FA67" s="790"/>
      <c r="FB67" s="790">
        <f t="shared" si="345"/>
      </c>
      <c r="FC67" s="790">
        <f t="shared" si="345"/>
      </c>
      <c r="FD67" s="790">
        <f t="shared" si="345"/>
      </c>
      <c r="FE67" s="790">
        <f t="shared" si="345"/>
      </c>
      <c r="FF67" s="790">
        <f t="shared" si="345"/>
      </c>
      <c r="FG67" s="790">
        <f t="shared" ref="FG67" si="356">FG16/FG$79</f>
      </c>
      <c r="FH67" s="790">
        <f t="shared" ref="FH67" si="357">FH16/FH$79</f>
      </c>
      <c r="FI67" s="790">
        <f t="shared" ref="FI67:FU67" si="358">FI16/FI$79</f>
      </c>
      <c r="FJ67" s="790">
        <f t="shared" si="358"/>
      </c>
      <c r="FK67" s="790">
        <f t="shared" si="358"/>
      </c>
      <c r="FL67" s="790">
        <f t="shared" si="358"/>
      </c>
      <c r="FM67" s="790">
        <f t="shared" si="358"/>
      </c>
      <c r="FN67" s="790">
        <f t="shared" si="358"/>
      </c>
      <c r="FO67" s="790">
        <f t="shared" si="358"/>
      </c>
      <c r="FP67" s="790">
        <f t="shared" si="358"/>
      </c>
      <c r="FQ67" s="790">
        <f t="shared" si="358"/>
      </c>
      <c r="FR67" s="790">
        <f t="shared" si="358"/>
      </c>
      <c r="FS67" s="790">
        <f t="shared" si="358"/>
      </c>
      <c r="FT67" s="790">
        <f t="shared" si="358"/>
      </c>
      <c r="FU67" s="790">
        <f t="shared" si="358"/>
      </c>
      <c r="FV67" s="2379"/>
      <c r="FW67" s="792"/>
      <c r="FX67" s="792"/>
      <c r="FY67" s="792"/>
      <c r="FZ67" s="792"/>
      <c r="GA67" s="792"/>
      <c r="GB67" s="792"/>
      <c r="GC67" s="792"/>
      <c r="GD67" s="792"/>
      <c r="GE67" s="792"/>
      <c r="GF67" s="792"/>
      <c r="GG67" s="792"/>
      <c r="GH67" s="792"/>
      <c r="GI67" s="793"/>
      <c r="GJ67" s="793"/>
      <c r="GK67" s="793"/>
      <c r="GL67" s="793"/>
      <c r="GM67" s="793"/>
      <c r="GN67" s="793"/>
      <c r="GO67" s="790" t="e">
        <f>GO16/'Segment - Products'!GN$231</f>
      </c>
      <c r="GP67" s="790" t="e">
        <f>GP16/'Segment - Products'!GO$231</f>
      </c>
      <c r="GQ67" s="790" t="e">
        <f>GQ16/'Segment - Products'!GP$231</f>
      </c>
      <c r="GR67" s="790" t="e">
        <f>GR16/'Segment - Products'!GQ$231</f>
      </c>
      <c r="GS67" s="790" t="e">
        <f>GS16/'Segment - Products'!GR$231</f>
      </c>
      <c r="GT67" s="790"/>
      <c r="GU67" s="790"/>
      <c r="GV67" s="790"/>
      <c r="GW67" s="790"/>
      <c r="GX67" s="790"/>
      <c r="GY67" s="790"/>
      <c r="GZ67" s="790"/>
      <c r="HA67" s="790"/>
      <c r="HB67" s="790"/>
      <c r="HC67" s="790"/>
      <c r="HD67" s="790"/>
      <c r="HE67" s="790"/>
    </row>
    <row r="68" spans="1:213" s="345" customFormat="1" ht="10.199999999999999">
      <c r="A68" s="2096" t="s">
        <v>1131</v>
      </c>
      <c r="B68" s="2096"/>
      <c r="C68" s="2096"/>
      <c r="D68" s="2096"/>
      <c r="E68" s="2097"/>
      <c r="F68" s="2096"/>
      <c r="G68" s="2096"/>
      <c r="H68" s="2096"/>
      <c r="I68" s="2097"/>
      <c r="J68" s="2096"/>
      <c r="K68" s="2096"/>
      <c r="L68" s="2096"/>
      <c r="M68" s="2097"/>
      <c r="N68" s="2096"/>
      <c r="O68" s="2096"/>
      <c r="P68" s="2096"/>
      <c r="Q68" s="2097"/>
      <c r="R68" s="2096"/>
      <c r="S68" s="2096"/>
      <c r="T68" s="2096"/>
      <c r="U68" s="2097"/>
      <c r="V68" s="2096"/>
      <c r="W68" s="2096"/>
      <c r="X68" s="2096"/>
      <c r="Y68" s="2097"/>
      <c r="Z68" s="2096"/>
      <c r="AA68" s="2096"/>
      <c r="AB68" s="2096"/>
      <c r="AC68" s="2097"/>
      <c r="AD68" s="2096"/>
      <c r="AE68" s="2096"/>
      <c r="AF68" s="2096"/>
      <c r="AG68" s="2097"/>
      <c r="AH68" s="2096"/>
      <c r="AI68" s="2096"/>
      <c r="AJ68" s="2096"/>
      <c r="AK68" s="2097"/>
      <c r="AL68" s="2096"/>
      <c r="AM68" s="2096"/>
      <c r="AN68" s="2096"/>
      <c r="AO68" s="2097"/>
      <c r="AP68" s="2096"/>
      <c r="AQ68" s="2096"/>
      <c r="AR68" s="2096"/>
      <c r="AS68" s="2097"/>
      <c r="AT68" s="2096"/>
      <c r="AU68" s="2096"/>
      <c r="AV68" s="2098"/>
      <c r="AW68" s="2099"/>
      <c r="AX68" s="2100">
        <f>AX17/AX$79</f>
      </c>
      <c r="AY68" s="2100">
        <f t="shared" ref="AY68:DJ68" si="359">AY17/AY$79</f>
      </c>
      <c r="AZ68" s="2100">
        <f t="shared" si="359"/>
      </c>
      <c r="BA68" s="2101">
        <f t="shared" si="359"/>
      </c>
      <c r="BB68" s="2100">
        <f t="shared" si="359"/>
      </c>
      <c r="BC68" s="2100">
        <f t="shared" si="359"/>
      </c>
      <c r="BD68" s="2100">
        <f t="shared" si="359"/>
      </c>
      <c r="BE68" s="2101">
        <f t="shared" si="359"/>
      </c>
      <c r="BF68" s="2100">
        <f t="shared" si="359"/>
      </c>
      <c r="BG68" s="2100">
        <f t="shared" si="359"/>
      </c>
      <c r="BH68" s="2100">
        <f t="shared" si="359"/>
      </c>
      <c r="BI68" s="2101">
        <f t="shared" si="359"/>
      </c>
      <c r="BJ68" s="2100">
        <f t="shared" si="359"/>
      </c>
      <c r="BK68" s="2100">
        <f t="shared" si="359"/>
      </c>
      <c r="BL68" s="2100">
        <f t="shared" si="359"/>
      </c>
      <c r="BM68" s="2101">
        <f t="shared" si="359"/>
      </c>
      <c r="BN68" s="2100">
        <f t="shared" si="359"/>
      </c>
      <c r="BO68" s="2100">
        <f t="shared" si="359"/>
      </c>
      <c r="BP68" s="2100">
        <f t="shared" si="359"/>
      </c>
      <c r="BQ68" s="2101">
        <f t="shared" si="359"/>
      </c>
      <c r="BR68" s="2100">
        <f t="shared" si="359"/>
      </c>
      <c r="BS68" s="2100">
        <f t="shared" si="359"/>
      </c>
      <c r="BT68" s="2100">
        <f t="shared" si="359"/>
      </c>
      <c r="BU68" s="2101">
        <f t="shared" si="359"/>
      </c>
      <c r="BV68" s="2100">
        <f t="shared" si="359"/>
      </c>
      <c r="BW68" s="2100">
        <f t="shared" si="359"/>
      </c>
      <c r="BX68" s="2100">
        <f t="shared" si="359"/>
      </c>
      <c r="BY68" s="2101">
        <f t="shared" si="359"/>
      </c>
      <c r="BZ68" s="2100">
        <f t="shared" si="359"/>
      </c>
      <c r="CA68" s="2100">
        <f t="shared" si="359"/>
      </c>
      <c r="CB68" s="2100">
        <f t="shared" si="359"/>
      </c>
      <c r="CC68" s="2101">
        <f t="shared" si="359"/>
      </c>
      <c r="CD68" s="2100">
        <f t="shared" si="359"/>
      </c>
      <c r="CE68" s="2100">
        <f t="shared" si="359"/>
      </c>
      <c r="CF68" s="2100">
        <f t="shared" si="359"/>
      </c>
      <c r="CG68" s="2101">
        <f t="shared" si="359"/>
      </c>
      <c r="CH68" s="2100">
        <f t="shared" si="359"/>
      </c>
      <c r="CI68" s="2100">
        <f t="shared" si="359"/>
      </c>
      <c r="CJ68" s="2100">
        <f t="shared" si="359"/>
      </c>
      <c r="CK68" s="2101">
        <f t="shared" si="359"/>
      </c>
      <c r="CL68" s="2100">
        <f t="shared" si="359"/>
      </c>
      <c r="CM68" s="2100">
        <f t="shared" si="359"/>
      </c>
      <c r="CN68" s="2100">
        <f t="shared" si="359"/>
      </c>
      <c r="CO68" s="2101">
        <f t="shared" si="359"/>
      </c>
      <c r="CP68" s="2100">
        <f t="shared" si="359"/>
      </c>
      <c r="CQ68" s="2100">
        <f t="shared" si="359"/>
      </c>
      <c r="CR68" s="2100">
        <f t="shared" si="359"/>
      </c>
      <c r="CS68" s="2101">
        <f t="shared" si="359"/>
      </c>
      <c r="CT68" s="2098">
        <f t="shared" si="359"/>
      </c>
      <c r="CU68" s="2098">
        <f t="shared" si="359"/>
      </c>
      <c r="CV68" s="2098">
        <f t="shared" si="359"/>
      </c>
      <c r="CW68" s="2099">
        <f t="shared" si="359"/>
      </c>
      <c r="CX68" s="2098">
        <f t="shared" si="359"/>
      </c>
      <c r="CY68" s="2098">
        <f t="shared" si="359"/>
      </c>
      <c r="CZ68" s="2098">
        <f t="shared" si="359"/>
      </c>
      <c r="DA68" s="2099">
        <f t="shared" si="359"/>
      </c>
      <c r="DB68" s="2102">
        <f t="shared" si="359"/>
      </c>
      <c r="DC68" s="2098">
        <f t="shared" si="359"/>
      </c>
      <c r="DD68" s="2102">
        <f t="shared" si="359"/>
      </c>
      <c r="DE68" s="2103">
        <f t="shared" si="359"/>
      </c>
      <c r="DF68" s="2102">
        <f t="shared" si="359"/>
      </c>
      <c r="DG68" s="2102">
        <f t="shared" si="359"/>
      </c>
      <c r="DH68" s="2102">
        <f t="shared" si="359"/>
      </c>
      <c r="DI68" s="2103">
        <f t="shared" si="359"/>
      </c>
      <c r="DJ68" s="2102">
        <f t="shared" si="359"/>
      </c>
      <c r="DK68" s="2102">
        <f t="shared" ref="DK68:DQ68" si="360">DK17/DK$79</f>
      </c>
      <c r="DL68" s="2102">
        <f t="shared" si="360"/>
      </c>
      <c r="DM68" s="2103">
        <f t="shared" si="360"/>
      </c>
      <c r="DN68" s="2102">
        <f t="shared" si="360"/>
      </c>
      <c r="DO68" s="2102">
        <f t="shared" si="360"/>
      </c>
      <c r="DP68" s="2102">
        <f t="shared" si="360"/>
      </c>
      <c r="DQ68" s="2103">
        <f t="shared" si="360"/>
      </c>
      <c r="DR68" s="2102">
        <f>DR17/'Segment - Products'!DR$231</f>
      </c>
      <c r="DS68" s="2102">
        <f>DS17/'Segment - Products'!DS$231</f>
      </c>
      <c r="DT68" s="2102">
        <f>DT17/'Segment - Products'!DT$231</f>
      </c>
      <c r="DU68" s="2103">
        <f>DU17/'Segment - Products'!DU$231</f>
      </c>
      <c r="DV68" s="2102">
        <f>DV17/'Segment - Products'!DV$231</f>
      </c>
      <c r="DW68" s="2102">
        <f>DW17/'Segment - Products'!DW$231</f>
      </c>
      <c r="DX68" s="2102">
        <f>DX17/'Segment - Products'!DX$231</f>
      </c>
      <c r="DY68" s="2103">
        <f>DY17/'Segment - Products'!DY$231</f>
      </c>
      <c r="DZ68" s="2102">
        <f>DZ17/'Segment - Products'!DZ$231</f>
      </c>
      <c r="EA68" s="2102">
        <f>EA17/'Segment - Products'!EA$231</f>
      </c>
      <c r="EB68" s="2102">
        <f>EB17/'Segment - Products'!EB$231</f>
      </c>
      <c r="EC68" s="2103">
        <f>EC17/'Segment - Products'!EC$231</f>
      </c>
      <c r="ED68" s="2102">
        <f>ED17/'Segment - Products'!ED$231</f>
      </c>
      <c r="EE68" s="2102">
        <f>EE17/'Segment - Products'!EE$231</f>
      </c>
      <c r="EF68" s="2102">
        <f>EF17/'Segment - Products'!EF$231</f>
      </c>
      <c r="EG68" s="2103">
        <f>EG17/'Segment - Products'!EG$231</f>
      </c>
      <c r="EH68" s="2102">
        <f>EH17/'Segment - Products'!EH$231</f>
      </c>
      <c r="EI68" s="2102">
        <f>EI17/'Segment - Products'!EI$231</f>
      </c>
      <c r="EJ68" s="2102">
        <f>EJ17/'Segment - Products'!EJ$231</f>
      </c>
      <c r="EK68" s="2103">
        <f>EK17/'Segment - Products'!EK$231</f>
      </c>
      <c r="EL68" s="2096"/>
      <c r="EM68" s="2096"/>
      <c r="EN68" s="2096"/>
      <c r="EO68" s="2096"/>
      <c r="EP68" s="2096"/>
      <c r="EQ68" s="2096"/>
      <c r="ER68" s="2096"/>
      <c r="ES68" s="2096"/>
      <c r="ET68" s="2096"/>
      <c r="EU68" s="2096"/>
      <c r="EV68" s="2096"/>
      <c r="EW68" s="2096"/>
      <c r="EX68" s="2096"/>
      <c r="EY68" s="2096"/>
      <c r="EZ68" s="2096"/>
      <c r="FA68" s="2102"/>
      <c r="FB68" s="2102">
        <f t="shared" si="345"/>
      </c>
      <c r="FC68" s="2102">
        <f t="shared" si="345"/>
      </c>
      <c r="FD68" s="2102">
        <f t="shared" si="345"/>
      </c>
      <c r="FE68" s="2102">
        <f t="shared" si="345"/>
      </c>
      <c r="FF68" s="2102">
        <f t="shared" si="345"/>
      </c>
      <c r="FG68" s="2102">
        <f t="shared" ref="FG68" si="361">FG17/FG$79</f>
      </c>
      <c r="FH68" s="2102">
        <f t="shared" ref="FH68" si="362">FH17/FH$79</f>
      </c>
      <c r="FI68" s="2102">
        <f t="shared" ref="FI68:FU68" si="363">FI17/FI$79</f>
      </c>
      <c r="FJ68" s="2102">
        <f t="shared" si="363"/>
      </c>
      <c r="FK68" s="2102">
        <f t="shared" si="363"/>
      </c>
      <c r="FL68" s="2102">
        <f t="shared" si="363"/>
      </c>
      <c r="FM68" s="2102">
        <f t="shared" si="363"/>
      </c>
      <c r="FN68" s="2102">
        <f t="shared" si="363"/>
      </c>
      <c r="FO68" s="2102">
        <f t="shared" si="363"/>
      </c>
      <c r="FP68" s="2102">
        <f t="shared" si="363"/>
      </c>
      <c r="FQ68" s="2102">
        <f t="shared" si="363"/>
      </c>
      <c r="FR68" s="2102">
        <f t="shared" si="363"/>
      </c>
      <c r="FS68" s="2102">
        <f t="shared" si="363"/>
      </c>
      <c r="FT68" s="2102">
        <f t="shared" si="363"/>
      </c>
      <c r="FU68" s="2102">
        <f t="shared" si="363"/>
      </c>
      <c r="FV68" s="2380"/>
      <c r="FW68" s="2104"/>
      <c r="FX68" s="2104"/>
      <c r="FY68" s="2104"/>
      <c r="FZ68" s="2104"/>
      <c r="GA68" s="2104"/>
      <c r="GB68" s="2104"/>
      <c r="GC68" s="2104"/>
      <c r="GD68" s="2104"/>
      <c r="GE68" s="2104"/>
      <c r="GF68" s="2104"/>
      <c r="GG68" s="2104"/>
      <c r="GH68" s="2104"/>
      <c r="GI68" s="2104"/>
      <c r="GJ68" s="2104"/>
      <c r="GK68" s="2104"/>
      <c r="GL68" s="2104"/>
      <c r="GM68" s="2104"/>
      <c r="GN68" s="2104"/>
      <c r="GO68" s="2102" t="e">
        <f>GO17/'Segment - Products'!GN$231</f>
      </c>
      <c r="GP68" s="2102" t="e">
        <f>GP17/'Segment - Products'!GO$231</f>
      </c>
      <c r="GQ68" s="2102" t="e">
        <f>GQ17/'Segment - Products'!GP$231</f>
      </c>
      <c r="GR68" s="2102" t="e">
        <f>GR17/'Segment - Products'!GQ$231</f>
      </c>
      <c r="GS68" s="2102" t="e">
        <f>GS17/'Segment - Products'!GR$231</f>
      </c>
      <c r="GT68" s="2102"/>
      <c r="GU68" s="2102"/>
      <c r="GV68" s="2102"/>
      <c r="GW68" s="2102"/>
      <c r="GX68" s="2102"/>
      <c r="GY68" s="2102"/>
      <c r="GZ68" s="2102"/>
      <c r="HA68" s="2102"/>
      <c r="HB68" s="2102"/>
      <c r="HC68" s="2102"/>
      <c r="HD68" s="2102"/>
      <c r="HE68" s="2102"/>
    </row>
    <row r="69" spans="1:213" s="11" customFormat="1" ht="10.199999999999999">
      <c r="A69" s="93"/>
      <c r="E69" s="170"/>
      <c r="I69" s="170"/>
      <c r="M69" s="170"/>
      <c r="Q69" s="170"/>
      <c r="U69" s="170"/>
      <c r="Y69" s="170"/>
      <c r="AC69" s="170"/>
      <c r="AG69" s="170"/>
      <c r="AK69" s="170"/>
      <c r="AO69" s="170"/>
      <c r="AS69" s="170"/>
      <c r="AV69" s="281"/>
      <c r="AW69" s="330"/>
      <c r="AX69" s="281"/>
      <c r="AY69" s="281"/>
      <c r="AZ69" s="281"/>
      <c r="BA69" s="330"/>
      <c r="BB69" s="498"/>
      <c r="BC69" s="498"/>
      <c r="BD69" s="498"/>
      <c r="BE69" s="499"/>
      <c r="BF69" s="498"/>
      <c r="BG69" s="498"/>
      <c r="BH69" s="498"/>
      <c r="BI69" s="499"/>
      <c r="BJ69" s="498"/>
      <c r="BK69" s="498"/>
      <c r="BL69" s="498"/>
      <c r="BM69" s="499"/>
      <c r="BN69" s="498"/>
      <c r="BO69" s="498"/>
      <c r="BP69" s="498"/>
      <c r="BQ69" s="499"/>
      <c r="BR69" s="498"/>
      <c r="BS69" s="498"/>
      <c r="BT69" s="498"/>
      <c r="BU69" s="499"/>
      <c r="BV69" s="498"/>
      <c r="BW69" s="498"/>
      <c r="BX69" s="498"/>
      <c r="BY69" s="499"/>
      <c r="BZ69" s="498"/>
      <c r="CA69" s="498"/>
      <c r="CB69" s="498"/>
      <c r="CC69" s="499"/>
      <c r="CD69" s="498"/>
      <c r="CE69" s="498"/>
      <c r="CF69" s="498"/>
      <c r="CG69" s="499"/>
      <c r="CH69" s="498"/>
      <c r="CI69" s="500"/>
      <c r="CJ69" s="498"/>
      <c r="CK69" s="499"/>
      <c r="CL69" s="498"/>
      <c r="CM69" s="498"/>
      <c r="CN69" s="498"/>
      <c r="CO69" s="499"/>
      <c r="CP69" s="498"/>
      <c r="CQ69" s="498"/>
      <c r="CR69" s="498"/>
      <c r="CS69" s="499"/>
      <c r="CT69" s="281"/>
      <c r="CU69" s="281"/>
      <c r="CV69" s="281"/>
      <c r="CW69" s="330"/>
      <c r="CX69" s="281"/>
      <c r="CY69" s="281"/>
      <c r="CZ69" s="281"/>
      <c r="DA69" s="330"/>
      <c r="DB69" s="363"/>
      <c r="DC69" s="281"/>
      <c r="DD69" s="494"/>
      <c r="DE69" s="266"/>
      <c r="DF69" s="363"/>
      <c r="DG69" s="363"/>
      <c r="DH69" s="363"/>
      <c r="DI69" s="362"/>
      <c r="DJ69" s="363"/>
      <c r="DK69" s="363"/>
      <c r="DL69" s="363"/>
      <c r="DM69" s="362"/>
      <c r="DN69" s="363"/>
      <c r="DO69" s="363"/>
      <c r="DP69" s="363"/>
      <c r="DQ69" s="362"/>
      <c r="DR69" s="363"/>
      <c r="DS69" s="363"/>
      <c r="DT69" s="363"/>
      <c r="DU69" s="362"/>
      <c r="DV69" s="363"/>
      <c r="DW69" s="363"/>
      <c r="DX69" s="363"/>
      <c r="DY69" s="362"/>
      <c r="DZ69" s="363"/>
      <c r="EA69" s="363"/>
      <c r="EB69" s="363"/>
      <c r="EC69" s="362"/>
      <c r="ED69" s="363"/>
      <c r="EE69" s="363"/>
      <c r="EF69" s="363"/>
      <c r="EG69" s="362"/>
      <c r="EH69" s="363"/>
      <c r="EI69" s="363"/>
      <c r="EJ69" s="363"/>
      <c r="EK69" s="362"/>
      <c r="EY69" s="21"/>
      <c r="EZ69" s="21"/>
      <c r="FA69" s="21"/>
      <c r="FB69" s="21"/>
      <c r="FC69" s="21"/>
      <c r="FD69" s="21"/>
      <c r="FE69" s="21"/>
      <c r="FF69" s="21"/>
      <c r="FG69" s="354"/>
      <c r="FH69" s="354"/>
      <c r="FI69" s="501"/>
      <c r="FJ69" s="501"/>
      <c r="FK69" s="501"/>
      <c r="FL69" s="501"/>
      <c r="FM69" s="501"/>
      <c r="FN69" s="501"/>
      <c r="FO69" s="501"/>
      <c r="FP69" s="501"/>
      <c r="FQ69" s="501"/>
      <c r="FR69" s="501"/>
      <c r="FS69" s="501"/>
      <c r="FT69" s="501"/>
      <c r="FU69" s="501"/>
      <c r="FV69" s="501"/>
      <c r="FW69" s="446"/>
      <c r="FX69" s="446"/>
      <c r="FY69" s="446"/>
      <c r="FZ69" s="446"/>
      <c r="GA69" s="446"/>
      <c r="GB69" s="446"/>
      <c r="GC69" s="446"/>
      <c r="GD69" s="446"/>
      <c r="GE69" s="446"/>
      <c r="GF69" s="446"/>
      <c r="GG69" s="446"/>
      <c r="GH69" s="446"/>
      <c r="GI69" s="340"/>
      <c r="GJ69" s="340"/>
      <c r="GK69" s="340"/>
      <c r="GL69" s="340"/>
      <c r="GM69" s="340"/>
      <c r="GN69" s="340"/>
      <c r="GO69" s="340"/>
      <c r="GP69" s="340"/>
      <c r="GQ69" s="501"/>
      <c r="GR69" s="501"/>
      <c r="GS69" s="501"/>
      <c r="GT69" s="501"/>
      <c r="GU69" s="501"/>
      <c r="GV69" s="501"/>
      <c r="GW69" s="501"/>
      <c r="GX69" s="501"/>
      <c r="GY69" s="501"/>
      <c r="GZ69" s="501"/>
      <c r="HA69" s="501"/>
      <c r="HB69" s="501"/>
      <c r="HC69" s="501"/>
      <c r="HD69" s="501"/>
      <c r="HE69" s="501"/>
    </row>
    <row r="70" spans="1:213" s="11" customFormat="1" ht="10.199999999999999">
      <c r="A70" s="93" t="s">
        <v>1129</v>
      </c>
      <c r="E70" s="170"/>
      <c r="I70" s="170"/>
      <c r="M70" s="170"/>
      <c r="Q70" s="170"/>
      <c r="U70" s="170"/>
      <c r="Y70" s="170"/>
      <c r="AC70" s="170"/>
      <c r="AG70" s="170"/>
      <c r="AK70" s="170"/>
      <c r="AO70" s="170"/>
      <c r="AS70" s="170"/>
      <c r="AV70" s="281"/>
      <c r="AW70" s="330"/>
      <c r="AX70" s="281"/>
      <c r="AY70" s="281"/>
      <c r="AZ70" s="281"/>
      <c r="BA70" s="330"/>
      <c r="BB70" s="498"/>
      <c r="BC70" s="498"/>
      <c r="BD70" s="498"/>
      <c r="BE70" s="499"/>
      <c r="BF70" s="498"/>
      <c r="BG70" s="498"/>
      <c r="BH70" s="498"/>
      <c r="BI70" s="499"/>
      <c r="BJ70" s="498"/>
      <c r="BK70" s="498"/>
      <c r="BL70" s="498"/>
      <c r="BM70" s="499"/>
      <c r="BN70" s="498"/>
      <c r="BO70" s="498"/>
      <c r="BP70" s="498"/>
      <c r="BQ70" s="499"/>
      <c r="BR70" s="498"/>
      <c r="BS70" s="498"/>
      <c r="BT70" s="498"/>
      <c r="BU70" s="499"/>
      <c r="BV70" s="498"/>
      <c r="BW70" s="498"/>
      <c r="BX70" s="498"/>
      <c r="BY70" s="499"/>
      <c r="BZ70" s="498"/>
      <c r="CA70" s="498"/>
      <c r="CB70" s="498"/>
      <c r="CC70" s="499"/>
      <c r="CD70" s="498"/>
      <c r="CE70" s="498"/>
      <c r="CF70" s="498"/>
      <c r="CG70" s="499"/>
      <c r="CH70" s="498"/>
      <c r="CI70" s="500"/>
      <c r="CJ70" s="498"/>
      <c r="CK70" s="499"/>
      <c r="CL70" s="498"/>
      <c r="CM70" s="498"/>
      <c r="CN70" s="498"/>
      <c r="CO70" s="499"/>
      <c r="CP70" s="498"/>
      <c r="CQ70" s="498"/>
      <c r="CR70" s="498"/>
      <c r="CS70" s="499"/>
      <c r="CT70" s="281"/>
      <c r="CU70" s="281"/>
      <c r="CV70" s="281"/>
      <c r="CW70" s="330"/>
      <c r="CX70" s="281"/>
      <c r="CY70" s="281"/>
      <c r="CZ70" s="281"/>
      <c r="DA70" s="330"/>
      <c r="DB70" s="363"/>
      <c r="DC70" s="281"/>
      <c r="DD70" s="363"/>
      <c r="DE70" s="362"/>
      <c r="DF70" s="363"/>
      <c r="DG70" s="363"/>
      <c r="DH70" s="363"/>
      <c r="DI70" s="362"/>
      <c r="DJ70" s="363"/>
      <c r="DK70" s="363"/>
      <c r="DL70" s="363"/>
      <c r="DM70" s="362"/>
      <c r="DN70" s="363"/>
      <c r="DO70" s="363"/>
      <c r="DP70" s="363"/>
      <c r="DQ70" s="362"/>
      <c r="DR70" s="363"/>
      <c r="DS70" s="363"/>
      <c r="DT70" s="363"/>
      <c r="DU70" s="362"/>
      <c r="DV70" s="363"/>
      <c r="DW70" s="363"/>
      <c r="DX70" s="363"/>
      <c r="DY70" s="362"/>
      <c r="DZ70" s="363"/>
      <c r="EA70" s="363"/>
      <c r="EB70" s="363"/>
      <c r="EC70" s="362"/>
      <c r="ED70" s="363"/>
      <c r="EE70" s="363"/>
      <c r="EF70" s="363"/>
      <c r="EG70" s="362"/>
      <c r="EH70" s="363"/>
      <c r="EI70" s="363"/>
      <c r="EJ70" s="363"/>
      <c r="EK70" s="362"/>
      <c r="EY70" s="21"/>
      <c r="EZ70" s="21"/>
      <c r="FA70" s="21"/>
      <c r="FB70" s="21"/>
      <c r="FC70" s="21"/>
      <c r="FD70" s="21"/>
      <c r="FE70" s="21"/>
      <c r="FF70" s="21"/>
      <c r="FG70" s="354"/>
      <c r="FH70" s="354"/>
      <c r="FI70" s="501"/>
      <c r="FJ70" s="501"/>
      <c r="FK70" s="501"/>
      <c r="FL70" s="501"/>
      <c r="FM70" s="501"/>
      <c r="FN70" s="501"/>
      <c r="FO70" s="501"/>
      <c r="FP70" s="501"/>
      <c r="FQ70" s="501"/>
      <c r="FR70" s="501"/>
      <c r="FS70" s="501"/>
      <c r="FT70" s="501"/>
      <c r="FU70" s="501"/>
      <c r="FV70" s="501"/>
      <c r="FW70" s="446"/>
      <c r="FX70" s="446"/>
      <c r="FY70" s="446"/>
      <c r="FZ70" s="446"/>
      <c r="GA70" s="446"/>
      <c r="GB70" s="446"/>
      <c r="GC70" s="446"/>
      <c r="GD70" s="446"/>
      <c r="GE70" s="446"/>
      <c r="GF70" s="446"/>
      <c r="GG70" s="446"/>
      <c r="GH70" s="446"/>
      <c r="GI70" s="340"/>
      <c r="GJ70" s="340"/>
      <c r="GK70" s="340"/>
      <c r="GL70" s="340"/>
      <c r="GM70" s="340"/>
      <c r="GN70" s="340"/>
      <c r="GO70" s="340"/>
      <c r="GP70" s="340"/>
      <c r="GQ70" s="501"/>
      <c r="GR70" s="501"/>
      <c r="GS70" s="501"/>
      <c r="GT70" s="501"/>
      <c r="GU70" s="501"/>
      <c r="GV70" s="501"/>
      <c r="GW70" s="501"/>
      <c r="GX70" s="501"/>
      <c r="GY70" s="501"/>
      <c r="GZ70" s="501"/>
      <c r="HA70" s="501"/>
      <c r="HB70" s="501"/>
      <c r="HC70" s="501"/>
      <c r="HD70" s="501"/>
      <c r="HE70" s="501"/>
    </row>
    <row r="71" spans="1:213" s="11" customFormat="1" ht="10.199999999999999">
      <c r="A71" s="2086" t="s">
        <v>84</v>
      </c>
      <c r="E71" s="170"/>
      <c r="I71" s="170"/>
      <c r="M71" s="170"/>
      <c r="Q71" s="170"/>
      <c r="U71" s="170"/>
      <c r="Y71" s="170"/>
      <c r="AC71" s="170"/>
      <c r="AG71" s="170"/>
      <c r="AK71" s="170"/>
      <c r="AO71" s="170"/>
      <c r="AS71" s="170"/>
      <c r="AV71" s="281"/>
      <c r="AW71" s="330"/>
      <c r="AX71" s="281"/>
      <c r="AY71" s="281"/>
      <c r="AZ71" s="281"/>
      <c r="BA71" s="330"/>
      <c r="BB71" s="503">
        <f t="shared" ref="BB71:BK75" si="364">(BB62/AX62)-1</f>
      </c>
      <c r="BC71" s="503">
        <f t="shared" si="364"/>
      </c>
      <c r="BD71" s="503">
        <f t="shared" si="364"/>
      </c>
      <c r="BE71" s="504">
        <f t="shared" si="364"/>
      </c>
      <c r="BF71" s="503">
        <f t="shared" si="364"/>
      </c>
      <c r="BG71" s="503">
        <f t="shared" si="364"/>
      </c>
      <c r="BH71" s="503">
        <f t="shared" si="364"/>
      </c>
      <c r="BI71" s="504">
        <f t="shared" si="364"/>
      </c>
      <c r="BJ71" s="503">
        <f t="shared" si="364"/>
      </c>
      <c r="BK71" s="503">
        <f t="shared" si="364"/>
      </c>
      <c r="BL71" s="503">
        <f t="shared" ref="BL71:BU75" si="365">(BL62/BH62)-1</f>
      </c>
      <c r="BM71" s="504">
        <f t="shared" si="365"/>
      </c>
      <c r="BN71" s="503">
        <f t="shared" si="365"/>
      </c>
      <c r="BO71" s="503">
        <f t="shared" si="365"/>
      </c>
      <c r="BP71" s="503">
        <f t="shared" si="365"/>
      </c>
      <c r="BQ71" s="504">
        <f t="shared" si="365"/>
      </c>
      <c r="BR71" s="503">
        <f t="shared" si="365"/>
      </c>
      <c r="BS71" s="503">
        <f t="shared" si="365"/>
      </c>
      <c r="BT71" s="503">
        <f t="shared" si="365"/>
      </c>
      <c r="BU71" s="504">
        <f t="shared" si="365"/>
      </c>
      <c r="BV71" s="503">
        <f t="shared" ref="BV71:CE75" si="366">(BV62/BR62)-1</f>
      </c>
      <c r="BW71" s="503">
        <f t="shared" si="366"/>
      </c>
      <c r="BX71" s="503">
        <f t="shared" si="366"/>
      </c>
      <c r="BY71" s="504">
        <f t="shared" si="366"/>
      </c>
      <c r="BZ71" s="503">
        <f t="shared" si="366"/>
      </c>
      <c r="CA71" s="503">
        <f t="shared" si="366"/>
      </c>
      <c r="CB71" s="503">
        <f t="shared" si="366"/>
      </c>
      <c r="CC71" s="504">
        <f t="shared" si="366"/>
      </c>
      <c r="CD71" s="503">
        <f t="shared" si="366"/>
      </c>
      <c r="CE71" s="503">
        <f t="shared" si="366"/>
      </c>
      <c r="CF71" s="503">
        <f t="shared" ref="CF71:CO75" si="367">(CF62/CB62)-1</f>
      </c>
      <c r="CG71" s="504">
        <f t="shared" si="367"/>
      </c>
      <c r="CH71" s="503">
        <f t="shared" si="367"/>
      </c>
      <c r="CI71" s="503">
        <f t="shared" si="367"/>
      </c>
      <c r="CJ71" s="503">
        <f t="shared" si="367"/>
      </c>
      <c r="CK71" s="504">
        <f t="shared" si="367"/>
      </c>
      <c r="CL71" s="503">
        <f t="shared" si="367"/>
      </c>
      <c r="CM71" s="503">
        <f t="shared" si="367"/>
      </c>
      <c r="CN71" s="503">
        <f t="shared" si="367"/>
      </c>
      <c r="CO71" s="504">
        <f t="shared" si="367"/>
      </c>
      <c r="CP71" s="503">
        <f t="shared" ref="CP71:CY75" si="368">(CP62/CL62)-1</f>
      </c>
      <c r="CQ71" s="503">
        <f t="shared" si="368"/>
      </c>
      <c r="CR71" s="503">
        <f t="shared" si="368"/>
      </c>
      <c r="CS71" s="504">
        <f t="shared" si="368"/>
      </c>
      <c r="CT71" s="352">
        <f t="shared" si="368"/>
      </c>
      <c r="CU71" s="352">
        <f t="shared" si="368"/>
      </c>
      <c r="CV71" s="352">
        <f t="shared" si="368"/>
      </c>
      <c r="CW71" s="353">
        <f t="shared" si="368"/>
      </c>
      <c r="CX71" s="352">
        <f t="shared" si="368"/>
      </c>
      <c r="CY71" s="352">
        <f t="shared" si="368"/>
      </c>
      <c r="CZ71" s="352">
        <f t="shared" ref="CZ71:DI75" si="369">(CZ62/CV62)-1</f>
      </c>
      <c r="DA71" s="353">
        <f t="shared" si="369"/>
      </c>
      <c r="DB71" s="494">
        <f t="shared" si="369"/>
      </c>
      <c r="DC71" s="352">
        <f t="shared" si="369"/>
      </c>
      <c r="DD71" s="494">
        <f t="shared" si="369"/>
      </c>
      <c r="DE71" s="266">
        <f t="shared" si="369"/>
      </c>
      <c r="DF71" s="494">
        <f t="shared" si="369"/>
      </c>
      <c r="DG71" s="494">
        <f t="shared" si="369"/>
      </c>
      <c r="DH71" s="494">
        <f t="shared" si="369"/>
      </c>
      <c r="DI71" s="266">
        <f t="shared" si="369"/>
      </c>
      <c r="DJ71" s="494">
        <f t="shared" ref="DJ71:DS75" si="370">(DJ62/DF62)-1</f>
      </c>
      <c r="DK71" s="494">
        <f t="shared" si="370"/>
      </c>
      <c r="DL71" s="494">
        <f t="shared" si="370"/>
      </c>
      <c r="DM71" s="266">
        <f t="shared" si="370"/>
      </c>
      <c r="DN71" s="494">
        <f t="shared" si="370"/>
      </c>
      <c r="DO71" s="494">
        <f t="shared" si="370"/>
      </c>
      <c r="DP71" s="494">
        <f t="shared" si="370"/>
      </c>
      <c r="DQ71" s="266">
        <f t="shared" si="370"/>
      </c>
      <c r="DR71" s="494">
        <f t="shared" si="370"/>
      </c>
      <c r="DS71" s="494">
        <f t="shared" si="370"/>
      </c>
      <c r="DT71" s="494">
        <f t="shared" ref="DT71:DU75" si="371">(DT62/DP62)-1</f>
      </c>
      <c r="DU71" s="266">
        <f t="shared" si="371"/>
      </c>
      <c r="DV71" s="494">
        <f t="shared" ref="DV71:DV77" si="372">(DV62/DR62)-1</f>
      </c>
      <c r="DW71" s="494">
        <f t="shared" ref="DW71:DW77" si="373">(DW62/DS62)-1</f>
      </c>
      <c r="DX71" s="494">
        <f t="shared" ref="DX71:DX77" si="374">(DX62/DT62)-1</f>
      </c>
      <c r="DY71" s="266">
        <f t="shared" ref="DY71:DY77" si="375">(DY62/DU62)-1</f>
      </c>
      <c r="DZ71" s="494">
        <f t="shared" ref="DZ71:DZ77" si="376">(DZ62/DV62)-1</f>
      </c>
      <c r="EA71" s="494">
        <f t="shared" ref="EA71:EA77" si="377">(EA62/DW62)-1</f>
      </c>
      <c r="EB71" s="494">
        <f t="shared" ref="EB71:EB77" si="378">(EB62/DX62)-1</f>
      </c>
      <c r="EC71" s="266">
        <f t="shared" ref="EC71:EC77" si="379">(EC62/DY62)-1</f>
      </c>
      <c r="ED71" s="494">
        <f t="shared" ref="ED71:ED77" si="380">(ED62/DZ62)-1</f>
      </c>
      <c r="EE71" s="494">
        <f t="shared" ref="EE71:EE77" si="381">(EE62/EA62)-1</f>
      </c>
      <c r="EF71" s="494">
        <f t="shared" ref="EF71:EF77" si="382">(EF62/EB62)-1</f>
      </c>
      <c r="EG71" s="266">
        <f t="shared" ref="EG71:EG77" si="383">(EG62/EC62)-1</f>
      </c>
      <c r="EH71" s="494">
        <f t="shared" ref="EH71:EH77" si="384">(EH62/ED62)-1</f>
      </c>
      <c r="EI71" s="494">
        <f t="shared" ref="EI71:EI77" si="385">(EI62/EE62)-1</f>
      </c>
      <c r="EJ71" s="494">
        <f t="shared" ref="EJ71:EJ77" si="386">(EJ62/EF62)-1</f>
      </c>
      <c r="EK71" s="266">
        <f t="shared" ref="EK71:EK77" si="387">(EK62/EG62)-1</f>
      </c>
      <c r="EY71" s="21"/>
      <c r="EZ71" s="21"/>
      <c r="FA71" s="21"/>
      <c r="FB71" s="21"/>
      <c r="FC71" s="21"/>
      <c r="FD71" s="21"/>
      <c r="FE71" s="21"/>
      <c r="FF71" s="502"/>
      <c r="FG71" s="502"/>
      <c r="FH71" s="502"/>
      <c r="FI71" s="502"/>
      <c r="FJ71" s="502">
        <f t="shared" ref="FJ71:FQ77" si="388">(FJ62/FI62)-1</f>
      </c>
      <c r="FK71" s="502">
        <f t="shared" si="388"/>
      </c>
      <c r="FL71" s="502">
        <f t="shared" si="388"/>
      </c>
      <c r="FM71" s="502">
        <f t="shared" si="388"/>
      </c>
      <c r="FN71" s="502">
        <f t="shared" si="388"/>
      </c>
      <c r="FO71" s="502">
        <f t="shared" si="388"/>
      </c>
      <c r="FP71" s="502">
        <f t="shared" si="388"/>
      </c>
      <c r="FQ71" s="502">
        <f t="shared" si="388"/>
      </c>
      <c r="FR71" s="502">
        <f t="shared" ref="FR71:FR77" si="389">(FR62/FQ62)-1</f>
      </c>
      <c r="FS71" s="502">
        <f t="shared" ref="FS71:FS77" si="390">(FS62/FR62)-1</f>
      </c>
      <c r="FT71" s="502">
        <f t="shared" ref="FT71:FT77" si="391">(FT62/FS62)-1</f>
      </c>
      <c r="FU71" s="502">
        <f t="shared" ref="FU71:FU77" si="392">(FU62/FT62)-1</f>
      </c>
      <c r="FV71" s="502"/>
      <c r="FW71" s="446"/>
      <c r="FX71" s="446"/>
      <c r="FY71" s="446"/>
      <c r="FZ71" s="446"/>
      <c r="GA71" s="446"/>
      <c r="GB71" s="446"/>
      <c r="GC71" s="446"/>
      <c r="GD71" s="446"/>
      <c r="GE71" s="446"/>
      <c r="GF71" s="446"/>
      <c r="GG71" s="446"/>
      <c r="GH71" s="446"/>
      <c r="GI71" s="340"/>
      <c r="GJ71" s="340"/>
      <c r="GK71" s="340"/>
      <c r="GL71" s="340"/>
      <c r="GM71" s="340"/>
      <c r="GN71" s="340"/>
      <c r="GO71" s="340"/>
      <c r="GP71" s="502" t="e">
        <f t="shared" ref="GP71:GS71" si="393">(GP62/GO62)-1</f>
      </c>
      <c r="GQ71" s="502" t="e">
        <f t="shared" si="393"/>
      </c>
      <c r="GR71" s="502" t="e">
        <f t="shared" si="393"/>
      </c>
      <c r="GS71" s="502" t="e">
        <f t="shared" si="393"/>
      </c>
      <c r="GT71" s="502"/>
      <c r="GU71" s="502"/>
      <c r="GV71" s="502"/>
      <c r="GW71" s="502"/>
      <c r="GX71" s="502"/>
      <c r="GY71" s="502"/>
      <c r="GZ71" s="502"/>
      <c r="HA71" s="502"/>
      <c r="HB71" s="502"/>
      <c r="HC71" s="502"/>
      <c r="HD71" s="502"/>
      <c r="HE71" s="502"/>
    </row>
    <row r="72" spans="1:213" s="11" customFormat="1" ht="10.199999999999999">
      <c r="A72" s="2086" t="s">
        <v>85</v>
      </c>
      <c r="E72" s="170"/>
      <c r="I72" s="170"/>
      <c r="M72" s="170"/>
      <c r="Q72" s="170"/>
      <c r="U72" s="170"/>
      <c r="Y72" s="170"/>
      <c r="AC72" s="170"/>
      <c r="AG72" s="170"/>
      <c r="AK72" s="170"/>
      <c r="AO72" s="170"/>
      <c r="AS72" s="170"/>
      <c r="AV72" s="281"/>
      <c r="AW72" s="330"/>
      <c r="AX72" s="281"/>
      <c r="AY72" s="281"/>
      <c r="AZ72" s="281"/>
      <c r="BA72" s="330"/>
      <c r="BB72" s="503" t="e">
        <f t="shared" si="364"/>
      </c>
      <c r="BC72" s="503" t="e">
        <f t="shared" si="364"/>
      </c>
      <c r="BD72" s="503" t="e">
        <f t="shared" si="364"/>
      </c>
      <c r="BE72" s="504" t="e">
        <f t="shared" si="364"/>
      </c>
      <c r="BF72" s="503" t="e">
        <f t="shared" si="364"/>
      </c>
      <c r="BG72" s="503" t="e">
        <f t="shared" si="364"/>
      </c>
      <c r="BH72" s="503" t="e">
        <f t="shared" si="364"/>
      </c>
      <c r="BI72" s="504" t="e">
        <f t="shared" si="364"/>
      </c>
      <c r="BJ72" s="503" t="e">
        <f t="shared" si="364"/>
      </c>
      <c r="BK72" s="503" t="e">
        <f t="shared" si="364"/>
      </c>
      <c r="BL72" s="503">
        <f t="shared" si="365"/>
      </c>
      <c r="BM72" s="504">
        <f t="shared" si="365"/>
      </c>
      <c r="BN72" s="503">
        <f t="shared" si="365"/>
      </c>
      <c r="BO72" s="503">
        <f t="shared" si="365"/>
      </c>
      <c r="BP72" s="503">
        <f t="shared" si="365"/>
      </c>
      <c r="BQ72" s="504">
        <f t="shared" si="365"/>
      </c>
      <c r="BR72" s="503">
        <f t="shared" si="365"/>
      </c>
      <c r="BS72" s="503">
        <f t="shared" si="365"/>
      </c>
      <c r="BT72" s="503">
        <f t="shared" si="365"/>
      </c>
      <c r="BU72" s="504">
        <f t="shared" si="365"/>
      </c>
      <c r="BV72" s="503">
        <f t="shared" si="366"/>
      </c>
      <c r="BW72" s="503">
        <f t="shared" si="366"/>
      </c>
      <c r="BX72" s="503">
        <f t="shared" si="366"/>
      </c>
      <c r="BY72" s="504">
        <f t="shared" si="366"/>
      </c>
      <c r="BZ72" s="503">
        <f t="shared" si="366"/>
      </c>
      <c r="CA72" s="503">
        <f t="shared" si="366"/>
      </c>
      <c r="CB72" s="503">
        <f t="shared" si="366"/>
      </c>
      <c r="CC72" s="504">
        <f t="shared" si="366"/>
      </c>
      <c r="CD72" s="503">
        <f t="shared" si="366"/>
      </c>
      <c r="CE72" s="503">
        <f t="shared" si="366"/>
      </c>
      <c r="CF72" s="503">
        <f t="shared" si="367"/>
      </c>
      <c r="CG72" s="504">
        <f t="shared" si="367"/>
      </c>
      <c r="CH72" s="503">
        <f t="shared" si="367"/>
      </c>
      <c r="CI72" s="503">
        <f t="shared" si="367"/>
      </c>
      <c r="CJ72" s="503">
        <f t="shared" si="367"/>
      </c>
      <c r="CK72" s="504">
        <f t="shared" si="367"/>
      </c>
      <c r="CL72" s="503">
        <f t="shared" si="367"/>
      </c>
      <c r="CM72" s="503">
        <f t="shared" si="367"/>
      </c>
      <c r="CN72" s="503">
        <f t="shared" si="367"/>
      </c>
      <c r="CO72" s="504">
        <f t="shared" si="367"/>
      </c>
      <c r="CP72" s="503">
        <f t="shared" si="368"/>
      </c>
      <c r="CQ72" s="503">
        <f t="shared" si="368"/>
      </c>
      <c r="CR72" s="503">
        <f t="shared" si="368"/>
      </c>
      <c r="CS72" s="504">
        <f t="shared" si="368"/>
      </c>
      <c r="CT72" s="352">
        <f t="shared" si="368"/>
      </c>
      <c r="CU72" s="352">
        <f t="shared" si="368"/>
      </c>
      <c r="CV72" s="352">
        <f t="shared" si="368"/>
      </c>
      <c r="CW72" s="353">
        <f t="shared" si="368"/>
      </c>
      <c r="CX72" s="352">
        <f t="shared" si="368"/>
      </c>
      <c r="CY72" s="352">
        <f t="shared" si="368"/>
      </c>
      <c r="CZ72" s="352">
        <f t="shared" si="369"/>
      </c>
      <c r="DA72" s="353">
        <f t="shared" si="369"/>
      </c>
      <c r="DB72" s="494">
        <f t="shared" si="369"/>
      </c>
      <c r="DC72" s="352">
        <f t="shared" si="369"/>
      </c>
      <c r="DD72" s="494">
        <f t="shared" si="369"/>
      </c>
      <c r="DE72" s="266">
        <f t="shared" si="369"/>
      </c>
      <c r="DF72" s="494">
        <f t="shared" si="369"/>
      </c>
      <c r="DG72" s="494">
        <f t="shared" si="369"/>
      </c>
      <c r="DH72" s="494">
        <f t="shared" si="369"/>
      </c>
      <c r="DI72" s="266">
        <f t="shared" si="369"/>
      </c>
      <c r="DJ72" s="494">
        <f t="shared" si="370"/>
      </c>
      <c r="DK72" s="494">
        <f t="shared" si="370"/>
      </c>
      <c r="DL72" s="494">
        <f t="shared" si="370"/>
      </c>
      <c r="DM72" s="266">
        <f t="shared" si="370"/>
      </c>
      <c r="DN72" s="494">
        <f t="shared" si="370"/>
      </c>
      <c r="DO72" s="494">
        <f t="shared" si="370"/>
      </c>
      <c r="DP72" s="494">
        <f t="shared" si="370"/>
      </c>
      <c r="DQ72" s="266">
        <f t="shared" si="370"/>
      </c>
      <c r="DR72" s="494">
        <f t="shared" si="370"/>
      </c>
      <c r="DS72" s="494">
        <f t="shared" si="370"/>
      </c>
      <c r="DT72" s="494">
        <f t="shared" si="371"/>
      </c>
      <c r="DU72" s="266">
        <f t="shared" si="371"/>
      </c>
      <c r="DV72" s="494">
        <f t="shared" si="372"/>
      </c>
      <c r="DW72" s="494">
        <f t="shared" si="373"/>
      </c>
      <c r="DX72" s="494">
        <f t="shared" si="374"/>
      </c>
      <c r="DY72" s="266">
        <f t="shared" si="375"/>
      </c>
      <c r="DZ72" s="494">
        <f t="shared" si="376"/>
      </c>
      <c r="EA72" s="494">
        <f t="shared" si="377"/>
      </c>
      <c r="EB72" s="494">
        <f t="shared" si="378"/>
      </c>
      <c r="EC72" s="266">
        <f t="shared" si="379"/>
      </c>
      <c r="ED72" s="494">
        <f t="shared" si="380"/>
      </c>
      <c r="EE72" s="494">
        <f t="shared" si="381"/>
      </c>
      <c r="EF72" s="494">
        <f t="shared" si="382"/>
      </c>
      <c r="EG72" s="266">
        <f t="shared" si="383"/>
      </c>
      <c r="EH72" s="494">
        <f t="shared" si="384"/>
      </c>
      <c r="EI72" s="494">
        <f t="shared" si="385"/>
      </c>
      <c r="EJ72" s="494">
        <f t="shared" si="386"/>
      </c>
      <c r="EK72" s="266">
        <f t="shared" si="387"/>
      </c>
      <c r="EY72" s="21"/>
      <c r="EZ72" s="21"/>
      <c r="FA72" s="21"/>
      <c r="FB72" s="21"/>
      <c r="FC72" s="21"/>
      <c r="FD72" s="21"/>
      <c r="FE72" s="21"/>
      <c r="FF72" s="502"/>
      <c r="FG72" s="502"/>
      <c r="FH72" s="502"/>
      <c r="FI72" s="502"/>
      <c r="FJ72" s="502">
        <f t="shared" si="388"/>
      </c>
      <c r="FK72" s="502">
        <f t="shared" si="388"/>
      </c>
      <c r="FL72" s="502">
        <f t="shared" si="388"/>
      </c>
      <c r="FM72" s="502">
        <f t="shared" si="388"/>
      </c>
      <c r="FN72" s="502">
        <f t="shared" si="388"/>
      </c>
      <c r="FO72" s="502">
        <f t="shared" si="388"/>
      </c>
      <c r="FP72" s="502">
        <f t="shared" si="388"/>
      </c>
      <c r="FQ72" s="502">
        <f t="shared" si="388"/>
      </c>
      <c r="FR72" s="502">
        <f t="shared" si="389"/>
      </c>
      <c r="FS72" s="502">
        <f t="shared" si="390"/>
      </c>
      <c r="FT72" s="502">
        <f t="shared" si="391"/>
      </c>
      <c r="FU72" s="502">
        <f t="shared" si="392"/>
      </c>
      <c r="FV72" s="502"/>
      <c r="FW72" s="446"/>
      <c r="FX72" s="446"/>
      <c r="FY72" s="446"/>
      <c r="FZ72" s="446"/>
      <c r="GA72" s="446"/>
      <c r="GB72" s="446"/>
      <c r="GC72" s="446"/>
      <c r="GD72" s="446"/>
      <c r="GE72" s="446"/>
      <c r="GF72" s="446"/>
      <c r="GG72" s="446"/>
      <c r="GH72" s="446"/>
      <c r="GI72" s="340"/>
      <c r="GJ72" s="340"/>
      <c r="GK72" s="340"/>
      <c r="GL72" s="340"/>
      <c r="GM72" s="340"/>
      <c r="GN72" s="340"/>
      <c r="GO72" s="340"/>
      <c r="GP72" s="502" t="e">
        <f t="shared" ref="GP72:GS72" si="394">(GP63/GO63)-1</f>
      </c>
      <c r="GQ72" s="502" t="e">
        <f t="shared" si="394"/>
      </c>
      <c r="GR72" s="502" t="e">
        <f t="shared" si="394"/>
      </c>
      <c r="GS72" s="502" t="e">
        <f t="shared" si="394"/>
      </c>
      <c r="GT72" s="502"/>
      <c r="GU72" s="502"/>
      <c r="GV72" s="502"/>
      <c r="GW72" s="502"/>
      <c r="GX72" s="502"/>
      <c r="GY72" s="502"/>
      <c r="GZ72" s="502"/>
      <c r="HA72" s="502"/>
      <c r="HB72" s="502"/>
      <c r="HC72" s="502"/>
      <c r="HD72" s="502"/>
      <c r="HE72" s="502"/>
    </row>
    <row r="73" spans="1:213" s="11" customFormat="1" ht="10.199999999999999">
      <c r="A73" s="2086" t="s">
        <v>86</v>
      </c>
      <c r="E73" s="170"/>
      <c r="I73" s="170"/>
      <c r="M73" s="170"/>
      <c r="Q73" s="170"/>
      <c r="U73" s="170"/>
      <c r="Y73" s="170"/>
      <c r="AC73" s="170"/>
      <c r="AG73" s="170"/>
      <c r="AK73" s="170"/>
      <c r="AO73" s="170"/>
      <c r="AS73" s="170"/>
      <c r="AV73" s="281"/>
      <c r="AW73" s="330"/>
      <c r="AX73" s="281"/>
      <c r="AY73" s="281"/>
      <c r="AZ73" s="281"/>
      <c r="BA73" s="330"/>
      <c r="BB73" s="503">
        <f t="shared" si="364"/>
      </c>
      <c r="BC73" s="503">
        <f t="shared" si="364"/>
      </c>
      <c r="BD73" s="503">
        <f t="shared" si="364"/>
      </c>
      <c r="BE73" s="504">
        <f t="shared" si="364"/>
      </c>
      <c r="BF73" s="503">
        <f t="shared" si="364"/>
      </c>
      <c r="BG73" s="503">
        <f t="shared" si="364"/>
      </c>
      <c r="BH73" s="503">
        <f t="shared" si="364"/>
      </c>
      <c r="BI73" s="504">
        <f t="shared" si="364"/>
      </c>
      <c r="BJ73" s="503">
        <f t="shared" si="364"/>
      </c>
      <c r="BK73" s="503">
        <f t="shared" si="364"/>
      </c>
      <c r="BL73" s="503">
        <f t="shared" si="365"/>
      </c>
      <c r="BM73" s="504">
        <f t="shared" si="365"/>
      </c>
      <c r="BN73" s="503">
        <f t="shared" si="365"/>
      </c>
      <c r="BO73" s="503">
        <f t="shared" si="365"/>
      </c>
      <c r="BP73" s="503">
        <f t="shared" si="365"/>
      </c>
      <c r="BQ73" s="504">
        <f t="shared" si="365"/>
      </c>
      <c r="BR73" s="503">
        <f t="shared" si="365"/>
      </c>
      <c r="BS73" s="503">
        <f t="shared" si="365"/>
      </c>
      <c r="BT73" s="503">
        <f t="shared" si="365"/>
      </c>
      <c r="BU73" s="504">
        <f t="shared" si="365"/>
      </c>
      <c r="BV73" s="503">
        <f t="shared" si="366"/>
      </c>
      <c r="BW73" s="503">
        <f t="shared" si="366"/>
      </c>
      <c r="BX73" s="503">
        <f t="shared" si="366"/>
      </c>
      <c r="BY73" s="504">
        <f t="shared" si="366"/>
      </c>
      <c r="BZ73" s="503">
        <f t="shared" si="366"/>
      </c>
      <c r="CA73" s="503">
        <f t="shared" si="366"/>
      </c>
      <c r="CB73" s="503">
        <f t="shared" si="366"/>
      </c>
      <c r="CC73" s="504">
        <f t="shared" si="366"/>
      </c>
      <c r="CD73" s="503">
        <f t="shared" si="366"/>
      </c>
      <c r="CE73" s="503">
        <f t="shared" si="366"/>
      </c>
      <c r="CF73" s="503">
        <f t="shared" si="367"/>
      </c>
      <c r="CG73" s="504">
        <f t="shared" si="367"/>
      </c>
      <c r="CH73" s="503">
        <f t="shared" si="367"/>
      </c>
      <c r="CI73" s="503">
        <f t="shared" si="367"/>
      </c>
      <c r="CJ73" s="503">
        <f t="shared" si="367"/>
      </c>
      <c r="CK73" s="504">
        <f t="shared" si="367"/>
      </c>
      <c r="CL73" s="503">
        <f t="shared" si="367"/>
      </c>
      <c r="CM73" s="503">
        <f t="shared" si="367"/>
      </c>
      <c r="CN73" s="503">
        <f t="shared" si="367"/>
      </c>
      <c r="CO73" s="504">
        <f t="shared" si="367"/>
      </c>
      <c r="CP73" s="503">
        <f t="shared" si="368"/>
      </c>
      <c r="CQ73" s="503">
        <f t="shared" si="368"/>
      </c>
      <c r="CR73" s="503">
        <f t="shared" si="368"/>
      </c>
      <c r="CS73" s="504">
        <f t="shared" si="368"/>
      </c>
      <c r="CT73" s="352">
        <f t="shared" si="368"/>
      </c>
      <c r="CU73" s="352">
        <f t="shared" si="368"/>
      </c>
      <c r="CV73" s="352">
        <f t="shared" si="368"/>
      </c>
      <c r="CW73" s="353">
        <f t="shared" si="368"/>
      </c>
      <c r="CX73" s="352">
        <f t="shared" si="368"/>
      </c>
      <c r="CY73" s="352">
        <f t="shared" si="368"/>
      </c>
      <c r="CZ73" s="352">
        <f t="shared" si="369"/>
      </c>
      <c r="DA73" s="353">
        <f t="shared" si="369"/>
      </c>
      <c r="DB73" s="494">
        <f t="shared" si="369"/>
      </c>
      <c r="DC73" s="352">
        <f t="shared" si="369"/>
      </c>
      <c r="DD73" s="494">
        <f t="shared" si="369"/>
      </c>
      <c r="DE73" s="266">
        <f t="shared" si="369"/>
      </c>
      <c r="DF73" s="494">
        <f t="shared" si="369"/>
      </c>
      <c r="DG73" s="494">
        <f t="shared" si="369"/>
      </c>
      <c r="DH73" s="494">
        <f t="shared" si="369"/>
      </c>
      <c r="DI73" s="266">
        <f t="shared" si="369"/>
      </c>
      <c r="DJ73" s="494">
        <f t="shared" si="370"/>
      </c>
      <c r="DK73" s="494">
        <f t="shared" si="370"/>
      </c>
      <c r="DL73" s="494">
        <f t="shared" si="370"/>
      </c>
      <c r="DM73" s="266">
        <f t="shared" si="370"/>
      </c>
      <c r="DN73" s="494">
        <f t="shared" si="370"/>
      </c>
      <c r="DO73" s="494">
        <f t="shared" si="370"/>
      </c>
      <c r="DP73" s="494">
        <f t="shared" si="370"/>
      </c>
      <c r="DQ73" s="266">
        <f t="shared" si="370"/>
      </c>
      <c r="DR73" s="494">
        <f t="shared" si="370"/>
      </c>
      <c r="DS73" s="494">
        <f t="shared" si="370"/>
      </c>
      <c r="DT73" s="494">
        <f t="shared" si="371"/>
      </c>
      <c r="DU73" s="266">
        <f t="shared" si="371"/>
      </c>
      <c r="DV73" s="494">
        <f t="shared" si="372"/>
      </c>
      <c r="DW73" s="494">
        <f t="shared" si="373"/>
      </c>
      <c r="DX73" s="494">
        <f t="shared" si="374"/>
      </c>
      <c r="DY73" s="266">
        <f t="shared" si="375"/>
      </c>
      <c r="DZ73" s="494">
        <f t="shared" si="376"/>
      </c>
      <c r="EA73" s="494">
        <f t="shared" si="377"/>
      </c>
      <c r="EB73" s="494">
        <f t="shared" si="378"/>
      </c>
      <c r="EC73" s="266">
        <f t="shared" si="379"/>
      </c>
      <c r="ED73" s="494">
        <f t="shared" si="380"/>
      </c>
      <c r="EE73" s="494">
        <f t="shared" si="381"/>
      </c>
      <c r="EF73" s="494">
        <f t="shared" si="382"/>
      </c>
      <c r="EG73" s="266">
        <f t="shared" si="383"/>
      </c>
      <c r="EH73" s="494">
        <f t="shared" si="384"/>
      </c>
      <c r="EI73" s="494">
        <f t="shared" si="385"/>
      </c>
      <c r="EJ73" s="494">
        <f t="shared" si="386"/>
      </c>
      <c r="EK73" s="266">
        <f t="shared" si="387"/>
      </c>
      <c r="EY73" s="21"/>
      <c r="EZ73" s="21"/>
      <c r="FA73" s="21"/>
      <c r="FB73" s="21"/>
      <c r="FC73" s="21"/>
      <c r="FD73" s="21"/>
      <c r="FE73" s="21"/>
      <c r="FF73" s="502"/>
      <c r="FG73" s="502"/>
      <c r="FH73" s="502"/>
      <c r="FI73" s="502"/>
      <c r="FJ73" s="502">
        <f t="shared" si="388"/>
      </c>
      <c r="FK73" s="502">
        <f t="shared" si="388"/>
      </c>
      <c r="FL73" s="502">
        <f t="shared" si="388"/>
      </c>
      <c r="FM73" s="502">
        <f t="shared" si="388"/>
      </c>
      <c r="FN73" s="502">
        <f t="shared" si="388"/>
      </c>
      <c r="FO73" s="502">
        <f t="shared" si="388"/>
      </c>
      <c r="FP73" s="502">
        <f t="shared" si="388"/>
      </c>
      <c r="FQ73" s="502">
        <f t="shared" si="388"/>
      </c>
      <c r="FR73" s="502">
        <f t="shared" si="389"/>
      </c>
      <c r="FS73" s="502">
        <f t="shared" si="390"/>
      </c>
      <c r="FT73" s="502">
        <f t="shared" si="391"/>
      </c>
      <c r="FU73" s="502">
        <f t="shared" si="392"/>
      </c>
      <c r="FV73" s="502"/>
      <c r="FW73" s="446"/>
      <c r="FX73" s="446"/>
      <c r="FY73" s="446"/>
      <c r="FZ73" s="446"/>
      <c r="GA73" s="446"/>
      <c r="GB73" s="446"/>
      <c r="GC73" s="446"/>
      <c r="GD73" s="446"/>
      <c r="GE73" s="446"/>
      <c r="GF73" s="446"/>
      <c r="GG73" s="446"/>
      <c r="GH73" s="446"/>
      <c r="GI73" s="340"/>
      <c r="GJ73" s="340"/>
      <c r="GK73" s="340"/>
      <c r="GL73" s="340"/>
      <c r="GM73" s="340"/>
      <c r="GN73" s="340"/>
      <c r="GO73" s="340"/>
      <c r="GP73" s="502" t="e">
        <f t="shared" ref="GP73:GS73" si="395">(GP64/GO64)-1</f>
      </c>
      <c r="GQ73" s="502" t="e">
        <f t="shared" si="395"/>
      </c>
      <c r="GR73" s="502" t="e">
        <f t="shared" si="395"/>
      </c>
      <c r="GS73" s="502" t="e">
        <f t="shared" si="395"/>
      </c>
      <c r="GT73" s="502"/>
      <c r="GU73" s="502"/>
      <c r="GV73" s="502"/>
      <c r="GW73" s="502"/>
      <c r="GX73" s="502"/>
      <c r="GY73" s="502"/>
      <c r="GZ73" s="502"/>
      <c r="HA73" s="502"/>
      <c r="HB73" s="502"/>
      <c r="HC73" s="502"/>
      <c r="HD73" s="502"/>
      <c r="HE73" s="502"/>
    </row>
    <row r="74" spans="1:213" s="11" customFormat="1" ht="10.199999999999999">
      <c r="A74" s="2086" t="s">
        <v>1120</v>
      </c>
      <c r="E74" s="170"/>
      <c r="I74" s="170"/>
      <c r="M74" s="170"/>
      <c r="Q74" s="170"/>
      <c r="U74" s="170"/>
      <c r="Y74" s="170"/>
      <c r="AC74" s="170"/>
      <c r="AG74" s="170"/>
      <c r="AK74" s="170"/>
      <c r="AO74" s="170"/>
      <c r="AS74" s="170"/>
      <c r="AV74" s="281"/>
      <c r="AW74" s="330"/>
      <c r="AX74" s="281"/>
      <c r="AY74" s="281"/>
      <c r="AZ74" s="281"/>
      <c r="BA74" s="330"/>
      <c r="BB74" s="503">
        <f t="shared" si="364"/>
      </c>
      <c r="BC74" s="503">
        <f t="shared" si="364"/>
      </c>
      <c r="BD74" s="503">
        <f t="shared" si="364"/>
      </c>
      <c r="BE74" s="504">
        <f t="shared" si="364"/>
      </c>
      <c r="BF74" s="503">
        <f t="shared" si="364"/>
      </c>
      <c r="BG74" s="503">
        <f t="shared" si="364"/>
      </c>
      <c r="BH74" s="503">
        <f t="shared" si="364"/>
      </c>
      <c r="BI74" s="504">
        <f t="shared" si="364"/>
      </c>
      <c r="BJ74" s="503">
        <f t="shared" si="364"/>
      </c>
      <c r="BK74" s="503">
        <f t="shared" si="364"/>
      </c>
      <c r="BL74" s="503">
        <f t="shared" si="365"/>
      </c>
      <c r="BM74" s="504">
        <f t="shared" si="365"/>
      </c>
      <c r="BN74" s="503">
        <f t="shared" si="365"/>
      </c>
      <c r="BO74" s="503">
        <f t="shared" si="365"/>
      </c>
      <c r="BP74" s="503">
        <f t="shared" si="365"/>
      </c>
      <c r="BQ74" s="504">
        <f t="shared" si="365"/>
      </c>
      <c r="BR74" s="503">
        <f t="shared" si="365"/>
      </c>
      <c r="BS74" s="503">
        <f t="shared" si="365"/>
      </c>
      <c r="BT74" s="503">
        <f t="shared" si="365"/>
      </c>
      <c r="BU74" s="504">
        <f t="shared" si="365"/>
      </c>
      <c r="BV74" s="503">
        <f t="shared" si="366"/>
      </c>
      <c r="BW74" s="503">
        <f t="shared" si="366"/>
      </c>
      <c r="BX74" s="503">
        <f t="shared" si="366"/>
      </c>
      <c r="BY74" s="504">
        <f t="shared" si="366"/>
      </c>
      <c r="BZ74" s="503">
        <f t="shared" si="366"/>
      </c>
      <c r="CA74" s="503">
        <f t="shared" si="366"/>
      </c>
      <c r="CB74" s="503">
        <f t="shared" si="366"/>
      </c>
      <c r="CC74" s="504">
        <f t="shared" si="366"/>
      </c>
      <c r="CD74" s="503">
        <f t="shared" si="366"/>
      </c>
      <c r="CE74" s="503">
        <f t="shared" si="366"/>
      </c>
      <c r="CF74" s="503">
        <f t="shared" si="367"/>
      </c>
      <c r="CG74" s="504">
        <f t="shared" si="367"/>
      </c>
      <c r="CH74" s="503">
        <f t="shared" si="367"/>
      </c>
      <c r="CI74" s="503">
        <f t="shared" si="367"/>
      </c>
      <c r="CJ74" s="503">
        <f t="shared" si="367"/>
      </c>
      <c r="CK74" s="504">
        <f t="shared" si="367"/>
      </c>
      <c r="CL74" s="503">
        <f t="shared" si="367"/>
      </c>
      <c r="CM74" s="503">
        <f t="shared" si="367"/>
      </c>
      <c r="CN74" s="503">
        <f t="shared" si="367"/>
      </c>
      <c r="CO74" s="504">
        <f t="shared" si="367"/>
      </c>
      <c r="CP74" s="503">
        <f t="shared" si="368"/>
      </c>
      <c r="CQ74" s="503">
        <f t="shared" si="368"/>
      </c>
      <c r="CR74" s="503">
        <f t="shared" si="368"/>
      </c>
      <c r="CS74" s="504">
        <f t="shared" si="368"/>
      </c>
      <c r="CT74" s="352">
        <f t="shared" si="368"/>
      </c>
      <c r="CU74" s="352">
        <f t="shared" si="368"/>
      </c>
      <c r="CV74" s="352">
        <f t="shared" si="368"/>
      </c>
      <c r="CW74" s="353">
        <f t="shared" si="368"/>
      </c>
      <c r="CX74" s="352">
        <f t="shared" si="368"/>
      </c>
      <c r="CY74" s="352">
        <f t="shared" si="368"/>
      </c>
      <c r="CZ74" s="352">
        <f t="shared" si="369"/>
      </c>
      <c r="DA74" s="353">
        <f t="shared" si="369"/>
      </c>
      <c r="DB74" s="494">
        <f t="shared" si="369"/>
      </c>
      <c r="DC74" s="352">
        <f t="shared" si="369"/>
      </c>
      <c r="DD74" s="494">
        <f t="shared" si="369"/>
      </c>
      <c r="DE74" s="266">
        <f t="shared" si="369"/>
      </c>
      <c r="DF74" s="494">
        <f t="shared" si="369"/>
      </c>
      <c r="DG74" s="494">
        <f t="shared" si="369"/>
      </c>
      <c r="DH74" s="494">
        <f t="shared" si="369"/>
      </c>
      <c r="DI74" s="266">
        <f t="shared" si="369"/>
      </c>
      <c r="DJ74" s="494">
        <f t="shared" si="370"/>
      </c>
      <c r="DK74" s="494">
        <f t="shared" si="370"/>
      </c>
      <c r="DL74" s="494">
        <f t="shared" si="370"/>
      </c>
      <c r="DM74" s="266">
        <f t="shared" si="370"/>
      </c>
      <c r="DN74" s="494">
        <f t="shared" si="370"/>
      </c>
      <c r="DO74" s="494">
        <f t="shared" si="370"/>
      </c>
      <c r="DP74" s="494">
        <f t="shared" si="370"/>
      </c>
      <c r="DQ74" s="266">
        <f t="shared" si="370"/>
      </c>
      <c r="DR74" s="494">
        <f t="shared" si="370"/>
      </c>
      <c r="DS74" s="494">
        <f t="shared" si="370"/>
      </c>
      <c r="DT74" s="494">
        <f t="shared" si="371"/>
      </c>
      <c r="DU74" s="266">
        <f t="shared" si="371"/>
      </c>
      <c r="DV74" s="494">
        <f t="shared" si="372"/>
      </c>
      <c r="DW74" s="494">
        <f t="shared" si="373"/>
      </c>
      <c r="DX74" s="494">
        <f t="shared" si="374"/>
      </c>
      <c r="DY74" s="266">
        <f t="shared" si="375"/>
      </c>
      <c r="DZ74" s="494">
        <f t="shared" si="376"/>
      </c>
      <c r="EA74" s="494">
        <f t="shared" si="377"/>
      </c>
      <c r="EB74" s="494">
        <f t="shared" si="378"/>
      </c>
      <c r="EC74" s="266">
        <f t="shared" si="379"/>
      </c>
      <c r="ED74" s="494">
        <f t="shared" si="380"/>
      </c>
      <c r="EE74" s="494">
        <f t="shared" si="381"/>
      </c>
      <c r="EF74" s="494">
        <f t="shared" si="382"/>
      </c>
      <c r="EG74" s="266">
        <f t="shared" si="383"/>
      </c>
      <c r="EH74" s="494">
        <f t="shared" si="384"/>
      </c>
      <c r="EI74" s="494">
        <f t="shared" si="385"/>
      </c>
      <c r="EJ74" s="494">
        <f t="shared" si="386"/>
      </c>
      <c r="EK74" s="266">
        <f t="shared" si="387"/>
      </c>
      <c r="EY74" s="21"/>
      <c r="EZ74" s="21"/>
      <c r="FA74" s="21"/>
      <c r="FB74" s="21"/>
      <c r="FC74" s="21"/>
      <c r="FD74" s="21"/>
      <c r="FE74" s="21"/>
      <c r="FF74" s="502"/>
      <c r="FG74" s="502"/>
      <c r="FH74" s="502"/>
      <c r="FI74" s="502"/>
      <c r="FJ74" s="502">
        <f t="shared" si="388"/>
      </c>
      <c r="FK74" s="502">
        <f t="shared" si="388"/>
      </c>
      <c r="FL74" s="502">
        <f t="shared" si="388"/>
      </c>
      <c r="FM74" s="502">
        <f t="shared" si="388"/>
      </c>
      <c r="FN74" s="502">
        <f t="shared" si="388"/>
      </c>
      <c r="FO74" s="502">
        <f t="shared" si="388"/>
      </c>
      <c r="FP74" s="502">
        <f t="shared" si="388"/>
      </c>
      <c r="FQ74" s="502">
        <f t="shared" si="388"/>
      </c>
      <c r="FR74" s="502">
        <f t="shared" si="389"/>
      </c>
      <c r="FS74" s="502">
        <f t="shared" si="390"/>
      </c>
      <c r="FT74" s="502">
        <f t="shared" si="391"/>
      </c>
      <c r="FU74" s="502">
        <f t="shared" si="392"/>
      </c>
      <c r="FV74" s="502"/>
      <c r="FW74" s="446"/>
      <c r="FX74" s="446"/>
      <c r="FY74" s="446"/>
      <c r="FZ74" s="446"/>
      <c r="GA74" s="446"/>
      <c r="GB74" s="446"/>
      <c r="GC74" s="446"/>
      <c r="GD74" s="446"/>
      <c r="GE74" s="446"/>
      <c r="GF74" s="446"/>
      <c r="GG74" s="446"/>
      <c r="GH74" s="446"/>
      <c r="GI74" s="340"/>
      <c r="GJ74" s="340"/>
      <c r="GK74" s="340"/>
      <c r="GL74" s="340"/>
      <c r="GM74" s="340"/>
      <c r="GN74" s="340"/>
      <c r="GO74" s="340"/>
      <c r="GP74" s="502" t="e">
        <f t="shared" ref="GP74:GS74" si="396">(GP65/GO65)-1</f>
      </c>
      <c r="GQ74" s="502" t="e">
        <f t="shared" si="396"/>
      </c>
      <c r="GR74" s="502" t="e">
        <f t="shared" si="396"/>
      </c>
      <c r="GS74" s="502" t="e">
        <f t="shared" si="396"/>
      </c>
      <c r="GT74" s="502"/>
      <c r="GU74" s="502"/>
      <c r="GV74" s="502"/>
      <c r="GW74" s="502"/>
      <c r="GX74" s="502"/>
      <c r="GY74" s="502"/>
      <c r="GZ74" s="502"/>
      <c r="HA74" s="502"/>
      <c r="HB74" s="502"/>
      <c r="HC74" s="502"/>
      <c r="HD74" s="502"/>
      <c r="HE74" s="502"/>
    </row>
    <row r="75" spans="1:213" s="11" customFormat="1" ht="10.199999999999999">
      <c r="A75" s="2087" t="s">
        <v>667</v>
      </c>
      <c r="B75" s="2117"/>
      <c r="C75" s="2117"/>
      <c r="D75" s="2117"/>
      <c r="E75" s="2118"/>
      <c r="F75" s="2117"/>
      <c r="G75" s="2117"/>
      <c r="H75" s="2117"/>
      <c r="I75" s="2118"/>
      <c r="J75" s="2117"/>
      <c r="K75" s="2117"/>
      <c r="L75" s="2117"/>
      <c r="M75" s="2118"/>
      <c r="N75" s="2117"/>
      <c r="O75" s="2117"/>
      <c r="P75" s="2117"/>
      <c r="Q75" s="2118"/>
      <c r="R75" s="2117"/>
      <c r="S75" s="2117"/>
      <c r="T75" s="2117"/>
      <c r="U75" s="2118"/>
      <c r="V75" s="2117"/>
      <c r="W75" s="2117"/>
      <c r="X75" s="2117"/>
      <c r="Y75" s="2118"/>
      <c r="Z75" s="2117"/>
      <c r="AA75" s="2117"/>
      <c r="AB75" s="2117"/>
      <c r="AC75" s="2118"/>
      <c r="AD75" s="2117"/>
      <c r="AE75" s="2117"/>
      <c r="AF75" s="2117"/>
      <c r="AG75" s="2118"/>
      <c r="AH75" s="2117"/>
      <c r="AI75" s="2117"/>
      <c r="AJ75" s="2117"/>
      <c r="AK75" s="2118"/>
      <c r="AL75" s="2117"/>
      <c r="AM75" s="2117"/>
      <c r="AN75" s="2117"/>
      <c r="AO75" s="2118"/>
      <c r="AP75" s="2117"/>
      <c r="AQ75" s="2117"/>
      <c r="AR75" s="2117"/>
      <c r="AS75" s="2118"/>
      <c r="AT75" s="2117"/>
      <c r="AU75" s="2117"/>
      <c r="AV75" s="2119"/>
      <c r="AW75" s="2120"/>
      <c r="AX75" s="2119"/>
      <c r="AY75" s="2119"/>
      <c r="AZ75" s="2119"/>
      <c r="BA75" s="2120"/>
      <c r="BB75" s="2121">
        <f t="shared" si="364"/>
      </c>
      <c r="BC75" s="2121">
        <f t="shared" si="364"/>
      </c>
      <c r="BD75" s="2121">
        <f t="shared" si="364"/>
      </c>
      <c r="BE75" s="2122">
        <f t="shared" si="364"/>
      </c>
      <c r="BF75" s="2121">
        <f t="shared" si="364"/>
      </c>
      <c r="BG75" s="2121">
        <f t="shared" si="364"/>
      </c>
      <c r="BH75" s="2121">
        <f t="shared" si="364"/>
      </c>
      <c r="BI75" s="2122">
        <f t="shared" si="364"/>
      </c>
      <c r="BJ75" s="2121">
        <f t="shared" si="364"/>
      </c>
      <c r="BK75" s="2121">
        <f t="shared" si="364"/>
      </c>
      <c r="BL75" s="2121">
        <f t="shared" si="365"/>
      </c>
      <c r="BM75" s="2122">
        <f t="shared" si="365"/>
      </c>
      <c r="BN75" s="2121">
        <f t="shared" si="365"/>
      </c>
      <c r="BO75" s="2121">
        <f t="shared" si="365"/>
      </c>
      <c r="BP75" s="2121">
        <f t="shared" si="365"/>
      </c>
      <c r="BQ75" s="2122">
        <f t="shared" si="365"/>
      </c>
      <c r="BR75" s="2121">
        <f t="shared" si="365"/>
      </c>
      <c r="BS75" s="2121">
        <f t="shared" si="365"/>
      </c>
      <c r="BT75" s="2121">
        <f t="shared" si="365"/>
      </c>
      <c r="BU75" s="2122">
        <f t="shared" si="365"/>
      </c>
      <c r="BV75" s="2121">
        <f t="shared" si="366"/>
      </c>
      <c r="BW75" s="2121">
        <f t="shared" si="366"/>
      </c>
      <c r="BX75" s="2121">
        <f t="shared" si="366"/>
      </c>
      <c r="BY75" s="2122">
        <f t="shared" si="366"/>
      </c>
      <c r="BZ75" s="2121">
        <f t="shared" si="366"/>
      </c>
      <c r="CA75" s="2121">
        <f t="shared" si="366"/>
      </c>
      <c r="CB75" s="2121">
        <f t="shared" si="366"/>
      </c>
      <c r="CC75" s="2122">
        <f t="shared" si="366"/>
      </c>
      <c r="CD75" s="2121">
        <f t="shared" si="366"/>
      </c>
      <c r="CE75" s="2121">
        <f t="shared" si="366"/>
      </c>
      <c r="CF75" s="2121">
        <f t="shared" si="367"/>
      </c>
      <c r="CG75" s="2122">
        <f t="shared" si="367"/>
      </c>
      <c r="CH75" s="2121">
        <f t="shared" si="367"/>
      </c>
      <c r="CI75" s="2121">
        <f t="shared" si="367"/>
      </c>
      <c r="CJ75" s="2121">
        <f t="shared" si="367"/>
      </c>
      <c r="CK75" s="2122">
        <f t="shared" si="367"/>
      </c>
      <c r="CL75" s="2121">
        <f t="shared" si="367"/>
      </c>
      <c r="CM75" s="2121">
        <f t="shared" si="367"/>
      </c>
      <c r="CN75" s="2121">
        <f t="shared" si="367"/>
      </c>
      <c r="CO75" s="2122">
        <f t="shared" si="367"/>
      </c>
      <c r="CP75" s="2121">
        <f t="shared" si="368"/>
      </c>
      <c r="CQ75" s="2121">
        <f t="shared" si="368"/>
      </c>
      <c r="CR75" s="2121">
        <f t="shared" si="368"/>
      </c>
      <c r="CS75" s="2122">
        <f t="shared" si="368"/>
      </c>
      <c r="CT75" s="2123">
        <f t="shared" si="368"/>
      </c>
      <c r="CU75" s="2123">
        <f t="shared" si="368"/>
      </c>
      <c r="CV75" s="2123">
        <f t="shared" si="368"/>
      </c>
      <c r="CW75" s="2124">
        <f t="shared" si="368"/>
      </c>
      <c r="CX75" s="2123">
        <f t="shared" si="368"/>
      </c>
      <c r="CY75" s="2123">
        <f t="shared" si="368"/>
      </c>
      <c r="CZ75" s="2123">
        <f t="shared" si="369"/>
      </c>
      <c r="DA75" s="2124">
        <f t="shared" si="369"/>
      </c>
      <c r="DB75" s="2125">
        <f t="shared" si="369"/>
      </c>
      <c r="DC75" s="2123">
        <f t="shared" si="369"/>
      </c>
      <c r="DD75" s="2125">
        <f t="shared" si="369"/>
      </c>
      <c r="DE75" s="2126">
        <f t="shared" si="369"/>
      </c>
      <c r="DF75" s="2125">
        <f t="shared" si="369"/>
      </c>
      <c r="DG75" s="2125">
        <f t="shared" si="369"/>
      </c>
      <c r="DH75" s="2125">
        <f t="shared" si="369"/>
      </c>
      <c r="DI75" s="2126">
        <f t="shared" si="369"/>
      </c>
      <c r="DJ75" s="2125">
        <f t="shared" si="370"/>
      </c>
      <c r="DK75" s="2125">
        <f t="shared" si="370"/>
      </c>
      <c r="DL75" s="2125">
        <f t="shared" si="370"/>
      </c>
      <c r="DM75" s="2126">
        <f t="shared" si="370"/>
      </c>
      <c r="DN75" s="2125">
        <f t="shared" si="370"/>
      </c>
      <c r="DO75" s="2125">
        <f t="shared" si="370"/>
      </c>
      <c r="DP75" s="2125">
        <f t="shared" si="370"/>
      </c>
      <c r="DQ75" s="2126">
        <f t="shared" si="370"/>
      </c>
      <c r="DR75" s="2125">
        <f t="shared" si="370"/>
      </c>
      <c r="DS75" s="2125">
        <f t="shared" si="370"/>
      </c>
      <c r="DT75" s="2125">
        <f t="shared" si="371"/>
      </c>
      <c r="DU75" s="2126">
        <f t="shared" si="371"/>
      </c>
      <c r="DV75" s="2125">
        <f t="shared" si="372"/>
      </c>
      <c r="DW75" s="2125">
        <f t="shared" si="373"/>
      </c>
      <c r="DX75" s="2125">
        <f t="shared" si="374"/>
      </c>
      <c r="DY75" s="2126">
        <f t="shared" si="375"/>
      </c>
      <c r="DZ75" s="2125">
        <f t="shared" si="376"/>
      </c>
      <c r="EA75" s="2125">
        <f t="shared" si="377"/>
      </c>
      <c r="EB75" s="2125">
        <f t="shared" si="378"/>
      </c>
      <c r="EC75" s="2126">
        <f t="shared" si="379"/>
      </c>
      <c r="ED75" s="2125">
        <f t="shared" si="380"/>
      </c>
      <c r="EE75" s="2125">
        <f t="shared" si="381"/>
      </c>
      <c r="EF75" s="2125">
        <f t="shared" si="382"/>
      </c>
      <c r="EG75" s="2126">
        <f t="shared" si="383"/>
      </c>
      <c r="EH75" s="2125">
        <f t="shared" si="384"/>
      </c>
      <c r="EI75" s="2125">
        <f t="shared" si="385"/>
      </c>
      <c r="EJ75" s="2125">
        <f t="shared" si="386"/>
      </c>
      <c r="EK75" s="2126">
        <f t="shared" si="387"/>
      </c>
      <c r="EL75" s="2117"/>
      <c r="EM75" s="2117"/>
      <c r="EN75" s="2117"/>
      <c r="EO75" s="2117"/>
      <c r="EP75" s="2117"/>
      <c r="EQ75" s="2117"/>
      <c r="ER75" s="2117"/>
      <c r="ES75" s="2117"/>
      <c r="ET75" s="2117"/>
      <c r="EU75" s="2117"/>
      <c r="EV75" s="2117"/>
      <c r="EW75" s="2117"/>
      <c r="EX75" s="2117"/>
      <c r="EY75" s="2127"/>
      <c r="EZ75" s="2127"/>
      <c r="FA75" s="2127"/>
      <c r="FB75" s="2127"/>
      <c r="FC75" s="2127"/>
      <c r="FD75" s="2127"/>
      <c r="FE75" s="2127"/>
      <c r="FF75" s="2128"/>
      <c r="FG75" s="2128"/>
      <c r="FH75" s="2128"/>
      <c r="FI75" s="2128"/>
      <c r="FJ75" s="2128">
        <f t="shared" si="388"/>
      </c>
      <c r="FK75" s="2128">
        <f t="shared" si="388"/>
      </c>
      <c r="FL75" s="2128">
        <f t="shared" si="388"/>
      </c>
      <c r="FM75" s="2128">
        <f t="shared" si="388"/>
      </c>
      <c r="FN75" s="2128">
        <f t="shared" si="388"/>
      </c>
      <c r="FO75" s="2128">
        <f t="shared" si="388"/>
      </c>
      <c r="FP75" s="2128">
        <f t="shared" si="388"/>
      </c>
      <c r="FQ75" s="2128">
        <f t="shared" si="388"/>
      </c>
      <c r="FR75" s="2128">
        <f t="shared" si="389"/>
      </c>
      <c r="FS75" s="2128">
        <f t="shared" si="390"/>
      </c>
      <c r="FT75" s="2128">
        <f t="shared" si="391"/>
      </c>
      <c r="FU75" s="2128">
        <f t="shared" si="392"/>
      </c>
      <c r="FV75" s="2128"/>
      <c r="FW75" s="2129"/>
      <c r="FX75" s="2129"/>
      <c r="FY75" s="2129"/>
      <c r="FZ75" s="2129"/>
      <c r="GA75" s="2129"/>
      <c r="GB75" s="2129"/>
      <c r="GC75" s="2129"/>
      <c r="GD75" s="2129"/>
      <c r="GE75" s="2129"/>
      <c r="GF75" s="2129"/>
      <c r="GG75" s="2129"/>
      <c r="GH75" s="2129"/>
      <c r="GI75" s="2129"/>
      <c r="GJ75" s="2129"/>
      <c r="GK75" s="2129"/>
      <c r="GL75" s="2129"/>
      <c r="GM75" s="2129"/>
      <c r="GN75" s="2129"/>
      <c r="GO75" s="2129"/>
      <c r="GP75" s="2128" t="e">
        <f>(GP66/GO66)-1</f>
      </c>
      <c r="GQ75" s="2128" t="e">
        <f>(GQ66/GP66)-1</f>
      </c>
      <c r="GR75" s="2128" t="e">
        <f>(GR66/GQ66)-1</f>
      </c>
      <c r="GS75" s="2128" t="e">
        <f>(GS66/GR66)-1</f>
      </c>
      <c r="GT75" s="2128"/>
      <c r="GU75" s="2128"/>
      <c r="GV75" s="2128"/>
      <c r="GW75" s="2128"/>
      <c r="GX75" s="2128"/>
      <c r="GY75" s="2128"/>
      <c r="GZ75" s="2128"/>
      <c r="HA75" s="2128"/>
      <c r="HB75" s="2128"/>
      <c r="HC75" s="2128"/>
      <c r="HD75" s="2128"/>
      <c r="HE75" s="2128"/>
    </row>
    <row r="76" spans="1:213" s="11" customFormat="1" ht="10.199999999999999">
      <c r="A76" s="345" t="s">
        <v>81</v>
      </c>
      <c r="E76" s="170"/>
      <c r="I76" s="170"/>
      <c r="M76" s="170"/>
      <c r="Q76" s="170"/>
      <c r="U76" s="170"/>
      <c r="Y76" s="170"/>
      <c r="AC76" s="170"/>
      <c r="AG76" s="170"/>
      <c r="AK76" s="170"/>
      <c r="AO76" s="170"/>
      <c r="AS76" s="170"/>
      <c r="AV76" s="281"/>
      <c r="AW76" s="330"/>
      <c r="AX76" s="281"/>
      <c r="AY76" s="281"/>
      <c r="AZ76" s="281"/>
      <c r="BA76" s="330"/>
      <c r="BB76" s="503">
        <f t="shared" ref="BB76:BK77" si="397">(BB67/AX67)-1</f>
      </c>
      <c r="BC76" s="503">
        <f t="shared" si="397"/>
      </c>
      <c r="BD76" s="503">
        <f t="shared" si="397"/>
      </c>
      <c r="BE76" s="504">
        <f t="shared" si="397"/>
      </c>
      <c r="BF76" s="503">
        <f t="shared" si="397"/>
      </c>
      <c r="BG76" s="503">
        <f t="shared" si="397"/>
      </c>
      <c r="BH76" s="503">
        <f t="shared" si="397"/>
      </c>
      <c r="BI76" s="504">
        <f t="shared" si="397"/>
      </c>
      <c r="BJ76" s="503">
        <f t="shared" si="397"/>
      </c>
      <c r="BK76" s="503">
        <f t="shared" si="397"/>
      </c>
      <c r="BL76" s="503">
        <f t="shared" ref="BL76:BU77" si="398">(BL67/BH67)-1</f>
      </c>
      <c r="BM76" s="504">
        <f t="shared" si="398"/>
      </c>
      <c r="BN76" s="503">
        <f t="shared" si="398"/>
      </c>
      <c r="BO76" s="503">
        <f t="shared" si="398"/>
      </c>
      <c r="BP76" s="503">
        <f t="shared" si="398"/>
      </c>
      <c r="BQ76" s="504">
        <f t="shared" si="398"/>
      </c>
      <c r="BR76" s="503">
        <f t="shared" si="398"/>
      </c>
      <c r="BS76" s="503">
        <f t="shared" si="398"/>
      </c>
      <c r="BT76" s="503">
        <f t="shared" si="398"/>
      </c>
      <c r="BU76" s="504">
        <f t="shared" si="398"/>
      </c>
      <c r="BV76" s="503">
        <f t="shared" ref="BV76:CE77" si="399">(BV67/BR67)-1</f>
      </c>
      <c r="BW76" s="503">
        <f t="shared" si="399"/>
      </c>
      <c r="BX76" s="503">
        <f t="shared" si="399"/>
      </c>
      <c r="BY76" s="504">
        <f t="shared" si="399"/>
      </c>
      <c r="BZ76" s="503">
        <f t="shared" si="399"/>
      </c>
      <c r="CA76" s="503">
        <f t="shared" si="399"/>
      </c>
      <c r="CB76" s="503">
        <f t="shared" si="399"/>
      </c>
      <c r="CC76" s="504">
        <f t="shared" si="399"/>
      </c>
      <c r="CD76" s="503">
        <f t="shared" si="399"/>
      </c>
      <c r="CE76" s="503">
        <f t="shared" si="399"/>
      </c>
      <c r="CF76" s="503">
        <f t="shared" ref="CF76:CO77" si="400">(CF67/CB67)-1</f>
      </c>
      <c r="CG76" s="504">
        <f t="shared" si="400"/>
      </c>
      <c r="CH76" s="503">
        <f t="shared" si="400"/>
      </c>
      <c r="CI76" s="503">
        <f t="shared" si="400"/>
      </c>
      <c r="CJ76" s="503">
        <f t="shared" si="400"/>
      </c>
      <c r="CK76" s="504">
        <f t="shared" si="400"/>
      </c>
      <c r="CL76" s="503">
        <f t="shared" si="400"/>
      </c>
      <c r="CM76" s="503">
        <f t="shared" si="400"/>
      </c>
      <c r="CN76" s="503">
        <f t="shared" si="400"/>
      </c>
      <c r="CO76" s="504">
        <f t="shared" si="400"/>
      </c>
      <c r="CP76" s="503">
        <f t="shared" ref="CP76:CY77" si="401">(CP67/CL67)-1</f>
      </c>
      <c r="CQ76" s="503">
        <f t="shared" si="401"/>
      </c>
      <c r="CR76" s="503">
        <f t="shared" si="401"/>
      </c>
      <c r="CS76" s="504">
        <f t="shared" si="401"/>
      </c>
      <c r="CT76" s="352">
        <f t="shared" si="401"/>
      </c>
      <c r="CU76" s="352">
        <f t="shared" si="401"/>
      </c>
      <c r="CV76" s="352">
        <f t="shared" si="401"/>
      </c>
      <c r="CW76" s="353">
        <f t="shared" si="401"/>
      </c>
      <c r="CX76" s="352">
        <f t="shared" si="401"/>
      </c>
      <c r="CY76" s="352">
        <f t="shared" si="401"/>
      </c>
      <c r="CZ76" s="352">
        <f t="shared" ref="CZ76:DI77" si="402">(CZ67/CV67)-1</f>
      </c>
      <c r="DA76" s="353">
        <f t="shared" si="402"/>
      </c>
      <c r="DB76" s="494">
        <f t="shared" si="402"/>
      </c>
      <c r="DC76" s="352">
        <f t="shared" si="402"/>
      </c>
      <c r="DD76" s="494">
        <f t="shared" si="402"/>
      </c>
      <c r="DE76" s="266">
        <f t="shared" si="402"/>
      </c>
      <c r="DF76" s="494">
        <f t="shared" si="402"/>
      </c>
      <c r="DG76" s="494">
        <f t="shared" si="402"/>
      </c>
      <c r="DH76" s="494">
        <f t="shared" si="402"/>
      </c>
      <c r="DI76" s="266">
        <f t="shared" si="402"/>
      </c>
      <c r="DJ76" s="494">
        <f t="shared" ref="DJ76:DS77" si="403">(DJ67/DF67)-1</f>
      </c>
      <c r="DK76" s="494">
        <f t="shared" si="403"/>
      </c>
      <c r="DL76" s="494">
        <f t="shared" si="403"/>
      </c>
      <c r="DM76" s="266">
        <f t="shared" si="403"/>
      </c>
      <c r="DN76" s="494">
        <f t="shared" si="403"/>
      </c>
      <c r="DO76" s="494">
        <f t="shared" si="403"/>
      </c>
      <c r="DP76" s="494">
        <f t="shared" si="403"/>
      </c>
      <c r="DQ76" s="266">
        <f t="shared" si="403"/>
      </c>
      <c r="DR76" s="494">
        <f t="shared" si="403"/>
      </c>
      <c r="DS76" s="494">
        <f t="shared" si="403"/>
      </c>
      <c r="DT76" s="494">
        <f t="shared" ref="DT76:DU77" si="404">(DT67/DP67)-1</f>
      </c>
      <c r="DU76" s="266">
        <f t="shared" si="404"/>
      </c>
      <c r="DV76" s="494">
        <f t="shared" si="372"/>
      </c>
      <c r="DW76" s="494">
        <f t="shared" si="373"/>
      </c>
      <c r="DX76" s="494">
        <f t="shared" si="374"/>
      </c>
      <c r="DY76" s="266">
        <f t="shared" si="375"/>
      </c>
      <c r="DZ76" s="494">
        <f t="shared" si="376"/>
      </c>
      <c r="EA76" s="494">
        <f t="shared" si="377"/>
      </c>
      <c r="EB76" s="494">
        <f t="shared" si="378"/>
      </c>
      <c r="EC76" s="266">
        <f t="shared" si="379"/>
      </c>
      <c r="ED76" s="494">
        <f t="shared" si="380"/>
      </c>
      <c r="EE76" s="494">
        <f t="shared" si="381"/>
      </c>
      <c r="EF76" s="494">
        <f t="shared" si="382"/>
      </c>
      <c r="EG76" s="266">
        <f t="shared" si="383"/>
      </c>
      <c r="EH76" s="494">
        <f t="shared" si="384"/>
      </c>
      <c r="EI76" s="494">
        <f t="shared" si="385"/>
      </c>
      <c r="EJ76" s="494">
        <f t="shared" si="386"/>
      </c>
      <c r="EK76" s="266">
        <f t="shared" si="387"/>
      </c>
      <c r="EY76" s="21"/>
      <c r="EZ76" s="21"/>
      <c r="FA76" s="21"/>
      <c r="FB76" s="21"/>
      <c r="FC76" s="21"/>
      <c r="FD76" s="21"/>
      <c r="FE76" s="21"/>
      <c r="FF76" s="502"/>
      <c r="FG76" s="502"/>
      <c r="FH76" s="502"/>
      <c r="FI76" s="502"/>
      <c r="FJ76" s="502">
        <f t="shared" si="388"/>
      </c>
      <c r="FK76" s="502">
        <f t="shared" si="388"/>
      </c>
      <c r="FL76" s="502">
        <f t="shared" si="388"/>
      </c>
      <c r="FM76" s="502">
        <f t="shared" si="388"/>
      </c>
      <c r="FN76" s="502">
        <f t="shared" si="388"/>
      </c>
      <c r="FO76" s="502">
        <f t="shared" si="388"/>
      </c>
      <c r="FP76" s="502">
        <f t="shared" si="388"/>
      </c>
      <c r="FQ76" s="502">
        <f t="shared" si="388"/>
      </c>
      <c r="FR76" s="502">
        <f t="shared" si="389"/>
      </c>
      <c r="FS76" s="502">
        <f t="shared" si="390"/>
      </c>
      <c r="FT76" s="502">
        <f t="shared" si="391"/>
      </c>
      <c r="FU76" s="502">
        <f t="shared" si="392"/>
      </c>
      <c r="FV76" s="502"/>
      <c r="FW76" s="446"/>
      <c r="FX76" s="446"/>
      <c r="FY76" s="446"/>
      <c r="FZ76" s="446"/>
      <c r="GA76" s="446"/>
      <c r="GB76" s="446"/>
      <c r="GC76" s="446"/>
      <c r="GD76" s="446"/>
      <c r="GE76" s="446"/>
      <c r="GF76" s="446"/>
      <c r="GG76" s="446"/>
      <c r="GH76" s="446"/>
      <c r="GI76" s="340"/>
      <c r="GJ76" s="340"/>
      <c r="GK76" s="340"/>
      <c r="GL76" s="340"/>
      <c r="GM76" s="340"/>
      <c r="GN76" s="340"/>
      <c r="GO76" s="340"/>
      <c r="GP76" s="502" t="e">
        <f t="shared" ref="GP76:GS76" si="405">(GP67/GO67)-1</f>
      </c>
      <c r="GQ76" s="502" t="e">
        <f t="shared" si="405"/>
      </c>
      <c r="GR76" s="502" t="e">
        <f t="shared" si="405"/>
      </c>
      <c r="GS76" s="502" t="e">
        <f t="shared" si="405"/>
      </c>
      <c r="GT76" s="502"/>
      <c r="GU76" s="502"/>
      <c r="GV76" s="502"/>
      <c r="GW76" s="502"/>
      <c r="GX76" s="502"/>
      <c r="GY76" s="502"/>
      <c r="GZ76" s="502"/>
      <c r="HA76" s="502"/>
      <c r="HB76" s="502"/>
      <c r="HC76" s="502"/>
      <c r="HD76" s="502"/>
      <c r="HE76" s="502"/>
    </row>
    <row r="77" spans="1:213" s="11" customFormat="1" ht="10.199999999999999">
      <c r="A77" s="2096" t="s">
        <v>1131</v>
      </c>
      <c r="B77" s="1475"/>
      <c r="C77" s="1475"/>
      <c r="D77" s="1475"/>
      <c r="E77" s="2105"/>
      <c r="F77" s="1475"/>
      <c r="G77" s="1475"/>
      <c r="H77" s="1475"/>
      <c r="I77" s="2105"/>
      <c r="J77" s="1475"/>
      <c r="K77" s="1475"/>
      <c r="L77" s="1475"/>
      <c r="M77" s="2105"/>
      <c r="N77" s="1475"/>
      <c r="O77" s="1475"/>
      <c r="P77" s="1475"/>
      <c r="Q77" s="2105"/>
      <c r="R77" s="1475"/>
      <c r="S77" s="1475"/>
      <c r="T77" s="1475"/>
      <c r="U77" s="2105"/>
      <c r="V77" s="1475"/>
      <c r="W77" s="1475"/>
      <c r="X77" s="1475"/>
      <c r="Y77" s="2105"/>
      <c r="Z77" s="1475"/>
      <c r="AA77" s="1475"/>
      <c r="AB77" s="1475"/>
      <c r="AC77" s="2105"/>
      <c r="AD77" s="1475"/>
      <c r="AE77" s="1475"/>
      <c r="AF77" s="1475"/>
      <c r="AG77" s="2105"/>
      <c r="AH77" s="1475"/>
      <c r="AI77" s="1475"/>
      <c r="AJ77" s="1475"/>
      <c r="AK77" s="2105"/>
      <c r="AL77" s="1475"/>
      <c r="AM77" s="1475"/>
      <c r="AN77" s="1475"/>
      <c r="AO77" s="2105"/>
      <c r="AP77" s="1475"/>
      <c r="AQ77" s="1475"/>
      <c r="AR77" s="1475"/>
      <c r="AS77" s="2105"/>
      <c r="AT77" s="1475"/>
      <c r="AU77" s="1475"/>
      <c r="AV77" s="2106"/>
      <c r="AW77" s="2107"/>
      <c r="AX77" s="2106"/>
      <c r="AY77" s="2106"/>
      <c r="AZ77" s="2106"/>
      <c r="BA77" s="2107"/>
      <c r="BB77" s="2108">
        <f t="shared" si="397"/>
      </c>
      <c r="BC77" s="2108">
        <f t="shared" si="397"/>
      </c>
      <c r="BD77" s="2108">
        <f t="shared" si="397"/>
      </c>
      <c r="BE77" s="2109">
        <f t="shared" si="397"/>
      </c>
      <c r="BF77" s="2108">
        <f t="shared" si="397"/>
      </c>
      <c r="BG77" s="2108">
        <f t="shared" si="397"/>
      </c>
      <c r="BH77" s="2108">
        <f t="shared" si="397"/>
      </c>
      <c r="BI77" s="2109">
        <f t="shared" si="397"/>
      </c>
      <c r="BJ77" s="2108">
        <f t="shared" si="397"/>
      </c>
      <c r="BK77" s="2108">
        <f t="shared" si="397"/>
      </c>
      <c r="BL77" s="2108">
        <f t="shared" si="398"/>
      </c>
      <c r="BM77" s="2109">
        <f t="shared" si="398"/>
      </c>
      <c r="BN77" s="2108">
        <f t="shared" si="398"/>
      </c>
      <c r="BO77" s="2108">
        <f t="shared" si="398"/>
      </c>
      <c r="BP77" s="2108">
        <f t="shared" si="398"/>
      </c>
      <c r="BQ77" s="2109">
        <f t="shared" si="398"/>
      </c>
      <c r="BR77" s="2108">
        <f t="shared" si="398"/>
      </c>
      <c r="BS77" s="2108">
        <f t="shared" si="398"/>
      </c>
      <c r="BT77" s="2108">
        <f t="shared" si="398"/>
      </c>
      <c r="BU77" s="2109">
        <f t="shared" si="398"/>
      </c>
      <c r="BV77" s="2108">
        <f t="shared" si="399"/>
      </c>
      <c r="BW77" s="2108">
        <f t="shared" si="399"/>
      </c>
      <c r="BX77" s="2108">
        <f t="shared" si="399"/>
      </c>
      <c r="BY77" s="2109">
        <f t="shared" si="399"/>
      </c>
      <c r="BZ77" s="2108">
        <f t="shared" si="399"/>
      </c>
      <c r="CA77" s="2108">
        <f t="shared" si="399"/>
      </c>
      <c r="CB77" s="2108">
        <f t="shared" si="399"/>
      </c>
      <c r="CC77" s="2109">
        <f t="shared" si="399"/>
      </c>
      <c r="CD77" s="2108">
        <f t="shared" si="399"/>
      </c>
      <c r="CE77" s="2108">
        <f t="shared" si="399"/>
      </c>
      <c r="CF77" s="2108">
        <f t="shared" si="400"/>
      </c>
      <c r="CG77" s="2109">
        <f t="shared" si="400"/>
      </c>
      <c r="CH77" s="2108">
        <f t="shared" si="400"/>
      </c>
      <c r="CI77" s="2108">
        <f t="shared" si="400"/>
      </c>
      <c r="CJ77" s="2108">
        <f t="shared" si="400"/>
      </c>
      <c r="CK77" s="2109">
        <f t="shared" si="400"/>
      </c>
      <c r="CL77" s="2108">
        <f t="shared" si="400"/>
      </c>
      <c r="CM77" s="2108">
        <f t="shared" si="400"/>
      </c>
      <c r="CN77" s="2108">
        <f t="shared" si="400"/>
      </c>
      <c r="CO77" s="2109">
        <f t="shared" si="400"/>
      </c>
      <c r="CP77" s="2108">
        <f t="shared" si="401"/>
      </c>
      <c r="CQ77" s="2108">
        <f t="shared" si="401"/>
      </c>
      <c r="CR77" s="2108">
        <f t="shared" si="401"/>
      </c>
      <c r="CS77" s="2109">
        <f t="shared" si="401"/>
      </c>
      <c r="CT77" s="2110">
        <f t="shared" si="401"/>
      </c>
      <c r="CU77" s="2110">
        <f t="shared" si="401"/>
      </c>
      <c r="CV77" s="2110">
        <f t="shared" si="401"/>
      </c>
      <c r="CW77" s="2111">
        <f t="shared" si="401"/>
      </c>
      <c r="CX77" s="2110">
        <f t="shared" si="401"/>
      </c>
      <c r="CY77" s="2110">
        <f t="shared" si="401"/>
      </c>
      <c r="CZ77" s="2110">
        <f t="shared" si="402"/>
      </c>
      <c r="DA77" s="2111">
        <f t="shared" si="402"/>
      </c>
      <c r="DB77" s="2112">
        <f t="shared" si="402"/>
      </c>
      <c r="DC77" s="2110">
        <f t="shared" si="402"/>
      </c>
      <c r="DD77" s="2112">
        <f t="shared" si="402"/>
      </c>
      <c r="DE77" s="2113">
        <f t="shared" si="402"/>
      </c>
      <c r="DF77" s="2112">
        <f t="shared" si="402"/>
      </c>
      <c r="DG77" s="2112">
        <f t="shared" si="402"/>
      </c>
      <c r="DH77" s="2112">
        <f t="shared" si="402"/>
      </c>
      <c r="DI77" s="2113">
        <f t="shared" si="402"/>
      </c>
      <c r="DJ77" s="2112">
        <f t="shared" si="403"/>
      </c>
      <c r="DK77" s="2112">
        <f t="shared" si="403"/>
      </c>
      <c r="DL77" s="2112">
        <f t="shared" si="403"/>
      </c>
      <c r="DM77" s="2113">
        <f t="shared" si="403"/>
      </c>
      <c r="DN77" s="2112">
        <f t="shared" si="403"/>
      </c>
      <c r="DO77" s="2112">
        <f t="shared" si="403"/>
      </c>
      <c r="DP77" s="2112">
        <f t="shared" si="403"/>
      </c>
      <c r="DQ77" s="2113">
        <f t="shared" si="403"/>
      </c>
      <c r="DR77" s="2112">
        <f t="shared" si="403"/>
      </c>
      <c r="DS77" s="2112">
        <f t="shared" si="403"/>
      </c>
      <c r="DT77" s="2112">
        <f t="shared" si="404"/>
      </c>
      <c r="DU77" s="2113">
        <f t="shared" si="404"/>
      </c>
      <c r="DV77" s="2112">
        <f t="shared" si="372"/>
      </c>
      <c r="DW77" s="2112">
        <f t="shared" si="373"/>
      </c>
      <c r="DX77" s="2112">
        <f t="shared" si="374"/>
      </c>
      <c r="DY77" s="2113">
        <f t="shared" si="375"/>
      </c>
      <c r="DZ77" s="2112">
        <f t="shared" si="376"/>
      </c>
      <c r="EA77" s="2112">
        <f t="shared" si="377"/>
      </c>
      <c r="EB77" s="2112">
        <f t="shared" si="378"/>
      </c>
      <c r="EC77" s="2113">
        <f t="shared" si="379"/>
      </c>
      <c r="ED77" s="2112">
        <f t="shared" si="380"/>
      </c>
      <c r="EE77" s="2112">
        <f t="shared" si="381"/>
      </c>
      <c r="EF77" s="2112">
        <f t="shared" si="382"/>
      </c>
      <c r="EG77" s="2113">
        <f t="shared" si="383"/>
      </c>
      <c r="EH77" s="2112">
        <f t="shared" si="384"/>
      </c>
      <c r="EI77" s="2112">
        <f t="shared" si="385"/>
      </c>
      <c r="EJ77" s="2112">
        <f t="shared" si="386"/>
      </c>
      <c r="EK77" s="2113">
        <f t="shared" si="387"/>
      </c>
      <c r="EL77" s="1475"/>
      <c r="EM77" s="1475"/>
      <c r="EN77" s="1475"/>
      <c r="EO77" s="1475"/>
      <c r="EP77" s="1475"/>
      <c r="EQ77" s="1475"/>
      <c r="ER77" s="1475"/>
      <c r="ES77" s="1475"/>
      <c r="ET77" s="1475"/>
      <c r="EU77" s="1475"/>
      <c r="EV77" s="1475"/>
      <c r="EW77" s="1475"/>
      <c r="EX77" s="1475"/>
      <c r="EY77" s="2114"/>
      <c r="EZ77" s="2114"/>
      <c r="FA77" s="2114"/>
      <c r="FB77" s="2114"/>
      <c r="FC77" s="2114"/>
      <c r="FD77" s="2114"/>
      <c r="FE77" s="2114"/>
      <c r="FF77" s="2115"/>
      <c r="FG77" s="2115"/>
      <c r="FH77" s="2115"/>
      <c r="FI77" s="2115"/>
      <c r="FJ77" s="2115">
        <f t="shared" si="388"/>
      </c>
      <c r="FK77" s="2115">
        <f t="shared" si="388"/>
      </c>
      <c r="FL77" s="2115">
        <f t="shared" si="388"/>
      </c>
      <c r="FM77" s="2115">
        <f t="shared" si="388"/>
      </c>
      <c r="FN77" s="2115">
        <f t="shared" si="388"/>
      </c>
      <c r="FO77" s="2115">
        <f t="shared" si="388"/>
      </c>
      <c r="FP77" s="2115">
        <f t="shared" si="388"/>
      </c>
      <c r="FQ77" s="2115">
        <f t="shared" si="388"/>
      </c>
      <c r="FR77" s="2115">
        <f t="shared" si="389"/>
      </c>
      <c r="FS77" s="2115">
        <f t="shared" si="390"/>
      </c>
      <c r="FT77" s="2115">
        <f t="shared" si="391"/>
      </c>
      <c r="FU77" s="2115">
        <f t="shared" si="392"/>
      </c>
      <c r="FV77" s="2115"/>
      <c r="FW77" s="2116"/>
      <c r="FX77" s="2116"/>
      <c r="FY77" s="2116"/>
      <c r="FZ77" s="2116"/>
      <c r="GA77" s="2116"/>
      <c r="GB77" s="2116"/>
      <c r="GC77" s="2116"/>
      <c r="GD77" s="2116"/>
      <c r="GE77" s="2116"/>
      <c r="GF77" s="2116"/>
      <c r="GG77" s="2116"/>
      <c r="GH77" s="2116"/>
      <c r="GI77" s="2116"/>
      <c r="GJ77" s="2116"/>
      <c r="GK77" s="2116"/>
      <c r="GL77" s="2116"/>
      <c r="GM77" s="2116"/>
      <c r="GN77" s="2116"/>
      <c r="GO77" s="2116"/>
      <c r="GP77" s="2115" t="e">
        <f t="shared" ref="GP77:GS77" si="406">(GP68/GO68)-1</f>
      </c>
      <c r="GQ77" s="2115" t="e">
        <f t="shared" si="406"/>
      </c>
      <c r="GR77" s="2115" t="e">
        <f t="shared" si="406"/>
      </c>
      <c r="GS77" s="2115" t="e">
        <f t="shared" si="406"/>
      </c>
      <c r="GT77" s="2115"/>
      <c r="GU77" s="2115"/>
      <c r="GV77" s="2115"/>
      <c r="GW77" s="2115"/>
      <c r="GX77" s="2115"/>
      <c r="GY77" s="2115"/>
      <c r="GZ77" s="2115"/>
      <c r="HA77" s="2115"/>
      <c r="HB77" s="2115"/>
      <c r="HC77" s="2115"/>
      <c r="HD77" s="2115"/>
      <c r="HE77" s="2115"/>
    </row>
    <row r="78" spans="1:213" s="11" customFormat="1" ht="10.199999999999999">
      <c r="A78" s="16"/>
      <c r="B78" s="16"/>
      <c r="C78" s="16"/>
      <c r="D78" s="16"/>
      <c r="E78" s="234"/>
      <c r="F78" s="16"/>
      <c r="G78" s="16"/>
      <c r="H78" s="16"/>
      <c r="I78" s="234"/>
      <c r="J78" s="16"/>
      <c r="K78" s="16"/>
      <c r="L78" s="16"/>
      <c r="M78" s="234"/>
      <c r="N78" s="16"/>
      <c r="O78" s="16"/>
      <c r="P78" s="16"/>
      <c r="Q78" s="234"/>
      <c r="R78" s="16"/>
      <c r="S78" s="16"/>
      <c r="T78" s="16"/>
      <c r="U78" s="234"/>
      <c r="V78" s="16"/>
      <c r="W78" s="16"/>
      <c r="X78" s="16"/>
      <c r="Y78" s="234"/>
      <c r="Z78" s="16"/>
      <c r="AA78" s="16"/>
      <c r="AB78" s="16"/>
      <c r="AC78" s="234"/>
      <c r="AD78" s="16"/>
      <c r="AE78" s="16"/>
      <c r="AF78" s="16"/>
      <c r="AG78" s="234"/>
      <c r="AH78" s="16"/>
      <c r="AI78" s="16"/>
      <c r="AJ78" s="16"/>
      <c r="AK78" s="234"/>
      <c r="AL78" s="16"/>
      <c r="AM78" s="16"/>
      <c r="AN78" s="16"/>
      <c r="AO78" s="234"/>
      <c r="AP78" s="16"/>
      <c r="AQ78" s="16"/>
      <c r="AR78" s="16"/>
      <c r="AS78" s="234"/>
      <c r="AT78" s="16"/>
      <c r="AU78" s="16"/>
      <c r="AV78" s="379"/>
      <c r="AW78" s="380"/>
      <c r="AX78" s="379"/>
      <c r="AY78" s="379"/>
      <c r="AZ78" s="379"/>
      <c r="BA78" s="380"/>
      <c r="BB78" s="509"/>
      <c r="BC78" s="509"/>
      <c r="BD78" s="509"/>
      <c r="BE78" s="510"/>
      <c r="BF78" s="509"/>
      <c r="BG78" s="509"/>
      <c r="BH78" s="509"/>
      <c r="BI78" s="510"/>
      <c r="BJ78" s="509"/>
      <c r="BK78" s="509"/>
      <c r="BL78" s="509"/>
      <c r="BM78" s="510"/>
      <c r="BN78" s="509"/>
      <c r="BO78" s="509"/>
      <c r="BP78" s="509"/>
      <c r="BQ78" s="510"/>
      <c r="BR78" s="509"/>
      <c r="BS78" s="509"/>
      <c r="BT78" s="509"/>
      <c r="BU78" s="510"/>
      <c r="BV78" s="509"/>
      <c r="BW78" s="509"/>
      <c r="BX78" s="509"/>
      <c r="BY78" s="510"/>
      <c r="BZ78" s="509"/>
      <c r="CA78" s="509"/>
      <c r="CB78" s="509"/>
      <c r="CC78" s="510"/>
      <c r="CD78" s="509"/>
      <c r="CE78" s="509"/>
      <c r="CF78" s="509"/>
      <c r="CG78" s="510"/>
      <c r="CH78" s="509"/>
      <c r="CI78" s="509"/>
      <c r="CJ78" s="509"/>
      <c r="CK78" s="510"/>
      <c r="CL78" s="509"/>
      <c r="CM78" s="509"/>
      <c r="CN78" s="509"/>
      <c r="CO78" s="510"/>
      <c r="CP78" s="509"/>
      <c r="CQ78" s="509"/>
      <c r="CR78" s="509"/>
      <c r="CS78" s="510"/>
      <c r="CT78" s="511"/>
      <c r="CU78" s="511"/>
      <c r="CV78" s="511"/>
      <c r="CW78" s="512"/>
      <c r="CX78" s="511"/>
      <c r="CY78" s="511"/>
      <c r="CZ78" s="511"/>
      <c r="DA78" s="512"/>
      <c r="DB78" s="513"/>
      <c r="DC78" s="511"/>
      <c r="DD78" s="513"/>
      <c r="DE78" s="514"/>
      <c r="DF78" s="513"/>
      <c r="DG78" s="513"/>
      <c r="DH78" s="513"/>
      <c r="DI78" s="514"/>
      <c r="DJ78" s="513"/>
      <c r="DK78" s="513"/>
      <c r="DL78" s="513"/>
      <c r="DM78" s="514"/>
      <c r="DN78" s="513"/>
      <c r="DO78" s="513"/>
      <c r="DP78" s="513"/>
      <c r="DQ78" s="514"/>
      <c r="DR78" s="513"/>
      <c r="DS78" s="513"/>
      <c r="DT78" s="513"/>
      <c r="DU78" s="514"/>
      <c r="DV78" s="513"/>
      <c r="DW78" s="513"/>
      <c r="DX78" s="513"/>
      <c r="DY78" s="514"/>
      <c r="DZ78" s="513"/>
      <c r="EA78" s="513"/>
      <c r="EB78" s="513"/>
      <c r="EC78" s="514"/>
      <c r="ED78" s="513"/>
      <c r="EE78" s="513"/>
      <c r="EF78" s="513"/>
      <c r="EG78" s="514"/>
      <c r="EH78" s="513"/>
      <c r="EI78" s="513"/>
      <c r="EJ78" s="513"/>
      <c r="EK78" s="514"/>
      <c r="EL78" s="16"/>
      <c r="EM78" s="16"/>
      <c r="EN78" s="16"/>
      <c r="EO78" s="16"/>
      <c r="EP78" s="16"/>
      <c r="EQ78" s="16"/>
      <c r="ER78" s="16"/>
      <c r="ES78" s="16"/>
      <c r="ET78" s="16"/>
      <c r="EU78" s="16"/>
      <c r="EV78" s="16"/>
      <c r="EW78" s="16"/>
      <c r="EX78" s="16"/>
      <c r="EY78" s="24"/>
      <c r="EZ78" s="24"/>
      <c r="FA78" s="24"/>
      <c r="FB78" s="24"/>
      <c r="FC78" s="24"/>
      <c r="FD78" s="24"/>
      <c r="FE78" s="24"/>
      <c r="FF78" s="515"/>
      <c r="FG78" s="515"/>
      <c r="FH78" s="515"/>
      <c r="FI78" s="515"/>
      <c r="FJ78" s="515"/>
      <c r="FK78" s="515"/>
      <c r="FL78" s="515"/>
      <c r="FM78" s="515"/>
      <c r="FN78" s="515"/>
      <c r="FO78" s="515"/>
      <c r="FP78" s="515"/>
      <c r="FQ78" s="515"/>
      <c r="FR78" s="515"/>
      <c r="FS78" s="515"/>
      <c r="FT78" s="515"/>
      <c r="FU78" s="515"/>
      <c r="FV78" s="515"/>
      <c r="FW78" s="507"/>
      <c r="FX78" s="507"/>
      <c r="FY78" s="507"/>
      <c r="FZ78" s="507"/>
      <c r="GA78" s="507"/>
      <c r="GB78" s="507"/>
      <c r="GC78" s="507"/>
      <c r="GD78" s="507"/>
      <c r="GE78" s="507"/>
      <c r="GF78" s="507"/>
      <c r="GG78" s="507"/>
      <c r="GH78" s="507"/>
      <c r="GI78" s="508"/>
      <c r="GJ78" s="508"/>
      <c r="GK78" s="508"/>
      <c r="GL78" s="508"/>
      <c r="GM78" s="508"/>
      <c r="GN78" s="508"/>
      <c r="GO78" s="508"/>
      <c r="GP78" s="515"/>
      <c r="GQ78" s="515"/>
      <c r="GR78" s="515"/>
      <c r="GS78" s="515"/>
      <c r="GT78" s="515"/>
      <c r="GU78" s="515"/>
      <c r="GV78" s="515"/>
      <c r="GW78" s="515"/>
      <c r="GX78" s="515"/>
      <c r="GY78" s="515"/>
      <c r="GZ78" s="515"/>
      <c r="HA78" s="515"/>
      <c r="HB78" s="515"/>
      <c r="HC78" s="515"/>
      <c r="HD78" s="515"/>
      <c r="HE78" s="515"/>
    </row>
    <row r="79" spans="1:213" s="11" customFormat="1" ht="10.199999999999999">
      <c r="A79" s="93" t="s">
        <v>1531</v>
      </c>
      <c r="B79" s="11">
        <f>'Segment - Products'!B231</f>
      </c>
      <c r="C79" s="11">
        <f>'Segment - Products'!C231</f>
      </c>
      <c r="D79" s="11">
        <f>'Segment - Products'!D231</f>
      </c>
      <c r="E79" s="170">
        <f>'Segment - Products'!E231</f>
      </c>
      <c r="F79" s="11">
        <f>'Segment - Products'!F231</f>
      </c>
      <c r="G79" s="11">
        <f>'Segment - Products'!G231</f>
      </c>
      <c r="H79" s="11">
        <f>'Segment - Products'!H231</f>
      </c>
      <c r="I79" s="170">
        <f>'Segment - Products'!I231</f>
      </c>
      <c r="J79" s="11">
        <f>'Segment - Products'!J231</f>
      </c>
      <c r="K79" s="11">
        <f>'Segment - Products'!K231</f>
      </c>
      <c r="L79" s="11">
        <f>'Segment - Products'!L231</f>
      </c>
      <c r="M79" s="170">
        <f>'Segment - Products'!M231</f>
      </c>
      <c r="N79" s="11">
        <f>'Segment - Products'!N231</f>
      </c>
      <c r="O79" s="11">
        <f>'Segment - Products'!O231</f>
      </c>
      <c r="P79" s="11">
        <f>'Segment - Products'!P231</f>
      </c>
      <c r="Q79" s="170">
        <f>'Segment - Products'!Q231</f>
      </c>
      <c r="R79" s="11">
        <f>'Segment - Products'!R231</f>
      </c>
      <c r="S79" s="11">
        <f>'Segment - Products'!S231</f>
      </c>
      <c r="T79" s="11">
        <f>'Segment - Products'!T231</f>
      </c>
      <c r="U79" s="170">
        <f>'Segment - Products'!U231</f>
      </c>
      <c r="V79" s="11">
        <f>'Segment - Products'!V231</f>
      </c>
      <c r="W79" s="11">
        <f>'Segment - Products'!W231</f>
      </c>
      <c r="X79" s="11">
        <f>'Segment - Products'!X231</f>
      </c>
      <c r="Y79" s="170">
        <f>'Segment - Products'!Y231</f>
      </c>
      <c r="Z79" s="11">
        <f>'Segment - Products'!Z231</f>
      </c>
      <c r="AA79" s="11">
        <f>'Segment - Products'!AA231</f>
      </c>
      <c r="AB79" s="11">
        <f>'Segment - Products'!AB231</f>
      </c>
      <c r="AC79" s="170">
        <f>'Segment - Products'!AC231</f>
      </c>
      <c r="AD79" s="11">
        <f>'Segment - Products'!AD231</f>
      </c>
      <c r="AE79" s="11">
        <f>'Segment - Products'!AE231</f>
      </c>
      <c r="AF79" s="11">
        <f>'Segment - Products'!AF231</f>
      </c>
      <c r="AG79" s="170">
        <f>'Segment - Products'!AG231</f>
      </c>
      <c r="AH79" s="11">
        <f>'Segment - Products'!AH231</f>
      </c>
      <c r="AI79" s="11">
        <f>'Segment - Products'!AI231</f>
      </c>
      <c r="AJ79" s="11">
        <f>'Segment - Products'!AJ231</f>
      </c>
      <c r="AK79" s="170">
        <f>'Segment - Products'!AK231</f>
      </c>
      <c r="AL79" s="11">
        <f>'Segment - Products'!AL231</f>
      </c>
      <c r="AM79" s="11">
        <f>'Segment - Products'!AM231</f>
      </c>
      <c r="AN79" s="11">
        <f>'Segment - Products'!AN231</f>
      </c>
      <c r="AO79" s="170">
        <f>'Segment - Products'!AO231</f>
      </c>
      <c r="AP79" s="11">
        <f>'Segment - Products'!AP231</f>
      </c>
      <c r="AQ79" s="11">
        <f>'Segment - Products'!AQ231</f>
      </c>
      <c r="AR79" s="11">
        <f>'Segment - Products'!AR231</f>
      </c>
      <c r="AS79" s="170">
        <f>'Segment - Products'!AS231</f>
      </c>
      <c r="AT79" s="11">
        <f>'Segment - Products'!AT231</f>
      </c>
      <c r="AU79" s="11">
        <f>'Segment - Products'!AU231</f>
      </c>
      <c r="AV79" s="281">
        <f>'Segment - Products'!AV231</f>
      </c>
      <c r="AW79" s="330">
        <f>'Segment - Products'!AW231</f>
      </c>
      <c r="AX79" s="281">
        <f>'Segment - Products'!AX231</f>
      </c>
      <c r="AY79" s="281">
        <f>'Segment - Products'!AY231</f>
      </c>
      <c r="AZ79" s="281">
        <f>'Segment - Products'!AZ231</f>
      </c>
      <c r="BA79" s="330">
        <f>'Segment - Products'!BA231</f>
      </c>
      <c r="BB79" s="281">
        <f>'Segment - Products'!BB231</f>
      </c>
      <c r="BC79" s="281">
        <f>'Segment - Products'!BC231</f>
      </c>
      <c r="BD79" s="281">
        <f>'Segment - Products'!BD231</f>
      </c>
      <c r="BE79" s="330">
        <f>'Segment - Products'!BE231</f>
      </c>
      <c r="BF79" s="281">
        <f>'Segment - Products'!BF231</f>
      </c>
      <c r="BG79" s="281">
        <f>'Segment - Products'!BG231</f>
      </c>
      <c r="BH79" s="281">
        <f>'Segment - Products'!BH231</f>
      </c>
      <c r="BI79" s="330">
        <f>'Segment - Products'!BI231</f>
      </c>
      <c r="BJ79" s="281">
        <f>'Segment - Products'!BJ231</f>
      </c>
      <c r="BK79" s="281">
        <f>'Segment - Products'!BK231</f>
      </c>
      <c r="BL79" s="281">
        <f>'Segment - Products'!BL231</f>
      </c>
      <c r="BM79" s="330">
        <f>'Segment - Products'!BM231</f>
      </c>
      <c r="BN79" s="281">
        <f>'Segment - Products'!BN231</f>
      </c>
      <c r="BO79" s="281">
        <f>'Segment - Products'!BO231</f>
      </c>
      <c r="BP79" s="281">
        <f>'Segment - Products'!BP231</f>
      </c>
      <c r="BQ79" s="330">
        <f>'Segment - Products'!BQ231</f>
      </c>
      <c r="BR79" s="281">
        <f>'Segment - Products'!BR231</f>
      </c>
      <c r="BS79" s="281">
        <f>'Segment - Products'!BS231</f>
      </c>
      <c r="BT79" s="281">
        <f>'Segment - Products'!BT231</f>
      </c>
      <c r="BU79" s="330">
        <f>'Segment - Products'!BU231</f>
      </c>
      <c r="BV79" s="281">
        <f>'Segment - Products'!BV231</f>
      </c>
      <c r="BW79" s="281">
        <f>'Segment - Products'!BW231</f>
      </c>
      <c r="BX79" s="281">
        <f>'Segment - Products'!BX231</f>
      </c>
      <c r="BY79" s="330">
        <f>'Segment - Products'!BY231</f>
      </c>
      <c r="BZ79" s="281">
        <f>'Segment - Products'!BZ231</f>
      </c>
      <c r="CA79" s="281">
        <f>'Segment - Products'!CA231</f>
      </c>
      <c r="CB79" s="281">
        <f>'Segment - Products'!CB231</f>
      </c>
      <c r="CC79" s="330">
        <f>'Segment - Products'!CC231</f>
      </c>
      <c r="CD79" s="498">
        <f>'Segment - Products'!CD231</f>
      </c>
      <c r="CE79" s="498">
        <f>'Segment - Products'!CE231</f>
      </c>
      <c r="CF79" s="498">
        <f>'Segment - Products'!CF231</f>
      </c>
      <c r="CG79" s="499">
        <f>'Segment - Products'!CG231</f>
      </c>
      <c r="CH79" s="498">
        <f>'Segment - Products'!CH231</f>
      </c>
      <c r="CI79" s="500">
        <f>'Segment - Products'!CI231</f>
      </c>
      <c r="CJ79" s="498">
        <f>'Segment - Products'!CJ231</f>
      </c>
      <c r="CK79" s="499">
        <f>'Segment - Products'!CK231</f>
      </c>
      <c r="CL79" s="498">
        <f>'Segment - Products'!CL231</f>
      </c>
      <c r="CM79" s="498">
        <f>'Segment - Products'!CM231</f>
      </c>
      <c r="CN79" s="498">
        <f>'Segment - Products'!CN231</f>
      </c>
      <c r="CO79" s="499">
        <f>'Segment - Products'!CO231</f>
      </c>
      <c r="CP79" s="498">
        <f>'Segment - Products'!CP231</f>
      </c>
      <c r="CQ79" s="498">
        <f>'Segment - Products'!CQ231</f>
      </c>
      <c r="CR79" s="498">
        <f>'Segment - Products'!CR231</f>
      </c>
      <c r="CS79" s="499">
        <f>'Segment - Products'!CS231</f>
      </c>
      <c r="CT79" s="281">
        <f>'Segment - Products'!CT231</f>
      </c>
      <c r="CU79" s="281">
        <f>'Segment - Products'!CU231</f>
      </c>
      <c r="CV79" s="281">
        <f>'Segment - Products'!CV231</f>
      </c>
      <c r="CW79" s="330">
        <f>'Segment - Products'!CW231</f>
      </c>
      <c r="CX79" s="281">
        <f>'Segment - Products'!CX231</f>
      </c>
      <c r="CY79" s="281">
        <f>'Segment - Products'!CY231</f>
      </c>
      <c r="CZ79" s="281">
        <f>'Segment - Products'!CZ231</f>
      </c>
      <c r="DA79" s="330">
        <f>'Segment - Products'!DA231</f>
      </c>
      <c r="DB79" s="363">
        <f>'Segment - Products'!DB231</f>
      </c>
      <c r="DC79" s="281">
        <f>'Segment - Products'!DC231</f>
      </c>
      <c r="DD79" s="363">
        <f>'Segment - Products'!DD231</f>
      </c>
      <c r="DE79" s="362">
        <f>'Segment - Products'!DE231</f>
      </c>
      <c r="DF79" s="363">
        <f>'Segment - Products'!DF231</f>
      </c>
      <c r="DG79" s="363">
        <f>'Segment - Products'!DG231</f>
      </c>
      <c r="DH79" s="363">
        <f>'Segment - Products'!DH231</f>
      </c>
      <c r="DI79" s="362">
        <f>'Segment - Products'!DI231</f>
      </c>
      <c r="DJ79" s="363">
        <f>'Segment - Products'!DJ231</f>
      </c>
      <c r="DK79" s="363">
        <f>'Segment - Products'!DK231</f>
      </c>
      <c r="DL79" s="363">
        <f>'Segment - Products'!DL231</f>
      </c>
      <c r="DM79" s="362">
        <f>'Segment - Products'!DM231</f>
      </c>
      <c r="DN79" s="363">
        <f>'Segment - Products'!DN231</f>
      </c>
      <c r="DO79" s="363">
        <f>'Segment - Products'!DO231</f>
      </c>
      <c r="DP79" s="363">
        <f>'Segment - Products'!DP231</f>
      </c>
      <c r="DQ79" s="362">
        <f>'Segment - Products'!DQ231</f>
      </c>
      <c r="DR79" s="363">
        <f>'Segment - Products'!DR231</f>
      </c>
      <c r="DS79" s="363">
        <f>'Segment - Products'!DS231</f>
      </c>
      <c r="DT79" s="363">
        <f>'Segment - Products'!DT231</f>
      </c>
      <c r="DU79" s="362">
        <f>'Segment - Products'!DU231</f>
      </c>
      <c r="DV79" s="363">
        <f>'Segment - Products'!DV231</f>
      </c>
      <c r="DW79" s="363">
        <f>'Segment - Products'!DW231</f>
      </c>
      <c r="DX79" s="363">
        <f>'Segment - Products'!DX231</f>
      </c>
      <c r="DY79" s="362">
        <f>'Segment - Products'!DY231</f>
      </c>
      <c r="DZ79" s="363">
        <f>'Segment - Products'!DZ231</f>
      </c>
      <c r="EA79" s="363">
        <f>'Segment - Products'!EA231</f>
      </c>
      <c r="EB79" s="363">
        <f>'Segment - Products'!EB231</f>
      </c>
      <c r="EC79" s="362">
        <f>'Segment - Products'!EC231</f>
      </c>
      <c r="ED79" s="363">
        <f>'Segment - Products'!ED231</f>
      </c>
      <c r="EE79" s="363">
        <f>'Segment - Products'!EE231</f>
      </c>
      <c r="EF79" s="363">
        <f>'Segment - Products'!EF231</f>
      </c>
      <c r="EG79" s="362">
        <f>'Segment - Products'!EG231</f>
      </c>
      <c r="EH79" s="363">
        <f>'Segment - Products'!EH231</f>
      </c>
      <c r="EI79" s="363">
        <f>'Segment - Products'!EI231</f>
      </c>
      <c r="EJ79" s="363">
        <f>'Segment - Products'!EJ231</f>
      </c>
      <c r="EK79" s="362">
        <f>'Segment - Products'!EK231</f>
      </c>
      <c r="EM79" s="363">
        <f>'Segment - Products'!EM231</f>
      </c>
      <c r="EN79" s="363">
        <f>'Segment - Products'!EN231</f>
      </c>
      <c r="EO79" s="363">
        <f>'Segment - Products'!EO231</f>
      </c>
      <c r="EP79" s="363">
        <f>'Segment - Products'!EP231</f>
      </c>
      <c r="EQ79" s="363">
        <f>'Segment - Products'!EQ231</f>
      </c>
      <c r="ER79" s="363">
        <f>'Segment - Products'!ER231</f>
      </c>
      <c r="ES79" s="363">
        <f>'Segment - Products'!ES231</f>
      </c>
      <c r="ET79" s="363">
        <f>'Segment - Products'!ET231</f>
      </c>
      <c r="EU79" s="363">
        <f>'Segment - Products'!EU231</f>
      </c>
      <c r="EV79" s="363">
        <f>'Segment - Products'!EV231</f>
      </c>
      <c r="EW79" s="363">
        <f>'Segment - Products'!EW231</f>
      </c>
      <c r="EX79" s="363">
        <f>'Segment - Products'!EX231</f>
      </c>
      <c r="EY79" s="363">
        <f>'Segment - Products'!EY231</f>
      </c>
      <c r="EZ79" s="363">
        <f>'Segment - Products'!EZ231</f>
      </c>
      <c r="FA79" s="363">
        <f>'Segment - Products'!FA231</f>
      </c>
      <c r="FB79" s="363">
        <f>'Segment - Products'!FB231</f>
      </c>
      <c r="FC79" s="363">
        <f>'Segment - Products'!FC231</f>
      </c>
      <c r="FD79" s="363">
        <f>'Segment - Products'!FD231</f>
      </c>
      <c r="FE79" s="363">
        <f>'Segment - Products'!FE231</f>
      </c>
      <c r="FF79" s="363">
        <f>'Segment - Products'!FF231</f>
      </c>
      <c r="FG79" s="363">
        <f>'Segment - Products'!FG231</f>
      </c>
      <c r="FH79" s="363">
        <f>'Segment - Products'!FH231</f>
      </c>
      <c r="FI79" s="363">
        <f>'Segment - Products'!FI231</f>
      </c>
      <c r="FJ79" s="363">
        <f>'Segment - Products'!FJ231</f>
      </c>
      <c r="FK79" s="363">
        <f>'Segment - Products'!FK231</f>
      </c>
      <c r="FL79" s="363">
        <f>'Segment - Products'!FL231</f>
      </c>
      <c r="FM79" s="363">
        <f>'Segment - Products'!FM231</f>
      </c>
      <c r="FN79" s="363">
        <f>'Segment - Products'!FN231</f>
      </c>
      <c r="FO79" s="363">
        <f>'Segment - Products'!FO231</f>
      </c>
      <c r="FP79" s="363">
        <f>'Segment - Products'!FP231</f>
      </c>
      <c r="FQ79" s="363">
        <f>'Segment - Products'!FQ231</f>
      </c>
      <c r="FR79" s="363">
        <f>'Segment - Products'!FR231</f>
      </c>
      <c r="FS79" s="363">
        <f>'Segment - Products'!FS231</f>
      </c>
      <c r="FT79" s="363">
        <f>'Segment - Products'!FT231</f>
      </c>
      <c r="FU79" s="363">
        <f>'Segment - Products'!FU231</f>
      </c>
      <c r="FV79" s="501"/>
      <c r="FW79" s="446"/>
      <c r="FX79" s="446"/>
      <c r="FY79" s="446"/>
      <c r="FZ79" s="446"/>
      <c r="GA79" s="446"/>
      <c r="GB79" s="446"/>
      <c r="GC79" s="446"/>
      <c r="GD79" s="446"/>
      <c r="GE79" s="446"/>
      <c r="GF79" s="446"/>
      <c r="GG79" s="446"/>
      <c r="GH79" s="446"/>
      <c r="GI79" s="340"/>
      <c r="GJ79" s="340"/>
      <c r="GK79" s="340"/>
      <c r="GL79" s="340"/>
      <c r="GM79" s="340"/>
      <c r="GN79" s="340"/>
      <c r="GO79" s="340"/>
      <c r="GP79" s="340"/>
      <c r="GQ79" s="501"/>
      <c r="GR79" s="501"/>
      <c r="GS79" s="501"/>
      <c r="GT79" s="501"/>
      <c r="GU79" s="501"/>
      <c r="GV79" s="501"/>
      <c r="GW79" s="501"/>
      <c r="GX79" s="501"/>
      <c r="GY79" s="501"/>
      <c r="GZ79" s="501"/>
      <c r="HA79" s="501"/>
      <c r="HB79" s="501"/>
      <c r="HC79" s="501"/>
      <c r="HD79" s="501"/>
      <c r="HE79" s="501"/>
    </row>
    <row r="80" spans="1:213" s="345" customFormat="1" ht="10.199999999999999">
      <c r="A80" s="93" t="s">
        <v>1532</v>
      </c>
      <c r="B80" s="11">
        <f>'Segment - Products'!B232</f>
      </c>
      <c r="C80" s="11">
        <f>'Segment - Products'!C232</f>
      </c>
      <c r="D80" s="11">
        <f>'Segment - Products'!D232</f>
      </c>
      <c r="E80" s="170">
        <f>'Segment - Products'!E232</f>
      </c>
      <c r="F80" s="11">
        <f>'Segment - Products'!F232</f>
      </c>
      <c r="G80" s="11">
        <f>'Segment - Products'!G232</f>
      </c>
      <c r="H80" s="11">
        <f>'Segment - Products'!H232</f>
      </c>
      <c r="I80" s="170">
        <f>'Segment - Products'!I232</f>
      </c>
      <c r="J80" s="11">
        <f>'Segment - Products'!J232</f>
      </c>
      <c r="K80" s="11">
        <f>'Segment - Products'!K232</f>
      </c>
      <c r="L80" s="11">
        <f>'Segment - Products'!L232</f>
      </c>
      <c r="M80" s="170">
        <f>'Segment - Products'!M232</f>
      </c>
      <c r="N80" s="11">
        <f>'Segment - Products'!N232</f>
      </c>
      <c r="O80" s="11">
        <f>'Segment - Products'!O232</f>
      </c>
      <c r="P80" s="11">
        <f>'Segment - Products'!P232</f>
      </c>
      <c r="Q80" s="170">
        <f>'Segment - Products'!Q232</f>
      </c>
      <c r="R80" s="11">
        <f>'Segment - Products'!R232</f>
      </c>
      <c r="S80" s="11">
        <f>'Segment - Products'!S232</f>
      </c>
      <c r="T80" s="11">
        <f>'Segment - Products'!T232</f>
      </c>
      <c r="U80" s="170">
        <f>'Segment - Products'!U232</f>
      </c>
      <c r="V80" s="11">
        <f>'Segment - Products'!V232</f>
      </c>
      <c r="W80" s="11">
        <f>'Segment - Products'!W232</f>
      </c>
      <c r="X80" s="11">
        <f>'Segment - Products'!X232</f>
      </c>
      <c r="Y80" s="170">
        <f>'Segment - Products'!Y232</f>
      </c>
      <c r="Z80" s="11">
        <f>'Segment - Products'!Z232</f>
      </c>
      <c r="AA80" s="11">
        <f>'Segment - Products'!AA232</f>
      </c>
      <c r="AB80" s="11">
        <f>'Segment - Products'!AB232</f>
      </c>
      <c r="AC80" s="170">
        <f>'Segment - Products'!AC232</f>
      </c>
      <c r="AD80" s="11">
        <f>'Segment - Products'!AD232</f>
      </c>
      <c r="AE80" s="11">
        <f>'Segment - Products'!AE232</f>
      </c>
      <c r="AF80" s="11">
        <f>'Segment - Products'!AF232</f>
      </c>
      <c r="AG80" s="170">
        <f>'Segment - Products'!AG232</f>
      </c>
      <c r="AH80" s="11">
        <f>'Segment - Products'!AH232</f>
      </c>
      <c r="AI80" s="11">
        <f>'Segment - Products'!AI232</f>
      </c>
      <c r="AJ80" s="11">
        <f>'Segment - Products'!AJ232</f>
      </c>
      <c r="AK80" s="170">
        <f>'Segment - Products'!AK232</f>
      </c>
      <c r="AL80" s="11">
        <f>'Segment - Products'!AL232</f>
      </c>
      <c r="AM80" s="11">
        <f>'Segment - Products'!AM232</f>
      </c>
      <c r="AN80" s="11">
        <f>'Segment - Products'!AN232</f>
      </c>
      <c r="AO80" s="170">
        <f>'Segment - Products'!AO232</f>
      </c>
      <c r="AP80" s="11">
        <f>'Segment - Products'!AP232</f>
      </c>
      <c r="AQ80" s="11">
        <f>'Segment - Products'!AQ232</f>
      </c>
      <c r="AR80" s="11">
        <f>'Segment - Products'!AR232</f>
      </c>
      <c r="AS80" s="170">
        <f>'Segment - Products'!AS232</f>
      </c>
      <c r="AT80" s="11">
        <f>'Segment - Products'!AT232</f>
      </c>
      <c r="AU80" s="11">
        <f>'Segment - Products'!AU232</f>
      </c>
      <c r="AV80" s="281">
        <f>'Segment - Products'!AV232</f>
      </c>
      <c r="AW80" s="330">
        <f>'Segment - Products'!AW232</f>
      </c>
      <c r="AX80" s="281">
        <f>'Segment - Products'!AX232</f>
      </c>
      <c r="AY80" s="281">
        <f>'Segment - Products'!AY232</f>
      </c>
      <c r="AZ80" s="281">
        <f>'Segment - Products'!AZ232</f>
      </c>
      <c r="BA80" s="330">
        <f>'Segment - Products'!BA232</f>
      </c>
      <c r="BB80" s="281">
        <f>'Segment - Products'!BB232</f>
      </c>
      <c r="BC80" s="281">
        <f>'Segment - Products'!BC232</f>
      </c>
      <c r="BD80" s="281">
        <f>'Segment - Products'!BD232</f>
      </c>
      <c r="BE80" s="330">
        <f>'Segment - Products'!BE232</f>
      </c>
      <c r="BF80" s="281">
        <f>'Segment - Products'!BF232</f>
      </c>
      <c r="BG80" s="281">
        <f>'Segment - Products'!BG232</f>
      </c>
      <c r="BH80" s="281">
        <f>'Segment - Products'!BH232</f>
      </c>
      <c r="BI80" s="330">
        <f>'Segment - Products'!BI232</f>
      </c>
      <c r="BJ80" s="281">
        <f>'Segment - Products'!BJ232</f>
      </c>
      <c r="BK80" s="281">
        <f>'Segment - Products'!BK232</f>
      </c>
      <c r="BL80" s="281">
        <f>'Segment - Products'!BL232</f>
      </c>
      <c r="BM80" s="330">
        <f>'Segment - Products'!BM232</f>
      </c>
      <c r="BN80" s="281">
        <f>'Segment - Products'!BN232</f>
      </c>
      <c r="BO80" s="281">
        <f>'Segment - Products'!BO232</f>
      </c>
      <c r="BP80" s="281">
        <f>'Segment - Products'!BP232</f>
      </c>
      <c r="BQ80" s="330">
        <f>'Segment - Products'!BQ232</f>
      </c>
      <c r="BR80" s="281">
        <f>'Segment - Products'!BR232</f>
      </c>
      <c r="BS80" s="281">
        <f>'Segment - Products'!BS232</f>
      </c>
      <c r="BT80" s="281">
        <f>'Segment - Products'!BT232</f>
      </c>
      <c r="BU80" s="330">
        <f>'Segment - Products'!BU232</f>
      </c>
      <c r="BV80" s="281">
        <f>'Segment - Products'!BV232</f>
      </c>
      <c r="BW80" s="281">
        <f>'Segment - Products'!BW232</f>
      </c>
      <c r="BX80" s="281">
        <f>'Segment - Products'!BX232</f>
      </c>
      <c r="BY80" s="330">
        <f>'Segment - Products'!BY232</f>
      </c>
      <c r="BZ80" s="281">
        <f>'Segment - Products'!BZ232</f>
      </c>
      <c r="CA80" s="281">
        <f>'Segment - Products'!CA232</f>
      </c>
      <c r="CB80" s="281">
        <f>'Segment - Products'!CB232</f>
      </c>
      <c r="CC80" s="330">
        <f>'Segment - Products'!CC232</f>
      </c>
      <c r="CD80" s="498">
        <f>'Segment - Products'!CD232</f>
      </c>
      <c r="CE80" s="498">
        <f>'Segment - Products'!CE232</f>
      </c>
      <c r="CF80" s="498">
        <f>'Segment - Products'!CF232</f>
      </c>
      <c r="CG80" s="499">
        <f>'Segment - Products'!CG232</f>
      </c>
      <c r="CH80" s="498">
        <f>'Segment - Products'!CH232</f>
      </c>
      <c r="CI80" s="500">
        <f>'Segment - Products'!CI232</f>
      </c>
      <c r="CJ80" s="498">
        <f>'Segment - Products'!CJ232</f>
      </c>
      <c r="CK80" s="499">
        <f>'Segment - Products'!CK232</f>
      </c>
      <c r="CL80" s="498">
        <f>'Segment - Products'!CL232</f>
      </c>
      <c r="CM80" s="498">
        <f>'Segment - Products'!CM232</f>
      </c>
      <c r="CN80" s="498">
        <f>'Segment - Products'!CN232</f>
      </c>
      <c r="CO80" s="499">
        <f>'Segment - Products'!CO232</f>
      </c>
      <c r="CP80" s="498">
        <f>'Segment - Products'!CP232</f>
      </c>
      <c r="CQ80" s="498">
        <f>'Segment - Products'!CQ232</f>
      </c>
      <c r="CR80" s="498">
        <f>'Segment - Products'!CR232</f>
      </c>
      <c r="CS80" s="499">
        <f>'Segment - Products'!CS232</f>
      </c>
      <c r="CT80" s="281">
        <f>'Segment - Products'!CT232</f>
      </c>
      <c r="CU80" s="281">
        <f>'Segment - Products'!CU232</f>
      </c>
      <c r="CV80" s="281">
        <f>'Segment - Products'!CV232</f>
      </c>
      <c r="CW80" s="330">
        <f>'Segment - Products'!CW232</f>
      </c>
      <c r="CX80" s="281">
        <f>'Segment - Products'!CX232</f>
      </c>
      <c r="CY80" s="281">
        <f>'Segment - Products'!CY232</f>
      </c>
      <c r="CZ80" s="281">
        <f>'Segment - Products'!CZ232</f>
      </c>
      <c r="DA80" s="330">
        <f>'Segment - Products'!DA232</f>
      </c>
      <c r="DB80" s="363">
        <f>'Segment - Products'!DB232</f>
      </c>
      <c r="DC80" s="281">
        <f>'Segment - Products'!DC232</f>
      </c>
      <c r="DD80" s="363">
        <f>'Segment - Products'!DD232</f>
      </c>
      <c r="DE80" s="362">
        <f>'Segment - Products'!DE232</f>
      </c>
      <c r="DF80" s="363">
        <f>'Segment - Products'!DF232</f>
      </c>
      <c r="DG80" s="363">
        <f>'Segment - Products'!DG232</f>
      </c>
      <c r="DH80" s="363">
        <f>'Segment - Products'!DH232</f>
      </c>
      <c r="DI80" s="362">
        <f>'Segment - Products'!DI232</f>
      </c>
      <c r="DJ80" s="363">
        <f>'Segment - Products'!DJ232</f>
      </c>
      <c r="DK80" s="363">
        <f>'Segment - Products'!DK232</f>
      </c>
      <c r="DL80" s="363">
        <f>'Segment - Products'!DL232</f>
      </c>
      <c r="DM80" s="362">
        <f>'Segment - Products'!DM232</f>
      </c>
      <c r="DN80" s="363">
        <f>'Segment - Products'!DN232</f>
      </c>
      <c r="DO80" s="363">
        <f>'Segment - Products'!DO232</f>
      </c>
      <c r="DP80" s="363">
        <f>'Segment - Products'!DP232</f>
      </c>
      <c r="DQ80" s="362">
        <f>'Segment - Products'!DQ232</f>
      </c>
      <c r="DR80" s="363">
        <f>'Segment - Products'!DR232</f>
      </c>
      <c r="DS80" s="363">
        <f>'Segment - Products'!DS232</f>
      </c>
      <c r="DT80" s="363">
        <f>'Segment - Products'!DT232</f>
      </c>
      <c r="DU80" s="362">
        <f>'Segment - Products'!DU232</f>
      </c>
      <c r="DV80" s="363">
        <f>'Segment - Products'!DV232</f>
      </c>
      <c r="DW80" s="363">
        <f>'Segment - Products'!DW232</f>
      </c>
      <c r="DX80" s="363">
        <f>'Segment - Products'!DX232</f>
      </c>
      <c r="DY80" s="362">
        <f>'Segment - Products'!DY232</f>
      </c>
      <c r="DZ80" s="363">
        <f>'Segment - Products'!DZ232</f>
      </c>
      <c r="EA80" s="363">
        <f>'Segment - Products'!EA232</f>
      </c>
      <c r="EB80" s="363">
        <f>'Segment - Products'!EB232</f>
      </c>
      <c r="EC80" s="362">
        <f>'Segment - Products'!EC232</f>
      </c>
      <c r="ED80" s="363">
        <f>'Segment - Products'!ED232</f>
      </c>
      <c r="EE80" s="363">
        <f>'Segment - Products'!EE232</f>
      </c>
      <c r="EF80" s="363">
        <f>'Segment - Products'!EF232</f>
      </c>
      <c r="EG80" s="362">
        <f>'Segment - Products'!EG232</f>
      </c>
      <c r="EH80" s="363">
        <f>'Segment - Products'!EH232</f>
      </c>
      <c r="EI80" s="363">
        <f>'Segment - Products'!EI232</f>
      </c>
      <c r="EJ80" s="363">
        <f>'Segment - Products'!EJ232</f>
      </c>
      <c r="EK80" s="362">
        <f>'Segment - Products'!EK232</f>
      </c>
      <c r="EL80" s="794"/>
      <c r="EM80" s="363">
        <f>'Segment - Products'!EM232</f>
      </c>
      <c r="EN80" s="363">
        <f>'Segment - Products'!EN232</f>
      </c>
      <c r="EO80" s="363">
        <f>'Segment - Products'!EO232</f>
      </c>
      <c r="EP80" s="363">
        <f>'Segment - Products'!EP232</f>
      </c>
      <c r="EQ80" s="363">
        <f>'Segment - Products'!EQ232</f>
      </c>
      <c r="ER80" s="363">
        <f>'Segment - Products'!ER232</f>
      </c>
      <c r="ES80" s="363">
        <f>'Segment - Products'!ES232</f>
      </c>
      <c r="ET80" s="363">
        <f>'Segment - Products'!ET232</f>
      </c>
      <c r="EU80" s="363">
        <f>'Segment - Products'!EU232</f>
      </c>
      <c r="EV80" s="363">
        <f>'Segment - Products'!EV232</f>
      </c>
      <c r="EW80" s="363">
        <f>'Segment - Products'!EW232</f>
      </c>
      <c r="EX80" s="363">
        <f>'Segment - Products'!EX232</f>
      </c>
      <c r="EY80" s="363">
        <f>'Segment - Products'!EY232</f>
      </c>
      <c r="EZ80" s="363">
        <f>'Segment - Products'!EZ232</f>
      </c>
      <c r="FA80" s="363">
        <f>'Segment - Products'!FA232</f>
      </c>
      <c r="FB80" s="363">
        <f>'Segment - Products'!FB232</f>
      </c>
      <c r="FC80" s="363">
        <f>'Segment - Products'!FC232</f>
      </c>
      <c r="FD80" s="363">
        <f>'Segment - Products'!FD232</f>
      </c>
      <c r="FE80" s="363">
        <f>'Segment - Products'!FE232</f>
      </c>
      <c r="FF80" s="363">
        <f>'Segment - Products'!FF232</f>
      </c>
      <c r="FG80" s="363">
        <f>'Segment - Products'!FG232</f>
      </c>
      <c r="FH80" s="363">
        <f>'Segment - Products'!FH232</f>
      </c>
      <c r="FI80" s="363">
        <f>'Segment - Products'!FI232</f>
      </c>
      <c r="FJ80" s="363">
        <f>'Segment - Products'!FJ232</f>
      </c>
      <c r="FK80" s="363">
        <f>'Segment - Products'!FK232</f>
      </c>
      <c r="FL80" s="363">
        <f>'Segment - Products'!FL232</f>
      </c>
      <c r="FM80" s="363">
        <f>'Segment - Products'!FM232</f>
      </c>
      <c r="FN80" s="363">
        <f>'Segment - Products'!FN232</f>
      </c>
      <c r="FO80" s="363">
        <f>'Segment - Products'!FO232</f>
      </c>
      <c r="FP80" s="363">
        <f>'Segment - Products'!FP232</f>
      </c>
      <c r="FQ80" s="363">
        <f>'Segment - Products'!FQ232</f>
      </c>
      <c r="FR80" s="363">
        <f>'Segment - Products'!FR232</f>
      </c>
      <c r="FS80" s="363">
        <f>'Segment - Products'!FS232</f>
      </c>
      <c r="FT80" s="363">
        <f>'Segment - Products'!FT232</f>
      </c>
      <c r="FU80" s="363">
        <f>'Segment - Products'!FU232</f>
      </c>
      <c r="FV80" s="800"/>
      <c r="FW80" s="802"/>
      <c r="FX80" s="802"/>
      <c r="FY80" s="802"/>
      <c r="FZ80" s="802"/>
      <c r="GA80" s="802"/>
      <c r="GB80" s="802"/>
      <c r="GC80" s="802"/>
      <c r="GD80" s="802"/>
      <c r="GE80" s="802"/>
      <c r="GF80" s="802"/>
      <c r="GG80" s="802"/>
      <c r="GH80" s="802"/>
      <c r="GI80" s="803"/>
      <c r="GJ80" s="803"/>
      <c r="GK80" s="803"/>
      <c r="GL80" s="803"/>
      <c r="GM80" s="803"/>
      <c r="GN80" s="803"/>
      <c r="GO80" s="800"/>
      <c r="GP80" s="800"/>
      <c r="GQ80" s="800"/>
      <c r="GR80" s="800"/>
      <c r="GS80" s="800"/>
      <c r="GT80" s="800"/>
      <c r="GU80" s="800"/>
      <c r="GV80" s="800"/>
      <c r="GW80" s="800"/>
      <c r="GX80" s="800"/>
      <c r="GY80" s="800"/>
      <c r="GZ80" s="800"/>
      <c r="HA80" s="800"/>
      <c r="HB80" s="800"/>
      <c r="HC80" s="800"/>
      <c r="HD80" s="800"/>
      <c r="HE80" s="800"/>
    </row>
    <row r="81" spans="1:179" s="160" customFormat="1" ht="11.4">
      <c r="DB81" s="2644"/>
      <c r="DC81" s="2644"/>
      <c r="DD81" s="2644"/>
      <c r="DE81" s="2644"/>
      <c r="DF81" s="2644"/>
      <c r="DG81" s="2644"/>
      <c r="DH81" s="2644"/>
      <c r="DI81" s="2644"/>
      <c r="DJ81" s="2644"/>
      <c r="DK81" s="2643"/>
      <c r="DL81" s="2643"/>
      <c r="DM81" s="2643"/>
      <c r="DN81" s="2643"/>
      <c r="DO81" s="2643"/>
      <c r="DP81" s="2643"/>
      <c r="DQ81" s="2643"/>
      <c r="DR81" s="2643"/>
      <c r="DS81" s="2643"/>
      <c r="DT81" s="2643"/>
      <c r="DU81" s="2643"/>
      <c r="DV81" s="2643"/>
      <c r="DW81" s="2643"/>
      <c r="DX81" s="2643"/>
      <c r="DY81" s="2643"/>
      <c r="DZ81" s="2643"/>
      <c r="EA81" s="2643"/>
      <c r="EB81" s="2643"/>
      <c r="EC81" s="2643"/>
      <c r="ED81" s="2643"/>
      <c r="EE81" s="2643"/>
      <c r="EF81" s="2643"/>
      <c r="EG81" s="2643"/>
      <c r="EH81" s="2643"/>
      <c r="EI81" s="2643"/>
      <c r="EJ81" s="2643"/>
      <c r="EK81" s="2643"/>
      <c r="FJ81" s="3189"/>
      <c r="FK81" s="3189"/>
      <c r="FL81" s="3189"/>
      <c r="FM81" s="3189"/>
      <c r="FN81" s="3189"/>
    </row>
    <row r="82" spans="1:179" s="160" customFormat="1" ht="11.4">
      <c r="CL82" s="2644">
        <f>CL50-'Income Statement'!CL10+'Income Statement'!CL10-'Revenue summary'!CL49-'Revenue summary'!CL48</f>
      </c>
      <c r="CM82" s="2644">
        <f>CM50-'Income Statement'!CM10+'Income Statement'!CM10-'Revenue summary'!CM49-'Revenue summary'!CM48</f>
      </c>
      <c r="CN82" s="2644">
        <f>CN50-'Income Statement'!CN10+'Income Statement'!CN10-'Revenue summary'!CN49-'Revenue summary'!CN48</f>
      </c>
      <c r="CO82" s="2644">
        <f>CO50-'Income Statement'!CO10+'Income Statement'!CO10-'Revenue summary'!CO49-'Revenue summary'!CO48</f>
      </c>
      <c r="CP82" s="2644">
        <f>CP50-'Income Statement'!CP10+'Income Statement'!CP10-'Revenue summary'!CP49-'Revenue summary'!CP48</f>
      </c>
      <c r="CQ82" s="2644">
        <f>CQ50-'Income Statement'!CQ10+'Income Statement'!CQ10-'Revenue summary'!CQ49-'Revenue summary'!CQ48</f>
      </c>
      <c r="CR82" s="2644">
        <f>CR50-'Income Statement'!CR10+'Income Statement'!CR10-'Revenue summary'!CR49-'Revenue summary'!CR48</f>
      </c>
      <c r="CS82" s="2644">
        <f>CS50-'Income Statement'!CS10+'Income Statement'!CS10-'Revenue summary'!CS49-'Revenue summary'!CS48</f>
      </c>
      <c r="CT82" s="2644">
        <f>CT50-'Income Statement'!CT10+'Income Statement'!CT10-'Revenue summary'!CT49-'Revenue summary'!CT48</f>
      </c>
      <c r="CU82" s="2644">
        <f>CU50-'Income Statement'!CU10+'Income Statement'!CU10-'Revenue summary'!CU49-'Revenue summary'!CU48</f>
      </c>
      <c r="CV82" s="2644">
        <f>CV50-'Income Statement'!CV10+'Income Statement'!CV10-'Revenue summary'!CV49-'Revenue summary'!CV48</f>
      </c>
      <c r="CW82" s="2644">
        <f>CW50-'Income Statement'!CW10+'Income Statement'!CW10-'Revenue summary'!CW49-'Revenue summary'!CW48</f>
      </c>
      <c r="CX82" s="2644">
        <f>CX50-'Income Statement'!CX10+'Income Statement'!CX10-'Revenue summary'!CX49-'Revenue summary'!CX48</f>
      </c>
      <c r="CY82" s="2644">
        <f>CY50-'Income Statement'!CY10+'Income Statement'!CY10-'Revenue summary'!CY49-'Revenue summary'!CY48</f>
      </c>
      <c r="CZ82" s="2644">
        <f>CZ50-'Income Statement'!CZ10+'Income Statement'!CZ10-'Revenue summary'!CZ49-'Revenue summary'!CZ48</f>
      </c>
      <c r="DA82" s="2644">
        <f>DA50-'Income Statement'!DA10+'Income Statement'!DA10-'Revenue summary'!DA49-'Revenue summary'!DA48</f>
      </c>
      <c r="DB82" s="2644">
        <f>DB50-'Income Statement'!DB10+'Income Statement'!DB10-'Revenue summary'!DB49-'Revenue summary'!DB48</f>
      </c>
      <c r="DC82" s="2644">
        <f>DC50-'Income Statement'!DC10+'Income Statement'!DC10-'Revenue summary'!DC49-'Revenue summary'!DC48</f>
      </c>
      <c r="DD82" s="2644">
        <f>DD50-'Income Statement'!DD10+'Income Statement'!DD10-'Revenue summary'!DD49-'Revenue summary'!DD48</f>
      </c>
      <c r="DE82" s="2644">
        <f>DE50-'Income Statement'!DE10+'Income Statement'!DE10-'Revenue summary'!DE49-'Revenue summary'!DE48</f>
      </c>
      <c r="DF82" s="2644">
        <f>DF50-'Income Statement'!DF10+'Income Statement'!DF10-'Revenue summary'!DF49-'Revenue summary'!DF48</f>
      </c>
      <c r="DG82" s="2643"/>
      <c r="DH82" s="2643"/>
      <c r="DI82" s="2643"/>
      <c r="DJ82" s="2643"/>
      <c r="DK82" s="2643"/>
      <c r="DL82" s="2643"/>
      <c r="DM82" s="2643"/>
      <c r="DN82" s="2643"/>
      <c r="DO82" s="2643"/>
      <c r="DP82" s="2643"/>
      <c r="DQ82" s="2643"/>
      <c r="DR82" s="2643"/>
      <c r="DS82" s="2643"/>
      <c r="DT82" s="2643"/>
      <c r="DU82" s="2643"/>
      <c r="DV82" s="2643"/>
      <c r="DW82" s="2643"/>
      <c r="DX82" s="2643"/>
      <c r="DY82" s="2643"/>
      <c r="DZ82" s="2643"/>
      <c r="EA82" s="2643"/>
      <c r="EB82" s="2643"/>
      <c r="EC82" s="2643"/>
      <c r="ED82" s="2643"/>
      <c r="EE82" s="2643"/>
      <c r="EF82" s="2643"/>
      <c r="EG82" s="2643"/>
      <c r="EH82" s="2643"/>
      <c r="EI82" s="2643"/>
      <c r="EJ82" s="2643"/>
      <c r="EK82" s="2643"/>
    </row>
    <row r="83" spans="1:179" s="2523" customFormat="1" ht="11.4">
      <c r="A83" s="2523" t="s">
        <v>1647</v>
      </c>
      <c r="CE83" s="2647">
        <v>0.11</v>
      </c>
      <c r="DB83" s="2646"/>
      <c r="DC83" s="2646"/>
      <c r="DD83" s="2646"/>
      <c r="DE83" s="2646"/>
      <c r="DF83" s="2646"/>
      <c r="DG83" s="2646"/>
      <c r="DH83" s="2646"/>
      <c r="DI83" s="2646"/>
      <c r="DJ83" s="2646"/>
      <c r="DK83" s="2646"/>
      <c r="DL83" s="2646"/>
      <c r="DM83" s="2646"/>
      <c r="DN83" s="2646"/>
      <c r="DO83" s="3389">
        <v>0.15</v>
      </c>
      <c r="DP83" s="2646"/>
      <c r="DQ83" s="2646"/>
      <c r="DR83" s="2646"/>
      <c r="DS83" s="2646"/>
      <c r="DT83" s="2646"/>
      <c r="DU83" s="2646"/>
      <c r="DV83" s="2646"/>
      <c r="DW83" s="2646"/>
      <c r="DX83" s="2646"/>
      <c r="DY83" s="2646"/>
      <c r="DZ83" s="2646"/>
      <c r="EA83" s="2646"/>
      <c r="EB83" s="2646"/>
      <c r="EC83" s="2646"/>
      <c r="ED83" s="2646"/>
      <c r="EE83" s="2646"/>
      <c r="EF83" s="2646"/>
      <c r="EG83" s="2646"/>
      <c r="EH83" s="2646"/>
      <c r="EI83" s="2646"/>
      <c r="EJ83" s="2646"/>
      <c r="EK83" s="2646"/>
      <c r="FC83" s="2647"/>
      <c r="FD83" s="2647">
        <v>0.3</v>
      </c>
      <c r="FE83" s="2647">
        <v>0.28000000000000003</v>
      </c>
      <c r="FF83" s="2647">
        <v>0.26</v>
      </c>
      <c r="FG83" s="2647">
        <v>0.25</v>
      </c>
      <c r="FH83" s="2647">
        <v>0.28000000000000003</v>
      </c>
      <c r="FI83" s="2647">
        <v>0.28999999999999998</v>
      </c>
      <c r="FJ83" s="2647">
        <v>0.31</v>
      </c>
      <c r="FK83" s="2647">
        <v>0.34</v>
      </c>
      <c r="FL83" s="2647">
        <v>0.36</v>
      </c>
      <c r="FM83" s="2647">
        <v>0.38</v>
      </c>
      <c r="FN83" s="2647">
        <v>0.37</v>
      </c>
      <c r="FR83" s="160"/>
    </row>
    <row r="84" spans="1:179" s="2523" customFormat="1" ht="11.4">
      <c r="A84" s="2523" t="s">
        <v>1648</v>
      </c>
      <c r="CE84" s="2647">
        <v>0.75</v>
      </c>
      <c r="DB84" s="2646"/>
      <c r="DC84" s="2646"/>
      <c r="DD84" s="2646"/>
      <c r="DE84" s="2646"/>
      <c r="DF84" s="2646"/>
      <c r="DG84" s="2646"/>
      <c r="DH84" s="2646"/>
      <c r="DI84" s="2646"/>
      <c r="DJ84" s="2646"/>
      <c r="DK84" s="2646"/>
      <c r="DL84" s="2646"/>
      <c r="DM84" s="2646"/>
      <c r="DN84" s="2646"/>
      <c r="DO84" s="3389">
        <v>0.75</v>
      </c>
      <c r="DP84" s="2646"/>
      <c r="DQ84" s="2646"/>
      <c r="DR84" s="2646"/>
      <c r="DS84" s="2646"/>
      <c r="DT84" s="2646"/>
      <c r="DU84" s="2646"/>
      <c r="DV84" s="2646"/>
      <c r="DW84" s="2646"/>
      <c r="DX84" s="2646"/>
      <c r="DY84" s="2646"/>
      <c r="DZ84" s="2646"/>
      <c r="EA84" s="2646"/>
      <c r="EB84" s="2646"/>
      <c r="EC84" s="2646"/>
      <c r="ED84" s="2646"/>
      <c r="EE84" s="2646"/>
      <c r="EF84" s="2646"/>
      <c r="EG84" s="2646"/>
      <c r="EH84" s="2646"/>
      <c r="EI84" s="2646"/>
      <c r="EJ84" s="2646"/>
      <c r="EK84" s="2646"/>
      <c r="FC84" s="2647"/>
      <c r="FD84" s="2647">
        <v>0.7</v>
      </c>
      <c r="FE84" s="2647">
        <v>0.72</v>
      </c>
      <c r="FF84" s="2647">
        <v>0.74</v>
      </c>
      <c r="FG84" s="2647">
        <v>0.75</v>
      </c>
      <c r="FH84" s="2647">
        <v>0.72</v>
      </c>
      <c r="FI84" s="2647">
        <v>0.71</v>
      </c>
      <c r="FJ84" s="2647">
        <v>0.69</v>
      </c>
      <c r="FK84" s="2647">
        <v>0.66</v>
      </c>
      <c r="FL84" s="2647">
        <v>0.64</v>
      </c>
      <c r="FM84" s="2647">
        <v>0.62</v>
      </c>
      <c r="FN84" s="2647">
        <v>0.63</v>
      </c>
    </row>
    <row r="85" spans="1:179" s="160" customFormat="1" ht="11.4">
      <c r="DB85" s="2643"/>
      <c r="DC85" s="2643"/>
      <c r="DD85" s="2643"/>
      <c r="DE85" s="2643"/>
      <c r="DF85" s="2643"/>
      <c r="DG85" s="2643"/>
      <c r="DH85" s="2643"/>
      <c r="DI85" s="2643"/>
      <c r="DJ85" s="2643"/>
      <c r="DK85" s="2643"/>
      <c r="DL85" s="2643"/>
      <c r="DM85" s="2643"/>
      <c r="DN85" s="2643"/>
      <c r="DO85" s="2643"/>
      <c r="DP85" s="2643"/>
      <c r="DQ85" s="2643"/>
      <c r="DR85" s="2643"/>
      <c r="DS85" s="2643"/>
      <c r="DT85" s="2643"/>
      <c r="DU85" s="2643"/>
      <c r="DV85" s="2643"/>
      <c r="DW85" s="2643"/>
      <c r="DX85" s="2643"/>
      <c r="DY85" s="2643"/>
      <c r="DZ85" s="2643"/>
      <c r="EA85" s="2643"/>
      <c r="EB85" s="2643"/>
      <c r="EC85" s="2643"/>
      <c r="ED85" s="2643"/>
      <c r="EE85" s="2643"/>
      <c r="EF85" s="2643"/>
      <c r="EG85" s="2643"/>
      <c r="EH85" s="2643"/>
      <c r="EI85" s="2643"/>
      <c r="EJ85" s="2643"/>
      <c r="EK85" s="2643"/>
      <c r="FI85" s="2520"/>
      <c r="FJ85" s="2520"/>
      <c r="FK85" s="2520"/>
      <c r="FL85" s="2520"/>
      <c r="FM85" s="2520"/>
    </row>
    <row r="86" spans="1:179" s="160" customFormat="1" ht="11.4">
      <c r="DB86" s="2643"/>
      <c r="DC86" s="2643"/>
      <c r="DD86" s="2643"/>
      <c r="DE86" s="2643"/>
      <c r="DF86" s="2643"/>
      <c r="DG86" s="2643"/>
      <c r="DH86" s="2643"/>
      <c r="DI86" s="2643"/>
      <c r="DJ86" s="2643"/>
      <c r="DK86" s="2643"/>
      <c r="DL86" s="2643"/>
      <c r="DM86" s="2643"/>
      <c r="DN86" s="2643"/>
      <c r="DO86" s="2643"/>
      <c r="DP86" s="2643"/>
      <c r="DQ86" s="2643"/>
      <c r="DR86" s="2643"/>
      <c r="DS86" s="2643"/>
      <c r="DT86" s="2643"/>
      <c r="DU86" s="2643"/>
      <c r="DV86" s="2643"/>
      <c r="DW86" s="2643"/>
      <c r="DX86" s="2643"/>
      <c r="DY86" s="2643"/>
      <c r="DZ86" s="2643"/>
      <c r="EA86" s="2643"/>
      <c r="EB86" s="2643"/>
      <c r="EC86" s="2643"/>
      <c r="ED86" s="2643"/>
      <c r="EE86" s="2643"/>
      <c r="EF86" s="2643"/>
      <c r="EG86" s="2643"/>
      <c r="EH86" s="2643"/>
      <c r="EI86" s="2643"/>
      <c r="EJ86" s="2643"/>
      <c r="EK86" s="2643"/>
    </row>
    <row r="87" spans="1:179" s="160" customFormat="1" ht="11.4">
      <c r="DB87" s="2643"/>
      <c r="DC87" s="2643"/>
      <c r="DD87" s="2643"/>
      <c r="DE87" s="2643"/>
      <c r="DF87" s="2643"/>
      <c r="DG87" s="2643"/>
      <c r="DH87" s="2643"/>
      <c r="DI87" s="2643"/>
      <c r="DJ87" s="2643"/>
      <c r="DK87" s="2643"/>
      <c r="DL87" s="2643"/>
      <c r="DM87" s="2643"/>
      <c r="DN87" s="2643"/>
      <c r="DO87" s="2643"/>
      <c r="DP87" s="2643"/>
      <c r="DQ87" s="2643"/>
      <c r="DR87" s="2643"/>
      <c r="DS87" s="2643"/>
      <c r="DT87" s="2643"/>
      <c r="DU87" s="2643"/>
      <c r="DV87" s="2643"/>
      <c r="DW87" s="2643"/>
      <c r="DX87" s="2643"/>
      <c r="DY87" s="2643"/>
      <c r="DZ87" s="2643"/>
      <c r="EA87" s="2643"/>
      <c r="EB87" s="2643"/>
      <c r="EC87" s="2643"/>
      <c r="ED87" s="2643"/>
      <c r="EE87" s="2643"/>
      <c r="EF87" s="2643"/>
      <c r="EG87" s="2643"/>
      <c r="EH87" s="2643"/>
      <c r="EI87" s="2643"/>
      <c r="EJ87" s="2643"/>
      <c r="EK87" s="2643"/>
      <c r="FM87" s="3125" t="s">
        <v>2299</v>
      </c>
      <c r="FN87" s="2633"/>
      <c r="FO87" s="2633"/>
      <c r="FP87" s="2633"/>
      <c r="FQ87" s="2633"/>
      <c r="FS87" s="3125" t="s">
        <v>2302</v>
      </c>
      <c r="FT87" s="2633"/>
      <c r="FU87" s="2633"/>
      <c r="FV87" s="2633"/>
      <c r="FW87" s="2633"/>
    </row>
    <row r="88" spans="1:179" s="160" customFormat="1" ht="11.4">
      <c r="DB88" s="2643"/>
      <c r="DC88" s="2643"/>
      <c r="DD88" s="2643"/>
      <c r="DE88" s="2643"/>
      <c r="DF88" s="2643"/>
      <c r="DG88" s="2643"/>
      <c r="DH88" s="2643"/>
      <c r="DI88" s="2643"/>
      <c r="DJ88" s="2643"/>
      <c r="DK88" s="2643"/>
      <c r="DL88" s="2643"/>
      <c r="DM88" s="2643"/>
      <c r="DN88" s="2643"/>
      <c r="DO88" s="2643"/>
      <c r="DP88" s="2643"/>
      <c r="DQ88" s="2643"/>
      <c r="DR88" s="2643"/>
      <c r="DS88" s="2643"/>
      <c r="DT88" s="2643"/>
      <c r="DU88" s="2643"/>
      <c r="DV88" s="2643"/>
      <c r="DW88" s="2643"/>
      <c r="DX88" s="2643"/>
      <c r="DY88" s="2643"/>
      <c r="DZ88" s="2643"/>
      <c r="EA88" s="2643"/>
      <c r="EB88" s="2643"/>
      <c r="EC88" s="2643"/>
      <c r="ED88" s="2643"/>
      <c r="EE88" s="2643"/>
      <c r="EF88" s="2643"/>
      <c r="EG88" s="2643"/>
      <c r="EH88" s="2643"/>
      <c r="EI88" s="2643"/>
      <c r="EJ88" s="2643"/>
      <c r="EK88" s="2643"/>
      <c r="FM88" s="2570"/>
      <c r="FN88" s="3128" t="s">
        <v>2283</v>
      </c>
      <c r="FO88" s="3128" t="s">
        <v>2284</v>
      </c>
      <c r="FP88" s="3128" t="s">
        <v>2285</v>
      </c>
      <c r="FQ88" s="3128" t="s">
        <v>2286</v>
      </c>
      <c r="FS88" s="2570"/>
      <c r="FT88" s="3128" t="s">
        <v>2283</v>
      </c>
      <c r="FU88" s="3128" t="s">
        <v>2284</v>
      </c>
      <c r="FV88" s="3128" t="s">
        <v>2285</v>
      </c>
      <c r="FW88" s="3128" t="s">
        <v>2286</v>
      </c>
    </row>
    <row r="89" spans="1:179" s="160" customFormat="1" ht="11.4">
      <c r="DB89" s="2643"/>
      <c r="DC89" s="2643"/>
      <c r="DD89" s="2643"/>
      <c r="DE89" s="2643"/>
      <c r="DF89" s="2643"/>
      <c r="DG89" s="2643"/>
      <c r="DH89" s="2643"/>
      <c r="DI89" s="2643"/>
      <c r="DJ89" s="2643"/>
      <c r="DK89" s="2643"/>
      <c r="DL89" s="2643"/>
      <c r="DM89" s="2643"/>
      <c r="DN89" s="2643"/>
      <c r="DO89" s="2643"/>
      <c r="DP89" s="2643"/>
      <c r="DQ89" s="2643"/>
      <c r="DR89" s="2643"/>
      <c r="DS89" s="2643"/>
      <c r="DT89" s="2643"/>
      <c r="DU89" s="2643"/>
      <c r="DV89" s="2643"/>
      <c r="DW89" s="2643"/>
      <c r="DX89" s="2643"/>
      <c r="DY89" s="2643"/>
      <c r="DZ89" s="2643"/>
      <c r="EA89" s="2643"/>
      <c r="EB89" s="2643"/>
      <c r="EC89" s="2643"/>
      <c r="ED89" s="2643"/>
      <c r="EE89" s="2643"/>
      <c r="EF89" s="2643"/>
      <c r="EG89" s="2643"/>
      <c r="EH89" s="2643"/>
      <c r="EI89" s="2643"/>
      <c r="EJ89" s="2643"/>
      <c r="EK89" s="2643"/>
      <c r="FM89" s="3126" t="s">
        <v>2297</v>
      </c>
      <c r="FN89" s="3138">
        <f t="shared" ref="FN89:FQ100" si="407">VLOOKUP($A$31,$A$31:$EL$31,MATCH(CONCATENATE(FN$88,$FM89),$A$8:$EL$8,0),0)</f>
      </c>
      <c r="FO89" s="3138">
        <f t="shared" si="407"/>
      </c>
      <c r="FP89" s="3138">
        <f t="shared" si="407"/>
      </c>
      <c r="FQ89" s="3138">
        <f t="shared" si="407"/>
      </c>
      <c r="FR89" s="2523"/>
      <c r="FS89" s="3131" t="str">
        <f t="shared" ref="FS89:FS99" si="408">$FM89</f>
      </c>
      <c r="FT89" s="3139"/>
      <c r="FU89" s="3139"/>
      <c r="FV89" s="3139"/>
      <c r="FW89" s="3139"/>
    </row>
    <row r="90" spans="1:179" s="160" customFormat="1" ht="11.4">
      <c r="DB90" s="2643"/>
      <c r="DC90" s="2643"/>
      <c r="DD90" s="2643"/>
      <c r="DE90" s="2643"/>
      <c r="DF90" s="2643"/>
      <c r="DG90" s="2643"/>
      <c r="DH90" s="2643"/>
      <c r="DI90" s="2643"/>
      <c r="DJ90" s="2643"/>
      <c r="DK90" s="2643"/>
      <c r="DL90" s="2643"/>
      <c r="DM90" s="2643"/>
      <c r="DN90" s="2643"/>
      <c r="DO90" s="2643"/>
      <c r="DP90" s="2643"/>
      <c r="DQ90" s="2643"/>
      <c r="DR90" s="2643"/>
      <c r="DS90" s="2643"/>
      <c r="DT90" s="2643"/>
      <c r="DU90" s="2643"/>
      <c r="DV90" s="2643"/>
      <c r="DW90" s="2643"/>
      <c r="DX90" s="2643"/>
      <c r="DY90" s="2643"/>
      <c r="DZ90" s="2643"/>
      <c r="EA90" s="2643"/>
      <c r="EB90" s="2643"/>
      <c r="EC90" s="2643"/>
      <c r="ED90" s="2643"/>
      <c r="EE90" s="2643"/>
      <c r="EF90" s="2643"/>
      <c r="EG90" s="2643"/>
      <c r="EH90" s="2643"/>
      <c r="EI90" s="2643"/>
      <c r="EJ90" s="2643"/>
      <c r="EK90" s="2643"/>
      <c r="FM90" s="3126" t="s">
        <v>2296</v>
      </c>
      <c r="FN90" s="3138">
        <f t="shared" si="407"/>
      </c>
      <c r="FO90" s="3138">
        <f t="shared" si="407"/>
      </c>
      <c r="FP90" s="3138">
        <f t="shared" si="407"/>
      </c>
      <c r="FQ90" s="3138">
        <f t="shared" si="407"/>
      </c>
      <c r="FR90" s="2523"/>
      <c r="FS90" s="3131" t="str">
        <f t="shared" si="408"/>
      </c>
      <c r="FT90" s="3139"/>
      <c r="FU90" s="3139">
        <f t="shared" ref="FU90:FW102" si="409">VLOOKUP($A$33,$A$33:$EL$33,MATCH(CONCATENATE(FU$88,$FM90),$A$8:$EL$8,0),0)</f>
      </c>
      <c r="FV90" s="3139">
        <f t="shared" si="409"/>
      </c>
      <c r="FW90" s="3139">
        <f t="shared" si="409"/>
      </c>
    </row>
    <row r="91" spans="1:179" s="160" customFormat="1" ht="11.4">
      <c r="DB91" s="2643"/>
      <c r="DC91" s="2643"/>
      <c r="DD91" s="2643"/>
      <c r="DE91" s="2643"/>
      <c r="DF91" s="2643"/>
      <c r="DG91" s="2643"/>
      <c r="DH91" s="2643"/>
      <c r="DI91" s="2643"/>
      <c r="DJ91" s="2643"/>
      <c r="DK91" s="2643"/>
      <c r="DL91" s="2643"/>
      <c r="DM91" s="2643"/>
      <c r="DN91" s="2643"/>
      <c r="DO91" s="2643"/>
      <c r="DP91" s="2643"/>
      <c r="DQ91" s="2643"/>
      <c r="DR91" s="2643"/>
      <c r="DS91" s="2643"/>
      <c r="DT91" s="2643"/>
      <c r="DU91" s="2643"/>
      <c r="DV91" s="2643"/>
      <c r="DW91" s="2643"/>
      <c r="DX91" s="2643"/>
      <c r="DY91" s="2643"/>
      <c r="DZ91" s="2643"/>
      <c r="EA91" s="2643"/>
      <c r="EB91" s="2643"/>
      <c r="EC91" s="2643"/>
      <c r="ED91" s="2643"/>
      <c r="EE91" s="2643"/>
      <c r="EF91" s="2643"/>
      <c r="EG91" s="2643"/>
      <c r="EH91" s="2643"/>
      <c r="EI91" s="2643"/>
      <c r="EJ91" s="2643"/>
      <c r="EK91" s="2643"/>
      <c r="FM91" s="3126" t="s">
        <v>2295</v>
      </c>
      <c r="FN91" s="3138">
        <f t="shared" si="407"/>
      </c>
      <c r="FO91" s="3138">
        <f t="shared" si="407"/>
      </c>
      <c r="FP91" s="3138">
        <f t="shared" si="407"/>
      </c>
      <c r="FQ91" s="3138">
        <f t="shared" si="407"/>
      </c>
      <c r="FR91" s="2523"/>
      <c r="FS91" s="3131" t="str">
        <f t="shared" si="408"/>
      </c>
      <c r="FT91" s="3139">
        <f t="shared" ref="FT91:FT102" si="410">VLOOKUP($A$33,$A$33:$EL$33,MATCH(CONCATENATE(FT$88,$FM91),$A$8:$EL$8,0),0)</f>
      </c>
      <c r="FU91" s="3139">
        <f t="shared" si="409"/>
      </c>
      <c r="FV91" s="3139">
        <f t="shared" si="409"/>
      </c>
      <c r="FW91" s="3139">
        <f t="shared" si="409"/>
      </c>
    </row>
    <row r="92" spans="1:179" s="160" customFormat="1" ht="11.4">
      <c r="DB92" s="2643"/>
      <c r="DC92" s="2643"/>
      <c r="DD92" s="2643"/>
      <c r="DE92" s="2643"/>
      <c r="DF92" s="2643"/>
      <c r="DG92" s="2643"/>
      <c r="DH92" s="2643"/>
      <c r="DI92" s="2643"/>
      <c r="DJ92" s="2643"/>
      <c r="DK92" s="2643"/>
      <c r="DL92" s="2643"/>
      <c r="DM92" s="2643"/>
      <c r="DN92" s="2643"/>
      <c r="DO92" s="2643"/>
      <c r="DP92" s="2643"/>
      <c r="DQ92" s="2643"/>
      <c r="DR92" s="2643"/>
      <c r="DS92" s="2643"/>
      <c r="DT92" s="2643"/>
      <c r="DU92" s="2643"/>
      <c r="DV92" s="2643"/>
      <c r="DW92" s="2643"/>
      <c r="DX92" s="2643"/>
      <c r="DY92" s="2643"/>
      <c r="DZ92" s="2643"/>
      <c r="EA92" s="2643"/>
      <c r="EB92" s="2643"/>
      <c r="EC92" s="2643"/>
      <c r="ED92" s="2643"/>
      <c r="EE92" s="2643"/>
      <c r="EF92" s="2643"/>
      <c r="EG92" s="2643"/>
      <c r="EH92" s="2643"/>
      <c r="EI92" s="2643"/>
      <c r="EJ92" s="2643"/>
      <c r="EK92" s="2643"/>
      <c r="FM92" s="3126" t="s">
        <v>2294</v>
      </c>
      <c r="FN92" s="3138">
        <f t="shared" si="407"/>
      </c>
      <c r="FO92" s="3138">
        <f t="shared" si="407"/>
      </c>
      <c r="FP92" s="3138">
        <f t="shared" si="407"/>
      </c>
      <c r="FQ92" s="3138">
        <f t="shared" si="407"/>
      </c>
      <c r="FR92" s="2523"/>
      <c r="FS92" s="3131" t="str">
        <f t="shared" si="408"/>
      </c>
      <c r="FT92" s="3139">
        <f t="shared" si="410"/>
      </c>
      <c r="FU92" s="3139">
        <f t="shared" si="409"/>
      </c>
      <c r="FV92" s="3139">
        <f t="shared" si="409"/>
      </c>
      <c r="FW92" s="3139">
        <f t="shared" si="409"/>
      </c>
    </row>
    <row r="93" spans="1:179" s="160" customFormat="1" ht="11.4">
      <c r="DB93" s="2643"/>
      <c r="DC93" s="2643"/>
      <c r="DD93" s="2643"/>
      <c r="DE93" s="2643"/>
      <c r="DF93" s="2643"/>
      <c r="DG93" s="2643"/>
      <c r="DH93" s="2643"/>
      <c r="DI93" s="2643"/>
      <c r="DJ93" s="2643"/>
      <c r="DK93" s="2643"/>
      <c r="DL93" s="2643"/>
      <c r="DM93" s="2643"/>
      <c r="DN93" s="2643"/>
      <c r="DO93" s="2643"/>
      <c r="DP93" s="2643"/>
      <c r="DQ93" s="2643"/>
      <c r="DR93" s="2643"/>
      <c r="DS93" s="2643"/>
      <c r="DT93" s="2643"/>
      <c r="DU93" s="2643"/>
      <c r="DV93" s="2643"/>
      <c r="DW93" s="2643"/>
      <c r="DX93" s="2643"/>
      <c r="DY93" s="2643"/>
      <c r="DZ93" s="2643"/>
      <c r="EA93" s="2643"/>
      <c r="EB93" s="2643"/>
      <c r="EC93" s="2643"/>
      <c r="ED93" s="2643"/>
      <c r="EE93" s="2643"/>
      <c r="EF93" s="2643"/>
      <c r="EG93" s="2643"/>
      <c r="EH93" s="2643"/>
      <c r="EI93" s="2643"/>
      <c r="EJ93" s="2643"/>
      <c r="EK93" s="2643"/>
      <c r="FM93" s="3126" t="s">
        <v>2293</v>
      </c>
      <c r="FN93" s="3138">
        <f t="shared" si="407"/>
      </c>
      <c r="FO93" s="3138">
        <f t="shared" si="407"/>
      </c>
      <c r="FP93" s="3138">
        <f t="shared" si="407"/>
      </c>
      <c r="FQ93" s="3138">
        <f t="shared" si="407"/>
      </c>
      <c r="FR93" s="2523"/>
      <c r="FS93" s="3131" t="str">
        <f t="shared" si="408"/>
      </c>
      <c r="FT93" s="3139">
        <f t="shared" si="410"/>
      </c>
      <c r="FU93" s="3139">
        <f t="shared" si="409"/>
      </c>
      <c r="FV93" s="3139">
        <f t="shared" si="409"/>
      </c>
      <c r="FW93" s="3139">
        <f t="shared" si="409"/>
      </c>
    </row>
    <row r="94" spans="1:179" s="160" customFormat="1" ht="11.4">
      <c r="DB94" s="2643"/>
      <c r="DC94" s="2643"/>
      <c r="DD94" s="2643"/>
      <c r="DE94" s="2643"/>
      <c r="DF94" s="2643"/>
      <c r="DG94" s="2643"/>
      <c r="DH94" s="2643"/>
      <c r="DI94" s="2643"/>
      <c r="DJ94" s="2643"/>
      <c r="DK94" s="2643"/>
      <c r="DL94" s="2643"/>
      <c r="DM94" s="2643"/>
      <c r="DN94" s="2643"/>
      <c r="DO94" s="2643"/>
      <c r="DP94" s="2643"/>
      <c r="DQ94" s="2643"/>
      <c r="DR94" s="2643"/>
      <c r="DS94" s="2643"/>
      <c r="DT94" s="2643"/>
      <c r="DU94" s="2643"/>
      <c r="DV94" s="2643"/>
      <c r="DW94" s="2643"/>
      <c r="DX94" s="2643"/>
      <c r="DY94" s="2643"/>
      <c r="DZ94" s="2643"/>
      <c r="EA94" s="2643"/>
      <c r="EB94" s="2643"/>
      <c r="EC94" s="2643"/>
      <c r="ED94" s="2643"/>
      <c r="EE94" s="2643"/>
      <c r="EF94" s="2643"/>
      <c r="EG94" s="2643"/>
      <c r="EH94" s="2643"/>
      <c r="EI94" s="2643"/>
      <c r="EJ94" s="2643"/>
      <c r="EK94" s="2643"/>
      <c r="FM94" s="3126" t="s">
        <v>2292</v>
      </c>
      <c r="FN94" s="3130">
        <f t="shared" si="407"/>
      </c>
      <c r="FO94" s="3130">
        <f t="shared" si="407"/>
      </c>
      <c r="FP94" s="3130">
        <f t="shared" si="407"/>
      </c>
      <c r="FQ94" s="3130">
        <f t="shared" si="407"/>
      </c>
      <c r="FR94" s="2523"/>
      <c r="FS94" s="3131" t="str">
        <f t="shared" si="408"/>
      </c>
      <c r="FT94" s="3129">
        <f t="shared" si="410"/>
      </c>
      <c r="FU94" s="3129">
        <f t="shared" si="409"/>
      </c>
      <c r="FV94" s="3129">
        <f t="shared" si="409"/>
      </c>
      <c r="FW94" s="3129">
        <f t="shared" si="409"/>
      </c>
    </row>
    <row r="95" spans="1:179" s="160" customFormat="1" ht="11.4">
      <c r="DB95" s="2643"/>
      <c r="DC95" s="2643"/>
      <c r="DD95" s="2643"/>
      <c r="DE95" s="2643"/>
      <c r="DF95" s="2643"/>
      <c r="DG95" s="2643"/>
      <c r="DH95" s="2643"/>
      <c r="DI95" s="2643"/>
      <c r="DJ95" s="2643"/>
      <c r="DK95" s="2643"/>
      <c r="DL95" s="2643"/>
      <c r="DM95" s="2643"/>
      <c r="DN95" s="2643"/>
      <c r="DO95" s="2643"/>
      <c r="DP95" s="2643"/>
      <c r="DQ95" s="2643"/>
      <c r="DR95" s="2643"/>
      <c r="DS95" s="2643"/>
      <c r="DT95" s="2643"/>
      <c r="DU95" s="2643"/>
      <c r="DV95" s="2643"/>
      <c r="DW95" s="2643"/>
      <c r="DX95" s="2643"/>
      <c r="DY95" s="2643"/>
      <c r="DZ95" s="2643"/>
      <c r="EA95" s="2643"/>
      <c r="EB95" s="2643"/>
      <c r="EC95" s="2643"/>
      <c r="ED95" s="2643"/>
      <c r="EE95" s="2643"/>
      <c r="EF95" s="2643"/>
      <c r="EG95" s="2643"/>
      <c r="EH95" s="2643"/>
      <c r="EI95" s="2643"/>
      <c r="EJ95" s="2643"/>
      <c r="EK95" s="2643"/>
      <c r="FM95" s="3126" t="s">
        <v>2291</v>
      </c>
      <c r="FN95" s="3130">
        <f t="shared" si="407"/>
      </c>
      <c r="FO95" s="3130">
        <f t="shared" si="407"/>
      </c>
      <c r="FP95" s="3130">
        <f t="shared" si="407"/>
      </c>
      <c r="FQ95" s="3130">
        <f t="shared" si="407"/>
      </c>
      <c r="FR95" s="2523"/>
      <c r="FS95" s="3131" t="str">
        <f t="shared" si="408"/>
      </c>
      <c r="FT95" s="3129">
        <f t="shared" si="410"/>
      </c>
      <c r="FU95" s="3129">
        <f t="shared" si="409"/>
      </c>
      <c r="FV95" s="3129">
        <f t="shared" si="409"/>
      </c>
      <c r="FW95" s="3129">
        <f t="shared" si="409"/>
      </c>
    </row>
    <row r="96" spans="1:179" s="160" customFormat="1" ht="11.4">
      <c r="DB96" s="2643"/>
      <c r="DC96" s="2643"/>
      <c r="DD96" s="2643"/>
      <c r="DE96" s="2643"/>
      <c r="DF96" s="2643"/>
      <c r="DG96" s="2643"/>
      <c r="DH96" s="2643"/>
      <c r="DI96" s="2643"/>
      <c r="DJ96" s="2643"/>
      <c r="DK96" s="2643"/>
      <c r="DL96" s="2643"/>
      <c r="DM96" s="2643"/>
      <c r="DN96" s="2643"/>
      <c r="DO96" s="2643"/>
      <c r="DP96" s="2643"/>
      <c r="DQ96" s="2643"/>
      <c r="DR96" s="2643"/>
      <c r="DS96" s="2643"/>
      <c r="DT96" s="2643"/>
      <c r="DU96" s="2643"/>
      <c r="DV96" s="2643"/>
      <c r="DW96" s="2643"/>
      <c r="DX96" s="2643"/>
      <c r="DY96" s="2643"/>
      <c r="DZ96" s="2643"/>
      <c r="EA96" s="2643"/>
      <c r="EB96" s="2643"/>
      <c r="EC96" s="2643"/>
      <c r="ED96" s="2643"/>
      <c r="EE96" s="2643"/>
      <c r="EF96" s="2643"/>
      <c r="EG96" s="2643"/>
      <c r="EH96" s="2643"/>
      <c r="EI96" s="2643"/>
      <c r="EJ96" s="2643"/>
      <c r="EK96" s="2643"/>
      <c r="FM96" s="3126" t="s">
        <v>2290</v>
      </c>
      <c r="FN96" s="3130">
        <f t="shared" si="407"/>
      </c>
      <c r="FO96" s="3130">
        <f t="shared" si="407"/>
      </c>
      <c r="FP96" s="3130">
        <f t="shared" si="407"/>
      </c>
      <c r="FQ96" s="3130">
        <f t="shared" si="407"/>
      </c>
      <c r="FR96" s="2523"/>
      <c r="FS96" s="3131" t="str">
        <f t="shared" si="408"/>
      </c>
      <c r="FT96" s="3129">
        <f t="shared" si="410"/>
      </c>
      <c r="FU96" s="3129">
        <f t="shared" si="409"/>
      </c>
      <c r="FV96" s="3129">
        <f t="shared" si="409"/>
      </c>
      <c r="FW96" s="3129">
        <f t="shared" si="409"/>
      </c>
    </row>
    <row r="97" spans="106:179" s="160" customFormat="1" ht="11.4">
      <c r="DB97" s="2643"/>
      <c r="DC97" s="2643"/>
      <c r="DD97" s="2643"/>
      <c r="DE97" s="2643"/>
      <c r="DF97" s="2643"/>
      <c r="DG97" s="2643"/>
      <c r="DH97" s="2643"/>
      <c r="DI97" s="2643"/>
      <c r="DJ97" s="2643"/>
      <c r="DK97" s="2643"/>
      <c r="DL97" s="2643"/>
      <c r="DM97" s="2643"/>
      <c r="DN97" s="2643"/>
      <c r="DO97" s="2643"/>
      <c r="DP97" s="2643"/>
      <c r="DQ97" s="2643"/>
      <c r="DR97" s="2643"/>
      <c r="DS97" s="2643"/>
      <c r="DT97" s="2643"/>
      <c r="DU97" s="2643"/>
      <c r="DV97" s="2643"/>
      <c r="DW97" s="2643"/>
      <c r="DX97" s="2643"/>
      <c r="DY97" s="2643"/>
      <c r="DZ97" s="2643"/>
      <c r="EA97" s="2643"/>
      <c r="EB97" s="2643"/>
      <c r="EC97" s="2643"/>
      <c r="ED97" s="2643"/>
      <c r="EE97" s="2643"/>
      <c r="EF97" s="2643"/>
      <c r="EG97" s="2643"/>
      <c r="EH97" s="2643"/>
      <c r="EI97" s="2643"/>
      <c r="EJ97" s="2643"/>
      <c r="EK97" s="2643"/>
      <c r="FM97" s="3126" t="s">
        <v>2289</v>
      </c>
      <c r="FN97" s="3130">
        <f t="shared" si="407"/>
      </c>
      <c r="FO97" s="3130">
        <f t="shared" si="407"/>
      </c>
      <c r="FP97" s="3130">
        <f t="shared" si="407"/>
      </c>
      <c r="FQ97" s="3130">
        <f t="shared" si="407"/>
      </c>
      <c r="FR97" s="2523"/>
      <c r="FS97" s="3131" t="str">
        <f t="shared" si="408"/>
      </c>
      <c r="FT97" s="3129">
        <f t="shared" si="410"/>
      </c>
      <c r="FU97" s="3129">
        <f t="shared" si="409"/>
      </c>
      <c r="FV97" s="3129">
        <f t="shared" si="409"/>
      </c>
      <c r="FW97" s="3129">
        <f t="shared" si="409"/>
      </c>
    </row>
    <row r="98" spans="106:179">
      <c r="FM98" s="3126" t="s">
        <v>2288</v>
      </c>
      <c r="FN98" s="3130">
        <f t="shared" si="407"/>
      </c>
      <c r="FO98" s="3130">
        <f t="shared" si="407"/>
      </c>
      <c r="FP98" s="3130">
        <f t="shared" si="407"/>
      </c>
      <c r="FQ98" s="3130">
        <f t="shared" si="407"/>
      </c>
      <c r="FR98" s="3132"/>
      <c r="FS98" s="3131" t="str">
        <f t="shared" si="408"/>
      </c>
      <c r="FT98" s="3129">
        <f t="shared" si="410"/>
      </c>
      <c r="FU98" s="3129">
        <f t="shared" si="409"/>
      </c>
      <c r="FV98" s="3129">
        <f t="shared" si="409"/>
      </c>
      <c r="FW98" s="3129">
        <f t="shared" si="409"/>
      </c>
    </row>
    <row r="99" spans="106:179">
      <c r="FM99" s="3126" t="s">
        <v>2287</v>
      </c>
      <c r="FN99" s="3130">
        <f t="shared" si="407"/>
      </c>
      <c r="FO99" s="3130">
        <f t="shared" si="407"/>
      </c>
      <c r="FP99" s="3130">
        <f t="shared" si="407"/>
      </c>
      <c r="FQ99" s="3130">
        <f t="shared" si="407"/>
      </c>
      <c r="FR99" s="3132"/>
      <c r="FS99" s="3131" t="str">
        <f t="shared" si="408"/>
      </c>
      <c r="FT99" s="3129">
        <f t="shared" si="410"/>
      </c>
      <c r="FU99" s="3129">
        <f t="shared" si="409"/>
      </c>
      <c r="FV99" s="3129">
        <f t="shared" si="409"/>
      </c>
      <c r="FW99" s="3129">
        <f t="shared" si="409"/>
      </c>
    </row>
    <row r="100" spans="106:179">
      <c r="FM100" s="3284" t="s">
        <v>2328</v>
      </c>
      <c r="FN100" s="3130">
        <f t="shared" si="407"/>
      </c>
      <c r="FO100" s="3130">
        <f t="shared" si="407"/>
      </c>
      <c r="FP100" s="3130">
        <f t="shared" si="407"/>
      </c>
      <c r="FQ100" s="3130">
        <f t="shared" si="407"/>
      </c>
      <c r="FR100" s="3132"/>
      <c r="FS100" s="3133" t="str">
        <f>$FM100</f>
      </c>
      <c r="FT100" s="3129">
        <f>VLOOKUP($A$33,$A$33:$EL$33,MATCH(CONCATENATE(FT$88,LEFT($FM100,3)),$A$8:$EL$8,0),0)</f>
      </c>
      <c r="FU100" s="3129">
        <f>VLOOKUP($A$33,$A$33:$EL$33,MATCH(CONCATENATE(FU$88,LEFT($FM100,3)),$A$8:$EL$8,0),0)</f>
      </c>
      <c r="FV100" s="3129">
        <f>VLOOKUP($A$33,$A$33:$EL$33,MATCH(CONCATENATE(FV$88,LEFT($FM100,3)),$A$8:$EL$8,0),0)</f>
      </c>
      <c r="FW100" s="3129">
        <f>VLOOKUP($A$33,$A$33:$EL$33,MATCH(CONCATENATE(FW$88,LEFT($FM100,3)),$A$8:$EL$8,0),0)</f>
      </c>
    </row>
    <row r="101" spans="106:179">
      <c r="FM101" s="3213" t="s">
        <v>2304</v>
      </c>
      <c r="FN101" s="2634">
        <f>VLOOKUP($A$31,$A$31:$EL$31,MATCH(CONCATENATE(FN$88,LEFT($FM101,3)),$A$8:$EL$8,0),0)</f>
      </c>
      <c r="FO101" s="3130">
        <f>VLOOKUP($A$31,$A$31:$EL$31,MATCH(CONCATENATE(FO$88,LEFT($FM101,3)),$A$8:$EL$8,0),0)</f>
      </c>
      <c r="FP101" s="3216" t="e">
        <f t="shared" ref="FN101:FQ102" si="411">VLOOKUP($A$31,$A$31:$EL$31,MATCH(CONCATENATE(FP$88,$FM101),$A$8:$EL$8,0),0)</f>
      </c>
      <c r="FQ101" s="3216">
        <f>VLOOKUP($A$31,$A$31:$EL$31,MATCH(CONCATENATE(FQ$88,$FM101),$A$8:$EL$8,0),0)</f>
      </c>
      <c r="FR101" s="3132"/>
      <c r="FS101" s="3133" t="str">
        <f t="shared" ref="FS101:FS102" si="412">$FM101</f>
      </c>
      <c r="FT101" s="2634">
        <f>VLOOKUP($A$33,$A$33:$EL$33,MATCH(CONCATENATE(FT$88,LEFT($FM101,3)),$A$8:$EL$8,0),0)</f>
      </c>
      <c r="FU101" s="2634">
        <f>VLOOKUP($A$33,$A$33:$EL$33,MATCH(CONCATENATE(FU$88,LEFT($FM101,3)),$A$8:$EL$8,0),0)</f>
      </c>
      <c r="FV101" s="3216" t="e">
        <f t="shared" si="409"/>
      </c>
      <c r="FW101" s="3216">
        <f t="shared" si="409"/>
      </c>
    </row>
    <row r="102" spans="106:179">
      <c r="FM102" s="3213" t="s">
        <v>2305</v>
      </c>
      <c r="FN102" s="3216">
        <f t="shared" si="411"/>
      </c>
      <c r="FO102" s="3216">
        <f>VLOOKUP($A$31,$A$31:$EL$31,MATCH(CONCATENATE(FO$88,$FM102),$A$8:$EL$8,0),0)</f>
      </c>
      <c r="FP102" s="3216">
        <f t="shared" si="411"/>
      </c>
      <c r="FQ102" s="3216">
        <f t="shared" si="411"/>
      </c>
      <c r="FR102" s="3132"/>
      <c r="FS102" s="3133" t="str">
        <f t="shared" si="412"/>
      </c>
      <c r="FT102" s="3216">
        <f t="shared" si="410"/>
      </c>
      <c r="FU102" s="3216">
        <f t="shared" si="409"/>
      </c>
      <c r="FV102" s="3216">
        <f t="shared" si="409"/>
      </c>
      <c r="FW102" s="3216">
        <f t="shared" si="409"/>
      </c>
    </row>
    <row r="103" spans="106:179">
      <c r="FN103" s="3132"/>
      <c r="FO103" s="3132"/>
      <c r="FP103" s="3132"/>
      <c r="FQ103" s="3132"/>
      <c r="FR103" s="3132"/>
      <c r="FS103" s="3132"/>
      <c r="FT103" s="3132"/>
      <c r="FU103" s="3132"/>
      <c r="FV103" s="3132"/>
      <c r="FW103" s="3132"/>
    </row>
    <row r="104" spans="106:179">
      <c r="FM104" s="3125" t="s">
        <v>2301</v>
      </c>
      <c r="FN104" s="3134"/>
      <c r="FO104" s="3134"/>
      <c r="FP104" s="3134"/>
      <c r="FQ104" s="3134"/>
      <c r="FR104" s="3132"/>
      <c r="FS104" s="3135" t="s">
        <v>2303</v>
      </c>
      <c r="FT104" s="3134"/>
      <c r="FU104" s="3134"/>
      <c r="FV104" s="3134"/>
      <c r="FW104" s="3134"/>
    </row>
    <row r="105" spans="106:179">
      <c r="FM105" s="2570"/>
      <c r="FN105" s="3136" t="s">
        <v>2283</v>
      </c>
      <c r="FO105" s="3136" t="s">
        <v>2284</v>
      </c>
      <c r="FP105" s="3136" t="s">
        <v>2285</v>
      </c>
      <c r="FQ105" s="3136" t="s">
        <v>2286</v>
      </c>
      <c r="FR105" s="3132"/>
      <c r="FS105" s="3137"/>
      <c r="FT105" s="3136" t="s">
        <v>2283</v>
      </c>
      <c r="FU105" s="3136" t="s">
        <v>2284</v>
      </c>
      <c r="FV105" s="3136" t="s">
        <v>2285</v>
      </c>
      <c r="FW105" s="3136" t="s">
        <v>2286</v>
      </c>
    </row>
    <row r="106" spans="106:179">
      <c r="FM106" s="3126" t="str">
        <f t="shared" ref="FM106:FM119" si="413">$FM89</f>
      </c>
      <c r="FN106" s="3138">
        <f>VLOOKUP($A$32,$A$32:$EL$32,MATCH(CONCATENATE(FN$88,$FM106),$A$8:$EL$8,0),0)</f>
      </c>
      <c r="FO106" s="3138">
        <f t="shared" ref="FN106:FQ119" si="414">VLOOKUP($A$32,$A$32:$EL$32,MATCH(CONCATENATE(FO$88,$FM106),$A$8:$EL$8,0),0)</f>
      </c>
      <c r="FP106" s="3138">
        <f t="shared" si="414"/>
      </c>
      <c r="FQ106" s="3138">
        <f t="shared" si="414"/>
      </c>
      <c r="FR106" s="3132"/>
      <c r="FS106" s="3131" t="str">
        <f t="shared" ref="FS106:FS119" si="415">$FM89</f>
      </c>
      <c r="FT106" s="3138">
        <f>VLOOKUP($A$34,$A$34:$EL$34,MATCH(CONCATENATE(FT$88,$FM106),$A$8:$EL$8,0),0)</f>
      </c>
      <c r="FU106" s="3138">
        <f t="shared" ref="FT106:FW119" si="416">VLOOKUP($A$34,$A$34:$EL$34,MATCH(CONCATENATE(FU$88,$FM106),$A$8:$EL$8,0),0)</f>
      </c>
      <c r="FV106" s="3138">
        <f t="shared" si="416"/>
      </c>
      <c r="FW106" s="3138">
        <f t="shared" si="416"/>
      </c>
    </row>
    <row r="107" spans="106:179">
      <c r="FM107" s="3126" t="str">
        <f t="shared" si="413"/>
      </c>
      <c r="FN107" s="3138">
        <f t="shared" ref="FN107:FN116" si="417">VLOOKUP($A$32,$A$32:$EL$32,MATCH(CONCATENATE(FN$88,$FM107),$A$8:$EL$8,0),0)</f>
      </c>
      <c r="FO107" s="3138">
        <f t="shared" si="414"/>
      </c>
      <c r="FP107" s="3138">
        <f t="shared" si="414"/>
      </c>
      <c r="FQ107" s="3138">
        <f t="shared" si="414"/>
      </c>
      <c r="FR107" s="3132"/>
      <c r="FS107" s="3131" t="str">
        <f t="shared" si="415"/>
      </c>
      <c r="FT107" s="3138">
        <f t="shared" ref="FT107:FT116" si="418">VLOOKUP($A$34,$A$34:$EL$34,MATCH(CONCATENATE(FT$88,$FM107),$A$8:$EL$8,0),0)</f>
      </c>
      <c r="FU107" s="3138">
        <f t="shared" si="416"/>
      </c>
      <c r="FV107" s="3138">
        <f t="shared" si="416"/>
      </c>
      <c r="FW107" s="3138">
        <f t="shared" si="416"/>
      </c>
    </row>
    <row r="108" spans="106:179">
      <c r="FM108" s="3126" t="str">
        <f t="shared" si="413"/>
      </c>
      <c r="FN108" s="3138">
        <f t="shared" si="417"/>
      </c>
      <c r="FO108" s="3138">
        <f t="shared" si="414"/>
      </c>
      <c r="FP108" s="3138">
        <f t="shared" si="414"/>
      </c>
      <c r="FQ108" s="3138">
        <f t="shared" si="414"/>
      </c>
      <c r="FR108" s="3132"/>
      <c r="FS108" s="3131" t="str">
        <f t="shared" si="415"/>
      </c>
      <c r="FT108" s="3138">
        <f t="shared" si="418"/>
      </c>
      <c r="FU108" s="3138">
        <f t="shared" si="416"/>
      </c>
      <c r="FV108" s="3138">
        <f t="shared" si="416"/>
      </c>
      <c r="FW108" s="3138">
        <f t="shared" si="416"/>
      </c>
    </row>
    <row r="109" spans="106:179">
      <c r="FM109" s="3126" t="str">
        <f t="shared" si="413"/>
      </c>
      <c r="FN109" s="3138">
        <f t="shared" si="417"/>
      </c>
      <c r="FO109" s="3138">
        <f t="shared" si="414"/>
      </c>
      <c r="FP109" s="3138">
        <f t="shared" si="414"/>
      </c>
      <c r="FQ109" s="3138">
        <f t="shared" si="414"/>
      </c>
      <c r="FR109" s="3132"/>
      <c r="FS109" s="3131" t="str">
        <f t="shared" si="415"/>
      </c>
      <c r="FT109" s="3138">
        <f t="shared" si="418"/>
      </c>
      <c r="FU109" s="3138">
        <f t="shared" si="416"/>
      </c>
      <c r="FV109" s="3138">
        <f t="shared" si="416"/>
      </c>
      <c r="FW109" s="3138">
        <f t="shared" si="416"/>
      </c>
    </row>
    <row r="110" spans="106:179">
      <c r="FM110" s="3126" t="str">
        <f t="shared" si="413"/>
      </c>
      <c r="FN110" s="3138">
        <f t="shared" si="417"/>
      </c>
      <c r="FO110" s="3138">
        <f t="shared" si="414"/>
      </c>
      <c r="FP110" s="3138">
        <f t="shared" si="414"/>
      </c>
      <c r="FQ110" s="3138">
        <f t="shared" si="414"/>
      </c>
      <c r="FR110" s="3132"/>
      <c r="FS110" s="3131" t="str">
        <f t="shared" si="415"/>
      </c>
      <c r="FT110" s="3138">
        <f t="shared" si="418"/>
      </c>
      <c r="FU110" s="3138">
        <f t="shared" si="416"/>
      </c>
      <c r="FV110" s="3138">
        <f t="shared" si="416"/>
      </c>
      <c r="FW110" s="3138">
        <f t="shared" si="416"/>
      </c>
    </row>
    <row r="111" spans="106:179">
      <c r="FM111" s="3126" t="str">
        <f t="shared" si="413"/>
      </c>
      <c r="FN111" s="3130">
        <f t="shared" si="417"/>
      </c>
      <c r="FO111" s="3130">
        <f t="shared" si="414"/>
      </c>
      <c r="FP111" s="3130">
        <f t="shared" si="414"/>
      </c>
      <c r="FQ111" s="3130">
        <f t="shared" si="414"/>
      </c>
      <c r="FR111" s="3132"/>
      <c r="FS111" s="3131" t="str">
        <f t="shared" si="415"/>
      </c>
      <c r="FT111" s="3130">
        <f t="shared" si="418"/>
      </c>
      <c r="FU111" s="3130">
        <f t="shared" si="416"/>
      </c>
      <c r="FV111" s="3130">
        <f t="shared" si="416"/>
      </c>
      <c r="FW111" s="3130">
        <f t="shared" si="416"/>
      </c>
    </row>
    <row r="112" spans="106:179">
      <c r="FM112" s="3126" t="str">
        <f t="shared" si="413"/>
      </c>
      <c r="FN112" s="3130">
        <f t="shared" si="417"/>
      </c>
      <c r="FO112" s="3130">
        <f t="shared" si="414"/>
      </c>
      <c r="FP112" s="3130">
        <f t="shared" si="414"/>
      </c>
      <c r="FQ112" s="3130">
        <f t="shared" si="414"/>
      </c>
      <c r="FR112" s="3132"/>
      <c r="FS112" s="3131" t="str">
        <f t="shared" si="415"/>
      </c>
      <c r="FT112" s="3130">
        <f t="shared" si="418"/>
      </c>
      <c r="FU112" s="3130">
        <f t="shared" si="416"/>
      </c>
      <c r="FV112" s="3130">
        <f t="shared" si="416"/>
      </c>
      <c r="FW112" s="3130">
        <f t="shared" si="416"/>
      </c>
    </row>
    <row r="113" spans="169:179">
      <c r="FM113" s="3126" t="str">
        <f t="shared" si="413"/>
      </c>
      <c r="FN113" s="3130">
        <f t="shared" si="417"/>
      </c>
      <c r="FO113" s="3130">
        <f t="shared" si="414"/>
      </c>
      <c r="FP113" s="3130">
        <f t="shared" si="414"/>
      </c>
      <c r="FQ113" s="3130">
        <f t="shared" si="414"/>
      </c>
      <c r="FR113" s="3132"/>
      <c r="FS113" s="3131" t="str">
        <f t="shared" si="415"/>
      </c>
      <c r="FT113" s="3130">
        <f t="shared" si="418"/>
      </c>
      <c r="FU113" s="3130">
        <f t="shared" si="416"/>
      </c>
      <c r="FV113" s="3130">
        <f t="shared" si="416"/>
      </c>
      <c r="FW113" s="3130">
        <f t="shared" si="416"/>
      </c>
    </row>
    <row r="114" spans="169:179">
      <c r="FM114" s="3126" t="str">
        <f t="shared" si="413"/>
      </c>
      <c r="FN114" s="3130">
        <f t="shared" si="417"/>
      </c>
      <c r="FO114" s="3130">
        <f t="shared" si="414"/>
      </c>
      <c r="FP114" s="3130">
        <f t="shared" si="414"/>
      </c>
      <c r="FQ114" s="3130">
        <f t="shared" si="414"/>
      </c>
      <c r="FR114" s="3132"/>
      <c r="FS114" s="3131" t="str">
        <f t="shared" si="415"/>
      </c>
      <c r="FT114" s="3130">
        <f t="shared" si="418"/>
      </c>
      <c r="FU114" s="3130">
        <f t="shared" si="416"/>
      </c>
      <c r="FV114" s="3130">
        <f t="shared" si="416"/>
      </c>
      <c r="FW114" s="3130">
        <f t="shared" si="416"/>
      </c>
    </row>
    <row r="115" spans="169:179">
      <c r="FM115" s="3126" t="str">
        <f t="shared" si="413"/>
      </c>
      <c r="FN115" s="3130">
        <f t="shared" si="417"/>
      </c>
      <c r="FO115" s="3130">
        <f t="shared" si="414"/>
      </c>
      <c r="FP115" s="3130">
        <f t="shared" si="414"/>
      </c>
      <c r="FQ115" s="3130">
        <f t="shared" si="414"/>
      </c>
      <c r="FR115" s="3132"/>
      <c r="FS115" s="3131" t="str">
        <f t="shared" si="415"/>
      </c>
      <c r="FT115" s="3130">
        <f t="shared" si="418"/>
      </c>
      <c r="FU115" s="3130">
        <f t="shared" si="416"/>
      </c>
      <c r="FV115" s="3130">
        <f t="shared" si="416"/>
      </c>
      <c r="FW115" s="3130">
        <f t="shared" si="416"/>
      </c>
    </row>
    <row r="116" spans="169:179">
      <c r="FM116" s="3126" t="str">
        <f t="shared" si="413"/>
      </c>
      <c r="FN116" s="3130">
        <f t="shared" si="417"/>
      </c>
      <c r="FO116" s="3130">
        <f t="shared" si="414"/>
      </c>
      <c r="FP116" s="3130">
        <f t="shared" si="414"/>
      </c>
      <c r="FQ116" s="3130">
        <f t="shared" si="414"/>
      </c>
      <c r="FR116" s="3132"/>
      <c r="FS116" s="3131" t="str">
        <f t="shared" si="415"/>
      </c>
      <c r="FT116" s="3130">
        <f t="shared" si="418"/>
      </c>
      <c r="FU116" s="3130">
        <f t="shared" si="416"/>
      </c>
      <c r="FV116" s="3130">
        <f t="shared" si="416"/>
      </c>
      <c r="FW116" s="3130">
        <f t="shared" si="416"/>
      </c>
    </row>
    <row r="117" spans="169:179">
      <c r="FM117" s="3127" t="str">
        <f t="shared" si="413"/>
      </c>
      <c r="FN117" s="3130">
        <f>VLOOKUP($A$32,$A$32:$EL$32,MATCH(CONCATENATE(FN$88,LEFT($FM117,3)),$A$8:$EL$8,0),0)</f>
      </c>
      <c r="FO117" s="3130">
        <f>VLOOKUP($A$32,$A$32:$EL$32,MATCH(CONCATENATE(FO$88,LEFT($FM117,3)),$A$8:$EL$8,0),0)</f>
      </c>
      <c r="FP117" s="3130">
        <f>VLOOKUP($A$32,$A$32:$EL$32,MATCH(CONCATENATE(FP$88,LEFT($FM117,3)),$A$8:$EL$8,0),0)</f>
      </c>
      <c r="FQ117" s="3130">
        <f>VLOOKUP($A$32,$A$32:$EL$32,MATCH(CONCATENATE(FQ$88,LEFT($FM117,3)),$A$8:$EL$8,0),0)</f>
      </c>
      <c r="FR117" s="3132"/>
      <c r="FS117" s="3133" t="str">
        <f t="shared" si="415"/>
      </c>
      <c r="FT117" s="3130">
        <f>VLOOKUP($A$34,$A$34:$EL$34,MATCH(CONCATENATE(FT$88,LEFT($FM117,3)),$A$8:$EL$8,0),0)</f>
      </c>
      <c r="FU117" s="3130">
        <f>VLOOKUP($A$34,$A$34:$EL$34,MATCH(CONCATENATE(FU$88,LEFT($FM117,3)),$A$8:$EL$8,0),0)</f>
      </c>
      <c r="FV117" s="3130">
        <f>VLOOKUP($A$34,$A$34:$EL$34,MATCH(CONCATENATE(FV$88,LEFT($FM117,3)),$A$8:$EL$8,0),0)</f>
      </c>
      <c r="FW117" s="3130">
        <f>VLOOKUP($A$34,$A$34:$EL$34,MATCH(CONCATENATE(FW$88,LEFT($FM117,3)),$A$8:$EL$8,0),0)</f>
      </c>
    </row>
    <row r="118" spans="169:179">
      <c r="FM118" s="3127" t="str">
        <f t="shared" si="413"/>
      </c>
      <c r="FN118" s="2634">
        <f>VLOOKUP($A$32,$A$32:$EL$32,MATCH(CONCATENATE(FN$88,LEFT($FM118,3)),$A$8:$EL$8,0),0)</f>
      </c>
      <c r="FO118" s="2634">
        <f>VLOOKUP($A$32,$A$32:$EL$32,MATCH(CONCATENATE(FO$88,LEFT($FM118,3)),$A$8:$EL$8,0),0)</f>
      </c>
      <c r="FP118" s="3216" t="e">
        <f t="shared" si="414"/>
      </c>
      <c r="FQ118" s="3216">
        <f t="shared" si="414"/>
      </c>
      <c r="FR118" s="3132"/>
      <c r="FS118" s="3133" t="str">
        <f t="shared" si="415"/>
      </c>
      <c r="FT118" s="2634">
        <f>VLOOKUP($A$34,$A$34:$EL$34,MATCH(CONCATENATE(FT$88,LEFT($FM118,3)),$A$8:$EL$8,0),0)</f>
      </c>
      <c r="FU118" s="2634">
        <f>VLOOKUP($A$34,$A$34:$EL$34,MATCH(CONCATENATE(FU$88,LEFT($FM118,3)),$A$8:$EL$8,0),0)</f>
      </c>
      <c r="FV118" s="3216" t="e">
        <f t="shared" si="416"/>
      </c>
      <c r="FW118" s="3216">
        <f t="shared" si="416"/>
      </c>
    </row>
    <row r="119" spans="169:179">
      <c r="FM119" s="3127" t="str">
        <f t="shared" si="413"/>
      </c>
      <c r="FN119" s="3216">
        <f t="shared" si="414"/>
      </c>
      <c r="FO119" s="3216">
        <f t="shared" si="414"/>
      </c>
      <c r="FP119" s="3216">
        <f t="shared" si="414"/>
      </c>
      <c r="FQ119" s="3216">
        <f t="shared" si="414"/>
      </c>
      <c r="FR119" s="3132"/>
      <c r="FS119" s="3133" t="str">
        <f t="shared" si="415"/>
      </c>
      <c r="FT119" s="3216">
        <f t="shared" si="416"/>
      </c>
      <c r="FU119" s="3216">
        <f t="shared" si="416"/>
      </c>
      <c r="FV119" s="3216">
        <f t="shared" si="416"/>
      </c>
      <c r="FW119" s="3216">
        <f t="shared" si="416"/>
      </c>
    </row>
    <row r="120" spans="169:179">
      <c r="FM120" s="3247"/>
      <c r="FN120" s="3130"/>
      <c r="FO120" s="3130"/>
      <c r="FP120" s="3130"/>
      <c r="FQ120" s="3130"/>
      <c r="FR120" s="3132"/>
      <c r="FS120" s="3248"/>
      <c r="FT120" s="3130"/>
      <c r="FU120" s="3130"/>
      <c r="FV120" s="3130"/>
      <c r="FW120" s="3130"/>
    </row>
    <row r="121" spans="169:179">
      <c r="FN121" s="3132"/>
      <c r="FO121" s="3132"/>
      <c r="FP121" s="3132"/>
      <c r="FQ121" s="3132"/>
      <c r="FR121" s="3132"/>
      <c r="FS121" s="3132"/>
      <c r="FT121" s="3132"/>
      <c r="FU121" s="3132"/>
      <c r="FV121" s="3132"/>
      <c r="FW121" s="3132"/>
    </row>
    <row r="122" spans="169:179">
      <c r="FM122" s="3125" t="s">
        <v>2300</v>
      </c>
      <c r="FN122" s="3134"/>
      <c r="FO122" s="3134"/>
      <c r="FP122" s="3134"/>
      <c r="FQ122" s="3134"/>
      <c r="FR122" s="3132"/>
      <c r="FS122" s="3132"/>
      <c r="FT122" s="3132"/>
      <c r="FU122" s="3132"/>
      <c r="FV122" s="3132"/>
      <c r="FW122" s="3132"/>
    </row>
    <row r="123" spans="169:179">
      <c r="FM123" s="2570"/>
      <c r="FN123" s="3136" t="s">
        <v>2283</v>
      </c>
      <c r="FO123" s="3136" t="s">
        <v>2284</v>
      </c>
      <c r="FP123" s="3136" t="s">
        <v>2285</v>
      </c>
      <c r="FQ123" s="3136" t="s">
        <v>2286</v>
      </c>
      <c r="FR123" s="3132"/>
      <c r="FS123" s="3132"/>
      <c r="FT123" s="3132"/>
      <c r="FU123" s="3132"/>
      <c r="FV123" s="3132"/>
      <c r="FW123" s="3132"/>
    </row>
    <row r="124" spans="169:179">
      <c r="FM124" s="3126" t="str">
        <f t="shared" ref="FM124:FM135" si="419">$FM106</f>
      </c>
      <c r="FN124" s="3138">
        <f>VLOOKUP($A$36,$A$36:$EL$36,MATCH(CONCATENATE(FN$88,$FM124),$A$8:$EL$8,0),0)</f>
      </c>
      <c r="FO124" s="3138">
        <f t="shared" ref="FN124:FQ137" si="420">VLOOKUP($A$36,$A$36:$EL$36,MATCH(CONCATENATE(FO$88,$FM124),$A$8:$EL$8,0),0)</f>
      </c>
      <c r="FP124" s="3138">
        <f t="shared" si="420"/>
      </c>
      <c r="FQ124" s="3138">
        <f t="shared" si="420"/>
      </c>
      <c r="FR124" s="3132"/>
      <c r="FS124" s="3132"/>
      <c r="FT124" s="3132"/>
      <c r="FU124" s="3132"/>
      <c r="FV124" s="3132"/>
      <c r="FW124" s="3132"/>
    </row>
    <row r="125" spans="169:179">
      <c r="FM125" s="3126" t="str">
        <f t="shared" si="419"/>
      </c>
      <c r="FN125" s="3138">
        <f t="shared" ref="FN125:FN134" si="421">VLOOKUP($A$36,$A$36:$EL$36,MATCH(CONCATENATE(FN$88,$FM125),$A$8:$EL$8,0),0)</f>
      </c>
      <c r="FO125" s="3138">
        <f t="shared" si="420"/>
      </c>
      <c r="FP125" s="3138">
        <f t="shared" si="420"/>
      </c>
      <c r="FQ125" s="3138">
        <f t="shared" si="420"/>
      </c>
      <c r="FR125" s="3132"/>
      <c r="FS125" s="3132"/>
      <c r="FT125" s="3132"/>
      <c r="FU125" s="3132"/>
      <c r="FV125" s="3132"/>
      <c r="FW125" s="3132"/>
    </row>
    <row r="126" spans="169:179">
      <c r="FM126" s="3126" t="str">
        <f t="shared" si="419"/>
      </c>
      <c r="FN126" s="3138">
        <f t="shared" si="421"/>
      </c>
      <c r="FO126" s="3138">
        <f t="shared" si="420"/>
      </c>
      <c r="FP126" s="3138">
        <f t="shared" si="420"/>
      </c>
      <c r="FQ126" s="3138">
        <f t="shared" si="420"/>
      </c>
      <c r="FR126" s="3132"/>
      <c r="FS126" s="3132"/>
      <c r="FT126" s="3132"/>
      <c r="FU126" s="3132"/>
      <c r="FV126" s="3132"/>
      <c r="FW126" s="3132"/>
    </row>
    <row r="127" spans="169:179">
      <c r="FM127" s="3126" t="str">
        <f t="shared" si="419"/>
      </c>
      <c r="FN127" s="3138">
        <f t="shared" si="421"/>
      </c>
      <c r="FO127" s="3138">
        <f t="shared" si="420"/>
      </c>
      <c r="FP127" s="3138">
        <f t="shared" si="420"/>
      </c>
      <c r="FQ127" s="3138">
        <f t="shared" si="420"/>
      </c>
      <c r="FR127" s="3132"/>
      <c r="FS127" s="3132"/>
      <c r="FT127" s="3132"/>
      <c r="FU127" s="3132"/>
      <c r="FV127" s="3132"/>
      <c r="FW127" s="3132"/>
    </row>
    <row r="128" spans="169:179">
      <c r="FM128" s="3126" t="str">
        <f t="shared" si="419"/>
      </c>
      <c r="FN128" s="3138">
        <f t="shared" si="421"/>
      </c>
      <c r="FO128" s="3138">
        <f t="shared" si="420"/>
      </c>
      <c r="FP128" s="3138">
        <f t="shared" si="420"/>
      </c>
      <c r="FQ128" s="3138">
        <f t="shared" si="420"/>
      </c>
      <c r="FR128" s="3132"/>
      <c r="FS128" s="3132"/>
      <c r="FT128" s="3132"/>
      <c r="FU128" s="3132"/>
      <c r="FV128" s="3132"/>
      <c r="FW128" s="3132"/>
    </row>
    <row r="129" spans="169:179">
      <c r="FM129" s="3126" t="str">
        <f t="shared" si="419"/>
      </c>
      <c r="FN129" s="3130">
        <f t="shared" si="421"/>
      </c>
      <c r="FO129" s="3130">
        <f t="shared" si="420"/>
      </c>
      <c r="FP129" s="3130">
        <f t="shared" si="420"/>
      </c>
      <c r="FQ129" s="3130">
        <f t="shared" si="420"/>
      </c>
      <c r="FR129" s="3132"/>
      <c r="FS129" s="3132"/>
      <c r="FT129" s="3132"/>
      <c r="FU129" s="3132"/>
      <c r="FV129" s="3132"/>
      <c r="FW129" s="3132"/>
    </row>
    <row r="130" spans="169:179">
      <c r="FM130" s="3126" t="str">
        <f t="shared" si="419"/>
      </c>
      <c r="FN130" s="3130">
        <f t="shared" si="421"/>
      </c>
      <c r="FO130" s="3130">
        <f t="shared" si="420"/>
      </c>
      <c r="FP130" s="3130">
        <f t="shared" si="420"/>
      </c>
      <c r="FQ130" s="3130">
        <f t="shared" si="420"/>
      </c>
      <c r="FR130" s="3132"/>
      <c r="FS130" s="3132"/>
      <c r="FT130" s="3132"/>
      <c r="FU130" s="3132"/>
      <c r="FV130" s="3132"/>
      <c r="FW130" s="3132"/>
    </row>
    <row r="131" spans="169:179">
      <c r="FM131" s="3126" t="str">
        <f t="shared" si="419"/>
      </c>
      <c r="FN131" s="3130">
        <f t="shared" si="421"/>
      </c>
      <c r="FO131" s="3130">
        <f t="shared" si="420"/>
      </c>
      <c r="FP131" s="3130">
        <f t="shared" si="420"/>
      </c>
      <c r="FQ131" s="3130">
        <f t="shared" si="420"/>
      </c>
      <c r="FR131" s="3132"/>
      <c r="FS131" s="3132"/>
      <c r="FT131" s="3132"/>
      <c r="FU131" s="3132"/>
      <c r="FV131" s="3132"/>
      <c r="FW131" s="3132"/>
    </row>
    <row r="132" spans="169:179">
      <c r="FM132" s="3126" t="str">
        <f t="shared" si="419"/>
      </c>
      <c r="FN132" s="3130">
        <f t="shared" si="421"/>
      </c>
      <c r="FO132" s="3130">
        <f t="shared" si="420"/>
      </c>
      <c r="FP132" s="3130">
        <f t="shared" si="420"/>
      </c>
      <c r="FQ132" s="3130">
        <f t="shared" si="420"/>
      </c>
      <c r="FR132" s="3132"/>
      <c r="FS132" s="3132"/>
      <c r="FT132" s="3132"/>
      <c r="FU132" s="3132"/>
      <c r="FV132" s="3132"/>
      <c r="FW132" s="3132"/>
    </row>
    <row r="133" spans="169:179">
      <c r="FM133" s="3126" t="str">
        <f t="shared" si="419"/>
      </c>
      <c r="FN133" s="3130">
        <f t="shared" si="421"/>
      </c>
      <c r="FO133" s="3130">
        <f t="shared" si="420"/>
      </c>
      <c r="FP133" s="3130">
        <f t="shared" si="420"/>
      </c>
      <c r="FQ133" s="3130">
        <f t="shared" si="420"/>
      </c>
      <c r="FR133" s="3132"/>
      <c r="FS133" s="3132"/>
      <c r="FT133" s="3132"/>
      <c r="FU133" s="3132"/>
      <c r="FV133" s="3132"/>
      <c r="FW133" s="3132"/>
    </row>
    <row r="134" spans="169:179">
      <c r="FM134" s="3126" t="str">
        <f t="shared" si="419"/>
      </c>
      <c r="FN134" s="3130">
        <f t="shared" si="421"/>
      </c>
      <c r="FO134" s="3130">
        <f t="shared" si="420"/>
      </c>
      <c r="FP134" s="3130">
        <f t="shared" si="420"/>
      </c>
      <c r="FQ134" s="3130">
        <f t="shared" si="420"/>
      </c>
      <c r="FR134" s="3132"/>
      <c r="FS134" s="3132"/>
      <c r="FT134" s="3132"/>
      <c r="FU134" s="3132"/>
      <c r="FV134" s="3132"/>
      <c r="FW134" s="3132"/>
    </row>
    <row r="135" spans="169:179">
      <c r="FM135" s="3127" t="str">
        <f t="shared" si="419"/>
      </c>
      <c r="FN135" s="3130">
        <f>VLOOKUP($A$36,$A$36:$EL$36,MATCH(CONCATENATE(FN$88,LEFT($FM135,3)),$A$8:$EL$8,0),0)</f>
      </c>
      <c r="FO135" s="3130">
        <f>VLOOKUP($A$36,$A$36:$EL$36,MATCH(CONCATENATE(FO$88,LEFT($FM135,3)),$A$8:$EL$8,0),0)</f>
      </c>
      <c r="FP135" s="3130">
        <f>VLOOKUP($A$36,$A$36:$EL$36,MATCH(CONCATENATE(FP$88,LEFT($FM135,3)),$A$8:$EL$8,0),0)</f>
      </c>
      <c r="FQ135" s="3130">
        <f>VLOOKUP($A$36,$A$36:$EL$36,MATCH(CONCATENATE(FQ$88,LEFT($FM135,3)),$A$8:$EL$8,0),0)</f>
      </c>
      <c r="FR135" s="3132"/>
      <c r="FS135" s="3132"/>
      <c r="FT135" s="3132"/>
      <c r="FU135" s="3132"/>
      <c r="FV135" s="3132"/>
      <c r="FW135" s="3132"/>
    </row>
    <row r="136" spans="169:179">
      <c r="FM136" s="3127" t="str">
        <f t="shared" ref="FM136:FM137" si="422">$FM118</f>
      </c>
      <c r="FN136" s="2634">
        <f>VLOOKUP($A$36,$A$36:$EL$36,MATCH(CONCATENATE(FN$88,LEFT($FM136,3)),$A$8:$EL$8,0),0)</f>
      </c>
      <c r="FO136" s="2634">
        <f>VLOOKUP($A$36,$A$36:$EL$36,MATCH(CONCATENATE(FO$88,LEFT($FM136,3)),$A$8:$EL$8,0),0)</f>
      </c>
      <c r="FP136" s="3216" t="e">
        <f t="shared" si="420"/>
      </c>
      <c r="FQ136" s="3216">
        <f t="shared" si="420"/>
      </c>
    </row>
    <row r="137" spans="169:179">
      <c r="FM137" s="3127" t="str">
        <f t="shared" si="422"/>
      </c>
      <c r="FN137" s="3216">
        <f t="shared" si="420"/>
      </c>
      <c r="FO137" s="3216">
        <f t="shared" si="420"/>
      </c>
      <c r="FP137" s="3216">
        <f t="shared" si="420"/>
      </c>
      <c r="FQ137" s="3216">
        <f t="shared" si="420"/>
      </c>
    </row>
  </sheetData>
  <pageMargins left="0.7" right="0.7" top="0.75" bottom="0.75" header="0.3" footer="0.3"/>
  <pageSetup scale="10" fitToHeight="10" orientation="landscape" r:id="rId1"/>
  <headerFooter>
    <oddFooter>&amp;L&amp;P/&amp;N&amp;R&amp;F
&amp;A
&amp;D</oddFooter>
  </headerFooter>
  <customProperties>
    <customPr name="Qube.Worksheet.Visibility" r:id="rId2"/>
    <customPr name="QXL_SHEET_ID" r:id="rId3"/>
  </customProperties>
  <drawing r:id="rId4"/>
  <legacyDrawing r:id="rId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30C41-55BC-4F57-A46B-848D4904904A}">
  <sheetPr>
    <pageSetUpPr fitToPage="1"/>
  </sheetPr>
  <dimension ref="A1:HF812"/>
  <sheetViews>
    <sheetView showGridLines="0" zoomScale="130" zoomScaleNormal="130" zoomScaleSheetLayoutView="85" workbookViewId="0">
      <pane xSplit="1" ySplit="9" topLeftCell="B10" activePane="bottomRight" state="frozen"/>
      <selection pane="topRight"/>
      <selection pane="bottomLeft"/>
      <selection pane="bottomRight"/>
    </sheetView>
  </sheetViews>
  <sheetFormatPr defaultRowHeight="13.8" outlineLevelRow="1" outlineLevelCol="2"/>
  <cols>
    <col min="1" max="1" width="40" customWidth="1"/>
    <col min="2" max="17" width="9" hidden="1" customWidth="1" outlineLevel="2"/>
    <col min="18" max="18" width="9" hidden="1" customWidth="1" outlineLevel="1" collapsed="1"/>
    <col min="19" max="85" width="9" hidden="1" customWidth="1" outlineLevel="1"/>
    <col min="86" max="86" width="9" hidden="1" customWidth="1" outlineLevel="1" collapsed="1"/>
    <col min="87" max="89" width="9" hidden="1" customWidth="1" outlineLevel="1"/>
    <col min="90" max="90" width="9" hidden="1" customWidth="1" outlineLevel="1" collapsed="1"/>
    <col min="91" max="93" width="9" hidden="1" customWidth="1" outlineLevel="1"/>
    <col min="94" max="94" width="7.09765625" hidden="1" customWidth="1" outlineLevel="1" collapsed="1"/>
    <col min="95" max="101" width="7.09765625" hidden="1" customWidth="1" outlineLevel="1"/>
    <col min="102" max="102" width="7.09765625" hidden="1" customWidth="1" outlineLevel="1" collapsed="1"/>
    <col min="103" max="105" width="7.09765625" hidden="1" customWidth="1" outlineLevel="1"/>
    <col min="106" max="106" width="7.09765625" hidden="1" customWidth="1" outlineLevel="1" collapsed="1"/>
    <col min="107" max="109" width="7.09765625" hidden="1" customWidth="1" outlineLevel="1"/>
    <col min="110" max="110" width="7.09765625" customWidth="1" collapsed="1"/>
    <col min="111" max="125" width="7.09765625" customWidth="1"/>
    <col min="126" max="141" width="7.09765625" hidden="1" customWidth="1" outlineLevel="1"/>
    <col min="142" max="142" width="8.69921875" collapsed="1"/>
    <col min="143" max="162" width="9" hidden="1" customWidth="1" outlineLevel="1"/>
    <col min="163" max="163" width="9" hidden="1" customWidth="1" outlineLevel="1" collapsed="1"/>
    <col min="164" max="164" width="9" hidden="1" customWidth="1" outlineLevel="1"/>
    <col min="165" max="165" width="9" hidden="1" customWidth="1" outlineLevel="1" collapsed="1"/>
    <col min="166" max="168" width="9" hidden="1" customWidth="1" outlineLevel="1"/>
    <col min="169" max="169" width="9" collapsed="1"/>
    <col min="175" max="177" width="9" hidden="1" customWidth="1" outlineLevel="1"/>
    <col min="178" max="178" width="9" collapsed="1"/>
    <col min="179" max="202" width="9" hidden="1" customWidth="1" outlineLevel="1"/>
    <col min="203" max="203" width="9" collapsed="1"/>
  </cols>
  <sheetData>
    <row r="1" spans="1:214" s="89" customFormat="1" ht="10.199999999999999">
      <c r="A1" s="152"/>
      <c r="E1" s="260"/>
      <c r="I1" s="260"/>
      <c r="M1" s="260"/>
      <c r="Q1" s="260"/>
      <c r="U1" s="260"/>
      <c r="Y1" s="260"/>
      <c r="AC1" s="260"/>
      <c r="AG1" s="260"/>
      <c r="AK1" s="260"/>
      <c r="AO1" s="260"/>
      <c r="AS1" s="260"/>
      <c r="AW1" s="260"/>
      <c r="BA1" s="260"/>
      <c r="BE1" s="260"/>
      <c r="BI1" s="260"/>
      <c r="BM1" s="260"/>
      <c r="BQ1" s="260"/>
      <c r="BU1" s="260"/>
      <c r="BY1" s="260"/>
      <c r="CC1" s="260"/>
      <c r="CG1" s="260"/>
      <c r="CK1" s="260"/>
      <c r="CO1" s="260"/>
      <c r="CS1" s="260"/>
      <c r="CW1" s="260"/>
      <c r="DA1" s="860"/>
      <c r="DE1" s="268"/>
      <c r="DG1" s="537"/>
      <c r="DH1" s="88"/>
      <c r="DI1" s="260"/>
      <c r="DM1" s="260"/>
      <c r="DP1" s="88"/>
      <c r="DQ1" s="260"/>
      <c r="DU1" s="260"/>
      <c r="DY1" s="260"/>
      <c r="EC1" s="260"/>
      <c r="EG1" s="260"/>
      <c r="EK1" s="260"/>
      <c r="FQ1" s="88"/>
    </row>
    <row r="2" spans="1:214" s="89" customFormat="1" ht="10.199999999999999">
      <c r="A2" s="152"/>
      <c r="E2" s="260"/>
      <c r="I2" s="260"/>
      <c r="M2" s="260"/>
      <c r="Q2" s="260"/>
      <c r="U2" s="260"/>
      <c r="Y2" s="260"/>
      <c r="AC2" s="260"/>
      <c r="AG2" s="260"/>
      <c r="AK2" s="260"/>
      <c r="AO2" s="260"/>
      <c r="AS2" s="260"/>
      <c r="AW2" s="260"/>
      <c r="BA2" s="260"/>
      <c r="BE2" s="260"/>
      <c r="BI2" s="260"/>
      <c r="BM2" s="260"/>
      <c r="BQ2" s="260"/>
      <c r="BU2" s="260"/>
      <c r="BY2" s="260"/>
      <c r="CC2" s="260"/>
      <c r="CG2" s="260"/>
      <c r="CK2" s="260"/>
      <c r="CO2" s="260"/>
      <c r="CS2" s="260"/>
      <c r="CW2" s="260"/>
      <c r="DA2" s="860"/>
      <c r="DE2" s="268"/>
      <c r="DG2" s="143"/>
      <c r="DH2" s="88"/>
      <c r="DI2" s="260"/>
      <c r="DK2" s="88"/>
      <c r="DL2" s="370"/>
      <c r="DM2" s="260"/>
      <c r="DN2" s="142"/>
      <c r="DO2" s="3357"/>
      <c r="DP2" s="3313"/>
      <c r="DQ2" s="260"/>
      <c r="DR2" s="3313"/>
      <c r="DU2" s="260"/>
      <c r="DY2" s="260"/>
      <c r="EC2" s="260"/>
      <c r="EG2" s="260"/>
      <c r="EK2" s="260"/>
      <c r="FN2" s="141"/>
      <c r="FP2" s="943"/>
      <c r="FQ2" s="88"/>
    </row>
    <row r="3" spans="1:214" s="89" customFormat="1" ht="22.8">
      <c r="A3" s="863" t="s">
        <v>0</v>
      </c>
      <c r="B3" s="152"/>
      <c r="E3" s="260"/>
      <c r="I3" s="260"/>
      <c r="M3" s="260"/>
      <c r="Q3" s="260"/>
      <c r="U3" s="260"/>
      <c r="Y3" s="260"/>
      <c r="AC3" s="260"/>
      <c r="AG3" s="260"/>
      <c r="AK3" s="260"/>
      <c r="AO3" s="260"/>
      <c r="AS3" s="260"/>
      <c r="AW3" s="260"/>
      <c r="BA3" s="260"/>
      <c r="BE3" s="260"/>
      <c r="BI3" s="260"/>
      <c r="BM3" s="260"/>
      <c r="BQ3" s="260"/>
      <c r="BU3" s="260"/>
      <c r="BV3" s="863"/>
      <c r="BW3" s="863"/>
      <c r="BY3" s="260"/>
      <c r="BZ3" s="863"/>
      <c r="CB3" s="62"/>
      <c r="CC3" s="260"/>
      <c r="CD3" s="863"/>
      <c r="CG3" s="864"/>
      <c r="CH3" s="865"/>
      <c r="CI3" s="865"/>
      <c r="CJ3" s="865"/>
      <c r="CK3" s="866"/>
      <c r="CL3" s="865"/>
      <c r="CM3" s="865"/>
      <c r="CN3" s="865"/>
      <c r="CO3" s="866"/>
      <c r="CP3" s="865"/>
      <c r="CQ3" s="865"/>
      <c r="CR3" s="865"/>
      <c r="CS3" s="866"/>
      <c r="CT3" s="428"/>
      <c r="CU3" s="428"/>
      <c r="CV3" s="428"/>
      <c r="CW3" s="429"/>
      <c r="CX3" s="428"/>
      <c r="CY3" s="428"/>
      <c r="CZ3" s="428"/>
      <c r="DA3" s="862"/>
      <c r="DB3" s="428"/>
      <c r="DC3" s="428"/>
      <c r="DD3" s="143"/>
      <c r="DE3" s="538"/>
      <c r="DF3" s="1086"/>
      <c r="DG3" s="2919"/>
      <c r="DH3" s="1086"/>
      <c r="DI3" s="429"/>
      <c r="DJ3" s="2734"/>
      <c r="DK3" s="3226"/>
      <c r="DL3" s="3226"/>
      <c r="DM3" s="429"/>
      <c r="DN3" s="142"/>
      <c r="DO3" s="1086"/>
      <c r="DP3" s="428"/>
      <c r="DQ3" s="429"/>
      <c r="DR3" s="428"/>
      <c r="DS3" s="428"/>
      <c r="DT3" s="428"/>
      <c r="DU3" s="429"/>
      <c r="DV3" s="428"/>
      <c r="DW3" s="428"/>
      <c r="DX3" s="428"/>
      <c r="DY3" s="429"/>
      <c r="DZ3" s="428"/>
      <c r="EA3" s="428"/>
      <c r="EB3" s="428"/>
      <c r="EC3" s="429"/>
      <c r="ED3" s="428"/>
      <c r="EE3" s="428"/>
      <c r="EF3" s="428"/>
      <c r="EG3" s="429"/>
      <c r="EH3" s="428"/>
      <c r="EI3" s="428"/>
      <c r="EJ3" s="428"/>
      <c r="EK3" s="429"/>
      <c r="EL3" s="322"/>
      <c r="FM3" s="88"/>
      <c r="FN3" s="141"/>
      <c r="FQ3" s="322"/>
    </row>
    <row r="4" spans="1:214" s="89" customFormat="1" ht="15.6">
      <c r="A4" s="867" t="s">
        <v>667</v>
      </c>
      <c r="B4" s="868"/>
      <c r="C4" s="869"/>
      <c r="D4" s="869"/>
      <c r="E4" s="261"/>
      <c r="F4" s="869"/>
      <c r="G4" s="869"/>
      <c r="H4" s="869"/>
      <c r="I4" s="261"/>
      <c r="J4" s="869"/>
      <c r="K4" s="869"/>
      <c r="L4" s="869"/>
      <c r="M4" s="261"/>
      <c r="N4" s="869"/>
      <c r="O4" s="869"/>
      <c r="P4" s="869"/>
      <c r="Q4" s="261"/>
      <c r="R4" s="869"/>
      <c r="S4" s="869"/>
      <c r="T4" s="869"/>
      <c r="U4" s="261"/>
      <c r="V4" s="869"/>
      <c r="W4" s="869"/>
      <c r="X4" s="869"/>
      <c r="Y4" s="261"/>
      <c r="Z4" s="869"/>
      <c r="AA4" s="869"/>
      <c r="AB4" s="869"/>
      <c r="AC4" s="261"/>
      <c r="AD4" s="869"/>
      <c r="AE4" s="869"/>
      <c r="AF4" s="869"/>
      <c r="AG4" s="261"/>
      <c r="AH4" s="869"/>
      <c r="AI4" s="869"/>
      <c r="AJ4" s="869"/>
      <c r="AK4" s="261"/>
      <c r="AL4" s="869"/>
      <c r="AM4" s="869"/>
      <c r="AN4" s="869"/>
      <c r="AO4" s="261"/>
      <c r="AP4" s="869"/>
      <c r="AQ4" s="869"/>
      <c r="AR4" s="869"/>
      <c r="AS4" s="261"/>
      <c r="AT4" s="869"/>
      <c r="AU4" s="869"/>
      <c r="AV4" s="869"/>
      <c r="AW4" s="261"/>
      <c r="AX4" s="869"/>
      <c r="AY4" s="869"/>
      <c r="AZ4" s="869"/>
      <c r="BA4" s="261"/>
      <c r="BB4" s="869"/>
      <c r="BC4" s="869"/>
      <c r="BD4" s="869"/>
      <c r="BE4" s="261"/>
      <c r="BF4" s="869"/>
      <c r="BG4" s="869"/>
      <c r="BH4" s="869"/>
      <c r="BI4" s="261"/>
      <c r="BJ4" s="869"/>
      <c r="BK4" s="869"/>
      <c r="BL4" s="869"/>
      <c r="BM4" s="261"/>
      <c r="BN4" s="869"/>
      <c r="BO4" s="869"/>
      <c r="BP4" s="869"/>
      <c r="BQ4" s="261"/>
      <c r="BR4" s="869"/>
      <c r="BS4" s="869"/>
      <c r="BT4" s="869"/>
      <c r="BU4" s="261"/>
      <c r="BV4" s="870"/>
      <c r="BW4" s="870"/>
      <c r="BX4" s="869"/>
      <c r="BY4" s="261"/>
      <c r="BZ4" s="870"/>
      <c r="CA4" s="869"/>
      <c r="CB4" s="869"/>
      <c r="CC4" s="261"/>
      <c r="CD4" s="867"/>
      <c r="CE4" s="869"/>
      <c r="CF4" s="869"/>
      <c r="CG4" s="261"/>
      <c r="CH4" s="1758"/>
      <c r="CI4" s="1758"/>
      <c r="CJ4" s="1758"/>
      <c r="CK4" s="1008"/>
      <c r="CL4" s="1758"/>
      <c r="CM4" s="1758"/>
      <c r="CN4" s="1758"/>
      <c r="CO4" s="1008"/>
      <c r="CP4" s="871"/>
      <c r="CQ4" s="871"/>
      <c r="CR4" s="871"/>
      <c r="CS4" s="261"/>
      <c r="CT4" s="144"/>
      <c r="CU4" s="144"/>
      <c r="CV4" s="144"/>
      <c r="CW4" s="261"/>
      <c r="CX4" s="144"/>
      <c r="CY4" s="144"/>
      <c r="CZ4" s="144"/>
      <c r="DA4" s="872"/>
      <c r="DB4" s="144"/>
      <c r="DC4" s="144"/>
      <c r="DD4" s="531"/>
      <c r="DE4" s="261"/>
      <c r="DF4" s="144"/>
      <c r="DG4" s="532"/>
      <c r="DH4" s="145"/>
      <c r="DI4" s="1008"/>
      <c r="DJ4" s="144"/>
      <c r="DK4" s="2735"/>
      <c r="DL4" s="936"/>
      <c r="DM4" s="2736"/>
      <c r="DN4" s="144"/>
      <c r="DO4" s="144"/>
      <c r="DP4" s="144"/>
      <c r="DQ4" s="261"/>
      <c r="DR4" s="144"/>
      <c r="DS4" s="144"/>
      <c r="DT4" s="144"/>
      <c r="DU4" s="261"/>
      <c r="DV4" s="144"/>
      <c r="DW4" s="144"/>
      <c r="DX4" s="144"/>
      <c r="DY4" s="261"/>
      <c r="DZ4" s="144"/>
      <c r="EA4" s="144"/>
      <c r="EB4" s="144"/>
      <c r="EC4" s="261"/>
      <c r="ED4" s="144"/>
      <c r="EE4" s="144"/>
      <c r="EF4" s="144"/>
      <c r="EG4" s="261"/>
      <c r="EH4" s="144"/>
      <c r="EI4" s="144"/>
      <c r="EJ4" s="144"/>
      <c r="EK4" s="261"/>
      <c r="EL4" s="869"/>
      <c r="EM4" s="869"/>
      <c r="EN4" s="869"/>
      <c r="EO4" s="869"/>
      <c r="EP4" s="869"/>
      <c r="EQ4" s="869"/>
      <c r="ER4" s="869"/>
      <c r="ES4" s="869"/>
      <c r="ET4" s="869"/>
      <c r="EU4" s="869"/>
      <c r="EV4" s="869"/>
      <c r="EW4" s="869"/>
      <c r="EX4" s="869"/>
      <c r="EY4" s="869"/>
      <c r="EZ4" s="869"/>
      <c r="FA4" s="869"/>
      <c r="FB4" s="869"/>
      <c r="FC4" s="869"/>
      <c r="FD4" s="869"/>
      <c r="FE4" s="869"/>
      <c r="FF4" s="869"/>
      <c r="FG4" s="869"/>
      <c r="FH4" s="869"/>
      <c r="FI4" s="869"/>
      <c r="FJ4" s="871"/>
      <c r="FK4" s="871"/>
      <c r="FL4" s="871"/>
      <c r="FM4" s="871"/>
      <c r="FN4" s="3235"/>
      <c r="FO4" s="3235"/>
      <c r="FP4" s="3235"/>
      <c r="FQ4" s="3235"/>
      <c r="FR4" s="3235"/>
      <c r="FS4" s="871"/>
      <c r="FT4" s="871"/>
      <c r="FU4" s="871"/>
      <c r="FW4" s="144"/>
      <c r="FX4" s="869"/>
      <c r="FY4" s="869"/>
      <c r="FZ4" s="869"/>
      <c r="GA4" s="869"/>
      <c r="GB4" s="869"/>
      <c r="GC4" s="869"/>
      <c r="GD4" s="869"/>
      <c r="GE4" s="869"/>
      <c r="GF4" s="869"/>
      <c r="GG4" s="869"/>
      <c r="GH4" s="869"/>
      <c r="GI4" s="869"/>
      <c r="GJ4" s="869"/>
      <c r="GK4" s="869"/>
      <c r="GL4" s="869"/>
      <c r="GM4" s="869"/>
      <c r="GN4" s="869"/>
      <c r="GO4" s="869"/>
      <c r="GP4" s="869"/>
      <c r="GQ4" s="869"/>
      <c r="GR4" s="869"/>
      <c r="GS4" s="869"/>
      <c r="GT4" s="873"/>
      <c r="GU4" s="873"/>
      <c r="GV4" s="873"/>
      <c r="GW4" s="873"/>
      <c r="GX4" s="873"/>
      <c r="GY4" s="873"/>
      <c r="GZ4" s="873"/>
      <c r="HA4" s="873"/>
      <c r="HB4" s="873"/>
      <c r="HC4" s="873"/>
      <c r="HD4" s="873"/>
      <c r="HE4" s="873"/>
      <c r="HF4" s="873"/>
    </row>
    <row r="5" spans="1:214" s="89" customFormat="1" ht="10.199999999999999">
      <c r="A5" s="874"/>
      <c r="E5" s="260"/>
      <c r="I5" s="260"/>
      <c r="M5" s="260"/>
      <c r="Q5" s="260"/>
      <c r="U5" s="260"/>
      <c r="Y5" s="260"/>
      <c r="AC5" s="260"/>
      <c r="AG5" s="260"/>
      <c r="AK5" s="260"/>
      <c r="AO5" s="260"/>
      <c r="AS5" s="260"/>
      <c r="AW5" s="260"/>
      <c r="BA5" s="260"/>
      <c r="BE5" s="260"/>
      <c r="BI5" s="260"/>
      <c r="BM5" s="260"/>
      <c r="BQ5" s="260"/>
      <c r="BU5" s="260"/>
      <c r="BY5" s="260"/>
      <c r="CC5" s="260"/>
      <c r="CG5" s="260"/>
      <c r="CK5" s="260"/>
      <c r="CO5" s="260"/>
      <c r="CS5" s="260"/>
      <c r="CW5" s="260"/>
      <c r="DA5" s="260"/>
      <c r="DE5" s="260"/>
      <c r="DI5" s="923"/>
      <c r="DM5" s="260"/>
      <c r="DQ5" s="260"/>
      <c r="DU5" s="260"/>
      <c r="DY5" s="260"/>
      <c r="EC5" s="260"/>
      <c r="EG5" s="260"/>
      <c r="EK5" s="260"/>
      <c r="FQ5" s="370"/>
    </row>
    <row r="6" spans="1:214" s="89" customFormat="1" ht="10.199999999999999">
      <c r="A6" s="152" t="s">
        <v>874</v>
      </c>
      <c r="BQ6" s="260"/>
      <c r="BR6" s="2007">
        <f t="shared" ref="BR6:BU6" si="0">BS6</f>
      </c>
      <c r="BS6" s="2007">
        <f t="shared" si="0"/>
      </c>
      <c r="BT6" s="2007">
        <f t="shared" si="0"/>
      </c>
      <c r="BU6" s="2008">
        <f t="shared" si="0"/>
      </c>
      <c r="BV6" s="2007">
        <f>BW6</f>
      </c>
      <c r="BW6" s="142">
        <f t="shared" ref="BW6:DU6" si="1">(BW7-BV7)/7</f>
      </c>
      <c r="BX6" s="142">
        <f t="shared" si="1"/>
      </c>
      <c r="BY6" s="268">
        <f t="shared" si="1"/>
      </c>
      <c r="BZ6" s="142">
        <f t="shared" si="1"/>
      </c>
      <c r="CA6" s="142">
        <f t="shared" si="1"/>
      </c>
      <c r="CB6" s="142">
        <f t="shared" si="1"/>
      </c>
      <c r="CC6" s="268">
        <f t="shared" si="1"/>
      </c>
      <c r="CD6" s="142">
        <f t="shared" si="1"/>
      </c>
      <c r="CE6" s="142">
        <f t="shared" si="1"/>
      </c>
      <c r="CF6" s="142">
        <f t="shared" si="1"/>
      </c>
      <c r="CG6" s="268">
        <f t="shared" si="1"/>
      </c>
      <c r="CH6" s="142">
        <f t="shared" si="1"/>
      </c>
      <c r="CI6" s="142">
        <f t="shared" si="1"/>
      </c>
      <c r="CJ6" s="142">
        <f t="shared" si="1"/>
      </c>
      <c r="CK6" s="268">
        <f t="shared" si="1"/>
      </c>
      <c r="CL6" s="142">
        <f t="shared" si="1"/>
      </c>
      <c r="CM6" s="142">
        <f t="shared" si="1"/>
      </c>
      <c r="CN6" s="142">
        <f t="shared" si="1"/>
      </c>
      <c r="CO6" s="268">
        <f t="shared" si="1"/>
      </c>
      <c r="CP6" s="142">
        <f t="shared" si="1"/>
      </c>
      <c r="CQ6" s="142">
        <f t="shared" si="1"/>
      </c>
      <c r="CR6" s="142">
        <f t="shared" si="1"/>
      </c>
      <c r="CS6" s="268">
        <f t="shared" si="1"/>
      </c>
      <c r="CT6" s="142">
        <f t="shared" si="1"/>
      </c>
      <c r="CU6" s="142">
        <f t="shared" si="1"/>
      </c>
      <c r="CV6" s="142">
        <f t="shared" si="1"/>
      </c>
      <c r="CW6" s="268">
        <f t="shared" si="1"/>
      </c>
      <c r="CX6" s="142">
        <f t="shared" si="1"/>
      </c>
      <c r="CY6" s="142">
        <f t="shared" si="1"/>
      </c>
      <c r="CZ6" s="142">
        <f t="shared" si="1"/>
      </c>
      <c r="DA6" s="268">
        <f t="shared" si="1"/>
      </c>
      <c r="DB6" s="142">
        <f t="shared" si="1"/>
      </c>
      <c r="DC6" s="142">
        <f t="shared" si="1"/>
      </c>
      <c r="DD6" s="142">
        <f t="shared" si="1"/>
      </c>
      <c r="DE6" s="268">
        <f t="shared" si="1"/>
      </c>
      <c r="DF6" s="142">
        <f t="shared" si="1"/>
      </c>
      <c r="DG6" s="142">
        <f t="shared" si="1"/>
      </c>
      <c r="DH6" s="142">
        <f t="shared" si="1"/>
      </c>
      <c r="DI6" s="268">
        <f t="shared" si="1"/>
      </c>
      <c r="DJ6" s="142">
        <f t="shared" si="1"/>
      </c>
      <c r="DK6" s="142">
        <f t="shared" si="1"/>
      </c>
      <c r="DL6" s="142">
        <f t="shared" si="1"/>
      </c>
      <c r="DM6" s="268">
        <f t="shared" si="1"/>
      </c>
      <c r="DN6" s="142">
        <f t="shared" si="1"/>
      </c>
      <c r="DO6" s="142">
        <f t="shared" si="1"/>
      </c>
      <c r="DP6" s="142">
        <f t="shared" si="1"/>
      </c>
      <c r="DQ6" s="268">
        <f t="shared" si="1"/>
      </c>
      <c r="DR6" s="142">
        <f t="shared" si="1"/>
      </c>
      <c r="DS6" s="142">
        <f t="shared" si="1"/>
      </c>
      <c r="DT6" s="142">
        <f t="shared" si="1"/>
      </c>
      <c r="DU6" s="268">
        <f t="shared" si="1"/>
      </c>
      <c r="DV6" s="142">
        <f t="shared" ref="DV6" si="2">(DV7-DU7)/7</f>
      </c>
      <c r="DW6" s="142">
        <f t="shared" ref="DW6" si="3">(DW7-DV7)/7</f>
      </c>
      <c r="DX6" s="142">
        <f t="shared" ref="DX6" si="4">(DX7-DW7)/7</f>
      </c>
      <c r="DY6" s="268">
        <f t="shared" ref="DY6" si="5">(DY7-DX7)/7</f>
      </c>
      <c r="DZ6" s="142">
        <f t="shared" ref="DZ6" si="6">(DZ7-DY7)/7</f>
      </c>
      <c r="EA6" s="142">
        <f t="shared" ref="EA6" si="7">(EA7-DZ7)/7</f>
      </c>
      <c r="EB6" s="142">
        <f t="shared" ref="EB6" si="8">(EB7-EA7)/7</f>
      </c>
      <c r="EC6" s="268">
        <f t="shared" ref="EC6" si="9">(EC7-EB7)/7</f>
      </c>
      <c r="ED6" s="142">
        <f t="shared" ref="ED6" si="10">(ED7-EC7)/7</f>
      </c>
      <c r="EE6" s="142">
        <f t="shared" ref="EE6" si="11">(EE7-ED7)/7</f>
      </c>
      <c r="EF6" s="142">
        <f t="shared" ref="EF6" si="12">(EF7-EE7)/7</f>
      </c>
      <c r="EG6" s="268">
        <f t="shared" ref="EG6" si="13">(EG7-EF7)/7</f>
      </c>
      <c r="EH6" s="142">
        <f t="shared" ref="EH6" si="14">(EH7-EG7)/7</f>
      </c>
      <c r="EI6" s="142">
        <f t="shared" ref="EI6" si="15">(EI7-EH7)/7</f>
      </c>
      <c r="EJ6" s="142">
        <f t="shared" ref="EJ6" si="16">(EJ7-EI7)/7</f>
      </c>
      <c r="EK6" s="268">
        <f t="shared" ref="EK6" si="17">(EK7-EJ7)/7</f>
      </c>
      <c r="FH6" s="875"/>
      <c r="FN6" s="70"/>
      <c r="FV6" s="88"/>
    </row>
    <row r="7" spans="1:214" s="89" customFormat="1" ht="10.199999999999999">
      <c r="A7" s="874" t="s">
        <v>873</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2"/>
      <c r="AB7" s="152"/>
      <c r="AC7" s="152"/>
      <c r="AD7" s="152"/>
      <c r="AE7" s="152"/>
      <c r="AF7" s="152"/>
      <c r="AG7" s="152"/>
      <c r="AH7" s="152"/>
      <c r="AI7" s="152"/>
      <c r="AJ7" s="152"/>
      <c r="AK7" s="152"/>
      <c r="AL7" s="152"/>
      <c r="AM7" s="152"/>
      <c r="AN7" s="152"/>
      <c r="AO7" s="152"/>
      <c r="AP7" s="152"/>
      <c r="AQ7" s="152"/>
      <c r="AR7" s="152"/>
      <c r="AS7" s="152"/>
      <c r="AT7" s="152"/>
      <c r="AU7" s="152"/>
      <c r="AV7" s="152"/>
      <c r="AW7" s="152"/>
      <c r="AX7" s="152"/>
      <c r="AY7" s="152"/>
      <c r="AZ7" s="152"/>
      <c r="BA7" s="152"/>
      <c r="BB7" s="152"/>
      <c r="BC7" s="152"/>
      <c r="BD7" s="152"/>
      <c r="BE7" s="152"/>
      <c r="BF7" s="152"/>
      <c r="BG7" s="152"/>
      <c r="BH7" s="152"/>
      <c r="BI7" s="152"/>
      <c r="BJ7" s="152"/>
      <c r="BK7" s="152"/>
      <c r="BL7" s="152"/>
      <c r="BM7" s="152"/>
      <c r="BN7" s="152"/>
      <c r="BO7" s="152"/>
      <c r="BP7" s="152"/>
      <c r="BQ7" s="275"/>
      <c r="BR7" s="152"/>
      <c r="BS7" s="152"/>
      <c r="BT7" s="152"/>
      <c r="BU7" s="275"/>
      <c r="BV7" s="413">
        <v>41636</v>
      </c>
      <c r="BW7" s="413">
        <v>41727</v>
      </c>
      <c r="BX7" s="413">
        <v>41818</v>
      </c>
      <c r="BY7" s="414">
        <v>41909</v>
      </c>
      <c r="BZ7" s="413">
        <v>42000</v>
      </c>
      <c r="CA7" s="413">
        <v>42091</v>
      </c>
      <c r="CB7" s="413">
        <v>42182</v>
      </c>
      <c r="CC7" s="414">
        <v>42273</v>
      </c>
      <c r="CD7" s="413">
        <f>'Income Statement'!CD6</f>
      </c>
      <c r="CE7" s="413">
        <f>'Income Statement'!CE6</f>
      </c>
      <c r="CF7" s="413">
        <f>'Income Statement'!CF6</f>
      </c>
      <c r="CG7" s="414">
        <f>'Income Statement'!CG6</f>
      </c>
      <c r="CH7" s="413">
        <f>'Income Statement'!CH6</f>
      </c>
      <c r="CI7" s="413">
        <f>'Income Statement'!CI6</f>
      </c>
      <c r="CJ7" s="413">
        <f>'Income Statement'!CJ6</f>
      </c>
      <c r="CK7" s="414">
        <f>'Income Statement'!CK6</f>
      </c>
      <c r="CL7" s="413">
        <f>'Income Statement'!CL6</f>
      </c>
      <c r="CM7" s="413">
        <f>'Income Statement'!CM6</f>
      </c>
      <c r="CN7" s="413">
        <f>'Income Statement'!CN6</f>
      </c>
      <c r="CO7" s="414">
        <f>'Income Statement'!CO6</f>
      </c>
      <c r="CP7" s="413">
        <f>'Income Statement'!CP6</f>
      </c>
      <c r="CQ7" s="413">
        <f>'Income Statement'!CQ6</f>
      </c>
      <c r="CR7" s="413">
        <f>'Income Statement'!CR6</f>
      </c>
      <c r="CS7" s="414">
        <f>'Income Statement'!CS6</f>
      </c>
      <c r="CT7" s="413">
        <f>'Income Statement'!CT6</f>
      </c>
      <c r="CU7" s="413">
        <f>'Income Statement'!CU6</f>
      </c>
      <c r="CV7" s="413">
        <f>'Income Statement'!CV6</f>
      </c>
      <c r="CW7" s="414">
        <f>'Income Statement'!CW6</f>
      </c>
      <c r="CX7" s="413">
        <f>'Income Statement'!CX6</f>
      </c>
      <c r="CY7" s="413">
        <f>'Income Statement'!CY6</f>
      </c>
      <c r="CZ7" s="413">
        <f>'Income Statement'!CZ6</f>
      </c>
      <c r="DA7" s="414">
        <f>'Income Statement'!DA6</f>
      </c>
      <c r="DB7" s="413">
        <f>'Income Statement'!DB6</f>
      </c>
      <c r="DC7" s="413">
        <f>'Income Statement'!DC6</f>
      </c>
      <c r="DD7" s="413">
        <f>'Income Statement'!DD6</f>
      </c>
      <c r="DE7" s="414">
        <f>'Income Statement'!DE6</f>
      </c>
      <c r="DF7" s="413">
        <f>'Income Statement'!DF6</f>
      </c>
      <c r="DG7" s="413">
        <f>'Income Statement'!DG6</f>
      </c>
      <c r="DH7" s="413">
        <f>'Income Statement'!DH6</f>
      </c>
      <c r="DI7" s="414">
        <f>'Income Statement'!DI6</f>
      </c>
      <c r="DJ7" s="413">
        <f>'Income Statement'!DJ6</f>
      </c>
      <c r="DK7" s="413">
        <f>'Income Statement'!DK6</f>
      </c>
      <c r="DL7" s="413">
        <f>'Income Statement'!DL6</f>
      </c>
      <c r="DM7" s="414">
        <f>'Income Statement'!DM6</f>
      </c>
      <c r="DN7" s="413">
        <f>'Income Statement'!DN6</f>
      </c>
      <c r="DO7" s="413">
        <f>'Income Statement'!DO6</f>
      </c>
      <c r="DP7" s="413">
        <f>'Income Statement'!DP6</f>
      </c>
      <c r="DQ7" s="414">
        <f>'Income Statement'!DQ6</f>
      </c>
      <c r="DR7" s="413">
        <f>'Income Statement'!DR6</f>
      </c>
      <c r="DS7" s="413">
        <f>'Income Statement'!DS6</f>
      </c>
      <c r="DT7" s="413">
        <f>'Income Statement'!DT6</f>
      </c>
      <c r="DU7" s="414">
        <f>'Income Statement'!DU6</f>
      </c>
      <c r="DV7" s="413">
        <f>'Income Statement'!DV6</f>
      </c>
      <c r="DW7" s="413">
        <f>'Income Statement'!DW6</f>
      </c>
      <c r="DX7" s="413">
        <f>'Income Statement'!DX6</f>
      </c>
      <c r="DY7" s="414">
        <f>'Income Statement'!DY6</f>
      </c>
      <c r="DZ7" s="413">
        <f>'Income Statement'!DZ6</f>
      </c>
      <c r="EA7" s="413">
        <f>'Income Statement'!EA6</f>
      </c>
      <c r="EB7" s="413">
        <f>'Income Statement'!EB6</f>
      </c>
      <c r="EC7" s="414">
        <f>'Income Statement'!EC6</f>
      </c>
      <c r="ED7" s="413">
        <f>'Income Statement'!ED6</f>
      </c>
      <c r="EE7" s="413">
        <f>'Income Statement'!EE6</f>
      </c>
      <c r="EF7" s="413">
        <f>'Income Statement'!EF6</f>
      </c>
      <c r="EG7" s="414">
        <f>'Income Statement'!EG6</f>
      </c>
      <c r="EH7" s="413">
        <f>'Income Statement'!EH6</f>
      </c>
      <c r="EI7" s="413">
        <f>'Income Statement'!EI6</f>
      </c>
      <c r="EJ7" s="413">
        <f>'Income Statement'!EJ6</f>
      </c>
      <c r="EK7" s="414">
        <f>'Income Statement'!EK6</f>
      </c>
      <c r="FH7" s="876"/>
    </row>
    <row r="8" spans="1:214" s="11" customFormat="1" ht="10.199999999999999">
      <c r="A8" s="543"/>
      <c r="B8" s="543" t="s">
        <v>1</v>
      </c>
      <c r="C8" s="543" t="s">
        <v>2</v>
      </c>
      <c r="D8" s="543" t="s">
        <v>3</v>
      </c>
      <c r="E8" s="547" t="s">
        <v>4</v>
      </c>
      <c r="F8" s="543" t="s">
        <v>5</v>
      </c>
      <c r="G8" s="543" t="s">
        <v>6</v>
      </c>
      <c r="H8" s="543" t="s">
        <v>7</v>
      </c>
      <c r="I8" s="547" t="s">
        <v>8</v>
      </c>
      <c r="J8" s="543" t="s">
        <v>9</v>
      </c>
      <c r="K8" s="543" t="s">
        <v>10</v>
      </c>
      <c r="L8" s="543" t="s">
        <v>11</v>
      </c>
      <c r="M8" s="547" t="s">
        <v>12</v>
      </c>
      <c r="N8" s="543" t="s">
        <v>13</v>
      </c>
      <c r="O8" s="543" t="s">
        <v>14</v>
      </c>
      <c r="P8" s="543" t="s">
        <v>15</v>
      </c>
      <c r="Q8" s="547" t="s">
        <v>16</v>
      </c>
      <c r="R8" s="543" t="s">
        <v>17</v>
      </c>
      <c r="S8" s="543" t="s">
        <v>18</v>
      </c>
      <c r="T8" s="543" t="s">
        <v>19</v>
      </c>
      <c r="U8" s="547" t="s">
        <v>20</v>
      </c>
      <c r="V8" s="543" t="s">
        <v>21</v>
      </c>
      <c r="W8" s="543" t="s">
        <v>22</v>
      </c>
      <c r="X8" s="543" t="s">
        <v>23</v>
      </c>
      <c r="Y8" s="547" t="s">
        <v>24</v>
      </c>
      <c r="Z8" s="543" t="s">
        <v>25</v>
      </c>
      <c r="AA8" s="543" t="s">
        <v>26</v>
      </c>
      <c r="AB8" s="543" t="s">
        <v>27</v>
      </c>
      <c r="AC8" s="547" t="s">
        <v>28</v>
      </c>
      <c r="AD8" s="543" t="s">
        <v>29</v>
      </c>
      <c r="AE8" s="543" t="s">
        <v>30</v>
      </c>
      <c r="AF8" s="543" t="s">
        <v>31</v>
      </c>
      <c r="AG8" s="547" t="s">
        <v>32</v>
      </c>
      <c r="AH8" s="543" t="s">
        <v>33</v>
      </c>
      <c r="AI8" s="543" t="s">
        <v>34</v>
      </c>
      <c r="AJ8" s="543" t="s">
        <v>35</v>
      </c>
      <c r="AK8" s="547" t="s">
        <v>36</v>
      </c>
      <c r="AL8" s="543" t="s">
        <v>37</v>
      </c>
      <c r="AM8" s="543" t="s">
        <v>38</v>
      </c>
      <c r="AN8" s="543" t="s">
        <v>39</v>
      </c>
      <c r="AO8" s="547" t="s">
        <v>40</v>
      </c>
      <c r="AP8" s="543" t="s">
        <v>41</v>
      </c>
      <c r="AQ8" s="543" t="s">
        <v>42</v>
      </c>
      <c r="AR8" s="543" t="s">
        <v>43</v>
      </c>
      <c r="AS8" s="547" t="s">
        <v>44</v>
      </c>
      <c r="AT8" s="543" t="s">
        <v>45</v>
      </c>
      <c r="AU8" s="543" t="s">
        <v>46</v>
      </c>
      <c r="AV8" s="543" t="s">
        <v>47</v>
      </c>
      <c r="AW8" s="547" t="s">
        <v>48</v>
      </c>
      <c r="AX8" s="543" t="s">
        <v>49</v>
      </c>
      <c r="AY8" s="543" t="s">
        <v>50</v>
      </c>
      <c r="AZ8" s="543" t="s">
        <v>51</v>
      </c>
      <c r="BA8" s="547" t="s">
        <v>52</v>
      </c>
      <c r="BB8" s="543" t="s">
        <v>53</v>
      </c>
      <c r="BC8" s="543" t="s">
        <v>54</v>
      </c>
      <c r="BD8" s="543" t="s">
        <v>55</v>
      </c>
      <c r="BE8" s="547" t="s">
        <v>56</v>
      </c>
      <c r="BF8" s="543" t="s">
        <v>57</v>
      </c>
      <c r="BG8" s="543" t="s">
        <v>58</v>
      </c>
      <c r="BH8" s="543" t="s">
        <v>59</v>
      </c>
      <c r="BI8" s="547" t="s">
        <v>60</v>
      </c>
      <c r="BJ8" s="543" t="str">
        <f>'Income Statement'!BJ7</f>
      </c>
      <c r="BK8" s="543" t="str">
        <f>'Income Statement'!BK7</f>
      </c>
      <c r="BL8" s="543" t="str">
        <f>'Income Statement'!BL7</f>
      </c>
      <c r="BM8" s="547" t="str">
        <f>'Income Statement'!BM7</f>
      </c>
      <c r="BN8" s="543" t="str">
        <f>'Income Statement'!BN7</f>
      </c>
      <c r="BO8" s="543" t="str">
        <f>'Income Statement'!BO7</f>
      </c>
      <c r="BP8" s="543" t="str">
        <f>'Income Statement'!BP7</f>
      </c>
      <c r="BQ8" s="547" t="str">
        <f>'Income Statement'!BQ7</f>
      </c>
      <c r="BR8" s="543" t="str">
        <f>'Income Statement'!BR7</f>
      </c>
      <c r="BS8" s="543" t="str">
        <f>'Income Statement'!BS7</f>
      </c>
      <c r="BT8" s="543" t="str">
        <f>'Income Statement'!BT7</f>
      </c>
      <c r="BU8" s="547" t="str">
        <f>'Income Statement'!BU7</f>
      </c>
      <c r="BV8" s="543" t="str">
        <f>'Income Statement'!BV7</f>
      </c>
      <c r="BW8" s="543" t="str">
        <f>'Income Statement'!BW7</f>
      </c>
      <c r="BX8" s="543" t="str">
        <f>'Income Statement'!BX7</f>
      </c>
      <c r="BY8" s="547" t="str">
        <f>'Income Statement'!BY7</f>
      </c>
      <c r="BZ8" s="543" t="str">
        <f>'Income Statement'!BZ7</f>
      </c>
      <c r="CA8" s="543" t="str">
        <f>'Income Statement'!CA7</f>
      </c>
      <c r="CB8" s="543" t="str">
        <f>'Income Statement'!CB7</f>
      </c>
      <c r="CC8" s="547" t="str">
        <f>'Income Statement'!CC7</f>
      </c>
      <c r="CD8" s="543" t="str">
        <f>'Income Statement'!CD7</f>
      </c>
      <c r="CE8" s="543" t="str">
        <f>'Income Statement'!CE7</f>
      </c>
      <c r="CF8" s="543" t="str">
        <f>'Income Statement'!CF7</f>
      </c>
      <c r="CG8" s="547" t="str">
        <f>'Income Statement'!CG7</f>
      </c>
      <c r="CH8" s="543" t="str">
        <f>'Income Statement'!CH7</f>
      </c>
      <c r="CI8" s="543" t="str">
        <f>'Income Statement'!CI7</f>
      </c>
      <c r="CJ8" s="543" t="str">
        <f>'Income Statement'!CJ7</f>
      </c>
      <c r="CK8" s="547" t="str">
        <f>'Income Statement'!CK7</f>
      </c>
      <c r="CL8" s="543" t="str">
        <f>'Income Statement'!CL7</f>
      </c>
      <c r="CM8" s="543" t="str">
        <f>'Income Statement'!CM7</f>
      </c>
      <c r="CN8" s="543" t="str">
        <f>'Income Statement'!CN7</f>
      </c>
      <c r="CO8" s="547" t="str">
        <f>'Income Statement'!CO7</f>
      </c>
      <c r="CP8" s="543" t="str">
        <f>'Income Statement'!CP7</f>
      </c>
      <c r="CQ8" s="543" t="str">
        <f>'Income Statement'!CQ7</f>
      </c>
      <c r="CR8" s="543" t="str">
        <f>'Income Statement'!CR7</f>
      </c>
      <c r="CS8" s="547" t="str">
        <f>'Income Statement'!CS7</f>
      </c>
      <c r="CT8" s="543" t="str">
        <f>'Income Statement'!CT7</f>
      </c>
      <c r="CU8" s="543" t="str">
        <f>'Income Statement'!CU7</f>
      </c>
      <c r="CV8" s="543" t="str">
        <f>'Income Statement'!CV7</f>
      </c>
      <c r="CW8" s="547" t="str">
        <f>'Income Statement'!CW7</f>
      </c>
      <c r="CX8" s="543" t="str">
        <f>'Income Statement'!CX7</f>
      </c>
      <c r="CY8" s="543" t="str">
        <f>'Income Statement'!CY7</f>
      </c>
      <c r="CZ8" s="543" t="str">
        <f>'Income Statement'!CZ7</f>
      </c>
      <c r="DA8" s="547" t="str">
        <f>'Income Statement'!DA7</f>
      </c>
      <c r="DB8" s="543" t="str">
        <f>'Income Statement'!DB7</f>
      </c>
      <c r="DC8" s="543" t="str">
        <f>'Income Statement'!DC7</f>
      </c>
      <c r="DD8" s="543" t="str">
        <f>'Income Statement'!DD7</f>
      </c>
      <c r="DE8" s="547" t="str">
        <f>'Income Statement'!DE7</f>
      </c>
      <c r="DF8" s="543" t="str">
        <f>'Income Statement'!DF7</f>
      </c>
      <c r="DG8" s="543" t="str">
        <f>'Income Statement'!DG7</f>
      </c>
      <c r="DH8" s="543" t="str">
        <f>'Income Statement'!DH7</f>
      </c>
      <c r="DI8" s="547" t="str">
        <f>'Income Statement'!DI7</f>
      </c>
      <c r="DJ8" s="543" t="str">
        <f>'Income Statement'!DJ7</f>
      </c>
      <c r="DK8" s="543" t="str">
        <f>'Income Statement'!DK7</f>
      </c>
      <c r="DL8" s="543" t="str">
        <f>'Income Statement'!DL7</f>
      </c>
      <c r="DM8" s="547" t="str">
        <f>'Income Statement'!DM7</f>
      </c>
      <c r="DN8" s="543" t="str">
        <f>'Income Statement'!DN7</f>
      </c>
      <c r="DO8" s="543" t="str">
        <f>'Income Statement'!DO7</f>
      </c>
      <c r="DP8" s="543" t="str">
        <f>'Income Statement'!DP7</f>
      </c>
      <c r="DQ8" s="547" t="str">
        <f>'Income Statement'!DQ7</f>
      </c>
      <c r="DR8" s="543" t="str">
        <f>'Income Statement'!DR7</f>
      </c>
      <c r="DS8" s="543" t="str">
        <f>'Income Statement'!DS7</f>
      </c>
      <c r="DT8" s="543" t="str">
        <f>'Income Statement'!DT7</f>
      </c>
      <c r="DU8" s="547" t="str">
        <f>'Income Statement'!DU7</f>
      </c>
      <c r="DV8" s="543" t="str">
        <f>'Income Statement'!DV7</f>
      </c>
      <c r="DW8" s="543" t="str">
        <f>'Income Statement'!DW7</f>
      </c>
      <c r="DX8" s="543" t="str">
        <f>'Income Statement'!DX7</f>
      </c>
      <c r="DY8" s="547" t="str">
        <f>'Income Statement'!DY7</f>
      </c>
      <c r="DZ8" s="543" t="str">
        <f>'Income Statement'!DZ7</f>
      </c>
      <c r="EA8" s="543" t="str">
        <f>'Income Statement'!EA7</f>
      </c>
      <c r="EB8" s="543" t="str">
        <f>'Income Statement'!EB7</f>
      </c>
      <c r="EC8" s="547" t="str">
        <f>'Income Statement'!EC7</f>
      </c>
      <c r="ED8" s="543" t="str">
        <f>'Income Statement'!ED7</f>
      </c>
      <c r="EE8" s="543" t="str">
        <f>'Income Statement'!EE7</f>
      </c>
      <c r="EF8" s="543" t="str">
        <f>'Income Statement'!EF7</f>
      </c>
      <c r="EG8" s="547" t="str">
        <f>'Income Statement'!EG7</f>
      </c>
      <c r="EH8" s="543" t="str">
        <f>'Income Statement'!EH7</f>
      </c>
      <c r="EI8" s="543" t="str">
        <f>'Income Statement'!EI7</f>
      </c>
      <c r="EJ8" s="543" t="str">
        <f>'Income Statement'!EJ7</f>
      </c>
      <c r="EK8" s="547" t="str">
        <f>'Income Statement'!EK7</f>
      </c>
      <c r="EL8" s="39"/>
      <c r="EM8" s="579"/>
      <c r="EN8" s="579"/>
      <c r="EO8" s="579"/>
      <c r="EP8" s="579"/>
      <c r="EQ8" s="579"/>
      <c r="ER8" s="579"/>
      <c r="ES8" s="579"/>
      <c r="ET8" s="579"/>
      <c r="EU8" s="579"/>
      <c r="EV8" s="579"/>
      <c r="EW8" s="579"/>
      <c r="EX8" s="579"/>
      <c r="EY8" s="579"/>
      <c r="EZ8" s="579"/>
      <c r="FA8" s="579"/>
      <c r="FB8" s="579"/>
      <c r="FC8" s="579"/>
      <c r="FD8" s="579"/>
      <c r="FE8" s="579"/>
      <c r="FF8" s="580" t="s">
        <v>61</v>
      </c>
      <c r="FG8" s="579"/>
      <c r="FH8" s="579"/>
      <c r="FI8" s="579"/>
      <c r="FJ8" s="579"/>
      <c r="FK8" s="579"/>
      <c r="FL8" s="579"/>
      <c r="FM8" s="579"/>
      <c r="FN8" s="579"/>
      <c r="FO8" s="579"/>
      <c r="FP8" s="579"/>
      <c r="FQ8" s="579"/>
      <c r="FR8" s="579"/>
      <c r="FS8" s="579"/>
      <c r="FT8" s="579"/>
      <c r="FU8" s="579"/>
      <c r="FW8" s="579"/>
      <c r="FX8" s="579"/>
      <c r="FY8" s="579"/>
      <c r="FZ8" s="579"/>
      <c r="GA8" s="579"/>
      <c r="GB8" s="579"/>
      <c r="GC8" s="579"/>
      <c r="GD8" s="579"/>
      <c r="GE8" s="579"/>
      <c r="GF8" s="579"/>
      <c r="GG8" s="579"/>
      <c r="GH8" s="579"/>
      <c r="GI8" s="579"/>
      <c r="GJ8" s="579"/>
      <c r="GK8" s="579"/>
      <c r="GL8" s="579"/>
      <c r="GM8" s="579"/>
      <c r="GN8" s="579"/>
      <c r="GO8" s="579"/>
      <c r="GP8" s="579"/>
      <c r="GQ8" s="579"/>
      <c r="GR8" s="580" t="s">
        <v>62</v>
      </c>
      <c r="GS8" s="579"/>
      <c r="GT8" s="579"/>
      <c r="GU8" s="579"/>
      <c r="GV8" s="579"/>
      <c r="GW8" s="579"/>
      <c r="GX8" s="579"/>
      <c r="GY8" s="579"/>
      <c r="GZ8" s="579"/>
      <c r="HA8" s="579"/>
      <c r="HB8" s="579"/>
      <c r="HC8" s="579"/>
      <c r="HD8" s="579"/>
      <c r="HE8" s="579"/>
      <c r="HF8" s="579"/>
    </row>
    <row r="9" spans="1:214" s="11" customFormat="1" ht="10.199999999999999">
      <c r="A9" s="575" t="s">
        <v>1171</v>
      </c>
      <c r="B9" s="576">
        <v>35064</v>
      </c>
      <c r="C9" s="576">
        <v>35155</v>
      </c>
      <c r="D9" s="576">
        <v>35246</v>
      </c>
      <c r="E9" s="578">
        <v>35338</v>
      </c>
      <c r="F9" s="576">
        <v>35430</v>
      </c>
      <c r="G9" s="576">
        <v>35520</v>
      </c>
      <c r="H9" s="576">
        <v>35611</v>
      </c>
      <c r="I9" s="578">
        <v>35703</v>
      </c>
      <c r="J9" s="576">
        <v>35795</v>
      </c>
      <c r="K9" s="576">
        <v>35885</v>
      </c>
      <c r="L9" s="576">
        <v>35976</v>
      </c>
      <c r="M9" s="578">
        <v>36068</v>
      </c>
      <c r="N9" s="576">
        <v>36160</v>
      </c>
      <c r="O9" s="576">
        <v>36250</v>
      </c>
      <c r="P9" s="576">
        <v>36341</v>
      </c>
      <c r="Q9" s="578">
        <v>36433</v>
      </c>
      <c r="R9" s="576">
        <v>36525</v>
      </c>
      <c r="S9" s="576">
        <v>36616</v>
      </c>
      <c r="T9" s="576">
        <v>36707</v>
      </c>
      <c r="U9" s="578">
        <v>36799</v>
      </c>
      <c r="V9" s="576">
        <v>36891</v>
      </c>
      <c r="W9" s="576">
        <v>36981</v>
      </c>
      <c r="X9" s="576">
        <v>37072</v>
      </c>
      <c r="Y9" s="578">
        <v>37164</v>
      </c>
      <c r="Z9" s="576">
        <v>37256</v>
      </c>
      <c r="AA9" s="576">
        <v>37346</v>
      </c>
      <c r="AB9" s="576">
        <v>37437</v>
      </c>
      <c r="AC9" s="578">
        <v>37529</v>
      </c>
      <c r="AD9" s="576">
        <v>37621</v>
      </c>
      <c r="AE9" s="576">
        <v>37711</v>
      </c>
      <c r="AF9" s="576">
        <v>37802</v>
      </c>
      <c r="AG9" s="578">
        <v>37894</v>
      </c>
      <c r="AH9" s="576">
        <v>37986</v>
      </c>
      <c r="AI9" s="576">
        <v>38077</v>
      </c>
      <c r="AJ9" s="576">
        <v>38168</v>
      </c>
      <c r="AK9" s="578">
        <v>38260</v>
      </c>
      <c r="AL9" s="576">
        <v>38352</v>
      </c>
      <c r="AM9" s="576">
        <v>38442</v>
      </c>
      <c r="AN9" s="576">
        <v>38533</v>
      </c>
      <c r="AO9" s="578">
        <v>38625</v>
      </c>
      <c r="AP9" s="576">
        <v>38717</v>
      </c>
      <c r="AQ9" s="576">
        <v>38807</v>
      </c>
      <c r="AR9" s="576">
        <v>38898</v>
      </c>
      <c r="AS9" s="578">
        <v>38990</v>
      </c>
      <c r="AT9" s="576">
        <v>39082</v>
      </c>
      <c r="AU9" s="576">
        <v>39172</v>
      </c>
      <c r="AV9" s="576">
        <v>39263</v>
      </c>
      <c r="AW9" s="578">
        <v>39355</v>
      </c>
      <c r="AX9" s="576">
        <v>39447</v>
      </c>
      <c r="AY9" s="576">
        <v>39538</v>
      </c>
      <c r="AZ9" s="576">
        <v>39629</v>
      </c>
      <c r="BA9" s="578">
        <v>39721</v>
      </c>
      <c r="BB9" s="576">
        <v>39813</v>
      </c>
      <c r="BC9" s="576">
        <v>39903</v>
      </c>
      <c r="BD9" s="576">
        <v>39994</v>
      </c>
      <c r="BE9" s="578">
        <v>40086</v>
      </c>
      <c r="BF9" s="576">
        <v>40178</v>
      </c>
      <c r="BG9" s="576">
        <v>40268</v>
      </c>
      <c r="BH9" s="576">
        <v>40359</v>
      </c>
      <c r="BI9" s="578">
        <v>40451</v>
      </c>
      <c r="BJ9" s="576">
        <v>40543</v>
      </c>
      <c r="BK9" s="576">
        <v>40633</v>
      </c>
      <c r="BL9" s="576">
        <v>40724</v>
      </c>
      <c r="BM9" s="578">
        <v>40816</v>
      </c>
      <c r="BN9" s="576">
        <v>40908</v>
      </c>
      <c r="BO9" s="576">
        <v>40999</v>
      </c>
      <c r="BP9" s="576">
        <v>41090</v>
      </c>
      <c r="BQ9" s="578">
        <v>41182</v>
      </c>
      <c r="BR9" s="576">
        <v>41274</v>
      </c>
      <c r="BS9" s="576">
        <v>41364</v>
      </c>
      <c r="BT9" s="576">
        <v>41455</v>
      </c>
      <c r="BU9" s="578">
        <v>41547</v>
      </c>
      <c r="BV9" s="576">
        <v>41639</v>
      </c>
      <c r="BW9" s="576">
        <v>41729</v>
      </c>
      <c r="BX9" s="576">
        <v>41820</v>
      </c>
      <c r="BY9" s="578">
        <v>41912</v>
      </c>
      <c r="BZ9" s="576">
        <f>'Income Statement'!BZ8</f>
      </c>
      <c r="CA9" s="576">
        <f>'Income Statement'!CA8</f>
      </c>
      <c r="CB9" s="576">
        <f>'Income Statement'!CB8</f>
      </c>
      <c r="CC9" s="578">
        <f>'Income Statement'!CC8</f>
      </c>
      <c r="CD9" s="576">
        <f>'Income Statement'!CD8</f>
      </c>
      <c r="CE9" s="576">
        <f>'Income Statement'!CE8</f>
      </c>
      <c r="CF9" s="576">
        <f>'Income Statement'!CF8</f>
      </c>
      <c r="CG9" s="578">
        <f>'Income Statement'!CG8</f>
      </c>
      <c r="CH9" s="576">
        <f>'Income Statement'!CH8</f>
      </c>
      <c r="CI9" s="576">
        <f>'Income Statement'!CI8</f>
      </c>
      <c r="CJ9" s="576">
        <f>'Income Statement'!CJ8</f>
      </c>
      <c r="CK9" s="578">
        <f>'Income Statement'!CK8</f>
      </c>
      <c r="CL9" s="576">
        <f>'Income Statement'!CL8</f>
      </c>
      <c r="CM9" s="576">
        <f>'Income Statement'!CM8</f>
      </c>
      <c r="CN9" s="576">
        <f>'Income Statement'!CN8</f>
      </c>
      <c r="CO9" s="578">
        <f>'Income Statement'!CO8</f>
      </c>
      <c r="CP9" s="576">
        <f>'Income Statement'!CP8</f>
      </c>
      <c r="CQ9" s="576">
        <f>'Income Statement'!CQ8</f>
      </c>
      <c r="CR9" s="576">
        <f>'Income Statement'!CR8</f>
      </c>
      <c r="CS9" s="578">
        <f>'Income Statement'!CS8</f>
      </c>
      <c r="CT9" s="576">
        <f>'Income Statement'!CT8</f>
      </c>
      <c r="CU9" s="576">
        <f>'Income Statement'!CU8</f>
      </c>
      <c r="CV9" s="576">
        <f>'Income Statement'!CV8</f>
      </c>
      <c r="CW9" s="578">
        <f>'Income Statement'!CW8</f>
      </c>
      <c r="CX9" s="576">
        <f>'Income Statement'!CX8</f>
      </c>
      <c r="CY9" s="576">
        <f>'Income Statement'!CY8</f>
      </c>
      <c r="CZ9" s="576">
        <f>'Income Statement'!CZ8</f>
      </c>
      <c r="DA9" s="578">
        <f>'Income Statement'!DA8</f>
      </c>
      <c r="DB9" s="576">
        <f>'Income Statement'!DB8</f>
      </c>
      <c r="DC9" s="576">
        <f>'Income Statement'!DC8</f>
      </c>
      <c r="DD9" s="576">
        <f>'Income Statement'!DD8</f>
      </c>
      <c r="DE9" s="578">
        <f>'Income Statement'!DE8</f>
      </c>
      <c r="DF9" s="576">
        <f>'Income Statement'!DF8</f>
      </c>
      <c r="DG9" s="576">
        <f>'Income Statement'!DG8</f>
      </c>
      <c r="DH9" s="576">
        <f>'Income Statement'!DH8</f>
      </c>
      <c r="DI9" s="578">
        <f>'Income Statement'!DI8</f>
      </c>
      <c r="DJ9" s="576">
        <f>'Income Statement'!DJ8</f>
      </c>
      <c r="DK9" s="576">
        <f>'Income Statement'!DK8</f>
      </c>
      <c r="DL9" s="576">
        <f>'Income Statement'!DL8</f>
      </c>
      <c r="DM9" s="578">
        <f>'Income Statement'!DM8</f>
      </c>
      <c r="DN9" s="576">
        <f>'Income Statement'!DN8</f>
      </c>
      <c r="DO9" s="576">
        <f>'Income Statement'!DO8</f>
      </c>
      <c r="DP9" s="576">
        <f>'Income Statement'!DP8</f>
      </c>
      <c r="DQ9" s="578">
        <f>'Income Statement'!DQ8</f>
      </c>
      <c r="DR9" s="576">
        <f>'Income Statement'!DR8</f>
      </c>
      <c r="DS9" s="576">
        <f>'Income Statement'!DS8</f>
      </c>
      <c r="DT9" s="576">
        <f>'Income Statement'!DT8</f>
      </c>
      <c r="DU9" s="578">
        <f>'Income Statement'!DU8</f>
      </c>
      <c r="DV9" s="576">
        <f>'Income Statement'!DV8</f>
      </c>
      <c r="DW9" s="576">
        <f>'Income Statement'!DW8</f>
      </c>
      <c r="DX9" s="576">
        <f>'Income Statement'!DX8</f>
      </c>
      <c r="DY9" s="578">
        <f>'Income Statement'!DY8</f>
      </c>
      <c r="DZ9" s="576">
        <f>'Income Statement'!DZ8</f>
      </c>
      <c r="EA9" s="576">
        <f>'Income Statement'!EA8</f>
      </c>
      <c r="EB9" s="576">
        <f>'Income Statement'!EB8</f>
      </c>
      <c r="EC9" s="578">
        <f>'Income Statement'!EC8</f>
      </c>
      <c r="ED9" s="576">
        <f>'Income Statement'!ED8</f>
      </c>
      <c r="EE9" s="576">
        <f>'Income Statement'!EE8</f>
      </c>
      <c r="EF9" s="576">
        <f>'Income Statement'!EF8</f>
      </c>
      <c r="EG9" s="578">
        <f>'Income Statement'!EG8</f>
      </c>
      <c r="EH9" s="576">
        <f>'Income Statement'!EH8</f>
      </c>
      <c r="EI9" s="576">
        <f>'Income Statement'!EI8</f>
      </c>
      <c r="EJ9" s="576">
        <f>'Income Statement'!EJ8</f>
      </c>
      <c r="EK9" s="578">
        <f>'Income Statement'!EK8</f>
      </c>
      <c r="EM9" s="694">
        <v>1996</v>
      </c>
      <c r="EN9" s="694">
        <v>1997</v>
      </c>
      <c r="EO9" s="694">
        <v>1998</v>
      </c>
      <c r="EP9" s="694">
        <v>1999</v>
      </c>
      <c r="EQ9" s="694">
        <v>2000</v>
      </c>
      <c r="ER9" s="694">
        <v>2001</v>
      </c>
      <c r="ES9" s="694">
        <v>2002</v>
      </c>
      <c r="ET9" s="694">
        <v>2003</v>
      </c>
      <c r="EU9" s="694">
        <v>2004</v>
      </c>
      <c r="EV9" s="694">
        <v>2005</v>
      </c>
      <c r="EW9" s="694">
        <v>2006</v>
      </c>
      <c r="EX9" s="694">
        <v>2007</v>
      </c>
      <c r="EY9" s="694">
        <v>2008</v>
      </c>
      <c r="EZ9" s="694">
        <v>2009</v>
      </c>
      <c r="FA9" s="694">
        <v>2010</v>
      </c>
      <c r="FB9" s="694">
        <v>2011</v>
      </c>
      <c r="FC9" s="694">
        <v>2012</v>
      </c>
      <c r="FD9" s="694">
        <v>2013</v>
      </c>
      <c r="FE9" s="694" t="str">
        <f>'Income Statement'!FE8</f>
      </c>
      <c r="FF9" s="694" t="str">
        <f>'Income Statement'!FF8</f>
      </c>
      <c r="FG9" s="694" t="str">
        <f>'Income Statement'!FG8</f>
      </c>
      <c r="FH9" s="694" t="str">
        <f>'Income Statement'!FH8</f>
      </c>
      <c r="FI9" s="694" t="str">
        <f>'Income Statement'!FI8</f>
      </c>
      <c r="FJ9" s="694" t="str">
        <f>'Income Statement'!FJ8</f>
      </c>
      <c r="FK9" s="694" t="str">
        <f>'Income Statement'!FK8</f>
      </c>
      <c r="FL9" s="694" t="str">
        <f>'Income Statement'!FL8</f>
      </c>
      <c r="FM9" s="694" t="str">
        <f>'Income Statement'!FM8</f>
      </c>
      <c r="FN9" s="694" t="str">
        <f>'Income Statement'!FN8</f>
      </c>
      <c r="FO9" s="694" t="str">
        <f>'Income Statement'!FO8</f>
      </c>
      <c r="FP9" s="694" t="str">
        <f>'Income Statement'!FP8</f>
      </c>
      <c r="FQ9" s="694" t="str">
        <f>'Income Statement'!FQ8</f>
      </c>
      <c r="FR9" s="694" t="str">
        <f>'Income Statement'!FR8</f>
      </c>
      <c r="FS9" s="694" t="str">
        <f>'Income Statement'!FS8</f>
      </c>
      <c r="FT9" s="694" t="str">
        <f>'Income Statement'!FT8</f>
      </c>
      <c r="FU9" s="694" t="str">
        <f>'Income Statement'!FU8</f>
      </c>
      <c r="FW9" s="694"/>
      <c r="FX9" s="695"/>
      <c r="FY9" s="694">
        <v>1996</v>
      </c>
      <c r="FZ9" s="694">
        <v>1997</v>
      </c>
      <c r="GA9" s="694">
        <v>1998</v>
      </c>
      <c r="GB9" s="694">
        <v>1999</v>
      </c>
      <c r="GC9" s="694">
        <v>2000</v>
      </c>
      <c r="GD9" s="694">
        <v>2001</v>
      </c>
      <c r="GE9" s="694">
        <v>2002</v>
      </c>
      <c r="GF9" s="694">
        <v>2003</v>
      </c>
      <c r="GG9" s="694">
        <v>2004</v>
      </c>
      <c r="GH9" s="694">
        <v>2005</v>
      </c>
      <c r="GI9" s="694">
        <v>2006</v>
      </c>
      <c r="GJ9" s="694">
        <v>2007</v>
      </c>
      <c r="GK9" s="694">
        <v>2008</v>
      </c>
      <c r="GL9" s="694">
        <v>2009</v>
      </c>
      <c r="GM9" s="694">
        <v>2010</v>
      </c>
      <c r="GN9" s="694">
        <v>2011</v>
      </c>
      <c r="GO9" s="694">
        <v>2012</v>
      </c>
      <c r="GP9" s="694">
        <v>2013</v>
      </c>
      <c r="GQ9" s="694" t="str">
        <f>'Income Statement'!GO8</f>
      </c>
      <c r="GR9" s="694" t="str">
        <f>'Income Statement'!GP8</f>
      </c>
      <c r="GS9" s="694" t="str">
        <f>'Income Statement'!GQ8</f>
      </c>
      <c r="GT9" s="694" t="str">
        <f>'Income Statement'!GR8</f>
      </c>
      <c r="GU9" s="694" t="str">
        <f>'Income Statement'!GS8</f>
      </c>
      <c r="GV9" s="694" t="str">
        <f>'Income Statement'!GT8</f>
      </c>
      <c r="GW9" s="694" t="str">
        <f>'Income Statement'!GU8</f>
      </c>
      <c r="GX9" s="694" t="str">
        <f>'Income Statement'!GV8</f>
      </c>
      <c r="GY9" s="694" t="str">
        <f>'Income Statement'!GW8</f>
      </c>
      <c r="GZ9" s="694" t="str">
        <f>'Income Statement'!GX8</f>
      </c>
      <c r="HA9" s="694" t="str">
        <f>'Income Statement'!GY8</f>
      </c>
      <c r="HB9" s="694" t="str">
        <f>'Income Statement'!GZ8</f>
      </c>
      <c r="HC9" s="694" t="str">
        <f>'Income Statement'!HA8</f>
      </c>
      <c r="HD9" s="694" t="str">
        <f>'Income Statement'!HB8</f>
      </c>
      <c r="HE9" s="694" t="str">
        <f>'Income Statement'!HC8</f>
      </c>
      <c r="HF9" s="694" t="str">
        <f>'Income Statement'!HD8</f>
      </c>
    </row>
    <row r="10" spans="1:214" s="16" customFormat="1" ht="10.199999999999999">
      <c r="A10" s="708" t="s">
        <v>1179</v>
      </c>
      <c r="B10" s="706" t="str">
        <f>'Revenue summary'!B$8</f>
      </c>
      <c r="C10" s="706" t="str">
        <f>'Revenue summary'!C$8</f>
      </c>
      <c r="D10" s="706" t="str">
        <f>'Revenue summary'!D$8</f>
      </c>
      <c r="E10" s="707" t="str">
        <f>'Revenue summary'!E$8</f>
      </c>
      <c r="F10" s="706" t="str">
        <f>'Revenue summary'!F$8</f>
      </c>
      <c r="G10" s="706" t="str">
        <f>'Revenue summary'!G$8</f>
      </c>
      <c r="H10" s="706" t="str">
        <f>'Revenue summary'!H$8</f>
      </c>
      <c r="I10" s="707" t="str">
        <f>'Revenue summary'!I$8</f>
      </c>
      <c r="J10" s="706" t="str">
        <f>'Revenue summary'!J$8</f>
      </c>
      <c r="K10" s="706" t="str">
        <f>'Revenue summary'!K$8</f>
      </c>
      <c r="L10" s="706" t="str">
        <f>'Revenue summary'!L$8</f>
      </c>
      <c r="M10" s="707" t="str">
        <f>'Revenue summary'!M$8</f>
      </c>
      <c r="N10" s="706" t="str">
        <f>'Revenue summary'!N$8</f>
      </c>
      <c r="O10" s="706" t="str">
        <f>'Revenue summary'!O$8</f>
      </c>
      <c r="P10" s="706" t="str">
        <f>'Revenue summary'!P$8</f>
      </c>
      <c r="Q10" s="707" t="str">
        <f>'Revenue summary'!Q$8</f>
      </c>
      <c r="R10" s="706" t="str">
        <f>'Revenue summary'!R$8</f>
      </c>
      <c r="S10" s="706" t="str">
        <f>'Revenue summary'!S$8</f>
      </c>
      <c r="T10" s="706" t="str">
        <f>'Revenue summary'!T$8</f>
      </c>
      <c r="U10" s="707" t="str">
        <f>'Revenue summary'!U$8</f>
      </c>
      <c r="V10" s="706" t="str">
        <f>'Revenue summary'!V$8</f>
      </c>
      <c r="W10" s="706" t="str">
        <f>'Revenue summary'!W$8</f>
      </c>
      <c r="X10" s="706" t="str">
        <f>'Revenue summary'!X$8</f>
      </c>
      <c r="Y10" s="707" t="str">
        <f>'Revenue summary'!Y$8</f>
      </c>
      <c r="Z10" s="706" t="str">
        <f>'Revenue summary'!Z$8</f>
      </c>
      <c r="AA10" s="706" t="str">
        <f>'Revenue summary'!AA$8</f>
      </c>
      <c r="AB10" s="706" t="str">
        <f>'Revenue summary'!AB$8</f>
      </c>
      <c r="AC10" s="707" t="str">
        <f>'Revenue summary'!AC$8</f>
      </c>
      <c r="AD10" s="706" t="str">
        <f>'Revenue summary'!AD$8</f>
      </c>
      <c r="AE10" s="706" t="str">
        <f>'Revenue summary'!AE$8</f>
      </c>
      <c r="AF10" s="706" t="str">
        <f>'Revenue summary'!AF$8</f>
      </c>
      <c r="AG10" s="707" t="str">
        <f>'Revenue summary'!AG$8</f>
      </c>
      <c r="AH10" s="706" t="str">
        <f>'Revenue summary'!AH$8</f>
      </c>
      <c r="AI10" s="706" t="str">
        <f>'Revenue summary'!AI$8</f>
      </c>
      <c r="AJ10" s="706" t="str">
        <f>'Revenue summary'!AJ$8</f>
      </c>
      <c r="AK10" s="707" t="str">
        <f>'Revenue summary'!AK$8</f>
      </c>
      <c r="AL10" s="706" t="str">
        <f>'Revenue summary'!AL$8</f>
      </c>
      <c r="AM10" s="706" t="str">
        <f>'Revenue summary'!AM$8</f>
      </c>
      <c r="AN10" s="706" t="str">
        <f>'Revenue summary'!AN$8</f>
      </c>
      <c r="AO10" s="707" t="str">
        <f>'Revenue summary'!AO$8</f>
      </c>
      <c r="AP10" s="706" t="str">
        <f>'Revenue summary'!AP$8</f>
      </c>
      <c r="AQ10" s="706" t="str">
        <f>'Revenue summary'!AQ$8</f>
      </c>
      <c r="AR10" s="706" t="str">
        <f>'Revenue summary'!AR$8</f>
      </c>
      <c r="AS10" s="707" t="str">
        <f>'Revenue summary'!AS$8</f>
      </c>
      <c r="AT10" s="706" t="str">
        <f>'Revenue summary'!AT$8</f>
      </c>
      <c r="AU10" s="706" t="str">
        <f>'Revenue summary'!AU$8</f>
      </c>
      <c r="AV10" s="706" t="str">
        <f>'Revenue summary'!AV$8</f>
      </c>
      <c r="AW10" s="707" t="str">
        <f>'Revenue summary'!AW$8</f>
      </c>
      <c r="AX10" s="706" t="str">
        <f>'Revenue summary'!AX$8</f>
      </c>
      <c r="AY10" s="706" t="str">
        <f>'Revenue summary'!AY$8</f>
      </c>
      <c r="AZ10" s="706" t="str">
        <f>'Revenue summary'!AZ$8</f>
      </c>
      <c r="BA10" s="707" t="str">
        <f>'Revenue summary'!BA$8</f>
      </c>
      <c r="BB10" s="706" t="str">
        <f>'Revenue summary'!BB$8</f>
      </c>
      <c r="BC10" s="706" t="str">
        <f>'Revenue summary'!BC$8</f>
      </c>
      <c r="BD10" s="706" t="str">
        <f>'Revenue summary'!BD$8</f>
      </c>
      <c r="BE10" s="707" t="str">
        <f>'Revenue summary'!BE$8</f>
      </c>
      <c r="BF10" s="706" t="str">
        <f>'Revenue summary'!BF$8</f>
      </c>
      <c r="BG10" s="706" t="str">
        <f>'Revenue summary'!BG$8</f>
      </c>
      <c r="BH10" s="706" t="str">
        <f>'Revenue summary'!BH$8</f>
      </c>
      <c r="BI10" s="707" t="str">
        <f>'Revenue summary'!BI$8</f>
      </c>
      <c r="BJ10" s="706" t="str">
        <f>'Revenue summary'!BJ$8</f>
      </c>
      <c r="BK10" s="706" t="str">
        <f>'Revenue summary'!BK$8</f>
      </c>
      <c r="BL10" s="706" t="str">
        <f>'Revenue summary'!BL$8</f>
      </c>
      <c r="BM10" s="707" t="str">
        <f>'Revenue summary'!BM$8</f>
      </c>
      <c r="BN10" s="706" t="str">
        <f>'Revenue summary'!BN$8</f>
      </c>
      <c r="BO10" s="706" t="str">
        <f>'Revenue summary'!BO$8</f>
      </c>
      <c r="BP10" s="706" t="str">
        <f>'Revenue summary'!BP$8</f>
      </c>
      <c r="BQ10" s="707" t="str">
        <f>'Revenue summary'!BQ$8</f>
      </c>
      <c r="BR10" s="706" t="str">
        <f>'Revenue summary'!BR$8</f>
      </c>
      <c r="BS10" s="706" t="str">
        <f>'Revenue summary'!BS$8</f>
      </c>
      <c r="BT10" s="706" t="str">
        <f>'Revenue summary'!BT$8</f>
      </c>
      <c r="BU10" s="707" t="str">
        <f>'Revenue summary'!BU$8</f>
      </c>
      <c r="BV10" s="706" t="str">
        <f>'Revenue summary'!BV$8</f>
      </c>
      <c r="BW10" s="706" t="str">
        <f>'Revenue summary'!BW$8</f>
      </c>
      <c r="BX10" s="706" t="str">
        <f>'Revenue summary'!BX$8</f>
      </c>
      <c r="BY10" s="707" t="str">
        <f>'Revenue summary'!BY$8</f>
      </c>
      <c r="BZ10" s="706" t="str">
        <f>'Revenue summary'!BZ$8</f>
      </c>
      <c r="CA10" s="706" t="str">
        <f>'Revenue summary'!CA$8</f>
      </c>
      <c r="CB10" s="706" t="str">
        <f>'Revenue summary'!CB$8</f>
      </c>
      <c r="CC10" s="707" t="str">
        <f>'Revenue summary'!CC$8</f>
      </c>
      <c r="CD10" s="706" t="str">
        <f>'Revenue summary'!CD$8</f>
      </c>
      <c r="CE10" s="706" t="str">
        <f>'Revenue summary'!CE$8</f>
      </c>
      <c r="CF10" s="706" t="str">
        <f>'Revenue summary'!CF$8</f>
      </c>
      <c r="CG10" s="707" t="str">
        <f>'Revenue summary'!CG$8</f>
      </c>
      <c r="CH10" s="706" t="str">
        <f>'Revenue summary'!CH$8</f>
      </c>
      <c r="CI10" s="706" t="str">
        <f>'Revenue summary'!CI$8</f>
      </c>
      <c r="CJ10" s="706" t="str">
        <f>'Revenue summary'!CJ$8</f>
      </c>
      <c r="CK10" s="707" t="str">
        <f>'Revenue summary'!CK$8</f>
      </c>
      <c r="CL10" s="706"/>
      <c r="CM10" s="706"/>
      <c r="CN10" s="706"/>
      <c r="CO10" s="707"/>
      <c r="CP10" s="706"/>
      <c r="CQ10" s="706"/>
      <c r="CR10" s="706"/>
      <c r="CS10" s="707"/>
      <c r="CT10" s="706"/>
      <c r="CU10" s="706"/>
      <c r="CV10" s="706"/>
      <c r="CW10" s="707"/>
      <c r="CX10" s="706"/>
      <c r="CY10" s="706"/>
      <c r="CZ10" s="706"/>
      <c r="DA10" s="707"/>
      <c r="DB10" s="706"/>
      <c r="DC10" s="706"/>
      <c r="DD10" s="706"/>
      <c r="DE10" s="707"/>
      <c r="DF10" s="706"/>
      <c r="DG10" s="706"/>
      <c r="DH10" s="706"/>
      <c r="DI10" s="707"/>
      <c r="DJ10" s="706"/>
      <c r="DK10" s="706"/>
      <c r="DL10" s="706"/>
      <c r="DM10" s="707"/>
      <c r="DN10" s="706"/>
      <c r="DO10" s="706"/>
      <c r="DP10" s="706"/>
      <c r="DQ10" s="707"/>
      <c r="DR10" s="706"/>
      <c r="DS10" s="706"/>
      <c r="DT10" s="706"/>
      <c r="DU10" s="707"/>
      <c r="DV10" s="706"/>
      <c r="DW10" s="706"/>
      <c r="DX10" s="706"/>
      <c r="DY10" s="707"/>
      <c r="DZ10" s="706"/>
      <c r="EA10" s="706"/>
      <c r="EB10" s="706"/>
      <c r="EC10" s="707"/>
      <c r="ED10" s="706"/>
      <c r="EE10" s="706"/>
      <c r="EF10" s="706"/>
      <c r="EG10" s="707"/>
      <c r="EH10" s="706"/>
      <c r="EI10" s="706"/>
      <c r="EJ10" s="706"/>
      <c r="EK10" s="707"/>
      <c r="EL10" s="320"/>
      <c r="EM10" s="706"/>
      <c r="EN10" s="706"/>
      <c r="EO10" s="706"/>
      <c r="EP10" s="706"/>
      <c r="EQ10" s="706"/>
      <c r="ER10" s="706"/>
      <c r="ES10" s="706"/>
      <c r="ET10" s="706"/>
      <c r="EU10" s="706"/>
      <c r="EV10" s="706"/>
      <c r="EW10" s="706"/>
      <c r="EX10" s="706"/>
      <c r="EY10" s="706"/>
      <c r="EZ10" s="706"/>
      <c r="FA10" s="706"/>
      <c r="FB10" s="706"/>
      <c r="FC10" s="706"/>
      <c r="FD10" s="706"/>
      <c r="FE10" s="706"/>
      <c r="FF10" s="706"/>
      <c r="FG10" s="706"/>
      <c r="FH10" s="706"/>
      <c r="FI10" s="706"/>
      <c r="FJ10" s="706"/>
      <c r="FK10" s="706"/>
      <c r="FL10" s="706"/>
      <c r="FM10" s="706"/>
      <c r="FN10" s="706"/>
      <c r="FO10" s="706"/>
      <c r="FP10" s="706"/>
      <c r="FQ10" s="706"/>
      <c r="FR10" s="706"/>
      <c r="FS10" s="706"/>
      <c r="FT10" s="706"/>
      <c r="FU10" s="706"/>
      <c r="FW10" s="706"/>
      <c r="FX10" s="706"/>
      <c r="FY10" s="706"/>
      <c r="FZ10" s="706"/>
      <c r="GA10" s="706"/>
      <c r="GB10" s="706"/>
      <c r="GC10" s="706"/>
      <c r="GD10" s="706"/>
      <c r="GE10" s="706"/>
      <c r="GF10" s="706"/>
      <c r="GG10" s="706"/>
      <c r="GH10" s="706"/>
      <c r="GI10" s="706"/>
      <c r="GJ10" s="706"/>
      <c r="GK10" s="706"/>
      <c r="GL10" s="706"/>
      <c r="GM10" s="706"/>
      <c r="GN10" s="706"/>
      <c r="GO10" s="706"/>
      <c r="GP10" s="706"/>
      <c r="GQ10" s="706"/>
      <c r="GR10" s="706"/>
      <c r="GS10" s="706"/>
      <c r="GT10" s="706"/>
      <c r="GU10" s="706"/>
      <c r="GV10" s="706"/>
      <c r="GW10" s="706"/>
      <c r="GX10" s="706"/>
      <c r="GY10" s="706"/>
      <c r="GZ10" s="706"/>
      <c r="HA10" s="706"/>
      <c r="HB10" s="706"/>
      <c r="HC10" s="706"/>
      <c r="HD10" s="706"/>
      <c r="HE10" s="706"/>
      <c r="HF10" s="706"/>
    </row>
    <row r="11" spans="1:214" s="11" customFormat="1" ht="10.199999999999999">
      <c r="A11" s="1279" t="s">
        <v>84</v>
      </c>
      <c r="B11" s="1280"/>
      <c r="C11" s="1280"/>
      <c r="D11" s="1280"/>
      <c r="E11" s="1281"/>
      <c r="F11" s="1280"/>
      <c r="G11" s="1280"/>
      <c r="H11" s="1280"/>
      <c r="I11" s="1281"/>
      <c r="J11" s="1280"/>
      <c r="K11" s="1280"/>
      <c r="L11" s="1280"/>
      <c r="M11" s="1281"/>
      <c r="N11" s="1280"/>
      <c r="O11" s="1280"/>
      <c r="P11" s="1280"/>
      <c r="Q11" s="1281"/>
      <c r="R11" s="1280"/>
      <c r="S11" s="1280"/>
      <c r="T11" s="1280"/>
      <c r="U11" s="1281"/>
      <c r="V11" s="1280"/>
      <c r="W11" s="1280"/>
      <c r="X11" s="1280"/>
      <c r="Y11" s="1281"/>
      <c r="Z11" s="1282"/>
      <c r="AA11" s="1282"/>
      <c r="AB11" s="1282"/>
      <c r="AC11" s="1283"/>
      <c r="AD11" s="1282"/>
      <c r="AE11" s="1282"/>
      <c r="AF11" s="1282"/>
      <c r="AG11" s="1283"/>
      <c r="AH11" s="1282"/>
      <c r="AI11" s="1282"/>
      <c r="AJ11" s="1282"/>
      <c r="AK11" s="1283"/>
      <c r="AL11" s="1282"/>
      <c r="AM11" s="1282"/>
      <c r="AN11" s="1282"/>
      <c r="AO11" s="1283"/>
      <c r="AP11" s="1282"/>
      <c r="AQ11" s="1282"/>
      <c r="AR11" s="1282"/>
      <c r="AS11" s="1283"/>
      <c r="AT11" s="1282"/>
      <c r="AU11" s="1282"/>
      <c r="AV11" s="1282"/>
      <c r="AW11" s="1283"/>
      <c r="AX11" s="1282"/>
      <c r="AY11" s="1282"/>
      <c r="AZ11" s="1282"/>
      <c r="BA11" s="1283"/>
      <c r="BB11" s="814">
        <f t="shared" ref="BB11:BU11" si="18">BB194</f>
      </c>
      <c r="BC11" s="814">
        <f t="shared" si="18"/>
      </c>
      <c r="BD11" s="814">
        <f t="shared" si="18"/>
      </c>
      <c r="BE11" s="815">
        <f t="shared" si="18"/>
      </c>
      <c r="BF11" s="814">
        <f t="shared" si="18"/>
      </c>
      <c r="BG11" s="814">
        <f t="shared" si="18"/>
      </c>
      <c r="BH11" s="814">
        <f t="shared" si="18"/>
      </c>
      <c r="BI11" s="815">
        <f t="shared" si="18"/>
      </c>
      <c r="BJ11" s="814">
        <f t="shared" si="18"/>
      </c>
      <c r="BK11" s="814">
        <f t="shared" si="18"/>
      </c>
      <c r="BL11" s="814">
        <f t="shared" si="18"/>
      </c>
      <c r="BM11" s="815">
        <f t="shared" si="18"/>
      </c>
      <c r="BN11" s="814">
        <f t="shared" si="18"/>
      </c>
      <c r="BO11" s="814">
        <f t="shared" si="18"/>
      </c>
      <c r="BP11" s="814">
        <f t="shared" si="18"/>
      </c>
      <c r="BQ11" s="815">
        <f t="shared" si="18"/>
      </c>
      <c r="BR11" s="814">
        <f t="shared" si="18"/>
      </c>
      <c r="BS11" s="814">
        <f t="shared" si="18"/>
      </c>
      <c r="BT11" s="814">
        <f t="shared" si="18"/>
      </c>
      <c r="BU11" s="815">
        <f t="shared" si="18"/>
      </c>
      <c r="BV11" s="814">
        <f t="shared" ref="BV11:CK11" si="19">BZ11/BZ194*BV194</f>
      </c>
      <c r="BW11" s="814">
        <f t="shared" si="19"/>
      </c>
      <c r="BX11" s="814">
        <f t="shared" si="19"/>
      </c>
      <c r="BY11" s="815">
        <f t="shared" si="19"/>
      </c>
      <c r="BZ11" s="814">
        <f t="shared" si="19"/>
      </c>
      <c r="CA11" s="814">
        <f t="shared" si="19"/>
      </c>
      <c r="CB11" s="814">
        <f t="shared" si="19"/>
      </c>
      <c r="CC11" s="815">
        <f t="shared" si="19"/>
      </c>
      <c r="CD11" s="814">
        <f t="shared" si="19"/>
      </c>
      <c r="CE11" s="814">
        <f t="shared" si="19"/>
      </c>
      <c r="CF11" s="814">
        <f t="shared" si="19"/>
      </c>
      <c r="CG11" s="815">
        <f t="shared" si="19"/>
      </c>
      <c r="CH11" s="814">
        <f t="shared" si="19"/>
      </c>
      <c r="CI11" s="814">
        <f t="shared" si="19"/>
      </c>
      <c r="CJ11" s="814">
        <f t="shared" si="19"/>
      </c>
      <c r="CK11" s="815">
        <f t="shared" si="19"/>
      </c>
      <c r="CL11" s="814">
        <v>61104</v>
      </c>
      <c r="CM11" s="814">
        <v>37559</v>
      </c>
      <c r="CN11" s="814">
        <v>29470</v>
      </c>
      <c r="CO11" s="815">
        <v>36755</v>
      </c>
      <c r="CP11" s="814">
        <v>51982</v>
      </c>
      <c r="CQ11" s="814">
        <v>31051</v>
      </c>
      <c r="CR11" s="814">
        <v>25986</v>
      </c>
      <c r="CS11" s="815">
        <v>33362</v>
      </c>
      <c r="CT11" s="814">
        <v>55957</v>
      </c>
      <c r="CU11" s="814">
        <v>28962</v>
      </c>
      <c r="CV11" s="814">
        <v>26418</v>
      </c>
      <c r="CW11" s="815">
        <v>26444</v>
      </c>
      <c r="CX11" s="814">
        <v>65597</v>
      </c>
      <c r="CY11" s="814">
        <v>47938</v>
      </c>
      <c r="CZ11" s="814">
        <v>39570</v>
      </c>
      <c r="DA11" s="815">
        <v>38868</v>
      </c>
      <c r="DB11" s="814">
        <v>71628</v>
      </c>
      <c r="DC11" s="814">
        <v>50570</v>
      </c>
      <c r="DD11" s="814">
        <v>40665</v>
      </c>
      <c r="DE11" s="1631">
        <f>'Revenue summary'!DE11</f>
      </c>
      <c r="DF11" s="2684">
        <f>'Revenue summary'!DF11</f>
      </c>
      <c r="DG11" s="2684">
        <f>'Revenue summary'!DG11</f>
      </c>
      <c r="DH11" s="2684">
        <f>'Revenue summary'!DH11</f>
      </c>
      <c r="DI11" s="1631">
        <f>'Revenue summary'!DI11</f>
      </c>
      <c r="DJ11" s="2684">
        <f>'Revenue summary'!DJ11</f>
      </c>
      <c r="DK11" s="2684">
        <f>'Revenue summary'!DK11</f>
      </c>
      <c r="DL11" s="2684">
        <f>'Revenue summary'!DL11</f>
      </c>
      <c r="DM11" s="1631">
        <f>'Revenue summary'!DM11</f>
      </c>
      <c r="DN11" s="2684">
        <f>'Revenue summary'!DN11</f>
      </c>
      <c r="DO11" s="2684">
        <f>'Revenue summary'!DO11</f>
      </c>
      <c r="DP11" s="2684">
        <f>'Revenue summary'!DP11</f>
      </c>
      <c r="DQ11" s="816">
        <f t="shared" ref="DQ11:DU11" si="20">DQ70</f>
      </c>
      <c r="DR11" s="817">
        <f t="shared" si="20"/>
      </c>
      <c r="DS11" s="817">
        <f t="shared" si="20"/>
      </c>
      <c r="DT11" s="817">
        <f t="shared" si="20"/>
      </c>
      <c r="DU11" s="816">
        <f t="shared" si="20"/>
      </c>
      <c r="DV11" s="817">
        <f t="shared" ref="DV11:EK11" si="21">DV70</f>
      </c>
      <c r="DW11" s="817">
        <f t="shared" si="21"/>
      </c>
      <c r="DX11" s="817">
        <f t="shared" si="21"/>
      </c>
      <c r="DY11" s="816">
        <f t="shared" si="21"/>
      </c>
      <c r="DZ11" s="817">
        <f t="shared" si="21"/>
      </c>
      <c r="EA11" s="817">
        <f t="shared" si="21"/>
      </c>
      <c r="EB11" s="817">
        <f t="shared" si="21"/>
      </c>
      <c r="EC11" s="816">
        <f t="shared" si="21"/>
      </c>
      <c r="ED11" s="817">
        <f t="shared" si="21"/>
      </c>
      <c r="EE11" s="817">
        <f t="shared" si="21"/>
      </c>
      <c r="EF11" s="817">
        <f t="shared" si="21"/>
      </c>
      <c r="EG11" s="816">
        <f t="shared" si="21"/>
      </c>
      <c r="EH11" s="817">
        <f t="shared" si="21"/>
      </c>
      <c r="EI11" s="817">
        <f t="shared" si="21"/>
      </c>
      <c r="EJ11" s="817">
        <f t="shared" si="21"/>
      </c>
      <c r="EK11" s="816">
        <f t="shared" si="21"/>
      </c>
      <c r="EL11" s="347"/>
      <c r="EM11" s="817"/>
      <c r="EN11" s="817"/>
      <c r="EO11" s="817">
        <f>SUM(J11:M11)</f>
      </c>
      <c r="EP11" s="817">
        <f>SUM(N11:Q11)</f>
      </c>
      <c r="EQ11" s="817">
        <f>SUM(R11:U11)</f>
      </c>
      <c r="ER11" s="817">
        <f>SUM(V11:Y11)</f>
      </c>
      <c r="ES11" s="817">
        <f>SUM(Z11:AC11)</f>
      </c>
      <c r="ET11" s="817">
        <f>SUM(AD11:AG11)</f>
      </c>
      <c r="EU11" s="817">
        <f>SUM(AH11:AK11)</f>
      </c>
      <c r="EV11" s="817">
        <f>SUM(AL11:AO11)</f>
      </c>
      <c r="EW11" s="817">
        <f>SUM(AP11:AS11)</f>
      </c>
      <c r="EX11" s="817">
        <f>SUM(AT11:AW11)</f>
      </c>
      <c r="EY11" s="817">
        <f>SUM(AX11:BA11)</f>
      </c>
      <c r="EZ11" s="817">
        <f>SUM(BB11:BE11)</f>
      </c>
      <c r="FA11" s="817">
        <f>SUM(BF11:BI11)</f>
      </c>
      <c r="FB11" s="817">
        <f>SUM(BJ11:BM11)</f>
      </c>
      <c r="FC11" s="817">
        <f>SUM(BN11:BQ11)</f>
      </c>
      <c r="FD11" s="817">
        <f>SUM(BR11:BU11)</f>
      </c>
      <c r="FE11" s="817">
        <f>SUM(BV11:BY11)</f>
      </c>
      <c r="FF11" s="817">
        <f t="shared" ref="FF11:FF18" si="22">SUM(BZ11:CC11)</f>
      </c>
      <c r="FG11" s="817">
        <f t="shared" ref="FG11:FG18" si="23">SUM(CD11:CG11)</f>
      </c>
      <c r="FH11" s="817">
        <f>'Revenue summary'!FH11</f>
      </c>
      <c r="FI11" s="817">
        <f t="shared" ref="FI11:FI18" si="24">SUM(CL11:CO11)</f>
      </c>
      <c r="FJ11" s="817">
        <f t="shared" ref="FJ11:FJ18" si="25">SUM(CP11:CS11)</f>
      </c>
      <c r="FK11" s="817">
        <f t="shared" ref="FK11:FK18" si="26">SUM(CT11:CW11)</f>
      </c>
      <c r="FL11" s="817">
        <f t="shared" ref="FL11:FL18" si="27">SUM(CX11:DA11)</f>
      </c>
      <c r="FM11" s="817">
        <f t="shared" ref="FM11:FM18" si="28">SUM(DB11:DE11)</f>
      </c>
      <c r="FN11" s="817">
        <f t="shared" ref="FN11:FN18" si="29">SUM(DF11:DI11)</f>
      </c>
      <c r="FO11" s="817">
        <f t="shared" ref="FO11:FO18" si="30">SUM(DJ11:DM11)</f>
      </c>
      <c r="FP11" s="817">
        <f t="shared" ref="FP11:FP18" si="31">SUM(DN11:DQ11)</f>
      </c>
      <c r="FQ11" s="817">
        <f t="shared" ref="FQ11:FQ18" si="32">SUM(DR11:DU11)</f>
      </c>
      <c r="FR11" s="817">
        <f t="shared" ref="FR11:FR18" si="33">SUM(DV11:DY11)</f>
      </c>
      <c r="FS11" s="817">
        <f t="shared" ref="FS11:FS18" si="34">SUM(DZ11:EC11)</f>
      </c>
      <c r="FT11" s="817">
        <f t="shared" ref="FT11:FT18" si="35">SUM(ED11:EG11)</f>
      </c>
      <c r="FU11" s="817">
        <f t="shared" ref="FU11:FU18" si="36">SUM(EH11:EK11)</f>
      </c>
      <c r="FV11" s="17"/>
      <c r="FW11" s="817"/>
      <c r="FX11" s="817"/>
      <c r="FY11" s="817"/>
      <c r="FZ11" s="817">
        <f>SUM(G11:J11)</f>
      </c>
      <c r="GA11" s="817">
        <f>SUM(K11:N11)</f>
      </c>
      <c r="GB11" s="817">
        <f>SUM(O11:R11)</f>
      </c>
      <c r="GC11" s="817">
        <f>SUM(S11:V11)</f>
      </c>
      <c r="GD11" s="817">
        <f>SUM(W11:Z11)</f>
      </c>
      <c r="GE11" s="817">
        <f>SUM(AA11:AD11)</f>
      </c>
      <c r="GF11" s="817">
        <f>SUM(AE11:AH11)</f>
      </c>
      <c r="GG11" s="817">
        <f>SUM(AI11:AL11)</f>
      </c>
      <c r="GH11" s="817">
        <f>SUM(AM11:AP11)</f>
      </c>
      <c r="GI11" s="817">
        <f>SUM(AQ11:AT11)</f>
      </c>
      <c r="GJ11" s="817">
        <f>SUM(AU11:AX11)</f>
      </c>
      <c r="GK11" s="817">
        <f>SUM(AY11:BB11)</f>
      </c>
      <c r="GL11" s="817">
        <f>SUM(BC11:BF11)</f>
      </c>
      <c r="GM11" s="817">
        <f>SUM(BG11:BJ11)</f>
      </c>
      <c r="GN11" s="817">
        <f t="shared" ref="GN11:GN18" si="37">SUM(BK11:BN11)</f>
      </c>
      <c r="GO11" s="817">
        <f t="shared" ref="GO11:GO18" si="38">SUM(BO11:BR11)</f>
      </c>
      <c r="GP11" s="817">
        <f t="shared" ref="GP11:GP18" si="39">SUM(BS11:BV11)</f>
      </c>
      <c r="GQ11" s="817">
        <f t="shared" ref="GQ11:GQ18" si="40">SUM(BW11:BZ11)</f>
      </c>
      <c r="GR11" s="817">
        <f t="shared" ref="GR11:GR18" si="41">SUM(CA11:CD11)</f>
      </c>
      <c r="GS11" s="817">
        <f t="shared" ref="GS11:GS18" si="42">SUM(CE11:CH11)</f>
      </c>
      <c r="GT11" s="817">
        <f t="shared" ref="GT11:GT18" si="43">SUM(CI11:CL11)</f>
      </c>
      <c r="GU11" s="817">
        <f t="shared" ref="GU11:GU18" si="44">SUM(CM11:CP11)</f>
      </c>
      <c r="GV11" s="817">
        <f t="shared" ref="GV11:GV18" si="45">SUM(CQ11:CT11)</f>
      </c>
      <c r="GW11" s="817">
        <f t="shared" ref="GW11:GW18" si="46">SUM(CU11:CX11)</f>
      </c>
      <c r="GX11" s="817">
        <f t="shared" ref="GX11:GX18" si="47">SUM(CY11:DB11)</f>
      </c>
      <c r="GY11" s="817">
        <f t="shared" ref="GY11:GY18" si="48">SUM(DC11:DF11)</f>
      </c>
      <c r="GZ11" s="817">
        <f t="shared" ref="GZ11:GZ18" si="49">SUM(DG11:DJ11)</f>
      </c>
      <c r="HA11" s="817">
        <f t="shared" ref="HA11:HA18" si="50">SUM(DK11:DN11)</f>
      </c>
      <c r="HB11" s="817">
        <f t="shared" ref="HB11:HB18" si="51">SUM(DO11:DR11)</f>
      </c>
      <c r="HC11" s="817">
        <f t="shared" ref="HC11:HC18" si="52">SUM(DS11:DV11)</f>
      </c>
      <c r="HD11" s="817">
        <f t="shared" ref="HD11:HD18" si="53">SUM(DW11:DZ11)</f>
      </c>
      <c r="HE11" s="817">
        <f t="shared" ref="HE11:HE18" si="54">SUM(EA11:ED11)</f>
      </c>
      <c r="HF11" s="817">
        <f t="shared" ref="HF11:HF18" si="55">SUM(EE11:EH11)</f>
      </c>
    </row>
    <row r="12" spans="1:214" s="11" customFormat="1" ht="10.199999999999999">
      <c r="A12" s="152" t="s">
        <v>86</v>
      </c>
      <c r="B12" s="137"/>
      <c r="C12" s="137"/>
      <c r="D12" s="137"/>
      <c r="E12" s="860"/>
      <c r="F12" s="137"/>
      <c r="G12" s="137"/>
      <c r="H12" s="137"/>
      <c r="I12" s="860"/>
      <c r="J12" s="826">
        <f t="shared" ref="J12:Y12" si="56">N12/N196*J196</f>
      </c>
      <c r="K12" s="820">
        <f t="shared" si="56"/>
      </c>
      <c r="L12" s="820">
        <f t="shared" si="56"/>
      </c>
      <c r="M12" s="821">
        <f t="shared" si="56"/>
      </c>
      <c r="N12" s="826">
        <f t="shared" si="56"/>
      </c>
      <c r="O12" s="820">
        <f t="shared" si="56"/>
      </c>
      <c r="P12" s="820">
        <f t="shared" si="56"/>
      </c>
      <c r="Q12" s="821">
        <f t="shared" si="56"/>
      </c>
      <c r="R12" s="826">
        <f t="shared" si="56"/>
      </c>
      <c r="S12" s="820">
        <f t="shared" si="56"/>
      </c>
      <c r="T12" s="820">
        <f t="shared" si="56"/>
      </c>
      <c r="U12" s="821">
        <f t="shared" si="56"/>
      </c>
      <c r="V12" s="826">
        <f t="shared" si="56"/>
      </c>
      <c r="W12" s="820">
        <f t="shared" si="56"/>
      </c>
      <c r="X12" s="820">
        <f t="shared" si="56"/>
      </c>
      <c r="Y12" s="821">
        <f t="shared" si="56"/>
      </c>
      <c r="Z12" s="826">
        <f t="shared" ref="Z12:BU12" si="57">Z196</f>
      </c>
      <c r="AA12" s="820">
        <f t="shared" si="57"/>
      </c>
      <c r="AB12" s="820">
        <f t="shared" si="57"/>
      </c>
      <c r="AC12" s="821">
        <f t="shared" si="57"/>
      </c>
      <c r="AD12" s="826">
        <f t="shared" si="57"/>
      </c>
      <c r="AE12" s="820">
        <f t="shared" si="57"/>
      </c>
      <c r="AF12" s="820">
        <f t="shared" si="57"/>
      </c>
      <c r="AG12" s="821">
        <f t="shared" si="57"/>
      </c>
      <c r="AH12" s="826">
        <f t="shared" si="57"/>
      </c>
      <c r="AI12" s="820">
        <f t="shared" si="57"/>
      </c>
      <c r="AJ12" s="820">
        <f t="shared" si="57"/>
      </c>
      <c r="AK12" s="821">
        <f t="shared" si="57"/>
      </c>
      <c r="AL12" s="826">
        <f t="shared" si="57"/>
      </c>
      <c r="AM12" s="820">
        <f t="shared" si="57"/>
      </c>
      <c r="AN12" s="820">
        <f t="shared" si="57"/>
      </c>
      <c r="AO12" s="821">
        <f t="shared" si="57"/>
      </c>
      <c r="AP12" s="826">
        <f t="shared" si="57"/>
      </c>
      <c r="AQ12" s="820">
        <f t="shared" si="57"/>
      </c>
      <c r="AR12" s="820">
        <f t="shared" si="57"/>
      </c>
      <c r="AS12" s="821">
        <f t="shared" si="57"/>
      </c>
      <c r="AT12" s="826">
        <f t="shared" si="57"/>
      </c>
      <c r="AU12" s="820">
        <f t="shared" si="57"/>
      </c>
      <c r="AV12" s="820">
        <f t="shared" si="57"/>
      </c>
      <c r="AW12" s="821">
        <f t="shared" si="57"/>
      </c>
      <c r="AX12" s="826">
        <f t="shared" si="57"/>
      </c>
      <c r="AY12" s="820">
        <f t="shared" si="57"/>
      </c>
      <c r="AZ12" s="820">
        <f t="shared" si="57"/>
      </c>
      <c r="BA12" s="821">
        <f t="shared" si="57"/>
      </c>
      <c r="BB12" s="826">
        <f t="shared" si="57"/>
      </c>
      <c r="BC12" s="820">
        <f t="shared" si="57"/>
      </c>
      <c r="BD12" s="820">
        <f t="shared" si="57"/>
      </c>
      <c r="BE12" s="821">
        <f t="shared" si="57"/>
      </c>
      <c r="BF12" s="826">
        <f t="shared" si="57"/>
      </c>
      <c r="BG12" s="820">
        <f t="shared" si="57"/>
      </c>
      <c r="BH12" s="820">
        <f t="shared" si="57"/>
      </c>
      <c r="BI12" s="821">
        <f t="shared" si="57"/>
      </c>
      <c r="BJ12" s="826">
        <f t="shared" si="57"/>
      </c>
      <c r="BK12" s="820">
        <f t="shared" si="57"/>
      </c>
      <c r="BL12" s="820">
        <f t="shared" si="57"/>
      </c>
      <c r="BM12" s="821">
        <f t="shared" si="57"/>
      </c>
      <c r="BN12" s="826">
        <f t="shared" si="57"/>
      </c>
      <c r="BO12" s="820">
        <f t="shared" si="57"/>
      </c>
      <c r="BP12" s="820">
        <f t="shared" si="57"/>
      </c>
      <c r="BQ12" s="821">
        <f t="shared" si="57"/>
      </c>
      <c r="BR12" s="826">
        <f t="shared" si="57"/>
      </c>
      <c r="BS12" s="820">
        <f t="shared" si="57"/>
      </c>
      <c r="BT12" s="820">
        <f t="shared" si="57"/>
      </c>
      <c r="BU12" s="821">
        <f t="shared" si="57"/>
      </c>
      <c r="BV12" s="826">
        <f t="shared" ref="BV12:CK12" si="58">BZ12/BZ196*BV196</f>
      </c>
      <c r="BW12" s="820">
        <f t="shared" si="58"/>
      </c>
      <c r="BX12" s="820">
        <f t="shared" si="58"/>
      </c>
      <c r="BY12" s="821">
        <f t="shared" si="58"/>
      </c>
      <c r="BZ12" s="826">
        <f t="shared" si="58"/>
      </c>
      <c r="CA12" s="820">
        <f t="shared" si="58"/>
      </c>
      <c r="CB12" s="820">
        <f t="shared" si="58"/>
      </c>
      <c r="CC12" s="821">
        <f t="shared" si="58"/>
      </c>
      <c r="CD12" s="826">
        <f t="shared" si="58"/>
      </c>
      <c r="CE12" s="820">
        <f t="shared" si="58"/>
      </c>
      <c r="CF12" s="820">
        <f t="shared" si="58"/>
      </c>
      <c r="CG12" s="821">
        <f t="shared" si="58"/>
      </c>
      <c r="CH12" s="826">
        <f t="shared" si="58"/>
      </c>
      <c r="CI12" s="820">
        <f t="shared" si="58"/>
      </c>
      <c r="CJ12" s="820">
        <f t="shared" si="58"/>
      </c>
      <c r="CK12" s="821">
        <f t="shared" si="58"/>
      </c>
      <c r="CL12" s="820">
        <v>6824</v>
      </c>
      <c r="CM12" s="820">
        <v>5776</v>
      </c>
      <c r="CN12" s="820">
        <v>5258</v>
      </c>
      <c r="CO12" s="821">
        <v>7340</v>
      </c>
      <c r="CP12" s="820">
        <v>7416</v>
      </c>
      <c r="CQ12" s="820">
        <v>5513</v>
      </c>
      <c r="CR12" s="820">
        <v>5820</v>
      </c>
      <c r="CS12" s="821">
        <v>6991</v>
      </c>
      <c r="CT12" s="820">
        <v>7160</v>
      </c>
      <c r="CU12" s="820">
        <v>5351</v>
      </c>
      <c r="CV12" s="820">
        <v>7079</v>
      </c>
      <c r="CW12" s="821">
        <v>9032</v>
      </c>
      <c r="CX12" s="826">
        <v>8675</v>
      </c>
      <c r="CY12" s="820">
        <v>9102</v>
      </c>
      <c r="CZ12" s="820">
        <v>8235</v>
      </c>
      <c r="DA12" s="821">
        <v>9178</v>
      </c>
      <c r="DB12" s="826">
        <v>10852</v>
      </c>
      <c r="DC12" s="820">
        <v>10435</v>
      </c>
      <c r="DD12" s="820">
        <v>7382</v>
      </c>
      <c r="DE12" s="1081">
        <f>'Revenue summary'!DE12</f>
      </c>
      <c r="DF12" s="900">
        <f>'Revenue summary'!DF12</f>
      </c>
      <c r="DG12" s="900">
        <f>'Revenue summary'!DG12</f>
      </c>
      <c r="DH12" s="900">
        <f>'Revenue summary'!DH12</f>
      </c>
      <c r="DI12" s="1081">
        <f>'Revenue summary'!DI12</f>
      </c>
      <c r="DJ12" s="900">
        <f>'Revenue summary'!DJ12</f>
      </c>
      <c r="DK12" s="900">
        <f>'Revenue summary'!DK12</f>
      </c>
      <c r="DL12" s="900">
        <f>'Revenue summary'!DL12</f>
      </c>
      <c r="DM12" s="1081">
        <f>'Revenue summary'!DM12</f>
      </c>
      <c r="DN12" s="900">
        <f>'Revenue summary'!DN12</f>
      </c>
      <c r="DO12" s="900">
        <f>'Revenue summary'!DO12</f>
      </c>
      <c r="DP12" s="900">
        <f>'Revenue summary'!DP12</f>
      </c>
      <c r="DQ12" s="423">
        <f t="shared" ref="DQ12:DR12" si="59">DQ93*DQ152</f>
      </c>
      <c r="DR12" s="370">
        <f t="shared" si="59"/>
      </c>
      <c r="DS12" s="370">
        <f t="shared" ref="DS12:DU12" si="60">DS93*DS152</f>
      </c>
      <c r="DT12" s="370">
        <f t="shared" si="60"/>
      </c>
      <c r="DU12" s="423">
        <f t="shared" si="60"/>
      </c>
      <c r="DV12" s="370">
        <f t="shared" ref="DV12:EK12" si="61">DV93*DV152</f>
      </c>
      <c r="DW12" s="370">
        <f t="shared" si="61"/>
      </c>
      <c r="DX12" s="370">
        <f t="shared" si="61"/>
      </c>
      <c r="DY12" s="423">
        <f t="shared" si="61"/>
      </c>
      <c r="DZ12" s="370">
        <f t="shared" si="61"/>
      </c>
      <c r="EA12" s="370">
        <f t="shared" si="61"/>
      </c>
      <c r="EB12" s="370">
        <f t="shared" si="61"/>
      </c>
      <c r="EC12" s="423">
        <f t="shared" si="61"/>
      </c>
      <c r="ED12" s="370">
        <f t="shared" si="61"/>
      </c>
      <c r="EE12" s="370">
        <f t="shared" si="61"/>
      </c>
      <c r="EF12" s="370">
        <f t="shared" si="61"/>
      </c>
      <c r="EG12" s="423">
        <f t="shared" si="61"/>
      </c>
      <c r="EH12" s="370">
        <f t="shared" si="61"/>
      </c>
      <c r="EI12" s="370">
        <f t="shared" si="61"/>
      </c>
      <c r="EJ12" s="370">
        <f t="shared" si="61"/>
      </c>
      <c r="EK12" s="423">
        <f t="shared" si="61"/>
      </c>
      <c r="EL12" s="345"/>
      <c r="EM12" s="370"/>
      <c r="EN12" s="370"/>
      <c r="EO12" s="370">
        <f>SUM(J12:M12)</f>
      </c>
      <c r="EP12" s="370">
        <f>SUM(N12:Q12)</f>
      </c>
      <c r="EQ12" s="370">
        <f>SUM(R12:U12)</f>
      </c>
      <c r="ER12" s="370">
        <f>SUM(V12:Y12)</f>
      </c>
      <c r="ES12" s="370">
        <f>SUM(Z12:AC12)</f>
      </c>
      <c r="ET12" s="370">
        <f>SUM(AD12:AG12)</f>
      </c>
      <c r="EU12" s="370">
        <f>SUM(AH12:AK12)</f>
      </c>
      <c r="EV12" s="370">
        <f>SUM(AL12:AO12)</f>
      </c>
      <c r="EW12" s="370">
        <f>SUM(AP12:AS12)</f>
      </c>
      <c r="EX12" s="370">
        <f>SUM(AT12:AW12)</f>
      </c>
      <c r="EY12" s="370">
        <f>SUM(AX12:BA12)</f>
      </c>
      <c r="EZ12" s="370">
        <f>SUM(BB12:BE12)</f>
      </c>
      <c r="FA12" s="370">
        <f>SUM(BF12:BI12)</f>
      </c>
      <c r="FB12" s="370">
        <f>SUM(BJ12:BM12)</f>
      </c>
      <c r="FC12" s="370">
        <f>SUM(BN12:BQ12)</f>
      </c>
      <c r="FD12" s="370">
        <f>SUM(BR12:BU12)</f>
      </c>
      <c r="FE12" s="370">
        <f>SUM(BV12:BY12)</f>
      </c>
      <c r="FF12" s="370">
        <f>SUM(BZ12:CC12)</f>
      </c>
      <c r="FG12" s="370">
        <f>SUM(CD12:CG12)</f>
      </c>
      <c r="FH12" s="370">
        <f>'Revenue summary'!FH12</f>
      </c>
      <c r="FI12" s="370">
        <f>SUM(CL12:CO12)</f>
      </c>
      <c r="FJ12" s="370">
        <f>SUM(CP12:CS12)</f>
      </c>
      <c r="FK12" s="370">
        <f>SUM(CT12:CW12)</f>
      </c>
      <c r="FL12" s="370">
        <f>SUM(CX12:DA12)</f>
      </c>
      <c r="FM12" s="370">
        <f>SUM(DB12:DE12)</f>
      </c>
      <c r="FN12" s="370">
        <f>SUM(DF12:DI12)</f>
      </c>
      <c r="FO12" s="370">
        <f>SUM(DJ12:DM12)</f>
      </c>
      <c r="FP12" s="370">
        <f>SUM(DN12:DQ12)</f>
      </c>
      <c r="FQ12" s="370">
        <f>SUM(DR12:DU12)</f>
      </c>
      <c r="FR12" s="370">
        <f t="shared" si="33"/>
      </c>
      <c r="FS12" s="370">
        <f t="shared" si="34"/>
      </c>
      <c r="FT12" s="370">
        <f t="shared" si="35"/>
      </c>
      <c r="FU12" s="370">
        <f t="shared" si="36"/>
      </c>
      <c r="FW12" s="370"/>
      <c r="FX12" s="370"/>
      <c r="FY12" s="370"/>
      <c r="FZ12" s="370">
        <f>SUM(G12:J12)</f>
      </c>
      <c r="GA12" s="370">
        <f>SUM(K12:N12)</f>
      </c>
      <c r="GB12" s="370">
        <f>SUM(O12:R12)</f>
      </c>
      <c r="GC12" s="370">
        <f>SUM(S12:V12)</f>
      </c>
      <c r="GD12" s="370">
        <f>SUM(W12:Z12)</f>
      </c>
      <c r="GE12" s="370">
        <f>SUM(AA12:AD12)</f>
      </c>
      <c r="GF12" s="370">
        <f>SUM(AE12:AH12)</f>
      </c>
      <c r="GG12" s="370">
        <f>SUM(AI12:AL12)</f>
      </c>
      <c r="GH12" s="370">
        <f>SUM(AM12:AP12)</f>
      </c>
      <c r="GI12" s="370">
        <f>SUM(AQ12:AT12)</f>
      </c>
      <c r="GJ12" s="370">
        <f>SUM(AU12:AX12)</f>
      </c>
      <c r="GK12" s="370">
        <f>SUM(AY12:BB12)</f>
      </c>
      <c r="GL12" s="370">
        <f>SUM(BC12:BF12)</f>
      </c>
      <c r="GM12" s="370">
        <f>SUM(BG12:BJ12)</f>
      </c>
      <c r="GN12" s="370">
        <f t="shared" si="37"/>
      </c>
      <c r="GO12" s="370">
        <f t="shared" si="38"/>
      </c>
      <c r="GP12" s="370">
        <f t="shared" si="39"/>
      </c>
      <c r="GQ12" s="370">
        <f t="shared" si="40"/>
      </c>
      <c r="GR12" s="370">
        <f t="shared" si="41"/>
      </c>
      <c r="GS12" s="370">
        <f t="shared" si="42"/>
      </c>
      <c r="GT12" s="370">
        <f t="shared" si="43"/>
      </c>
      <c r="GU12" s="370">
        <f t="shared" si="44"/>
      </c>
      <c r="GV12" s="370">
        <f t="shared" si="45"/>
      </c>
      <c r="GW12" s="370">
        <f t="shared" si="46"/>
      </c>
      <c r="GX12" s="370">
        <f t="shared" si="47"/>
      </c>
      <c r="GY12" s="370">
        <f t="shared" si="48"/>
      </c>
      <c r="GZ12" s="370">
        <f t="shared" si="49"/>
      </c>
      <c r="HA12" s="370">
        <f t="shared" si="50"/>
      </c>
      <c r="HB12" s="370">
        <f t="shared" si="51"/>
      </c>
      <c r="HC12" s="370">
        <f t="shared" si="52"/>
      </c>
      <c r="HD12" s="370">
        <f t="shared" si="53"/>
      </c>
      <c r="HE12" s="370">
        <f t="shared" si="54"/>
      </c>
      <c r="HF12" s="370">
        <f t="shared" si="55"/>
      </c>
    </row>
    <row r="13" spans="1:214" s="11" customFormat="1" ht="10.199999999999999">
      <c r="A13" s="152" t="s">
        <v>85</v>
      </c>
      <c r="B13" s="137"/>
      <c r="C13" s="137"/>
      <c r="D13" s="137"/>
      <c r="E13" s="860"/>
      <c r="F13" s="137"/>
      <c r="G13" s="137"/>
      <c r="H13" s="137"/>
      <c r="I13" s="860"/>
      <c r="J13" s="137"/>
      <c r="K13" s="137"/>
      <c r="L13" s="137"/>
      <c r="M13" s="860"/>
      <c r="N13" s="137"/>
      <c r="O13" s="137"/>
      <c r="P13" s="137"/>
      <c r="Q13" s="860"/>
      <c r="R13" s="137"/>
      <c r="S13" s="137"/>
      <c r="T13" s="137"/>
      <c r="U13" s="860"/>
      <c r="V13" s="137"/>
      <c r="W13" s="137"/>
      <c r="X13" s="137"/>
      <c r="Y13" s="860"/>
      <c r="Z13" s="77"/>
      <c r="AA13" s="77"/>
      <c r="AB13" s="77"/>
      <c r="AC13" s="192"/>
      <c r="AD13" s="77"/>
      <c r="AE13" s="77"/>
      <c r="AF13" s="77"/>
      <c r="AG13" s="192"/>
      <c r="AH13" s="77"/>
      <c r="AI13" s="77"/>
      <c r="AJ13" s="77"/>
      <c r="AK13" s="192"/>
      <c r="AL13" s="77"/>
      <c r="AM13" s="77"/>
      <c r="AN13" s="77"/>
      <c r="AO13" s="192"/>
      <c r="AP13" s="77"/>
      <c r="AQ13" s="77"/>
      <c r="AR13" s="77"/>
      <c r="AS13" s="192"/>
      <c r="AT13" s="77"/>
      <c r="AU13" s="77"/>
      <c r="AV13" s="77"/>
      <c r="AW13" s="192"/>
      <c r="AX13" s="77"/>
      <c r="AY13" s="77"/>
      <c r="AZ13" s="77"/>
      <c r="BA13" s="192"/>
      <c r="BB13" s="77"/>
      <c r="BC13" s="77"/>
      <c r="BD13" s="77"/>
      <c r="BE13" s="192"/>
      <c r="BF13" s="77"/>
      <c r="BG13" s="77"/>
      <c r="BH13" s="820">
        <f t="shared" ref="BH13:BU13" si="62">BH195</f>
      </c>
      <c r="BI13" s="821">
        <f t="shared" si="62"/>
      </c>
      <c r="BJ13" s="820">
        <f t="shared" si="62"/>
      </c>
      <c r="BK13" s="820">
        <f t="shared" si="62"/>
      </c>
      <c r="BL13" s="820">
        <f t="shared" si="62"/>
      </c>
      <c r="BM13" s="821">
        <f t="shared" si="62"/>
      </c>
      <c r="BN13" s="820">
        <f t="shared" si="62"/>
      </c>
      <c r="BO13" s="820">
        <f t="shared" si="62"/>
      </c>
      <c r="BP13" s="820">
        <f t="shared" si="62"/>
      </c>
      <c r="BQ13" s="821">
        <f t="shared" si="62"/>
      </c>
      <c r="BR13" s="820">
        <f t="shared" si="62"/>
      </c>
      <c r="BS13" s="820">
        <f t="shared" si="62"/>
      </c>
      <c r="BT13" s="820">
        <f t="shared" si="62"/>
      </c>
      <c r="BU13" s="821">
        <f t="shared" si="62"/>
      </c>
      <c r="BV13" s="826">
        <f t="shared" ref="BV13:CK13" si="63">BZ13/BZ195*BV195</f>
      </c>
      <c r="BW13" s="820">
        <f t="shared" si="63"/>
      </c>
      <c r="BX13" s="820">
        <f t="shared" si="63"/>
      </c>
      <c r="BY13" s="821">
        <f t="shared" si="63"/>
      </c>
      <c r="BZ13" s="826">
        <f t="shared" si="63"/>
      </c>
      <c r="CA13" s="820">
        <f t="shared" si="63"/>
      </c>
      <c r="CB13" s="820">
        <f t="shared" si="63"/>
      </c>
      <c r="CC13" s="821">
        <f t="shared" si="63"/>
      </c>
      <c r="CD13" s="826">
        <f t="shared" si="63"/>
      </c>
      <c r="CE13" s="820">
        <f t="shared" si="63"/>
      </c>
      <c r="CF13" s="820">
        <f t="shared" si="63"/>
      </c>
      <c r="CG13" s="821">
        <f t="shared" si="63"/>
      </c>
      <c r="CH13" s="826">
        <f t="shared" si="63"/>
      </c>
      <c r="CI13" s="820">
        <f t="shared" si="63"/>
      </c>
      <c r="CJ13" s="820">
        <f t="shared" si="63"/>
      </c>
      <c r="CK13" s="821">
        <f t="shared" si="63"/>
      </c>
      <c r="CL13" s="820">
        <v>5755</v>
      </c>
      <c r="CM13" s="820">
        <v>4008</v>
      </c>
      <c r="CN13" s="820">
        <v>4634</v>
      </c>
      <c r="CO13" s="821">
        <v>3983</v>
      </c>
      <c r="CP13" s="820">
        <v>6729</v>
      </c>
      <c r="CQ13" s="820">
        <v>4872</v>
      </c>
      <c r="CR13" s="820">
        <v>5023</v>
      </c>
      <c r="CS13" s="821">
        <v>4656</v>
      </c>
      <c r="CT13" s="820">
        <v>5977</v>
      </c>
      <c r="CU13" s="820">
        <v>4368</v>
      </c>
      <c r="CV13" s="820">
        <v>6582</v>
      </c>
      <c r="CW13" s="821">
        <v>6797</v>
      </c>
      <c r="CX13" s="826">
        <v>8435</v>
      </c>
      <c r="CY13" s="820">
        <v>7807</v>
      </c>
      <c r="CZ13" s="820">
        <v>7368</v>
      </c>
      <c r="DA13" s="821">
        <v>8252</v>
      </c>
      <c r="DB13" s="826">
        <v>7248</v>
      </c>
      <c r="DC13" s="820">
        <v>7646</v>
      </c>
      <c r="DD13" s="820">
        <v>7224</v>
      </c>
      <c r="DE13" s="1081">
        <f>'Revenue summary'!DE13</f>
      </c>
      <c r="DF13" s="900">
        <f>'Revenue summary'!DF13</f>
      </c>
      <c r="DG13" s="900">
        <f>'Revenue summary'!DG13</f>
      </c>
      <c r="DH13" s="900">
        <f>'Revenue summary'!DH13</f>
      </c>
      <c r="DI13" s="1081">
        <f>'Revenue summary'!DI13</f>
      </c>
      <c r="DJ13" s="900">
        <f>'Revenue summary'!DJ13</f>
      </c>
      <c r="DK13" s="900">
        <f>'Revenue summary'!DK13</f>
      </c>
      <c r="DL13" s="900">
        <f>'Revenue summary'!DL13</f>
      </c>
      <c r="DM13" s="1081">
        <f>'Revenue summary'!DM13</f>
      </c>
      <c r="DN13" s="900">
        <f>'Revenue summary'!DN13</f>
      </c>
      <c r="DO13" s="900">
        <f>'Revenue summary'!DO13</f>
      </c>
      <c r="DP13" s="900">
        <f>'Revenue summary'!DP13</f>
      </c>
      <c r="DQ13" s="423">
        <f t="shared" ref="DQ13:DU13" si="64">DQ49</f>
      </c>
      <c r="DR13" s="370">
        <f t="shared" si="64"/>
      </c>
      <c r="DS13" s="370">
        <f t="shared" si="64"/>
      </c>
      <c r="DT13" s="370">
        <f t="shared" si="64"/>
      </c>
      <c r="DU13" s="423">
        <f t="shared" si="64"/>
      </c>
      <c r="DV13" s="370">
        <f t="shared" ref="DV13:EK13" si="65">DV49</f>
      </c>
      <c r="DW13" s="370">
        <f t="shared" si="65"/>
      </c>
      <c r="DX13" s="370">
        <f t="shared" si="65"/>
      </c>
      <c r="DY13" s="423">
        <f t="shared" si="65"/>
      </c>
      <c r="DZ13" s="370">
        <f t="shared" si="65"/>
      </c>
      <c r="EA13" s="370">
        <f t="shared" si="65"/>
      </c>
      <c r="EB13" s="370">
        <f t="shared" si="65"/>
      </c>
      <c r="EC13" s="423">
        <f t="shared" si="65"/>
      </c>
      <c r="ED13" s="370">
        <f t="shared" si="65"/>
      </c>
      <c r="EE13" s="370">
        <f t="shared" si="65"/>
      </c>
      <c r="EF13" s="370">
        <f t="shared" si="65"/>
      </c>
      <c r="EG13" s="423">
        <f t="shared" si="65"/>
      </c>
      <c r="EH13" s="370">
        <f t="shared" si="65"/>
      </c>
      <c r="EI13" s="370">
        <f t="shared" si="65"/>
      </c>
      <c r="EJ13" s="370">
        <f t="shared" si="65"/>
      </c>
      <c r="EK13" s="423">
        <f t="shared" si="65"/>
      </c>
      <c r="EL13" s="345"/>
      <c r="EM13" s="370"/>
      <c r="EN13" s="370"/>
      <c r="EO13" s="370">
        <f>SUM(J13:M13)</f>
      </c>
      <c r="EP13" s="370">
        <f>SUM(N13:Q13)</f>
      </c>
      <c r="EQ13" s="370">
        <f>SUM(R13:U13)</f>
      </c>
      <c r="ER13" s="370">
        <f>SUM(V13:Y13)</f>
      </c>
      <c r="ES13" s="370">
        <f>SUM(Z13:AC13)</f>
      </c>
      <c r="ET13" s="370">
        <f>SUM(AD13:AG13)</f>
      </c>
      <c r="EU13" s="370">
        <f>SUM(AH13:AK13)</f>
      </c>
      <c r="EV13" s="370">
        <f>SUM(AL13:AO13)</f>
      </c>
      <c r="EW13" s="370">
        <f>SUM(AP13:AS13)</f>
      </c>
      <c r="EX13" s="370">
        <f>SUM(AT13:AW13)</f>
      </c>
      <c r="EY13" s="370">
        <f>SUM(AX13:BA13)</f>
      </c>
      <c r="EZ13" s="370">
        <f>SUM(BB13:BE13)</f>
      </c>
      <c r="FA13" s="370">
        <f>SUM(BF13:BI13)</f>
      </c>
      <c r="FB13" s="370">
        <f>SUM(BJ13:BM13)</f>
      </c>
      <c r="FC13" s="370">
        <f>SUM(BN13:BQ13)</f>
      </c>
      <c r="FD13" s="370">
        <f>SUM(BR13:BU13)</f>
      </c>
      <c r="FE13" s="370">
        <f>SUM(BV13:BY13)</f>
      </c>
      <c r="FF13" s="370">
        <f t="shared" si="22"/>
      </c>
      <c r="FG13" s="370">
        <f t="shared" si="23"/>
      </c>
      <c r="FH13" s="370">
        <f>'Revenue summary'!FH13</f>
      </c>
      <c r="FI13" s="370">
        <f t="shared" si="24"/>
      </c>
      <c r="FJ13" s="370">
        <f t="shared" si="25"/>
      </c>
      <c r="FK13" s="370">
        <f t="shared" si="26"/>
      </c>
      <c r="FL13" s="370">
        <f t="shared" si="27"/>
      </c>
      <c r="FM13" s="370">
        <f t="shared" si="28"/>
      </c>
      <c r="FN13" s="370">
        <f t="shared" si="29"/>
      </c>
      <c r="FO13" s="370">
        <f t="shared" si="30"/>
      </c>
      <c r="FP13" s="370">
        <f t="shared" si="31"/>
      </c>
      <c r="FQ13" s="370">
        <f t="shared" si="32"/>
      </c>
      <c r="FR13" s="370">
        <f t="shared" si="33"/>
      </c>
      <c r="FS13" s="370">
        <f t="shared" si="34"/>
      </c>
      <c r="FT13" s="370">
        <f t="shared" si="35"/>
      </c>
      <c r="FU13" s="370">
        <f t="shared" si="36"/>
      </c>
      <c r="FW13" s="370"/>
      <c r="FX13" s="370"/>
      <c r="FY13" s="370"/>
      <c r="FZ13" s="370">
        <f>SUM(G13:J13)</f>
      </c>
      <c r="GA13" s="370">
        <f>SUM(K13:N13)</f>
      </c>
      <c r="GB13" s="370">
        <f>SUM(O13:R13)</f>
      </c>
      <c r="GC13" s="370">
        <f>SUM(S13:V13)</f>
      </c>
      <c r="GD13" s="370">
        <f>SUM(W13:Z13)</f>
      </c>
      <c r="GE13" s="370">
        <f>SUM(AA13:AD13)</f>
      </c>
      <c r="GF13" s="370">
        <f>SUM(AE13:AH13)</f>
      </c>
      <c r="GG13" s="370">
        <f>SUM(AI13:AL13)</f>
      </c>
      <c r="GH13" s="370">
        <f>SUM(AM13:AP13)</f>
      </c>
      <c r="GI13" s="370">
        <f>SUM(AQ13:AT13)</f>
      </c>
      <c r="GJ13" s="370">
        <f>SUM(AU13:AX13)</f>
      </c>
      <c r="GK13" s="370">
        <f>SUM(AY13:BB13)</f>
      </c>
      <c r="GL13" s="370">
        <f>SUM(BC13:BF13)</f>
      </c>
      <c r="GM13" s="370">
        <f>SUM(BG13:BJ13)</f>
      </c>
      <c r="GN13" s="370">
        <f t="shared" si="37"/>
      </c>
      <c r="GO13" s="370">
        <f t="shared" si="38"/>
      </c>
      <c r="GP13" s="370">
        <f t="shared" si="39"/>
      </c>
      <c r="GQ13" s="370">
        <f t="shared" si="40"/>
      </c>
      <c r="GR13" s="370">
        <f t="shared" si="41"/>
      </c>
      <c r="GS13" s="370">
        <f t="shared" si="42"/>
      </c>
      <c r="GT13" s="370">
        <f t="shared" si="43"/>
      </c>
      <c r="GU13" s="370">
        <f t="shared" si="44"/>
      </c>
      <c r="GV13" s="370">
        <f t="shared" si="45"/>
      </c>
      <c r="GW13" s="370">
        <f t="shared" si="46"/>
      </c>
      <c r="GX13" s="370">
        <f t="shared" si="47"/>
      </c>
      <c r="GY13" s="370">
        <f t="shared" si="48"/>
      </c>
      <c r="GZ13" s="370">
        <f t="shared" si="49"/>
      </c>
      <c r="HA13" s="370">
        <f t="shared" si="50"/>
      </c>
      <c r="HB13" s="370">
        <f t="shared" si="51"/>
      </c>
      <c r="HC13" s="370">
        <f t="shared" si="52"/>
      </c>
      <c r="HD13" s="370">
        <f t="shared" si="53"/>
      </c>
      <c r="HE13" s="370">
        <f t="shared" si="54"/>
      </c>
      <c r="HF13" s="370">
        <f t="shared" si="55"/>
      </c>
    </row>
    <row r="14" spans="1:214" s="345" customFormat="1" ht="10.199999999999999">
      <c r="A14" s="899" t="s">
        <v>1120</v>
      </c>
      <c r="B14" s="820"/>
      <c r="C14" s="820"/>
      <c r="D14" s="820"/>
      <c r="E14" s="821"/>
      <c r="F14" s="820"/>
      <c r="G14" s="820"/>
      <c r="H14" s="820"/>
      <c r="I14" s="821"/>
      <c r="J14" s="820"/>
      <c r="K14" s="820"/>
      <c r="L14" s="820"/>
      <c r="M14" s="821"/>
      <c r="N14" s="820"/>
      <c r="O14" s="820"/>
      <c r="P14" s="820"/>
      <c r="Q14" s="821"/>
      <c r="R14" s="820"/>
      <c r="S14" s="820"/>
      <c r="T14" s="820"/>
      <c r="U14" s="821"/>
      <c r="V14" s="820"/>
      <c r="W14" s="820"/>
      <c r="X14" s="820"/>
      <c r="Y14" s="821"/>
      <c r="Z14" s="826">
        <f t="shared" ref="Z14:BG14" si="66">Z197</f>
      </c>
      <c r="AA14" s="820">
        <f t="shared" si="66"/>
      </c>
      <c r="AB14" s="820">
        <f t="shared" si="66"/>
      </c>
      <c r="AC14" s="821">
        <f t="shared" si="66"/>
      </c>
      <c r="AD14" s="826">
        <f t="shared" si="66"/>
      </c>
      <c r="AE14" s="820">
        <f t="shared" si="66"/>
      </c>
      <c r="AF14" s="820">
        <f t="shared" si="66"/>
      </c>
      <c r="AG14" s="821">
        <f t="shared" si="66"/>
      </c>
      <c r="AH14" s="826">
        <f t="shared" si="66"/>
      </c>
      <c r="AI14" s="820">
        <f t="shared" si="66"/>
      </c>
      <c r="AJ14" s="820">
        <f t="shared" si="66"/>
      </c>
      <c r="AK14" s="821">
        <f t="shared" si="66"/>
      </c>
      <c r="AL14" s="826">
        <f t="shared" si="66"/>
      </c>
      <c r="AM14" s="820">
        <f t="shared" si="66"/>
      </c>
      <c r="AN14" s="820">
        <f t="shared" si="66"/>
      </c>
      <c r="AO14" s="821">
        <f t="shared" si="66"/>
      </c>
      <c r="AP14" s="826">
        <f t="shared" si="66"/>
      </c>
      <c r="AQ14" s="820">
        <f t="shared" si="66"/>
      </c>
      <c r="AR14" s="820">
        <f t="shared" si="66"/>
      </c>
      <c r="AS14" s="821">
        <f t="shared" si="66"/>
      </c>
      <c r="AT14" s="826">
        <f t="shared" si="66"/>
      </c>
      <c r="AU14" s="820">
        <f t="shared" si="66"/>
      </c>
      <c r="AV14" s="820">
        <f t="shared" si="66"/>
      </c>
      <c r="AW14" s="821">
        <f t="shared" si="66"/>
      </c>
      <c r="AX14" s="826">
        <f t="shared" si="66"/>
      </c>
      <c r="AY14" s="820">
        <f t="shared" si="66"/>
      </c>
      <c r="AZ14" s="820">
        <f t="shared" si="66"/>
      </c>
      <c r="BA14" s="821">
        <f t="shared" si="66"/>
      </c>
      <c r="BB14" s="826">
        <f t="shared" si="66"/>
      </c>
      <c r="BC14" s="1284">
        <f t="shared" si="66"/>
      </c>
      <c r="BD14" s="820">
        <f t="shared" si="66"/>
      </c>
      <c r="BE14" s="821">
        <f t="shared" si="66"/>
      </c>
      <c r="BF14" s="826">
        <f t="shared" si="66"/>
      </c>
      <c r="BG14" s="820">
        <f t="shared" si="66"/>
      </c>
      <c r="BH14" s="820">
        <f t="shared" ref="BH14:BU14" si="67">BH197</f>
      </c>
      <c r="BI14" s="821">
        <f t="shared" si="67"/>
      </c>
      <c r="BJ14" s="826">
        <f t="shared" si="67"/>
      </c>
      <c r="BK14" s="820">
        <f t="shared" si="67"/>
      </c>
      <c r="BL14" s="820">
        <f t="shared" si="67"/>
      </c>
      <c r="BM14" s="821">
        <f t="shared" si="67"/>
      </c>
      <c r="BN14" s="826">
        <f t="shared" si="67"/>
      </c>
      <c r="BO14" s="820">
        <f t="shared" si="67"/>
      </c>
      <c r="BP14" s="820">
        <f t="shared" si="67"/>
      </c>
      <c r="BQ14" s="821">
        <f t="shared" si="67"/>
      </c>
      <c r="BR14" s="826">
        <f t="shared" si="67"/>
      </c>
      <c r="BS14" s="820">
        <f t="shared" si="67"/>
      </c>
      <c r="BT14" s="820">
        <f t="shared" si="67"/>
      </c>
      <c r="BU14" s="821">
        <f t="shared" si="67"/>
      </c>
      <c r="BV14" s="826">
        <f t="shared" ref="BV14:CK14" si="68">BZ14/BZ197*BV197</f>
      </c>
      <c r="BW14" s="820">
        <f t="shared" si="68"/>
      </c>
      <c r="BX14" s="820">
        <f t="shared" si="68"/>
      </c>
      <c r="BY14" s="821">
        <f t="shared" si="68"/>
      </c>
      <c r="BZ14" s="826">
        <f t="shared" si="68"/>
      </c>
      <c r="CA14" s="820">
        <f t="shared" si="68"/>
      </c>
      <c r="CB14" s="820">
        <f t="shared" si="68"/>
      </c>
      <c r="CC14" s="821">
        <f t="shared" si="68"/>
      </c>
      <c r="CD14" s="826">
        <f t="shared" si="68"/>
      </c>
      <c r="CE14" s="820">
        <f t="shared" si="68"/>
      </c>
      <c r="CF14" s="820">
        <f t="shared" si="68"/>
      </c>
      <c r="CG14" s="821">
        <f t="shared" si="68"/>
      </c>
      <c r="CH14" s="826">
        <f t="shared" si="68"/>
      </c>
      <c r="CI14" s="820">
        <f t="shared" si="68"/>
      </c>
      <c r="CJ14" s="820">
        <f t="shared" si="68"/>
      </c>
      <c r="CK14" s="821">
        <f t="shared" si="68"/>
      </c>
      <c r="CL14" s="820">
        <v>5481</v>
      </c>
      <c r="CM14" s="820">
        <v>3944</v>
      </c>
      <c r="CN14" s="820">
        <v>3733</v>
      </c>
      <c r="CO14" s="821">
        <v>4223</v>
      </c>
      <c r="CP14" s="820">
        <v>7308</v>
      </c>
      <c r="CQ14" s="820">
        <v>5129</v>
      </c>
      <c r="CR14" s="820">
        <v>5525</v>
      </c>
      <c r="CS14" s="821">
        <v>6520</v>
      </c>
      <c r="CT14" s="820">
        <v>10010</v>
      </c>
      <c r="CU14" s="820">
        <v>6284</v>
      </c>
      <c r="CV14" s="820">
        <v>6450</v>
      </c>
      <c r="CW14" s="821">
        <v>7876</v>
      </c>
      <c r="CX14" s="826">
        <v>12971</v>
      </c>
      <c r="CY14" s="820">
        <v>7836</v>
      </c>
      <c r="CZ14" s="820">
        <v>8775</v>
      </c>
      <c r="DA14" s="821">
        <v>8785</v>
      </c>
      <c r="DB14" s="826">
        <v>14701</v>
      </c>
      <c r="DC14" s="820">
        <v>8806</v>
      </c>
      <c r="DD14" s="820">
        <v>8084</v>
      </c>
      <c r="DE14" s="1081">
        <f>'Revenue summary'!DE14</f>
      </c>
      <c r="DF14" s="900">
        <f>'Revenue summary'!DF14</f>
      </c>
      <c r="DG14" s="900">
        <f>'Revenue summary'!DG14</f>
      </c>
      <c r="DH14" s="900">
        <f>'Revenue summary'!DH14</f>
      </c>
      <c r="DI14" s="1081">
        <f>'Revenue summary'!DI14</f>
      </c>
      <c r="DJ14" s="900">
        <f>'Revenue summary'!DJ14</f>
      </c>
      <c r="DK14" s="900">
        <f>'Revenue summary'!DK14</f>
      </c>
      <c r="DL14" s="900">
        <f>'Revenue summary'!DL14</f>
      </c>
      <c r="DM14" s="1081">
        <f>'Revenue summary'!DM14</f>
      </c>
      <c r="DN14" s="900">
        <f>'Revenue summary'!DN14</f>
      </c>
      <c r="DO14" s="900">
        <f>'Revenue summary'!DO14</f>
      </c>
      <c r="DP14" s="900">
        <f>'Revenue summary'!DP14</f>
      </c>
      <c r="DQ14" s="423">
        <f t="shared" ref="DQ14:EK14" si="69">DQ15+DQ16+DQ17+DQ18</f>
      </c>
      <c r="DR14" s="370">
        <f t="shared" si="69"/>
      </c>
      <c r="DS14" s="370">
        <f t="shared" si="69"/>
      </c>
      <c r="DT14" s="370">
        <f t="shared" si="69"/>
      </c>
      <c r="DU14" s="423">
        <f t="shared" si="69"/>
      </c>
      <c r="DV14" s="370">
        <f t="shared" si="69"/>
      </c>
      <c r="DW14" s="370">
        <f t="shared" si="69"/>
      </c>
      <c r="DX14" s="370">
        <f t="shared" si="69"/>
      </c>
      <c r="DY14" s="423">
        <f t="shared" si="69"/>
      </c>
      <c r="DZ14" s="370">
        <f t="shared" si="69"/>
      </c>
      <c r="EA14" s="370">
        <f t="shared" si="69"/>
      </c>
      <c r="EB14" s="370">
        <f t="shared" si="69"/>
      </c>
      <c r="EC14" s="423">
        <f t="shared" si="69"/>
      </c>
      <c r="ED14" s="370">
        <f t="shared" si="69"/>
      </c>
      <c r="EE14" s="370">
        <f t="shared" si="69"/>
      </c>
      <c r="EF14" s="370">
        <f t="shared" si="69"/>
      </c>
      <c r="EG14" s="423">
        <f t="shared" si="69"/>
      </c>
      <c r="EH14" s="370">
        <f t="shared" si="69"/>
      </c>
      <c r="EI14" s="370">
        <f t="shared" si="69"/>
      </c>
      <c r="EJ14" s="370">
        <f t="shared" si="69"/>
      </c>
      <c r="EK14" s="423">
        <f t="shared" si="69"/>
      </c>
      <c r="EM14" s="370"/>
      <c r="EN14" s="370"/>
      <c r="EO14" s="370"/>
      <c r="EP14" s="370"/>
      <c r="EQ14" s="370"/>
      <c r="ER14" s="370"/>
      <c r="ES14" s="370">
        <f>SUM(Z14:AC14)</f>
      </c>
      <c r="ET14" s="370">
        <f>SUM(AD14:AG14)</f>
      </c>
      <c r="EU14" s="370">
        <f>SUM(AH14:AK14)</f>
      </c>
      <c r="EV14" s="370">
        <f>SUM(AL14:AO14)</f>
      </c>
      <c r="EW14" s="370">
        <f>SUM(AP14:AS14)</f>
      </c>
      <c r="EX14" s="370">
        <f>SUM(AT14:AW14)</f>
      </c>
      <c r="EY14" s="370">
        <f>SUM(AX14:BA14)</f>
      </c>
      <c r="EZ14" s="370">
        <f>SUM(BB14:BE14)</f>
      </c>
      <c r="FA14" s="370">
        <f>SUM(BF14:BI14)</f>
      </c>
      <c r="FB14" s="370">
        <f>SUM(BJ14:BM14)</f>
      </c>
      <c r="FC14" s="370">
        <f>SUM(BN14:BQ14)</f>
      </c>
      <c r="FD14" s="370">
        <f>SUM(BR14:BU14)</f>
      </c>
      <c r="FE14" s="370">
        <f>SUM(BV14:BY14)</f>
      </c>
      <c r="FF14" s="370">
        <f t="shared" si="22"/>
      </c>
      <c r="FG14" s="370">
        <f t="shared" si="23"/>
      </c>
      <c r="FH14" s="370">
        <f>'Revenue summary'!FH14</f>
      </c>
      <c r="FI14" s="370">
        <f t="shared" si="24"/>
      </c>
      <c r="FJ14" s="370">
        <f t="shared" si="25"/>
      </c>
      <c r="FK14" s="370">
        <f t="shared" si="26"/>
      </c>
      <c r="FL14" s="370">
        <f t="shared" si="27"/>
      </c>
      <c r="FM14" s="370">
        <f t="shared" si="28"/>
      </c>
      <c r="FN14" s="370">
        <f t="shared" si="29"/>
      </c>
      <c r="FO14" s="370">
        <f t="shared" si="30"/>
      </c>
      <c r="FP14" s="370">
        <f t="shared" si="31"/>
      </c>
      <c r="FQ14" s="370">
        <f t="shared" si="32"/>
      </c>
      <c r="FR14" s="370">
        <f t="shared" si="33"/>
      </c>
      <c r="FS14" s="370">
        <f t="shared" si="34"/>
      </c>
      <c r="FT14" s="370">
        <f t="shared" si="35"/>
      </c>
      <c r="FU14" s="370">
        <f t="shared" si="36"/>
      </c>
      <c r="FW14" s="370"/>
      <c r="FX14" s="370"/>
      <c r="FY14" s="370"/>
      <c r="FZ14" s="370">
        <f>SUM(G14:J14)</f>
      </c>
      <c r="GA14" s="370">
        <f>SUM(K14:N14)</f>
      </c>
      <c r="GB14" s="370">
        <f>SUM(O14:R14)</f>
      </c>
      <c r="GC14" s="370">
        <f>SUM(S14:V14)</f>
      </c>
      <c r="GD14" s="370">
        <f>SUM(W14:Z14)</f>
      </c>
      <c r="GE14" s="370">
        <f>SUM(AA14:AD14)</f>
      </c>
      <c r="GF14" s="370">
        <f>SUM(AE14:AH14)</f>
      </c>
      <c r="GG14" s="370">
        <f>SUM(AI14:AL14)</f>
      </c>
      <c r="GH14" s="370">
        <f>SUM(AM14:AP14)</f>
      </c>
      <c r="GI14" s="370">
        <f>SUM(AQ14:AT14)</f>
      </c>
      <c r="GJ14" s="370">
        <f>SUM(AU14:AX14)</f>
      </c>
      <c r="GK14" s="370">
        <f>SUM(AY14:BB14)</f>
      </c>
      <c r="GL14" s="370">
        <f>SUM(BC14:BF14)</f>
      </c>
      <c r="GM14" s="370">
        <f>SUM(BG14:BJ14)</f>
      </c>
      <c r="GN14" s="370">
        <f t="shared" si="37"/>
      </c>
      <c r="GO14" s="370">
        <f t="shared" si="38"/>
      </c>
      <c r="GP14" s="370">
        <f t="shared" si="39"/>
      </c>
      <c r="GQ14" s="370">
        <f t="shared" si="40"/>
      </c>
      <c r="GR14" s="370">
        <f t="shared" si="41"/>
      </c>
      <c r="GS14" s="370">
        <f t="shared" si="42"/>
      </c>
      <c r="GT14" s="370">
        <f t="shared" si="43"/>
      </c>
      <c r="GU14" s="370">
        <f t="shared" si="44"/>
      </c>
      <c r="GV14" s="370">
        <f t="shared" si="45"/>
      </c>
      <c r="GW14" s="370">
        <f t="shared" si="46"/>
      </c>
      <c r="GX14" s="370">
        <f t="shared" si="47"/>
      </c>
      <c r="GY14" s="370">
        <f t="shared" si="48"/>
      </c>
      <c r="GZ14" s="370">
        <f t="shared" si="49"/>
      </c>
      <c r="HA14" s="370">
        <f t="shared" si="50"/>
      </c>
      <c r="HB14" s="370">
        <f t="shared" si="51"/>
      </c>
      <c r="HC14" s="370">
        <f t="shared" si="52"/>
      </c>
      <c r="HD14" s="370">
        <f t="shared" si="53"/>
      </c>
      <c r="HE14" s="370">
        <f t="shared" si="54"/>
      </c>
      <c r="HF14" s="370">
        <f t="shared" si="55"/>
      </c>
    </row>
    <row r="15" spans="1:214" s="345" customFormat="1" ht="10.199999999999999">
      <c r="A15" s="828" t="s">
        <v>94</v>
      </c>
      <c r="B15" s="829"/>
      <c r="C15" s="829"/>
      <c r="D15" s="829"/>
      <c r="E15" s="830"/>
      <c r="F15" s="829"/>
      <c r="G15" s="829"/>
      <c r="H15" s="829"/>
      <c r="I15" s="830"/>
      <c r="J15" s="829"/>
      <c r="K15" s="829"/>
      <c r="L15" s="829"/>
      <c r="M15" s="830"/>
      <c r="N15" s="829"/>
      <c r="O15" s="829"/>
      <c r="P15" s="829"/>
      <c r="Q15" s="830"/>
      <c r="R15" s="829"/>
      <c r="S15" s="829"/>
      <c r="T15" s="829"/>
      <c r="U15" s="830"/>
      <c r="V15" s="829"/>
      <c r="W15" s="829"/>
      <c r="X15" s="829"/>
      <c r="Y15" s="830"/>
      <c r="Z15" s="829"/>
      <c r="AA15" s="829"/>
      <c r="AB15" s="829"/>
      <c r="AC15" s="830"/>
      <c r="AD15" s="829"/>
      <c r="AE15" s="829"/>
      <c r="AF15" s="829"/>
      <c r="AG15" s="830"/>
      <c r="AH15" s="829"/>
      <c r="AI15" s="829"/>
      <c r="AJ15" s="829"/>
      <c r="AK15" s="830"/>
      <c r="AL15" s="829"/>
      <c r="AM15" s="829"/>
      <c r="AN15" s="829"/>
      <c r="AO15" s="830"/>
      <c r="AP15" s="829"/>
      <c r="AQ15" s="829"/>
      <c r="AR15" s="829"/>
      <c r="AS15" s="830"/>
      <c r="AT15" s="829"/>
      <c r="AU15" s="829"/>
      <c r="AV15" s="829"/>
      <c r="AW15" s="830"/>
      <c r="AX15" s="829"/>
      <c r="AY15" s="829"/>
      <c r="AZ15" s="829"/>
      <c r="BA15" s="830"/>
      <c r="BB15" s="829"/>
      <c r="BC15" s="829"/>
      <c r="BD15" s="829"/>
      <c r="BE15" s="830"/>
      <c r="BF15" s="829"/>
      <c r="BG15" s="829"/>
      <c r="BH15" s="829"/>
      <c r="BI15" s="830"/>
      <c r="BJ15" s="829"/>
      <c r="BK15" s="829"/>
      <c r="BL15" s="829"/>
      <c r="BM15" s="830"/>
      <c r="BN15" s="829"/>
      <c r="BO15" s="829"/>
      <c r="BP15" s="829"/>
      <c r="BQ15" s="830"/>
      <c r="BR15" s="829"/>
      <c r="BS15" s="829"/>
      <c r="BT15" s="829"/>
      <c r="BU15" s="830"/>
      <c r="BV15" s="829"/>
      <c r="BW15" s="829"/>
      <c r="BX15" s="829"/>
      <c r="BY15" s="830"/>
      <c r="BZ15" s="829"/>
      <c r="CA15" s="829"/>
      <c r="CB15" s="829">
        <f t="shared" ref="CB15:DU15" si="70">+CB100*CB159</f>
      </c>
      <c r="CC15" s="830">
        <f t="shared" si="70"/>
      </c>
      <c r="CD15" s="829">
        <f t="shared" si="70"/>
      </c>
      <c r="CE15" s="829">
        <f t="shared" si="70"/>
      </c>
      <c r="CF15" s="829">
        <f t="shared" si="70"/>
      </c>
      <c r="CG15" s="830">
        <f t="shared" si="70"/>
      </c>
      <c r="CH15" s="829">
        <f t="shared" si="70"/>
      </c>
      <c r="CI15" s="829">
        <f t="shared" si="70"/>
      </c>
      <c r="CJ15" s="829">
        <f t="shared" si="70"/>
      </c>
      <c r="CK15" s="830">
        <f t="shared" si="70"/>
      </c>
      <c r="CL15" s="829">
        <f t="shared" si="70"/>
      </c>
      <c r="CM15" s="829">
        <f t="shared" si="70"/>
      </c>
      <c r="CN15" s="829">
        <f t="shared" si="70"/>
      </c>
      <c r="CO15" s="830">
        <f t="shared" si="70"/>
      </c>
      <c r="CP15" s="829">
        <f t="shared" si="70"/>
      </c>
      <c r="CQ15" s="829">
        <f t="shared" si="70"/>
      </c>
      <c r="CR15" s="829">
        <f t="shared" si="70"/>
      </c>
      <c r="CS15" s="830">
        <f t="shared" si="70"/>
      </c>
      <c r="CT15" s="829">
        <f t="shared" si="70"/>
      </c>
      <c r="CU15" s="829">
        <f t="shared" si="70"/>
      </c>
      <c r="CV15" s="829">
        <f t="shared" si="70"/>
      </c>
      <c r="CW15" s="830">
        <f t="shared" si="70"/>
      </c>
      <c r="CX15" s="829">
        <f t="shared" si="70"/>
      </c>
      <c r="CY15" s="829">
        <f t="shared" si="70"/>
      </c>
      <c r="CZ15" s="829">
        <f t="shared" si="70"/>
      </c>
      <c r="DA15" s="830">
        <f t="shared" si="70"/>
      </c>
      <c r="DB15" s="829">
        <f t="shared" si="70"/>
      </c>
      <c r="DC15" s="829">
        <f t="shared" si="70"/>
      </c>
      <c r="DD15" s="829">
        <f t="shared" si="70"/>
      </c>
      <c r="DE15" s="830">
        <f t="shared" ref="DE15:DI15" si="71">+DE100*DE159</f>
      </c>
      <c r="DF15" s="829">
        <f t="shared" si="71"/>
      </c>
      <c r="DG15" s="829">
        <f t="shared" si="71"/>
      </c>
      <c r="DH15" s="829">
        <f t="shared" ref="DH15" si="72">+DH100*DH159</f>
      </c>
      <c r="DI15" s="830">
        <f t="shared" si="71"/>
      </c>
      <c r="DJ15" s="829">
        <f t="shared" ref="DJ15:DK15" si="73">+DJ100*DJ159</f>
      </c>
      <c r="DK15" s="829">
        <f t="shared" si="73"/>
      </c>
      <c r="DL15" s="829">
        <f t="shared" ref="DL15:DO15" si="74">+DL100*DL159</f>
      </c>
      <c r="DM15" s="830">
        <f t="shared" si="74"/>
      </c>
      <c r="DN15" s="829">
        <f t="shared" si="74"/>
      </c>
      <c r="DO15" s="829">
        <f t="shared" si="74"/>
      </c>
      <c r="DP15" s="829">
        <f t="shared" ref="DP15" si="75">+DP100*DP159</f>
      </c>
      <c r="DQ15" s="830">
        <f>+DQ100*DQ159</f>
      </c>
      <c r="DR15" s="829">
        <f t="shared" ref="DR15" si="76">+DR100*DR159</f>
      </c>
      <c r="DS15" s="829">
        <f t="shared" si="70"/>
      </c>
      <c r="DT15" s="829">
        <f t="shared" si="70"/>
      </c>
      <c r="DU15" s="830">
        <f t="shared" si="70"/>
      </c>
      <c r="DV15" s="829">
        <f t="shared" ref="DV15:EK15" si="77">+DV100*DV159</f>
      </c>
      <c r="DW15" s="829">
        <f t="shared" si="77"/>
      </c>
      <c r="DX15" s="829">
        <f t="shared" si="77"/>
      </c>
      <c r="DY15" s="830">
        <f t="shared" si="77"/>
      </c>
      <c r="DZ15" s="829">
        <f t="shared" si="77"/>
      </c>
      <c r="EA15" s="829">
        <f t="shared" si="77"/>
      </c>
      <c r="EB15" s="829">
        <f t="shared" si="77"/>
      </c>
      <c r="EC15" s="830">
        <f t="shared" si="77"/>
      </c>
      <c r="ED15" s="829">
        <f t="shared" si="77"/>
      </c>
      <c r="EE15" s="829">
        <f t="shared" si="77"/>
      </c>
      <c r="EF15" s="829">
        <f t="shared" si="77"/>
      </c>
      <c r="EG15" s="830">
        <f t="shared" si="77"/>
      </c>
      <c r="EH15" s="829">
        <f t="shared" si="77"/>
      </c>
      <c r="EI15" s="829">
        <f t="shared" si="77"/>
      </c>
      <c r="EJ15" s="829">
        <f t="shared" si="77"/>
      </c>
      <c r="EK15" s="830">
        <f t="shared" si="77"/>
      </c>
      <c r="EM15" s="829"/>
      <c r="EN15" s="829"/>
      <c r="EO15" s="829"/>
      <c r="EP15" s="829"/>
      <c r="EQ15" s="829"/>
      <c r="ER15" s="829"/>
      <c r="ES15" s="829"/>
      <c r="ET15" s="829"/>
      <c r="EU15" s="829"/>
      <c r="EV15" s="829"/>
      <c r="EW15" s="829"/>
      <c r="EX15" s="829"/>
      <c r="EY15" s="829"/>
      <c r="EZ15" s="829"/>
      <c r="FA15" s="829"/>
      <c r="FB15" s="829"/>
      <c r="FC15" s="829"/>
      <c r="FD15" s="829"/>
      <c r="FE15" s="829"/>
      <c r="FF15" s="829">
        <f t="shared" si="22"/>
      </c>
      <c r="FG15" s="829">
        <f t="shared" si="23"/>
      </c>
      <c r="FH15" s="829">
        <f>SUM(CH15:CK15)</f>
      </c>
      <c r="FI15" s="829">
        <f t="shared" si="24"/>
      </c>
      <c r="FJ15" s="829">
        <f t="shared" si="25"/>
      </c>
      <c r="FK15" s="829">
        <f t="shared" si="26"/>
      </c>
      <c r="FL15" s="829">
        <f t="shared" si="27"/>
      </c>
      <c r="FM15" s="829">
        <f t="shared" si="28"/>
      </c>
      <c r="FN15" s="829">
        <f t="shared" si="29"/>
      </c>
      <c r="FO15" s="829">
        <f t="shared" si="30"/>
      </c>
      <c r="FP15" s="829">
        <f t="shared" si="31"/>
      </c>
      <c r="FQ15" s="829">
        <f t="shared" si="32"/>
      </c>
      <c r="FR15" s="829">
        <f t="shared" si="33"/>
      </c>
      <c r="FS15" s="829">
        <f t="shared" si="34"/>
      </c>
      <c r="FT15" s="829">
        <f t="shared" si="35"/>
      </c>
      <c r="FU15" s="829">
        <f t="shared" si="36"/>
      </c>
      <c r="FV15" s="58"/>
      <c r="FW15" s="829"/>
      <c r="FX15" s="829"/>
      <c r="FY15" s="829"/>
      <c r="FZ15" s="829"/>
      <c r="GA15" s="829"/>
      <c r="GB15" s="829"/>
      <c r="GC15" s="829"/>
      <c r="GD15" s="829">
        <f>SUM(W15:Z15)</f>
      </c>
      <c r="GE15" s="829">
        <f>SUM(AA15:AD15)</f>
      </c>
      <c r="GF15" s="829">
        <f>SUM(AE15:AH15)</f>
      </c>
      <c r="GG15" s="829">
        <f>SUM(AI15:AL15)</f>
      </c>
      <c r="GH15" s="829">
        <f>SUM(AM15:AP15)</f>
      </c>
      <c r="GI15" s="829">
        <f>SUM(AQ15:AT15)</f>
      </c>
      <c r="GJ15" s="829">
        <f>SUM(AU15:AX15)</f>
      </c>
      <c r="GK15" s="829">
        <f>SUM(AY15:BB15)</f>
      </c>
      <c r="GL15" s="829">
        <f>SUM(BC15:BF15)</f>
      </c>
      <c r="GM15" s="829">
        <f>SUM(BG15:BJ15)</f>
      </c>
      <c r="GN15" s="829">
        <f t="shared" si="37"/>
      </c>
      <c r="GO15" s="829">
        <f t="shared" si="38"/>
      </c>
      <c r="GP15" s="829">
        <f t="shared" si="39"/>
      </c>
      <c r="GQ15" s="829">
        <f t="shared" si="40"/>
      </c>
      <c r="GR15" s="829">
        <f t="shared" si="41"/>
      </c>
      <c r="GS15" s="829">
        <f t="shared" si="42"/>
      </c>
      <c r="GT15" s="829">
        <f t="shared" si="43"/>
      </c>
      <c r="GU15" s="829">
        <f t="shared" si="44"/>
      </c>
      <c r="GV15" s="829">
        <f t="shared" si="45"/>
      </c>
      <c r="GW15" s="829">
        <f t="shared" si="46"/>
      </c>
      <c r="GX15" s="829">
        <f t="shared" si="47"/>
      </c>
      <c r="GY15" s="829">
        <f t="shared" si="48"/>
      </c>
      <c r="GZ15" s="829">
        <f t="shared" si="49"/>
      </c>
      <c r="HA15" s="829">
        <f t="shared" si="50"/>
      </c>
      <c r="HB15" s="829">
        <f t="shared" si="51"/>
      </c>
      <c r="HC15" s="829">
        <f t="shared" si="52"/>
      </c>
      <c r="HD15" s="829">
        <f t="shared" si="53"/>
      </c>
      <c r="HE15" s="829">
        <f t="shared" si="54"/>
      </c>
      <c r="HF15" s="829">
        <f t="shared" si="55"/>
      </c>
    </row>
    <row r="16" spans="1:214" s="345" customFormat="1" ht="10.199999999999999">
      <c r="A16" s="831" t="s">
        <v>166</v>
      </c>
      <c r="B16" s="813"/>
      <c r="C16" s="813"/>
      <c r="D16" s="813"/>
      <c r="E16" s="778"/>
      <c r="F16" s="813"/>
      <c r="G16" s="813"/>
      <c r="H16" s="813"/>
      <c r="I16" s="778"/>
      <c r="J16" s="813"/>
      <c r="K16" s="813"/>
      <c r="L16" s="813"/>
      <c r="M16" s="778"/>
      <c r="N16" s="813"/>
      <c r="O16" s="813"/>
      <c r="P16" s="813"/>
      <c r="Q16" s="778"/>
      <c r="R16" s="813"/>
      <c r="S16" s="813"/>
      <c r="T16" s="813"/>
      <c r="U16" s="778"/>
      <c r="V16" s="813"/>
      <c r="W16" s="813"/>
      <c r="X16" s="813"/>
      <c r="Y16" s="778"/>
      <c r="Z16" s="813"/>
      <c r="AA16" s="813"/>
      <c r="AB16" s="813"/>
      <c r="AC16" s="778"/>
      <c r="AD16" s="832"/>
      <c r="AE16" s="832"/>
      <c r="AF16" s="832"/>
      <c r="AG16" s="833"/>
      <c r="AH16" s="832"/>
      <c r="AI16" s="832"/>
      <c r="AJ16" s="832"/>
      <c r="AK16" s="833"/>
      <c r="AL16" s="832"/>
      <c r="AM16" s="832"/>
      <c r="AN16" s="832"/>
      <c r="AO16" s="833"/>
      <c r="AP16" s="832"/>
      <c r="AQ16" s="832"/>
      <c r="AR16" s="832"/>
      <c r="AS16" s="833"/>
      <c r="AT16" s="832"/>
      <c r="AU16" s="832"/>
      <c r="AV16" s="832">
        <v>308</v>
      </c>
      <c r="AW16" s="833"/>
      <c r="AX16" s="832"/>
      <c r="AY16" s="832"/>
      <c r="AZ16" s="832">
        <v>437</v>
      </c>
      <c r="BA16" s="833"/>
      <c r="BB16" s="832">
        <v>387</v>
      </c>
      <c r="BC16" s="832">
        <v>357</v>
      </c>
      <c r="BD16" s="832">
        <v>340</v>
      </c>
      <c r="BE16" s="833">
        <f>1475-BD16-BC16-BB16</f>
      </c>
      <c r="BF16" s="832">
        <v>469</v>
      </c>
      <c r="BG16" s="832">
        <v>472</v>
      </c>
      <c r="BH16" s="832">
        <v>396</v>
      </c>
      <c r="BI16" s="833">
        <f>1814-BH16-BG16-BF16</f>
      </c>
      <c r="BJ16" s="832">
        <f>+BJ197-BJ18-BJ15</f>
      </c>
      <c r="BK16" s="832">
        <f>+BK197-BK18-BK15</f>
      </c>
      <c r="BL16" s="832">
        <f>+BL197-BL18-BL15</f>
      </c>
      <c r="BM16" s="833">
        <f>+BM197-BM18-BM15</f>
      </c>
      <c r="BN16" s="832">
        <f>+BN197-BN18-BN15</f>
      </c>
      <c r="BO16" s="832">
        <v>1195</v>
      </c>
      <c r="BP16" s="832">
        <v>1227</v>
      </c>
      <c r="BQ16" s="833">
        <f>+BQ197-BQ18-BQ15</f>
      </c>
      <c r="BR16" s="832">
        <v>1829</v>
      </c>
      <c r="BS16" s="832">
        <v>1379</v>
      </c>
      <c r="BT16" s="832">
        <v>1179</v>
      </c>
      <c r="BU16" s="833">
        <f>+BU197-BU18-BU15</f>
      </c>
      <c r="BV16" s="813">
        <f t="shared" ref="BV16:CA16" si="78">+BV14-BV18-BV15</f>
      </c>
      <c r="BW16" s="813">
        <f t="shared" si="78"/>
      </c>
      <c r="BX16" s="813">
        <f t="shared" si="78"/>
      </c>
      <c r="BY16" s="778">
        <f t="shared" si="78"/>
      </c>
      <c r="BZ16" s="813">
        <f t="shared" si="78"/>
      </c>
      <c r="CA16" s="813">
        <f t="shared" si="78"/>
      </c>
      <c r="CB16" s="813">
        <f t="shared" ref="CB16:CK16" si="79">CB14-CB18-CB15</f>
      </c>
      <c r="CC16" s="778">
        <f t="shared" si="79"/>
      </c>
      <c r="CD16" s="813">
        <f t="shared" si="79"/>
      </c>
      <c r="CE16" s="813">
        <f t="shared" si="79"/>
      </c>
      <c r="CF16" s="813">
        <f t="shared" si="79"/>
      </c>
      <c r="CG16" s="778">
        <f t="shared" si="79"/>
      </c>
      <c r="CH16" s="813">
        <f t="shared" si="79"/>
      </c>
      <c r="CI16" s="813">
        <f t="shared" si="79"/>
      </c>
      <c r="CJ16" s="813">
        <f t="shared" si="79"/>
      </c>
      <c r="CK16" s="778">
        <f t="shared" si="79"/>
      </c>
      <c r="CL16" s="813">
        <f t="shared" ref="CL16:DA16" si="80">CL14-CL15</f>
      </c>
      <c r="CM16" s="813">
        <f t="shared" si="80"/>
      </c>
      <c r="CN16" s="813">
        <f t="shared" si="80"/>
      </c>
      <c r="CO16" s="778">
        <f t="shared" si="80"/>
      </c>
      <c r="CP16" s="813">
        <f t="shared" si="80"/>
      </c>
      <c r="CQ16" s="834">
        <f t="shared" si="80"/>
      </c>
      <c r="CR16" s="834">
        <f t="shared" si="80"/>
      </c>
      <c r="CS16" s="778">
        <f t="shared" si="80"/>
      </c>
      <c r="CT16" s="813">
        <f t="shared" si="80"/>
      </c>
      <c r="CU16" s="834">
        <f t="shared" si="80"/>
      </c>
      <c r="CV16" s="834">
        <f t="shared" si="80"/>
      </c>
      <c r="CW16" s="835">
        <f t="shared" si="80"/>
      </c>
      <c r="CX16" s="836">
        <f t="shared" si="80"/>
      </c>
      <c r="CY16" s="834">
        <f t="shared" si="80"/>
      </c>
      <c r="CZ16" s="834">
        <f t="shared" si="80"/>
      </c>
      <c r="DA16" s="835">
        <f t="shared" si="80"/>
      </c>
      <c r="DB16" s="858">
        <f t="shared" ref="DB16:DG16" si="81">DB14-DB15-DB18</f>
      </c>
      <c r="DC16" s="859">
        <f t="shared" si="81"/>
      </c>
      <c r="DD16" s="859">
        <f t="shared" si="81"/>
      </c>
      <c r="DE16" s="1632">
        <f t="shared" si="81"/>
      </c>
      <c r="DF16" s="859">
        <f t="shared" si="81"/>
      </c>
      <c r="DG16" s="859">
        <f t="shared" si="81"/>
      </c>
      <c r="DH16" s="859">
        <f t="shared" ref="DH16" si="82">DH14-DH15-DH18</f>
      </c>
      <c r="DI16" s="1632">
        <f>DI14-DI15-DI18</f>
      </c>
      <c r="DJ16" s="859">
        <f t="shared" ref="DJ16" si="83">DJ14-DJ15-DJ18</f>
      </c>
      <c r="DK16" s="859">
        <f>DK14-DK15-DK18-DK17</f>
      </c>
      <c r="DL16" s="859">
        <f t="shared" ref="DL16:DN16" si="84">DL14-DL15-DL18-DL17</f>
      </c>
      <c r="DM16" s="1632">
        <f t="shared" si="84"/>
      </c>
      <c r="DN16" s="859">
        <f t="shared" si="84"/>
      </c>
      <c r="DO16" s="859">
        <f>DO14-DO15-DO18-DO17</f>
      </c>
      <c r="DP16" s="859">
        <f t="shared" ref="DP16" si="85">DP14-DP15-DP18-DP17</f>
      </c>
      <c r="DQ16" s="778">
        <f t="shared" ref="DQ16:DU16" si="86">+DM16*(1+DQ27)</f>
      </c>
      <c r="DR16" s="813">
        <f t="shared" si="86"/>
      </c>
      <c r="DS16" s="813">
        <f t="shared" si="86"/>
      </c>
      <c r="DT16" s="813">
        <f t="shared" si="86"/>
      </c>
      <c r="DU16" s="778">
        <f t="shared" si="86"/>
      </c>
      <c r="DV16" s="813">
        <f t="shared" ref="DV16" si="87">+DR16*(1+DV27)</f>
      </c>
      <c r="DW16" s="813">
        <f t="shared" ref="DW16" si="88">+DS16*(1+DW27)</f>
      </c>
      <c r="DX16" s="813">
        <f t="shared" ref="DX16" si="89">+DT16*(1+DX27)</f>
      </c>
      <c r="DY16" s="778">
        <f t="shared" ref="DY16" si="90">+DU16*(1+DY27)</f>
      </c>
      <c r="DZ16" s="813">
        <f t="shared" ref="DZ16" si="91">+DV16*(1+DZ27)</f>
      </c>
      <c r="EA16" s="813">
        <f t="shared" ref="EA16" si="92">+DW16*(1+EA27)</f>
      </c>
      <c r="EB16" s="813">
        <f t="shared" ref="EB16" si="93">+DX16*(1+EB27)</f>
      </c>
      <c r="EC16" s="778">
        <f t="shared" ref="EC16" si="94">+DY16*(1+EC27)</f>
      </c>
      <c r="ED16" s="813">
        <f t="shared" ref="ED16" si="95">+DZ16*(1+ED27)</f>
      </c>
      <c r="EE16" s="813">
        <f t="shared" ref="EE16" si="96">+EA16*(1+EE27)</f>
      </c>
      <c r="EF16" s="813">
        <f t="shared" ref="EF16" si="97">+EB16*(1+EF27)</f>
      </c>
      <c r="EG16" s="778">
        <f t="shared" ref="EG16" si="98">+EC16*(1+EG27)</f>
      </c>
      <c r="EH16" s="813">
        <f t="shared" ref="EH16" si="99">+ED16*(1+EH27)</f>
      </c>
      <c r="EI16" s="813">
        <f t="shared" ref="EI16" si="100">+EE16*(1+EI27)</f>
      </c>
      <c r="EJ16" s="813">
        <f t="shared" ref="EJ16" si="101">+EF16*(1+EJ27)</f>
      </c>
      <c r="EK16" s="778">
        <f t="shared" ref="EK16" si="102">+EG16*(1+EK27)</f>
      </c>
      <c r="EM16" s="813"/>
      <c r="EN16" s="813"/>
      <c r="EO16" s="813"/>
      <c r="EP16" s="813"/>
      <c r="EQ16" s="813"/>
      <c r="ER16" s="813"/>
      <c r="ES16" s="813"/>
      <c r="ET16" s="813"/>
      <c r="EU16" s="813"/>
      <c r="EV16" s="813"/>
      <c r="EW16" s="813"/>
      <c r="EX16" s="813"/>
      <c r="EY16" s="813"/>
      <c r="EZ16" s="813"/>
      <c r="FA16" s="813"/>
      <c r="FB16" s="813">
        <f>SUM(BJ16:BM16)</f>
      </c>
      <c r="FC16" s="813">
        <f>SUM(BN16:BQ16)</f>
      </c>
      <c r="FD16" s="813">
        <f>SUM(BR16:BU16)</f>
      </c>
      <c r="FE16" s="813">
        <f>SUM(BV16:BY16)</f>
      </c>
      <c r="FF16" s="813">
        <f t="shared" si="22"/>
      </c>
      <c r="FG16" s="813">
        <f t="shared" si="23"/>
      </c>
      <c r="FH16" s="813">
        <f>SUM(CH16:CK16)</f>
      </c>
      <c r="FI16" s="813">
        <f t="shared" si="24"/>
      </c>
      <c r="FJ16" s="813">
        <f t="shared" si="25"/>
      </c>
      <c r="FK16" s="813">
        <f t="shared" si="26"/>
      </c>
      <c r="FL16" s="813">
        <f t="shared" si="27"/>
      </c>
      <c r="FM16" s="813">
        <f t="shared" si="28"/>
      </c>
      <c r="FN16" s="813">
        <f t="shared" si="29"/>
      </c>
      <c r="FO16" s="813">
        <f t="shared" si="30"/>
      </c>
      <c r="FP16" s="813">
        <f t="shared" si="31"/>
      </c>
      <c r="FQ16" s="813">
        <f t="shared" si="32"/>
      </c>
      <c r="FR16" s="813">
        <f t="shared" si="33"/>
      </c>
      <c r="FS16" s="813">
        <f t="shared" si="34"/>
      </c>
      <c r="FT16" s="813">
        <f t="shared" si="35"/>
      </c>
      <c r="FU16" s="813">
        <f t="shared" si="36"/>
      </c>
      <c r="FV16" s="58"/>
      <c r="FW16" s="813"/>
      <c r="FX16" s="813"/>
      <c r="FY16" s="813"/>
      <c r="FZ16" s="813"/>
      <c r="GA16" s="813"/>
      <c r="GB16" s="813"/>
      <c r="GC16" s="813"/>
      <c r="GD16" s="813"/>
      <c r="GE16" s="813"/>
      <c r="GF16" s="813"/>
      <c r="GG16" s="813"/>
      <c r="GH16" s="813"/>
      <c r="GI16" s="813"/>
      <c r="GJ16" s="813"/>
      <c r="GK16" s="813"/>
      <c r="GL16" s="813"/>
      <c r="GM16" s="813"/>
      <c r="GN16" s="813">
        <f t="shared" si="37"/>
      </c>
      <c r="GO16" s="813">
        <f t="shared" si="38"/>
      </c>
      <c r="GP16" s="813">
        <f t="shared" si="39"/>
      </c>
      <c r="GQ16" s="813">
        <f t="shared" si="40"/>
      </c>
      <c r="GR16" s="813">
        <f t="shared" si="41"/>
      </c>
      <c r="GS16" s="813">
        <f t="shared" si="42"/>
      </c>
      <c r="GT16" s="813">
        <f t="shared" si="43"/>
      </c>
      <c r="GU16" s="813">
        <f t="shared" si="44"/>
      </c>
      <c r="GV16" s="813">
        <f t="shared" si="45"/>
      </c>
      <c r="GW16" s="813">
        <f t="shared" si="46"/>
      </c>
      <c r="GX16" s="813">
        <f t="shared" si="47"/>
      </c>
      <c r="GY16" s="813">
        <f t="shared" si="48"/>
      </c>
      <c r="GZ16" s="813">
        <f t="shared" si="49"/>
      </c>
      <c r="HA16" s="813">
        <f t="shared" si="50"/>
      </c>
      <c r="HB16" s="813">
        <f t="shared" si="51"/>
      </c>
      <c r="HC16" s="813">
        <f t="shared" si="52"/>
      </c>
      <c r="HD16" s="813">
        <f t="shared" si="53"/>
      </c>
      <c r="HE16" s="813">
        <f t="shared" si="54"/>
      </c>
      <c r="HF16" s="813">
        <f t="shared" si="55"/>
      </c>
    </row>
    <row r="17" spans="1:214" s="345" customFormat="1" ht="11.25" customHeight="1">
      <c r="A17" s="831" t="s">
        <v>2323</v>
      </c>
      <c r="B17" s="813"/>
      <c r="C17" s="813"/>
      <c r="D17" s="813"/>
      <c r="E17" s="778"/>
      <c r="F17" s="813"/>
      <c r="G17" s="813"/>
      <c r="H17" s="813"/>
      <c r="I17" s="778"/>
      <c r="J17" s="813"/>
      <c r="K17" s="813"/>
      <c r="L17" s="813"/>
      <c r="M17" s="778"/>
      <c r="N17" s="813"/>
      <c r="O17" s="813"/>
      <c r="P17" s="813"/>
      <c r="Q17" s="778"/>
      <c r="R17" s="813"/>
      <c r="S17" s="813"/>
      <c r="T17" s="813"/>
      <c r="U17" s="778"/>
      <c r="V17" s="813"/>
      <c r="W17" s="813"/>
      <c r="X17" s="813"/>
      <c r="Y17" s="778"/>
      <c r="Z17" s="813"/>
      <c r="AA17" s="813"/>
      <c r="AB17" s="813"/>
      <c r="AC17" s="778"/>
      <c r="AD17" s="832"/>
      <c r="AE17" s="832"/>
      <c r="AF17" s="832"/>
      <c r="AG17" s="833"/>
      <c r="AH17" s="832"/>
      <c r="AI17" s="832"/>
      <c r="AJ17" s="832"/>
      <c r="AK17" s="833"/>
      <c r="AL17" s="832"/>
      <c r="AM17" s="832"/>
      <c r="AN17" s="832"/>
      <c r="AO17" s="833"/>
      <c r="AP17" s="832"/>
      <c r="AQ17" s="832"/>
      <c r="AR17" s="832"/>
      <c r="AS17" s="833"/>
      <c r="AT17" s="832"/>
      <c r="AU17" s="832"/>
      <c r="AV17" s="832"/>
      <c r="AW17" s="833"/>
      <c r="AX17" s="832"/>
      <c r="AY17" s="832"/>
      <c r="AZ17" s="832"/>
      <c r="BA17" s="833"/>
      <c r="BB17" s="832"/>
      <c r="BC17" s="832"/>
      <c r="BD17" s="832"/>
      <c r="BE17" s="833"/>
      <c r="BF17" s="832"/>
      <c r="BG17" s="832"/>
      <c r="BH17" s="832"/>
      <c r="BI17" s="833"/>
      <c r="BJ17" s="832"/>
      <c r="BK17" s="832"/>
      <c r="BL17" s="832"/>
      <c r="BM17" s="833"/>
      <c r="BN17" s="832"/>
      <c r="BO17" s="832"/>
      <c r="BP17" s="832"/>
      <c r="BQ17" s="833"/>
      <c r="BR17" s="832"/>
      <c r="BS17" s="832"/>
      <c r="BT17" s="832"/>
      <c r="BU17" s="833"/>
      <c r="BV17" s="813"/>
      <c r="BW17" s="813"/>
      <c r="BX17" s="813"/>
      <c r="BY17" s="778"/>
      <c r="BZ17" s="813"/>
      <c r="CA17" s="813"/>
      <c r="CB17" s="813"/>
      <c r="CC17" s="778"/>
      <c r="CD17" s="813"/>
      <c r="CE17" s="813"/>
      <c r="CF17" s="813"/>
      <c r="CG17" s="778"/>
      <c r="CH17" s="813"/>
      <c r="CI17" s="813"/>
      <c r="CJ17" s="813"/>
      <c r="CK17" s="778"/>
      <c r="CL17" s="813"/>
      <c r="CM17" s="813"/>
      <c r="CN17" s="813"/>
      <c r="CO17" s="778"/>
      <c r="CP17" s="813"/>
      <c r="CQ17" s="834"/>
      <c r="CR17" s="834"/>
      <c r="CS17" s="778"/>
      <c r="CT17" s="813"/>
      <c r="CU17" s="834"/>
      <c r="CV17" s="834"/>
      <c r="CW17" s="835"/>
      <c r="CX17" s="834"/>
      <c r="CY17" s="834"/>
      <c r="CZ17" s="834"/>
      <c r="DA17" s="835"/>
      <c r="DB17" s="859"/>
      <c r="DC17" s="859"/>
      <c r="DD17" s="859"/>
      <c r="DE17" s="1632"/>
      <c r="DF17" s="859"/>
      <c r="DG17" s="859"/>
      <c r="DH17" s="859"/>
      <c r="DI17" s="1632"/>
      <c r="DJ17" s="859"/>
      <c r="DK17" s="818">
        <f>0.1*3500</f>
      </c>
      <c r="DL17" s="818">
        <f>0.125*3500</f>
      </c>
      <c r="DM17" s="819">
        <f>0.1*3500</f>
      </c>
      <c r="DN17" s="818">
        <f>0.2*3000</f>
      </c>
      <c r="DO17" s="818">
        <f t="shared" ref="DO17:DQ17" si="103">0.2*3000</f>
      </c>
      <c r="DP17" s="818">
        <f t="shared" si="103"/>
      </c>
      <c r="DQ17" s="819">
        <f t="shared" si="103"/>
      </c>
      <c r="DR17" s="3174">
        <f>0.5*2000</f>
      </c>
      <c r="DS17" s="818">
        <f t="shared" ref="DS17:EK17" si="104">0.5*2000</f>
      </c>
      <c r="DT17" s="818">
        <f t="shared" si="104"/>
      </c>
      <c r="DU17" s="819">
        <f t="shared" si="104"/>
      </c>
      <c r="DV17" s="3174">
        <f>0.5*2000</f>
      </c>
      <c r="DW17" s="818">
        <f t="shared" si="104"/>
      </c>
      <c r="DX17" s="818">
        <f t="shared" si="104"/>
      </c>
      <c r="DY17" s="819">
        <f t="shared" si="104"/>
      </c>
      <c r="DZ17" s="3174">
        <f>0.5*2000</f>
      </c>
      <c r="EA17" s="818">
        <f t="shared" si="104"/>
      </c>
      <c r="EB17" s="818">
        <f t="shared" si="104"/>
      </c>
      <c r="EC17" s="819">
        <f t="shared" si="104"/>
      </c>
      <c r="ED17" s="3174">
        <f>0.5*2000</f>
      </c>
      <c r="EE17" s="818">
        <f t="shared" si="104"/>
      </c>
      <c r="EF17" s="818">
        <f t="shared" si="104"/>
      </c>
      <c r="EG17" s="819">
        <f t="shared" si="104"/>
      </c>
      <c r="EH17" s="3174">
        <f>0.5*2000</f>
      </c>
      <c r="EI17" s="818">
        <f t="shared" si="104"/>
      </c>
      <c r="EJ17" s="818">
        <f t="shared" si="104"/>
      </c>
      <c r="EK17" s="819">
        <f t="shared" si="104"/>
      </c>
      <c r="EM17" s="813"/>
      <c r="EN17" s="813"/>
      <c r="EO17" s="813"/>
      <c r="EP17" s="813"/>
      <c r="EQ17" s="813"/>
      <c r="ER17" s="813"/>
      <c r="ES17" s="813"/>
      <c r="ET17" s="813"/>
      <c r="EU17" s="813"/>
      <c r="EV17" s="813"/>
      <c r="EW17" s="813"/>
      <c r="EX17" s="813"/>
      <c r="EY17" s="813"/>
      <c r="EZ17" s="813"/>
      <c r="FA17" s="813"/>
      <c r="FB17" s="813"/>
      <c r="FC17" s="813"/>
      <c r="FD17" s="813"/>
      <c r="FE17" s="813"/>
      <c r="FF17" s="813"/>
      <c r="FG17" s="813"/>
      <c r="FH17" s="813"/>
      <c r="FI17" s="813">
        <f t="shared" ref="FI17" si="105">SUM(CL17:CO17)</f>
      </c>
      <c r="FJ17" s="813">
        <f t="shared" ref="FJ17" si="106">SUM(CP17:CS17)</f>
      </c>
      <c r="FK17" s="813">
        <f t="shared" ref="FK17" si="107">SUM(CT17:CW17)</f>
      </c>
      <c r="FL17" s="813">
        <f t="shared" ref="FL17" si="108">SUM(CX17:DA17)</f>
      </c>
      <c r="FM17" s="813">
        <f t="shared" ref="FM17" si="109">SUM(DB17:DE17)</f>
      </c>
      <c r="FN17" s="813">
        <f t="shared" ref="FN17" si="110">SUM(DF17:DI17)</f>
      </c>
      <c r="FO17" s="813">
        <f t="shared" ref="FO17" si="111">SUM(DJ17:DM17)</f>
      </c>
      <c r="FP17" s="813">
        <f t="shared" ref="FP17" si="112">SUM(DN17:DQ17)</f>
      </c>
      <c r="FQ17" s="813">
        <f t="shared" ref="FQ17" si="113">SUM(DR17:DU17)</f>
      </c>
      <c r="FR17" s="813">
        <f t="shared" ref="FR17" si="114">SUM(DV17:DY17)</f>
      </c>
      <c r="FS17" s="813">
        <f t="shared" ref="FS17" si="115">SUM(DZ17:EC17)</f>
      </c>
      <c r="FT17" s="813">
        <f t="shared" ref="FT17" si="116">SUM(ED17:EG17)</f>
      </c>
      <c r="FU17" s="813">
        <f t="shared" ref="FU17" si="117">SUM(EH17:EK17)</f>
      </c>
      <c r="FV17" s="58"/>
      <c r="FW17" s="813"/>
      <c r="FX17" s="813"/>
      <c r="FY17" s="813"/>
      <c r="FZ17" s="813"/>
      <c r="GA17" s="813"/>
      <c r="GB17" s="813"/>
      <c r="GC17" s="813"/>
      <c r="GD17" s="813"/>
      <c r="GE17" s="813"/>
      <c r="GF17" s="813"/>
      <c r="GG17" s="813"/>
      <c r="GH17" s="813"/>
      <c r="GI17" s="813"/>
      <c r="GJ17" s="813"/>
      <c r="GK17" s="813"/>
      <c r="GL17" s="813"/>
      <c r="GM17" s="813"/>
      <c r="GN17" s="813"/>
      <c r="GO17" s="813"/>
      <c r="GP17" s="813"/>
      <c r="GQ17" s="813"/>
      <c r="GR17" s="813"/>
      <c r="GS17" s="813"/>
      <c r="GT17" s="813"/>
      <c r="GU17" s="813"/>
      <c r="GV17" s="813"/>
      <c r="GW17" s="813"/>
      <c r="GX17" s="813"/>
      <c r="GY17" s="813"/>
      <c r="GZ17" s="813"/>
      <c r="HA17" s="813"/>
      <c r="HB17" s="813"/>
      <c r="HC17" s="813"/>
      <c r="HD17" s="813"/>
      <c r="HE17" s="813"/>
      <c r="HF17" s="813"/>
    </row>
    <row r="18" spans="1:214" s="345" customFormat="1" ht="10.199999999999999">
      <c r="A18" s="837" t="s">
        <v>92</v>
      </c>
      <c r="B18" s="838"/>
      <c r="C18" s="838"/>
      <c r="D18" s="838"/>
      <c r="E18" s="839"/>
      <c r="F18" s="838"/>
      <c r="G18" s="838"/>
      <c r="H18" s="838"/>
      <c r="I18" s="839"/>
      <c r="J18" s="838"/>
      <c r="K18" s="838"/>
      <c r="L18" s="838"/>
      <c r="M18" s="839"/>
      <c r="N18" s="838"/>
      <c r="O18" s="838"/>
      <c r="P18" s="838"/>
      <c r="Q18" s="839"/>
      <c r="R18" s="838"/>
      <c r="S18" s="838"/>
      <c r="T18" s="838"/>
      <c r="U18" s="839"/>
      <c r="V18" s="838"/>
      <c r="W18" s="838"/>
      <c r="X18" s="838"/>
      <c r="Y18" s="839"/>
      <c r="Z18" s="838">
        <v>46.625</v>
      </c>
      <c r="AA18" s="838">
        <v>21.375</v>
      </c>
      <c r="AB18" s="838">
        <v>22</v>
      </c>
      <c r="AC18" s="839">
        <v>53</v>
      </c>
      <c r="AD18" s="838">
        <v>81</v>
      </c>
      <c r="AE18" s="838">
        <v>32</v>
      </c>
      <c r="AF18" s="838">
        <v>111</v>
      </c>
      <c r="AG18" s="839">
        <v>121</v>
      </c>
      <c r="AH18" s="838">
        <v>256</v>
      </c>
      <c r="AI18" s="838">
        <v>264</v>
      </c>
      <c r="AJ18" s="838">
        <v>249</v>
      </c>
      <c r="AK18" s="839">
        <v>537</v>
      </c>
      <c r="AL18" s="838">
        <v>1211</v>
      </c>
      <c r="AM18" s="838">
        <v>1014</v>
      </c>
      <c r="AN18" s="838">
        <v>1103</v>
      </c>
      <c r="AO18" s="839">
        <v>1212</v>
      </c>
      <c r="AP18" s="838">
        <v>2906</v>
      </c>
      <c r="AQ18" s="838">
        <v>1714</v>
      </c>
      <c r="AR18" s="838">
        <v>1497</v>
      </c>
      <c r="AS18" s="839">
        <v>1559</v>
      </c>
      <c r="AT18" s="838">
        <v>3427</v>
      </c>
      <c r="AU18" s="838">
        <v>1689</v>
      </c>
      <c r="AV18" s="838">
        <v>1570</v>
      </c>
      <c r="AW18" s="839">
        <v>1619</v>
      </c>
      <c r="AX18" s="838">
        <v>3997</v>
      </c>
      <c r="AY18" s="838">
        <v>1818</v>
      </c>
      <c r="AZ18" s="838">
        <v>1678</v>
      </c>
      <c r="BA18" s="839">
        <v>1660</v>
      </c>
      <c r="BB18" s="838">
        <v>3371</v>
      </c>
      <c r="BC18" s="838">
        <v>1665</v>
      </c>
      <c r="BD18" s="838">
        <v>1492</v>
      </c>
      <c r="BE18" s="839">
        <v>1563</v>
      </c>
      <c r="BF18" s="838">
        <v>3391</v>
      </c>
      <c r="BG18" s="838">
        <v>1861</v>
      </c>
      <c r="BH18" s="838">
        <v>1545</v>
      </c>
      <c r="BI18" s="839">
        <v>1477</v>
      </c>
      <c r="BJ18" s="838">
        <v>3425</v>
      </c>
      <c r="BK18" s="838">
        <v>1600</v>
      </c>
      <c r="BL18" s="838">
        <v>1325</v>
      </c>
      <c r="BM18" s="839">
        <v>1103</v>
      </c>
      <c r="BN18" s="838">
        <v>2528</v>
      </c>
      <c r="BO18" s="838">
        <v>1207</v>
      </c>
      <c r="BP18" s="838">
        <v>1060</v>
      </c>
      <c r="BQ18" s="839">
        <v>820</v>
      </c>
      <c r="BR18" s="838">
        <v>2143</v>
      </c>
      <c r="BS18" s="838">
        <v>962</v>
      </c>
      <c r="BT18" s="838">
        <v>733</v>
      </c>
      <c r="BU18" s="839">
        <v>573</v>
      </c>
      <c r="BV18" s="838">
        <v>973</v>
      </c>
      <c r="BW18" s="838">
        <v>461</v>
      </c>
      <c r="BX18" s="838">
        <v>442</v>
      </c>
      <c r="BY18" s="839">
        <v>410</v>
      </c>
      <c r="BZ18" s="838">
        <v>653.87912545205484</v>
      </c>
      <c r="CA18" s="838">
        <v>249.65012789041094</v>
      </c>
      <c r="CB18" s="840">
        <f t="shared" ref="CB18:DU18" si="118">+CB101*CB160</f>
      </c>
      <c r="CC18" s="841">
        <f t="shared" si="118"/>
      </c>
      <c r="CD18" s="840">
        <f t="shared" si="118"/>
      </c>
      <c r="CE18" s="840">
        <f t="shared" si="118"/>
      </c>
      <c r="CF18" s="840">
        <f t="shared" si="118"/>
      </c>
      <c r="CG18" s="841">
        <f t="shared" si="118"/>
      </c>
      <c r="CH18" s="840">
        <f t="shared" si="118"/>
      </c>
      <c r="CI18" s="840">
        <f t="shared" si="118"/>
      </c>
      <c r="CJ18" s="840">
        <f t="shared" si="118"/>
      </c>
      <c r="CK18" s="841">
        <f t="shared" si="118"/>
      </c>
      <c r="CL18" s="840">
        <f t="shared" si="118"/>
      </c>
      <c r="CM18" s="840">
        <f t="shared" si="118"/>
      </c>
      <c r="CN18" s="840">
        <f t="shared" si="118"/>
      </c>
      <c r="CO18" s="841">
        <f t="shared" si="118"/>
      </c>
      <c r="CP18" s="840">
        <f t="shared" si="118"/>
      </c>
      <c r="CQ18" s="840">
        <f t="shared" si="118"/>
      </c>
      <c r="CR18" s="840">
        <f t="shared" si="118"/>
      </c>
      <c r="CS18" s="841">
        <f t="shared" si="118"/>
      </c>
      <c r="CT18" s="840">
        <f t="shared" si="118"/>
      </c>
      <c r="CU18" s="840">
        <f t="shared" si="118"/>
      </c>
      <c r="CV18" s="840">
        <f t="shared" si="118"/>
      </c>
      <c r="CW18" s="841">
        <f t="shared" si="118"/>
      </c>
      <c r="CX18" s="840">
        <f t="shared" si="118"/>
      </c>
      <c r="CY18" s="840">
        <f t="shared" si="118"/>
      </c>
      <c r="CZ18" s="840">
        <f t="shared" si="118"/>
      </c>
      <c r="DA18" s="841">
        <f t="shared" si="118"/>
      </c>
      <c r="DB18" s="840">
        <f>+DB101*DB160</f>
      </c>
      <c r="DC18" s="840">
        <f t="shared" si="118"/>
      </c>
      <c r="DD18" s="840">
        <f t="shared" si="118"/>
      </c>
      <c r="DE18" s="841">
        <f t="shared" si="118"/>
      </c>
      <c r="DF18" s="840">
        <f t="shared" si="118"/>
      </c>
      <c r="DG18" s="840">
        <f t="shared" ref="DG18:DH18" si="119">+DG101*DG160</f>
      </c>
      <c r="DH18" s="840">
        <f t="shared" si="119"/>
      </c>
      <c r="DI18" s="841">
        <f t="shared" si="118"/>
      </c>
      <c r="DJ18" s="840">
        <f t="shared" ref="DJ18" si="120">+DJ101*DJ160</f>
      </c>
      <c r="DK18" s="840">
        <f>+DK101*DK160</f>
      </c>
      <c r="DL18" s="840">
        <f t="shared" ref="DL18" si="121">+DL101*DL160</f>
      </c>
      <c r="DM18" s="841">
        <f t="shared" si="118"/>
      </c>
      <c r="DN18" s="840">
        <f>+DN101*DN160</f>
      </c>
      <c r="DO18" s="840">
        <f>+DO101*DO160</f>
      </c>
      <c r="DP18" s="840">
        <f t="shared" ref="DP18" si="122">+DP101*DP160</f>
      </c>
      <c r="DQ18" s="841">
        <f>+DQ101*DQ160</f>
      </c>
      <c r="DR18" s="840">
        <f>+DR101*DR160</f>
      </c>
      <c r="DS18" s="840">
        <f t="shared" si="118"/>
      </c>
      <c r="DT18" s="840">
        <f t="shared" si="118"/>
      </c>
      <c r="DU18" s="841">
        <f t="shared" si="118"/>
      </c>
      <c r="DV18" s="840">
        <f t="shared" ref="DV18:EK18" si="123">+DV101*DV160</f>
      </c>
      <c r="DW18" s="840">
        <f t="shared" si="123"/>
      </c>
      <c r="DX18" s="840">
        <f t="shared" si="123"/>
      </c>
      <c r="DY18" s="841">
        <f t="shared" si="123"/>
      </c>
      <c r="DZ18" s="840">
        <f t="shared" si="123"/>
      </c>
      <c r="EA18" s="840">
        <f t="shared" si="123"/>
      </c>
      <c r="EB18" s="840">
        <f t="shared" si="123"/>
      </c>
      <c r="EC18" s="841">
        <f t="shared" si="123"/>
      </c>
      <c r="ED18" s="840">
        <f t="shared" si="123"/>
      </c>
      <c r="EE18" s="840">
        <f t="shared" si="123"/>
      </c>
      <c r="EF18" s="840">
        <f t="shared" si="123"/>
      </c>
      <c r="EG18" s="841">
        <f t="shared" si="123"/>
      </c>
      <c r="EH18" s="840">
        <f t="shared" si="123"/>
      </c>
      <c r="EI18" s="840">
        <f t="shared" si="123"/>
      </c>
      <c r="EJ18" s="840">
        <f t="shared" si="123"/>
      </c>
      <c r="EK18" s="841">
        <f t="shared" si="123"/>
      </c>
      <c r="EM18" s="840"/>
      <c r="EN18" s="840"/>
      <c r="EO18" s="840"/>
      <c r="EP18" s="840"/>
      <c r="EQ18" s="840"/>
      <c r="ER18" s="840"/>
      <c r="ES18" s="840">
        <f>SUM(Z18:AC18)</f>
      </c>
      <c r="ET18" s="840">
        <f>SUM(AD18:AG18)</f>
      </c>
      <c r="EU18" s="840">
        <f>SUM(AH18:AK18)</f>
      </c>
      <c r="EV18" s="840">
        <f>SUM(AL18:AO18)</f>
      </c>
      <c r="EW18" s="840">
        <f>SUM(AP18:AS18)</f>
      </c>
      <c r="EX18" s="840">
        <f>SUM(AT18:AW18)</f>
      </c>
      <c r="EY18" s="840">
        <f>SUM(AX18:BA18)</f>
      </c>
      <c r="EZ18" s="840">
        <f>SUM(BB18:BE18)</f>
      </c>
      <c r="FA18" s="840">
        <f>SUM(BF18:BI18)</f>
      </c>
      <c r="FB18" s="840">
        <f>SUM(BJ18:BM18)</f>
      </c>
      <c r="FC18" s="840">
        <f>SUM(BN18:BQ18)</f>
      </c>
      <c r="FD18" s="840">
        <f>SUM(BR18:BU18)</f>
      </c>
      <c r="FE18" s="840">
        <f>SUM(BV18:BY18)</f>
      </c>
      <c r="FF18" s="840">
        <f t="shared" si="22"/>
      </c>
      <c r="FG18" s="840">
        <f t="shared" si="23"/>
      </c>
      <c r="FH18" s="840">
        <f>SUM(CH18:CK18)</f>
      </c>
      <c r="FI18" s="840">
        <f t="shared" si="24"/>
      </c>
      <c r="FJ18" s="840">
        <f t="shared" si="25"/>
      </c>
      <c r="FK18" s="840">
        <f t="shared" si="26"/>
      </c>
      <c r="FL18" s="840">
        <f t="shared" si="27"/>
      </c>
      <c r="FM18" s="840">
        <f t="shared" si="28"/>
      </c>
      <c r="FN18" s="840">
        <f t="shared" si="29"/>
      </c>
      <c r="FO18" s="840">
        <f t="shared" si="30"/>
      </c>
      <c r="FP18" s="840">
        <f t="shared" si="31"/>
      </c>
      <c r="FQ18" s="840">
        <f t="shared" si="32"/>
      </c>
      <c r="FR18" s="840">
        <f t="shared" si="33"/>
      </c>
      <c r="FS18" s="840">
        <f t="shared" si="34"/>
      </c>
      <c r="FT18" s="840">
        <f t="shared" si="35"/>
      </c>
      <c r="FU18" s="840">
        <f t="shared" si="36"/>
      </c>
      <c r="FW18" s="840"/>
      <c r="FX18" s="840"/>
      <c r="FY18" s="840"/>
      <c r="FZ18" s="840"/>
      <c r="GA18" s="840"/>
      <c r="GB18" s="840"/>
      <c r="GC18" s="840"/>
      <c r="GD18" s="840">
        <f>SUM(W18:Z18)</f>
      </c>
      <c r="GE18" s="840">
        <f>SUM(AA18:AD18)</f>
      </c>
      <c r="GF18" s="840">
        <f>SUM(AE18:AH18)</f>
      </c>
      <c r="GG18" s="840">
        <f>SUM(AI18:AL18)</f>
      </c>
      <c r="GH18" s="840">
        <f>SUM(AM18:AP18)</f>
      </c>
      <c r="GI18" s="840">
        <f>SUM(AQ18:AT18)</f>
      </c>
      <c r="GJ18" s="840">
        <f>SUM(AU18:AX18)</f>
      </c>
      <c r="GK18" s="840">
        <f>SUM(AY18:BB18)</f>
      </c>
      <c r="GL18" s="840">
        <f>SUM(BC18:BF18)</f>
      </c>
      <c r="GM18" s="840">
        <f>SUM(BG18:BJ18)</f>
      </c>
      <c r="GN18" s="840">
        <f t="shared" si="37"/>
      </c>
      <c r="GO18" s="840">
        <f t="shared" si="38"/>
      </c>
      <c r="GP18" s="840">
        <f t="shared" si="39"/>
      </c>
      <c r="GQ18" s="840">
        <f t="shared" si="40"/>
      </c>
      <c r="GR18" s="840">
        <f t="shared" si="41"/>
      </c>
      <c r="GS18" s="840">
        <f t="shared" si="42"/>
      </c>
      <c r="GT18" s="840">
        <f t="shared" si="43"/>
      </c>
      <c r="GU18" s="840">
        <f t="shared" si="44"/>
      </c>
      <c r="GV18" s="840">
        <f t="shared" si="45"/>
      </c>
      <c r="GW18" s="840">
        <f t="shared" si="46"/>
      </c>
      <c r="GX18" s="840">
        <f t="shared" si="47"/>
      </c>
      <c r="GY18" s="840">
        <f t="shared" si="48"/>
      </c>
      <c r="GZ18" s="840">
        <f t="shared" si="49"/>
      </c>
      <c r="HA18" s="840">
        <f t="shared" si="50"/>
      </c>
      <c r="HB18" s="840">
        <f t="shared" si="51"/>
      </c>
      <c r="HC18" s="840">
        <f t="shared" si="52"/>
      </c>
      <c r="HD18" s="840">
        <f t="shared" si="53"/>
      </c>
      <c r="HE18" s="840">
        <f t="shared" si="54"/>
      </c>
      <c r="HF18" s="840">
        <f t="shared" si="55"/>
      </c>
    </row>
    <row r="19" spans="1:214" s="320" customFormat="1" ht="10.199999999999999">
      <c r="A19" s="877" t="s">
        <v>1185</v>
      </c>
      <c r="B19" s="877"/>
      <c r="C19" s="877"/>
      <c r="D19" s="877"/>
      <c r="E19" s="878"/>
      <c r="F19" s="877"/>
      <c r="G19" s="877"/>
      <c r="H19" s="877"/>
      <c r="I19" s="878"/>
      <c r="J19" s="877"/>
      <c r="K19" s="877"/>
      <c r="L19" s="877"/>
      <c r="M19" s="878"/>
      <c r="N19" s="877"/>
      <c r="O19" s="877"/>
      <c r="P19" s="877"/>
      <c r="Q19" s="877"/>
      <c r="R19" s="877">
        <f t="shared" ref="R19:AR19" si="124">SUM(R12:R18)</f>
      </c>
      <c r="S19" s="877">
        <f t="shared" si="124"/>
      </c>
      <c r="T19" s="877">
        <f t="shared" si="124"/>
      </c>
      <c r="U19" s="877">
        <f t="shared" si="124"/>
      </c>
      <c r="V19" s="877">
        <f t="shared" si="124"/>
      </c>
      <c r="W19" s="877">
        <f t="shared" si="124"/>
      </c>
      <c r="X19" s="877">
        <f t="shared" si="124"/>
      </c>
      <c r="Y19" s="877">
        <f t="shared" si="124"/>
      </c>
      <c r="Z19" s="877">
        <f t="shared" si="124"/>
      </c>
      <c r="AA19" s="877">
        <f t="shared" si="124"/>
      </c>
      <c r="AB19" s="877">
        <f t="shared" si="124"/>
      </c>
      <c r="AC19" s="877">
        <f t="shared" si="124"/>
      </c>
      <c r="AD19" s="877">
        <f t="shared" si="124"/>
      </c>
      <c r="AE19" s="877">
        <f t="shared" si="124"/>
      </c>
      <c r="AF19" s="877">
        <f t="shared" si="124"/>
      </c>
      <c r="AG19" s="877">
        <f t="shared" si="124"/>
      </c>
      <c r="AH19" s="877">
        <f t="shared" si="124"/>
      </c>
      <c r="AI19" s="877">
        <f t="shared" si="124"/>
      </c>
      <c r="AJ19" s="877">
        <f t="shared" si="124"/>
      </c>
      <c r="AK19" s="877">
        <f t="shared" si="124"/>
      </c>
      <c r="AL19" s="877">
        <f t="shared" si="124"/>
      </c>
      <c r="AM19" s="877">
        <f t="shared" si="124"/>
      </c>
      <c r="AN19" s="877">
        <f t="shared" si="124"/>
      </c>
      <c r="AO19" s="877">
        <f t="shared" si="124"/>
      </c>
      <c r="AP19" s="877">
        <f t="shared" si="124"/>
      </c>
      <c r="AQ19" s="877">
        <f t="shared" si="124"/>
      </c>
      <c r="AR19" s="877">
        <f t="shared" si="124"/>
      </c>
      <c r="AS19" s="877">
        <f>SUM(AS12:AS18)</f>
      </c>
      <c r="AT19" s="877">
        <f>'Revenue summary'!AT15</f>
      </c>
      <c r="AU19" s="877">
        <f>'Revenue summary'!AU15</f>
      </c>
      <c r="AV19" s="877">
        <f>'Revenue summary'!AV15</f>
      </c>
      <c r="AW19" s="878">
        <f>'Revenue summary'!AW15</f>
      </c>
      <c r="AX19" s="877">
        <f>'Revenue summary'!AX15</f>
      </c>
      <c r="AY19" s="877">
        <f>'Revenue summary'!AY15</f>
      </c>
      <c r="AZ19" s="877">
        <f>'Revenue summary'!AZ15</f>
      </c>
      <c r="BA19" s="878">
        <f>'Revenue summary'!BA15</f>
      </c>
      <c r="BB19" s="877">
        <f>'Revenue summary'!BB15</f>
      </c>
      <c r="BC19" s="877">
        <f>'Revenue summary'!BC15</f>
      </c>
      <c r="BD19" s="877">
        <f>'Revenue summary'!BD15</f>
      </c>
      <c r="BE19" s="878">
        <f>'Revenue summary'!BE15</f>
      </c>
      <c r="BF19" s="877">
        <f>'Revenue summary'!BF15</f>
      </c>
      <c r="BG19" s="877">
        <f>'Revenue summary'!BG15</f>
      </c>
      <c r="BH19" s="877">
        <f>'Revenue summary'!BH15</f>
      </c>
      <c r="BI19" s="878">
        <f>'Revenue summary'!BI15</f>
      </c>
      <c r="BJ19" s="877">
        <f>'Revenue summary'!BJ15</f>
      </c>
      <c r="BK19" s="877">
        <f>'Revenue summary'!BK15</f>
      </c>
      <c r="BL19" s="877">
        <f>'Revenue summary'!BL15</f>
      </c>
      <c r="BM19" s="878">
        <f>'Revenue summary'!BM15</f>
      </c>
      <c r="BN19" s="877">
        <f>'Revenue summary'!BN15</f>
      </c>
      <c r="BO19" s="877">
        <f>'Revenue summary'!BO15</f>
      </c>
      <c r="BP19" s="877">
        <f>'Revenue summary'!BP15</f>
      </c>
      <c r="BQ19" s="878">
        <f>'Revenue summary'!BQ15</f>
      </c>
      <c r="BR19" s="877">
        <f>'Revenue summary'!BR15</f>
      </c>
      <c r="BS19" s="877">
        <f>'Revenue summary'!BS15</f>
      </c>
      <c r="BT19" s="877">
        <f>'Revenue summary'!BT15</f>
      </c>
      <c r="BU19" s="878">
        <f>'Revenue summary'!BU15</f>
      </c>
      <c r="BV19" s="877">
        <f t="shared" ref="BV19:DA19" si="125">SUM(BV11:BV14)</f>
      </c>
      <c r="BW19" s="877">
        <f t="shared" si="125"/>
      </c>
      <c r="BX19" s="877">
        <f t="shared" si="125"/>
      </c>
      <c r="BY19" s="878">
        <f t="shared" si="125"/>
      </c>
      <c r="BZ19" s="877">
        <f t="shared" si="125"/>
      </c>
      <c r="CA19" s="877">
        <f t="shared" si="125"/>
      </c>
      <c r="CB19" s="877">
        <f t="shared" si="125"/>
      </c>
      <c r="CC19" s="878">
        <f t="shared" si="125"/>
      </c>
      <c r="CD19" s="877">
        <f t="shared" si="125"/>
      </c>
      <c r="CE19" s="877">
        <f t="shared" si="125"/>
      </c>
      <c r="CF19" s="877">
        <f t="shared" si="125"/>
      </c>
      <c r="CG19" s="878">
        <f t="shared" si="125"/>
      </c>
      <c r="CH19" s="877">
        <f t="shared" si="125"/>
      </c>
      <c r="CI19" s="877">
        <f t="shared" si="125"/>
      </c>
      <c r="CJ19" s="877">
        <f t="shared" si="125"/>
      </c>
      <c r="CK19" s="878">
        <f t="shared" si="125"/>
      </c>
      <c r="CL19" s="877">
        <f t="shared" si="125"/>
      </c>
      <c r="CM19" s="877">
        <f t="shared" si="125"/>
      </c>
      <c r="CN19" s="877">
        <f t="shared" si="125"/>
      </c>
      <c r="CO19" s="878">
        <f t="shared" si="125"/>
      </c>
      <c r="CP19" s="877">
        <f t="shared" si="125"/>
      </c>
      <c r="CQ19" s="877">
        <f t="shared" si="125"/>
      </c>
      <c r="CR19" s="877">
        <f t="shared" si="125"/>
      </c>
      <c r="CS19" s="878">
        <f t="shared" si="125"/>
      </c>
      <c r="CT19" s="877">
        <f t="shared" si="125"/>
      </c>
      <c r="CU19" s="877">
        <f t="shared" si="125"/>
      </c>
      <c r="CV19" s="877">
        <f t="shared" si="125"/>
      </c>
      <c r="CW19" s="878">
        <f t="shared" si="125"/>
      </c>
      <c r="CX19" s="879">
        <f t="shared" si="125"/>
      </c>
      <c r="CY19" s="877">
        <f t="shared" si="125"/>
      </c>
      <c r="CZ19" s="877">
        <f t="shared" si="125"/>
      </c>
      <c r="DA19" s="878">
        <f t="shared" si="125"/>
      </c>
      <c r="DB19" s="877">
        <f t="shared" ref="DB19:DU19" si="126">SUM(DB11:DB14)</f>
      </c>
      <c r="DC19" s="877">
        <f t="shared" si="126"/>
      </c>
      <c r="DD19" s="877">
        <f t="shared" si="126"/>
      </c>
      <c r="DE19" s="878">
        <f t="shared" si="126"/>
      </c>
      <c r="DF19" s="877">
        <f t="shared" si="126"/>
      </c>
      <c r="DG19" s="877">
        <f t="shared" ref="DG19:DH19" si="127">SUM(DG11:DG14)</f>
      </c>
      <c r="DH19" s="877">
        <f t="shared" si="127"/>
      </c>
      <c r="DI19" s="878">
        <f t="shared" si="126"/>
      </c>
      <c r="DJ19" s="877">
        <f t="shared" ref="DJ19" si="128">SUM(DJ11:DJ14)</f>
      </c>
      <c r="DK19" s="877">
        <f t="shared" si="126"/>
      </c>
      <c r="DL19" s="877">
        <f t="shared" ref="DL19" si="129">SUM(DL11:DL14)</f>
      </c>
      <c r="DM19" s="878">
        <f t="shared" si="126"/>
      </c>
      <c r="DN19" s="877">
        <f t="shared" si="126"/>
      </c>
      <c r="DO19" s="877">
        <f t="shared" si="126"/>
      </c>
      <c r="DP19" s="877">
        <f t="shared" ref="DP19" si="130">SUM(DP11:DP14)</f>
      </c>
      <c r="DQ19" s="878">
        <f t="shared" si="126"/>
      </c>
      <c r="DR19" s="877">
        <f t="shared" si="126"/>
      </c>
      <c r="DS19" s="877">
        <f t="shared" si="126"/>
      </c>
      <c r="DT19" s="877">
        <f t="shared" si="126"/>
      </c>
      <c r="DU19" s="878">
        <f t="shared" si="126"/>
      </c>
      <c r="DV19" s="877">
        <f t="shared" ref="DV19:EK19" si="131">SUM(DV11:DV14)</f>
      </c>
      <c r="DW19" s="877">
        <f t="shared" si="131"/>
      </c>
      <c r="DX19" s="877">
        <f t="shared" si="131"/>
      </c>
      <c r="DY19" s="878">
        <f t="shared" si="131"/>
      </c>
      <c r="DZ19" s="877">
        <f t="shared" si="131"/>
      </c>
      <c r="EA19" s="877">
        <f t="shared" si="131"/>
      </c>
      <c r="EB19" s="877">
        <f t="shared" si="131"/>
      </c>
      <c r="EC19" s="878">
        <f t="shared" si="131"/>
      </c>
      <c r="ED19" s="877">
        <f t="shared" si="131"/>
      </c>
      <c r="EE19" s="877">
        <f t="shared" si="131"/>
      </c>
      <c r="EF19" s="877">
        <f t="shared" si="131"/>
      </c>
      <c r="EG19" s="878">
        <f t="shared" si="131"/>
      </c>
      <c r="EH19" s="877">
        <f t="shared" si="131"/>
      </c>
      <c r="EI19" s="877">
        <f t="shared" si="131"/>
      </c>
      <c r="EJ19" s="877">
        <f t="shared" si="131"/>
      </c>
      <c r="EK19" s="878">
        <f t="shared" si="131"/>
      </c>
      <c r="EM19" s="877"/>
      <c r="EN19" s="877"/>
      <c r="EO19" s="877">
        <f t="shared" ref="EO19:FQ19" si="132">SUM(EO11+EO13+EO12+EO14)</f>
      </c>
      <c r="EP19" s="877">
        <f t="shared" si="132"/>
      </c>
      <c r="EQ19" s="877">
        <f t="shared" si="132"/>
      </c>
      <c r="ER19" s="877">
        <f t="shared" si="132"/>
      </c>
      <c r="ES19" s="877">
        <f t="shared" si="132"/>
      </c>
      <c r="ET19" s="877">
        <f t="shared" si="132"/>
      </c>
      <c r="EU19" s="877">
        <f t="shared" si="132"/>
      </c>
      <c r="EV19" s="877">
        <f t="shared" si="132"/>
      </c>
      <c r="EW19" s="877">
        <f t="shared" si="132"/>
      </c>
      <c r="EX19" s="877">
        <f t="shared" si="132"/>
      </c>
      <c r="EY19" s="877">
        <f t="shared" si="132"/>
      </c>
      <c r="EZ19" s="877">
        <f t="shared" si="132"/>
      </c>
      <c r="FA19" s="877">
        <f t="shared" si="132"/>
      </c>
      <c r="FB19" s="877">
        <f t="shared" si="132"/>
      </c>
      <c r="FC19" s="877">
        <f t="shared" si="132"/>
      </c>
      <c r="FD19" s="877">
        <f t="shared" si="132"/>
      </c>
      <c r="FE19" s="877">
        <f t="shared" si="132"/>
      </c>
      <c r="FF19" s="877">
        <f t="shared" si="132"/>
      </c>
      <c r="FG19" s="877">
        <f t="shared" si="132"/>
      </c>
      <c r="FH19" s="877">
        <f t="shared" si="132"/>
      </c>
      <c r="FI19" s="877">
        <f t="shared" si="132"/>
      </c>
      <c r="FJ19" s="877">
        <f t="shared" si="132"/>
      </c>
      <c r="FK19" s="877">
        <f t="shared" si="132"/>
      </c>
      <c r="FL19" s="877">
        <f t="shared" si="132"/>
      </c>
      <c r="FM19" s="877">
        <f t="shared" si="132"/>
      </c>
      <c r="FN19" s="877">
        <f t="shared" si="132"/>
      </c>
      <c r="FO19" s="877">
        <f t="shared" si="132"/>
      </c>
      <c r="FP19" s="877">
        <f t="shared" si="132"/>
      </c>
      <c r="FQ19" s="877">
        <f t="shared" si="132"/>
      </c>
      <c r="FR19" s="877">
        <f t="shared" ref="FR19:FU19" si="133">SUM(FR11+FR13+FR12+FR14)</f>
      </c>
      <c r="FS19" s="877">
        <f t="shared" si="133"/>
      </c>
      <c r="FT19" s="877">
        <f t="shared" si="133"/>
      </c>
      <c r="FU19" s="877">
        <f t="shared" si="133"/>
      </c>
      <c r="FV19" s="50"/>
      <c r="FW19" s="877"/>
      <c r="FX19" s="877"/>
      <c r="FY19" s="877"/>
      <c r="FZ19" s="877">
        <f t="shared" ref="FZ19:HB19" si="134">SUM(FZ11+FZ13+FZ12+FZ14)</f>
      </c>
      <c r="GA19" s="877">
        <f t="shared" si="134"/>
      </c>
      <c r="GB19" s="877">
        <f t="shared" si="134"/>
      </c>
      <c r="GC19" s="877">
        <f t="shared" si="134"/>
      </c>
      <c r="GD19" s="877">
        <f t="shared" si="134"/>
      </c>
      <c r="GE19" s="877">
        <f t="shared" si="134"/>
      </c>
      <c r="GF19" s="877">
        <f t="shared" si="134"/>
      </c>
      <c r="GG19" s="877">
        <f t="shared" si="134"/>
      </c>
      <c r="GH19" s="877">
        <f t="shared" si="134"/>
      </c>
      <c r="GI19" s="877">
        <f t="shared" si="134"/>
      </c>
      <c r="GJ19" s="877">
        <f t="shared" si="134"/>
      </c>
      <c r="GK19" s="877">
        <f t="shared" si="134"/>
      </c>
      <c r="GL19" s="877">
        <f t="shared" si="134"/>
      </c>
      <c r="GM19" s="877">
        <f t="shared" si="134"/>
      </c>
      <c r="GN19" s="877">
        <f t="shared" si="134"/>
      </c>
      <c r="GO19" s="877">
        <f t="shared" si="134"/>
      </c>
      <c r="GP19" s="877">
        <f t="shared" si="134"/>
      </c>
      <c r="GQ19" s="877">
        <f t="shared" si="134"/>
      </c>
      <c r="GR19" s="877">
        <f t="shared" si="134"/>
      </c>
      <c r="GS19" s="877">
        <f t="shared" si="134"/>
      </c>
      <c r="GT19" s="877">
        <f t="shared" si="134"/>
      </c>
      <c r="GU19" s="877">
        <f t="shared" si="134"/>
      </c>
      <c r="GV19" s="877">
        <f t="shared" si="134"/>
      </c>
      <c r="GW19" s="877">
        <f t="shared" si="134"/>
      </c>
      <c r="GX19" s="877">
        <f t="shared" si="134"/>
      </c>
      <c r="GY19" s="877">
        <f t="shared" si="134"/>
      </c>
      <c r="GZ19" s="877">
        <f t="shared" si="134"/>
      </c>
      <c r="HA19" s="877">
        <f t="shared" si="134"/>
      </c>
      <c r="HB19" s="877">
        <f t="shared" si="134"/>
      </c>
      <c r="HC19" s="877">
        <f t="shared" ref="HC19:HF19" si="135">SUM(HC11+HC13+HC12+HC14)</f>
      </c>
      <c r="HD19" s="877">
        <f t="shared" si="135"/>
      </c>
      <c r="HE19" s="877">
        <f t="shared" si="135"/>
      </c>
      <c r="HF19" s="877">
        <f t="shared" si="135"/>
      </c>
    </row>
    <row r="20" spans="1:214" s="370" customFormat="1" ht="10.199999999999999">
      <c r="A20" s="857"/>
      <c r="B20" s="820"/>
      <c r="C20" s="820"/>
      <c r="D20" s="820"/>
      <c r="E20" s="821"/>
      <c r="F20" s="820"/>
      <c r="G20" s="820"/>
      <c r="H20" s="820"/>
      <c r="I20" s="821"/>
      <c r="J20" s="820"/>
      <c r="K20" s="820"/>
      <c r="L20" s="820"/>
      <c r="M20" s="821"/>
      <c r="N20" s="820"/>
      <c r="O20" s="820"/>
      <c r="P20" s="820"/>
      <c r="Q20" s="821"/>
      <c r="R20" s="820"/>
      <c r="S20" s="820"/>
      <c r="T20" s="820"/>
      <c r="U20" s="821"/>
      <c r="V20" s="820"/>
      <c r="W20" s="820"/>
      <c r="X20" s="820"/>
      <c r="Y20" s="821"/>
      <c r="Z20" s="820"/>
      <c r="AA20" s="820"/>
      <c r="AB20" s="820"/>
      <c r="AC20" s="821"/>
      <c r="AD20" s="820"/>
      <c r="AE20" s="820"/>
      <c r="AF20" s="820"/>
      <c r="AG20" s="821"/>
      <c r="AH20" s="820"/>
      <c r="AI20" s="820"/>
      <c r="AJ20" s="820"/>
      <c r="AK20" s="821"/>
      <c r="AL20" s="820"/>
      <c r="AM20" s="820"/>
      <c r="AN20" s="820"/>
      <c r="AO20" s="821"/>
      <c r="AP20" s="820"/>
      <c r="AQ20" s="820"/>
      <c r="AR20" s="820"/>
      <c r="AS20" s="821"/>
      <c r="AT20" s="820"/>
      <c r="AU20" s="820"/>
      <c r="AV20" s="820"/>
      <c r="AW20" s="821"/>
      <c r="AX20" s="820"/>
      <c r="AY20" s="820"/>
      <c r="AZ20" s="820"/>
      <c r="BA20" s="821"/>
      <c r="BB20" s="820"/>
      <c r="BC20" s="820"/>
      <c r="BD20" s="820"/>
      <c r="BE20" s="821"/>
      <c r="BF20" s="820"/>
      <c r="BG20" s="820"/>
      <c r="BH20" s="820"/>
      <c r="BI20" s="821"/>
      <c r="BJ20" s="820"/>
      <c r="BK20" s="820"/>
      <c r="BL20" s="820"/>
      <c r="BM20" s="821"/>
      <c r="BN20" s="820"/>
      <c r="BO20" s="820"/>
      <c r="BP20" s="820"/>
      <c r="BQ20" s="821"/>
      <c r="BR20" s="820"/>
      <c r="BS20" s="820"/>
      <c r="BT20" s="820"/>
      <c r="BU20" s="821"/>
      <c r="BV20" s="820"/>
      <c r="BW20" s="820"/>
      <c r="BX20" s="820"/>
      <c r="BY20" s="821"/>
      <c r="BZ20" s="820"/>
      <c r="CA20" s="820"/>
      <c r="CC20" s="423"/>
      <c r="CG20" s="423"/>
      <c r="CK20" s="423"/>
      <c r="CO20" s="423"/>
      <c r="CP20" s="1809"/>
      <c r="CS20" s="423"/>
      <c r="CW20" s="423"/>
      <c r="DA20" s="423"/>
      <c r="DD20" s="159"/>
      <c r="DE20" s="423"/>
      <c r="DI20" s="423"/>
      <c r="DM20" s="423"/>
      <c r="DQ20" s="423"/>
      <c r="DU20" s="423"/>
      <c r="DY20" s="423"/>
      <c r="EC20" s="423"/>
      <c r="EG20" s="423"/>
      <c r="EK20" s="423"/>
      <c r="FL20" s="458"/>
      <c r="FM20" s="458"/>
      <c r="FN20" s="458"/>
      <c r="FO20" s="458"/>
      <c r="FP20" s="458"/>
      <c r="FQ20" s="458"/>
      <c r="FR20" s="458"/>
      <c r="FS20" s="458"/>
      <c r="FT20" s="458"/>
      <c r="FU20" s="458"/>
      <c r="FW20" s="458"/>
    </row>
    <row r="21" spans="1:214">
      <c r="A21" s="708" t="s">
        <v>1186</v>
      </c>
      <c r="B21" s="706" t="str">
        <f>'Revenue summary'!B$8</f>
      </c>
      <c r="C21" s="706" t="str">
        <f>'Revenue summary'!C$8</f>
      </c>
      <c r="D21" s="706" t="str">
        <f>'Revenue summary'!D$8</f>
      </c>
      <c r="E21" s="707" t="str">
        <f>'Revenue summary'!E$8</f>
      </c>
      <c r="F21" s="706" t="str">
        <f>'Revenue summary'!F$8</f>
      </c>
      <c r="G21" s="706" t="str">
        <f>'Revenue summary'!G$8</f>
      </c>
      <c r="H21" s="706" t="str">
        <f>'Revenue summary'!H$8</f>
      </c>
      <c r="I21" s="707" t="str">
        <f>'Revenue summary'!I$8</f>
      </c>
      <c r="J21" s="706" t="str">
        <f>'Revenue summary'!J$8</f>
      </c>
      <c r="K21" s="706" t="str">
        <f>'Revenue summary'!K$8</f>
      </c>
      <c r="L21" s="706" t="str">
        <f>'Revenue summary'!L$8</f>
      </c>
      <c r="M21" s="707" t="str">
        <f>'Revenue summary'!M$8</f>
      </c>
      <c r="N21" s="706" t="str">
        <f>'Revenue summary'!N$8</f>
      </c>
      <c r="O21" s="706" t="str">
        <f>'Revenue summary'!O$8</f>
      </c>
      <c r="P21" s="706" t="str">
        <f>'Revenue summary'!P$8</f>
      </c>
      <c r="Q21" s="707" t="str">
        <f>'Revenue summary'!Q$8</f>
      </c>
      <c r="R21" s="706" t="str">
        <f>'Revenue summary'!R$8</f>
      </c>
      <c r="S21" s="706" t="str">
        <f>'Revenue summary'!S$8</f>
      </c>
      <c r="T21" s="706" t="str">
        <f>'Revenue summary'!T$8</f>
      </c>
      <c r="U21" s="707" t="str">
        <f>'Revenue summary'!U$8</f>
      </c>
      <c r="V21" s="706" t="str">
        <f>'Revenue summary'!V$8</f>
      </c>
      <c r="W21" s="706" t="str">
        <f>'Revenue summary'!W$8</f>
      </c>
      <c r="X21" s="706" t="str">
        <f>'Revenue summary'!X$8</f>
      </c>
      <c r="Y21" s="707" t="str">
        <f>'Revenue summary'!Y$8</f>
      </c>
      <c r="Z21" s="706" t="str">
        <f>'Revenue summary'!Z$8</f>
      </c>
      <c r="AA21" s="706" t="str">
        <f>'Revenue summary'!AA$8</f>
      </c>
      <c r="AB21" s="706" t="str">
        <f>'Revenue summary'!AB$8</f>
      </c>
      <c r="AC21" s="707" t="str">
        <f>'Revenue summary'!AC$8</f>
      </c>
      <c r="AD21" s="706" t="str">
        <f>'Revenue summary'!AD$8</f>
      </c>
      <c r="AE21" s="706" t="str">
        <f>'Revenue summary'!AE$8</f>
      </c>
      <c r="AF21" s="706" t="str">
        <f>'Revenue summary'!AF$8</f>
      </c>
      <c r="AG21" s="707" t="str">
        <f>'Revenue summary'!AG$8</f>
      </c>
      <c r="AH21" s="706" t="str">
        <f>'Revenue summary'!AH$8</f>
      </c>
      <c r="AI21" s="706" t="str">
        <f>'Revenue summary'!AI$8</f>
      </c>
      <c r="AJ21" s="706" t="str">
        <f>'Revenue summary'!AJ$8</f>
      </c>
      <c r="AK21" s="707" t="str">
        <f>'Revenue summary'!AK$8</f>
      </c>
      <c r="AL21" s="706" t="str">
        <f>'Revenue summary'!AL$8</f>
      </c>
      <c r="AM21" s="706" t="str">
        <f>'Revenue summary'!AM$8</f>
      </c>
      <c r="AN21" s="706" t="str">
        <f>'Revenue summary'!AN$8</f>
      </c>
      <c r="AO21" s="707" t="str">
        <f>'Revenue summary'!AO$8</f>
      </c>
      <c r="AP21" s="706" t="str">
        <f>'Revenue summary'!AP$8</f>
      </c>
      <c r="AQ21" s="706" t="str">
        <f>'Revenue summary'!AQ$8</f>
      </c>
      <c r="AR21" s="706" t="str">
        <f>'Revenue summary'!AR$8</f>
      </c>
      <c r="AS21" s="707" t="str">
        <f>'Revenue summary'!AS$8</f>
      </c>
      <c r="AT21" s="706" t="str">
        <f>'Revenue summary'!AT$8</f>
      </c>
      <c r="AU21" s="706" t="str">
        <f>'Revenue summary'!AU$8</f>
      </c>
      <c r="AV21" s="706" t="str">
        <f>'Revenue summary'!AV$8</f>
      </c>
      <c r="AW21" s="707" t="str">
        <f>'Revenue summary'!AW$8</f>
      </c>
      <c r="AX21" s="706" t="str">
        <f>'Revenue summary'!AX$8</f>
      </c>
      <c r="AY21" s="706" t="str">
        <f>'Revenue summary'!AY$8</f>
      </c>
      <c r="AZ21" s="706" t="str">
        <f>'Revenue summary'!AZ$8</f>
      </c>
      <c r="BA21" s="707" t="str">
        <f>'Revenue summary'!BA$8</f>
      </c>
      <c r="BB21" s="706" t="str">
        <f>'Revenue summary'!BB$8</f>
      </c>
      <c r="BC21" s="706" t="str">
        <f>'Revenue summary'!BC$8</f>
      </c>
      <c r="BD21" s="706" t="str">
        <f>'Revenue summary'!BD$8</f>
      </c>
      <c r="BE21" s="707" t="str">
        <f>'Revenue summary'!BE$8</f>
      </c>
      <c r="BF21" s="706" t="str">
        <f>'Revenue summary'!BF$8</f>
      </c>
      <c r="BG21" s="706" t="str">
        <f>'Revenue summary'!BG$8</f>
      </c>
      <c r="BH21" s="706" t="str">
        <f>'Revenue summary'!BH$8</f>
      </c>
      <c r="BI21" s="707" t="str">
        <f>'Revenue summary'!BI$8</f>
      </c>
      <c r="BJ21" s="706" t="str">
        <f>'Revenue summary'!BJ$8</f>
      </c>
      <c r="BK21" s="706" t="str">
        <f>'Revenue summary'!BK$8</f>
      </c>
      <c r="BL21" s="706" t="str">
        <f>'Revenue summary'!BL$8</f>
      </c>
      <c r="BM21" s="707" t="str">
        <f>'Revenue summary'!BM$8</f>
      </c>
      <c r="BN21" s="706" t="str">
        <f>'Revenue summary'!BN$8</f>
      </c>
      <c r="BO21" s="706" t="str">
        <f>'Revenue summary'!BO$8</f>
      </c>
      <c r="BP21" s="706" t="str">
        <f>'Revenue summary'!BP$8</f>
      </c>
      <c r="BQ21" s="707" t="str">
        <f>'Revenue summary'!BQ$8</f>
      </c>
      <c r="BR21" s="706" t="str">
        <f>'Revenue summary'!BR$8</f>
      </c>
      <c r="BS21" s="706" t="str">
        <f>'Revenue summary'!BS$8</f>
      </c>
      <c r="BT21" s="706" t="str">
        <f>'Revenue summary'!BT$8</f>
      </c>
      <c r="BU21" s="707" t="str">
        <f>'Revenue summary'!BU$8</f>
      </c>
      <c r="BV21" s="706" t="str">
        <f>'Revenue summary'!BV$8</f>
      </c>
      <c r="BW21" s="706" t="str">
        <f>'Revenue summary'!BW$8</f>
      </c>
      <c r="BX21" s="706" t="str">
        <f>'Revenue summary'!BX$8</f>
      </c>
      <c r="BY21" s="707" t="str">
        <f>'Revenue summary'!BY$8</f>
      </c>
      <c r="BZ21" s="706" t="str">
        <f>'Revenue summary'!BZ$8</f>
      </c>
      <c r="CA21" s="706" t="str">
        <f>'Revenue summary'!CA$8</f>
      </c>
      <c r="CB21" s="706" t="str">
        <f>'Revenue summary'!CB$8</f>
      </c>
      <c r="CC21" s="707" t="str">
        <f>'Revenue summary'!CC$8</f>
      </c>
      <c r="CD21" s="706" t="str">
        <f>'Revenue summary'!CD$8</f>
      </c>
      <c r="CE21" s="706" t="str">
        <f>'Revenue summary'!CE$8</f>
      </c>
      <c r="CF21" s="706" t="str">
        <f>'Revenue summary'!CF$8</f>
      </c>
      <c r="CG21" s="707" t="str">
        <f>'Revenue summary'!CG$8</f>
      </c>
      <c r="CH21" s="706" t="str">
        <f>'Revenue summary'!CH$8</f>
      </c>
      <c r="CI21" s="706" t="str">
        <f>'Revenue summary'!CI$8</f>
      </c>
      <c r="CJ21" s="706" t="str">
        <f>'Revenue summary'!CJ$8</f>
      </c>
      <c r="CK21" s="707" t="str">
        <f>'Revenue summary'!CK$8</f>
      </c>
      <c r="CL21" s="706" t="str">
        <f>'Revenue summary'!CL$8</f>
      </c>
      <c r="CM21" s="706" t="str">
        <f>'Revenue summary'!CM$8</f>
      </c>
      <c r="CN21" s="706" t="str">
        <f>'Revenue summary'!CN$8</f>
      </c>
      <c r="CO21" s="707" t="str">
        <f>'Revenue summary'!CO$8</f>
      </c>
      <c r="CP21" s="706" t="str">
        <f>'Revenue summary'!CP$8</f>
      </c>
      <c r="CQ21" s="706" t="str">
        <f>'Revenue summary'!CQ$8</f>
      </c>
      <c r="CR21" s="706" t="str">
        <f>'Revenue summary'!CR$8</f>
      </c>
      <c r="CS21" s="707" t="str">
        <f>'Revenue summary'!CS$8</f>
      </c>
      <c r="CT21" s="706" t="str">
        <f>'Revenue summary'!CT$8</f>
      </c>
      <c r="CU21" s="706" t="str">
        <f>'Revenue summary'!CU$8</f>
      </c>
      <c r="CV21" s="706" t="str">
        <f>'Revenue summary'!CV$8</f>
      </c>
      <c r="CW21" s="707" t="str">
        <f>'Revenue summary'!CW$8</f>
      </c>
      <c r="CX21" s="706" t="str">
        <f>'Revenue summary'!CX$8</f>
      </c>
      <c r="CY21" s="706" t="str">
        <f>'Revenue summary'!CY$8</f>
      </c>
      <c r="CZ21" s="706" t="str">
        <f>'Revenue summary'!CZ$8</f>
      </c>
      <c r="DA21" s="707" t="str">
        <f>'Revenue summary'!DA$8</f>
      </c>
      <c r="DB21" s="706" t="str">
        <f>'Revenue summary'!DB$8</f>
      </c>
      <c r="DC21" s="706" t="str">
        <f>'Revenue summary'!DC$8</f>
      </c>
      <c r="DD21" s="706" t="str">
        <f>'Revenue summary'!DD$8</f>
      </c>
      <c r="DE21" s="707" t="str">
        <f>'Revenue summary'!DE$8</f>
      </c>
      <c r="DF21" s="706" t="str">
        <f>'Revenue summary'!DF$8</f>
      </c>
      <c r="DG21" s="706" t="str">
        <f>'Revenue summary'!DG$8</f>
      </c>
      <c r="DH21" s="706" t="str">
        <f>'Revenue summary'!DH$8</f>
      </c>
      <c r="DI21" s="707" t="str">
        <f>'Revenue summary'!DI$8</f>
      </c>
      <c r="DJ21" s="706" t="str">
        <f>'Revenue summary'!DJ$8</f>
      </c>
      <c r="DK21" s="706" t="str">
        <f>'Revenue summary'!DK$8</f>
      </c>
      <c r="DL21" s="706" t="str">
        <f>'Revenue summary'!DL$8</f>
      </c>
      <c r="DM21" s="707" t="str">
        <f>'Revenue summary'!DM$8</f>
      </c>
      <c r="DN21" s="706" t="str">
        <f>'Revenue summary'!DN$8</f>
      </c>
      <c r="DO21" s="706" t="str">
        <f>'Revenue summary'!DO$8</f>
      </c>
      <c r="DP21" s="706" t="str">
        <f>'Revenue summary'!DP$8</f>
      </c>
      <c r="DQ21" s="707" t="str">
        <f>'Revenue summary'!DQ$8</f>
      </c>
      <c r="DR21" s="706" t="str">
        <f>'Revenue summary'!DR$8</f>
      </c>
      <c r="DS21" s="706" t="str">
        <f>'Revenue summary'!DS$8</f>
      </c>
      <c r="DT21" s="706" t="str">
        <f>'Revenue summary'!DT$8</f>
      </c>
      <c r="DU21" s="707" t="str">
        <f>'Revenue summary'!DU$8</f>
      </c>
      <c r="DV21" s="706" t="str">
        <f>'Revenue summary'!DV$8</f>
      </c>
      <c r="DW21" s="706" t="str">
        <f>'Revenue summary'!DW$8</f>
      </c>
      <c r="DX21" s="706" t="str">
        <f>'Revenue summary'!DX$8</f>
      </c>
      <c r="DY21" s="707" t="str">
        <f>'Revenue summary'!DY$8</f>
      </c>
      <c r="DZ21" s="706" t="str">
        <f>'Revenue summary'!DZ$8</f>
      </c>
      <c r="EA21" s="706" t="str">
        <f>'Revenue summary'!EA$8</f>
      </c>
      <c r="EB21" s="706" t="str">
        <f>'Revenue summary'!EB$8</f>
      </c>
      <c r="EC21" s="707" t="str">
        <f>'Revenue summary'!EC$8</f>
      </c>
      <c r="ED21" s="706" t="str">
        <f>'Revenue summary'!ED$8</f>
      </c>
      <c r="EE21" s="706" t="str">
        <f>'Revenue summary'!EE$8</f>
      </c>
      <c r="EF21" s="706" t="str">
        <f>'Revenue summary'!EF$8</f>
      </c>
      <c r="EG21" s="707" t="str">
        <f>'Revenue summary'!EG$8</f>
      </c>
      <c r="EH21" s="706" t="str">
        <f>'Revenue summary'!EH$8</f>
      </c>
      <c r="EI21" s="706" t="str">
        <f>'Revenue summary'!EI$8</f>
      </c>
      <c r="EJ21" s="706" t="str">
        <f>'Revenue summary'!EJ$8</f>
      </c>
      <c r="EK21" s="707" t="str">
        <f>'Revenue summary'!EK$8</f>
      </c>
      <c r="EM21" s="706">
        <f>EM$9</f>
      </c>
      <c r="EN21" s="706">
        <f t="shared" ref="EN21:GZ21" si="136">EN$9</f>
      </c>
      <c r="EO21" s="706">
        <f t="shared" si="136"/>
      </c>
      <c r="EP21" s="706">
        <f t="shared" si="136"/>
      </c>
      <c r="EQ21" s="706">
        <f t="shared" si="136"/>
      </c>
      <c r="ER21" s="706">
        <f t="shared" si="136"/>
      </c>
      <c r="ES21" s="706">
        <f t="shared" si="136"/>
      </c>
      <c r="ET21" s="706">
        <f t="shared" si="136"/>
      </c>
      <c r="EU21" s="706">
        <f t="shared" si="136"/>
      </c>
      <c r="EV21" s="706">
        <f t="shared" si="136"/>
      </c>
      <c r="EW21" s="706">
        <f t="shared" si="136"/>
      </c>
      <c r="EX21" s="706">
        <f t="shared" si="136"/>
      </c>
      <c r="EY21" s="706">
        <f t="shared" si="136"/>
      </c>
      <c r="EZ21" s="706">
        <f t="shared" si="136"/>
      </c>
      <c r="FA21" s="706">
        <f t="shared" si="136"/>
      </c>
      <c r="FB21" s="706">
        <f t="shared" si="136"/>
      </c>
      <c r="FC21" s="706">
        <f t="shared" si="136"/>
      </c>
      <c r="FD21" s="706">
        <f t="shared" si="136"/>
      </c>
      <c r="FE21" s="706" t="str">
        <f t="shared" si="136"/>
      </c>
      <c r="FF21" s="706" t="str">
        <f t="shared" si="136"/>
      </c>
      <c r="FG21" s="706" t="str">
        <f t="shared" si="136"/>
      </c>
      <c r="FH21" s="706" t="str">
        <f t="shared" si="136"/>
      </c>
      <c r="FI21" s="706" t="str">
        <f t="shared" si="136"/>
      </c>
      <c r="FJ21" s="706" t="str">
        <f t="shared" si="136"/>
      </c>
      <c r="FK21" s="706" t="str">
        <f t="shared" si="136"/>
      </c>
      <c r="FL21" s="706" t="str">
        <f t="shared" si="136"/>
      </c>
      <c r="FM21" s="706" t="str">
        <f t="shared" si="136"/>
      </c>
      <c r="FN21" s="706" t="str">
        <f t="shared" si="136"/>
      </c>
      <c r="FO21" s="706" t="str">
        <f t="shared" si="136"/>
      </c>
      <c r="FP21" s="706" t="str">
        <f>FP$9</f>
      </c>
      <c r="FQ21" s="706" t="str">
        <f>FQ$9</f>
      </c>
      <c r="FR21" s="706" t="str">
        <f t="shared" ref="FR21:FU21" si="137">FR$9</f>
      </c>
      <c r="FS21" s="706" t="str">
        <f t="shared" si="137"/>
      </c>
      <c r="FT21" s="706" t="str">
        <f t="shared" si="137"/>
      </c>
      <c r="FU21" s="706" t="str">
        <f t="shared" si="137"/>
      </c>
      <c r="FW21" s="706"/>
      <c r="FX21" s="706"/>
      <c r="FY21" s="706">
        <f t="shared" si="136"/>
      </c>
      <c r="FZ21" s="706">
        <f t="shared" si="136"/>
      </c>
      <c r="GA21" s="706">
        <f t="shared" si="136"/>
      </c>
      <c r="GB21" s="706">
        <f t="shared" si="136"/>
      </c>
      <c r="GC21" s="706">
        <f t="shared" si="136"/>
      </c>
      <c r="GD21" s="706">
        <f t="shared" si="136"/>
      </c>
      <c r="GE21" s="706">
        <f t="shared" si="136"/>
      </c>
      <c r="GF21" s="706">
        <f t="shared" si="136"/>
      </c>
      <c r="GG21" s="706">
        <f t="shared" si="136"/>
      </c>
      <c r="GH21" s="706">
        <f t="shared" si="136"/>
      </c>
      <c r="GI21" s="706">
        <f t="shared" si="136"/>
      </c>
      <c r="GJ21" s="706">
        <f t="shared" si="136"/>
      </c>
      <c r="GK21" s="706">
        <f t="shared" si="136"/>
      </c>
      <c r="GL21" s="706">
        <f t="shared" si="136"/>
      </c>
      <c r="GM21" s="706">
        <f t="shared" si="136"/>
      </c>
      <c r="GN21" s="706">
        <f t="shared" si="136"/>
      </c>
      <c r="GO21" s="706">
        <f t="shared" si="136"/>
      </c>
      <c r="GP21" s="706">
        <f t="shared" si="136"/>
      </c>
      <c r="GQ21" s="706" t="str">
        <f t="shared" si="136"/>
      </c>
      <c r="GR21" s="706" t="str">
        <f t="shared" si="136"/>
      </c>
      <c r="GS21" s="706" t="str">
        <f t="shared" si="136"/>
      </c>
      <c r="GT21" s="706" t="str">
        <f t="shared" si="136"/>
      </c>
      <c r="GU21" s="706" t="str">
        <f t="shared" si="136"/>
      </c>
      <c r="GV21" s="706" t="str">
        <f t="shared" si="136"/>
      </c>
      <c r="GW21" s="706" t="str">
        <f t="shared" si="136"/>
      </c>
      <c r="GX21" s="706" t="str">
        <f t="shared" si="136"/>
      </c>
      <c r="GY21" s="706" t="str">
        <f t="shared" si="136"/>
      </c>
      <c r="GZ21" s="706" t="str">
        <f t="shared" si="136"/>
      </c>
      <c r="HA21" s="706" t="str">
        <f t="shared" ref="HA21" si="138">HA$9</f>
      </c>
      <c r="HB21" s="706" t="str">
        <f t="shared" ref="HB21:HF21" si="139">HB$9</f>
      </c>
      <c r="HC21" s="706" t="str">
        <f t="shared" si="139"/>
      </c>
      <c r="HD21" s="706" t="str">
        <f t="shared" si="139"/>
      </c>
      <c r="HE21" s="706" t="str">
        <f t="shared" si="139"/>
      </c>
      <c r="HF21" s="706" t="str">
        <f t="shared" si="139"/>
      </c>
    </row>
    <row r="22" spans="1:214" s="82" customFormat="1" ht="10.199999999999999">
      <c r="A22" s="709" t="s">
        <v>84</v>
      </c>
      <c r="B22" s="710"/>
      <c r="C22" s="710"/>
      <c r="D22" s="710"/>
      <c r="E22" s="711"/>
      <c r="F22" s="710"/>
      <c r="G22" s="710"/>
      <c r="H22" s="710"/>
      <c r="I22" s="711"/>
      <c r="J22" s="710"/>
      <c r="K22" s="710"/>
      <c r="L22" s="710"/>
      <c r="M22" s="711"/>
      <c r="N22" s="710"/>
      <c r="O22" s="710"/>
      <c r="P22" s="710"/>
      <c r="Q22" s="711"/>
      <c r="R22" s="710"/>
      <c r="S22" s="710"/>
      <c r="T22" s="710"/>
      <c r="U22" s="711"/>
      <c r="V22" s="710"/>
      <c r="W22" s="710"/>
      <c r="X22" s="710"/>
      <c r="Y22" s="711"/>
      <c r="Z22" s="710"/>
      <c r="AA22" s="710"/>
      <c r="AB22" s="710"/>
      <c r="AC22" s="711"/>
      <c r="AD22" s="710"/>
      <c r="AE22" s="710"/>
      <c r="AF22" s="710"/>
      <c r="AG22" s="711"/>
      <c r="AH22" s="710"/>
      <c r="AI22" s="710"/>
      <c r="AJ22" s="710"/>
      <c r="AK22" s="711"/>
      <c r="AL22" s="710"/>
      <c r="AM22" s="710"/>
      <c r="AN22" s="710"/>
      <c r="AO22" s="711"/>
      <c r="AP22" s="710"/>
      <c r="AQ22" s="710"/>
      <c r="AR22" s="710"/>
      <c r="AS22" s="711"/>
      <c r="AT22" s="710"/>
      <c r="AU22" s="710"/>
      <c r="AV22" s="710"/>
      <c r="AW22" s="711"/>
      <c r="AX22" s="710"/>
      <c r="AY22" s="710"/>
      <c r="AZ22" s="710"/>
      <c r="BA22" s="711"/>
      <c r="BB22" s="710"/>
      <c r="BC22" s="710"/>
      <c r="BD22" s="710"/>
      <c r="BE22" s="711"/>
      <c r="BF22" s="710">
        <f t="shared" ref="BF22:BO23" si="140">+BF11/BB11-1</f>
      </c>
      <c r="BG22" s="710">
        <f t="shared" si="140"/>
      </c>
      <c r="BH22" s="710">
        <f t="shared" si="140"/>
      </c>
      <c r="BI22" s="711">
        <f t="shared" si="140"/>
      </c>
      <c r="BJ22" s="710">
        <f t="shared" si="140"/>
      </c>
      <c r="BK22" s="710">
        <f t="shared" si="140"/>
      </c>
      <c r="BL22" s="710">
        <f t="shared" si="140"/>
      </c>
      <c r="BM22" s="711">
        <f t="shared" si="140"/>
      </c>
      <c r="BN22" s="710">
        <f t="shared" si="140"/>
      </c>
      <c r="BO22" s="710">
        <f t="shared" si="140"/>
      </c>
      <c r="BP22" s="710">
        <f t="shared" ref="BP22:BY23" si="141">+BP11/BL11-1</f>
      </c>
      <c r="BQ22" s="711">
        <f t="shared" si="141"/>
      </c>
      <c r="BR22" s="710">
        <f t="shared" si="141"/>
      </c>
      <c r="BS22" s="710">
        <f t="shared" si="141"/>
      </c>
      <c r="BT22" s="710">
        <f t="shared" si="141"/>
      </c>
      <c r="BU22" s="711">
        <f t="shared" si="141"/>
      </c>
      <c r="BV22" s="710">
        <f t="shared" si="141"/>
      </c>
      <c r="BW22" s="710">
        <f t="shared" si="141"/>
      </c>
      <c r="BX22" s="710">
        <f t="shared" si="141"/>
      </c>
      <c r="BY22" s="711">
        <f t="shared" si="141"/>
      </c>
      <c r="BZ22" s="710">
        <f t="shared" ref="BZ22:CI23" si="142">+BZ11/BV11-1</f>
      </c>
      <c r="CA22" s="710">
        <f t="shared" si="142"/>
      </c>
      <c r="CB22" s="710">
        <f t="shared" si="142"/>
      </c>
      <c r="CC22" s="711">
        <f t="shared" si="142"/>
      </c>
      <c r="CD22" s="710">
        <f t="shared" si="142"/>
      </c>
      <c r="CE22" s="710">
        <f t="shared" si="142"/>
      </c>
      <c r="CF22" s="710">
        <f t="shared" si="142"/>
      </c>
      <c r="CG22" s="711">
        <f t="shared" si="142"/>
      </c>
      <c r="CH22" s="710">
        <f t="shared" si="142"/>
      </c>
      <c r="CI22" s="710">
        <f t="shared" si="142"/>
      </c>
      <c r="CJ22" s="710">
        <f t="shared" ref="CJ22:CS23" si="143">+CJ11/CF11-1</f>
      </c>
      <c r="CK22" s="711">
        <f t="shared" si="143"/>
      </c>
      <c r="CL22" s="710">
        <f t="shared" si="143"/>
      </c>
      <c r="CM22" s="710">
        <f t="shared" si="143"/>
      </c>
      <c r="CN22" s="710">
        <f t="shared" si="143"/>
      </c>
      <c r="CO22" s="711">
        <f t="shared" si="143"/>
      </c>
      <c r="CP22" s="710">
        <f t="shared" si="143"/>
      </c>
      <c r="CQ22" s="710">
        <f t="shared" si="143"/>
      </c>
      <c r="CR22" s="710">
        <f t="shared" si="143"/>
      </c>
      <c r="CS22" s="711">
        <f t="shared" si="143"/>
      </c>
      <c r="CT22" s="710">
        <f t="shared" ref="CT22:DC23" si="144">+CT11/CP11-1</f>
      </c>
      <c r="CU22" s="710">
        <f t="shared" si="144"/>
      </c>
      <c r="CV22" s="710">
        <f t="shared" si="144"/>
      </c>
      <c r="CW22" s="711">
        <f t="shared" si="144"/>
      </c>
      <c r="CX22" s="712">
        <f t="shared" si="144"/>
      </c>
      <c r="CY22" s="710">
        <f t="shared" si="144"/>
      </c>
      <c r="CZ22" s="710">
        <f t="shared" si="144"/>
      </c>
      <c r="DA22" s="711">
        <f t="shared" si="144"/>
      </c>
      <c r="DB22" s="710">
        <f t="shared" si="144"/>
      </c>
      <c r="DC22" s="710">
        <f t="shared" si="144"/>
      </c>
      <c r="DD22" s="710">
        <f t="shared" ref="DD22:DO23" si="145">+DD11/CZ11-1</f>
      </c>
      <c r="DE22" s="711">
        <f t="shared" si="145"/>
      </c>
      <c r="DF22" s="710">
        <f t="shared" si="145"/>
      </c>
      <c r="DG22" s="710">
        <f t="shared" si="145"/>
      </c>
      <c r="DH22" s="710">
        <f t="shared" si="145"/>
      </c>
      <c r="DI22" s="711">
        <f t="shared" si="145"/>
      </c>
      <c r="DJ22" s="710">
        <f t="shared" si="145"/>
      </c>
      <c r="DK22" s="710">
        <f t="shared" si="145"/>
      </c>
      <c r="DL22" s="710">
        <f t="shared" si="145"/>
      </c>
      <c r="DM22" s="711">
        <f t="shared" si="145"/>
      </c>
      <c r="DN22" s="710">
        <f t="shared" si="145"/>
      </c>
      <c r="DO22" s="710">
        <f t="shared" si="145"/>
      </c>
      <c r="DP22" s="710">
        <f t="shared" ref="DP22:DW23" si="146">+DP11/DL11-1</f>
      </c>
      <c r="DQ22" s="711">
        <f t="shared" si="146"/>
      </c>
      <c r="DR22" s="710">
        <f t="shared" si="146"/>
      </c>
      <c r="DS22" s="710">
        <f t="shared" si="146"/>
      </c>
      <c r="DT22" s="710">
        <f t="shared" si="146"/>
      </c>
      <c r="DU22" s="711">
        <f t="shared" si="146"/>
      </c>
      <c r="DV22" s="710">
        <f t="shared" si="146"/>
      </c>
      <c r="DW22" s="710">
        <f t="shared" si="146"/>
      </c>
      <c r="DX22" s="710">
        <f t="shared" ref="DX22:EG23" si="147">+DX11/DT11-1</f>
      </c>
      <c r="DY22" s="711">
        <f t="shared" si="147"/>
      </c>
      <c r="DZ22" s="710">
        <f t="shared" si="147"/>
      </c>
      <c r="EA22" s="710">
        <f t="shared" si="147"/>
      </c>
      <c r="EB22" s="710">
        <f t="shared" si="147"/>
      </c>
      <c r="EC22" s="711">
        <f t="shared" si="147"/>
      </c>
      <c r="ED22" s="710">
        <f t="shared" si="147"/>
      </c>
      <c r="EE22" s="710">
        <f t="shared" si="147"/>
      </c>
      <c r="EF22" s="710">
        <f t="shared" si="147"/>
      </c>
      <c r="EG22" s="711">
        <f t="shared" si="147"/>
      </c>
      <c r="EH22" s="710">
        <f t="shared" ref="EH22:EK23" si="148">+EH11/ED11-1</f>
      </c>
      <c r="EI22" s="710">
        <f t="shared" si="148"/>
      </c>
      <c r="EJ22" s="710">
        <f t="shared" si="148"/>
      </c>
      <c r="EK22" s="711">
        <f t="shared" si="148"/>
      </c>
      <c r="EM22" s="710"/>
      <c r="EN22" s="710"/>
      <c r="EO22" s="710"/>
      <c r="EP22" s="710"/>
      <c r="EQ22" s="710"/>
      <c r="ER22" s="710"/>
      <c r="ES22" s="710"/>
      <c r="ET22" s="710"/>
      <c r="EU22" s="710"/>
      <c r="EV22" s="710"/>
      <c r="EW22" s="710"/>
      <c r="EX22" s="710"/>
      <c r="EY22" s="710"/>
      <c r="EZ22" s="710"/>
      <c r="FA22" s="710">
        <f t="shared" ref="FA22:FQ22" si="149">+FA11/EZ11-1</f>
      </c>
      <c r="FB22" s="710">
        <f t="shared" si="149"/>
      </c>
      <c r="FC22" s="710">
        <f t="shared" si="149"/>
      </c>
      <c r="FD22" s="710">
        <f t="shared" si="149"/>
      </c>
      <c r="FE22" s="710">
        <f t="shared" si="149"/>
      </c>
      <c r="FF22" s="710">
        <f t="shared" si="149"/>
      </c>
      <c r="FG22" s="710">
        <f t="shared" si="149"/>
      </c>
      <c r="FH22" s="710">
        <f t="shared" si="149"/>
      </c>
      <c r="FI22" s="710">
        <f t="shared" si="149"/>
      </c>
      <c r="FJ22" s="710">
        <f t="shared" si="149"/>
      </c>
      <c r="FK22" s="710">
        <f t="shared" si="149"/>
      </c>
      <c r="FL22" s="710">
        <f t="shared" si="149"/>
      </c>
      <c r="FM22" s="710">
        <f t="shared" si="149"/>
      </c>
      <c r="FN22" s="710">
        <f t="shared" si="149"/>
      </c>
      <c r="FO22" s="710">
        <f t="shared" si="149"/>
      </c>
      <c r="FP22" s="710">
        <f t="shared" si="149"/>
      </c>
      <c r="FQ22" s="710">
        <f t="shared" si="149"/>
      </c>
      <c r="FR22" s="710">
        <f t="shared" ref="FR22:FU28" si="150">+FR11/FQ11-1</f>
      </c>
      <c r="FS22" s="710">
        <f t="shared" si="150"/>
      </c>
      <c r="FT22" s="710">
        <f t="shared" si="150"/>
      </c>
      <c r="FU22" s="710">
        <f t="shared" si="150"/>
      </c>
      <c r="FW22" s="710"/>
      <c r="FX22" s="710"/>
      <c r="FY22" s="710"/>
      <c r="FZ22" s="710"/>
      <c r="GA22" s="710"/>
      <c r="GB22" s="710"/>
      <c r="GC22" s="710"/>
      <c r="GD22" s="710"/>
      <c r="GE22" s="710"/>
      <c r="GF22" s="710"/>
      <c r="GG22" s="710"/>
      <c r="GH22" s="710"/>
      <c r="GI22" s="710"/>
      <c r="GJ22" s="710"/>
      <c r="GK22" s="710"/>
      <c r="GL22" s="710">
        <f t="shared" ref="GL22:HB22" si="151">+GL11/GK11-1</f>
      </c>
      <c r="GM22" s="710">
        <f t="shared" si="151"/>
      </c>
      <c r="GN22" s="710">
        <f t="shared" si="151"/>
      </c>
      <c r="GO22" s="710">
        <f t="shared" si="151"/>
      </c>
      <c r="GP22" s="710">
        <f t="shared" si="151"/>
      </c>
      <c r="GQ22" s="710">
        <f t="shared" si="151"/>
      </c>
      <c r="GR22" s="710">
        <f t="shared" si="151"/>
      </c>
      <c r="GS22" s="710">
        <f t="shared" si="151"/>
      </c>
      <c r="GT22" s="710">
        <f t="shared" si="151"/>
      </c>
      <c r="GU22" s="710">
        <f t="shared" si="151"/>
      </c>
      <c r="GV22" s="710">
        <f t="shared" si="151"/>
      </c>
      <c r="GW22" s="710">
        <f t="shared" si="151"/>
      </c>
      <c r="GX22" s="710">
        <f t="shared" si="151"/>
      </c>
      <c r="GY22" s="710">
        <f t="shared" si="151"/>
      </c>
      <c r="GZ22" s="710">
        <f t="shared" si="151"/>
      </c>
      <c r="HA22" s="710">
        <f t="shared" si="151"/>
      </c>
      <c r="HB22" s="710">
        <f t="shared" si="151"/>
      </c>
      <c r="HC22" s="710">
        <f t="shared" ref="HC22:HF27" si="152">+HC11/HB11-1</f>
      </c>
      <c r="HD22" s="710">
        <f t="shared" si="152"/>
      </c>
      <c r="HE22" s="710">
        <f t="shared" si="152"/>
      </c>
      <c r="HF22" s="710">
        <f t="shared" si="152"/>
      </c>
    </row>
    <row r="23" spans="1:214" s="82" customFormat="1" ht="10.199999999999999">
      <c r="A23" s="709" t="s">
        <v>86</v>
      </c>
      <c r="B23" s="710"/>
      <c r="C23" s="710"/>
      <c r="D23" s="710"/>
      <c r="E23" s="711"/>
      <c r="F23" s="710"/>
      <c r="G23" s="710"/>
      <c r="H23" s="710"/>
      <c r="I23" s="711"/>
      <c r="J23" s="710"/>
      <c r="K23" s="710"/>
      <c r="L23" s="710"/>
      <c r="M23" s="711"/>
      <c r="N23" s="710"/>
      <c r="O23" s="710"/>
      <c r="P23" s="710"/>
      <c r="Q23" s="711"/>
      <c r="R23" s="710"/>
      <c r="S23" s="710"/>
      <c r="T23" s="710"/>
      <c r="U23" s="711"/>
      <c r="V23" s="710"/>
      <c r="W23" s="710"/>
      <c r="X23" s="710"/>
      <c r="Y23" s="711"/>
      <c r="Z23" s="710"/>
      <c r="AA23" s="710"/>
      <c r="AB23" s="710"/>
      <c r="AC23" s="711"/>
      <c r="AD23" s="710"/>
      <c r="AE23" s="710"/>
      <c r="AF23" s="710"/>
      <c r="AG23" s="711"/>
      <c r="AH23" s="710"/>
      <c r="AI23" s="710"/>
      <c r="AJ23" s="710"/>
      <c r="AK23" s="711"/>
      <c r="AL23" s="710"/>
      <c r="AM23" s="710"/>
      <c r="AN23" s="710"/>
      <c r="AO23" s="711"/>
      <c r="AP23" s="710"/>
      <c r="AQ23" s="710"/>
      <c r="AR23" s="710"/>
      <c r="AS23" s="711"/>
      <c r="AT23" s="710"/>
      <c r="AU23" s="710"/>
      <c r="AV23" s="710"/>
      <c r="AW23" s="711"/>
      <c r="AX23" s="710">
        <f t="shared" ref="AX23:BE23" si="153">+AX12/AT12-1</f>
      </c>
      <c r="AY23" s="710">
        <f t="shared" si="153"/>
      </c>
      <c r="AZ23" s="710">
        <f t="shared" si="153"/>
      </c>
      <c r="BA23" s="711">
        <f t="shared" si="153"/>
      </c>
      <c r="BB23" s="710">
        <f t="shared" si="153"/>
      </c>
      <c r="BC23" s="710">
        <f t="shared" si="153"/>
      </c>
      <c r="BD23" s="710">
        <f t="shared" si="153"/>
      </c>
      <c r="BE23" s="711">
        <f t="shared" si="153"/>
      </c>
      <c r="BF23" s="710">
        <f t="shared" si="140"/>
      </c>
      <c r="BG23" s="710">
        <f t="shared" si="140"/>
      </c>
      <c r="BH23" s="710">
        <f t="shared" si="140"/>
      </c>
      <c r="BI23" s="711">
        <f t="shared" si="140"/>
      </c>
      <c r="BJ23" s="710">
        <f t="shared" si="140"/>
      </c>
      <c r="BK23" s="710">
        <f t="shared" si="140"/>
      </c>
      <c r="BL23" s="710">
        <f t="shared" si="140"/>
      </c>
      <c r="BM23" s="711">
        <f t="shared" si="140"/>
      </c>
      <c r="BN23" s="710">
        <f t="shared" si="140"/>
      </c>
      <c r="BO23" s="710">
        <f t="shared" si="140"/>
      </c>
      <c r="BP23" s="710">
        <f t="shared" si="141"/>
      </c>
      <c r="BQ23" s="711">
        <f t="shared" si="141"/>
      </c>
      <c r="BR23" s="710">
        <f t="shared" si="141"/>
      </c>
      <c r="BS23" s="710">
        <f t="shared" si="141"/>
      </c>
      <c r="BT23" s="710">
        <f t="shared" si="141"/>
      </c>
      <c r="BU23" s="711">
        <f t="shared" si="141"/>
      </c>
      <c r="BV23" s="710">
        <f t="shared" si="141"/>
      </c>
      <c r="BW23" s="710">
        <f t="shared" si="141"/>
      </c>
      <c r="BX23" s="710">
        <f t="shared" si="141"/>
      </c>
      <c r="BY23" s="711">
        <f t="shared" si="141"/>
      </c>
      <c r="BZ23" s="710">
        <f t="shared" si="142"/>
      </c>
      <c r="CA23" s="710">
        <f t="shared" si="142"/>
      </c>
      <c r="CB23" s="710">
        <f t="shared" si="142"/>
      </c>
      <c r="CC23" s="711">
        <f t="shared" si="142"/>
      </c>
      <c r="CD23" s="710">
        <f t="shared" si="142"/>
      </c>
      <c r="CE23" s="710">
        <f t="shared" si="142"/>
      </c>
      <c r="CF23" s="710">
        <f t="shared" si="142"/>
      </c>
      <c r="CG23" s="711">
        <f t="shared" si="142"/>
      </c>
      <c r="CH23" s="710">
        <f t="shared" si="142"/>
      </c>
      <c r="CI23" s="710">
        <f t="shared" si="142"/>
      </c>
      <c r="CJ23" s="710">
        <f t="shared" si="143"/>
      </c>
      <c r="CK23" s="711">
        <f t="shared" si="143"/>
      </c>
      <c r="CL23" s="710">
        <f t="shared" si="143"/>
      </c>
      <c r="CM23" s="710">
        <f t="shared" si="143"/>
      </c>
      <c r="CN23" s="710">
        <f t="shared" si="143"/>
      </c>
      <c r="CO23" s="711">
        <f t="shared" si="143"/>
      </c>
      <c r="CP23" s="710">
        <f t="shared" si="143"/>
      </c>
      <c r="CQ23" s="710">
        <f t="shared" si="143"/>
      </c>
      <c r="CR23" s="710">
        <f t="shared" si="143"/>
      </c>
      <c r="CS23" s="711">
        <f t="shared" si="143"/>
      </c>
      <c r="CT23" s="710">
        <f t="shared" si="144"/>
      </c>
      <c r="CU23" s="710">
        <f t="shared" si="144"/>
      </c>
      <c r="CV23" s="710">
        <f t="shared" si="144"/>
      </c>
      <c r="CW23" s="711">
        <f t="shared" si="144"/>
      </c>
      <c r="CX23" s="712">
        <f t="shared" si="144"/>
      </c>
      <c r="CY23" s="710">
        <f t="shared" si="144"/>
      </c>
      <c r="CZ23" s="710">
        <f t="shared" si="144"/>
      </c>
      <c r="DA23" s="711">
        <f t="shared" si="144"/>
      </c>
      <c r="DB23" s="710">
        <f t="shared" si="144"/>
      </c>
      <c r="DC23" s="710">
        <f t="shared" si="144"/>
      </c>
      <c r="DD23" s="710">
        <f t="shared" si="145"/>
      </c>
      <c r="DE23" s="711">
        <f t="shared" si="145"/>
      </c>
      <c r="DF23" s="710">
        <f t="shared" si="145"/>
      </c>
      <c r="DG23" s="710">
        <f t="shared" si="145"/>
      </c>
      <c r="DH23" s="710">
        <f t="shared" si="145"/>
      </c>
      <c r="DI23" s="711">
        <f t="shared" si="145"/>
      </c>
      <c r="DJ23" s="710">
        <f t="shared" si="145"/>
      </c>
      <c r="DK23" s="710">
        <f t="shared" si="145"/>
      </c>
      <c r="DL23" s="710">
        <f t="shared" si="145"/>
      </c>
      <c r="DM23" s="711">
        <f t="shared" si="145"/>
      </c>
      <c r="DN23" s="710">
        <f t="shared" si="145"/>
      </c>
      <c r="DO23" s="710">
        <f t="shared" si="145"/>
      </c>
      <c r="DP23" s="710">
        <f t="shared" si="146"/>
      </c>
      <c r="DQ23" s="711">
        <f t="shared" si="146"/>
      </c>
      <c r="DR23" s="710">
        <f t="shared" si="146"/>
      </c>
      <c r="DS23" s="710">
        <f t="shared" si="146"/>
      </c>
      <c r="DT23" s="710">
        <f t="shared" si="146"/>
      </c>
      <c r="DU23" s="711">
        <f t="shared" si="146"/>
      </c>
      <c r="DV23" s="710">
        <f t="shared" si="146"/>
      </c>
      <c r="DW23" s="710">
        <f t="shared" si="146"/>
      </c>
      <c r="DX23" s="710">
        <f t="shared" si="147"/>
      </c>
      <c r="DY23" s="711">
        <f t="shared" si="147"/>
      </c>
      <c r="DZ23" s="710">
        <f t="shared" si="147"/>
      </c>
      <c r="EA23" s="710">
        <f t="shared" si="147"/>
      </c>
      <c r="EB23" s="710">
        <f t="shared" si="147"/>
      </c>
      <c r="EC23" s="711">
        <f t="shared" si="147"/>
      </c>
      <c r="ED23" s="710">
        <f t="shared" si="147"/>
      </c>
      <c r="EE23" s="710">
        <f t="shared" si="147"/>
      </c>
      <c r="EF23" s="710">
        <f t="shared" si="147"/>
      </c>
      <c r="EG23" s="711">
        <f t="shared" si="147"/>
      </c>
      <c r="EH23" s="710">
        <f t="shared" si="148"/>
      </c>
      <c r="EI23" s="710">
        <f t="shared" si="148"/>
      </c>
      <c r="EJ23" s="710">
        <f t="shared" si="148"/>
      </c>
      <c r="EK23" s="711">
        <f t="shared" si="148"/>
      </c>
      <c r="EM23" s="710"/>
      <c r="EN23" s="710"/>
      <c r="EO23" s="710"/>
      <c r="EP23" s="710">
        <f t="shared" ref="EP23:EZ23" si="154">+EP12/EO12-1</f>
      </c>
      <c r="EQ23" s="710">
        <f t="shared" si="154"/>
      </c>
      <c r="ER23" s="710">
        <f t="shared" si="154"/>
      </c>
      <c r="ES23" s="710">
        <f t="shared" si="154"/>
      </c>
      <c r="ET23" s="710">
        <f t="shared" si="154"/>
      </c>
      <c r="EU23" s="710">
        <f t="shared" si="154"/>
      </c>
      <c r="EV23" s="710">
        <f t="shared" si="154"/>
      </c>
      <c r="EW23" s="710">
        <f t="shared" si="154"/>
      </c>
      <c r="EX23" s="710">
        <f t="shared" si="154"/>
      </c>
      <c r="EY23" s="710">
        <f t="shared" si="154"/>
      </c>
      <c r="EZ23" s="710">
        <f t="shared" si="154"/>
      </c>
      <c r="FA23" s="710">
        <f t="shared" ref="FA23:FQ23" si="155">+FA12/EZ12-1</f>
      </c>
      <c r="FB23" s="710">
        <f t="shared" si="155"/>
      </c>
      <c r="FC23" s="710">
        <f t="shared" si="155"/>
      </c>
      <c r="FD23" s="710">
        <f t="shared" si="155"/>
      </c>
      <c r="FE23" s="710">
        <f t="shared" si="155"/>
      </c>
      <c r="FF23" s="710">
        <f t="shared" si="155"/>
      </c>
      <c r="FG23" s="710">
        <f t="shared" si="155"/>
      </c>
      <c r="FH23" s="710">
        <f t="shared" si="155"/>
      </c>
      <c r="FI23" s="710">
        <f t="shared" si="155"/>
      </c>
      <c r="FJ23" s="710">
        <f t="shared" si="155"/>
      </c>
      <c r="FK23" s="710">
        <f t="shared" si="155"/>
      </c>
      <c r="FL23" s="710">
        <f t="shared" si="155"/>
      </c>
      <c r="FM23" s="710">
        <f t="shared" si="155"/>
      </c>
      <c r="FN23" s="710">
        <f t="shared" si="155"/>
      </c>
      <c r="FO23" s="710">
        <f t="shared" si="155"/>
      </c>
      <c r="FP23" s="710">
        <f t="shared" si="155"/>
      </c>
      <c r="FQ23" s="710">
        <f t="shared" si="155"/>
      </c>
      <c r="FR23" s="710">
        <f t="shared" si="150"/>
      </c>
      <c r="FS23" s="710">
        <f t="shared" si="150"/>
      </c>
      <c r="FT23" s="710">
        <f t="shared" si="150"/>
      </c>
      <c r="FU23" s="710">
        <f t="shared" si="150"/>
      </c>
      <c r="FW23" s="710"/>
      <c r="FX23" s="710"/>
      <c r="FY23" s="710"/>
      <c r="FZ23" s="710"/>
      <c r="GA23" s="710">
        <f t="shared" ref="GA23:GK23" si="156">+GA12/FZ12-1</f>
      </c>
      <c r="GB23" s="710">
        <f t="shared" si="156"/>
      </c>
      <c r="GC23" s="710">
        <f t="shared" si="156"/>
      </c>
      <c r="GD23" s="710">
        <f t="shared" si="156"/>
      </c>
      <c r="GE23" s="710">
        <f t="shared" si="156"/>
      </c>
      <c r="GF23" s="710">
        <f t="shared" si="156"/>
      </c>
      <c r="GG23" s="710">
        <f t="shared" si="156"/>
      </c>
      <c r="GH23" s="710">
        <f t="shared" si="156"/>
      </c>
      <c r="GI23" s="710">
        <f t="shared" si="156"/>
      </c>
      <c r="GJ23" s="710">
        <f t="shared" si="156"/>
      </c>
      <c r="GK23" s="710">
        <f t="shared" si="156"/>
      </c>
      <c r="GL23" s="710">
        <f t="shared" ref="GL23:HB23" si="157">+GL12/GK12-1</f>
      </c>
      <c r="GM23" s="710">
        <f t="shared" si="157"/>
      </c>
      <c r="GN23" s="710">
        <f t="shared" si="157"/>
      </c>
      <c r="GO23" s="710">
        <f t="shared" si="157"/>
      </c>
      <c r="GP23" s="710">
        <f t="shared" si="157"/>
      </c>
      <c r="GQ23" s="710">
        <f t="shared" si="157"/>
      </c>
      <c r="GR23" s="710">
        <f t="shared" si="157"/>
      </c>
      <c r="GS23" s="710">
        <f t="shared" si="157"/>
      </c>
      <c r="GT23" s="710">
        <f t="shared" si="157"/>
      </c>
      <c r="GU23" s="710">
        <f t="shared" si="157"/>
      </c>
      <c r="GV23" s="710">
        <f t="shared" si="157"/>
      </c>
      <c r="GW23" s="710">
        <f t="shared" si="157"/>
      </c>
      <c r="GX23" s="710">
        <f t="shared" si="157"/>
      </c>
      <c r="GY23" s="710">
        <f t="shared" si="157"/>
      </c>
      <c r="GZ23" s="710">
        <f t="shared" si="157"/>
      </c>
      <c r="HA23" s="710">
        <f t="shared" si="157"/>
      </c>
      <c r="HB23" s="710">
        <f t="shared" si="157"/>
      </c>
      <c r="HC23" s="710">
        <f t="shared" si="152"/>
      </c>
      <c r="HD23" s="710">
        <f t="shared" si="152"/>
      </c>
      <c r="HE23" s="710">
        <f t="shared" si="152"/>
      </c>
      <c r="HF23" s="710">
        <f t="shared" si="152"/>
      </c>
    </row>
    <row r="24" spans="1:214" s="82" customFormat="1" ht="10.199999999999999">
      <c r="A24" s="709" t="s">
        <v>85</v>
      </c>
      <c r="B24" s="710"/>
      <c r="C24" s="710"/>
      <c r="D24" s="710"/>
      <c r="E24" s="711"/>
      <c r="F24" s="710"/>
      <c r="G24" s="710"/>
      <c r="H24" s="710"/>
      <c r="I24" s="711"/>
      <c r="J24" s="710"/>
      <c r="K24" s="710"/>
      <c r="L24" s="710"/>
      <c r="M24" s="711"/>
      <c r="N24" s="710"/>
      <c r="O24" s="710"/>
      <c r="P24" s="710"/>
      <c r="Q24" s="711"/>
      <c r="R24" s="710"/>
      <c r="S24" s="710"/>
      <c r="T24" s="710"/>
      <c r="U24" s="711"/>
      <c r="V24" s="710"/>
      <c r="W24" s="710"/>
      <c r="X24" s="710"/>
      <c r="Y24" s="711"/>
      <c r="Z24" s="710"/>
      <c r="AA24" s="710"/>
      <c r="AB24" s="710"/>
      <c r="AC24" s="711"/>
      <c r="AD24" s="710"/>
      <c r="AE24" s="710"/>
      <c r="AF24" s="710"/>
      <c r="AG24" s="711"/>
      <c r="AH24" s="710"/>
      <c r="AI24" s="710"/>
      <c r="AJ24" s="710"/>
      <c r="AK24" s="711"/>
      <c r="AL24" s="710"/>
      <c r="AM24" s="710"/>
      <c r="AN24" s="710"/>
      <c r="AO24" s="711"/>
      <c r="AP24" s="710"/>
      <c r="AQ24" s="710"/>
      <c r="AR24" s="710"/>
      <c r="AS24" s="711"/>
      <c r="AT24" s="710"/>
      <c r="AU24" s="710"/>
      <c r="AV24" s="710"/>
      <c r="AW24" s="711"/>
      <c r="AX24" s="710"/>
      <c r="AY24" s="710"/>
      <c r="AZ24" s="710"/>
      <c r="BA24" s="711"/>
      <c r="BB24" s="710"/>
      <c r="BC24" s="710"/>
      <c r="BD24" s="710"/>
      <c r="BE24" s="711"/>
      <c r="BF24" s="710"/>
      <c r="BG24" s="710"/>
      <c r="BH24" s="710"/>
      <c r="BI24" s="711"/>
      <c r="BJ24" s="710"/>
      <c r="BK24" s="710"/>
      <c r="BL24" s="710"/>
      <c r="BM24" s="711"/>
      <c r="BN24" s="710"/>
      <c r="BO24" s="710"/>
      <c r="BP24" s="710"/>
      <c r="BQ24" s="711"/>
      <c r="BR24" s="710"/>
      <c r="BS24" s="710"/>
      <c r="BT24" s="710"/>
      <c r="BU24" s="711"/>
      <c r="BV24" s="710"/>
      <c r="BW24" s="710"/>
      <c r="BX24" s="710"/>
      <c r="BY24" s="711"/>
      <c r="BZ24" s="710">
        <f t="shared" ref="BZ24:CI25" si="158">+BZ13/BV13-1</f>
      </c>
      <c r="CA24" s="710">
        <f t="shared" si="158"/>
      </c>
      <c r="CB24" s="710">
        <f t="shared" si="158"/>
      </c>
      <c r="CC24" s="711">
        <f t="shared" si="158"/>
      </c>
      <c r="CD24" s="710">
        <f t="shared" si="158"/>
      </c>
      <c r="CE24" s="710">
        <f t="shared" si="158"/>
      </c>
      <c r="CF24" s="710">
        <f t="shared" si="158"/>
      </c>
      <c r="CG24" s="711">
        <f t="shared" si="158"/>
      </c>
      <c r="CH24" s="710">
        <f t="shared" si="158"/>
      </c>
      <c r="CI24" s="710">
        <f t="shared" si="158"/>
      </c>
      <c r="CJ24" s="710">
        <f t="shared" ref="CJ24:CS25" si="159">+CJ13/CF13-1</f>
      </c>
      <c r="CK24" s="711">
        <f t="shared" si="159"/>
      </c>
      <c r="CL24" s="710">
        <f t="shared" si="159"/>
      </c>
      <c r="CM24" s="710">
        <f t="shared" si="159"/>
      </c>
      <c r="CN24" s="710">
        <f t="shared" si="159"/>
      </c>
      <c r="CO24" s="711">
        <f t="shared" si="159"/>
      </c>
      <c r="CP24" s="710">
        <f t="shared" si="159"/>
      </c>
      <c r="CQ24" s="710">
        <f t="shared" si="159"/>
      </c>
      <c r="CR24" s="710">
        <f t="shared" si="159"/>
      </c>
      <c r="CS24" s="711">
        <f t="shared" si="159"/>
      </c>
      <c r="CT24" s="710">
        <f t="shared" ref="CT24:DC25" si="160">+CT13/CP13-1</f>
      </c>
      <c r="CU24" s="710">
        <f t="shared" si="160"/>
      </c>
      <c r="CV24" s="710">
        <f t="shared" si="160"/>
      </c>
      <c r="CW24" s="711">
        <f t="shared" si="160"/>
      </c>
      <c r="CX24" s="712">
        <f t="shared" si="160"/>
      </c>
      <c r="CY24" s="710">
        <f t="shared" si="160"/>
      </c>
      <c r="CZ24" s="710">
        <f t="shared" si="160"/>
      </c>
      <c r="DA24" s="711">
        <f t="shared" si="160"/>
      </c>
      <c r="DB24" s="710">
        <f t="shared" si="160"/>
      </c>
      <c r="DC24" s="710">
        <f t="shared" si="160"/>
      </c>
      <c r="DD24" s="710">
        <f t="shared" ref="DD24:DO25" si="161">+DD13/CZ13-1</f>
      </c>
      <c r="DE24" s="711">
        <f t="shared" si="161"/>
      </c>
      <c r="DF24" s="710">
        <f t="shared" si="161"/>
      </c>
      <c r="DG24" s="710">
        <f t="shared" si="161"/>
      </c>
      <c r="DH24" s="710">
        <f t="shared" si="161"/>
      </c>
      <c r="DI24" s="711">
        <f t="shared" si="161"/>
      </c>
      <c r="DJ24" s="710">
        <f t="shared" si="161"/>
      </c>
      <c r="DK24" s="710">
        <f t="shared" si="161"/>
      </c>
      <c r="DL24" s="710">
        <f t="shared" si="161"/>
      </c>
      <c r="DM24" s="711">
        <f t="shared" si="161"/>
      </c>
      <c r="DN24" s="710">
        <f t="shared" si="161"/>
      </c>
      <c r="DO24" s="710">
        <f t="shared" si="161"/>
      </c>
      <c r="DP24" s="710">
        <f t="shared" ref="DP24:DW25" si="162">+DP13/DL13-1</f>
      </c>
      <c r="DQ24" s="711">
        <f t="shared" si="162"/>
      </c>
      <c r="DR24" s="710">
        <f t="shared" si="162"/>
      </c>
      <c r="DS24" s="710">
        <f t="shared" si="162"/>
      </c>
      <c r="DT24" s="710">
        <f t="shared" si="162"/>
      </c>
      <c r="DU24" s="711">
        <f t="shared" si="162"/>
      </c>
      <c r="DV24" s="710">
        <f t="shared" si="162"/>
      </c>
      <c r="DW24" s="710">
        <f t="shared" si="162"/>
      </c>
      <c r="DX24" s="710">
        <f t="shared" ref="DX24:EG25" si="163">+DX13/DT13-1</f>
      </c>
      <c r="DY24" s="711">
        <f t="shared" si="163"/>
      </c>
      <c r="DZ24" s="710">
        <f t="shared" si="163"/>
      </c>
      <c r="EA24" s="710">
        <f t="shared" si="163"/>
      </c>
      <c r="EB24" s="710">
        <f t="shared" si="163"/>
      </c>
      <c r="EC24" s="711">
        <f t="shared" si="163"/>
      </c>
      <c r="ED24" s="710">
        <f t="shared" si="163"/>
      </c>
      <c r="EE24" s="710">
        <f t="shared" si="163"/>
      </c>
      <c r="EF24" s="710">
        <f t="shared" si="163"/>
      </c>
      <c r="EG24" s="711">
        <f t="shared" si="163"/>
      </c>
      <c r="EH24" s="710">
        <f t="shared" ref="EH24:EK25" si="164">+EH13/ED13-1</f>
      </c>
      <c r="EI24" s="710">
        <f t="shared" si="164"/>
      </c>
      <c r="EJ24" s="710">
        <f t="shared" si="164"/>
      </c>
      <c r="EK24" s="711">
        <f t="shared" si="164"/>
      </c>
      <c r="EM24" s="710"/>
      <c r="EN24" s="710"/>
      <c r="EO24" s="710"/>
      <c r="EP24" s="710"/>
      <c r="EQ24" s="710"/>
      <c r="ER24" s="710"/>
      <c r="ES24" s="710"/>
      <c r="ET24" s="710"/>
      <c r="EU24" s="710"/>
      <c r="EV24" s="710"/>
      <c r="EW24" s="710"/>
      <c r="EX24" s="710"/>
      <c r="EY24" s="710"/>
      <c r="EZ24" s="710"/>
      <c r="FA24" s="710"/>
      <c r="FB24" s="710">
        <f t="shared" ref="FB24:FQ24" si="165">+FB13/FA13-1</f>
      </c>
      <c r="FC24" s="710">
        <f t="shared" si="165"/>
      </c>
      <c r="FD24" s="710">
        <f t="shared" si="165"/>
      </c>
      <c r="FE24" s="710">
        <f t="shared" si="165"/>
      </c>
      <c r="FF24" s="710">
        <f t="shared" si="165"/>
      </c>
      <c r="FG24" s="710">
        <f t="shared" si="165"/>
      </c>
      <c r="FH24" s="710">
        <f t="shared" si="165"/>
      </c>
      <c r="FI24" s="710">
        <f t="shared" si="165"/>
      </c>
      <c r="FJ24" s="710">
        <f t="shared" si="165"/>
      </c>
      <c r="FK24" s="710">
        <f t="shared" si="165"/>
      </c>
      <c r="FL24" s="710">
        <f t="shared" si="165"/>
      </c>
      <c r="FM24" s="710">
        <f t="shared" si="165"/>
      </c>
      <c r="FN24" s="710">
        <f t="shared" si="165"/>
      </c>
      <c r="FO24" s="710">
        <f t="shared" si="165"/>
      </c>
      <c r="FP24" s="710">
        <f t="shared" si="165"/>
      </c>
      <c r="FQ24" s="710">
        <f t="shared" si="165"/>
      </c>
      <c r="FR24" s="710">
        <f t="shared" si="150"/>
      </c>
      <c r="FS24" s="710">
        <f t="shared" si="150"/>
      </c>
      <c r="FT24" s="710">
        <f t="shared" si="150"/>
      </c>
      <c r="FU24" s="710">
        <f t="shared" si="150"/>
      </c>
      <c r="FW24" s="710"/>
      <c r="FX24" s="710"/>
      <c r="FY24" s="710"/>
      <c r="FZ24" s="710"/>
      <c r="GA24" s="710"/>
      <c r="GB24" s="710"/>
      <c r="GC24" s="710"/>
      <c r="GD24" s="710"/>
      <c r="GE24" s="710"/>
      <c r="GF24" s="710"/>
      <c r="GG24" s="710"/>
      <c r="GH24" s="710"/>
      <c r="GI24" s="710"/>
      <c r="GJ24" s="710"/>
      <c r="GK24" s="710"/>
      <c r="GL24" s="710"/>
      <c r="GM24" s="710"/>
      <c r="GN24" s="710">
        <f t="shared" ref="GN24:HB24" si="166">+GN13/GM13-1</f>
      </c>
      <c r="GO24" s="710">
        <f t="shared" si="166"/>
      </c>
      <c r="GP24" s="710">
        <f t="shared" si="166"/>
      </c>
      <c r="GQ24" s="710">
        <f t="shared" si="166"/>
      </c>
      <c r="GR24" s="710">
        <f t="shared" si="166"/>
      </c>
      <c r="GS24" s="710">
        <f t="shared" si="166"/>
      </c>
      <c r="GT24" s="710">
        <f t="shared" si="166"/>
      </c>
      <c r="GU24" s="710">
        <f t="shared" si="166"/>
      </c>
      <c r="GV24" s="710">
        <f t="shared" si="166"/>
      </c>
      <c r="GW24" s="710">
        <f t="shared" si="166"/>
      </c>
      <c r="GX24" s="710">
        <f t="shared" si="166"/>
      </c>
      <c r="GY24" s="710">
        <f t="shared" si="166"/>
      </c>
      <c r="GZ24" s="710">
        <f t="shared" si="166"/>
      </c>
      <c r="HA24" s="710">
        <f t="shared" si="166"/>
      </c>
      <c r="HB24" s="710">
        <f t="shared" si="166"/>
      </c>
      <c r="HC24" s="710">
        <f t="shared" si="152"/>
      </c>
      <c r="HD24" s="710">
        <f t="shared" si="152"/>
      </c>
      <c r="HE24" s="710">
        <f t="shared" si="152"/>
      </c>
      <c r="HF24" s="710">
        <f t="shared" si="152"/>
      </c>
    </row>
    <row r="25" spans="1:214" s="82" customFormat="1" ht="10.199999999999999">
      <c r="A25" s="713" t="s">
        <v>1120</v>
      </c>
      <c r="B25" s="710"/>
      <c r="C25" s="710"/>
      <c r="D25" s="710"/>
      <c r="E25" s="711"/>
      <c r="F25" s="710"/>
      <c r="G25" s="710"/>
      <c r="H25" s="710"/>
      <c r="I25" s="711"/>
      <c r="J25" s="710"/>
      <c r="K25" s="710"/>
      <c r="L25" s="710"/>
      <c r="M25" s="711"/>
      <c r="N25" s="710"/>
      <c r="O25" s="710"/>
      <c r="P25" s="710"/>
      <c r="Q25" s="711"/>
      <c r="R25" s="710"/>
      <c r="S25" s="710"/>
      <c r="T25" s="710"/>
      <c r="U25" s="711"/>
      <c r="V25" s="710"/>
      <c r="W25" s="710"/>
      <c r="X25" s="710"/>
      <c r="Y25" s="711"/>
      <c r="Z25" s="710"/>
      <c r="AA25" s="710"/>
      <c r="AB25" s="710"/>
      <c r="AC25" s="711"/>
      <c r="AD25" s="710"/>
      <c r="AE25" s="710"/>
      <c r="AF25" s="710"/>
      <c r="AG25" s="711"/>
      <c r="AH25" s="710"/>
      <c r="AI25" s="710"/>
      <c r="AJ25" s="710"/>
      <c r="AK25" s="711"/>
      <c r="AL25" s="710"/>
      <c r="AM25" s="710"/>
      <c r="AN25" s="710"/>
      <c r="AO25" s="711"/>
      <c r="AP25" s="710"/>
      <c r="AQ25" s="710"/>
      <c r="AR25" s="710"/>
      <c r="AS25" s="711"/>
      <c r="AT25" s="710"/>
      <c r="AU25" s="710"/>
      <c r="AV25" s="710"/>
      <c r="AW25" s="711"/>
      <c r="AX25" s="710">
        <f t="shared" ref="AX25:BY25" si="167">+AX14/AT14-1</f>
      </c>
      <c r="AY25" s="710">
        <f t="shared" si="167"/>
      </c>
      <c r="AZ25" s="710">
        <f t="shared" si="167"/>
      </c>
      <c r="BA25" s="711">
        <f t="shared" si="167"/>
      </c>
      <c r="BB25" s="710">
        <f t="shared" si="167"/>
      </c>
      <c r="BC25" s="710">
        <f t="shared" si="167"/>
      </c>
      <c r="BD25" s="710">
        <f t="shared" si="167"/>
      </c>
      <c r="BE25" s="711">
        <f t="shared" si="167"/>
      </c>
      <c r="BF25" s="710">
        <f t="shared" si="167"/>
      </c>
      <c r="BG25" s="710">
        <f t="shared" si="167"/>
      </c>
      <c r="BH25" s="710">
        <f t="shared" si="167"/>
      </c>
      <c r="BI25" s="711">
        <f t="shared" si="167"/>
      </c>
      <c r="BJ25" s="710">
        <f t="shared" si="167"/>
      </c>
      <c r="BK25" s="710">
        <f t="shared" si="167"/>
      </c>
      <c r="BL25" s="710">
        <f t="shared" si="167"/>
      </c>
      <c r="BM25" s="711">
        <f t="shared" si="167"/>
      </c>
      <c r="BN25" s="710">
        <f t="shared" si="167"/>
      </c>
      <c r="BO25" s="710">
        <f t="shared" si="167"/>
      </c>
      <c r="BP25" s="710">
        <f t="shared" si="167"/>
      </c>
      <c r="BQ25" s="711">
        <f t="shared" si="167"/>
      </c>
      <c r="BR25" s="710">
        <f t="shared" si="167"/>
      </c>
      <c r="BS25" s="710">
        <f t="shared" si="167"/>
      </c>
      <c r="BT25" s="710">
        <f t="shared" si="167"/>
      </c>
      <c r="BU25" s="711">
        <f t="shared" si="167"/>
      </c>
      <c r="BV25" s="710">
        <f t="shared" si="167"/>
      </c>
      <c r="BW25" s="710">
        <f t="shared" si="167"/>
      </c>
      <c r="BX25" s="710">
        <f t="shared" si="167"/>
      </c>
      <c r="BY25" s="711">
        <f t="shared" si="167"/>
      </c>
      <c r="BZ25" s="710">
        <f t="shared" si="158"/>
      </c>
      <c r="CA25" s="710">
        <f t="shared" si="158"/>
      </c>
      <c r="CB25" s="710">
        <f t="shared" si="158"/>
      </c>
      <c r="CC25" s="711">
        <f t="shared" si="158"/>
      </c>
      <c r="CD25" s="710">
        <f t="shared" si="158"/>
      </c>
      <c r="CE25" s="710">
        <f t="shared" si="158"/>
      </c>
      <c r="CF25" s="710">
        <f t="shared" si="158"/>
      </c>
      <c r="CG25" s="711">
        <f t="shared" si="158"/>
      </c>
      <c r="CH25" s="710">
        <f t="shared" si="158"/>
      </c>
      <c r="CI25" s="710">
        <f t="shared" si="158"/>
      </c>
      <c r="CJ25" s="710">
        <f t="shared" si="159"/>
      </c>
      <c r="CK25" s="711">
        <f t="shared" si="159"/>
      </c>
      <c r="CL25" s="710">
        <f t="shared" si="159"/>
      </c>
      <c r="CM25" s="710">
        <f t="shared" si="159"/>
      </c>
      <c r="CN25" s="710">
        <f t="shared" si="159"/>
      </c>
      <c r="CO25" s="711">
        <f t="shared" si="159"/>
      </c>
      <c r="CP25" s="710">
        <f t="shared" si="159"/>
      </c>
      <c r="CQ25" s="710">
        <f t="shared" si="159"/>
      </c>
      <c r="CR25" s="710">
        <f t="shared" si="159"/>
      </c>
      <c r="CS25" s="711">
        <f t="shared" si="159"/>
      </c>
      <c r="CT25" s="710">
        <f t="shared" si="160"/>
      </c>
      <c r="CU25" s="710">
        <f t="shared" si="160"/>
      </c>
      <c r="CV25" s="710">
        <f t="shared" si="160"/>
      </c>
      <c r="CW25" s="711">
        <f t="shared" si="160"/>
      </c>
      <c r="CX25" s="712">
        <f t="shared" si="160"/>
      </c>
      <c r="CY25" s="710">
        <f t="shared" si="160"/>
      </c>
      <c r="CZ25" s="710">
        <f t="shared" si="160"/>
      </c>
      <c r="DA25" s="711">
        <f t="shared" si="160"/>
      </c>
      <c r="DB25" s="710">
        <f t="shared" si="160"/>
      </c>
      <c r="DC25" s="710">
        <f t="shared" si="160"/>
      </c>
      <c r="DD25" s="710">
        <f t="shared" si="161"/>
      </c>
      <c r="DE25" s="711">
        <f t="shared" si="161"/>
      </c>
      <c r="DF25" s="710">
        <f t="shared" si="161"/>
      </c>
      <c r="DG25" s="710">
        <f t="shared" si="161"/>
      </c>
      <c r="DH25" s="710">
        <f t="shared" si="161"/>
      </c>
      <c r="DI25" s="711">
        <f t="shared" si="161"/>
      </c>
      <c r="DJ25" s="710">
        <f t="shared" si="161"/>
      </c>
      <c r="DK25" s="710">
        <f t="shared" si="161"/>
      </c>
      <c r="DL25" s="710">
        <f t="shared" si="161"/>
      </c>
      <c r="DM25" s="711">
        <f t="shared" si="161"/>
      </c>
      <c r="DN25" s="710">
        <f t="shared" si="161"/>
      </c>
      <c r="DO25" s="710">
        <f t="shared" si="161"/>
      </c>
      <c r="DP25" s="710">
        <f t="shared" si="162"/>
      </c>
      <c r="DQ25" s="711">
        <f t="shared" si="162"/>
      </c>
      <c r="DR25" s="710">
        <f t="shared" si="162"/>
      </c>
      <c r="DS25" s="710">
        <f t="shared" si="162"/>
      </c>
      <c r="DT25" s="710">
        <f t="shared" si="162"/>
      </c>
      <c r="DU25" s="711">
        <f t="shared" si="162"/>
      </c>
      <c r="DV25" s="710">
        <f t="shared" si="162"/>
      </c>
      <c r="DW25" s="710">
        <f t="shared" si="162"/>
      </c>
      <c r="DX25" s="710">
        <f t="shared" si="163"/>
      </c>
      <c r="DY25" s="711">
        <f t="shared" si="163"/>
      </c>
      <c r="DZ25" s="710">
        <f t="shared" si="163"/>
      </c>
      <c r="EA25" s="710">
        <f t="shared" si="163"/>
      </c>
      <c r="EB25" s="710">
        <f t="shared" si="163"/>
      </c>
      <c r="EC25" s="711">
        <f t="shared" si="163"/>
      </c>
      <c r="ED25" s="710">
        <f t="shared" si="163"/>
      </c>
      <c r="EE25" s="710">
        <f t="shared" si="163"/>
      </c>
      <c r="EF25" s="710">
        <f t="shared" si="163"/>
      </c>
      <c r="EG25" s="711">
        <f t="shared" si="163"/>
      </c>
      <c r="EH25" s="710">
        <f t="shared" si="164"/>
      </c>
      <c r="EI25" s="710">
        <f t="shared" si="164"/>
      </c>
      <c r="EJ25" s="710">
        <f t="shared" si="164"/>
      </c>
      <c r="EK25" s="711">
        <f t="shared" si="164"/>
      </c>
      <c r="EM25" s="710"/>
      <c r="EN25" s="710"/>
      <c r="EO25" s="710"/>
      <c r="EP25" s="710"/>
      <c r="EQ25" s="710"/>
      <c r="ER25" s="710"/>
      <c r="ES25" s="710"/>
      <c r="ET25" s="710">
        <f t="shared" ref="ET25:FA25" si="168">+ET14/ES14-1</f>
      </c>
      <c r="EU25" s="710">
        <f t="shared" si="168"/>
      </c>
      <c r="EV25" s="710">
        <f t="shared" si="168"/>
      </c>
      <c r="EW25" s="710">
        <f t="shared" si="168"/>
      </c>
      <c r="EX25" s="710">
        <f t="shared" si="168"/>
      </c>
      <c r="EY25" s="710">
        <f t="shared" si="168"/>
      </c>
      <c r="EZ25" s="710">
        <f t="shared" si="168"/>
      </c>
      <c r="FA25" s="710">
        <f t="shared" si="168"/>
      </c>
      <c r="FB25" s="710">
        <f t="shared" ref="FB25:FQ25" si="169">+FB14/FA14-1</f>
      </c>
      <c r="FC25" s="710">
        <f t="shared" si="169"/>
      </c>
      <c r="FD25" s="710">
        <f t="shared" si="169"/>
      </c>
      <c r="FE25" s="710">
        <f t="shared" si="169"/>
      </c>
      <c r="FF25" s="710">
        <f t="shared" si="169"/>
      </c>
      <c r="FG25" s="710">
        <f t="shared" si="169"/>
      </c>
      <c r="FH25" s="710">
        <f t="shared" si="169"/>
      </c>
      <c r="FI25" s="710">
        <f t="shared" si="169"/>
      </c>
      <c r="FJ25" s="710">
        <f t="shared" si="169"/>
      </c>
      <c r="FK25" s="710">
        <f t="shared" si="169"/>
      </c>
      <c r="FL25" s="710">
        <f t="shared" si="169"/>
      </c>
      <c r="FM25" s="710">
        <f t="shared" si="169"/>
      </c>
      <c r="FN25" s="710">
        <f t="shared" si="169"/>
      </c>
      <c r="FO25" s="710">
        <f t="shared" si="169"/>
      </c>
      <c r="FP25" s="710">
        <f t="shared" si="169"/>
      </c>
      <c r="FQ25" s="710">
        <f t="shared" si="169"/>
      </c>
      <c r="FR25" s="710">
        <f t="shared" si="150"/>
      </c>
      <c r="FS25" s="710">
        <f t="shared" si="150"/>
      </c>
      <c r="FT25" s="710">
        <f t="shared" si="150"/>
      </c>
      <c r="FU25" s="710">
        <f t="shared" si="150"/>
      </c>
      <c r="FW25" s="710"/>
      <c r="FX25" s="710"/>
      <c r="FY25" s="710"/>
      <c r="FZ25" s="710"/>
      <c r="GA25" s="710"/>
      <c r="GB25" s="710"/>
      <c r="GC25" s="710"/>
      <c r="GD25" s="710"/>
      <c r="GE25" s="710">
        <f t="shared" ref="GE25:GM25" si="170">+GE14/GD14-1</f>
      </c>
      <c r="GF25" s="710">
        <f t="shared" si="170"/>
      </c>
      <c r="GG25" s="710">
        <f t="shared" si="170"/>
      </c>
      <c r="GH25" s="710">
        <f t="shared" si="170"/>
      </c>
      <c r="GI25" s="710">
        <f t="shared" si="170"/>
      </c>
      <c r="GJ25" s="710">
        <f t="shared" si="170"/>
      </c>
      <c r="GK25" s="710">
        <f t="shared" si="170"/>
      </c>
      <c r="GL25" s="710">
        <f t="shared" si="170"/>
      </c>
      <c r="GM25" s="710">
        <f t="shared" si="170"/>
      </c>
      <c r="GN25" s="710">
        <f t="shared" ref="GN25:HB25" si="171">+GN14/GM14-1</f>
      </c>
      <c r="GO25" s="710">
        <f t="shared" si="171"/>
      </c>
      <c r="GP25" s="710">
        <f t="shared" si="171"/>
      </c>
      <c r="GQ25" s="710">
        <f t="shared" si="171"/>
      </c>
      <c r="GR25" s="710">
        <f t="shared" si="171"/>
      </c>
      <c r="GS25" s="710">
        <f t="shared" si="171"/>
      </c>
      <c r="GT25" s="710">
        <f t="shared" si="171"/>
      </c>
      <c r="GU25" s="710">
        <f t="shared" si="171"/>
      </c>
      <c r="GV25" s="710">
        <f t="shared" si="171"/>
      </c>
      <c r="GW25" s="710">
        <f t="shared" si="171"/>
      </c>
      <c r="GX25" s="710">
        <f t="shared" si="171"/>
      </c>
      <c r="GY25" s="710">
        <f t="shared" si="171"/>
      </c>
      <c r="GZ25" s="710">
        <f t="shared" si="171"/>
      </c>
      <c r="HA25" s="710">
        <f t="shared" si="171"/>
      </c>
      <c r="HB25" s="710">
        <f t="shared" si="171"/>
      </c>
      <c r="HC25" s="710">
        <f t="shared" si="152"/>
      </c>
      <c r="HD25" s="710">
        <f t="shared" si="152"/>
      </c>
      <c r="HE25" s="710">
        <f t="shared" si="152"/>
      </c>
      <c r="HF25" s="710">
        <f t="shared" si="152"/>
      </c>
    </row>
    <row r="26" spans="1:214" s="810" customFormat="1" ht="10.199999999999999">
      <c r="A26" s="842" t="s">
        <v>94</v>
      </c>
      <c r="B26" s="847"/>
      <c r="C26" s="847"/>
      <c r="D26" s="847"/>
      <c r="E26" s="848"/>
      <c r="F26" s="847"/>
      <c r="G26" s="847"/>
      <c r="H26" s="847"/>
      <c r="I26" s="848"/>
      <c r="J26" s="847"/>
      <c r="K26" s="847"/>
      <c r="L26" s="847"/>
      <c r="M26" s="848"/>
      <c r="N26" s="847"/>
      <c r="O26" s="847"/>
      <c r="P26" s="847"/>
      <c r="Q26" s="848"/>
      <c r="R26" s="847"/>
      <c r="S26" s="847"/>
      <c r="T26" s="847"/>
      <c r="U26" s="848"/>
      <c r="V26" s="847"/>
      <c r="W26" s="847"/>
      <c r="X26" s="847"/>
      <c r="Y26" s="848"/>
      <c r="Z26" s="847"/>
      <c r="AA26" s="847"/>
      <c r="AB26" s="847"/>
      <c r="AC26" s="848"/>
      <c r="AD26" s="847"/>
      <c r="AE26" s="847"/>
      <c r="AF26" s="847"/>
      <c r="AG26" s="848"/>
      <c r="AH26" s="847"/>
      <c r="AI26" s="847"/>
      <c r="AJ26" s="847"/>
      <c r="AK26" s="848"/>
      <c r="AL26" s="847"/>
      <c r="AM26" s="847"/>
      <c r="AN26" s="847"/>
      <c r="AO26" s="848"/>
      <c r="AP26" s="847"/>
      <c r="AQ26" s="847"/>
      <c r="AR26" s="847"/>
      <c r="AS26" s="848"/>
      <c r="AT26" s="847"/>
      <c r="AU26" s="847"/>
      <c r="AV26" s="847"/>
      <c r="AW26" s="848"/>
      <c r="AX26" s="847"/>
      <c r="AY26" s="847"/>
      <c r="AZ26" s="847"/>
      <c r="BA26" s="848"/>
      <c r="BB26" s="847"/>
      <c r="BC26" s="847"/>
      <c r="BD26" s="847"/>
      <c r="BE26" s="848"/>
      <c r="BF26" s="847"/>
      <c r="BG26" s="847"/>
      <c r="BH26" s="847"/>
      <c r="BI26" s="848"/>
      <c r="BJ26" s="847"/>
      <c r="BK26" s="847"/>
      <c r="BL26" s="847"/>
      <c r="BM26" s="848"/>
      <c r="BN26" s="847"/>
      <c r="BO26" s="847"/>
      <c r="BP26" s="847"/>
      <c r="BQ26" s="848"/>
      <c r="BR26" s="847"/>
      <c r="BS26" s="847"/>
      <c r="BT26" s="847"/>
      <c r="BU26" s="848"/>
      <c r="BV26" s="847"/>
      <c r="BW26" s="847"/>
      <c r="BX26" s="847"/>
      <c r="BY26" s="848"/>
      <c r="BZ26" s="847"/>
      <c r="CA26" s="847"/>
      <c r="CB26" s="847"/>
      <c r="CC26" s="848"/>
      <c r="CD26" s="847"/>
      <c r="CE26" s="847"/>
      <c r="CF26" s="847">
        <f t="shared" ref="CF26:DU26" si="172">+CF15/CB15-1</f>
      </c>
      <c r="CG26" s="848">
        <f t="shared" si="172"/>
      </c>
      <c r="CH26" s="847">
        <f t="shared" si="172"/>
      </c>
      <c r="CI26" s="847">
        <f t="shared" si="172"/>
      </c>
      <c r="CJ26" s="847">
        <f t="shared" si="172"/>
      </c>
      <c r="CK26" s="848">
        <f t="shared" si="172"/>
      </c>
      <c r="CL26" s="847">
        <f t="shared" si="172"/>
      </c>
      <c r="CM26" s="847">
        <f t="shared" si="172"/>
      </c>
      <c r="CN26" s="847">
        <f t="shared" si="172"/>
      </c>
      <c r="CO26" s="848">
        <f t="shared" si="172"/>
      </c>
      <c r="CP26" s="847">
        <f t="shared" si="172"/>
      </c>
      <c r="CQ26" s="847">
        <f t="shared" si="172"/>
      </c>
      <c r="CR26" s="847">
        <f t="shared" si="172"/>
      </c>
      <c r="CS26" s="848">
        <f t="shared" si="172"/>
      </c>
      <c r="CT26" s="847">
        <f t="shared" si="172"/>
      </c>
      <c r="CU26" s="847">
        <f t="shared" si="172"/>
      </c>
      <c r="CV26" s="847">
        <f t="shared" si="172"/>
      </c>
      <c r="CW26" s="848">
        <f t="shared" si="172"/>
      </c>
      <c r="CX26" s="847">
        <f t="shared" si="172"/>
      </c>
      <c r="CY26" s="847">
        <f t="shared" si="172"/>
      </c>
      <c r="CZ26" s="847">
        <f t="shared" si="172"/>
      </c>
      <c r="DA26" s="848">
        <f t="shared" si="172"/>
      </c>
      <c r="DB26" s="847">
        <f t="shared" si="172"/>
      </c>
      <c r="DC26" s="847">
        <f t="shared" si="172"/>
      </c>
      <c r="DD26" s="847">
        <f t="shared" si="172"/>
      </c>
      <c r="DE26" s="848">
        <f t="shared" si="172"/>
      </c>
      <c r="DF26" s="847">
        <f t="shared" si="172"/>
      </c>
      <c r="DG26" s="847">
        <f t="shared" si="172"/>
      </c>
      <c r="DH26" s="847">
        <f t="shared" si="172"/>
      </c>
      <c r="DI26" s="848">
        <f t="shared" si="172"/>
      </c>
      <c r="DJ26" s="847">
        <f t="shared" si="172"/>
      </c>
      <c r="DK26" s="847">
        <f t="shared" si="172"/>
      </c>
      <c r="DL26" s="847">
        <f t="shared" si="172"/>
      </c>
      <c r="DM26" s="848">
        <f t="shared" si="172"/>
      </c>
      <c r="DN26" s="847">
        <f t="shared" si="172"/>
      </c>
      <c r="DO26" s="847">
        <f t="shared" si="172"/>
      </c>
      <c r="DP26" s="847">
        <f t="shared" si="172"/>
      </c>
      <c r="DQ26" s="848">
        <f t="shared" si="172"/>
      </c>
      <c r="DR26" s="847">
        <f t="shared" si="172"/>
      </c>
      <c r="DS26" s="847">
        <f t="shared" si="172"/>
      </c>
      <c r="DT26" s="847">
        <f t="shared" si="172"/>
      </c>
      <c r="DU26" s="848">
        <f t="shared" si="172"/>
      </c>
      <c r="DV26" s="847">
        <f t="shared" ref="DV26:EK26" si="173">+DV15/DR15-1</f>
      </c>
      <c r="DW26" s="847">
        <f t="shared" si="173"/>
      </c>
      <c r="DX26" s="847">
        <f t="shared" si="173"/>
      </c>
      <c r="DY26" s="848">
        <f t="shared" si="173"/>
      </c>
      <c r="DZ26" s="847">
        <f t="shared" si="173"/>
      </c>
      <c r="EA26" s="847">
        <f t="shared" si="173"/>
      </c>
      <c r="EB26" s="847">
        <f t="shared" si="173"/>
      </c>
      <c r="EC26" s="848">
        <f t="shared" si="173"/>
      </c>
      <c r="ED26" s="847">
        <f t="shared" si="173"/>
      </c>
      <c r="EE26" s="847">
        <f t="shared" si="173"/>
      </c>
      <c r="EF26" s="847">
        <f t="shared" si="173"/>
      </c>
      <c r="EG26" s="848">
        <f t="shared" si="173"/>
      </c>
      <c r="EH26" s="847">
        <f t="shared" si="173"/>
      </c>
      <c r="EI26" s="847">
        <f t="shared" si="173"/>
      </c>
      <c r="EJ26" s="847">
        <f t="shared" si="173"/>
      </c>
      <c r="EK26" s="848">
        <f t="shared" si="173"/>
      </c>
      <c r="EM26" s="847"/>
      <c r="EN26" s="847"/>
      <c r="EO26" s="847"/>
      <c r="EP26" s="847"/>
      <c r="EQ26" s="847"/>
      <c r="ER26" s="847"/>
      <c r="ES26" s="847"/>
      <c r="ET26" s="847"/>
      <c r="EU26" s="847"/>
      <c r="EV26" s="847"/>
      <c r="EW26" s="847"/>
      <c r="EX26" s="847"/>
      <c r="EY26" s="847"/>
      <c r="EZ26" s="847"/>
      <c r="FA26" s="847"/>
      <c r="FB26" s="847"/>
      <c r="FC26" s="847"/>
      <c r="FD26" s="847"/>
      <c r="FE26" s="847"/>
      <c r="FF26" s="847"/>
      <c r="FG26" s="847">
        <f t="shared" ref="FG26:FQ26" si="174">+FG15/FF15-1</f>
      </c>
      <c r="FH26" s="847">
        <f t="shared" si="174"/>
      </c>
      <c r="FI26" s="847">
        <f t="shared" si="174"/>
      </c>
      <c r="FJ26" s="847">
        <f t="shared" si="174"/>
      </c>
      <c r="FK26" s="847">
        <f t="shared" si="174"/>
      </c>
      <c r="FL26" s="847">
        <f t="shared" si="174"/>
      </c>
      <c r="FM26" s="847">
        <f t="shared" si="174"/>
      </c>
      <c r="FN26" s="847">
        <f t="shared" si="174"/>
      </c>
      <c r="FO26" s="847">
        <f t="shared" si="174"/>
      </c>
      <c r="FP26" s="847">
        <f t="shared" si="174"/>
      </c>
      <c r="FQ26" s="847">
        <f t="shared" si="174"/>
      </c>
      <c r="FR26" s="847">
        <f t="shared" si="150"/>
      </c>
      <c r="FS26" s="847">
        <f t="shared" si="150"/>
      </c>
      <c r="FT26" s="847">
        <f t="shared" si="150"/>
      </c>
      <c r="FU26" s="847">
        <f t="shared" si="150"/>
      </c>
      <c r="FW26" s="847"/>
      <c r="FX26" s="847"/>
      <c r="FY26" s="847"/>
      <c r="FZ26" s="847"/>
      <c r="GA26" s="847"/>
      <c r="GB26" s="847"/>
      <c r="GC26" s="847"/>
      <c r="GD26" s="847"/>
      <c r="GE26" s="847"/>
      <c r="GF26" s="847"/>
      <c r="GG26" s="847"/>
      <c r="GH26" s="847"/>
      <c r="GI26" s="847"/>
      <c r="GJ26" s="847"/>
      <c r="GK26" s="847"/>
      <c r="GL26" s="847"/>
      <c r="GM26" s="847"/>
      <c r="GN26" s="847"/>
      <c r="GO26" s="847"/>
      <c r="GP26" s="847"/>
      <c r="GQ26" s="847"/>
      <c r="GR26" s="847"/>
      <c r="GS26" s="847">
        <f t="shared" ref="GS26:HB26" si="175">+GS15/GR15-1</f>
      </c>
      <c r="GT26" s="847">
        <f t="shared" si="175"/>
      </c>
      <c r="GU26" s="847">
        <f t="shared" si="175"/>
      </c>
      <c r="GV26" s="847">
        <f t="shared" si="175"/>
      </c>
      <c r="GW26" s="847">
        <f t="shared" si="175"/>
      </c>
      <c r="GX26" s="847">
        <f t="shared" si="175"/>
      </c>
      <c r="GY26" s="847">
        <f t="shared" si="175"/>
      </c>
      <c r="GZ26" s="847">
        <f t="shared" si="175"/>
      </c>
      <c r="HA26" s="847">
        <f t="shared" si="175"/>
      </c>
      <c r="HB26" s="847">
        <f t="shared" si="175"/>
      </c>
      <c r="HC26" s="847">
        <f t="shared" si="152"/>
      </c>
      <c r="HD26" s="847">
        <f t="shared" si="152"/>
      </c>
      <c r="HE26" s="847">
        <f t="shared" si="152"/>
      </c>
      <c r="HF26" s="847">
        <f t="shared" si="152"/>
      </c>
    </row>
    <row r="27" spans="1:214" s="810" customFormat="1" ht="10.199999999999999">
      <c r="A27" s="843" t="s">
        <v>166</v>
      </c>
      <c r="B27" s="629"/>
      <c r="C27" s="629"/>
      <c r="D27" s="629"/>
      <c r="E27" s="844"/>
      <c r="F27" s="629"/>
      <c r="G27" s="629"/>
      <c r="H27" s="629"/>
      <c r="I27" s="844"/>
      <c r="J27" s="629"/>
      <c r="K27" s="629"/>
      <c r="L27" s="629"/>
      <c r="M27" s="844"/>
      <c r="N27" s="629"/>
      <c r="O27" s="629"/>
      <c r="P27" s="629"/>
      <c r="Q27" s="844"/>
      <c r="R27" s="629"/>
      <c r="S27" s="629"/>
      <c r="T27" s="629"/>
      <c r="U27" s="844"/>
      <c r="V27" s="629"/>
      <c r="W27" s="629"/>
      <c r="X27" s="629"/>
      <c r="Y27" s="844"/>
      <c r="Z27" s="629"/>
      <c r="AA27" s="629"/>
      <c r="AB27" s="629"/>
      <c r="AC27" s="844"/>
      <c r="AD27" s="629"/>
      <c r="AE27" s="629"/>
      <c r="AF27" s="629"/>
      <c r="AG27" s="844"/>
      <c r="AH27" s="629"/>
      <c r="AI27" s="629"/>
      <c r="AJ27" s="629"/>
      <c r="AK27" s="844"/>
      <c r="AL27" s="629"/>
      <c r="AM27" s="629"/>
      <c r="AN27" s="629"/>
      <c r="AO27" s="844"/>
      <c r="AP27" s="629"/>
      <c r="AQ27" s="629"/>
      <c r="AR27" s="629"/>
      <c r="AS27" s="844"/>
      <c r="AT27" s="629"/>
      <c r="AU27" s="629"/>
      <c r="AV27" s="629"/>
      <c r="AW27" s="844"/>
      <c r="AX27" s="629"/>
      <c r="AY27" s="629"/>
      <c r="AZ27" s="629"/>
      <c r="BA27" s="844"/>
      <c r="BB27" s="629"/>
      <c r="BC27" s="629"/>
      <c r="BD27" s="629"/>
      <c r="BE27" s="844"/>
      <c r="BF27" s="629"/>
      <c r="BG27" s="629"/>
      <c r="BH27" s="629"/>
      <c r="BI27" s="844"/>
      <c r="BJ27" s="629"/>
      <c r="BK27" s="629"/>
      <c r="BL27" s="629"/>
      <c r="BM27" s="844"/>
      <c r="BN27" s="629">
        <f t="shared" ref="BN27:DP27" si="176">+BN16/BJ16-1</f>
      </c>
      <c r="BO27" s="629">
        <f t="shared" si="176"/>
      </c>
      <c r="BP27" s="629">
        <f t="shared" si="176"/>
      </c>
      <c r="BQ27" s="844">
        <f t="shared" si="176"/>
      </c>
      <c r="BR27" s="629">
        <f t="shared" si="176"/>
      </c>
      <c r="BS27" s="629">
        <f t="shared" si="176"/>
      </c>
      <c r="BT27" s="629">
        <f t="shared" si="176"/>
      </c>
      <c r="BU27" s="844">
        <f t="shared" si="176"/>
      </c>
      <c r="BV27" s="629">
        <f t="shared" si="176"/>
      </c>
      <c r="BW27" s="629">
        <f t="shared" si="176"/>
      </c>
      <c r="BX27" s="629">
        <f t="shared" si="176"/>
      </c>
      <c r="BY27" s="844">
        <f t="shared" si="176"/>
      </c>
      <c r="BZ27" s="629">
        <f t="shared" si="176"/>
      </c>
      <c r="CA27" s="629">
        <f t="shared" si="176"/>
      </c>
      <c r="CB27" s="629">
        <f t="shared" si="176"/>
      </c>
      <c r="CC27" s="844">
        <f t="shared" si="176"/>
      </c>
      <c r="CD27" s="629">
        <f t="shared" si="176"/>
      </c>
      <c r="CE27" s="629">
        <f t="shared" si="176"/>
      </c>
      <c r="CF27" s="629">
        <f t="shared" si="176"/>
      </c>
      <c r="CG27" s="844">
        <f t="shared" si="176"/>
      </c>
      <c r="CH27" s="629">
        <f t="shared" si="176"/>
      </c>
      <c r="CI27" s="629">
        <f t="shared" si="176"/>
      </c>
      <c r="CJ27" s="629">
        <f t="shared" si="176"/>
      </c>
      <c r="CK27" s="844">
        <f t="shared" si="176"/>
      </c>
      <c r="CL27" s="629">
        <f t="shared" si="176"/>
      </c>
      <c r="CM27" s="629">
        <f t="shared" si="176"/>
      </c>
      <c r="CN27" s="629">
        <f t="shared" si="176"/>
      </c>
      <c r="CO27" s="844">
        <f t="shared" si="176"/>
      </c>
      <c r="CP27" s="629">
        <f t="shared" si="176"/>
      </c>
      <c r="CQ27" s="629">
        <f t="shared" si="176"/>
      </c>
      <c r="CR27" s="629">
        <f t="shared" si="176"/>
      </c>
      <c r="CS27" s="844">
        <f t="shared" si="176"/>
      </c>
      <c r="CT27" s="629">
        <f t="shared" si="176"/>
      </c>
      <c r="CU27" s="629">
        <f t="shared" si="176"/>
      </c>
      <c r="CV27" s="629">
        <f t="shared" si="176"/>
      </c>
      <c r="CW27" s="844">
        <f t="shared" si="176"/>
      </c>
      <c r="CX27" s="845">
        <f t="shared" si="176"/>
      </c>
      <c r="CY27" s="629">
        <f t="shared" si="176"/>
      </c>
      <c r="CZ27" s="629">
        <f t="shared" si="176"/>
      </c>
      <c r="DA27" s="844">
        <f t="shared" si="176"/>
      </c>
      <c r="DB27" s="845">
        <f t="shared" si="176"/>
      </c>
      <c r="DC27" s="629">
        <f t="shared" si="176"/>
      </c>
      <c r="DD27" s="629">
        <f t="shared" si="176"/>
      </c>
      <c r="DE27" s="844">
        <f t="shared" si="176"/>
      </c>
      <c r="DF27" s="845">
        <f t="shared" si="176"/>
      </c>
      <c r="DG27" s="629">
        <f t="shared" si="176"/>
      </c>
      <c r="DH27" s="629">
        <f t="shared" si="176"/>
      </c>
      <c r="DI27" s="844">
        <f>DI16/DE16-1</f>
      </c>
      <c r="DJ27" s="845">
        <f t="shared" si="176"/>
      </c>
      <c r="DK27" s="629">
        <f t="shared" si="176"/>
      </c>
      <c r="DL27" s="629">
        <f t="shared" si="176"/>
      </c>
      <c r="DM27" s="844">
        <f>DM16/DI16-1</f>
      </c>
      <c r="DN27" s="845">
        <f t="shared" si="176"/>
      </c>
      <c r="DO27" s="629">
        <f t="shared" si="176"/>
      </c>
      <c r="DP27" s="629">
        <f t="shared" si="176"/>
      </c>
      <c r="DQ27" s="811">
        <v>-0.05</v>
      </c>
      <c r="DR27" s="812">
        <v>0</v>
      </c>
      <c r="DS27" s="812">
        <v>0</v>
      </c>
      <c r="DT27" s="812">
        <v>0</v>
      </c>
      <c r="DU27" s="811">
        <v>0</v>
      </c>
      <c r="DV27" s="812">
        <v>0</v>
      </c>
      <c r="DW27" s="812">
        <v>0</v>
      </c>
      <c r="DX27" s="812">
        <v>0</v>
      </c>
      <c r="DY27" s="811">
        <v>0</v>
      </c>
      <c r="DZ27" s="812">
        <v>0</v>
      </c>
      <c r="EA27" s="812">
        <v>0</v>
      </c>
      <c r="EB27" s="812">
        <v>0</v>
      </c>
      <c r="EC27" s="811">
        <v>0</v>
      </c>
      <c r="ED27" s="812">
        <v>0</v>
      </c>
      <c r="EE27" s="812">
        <v>0</v>
      </c>
      <c r="EF27" s="812">
        <v>0</v>
      </c>
      <c r="EG27" s="811">
        <v>0</v>
      </c>
      <c r="EH27" s="812">
        <v>0</v>
      </c>
      <c r="EI27" s="812">
        <v>0</v>
      </c>
      <c r="EJ27" s="812">
        <v>0</v>
      </c>
      <c r="EK27" s="811">
        <v>0</v>
      </c>
      <c r="EM27" s="629"/>
      <c r="EN27" s="629"/>
      <c r="EO27" s="629"/>
      <c r="EP27" s="629"/>
      <c r="EQ27" s="629"/>
      <c r="ER27" s="629"/>
      <c r="ES27" s="629"/>
      <c r="ET27" s="629"/>
      <c r="EU27" s="629"/>
      <c r="EV27" s="629"/>
      <c r="EW27" s="629"/>
      <c r="EX27" s="629"/>
      <c r="EY27" s="629"/>
      <c r="EZ27" s="629"/>
      <c r="FA27" s="629"/>
      <c r="FB27" s="629"/>
      <c r="FC27" s="629">
        <f>+FC16/FB16-1</f>
      </c>
      <c r="FD27" s="629">
        <f>+FD16/FC16-1</f>
      </c>
      <c r="FE27" s="629">
        <f>+FE16/FD16-1</f>
      </c>
      <c r="FF27" s="629">
        <f>+FF16/FE16-1</f>
      </c>
      <c r="FG27" s="629">
        <f t="shared" ref="FG27:FQ27" si="177">+FG16/FF16-1</f>
      </c>
      <c r="FH27" s="629">
        <f t="shared" si="177"/>
      </c>
      <c r="FI27" s="629">
        <f t="shared" si="177"/>
      </c>
      <c r="FJ27" s="629">
        <f t="shared" si="177"/>
      </c>
      <c r="FK27" s="629">
        <f t="shared" si="177"/>
      </c>
      <c r="FL27" s="629">
        <f t="shared" si="177"/>
      </c>
      <c r="FM27" s="629">
        <f t="shared" si="177"/>
      </c>
      <c r="FN27" s="629">
        <f t="shared" si="177"/>
      </c>
      <c r="FO27" s="629">
        <f t="shared" si="177"/>
      </c>
      <c r="FP27" s="629">
        <f t="shared" si="177"/>
      </c>
      <c r="FQ27" s="629">
        <f t="shared" si="177"/>
      </c>
      <c r="FR27" s="629">
        <f t="shared" si="150"/>
      </c>
      <c r="FS27" s="629">
        <f t="shared" si="150"/>
      </c>
      <c r="FT27" s="629">
        <f t="shared" si="150"/>
      </c>
      <c r="FU27" s="629">
        <f t="shared" si="150"/>
      </c>
      <c r="FW27" s="629"/>
      <c r="FX27" s="629"/>
      <c r="FY27" s="629"/>
      <c r="FZ27" s="629"/>
      <c r="GA27" s="629"/>
      <c r="GB27" s="629"/>
      <c r="GC27" s="629"/>
      <c r="GD27" s="629"/>
      <c r="GE27" s="629"/>
      <c r="GF27" s="629"/>
      <c r="GG27" s="629"/>
      <c r="GH27" s="629"/>
      <c r="GI27" s="629"/>
      <c r="GJ27" s="629"/>
      <c r="GK27" s="629"/>
      <c r="GL27" s="629"/>
      <c r="GM27" s="629"/>
      <c r="GN27" s="629"/>
      <c r="GO27" s="629">
        <f>+GO16/GN16-1</f>
      </c>
      <c r="GP27" s="629">
        <f>+GP16/GO16-1</f>
      </c>
      <c r="GQ27" s="629">
        <f>+GQ16/GP16-1</f>
      </c>
      <c r="GR27" s="629">
        <f>+GR16/GQ16-1</f>
      </c>
      <c r="GS27" s="629">
        <f t="shared" ref="GS27:HB27" si="178">+GS16/GR16-1</f>
      </c>
      <c r="GT27" s="629">
        <f t="shared" si="178"/>
      </c>
      <c r="GU27" s="629">
        <f t="shared" si="178"/>
      </c>
      <c r="GV27" s="629">
        <f t="shared" si="178"/>
      </c>
      <c r="GW27" s="629">
        <f t="shared" si="178"/>
      </c>
      <c r="GX27" s="629">
        <f t="shared" si="178"/>
      </c>
      <c r="GY27" s="629">
        <f t="shared" si="178"/>
      </c>
      <c r="GZ27" s="629">
        <f t="shared" si="178"/>
      </c>
      <c r="HA27" s="629">
        <f t="shared" si="178"/>
      </c>
      <c r="HB27" s="629">
        <f t="shared" si="178"/>
      </c>
      <c r="HC27" s="629">
        <f t="shared" si="152"/>
      </c>
      <c r="HD27" s="629">
        <f t="shared" si="152"/>
      </c>
      <c r="HE27" s="629">
        <f t="shared" si="152"/>
      </c>
      <c r="HF27" s="629">
        <f t="shared" si="152"/>
      </c>
    </row>
    <row r="28" spans="1:214" s="810" customFormat="1" ht="10.199999999999999">
      <c r="A28" s="831" t="str">
        <f>A17</f>
      </c>
      <c r="B28" s="629"/>
      <c r="C28" s="629"/>
      <c r="D28" s="629"/>
      <c r="E28" s="844"/>
      <c r="F28" s="629"/>
      <c r="G28" s="629"/>
      <c r="H28" s="629"/>
      <c r="I28" s="844"/>
      <c r="J28" s="629"/>
      <c r="K28" s="629"/>
      <c r="L28" s="629"/>
      <c r="M28" s="844"/>
      <c r="N28" s="629"/>
      <c r="O28" s="629"/>
      <c r="P28" s="629"/>
      <c r="Q28" s="844"/>
      <c r="R28" s="629"/>
      <c r="S28" s="629"/>
      <c r="T28" s="629"/>
      <c r="U28" s="844"/>
      <c r="V28" s="629"/>
      <c r="W28" s="629"/>
      <c r="X28" s="629"/>
      <c r="Y28" s="844"/>
      <c r="Z28" s="629"/>
      <c r="AA28" s="629"/>
      <c r="AB28" s="629"/>
      <c r="AC28" s="844"/>
      <c r="AD28" s="629"/>
      <c r="AE28" s="629"/>
      <c r="AF28" s="629"/>
      <c r="AG28" s="844"/>
      <c r="AH28" s="629"/>
      <c r="AI28" s="629"/>
      <c r="AJ28" s="629"/>
      <c r="AK28" s="844"/>
      <c r="AL28" s="629"/>
      <c r="AM28" s="629"/>
      <c r="AN28" s="629"/>
      <c r="AO28" s="844"/>
      <c r="AP28" s="629"/>
      <c r="AQ28" s="629"/>
      <c r="AR28" s="629"/>
      <c r="AS28" s="844"/>
      <c r="AT28" s="629"/>
      <c r="AU28" s="629"/>
      <c r="AV28" s="629"/>
      <c r="AW28" s="844"/>
      <c r="AX28" s="629"/>
      <c r="AY28" s="629"/>
      <c r="AZ28" s="629"/>
      <c r="BA28" s="844"/>
      <c r="BB28" s="629"/>
      <c r="BC28" s="629"/>
      <c r="BD28" s="629"/>
      <c r="BE28" s="844"/>
      <c r="BF28" s="629"/>
      <c r="BG28" s="629"/>
      <c r="BH28" s="629"/>
      <c r="BI28" s="844"/>
      <c r="BJ28" s="629"/>
      <c r="BK28" s="629"/>
      <c r="BL28" s="629"/>
      <c r="BM28" s="844"/>
      <c r="BN28" s="629"/>
      <c r="BO28" s="629"/>
      <c r="BP28" s="629"/>
      <c r="BQ28" s="844"/>
      <c r="BR28" s="629"/>
      <c r="BS28" s="629"/>
      <c r="BT28" s="629"/>
      <c r="BU28" s="844"/>
      <c r="BV28" s="629"/>
      <c r="BW28" s="629"/>
      <c r="BX28" s="629"/>
      <c r="BY28" s="844"/>
      <c r="BZ28" s="629"/>
      <c r="CA28" s="629"/>
      <c r="CB28" s="629"/>
      <c r="CC28" s="844"/>
      <c r="CD28" s="629"/>
      <c r="CE28" s="629"/>
      <c r="CF28" s="629"/>
      <c r="CG28" s="844"/>
      <c r="CH28" s="629"/>
      <c r="CI28" s="629"/>
      <c r="CJ28" s="629"/>
      <c r="CK28" s="844"/>
      <c r="CL28" s="629"/>
      <c r="CM28" s="629"/>
      <c r="CN28" s="629"/>
      <c r="CO28" s="844"/>
      <c r="CP28" s="629"/>
      <c r="CQ28" s="629"/>
      <c r="CR28" s="629"/>
      <c r="CS28" s="844"/>
      <c r="CT28" s="629"/>
      <c r="CU28" s="629"/>
      <c r="CV28" s="629"/>
      <c r="CW28" s="844"/>
      <c r="CX28" s="629"/>
      <c r="CY28" s="629"/>
      <c r="CZ28" s="629"/>
      <c r="DA28" s="844"/>
      <c r="DB28" s="1110" t="str">
        <f t="shared" ref="DB28" si="179">IF(ISERROR(DB17/CX17-1),"NA",DB17/CX17-1)</f>
      </c>
      <c r="DC28" s="1110" t="str">
        <f t="shared" ref="DC28" si="180">IF(ISERROR(DC17/CY17-1),"NA",DC17/CY17-1)</f>
      </c>
      <c r="DD28" s="1110" t="str">
        <f t="shared" ref="DD28" si="181">IF(ISERROR(DD17/CZ17-1),"NA",DD17/CZ17-1)</f>
      </c>
      <c r="DE28" s="1111" t="str">
        <f t="shared" ref="DE28" si="182">IF(ISERROR(DE17/DA17-1),"NA",DE17/DA17-1)</f>
      </c>
      <c r="DF28" s="1110" t="str">
        <f t="shared" ref="DF28" si="183">IF(ISERROR(DF17/DB17-1),"NA",DF17/DB17-1)</f>
      </c>
      <c r="DG28" s="1110" t="str">
        <f>IF(ISERROR(DG17/DC17-1),"NA",DG17/DC17-1)</f>
      </c>
      <c r="DH28" s="1110" t="str">
        <f t="shared" ref="DH28" si="184">IF(ISERROR(DH17/DD17-1),"NA",DH17/DD17-1)</f>
      </c>
      <c r="DI28" s="1111" t="str">
        <f t="shared" ref="DI28:DJ28" si="185">IF(ISERROR(DI17/DE17-1),"NA",DI17/DE17-1)</f>
      </c>
      <c r="DJ28" s="1110" t="str">
        <f t="shared" si="185"/>
      </c>
      <c r="DK28" s="1110" t="str">
        <f>IF(ISERROR(DK17/DG17-1),"NA",DK17/DG17-1)</f>
      </c>
      <c r="DL28" s="1110" t="str">
        <f t="shared" ref="DL28:DN28" si="186">IF(ISERROR(DL17/DH17-1),"NA",DL17/DH17-1)</f>
      </c>
      <c r="DM28" s="1111" t="str">
        <f t="shared" si="186"/>
      </c>
      <c r="DN28" s="1110" t="str">
        <f t="shared" si="186"/>
      </c>
      <c r="DO28" s="1110">
        <f>IF(ISERROR(DO17/DK17-1),"NA",DO17/DK17-1)</f>
      </c>
      <c r="DP28" s="1110">
        <f t="shared" ref="DP28" si="187">IF(ISERROR(DP17/DL17-1),"NA",DP17/DL17-1)</f>
      </c>
      <c r="DQ28" s="1111">
        <f t="shared" ref="DQ28" si="188">IF(ISERROR(DQ17/DM17-1),"NA",DQ17/DM17-1)</f>
      </c>
      <c r="DR28" s="1110">
        <f t="shared" ref="DR28" si="189">IF(ISERROR(DR17/DN17-1),"NA",DR17/DN17-1)</f>
      </c>
      <c r="DS28" s="1110">
        <f t="shared" ref="DS28" si="190">IF(ISERROR(DS17/DO17-1),"NA",DS17/DO17-1)</f>
      </c>
      <c r="DT28" s="1110">
        <f t="shared" ref="DT28" si="191">IF(ISERROR(DT17/DP17-1),"NA",DT17/DP17-1)</f>
      </c>
      <c r="DU28" s="1111">
        <f t="shared" ref="DU28" si="192">IF(ISERROR(DU17/DQ17-1),"NA",DU17/DQ17-1)</f>
      </c>
      <c r="DV28" s="1110">
        <f t="shared" ref="DV28" si="193">IF(ISERROR(DV17/DR17-1),"NA",DV17/DR17-1)</f>
      </c>
      <c r="DW28" s="1110">
        <f t="shared" ref="DW28" si="194">IF(ISERROR(DW17/DS17-1),"NA",DW17/DS17-1)</f>
      </c>
      <c r="DX28" s="1110">
        <f t="shared" ref="DX28" si="195">IF(ISERROR(DX17/DT17-1),"NA",DX17/DT17-1)</f>
      </c>
      <c r="DY28" s="1111">
        <f t="shared" ref="DY28" si="196">IF(ISERROR(DY17/DU17-1),"NA",DY17/DU17-1)</f>
      </c>
      <c r="DZ28" s="1110">
        <f t="shared" ref="DZ28" si="197">IF(ISERROR(DZ17/DV17-1),"NA",DZ17/DV17-1)</f>
      </c>
      <c r="EA28" s="1110">
        <f t="shared" ref="EA28" si="198">IF(ISERROR(EA17/DW17-1),"NA",EA17/DW17-1)</f>
      </c>
      <c r="EB28" s="1110">
        <f t="shared" ref="EB28" si="199">IF(ISERROR(EB17/DX17-1),"NA",EB17/DX17-1)</f>
      </c>
      <c r="EC28" s="1111">
        <f t="shared" ref="EC28" si="200">IF(ISERROR(EC17/DY17-1),"NA",EC17/DY17-1)</f>
      </c>
      <c r="ED28" s="1110">
        <f t="shared" ref="ED28" si="201">IF(ISERROR(ED17/DZ17-1),"NA",ED17/DZ17-1)</f>
      </c>
      <c r="EE28" s="1110">
        <f t="shared" ref="EE28" si="202">IF(ISERROR(EE17/EA17-1),"NA",EE17/EA17-1)</f>
      </c>
      <c r="EF28" s="1110">
        <f t="shared" ref="EF28" si="203">IF(ISERROR(EF17/EB17-1),"NA",EF17/EB17-1)</f>
      </c>
      <c r="EG28" s="1111">
        <f t="shared" ref="EG28" si="204">IF(ISERROR(EG17/EC17-1),"NA",EG17/EC17-1)</f>
      </c>
      <c r="EH28" s="1110">
        <f t="shared" ref="EH28" si="205">IF(ISERROR(EH17/ED17-1),"NA",EH17/ED17-1)</f>
      </c>
      <c r="EI28" s="1110">
        <f t="shared" ref="EI28" si="206">IF(ISERROR(EI17/EE17-1),"NA",EI17/EE17-1)</f>
      </c>
      <c r="EJ28" s="1110">
        <f t="shared" ref="EJ28" si="207">IF(ISERROR(EJ17/EF17-1),"NA",EJ17/EF17-1)</f>
      </c>
      <c r="EK28" s="1111">
        <f t="shared" ref="EK28" si="208">IF(ISERROR(EK17/EG17-1),"NA",EK17/EG17-1)</f>
      </c>
      <c r="EM28" s="629"/>
      <c r="EN28" s="629"/>
      <c r="EO28" s="629"/>
      <c r="EP28" s="629"/>
      <c r="EQ28" s="629"/>
      <c r="ER28" s="629"/>
      <c r="ES28" s="629"/>
      <c r="ET28" s="629"/>
      <c r="EU28" s="629"/>
      <c r="EV28" s="629"/>
      <c r="EW28" s="629"/>
      <c r="EX28" s="629"/>
      <c r="EY28" s="629"/>
      <c r="EZ28" s="629"/>
      <c r="FA28" s="629"/>
      <c r="FB28" s="629"/>
      <c r="FC28" s="629"/>
      <c r="FD28" s="629"/>
      <c r="FE28" s="629"/>
      <c r="FF28" s="629"/>
      <c r="FG28" s="629"/>
      <c r="FH28" s="629"/>
      <c r="FI28" s="629"/>
      <c r="FJ28" s="629"/>
      <c r="FK28" s="629"/>
      <c r="FL28" s="629"/>
      <c r="FM28" s="629"/>
      <c r="FN28" s="629"/>
      <c r="FO28" s="629"/>
      <c r="FP28" s="629">
        <f t="shared" ref="FP28" si="209">+FP17/FO17-1</f>
      </c>
      <c r="FQ28" s="629">
        <f t="shared" ref="FQ28" si="210">+FQ17/FP17-1</f>
      </c>
      <c r="FR28" s="629">
        <f t="shared" si="150"/>
      </c>
      <c r="FS28" s="629">
        <f t="shared" si="150"/>
      </c>
      <c r="FT28" s="629">
        <f t="shared" si="150"/>
      </c>
      <c r="FU28" s="629">
        <f t="shared" si="150"/>
      </c>
      <c r="FW28" s="629"/>
      <c r="FX28" s="629"/>
      <c r="FY28" s="629"/>
      <c r="FZ28" s="629"/>
      <c r="GA28" s="629"/>
      <c r="GB28" s="629"/>
      <c r="GC28" s="629"/>
      <c r="GD28" s="629"/>
      <c r="GE28" s="629"/>
      <c r="GF28" s="629"/>
      <c r="GG28" s="629"/>
      <c r="GH28" s="629"/>
      <c r="GI28" s="629"/>
      <c r="GJ28" s="629"/>
      <c r="GK28" s="629"/>
      <c r="GL28" s="629"/>
      <c r="GM28" s="629"/>
      <c r="GN28" s="629"/>
      <c r="GO28" s="629"/>
      <c r="GP28" s="629"/>
      <c r="GQ28" s="629"/>
      <c r="GR28" s="629"/>
      <c r="GS28" s="629"/>
      <c r="GT28" s="629"/>
      <c r="GU28" s="629"/>
      <c r="GV28" s="629"/>
      <c r="GW28" s="629"/>
      <c r="GX28" s="629"/>
      <c r="GY28" s="629"/>
      <c r="GZ28" s="629"/>
      <c r="HA28" s="629"/>
      <c r="HB28" s="629"/>
      <c r="HC28" s="629"/>
      <c r="HD28" s="629"/>
      <c r="HE28" s="629"/>
      <c r="HF28" s="629"/>
    </row>
    <row r="29" spans="1:214" s="810" customFormat="1" ht="10.199999999999999">
      <c r="A29" s="846" t="s">
        <v>92</v>
      </c>
      <c r="B29" s="849"/>
      <c r="C29" s="849"/>
      <c r="D29" s="849"/>
      <c r="E29" s="850"/>
      <c r="F29" s="849"/>
      <c r="G29" s="849"/>
      <c r="H29" s="849"/>
      <c r="I29" s="850"/>
      <c r="J29" s="849"/>
      <c r="K29" s="849"/>
      <c r="L29" s="849"/>
      <c r="M29" s="850"/>
      <c r="N29" s="849"/>
      <c r="O29" s="849"/>
      <c r="P29" s="849"/>
      <c r="Q29" s="850"/>
      <c r="R29" s="849"/>
      <c r="S29" s="849"/>
      <c r="T29" s="849"/>
      <c r="U29" s="850"/>
      <c r="V29" s="849"/>
      <c r="W29" s="849"/>
      <c r="X29" s="849"/>
      <c r="Y29" s="850"/>
      <c r="Z29" s="849"/>
      <c r="AA29" s="849"/>
      <c r="AB29" s="849"/>
      <c r="AC29" s="850"/>
      <c r="AD29" s="849"/>
      <c r="AE29" s="849"/>
      <c r="AF29" s="849"/>
      <c r="AG29" s="850"/>
      <c r="AH29" s="849"/>
      <c r="AI29" s="849"/>
      <c r="AJ29" s="849"/>
      <c r="AK29" s="850"/>
      <c r="AL29" s="849"/>
      <c r="AM29" s="849"/>
      <c r="AN29" s="849"/>
      <c r="AO29" s="850"/>
      <c r="AP29" s="849"/>
      <c r="AQ29" s="849"/>
      <c r="AR29" s="849"/>
      <c r="AS29" s="850"/>
      <c r="AT29" s="849">
        <f t="shared" ref="AT29:CN29" si="211">+AT18/AP18-1</f>
      </c>
      <c r="AU29" s="849">
        <f t="shared" si="211"/>
      </c>
      <c r="AV29" s="849">
        <f t="shared" si="211"/>
      </c>
      <c r="AW29" s="850">
        <f t="shared" si="211"/>
      </c>
      <c r="AX29" s="849">
        <f t="shared" si="211"/>
      </c>
      <c r="AY29" s="849">
        <f t="shared" si="211"/>
      </c>
      <c r="AZ29" s="849">
        <f t="shared" si="211"/>
      </c>
      <c r="BA29" s="850">
        <f t="shared" si="211"/>
      </c>
      <c r="BB29" s="849">
        <f t="shared" si="211"/>
      </c>
      <c r="BC29" s="849">
        <f t="shared" si="211"/>
      </c>
      <c r="BD29" s="849">
        <f t="shared" si="211"/>
      </c>
      <c r="BE29" s="850">
        <f t="shared" si="211"/>
      </c>
      <c r="BF29" s="849">
        <f t="shared" si="211"/>
      </c>
      <c r="BG29" s="849">
        <f t="shared" si="211"/>
      </c>
      <c r="BH29" s="849">
        <f t="shared" si="211"/>
      </c>
      <c r="BI29" s="850">
        <f t="shared" si="211"/>
      </c>
      <c r="BJ29" s="849">
        <f t="shared" si="211"/>
      </c>
      <c r="BK29" s="849">
        <f t="shared" si="211"/>
      </c>
      <c r="BL29" s="849">
        <f t="shared" si="211"/>
      </c>
      <c r="BM29" s="850">
        <f t="shared" si="211"/>
      </c>
      <c r="BN29" s="849">
        <f t="shared" si="211"/>
      </c>
      <c r="BO29" s="849">
        <f t="shared" si="211"/>
      </c>
      <c r="BP29" s="849">
        <f t="shared" si="211"/>
      </c>
      <c r="BQ29" s="850">
        <f t="shared" si="211"/>
      </c>
      <c r="BR29" s="849">
        <f t="shared" si="211"/>
      </c>
      <c r="BS29" s="849">
        <f t="shared" si="211"/>
      </c>
      <c r="BT29" s="849">
        <f t="shared" si="211"/>
      </c>
      <c r="BU29" s="850">
        <f t="shared" si="211"/>
      </c>
      <c r="BV29" s="849">
        <f t="shared" si="211"/>
      </c>
      <c r="BW29" s="849">
        <f t="shared" si="211"/>
      </c>
      <c r="BX29" s="849">
        <f t="shared" si="211"/>
      </c>
      <c r="BY29" s="850">
        <f t="shared" si="211"/>
      </c>
      <c r="BZ29" s="849">
        <f t="shared" si="211"/>
      </c>
      <c r="CA29" s="849">
        <f t="shared" si="211"/>
      </c>
      <c r="CB29" s="849">
        <f t="shared" si="211"/>
      </c>
      <c r="CC29" s="850">
        <f t="shared" si="211"/>
      </c>
      <c r="CD29" s="849">
        <f t="shared" si="211"/>
      </c>
      <c r="CE29" s="849">
        <f t="shared" si="211"/>
      </c>
      <c r="CF29" s="849">
        <f t="shared" si="211"/>
      </c>
      <c r="CG29" s="850">
        <f t="shared" si="211"/>
      </c>
      <c r="CH29" s="849">
        <f t="shared" si="211"/>
      </c>
      <c r="CI29" s="849">
        <f t="shared" si="211"/>
      </c>
      <c r="CJ29" s="849">
        <f t="shared" si="211"/>
      </c>
      <c r="CK29" s="850">
        <f t="shared" si="211"/>
      </c>
      <c r="CL29" s="849">
        <f t="shared" si="211"/>
      </c>
      <c r="CM29" s="849">
        <f t="shared" si="211"/>
      </c>
      <c r="CN29" s="849">
        <f t="shared" si="211"/>
      </c>
      <c r="CO29" s="850">
        <f t="shared" ref="CO29:DU29" si="212">IF(ISERROR(CO18/CK18-1),"NA",CO18/CK18-1)</f>
      </c>
      <c r="CP29" s="855" t="str">
        <f t="shared" si="212"/>
      </c>
      <c r="CQ29" s="855" t="str">
        <f t="shared" si="212"/>
      </c>
      <c r="CR29" s="855" t="str">
        <f t="shared" si="212"/>
      </c>
      <c r="CS29" s="856" t="str">
        <f t="shared" si="212"/>
      </c>
      <c r="CT29" s="855" t="str">
        <f t="shared" si="212"/>
      </c>
      <c r="CU29" s="855" t="str">
        <f t="shared" si="212"/>
      </c>
      <c r="CV29" s="855" t="str">
        <f t="shared" si="212"/>
      </c>
      <c r="CW29" s="856" t="str">
        <f t="shared" si="212"/>
      </c>
      <c r="CX29" s="855" t="str">
        <f t="shared" si="212"/>
      </c>
      <c r="CY29" s="855" t="str">
        <f t="shared" si="212"/>
      </c>
      <c r="CZ29" s="855" t="str">
        <f t="shared" si="212"/>
      </c>
      <c r="DA29" s="856" t="str">
        <f t="shared" si="212"/>
      </c>
      <c r="DB29" s="855" t="str">
        <f t="shared" si="212"/>
      </c>
      <c r="DC29" s="855" t="str">
        <f t="shared" si="212"/>
      </c>
      <c r="DD29" s="855" t="str">
        <f t="shared" si="212"/>
      </c>
      <c r="DE29" s="856" t="str">
        <f t="shared" si="212"/>
      </c>
      <c r="DF29" s="855" t="str">
        <f t="shared" si="212"/>
      </c>
      <c r="DG29" s="855" t="str">
        <f>IF(ISERROR(DG18/DC18-1),"NA",DG18/DC18-1)</f>
      </c>
      <c r="DH29" s="855" t="str">
        <f t="shared" si="212"/>
      </c>
      <c r="DI29" s="856" t="str">
        <f t="shared" si="212"/>
      </c>
      <c r="DJ29" s="855" t="str">
        <f t="shared" si="212"/>
      </c>
      <c r="DK29" s="855" t="str">
        <f>IF(ISERROR(DK18/DG18-1),"NA",DK18/DG18-1)</f>
      </c>
      <c r="DL29" s="855" t="str">
        <f t="shared" si="212"/>
      </c>
      <c r="DM29" s="856" t="str">
        <f t="shared" si="212"/>
      </c>
      <c r="DN29" s="855" t="str">
        <f t="shared" si="212"/>
      </c>
      <c r="DO29" s="855" t="str">
        <f>IF(ISERROR(DO18/DK18-1),"NA",DO18/DK18-1)</f>
      </c>
      <c r="DP29" s="855" t="str">
        <f t="shared" si="212"/>
      </c>
      <c r="DQ29" s="856" t="str">
        <f t="shared" si="212"/>
      </c>
      <c r="DR29" s="855" t="str">
        <f t="shared" si="212"/>
      </c>
      <c r="DS29" s="855" t="str">
        <f t="shared" si="212"/>
      </c>
      <c r="DT29" s="855" t="str">
        <f t="shared" si="212"/>
      </c>
      <c r="DU29" s="856" t="str">
        <f t="shared" si="212"/>
      </c>
      <c r="DV29" s="855" t="str">
        <f t="shared" ref="DV29" si="213">IF(ISERROR(DV18/DR18-1),"NA",DV18/DR18-1)</f>
      </c>
      <c r="DW29" s="855" t="str">
        <f t="shared" ref="DW29" si="214">IF(ISERROR(DW18/DS18-1),"NA",DW18/DS18-1)</f>
      </c>
      <c r="DX29" s="855" t="str">
        <f t="shared" ref="DX29" si="215">IF(ISERROR(DX18/DT18-1),"NA",DX18/DT18-1)</f>
      </c>
      <c r="DY29" s="856" t="str">
        <f t="shared" ref="DY29" si="216">IF(ISERROR(DY18/DU18-1),"NA",DY18/DU18-1)</f>
      </c>
      <c r="DZ29" s="855" t="str">
        <f t="shared" ref="DZ29" si="217">IF(ISERROR(DZ18/DV18-1),"NA",DZ18/DV18-1)</f>
      </c>
      <c r="EA29" s="855" t="str">
        <f t="shared" ref="EA29" si="218">IF(ISERROR(EA18/DW18-1),"NA",EA18/DW18-1)</f>
      </c>
      <c r="EB29" s="855" t="str">
        <f t="shared" ref="EB29" si="219">IF(ISERROR(EB18/DX18-1),"NA",EB18/DX18-1)</f>
      </c>
      <c r="EC29" s="856" t="str">
        <f t="shared" ref="EC29" si="220">IF(ISERROR(EC18/DY18-1),"NA",EC18/DY18-1)</f>
      </c>
      <c r="ED29" s="855" t="str">
        <f t="shared" ref="ED29" si="221">IF(ISERROR(ED18/DZ18-1),"NA",ED18/DZ18-1)</f>
      </c>
      <c r="EE29" s="855" t="str">
        <f t="shared" ref="EE29" si="222">IF(ISERROR(EE18/EA18-1),"NA",EE18/EA18-1)</f>
      </c>
      <c r="EF29" s="855" t="str">
        <f t="shared" ref="EF29" si="223">IF(ISERROR(EF18/EB18-1),"NA",EF18/EB18-1)</f>
      </c>
      <c r="EG29" s="856" t="str">
        <f t="shared" ref="EG29" si="224">IF(ISERROR(EG18/EC18-1),"NA",EG18/EC18-1)</f>
      </c>
      <c r="EH29" s="855" t="str">
        <f t="shared" ref="EH29" si="225">IF(ISERROR(EH18/ED18-1),"NA",EH18/ED18-1)</f>
      </c>
      <c r="EI29" s="855" t="str">
        <f t="shared" ref="EI29" si="226">IF(ISERROR(EI18/EE18-1),"NA",EI18/EE18-1)</f>
      </c>
      <c r="EJ29" s="855" t="str">
        <f t="shared" ref="EJ29" si="227">IF(ISERROR(EJ18/EF18-1),"NA",EJ18/EF18-1)</f>
      </c>
      <c r="EK29" s="856" t="str">
        <f t="shared" ref="EK29" si="228">IF(ISERROR(EK18/EG18-1),"NA",EK18/EG18-1)</f>
      </c>
      <c r="EM29" s="855"/>
      <c r="EN29" s="855"/>
      <c r="EO29" s="855"/>
      <c r="EP29" s="855"/>
      <c r="EQ29" s="855"/>
      <c r="ER29" s="855"/>
      <c r="ES29" s="855"/>
      <c r="ET29" s="855">
        <f t="shared" ref="ET29:FB29" si="229">+ET18/ES18-1</f>
      </c>
      <c r="EU29" s="855">
        <f t="shared" si="229"/>
      </c>
      <c r="EV29" s="855">
        <f t="shared" si="229"/>
      </c>
      <c r="EW29" s="855">
        <f t="shared" si="229"/>
      </c>
      <c r="EX29" s="855">
        <f t="shared" si="229"/>
      </c>
      <c r="EY29" s="855">
        <f t="shared" si="229"/>
      </c>
      <c r="EZ29" s="855">
        <f t="shared" si="229"/>
      </c>
      <c r="FA29" s="855">
        <f t="shared" si="229"/>
      </c>
      <c r="FB29" s="855">
        <f t="shared" si="229"/>
      </c>
      <c r="FC29" s="855">
        <f t="shared" ref="FC29:FI30" si="230">+FC18/FB18-1</f>
      </c>
      <c r="FD29" s="855">
        <f t="shared" si="230"/>
      </c>
      <c r="FE29" s="855">
        <f t="shared" si="230"/>
      </c>
      <c r="FF29" s="855">
        <f t="shared" si="230"/>
      </c>
      <c r="FG29" s="855">
        <f t="shared" si="230"/>
      </c>
      <c r="FH29" s="855">
        <f t="shared" si="230"/>
      </c>
      <c r="FI29" s="855">
        <f t="shared" si="230"/>
      </c>
      <c r="FJ29" s="855"/>
      <c r="FK29" s="855"/>
      <c r="FL29" s="855"/>
      <c r="FM29" s="855"/>
      <c r="FN29" s="855"/>
      <c r="FO29" s="855"/>
      <c r="FP29" s="855"/>
      <c r="FQ29" s="855"/>
      <c r="FR29" s="855"/>
      <c r="FS29" s="855"/>
      <c r="FT29" s="855"/>
      <c r="FU29" s="855"/>
      <c r="FW29" s="855"/>
      <c r="FX29" s="855"/>
      <c r="FY29" s="855"/>
      <c r="FZ29" s="855"/>
      <c r="GA29" s="855"/>
      <c r="GB29" s="855"/>
      <c r="GC29" s="855"/>
      <c r="GD29" s="855"/>
      <c r="GE29" s="855">
        <f t="shared" ref="GE29:GN29" si="231">+GE18/GD18-1</f>
      </c>
      <c r="GF29" s="855">
        <f t="shared" si="231"/>
      </c>
      <c r="GG29" s="855">
        <f t="shared" si="231"/>
      </c>
      <c r="GH29" s="855">
        <f t="shared" si="231"/>
      </c>
      <c r="GI29" s="855">
        <f t="shared" si="231"/>
      </c>
      <c r="GJ29" s="855">
        <f t="shared" si="231"/>
      </c>
      <c r="GK29" s="855">
        <f t="shared" si="231"/>
      </c>
      <c r="GL29" s="855">
        <f t="shared" si="231"/>
      </c>
      <c r="GM29" s="855">
        <f t="shared" si="231"/>
      </c>
      <c r="GN29" s="855">
        <f t="shared" si="231"/>
      </c>
      <c r="GO29" s="855">
        <f t="shared" ref="GO29:GU30" si="232">+GO18/GN18-1</f>
      </c>
      <c r="GP29" s="855">
        <f t="shared" si="232"/>
      </c>
      <c r="GQ29" s="855">
        <f t="shared" si="232"/>
      </c>
      <c r="GR29" s="855">
        <f t="shared" si="232"/>
      </c>
      <c r="GS29" s="855">
        <f t="shared" si="232"/>
      </c>
      <c r="GT29" s="855">
        <f t="shared" si="232"/>
      </c>
      <c r="GU29" s="855">
        <f t="shared" si="232"/>
      </c>
      <c r="GV29" s="855"/>
      <c r="GW29" s="855"/>
      <c r="GX29" s="855"/>
      <c r="GY29" s="855"/>
      <c r="GZ29" s="855"/>
      <c r="HA29" s="855"/>
      <c r="HB29" s="855"/>
      <c r="HC29" s="855"/>
      <c r="HD29" s="855"/>
      <c r="HE29" s="855"/>
      <c r="HF29" s="855"/>
    </row>
    <row r="30" spans="1:214" s="853" customFormat="1" ht="10.199999999999999">
      <c r="A30" s="637" t="s">
        <v>1185</v>
      </c>
      <c r="B30" s="637"/>
      <c r="C30" s="637"/>
      <c r="D30" s="637"/>
      <c r="E30" s="851"/>
      <c r="F30" s="637"/>
      <c r="G30" s="637"/>
      <c r="H30" s="637"/>
      <c r="I30" s="851"/>
      <c r="J30" s="637"/>
      <c r="K30" s="637"/>
      <c r="L30" s="637"/>
      <c r="M30" s="851"/>
      <c r="N30" s="637"/>
      <c r="O30" s="637"/>
      <c r="P30" s="637"/>
      <c r="Q30" s="637"/>
      <c r="R30" s="637"/>
      <c r="S30" s="637"/>
      <c r="T30" s="637"/>
      <c r="U30" s="637"/>
      <c r="V30" s="637"/>
      <c r="W30" s="637"/>
      <c r="X30" s="637"/>
      <c r="Y30" s="637"/>
      <c r="Z30" s="637"/>
      <c r="AA30" s="637"/>
      <c r="AB30" s="637"/>
      <c r="AC30" s="637"/>
      <c r="AD30" s="637"/>
      <c r="AE30" s="637"/>
      <c r="AF30" s="637"/>
      <c r="AG30" s="637"/>
      <c r="AH30" s="637"/>
      <c r="AI30" s="637"/>
      <c r="AJ30" s="637"/>
      <c r="AK30" s="637"/>
      <c r="AL30" s="637"/>
      <c r="AM30" s="637"/>
      <c r="AN30" s="637"/>
      <c r="AO30" s="637"/>
      <c r="AP30" s="637"/>
      <c r="AQ30" s="637"/>
      <c r="AR30" s="637"/>
      <c r="AS30" s="637"/>
      <c r="AT30" s="637"/>
      <c r="AU30" s="637"/>
      <c r="AV30" s="637"/>
      <c r="AW30" s="851"/>
      <c r="AX30" s="637">
        <f t="shared" ref="AX30:CC30" si="233">+AX19/AT19-1</f>
      </c>
      <c r="AY30" s="637">
        <f t="shared" si="233"/>
      </c>
      <c r="AZ30" s="637">
        <f t="shared" si="233"/>
      </c>
      <c r="BA30" s="851">
        <f t="shared" si="233"/>
      </c>
      <c r="BB30" s="637">
        <f t="shared" si="233"/>
      </c>
      <c r="BC30" s="637">
        <f t="shared" si="233"/>
      </c>
      <c r="BD30" s="637">
        <f t="shared" si="233"/>
      </c>
      <c r="BE30" s="851">
        <f t="shared" si="233"/>
      </c>
      <c r="BF30" s="637">
        <f t="shared" si="233"/>
      </c>
      <c r="BG30" s="637">
        <f t="shared" si="233"/>
      </c>
      <c r="BH30" s="637">
        <f t="shared" si="233"/>
      </c>
      <c r="BI30" s="851">
        <f t="shared" si="233"/>
      </c>
      <c r="BJ30" s="637">
        <f t="shared" si="233"/>
      </c>
      <c r="BK30" s="637">
        <f t="shared" si="233"/>
      </c>
      <c r="BL30" s="637">
        <f t="shared" si="233"/>
      </c>
      <c r="BM30" s="851">
        <f t="shared" si="233"/>
      </c>
      <c r="BN30" s="637">
        <f t="shared" si="233"/>
      </c>
      <c r="BO30" s="637">
        <f t="shared" si="233"/>
      </c>
      <c r="BP30" s="637">
        <f t="shared" si="233"/>
      </c>
      <c r="BQ30" s="851">
        <f t="shared" si="233"/>
      </c>
      <c r="BR30" s="637">
        <f t="shared" si="233"/>
      </c>
      <c r="BS30" s="637">
        <f t="shared" si="233"/>
      </c>
      <c r="BT30" s="637">
        <f t="shared" si="233"/>
      </c>
      <c r="BU30" s="851">
        <f t="shared" si="233"/>
      </c>
      <c r="BV30" s="637">
        <f t="shared" si="233"/>
      </c>
      <c r="BW30" s="637">
        <f t="shared" si="233"/>
      </c>
      <c r="BX30" s="637">
        <f t="shared" si="233"/>
      </c>
      <c r="BY30" s="851">
        <f t="shared" si="233"/>
      </c>
      <c r="BZ30" s="637">
        <f t="shared" si="233"/>
      </c>
      <c r="CA30" s="637">
        <f t="shared" si="233"/>
      </c>
      <c r="CB30" s="637">
        <f t="shared" si="233"/>
      </c>
      <c r="CC30" s="851">
        <f t="shared" si="233"/>
      </c>
      <c r="CD30" s="637">
        <f t="shared" ref="CD30:DO30" si="234">+CD19/BZ19-1</f>
      </c>
      <c r="CE30" s="637">
        <f t="shared" si="234"/>
      </c>
      <c r="CF30" s="637">
        <f t="shared" si="234"/>
      </c>
      <c r="CG30" s="851">
        <f t="shared" si="234"/>
      </c>
      <c r="CH30" s="637">
        <f t="shared" si="234"/>
      </c>
      <c r="CI30" s="637">
        <f t="shared" si="234"/>
      </c>
      <c r="CJ30" s="637">
        <f t="shared" si="234"/>
      </c>
      <c r="CK30" s="851">
        <f t="shared" si="234"/>
      </c>
      <c r="CL30" s="637">
        <f t="shared" si="234"/>
      </c>
      <c r="CM30" s="637">
        <f t="shared" si="234"/>
      </c>
      <c r="CN30" s="637">
        <f t="shared" si="234"/>
      </c>
      <c r="CO30" s="851">
        <f t="shared" si="234"/>
      </c>
      <c r="CP30" s="637">
        <f t="shared" si="234"/>
      </c>
      <c r="CQ30" s="637">
        <f t="shared" si="234"/>
      </c>
      <c r="CR30" s="637">
        <f t="shared" si="234"/>
      </c>
      <c r="CS30" s="851">
        <f t="shared" si="234"/>
      </c>
      <c r="CT30" s="637">
        <f t="shared" si="234"/>
      </c>
      <c r="CU30" s="637">
        <f t="shared" si="234"/>
      </c>
      <c r="CV30" s="637">
        <f t="shared" si="234"/>
      </c>
      <c r="CW30" s="851">
        <f t="shared" si="234"/>
      </c>
      <c r="CX30" s="852">
        <f t="shared" si="234"/>
      </c>
      <c r="CY30" s="637">
        <f t="shared" si="234"/>
      </c>
      <c r="CZ30" s="637">
        <f t="shared" si="234"/>
      </c>
      <c r="DA30" s="851">
        <f t="shared" si="234"/>
      </c>
      <c r="DB30" s="637">
        <f t="shared" si="234"/>
      </c>
      <c r="DC30" s="637">
        <f t="shared" si="234"/>
      </c>
      <c r="DD30" s="637">
        <f t="shared" si="234"/>
      </c>
      <c r="DE30" s="851">
        <f t="shared" si="234"/>
      </c>
      <c r="DF30" s="637">
        <f t="shared" si="234"/>
      </c>
      <c r="DG30" s="637">
        <f t="shared" si="234"/>
      </c>
      <c r="DH30" s="637">
        <f t="shared" si="234"/>
      </c>
      <c r="DI30" s="851">
        <f t="shared" si="234"/>
      </c>
      <c r="DJ30" s="637">
        <f t="shared" si="234"/>
      </c>
      <c r="DK30" s="637">
        <f t="shared" si="234"/>
      </c>
      <c r="DL30" s="637">
        <f t="shared" si="234"/>
      </c>
      <c r="DM30" s="851">
        <f t="shared" si="234"/>
      </c>
      <c r="DN30" s="637">
        <f t="shared" si="234"/>
      </c>
      <c r="DO30" s="637">
        <f t="shared" si="234"/>
      </c>
      <c r="DP30" s="637">
        <f t="shared" ref="DP30:DU30" si="235">+DP19/DL19-1</f>
      </c>
      <c r="DQ30" s="851">
        <f t="shared" si="235"/>
      </c>
      <c r="DR30" s="637">
        <f t="shared" si="235"/>
      </c>
      <c r="DS30" s="637">
        <f t="shared" si="235"/>
      </c>
      <c r="DT30" s="637">
        <f t="shared" si="235"/>
      </c>
      <c r="DU30" s="851">
        <f t="shared" si="235"/>
      </c>
      <c r="DV30" s="637">
        <f t="shared" ref="DV30" si="236">+DV19/DR19-1</f>
      </c>
      <c r="DW30" s="637">
        <f t="shared" ref="DW30" si="237">+DW19/DS19-1</f>
      </c>
      <c r="DX30" s="637">
        <f t="shared" ref="DX30" si="238">+DX19/DT19-1</f>
      </c>
      <c r="DY30" s="851">
        <f t="shared" ref="DY30" si="239">+DY19/DU19-1</f>
      </c>
      <c r="DZ30" s="637">
        <f t="shared" ref="DZ30" si="240">+DZ19/DV19-1</f>
      </c>
      <c r="EA30" s="637">
        <f t="shared" ref="EA30" si="241">+EA19/DW19-1</f>
      </c>
      <c r="EB30" s="637">
        <f t="shared" ref="EB30" si="242">+EB19/DX19-1</f>
      </c>
      <c r="EC30" s="851">
        <f t="shared" ref="EC30" si="243">+EC19/DY19-1</f>
      </c>
      <c r="ED30" s="637">
        <f t="shared" ref="ED30" si="244">+ED19/DZ19-1</f>
      </c>
      <c r="EE30" s="637">
        <f t="shared" ref="EE30" si="245">+EE19/EA19-1</f>
      </c>
      <c r="EF30" s="637">
        <f t="shared" ref="EF30" si="246">+EF19/EB19-1</f>
      </c>
      <c r="EG30" s="851">
        <f t="shared" ref="EG30" si="247">+EG19/EC19-1</f>
      </c>
      <c r="EH30" s="637">
        <f t="shared" ref="EH30" si="248">+EH19/ED19-1</f>
      </c>
      <c r="EI30" s="637">
        <f t="shared" ref="EI30" si="249">+EI19/EE19-1</f>
      </c>
      <c r="EJ30" s="637">
        <f t="shared" ref="EJ30" si="250">+EJ19/EF19-1</f>
      </c>
      <c r="EK30" s="851">
        <f t="shared" ref="EK30" si="251">+EK19/EG19-1</f>
      </c>
      <c r="EM30" s="637"/>
      <c r="EN30" s="637"/>
      <c r="EO30" s="637"/>
      <c r="EP30" s="637">
        <f>+EP19/EO19-1</f>
      </c>
      <c r="EQ30" s="637">
        <f>+EQ19/EP19-1</f>
      </c>
      <c r="ER30" s="637">
        <f>+ER19/EQ19-1</f>
      </c>
      <c r="ES30" s="637">
        <f>+ES19/ER19-1</f>
      </c>
      <c r="ET30" s="637">
        <f t="shared" ref="ET30:FB30" si="252">+ET19/ES19-1</f>
      </c>
      <c r="EU30" s="637">
        <f t="shared" si="252"/>
      </c>
      <c r="EV30" s="637">
        <f t="shared" si="252"/>
      </c>
      <c r="EW30" s="637">
        <f t="shared" si="252"/>
      </c>
      <c r="EX30" s="637">
        <f t="shared" si="252"/>
      </c>
      <c r="EY30" s="637">
        <f t="shared" si="252"/>
      </c>
      <c r="EZ30" s="637">
        <f t="shared" si="252"/>
      </c>
      <c r="FA30" s="637">
        <f t="shared" si="252"/>
      </c>
      <c r="FB30" s="637">
        <f t="shared" si="252"/>
      </c>
      <c r="FC30" s="637">
        <f t="shared" si="230"/>
      </c>
      <c r="FD30" s="637">
        <f t="shared" si="230"/>
      </c>
      <c r="FE30" s="637">
        <f t="shared" si="230"/>
      </c>
      <c r="FF30" s="637">
        <f t="shared" si="230"/>
      </c>
      <c r="FG30" s="637">
        <f t="shared" si="230"/>
      </c>
      <c r="FH30" s="637">
        <f t="shared" si="230"/>
      </c>
      <c r="FI30" s="637">
        <f t="shared" si="230"/>
      </c>
      <c r="FJ30" s="637">
        <f t="shared" ref="FJ30:FQ30" si="253">+FJ19/FI19-1</f>
      </c>
      <c r="FK30" s="637">
        <f t="shared" si="253"/>
      </c>
      <c r="FL30" s="637">
        <f t="shared" si="253"/>
      </c>
      <c r="FM30" s="637">
        <f t="shared" si="253"/>
      </c>
      <c r="FN30" s="637">
        <f t="shared" si="253"/>
      </c>
      <c r="FO30" s="637">
        <f t="shared" si="253"/>
      </c>
      <c r="FP30" s="637">
        <f t="shared" si="253"/>
      </c>
      <c r="FQ30" s="637">
        <f t="shared" si="253"/>
      </c>
      <c r="FR30" s="637">
        <f t="shared" ref="FR30" si="254">+FR19/FQ19-1</f>
      </c>
      <c r="FS30" s="637">
        <f t="shared" ref="FS30" si="255">+FS19/FR19-1</f>
      </c>
      <c r="FT30" s="637">
        <f t="shared" ref="FT30" si="256">+FT19/FS19-1</f>
      </c>
      <c r="FU30" s="637">
        <f t="shared" ref="FU30" si="257">+FU19/FT19-1</f>
      </c>
      <c r="FW30" s="637"/>
      <c r="FX30" s="637"/>
      <c r="FY30" s="637"/>
      <c r="FZ30" s="637"/>
      <c r="GA30" s="637">
        <f>+GA19/FZ19-1</f>
      </c>
      <c r="GB30" s="637">
        <f>+GB19/GA19-1</f>
      </c>
      <c r="GC30" s="637">
        <f>+GC19/GB19-1</f>
      </c>
      <c r="GD30" s="637">
        <f>+GD19/GC19-1</f>
      </c>
      <c r="GE30" s="637">
        <f t="shared" ref="GE30:GN30" si="258">+GE19/GD19-1</f>
      </c>
      <c r="GF30" s="637">
        <f t="shared" si="258"/>
      </c>
      <c r="GG30" s="637">
        <f t="shared" si="258"/>
      </c>
      <c r="GH30" s="637">
        <f t="shared" si="258"/>
      </c>
      <c r="GI30" s="637">
        <f t="shared" si="258"/>
      </c>
      <c r="GJ30" s="637">
        <f t="shared" si="258"/>
      </c>
      <c r="GK30" s="637">
        <f t="shared" si="258"/>
      </c>
      <c r="GL30" s="637">
        <f t="shared" si="258"/>
      </c>
      <c r="GM30" s="637">
        <f t="shared" si="258"/>
      </c>
      <c r="GN30" s="637">
        <f t="shared" si="258"/>
      </c>
      <c r="GO30" s="637">
        <f t="shared" si="232"/>
      </c>
      <c r="GP30" s="637">
        <f t="shared" si="232"/>
      </c>
      <c r="GQ30" s="637">
        <f t="shared" si="232"/>
      </c>
      <c r="GR30" s="637">
        <f t="shared" si="232"/>
      </c>
      <c r="GS30" s="637">
        <f t="shared" si="232"/>
      </c>
      <c r="GT30" s="637">
        <f t="shared" si="232"/>
      </c>
      <c r="GU30" s="637">
        <f t="shared" si="232"/>
      </c>
      <c r="GV30" s="637">
        <f t="shared" ref="GV30:HB30" si="259">+GV19/GU19-1</f>
      </c>
      <c r="GW30" s="637">
        <f t="shared" si="259"/>
      </c>
      <c r="GX30" s="637">
        <f t="shared" si="259"/>
      </c>
      <c r="GY30" s="637">
        <f t="shared" si="259"/>
      </c>
      <c r="GZ30" s="637">
        <f t="shared" si="259"/>
      </c>
      <c r="HA30" s="637">
        <f t="shared" si="259"/>
      </c>
      <c r="HB30" s="637">
        <f t="shared" si="259"/>
      </c>
      <c r="HC30" s="637">
        <f t="shared" ref="HC30" si="260">+HC19/HB19-1</f>
      </c>
      <c r="HD30" s="637">
        <f t="shared" ref="HD30" si="261">+HD19/HC19-1</f>
      </c>
      <c r="HE30" s="637">
        <f t="shared" ref="HE30" si="262">+HE19/HD19-1</f>
      </c>
      <c r="HF30" s="637">
        <f t="shared" ref="HF30" si="263">+HF19/HE19-1</f>
      </c>
    </row>
    <row r="31" spans="1:214" s="370" customFormat="1" ht="10.199999999999999">
      <c r="A31" s="857"/>
      <c r="B31" s="820"/>
      <c r="C31" s="820"/>
      <c r="D31" s="820"/>
      <c r="E31" s="821"/>
      <c r="F31" s="820"/>
      <c r="G31" s="820"/>
      <c r="H31" s="820"/>
      <c r="I31" s="821"/>
      <c r="J31" s="820"/>
      <c r="K31" s="820"/>
      <c r="L31" s="820"/>
      <c r="M31" s="821"/>
      <c r="N31" s="820"/>
      <c r="O31" s="820"/>
      <c r="P31" s="820"/>
      <c r="Q31" s="821"/>
      <c r="R31" s="820"/>
      <c r="S31" s="820"/>
      <c r="T31" s="820"/>
      <c r="U31" s="821"/>
      <c r="V31" s="820"/>
      <c r="W31" s="820"/>
      <c r="X31" s="820"/>
      <c r="Y31" s="821"/>
      <c r="Z31" s="820"/>
      <c r="AA31" s="820"/>
      <c r="AB31" s="820"/>
      <c r="AC31" s="821"/>
      <c r="AD31" s="820"/>
      <c r="AE31" s="820"/>
      <c r="AF31" s="820"/>
      <c r="AG31" s="821"/>
      <c r="AH31" s="820"/>
      <c r="AI31" s="820"/>
      <c r="AJ31" s="820"/>
      <c r="AK31" s="821"/>
      <c r="AL31" s="820"/>
      <c r="AM31" s="820"/>
      <c r="AN31" s="820"/>
      <c r="AO31" s="821"/>
      <c r="AP31" s="820"/>
      <c r="AQ31" s="820"/>
      <c r="AR31" s="820"/>
      <c r="AS31" s="821"/>
      <c r="AT31" s="820"/>
      <c r="AU31" s="820"/>
      <c r="AV31" s="820"/>
      <c r="AW31" s="821"/>
      <c r="AX31" s="820"/>
      <c r="AY31" s="820"/>
      <c r="AZ31" s="820"/>
      <c r="BA31" s="821"/>
      <c r="BB31" s="820"/>
      <c r="BC31" s="820"/>
      <c r="BD31" s="820"/>
      <c r="BE31" s="821"/>
      <c r="BF31" s="820"/>
      <c r="BG31" s="820"/>
      <c r="BH31" s="820"/>
      <c r="BI31" s="821"/>
      <c r="BJ31" s="820"/>
      <c r="BK31" s="820"/>
      <c r="BL31" s="820"/>
      <c r="BM31" s="821"/>
      <c r="BN31" s="820"/>
      <c r="BO31" s="820"/>
      <c r="BP31" s="820"/>
      <c r="BQ31" s="821"/>
      <c r="BR31" s="820"/>
      <c r="BS31" s="820"/>
      <c r="BT31" s="820"/>
      <c r="BU31" s="821"/>
      <c r="BV31" s="820"/>
      <c r="BW31" s="820"/>
      <c r="BX31" s="820"/>
      <c r="BY31" s="821"/>
      <c r="BZ31" s="820"/>
      <c r="CA31" s="820"/>
      <c r="CC31" s="423"/>
      <c r="CG31" s="423"/>
      <c r="CK31" s="423"/>
      <c r="CO31" s="423"/>
      <c r="CS31" s="423"/>
      <c r="CW31" s="423"/>
      <c r="DA31" s="423"/>
      <c r="DE31" s="423"/>
      <c r="DI31" s="423"/>
      <c r="DM31" s="423"/>
      <c r="DQ31" s="423"/>
      <c r="DU31" s="423"/>
      <c r="DY31" s="423"/>
      <c r="EC31" s="423"/>
      <c r="EG31" s="423"/>
      <c r="EK31" s="423"/>
      <c r="FL31" s="458"/>
      <c r="FM31" s="458"/>
      <c r="FN31" s="458"/>
      <c r="FO31" s="458"/>
      <c r="FP31" s="458"/>
      <c r="FQ31" s="458"/>
      <c r="FR31" s="458"/>
      <c r="FS31" s="458"/>
      <c r="FT31" s="458"/>
      <c r="FU31" s="458"/>
      <c r="FW31" s="458"/>
    </row>
    <row r="32" spans="1:214">
      <c r="A32" s="708" t="s">
        <v>1187</v>
      </c>
      <c r="B32" s="706" t="str">
        <f>'Revenue summary'!B$8</f>
      </c>
      <c r="C32" s="706" t="str">
        <f>'Revenue summary'!C$8</f>
      </c>
      <c r="D32" s="706" t="str">
        <f>'Revenue summary'!D$8</f>
      </c>
      <c r="E32" s="707" t="str">
        <f>'Revenue summary'!E$8</f>
      </c>
      <c r="F32" s="706" t="str">
        <f>'Revenue summary'!F$8</f>
      </c>
      <c r="G32" s="706" t="str">
        <f>'Revenue summary'!G$8</f>
      </c>
      <c r="H32" s="706" t="str">
        <f>'Revenue summary'!H$8</f>
      </c>
      <c r="I32" s="707" t="str">
        <f>'Revenue summary'!I$8</f>
      </c>
      <c r="J32" s="706" t="str">
        <f>'Revenue summary'!J$8</f>
      </c>
      <c r="K32" s="706" t="str">
        <f>'Revenue summary'!K$8</f>
      </c>
      <c r="L32" s="706" t="str">
        <f>'Revenue summary'!L$8</f>
      </c>
      <c r="M32" s="707" t="str">
        <f>'Revenue summary'!M$8</f>
      </c>
      <c r="N32" s="706" t="str">
        <f>'Revenue summary'!N$8</f>
      </c>
      <c r="O32" s="706" t="str">
        <f>'Revenue summary'!O$8</f>
      </c>
      <c r="P32" s="706" t="str">
        <f>'Revenue summary'!P$8</f>
      </c>
      <c r="Q32" s="707" t="str">
        <f>'Revenue summary'!Q$8</f>
      </c>
      <c r="R32" s="706" t="str">
        <f>'Revenue summary'!R$8</f>
      </c>
      <c r="S32" s="706" t="str">
        <f>'Revenue summary'!S$8</f>
      </c>
      <c r="T32" s="706" t="str">
        <f>'Revenue summary'!T$8</f>
      </c>
      <c r="U32" s="707" t="str">
        <f>'Revenue summary'!U$8</f>
      </c>
      <c r="V32" s="706" t="str">
        <f>'Revenue summary'!V$8</f>
      </c>
      <c r="W32" s="706" t="str">
        <f>'Revenue summary'!W$8</f>
      </c>
      <c r="X32" s="706" t="str">
        <f>'Revenue summary'!X$8</f>
      </c>
      <c r="Y32" s="707" t="str">
        <f>'Revenue summary'!Y$8</f>
      </c>
      <c r="Z32" s="706" t="str">
        <f>'Revenue summary'!Z$8</f>
      </c>
      <c r="AA32" s="706" t="str">
        <f>'Revenue summary'!AA$8</f>
      </c>
      <c r="AB32" s="706" t="str">
        <f>'Revenue summary'!AB$8</f>
      </c>
      <c r="AC32" s="707" t="str">
        <f>'Revenue summary'!AC$8</f>
      </c>
      <c r="AD32" s="706" t="str">
        <f>'Revenue summary'!AD$8</f>
      </c>
      <c r="AE32" s="706" t="str">
        <f>'Revenue summary'!AE$8</f>
      </c>
      <c r="AF32" s="706" t="str">
        <f>'Revenue summary'!AF$8</f>
      </c>
      <c r="AG32" s="707" t="str">
        <f>'Revenue summary'!AG$8</f>
      </c>
      <c r="AH32" s="706" t="str">
        <f>'Revenue summary'!AH$8</f>
      </c>
      <c r="AI32" s="706" t="str">
        <f>'Revenue summary'!AI$8</f>
      </c>
      <c r="AJ32" s="706" t="str">
        <f>'Revenue summary'!AJ$8</f>
      </c>
      <c r="AK32" s="707" t="str">
        <f>'Revenue summary'!AK$8</f>
      </c>
      <c r="AL32" s="706" t="str">
        <f>'Revenue summary'!AL$8</f>
      </c>
      <c r="AM32" s="706" t="str">
        <f>'Revenue summary'!AM$8</f>
      </c>
      <c r="AN32" s="706" t="str">
        <f>'Revenue summary'!AN$8</f>
      </c>
      <c r="AO32" s="707" t="str">
        <f>'Revenue summary'!AO$8</f>
      </c>
      <c r="AP32" s="706" t="str">
        <f>'Revenue summary'!AP$8</f>
      </c>
      <c r="AQ32" s="706" t="str">
        <f>'Revenue summary'!AQ$8</f>
      </c>
      <c r="AR32" s="706" t="str">
        <f>'Revenue summary'!AR$8</f>
      </c>
      <c r="AS32" s="707" t="str">
        <f>'Revenue summary'!AS$8</f>
      </c>
      <c r="AT32" s="706" t="str">
        <f>'Revenue summary'!AT$8</f>
      </c>
      <c r="AU32" s="706" t="str">
        <f>'Revenue summary'!AU$8</f>
      </c>
      <c r="AV32" s="706" t="str">
        <f>'Revenue summary'!AV$8</f>
      </c>
      <c r="AW32" s="707" t="str">
        <f>'Revenue summary'!AW$8</f>
      </c>
      <c r="AX32" s="706" t="str">
        <f>'Revenue summary'!AX$8</f>
      </c>
      <c r="AY32" s="706" t="str">
        <f>'Revenue summary'!AY$8</f>
      </c>
      <c r="AZ32" s="706" t="str">
        <f>'Revenue summary'!AZ$8</f>
      </c>
      <c r="BA32" s="707" t="str">
        <f>'Revenue summary'!BA$8</f>
      </c>
      <c r="BB32" s="706" t="str">
        <f>'Revenue summary'!BB$8</f>
      </c>
      <c r="BC32" s="706" t="str">
        <f>'Revenue summary'!BC$8</f>
      </c>
      <c r="BD32" s="706" t="str">
        <f>'Revenue summary'!BD$8</f>
      </c>
      <c r="BE32" s="707" t="str">
        <f>'Revenue summary'!BE$8</f>
      </c>
      <c r="BF32" s="706" t="str">
        <f>'Revenue summary'!BF$8</f>
      </c>
      <c r="BG32" s="706" t="str">
        <f>'Revenue summary'!BG$8</f>
      </c>
      <c r="BH32" s="706" t="str">
        <f>'Revenue summary'!BH$8</f>
      </c>
      <c r="BI32" s="707" t="str">
        <f>'Revenue summary'!BI$8</f>
      </c>
      <c r="BJ32" s="706" t="str">
        <f>'Revenue summary'!BJ$8</f>
      </c>
      <c r="BK32" s="706" t="str">
        <f>'Revenue summary'!BK$8</f>
      </c>
      <c r="BL32" s="706" t="str">
        <f>'Revenue summary'!BL$8</f>
      </c>
      <c r="BM32" s="707" t="str">
        <f>'Revenue summary'!BM$8</f>
      </c>
      <c r="BN32" s="706" t="str">
        <f>'Revenue summary'!BN$8</f>
      </c>
      <c r="BO32" s="706" t="str">
        <f>'Revenue summary'!BO$8</f>
      </c>
      <c r="BP32" s="706" t="str">
        <f>'Revenue summary'!BP$8</f>
      </c>
      <c r="BQ32" s="707" t="str">
        <f>'Revenue summary'!BQ$8</f>
      </c>
      <c r="BR32" s="706" t="str">
        <f>'Revenue summary'!BR$8</f>
      </c>
      <c r="BS32" s="706" t="str">
        <f>'Revenue summary'!BS$8</f>
      </c>
      <c r="BT32" s="706" t="str">
        <f>'Revenue summary'!BT$8</f>
      </c>
      <c r="BU32" s="707" t="str">
        <f>'Revenue summary'!BU$8</f>
      </c>
      <c r="BV32" s="706" t="str">
        <f>'Revenue summary'!BV$8</f>
      </c>
      <c r="BW32" s="706" t="str">
        <f>'Revenue summary'!BW$8</f>
      </c>
      <c r="BX32" s="706" t="str">
        <f>'Revenue summary'!BX$8</f>
      </c>
      <c r="BY32" s="707" t="str">
        <f>'Revenue summary'!BY$8</f>
      </c>
      <c r="BZ32" s="706" t="str">
        <f>'Revenue summary'!BZ$8</f>
      </c>
      <c r="CA32" s="706" t="str">
        <f>'Revenue summary'!CA$8</f>
      </c>
      <c r="CB32" s="706" t="str">
        <f>'Revenue summary'!CB$8</f>
      </c>
      <c r="CC32" s="707" t="str">
        <f>'Revenue summary'!CC$8</f>
      </c>
      <c r="CD32" s="706" t="str">
        <f>'Revenue summary'!CD$8</f>
      </c>
      <c r="CE32" s="706" t="str">
        <f>'Revenue summary'!CE$8</f>
      </c>
      <c r="CF32" s="706" t="str">
        <f>'Revenue summary'!CF$8</f>
      </c>
      <c r="CG32" s="707" t="str">
        <f>'Revenue summary'!CG$8</f>
      </c>
      <c r="CH32" s="706" t="str">
        <f>'Revenue summary'!CH$8</f>
      </c>
      <c r="CI32" s="706" t="str">
        <f>'Revenue summary'!CI$8</f>
      </c>
      <c r="CJ32" s="706" t="str">
        <f>'Revenue summary'!CJ$8</f>
      </c>
      <c r="CK32" s="707" t="str">
        <f>'Revenue summary'!CK$8</f>
      </c>
      <c r="CL32" s="706" t="str">
        <f>'Revenue summary'!CL$8</f>
      </c>
      <c r="CM32" s="706" t="str">
        <f>'Revenue summary'!CM$8</f>
      </c>
      <c r="CN32" s="706" t="str">
        <f>'Revenue summary'!CN$8</f>
      </c>
      <c r="CO32" s="707" t="str">
        <f>'Revenue summary'!CO$8</f>
      </c>
      <c r="CP32" s="706" t="str">
        <f>'Revenue summary'!CP$8</f>
      </c>
      <c r="CQ32" s="706" t="str">
        <f>'Revenue summary'!CQ$8</f>
      </c>
      <c r="CR32" s="706" t="str">
        <f>'Revenue summary'!CR$8</f>
      </c>
      <c r="CS32" s="707" t="str">
        <f>'Revenue summary'!CS$8</f>
      </c>
      <c r="CT32" s="706" t="str">
        <f>'Revenue summary'!CT$8</f>
      </c>
      <c r="CU32" s="706" t="str">
        <f>'Revenue summary'!CU$8</f>
      </c>
      <c r="CV32" s="706" t="str">
        <f>'Revenue summary'!CV$8</f>
      </c>
      <c r="CW32" s="707" t="str">
        <f>'Revenue summary'!CW$8</f>
      </c>
      <c r="CX32" s="706" t="str">
        <f>'Revenue summary'!CX$8</f>
      </c>
      <c r="CY32" s="706" t="str">
        <f>'Revenue summary'!CY$8</f>
      </c>
      <c r="CZ32" s="706" t="str">
        <f>'Revenue summary'!CZ$8</f>
      </c>
      <c r="DA32" s="707" t="str">
        <f>'Revenue summary'!DA$8</f>
      </c>
      <c r="DB32" s="706" t="str">
        <f>'Revenue summary'!DB$8</f>
      </c>
      <c r="DC32" s="706" t="str">
        <f>'Revenue summary'!DC$8</f>
      </c>
      <c r="DD32" s="706" t="str">
        <f>'Revenue summary'!DD$8</f>
      </c>
      <c r="DE32" s="707" t="str">
        <f>'Revenue summary'!DE$8</f>
      </c>
      <c r="DF32" s="706" t="str">
        <f>'Revenue summary'!DF$8</f>
      </c>
      <c r="DG32" s="706" t="str">
        <f>'Revenue summary'!DG$8</f>
      </c>
      <c r="DH32" s="706" t="str">
        <f>'Revenue summary'!DH$8</f>
      </c>
      <c r="DI32" s="707" t="str">
        <f>'Revenue summary'!DI$8</f>
      </c>
      <c r="DJ32" s="706" t="str">
        <f>'Revenue summary'!DJ$8</f>
      </c>
      <c r="DK32" s="706" t="str">
        <f>'Revenue summary'!DK$8</f>
      </c>
      <c r="DL32" s="706" t="str">
        <f>'Revenue summary'!DL$8</f>
      </c>
      <c r="DM32" s="707" t="str">
        <f>'Revenue summary'!DM$8</f>
      </c>
      <c r="DN32" s="706" t="str">
        <f>'Revenue summary'!DN$8</f>
      </c>
      <c r="DO32" s="706" t="str">
        <f>'Revenue summary'!DO$8</f>
      </c>
      <c r="DP32" s="706" t="str">
        <f>'Revenue summary'!DP$8</f>
      </c>
      <c r="DQ32" s="707" t="str">
        <f>'Revenue summary'!DQ$8</f>
      </c>
      <c r="DR32" s="706" t="str">
        <f>'Revenue summary'!DR$8</f>
      </c>
      <c r="DS32" s="706" t="str">
        <f>'Revenue summary'!DS$8</f>
      </c>
      <c r="DT32" s="706" t="str">
        <f>'Revenue summary'!DT$8</f>
      </c>
      <c r="DU32" s="707" t="str">
        <f>'Revenue summary'!DU$8</f>
      </c>
      <c r="DV32" s="706" t="str">
        <f>'Revenue summary'!DV$8</f>
      </c>
      <c r="DW32" s="706" t="str">
        <f>'Revenue summary'!DW$8</f>
      </c>
      <c r="DX32" s="706" t="str">
        <f>'Revenue summary'!DX$8</f>
      </c>
      <c r="DY32" s="707" t="str">
        <f>'Revenue summary'!DY$8</f>
      </c>
      <c r="DZ32" s="706" t="str">
        <f>'Revenue summary'!DZ$8</f>
      </c>
      <c r="EA32" s="706" t="str">
        <f>'Revenue summary'!EA$8</f>
      </c>
      <c r="EB32" s="706" t="str">
        <f>'Revenue summary'!EB$8</f>
      </c>
      <c r="EC32" s="707" t="str">
        <f>'Revenue summary'!EC$8</f>
      </c>
      <c r="ED32" s="706" t="str">
        <f>'Revenue summary'!ED$8</f>
      </c>
      <c r="EE32" s="706" t="str">
        <f>'Revenue summary'!EE$8</f>
      </c>
      <c r="EF32" s="706" t="str">
        <f>'Revenue summary'!EF$8</f>
      </c>
      <c r="EG32" s="707" t="str">
        <f>'Revenue summary'!EG$8</f>
      </c>
      <c r="EH32" s="706" t="str">
        <f>'Revenue summary'!EH$8</f>
      </c>
      <c r="EI32" s="706" t="str">
        <f>'Revenue summary'!EI$8</f>
      </c>
      <c r="EJ32" s="706" t="str">
        <f>'Revenue summary'!EJ$8</f>
      </c>
      <c r="EK32" s="707" t="str">
        <f>'Revenue summary'!EK$8</f>
      </c>
      <c r="EM32" s="342"/>
      <c r="EN32" s="342"/>
      <c r="EO32" s="342"/>
      <c r="EP32" s="342"/>
      <c r="EQ32" s="342"/>
      <c r="ER32" s="342"/>
      <c r="ES32" s="342"/>
      <c r="ET32" s="342"/>
      <c r="EU32" s="342"/>
      <c r="EV32" s="342"/>
      <c r="EW32" s="342"/>
      <c r="EX32" s="342"/>
      <c r="EY32" s="342"/>
      <c r="EZ32" s="342"/>
      <c r="FA32" s="342"/>
      <c r="FB32" s="342"/>
      <c r="FC32" s="342"/>
      <c r="FD32" s="342"/>
      <c r="FE32" s="342"/>
      <c r="FF32" s="342"/>
      <c r="FG32" s="368"/>
      <c r="FH32" s="342"/>
      <c r="FI32" s="401"/>
      <c r="FJ32" s="89"/>
      <c r="FK32" s="198"/>
      <c r="FL32" s="89"/>
      <c r="FM32" s="89"/>
      <c r="FN32" s="89"/>
      <c r="FO32" s="89"/>
      <c r="FP32" s="89"/>
      <c r="FQ32" s="89"/>
      <c r="FR32" s="89"/>
      <c r="FS32" s="89"/>
      <c r="FT32" s="89"/>
      <c r="FU32" s="89"/>
      <c r="FW32" s="89"/>
      <c r="FX32" s="342"/>
      <c r="FY32" s="342"/>
      <c r="FZ32" s="342"/>
      <c r="GA32" s="342"/>
      <c r="GB32" s="342"/>
      <c r="GC32" s="342"/>
      <c r="GD32" s="342"/>
      <c r="GE32" s="342"/>
      <c r="GF32" s="342"/>
      <c r="GG32" s="342"/>
      <c r="GH32" s="342"/>
      <c r="GI32" s="342"/>
      <c r="GJ32" s="342"/>
      <c r="GK32" s="342"/>
      <c r="GL32" s="342"/>
      <c r="GM32" s="342"/>
      <c r="GN32" s="342"/>
      <c r="GO32" s="342"/>
      <c r="GP32" s="342"/>
      <c r="GQ32" s="342"/>
      <c r="GR32" s="342"/>
      <c r="GS32" s="342"/>
      <c r="GT32" s="342"/>
      <c r="GU32" s="342"/>
      <c r="GV32" s="342"/>
      <c r="GW32" s="342"/>
      <c r="GX32" s="342"/>
      <c r="GY32" s="342"/>
      <c r="GZ32" s="342"/>
      <c r="HA32" s="342"/>
      <c r="HB32" s="342"/>
      <c r="HC32" s="342"/>
      <c r="HD32" s="342"/>
      <c r="HE32" s="342"/>
      <c r="HF32" s="342"/>
    </row>
    <row r="33" spans="1:214" s="82" customFormat="1" ht="10.199999999999999">
      <c r="A33" s="709" t="s">
        <v>84</v>
      </c>
      <c r="B33" s="710"/>
      <c r="C33" s="710"/>
      <c r="D33" s="710"/>
      <c r="E33" s="711"/>
      <c r="F33" s="710"/>
      <c r="G33" s="710"/>
      <c r="H33" s="710"/>
      <c r="I33" s="711"/>
      <c r="J33" s="710"/>
      <c r="K33" s="710"/>
      <c r="L33" s="710"/>
      <c r="M33" s="711"/>
      <c r="N33" s="710"/>
      <c r="O33" s="710"/>
      <c r="P33" s="710"/>
      <c r="Q33" s="711"/>
      <c r="R33" s="710"/>
      <c r="S33" s="710"/>
      <c r="T33" s="710"/>
      <c r="U33" s="711"/>
      <c r="V33" s="710"/>
      <c r="W33" s="710"/>
      <c r="X33" s="710"/>
      <c r="Y33" s="711"/>
      <c r="Z33" s="710"/>
      <c r="AA33" s="710"/>
      <c r="AB33" s="710"/>
      <c r="AC33" s="711"/>
      <c r="AD33" s="710"/>
      <c r="AE33" s="710"/>
      <c r="AF33" s="710"/>
      <c r="AG33" s="711"/>
      <c r="AH33" s="710"/>
      <c r="AI33" s="710"/>
      <c r="AJ33" s="710"/>
      <c r="AK33" s="711"/>
      <c r="AL33" s="710"/>
      <c r="AM33" s="710"/>
      <c r="AN33" s="710"/>
      <c r="AO33" s="711"/>
      <c r="AP33" s="710"/>
      <c r="AQ33" s="710"/>
      <c r="AR33" s="710"/>
      <c r="AS33" s="711"/>
      <c r="AT33" s="710"/>
      <c r="AU33" s="710"/>
      <c r="AV33" s="710"/>
      <c r="AW33" s="711"/>
      <c r="AX33" s="710"/>
      <c r="AY33" s="710"/>
      <c r="AZ33" s="710"/>
      <c r="BA33" s="711"/>
      <c r="BB33" s="710"/>
      <c r="BC33" s="710"/>
      <c r="BD33" s="710">
        <f t="shared" ref="BD33:CI33" si="264">IF(ISERROR(BD11/BC11-1),"NA",BD11/BC11-1)</f>
      </c>
      <c r="BE33" s="711">
        <f t="shared" si="264"/>
      </c>
      <c r="BF33" s="710">
        <f t="shared" si="264"/>
      </c>
      <c r="BG33" s="710">
        <f t="shared" si="264"/>
      </c>
      <c r="BH33" s="710">
        <f t="shared" si="264"/>
      </c>
      <c r="BI33" s="711">
        <f t="shared" si="264"/>
      </c>
      <c r="BJ33" s="710">
        <f t="shared" si="264"/>
      </c>
      <c r="BK33" s="710">
        <f t="shared" si="264"/>
      </c>
      <c r="BL33" s="710">
        <f t="shared" si="264"/>
      </c>
      <c r="BM33" s="711">
        <f t="shared" si="264"/>
      </c>
      <c r="BN33" s="710">
        <f t="shared" si="264"/>
      </c>
      <c r="BO33" s="710">
        <f t="shared" si="264"/>
      </c>
      <c r="BP33" s="710">
        <f t="shared" si="264"/>
      </c>
      <c r="BQ33" s="711">
        <f t="shared" si="264"/>
      </c>
      <c r="BR33" s="710">
        <f t="shared" si="264"/>
      </c>
      <c r="BS33" s="710">
        <f t="shared" si="264"/>
      </c>
      <c r="BT33" s="710">
        <f t="shared" si="264"/>
      </c>
      <c r="BU33" s="711">
        <f t="shared" si="264"/>
      </c>
      <c r="BV33" s="710">
        <f t="shared" si="264"/>
      </c>
      <c r="BW33" s="710">
        <f t="shared" si="264"/>
      </c>
      <c r="BX33" s="710">
        <f t="shared" si="264"/>
      </c>
      <c r="BY33" s="711">
        <f t="shared" si="264"/>
      </c>
      <c r="BZ33" s="710">
        <f t="shared" si="264"/>
      </c>
      <c r="CA33" s="710">
        <f t="shared" si="264"/>
      </c>
      <c r="CB33" s="710">
        <f t="shared" si="264"/>
      </c>
      <c r="CC33" s="711">
        <f t="shared" si="264"/>
      </c>
      <c r="CD33" s="710">
        <f t="shared" si="264"/>
      </c>
      <c r="CE33" s="710">
        <f t="shared" si="264"/>
      </c>
      <c r="CF33" s="710">
        <f t="shared" si="264"/>
      </c>
      <c r="CG33" s="711">
        <f t="shared" si="264"/>
      </c>
      <c r="CH33" s="710">
        <f t="shared" si="264"/>
      </c>
      <c r="CI33" s="710">
        <f t="shared" si="264"/>
      </c>
      <c r="CJ33" s="710">
        <f t="shared" ref="CJ33:DO33" si="265">IF(ISERROR(CJ11/CI11-1),"NA",CJ11/CI11-1)</f>
      </c>
      <c r="CK33" s="711">
        <f t="shared" si="265"/>
      </c>
      <c r="CL33" s="710">
        <f t="shared" si="265"/>
      </c>
      <c r="CM33" s="710">
        <f t="shared" si="265"/>
      </c>
      <c r="CN33" s="710">
        <f t="shared" si="265"/>
      </c>
      <c r="CO33" s="711">
        <f t="shared" si="265"/>
      </c>
      <c r="CP33" s="710">
        <f t="shared" si="265"/>
      </c>
      <c r="CQ33" s="710">
        <f t="shared" si="265"/>
      </c>
      <c r="CR33" s="710">
        <f t="shared" si="265"/>
      </c>
      <c r="CS33" s="711">
        <f t="shared" si="265"/>
      </c>
      <c r="CT33" s="710">
        <f t="shared" si="265"/>
      </c>
      <c r="CU33" s="710">
        <f t="shared" si="265"/>
      </c>
      <c r="CV33" s="710">
        <f t="shared" si="265"/>
      </c>
      <c r="CW33" s="711">
        <f t="shared" si="265"/>
      </c>
      <c r="CX33" s="712">
        <f t="shared" si="265"/>
      </c>
      <c r="CY33" s="710">
        <f t="shared" si="265"/>
      </c>
      <c r="CZ33" s="710">
        <f t="shared" si="265"/>
      </c>
      <c r="DA33" s="711">
        <f t="shared" si="265"/>
      </c>
      <c r="DB33" s="710">
        <f t="shared" si="265"/>
      </c>
      <c r="DC33" s="710">
        <f t="shared" si="265"/>
      </c>
      <c r="DD33" s="710">
        <f t="shared" si="265"/>
      </c>
      <c r="DE33" s="711">
        <f t="shared" si="265"/>
      </c>
      <c r="DF33" s="710">
        <f t="shared" si="265"/>
      </c>
      <c r="DG33" s="710">
        <f t="shared" si="265"/>
      </c>
      <c r="DH33" s="710">
        <f t="shared" si="265"/>
      </c>
      <c r="DI33" s="711">
        <f t="shared" si="265"/>
      </c>
      <c r="DJ33" s="710">
        <f t="shared" si="265"/>
      </c>
      <c r="DK33" s="710">
        <f t="shared" si="265"/>
      </c>
      <c r="DL33" s="710">
        <f t="shared" si="265"/>
      </c>
      <c r="DM33" s="711">
        <f t="shared" si="265"/>
      </c>
      <c r="DN33" s="710">
        <f t="shared" si="265"/>
      </c>
      <c r="DO33" s="710">
        <f t="shared" si="265"/>
      </c>
      <c r="DP33" s="710">
        <f t="shared" ref="DP33:DU33" si="266">IF(ISERROR(DP11/DO11-1),"NA",DP11/DO11-1)</f>
      </c>
      <c r="DQ33" s="711">
        <f t="shared" si="266"/>
      </c>
      <c r="DR33" s="710">
        <f t="shared" si="266"/>
      </c>
      <c r="DS33" s="710">
        <f t="shared" si="266"/>
      </c>
      <c r="DT33" s="710">
        <f t="shared" si="266"/>
      </c>
      <c r="DU33" s="711">
        <f t="shared" si="266"/>
      </c>
      <c r="DV33" s="710">
        <f t="shared" ref="DV33:EK33" si="267">IF(ISERROR(DV11/DU11-1),"NA",DV11/DU11-1)</f>
      </c>
      <c r="DW33" s="710">
        <f t="shared" si="267"/>
      </c>
      <c r="DX33" s="710">
        <f t="shared" si="267"/>
      </c>
      <c r="DY33" s="711">
        <f t="shared" si="267"/>
      </c>
      <c r="DZ33" s="710">
        <f t="shared" si="267"/>
      </c>
      <c r="EA33" s="710">
        <f t="shared" si="267"/>
      </c>
      <c r="EB33" s="710">
        <f t="shared" si="267"/>
      </c>
      <c r="EC33" s="711">
        <f t="shared" si="267"/>
      </c>
      <c r="ED33" s="710">
        <f t="shared" si="267"/>
      </c>
      <c r="EE33" s="710">
        <f t="shared" si="267"/>
      </c>
      <c r="EF33" s="710">
        <f t="shared" si="267"/>
      </c>
      <c r="EG33" s="711">
        <f t="shared" si="267"/>
      </c>
      <c r="EH33" s="710">
        <f t="shared" si="267"/>
      </c>
      <c r="EI33" s="710">
        <f t="shared" si="267"/>
      </c>
      <c r="EJ33" s="710">
        <f t="shared" si="267"/>
      </c>
      <c r="EK33" s="711">
        <f t="shared" si="267"/>
      </c>
      <c r="EM33" s="140"/>
      <c r="EN33" s="140"/>
      <c r="EO33" s="140"/>
      <c r="EP33" s="140"/>
      <c r="EQ33" s="140"/>
      <c r="ER33" s="140"/>
      <c r="ES33" s="140"/>
      <c r="ET33" s="140"/>
      <c r="EU33" s="140"/>
      <c r="EV33" s="140"/>
      <c r="EW33" s="140"/>
      <c r="EX33" s="140"/>
      <c r="EY33" s="369"/>
      <c r="EZ33" s="369"/>
      <c r="FA33" s="369"/>
      <c r="FB33" s="369"/>
      <c r="FC33" s="369"/>
      <c r="FD33" s="369"/>
      <c r="FE33" s="369"/>
      <c r="FF33" s="369"/>
      <c r="FG33" s="369"/>
      <c r="FH33" s="407"/>
      <c r="FI33" s="369"/>
      <c r="FJ33" s="369"/>
      <c r="FK33" s="369"/>
      <c r="FL33" s="369"/>
      <c r="FM33" s="369"/>
      <c r="FN33" s="369"/>
      <c r="FO33" s="369"/>
      <c r="FP33" s="369"/>
      <c r="FQ33" s="2020"/>
      <c r="FR33" s="369"/>
      <c r="FS33" s="369"/>
      <c r="FT33" s="369"/>
      <c r="FU33" s="369"/>
      <c r="FW33" s="369"/>
      <c r="FX33" s="140"/>
      <c r="FY33" s="140"/>
      <c r="FZ33" s="140"/>
      <c r="GA33" s="140"/>
      <c r="GB33" s="140"/>
      <c r="GC33" s="140"/>
      <c r="GD33" s="140"/>
      <c r="GE33" s="140"/>
      <c r="GF33" s="140"/>
      <c r="GG33" s="140"/>
      <c r="GH33" s="140"/>
      <c r="GI33" s="140"/>
      <c r="GJ33" s="140"/>
      <c r="GK33" s="369"/>
      <c r="GL33" s="369"/>
      <c r="GM33" s="369"/>
      <c r="GN33" s="369"/>
      <c r="GO33" s="369"/>
      <c r="GP33" s="369"/>
      <c r="GQ33" s="369"/>
      <c r="GR33" s="369"/>
      <c r="GS33" s="369"/>
      <c r="GT33" s="369"/>
      <c r="GU33" s="369"/>
      <c r="GV33" s="369"/>
      <c r="GW33" s="369"/>
      <c r="GX33" s="369"/>
      <c r="GY33" s="369"/>
      <c r="GZ33" s="369"/>
      <c r="HA33" s="369"/>
      <c r="HB33" s="369"/>
      <c r="HC33" s="369"/>
      <c r="HD33" s="369"/>
      <c r="HE33" s="369"/>
      <c r="HF33" s="369"/>
    </row>
    <row r="34" spans="1:214" s="82" customFormat="1" ht="10.199999999999999">
      <c r="A34" s="709" t="s">
        <v>86</v>
      </c>
      <c r="B34" s="710"/>
      <c r="C34" s="710"/>
      <c r="D34" s="710"/>
      <c r="E34" s="711"/>
      <c r="F34" s="710"/>
      <c r="G34" s="710"/>
      <c r="H34" s="710"/>
      <c r="I34" s="711"/>
      <c r="J34" s="710"/>
      <c r="K34" s="710"/>
      <c r="L34" s="710"/>
      <c r="M34" s="711"/>
      <c r="N34" s="710"/>
      <c r="O34" s="710"/>
      <c r="P34" s="710"/>
      <c r="Q34" s="711"/>
      <c r="R34" s="710"/>
      <c r="S34" s="710"/>
      <c r="T34" s="710"/>
      <c r="U34" s="711"/>
      <c r="V34" s="710"/>
      <c r="W34" s="710"/>
      <c r="X34" s="710"/>
      <c r="Y34" s="711"/>
      <c r="Z34" s="710"/>
      <c r="AA34" s="710"/>
      <c r="AB34" s="710"/>
      <c r="AC34" s="711"/>
      <c r="AD34" s="710"/>
      <c r="AE34" s="710"/>
      <c r="AF34" s="710"/>
      <c r="AG34" s="711"/>
      <c r="AH34" s="710"/>
      <c r="AI34" s="710"/>
      <c r="AJ34" s="710"/>
      <c r="AK34" s="711"/>
      <c r="AL34" s="710"/>
      <c r="AM34" s="710"/>
      <c r="AN34" s="710"/>
      <c r="AO34" s="711"/>
      <c r="AP34" s="710"/>
      <c r="AQ34" s="710"/>
      <c r="AR34" s="710"/>
      <c r="AS34" s="711"/>
      <c r="AT34" s="710">
        <f t="shared" ref="AT34:BC34" si="268">IF(ISERROR(AT12/AS12-1),"NA",AT12/AS12-1)</f>
      </c>
      <c r="AU34" s="710">
        <f t="shared" si="268"/>
      </c>
      <c r="AV34" s="710">
        <f t="shared" si="268"/>
      </c>
      <c r="AW34" s="711">
        <f t="shared" si="268"/>
      </c>
      <c r="AX34" s="710">
        <f t="shared" si="268"/>
      </c>
      <c r="AY34" s="710">
        <f t="shared" si="268"/>
      </c>
      <c r="AZ34" s="710">
        <f t="shared" si="268"/>
      </c>
      <c r="BA34" s="711">
        <f t="shared" si="268"/>
      </c>
      <c r="BB34" s="710">
        <f t="shared" si="268"/>
      </c>
      <c r="BC34" s="710">
        <f t="shared" si="268"/>
      </c>
      <c r="BD34" s="710">
        <f t="shared" ref="BD34:CI34" si="269">IF(ISERROR(BD12/BC12-1),"NA",BD12/BC12-1)</f>
      </c>
      <c r="BE34" s="711">
        <f t="shared" si="269"/>
      </c>
      <c r="BF34" s="710">
        <f t="shared" si="269"/>
      </c>
      <c r="BG34" s="710">
        <f t="shared" si="269"/>
      </c>
      <c r="BH34" s="710">
        <f t="shared" si="269"/>
      </c>
      <c r="BI34" s="711">
        <f t="shared" si="269"/>
      </c>
      <c r="BJ34" s="710">
        <f t="shared" si="269"/>
      </c>
      <c r="BK34" s="710">
        <f t="shared" si="269"/>
      </c>
      <c r="BL34" s="710">
        <f t="shared" si="269"/>
      </c>
      <c r="BM34" s="711">
        <f t="shared" si="269"/>
      </c>
      <c r="BN34" s="710">
        <f t="shared" si="269"/>
      </c>
      <c r="BO34" s="710">
        <f t="shared" si="269"/>
      </c>
      <c r="BP34" s="710">
        <f t="shared" si="269"/>
      </c>
      <c r="BQ34" s="711">
        <f t="shared" si="269"/>
      </c>
      <c r="BR34" s="710">
        <f t="shared" si="269"/>
      </c>
      <c r="BS34" s="710">
        <f t="shared" si="269"/>
      </c>
      <c r="BT34" s="710">
        <f t="shared" si="269"/>
      </c>
      <c r="BU34" s="711">
        <f t="shared" si="269"/>
      </c>
      <c r="BV34" s="710">
        <f t="shared" si="269"/>
      </c>
      <c r="BW34" s="710">
        <f t="shared" si="269"/>
      </c>
      <c r="BX34" s="710">
        <f t="shared" si="269"/>
      </c>
      <c r="BY34" s="711">
        <f t="shared" si="269"/>
      </c>
      <c r="BZ34" s="710">
        <f t="shared" si="269"/>
      </c>
      <c r="CA34" s="710">
        <f t="shared" si="269"/>
      </c>
      <c r="CB34" s="710">
        <f t="shared" si="269"/>
      </c>
      <c r="CC34" s="711">
        <f t="shared" si="269"/>
      </c>
      <c r="CD34" s="710">
        <f t="shared" si="269"/>
      </c>
      <c r="CE34" s="710">
        <f t="shared" si="269"/>
      </c>
      <c r="CF34" s="710">
        <f t="shared" si="269"/>
      </c>
      <c r="CG34" s="711">
        <f t="shared" si="269"/>
      </c>
      <c r="CH34" s="710">
        <f t="shared" si="269"/>
      </c>
      <c r="CI34" s="710">
        <f t="shared" si="269"/>
      </c>
      <c r="CJ34" s="710">
        <f t="shared" ref="CJ34:DO34" si="270">IF(ISERROR(CJ12/CI12-1),"NA",CJ12/CI12-1)</f>
      </c>
      <c r="CK34" s="711">
        <f t="shared" si="270"/>
      </c>
      <c r="CL34" s="710">
        <f t="shared" si="270"/>
      </c>
      <c r="CM34" s="710">
        <f t="shared" si="270"/>
      </c>
      <c r="CN34" s="710">
        <f t="shared" si="270"/>
      </c>
      <c r="CO34" s="711">
        <f t="shared" si="270"/>
      </c>
      <c r="CP34" s="710">
        <f t="shared" si="270"/>
      </c>
      <c r="CQ34" s="710">
        <f t="shared" si="270"/>
      </c>
      <c r="CR34" s="710">
        <f t="shared" si="270"/>
      </c>
      <c r="CS34" s="711">
        <f t="shared" si="270"/>
      </c>
      <c r="CT34" s="710">
        <f t="shared" si="270"/>
      </c>
      <c r="CU34" s="710">
        <f t="shared" si="270"/>
      </c>
      <c r="CV34" s="710">
        <f t="shared" si="270"/>
      </c>
      <c r="CW34" s="711">
        <f t="shared" si="270"/>
      </c>
      <c r="CX34" s="712">
        <f t="shared" si="270"/>
      </c>
      <c r="CY34" s="710">
        <f t="shared" si="270"/>
      </c>
      <c r="CZ34" s="710">
        <f t="shared" si="270"/>
      </c>
      <c r="DA34" s="711">
        <f t="shared" si="270"/>
      </c>
      <c r="DB34" s="710">
        <f t="shared" si="270"/>
      </c>
      <c r="DC34" s="710">
        <f t="shared" si="270"/>
      </c>
      <c r="DD34" s="710">
        <f t="shared" si="270"/>
      </c>
      <c r="DE34" s="711">
        <f t="shared" si="270"/>
      </c>
      <c r="DF34" s="710">
        <f t="shared" si="270"/>
      </c>
      <c r="DG34" s="710">
        <f t="shared" si="270"/>
      </c>
      <c r="DH34" s="710">
        <f t="shared" si="270"/>
      </c>
      <c r="DI34" s="711">
        <f t="shared" si="270"/>
      </c>
      <c r="DJ34" s="710">
        <f t="shared" si="270"/>
      </c>
      <c r="DK34" s="710">
        <f t="shared" si="270"/>
      </c>
      <c r="DL34" s="710">
        <f t="shared" si="270"/>
      </c>
      <c r="DM34" s="711">
        <f t="shared" si="270"/>
      </c>
      <c r="DN34" s="710">
        <f t="shared" si="270"/>
      </c>
      <c r="DO34" s="710">
        <f t="shared" si="270"/>
      </c>
      <c r="DP34" s="710">
        <f t="shared" ref="DP34:DU34" si="271">IF(ISERROR(DP12/DO12-1),"NA",DP12/DO12-1)</f>
      </c>
      <c r="DQ34" s="711">
        <f t="shared" si="271"/>
      </c>
      <c r="DR34" s="710">
        <f t="shared" si="271"/>
      </c>
      <c r="DS34" s="710">
        <f t="shared" si="271"/>
      </c>
      <c r="DT34" s="710">
        <f t="shared" si="271"/>
      </c>
      <c r="DU34" s="711">
        <f t="shared" si="271"/>
      </c>
      <c r="DV34" s="710">
        <f t="shared" ref="DV34:EK34" si="272">IF(ISERROR(DV12/DU12-1),"NA",DV12/DU12-1)</f>
      </c>
      <c r="DW34" s="710">
        <f t="shared" si="272"/>
      </c>
      <c r="DX34" s="710">
        <f t="shared" si="272"/>
      </c>
      <c r="DY34" s="711">
        <f t="shared" si="272"/>
      </c>
      <c r="DZ34" s="710">
        <f t="shared" si="272"/>
      </c>
      <c r="EA34" s="710">
        <f t="shared" si="272"/>
      </c>
      <c r="EB34" s="710">
        <f t="shared" si="272"/>
      </c>
      <c r="EC34" s="711">
        <f t="shared" si="272"/>
      </c>
      <c r="ED34" s="710">
        <f t="shared" si="272"/>
      </c>
      <c r="EE34" s="710">
        <f t="shared" si="272"/>
      </c>
      <c r="EF34" s="710">
        <f t="shared" si="272"/>
      </c>
      <c r="EG34" s="711">
        <f t="shared" si="272"/>
      </c>
      <c r="EH34" s="710">
        <f t="shared" si="272"/>
      </c>
      <c r="EI34" s="710">
        <f t="shared" si="272"/>
      </c>
      <c r="EJ34" s="710">
        <f t="shared" si="272"/>
      </c>
      <c r="EK34" s="711">
        <f t="shared" si="272"/>
      </c>
      <c r="EM34" s="140"/>
      <c r="EN34" s="140"/>
      <c r="EO34" s="140"/>
      <c r="EP34" s="140"/>
      <c r="EQ34" s="140"/>
      <c r="ER34" s="140"/>
      <c r="ES34" s="140"/>
      <c r="ET34" s="140"/>
      <c r="EU34" s="140"/>
      <c r="EV34" s="140"/>
      <c r="EW34" s="140"/>
      <c r="EX34" s="140"/>
      <c r="EY34" s="369"/>
      <c r="EZ34" s="369"/>
      <c r="FA34" s="369"/>
      <c r="FB34" s="369"/>
      <c r="FC34" s="369"/>
      <c r="FD34" s="369"/>
      <c r="FE34" s="369"/>
      <c r="FF34" s="369"/>
      <c r="FG34" s="369"/>
      <c r="FH34" s="407"/>
      <c r="FI34" s="369"/>
      <c r="FJ34" s="369"/>
      <c r="FK34" s="369"/>
      <c r="FL34" s="369"/>
      <c r="FM34" s="369"/>
      <c r="FN34" s="369"/>
      <c r="FO34" s="2020"/>
      <c r="FP34" s="369"/>
      <c r="FQ34" s="2020"/>
      <c r="FR34" s="369"/>
      <c r="FS34" s="369"/>
      <c r="FT34" s="369"/>
      <c r="FU34" s="369"/>
      <c r="FW34" s="369"/>
      <c r="FX34" s="140"/>
      <c r="FY34" s="140"/>
      <c r="FZ34" s="140"/>
      <c r="GA34" s="140"/>
      <c r="GB34" s="140"/>
      <c r="GC34" s="140"/>
      <c r="GD34" s="140"/>
      <c r="GE34" s="140"/>
      <c r="GF34" s="140"/>
      <c r="GG34" s="140"/>
      <c r="GH34" s="140"/>
      <c r="GI34" s="140"/>
      <c r="GJ34" s="140"/>
      <c r="GK34" s="369"/>
      <c r="GL34" s="369"/>
      <c r="GM34" s="369"/>
      <c r="GN34" s="369"/>
      <c r="GO34" s="369"/>
      <c r="GP34" s="369"/>
      <c r="GQ34" s="369"/>
      <c r="GR34" s="369"/>
      <c r="GS34" s="369"/>
      <c r="GT34" s="369"/>
      <c r="GU34" s="369"/>
      <c r="GV34" s="369"/>
      <c r="GW34" s="369"/>
      <c r="GX34" s="369"/>
      <c r="GY34" s="369"/>
      <c r="GZ34" s="369"/>
      <c r="HA34" s="369"/>
      <c r="HB34" s="369"/>
      <c r="HC34" s="369"/>
      <c r="HD34" s="369"/>
      <c r="HE34" s="369"/>
      <c r="HF34" s="369"/>
    </row>
    <row r="35" spans="1:214" s="82" customFormat="1" ht="10.199999999999999">
      <c r="A35" s="709" t="s">
        <v>85</v>
      </c>
      <c r="B35" s="710"/>
      <c r="C35" s="710"/>
      <c r="D35" s="710"/>
      <c r="E35" s="711"/>
      <c r="F35" s="710"/>
      <c r="G35" s="710"/>
      <c r="H35" s="710"/>
      <c r="I35" s="711"/>
      <c r="J35" s="710"/>
      <c r="K35" s="710"/>
      <c r="L35" s="710"/>
      <c r="M35" s="711"/>
      <c r="N35" s="710"/>
      <c r="O35" s="710"/>
      <c r="P35" s="710"/>
      <c r="Q35" s="711"/>
      <c r="R35" s="710"/>
      <c r="S35" s="710"/>
      <c r="T35" s="710"/>
      <c r="U35" s="711"/>
      <c r="V35" s="710"/>
      <c r="W35" s="710"/>
      <c r="X35" s="710"/>
      <c r="Y35" s="711"/>
      <c r="Z35" s="710"/>
      <c r="AA35" s="710"/>
      <c r="AB35" s="710"/>
      <c r="AC35" s="711"/>
      <c r="AD35" s="710"/>
      <c r="AE35" s="710"/>
      <c r="AF35" s="710"/>
      <c r="AG35" s="711"/>
      <c r="AH35" s="710"/>
      <c r="AI35" s="710"/>
      <c r="AJ35" s="710"/>
      <c r="AK35" s="711"/>
      <c r="AL35" s="710"/>
      <c r="AM35" s="710"/>
      <c r="AN35" s="710"/>
      <c r="AO35" s="711"/>
      <c r="AP35" s="710"/>
      <c r="AQ35" s="710"/>
      <c r="AR35" s="710"/>
      <c r="AS35" s="711"/>
      <c r="AT35" s="710"/>
      <c r="AU35" s="710"/>
      <c r="AV35" s="710"/>
      <c r="AW35" s="711"/>
      <c r="AX35" s="710"/>
      <c r="AY35" s="710"/>
      <c r="AZ35" s="710"/>
      <c r="BA35" s="711"/>
      <c r="BB35" s="710"/>
      <c r="BC35" s="710"/>
      <c r="BD35" s="710" t="str">
        <f t="shared" ref="BD35:CI35" si="273">IF(ISERROR(BD13/BC13-1),"NA",BD13/BC13-1)</f>
      </c>
      <c r="BE35" s="711" t="str">
        <f t="shared" si="273"/>
      </c>
      <c r="BF35" s="710" t="str">
        <f t="shared" si="273"/>
      </c>
      <c r="BG35" s="710" t="str">
        <f t="shared" si="273"/>
      </c>
      <c r="BH35" s="710" t="str">
        <f t="shared" si="273"/>
      </c>
      <c r="BI35" s="711">
        <f t="shared" si="273"/>
      </c>
      <c r="BJ35" s="710">
        <f t="shared" si="273"/>
      </c>
      <c r="BK35" s="710">
        <f t="shared" si="273"/>
      </c>
      <c r="BL35" s="710">
        <f t="shared" si="273"/>
      </c>
      <c r="BM35" s="711">
        <f t="shared" si="273"/>
      </c>
      <c r="BN35" s="710">
        <f t="shared" si="273"/>
      </c>
      <c r="BO35" s="710">
        <f t="shared" si="273"/>
      </c>
      <c r="BP35" s="710">
        <f t="shared" si="273"/>
      </c>
      <c r="BQ35" s="711">
        <f t="shared" si="273"/>
      </c>
      <c r="BR35" s="710">
        <f t="shared" si="273"/>
      </c>
      <c r="BS35" s="710">
        <f t="shared" si="273"/>
      </c>
      <c r="BT35" s="710">
        <f t="shared" si="273"/>
      </c>
      <c r="BU35" s="711">
        <f t="shared" si="273"/>
      </c>
      <c r="BV35" s="710">
        <f t="shared" si="273"/>
      </c>
      <c r="BW35" s="710">
        <f t="shared" si="273"/>
      </c>
      <c r="BX35" s="710">
        <f t="shared" si="273"/>
      </c>
      <c r="BY35" s="711">
        <f t="shared" si="273"/>
      </c>
      <c r="BZ35" s="710">
        <f t="shared" si="273"/>
      </c>
      <c r="CA35" s="710">
        <f t="shared" si="273"/>
      </c>
      <c r="CB35" s="710">
        <f t="shared" si="273"/>
      </c>
      <c r="CC35" s="711">
        <f t="shared" si="273"/>
      </c>
      <c r="CD35" s="710">
        <f t="shared" si="273"/>
      </c>
      <c r="CE35" s="710">
        <f t="shared" si="273"/>
      </c>
      <c r="CF35" s="710">
        <f t="shared" si="273"/>
      </c>
      <c r="CG35" s="711">
        <f t="shared" si="273"/>
      </c>
      <c r="CH35" s="710">
        <f t="shared" si="273"/>
      </c>
      <c r="CI35" s="710">
        <f t="shared" si="273"/>
      </c>
      <c r="CJ35" s="710">
        <f t="shared" ref="CJ35:DO35" si="274">IF(ISERROR(CJ13/CI13-1),"NA",CJ13/CI13-1)</f>
      </c>
      <c r="CK35" s="711">
        <f t="shared" si="274"/>
      </c>
      <c r="CL35" s="710">
        <f t="shared" si="274"/>
      </c>
      <c r="CM35" s="710">
        <f t="shared" si="274"/>
      </c>
      <c r="CN35" s="710">
        <f t="shared" si="274"/>
      </c>
      <c r="CO35" s="711">
        <f t="shared" si="274"/>
      </c>
      <c r="CP35" s="710">
        <f t="shared" si="274"/>
      </c>
      <c r="CQ35" s="710">
        <f t="shared" si="274"/>
      </c>
      <c r="CR35" s="710">
        <f t="shared" si="274"/>
      </c>
      <c r="CS35" s="711">
        <f t="shared" si="274"/>
      </c>
      <c r="CT35" s="710">
        <f t="shared" si="274"/>
      </c>
      <c r="CU35" s="710">
        <f t="shared" si="274"/>
      </c>
      <c r="CV35" s="710">
        <f t="shared" si="274"/>
      </c>
      <c r="CW35" s="711">
        <f t="shared" si="274"/>
      </c>
      <c r="CX35" s="712">
        <f t="shared" si="274"/>
      </c>
      <c r="CY35" s="710">
        <f t="shared" si="274"/>
      </c>
      <c r="CZ35" s="710">
        <f t="shared" si="274"/>
      </c>
      <c r="DA35" s="711">
        <f t="shared" si="274"/>
      </c>
      <c r="DB35" s="710">
        <f t="shared" si="274"/>
      </c>
      <c r="DC35" s="710">
        <f t="shared" si="274"/>
      </c>
      <c r="DD35" s="710">
        <f t="shared" si="274"/>
      </c>
      <c r="DE35" s="711">
        <f t="shared" si="274"/>
      </c>
      <c r="DF35" s="710">
        <f t="shared" si="274"/>
      </c>
      <c r="DG35" s="710">
        <f t="shared" si="274"/>
      </c>
      <c r="DH35" s="710">
        <f t="shared" si="274"/>
      </c>
      <c r="DI35" s="711">
        <f t="shared" si="274"/>
      </c>
      <c r="DJ35" s="710">
        <f t="shared" si="274"/>
      </c>
      <c r="DK35" s="710">
        <f t="shared" si="274"/>
      </c>
      <c r="DL35" s="710">
        <f>IF(ISERROR(DL13/DK13-1),"NA",DL13/DK13-1)</f>
      </c>
      <c r="DM35" s="711">
        <f t="shared" si="274"/>
      </c>
      <c r="DN35" s="710">
        <f t="shared" si="274"/>
      </c>
      <c r="DO35" s="710">
        <f t="shared" si="274"/>
      </c>
      <c r="DP35" s="710">
        <f t="shared" ref="DP35:DU35" si="275">IF(ISERROR(DP13/DO13-1),"NA",DP13/DO13-1)</f>
      </c>
      <c r="DQ35" s="711">
        <f t="shared" si="275"/>
      </c>
      <c r="DR35" s="710">
        <f t="shared" si="275"/>
      </c>
      <c r="DS35" s="710">
        <f t="shared" si="275"/>
      </c>
      <c r="DT35" s="710">
        <f t="shared" si="275"/>
      </c>
      <c r="DU35" s="711">
        <f t="shared" si="275"/>
      </c>
      <c r="DV35" s="710">
        <f t="shared" ref="DV35:EK35" si="276">IF(ISERROR(DV13/DU13-1),"NA",DV13/DU13-1)</f>
      </c>
      <c r="DW35" s="710">
        <f t="shared" si="276"/>
      </c>
      <c r="DX35" s="710">
        <f t="shared" si="276"/>
      </c>
      <c r="DY35" s="711">
        <f t="shared" si="276"/>
      </c>
      <c r="DZ35" s="710">
        <f t="shared" si="276"/>
      </c>
      <c r="EA35" s="710">
        <f t="shared" si="276"/>
      </c>
      <c r="EB35" s="710">
        <f t="shared" si="276"/>
      </c>
      <c r="EC35" s="711">
        <f t="shared" si="276"/>
      </c>
      <c r="ED35" s="710">
        <f t="shared" si="276"/>
      </c>
      <c r="EE35" s="710">
        <f t="shared" si="276"/>
      </c>
      <c r="EF35" s="710">
        <f t="shared" si="276"/>
      </c>
      <c r="EG35" s="711">
        <f t="shared" si="276"/>
      </c>
      <c r="EH35" s="710">
        <f t="shared" si="276"/>
      </c>
      <c r="EI35" s="710">
        <f t="shared" si="276"/>
      </c>
      <c r="EJ35" s="710">
        <f t="shared" si="276"/>
      </c>
      <c r="EK35" s="711">
        <f t="shared" si="276"/>
      </c>
      <c r="EM35" s="140"/>
      <c r="EN35" s="140"/>
      <c r="EO35" s="140"/>
      <c r="EP35" s="140"/>
      <c r="EQ35" s="140"/>
      <c r="ER35" s="140"/>
      <c r="ES35" s="140"/>
      <c r="ET35" s="140"/>
      <c r="EU35" s="140"/>
      <c r="EV35" s="140"/>
      <c r="EW35" s="140"/>
      <c r="EX35" s="140"/>
      <c r="EY35" s="369"/>
      <c r="EZ35" s="369"/>
      <c r="FA35" s="369"/>
      <c r="FB35" s="369"/>
      <c r="FC35" s="369"/>
      <c r="FD35" s="369"/>
      <c r="FE35" s="369"/>
      <c r="FF35" s="369"/>
      <c r="FG35" s="369"/>
      <c r="FH35" s="407"/>
      <c r="FI35" s="369"/>
      <c r="FJ35" s="369"/>
      <c r="FK35" s="369"/>
      <c r="FL35" s="369"/>
      <c r="FM35" s="369"/>
      <c r="FN35" s="369"/>
      <c r="FO35" s="369"/>
      <c r="FP35" s="369"/>
      <c r="FQ35" s="369"/>
      <c r="FR35" s="369"/>
      <c r="FS35" s="369"/>
      <c r="FT35" s="369"/>
      <c r="FU35" s="369"/>
      <c r="FW35" s="369"/>
      <c r="FX35" s="140"/>
      <c r="FY35" s="140"/>
      <c r="FZ35" s="140"/>
      <c r="GA35" s="140"/>
      <c r="GB35" s="140"/>
      <c r="GC35" s="140"/>
      <c r="GD35" s="140"/>
      <c r="GE35" s="140"/>
      <c r="GF35" s="140"/>
      <c r="GG35" s="140"/>
      <c r="GH35" s="140"/>
      <c r="GI35" s="140"/>
      <c r="GJ35" s="140"/>
      <c r="GK35" s="369"/>
      <c r="GL35" s="369"/>
      <c r="GM35" s="369"/>
      <c r="GN35" s="369"/>
      <c r="GO35" s="369"/>
      <c r="GP35" s="369"/>
      <c r="GQ35" s="369"/>
      <c r="GR35" s="369"/>
      <c r="GS35" s="369"/>
      <c r="GT35" s="369"/>
      <c r="GU35" s="369"/>
      <c r="GV35" s="369"/>
      <c r="GW35" s="369"/>
      <c r="GX35" s="369"/>
      <c r="GY35" s="369"/>
      <c r="GZ35" s="369"/>
      <c r="HA35" s="369"/>
      <c r="HB35" s="369"/>
      <c r="HC35" s="369"/>
      <c r="HD35" s="369"/>
      <c r="HE35" s="369"/>
      <c r="HF35" s="369"/>
    </row>
    <row r="36" spans="1:214" s="82" customFormat="1" ht="10.199999999999999">
      <c r="A36" s="713" t="s">
        <v>1120</v>
      </c>
      <c r="B36" s="710"/>
      <c r="C36" s="710"/>
      <c r="D36" s="710"/>
      <c r="E36" s="711"/>
      <c r="F36" s="710"/>
      <c r="G36" s="710"/>
      <c r="H36" s="710"/>
      <c r="I36" s="711"/>
      <c r="J36" s="710"/>
      <c r="K36" s="710"/>
      <c r="L36" s="710"/>
      <c r="M36" s="711"/>
      <c r="N36" s="710"/>
      <c r="O36" s="710"/>
      <c r="P36" s="710"/>
      <c r="Q36" s="711"/>
      <c r="R36" s="710"/>
      <c r="S36" s="710"/>
      <c r="T36" s="710"/>
      <c r="U36" s="711"/>
      <c r="V36" s="710"/>
      <c r="W36" s="710"/>
      <c r="X36" s="710"/>
      <c r="Y36" s="711"/>
      <c r="Z36" s="710"/>
      <c r="AA36" s="710"/>
      <c r="AB36" s="710"/>
      <c r="AC36" s="711"/>
      <c r="AD36" s="710"/>
      <c r="AE36" s="710"/>
      <c r="AF36" s="710"/>
      <c r="AG36" s="711"/>
      <c r="AH36" s="710"/>
      <c r="AI36" s="710"/>
      <c r="AJ36" s="710"/>
      <c r="AK36" s="711"/>
      <c r="AL36" s="710"/>
      <c r="AM36" s="710"/>
      <c r="AN36" s="710"/>
      <c r="AO36" s="711"/>
      <c r="AP36" s="710"/>
      <c r="AQ36" s="710"/>
      <c r="AR36" s="710"/>
      <c r="AS36" s="711"/>
      <c r="AT36" s="710">
        <f t="shared" ref="AT36:BC36" si="277">IF(ISERROR(AT14/AS14-1),"NA",AT14/AS14-1)</f>
      </c>
      <c r="AU36" s="710">
        <f t="shared" si="277"/>
      </c>
      <c r="AV36" s="710">
        <f t="shared" si="277"/>
      </c>
      <c r="AW36" s="711">
        <f t="shared" si="277"/>
      </c>
      <c r="AX36" s="710">
        <f t="shared" si="277"/>
      </c>
      <c r="AY36" s="710">
        <f t="shared" si="277"/>
      </c>
      <c r="AZ36" s="710">
        <f t="shared" si="277"/>
      </c>
      <c r="BA36" s="711">
        <f t="shared" si="277"/>
      </c>
      <c r="BB36" s="710">
        <f t="shared" si="277"/>
      </c>
      <c r="BC36" s="710">
        <f t="shared" si="277"/>
      </c>
      <c r="BD36" s="710">
        <f t="shared" ref="BD36:CI36" si="278">IF(ISERROR(BD14/BC14-1),"NA",BD14/BC14-1)</f>
      </c>
      <c r="BE36" s="711">
        <f t="shared" si="278"/>
      </c>
      <c r="BF36" s="710">
        <f t="shared" si="278"/>
      </c>
      <c r="BG36" s="710">
        <f t="shared" si="278"/>
      </c>
      <c r="BH36" s="710">
        <f t="shared" si="278"/>
      </c>
      <c r="BI36" s="711">
        <f t="shared" si="278"/>
      </c>
      <c r="BJ36" s="710">
        <f t="shared" si="278"/>
      </c>
      <c r="BK36" s="710">
        <f t="shared" si="278"/>
      </c>
      <c r="BL36" s="710">
        <f t="shared" si="278"/>
      </c>
      <c r="BM36" s="711">
        <f t="shared" si="278"/>
      </c>
      <c r="BN36" s="710">
        <f t="shared" si="278"/>
      </c>
      <c r="BO36" s="710">
        <f t="shared" si="278"/>
      </c>
      <c r="BP36" s="710">
        <f t="shared" si="278"/>
      </c>
      <c r="BQ36" s="711">
        <f t="shared" si="278"/>
      </c>
      <c r="BR36" s="710">
        <f t="shared" si="278"/>
      </c>
      <c r="BS36" s="710">
        <f t="shared" si="278"/>
      </c>
      <c r="BT36" s="710">
        <f t="shared" si="278"/>
      </c>
      <c r="BU36" s="711">
        <f t="shared" si="278"/>
      </c>
      <c r="BV36" s="710">
        <f t="shared" si="278"/>
      </c>
      <c r="BW36" s="710">
        <f t="shared" si="278"/>
      </c>
      <c r="BX36" s="710">
        <f t="shared" si="278"/>
      </c>
      <c r="BY36" s="711">
        <f t="shared" si="278"/>
      </c>
      <c r="BZ36" s="710">
        <f t="shared" si="278"/>
      </c>
      <c r="CA36" s="710">
        <f t="shared" si="278"/>
      </c>
      <c r="CB36" s="710">
        <f t="shared" si="278"/>
      </c>
      <c r="CC36" s="711">
        <f t="shared" si="278"/>
      </c>
      <c r="CD36" s="710">
        <f t="shared" si="278"/>
      </c>
      <c r="CE36" s="710">
        <f t="shared" si="278"/>
      </c>
      <c r="CF36" s="710">
        <f t="shared" si="278"/>
      </c>
      <c r="CG36" s="711">
        <f t="shared" si="278"/>
      </c>
      <c r="CH36" s="710">
        <f t="shared" si="278"/>
      </c>
      <c r="CI36" s="710">
        <f t="shared" si="278"/>
      </c>
      <c r="CJ36" s="710">
        <f t="shared" ref="CJ36:DO36" si="279">IF(ISERROR(CJ14/CI14-1),"NA",CJ14/CI14-1)</f>
      </c>
      <c r="CK36" s="711">
        <f t="shared" si="279"/>
      </c>
      <c r="CL36" s="710">
        <f t="shared" si="279"/>
      </c>
      <c r="CM36" s="710">
        <f t="shared" si="279"/>
      </c>
      <c r="CN36" s="710">
        <f t="shared" si="279"/>
      </c>
      <c r="CO36" s="711">
        <f t="shared" si="279"/>
      </c>
      <c r="CP36" s="710">
        <f t="shared" si="279"/>
      </c>
      <c r="CQ36" s="710">
        <f t="shared" si="279"/>
      </c>
      <c r="CR36" s="710">
        <f t="shared" si="279"/>
      </c>
      <c r="CS36" s="711">
        <f t="shared" si="279"/>
      </c>
      <c r="CT36" s="710">
        <f t="shared" si="279"/>
      </c>
      <c r="CU36" s="710">
        <f t="shared" si="279"/>
      </c>
      <c r="CV36" s="710">
        <f t="shared" si="279"/>
      </c>
      <c r="CW36" s="711">
        <f t="shared" si="279"/>
      </c>
      <c r="CX36" s="712">
        <f t="shared" si="279"/>
      </c>
      <c r="CY36" s="710">
        <f t="shared" si="279"/>
      </c>
      <c r="CZ36" s="710">
        <f t="shared" si="279"/>
      </c>
      <c r="DA36" s="711">
        <f t="shared" si="279"/>
      </c>
      <c r="DB36" s="710">
        <f t="shared" si="279"/>
      </c>
      <c r="DC36" s="710">
        <f t="shared" si="279"/>
      </c>
      <c r="DD36" s="710">
        <f t="shared" si="279"/>
      </c>
      <c r="DE36" s="711">
        <f t="shared" si="279"/>
      </c>
      <c r="DF36" s="710">
        <f t="shared" si="279"/>
      </c>
      <c r="DG36" s="710">
        <f t="shared" si="279"/>
      </c>
      <c r="DH36" s="710">
        <f t="shared" si="279"/>
      </c>
      <c r="DI36" s="711">
        <f t="shared" si="279"/>
      </c>
      <c r="DJ36" s="710">
        <f t="shared" si="279"/>
      </c>
      <c r="DK36" s="710">
        <f t="shared" si="279"/>
      </c>
      <c r="DL36" s="710">
        <f t="shared" si="279"/>
      </c>
      <c r="DM36" s="711">
        <f t="shared" si="279"/>
      </c>
      <c r="DN36" s="710">
        <f t="shared" si="279"/>
      </c>
      <c r="DO36" s="710">
        <f t="shared" si="279"/>
      </c>
      <c r="DP36" s="710">
        <f t="shared" ref="DP36:DU36" si="280">IF(ISERROR(DP14/DO14-1),"NA",DP14/DO14-1)</f>
      </c>
      <c r="DQ36" s="711">
        <f t="shared" si="280"/>
      </c>
      <c r="DR36" s="710">
        <f t="shared" si="280"/>
      </c>
      <c r="DS36" s="710">
        <f t="shared" si="280"/>
      </c>
      <c r="DT36" s="710">
        <f t="shared" si="280"/>
      </c>
      <c r="DU36" s="711">
        <f t="shared" si="280"/>
      </c>
      <c r="DV36" s="710">
        <f t="shared" ref="DV36:EK36" si="281">IF(ISERROR(DV14/DU14-1),"NA",DV14/DU14-1)</f>
      </c>
      <c r="DW36" s="710">
        <f t="shared" si="281"/>
      </c>
      <c r="DX36" s="710">
        <f t="shared" si="281"/>
      </c>
      <c r="DY36" s="711">
        <f t="shared" si="281"/>
      </c>
      <c r="DZ36" s="710">
        <f t="shared" si="281"/>
      </c>
      <c r="EA36" s="710">
        <f t="shared" si="281"/>
      </c>
      <c r="EB36" s="710">
        <f t="shared" si="281"/>
      </c>
      <c r="EC36" s="711">
        <f t="shared" si="281"/>
      </c>
      <c r="ED36" s="710">
        <f t="shared" si="281"/>
      </c>
      <c r="EE36" s="710">
        <f t="shared" si="281"/>
      </c>
      <c r="EF36" s="710">
        <f t="shared" si="281"/>
      </c>
      <c r="EG36" s="711">
        <f t="shared" si="281"/>
      </c>
      <c r="EH36" s="710">
        <f t="shared" si="281"/>
      </c>
      <c r="EI36" s="710">
        <f t="shared" si="281"/>
      </c>
      <c r="EJ36" s="710">
        <f t="shared" si="281"/>
      </c>
      <c r="EK36" s="711">
        <f t="shared" si="281"/>
      </c>
      <c r="EM36" s="140"/>
      <c r="EN36" s="140"/>
      <c r="EO36" s="140"/>
      <c r="EP36" s="140"/>
      <c r="EQ36" s="140"/>
      <c r="ER36" s="140"/>
      <c r="ES36" s="140"/>
      <c r="ET36" s="140"/>
      <c r="EU36" s="140"/>
      <c r="EV36" s="140"/>
      <c r="EW36" s="140"/>
      <c r="EX36" s="140"/>
      <c r="EY36" s="369"/>
      <c r="EZ36" s="369"/>
      <c r="FA36" s="369"/>
      <c r="FB36" s="369"/>
      <c r="FC36" s="369"/>
      <c r="FD36" s="369"/>
      <c r="FE36" s="369"/>
      <c r="FF36" s="369"/>
      <c r="FG36" s="369"/>
      <c r="FH36" s="407"/>
      <c r="FI36" s="369"/>
      <c r="FJ36" s="369"/>
      <c r="FK36" s="369"/>
      <c r="FL36" s="369"/>
      <c r="FM36" s="369"/>
      <c r="FN36" s="369"/>
      <c r="FO36" s="369"/>
      <c r="FP36" s="369"/>
      <c r="FQ36" s="369"/>
      <c r="FR36" s="369"/>
      <c r="FS36" s="369"/>
      <c r="FT36" s="369"/>
      <c r="FU36" s="369"/>
      <c r="FW36" s="369"/>
      <c r="FX36" s="140"/>
      <c r="FY36" s="140"/>
      <c r="FZ36" s="140"/>
      <c r="GA36" s="140"/>
      <c r="GB36" s="140"/>
      <c r="GC36" s="140"/>
      <c r="GD36" s="140"/>
      <c r="GE36" s="140"/>
      <c r="GF36" s="140"/>
      <c r="GG36" s="140"/>
      <c r="GH36" s="140"/>
      <c r="GI36" s="140"/>
      <c r="GJ36" s="140"/>
      <c r="GK36" s="369"/>
      <c r="GL36" s="369"/>
      <c r="GM36" s="369"/>
      <c r="GN36" s="369"/>
      <c r="GO36" s="369"/>
      <c r="GP36" s="369"/>
      <c r="GQ36" s="369"/>
      <c r="GR36" s="369"/>
      <c r="GS36" s="369"/>
      <c r="GT36" s="369"/>
      <c r="GU36" s="369"/>
      <c r="GV36" s="369"/>
      <c r="GW36" s="369"/>
      <c r="GX36" s="369"/>
      <c r="GY36" s="369"/>
      <c r="GZ36" s="369"/>
      <c r="HA36" s="369"/>
      <c r="HB36" s="369"/>
      <c r="HC36" s="369"/>
      <c r="HD36" s="369"/>
      <c r="HE36" s="369"/>
      <c r="HF36" s="369"/>
    </row>
    <row r="37" spans="1:214" s="810" customFormat="1" ht="10.199999999999999">
      <c r="A37" s="842" t="s">
        <v>94</v>
      </c>
      <c r="B37" s="847"/>
      <c r="C37" s="847"/>
      <c r="D37" s="847"/>
      <c r="E37" s="848"/>
      <c r="F37" s="847"/>
      <c r="G37" s="847"/>
      <c r="H37" s="847"/>
      <c r="I37" s="848"/>
      <c r="J37" s="847"/>
      <c r="K37" s="847"/>
      <c r="L37" s="847"/>
      <c r="M37" s="848"/>
      <c r="N37" s="847"/>
      <c r="O37" s="847"/>
      <c r="P37" s="847"/>
      <c r="Q37" s="848"/>
      <c r="R37" s="847"/>
      <c r="S37" s="847"/>
      <c r="T37" s="847"/>
      <c r="U37" s="848"/>
      <c r="V37" s="847"/>
      <c r="W37" s="847"/>
      <c r="X37" s="847"/>
      <c r="Y37" s="848"/>
      <c r="Z37" s="847"/>
      <c r="AA37" s="847"/>
      <c r="AB37" s="847"/>
      <c r="AC37" s="848"/>
      <c r="AD37" s="847"/>
      <c r="AE37" s="847"/>
      <c r="AF37" s="847"/>
      <c r="AG37" s="848"/>
      <c r="AH37" s="847"/>
      <c r="AI37" s="847"/>
      <c r="AJ37" s="847"/>
      <c r="AK37" s="848"/>
      <c r="AL37" s="847"/>
      <c r="AM37" s="847"/>
      <c r="AN37" s="847"/>
      <c r="AO37" s="848"/>
      <c r="AP37" s="847"/>
      <c r="AQ37" s="847"/>
      <c r="AR37" s="847"/>
      <c r="AS37" s="848"/>
      <c r="AT37" s="847"/>
      <c r="AU37" s="847"/>
      <c r="AV37" s="847"/>
      <c r="AW37" s="848"/>
      <c r="AX37" s="847"/>
      <c r="AY37" s="847"/>
      <c r="AZ37" s="847"/>
      <c r="BA37" s="848"/>
      <c r="BB37" s="847"/>
      <c r="BC37" s="847" t="str">
        <f>IF(ISERROR(BC15/BB15-1),"NA",BC15/BB15-1)</f>
      </c>
      <c r="BD37" s="847" t="str">
        <f t="shared" ref="BD37:CI37" si="282">IF(ISERROR(BD15/BC15-1),"NA",BD15/BC15-1)</f>
      </c>
      <c r="BE37" s="848" t="str">
        <f t="shared" si="282"/>
      </c>
      <c r="BF37" s="847" t="str">
        <f t="shared" si="282"/>
      </c>
      <c r="BG37" s="847" t="str">
        <f t="shared" si="282"/>
      </c>
      <c r="BH37" s="847" t="str">
        <f t="shared" si="282"/>
      </c>
      <c r="BI37" s="848" t="str">
        <f t="shared" si="282"/>
      </c>
      <c r="BJ37" s="847" t="str">
        <f t="shared" si="282"/>
      </c>
      <c r="BK37" s="847" t="str">
        <f t="shared" si="282"/>
      </c>
      <c r="BL37" s="847" t="str">
        <f t="shared" si="282"/>
      </c>
      <c r="BM37" s="848" t="str">
        <f t="shared" si="282"/>
      </c>
      <c r="BN37" s="847" t="str">
        <f t="shared" si="282"/>
      </c>
      <c r="BO37" s="847" t="str">
        <f t="shared" si="282"/>
      </c>
      <c r="BP37" s="847" t="str">
        <f t="shared" si="282"/>
      </c>
      <c r="BQ37" s="848" t="str">
        <f t="shared" si="282"/>
      </c>
      <c r="BR37" s="847" t="str">
        <f t="shared" si="282"/>
      </c>
      <c r="BS37" s="847" t="str">
        <f t="shared" si="282"/>
      </c>
      <c r="BT37" s="847" t="str">
        <f t="shared" si="282"/>
      </c>
      <c r="BU37" s="848" t="str">
        <f t="shared" si="282"/>
      </c>
      <c r="BV37" s="847" t="str">
        <f t="shared" si="282"/>
      </c>
      <c r="BW37" s="847" t="str">
        <f t="shared" si="282"/>
      </c>
      <c r="BX37" s="847" t="str">
        <f t="shared" si="282"/>
      </c>
      <c r="BY37" s="848" t="str">
        <f t="shared" si="282"/>
      </c>
      <c r="BZ37" s="847" t="str">
        <f t="shared" si="282"/>
      </c>
      <c r="CA37" s="847" t="str">
        <f t="shared" si="282"/>
      </c>
      <c r="CB37" s="847" t="str">
        <f t="shared" si="282"/>
      </c>
      <c r="CC37" s="848">
        <f t="shared" si="282"/>
      </c>
      <c r="CD37" s="847">
        <f t="shared" si="282"/>
      </c>
      <c r="CE37" s="847">
        <f t="shared" si="282"/>
      </c>
      <c r="CF37" s="847">
        <f t="shared" si="282"/>
      </c>
      <c r="CG37" s="848">
        <f t="shared" si="282"/>
      </c>
      <c r="CH37" s="847">
        <f t="shared" si="282"/>
      </c>
      <c r="CI37" s="847">
        <f t="shared" si="282"/>
      </c>
      <c r="CJ37" s="847">
        <f t="shared" ref="CJ37:DO37" si="283">IF(ISERROR(CJ15/CI15-1),"NA",CJ15/CI15-1)</f>
      </c>
      <c r="CK37" s="848">
        <f t="shared" si="283"/>
      </c>
      <c r="CL37" s="847">
        <f t="shared" si="283"/>
      </c>
      <c r="CM37" s="847">
        <f t="shared" si="283"/>
      </c>
      <c r="CN37" s="847">
        <f t="shared" si="283"/>
      </c>
      <c r="CO37" s="848">
        <f t="shared" si="283"/>
      </c>
      <c r="CP37" s="847">
        <f t="shared" si="283"/>
      </c>
      <c r="CQ37" s="847">
        <f t="shared" si="283"/>
      </c>
      <c r="CR37" s="847">
        <f t="shared" si="283"/>
      </c>
      <c r="CS37" s="848">
        <f t="shared" si="283"/>
      </c>
      <c r="CT37" s="847">
        <f t="shared" si="283"/>
      </c>
      <c r="CU37" s="847">
        <f t="shared" si="283"/>
      </c>
      <c r="CV37" s="847">
        <f t="shared" si="283"/>
      </c>
      <c r="CW37" s="848">
        <f t="shared" si="283"/>
      </c>
      <c r="CX37" s="847">
        <f t="shared" si="283"/>
      </c>
      <c r="CY37" s="847">
        <f t="shared" si="283"/>
      </c>
      <c r="CZ37" s="847">
        <f t="shared" si="283"/>
      </c>
      <c r="DA37" s="848">
        <f t="shared" si="283"/>
      </c>
      <c r="DB37" s="847">
        <f t="shared" si="283"/>
      </c>
      <c r="DC37" s="847">
        <f t="shared" si="283"/>
      </c>
      <c r="DD37" s="847">
        <f t="shared" si="283"/>
      </c>
      <c r="DE37" s="848">
        <f t="shared" si="283"/>
      </c>
      <c r="DF37" s="847">
        <f t="shared" si="283"/>
      </c>
      <c r="DG37" s="847">
        <f t="shared" si="283"/>
      </c>
      <c r="DH37" s="847">
        <f t="shared" si="283"/>
      </c>
      <c r="DI37" s="848">
        <f t="shared" si="283"/>
      </c>
      <c r="DJ37" s="847">
        <f t="shared" si="283"/>
      </c>
      <c r="DK37" s="847">
        <f t="shared" si="283"/>
      </c>
      <c r="DL37" s="847">
        <f t="shared" si="283"/>
      </c>
      <c r="DM37" s="848">
        <f t="shared" si="283"/>
      </c>
      <c r="DN37" s="847">
        <f t="shared" si="283"/>
      </c>
      <c r="DO37" s="847">
        <f t="shared" si="283"/>
      </c>
      <c r="DP37" s="847">
        <f t="shared" ref="DP37:DU37" si="284">IF(ISERROR(DP15/DO15-1),"NA",DP15/DO15-1)</f>
      </c>
      <c r="DQ37" s="848">
        <f t="shared" si="284"/>
      </c>
      <c r="DR37" s="847">
        <f t="shared" si="284"/>
      </c>
      <c r="DS37" s="847">
        <f t="shared" si="284"/>
      </c>
      <c r="DT37" s="847">
        <f t="shared" si="284"/>
      </c>
      <c r="DU37" s="848">
        <f t="shared" si="284"/>
      </c>
      <c r="DV37" s="847">
        <f t="shared" ref="DV37:EK37" si="285">IF(ISERROR(DV15/DU15-1),"NA",DV15/DU15-1)</f>
      </c>
      <c r="DW37" s="847">
        <f t="shared" si="285"/>
      </c>
      <c r="DX37" s="847">
        <f t="shared" si="285"/>
      </c>
      <c r="DY37" s="848">
        <f t="shared" si="285"/>
      </c>
      <c r="DZ37" s="847">
        <f t="shared" si="285"/>
      </c>
      <c r="EA37" s="847">
        <f t="shared" si="285"/>
      </c>
      <c r="EB37" s="847">
        <f t="shared" si="285"/>
      </c>
      <c r="EC37" s="848">
        <f t="shared" si="285"/>
      </c>
      <c r="ED37" s="847">
        <f t="shared" si="285"/>
      </c>
      <c r="EE37" s="847">
        <f t="shared" si="285"/>
      </c>
      <c r="EF37" s="847">
        <f t="shared" si="285"/>
      </c>
      <c r="EG37" s="848">
        <f t="shared" si="285"/>
      </c>
      <c r="EH37" s="847">
        <f t="shared" si="285"/>
      </c>
      <c r="EI37" s="847">
        <f t="shared" si="285"/>
      </c>
      <c r="EJ37" s="847">
        <f t="shared" si="285"/>
      </c>
      <c r="EK37" s="848">
        <f t="shared" si="285"/>
      </c>
      <c r="EM37" s="919"/>
      <c r="EN37" s="919"/>
      <c r="EO37" s="919"/>
      <c r="EP37" s="919"/>
      <c r="EQ37" s="919"/>
      <c r="ER37" s="919"/>
      <c r="ES37" s="919"/>
      <c r="ET37" s="919"/>
      <c r="EU37" s="919"/>
      <c r="EV37" s="919"/>
      <c r="EW37" s="919"/>
      <c r="EX37" s="919"/>
      <c r="EY37" s="919"/>
      <c r="EZ37" s="919"/>
      <c r="FA37" s="919"/>
      <c r="FB37" s="919"/>
      <c r="FC37" s="919"/>
      <c r="FD37" s="919"/>
      <c r="FE37" s="919"/>
      <c r="FF37" s="919"/>
      <c r="FG37" s="919"/>
      <c r="FH37" s="919"/>
      <c r="FI37" s="919"/>
      <c r="FJ37" s="919"/>
      <c r="FK37" s="919"/>
      <c r="FL37" s="919"/>
      <c r="FM37" s="919"/>
      <c r="FN37" s="919"/>
      <c r="FO37" s="919"/>
      <c r="FP37" s="919"/>
      <c r="FQ37" s="919"/>
      <c r="FR37" s="919"/>
      <c r="FS37" s="919"/>
      <c r="FT37" s="919"/>
      <c r="FU37" s="919"/>
      <c r="FW37" s="919"/>
      <c r="FX37" s="919"/>
      <c r="FY37" s="919"/>
      <c r="FZ37" s="919"/>
      <c r="GA37" s="919"/>
      <c r="GB37" s="919"/>
      <c r="GC37" s="919"/>
      <c r="GD37" s="919"/>
      <c r="GE37" s="919"/>
      <c r="GF37" s="919"/>
      <c r="GG37" s="919"/>
      <c r="GH37" s="919"/>
      <c r="GI37" s="919"/>
      <c r="GJ37" s="919"/>
      <c r="GK37" s="919"/>
      <c r="GL37" s="919"/>
      <c r="GM37" s="919"/>
      <c r="GN37" s="919"/>
      <c r="GO37" s="919"/>
      <c r="GP37" s="919"/>
      <c r="GQ37" s="919"/>
      <c r="GR37" s="919"/>
      <c r="GS37" s="919"/>
      <c r="GT37" s="919"/>
      <c r="GU37" s="919"/>
      <c r="GV37" s="919"/>
      <c r="GW37" s="919"/>
      <c r="GX37" s="919"/>
      <c r="GY37" s="919"/>
      <c r="GZ37" s="919"/>
      <c r="HA37" s="919"/>
      <c r="HB37" s="919"/>
      <c r="HC37" s="919"/>
      <c r="HD37" s="919"/>
      <c r="HE37" s="919"/>
      <c r="HF37" s="919"/>
    </row>
    <row r="38" spans="1:214" s="810" customFormat="1" ht="10.199999999999999">
      <c r="A38" s="843" t="s">
        <v>166</v>
      </c>
      <c r="B38" s="629"/>
      <c r="C38" s="629"/>
      <c r="D38" s="629"/>
      <c r="E38" s="844"/>
      <c r="F38" s="629"/>
      <c r="G38" s="629"/>
      <c r="H38" s="629"/>
      <c r="I38" s="844"/>
      <c r="J38" s="629"/>
      <c r="K38" s="629"/>
      <c r="L38" s="629"/>
      <c r="M38" s="844"/>
      <c r="N38" s="629"/>
      <c r="O38" s="629"/>
      <c r="P38" s="629"/>
      <c r="Q38" s="844"/>
      <c r="R38" s="629"/>
      <c r="S38" s="629"/>
      <c r="T38" s="629"/>
      <c r="U38" s="844"/>
      <c r="V38" s="629"/>
      <c r="W38" s="629"/>
      <c r="X38" s="629"/>
      <c r="Y38" s="844"/>
      <c r="Z38" s="629"/>
      <c r="AA38" s="629"/>
      <c r="AB38" s="629"/>
      <c r="AC38" s="844"/>
      <c r="AD38" s="629"/>
      <c r="AE38" s="629"/>
      <c r="AF38" s="629"/>
      <c r="AG38" s="844"/>
      <c r="AH38" s="629"/>
      <c r="AI38" s="629"/>
      <c r="AJ38" s="629"/>
      <c r="AK38" s="844"/>
      <c r="AL38" s="629"/>
      <c r="AM38" s="629"/>
      <c r="AN38" s="629"/>
      <c r="AO38" s="844"/>
      <c r="AP38" s="629"/>
      <c r="AQ38" s="629"/>
      <c r="AR38" s="629"/>
      <c r="AS38" s="844"/>
      <c r="AT38" s="629"/>
      <c r="AU38" s="629"/>
      <c r="AV38" s="629"/>
      <c r="AW38" s="844"/>
      <c r="AX38" s="629"/>
      <c r="AY38" s="629"/>
      <c r="AZ38" s="629"/>
      <c r="BA38" s="844"/>
      <c r="BB38" s="629"/>
      <c r="BC38" s="629">
        <f>IF(ISERROR(BC16/BB16-1),"NA",BC16/BB16-1)</f>
      </c>
      <c r="BD38" s="629">
        <f t="shared" ref="BD38:CI39" si="286">IF(ISERROR(BD16/BC16-1),"NA",BD16/BC16-1)</f>
      </c>
      <c r="BE38" s="844">
        <f t="shared" si="286"/>
      </c>
      <c r="BF38" s="629">
        <f t="shared" si="286"/>
      </c>
      <c r="BG38" s="629">
        <f t="shared" si="286"/>
      </c>
      <c r="BH38" s="629">
        <f t="shared" si="286"/>
      </c>
      <c r="BI38" s="844">
        <f t="shared" si="286"/>
      </c>
      <c r="BJ38" s="629">
        <f t="shared" si="286"/>
      </c>
      <c r="BK38" s="629">
        <f t="shared" si="286"/>
      </c>
      <c r="BL38" s="629">
        <f t="shared" si="286"/>
      </c>
      <c r="BM38" s="844">
        <f t="shared" si="286"/>
      </c>
      <c r="BN38" s="629">
        <f t="shared" si="286"/>
      </c>
      <c r="BO38" s="629">
        <f t="shared" si="286"/>
      </c>
      <c r="BP38" s="629">
        <f t="shared" si="286"/>
      </c>
      <c r="BQ38" s="844">
        <f t="shared" si="286"/>
      </c>
      <c r="BR38" s="629">
        <f t="shared" si="286"/>
      </c>
      <c r="BS38" s="629">
        <f t="shared" si="286"/>
      </c>
      <c r="BT38" s="629">
        <f t="shared" si="286"/>
      </c>
      <c r="BU38" s="844">
        <f t="shared" si="286"/>
      </c>
      <c r="BV38" s="629">
        <f t="shared" si="286"/>
      </c>
      <c r="BW38" s="629">
        <f t="shared" si="286"/>
      </c>
      <c r="BX38" s="629">
        <f t="shared" si="286"/>
      </c>
      <c r="BY38" s="844">
        <f t="shared" si="286"/>
      </c>
      <c r="BZ38" s="629">
        <f t="shared" si="286"/>
      </c>
      <c r="CA38" s="629">
        <f t="shared" si="286"/>
      </c>
      <c r="CB38" s="629">
        <f t="shared" si="286"/>
      </c>
      <c r="CC38" s="844">
        <f t="shared" si="286"/>
      </c>
      <c r="CD38" s="629">
        <f t="shared" si="286"/>
      </c>
      <c r="CE38" s="629">
        <f t="shared" si="286"/>
      </c>
      <c r="CF38" s="629">
        <f t="shared" si="286"/>
      </c>
      <c r="CG38" s="844">
        <f t="shared" si="286"/>
      </c>
      <c r="CH38" s="629">
        <f t="shared" si="286"/>
      </c>
      <c r="CI38" s="629">
        <f t="shared" si="286"/>
      </c>
      <c r="CJ38" s="629">
        <f t="shared" ref="CJ38:DO39" si="287">IF(ISERROR(CJ16/CI16-1),"NA",CJ16/CI16-1)</f>
      </c>
      <c r="CK38" s="844">
        <f t="shared" si="287"/>
      </c>
      <c r="CL38" s="629">
        <f t="shared" si="287"/>
      </c>
      <c r="CM38" s="629">
        <f t="shared" si="287"/>
      </c>
      <c r="CN38" s="629">
        <f t="shared" si="287"/>
      </c>
      <c r="CO38" s="844">
        <f t="shared" si="287"/>
      </c>
      <c r="CP38" s="629">
        <f t="shared" si="287"/>
      </c>
      <c r="CQ38" s="629">
        <f t="shared" si="287"/>
      </c>
      <c r="CR38" s="629">
        <f t="shared" si="287"/>
      </c>
      <c r="CS38" s="844">
        <f t="shared" si="287"/>
      </c>
      <c r="CT38" s="629">
        <f t="shared" si="287"/>
      </c>
      <c r="CU38" s="629">
        <f t="shared" si="287"/>
      </c>
      <c r="CV38" s="629">
        <f t="shared" si="287"/>
      </c>
      <c r="CW38" s="844">
        <f t="shared" si="287"/>
      </c>
      <c r="CX38" s="845">
        <f t="shared" si="287"/>
      </c>
      <c r="CY38" s="629">
        <f t="shared" si="287"/>
      </c>
      <c r="CZ38" s="629">
        <f t="shared" si="287"/>
      </c>
      <c r="DA38" s="844">
        <f t="shared" si="287"/>
      </c>
      <c r="DB38" s="845">
        <f t="shared" si="287"/>
      </c>
      <c r="DC38" s="629">
        <f t="shared" si="287"/>
      </c>
      <c r="DD38" s="629">
        <f t="shared" si="287"/>
      </c>
      <c r="DE38" s="1111">
        <f t="shared" si="287"/>
      </c>
      <c r="DF38" s="1110">
        <f t="shared" si="287"/>
      </c>
      <c r="DG38" s="1110">
        <f t="shared" si="287"/>
      </c>
      <c r="DH38" s="1110">
        <f t="shared" si="287"/>
      </c>
      <c r="DI38" s="1111">
        <f t="shared" si="287"/>
      </c>
      <c r="DJ38" s="1110">
        <f t="shared" si="287"/>
      </c>
      <c r="DK38" s="1110">
        <f t="shared" si="287"/>
      </c>
      <c r="DL38" s="1110">
        <f t="shared" si="287"/>
      </c>
      <c r="DM38" s="1111">
        <f t="shared" si="287"/>
      </c>
      <c r="DN38" s="1110">
        <f t="shared" si="287"/>
      </c>
      <c r="DO38" s="1110">
        <f t="shared" si="287"/>
      </c>
      <c r="DP38" s="1110">
        <f t="shared" ref="DP38:DU39" si="288">IF(ISERROR(DP16/DO16-1),"NA",DP16/DO16-1)</f>
      </c>
      <c r="DQ38" s="1111">
        <f t="shared" si="288"/>
      </c>
      <c r="DR38" s="1110">
        <f t="shared" si="288"/>
      </c>
      <c r="DS38" s="1110">
        <f t="shared" si="288"/>
      </c>
      <c r="DT38" s="1110">
        <f t="shared" si="288"/>
      </c>
      <c r="DU38" s="1111">
        <f t="shared" si="288"/>
      </c>
      <c r="DV38" s="1110">
        <f t="shared" ref="DV38:EK38" si="289">IF(ISERROR(DV16/DU16-1),"NA",DV16/DU16-1)</f>
      </c>
      <c r="DW38" s="1110">
        <f t="shared" si="289"/>
      </c>
      <c r="DX38" s="1110">
        <f t="shared" si="289"/>
      </c>
      <c r="DY38" s="1111">
        <f t="shared" si="289"/>
      </c>
      <c r="DZ38" s="1110">
        <f t="shared" si="289"/>
      </c>
      <c r="EA38" s="1110">
        <f t="shared" si="289"/>
      </c>
      <c r="EB38" s="1110">
        <f t="shared" si="289"/>
      </c>
      <c r="EC38" s="1111">
        <f t="shared" si="289"/>
      </c>
      <c r="ED38" s="1110">
        <f t="shared" si="289"/>
      </c>
      <c r="EE38" s="1110">
        <f t="shared" si="289"/>
      </c>
      <c r="EF38" s="1110">
        <f t="shared" si="289"/>
      </c>
      <c r="EG38" s="1111">
        <f t="shared" si="289"/>
      </c>
      <c r="EH38" s="1110">
        <f t="shared" si="289"/>
      </c>
      <c r="EI38" s="1110">
        <f t="shared" si="289"/>
      </c>
      <c r="EJ38" s="1110">
        <f t="shared" si="289"/>
      </c>
      <c r="EK38" s="1111">
        <f t="shared" si="289"/>
      </c>
      <c r="EM38" s="919"/>
      <c r="EN38" s="919"/>
      <c r="EO38" s="919"/>
      <c r="EP38" s="919"/>
      <c r="EQ38" s="919"/>
      <c r="ER38" s="919"/>
      <c r="ES38" s="919"/>
      <c r="ET38" s="919"/>
      <c r="EU38" s="919"/>
      <c r="EV38" s="919"/>
      <c r="EW38" s="919"/>
      <c r="EX38" s="919"/>
      <c r="EY38" s="919"/>
      <c r="EZ38" s="919"/>
      <c r="FA38" s="919"/>
      <c r="FB38" s="919"/>
      <c r="FC38" s="919"/>
      <c r="FD38" s="919"/>
      <c r="FE38" s="919"/>
      <c r="FF38" s="919"/>
      <c r="FG38" s="919"/>
      <c r="FH38" s="919"/>
      <c r="FI38" s="919"/>
      <c r="FJ38" s="919"/>
      <c r="FK38" s="919"/>
      <c r="FL38" s="919"/>
      <c r="FM38" s="919"/>
      <c r="FN38" s="919"/>
      <c r="FO38" s="919"/>
      <c r="FP38" s="919"/>
      <c r="FQ38" s="919"/>
      <c r="FR38" s="919"/>
      <c r="FS38" s="919"/>
      <c r="FT38" s="919"/>
      <c r="FU38" s="919"/>
      <c r="FW38" s="919"/>
      <c r="FX38" s="919"/>
      <c r="FY38" s="919"/>
      <c r="FZ38" s="919"/>
      <c r="GA38" s="919"/>
      <c r="GB38" s="919"/>
      <c r="GC38" s="919"/>
      <c r="GD38" s="919"/>
      <c r="GE38" s="919"/>
      <c r="GF38" s="919"/>
      <c r="GG38" s="919"/>
      <c r="GH38" s="919"/>
      <c r="GI38" s="919"/>
      <c r="GJ38" s="919"/>
      <c r="GK38" s="919"/>
      <c r="GL38" s="919"/>
      <c r="GM38" s="919"/>
      <c r="GN38" s="919"/>
      <c r="GO38" s="919"/>
      <c r="GP38" s="919"/>
      <c r="GQ38" s="919"/>
      <c r="GR38" s="919"/>
      <c r="GS38" s="919"/>
      <c r="GT38" s="919"/>
      <c r="GU38" s="919"/>
      <c r="GV38" s="919"/>
      <c r="GW38" s="919"/>
      <c r="GX38" s="919"/>
      <c r="GY38" s="919"/>
      <c r="GZ38" s="919"/>
      <c r="HA38" s="919"/>
      <c r="HB38" s="919"/>
      <c r="HC38" s="919"/>
      <c r="HD38" s="919"/>
      <c r="HE38" s="919"/>
      <c r="HF38" s="919"/>
    </row>
    <row r="39" spans="1:214" s="810" customFormat="1" ht="10.199999999999999">
      <c r="A39" s="831" t="str">
        <f>A28</f>
      </c>
      <c r="B39" s="629"/>
      <c r="C39" s="629"/>
      <c r="D39" s="629"/>
      <c r="E39" s="844"/>
      <c r="F39" s="629"/>
      <c r="G39" s="629"/>
      <c r="H39" s="629"/>
      <c r="I39" s="844"/>
      <c r="J39" s="629"/>
      <c r="K39" s="629"/>
      <c r="L39" s="629"/>
      <c r="M39" s="844"/>
      <c r="N39" s="629"/>
      <c r="O39" s="629"/>
      <c r="P39" s="629"/>
      <c r="Q39" s="844"/>
      <c r="R39" s="629"/>
      <c r="S39" s="629"/>
      <c r="T39" s="629"/>
      <c r="U39" s="844"/>
      <c r="V39" s="629"/>
      <c r="W39" s="629"/>
      <c r="X39" s="629"/>
      <c r="Y39" s="844"/>
      <c r="Z39" s="629"/>
      <c r="AA39" s="629"/>
      <c r="AB39" s="629"/>
      <c r="AC39" s="844"/>
      <c r="AD39" s="629"/>
      <c r="AE39" s="629"/>
      <c r="AF39" s="629"/>
      <c r="AG39" s="844"/>
      <c r="AH39" s="629"/>
      <c r="AI39" s="629"/>
      <c r="AJ39" s="629"/>
      <c r="AK39" s="844"/>
      <c r="AL39" s="629"/>
      <c r="AM39" s="629"/>
      <c r="AN39" s="629"/>
      <c r="AO39" s="844"/>
      <c r="AP39" s="629"/>
      <c r="AQ39" s="629"/>
      <c r="AR39" s="629"/>
      <c r="AS39" s="844"/>
      <c r="AT39" s="629" t="str">
        <f t="shared" ref="AT39" si="290">IF(ISERROR(AT17/AS17-1),"NA",AT17/AS17-1)</f>
      </c>
      <c r="AU39" s="629" t="str">
        <f t="shared" ref="AU39" si="291">IF(ISERROR(AU17/AT17-1),"NA",AU17/AT17-1)</f>
      </c>
      <c r="AV39" s="629" t="str">
        <f t="shared" ref="AV39" si="292">IF(ISERROR(AV17/AU17-1),"NA",AV17/AU17-1)</f>
      </c>
      <c r="AW39" s="844" t="str">
        <f t="shared" ref="AW39" si="293">IF(ISERROR(AW17/AV17-1),"NA",AW17/AV17-1)</f>
      </c>
      <c r="AX39" s="629" t="str">
        <f t="shared" ref="AX39" si="294">IF(ISERROR(AX17/AW17-1),"NA",AX17/AW17-1)</f>
      </c>
      <c r="AY39" s="629" t="str">
        <f t="shared" ref="AY39" si="295">IF(ISERROR(AY17/AX17-1),"NA",AY17/AX17-1)</f>
      </c>
      <c r="AZ39" s="629" t="str">
        <f t="shared" ref="AZ39" si="296">IF(ISERROR(AZ17/AY17-1),"NA",AZ17/AY17-1)</f>
      </c>
      <c r="BA39" s="844" t="str">
        <f t="shared" ref="BA39" si="297">IF(ISERROR(BA17/AZ17-1),"NA",BA17/AZ17-1)</f>
      </c>
      <c r="BB39" s="629" t="str">
        <f t="shared" ref="BB39" si="298">IF(ISERROR(BB17/BA17-1),"NA",BB17/BA17-1)</f>
      </c>
      <c r="BC39" s="629" t="str">
        <f>IF(ISERROR(BC17/BB17-1),"NA",BC17/BB17-1)</f>
      </c>
      <c r="BD39" s="629" t="str">
        <f t="shared" si="286"/>
      </c>
      <c r="BE39" s="844" t="str">
        <f t="shared" si="286"/>
      </c>
      <c r="BF39" s="629" t="str">
        <f t="shared" si="286"/>
      </c>
      <c r="BG39" s="629" t="str">
        <f t="shared" si="286"/>
      </c>
      <c r="BH39" s="629" t="str">
        <f t="shared" si="286"/>
      </c>
      <c r="BI39" s="844" t="str">
        <f t="shared" si="286"/>
      </c>
      <c r="BJ39" s="629" t="str">
        <f t="shared" si="286"/>
      </c>
      <c r="BK39" s="629" t="str">
        <f t="shared" si="286"/>
      </c>
      <c r="BL39" s="629" t="str">
        <f t="shared" si="286"/>
      </c>
      <c r="BM39" s="844" t="str">
        <f t="shared" si="286"/>
      </c>
      <c r="BN39" s="629" t="str">
        <f t="shared" si="286"/>
      </c>
      <c r="BO39" s="629" t="str">
        <f t="shared" si="286"/>
      </c>
      <c r="BP39" s="629" t="str">
        <f t="shared" si="286"/>
      </c>
      <c r="BQ39" s="844" t="str">
        <f t="shared" si="286"/>
      </c>
      <c r="BR39" s="629" t="str">
        <f t="shared" si="286"/>
      </c>
      <c r="BS39" s="629" t="str">
        <f t="shared" si="286"/>
      </c>
      <c r="BT39" s="629" t="str">
        <f t="shared" si="286"/>
      </c>
      <c r="BU39" s="844" t="str">
        <f t="shared" si="286"/>
      </c>
      <c r="BV39" s="629" t="str">
        <f t="shared" si="286"/>
      </c>
      <c r="BW39" s="629" t="str">
        <f t="shared" si="286"/>
      </c>
      <c r="BX39" s="629" t="str">
        <f t="shared" si="286"/>
      </c>
      <c r="BY39" s="844" t="str">
        <f t="shared" si="286"/>
      </c>
      <c r="BZ39" s="629" t="str">
        <f t="shared" si="286"/>
      </c>
      <c r="CA39" s="629" t="str">
        <f t="shared" si="286"/>
      </c>
      <c r="CB39" s="629" t="str">
        <f t="shared" si="286"/>
      </c>
      <c r="CC39" s="844" t="str">
        <f t="shared" si="286"/>
      </c>
      <c r="CD39" s="629" t="str">
        <f t="shared" si="286"/>
      </c>
      <c r="CE39" s="629" t="str">
        <f t="shared" si="286"/>
      </c>
      <c r="CF39" s="629" t="str">
        <f t="shared" si="286"/>
      </c>
      <c r="CG39" s="844" t="str">
        <f t="shared" si="286"/>
      </c>
      <c r="CH39" s="629" t="str">
        <f t="shared" si="286"/>
      </c>
      <c r="CI39" s="629" t="str">
        <f t="shared" si="286"/>
      </c>
      <c r="CJ39" s="629" t="str">
        <f t="shared" si="287"/>
      </c>
      <c r="CK39" s="844" t="str">
        <f t="shared" si="287"/>
      </c>
      <c r="CL39" s="1110" t="str">
        <f t="shared" si="287"/>
      </c>
      <c r="CM39" s="1110" t="str">
        <f t="shared" si="287"/>
      </c>
      <c r="CN39" s="1110" t="str">
        <f t="shared" si="287"/>
      </c>
      <c r="CO39" s="1111" t="str">
        <f t="shared" si="287"/>
      </c>
      <c r="CP39" s="1110" t="str">
        <f t="shared" si="287"/>
      </c>
      <c r="CQ39" s="1110" t="str">
        <f t="shared" si="287"/>
      </c>
      <c r="CR39" s="1110" t="str">
        <f t="shared" si="287"/>
      </c>
      <c r="CS39" s="1111" t="str">
        <f t="shared" si="287"/>
      </c>
      <c r="CT39" s="1110" t="str">
        <f t="shared" si="287"/>
      </c>
      <c r="CU39" s="1110" t="str">
        <f t="shared" si="287"/>
      </c>
      <c r="CV39" s="1110" t="str">
        <f t="shared" si="287"/>
      </c>
      <c r="CW39" s="1111" t="str">
        <f t="shared" si="287"/>
      </c>
      <c r="CX39" s="1110" t="str">
        <f t="shared" si="287"/>
      </c>
      <c r="CY39" s="1110" t="str">
        <f t="shared" si="287"/>
      </c>
      <c r="CZ39" s="1110" t="str">
        <f t="shared" si="287"/>
      </c>
      <c r="DA39" s="1111" t="str">
        <f t="shared" si="287"/>
      </c>
      <c r="DB39" s="1110" t="str">
        <f t="shared" si="287"/>
      </c>
      <c r="DC39" s="1110" t="str">
        <f t="shared" si="287"/>
      </c>
      <c r="DD39" s="1110" t="str">
        <f t="shared" si="287"/>
      </c>
      <c r="DE39" s="1111" t="str">
        <f t="shared" si="287"/>
      </c>
      <c r="DF39" s="1110" t="str">
        <f t="shared" si="287"/>
      </c>
      <c r="DG39" s="1110" t="str">
        <f t="shared" si="287"/>
      </c>
      <c r="DH39" s="1110" t="str">
        <f t="shared" si="287"/>
      </c>
      <c r="DI39" s="1111" t="str">
        <f t="shared" si="287"/>
      </c>
      <c r="DJ39" s="1110" t="str">
        <f t="shared" si="287"/>
      </c>
      <c r="DK39" s="1110" t="str">
        <f t="shared" si="287"/>
      </c>
      <c r="DL39" s="1110">
        <f t="shared" si="287"/>
      </c>
      <c r="DM39" s="1111">
        <f t="shared" si="287"/>
      </c>
      <c r="DN39" s="1110">
        <f t="shared" si="287"/>
      </c>
      <c r="DO39" s="1110">
        <f t="shared" si="287"/>
      </c>
      <c r="DP39" s="1110">
        <f t="shared" si="288"/>
      </c>
      <c r="DQ39" s="1111">
        <f t="shared" si="288"/>
      </c>
      <c r="DR39" s="1110">
        <f t="shared" si="288"/>
      </c>
      <c r="DS39" s="1110">
        <f t="shared" si="288"/>
      </c>
      <c r="DT39" s="1110">
        <f t="shared" si="288"/>
      </c>
      <c r="DU39" s="1111">
        <f t="shared" si="288"/>
      </c>
      <c r="DV39" s="1110">
        <f t="shared" ref="DV39:EK39" si="299">IF(ISERROR(DV17/DU17-1),"NA",DV17/DU17-1)</f>
      </c>
      <c r="DW39" s="1110">
        <f t="shared" si="299"/>
      </c>
      <c r="DX39" s="1110">
        <f t="shared" si="299"/>
      </c>
      <c r="DY39" s="1111">
        <f t="shared" si="299"/>
      </c>
      <c r="DZ39" s="1110">
        <f t="shared" si="299"/>
      </c>
      <c r="EA39" s="1110">
        <f t="shared" si="299"/>
      </c>
      <c r="EB39" s="1110">
        <f t="shared" si="299"/>
      </c>
      <c r="EC39" s="1111">
        <f t="shared" si="299"/>
      </c>
      <c r="ED39" s="1110">
        <f t="shared" si="299"/>
      </c>
      <c r="EE39" s="1110">
        <f t="shared" si="299"/>
      </c>
      <c r="EF39" s="1110">
        <f t="shared" si="299"/>
      </c>
      <c r="EG39" s="1111">
        <f t="shared" si="299"/>
      </c>
      <c r="EH39" s="1110">
        <f t="shared" si="299"/>
      </c>
      <c r="EI39" s="1110">
        <f t="shared" si="299"/>
      </c>
      <c r="EJ39" s="1110">
        <f t="shared" si="299"/>
      </c>
      <c r="EK39" s="1111">
        <f t="shared" si="299"/>
      </c>
      <c r="EM39" s="919"/>
      <c r="EN39" s="919"/>
      <c r="EO39" s="919"/>
      <c r="EP39" s="919"/>
      <c r="EQ39" s="919"/>
      <c r="ER39" s="919"/>
      <c r="ES39" s="919"/>
      <c r="ET39" s="919"/>
      <c r="EU39" s="919"/>
      <c r="EV39" s="919"/>
      <c r="EW39" s="919"/>
      <c r="EX39" s="919"/>
      <c r="EY39" s="919"/>
      <c r="EZ39" s="919"/>
      <c r="FA39" s="919"/>
      <c r="FB39" s="919"/>
      <c r="FC39" s="919"/>
      <c r="FD39" s="919"/>
      <c r="FE39" s="919"/>
      <c r="FF39" s="919"/>
      <c r="FG39" s="919"/>
      <c r="FH39" s="919"/>
      <c r="FI39" s="919"/>
      <c r="FJ39" s="919"/>
      <c r="FK39" s="919"/>
      <c r="FL39" s="919"/>
      <c r="FM39" s="919"/>
      <c r="FN39" s="919"/>
      <c r="FO39" s="919"/>
      <c r="FP39" s="919"/>
      <c r="FQ39" s="919"/>
      <c r="FR39" s="919"/>
      <c r="FS39" s="919"/>
      <c r="FT39" s="919"/>
      <c r="FU39" s="919"/>
      <c r="FW39" s="919"/>
      <c r="FX39" s="919"/>
      <c r="FY39" s="919"/>
      <c r="FZ39" s="919"/>
      <c r="GA39" s="919"/>
      <c r="GB39" s="919"/>
      <c r="GC39" s="919"/>
      <c r="GD39" s="919"/>
      <c r="GE39" s="919"/>
      <c r="GF39" s="919"/>
      <c r="GG39" s="919"/>
      <c r="GH39" s="919"/>
      <c r="GI39" s="919"/>
      <c r="GJ39" s="919"/>
      <c r="GK39" s="919"/>
      <c r="GL39" s="919"/>
      <c r="GM39" s="919"/>
      <c r="GN39" s="919"/>
      <c r="GO39" s="919"/>
      <c r="GP39" s="919"/>
      <c r="GQ39" s="919"/>
      <c r="GR39" s="919"/>
      <c r="GS39" s="919"/>
      <c r="GT39" s="919"/>
      <c r="GU39" s="919"/>
      <c r="GV39" s="919"/>
      <c r="GW39" s="919"/>
      <c r="GX39" s="919"/>
      <c r="GY39" s="919"/>
      <c r="GZ39" s="919"/>
      <c r="HA39" s="919"/>
      <c r="HB39" s="919"/>
      <c r="HC39" s="919"/>
      <c r="HD39" s="919"/>
      <c r="HE39" s="919"/>
      <c r="HF39" s="919"/>
    </row>
    <row r="40" spans="1:214" s="810" customFormat="1" ht="10.199999999999999">
      <c r="A40" s="846" t="s">
        <v>92</v>
      </c>
      <c r="B40" s="849"/>
      <c r="C40" s="849"/>
      <c r="D40" s="849"/>
      <c r="E40" s="850"/>
      <c r="F40" s="849"/>
      <c r="G40" s="849"/>
      <c r="H40" s="849"/>
      <c r="I40" s="850"/>
      <c r="J40" s="849"/>
      <c r="K40" s="849"/>
      <c r="L40" s="849"/>
      <c r="M40" s="850"/>
      <c r="N40" s="849"/>
      <c r="O40" s="849"/>
      <c r="P40" s="849"/>
      <c r="Q40" s="850"/>
      <c r="R40" s="849"/>
      <c r="S40" s="849"/>
      <c r="T40" s="849"/>
      <c r="U40" s="850"/>
      <c r="V40" s="849"/>
      <c r="W40" s="849"/>
      <c r="X40" s="849"/>
      <c r="Y40" s="850"/>
      <c r="Z40" s="849"/>
      <c r="AA40" s="849"/>
      <c r="AB40" s="849"/>
      <c r="AC40" s="850"/>
      <c r="AD40" s="849"/>
      <c r="AE40" s="849"/>
      <c r="AF40" s="849"/>
      <c r="AG40" s="850"/>
      <c r="AH40" s="849"/>
      <c r="AI40" s="849"/>
      <c r="AJ40" s="849"/>
      <c r="AK40" s="850"/>
      <c r="AL40" s="849"/>
      <c r="AM40" s="849"/>
      <c r="AN40" s="849"/>
      <c r="AO40" s="850"/>
      <c r="AP40" s="849"/>
      <c r="AQ40" s="849"/>
      <c r="AR40" s="849"/>
      <c r="AS40" s="850"/>
      <c r="AT40" s="849">
        <f t="shared" ref="AT40:BB40" si="300">IF(ISERROR(AT18/AS18-1),"NA",AT18/AS18-1)</f>
      </c>
      <c r="AU40" s="849">
        <f t="shared" si="300"/>
      </c>
      <c r="AV40" s="849">
        <f t="shared" si="300"/>
      </c>
      <c r="AW40" s="850">
        <f t="shared" si="300"/>
      </c>
      <c r="AX40" s="849">
        <f t="shared" si="300"/>
      </c>
      <c r="AY40" s="849">
        <f t="shared" si="300"/>
      </c>
      <c r="AZ40" s="849">
        <f t="shared" si="300"/>
      </c>
      <c r="BA40" s="850">
        <f t="shared" si="300"/>
      </c>
      <c r="BB40" s="849">
        <f t="shared" si="300"/>
      </c>
      <c r="BC40" s="849">
        <f>IF(ISERROR(BC18/BB18-1),"NA",BC18/BB18-1)</f>
      </c>
      <c r="BD40" s="849">
        <f t="shared" ref="BD40:CI40" si="301">IF(ISERROR(BD18/BC18-1),"NA",BD18/BC18-1)</f>
      </c>
      <c r="BE40" s="850">
        <f t="shared" si="301"/>
      </c>
      <c r="BF40" s="849">
        <f t="shared" si="301"/>
      </c>
      <c r="BG40" s="849">
        <f t="shared" si="301"/>
      </c>
      <c r="BH40" s="849">
        <f t="shared" si="301"/>
      </c>
      <c r="BI40" s="850">
        <f t="shared" si="301"/>
      </c>
      <c r="BJ40" s="849">
        <f t="shared" si="301"/>
      </c>
      <c r="BK40" s="849">
        <f t="shared" si="301"/>
      </c>
      <c r="BL40" s="849">
        <f t="shared" si="301"/>
      </c>
      <c r="BM40" s="850">
        <f t="shared" si="301"/>
      </c>
      <c r="BN40" s="849">
        <f t="shared" si="301"/>
      </c>
      <c r="BO40" s="849">
        <f t="shared" si="301"/>
      </c>
      <c r="BP40" s="849">
        <f t="shared" si="301"/>
      </c>
      <c r="BQ40" s="850">
        <f t="shared" si="301"/>
      </c>
      <c r="BR40" s="849">
        <f t="shared" si="301"/>
      </c>
      <c r="BS40" s="849">
        <f t="shared" si="301"/>
      </c>
      <c r="BT40" s="849">
        <f t="shared" si="301"/>
      </c>
      <c r="BU40" s="850">
        <f t="shared" si="301"/>
      </c>
      <c r="BV40" s="849">
        <f t="shared" si="301"/>
      </c>
      <c r="BW40" s="849">
        <f t="shared" si="301"/>
      </c>
      <c r="BX40" s="849">
        <f t="shared" si="301"/>
      </c>
      <c r="BY40" s="850">
        <f t="shared" si="301"/>
      </c>
      <c r="BZ40" s="849">
        <f t="shared" si="301"/>
      </c>
      <c r="CA40" s="849">
        <f t="shared" si="301"/>
      </c>
      <c r="CB40" s="849">
        <f t="shared" si="301"/>
      </c>
      <c r="CC40" s="850">
        <f t="shared" si="301"/>
      </c>
      <c r="CD40" s="849">
        <f t="shared" si="301"/>
      </c>
      <c r="CE40" s="849">
        <f t="shared" si="301"/>
      </c>
      <c r="CF40" s="849">
        <f t="shared" si="301"/>
      </c>
      <c r="CG40" s="850">
        <f t="shared" si="301"/>
      </c>
      <c r="CH40" s="849">
        <f t="shared" si="301"/>
      </c>
      <c r="CI40" s="849">
        <f t="shared" si="301"/>
      </c>
      <c r="CJ40" s="849">
        <f t="shared" ref="CJ40:DO40" si="302">IF(ISERROR(CJ18/CI18-1),"NA",CJ18/CI18-1)</f>
      </c>
      <c r="CK40" s="850">
        <f t="shared" si="302"/>
      </c>
      <c r="CL40" s="855">
        <f t="shared" si="302"/>
      </c>
      <c r="CM40" s="855" t="str">
        <f t="shared" si="302"/>
      </c>
      <c r="CN40" s="855" t="str">
        <f t="shared" si="302"/>
      </c>
      <c r="CO40" s="856" t="str">
        <f t="shared" si="302"/>
      </c>
      <c r="CP40" s="855" t="str">
        <f t="shared" si="302"/>
      </c>
      <c r="CQ40" s="855" t="str">
        <f t="shared" si="302"/>
      </c>
      <c r="CR40" s="855" t="str">
        <f t="shared" si="302"/>
      </c>
      <c r="CS40" s="856" t="str">
        <f t="shared" si="302"/>
      </c>
      <c r="CT40" s="855" t="str">
        <f t="shared" si="302"/>
      </c>
      <c r="CU40" s="855" t="str">
        <f t="shared" si="302"/>
      </c>
      <c r="CV40" s="855" t="str">
        <f t="shared" si="302"/>
      </c>
      <c r="CW40" s="856" t="str">
        <f t="shared" si="302"/>
      </c>
      <c r="CX40" s="855" t="str">
        <f t="shared" si="302"/>
      </c>
      <c r="CY40" s="855" t="str">
        <f t="shared" si="302"/>
      </c>
      <c r="CZ40" s="855" t="str">
        <f t="shared" si="302"/>
      </c>
      <c r="DA40" s="856" t="str">
        <f t="shared" si="302"/>
      </c>
      <c r="DB40" s="855" t="str">
        <f t="shared" si="302"/>
      </c>
      <c r="DC40" s="855" t="str">
        <f t="shared" si="302"/>
      </c>
      <c r="DD40" s="855" t="str">
        <f t="shared" si="302"/>
      </c>
      <c r="DE40" s="856" t="str">
        <f t="shared" si="302"/>
      </c>
      <c r="DF40" s="855" t="str">
        <f t="shared" si="302"/>
      </c>
      <c r="DG40" s="855" t="str">
        <f t="shared" si="302"/>
      </c>
      <c r="DH40" s="855" t="str">
        <f t="shared" si="302"/>
      </c>
      <c r="DI40" s="856" t="str">
        <f t="shared" si="302"/>
      </c>
      <c r="DJ40" s="855" t="str">
        <f t="shared" si="302"/>
      </c>
      <c r="DK40" s="855" t="str">
        <f t="shared" si="302"/>
      </c>
      <c r="DL40" s="855" t="str">
        <f t="shared" si="302"/>
      </c>
      <c r="DM40" s="856" t="str">
        <f t="shared" si="302"/>
      </c>
      <c r="DN40" s="855" t="str">
        <f t="shared" si="302"/>
      </c>
      <c r="DO40" s="855" t="str">
        <f t="shared" si="302"/>
      </c>
      <c r="DP40" s="855" t="str">
        <f t="shared" ref="DP40:DU40" si="303">IF(ISERROR(DP18/DO18-1),"NA",DP18/DO18-1)</f>
      </c>
      <c r="DQ40" s="856" t="str">
        <f t="shared" si="303"/>
      </c>
      <c r="DR40" s="855" t="str">
        <f t="shared" si="303"/>
      </c>
      <c r="DS40" s="855" t="str">
        <f t="shared" si="303"/>
      </c>
      <c r="DT40" s="855" t="str">
        <f t="shared" si="303"/>
      </c>
      <c r="DU40" s="856" t="str">
        <f t="shared" si="303"/>
      </c>
      <c r="DV40" s="855" t="str">
        <f t="shared" ref="DV40:EK40" si="304">IF(ISERROR(DV18/DU18-1),"NA",DV18/DU18-1)</f>
      </c>
      <c r="DW40" s="855" t="str">
        <f t="shared" si="304"/>
      </c>
      <c r="DX40" s="855" t="str">
        <f t="shared" si="304"/>
      </c>
      <c r="DY40" s="856" t="str">
        <f t="shared" si="304"/>
      </c>
      <c r="DZ40" s="855" t="str">
        <f t="shared" si="304"/>
      </c>
      <c r="EA40" s="855" t="str">
        <f t="shared" si="304"/>
      </c>
      <c r="EB40" s="855" t="str">
        <f t="shared" si="304"/>
      </c>
      <c r="EC40" s="856" t="str">
        <f t="shared" si="304"/>
      </c>
      <c r="ED40" s="855" t="str">
        <f t="shared" si="304"/>
      </c>
      <c r="EE40" s="855" t="str">
        <f t="shared" si="304"/>
      </c>
      <c r="EF40" s="855" t="str">
        <f t="shared" si="304"/>
      </c>
      <c r="EG40" s="856" t="str">
        <f t="shared" si="304"/>
      </c>
      <c r="EH40" s="855" t="str">
        <f t="shared" si="304"/>
      </c>
      <c r="EI40" s="855" t="str">
        <f t="shared" si="304"/>
      </c>
      <c r="EJ40" s="855" t="str">
        <f t="shared" si="304"/>
      </c>
      <c r="EK40" s="856" t="str">
        <f t="shared" si="304"/>
      </c>
      <c r="EM40" s="919"/>
      <c r="EN40" s="919"/>
      <c r="EO40" s="919"/>
      <c r="EP40" s="919"/>
      <c r="EQ40" s="919"/>
      <c r="ER40" s="919"/>
      <c r="ES40" s="919"/>
      <c r="ET40" s="919"/>
      <c r="EU40" s="919"/>
      <c r="EV40" s="919"/>
      <c r="EW40" s="919"/>
      <c r="EX40" s="919"/>
      <c r="EY40" s="919"/>
      <c r="EZ40" s="919"/>
      <c r="FA40" s="919"/>
      <c r="FB40" s="919"/>
      <c r="FC40" s="919"/>
      <c r="FD40" s="919"/>
      <c r="FE40" s="919"/>
      <c r="FF40" s="919"/>
      <c r="FG40" s="919"/>
      <c r="FH40" s="919"/>
      <c r="FI40" s="919"/>
      <c r="FJ40" s="919"/>
      <c r="FK40" s="919"/>
      <c r="FL40" s="919"/>
      <c r="FM40" s="919"/>
      <c r="FN40" s="919"/>
      <c r="FO40" s="919"/>
      <c r="FP40" s="919"/>
      <c r="FQ40" s="919"/>
      <c r="FR40" s="919"/>
      <c r="FS40" s="919"/>
      <c r="FT40" s="919"/>
      <c r="FU40" s="919"/>
      <c r="FW40" s="919"/>
      <c r="FX40" s="919"/>
      <c r="FY40" s="919"/>
      <c r="FZ40" s="919"/>
      <c r="GA40" s="919"/>
      <c r="GB40" s="919"/>
      <c r="GC40" s="919"/>
      <c r="GD40" s="919"/>
      <c r="GE40" s="919"/>
      <c r="GF40" s="919"/>
      <c r="GG40" s="919"/>
      <c r="GH40" s="919"/>
      <c r="GI40" s="919"/>
      <c r="GJ40" s="919"/>
      <c r="GK40" s="919"/>
      <c r="GL40" s="919"/>
      <c r="GM40" s="919"/>
      <c r="GN40" s="919"/>
      <c r="GO40" s="919"/>
      <c r="GP40" s="919"/>
      <c r="GQ40" s="919"/>
      <c r="GR40" s="919"/>
      <c r="GS40" s="919"/>
      <c r="GT40" s="919"/>
      <c r="GU40" s="919"/>
      <c r="GV40" s="919"/>
      <c r="GW40" s="919"/>
      <c r="GX40" s="919"/>
      <c r="GY40" s="919"/>
      <c r="GZ40" s="919"/>
      <c r="HA40" s="919"/>
      <c r="HB40" s="919"/>
      <c r="HC40" s="919"/>
      <c r="HD40" s="919"/>
      <c r="HE40" s="919"/>
      <c r="HF40" s="919"/>
    </row>
    <row r="41" spans="1:214" s="853" customFormat="1" ht="10.199999999999999">
      <c r="A41" s="637" t="s">
        <v>1185</v>
      </c>
      <c r="B41" s="637"/>
      <c r="C41" s="637"/>
      <c r="D41" s="637"/>
      <c r="E41" s="851"/>
      <c r="F41" s="637"/>
      <c r="G41" s="637"/>
      <c r="H41" s="637"/>
      <c r="I41" s="851"/>
      <c r="J41" s="637"/>
      <c r="K41" s="637"/>
      <c r="L41" s="637"/>
      <c r="M41" s="851"/>
      <c r="N41" s="637"/>
      <c r="O41" s="637"/>
      <c r="P41" s="637"/>
      <c r="Q41" s="637"/>
      <c r="R41" s="637"/>
      <c r="S41" s="637"/>
      <c r="T41" s="637"/>
      <c r="U41" s="637"/>
      <c r="V41" s="637"/>
      <c r="W41" s="637"/>
      <c r="X41" s="637"/>
      <c r="Y41" s="637"/>
      <c r="Z41" s="637"/>
      <c r="AA41" s="637"/>
      <c r="AB41" s="637"/>
      <c r="AC41" s="637"/>
      <c r="AD41" s="637"/>
      <c r="AE41" s="637"/>
      <c r="AF41" s="637"/>
      <c r="AG41" s="637"/>
      <c r="AH41" s="637"/>
      <c r="AI41" s="637"/>
      <c r="AJ41" s="637"/>
      <c r="AK41" s="637"/>
      <c r="AL41" s="637"/>
      <c r="AM41" s="637"/>
      <c r="AN41" s="637"/>
      <c r="AO41" s="637"/>
      <c r="AP41" s="637"/>
      <c r="AQ41" s="637"/>
      <c r="AR41" s="637"/>
      <c r="AS41" s="637"/>
      <c r="AT41" s="637">
        <f t="shared" ref="AT41:BB41" si="305">IF(ISERROR(AT19/AS19-1),"NA",AT19/AS19-1)</f>
      </c>
      <c r="AU41" s="637">
        <f t="shared" si="305"/>
      </c>
      <c r="AV41" s="637">
        <f t="shared" si="305"/>
      </c>
      <c r="AW41" s="851">
        <f t="shared" si="305"/>
      </c>
      <c r="AX41" s="637">
        <f t="shared" si="305"/>
      </c>
      <c r="AY41" s="637">
        <f t="shared" si="305"/>
      </c>
      <c r="AZ41" s="637">
        <f t="shared" si="305"/>
      </c>
      <c r="BA41" s="851">
        <f t="shared" si="305"/>
      </c>
      <c r="BB41" s="637">
        <f t="shared" si="305"/>
      </c>
      <c r="BC41" s="637">
        <f>IF(ISERROR(BC19/BB19-1),"NA",BC19/BB19-1)</f>
      </c>
      <c r="BD41" s="637">
        <f t="shared" ref="BD41:CI41" si="306">IF(ISERROR(BD19/BC19-1),"NA",BD19/BC19-1)</f>
      </c>
      <c r="BE41" s="851">
        <f t="shared" si="306"/>
      </c>
      <c r="BF41" s="637">
        <f t="shared" si="306"/>
      </c>
      <c r="BG41" s="637">
        <f t="shared" si="306"/>
      </c>
      <c r="BH41" s="637">
        <f t="shared" si="306"/>
      </c>
      <c r="BI41" s="851">
        <f t="shared" si="306"/>
      </c>
      <c r="BJ41" s="637">
        <f t="shared" si="306"/>
      </c>
      <c r="BK41" s="637">
        <f t="shared" si="306"/>
      </c>
      <c r="BL41" s="637">
        <f t="shared" si="306"/>
      </c>
      <c r="BM41" s="851">
        <f t="shared" si="306"/>
      </c>
      <c r="BN41" s="637">
        <f t="shared" si="306"/>
      </c>
      <c r="BO41" s="637">
        <f t="shared" si="306"/>
      </c>
      <c r="BP41" s="637">
        <f t="shared" si="306"/>
      </c>
      <c r="BQ41" s="851">
        <f t="shared" si="306"/>
      </c>
      <c r="BR41" s="637">
        <f t="shared" si="306"/>
      </c>
      <c r="BS41" s="637">
        <f t="shared" si="306"/>
      </c>
      <c r="BT41" s="637">
        <f t="shared" si="306"/>
      </c>
      <c r="BU41" s="851">
        <f t="shared" si="306"/>
      </c>
      <c r="BV41" s="637">
        <f t="shared" si="306"/>
      </c>
      <c r="BW41" s="637">
        <f t="shared" si="306"/>
      </c>
      <c r="BX41" s="637">
        <f t="shared" si="306"/>
      </c>
      <c r="BY41" s="851">
        <f t="shared" si="306"/>
      </c>
      <c r="BZ41" s="637">
        <f t="shared" si="306"/>
      </c>
      <c r="CA41" s="637">
        <f t="shared" si="306"/>
      </c>
      <c r="CB41" s="637">
        <f t="shared" si="306"/>
      </c>
      <c r="CC41" s="851">
        <f t="shared" si="306"/>
      </c>
      <c r="CD41" s="637">
        <f t="shared" si="306"/>
      </c>
      <c r="CE41" s="637">
        <f t="shared" si="306"/>
      </c>
      <c r="CF41" s="637">
        <f t="shared" si="306"/>
      </c>
      <c r="CG41" s="851">
        <f t="shared" si="306"/>
      </c>
      <c r="CH41" s="637">
        <f t="shared" si="306"/>
      </c>
      <c r="CI41" s="637">
        <f t="shared" si="306"/>
      </c>
      <c r="CJ41" s="637">
        <f t="shared" ref="CJ41:DO41" si="307">IF(ISERROR(CJ19/CI19-1),"NA",CJ19/CI19-1)</f>
      </c>
      <c r="CK41" s="851">
        <f t="shared" si="307"/>
      </c>
      <c r="CL41" s="637">
        <f t="shared" si="307"/>
      </c>
      <c r="CM41" s="637">
        <f t="shared" si="307"/>
      </c>
      <c r="CN41" s="637">
        <f t="shared" si="307"/>
      </c>
      <c r="CO41" s="851">
        <f t="shared" si="307"/>
      </c>
      <c r="CP41" s="637">
        <f t="shared" si="307"/>
      </c>
      <c r="CQ41" s="637">
        <f t="shared" si="307"/>
      </c>
      <c r="CR41" s="637">
        <f t="shared" si="307"/>
      </c>
      <c r="CS41" s="851">
        <f t="shared" si="307"/>
      </c>
      <c r="CT41" s="637">
        <f t="shared" si="307"/>
      </c>
      <c r="CU41" s="637">
        <f t="shared" si="307"/>
      </c>
      <c r="CV41" s="637">
        <f t="shared" si="307"/>
      </c>
      <c r="CW41" s="851">
        <f t="shared" si="307"/>
      </c>
      <c r="CX41" s="852">
        <f t="shared" si="307"/>
      </c>
      <c r="CY41" s="637">
        <f t="shared" si="307"/>
      </c>
      <c r="CZ41" s="637">
        <f t="shared" si="307"/>
      </c>
      <c r="DA41" s="851">
        <f t="shared" si="307"/>
      </c>
      <c r="DB41" s="637">
        <f t="shared" si="307"/>
      </c>
      <c r="DC41" s="637">
        <f t="shared" si="307"/>
      </c>
      <c r="DD41" s="637">
        <f t="shared" si="307"/>
      </c>
      <c r="DE41" s="851">
        <f t="shared" si="307"/>
      </c>
      <c r="DF41" s="637">
        <f t="shared" si="307"/>
      </c>
      <c r="DG41" s="637">
        <f t="shared" si="307"/>
      </c>
      <c r="DH41" s="637">
        <f t="shared" si="307"/>
      </c>
      <c r="DI41" s="851">
        <f t="shared" si="307"/>
      </c>
      <c r="DJ41" s="637">
        <f t="shared" si="307"/>
      </c>
      <c r="DK41" s="637">
        <f t="shared" si="307"/>
      </c>
      <c r="DL41" s="637">
        <f t="shared" si="307"/>
      </c>
      <c r="DM41" s="851">
        <f t="shared" si="307"/>
      </c>
      <c r="DN41" s="637">
        <f t="shared" si="307"/>
      </c>
      <c r="DO41" s="637">
        <f t="shared" si="307"/>
      </c>
      <c r="DP41" s="637">
        <f t="shared" ref="DP41:DU41" si="308">IF(ISERROR(DP19/DO19-1),"NA",DP19/DO19-1)</f>
      </c>
      <c r="DQ41" s="851">
        <f t="shared" si="308"/>
      </c>
      <c r="DR41" s="637">
        <f t="shared" si="308"/>
      </c>
      <c r="DS41" s="637">
        <f t="shared" si="308"/>
      </c>
      <c r="DT41" s="637">
        <f t="shared" si="308"/>
      </c>
      <c r="DU41" s="851">
        <f t="shared" si="308"/>
      </c>
      <c r="DV41" s="637">
        <f t="shared" ref="DV41:EK41" si="309">IF(ISERROR(DV19/DU19-1),"NA",DV19/DU19-1)</f>
      </c>
      <c r="DW41" s="637">
        <f t="shared" si="309"/>
      </c>
      <c r="DX41" s="637">
        <f t="shared" si="309"/>
      </c>
      <c r="DY41" s="851">
        <f t="shared" si="309"/>
      </c>
      <c r="DZ41" s="637">
        <f t="shared" si="309"/>
      </c>
      <c r="EA41" s="637">
        <f t="shared" si="309"/>
      </c>
      <c r="EB41" s="637">
        <f t="shared" si="309"/>
      </c>
      <c r="EC41" s="851">
        <f t="shared" si="309"/>
      </c>
      <c r="ED41" s="637">
        <f t="shared" si="309"/>
      </c>
      <c r="EE41" s="637">
        <f t="shared" si="309"/>
      </c>
      <c r="EF41" s="637">
        <f t="shared" si="309"/>
      </c>
      <c r="EG41" s="851">
        <f t="shared" si="309"/>
      </c>
      <c r="EH41" s="637">
        <f t="shared" si="309"/>
      </c>
      <c r="EI41" s="637">
        <f t="shared" si="309"/>
      </c>
      <c r="EJ41" s="637">
        <f t="shared" si="309"/>
      </c>
      <c r="EK41" s="851">
        <f t="shared" si="309"/>
      </c>
      <c r="EM41" s="854"/>
      <c r="EN41" s="854"/>
      <c r="EO41" s="854"/>
      <c r="EP41" s="854"/>
      <c r="EQ41" s="854"/>
      <c r="ER41" s="854"/>
      <c r="ES41" s="854"/>
      <c r="ET41" s="854"/>
      <c r="EU41" s="854"/>
      <c r="EV41" s="854"/>
      <c r="EW41" s="854"/>
      <c r="EX41" s="854"/>
      <c r="EY41" s="854"/>
      <c r="EZ41" s="854"/>
      <c r="FA41" s="854"/>
      <c r="FB41" s="854"/>
      <c r="FC41" s="854"/>
      <c r="FD41" s="854"/>
      <c r="FE41" s="854"/>
      <c r="FF41" s="854"/>
      <c r="FG41" s="854"/>
      <c r="FH41" s="854"/>
      <c r="FI41" s="854"/>
      <c r="FJ41" s="854"/>
      <c r="FK41" s="854"/>
      <c r="FL41" s="854"/>
      <c r="FM41" s="854"/>
      <c r="FN41" s="854"/>
      <c r="FO41" s="854"/>
      <c r="FP41" s="854"/>
      <c r="FQ41" s="854"/>
      <c r="FR41" s="854"/>
      <c r="FS41" s="854"/>
      <c r="FT41" s="854"/>
      <c r="FU41" s="854"/>
      <c r="FW41" s="854"/>
      <c r="FX41" s="854"/>
      <c r="FY41" s="854"/>
      <c r="FZ41" s="854"/>
      <c r="GA41" s="854"/>
      <c r="GB41" s="854"/>
      <c r="GC41" s="854"/>
      <c r="GD41" s="854"/>
      <c r="GE41" s="854"/>
      <c r="GF41" s="854"/>
      <c r="GG41" s="854"/>
      <c r="GH41" s="854"/>
      <c r="GI41" s="854"/>
      <c r="GJ41" s="854"/>
      <c r="GK41" s="854"/>
      <c r="GL41" s="854"/>
      <c r="GM41" s="854"/>
      <c r="GN41" s="854"/>
      <c r="GO41" s="854"/>
      <c r="GP41" s="854"/>
      <c r="GQ41" s="854"/>
      <c r="GR41" s="854"/>
      <c r="GS41" s="854"/>
      <c r="GT41" s="854"/>
      <c r="GU41" s="854"/>
      <c r="GV41" s="854"/>
      <c r="GW41" s="854"/>
      <c r="GX41" s="854"/>
      <c r="GY41" s="854"/>
      <c r="GZ41" s="854"/>
      <c r="HA41" s="854"/>
      <c r="HB41" s="854"/>
      <c r="HC41" s="854"/>
      <c r="HD41" s="854"/>
      <c r="HE41" s="854"/>
      <c r="HF41" s="854"/>
    </row>
    <row r="42" spans="1:214" s="16" customFormat="1" ht="10.199999999999999">
      <c r="A42" s="135"/>
      <c r="B42" s="130"/>
      <c r="C42" s="130"/>
      <c r="D42" s="130"/>
      <c r="E42" s="235"/>
      <c r="F42" s="130"/>
      <c r="G42" s="130"/>
      <c r="H42" s="130"/>
      <c r="I42" s="235"/>
      <c r="J42" s="130"/>
      <c r="K42" s="130"/>
      <c r="L42" s="130"/>
      <c r="M42" s="235"/>
      <c r="N42" s="130"/>
      <c r="O42" s="130"/>
      <c r="P42" s="130"/>
      <c r="Q42" s="235"/>
      <c r="R42" s="130"/>
      <c r="S42" s="130"/>
      <c r="T42" s="130"/>
      <c r="U42" s="235"/>
      <c r="V42" s="130"/>
      <c r="W42" s="130"/>
      <c r="X42" s="130"/>
      <c r="Y42" s="235"/>
      <c r="Z42" s="98"/>
      <c r="AA42" s="98"/>
      <c r="AB42" s="98"/>
      <c r="AC42" s="180"/>
      <c r="AD42" s="98"/>
      <c r="AE42" s="98"/>
      <c r="AF42" s="98"/>
      <c r="AG42" s="180"/>
      <c r="AH42" s="98"/>
      <c r="AI42" s="98"/>
      <c r="AJ42" s="98"/>
      <c r="AK42" s="180"/>
      <c r="AL42" s="98"/>
      <c r="AM42" s="98"/>
      <c r="AN42" s="98"/>
      <c r="AO42" s="180"/>
      <c r="AP42" s="98"/>
      <c r="AQ42" s="98"/>
      <c r="AR42" s="98"/>
      <c r="AS42" s="180"/>
      <c r="AT42" s="98"/>
      <c r="AU42" s="98"/>
      <c r="AV42" s="98"/>
      <c r="AW42" s="180"/>
      <c r="AX42" s="98"/>
      <c r="AY42" s="98"/>
      <c r="AZ42" s="98"/>
      <c r="BA42" s="180"/>
      <c r="BB42" s="98"/>
      <c r="BC42" s="98"/>
      <c r="BD42" s="98"/>
      <c r="BE42" s="180"/>
      <c r="BF42" s="98"/>
      <c r="BG42" s="98"/>
      <c r="BH42" s="98"/>
      <c r="BI42" s="180"/>
      <c r="BJ42" s="98"/>
      <c r="BK42" s="98"/>
      <c r="BL42" s="98"/>
      <c r="BM42" s="180"/>
      <c r="BN42" s="98"/>
      <c r="BO42" s="98"/>
      <c r="BP42" s="98"/>
      <c r="BQ42" s="180"/>
      <c r="BR42" s="98"/>
      <c r="BS42" s="98"/>
      <c r="BT42" s="98"/>
      <c r="BU42" s="180"/>
      <c r="BV42" s="98"/>
      <c r="BW42" s="98"/>
      <c r="BX42" s="98"/>
      <c r="BY42" s="180"/>
      <c r="BZ42" s="98"/>
      <c r="CA42" s="98"/>
      <c r="CB42" s="98"/>
      <c r="CC42" s="180"/>
      <c r="CD42" s="523"/>
      <c r="CE42" s="523"/>
      <c r="CF42" s="524"/>
      <c r="CG42" s="525"/>
      <c r="CH42" s="523"/>
      <c r="CI42" s="523"/>
      <c r="CJ42" s="523"/>
      <c r="CK42" s="525"/>
      <c r="CL42" s="523"/>
      <c r="CM42" s="523"/>
      <c r="CN42" s="523"/>
      <c r="CO42" s="525"/>
      <c r="CP42" s="320"/>
      <c r="CQ42" s="320"/>
      <c r="CR42" s="320"/>
      <c r="CS42" s="321"/>
      <c r="CT42" s="320"/>
      <c r="CU42" s="320"/>
      <c r="CV42" s="320"/>
      <c r="CW42" s="321"/>
      <c r="CX42" s="320"/>
      <c r="CY42" s="320"/>
      <c r="CZ42" s="320"/>
      <c r="DA42" s="321"/>
      <c r="DB42" s="320"/>
      <c r="DC42" s="320"/>
      <c r="DD42" s="390"/>
      <c r="DE42" s="430"/>
      <c r="DF42" s="390"/>
      <c r="DG42" s="390"/>
      <c r="DH42" s="390"/>
      <c r="DI42" s="430"/>
      <c r="DJ42" s="390"/>
      <c r="DK42" s="390"/>
      <c r="DL42" s="390"/>
      <c r="DM42" s="430"/>
      <c r="DN42" s="390"/>
      <c r="DO42" s="390"/>
      <c r="DP42" s="390"/>
      <c r="DQ42" s="430"/>
      <c r="DR42" s="390"/>
      <c r="DS42" s="390"/>
      <c r="DT42" s="390"/>
      <c r="DU42" s="430"/>
      <c r="DV42" s="390"/>
      <c r="DW42" s="390"/>
      <c r="DX42" s="390"/>
      <c r="DY42" s="430"/>
      <c r="DZ42" s="390"/>
      <c r="EA42" s="390"/>
      <c r="EB42" s="390"/>
      <c r="EC42" s="430"/>
      <c r="ED42" s="390"/>
      <c r="EE42" s="390"/>
      <c r="EF42" s="390"/>
      <c r="EG42" s="430"/>
      <c r="EH42" s="390"/>
      <c r="EI42" s="390"/>
      <c r="EJ42" s="390"/>
      <c r="EK42" s="430"/>
      <c r="EL42" s="320"/>
      <c r="EM42" s="390"/>
      <c r="EN42" s="390"/>
      <c r="EO42" s="390"/>
      <c r="EP42" s="390"/>
      <c r="EQ42" s="390"/>
      <c r="ER42" s="390"/>
      <c r="ES42" s="390"/>
      <c r="ET42" s="390"/>
      <c r="EU42" s="390"/>
      <c r="EV42" s="390"/>
      <c r="EW42" s="390"/>
      <c r="EX42" s="390"/>
      <c r="EY42" s="390"/>
      <c r="EZ42" s="390"/>
      <c r="FA42" s="390"/>
      <c r="FB42" s="390"/>
      <c r="FC42" s="390"/>
      <c r="FD42" s="390"/>
      <c r="FE42" s="390"/>
      <c r="FF42" s="390"/>
      <c r="FG42" s="390"/>
      <c r="FH42" s="390"/>
      <c r="FI42" s="390"/>
      <c r="FJ42" s="390"/>
      <c r="FK42" s="390"/>
      <c r="FL42" s="390"/>
      <c r="FM42" s="390"/>
      <c r="FN42" s="390"/>
      <c r="FO42" s="390"/>
      <c r="FP42" s="390"/>
      <c r="FQ42" s="390"/>
      <c r="FR42" s="390"/>
      <c r="FS42" s="390"/>
      <c r="FT42" s="390"/>
      <c r="FU42" s="390"/>
      <c r="FW42" s="390"/>
      <c r="FX42" s="390"/>
      <c r="FY42" s="390"/>
      <c r="FZ42" s="390"/>
      <c r="GA42" s="390"/>
      <c r="GB42" s="390"/>
      <c r="GC42" s="390"/>
      <c r="GD42" s="390"/>
      <c r="GE42" s="390"/>
      <c r="GF42" s="390"/>
      <c r="GG42" s="390"/>
      <c r="GH42" s="390"/>
      <c r="GI42" s="390"/>
      <c r="GJ42" s="390"/>
      <c r="GK42" s="390"/>
      <c r="GL42" s="390"/>
      <c r="GM42" s="390"/>
      <c r="GN42" s="390"/>
      <c r="GO42" s="390"/>
      <c r="GP42" s="390"/>
      <c r="GQ42" s="390"/>
      <c r="GR42" s="390"/>
      <c r="GS42" s="390"/>
      <c r="GT42" s="390"/>
      <c r="GU42" s="390"/>
      <c r="GV42" s="390"/>
      <c r="GW42" s="390"/>
      <c r="GX42" s="390"/>
      <c r="GY42" s="390"/>
      <c r="GZ42" s="390"/>
      <c r="HA42" s="390"/>
      <c r="HB42" s="390"/>
      <c r="HC42" s="390"/>
      <c r="HD42" s="390"/>
      <c r="HE42" s="390"/>
      <c r="HF42" s="390"/>
    </row>
    <row r="43" spans="1:214" s="16" customFormat="1" ht="10.8" thickBot="1">
      <c r="A43" s="708" t="s">
        <v>1493</v>
      </c>
      <c r="B43" s="706" t="str">
        <f>'Revenue summary'!B$8</f>
      </c>
      <c r="C43" s="706" t="str">
        <f>'Revenue summary'!C$8</f>
      </c>
      <c r="D43" s="706" t="str">
        <f>'Revenue summary'!D$8</f>
      </c>
      <c r="E43" s="707" t="str">
        <f>'Revenue summary'!E$8</f>
      </c>
      <c r="F43" s="706" t="str">
        <f>'Revenue summary'!F$8</f>
      </c>
      <c r="G43" s="706" t="str">
        <f>'Revenue summary'!G$8</f>
      </c>
      <c r="H43" s="706" t="str">
        <f>'Revenue summary'!H$8</f>
      </c>
      <c r="I43" s="707" t="str">
        <f>'Revenue summary'!I$8</f>
      </c>
      <c r="J43" s="706" t="str">
        <f>'Revenue summary'!J$8</f>
      </c>
      <c r="K43" s="706" t="str">
        <f>'Revenue summary'!K$8</f>
      </c>
      <c r="L43" s="706" t="str">
        <f>'Revenue summary'!L$8</f>
      </c>
      <c r="M43" s="707" t="str">
        <f>'Revenue summary'!M$8</f>
      </c>
      <c r="N43" s="706" t="str">
        <f>'Revenue summary'!N$8</f>
      </c>
      <c r="O43" s="706" t="str">
        <f>'Revenue summary'!O$8</f>
      </c>
      <c r="P43" s="706" t="str">
        <f>'Revenue summary'!P$8</f>
      </c>
      <c r="Q43" s="707" t="str">
        <f>'Revenue summary'!Q$8</f>
      </c>
      <c r="R43" s="706" t="str">
        <f>'Revenue summary'!R$8</f>
      </c>
      <c r="S43" s="706" t="str">
        <f>'Revenue summary'!S$8</f>
      </c>
      <c r="T43" s="706" t="str">
        <f>'Revenue summary'!T$8</f>
      </c>
      <c r="U43" s="707" t="str">
        <f>'Revenue summary'!U$8</f>
      </c>
      <c r="V43" s="706" t="str">
        <f>'Revenue summary'!V$8</f>
      </c>
      <c r="W43" s="706" t="str">
        <f>'Revenue summary'!W$8</f>
      </c>
      <c r="X43" s="706" t="str">
        <f>'Revenue summary'!X$8</f>
      </c>
      <c r="Y43" s="707" t="str">
        <f>'Revenue summary'!Y$8</f>
      </c>
      <c r="Z43" s="706" t="str">
        <f>'Revenue summary'!Z$8</f>
      </c>
      <c r="AA43" s="706" t="str">
        <f>'Revenue summary'!AA$8</f>
      </c>
      <c r="AB43" s="706" t="str">
        <f>'Revenue summary'!AB$8</f>
      </c>
      <c r="AC43" s="707" t="str">
        <f>'Revenue summary'!AC$8</f>
      </c>
      <c r="AD43" s="706" t="str">
        <f>'Revenue summary'!AD$8</f>
      </c>
      <c r="AE43" s="706" t="str">
        <f>'Revenue summary'!AE$8</f>
      </c>
      <c r="AF43" s="706" t="str">
        <f>'Revenue summary'!AF$8</f>
      </c>
      <c r="AG43" s="707" t="str">
        <f>'Revenue summary'!AG$8</f>
      </c>
      <c r="AH43" s="706" t="str">
        <f>'Revenue summary'!AH$8</f>
      </c>
      <c r="AI43" s="706" t="str">
        <f>'Revenue summary'!AI$8</f>
      </c>
      <c r="AJ43" s="706" t="str">
        <f>'Revenue summary'!AJ$8</f>
      </c>
      <c r="AK43" s="707" t="str">
        <f>'Revenue summary'!AK$8</f>
      </c>
      <c r="AL43" s="706" t="str">
        <f>'Revenue summary'!AL$8</f>
      </c>
      <c r="AM43" s="706" t="str">
        <f>'Revenue summary'!AM$8</f>
      </c>
      <c r="AN43" s="706" t="str">
        <f>'Revenue summary'!AN$8</f>
      </c>
      <c r="AO43" s="707" t="str">
        <f>'Revenue summary'!AO$8</f>
      </c>
      <c r="AP43" s="706" t="str">
        <f>'Revenue summary'!AP$8</f>
      </c>
      <c r="AQ43" s="706" t="str">
        <f>'Revenue summary'!AQ$8</f>
      </c>
      <c r="AR43" s="706" t="str">
        <f>'Revenue summary'!AR$8</f>
      </c>
      <c r="AS43" s="707" t="str">
        <f>'Revenue summary'!AS$8</f>
      </c>
      <c r="AT43" s="706" t="str">
        <f>'Revenue summary'!AT$8</f>
      </c>
      <c r="AU43" s="706" t="str">
        <f>'Revenue summary'!AU$8</f>
      </c>
      <c r="AV43" s="706" t="str">
        <f>'Revenue summary'!AV$8</f>
      </c>
      <c r="AW43" s="707" t="str">
        <f>'Revenue summary'!AW$8</f>
      </c>
      <c r="AX43" s="706" t="str">
        <f>'Revenue summary'!AX$8</f>
      </c>
      <c r="AY43" s="706" t="str">
        <f>'Revenue summary'!AY$8</f>
      </c>
      <c r="AZ43" s="706" t="str">
        <f>'Revenue summary'!AZ$8</f>
      </c>
      <c r="BA43" s="707" t="str">
        <f>'Revenue summary'!BA$8</f>
      </c>
      <c r="BB43" s="706" t="str">
        <f>'Revenue summary'!BB$8</f>
      </c>
      <c r="BC43" s="706" t="str">
        <f>'Revenue summary'!BC$8</f>
      </c>
      <c r="BD43" s="706" t="str">
        <f>'Revenue summary'!BD$8</f>
      </c>
      <c r="BE43" s="707" t="str">
        <f>'Revenue summary'!BE$8</f>
      </c>
      <c r="BF43" s="706" t="str">
        <f>'Revenue summary'!BF$8</f>
      </c>
      <c r="BG43" s="706" t="str">
        <f>'Revenue summary'!BG$8</f>
      </c>
      <c r="BH43" s="706" t="str">
        <f>'Revenue summary'!BH$8</f>
      </c>
      <c r="BI43" s="707" t="str">
        <f>'Revenue summary'!BI$8</f>
      </c>
      <c r="BJ43" s="706" t="str">
        <f>'Revenue summary'!BJ$8</f>
      </c>
      <c r="BK43" s="706" t="str">
        <f>'Revenue summary'!BK$8</f>
      </c>
      <c r="BL43" s="706" t="str">
        <f>'Revenue summary'!BL$8</f>
      </c>
      <c r="BM43" s="707" t="str">
        <f>'Revenue summary'!BM$8</f>
      </c>
      <c r="BN43" s="706" t="str">
        <f>'Revenue summary'!BN$8</f>
      </c>
      <c r="BO43" s="706" t="str">
        <f>'Revenue summary'!BO$8</f>
      </c>
      <c r="BP43" s="706" t="str">
        <f>'Revenue summary'!BP$8</f>
      </c>
      <c r="BQ43" s="707" t="str">
        <f>'Revenue summary'!BQ$8</f>
      </c>
      <c r="BR43" s="706" t="str">
        <f>'Revenue summary'!BR$8</f>
      </c>
      <c r="BS43" s="706" t="str">
        <f>'Revenue summary'!BS$8</f>
      </c>
      <c r="BT43" s="706" t="str">
        <f>'Revenue summary'!BT$8</f>
      </c>
      <c r="BU43" s="707" t="str">
        <f>'Revenue summary'!BU$8</f>
      </c>
      <c r="BV43" s="706" t="str">
        <f>'Revenue summary'!BV$8</f>
      </c>
      <c r="BW43" s="706" t="str">
        <f>'Revenue summary'!BW$8</f>
      </c>
      <c r="BX43" s="706" t="str">
        <f>'Revenue summary'!BX$8</f>
      </c>
      <c r="BY43" s="707" t="str">
        <f>'Revenue summary'!BY$8</f>
      </c>
      <c r="BZ43" s="706" t="str">
        <f>'Revenue summary'!BZ$8</f>
      </c>
      <c r="CA43" s="706" t="str">
        <f>'Revenue summary'!CA$8</f>
      </c>
      <c r="CB43" s="706" t="str">
        <f>'Revenue summary'!CB$8</f>
      </c>
      <c r="CC43" s="707" t="str">
        <f>'Revenue summary'!CC$8</f>
      </c>
      <c r="CD43" s="706" t="str">
        <f>'Revenue summary'!CD$8</f>
      </c>
      <c r="CE43" s="706" t="str">
        <f>'Revenue summary'!CE$8</f>
      </c>
      <c r="CF43" s="706" t="str">
        <f>'Revenue summary'!CF$8</f>
      </c>
      <c r="CG43" s="707" t="str">
        <f>'Revenue summary'!CG$8</f>
      </c>
      <c r="CH43" s="706" t="str">
        <f>'Revenue summary'!CH$8</f>
      </c>
      <c r="CI43" s="706" t="str">
        <f>'Revenue summary'!CI$8</f>
      </c>
      <c r="CJ43" s="706" t="str">
        <f>'Revenue summary'!CJ$8</f>
      </c>
      <c r="CK43" s="707" t="str">
        <f>CK$32</f>
      </c>
      <c r="CL43" s="706" t="str">
        <f t="shared" ref="CL43:EK43" si="310">CL$32</f>
      </c>
      <c r="CM43" s="706" t="str">
        <f t="shared" si="310"/>
      </c>
      <c r="CN43" s="706" t="str">
        <f t="shared" si="310"/>
      </c>
      <c r="CO43" s="707" t="str">
        <f t="shared" si="310"/>
      </c>
      <c r="CP43" s="706" t="str">
        <f t="shared" si="310"/>
      </c>
      <c r="CQ43" s="706" t="str">
        <f t="shared" si="310"/>
      </c>
      <c r="CR43" s="706" t="str">
        <f t="shared" si="310"/>
      </c>
      <c r="CS43" s="707" t="str">
        <f t="shared" si="310"/>
      </c>
      <c r="CT43" s="706" t="str">
        <f t="shared" si="310"/>
      </c>
      <c r="CU43" s="706" t="str">
        <f t="shared" si="310"/>
      </c>
      <c r="CV43" s="706" t="str">
        <f t="shared" si="310"/>
      </c>
      <c r="CW43" s="707" t="str">
        <f t="shared" si="310"/>
      </c>
      <c r="CX43" s="706" t="str">
        <f t="shared" si="310"/>
      </c>
      <c r="CY43" s="706" t="str">
        <f t="shared" si="310"/>
      </c>
      <c r="CZ43" s="706" t="str">
        <f t="shared" si="310"/>
      </c>
      <c r="DA43" s="707" t="str">
        <f t="shared" si="310"/>
      </c>
      <c r="DB43" s="706" t="str">
        <f t="shared" si="310"/>
      </c>
      <c r="DC43" s="706" t="str">
        <f t="shared" si="310"/>
      </c>
      <c r="DD43" s="706" t="str">
        <f t="shared" si="310"/>
      </c>
      <c r="DE43" s="707" t="str">
        <f t="shared" si="310"/>
      </c>
      <c r="DF43" s="706" t="str">
        <f t="shared" si="310"/>
      </c>
      <c r="DG43" s="706" t="str">
        <f t="shared" si="310"/>
      </c>
      <c r="DH43" s="706" t="str">
        <f t="shared" si="310"/>
      </c>
      <c r="DI43" s="707" t="str">
        <f t="shared" si="310"/>
      </c>
      <c r="DJ43" s="706" t="str">
        <f t="shared" si="310"/>
      </c>
      <c r="DK43" s="706" t="str">
        <f t="shared" si="310"/>
      </c>
      <c r="DL43" s="706" t="str">
        <f t="shared" si="310"/>
      </c>
      <c r="DM43" s="707" t="str">
        <f t="shared" si="310"/>
      </c>
      <c r="DN43" s="706" t="str">
        <f t="shared" si="310"/>
      </c>
      <c r="DO43" s="706" t="str">
        <f t="shared" si="310"/>
      </c>
      <c r="DP43" s="706" t="str">
        <f t="shared" si="310"/>
      </c>
      <c r="DQ43" s="707" t="str">
        <f t="shared" si="310"/>
      </c>
      <c r="DR43" s="706" t="str">
        <f t="shared" si="310"/>
      </c>
      <c r="DS43" s="706" t="str">
        <f t="shared" si="310"/>
      </c>
      <c r="DT43" s="706" t="str">
        <f t="shared" si="310"/>
      </c>
      <c r="DU43" s="707" t="str">
        <f t="shared" si="310"/>
      </c>
      <c r="DV43" s="706" t="str">
        <f t="shared" si="310"/>
      </c>
      <c r="DW43" s="706" t="str">
        <f t="shared" si="310"/>
      </c>
      <c r="DX43" s="706" t="str">
        <f t="shared" si="310"/>
      </c>
      <c r="DY43" s="707" t="str">
        <f t="shared" si="310"/>
      </c>
      <c r="DZ43" s="706" t="str">
        <f t="shared" si="310"/>
      </c>
      <c r="EA43" s="706" t="str">
        <f t="shared" si="310"/>
      </c>
      <c r="EB43" s="706" t="str">
        <f t="shared" si="310"/>
      </c>
      <c r="EC43" s="707" t="str">
        <f t="shared" si="310"/>
      </c>
      <c r="ED43" s="706" t="str">
        <f t="shared" si="310"/>
      </c>
      <c r="EE43" s="706" t="str">
        <f t="shared" si="310"/>
      </c>
      <c r="EF43" s="706" t="str">
        <f t="shared" si="310"/>
      </c>
      <c r="EG43" s="707" t="str">
        <f t="shared" si="310"/>
      </c>
      <c r="EH43" s="706" t="str">
        <f t="shared" si="310"/>
      </c>
      <c r="EI43" s="706" t="str">
        <f t="shared" si="310"/>
      </c>
      <c r="EJ43" s="706" t="str">
        <f t="shared" si="310"/>
      </c>
      <c r="EK43" s="707" t="str">
        <f t="shared" si="310"/>
      </c>
      <c r="EL43" s="320"/>
      <c r="EM43" s="706"/>
      <c r="EN43" s="706"/>
      <c r="EO43" s="706"/>
      <c r="EP43" s="706"/>
      <c r="EQ43" s="706"/>
      <c r="ER43" s="706"/>
      <c r="ES43" s="706"/>
      <c r="ET43" s="706"/>
      <c r="EU43" s="706"/>
      <c r="EV43" s="706"/>
      <c r="EW43" s="706"/>
      <c r="EX43" s="706"/>
      <c r="EY43" s="706"/>
      <c r="EZ43" s="706"/>
      <c r="FA43" s="706"/>
      <c r="FB43" s="706"/>
      <c r="FC43" s="706"/>
      <c r="FD43" s="706"/>
      <c r="FE43" s="706"/>
      <c r="FF43" s="706"/>
      <c r="FG43" s="706"/>
      <c r="FH43" s="706"/>
      <c r="FI43" s="706"/>
      <c r="FJ43" s="706"/>
      <c r="FK43" s="706"/>
      <c r="FL43" s="706"/>
      <c r="FM43" s="706"/>
      <c r="FN43" s="706"/>
      <c r="FO43" s="706"/>
      <c r="FP43" s="706"/>
      <c r="FQ43" s="706"/>
      <c r="FR43" s="706"/>
      <c r="FS43" s="706"/>
      <c r="FT43" s="706"/>
      <c r="FU43" s="706"/>
      <c r="FW43" s="706"/>
      <c r="FX43" s="706"/>
      <c r="FY43" s="706"/>
      <c r="FZ43" s="706"/>
      <c r="GA43" s="706"/>
      <c r="GB43" s="706"/>
      <c r="GC43" s="706"/>
      <c r="GD43" s="706"/>
      <c r="GE43" s="706"/>
      <c r="GF43" s="706"/>
      <c r="GG43" s="706"/>
      <c r="GH43" s="706"/>
      <c r="GI43" s="706"/>
      <c r="GJ43" s="706"/>
      <c r="GK43" s="706"/>
      <c r="GL43" s="706"/>
      <c r="GM43" s="706"/>
      <c r="GN43" s="706"/>
      <c r="GO43" s="706"/>
      <c r="GP43" s="706"/>
      <c r="GQ43" s="706"/>
      <c r="GR43" s="706"/>
      <c r="GS43" s="706"/>
      <c r="GT43" s="706"/>
      <c r="GU43" s="706"/>
      <c r="GV43" s="706"/>
      <c r="GW43" s="706"/>
      <c r="GX43" s="706"/>
      <c r="GY43" s="706"/>
      <c r="GZ43" s="706"/>
      <c r="HA43" s="706"/>
      <c r="HB43" s="706"/>
      <c r="HC43" s="706"/>
      <c r="HD43" s="706"/>
      <c r="HE43" s="706"/>
      <c r="HF43" s="706"/>
    </row>
    <row r="44" spans="1:214" s="899" customFormat="1" ht="10.199999999999999">
      <c r="A44" s="1755" t="s">
        <v>85</v>
      </c>
      <c r="B44" s="1737"/>
      <c r="C44" s="1737"/>
      <c r="D44" s="1737"/>
      <c r="E44" s="1761"/>
      <c r="F44" s="1737"/>
      <c r="G44" s="1737"/>
      <c r="H44" s="1737"/>
      <c r="I44" s="1761"/>
      <c r="J44" s="1737"/>
      <c r="K44" s="1737"/>
      <c r="L44" s="1737"/>
      <c r="M44" s="1761"/>
      <c r="N44" s="1737"/>
      <c r="O44" s="1737"/>
      <c r="P44" s="1737"/>
      <c r="Q44" s="1761"/>
      <c r="R44" s="1737"/>
      <c r="S44" s="1737"/>
      <c r="T44" s="1737"/>
      <c r="U44" s="1761"/>
      <c r="V44" s="1737"/>
      <c r="W44" s="1737"/>
      <c r="X44" s="1737"/>
      <c r="Y44" s="1761"/>
      <c r="Z44" s="1737"/>
      <c r="AA44" s="1737"/>
      <c r="AB44" s="1737"/>
      <c r="AC44" s="1761"/>
      <c r="AD44" s="1737"/>
      <c r="AE44" s="1737"/>
      <c r="AF44" s="1737"/>
      <c r="AG44" s="1761"/>
      <c r="AH44" s="1737"/>
      <c r="AI44" s="1737"/>
      <c r="AJ44" s="1737"/>
      <c r="AK44" s="1761"/>
      <c r="AL44" s="1737"/>
      <c r="AM44" s="1737"/>
      <c r="AN44" s="1737"/>
      <c r="AO44" s="1761"/>
      <c r="AP44" s="1737"/>
      <c r="AQ44" s="1737"/>
      <c r="AR44" s="1737"/>
      <c r="AS44" s="1761"/>
      <c r="AT44" s="1737"/>
      <c r="AU44" s="1737"/>
      <c r="AV44" s="1737"/>
      <c r="AW44" s="1761"/>
      <c r="AX44" s="1737"/>
      <c r="AY44" s="1737"/>
      <c r="AZ44" s="1737"/>
      <c r="BA44" s="1761"/>
      <c r="BB44" s="1737"/>
      <c r="BC44" s="1737"/>
      <c r="BD44" s="1737"/>
      <c r="BE44" s="1761"/>
      <c r="BF44" s="1737"/>
      <c r="BG44" s="1737"/>
      <c r="BH44" s="1737"/>
      <c r="BI44" s="1761"/>
      <c r="BJ44" s="1737"/>
      <c r="BK44" s="1737"/>
      <c r="BL44" s="1737"/>
      <c r="BM44" s="1761"/>
      <c r="BN44" s="1737"/>
      <c r="BO44" s="1737"/>
      <c r="BP44" s="1737"/>
      <c r="BQ44" s="1761"/>
      <c r="BR44" s="1737"/>
      <c r="BS44" s="1737"/>
      <c r="BT44" s="1737"/>
      <c r="BU44" s="1761"/>
      <c r="BV44" s="1737"/>
      <c r="BW44" s="1737"/>
      <c r="BX44" s="1737"/>
      <c r="BY44" s="1761"/>
      <c r="BZ44" s="1737"/>
      <c r="CA44" s="1737"/>
      <c r="CB44" s="1737"/>
      <c r="CC44" s="1761"/>
      <c r="CD44" s="1737"/>
      <c r="CE44" s="1737"/>
      <c r="CF44" s="1737"/>
      <c r="CG44" s="1761"/>
      <c r="CH44" s="1737">
        <f>CH94*CH153</f>
      </c>
      <c r="CI44" s="1737">
        <f>CI94*CI153</f>
      </c>
      <c r="CJ44" s="1737">
        <f>CJ94*CJ153</f>
      </c>
      <c r="CK44" s="1761">
        <f t="shared" ref="CK44:CO44" si="311">CK94*CK153</f>
      </c>
      <c r="CL44" s="1737">
        <f t="shared" si="311"/>
      </c>
      <c r="CM44" s="1737">
        <f t="shared" si="311"/>
      </c>
      <c r="CN44" s="1737">
        <f t="shared" si="311"/>
      </c>
      <c r="CO44" s="1761">
        <f t="shared" si="311"/>
      </c>
      <c r="CP44" s="1737">
        <f t="shared" ref="CP44:CS44" si="312">CP94*CP153</f>
      </c>
      <c r="CQ44" s="1737">
        <f t="shared" si="312"/>
      </c>
      <c r="CR44" s="1737">
        <f t="shared" si="312"/>
      </c>
      <c r="CS44" s="1761">
        <f t="shared" si="312"/>
      </c>
      <c r="CT44" s="1737">
        <f t="shared" ref="CT44:CW44" si="313">CT94*CT153</f>
      </c>
      <c r="CU44" s="1737">
        <f t="shared" si="313"/>
      </c>
      <c r="CV44" s="1737">
        <f t="shared" si="313"/>
      </c>
      <c r="CW44" s="1761">
        <f t="shared" si="313"/>
      </c>
      <c r="CX44" s="1737">
        <f t="shared" ref="CX44:DA44" si="314">CX94*CX153</f>
      </c>
      <c r="CY44" s="1737">
        <f t="shared" si="314"/>
      </c>
      <c r="CZ44" s="1737">
        <f t="shared" si="314"/>
      </c>
      <c r="DA44" s="1761">
        <f t="shared" si="314"/>
      </c>
      <c r="DB44" s="1737">
        <f t="shared" ref="DB44:DE44" si="315">DB94*DB153</f>
      </c>
      <c r="DC44" s="1737">
        <f t="shared" si="315"/>
      </c>
      <c r="DD44" s="1737">
        <f t="shared" si="315"/>
      </c>
      <c r="DE44" s="1761">
        <f t="shared" si="315"/>
      </c>
      <c r="DF44" s="1737">
        <f t="shared" ref="DF44" si="316">DF94*DF153</f>
      </c>
      <c r="DG44" s="1737">
        <f>DG94*DG153</f>
      </c>
      <c r="DH44" s="1737">
        <f>DH94*DH153</f>
      </c>
      <c r="DI44" s="1761">
        <f>DI94*DI153</f>
      </c>
      <c r="DJ44" s="1737">
        <f t="shared" ref="DJ44:DJ47" si="317">DJ94*DJ153</f>
      </c>
      <c r="DK44" s="1737">
        <f t="shared" ref="DK44:DM47" si="318">DK94*DK153</f>
      </c>
      <c r="DL44" s="1737">
        <f>DL94*DL153</f>
      </c>
      <c r="DM44" s="1761">
        <f>DM94*DM153</f>
      </c>
      <c r="DN44" s="1737">
        <f t="shared" ref="DN44:DO46" si="319">DN94*DN153</f>
      </c>
      <c r="DO44" s="1737">
        <f t="shared" si="319"/>
      </c>
      <c r="DP44" s="1737">
        <f t="shared" ref="DP44" si="320">DP94*DP153</f>
      </c>
      <c r="DQ44" s="1761">
        <f t="shared" ref="DQ44:DR48" si="321">DQ94*DQ153</f>
      </c>
      <c r="DR44" s="1807">
        <f t="shared" si="321"/>
      </c>
      <c r="DS44" s="1737">
        <f t="shared" ref="DS44:DU44" si="322">DS94*DS153</f>
      </c>
      <c r="DT44" s="1737">
        <f t="shared" si="322"/>
      </c>
      <c r="DU44" s="1761">
        <f t="shared" si="322"/>
      </c>
      <c r="DV44" s="1807">
        <f t="shared" ref="DV44:EK44" si="323">DV94*DV153</f>
      </c>
      <c r="DW44" s="1737">
        <f t="shared" si="323"/>
      </c>
      <c r="DX44" s="1737">
        <f t="shared" si="323"/>
      </c>
      <c r="DY44" s="1761">
        <f t="shared" si="323"/>
      </c>
      <c r="DZ44" s="1807">
        <f t="shared" si="323"/>
      </c>
      <c r="EA44" s="1737">
        <f t="shared" si="323"/>
      </c>
      <c r="EB44" s="1737">
        <f t="shared" si="323"/>
      </c>
      <c r="EC44" s="1761">
        <f t="shared" si="323"/>
      </c>
      <c r="ED44" s="1807">
        <f t="shared" si="323"/>
      </c>
      <c r="EE44" s="1737">
        <f t="shared" si="323"/>
      </c>
      <c r="EF44" s="1737">
        <f t="shared" si="323"/>
      </c>
      <c r="EG44" s="1761">
        <f t="shared" si="323"/>
      </c>
      <c r="EH44" s="1807">
        <f t="shared" si="323"/>
      </c>
      <c r="EI44" s="1737">
        <f t="shared" si="323"/>
      </c>
      <c r="EJ44" s="1737">
        <f t="shared" si="323"/>
      </c>
      <c r="EK44" s="1761">
        <f t="shared" si="323"/>
      </c>
      <c r="EM44" s="834">
        <f t="shared" ref="EM44:EM70" si="324">SUM(B44:E44)</f>
      </c>
      <c r="EN44" s="834">
        <f t="shared" ref="EN44:EN70" si="325">SUM(F44:I44)</f>
      </c>
      <c r="EO44" s="834">
        <f t="shared" ref="EO44:EO70" si="326">SUM(J44:M44)</f>
      </c>
      <c r="EP44" s="834">
        <f t="shared" ref="EP44:EP70" si="327">SUM(N44:Q44)</f>
      </c>
      <c r="EQ44" s="834">
        <f t="shared" ref="EQ44:EQ70" si="328">SUM(R44:U44)</f>
      </c>
      <c r="ER44" s="834">
        <f t="shared" ref="ER44:ER70" si="329">SUM(V44:Y44)</f>
      </c>
      <c r="ES44" s="834">
        <f t="shared" ref="ES44:ES70" si="330">SUM(Z44:AC44)</f>
      </c>
      <c r="ET44" s="834">
        <f t="shared" ref="ET44:ET70" si="331">SUM(AD44:AG44)</f>
      </c>
      <c r="EU44" s="834">
        <f t="shared" ref="EU44:EU70" si="332">SUM(AH44:AK44)</f>
      </c>
      <c r="EV44" s="834">
        <f t="shared" ref="EV44:EV70" si="333">SUM(AL44:AO44)</f>
      </c>
      <c r="EW44" s="834">
        <f t="shared" ref="EW44:EW70" si="334">SUM(AP44:AS44)</f>
      </c>
      <c r="EX44" s="834">
        <f t="shared" ref="EX44:EX70" si="335">SUM(AT44:AW44)</f>
      </c>
      <c r="EY44" s="834">
        <f t="shared" ref="EY44:EY70" si="336">SUM(AX44:BA44)</f>
      </c>
      <c r="EZ44" s="834">
        <f t="shared" ref="EZ44:EZ70" si="337">SUM(BB44:BE44)</f>
      </c>
      <c r="FA44" s="834">
        <f t="shared" ref="FA44:FA70" si="338">SUM(BF44:BI44)</f>
      </c>
      <c r="FB44" s="834">
        <f t="shared" ref="FB44:FB70" si="339">SUM(BJ44:BM44)</f>
      </c>
      <c r="FC44" s="834">
        <f t="shared" ref="FC44:FC70" si="340">SUM(BN44:BQ44)</f>
      </c>
      <c r="FD44" s="834">
        <f t="shared" ref="FD44:FD70" si="341">SUM(BR44:BU44)</f>
      </c>
      <c r="FE44" s="834">
        <f t="shared" ref="FE44:FE70" si="342">SUM(BV44:BY44)</f>
      </c>
      <c r="FF44" s="834">
        <f t="shared" ref="FF44:FF70" si="343">SUM(BZ44:CC44)</f>
      </c>
      <c r="FG44" s="834"/>
      <c r="FH44" s="834">
        <f t="shared" ref="FH44:FH70" si="344">SUM(CH44:CK44)</f>
      </c>
      <c r="FI44" s="834">
        <f t="shared" ref="FI44:FI70" si="345">SUM(CL44:CO44)</f>
      </c>
      <c r="FJ44" s="834">
        <f t="shared" ref="FJ44:FJ70" si="346">SUM(CP44:CS44)</f>
      </c>
      <c r="FK44" s="834">
        <f t="shared" ref="FK44:FK70" si="347">SUM(CT44:CW44)</f>
      </c>
      <c r="FL44" s="834">
        <f t="shared" ref="FL44:FL70" si="348">SUM(CX44:DA44)</f>
      </c>
      <c r="FM44" s="834">
        <f t="shared" ref="FM44:FM70" si="349">SUM(DB44:DE44)</f>
      </c>
      <c r="FN44" s="834">
        <f t="shared" ref="FN44:FN70" si="350">SUM(DF44:DI44)</f>
      </c>
      <c r="FO44" s="834">
        <f t="shared" ref="FO44:FO70" si="351">SUM(DJ44:DM44)</f>
      </c>
      <c r="FP44" s="834">
        <f t="shared" ref="FP44:FP70" si="352">SUM(DN44:DQ44)</f>
      </c>
      <c r="FQ44" s="834">
        <f t="shared" ref="FQ44:FQ70" si="353">SUM(DR44:DU44)</f>
      </c>
      <c r="FR44" s="834">
        <f t="shared" ref="FR44:FR49" si="354">SUM(DV44:DY44)</f>
      </c>
      <c r="FS44" s="834">
        <f t="shared" ref="FS44:FS49" si="355">SUM(DZ44:EC44)</f>
      </c>
      <c r="FT44" s="834">
        <f t="shared" ref="FT44:FT49" si="356">SUM(ED44:EG44)</f>
      </c>
      <c r="FU44" s="834">
        <f t="shared" ref="FU44:FU49" si="357">SUM(EH44:EK44)</f>
      </c>
      <c r="FZ44" s="899">
        <f t="shared" ref="FZ44:FZ70" si="358">SUM(G44:J44)</f>
      </c>
      <c r="GA44" s="899">
        <f t="shared" ref="GA44:GA70" si="359">SUM(K44:N44)</f>
      </c>
      <c r="GB44" s="899">
        <f t="shared" ref="GB44:GB70" si="360">SUM(O44:R44)</f>
      </c>
      <c r="GC44" s="899">
        <f t="shared" ref="GC44:GC70" si="361">SUM(S44:V44)</f>
      </c>
      <c r="GD44" s="899">
        <f t="shared" ref="GD44:GD70" si="362">SUM(W44:Z44)</f>
      </c>
      <c r="GE44" s="899">
        <f t="shared" ref="GE44:GE70" si="363">SUM(AA44:AD44)</f>
      </c>
      <c r="GF44" s="899">
        <f t="shared" ref="GF44:GF70" si="364">SUM(AE44:AH44)</f>
      </c>
      <c r="GG44" s="899">
        <f t="shared" ref="GG44:GG70" si="365">SUM(AI44:AL44)</f>
      </c>
      <c r="GH44" s="899">
        <f t="shared" ref="GH44:GH70" si="366">SUM(AM44:AP44)</f>
      </c>
      <c r="GI44" s="899">
        <f t="shared" ref="GI44:GI70" si="367">SUM(AQ44:AT44)</f>
      </c>
      <c r="GJ44" s="899">
        <f t="shared" ref="GJ44:GJ70" si="368">SUM(AU44:AX44)</f>
      </c>
      <c r="GK44" s="899">
        <f t="shared" ref="GK44:GK70" si="369">SUM(AY44:BB44)</f>
      </c>
      <c r="GL44" s="899">
        <f t="shared" ref="GL44:GL70" si="370">SUM(BC44:BF44)</f>
      </c>
      <c r="GM44" s="899">
        <f t="shared" ref="GM44:GM70" si="371">SUM(BG44:BJ44)</f>
      </c>
      <c r="GN44" s="899">
        <f t="shared" ref="GN44:GN70" si="372">SUM(BK44:BN44)</f>
      </c>
      <c r="GO44" s="899">
        <f t="shared" ref="GO44:GO70" si="373">SUM(BO44:BR44)</f>
      </c>
      <c r="GP44" s="899">
        <f t="shared" ref="GP44:GP70" si="374">SUM(BS44:BV44)</f>
      </c>
      <c r="GQ44" s="899">
        <f t="shared" ref="GQ44:GQ70" si="375">SUM(BW44:BZ44)</f>
      </c>
      <c r="GR44" s="899">
        <f t="shared" ref="GR44:GR70" si="376">SUM(CA44:CD44)</f>
      </c>
      <c r="GS44" s="899">
        <f t="shared" ref="GS44:GS70" si="377">SUM(CE44:CH44)</f>
      </c>
      <c r="GT44" s="899">
        <f t="shared" ref="GT44:GT70" si="378">SUM(CI44:CL44)</f>
      </c>
      <c r="GU44" s="899">
        <f t="shared" ref="GU44:GU70" si="379">SUM(CM44:CP44)</f>
      </c>
      <c r="GV44" s="899">
        <f t="shared" ref="GV44:GV70" si="380">SUM(CQ44:CT44)</f>
      </c>
      <c r="GW44" s="899">
        <f t="shared" ref="GW44:GW70" si="381">SUM(CU44:CX44)</f>
      </c>
      <c r="GX44" s="899">
        <f t="shared" ref="GX44:GX70" si="382">SUM(CY44:DB44)</f>
      </c>
      <c r="GY44" s="899">
        <f t="shared" ref="GY44:GY70" si="383">SUM(DC44:DF44)</f>
      </c>
      <c r="GZ44" s="899">
        <f t="shared" ref="GZ44:GZ70" si="384">SUM(DG44:DJ44)</f>
      </c>
      <c r="HA44" s="899">
        <f t="shared" ref="HA44:HA70" si="385">SUM(DK44:DN44)</f>
      </c>
      <c r="HB44" s="899">
        <f t="shared" ref="HB44:HB70" si="386">SUM(DO44:DR44)</f>
      </c>
      <c r="HC44" s="899">
        <f t="shared" ref="HC44:HC70" si="387">SUM(DS44:DV44)</f>
      </c>
      <c r="HD44" s="899">
        <f t="shared" ref="HD44:HD70" si="388">SUM(DW44:DZ44)</f>
      </c>
      <c r="HE44" s="899">
        <f t="shared" ref="HE44:HE70" si="389">SUM(EA44:ED44)</f>
      </c>
      <c r="HF44" s="899">
        <f t="shared" ref="HF44:HF70" si="390">SUM(EE44:EH44)</f>
      </c>
    </row>
    <row r="45" spans="1:214" s="899" customFormat="1" ht="10.199999999999999">
      <c r="A45" s="1756" t="s">
        <v>1453</v>
      </c>
      <c r="B45" s="834"/>
      <c r="C45" s="834"/>
      <c r="D45" s="834"/>
      <c r="E45" s="835"/>
      <c r="F45" s="834"/>
      <c r="G45" s="834"/>
      <c r="H45" s="834"/>
      <c r="I45" s="835"/>
      <c r="J45" s="834"/>
      <c r="K45" s="834"/>
      <c r="L45" s="834"/>
      <c r="M45" s="835"/>
      <c r="N45" s="834"/>
      <c r="O45" s="834"/>
      <c r="P45" s="834"/>
      <c r="Q45" s="835"/>
      <c r="R45" s="834"/>
      <c r="S45" s="834"/>
      <c r="T45" s="834"/>
      <c r="U45" s="835"/>
      <c r="V45" s="834"/>
      <c r="W45" s="834"/>
      <c r="X45" s="834"/>
      <c r="Y45" s="835"/>
      <c r="Z45" s="834"/>
      <c r="AA45" s="834"/>
      <c r="AB45" s="834"/>
      <c r="AC45" s="835"/>
      <c r="AD45" s="834"/>
      <c r="AE45" s="834"/>
      <c r="AF45" s="834"/>
      <c r="AG45" s="835"/>
      <c r="AH45" s="834"/>
      <c r="AI45" s="834"/>
      <c r="AJ45" s="834"/>
      <c r="AK45" s="835"/>
      <c r="AL45" s="834"/>
      <c r="AM45" s="834"/>
      <c r="AN45" s="834"/>
      <c r="AO45" s="835"/>
      <c r="AP45" s="834"/>
      <c r="AQ45" s="834"/>
      <c r="AR45" s="834"/>
      <c r="AS45" s="835"/>
      <c r="AT45" s="834"/>
      <c r="AU45" s="834"/>
      <c r="AV45" s="834"/>
      <c r="AW45" s="835"/>
      <c r="AX45" s="834"/>
      <c r="AY45" s="834"/>
      <c r="AZ45" s="834"/>
      <c r="BA45" s="835"/>
      <c r="BB45" s="834"/>
      <c r="BC45" s="834"/>
      <c r="BD45" s="834"/>
      <c r="BE45" s="835"/>
      <c r="BF45" s="834"/>
      <c r="BG45" s="834"/>
      <c r="BH45" s="834"/>
      <c r="BI45" s="835"/>
      <c r="BJ45" s="834"/>
      <c r="BK45" s="834"/>
      <c r="BL45" s="834"/>
      <c r="BM45" s="835"/>
      <c r="BN45" s="834"/>
      <c r="BO45" s="834"/>
      <c r="BP45" s="834"/>
      <c r="BQ45" s="835"/>
      <c r="BR45" s="834"/>
      <c r="BS45" s="834"/>
      <c r="BT45" s="834"/>
      <c r="BU45" s="835"/>
      <c r="BV45" s="834"/>
      <c r="BW45" s="834"/>
      <c r="BX45" s="834"/>
      <c r="BY45" s="835"/>
      <c r="BZ45" s="834"/>
      <c r="CA45" s="834"/>
      <c r="CB45" s="834"/>
      <c r="CC45" s="835"/>
      <c r="CD45" s="834"/>
      <c r="CE45" s="834"/>
      <c r="CF45" s="834"/>
      <c r="CG45" s="835"/>
      <c r="CH45" s="834">
        <f t="shared" ref="CH45:CI47" si="391">CH95*CH154</f>
      </c>
      <c r="CI45" s="834">
        <f t="shared" si="391"/>
      </c>
      <c r="CJ45" s="834">
        <f t="shared" ref="CJ45:CO45" si="392">CJ95*CJ154</f>
      </c>
      <c r="CK45" s="835">
        <f t="shared" si="392"/>
      </c>
      <c r="CL45" s="834">
        <f t="shared" si="392"/>
      </c>
      <c r="CM45" s="834">
        <f t="shared" si="392"/>
      </c>
      <c r="CN45" s="834">
        <f t="shared" si="392"/>
      </c>
      <c r="CO45" s="835">
        <f t="shared" si="392"/>
      </c>
      <c r="CP45" s="834">
        <f t="shared" ref="CP45:CS45" si="393">CP95*CP154</f>
      </c>
      <c r="CQ45" s="834">
        <f t="shared" si="393"/>
      </c>
      <c r="CR45" s="834">
        <f t="shared" si="393"/>
      </c>
      <c r="CS45" s="835">
        <f t="shared" si="393"/>
      </c>
      <c r="CT45" s="834">
        <f t="shared" ref="CT45:CW45" si="394">CT95*CT154</f>
      </c>
      <c r="CU45" s="834">
        <f t="shared" si="394"/>
      </c>
      <c r="CV45" s="834">
        <f t="shared" si="394"/>
      </c>
      <c r="CW45" s="835">
        <f t="shared" si="394"/>
      </c>
      <c r="CX45" s="834">
        <f t="shared" ref="CX45:DA45" si="395">CX95*CX154</f>
      </c>
      <c r="CY45" s="834">
        <f t="shared" si="395"/>
      </c>
      <c r="CZ45" s="834">
        <f t="shared" si="395"/>
      </c>
      <c r="DA45" s="835">
        <f t="shared" si="395"/>
      </c>
      <c r="DB45" s="834">
        <f t="shared" ref="DB45:DE45" si="396">DB95*DB154</f>
      </c>
      <c r="DC45" s="834">
        <f t="shared" si="396"/>
      </c>
      <c r="DD45" s="834">
        <f t="shared" si="396"/>
      </c>
      <c r="DE45" s="835">
        <f t="shared" si="396"/>
      </c>
      <c r="DF45" s="834">
        <f t="shared" ref="DF45" si="397">DF95*DF154</f>
      </c>
      <c r="DG45" s="834">
        <f>DG95*DG154</f>
      </c>
      <c r="DH45" s="834">
        <f t="shared" ref="DH45:DI45" si="398">DH95*DH154</f>
      </c>
      <c r="DI45" s="835">
        <f t="shared" si="398"/>
      </c>
      <c r="DJ45" s="834">
        <f t="shared" si="317"/>
      </c>
      <c r="DK45" s="834">
        <f t="shared" si="318"/>
      </c>
      <c r="DL45" s="834">
        <f t="shared" si="318"/>
      </c>
      <c r="DM45" s="835">
        <f t="shared" si="318"/>
      </c>
      <c r="DN45" s="834">
        <f t="shared" si="319"/>
      </c>
      <c r="DO45" s="834">
        <f t="shared" si="319"/>
      </c>
      <c r="DP45" s="834">
        <f t="shared" ref="DP45:DP46" si="399">DP95*DP154</f>
      </c>
      <c r="DQ45" s="835">
        <f t="shared" si="321"/>
      </c>
      <c r="DR45" s="834">
        <f t="shared" si="321"/>
      </c>
      <c r="DS45" s="834">
        <f t="shared" ref="DS45:DU45" si="400">DS95*DS154</f>
      </c>
      <c r="DT45" s="834">
        <f t="shared" si="400"/>
      </c>
      <c r="DU45" s="1806">
        <f t="shared" si="400"/>
      </c>
      <c r="DV45" s="834">
        <f t="shared" ref="DV45:EK45" si="401">DV95*DV154</f>
      </c>
      <c r="DW45" s="834">
        <f t="shared" si="401"/>
      </c>
      <c r="DX45" s="834">
        <f t="shared" si="401"/>
      </c>
      <c r="DY45" s="1806">
        <f t="shared" si="401"/>
      </c>
      <c r="DZ45" s="834">
        <f t="shared" si="401"/>
      </c>
      <c r="EA45" s="834">
        <f t="shared" si="401"/>
      </c>
      <c r="EB45" s="834">
        <f t="shared" si="401"/>
      </c>
      <c r="EC45" s="1806">
        <f t="shared" si="401"/>
      </c>
      <c r="ED45" s="834">
        <f t="shared" si="401"/>
      </c>
      <c r="EE45" s="834">
        <f t="shared" si="401"/>
      </c>
      <c r="EF45" s="834">
        <f t="shared" si="401"/>
      </c>
      <c r="EG45" s="1806">
        <f t="shared" si="401"/>
      </c>
      <c r="EH45" s="834">
        <f t="shared" si="401"/>
      </c>
      <c r="EI45" s="834">
        <f t="shared" si="401"/>
      </c>
      <c r="EJ45" s="834">
        <f t="shared" si="401"/>
      </c>
      <c r="EK45" s="1806">
        <f t="shared" si="401"/>
      </c>
      <c r="EM45" s="834">
        <f t="shared" si="324"/>
      </c>
      <c r="EN45" s="834">
        <f t="shared" si="325"/>
      </c>
      <c r="EO45" s="834">
        <f t="shared" si="326"/>
      </c>
      <c r="EP45" s="834">
        <f t="shared" si="327"/>
      </c>
      <c r="EQ45" s="834">
        <f t="shared" si="328"/>
      </c>
      <c r="ER45" s="834">
        <f t="shared" si="329"/>
      </c>
      <c r="ES45" s="834">
        <f t="shared" si="330"/>
      </c>
      <c r="ET45" s="834">
        <f t="shared" si="331"/>
      </c>
      <c r="EU45" s="834">
        <f t="shared" si="332"/>
      </c>
      <c r="EV45" s="834">
        <f t="shared" si="333"/>
      </c>
      <c r="EW45" s="834">
        <f t="shared" si="334"/>
      </c>
      <c r="EX45" s="834">
        <f t="shared" si="335"/>
      </c>
      <c r="EY45" s="834">
        <f t="shared" si="336"/>
      </c>
      <c r="EZ45" s="834">
        <f t="shared" si="337"/>
      </c>
      <c r="FA45" s="834">
        <f t="shared" si="338"/>
      </c>
      <c r="FB45" s="834">
        <f t="shared" si="339"/>
      </c>
      <c r="FC45" s="834">
        <f t="shared" si="340"/>
      </c>
      <c r="FD45" s="834">
        <f t="shared" si="341"/>
      </c>
      <c r="FE45" s="834">
        <f t="shared" si="342"/>
      </c>
      <c r="FF45" s="834">
        <f t="shared" si="343"/>
      </c>
      <c r="FG45" s="834"/>
      <c r="FH45" s="834">
        <f t="shared" si="344"/>
      </c>
      <c r="FI45" s="834">
        <f t="shared" si="345"/>
      </c>
      <c r="FJ45" s="834">
        <f t="shared" si="346"/>
      </c>
      <c r="FK45" s="834">
        <f t="shared" si="347"/>
      </c>
      <c r="FL45" s="834">
        <f t="shared" si="348"/>
      </c>
      <c r="FM45" s="834">
        <f t="shared" si="349"/>
      </c>
      <c r="FN45" s="834">
        <f t="shared" si="350"/>
      </c>
      <c r="FO45" s="834">
        <f t="shared" si="351"/>
      </c>
      <c r="FP45" s="834">
        <f t="shared" si="352"/>
      </c>
      <c r="FQ45" s="834">
        <f t="shared" si="353"/>
      </c>
      <c r="FR45" s="834">
        <f t="shared" si="354"/>
      </c>
      <c r="FS45" s="834">
        <f t="shared" si="355"/>
      </c>
      <c r="FT45" s="834">
        <f t="shared" si="356"/>
      </c>
      <c r="FU45" s="834">
        <f t="shared" si="357"/>
      </c>
      <c r="FZ45" s="899">
        <f t="shared" si="358"/>
      </c>
      <c r="GA45" s="899">
        <f t="shared" si="359"/>
      </c>
      <c r="GB45" s="899">
        <f t="shared" si="360"/>
      </c>
      <c r="GC45" s="899">
        <f t="shared" si="361"/>
      </c>
      <c r="GD45" s="899">
        <f t="shared" si="362"/>
      </c>
      <c r="GE45" s="899">
        <f t="shared" si="363"/>
      </c>
      <c r="GF45" s="899">
        <f t="shared" si="364"/>
      </c>
      <c r="GG45" s="899">
        <f t="shared" si="365"/>
      </c>
      <c r="GH45" s="899">
        <f t="shared" si="366"/>
      </c>
      <c r="GI45" s="899">
        <f t="shared" si="367"/>
      </c>
      <c r="GJ45" s="899">
        <f t="shared" si="368"/>
      </c>
      <c r="GK45" s="899">
        <f t="shared" si="369"/>
      </c>
      <c r="GL45" s="899">
        <f t="shared" si="370"/>
      </c>
      <c r="GM45" s="899">
        <f t="shared" si="371"/>
      </c>
      <c r="GN45" s="899">
        <f t="shared" si="372"/>
      </c>
      <c r="GO45" s="899">
        <f t="shared" si="373"/>
      </c>
      <c r="GP45" s="899">
        <f t="shared" si="374"/>
      </c>
      <c r="GQ45" s="899">
        <f t="shared" si="375"/>
      </c>
      <c r="GR45" s="899">
        <f t="shared" si="376"/>
      </c>
      <c r="GS45" s="899">
        <f t="shared" si="377"/>
      </c>
      <c r="GT45" s="899">
        <f t="shared" si="378"/>
      </c>
      <c r="GU45" s="899">
        <f t="shared" si="379"/>
      </c>
      <c r="GV45" s="899">
        <f t="shared" si="380"/>
      </c>
      <c r="GW45" s="899">
        <f t="shared" si="381"/>
      </c>
      <c r="GX45" s="899">
        <f t="shared" si="382"/>
      </c>
      <c r="GY45" s="899">
        <f t="shared" si="383"/>
      </c>
      <c r="GZ45" s="899">
        <f t="shared" si="384"/>
      </c>
      <c r="HA45" s="899">
        <f t="shared" si="385"/>
      </c>
      <c r="HB45" s="899">
        <f t="shared" si="386"/>
      </c>
      <c r="HC45" s="899">
        <f t="shared" si="387"/>
      </c>
      <c r="HD45" s="899">
        <f t="shared" si="388"/>
      </c>
      <c r="HE45" s="899">
        <f t="shared" si="389"/>
      </c>
      <c r="HF45" s="899">
        <f t="shared" si="390"/>
      </c>
    </row>
    <row r="46" spans="1:214" s="899" customFormat="1" ht="10.199999999999999">
      <c r="A46" s="1756" t="s">
        <v>1454</v>
      </c>
      <c r="B46" s="834"/>
      <c r="C46" s="834"/>
      <c r="D46" s="834"/>
      <c r="E46" s="835"/>
      <c r="F46" s="834"/>
      <c r="G46" s="834"/>
      <c r="H46" s="834"/>
      <c r="I46" s="835"/>
      <c r="J46" s="834"/>
      <c r="K46" s="834"/>
      <c r="L46" s="834"/>
      <c r="M46" s="835"/>
      <c r="N46" s="834"/>
      <c r="O46" s="834"/>
      <c r="P46" s="834"/>
      <c r="Q46" s="835"/>
      <c r="R46" s="834"/>
      <c r="S46" s="834"/>
      <c r="T46" s="834"/>
      <c r="U46" s="835"/>
      <c r="V46" s="834"/>
      <c r="W46" s="834"/>
      <c r="X46" s="834"/>
      <c r="Y46" s="835"/>
      <c r="Z46" s="834"/>
      <c r="AA46" s="834"/>
      <c r="AB46" s="834"/>
      <c r="AC46" s="835"/>
      <c r="AD46" s="834"/>
      <c r="AE46" s="834"/>
      <c r="AF46" s="834"/>
      <c r="AG46" s="835"/>
      <c r="AH46" s="834"/>
      <c r="AI46" s="834"/>
      <c r="AJ46" s="834"/>
      <c r="AK46" s="835"/>
      <c r="AL46" s="834"/>
      <c r="AM46" s="834"/>
      <c r="AN46" s="834"/>
      <c r="AO46" s="835"/>
      <c r="AP46" s="834"/>
      <c r="AQ46" s="834"/>
      <c r="AR46" s="834"/>
      <c r="AS46" s="835"/>
      <c r="AT46" s="834"/>
      <c r="AU46" s="834"/>
      <c r="AV46" s="834"/>
      <c r="AW46" s="835"/>
      <c r="AX46" s="834"/>
      <c r="AY46" s="834"/>
      <c r="AZ46" s="834"/>
      <c r="BA46" s="835"/>
      <c r="BB46" s="834"/>
      <c r="BC46" s="834"/>
      <c r="BD46" s="834"/>
      <c r="BE46" s="835"/>
      <c r="BF46" s="834"/>
      <c r="BG46" s="834"/>
      <c r="BH46" s="834"/>
      <c r="BI46" s="835"/>
      <c r="BJ46" s="834"/>
      <c r="BK46" s="834"/>
      <c r="BL46" s="834"/>
      <c r="BM46" s="835"/>
      <c r="BN46" s="834"/>
      <c r="BO46" s="834"/>
      <c r="BP46" s="834"/>
      <c r="BQ46" s="835"/>
      <c r="BR46" s="834"/>
      <c r="BS46" s="834"/>
      <c r="BT46" s="834"/>
      <c r="BU46" s="835"/>
      <c r="BV46" s="834"/>
      <c r="BW46" s="834"/>
      <c r="BX46" s="834"/>
      <c r="BY46" s="835"/>
      <c r="BZ46" s="834"/>
      <c r="CA46" s="834"/>
      <c r="CB46" s="834"/>
      <c r="CC46" s="835"/>
      <c r="CD46" s="834"/>
      <c r="CE46" s="834"/>
      <c r="CF46" s="834"/>
      <c r="CG46" s="835"/>
      <c r="CH46" s="834">
        <f t="shared" si="391"/>
      </c>
      <c r="CI46" s="834">
        <f t="shared" si="391"/>
      </c>
      <c r="CJ46" s="834">
        <f t="shared" ref="CJ46:CO46" si="402">CJ96*CJ155</f>
      </c>
      <c r="CK46" s="835">
        <f t="shared" si="402"/>
      </c>
      <c r="CL46" s="834">
        <f t="shared" si="402"/>
      </c>
      <c r="CM46" s="834">
        <f t="shared" si="402"/>
      </c>
      <c r="CN46" s="834">
        <f t="shared" si="402"/>
      </c>
      <c r="CO46" s="835">
        <f t="shared" si="402"/>
      </c>
      <c r="CP46" s="834">
        <f t="shared" ref="CP46:CS46" si="403">CP96*CP155</f>
      </c>
      <c r="CQ46" s="834">
        <f t="shared" si="403"/>
      </c>
      <c r="CR46" s="834">
        <f t="shared" si="403"/>
      </c>
      <c r="CS46" s="835">
        <f t="shared" si="403"/>
      </c>
      <c r="CT46" s="834">
        <f t="shared" ref="CT46:CW46" si="404">CT96*CT155</f>
      </c>
      <c r="CU46" s="834">
        <f t="shared" si="404"/>
      </c>
      <c r="CV46" s="834">
        <f t="shared" si="404"/>
      </c>
      <c r="CW46" s="835">
        <f t="shared" si="404"/>
      </c>
      <c r="CX46" s="834">
        <f t="shared" ref="CX46:DA46" si="405">CX96*CX155</f>
      </c>
      <c r="CY46" s="834">
        <f t="shared" si="405"/>
      </c>
      <c r="CZ46" s="834">
        <f t="shared" si="405"/>
      </c>
      <c r="DA46" s="835">
        <f t="shared" si="405"/>
      </c>
      <c r="DB46" s="834">
        <f t="shared" ref="DB46:DE46" si="406">DB96*DB155</f>
      </c>
      <c r="DC46" s="834">
        <f t="shared" si="406"/>
      </c>
      <c r="DD46" s="834">
        <f t="shared" si="406"/>
      </c>
      <c r="DE46" s="835">
        <f t="shared" si="406"/>
      </c>
      <c r="DF46" s="834">
        <f t="shared" ref="DF46" si="407">DF96*DF155</f>
      </c>
      <c r="DG46" s="834">
        <f t="shared" ref="DG46:DH46" si="408">DG96*DG155</f>
      </c>
      <c r="DH46" s="834">
        <f t="shared" si="408"/>
      </c>
      <c r="DI46" s="1806">
        <f>DI96*DI155</f>
      </c>
      <c r="DJ46" s="834">
        <f t="shared" si="317"/>
      </c>
      <c r="DK46" s="834">
        <f>DK96*DK155</f>
      </c>
      <c r="DL46" s="834">
        <f t="shared" ref="DL46" si="409">DL96*DL155</f>
      </c>
      <c r="DM46" s="835">
        <f>DM96*DM155</f>
      </c>
      <c r="DN46" s="1808">
        <f t="shared" si="319"/>
      </c>
      <c r="DO46" s="834">
        <f>DO96*DO155</f>
      </c>
      <c r="DP46" s="834">
        <f t="shared" si="399"/>
      </c>
      <c r="DQ46" s="835">
        <f t="shared" si="321"/>
      </c>
      <c r="DR46" s="834">
        <f t="shared" si="321"/>
      </c>
      <c r="DS46" s="834">
        <f t="shared" ref="DS46:DU46" si="410">DS96*DS155</f>
      </c>
      <c r="DT46" s="834">
        <f t="shared" si="410"/>
      </c>
      <c r="DU46" s="835">
        <f t="shared" si="410"/>
      </c>
      <c r="DV46" s="834">
        <f t="shared" ref="DV46:EK46" si="411">DV96*DV155</f>
      </c>
      <c r="DW46" s="834">
        <f t="shared" si="411"/>
      </c>
      <c r="DX46" s="834">
        <f t="shared" si="411"/>
      </c>
      <c r="DY46" s="835">
        <f t="shared" si="411"/>
      </c>
      <c r="DZ46" s="834">
        <f t="shared" si="411"/>
      </c>
      <c r="EA46" s="834">
        <f t="shared" si="411"/>
      </c>
      <c r="EB46" s="834">
        <f t="shared" si="411"/>
      </c>
      <c r="EC46" s="835">
        <f t="shared" si="411"/>
      </c>
      <c r="ED46" s="834">
        <f t="shared" si="411"/>
      </c>
      <c r="EE46" s="834">
        <f t="shared" si="411"/>
      </c>
      <c r="EF46" s="834">
        <f t="shared" si="411"/>
      </c>
      <c r="EG46" s="835">
        <f t="shared" si="411"/>
      </c>
      <c r="EH46" s="834">
        <f t="shared" si="411"/>
      </c>
      <c r="EI46" s="834">
        <f t="shared" si="411"/>
      </c>
      <c r="EJ46" s="834">
        <f t="shared" si="411"/>
      </c>
      <c r="EK46" s="835">
        <f t="shared" si="411"/>
      </c>
      <c r="EM46" s="834">
        <f t="shared" si="324"/>
      </c>
      <c r="EN46" s="834">
        <f t="shared" si="325"/>
      </c>
      <c r="EO46" s="834">
        <f t="shared" si="326"/>
      </c>
      <c r="EP46" s="834">
        <f t="shared" si="327"/>
      </c>
      <c r="EQ46" s="834">
        <f t="shared" si="328"/>
      </c>
      <c r="ER46" s="834">
        <f t="shared" si="329"/>
      </c>
      <c r="ES46" s="834">
        <f t="shared" si="330"/>
      </c>
      <c r="ET46" s="834">
        <f t="shared" si="331"/>
      </c>
      <c r="EU46" s="834">
        <f t="shared" si="332"/>
      </c>
      <c r="EV46" s="834">
        <f t="shared" si="333"/>
      </c>
      <c r="EW46" s="834">
        <f t="shared" si="334"/>
      </c>
      <c r="EX46" s="834">
        <f t="shared" si="335"/>
      </c>
      <c r="EY46" s="834">
        <f t="shared" si="336"/>
      </c>
      <c r="EZ46" s="834">
        <f t="shared" si="337"/>
      </c>
      <c r="FA46" s="834">
        <f t="shared" si="338"/>
      </c>
      <c r="FB46" s="834">
        <f t="shared" si="339"/>
      </c>
      <c r="FC46" s="834">
        <f t="shared" si="340"/>
      </c>
      <c r="FD46" s="834">
        <f t="shared" si="341"/>
      </c>
      <c r="FE46" s="834">
        <f t="shared" si="342"/>
      </c>
      <c r="FF46" s="834">
        <f t="shared" si="343"/>
      </c>
      <c r="FG46" s="834"/>
      <c r="FH46" s="834">
        <f t="shared" si="344"/>
      </c>
      <c r="FI46" s="834">
        <f t="shared" si="345"/>
      </c>
      <c r="FJ46" s="834">
        <f t="shared" si="346"/>
      </c>
      <c r="FK46" s="834">
        <f t="shared" si="347"/>
      </c>
      <c r="FL46" s="834">
        <f t="shared" si="348"/>
      </c>
      <c r="FM46" s="834">
        <f t="shared" si="349"/>
      </c>
      <c r="FN46" s="834">
        <f t="shared" si="350"/>
      </c>
      <c r="FO46" s="834">
        <f t="shared" si="351"/>
      </c>
      <c r="FP46" s="834">
        <f t="shared" si="352"/>
      </c>
      <c r="FQ46" s="834">
        <f t="shared" si="353"/>
      </c>
      <c r="FR46" s="834">
        <f t="shared" si="354"/>
      </c>
      <c r="FS46" s="834">
        <f t="shared" si="355"/>
      </c>
      <c r="FT46" s="834">
        <f t="shared" si="356"/>
      </c>
      <c r="FU46" s="834">
        <f t="shared" si="357"/>
      </c>
      <c r="FZ46" s="899">
        <f t="shared" si="358"/>
      </c>
      <c r="GA46" s="899">
        <f t="shared" si="359"/>
      </c>
      <c r="GB46" s="899">
        <f t="shared" si="360"/>
      </c>
      <c r="GC46" s="899">
        <f t="shared" si="361"/>
      </c>
      <c r="GD46" s="899">
        <f t="shared" si="362"/>
      </c>
      <c r="GE46" s="899">
        <f t="shared" si="363"/>
      </c>
      <c r="GF46" s="899">
        <f t="shared" si="364"/>
      </c>
      <c r="GG46" s="899">
        <f t="shared" si="365"/>
      </c>
      <c r="GH46" s="899">
        <f t="shared" si="366"/>
      </c>
      <c r="GI46" s="899">
        <f t="shared" si="367"/>
      </c>
      <c r="GJ46" s="899">
        <f t="shared" si="368"/>
      </c>
      <c r="GK46" s="899">
        <f t="shared" si="369"/>
      </c>
      <c r="GL46" s="899">
        <f t="shared" si="370"/>
      </c>
      <c r="GM46" s="899">
        <f t="shared" si="371"/>
      </c>
      <c r="GN46" s="899">
        <f t="shared" si="372"/>
      </c>
      <c r="GO46" s="899">
        <f t="shared" si="373"/>
      </c>
      <c r="GP46" s="899">
        <f t="shared" si="374"/>
      </c>
      <c r="GQ46" s="899">
        <f t="shared" si="375"/>
      </c>
      <c r="GR46" s="899">
        <f t="shared" si="376"/>
      </c>
      <c r="GS46" s="899">
        <f t="shared" si="377"/>
      </c>
      <c r="GT46" s="899">
        <f t="shared" si="378"/>
      </c>
      <c r="GU46" s="899">
        <f t="shared" si="379"/>
      </c>
      <c r="GV46" s="899">
        <f t="shared" si="380"/>
      </c>
      <c r="GW46" s="899">
        <f t="shared" si="381"/>
      </c>
      <c r="GX46" s="899">
        <f t="shared" si="382"/>
      </c>
      <c r="GY46" s="899">
        <f t="shared" si="383"/>
      </c>
      <c r="GZ46" s="899">
        <f t="shared" si="384"/>
      </c>
      <c r="HA46" s="899">
        <f t="shared" si="385"/>
      </c>
      <c r="HB46" s="899">
        <f t="shared" si="386"/>
      </c>
      <c r="HC46" s="899">
        <f t="shared" si="387"/>
      </c>
      <c r="HD46" s="899">
        <f t="shared" si="388"/>
      </c>
      <c r="HE46" s="899">
        <f t="shared" si="389"/>
      </c>
      <c r="HF46" s="899">
        <f t="shared" si="390"/>
      </c>
    </row>
    <row r="47" spans="1:214" s="899" customFormat="1" ht="10.199999999999999">
      <c r="A47" s="1756" t="s">
        <v>1455</v>
      </c>
      <c r="B47" s="834"/>
      <c r="C47" s="834"/>
      <c r="D47" s="834"/>
      <c r="E47" s="835"/>
      <c r="F47" s="834"/>
      <c r="G47" s="834"/>
      <c r="H47" s="834"/>
      <c r="I47" s="835"/>
      <c r="J47" s="834"/>
      <c r="K47" s="834"/>
      <c r="L47" s="834"/>
      <c r="M47" s="835"/>
      <c r="N47" s="834"/>
      <c r="O47" s="834"/>
      <c r="P47" s="834"/>
      <c r="Q47" s="835"/>
      <c r="R47" s="834"/>
      <c r="S47" s="834"/>
      <c r="T47" s="834"/>
      <c r="U47" s="835"/>
      <c r="V47" s="834"/>
      <c r="W47" s="834"/>
      <c r="X47" s="834"/>
      <c r="Y47" s="835"/>
      <c r="Z47" s="834"/>
      <c r="AA47" s="834"/>
      <c r="AB47" s="834"/>
      <c r="AC47" s="835"/>
      <c r="AD47" s="834"/>
      <c r="AE47" s="834"/>
      <c r="AF47" s="834"/>
      <c r="AG47" s="835"/>
      <c r="AH47" s="834"/>
      <c r="AI47" s="834"/>
      <c r="AJ47" s="834"/>
      <c r="AK47" s="835"/>
      <c r="AL47" s="834"/>
      <c r="AM47" s="834"/>
      <c r="AN47" s="834"/>
      <c r="AO47" s="835"/>
      <c r="AP47" s="834"/>
      <c r="AQ47" s="834"/>
      <c r="AR47" s="834"/>
      <c r="AS47" s="835"/>
      <c r="AT47" s="834"/>
      <c r="AU47" s="834"/>
      <c r="AV47" s="834"/>
      <c r="AW47" s="835"/>
      <c r="AX47" s="834"/>
      <c r="AY47" s="834"/>
      <c r="AZ47" s="834"/>
      <c r="BA47" s="835"/>
      <c r="BB47" s="834"/>
      <c r="BC47" s="834"/>
      <c r="BD47" s="834"/>
      <c r="BE47" s="835"/>
      <c r="BF47" s="834"/>
      <c r="BG47" s="834"/>
      <c r="BH47" s="834"/>
      <c r="BI47" s="835"/>
      <c r="BJ47" s="834"/>
      <c r="BK47" s="834"/>
      <c r="BL47" s="834"/>
      <c r="BM47" s="835"/>
      <c r="BN47" s="834"/>
      <c r="BO47" s="834"/>
      <c r="BP47" s="834"/>
      <c r="BQ47" s="835"/>
      <c r="BR47" s="834"/>
      <c r="BS47" s="834"/>
      <c r="BT47" s="834"/>
      <c r="BU47" s="835"/>
      <c r="BV47" s="834"/>
      <c r="BW47" s="834"/>
      <c r="BX47" s="834"/>
      <c r="BY47" s="835"/>
      <c r="BZ47" s="834"/>
      <c r="CA47" s="834"/>
      <c r="CB47" s="834"/>
      <c r="CC47" s="835"/>
      <c r="CD47" s="834"/>
      <c r="CE47" s="834"/>
      <c r="CF47" s="834"/>
      <c r="CG47" s="835"/>
      <c r="CH47" s="834">
        <f t="shared" si="391"/>
      </c>
      <c r="CI47" s="834">
        <f t="shared" si="391"/>
      </c>
      <c r="CJ47" s="834">
        <f t="shared" ref="CJ47:CO47" si="412">CJ97*CJ156</f>
      </c>
      <c r="CK47" s="835">
        <f t="shared" si="412"/>
      </c>
      <c r="CL47" s="834">
        <f t="shared" si="412"/>
      </c>
      <c r="CM47" s="834">
        <f t="shared" si="412"/>
      </c>
      <c r="CN47" s="834">
        <f t="shared" si="412"/>
      </c>
      <c r="CO47" s="835">
        <f t="shared" si="412"/>
      </c>
      <c r="CP47" s="834">
        <f t="shared" ref="CP47:CS47" si="413">CP97*CP156</f>
      </c>
      <c r="CQ47" s="834">
        <f t="shared" si="413"/>
      </c>
      <c r="CR47" s="834">
        <f t="shared" si="413"/>
      </c>
      <c r="CS47" s="835">
        <f t="shared" si="413"/>
      </c>
      <c r="CT47" s="834">
        <f t="shared" ref="CT47:CW47" si="414">CT97*CT156</f>
      </c>
      <c r="CU47" s="834">
        <f t="shared" si="414"/>
      </c>
      <c r="CV47" s="834">
        <f t="shared" si="414"/>
      </c>
      <c r="CW47" s="835">
        <f t="shared" si="414"/>
      </c>
      <c r="CX47" s="834">
        <f t="shared" ref="CX47:DA47" si="415">CX97*CX156</f>
      </c>
      <c r="CY47" s="834">
        <f t="shared" si="415"/>
      </c>
      <c r="CZ47" s="834">
        <f t="shared" si="415"/>
      </c>
      <c r="DA47" s="835">
        <f t="shared" si="415"/>
      </c>
      <c r="DB47" s="834">
        <f t="shared" ref="DB47:DE47" si="416">DB97*DB156</f>
      </c>
      <c r="DC47" s="834">
        <f t="shared" si="416"/>
      </c>
      <c r="DD47" s="834">
        <f t="shared" si="416"/>
      </c>
      <c r="DE47" s="835">
        <f t="shared" si="416"/>
      </c>
      <c r="DF47" s="834">
        <f t="shared" ref="DF47" si="417">DF97*DF156</f>
      </c>
      <c r="DG47" s="834">
        <f t="shared" ref="DG47:DI47" si="418">DG97*DG156</f>
      </c>
      <c r="DH47" s="834">
        <f t="shared" si="418"/>
      </c>
      <c r="DI47" s="835">
        <f t="shared" si="418"/>
      </c>
      <c r="DJ47" s="834">
        <f t="shared" si="317"/>
      </c>
      <c r="DK47" s="834">
        <f t="shared" si="318"/>
      </c>
      <c r="DL47" s="834">
        <f t="shared" si="318"/>
      </c>
      <c r="DM47" s="835">
        <f t="shared" si="318"/>
      </c>
      <c r="DN47" s="834">
        <f>DN97*DN156</f>
      </c>
      <c r="DO47" s="834">
        <f t="shared" ref="DO47:DP47" si="419">DO97*DO156</f>
      </c>
      <c r="DP47" s="834">
        <f t="shared" si="419"/>
      </c>
      <c r="DQ47" s="835">
        <f t="shared" si="321"/>
      </c>
      <c r="DR47" s="834">
        <f t="shared" si="321"/>
      </c>
      <c r="DS47" s="834">
        <f t="shared" ref="DS47:DU47" si="420">DS97*DS156</f>
      </c>
      <c r="DT47" s="834">
        <f t="shared" si="420"/>
      </c>
      <c r="DU47" s="835">
        <f t="shared" si="420"/>
      </c>
      <c r="DV47" s="834">
        <f t="shared" ref="DV47:EK47" si="421">DV97*DV156</f>
      </c>
      <c r="DW47" s="834">
        <f t="shared" si="421"/>
      </c>
      <c r="DX47" s="834">
        <f t="shared" si="421"/>
      </c>
      <c r="DY47" s="835">
        <f t="shared" si="421"/>
      </c>
      <c r="DZ47" s="834">
        <f t="shared" si="421"/>
      </c>
      <c r="EA47" s="834">
        <f t="shared" si="421"/>
      </c>
      <c r="EB47" s="834">
        <f t="shared" si="421"/>
      </c>
      <c r="EC47" s="835">
        <f t="shared" si="421"/>
      </c>
      <c r="ED47" s="834">
        <f t="shared" si="421"/>
      </c>
      <c r="EE47" s="834">
        <f t="shared" si="421"/>
      </c>
      <c r="EF47" s="834">
        <f t="shared" si="421"/>
      </c>
      <c r="EG47" s="835">
        <f t="shared" si="421"/>
      </c>
      <c r="EH47" s="834">
        <f t="shared" si="421"/>
      </c>
      <c r="EI47" s="834">
        <f t="shared" si="421"/>
      </c>
      <c r="EJ47" s="834">
        <f t="shared" si="421"/>
      </c>
      <c r="EK47" s="835">
        <f t="shared" si="421"/>
      </c>
      <c r="EM47" s="834">
        <f t="shared" si="324"/>
      </c>
      <c r="EN47" s="834">
        <f t="shared" si="325"/>
      </c>
      <c r="EO47" s="834">
        <f t="shared" si="326"/>
      </c>
      <c r="EP47" s="834">
        <f t="shared" si="327"/>
      </c>
      <c r="EQ47" s="834">
        <f t="shared" si="328"/>
      </c>
      <c r="ER47" s="834">
        <f t="shared" si="329"/>
      </c>
      <c r="ES47" s="834">
        <f t="shared" si="330"/>
      </c>
      <c r="ET47" s="834">
        <f t="shared" si="331"/>
      </c>
      <c r="EU47" s="834">
        <f t="shared" si="332"/>
      </c>
      <c r="EV47" s="834">
        <f t="shared" si="333"/>
      </c>
      <c r="EW47" s="834">
        <f t="shared" si="334"/>
      </c>
      <c r="EX47" s="834">
        <f t="shared" si="335"/>
      </c>
      <c r="EY47" s="834">
        <f t="shared" si="336"/>
      </c>
      <c r="EZ47" s="834">
        <f t="shared" si="337"/>
      </c>
      <c r="FA47" s="834">
        <f t="shared" si="338"/>
      </c>
      <c r="FB47" s="834">
        <f t="shared" si="339"/>
      </c>
      <c r="FC47" s="834">
        <f t="shared" si="340"/>
      </c>
      <c r="FD47" s="834">
        <f t="shared" si="341"/>
      </c>
      <c r="FE47" s="834">
        <f t="shared" si="342"/>
      </c>
      <c r="FF47" s="834">
        <f t="shared" si="343"/>
      </c>
      <c r="FG47" s="834"/>
      <c r="FH47" s="834">
        <f t="shared" si="344"/>
      </c>
      <c r="FI47" s="834">
        <f t="shared" si="345"/>
      </c>
      <c r="FJ47" s="834">
        <f t="shared" si="346"/>
      </c>
      <c r="FK47" s="834">
        <f t="shared" si="347"/>
      </c>
      <c r="FL47" s="834">
        <f t="shared" si="348"/>
      </c>
      <c r="FM47" s="834">
        <f t="shared" si="349"/>
      </c>
      <c r="FN47" s="834">
        <f t="shared" si="350"/>
      </c>
      <c r="FO47" s="834">
        <f t="shared" si="351"/>
      </c>
      <c r="FP47" s="834">
        <f t="shared" si="352"/>
      </c>
      <c r="FQ47" s="834">
        <f t="shared" si="353"/>
      </c>
      <c r="FR47" s="834">
        <f t="shared" si="354"/>
      </c>
      <c r="FS47" s="834">
        <f t="shared" si="355"/>
      </c>
      <c r="FT47" s="834">
        <f t="shared" si="356"/>
      </c>
      <c r="FU47" s="834">
        <f t="shared" si="357"/>
      </c>
      <c r="FZ47" s="899">
        <f t="shared" si="358"/>
      </c>
      <c r="GA47" s="899">
        <f t="shared" si="359"/>
      </c>
      <c r="GB47" s="899">
        <f t="shared" si="360"/>
      </c>
      <c r="GC47" s="899">
        <f t="shared" si="361"/>
      </c>
      <c r="GD47" s="899">
        <f t="shared" si="362"/>
      </c>
      <c r="GE47" s="899">
        <f t="shared" si="363"/>
      </c>
      <c r="GF47" s="899">
        <f t="shared" si="364"/>
      </c>
      <c r="GG47" s="899">
        <f t="shared" si="365"/>
      </c>
      <c r="GH47" s="899">
        <f t="shared" si="366"/>
      </c>
      <c r="GI47" s="899">
        <f t="shared" si="367"/>
      </c>
      <c r="GJ47" s="899">
        <f t="shared" si="368"/>
      </c>
      <c r="GK47" s="899">
        <f t="shared" si="369"/>
      </c>
      <c r="GL47" s="899">
        <f t="shared" si="370"/>
      </c>
      <c r="GM47" s="899">
        <f t="shared" si="371"/>
      </c>
      <c r="GN47" s="899">
        <f t="shared" si="372"/>
      </c>
      <c r="GO47" s="899">
        <f t="shared" si="373"/>
      </c>
      <c r="GP47" s="899">
        <f t="shared" si="374"/>
      </c>
      <c r="GQ47" s="899">
        <f t="shared" si="375"/>
      </c>
      <c r="GR47" s="899">
        <f t="shared" si="376"/>
      </c>
      <c r="GS47" s="899">
        <f t="shared" si="377"/>
      </c>
      <c r="GT47" s="899">
        <f t="shared" si="378"/>
      </c>
      <c r="GU47" s="899">
        <f t="shared" si="379"/>
      </c>
      <c r="GV47" s="899">
        <f t="shared" si="380"/>
      </c>
      <c r="GW47" s="899">
        <f t="shared" si="381"/>
      </c>
      <c r="GX47" s="899">
        <f t="shared" si="382"/>
      </c>
      <c r="GY47" s="899">
        <f t="shared" si="383"/>
      </c>
      <c r="GZ47" s="899">
        <f t="shared" si="384"/>
      </c>
      <c r="HA47" s="899">
        <f t="shared" si="385"/>
      </c>
      <c r="HB47" s="899">
        <f t="shared" si="386"/>
      </c>
      <c r="HC47" s="899">
        <f t="shared" si="387"/>
      </c>
      <c r="HD47" s="899">
        <f t="shared" si="388"/>
      </c>
      <c r="HE47" s="899">
        <f t="shared" si="389"/>
      </c>
      <c r="HF47" s="899">
        <f t="shared" si="390"/>
      </c>
    </row>
    <row r="48" spans="1:214" s="370" customFormat="1" ht="10.8" thickBot="1">
      <c r="A48" s="1757" t="s">
        <v>140</v>
      </c>
      <c r="B48" s="1740"/>
      <c r="C48" s="1740"/>
      <c r="D48" s="1740"/>
      <c r="E48" s="1741"/>
      <c r="F48" s="1740"/>
      <c r="G48" s="1740"/>
      <c r="H48" s="1740"/>
      <c r="I48" s="1741"/>
      <c r="J48" s="1740"/>
      <c r="K48" s="1740"/>
      <c r="L48" s="1740"/>
      <c r="M48" s="1741"/>
      <c r="N48" s="1740"/>
      <c r="O48" s="1740"/>
      <c r="P48" s="1740"/>
      <c r="Q48" s="1741"/>
      <c r="R48" s="1740"/>
      <c r="S48" s="1740"/>
      <c r="T48" s="1740"/>
      <c r="U48" s="1741"/>
      <c r="V48" s="1740"/>
      <c r="W48" s="1740"/>
      <c r="X48" s="1740"/>
      <c r="Y48" s="1741"/>
      <c r="Z48" s="1740"/>
      <c r="AA48" s="1740"/>
      <c r="AB48" s="1740"/>
      <c r="AC48" s="1741"/>
      <c r="AD48" s="1740"/>
      <c r="AE48" s="1740"/>
      <c r="AF48" s="1740"/>
      <c r="AG48" s="1741"/>
      <c r="AH48" s="1740"/>
      <c r="AI48" s="1740"/>
      <c r="AJ48" s="1740"/>
      <c r="AK48" s="1741"/>
      <c r="AL48" s="1740"/>
      <c r="AM48" s="1740"/>
      <c r="AN48" s="1740"/>
      <c r="AO48" s="1741"/>
      <c r="AP48" s="1740"/>
      <c r="AQ48" s="1740"/>
      <c r="AR48" s="1740"/>
      <c r="AS48" s="1741"/>
      <c r="AT48" s="1740"/>
      <c r="AU48" s="1740"/>
      <c r="AV48" s="1740"/>
      <c r="AW48" s="1741"/>
      <c r="AX48" s="1740"/>
      <c r="AY48" s="1740"/>
      <c r="AZ48" s="1740"/>
      <c r="BA48" s="1741"/>
      <c r="BB48" s="1740"/>
      <c r="BC48" s="1740"/>
      <c r="BD48" s="1740"/>
      <c r="BE48" s="1741"/>
      <c r="BF48" s="1740"/>
      <c r="BG48" s="1740"/>
      <c r="BH48" s="1740"/>
      <c r="BI48" s="1741"/>
      <c r="BJ48" s="1740"/>
      <c r="BK48" s="1740"/>
      <c r="BL48" s="1740"/>
      <c r="BM48" s="1741"/>
      <c r="BN48" s="1740"/>
      <c r="BO48" s="1740"/>
      <c r="BP48" s="1740"/>
      <c r="BQ48" s="1741"/>
      <c r="BR48" s="1740"/>
      <c r="BS48" s="1740"/>
      <c r="BT48" s="1740"/>
      <c r="BU48" s="1741"/>
      <c r="BV48" s="1740"/>
      <c r="BW48" s="1740"/>
      <c r="BX48" s="1740"/>
      <c r="BY48" s="1741"/>
      <c r="BZ48" s="1740"/>
      <c r="CA48" s="1740"/>
      <c r="CB48" s="1740"/>
      <c r="CC48" s="1741"/>
      <c r="CD48" s="1740"/>
      <c r="CE48" s="1740"/>
      <c r="CF48" s="1740"/>
      <c r="CG48" s="1741"/>
      <c r="CH48" s="1742">
        <f>CH13-CH47-CH46-CH45-CH44</f>
      </c>
      <c r="CI48" s="1742">
        <f>CI13-CI47-CI46-CI45-CI44</f>
      </c>
      <c r="CJ48" s="1742">
        <f>CJ13-CJ47-CJ46-CJ45-CJ44</f>
      </c>
      <c r="CK48" s="1762">
        <f t="shared" ref="CK48" si="422">CK13-CK47-CK46-CK45-CK44</f>
      </c>
      <c r="CL48" s="1742">
        <f>CL13-CL47-CL46-CL45-CL44</f>
      </c>
      <c r="CM48" s="1742">
        <f>CM13-CM47-CM46-CM45-CM44</f>
      </c>
      <c r="CN48" s="1742">
        <f>CN13-CN47-CN46-CN45-CN44</f>
      </c>
      <c r="CO48" s="1762">
        <f t="shared" ref="CO48" si="423">CO13-CO47-CO46-CO45-CO44</f>
      </c>
      <c r="CP48" s="1742">
        <f>CP13-CP47-CP46-CP45-CP44</f>
      </c>
      <c r="CQ48" s="1742">
        <f>CQ13-CQ47-CQ46-CQ45-CQ44</f>
      </c>
      <c r="CR48" s="1742">
        <f>CR13-CR47-CR46-CR45-CR44</f>
      </c>
      <c r="CS48" s="1762">
        <f t="shared" ref="CS48" si="424">CS13-CS47-CS46-CS45-CS44</f>
      </c>
      <c r="CT48" s="1742">
        <f>CT13-CT47-CT46-CT45-CT44</f>
      </c>
      <c r="CU48" s="1742">
        <f>CU13-CU47-CU46-CU45-CU44</f>
      </c>
      <c r="CV48" s="1742">
        <f>CV13-CV47-CV46-CV45-CV44</f>
      </c>
      <c r="CW48" s="1762">
        <f t="shared" ref="CW48" si="425">CW13-CW47-CW46-CW45-CW44</f>
      </c>
      <c r="CX48" s="1742">
        <f>CX13-CX47-CX46-CX45-CX44</f>
      </c>
      <c r="CY48" s="1742">
        <f>CY13-CY47-CY46-CY45-CY44</f>
      </c>
      <c r="CZ48" s="1742">
        <f>CZ13-CZ47-CZ46-CZ45-CZ44</f>
      </c>
      <c r="DA48" s="1762">
        <f t="shared" ref="DA48" si="426">DA13-DA47-DA46-DA45-DA44</f>
      </c>
      <c r="DB48" s="1742">
        <f>DB13-DB47-DB46-DB45-DB44</f>
      </c>
      <c r="DC48" s="1742">
        <f>DC13-DC47-DC46-DC45-DC44</f>
      </c>
      <c r="DD48" s="1742">
        <f>DD13-DD47-DD46-DD45-DD44</f>
      </c>
      <c r="DE48" s="1762">
        <f t="shared" ref="DE48" si="427">DE13-DE47-DE46-DE45-DE44</f>
      </c>
      <c r="DF48" s="1742">
        <f t="shared" ref="DF48:DK48" si="428">DF13-DF47-DF46-DF45-DF44</f>
      </c>
      <c r="DG48" s="1742">
        <f t="shared" si="428"/>
      </c>
      <c r="DH48" s="1742">
        <f t="shared" si="428"/>
      </c>
      <c r="DI48" s="1762">
        <f t="shared" si="428"/>
      </c>
      <c r="DJ48" s="1742">
        <f t="shared" si="428"/>
      </c>
      <c r="DK48" s="1742">
        <f t="shared" si="428"/>
      </c>
      <c r="DL48" s="1742">
        <f t="shared" ref="DL48:DO48" si="429">DL13-DL47-DL46-DL45-DL44</f>
      </c>
      <c r="DM48" s="1762">
        <f t="shared" si="429"/>
      </c>
      <c r="DN48" s="1742">
        <f t="shared" si="429"/>
      </c>
      <c r="DO48" s="1742">
        <f t="shared" si="429"/>
      </c>
      <c r="DP48" s="1742">
        <f t="shared" ref="DP48" si="430">DP13-DP47-DP46-DP45-DP44</f>
      </c>
      <c r="DQ48" s="1773">
        <f t="shared" si="321"/>
      </c>
      <c r="DR48" s="1771">
        <f t="shared" si="321"/>
      </c>
      <c r="DS48" s="1772">
        <f t="shared" ref="DS48:DU48" si="431">DS98*DS157</f>
      </c>
      <c r="DT48" s="1772">
        <f t="shared" si="431"/>
      </c>
      <c r="DU48" s="1773">
        <f t="shared" si="431"/>
      </c>
      <c r="DV48" s="1771">
        <f t="shared" ref="DV48:EK48" si="432">DV98*DV157</f>
      </c>
      <c r="DW48" s="1772">
        <f t="shared" si="432"/>
      </c>
      <c r="DX48" s="1772">
        <f t="shared" si="432"/>
      </c>
      <c r="DY48" s="1773">
        <f t="shared" si="432"/>
      </c>
      <c r="DZ48" s="1771">
        <f t="shared" si="432"/>
      </c>
      <c r="EA48" s="1772">
        <f t="shared" si="432"/>
      </c>
      <c r="EB48" s="1772">
        <f t="shared" si="432"/>
      </c>
      <c r="EC48" s="1773">
        <f t="shared" si="432"/>
      </c>
      <c r="ED48" s="1771">
        <f t="shared" si="432"/>
      </c>
      <c r="EE48" s="1772">
        <f t="shared" si="432"/>
      </c>
      <c r="EF48" s="1772">
        <f t="shared" si="432"/>
      </c>
      <c r="EG48" s="1773">
        <f t="shared" si="432"/>
      </c>
      <c r="EH48" s="1771">
        <f t="shared" si="432"/>
      </c>
      <c r="EI48" s="1772">
        <f t="shared" si="432"/>
      </c>
      <c r="EJ48" s="1772">
        <f t="shared" si="432"/>
      </c>
      <c r="EK48" s="1773">
        <f t="shared" si="432"/>
      </c>
      <c r="EM48" s="813">
        <f t="shared" si="324"/>
      </c>
      <c r="EN48" s="813">
        <f t="shared" si="325"/>
      </c>
      <c r="EO48" s="834">
        <f t="shared" si="326"/>
      </c>
      <c r="EP48" s="834">
        <f t="shared" si="327"/>
      </c>
      <c r="EQ48" s="834">
        <f t="shared" si="328"/>
      </c>
      <c r="ER48" s="834">
        <f t="shared" si="329"/>
      </c>
      <c r="ES48" s="834">
        <f t="shared" si="330"/>
      </c>
      <c r="ET48" s="834">
        <f t="shared" si="331"/>
      </c>
      <c r="EU48" s="834">
        <f t="shared" si="332"/>
      </c>
      <c r="EV48" s="834">
        <f t="shared" si="333"/>
      </c>
      <c r="EW48" s="834">
        <f t="shared" si="334"/>
      </c>
      <c r="EX48" s="834">
        <f t="shared" si="335"/>
      </c>
      <c r="EY48" s="834">
        <f t="shared" si="336"/>
      </c>
      <c r="EZ48" s="834">
        <f t="shared" si="337"/>
      </c>
      <c r="FA48" s="834">
        <f t="shared" si="338"/>
      </c>
      <c r="FB48" s="834">
        <f t="shared" si="339"/>
      </c>
      <c r="FC48" s="834">
        <f t="shared" si="340"/>
      </c>
      <c r="FD48" s="834">
        <f t="shared" si="341"/>
      </c>
      <c r="FE48" s="834">
        <f t="shared" si="342"/>
      </c>
      <c r="FF48" s="834">
        <f t="shared" si="343"/>
      </c>
      <c r="FG48" s="834"/>
      <c r="FH48" s="834">
        <f t="shared" si="344"/>
      </c>
      <c r="FI48" s="834">
        <f t="shared" si="345"/>
      </c>
      <c r="FJ48" s="834">
        <f t="shared" si="346"/>
      </c>
      <c r="FK48" s="834">
        <f t="shared" si="347"/>
      </c>
      <c r="FL48" s="834">
        <f t="shared" si="348"/>
      </c>
      <c r="FM48" s="834">
        <f t="shared" si="349"/>
      </c>
      <c r="FN48" s="834">
        <f t="shared" si="350"/>
      </c>
      <c r="FO48" s="834">
        <f t="shared" si="351"/>
      </c>
      <c r="FP48" s="834">
        <f t="shared" si="352"/>
      </c>
      <c r="FQ48" s="834">
        <f t="shared" si="353"/>
      </c>
      <c r="FR48" s="834">
        <f t="shared" si="354"/>
      </c>
      <c r="FS48" s="834">
        <f t="shared" si="355"/>
      </c>
      <c r="FT48" s="834">
        <f t="shared" si="356"/>
      </c>
      <c r="FU48" s="834">
        <f t="shared" si="357"/>
      </c>
      <c r="FW48" s="899"/>
      <c r="FZ48" s="370">
        <f t="shared" si="358"/>
      </c>
      <c r="GA48" s="370">
        <f t="shared" si="359"/>
      </c>
      <c r="GB48" s="370">
        <f t="shared" si="360"/>
      </c>
      <c r="GC48" s="370">
        <f t="shared" si="361"/>
      </c>
      <c r="GD48" s="370">
        <f t="shared" si="362"/>
      </c>
      <c r="GE48" s="370">
        <f t="shared" si="363"/>
      </c>
      <c r="GF48" s="370">
        <f t="shared" si="364"/>
      </c>
      <c r="GG48" s="370">
        <f t="shared" si="365"/>
      </c>
      <c r="GH48" s="370">
        <f t="shared" si="366"/>
      </c>
      <c r="GI48" s="370">
        <f t="shared" si="367"/>
      </c>
      <c r="GJ48" s="370">
        <f t="shared" si="368"/>
      </c>
      <c r="GK48" s="370">
        <f t="shared" si="369"/>
      </c>
      <c r="GL48" s="370">
        <f t="shared" si="370"/>
      </c>
      <c r="GM48" s="370">
        <f t="shared" si="371"/>
      </c>
      <c r="GN48" s="370">
        <f t="shared" si="372"/>
      </c>
      <c r="GO48" s="370">
        <f t="shared" si="373"/>
      </c>
      <c r="GP48" s="370">
        <f t="shared" si="374"/>
      </c>
      <c r="GQ48" s="370">
        <f t="shared" si="375"/>
      </c>
      <c r="GR48" s="370">
        <f t="shared" si="376"/>
      </c>
      <c r="GS48" s="370">
        <f t="shared" si="377"/>
      </c>
      <c r="GT48" s="370">
        <f t="shared" si="378"/>
      </c>
      <c r="GU48" s="370">
        <f t="shared" si="379"/>
      </c>
      <c r="GV48" s="370">
        <f t="shared" si="380"/>
      </c>
      <c r="GW48" s="370">
        <f t="shared" si="381"/>
      </c>
      <c r="GX48" s="370">
        <f t="shared" si="382"/>
      </c>
      <c r="GY48" s="370">
        <f t="shared" si="383"/>
      </c>
      <c r="GZ48" s="370">
        <f t="shared" si="384"/>
      </c>
      <c r="HA48" s="370">
        <f t="shared" si="385"/>
      </c>
      <c r="HB48" s="370">
        <f t="shared" si="386"/>
      </c>
      <c r="HC48" s="370">
        <f t="shared" si="387"/>
      </c>
      <c r="HD48" s="370">
        <f t="shared" si="388"/>
      </c>
      <c r="HE48" s="370">
        <f t="shared" si="389"/>
      </c>
      <c r="HF48" s="370">
        <f t="shared" si="390"/>
      </c>
    </row>
    <row r="49" spans="1:214" s="370" customFormat="1" ht="10.199999999999999">
      <c r="A49" s="1770" t="s">
        <v>1456</v>
      </c>
      <c r="B49" s="813"/>
      <c r="C49" s="813"/>
      <c r="D49" s="813"/>
      <c r="E49" s="778"/>
      <c r="F49" s="813"/>
      <c r="G49" s="813"/>
      <c r="H49" s="813"/>
      <c r="I49" s="778"/>
      <c r="J49" s="813"/>
      <c r="K49" s="813"/>
      <c r="L49" s="813"/>
      <c r="M49" s="778"/>
      <c r="N49" s="813"/>
      <c r="O49" s="813"/>
      <c r="P49" s="813"/>
      <c r="Q49" s="778"/>
      <c r="R49" s="813"/>
      <c r="S49" s="813"/>
      <c r="T49" s="813"/>
      <c r="U49" s="778"/>
      <c r="V49" s="813"/>
      <c r="W49" s="813"/>
      <c r="X49" s="813"/>
      <c r="Y49" s="778"/>
      <c r="Z49" s="813"/>
      <c r="AA49" s="813"/>
      <c r="AB49" s="813"/>
      <c r="AC49" s="778"/>
      <c r="AD49" s="813"/>
      <c r="AE49" s="813"/>
      <c r="AF49" s="813"/>
      <c r="AG49" s="778"/>
      <c r="AH49" s="813"/>
      <c r="AI49" s="813"/>
      <c r="AJ49" s="813"/>
      <c r="AK49" s="778"/>
      <c r="AL49" s="813"/>
      <c r="AM49" s="813"/>
      <c r="AN49" s="813"/>
      <c r="AO49" s="778"/>
      <c r="AP49" s="813"/>
      <c r="AQ49" s="813"/>
      <c r="AR49" s="813"/>
      <c r="AS49" s="778"/>
      <c r="AT49" s="813"/>
      <c r="AU49" s="813"/>
      <c r="AV49" s="813"/>
      <c r="AW49" s="778"/>
      <c r="AX49" s="813"/>
      <c r="AY49" s="813"/>
      <c r="AZ49" s="813"/>
      <c r="BA49" s="778"/>
      <c r="BB49" s="813"/>
      <c r="BC49" s="813"/>
      <c r="BD49" s="813"/>
      <c r="BE49" s="778"/>
      <c r="BF49" s="813"/>
      <c r="BG49" s="813"/>
      <c r="BH49" s="813"/>
      <c r="BI49" s="778"/>
      <c r="BJ49" s="813"/>
      <c r="BK49" s="813"/>
      <c r="BL49" s="813"/>
      <c r="BM49" s="778"/>
      <c r="BN49" s="813"/>
      <c r="BO49" s="813"/>
      <c r="BP49" s="813"/>
      <c r="BQ49" s="778"/>
      <c r="BR49" s="813"/>
      <c r="BS49" s="813"/>
      <c r="BT49" s="813"/>
      <c r="BU49" s="778"/>
      <c r="BV49" s="813"/>
      <c r="BW49" s="813"/>
      <c r="BX49" s="813"/>
      <c r="BY49" s="778"/>
      <c r="BZ49" s="813"/>
      <c r="CA49" s="813"/>
      <c r="CB49" s="813"/>
      <c r="CC49" s="778"/>
      <c r="CD49" s="813"/>
      <c r="CE49" s="813"/>
      <c r="CF49" s="813"/>
      <c r="CG49" s="778"/>
      <c r="CH49" s="834">
        <f>SUM(CH44:CH48)</f>
      </c>
      <c r="CI49" s="834">
        <f t="shared" ref="CI49:DU49" si="433">SUM(CI44:CI48)</f>
      </c>
      <c r="CJ49" s="834">
        <f t="shared" si="433"/>
      </c>
      <c r="CK49" s="835">
        <f t="shared" si="433"/>
      </c>
      <c r="CL49" s="834">
        <f t="shared" si="433"/>
      </c>
      <c r="CM49" s="834">
        <f t="shared" si="433"/>
      </c>
      <c r="CN49" s="834">
        <f t="shared" si="433"/>
      </c>
      <c r="CO49" s="835">
        <f t="shared" si="433"/>
      </c>
      <c r="CP49" s="834">
        <f t="shared" si="433"/>
      </c>
      <c r="CQ49" s="834">
        <f t="shared" si="433"/>
      </c>
      <c r="CR49" s="834">
        <f t="shared" si="433"/>
      </c>
      <c r="CS49" s="835">
        <f t="shared" si="433"/>
      </c>
      <c r="CT49" s="834">
        <f t="shared" si="433"/>
      </c>
      <c r="CU49" s="834">
        <f t="shared" si="433"/>
      </c>
      <c r="CV49" s="834">
        <f t="shared" si="433"/>
      </c>
      <c r="CW49" s="835">
        <f t="shared" si="433"/>
      </c>
      <c r="CX49" s="834">
        <f t="shared" si="433"/>
      </c>
      <c r="CY49" s="834">
        <f t="shared" si="433"/>
      </c>
      <c r="CZ49" s="834">
        <f t="shared" si="433"/>
      </c>
      <c r="DA49" s="835">
        <f t="shared" si="433"/>
      </c>
      <c r="DB49" s="834">
        <f t="shared" si="433"/>
      </c>
      <c r="DC49" s="834">
        <f t="shared" si="433"/>
      </c>
      <c r="DD49" s="834">
        <f t="shared" si="433"/>
      </c>
      <c r="DE49" s="835">
        <f t="shared" si="433"/>
      </c>
      <c r="DF49" s="834">
        <f t="shared" ref="DF49" si="434">SUM(DF44:DF48)</f>
      </c>
      <c r="DG49" s="834">
        <f>SUM(DG44:DG48)</f>
      </c>
      <c r="DH49" s="834">
        <f t="shared" si="433"/>
      </c>
      <c r="DI49" s="835">
        <f t="shared" si="433"/>
      </c>
      <c r="DJ49" s="834">
        <f t="shared" si="433"/>
      </c>
      <c r="DK49" s="834">
        <f t="shared" si="433"/>
      </c>
      <c r="DL49" s="834">
        <f t="shared" ref="DL49:DO49" si="435">SUM(DL44:DL48)</f>
      </c>
      <c r="DM49" s="835">
        <f t="shared" si="435"/>
      </c>
      <c r="DN49" s="834">
        <f t="shared" si="435"/>
      </c>
      <c r="DO49" s="834">
        <f t="shared" si="435"/>
      </c>
      <c r="DP49" s="834">
        <f t="shared" ref="DP49" si="436">SUM(DP44:DP48)</f>
      </c>
      <c r="DQ49" s="835">
        <f t="shared" si="433"/>
      </c>
      <c r="DR49" s="834">
        <f t="shared" si="433"/>
      </c>
      <c r="DS49" s="834">
        <f t="shared" si="433"/>
      </c>
      <c r="DT49" s="834">
        <f t="shared" si="433"/>
      </c>
      <c r="DU49" s="835">
        <f t="shared" si="433"/>
      </c>
      <c r="DV49" s="834">
        <f t="shared" ref="DV49:EK49" si="437">SUM(DV44:DV48)</f>
      </c>
      <c r="DW49" s="834">
        <f t="shared" si="437"/>
      </c>
      <c r="DX49" s="834">
        <f t="shared" si="437"/>
      </c>
      <c r="DY49" s="835">
        <f t="shared" si="437"/>
      </c>
      <c r="DZ49" s="834">
        <f t="shared" si="437"/>
      </c>
      <c r="EA49" s="834">
        <f t="shared" si="437"/>
      </c>
      <c r="EB49" s="834">
        <f t="shared" si="437"/>
      </c>
      <c r="EC49" s="835">
        <f t="shared" si="437"/>
      </c>
      <c r="ED49" s="834">
        <f t="shared" si="437"/>
      </c>
      <c r="EE49" s="834">
        <f t="shared" si="437"/>
      </c>
      <c r="EF49" s="834">
        <f t="shared" si="437"/>
      </c>
      <c r="EG49" s="835">
        <f t="shared" si="437"/>
      </c>
      <c r="EH49" s="834">
        <f t="shared" si="437"/>
      </c>
      <c r="EI49" s="834">
        <f t="shared" si="437"/>
      </c>
      <c r="EJ49" s="834">
        <f t="shared" si="437"/>
      </c>
      <c r="EK49" s="835">
        <f t="shared" si="437"/>
      </c>
      <c r="EM49" s="2191">
        <f t="shared" si="324"/>
      </c>
      <c r="EN49" s="2191">
        <f t="shared" si="325"/>
      </c>
      <c r="EO49" s="2136">
        <f t="shared" si="326"/>
      </c>
      <c r="EP49" s="2136">
        <f t="shared" si="327"/>
      </c>
      <c r="EQ49" s="2136">
        <f t="shared" si="328"/>
      </c>
      <c r="ER49" s="2136">
        <f t="shared" si="329"/>
      </c>
      <c r="ES49" s="2136">
        <f t="shared" si="330"/>
      </c>
      <c r="ET49" s="2136">
        <f t="shared" si="331"/>
      </c>
      <c r="EU49" s="2136">
        <f t="shared" si="332"/>
      </c>
      <c r="EV49" s="2136">
        <f t="shared" si="333"/>
      </c>
      <c r="EW49" s="2136">
        <f t="shared" si="334"/>
      </c>
      <c r="EX49" s="2136">
        <f t="shared" si="335"/>
      </c>
      <c r="EY49" s="2136">
        <f t="shared" si="336"/>
      </c>
      <c r="EZ49" s="2136">
        <f t="shared" si="337"/>
      </c>
      <c r="FA49" s="2136">
        <f t="shared" si="338"/>
      </c>
      <c r="FB49" s="2136">
        <f t="shared" si="339"/>
      </c>
      <c r="FC49" s="2136">
        <f t="shared" si="340"/>
      </c>
      <c r="FD49" s="2136">
        <f t="shared" si="341"/>
      </c>
      <c r="FE49" s="2136">
        <f t="shared" si="342"/>
      </c>
      <c r="FF49" s="2136">
        <f t="shared" si="343"/>
      </c>
      <c r="FG49" s="2136"/>
      <c r="FH49" s="2136">
        <f>SUM(CH49:CK49)</f>
      </c>
      <c r="FI49" s="2136">
        <f t="shared" si="345"/>
      </c>
      <c r="FJ49" s="2136">
        <f t="shared" si="346"/>
      </c>
      <c r="FK49" s="2136">
        <f t="shared" si="347"/>
      </c>
      <c r="FL49" s="2136">
        <f t="shared" si="348"/>
      </c>
      <c r="FM49" s="2136">
        <f t="shared" si="349"/>
      </c>
      <c r="FN49" s="2136">
        <f t="shared" si="350"/>
      </c>
      <c r="FO49" s="2136">
        <f t="shared" si="351"/>
      </c>
      <c r="FP49" s="2136">
        <f t="shared" si="352"/>
      </c>
      <c r="FQ49" s="2136">
        <f t="shared" si="353"/>
      </c>
      <c r="FR49" s="2136">
        <f t="shared" si="354"/>
      </c>
      <c r="FS49" s="2136">
        <f t="shared" si="355"/>
      </c>
      <c r="FT49" s="2136">
        <f t="shared" si="356"/>
      </c>
      <c r="FU49" s="2136">
        <f t="shared" si="357"/>
      </c>
      <c r="FW49" s="899"/>
      <c r="FZ49" s="817">
        <f t="shared" si="358"/>
      </c>
      <c r="GA49" s="817">
        <f t="shared" si="359"/>
      </c>
      <c r="GB49" s="817">
        <f t="shared" si="360"/>
      </c>
      <c r="GC49" s="817">
        <f t="shared" si="361"/>
      </c>
      <c r="GD49" s="817">
        <f t="shared" si="362"/>
      </c>
      <c r="GE49" s="817">
        <f t="shared" si="363"/>
      </c>
      <c r="GF49" s="817">
        <f t="shared" si="364"/>
      </c>
      <c r="GG49" s="817">
        <f t="shared" si="365"/>
      </c>
      <c r="GH49" s="817">
        <f t="shared" si="366"/>
      </c>
      <c r="GI49" s="817">
        <f t="shared" si="367"/>
      </c>
      <c r="GJ49" s="817">
        <f t="shared" si="368"/>
      </c>
      <c r="GK49" s="817">
        <f t="shared" si="369"/>
      </c>
      <c r="GL49" s="817">
        <f t="shared" si="370"/>
      </c>
      <c r="GM49" s="817">
        <f t="shared" si="371"/>
      </c>
      <c r="GN49" s="817">
        <f t="shared" si="372"/>
      </c>
      <c r="GO49" s="817">
        <f t="shared" si="373"/>
      </c>
      <c r="GP49" s="817">
        <f t="shared" si="374"/>
      </c>
      <c r="GQ49" s="817">
        <f t="shared" si="375"/>
      </c>
      <c r="GR49" s="817">
        <f t="shared" si="376"/>
      </c>
      <c r="GS49" s="817">
        <f t="shared" si="377"/>
      </c>
      <c r="GT49" s="817">
        <f t="shared" si="378"/>
      </c>
      <c r="GU49" s="817">
        <f t="shared" si="379"/>
      </c>
      <c r="GV49" s="817">
        <f t="shared" si="380"/>
      </c>
      <c r="GW49" s="817">
        <f t="shared" si="381"/>
      </c>
      <c r="GX49" s="817">
        <f t="shared" si="382"/>
      </c>
      <c r="GY49" s="817">
        <f t="shared" si="383"/>
      </c>
      <c r="GZ49" s="817">
        <f t="shared" si="384"/>
      </c>
      <c r="HA49" s="817">
        <f t="shared" si="385"/>
      </c>
      <c r="HB49" s="817">
        <f t="shared" si="386"/>
      </c>
      <c r="HC49" s="817">
        <f t="shared" si="387"/>
      </c>
      <c r="HD49" s="817">
        <f t="shared" si="388"/>
      </c>
      <c r="HE49" s="817">
        <f t="shared" si="389"/>
      </c>
      <c r="HF49" s="817">
        <f t="shared" si="390"/>
      </c>
    </row>
    <row r="50" spans="1:214" s="370" customFormat="1" ht="10.199999999999999">
      <c r="A50" s="1770"/>
      <c r="B50" s="813"/>
      <c r="C50" s="813"/>
      <c r="D50" s="813"/>
      <c r="E50" s="778"/>
      <c r="F50" s="813"/>
      <c r="G50" s="813"/>
      <c r="H50" s="813"/>
      <c r="I50" s="778"/>
      <c r="J50" s="813"/>
      <c r="K50" s="813"/>
      <c r="L50" s="813"/>
      <c r="M50" s="778"/>
      <c r="N50" s="813"/>
      <c r="O50" s="813"/>
      <c r="P50" s="813"/>
      <c r="Q50" s="778"/>
      <c r="R50" s="813"/>
      <c r="S50" s="813"/>
      <c r="T50" s="813"/>
      <c r="U50" s="778"/>
      <c r="V50" s="813"/>
      <c r="W50" s="813"/>
      <c r="X50" s="813"/>
      <c r="Y50" s="778"/>
      <c r="Z50" s="813"/>
      <c r="AA50" s="813"/>
      <c r="AB50" s="813"/>
      <c r="AC50" s="778"/>
      <c r="AD50" s="813"/>
      <c r="AE50" s="813"/>
      <c r="AF50" s="813"/>
      <c r="AG50" s="778"/>
      <c r="AH50" s="813"/>
      <c r="AI50" s="813"/>
      <c r="AJ50" s="813"/>
      <c r="AK50" s="778"/>
      <c r="AL50" s="813"/>
      <c r="AM50" s="813"/>
      <c r="AN50" s="813"/>
      <c r="AO50" s="778"/>
      <c r="AP50" s="813"/>
      <c r="AQ50" s="813"/>
      <c r="AR50" s="813"/>
      <c r="AS50" s="778"/>
      <c r="AT50" s="813"/>
      <c r="AU50" s="813"/>
      <c r="AV50" s="813"/>
      <c r="AW50" s="778"/>
      <c r="AX50" s="813"/>
      <c r="AY50" s="813"/>
      <c r="AZ50" s="813"/>
      <c r="BA50" s="778"/>
      <c r="BB50" s="813"/>
      <c r="BC50" s="813"/>
      <c r="BD50" s="813"/>
      <c r="BE50" s="778"/>
      <c r="BF50" s="813"/>
      <c r="BG50" s="813"/>
      <c r="BH50" s="813"/>
      <c r="BI50" s="778"/>
      <c r="BJ50" s="813"/>
      <c r="BK50" s="813"/>
      <c r="BL50" s="813"/>
      <c r="BM50" s="778"/>
      <c r="BN50" s="813"/>
      <c r="BO50" s="813"/>
      <c r="BP50" s="813"/>
      <c r="BQ50" s="778"/>
      <c r="BR50" s="813"/>
      <c r="BS50" s="813"/>
      <c r="BT50" s="813"/>
      <c r="BU50" s="778"/>
      <c r="BV50" s="813"/>
      <c r="BW50" s="813"/>
      <c r="BX50" s="813"/>
      <c r="BY50" s="778"/>
      <c r="BZ50" s="813"/>
      <c r="CA50" s="813"/>
      <c r="CB50" s="813"/>
      <c r="CC50" s="778"/>
      <c r="CD50" s="813"/>
      <c r="CE50" s="813"/>
      <c r="CF50" s="813"/>
      <c r="CG50" s="778"/>
      <c r="CH50" s="834"/>
      <c r="CI50" s="834"/>
      <c r="CJ50" s="834"/>
      <c r="CK50" s="835"/>
      <c r="CL50" s="834"/>
      <c r="CM50" s="834"/>
      <c r="CN50" s="834"/>
      <c r="CO50" s="835"/>
      <c r="CP50" s="834"/>
      <c r="CQ50" s="834"/>
      <c r="CR50" s="834"/>
      <c r="CS50" s="835"/>
      <c r="CT50" s="834"/>
      <c r="CU50" s="834"/>
      <c r="CV50" s="834"/>
      <c r="CW50" s="835"/>
      <c r="CX50" s="834"/>
      <c r="CY50" s="834"/>
      <c r="CZ50" s="834"/>
      <c r="DA50" s="835"/>
      <c r="DB50" s="834"/>
      <c r="DC50" s="834"/>
      <c r="DD50" s="834"/>
      <c r="DE50" s="835"/>
      <c r="DF50" s="834"/>
      <c r="DG50" s="834"/>
      <c r="DH50" s="834"/>
      <c r="DI50" s="835"/>
      <c r="DJ50" s="834"/>
      <c r="DK50" s="834"/>
      <c r="DL50" s="834"/>
      <c r="DM50" s="835"/>
      <c r="DN50" s="834"/>
      <c r="DO50" s="834"/>
      <c r="DP50" s="834"/>
      <c r="DQ50" s="835"/>
      <c r="DR50" s="834"/>
      <c r="DS50" s="834"/>
      <c r="DT50" s="834"/>
      <c r="DU50" s="835"/>
      <c r="DV50" s="834"/>
      <c r="DW50" s="834"/>
      <c r="DX50" s="834"/>
      <c r="DY50" s="835"/>
      <c r="DZ50" s="834"/>
      <c r="EA50" s="834"/>
      <c r="EB50" s="834"/>
      <c r="EC50" s="835"/>
      <c r="ED50" s="834"/>
      <c r="EE50" s="834"/>
      <c r="EF50" s="834"/>
      <c r="EG50" s="835"/>
      <c r="EH50" s="834"/>
      <c r="EI50" s="834"/>
      <c r="EJ50" s="834"/>
      <c r="EK50" s="835"/>
      <c r="EM50" s="813"/>
      <c r="EN50" s="813"/>
      <c r="EO50" s="834"/>
      <c r="EP50" s="834"/>
      <c r="EQ50" s="834"/>
      <c r="ER50" s="834"/>
      <c r="ES50" s="834"/>
      <c r="ET50" s="834"/>
      <c r="EU50" s="834"/>
      <c r="EV50" s="834"/>
      <c r="EW50" s="834"/>
      <c r="EX50" s="834"/>
      <c r="EY50" s="834"/>
      <c r="EZ50" s="834"/>
      <c r="FA50" s="834"/>
      <c r="FB50" s="834"/>
      <c r="FC50" s="834"/>
      <c r="FD50" s="834"/>
      <c r="FE50" s="834"/>
      <c r="FF50" s="834"/>
      <c r="FG50" s="834"/>
      <c r="FH50" s="834"/>
      <c r="FI50" s="834"/>
      <c r="FJ50" s="834"/>
      <c r="FK50" s="834"/>
      <c r="FL50" s="834"/>
      <c r="FM50" s="834"/>
      <c r="FN50" s="834"/>
      <c r="FO50" s="834"/>
      <c r="FP50" s="834"/>
      <c r="FQ50" s="834"/>
      <c r="FR50" s="834"/>
      <c r="FS50" s="834"/>
      <c r="FT50" s="834"/>
      <c r="FU50" s="834"/>
      <c r="FW50" s="899"/>
    </row>
    <row r="51" spans="1:214" s="1787" customFormat="1" ht="10.199999999999999">
      <c r="A51" s="1784" t="s">
        <v>875</v>
      </c>
      <c r="B51" s="1785"/>
      <c r="C51" s="1785"/>
      <c r="D51" s="1785"/>
      <c r="E51" s="1786"/>
      <c r="F51" s="1785"/>
      <c r="G51" s="1785"/>
      <c r="H51" s="1785"/>
      <c r="I51" s="1786"/>
      <c r="J51" s="1785"/>
      <c r="K51" s="1785"/>
      <c r="L51" s="1785"/>
      <c r="M51" s="1786"/>
      <c r="N51" s="1785"/>
      <c r="O51" s="1785"/>
      <c r="P51" s="1785"/>
      <c r="Q51" s="1786"/>
      <c r="R51" s="1785"/>
      <c r="S51" s="1785"/>
      <c r="T51" s="1785"/>
      <c r="U51" s="1786"/>
      <c r="V51" s="1785"/>
      <c r="W51" s="1785"/>
      <c r="X51" s="1785"/>
      <c r="Y51" s="1786"/>
      <c r="Z51" s="1785"/>
      <c r="AA51" s="1785"/>
      <c r="AB51" s="1785"/>
      <c r="AC51" s="1786"/>
      <c r="AD51" s="1785"/>
      <c r="AE51" s="1785"/>
      <c r="AF51" s="1785"/>
      <c r="AG51" s="1786"/>
      <c r="AH51" s="1785"/>
      <c r="AI51" s="1785"/>
      <c r="AJ51" s="1785"/>
      <c r="AK51" s="1786"/>
      <c r="AL51" s="1785"/>
      <c r="AM51" s="1785"/>
      <c r="AN51" s="1785"/>
      <c r="AO51" s="1786"/>
      <c r="AP51" s="1785"/>
      <c r="AQ51" s="1785"/>
      <c r="AR51" s="1785"/>
      <c r="AS51" s="1786"/>
      <c r="AT51" s="1785"/>
      <c r="AU51" s="1785"/>
      <c r="AV51" s="1785"/>
      <c r="AW51" s="1786"/>
      <c r="AX51" s="1785"/>
      <c r="AY51" s="1785"/>
      <c r="AZ51" s="1785"/>
      <c r="BA51" s="1786"/>
      <c r="BB51" s="1785"/>
      <c r="BC51" s="1785"/>
      <c r="BD51" s="1785"/>
      <c r="BE51" s="1786"/>
      <c r="BF51" s="1785"/>
      <c r="BG51" s="1785"/>
      <c r="BH51" s="1785"/>
      <c r="BI51" s="1786"/>
      <c r="BJ51" s="1785"/>
      <c r="BK51" s="1785"/>
      <c r="BL51" s="1785"/>
      <c r="BM51" s="1786"/>
      <c r="BN51" s="1785"/>
      <c r="BO51" s="1785"/>
      <c r="BP51" s="1785"/>
      <c r="BQ51" s="1786"/>
      <c r="BR51" s="1785"/>
      <c r="BS51" s="1785"/>
      <c r="BT51" s="1785"/>
      <c r="BU51" s="1786"/>
      <c r="BV51" s="1785"/>
      <c r="BW51" s="1785"/>
      <c r="BX51" s="1785"/>
      <c r="BY51" s="1786"/>
      <c r="BZ51" s="1785"/>
      <c r="CA51" s="1785"/>
      <c r="CB51" s="1785"/>
      <c r="CC51" s="1786"/>
      <c r="CD51" s="1785"/>
      <c r="CE51" s="1785"/>
      <c r="CF51" s="1785"/>
      <c r="CG51" s="1786"/>
      <c r="CH51" s="1798">
        <f>CH73*CH132</f>
      </c>
      <c r="CI51" s="1798">
        <f t="shared" ref="CI51:DU57" si="438">CI73*CI132</f>
      </c>
      <c r="CJ51" s="1798">
        <f t="shared" si="438"/>
      </c>
      <c r="CK51" s="1799">
        <f t="shared" si="438"/>
      </c>
      <c r="CL51" s="1798">
        <f t="shared" si="438"/>
      </c>
      <c r="CM51" s="1798">
        <f t="shared" si="438"/>
      </c>
      <c r="CN51" s="1798">
        <f t="shared" si="438"/>
      </c>
      <c r="CO51" s="1799">
        <f t="shared" si="438"/>
      </c>
      <c r="CP51" s="1798">
        <f t="shared" si="438"/>
      </c>
      <c r="CQ51" s="1798">
        <f t="shared" si="438"/>
      </c>
      <c r="CR51" s="1798">
        <f t="shared" si="438"/>
      </c>
      <c r="CS51" s="1799">
        <f t="shared" si="438"/>
      </c>
      <c r="CT51" s="1798">
        <f t="shared" si="438"/>
      </c>
      <c r="CU51" s="1798">
        <f t="shared" si="438"/>
      </c>
      <c r="CV51" s="1798">
        <f t="shared" si="438"/>
      </c>
      <c r="CW51" s="1799">
        <f t="shared" si="438"/>
      </c>
      <c r="CX51" s="1798">
        <f t="shared" si="438"/>
      </c>
      <c r="CY51" s="1798">
        <f t="shared" si="438"/>
      </c>
      <c r="CZ51" s="1798">
        <f t="shared" si="438"/>
      </c>
      <c r="DA51" s="1799">
        <f t="shared" si="438"/>
      </c>
      <c r="DB51" s="1798">
        <f t="shared" si="438"/>
      </c>
      <c r="DC51" s="1798">
        <f t="shared" si="438"/>
      </c>
      <c r="DD51" s="1798">
        <f t="shared" si="438"/>
      </c>
      <c r="DE51" s="1799">
        <f t="shared" si="438"/>
      </c>
      <c r="DF51" s="1798">
        <f t="shared" si="438"/>
      </c>
      <c r="DG51" s="1798">
        <f t="shared" si="438"/>
      </c>
      <c r="DH51" s="1798">
        <f t="shared" si="438"/>
      </c>
      <c r="DI51" s="1799">
        <f t="shared" si="438"/>
      </c>
      <c r="DJ51" s="1798">
        <f t="shared" ref="DJ51" si="439">DJ73*DJ132</f>
      </c>
      <c r="DK51" s="1798">
        <f t="shared" ref="DK51:DL62" si="440">DK73*DK132</f>
      </c>
      <c r="DL51" s="1798">
        <f t="shared" si="440"/>
      </c>
      <c r="DM51" s="1799">
        <f t="shared" si="438"/>
      </c>
      <c r="DN51" s="1798">
        <f t="shared" si="438"/>
      </c>
      <c r="DO51" s="1798">
        <f t="shared" si="438"/>
      </c>
      <c r="DP51" s="1798">
        <f t="shared" ref="DP51" si="441">DP73*DP132</f>
      </c>
      <c r="DQ51" s="1799">
        <f t="shared" ref="DQ51:DR62" si="442">DQ73*DQ132</f>
      </c>
      <c r="DR51" s="1798">
        <f t="shared" si="442"/>
      </c>
      <c r="DS51" s="1798">
        <f t="shared" si="438"/>
      </c>
      <c r="DT51" s="1798">
        <f t="shared" si="438"/>
      </c>
      <c r="DU51" s="1799">
        <f t="shared" si="438"/>
      </c>
      <c r="DV51" s="1798">
        <f t="shared" ref="DV51:EK51" si="443">DV73*DV132</f>
      </c>
      <c r="DW51" s="1798">
        <f t="shared" si="443"/>
      </c>
      <c r="DX51" s="1798">
        <f t="shared" si="443"/>
      </c>
      <c r="DY51" s="1799">
        <f t="shared" si="443"/>
      </c>
      <c r="DZ51" s="1798">
        <f t="shared" si="443"/>
      </c>
      <c r="EA51" s="1798">
        <f t="shared" si="443"/>
      </c>
      <c r="EB51" s="1798">
        <f t="shared" si="443"/>
      </c>
      <c r="EC51" s="1799">
        <f t="shared" si="443"/>
      </c>
      <c r="ED51" s="1798">
        <f t="shared" si="443"/>
      </c>
      <c r="EE51" s="1798">
        <f t="shared" si="443"/>
      </c>
      <c r="EF51" s="1798">
        <f t="shared" si="443"/>
      </c>
      <c r="EG51" s="1799">
        <f t="shared" si="443"/>
      </c>
      <c r="EH51" s="1798">
        <f t="shared" si="443"/>
      </c>
      <c r="EI51" s="1798">
        <f t="shared" si="443"/>
      </c>
      <c r="EJ51" s="1798">
        <f t="shared" si="443"/>
      </c>
      <c r="EK51" s="1799">
        <f t="shared" si="443"/>
      </c>
      <c r="EM51" s="2192">
        <f t="shared" si="324"/>
      </c>
      <c r="EN51" s="2192">
        <f t="shared" si="325"/>
      </c>
      <c r="EO51" s="2192">
        <f t="shared" si="326"/>
      </c>
      <c r="EP51" s="2192">
        <f t="shared" si="327"/>
      </c>
      <c r="EQ51" s="2192">
        <f t="shared" si="328"/>
      </c>
      <c r="ER51" s="2192">
        <f t="shared" si="329"/>
      </c>
      <c r="ES51" s="2192">
        <f t="shared" si="330"/>
      </c>
      <c r="ET51" s="2192">
        <f t="shared" si="331"/>
      </c>
      <c r="EU51" s="2192">
        <f t="shared" si="332"/>
      </c>
      <c r="EV51" s="2192">
        <f t="shared" si="333"/>
      </c>
      <c r="EW51" s="2192">
        <f t="shared" si="334"/>
      </c>
      <c r="EX51" s="2192">
        <f t="shared" si="335"/>
      </c>
      <c r="EY51" s="2192">
        <f t="shared" si="336"/>
      </c>
      <c r="EZ51" s="2192">
        <f t="shared" si="337"/>
      </c>
      <c r="FA51" s="2192">
        <f t="shared" si="338"/>
      </c>
      <c r="FB51" s="2192">
        <f t="shared" si="339"/>
      </c>
      <c r="FC51" s="2192">
        <f t="shared" si="340"/>
      </c>
      <c r="FD51" s="2192">
        <f t="shared" si="341"/>
      </c>
      <c r="FE51" s="2192">
        <f t="shared" si="342"/>
      </c>
      <c r="FF51" s="2192">
        <f t="shared" si="343"/>
      </c>
      <c r="FG51" s="2192"/>
      <c r="FH51" s="2192">
        <f t="shared" si="344"/>
      </c>
      <c r="FI51" s="2192">
        <f t="shared" si="345"/>
      </c>
      <c r="FJ51" s="2192">
        <f t="shared" si="346"/>
      </c>
      <c r="FK51" s="2192">
        <f t="shared" si="347"/>
      </c>
      <c r="FL51" s="2192">
        <f t="shared" si="348"/>
      </c>
      <c r="FM51" s="2192">
        <f t="shared" si="349"/>
      </c>
      <c r="FN51" s="2192">
        <f t="shared" si="350"/>
      </c>
      <c r="FO51" s="2192">
        <f t="shared" si="351"/>
      </c>
      <c r="FP51" s="2192">
        <f t="shared" si="352"/>
      </c>
      <c r="FQ51" s="2192">
        <f t="shared" si="353"/>
      </c>
      <c r="FR51" s="2192">
        <f t="shared" ref="FR51:FR70" si="444">SUM(DV51:DY51)</f>
      </c>
      <c r="FS51" s="2192">
        <f t="shared" ref="FS51:FS70" si="445">SUM(DZ51:EC51)</f>
      </c>
      <c r="FT51" s="2192">
        <f t="shared" ref="FT51:FT70" si="446">SUM(ED51:EG51)</f>
      </c>
      <c r="FU51" s="2192">
        <f t="shared" ref="FU51:FU70" si="447">SUM(EH51:EK51)</f>
      </c>
      <c r="FW51" s="1788"/>
      <c r="FX51" s="1788"/>
      <c r="FY51" s="1788"/>
      <c r="FZ51" s="1788">
        <f t="shared" si="358"/>
      </c>
      <c r="GA51" s="1788">
        <f t="shared" si="359"/>
      </c>
      <c r="GB51" s="1788">
        <f t="shared" si="360"/>
      </c>
      <c r="GC51" s="1788">
        <f t="shared" si="361"/>
      </c>
      <c r="GD51" s="1788">
        <f t="shared" si="362"/>
      </c>
      <c r="GE51" s="1788">
        <f t="shared" si="363"/>
      </c>
      <c r="GF51" s="1788">
        <f t="shared" si="364"/>
      </c>
      <c r="GG51" s="1788">
        <f t="shared" si="365"/>
      </c>
      <c r="GH51" s="1788">
        <f t="shared" si="366"/>
      </c>
      <c r="GI51" s="1788">
        <f t="shared" si="367"/>
      </c>
      <c r="GJ51" s="1788">
        <f t="shared" si="368"/>
      </c>
      <c r="GK51" s="1788">
        <f t="shared" si="369"/>
      </c>
      <c r="GL51" s="1788">
        <f t="shared" si="370"/>
      </c>
      <c r="GM51" s="1788">
        <f t="shared" si="371"/>
      </c>
      <c r="GN51" s="1788">
        <f t="shared" si="372"/>
      </c>
      <c r="GO51" s="1788">
        <f t="shared" si="373"/>
      </c>
      <c r="GP51" s="1788">
        <f t="shared" si="374"/>
      </c>
      <c r="GQ51" s="1788">
        <f t="shared" si="375"/>
      </c>
      <c r="GR51" s="1788">
        <f t="shared" si="376"/>
      </c>
      <c r="GS51" s="1788">
        <f t="shared" si="377"/>
      </c>
      <c r="GT51" s="1788">
        <f t="shared" si="378"/>
      </c>
      <c r="GU51" s="1788">
        <f t="shared" si="379"/>
      </c>
      <c r="GV51" s="1788">
        <f t="shared" si="380"/>
      </c>
      <c r="GW51" s="1788">
        <f t="shared" si="381"/>
      </c>
      <c r="GX51" s="1788">
        <f t="shared" si="382"/>
      </c>
      <c r="GY51" s="1788">
        <f t="shared" si="383"/>
      </c>
      <c r="GZ51" s="1788">
        <f t="shared" si="384"/>
      </c>
      <c r="HA51" s="1788">
        <f t="shared" si="385"/>
      </c>
      <c r="HB51" s="1788">
        <f t="shared" si="386"/>
      </c>
      <c r="HC51" s="1788">
        <f t="shared" si="387"/>
      </c>
      <c r="HD51" s="1788">
        <f t="shared" si="388"/>
      </c>
      <c r="HE51" s="1788">
        <f t="shared" si="389"/>
      </c>
      <c r="HF51" s="1788">
        <f t="shared" si="390"/>
      </c>
    </row>
    <row r="52" spans="1:214" s="1787" customFormat="1" ht="10.199999999999999">
      <c r="A52" s="1789" t="s">
        <v>876</v>
      </c>
      <c r="B52" s="1790"/>
      <c r="C52" s="1790"/>
      <c r="D52" s="1790"/>
      <c r="E52" s="1791"/>
      <c r="F52" s="1790"/>
      <c r="G52" s="1790"/>
      <c r="H52" s="1790"/>
      <c r="I52" s="1791"/>
      <c r="J52" s="1790"/>
      <c r="K52" s="1790"/>
      <c r="L52" s="1790"/>
      <c r="M52" s="1791"/>
      <c r="N52" s="1790"/>
      <c r="O52" s="1790"/>
      <c r="P52" s="1790"/>
      <c r="Q52" s="1791"/>
      <c r="R52" s="1790"/>
      <c r="S52" s="1790"/>
      <c r="T52" s="1790"/>
      <c r="U52" s="1791"/>
      <c r="V52" s="1790"/>
      <c r="W52" s="1790"/>
      <c r="X52" s="1790"/>
      <c r="Y52" s="1791"/>
      <c r="Z52" s="1790"/>
      <c r="AA52" s="1790"/>
      <c r="AB52" s="1790"/>
      <c r="AC52" s="1791"/>
      <c r="AD52" s="1790"/>
      <c r="AE52" s="1790"/>
      <c r="AF52" s="1790"/>
      <c r="AG52" s="1791"/>
      <c r="AH52" s="1790"/>
      <c r="AI52" s="1790"/>
      <c r="AJ52" s="1790"/>
      <c r="AK52" s="1791"/>
      <c r="AL52" s="1790"/>
      <c r="AM52" s="1790"/>
      <c r="AN52" s="1790"/>
      <c r="AO52" s="1791"/>
      <c r="AP52" s="1790"/>
      <c r="AQ52" s="1790"/>
      <c r="AR52" s="1790"/>
      <c r="AS52" s="1791"/>
      <c r="AT52" s="1790"/>
      <c r="AU52" s="1790"/>
      <c r="AV52" s="1790"/>
      <c r="AW52" s="1791"/>
      <c r="AX52" s="1790"/>
      <c r="AY52" s="1790"/>
      <c r="AZ52" s="1790"/>
      <c r="BA52" s="1791"/>
      <c r="BB52" s="1790"/>
      <c r="BC52" s="1790"/>
      <c r="BD52" s="1790"/>
      <c r="BE52" s="1791"/>
      <c r="BF52" s="1790"/>
      <c r="BG52" s="1790"/>
      <c r="BH52" s="1790"/>
      <c r="BI52" s="1791"/>
      <c r="BJ52" s="1790"/>
      <c r="BK52" s="1790"/>
      <c r="BL52" s="1790"/>
      <c r="BM52" s="1791"/>
      <c r="BN52" s="1790"/>
      <c r="BO52" s="1790"/>
      <c r="BP52" s="1790"/>
      <c r="BQ52" s="1791"/>
      <c r="BR52" s="1790"/>
      <c r="BS52" s="1790"/>
      <c r="BT52" s="1790"/>
      <c r="BU52" s="1791"/>
      <c r="BV52" s="1790"/>
      <c r="BW52" s="1790"/>
      <c r="BX52" s="1790"/>
      <c r="BY52" s="1791"/>
      <c r="BZ52" s="1790"/>
      <c r="CA52" s="1790"/>
      <c r="CB52" s="1790"/>
      <c r="CC52" s="1791"/>
      <c r="CD52" s="1790"/>
      <c r="CE52" s="1790"/>
      <c r="CF52" s="1790"/>
      <c r="CG52" s="1791"/>
      <c r="CH52" s="1800">
        <f t="shared" ref="CH52:DU52" si="448">CH74*CH133</f>
      </c>
      <c r="CI52" s="1800">
        <f t="shared" si="448"/>
      </c>
      <c r="CJ52" s="1800">
        <f t="shared" si="448"/>
      </c>
      <c r="CK52" s="1801">
        <f t="shared" si="448"/>
      </c>
      <c r="CL52" s="1800">
        <f t="shared" si="448"/>
      </c>
      <c r="CM52" s="1800">
        <f t="shared" si="448"/>
      </c>
      <c r="CN52" s="1800">
        <f t="shared" si="448"/>
      </c>
      <c r="CO52" s="1801">
        <f t="shared" si="448"/>
      </c>
      <c r="CP52" s="1800">
        <f t="shared" si="448"/>
      </c>
      <c r="CQ52" s="1800">
        <f t="shared" si="448"/>
      </c>
      <c r="CR52" s="1800">
        <f t="shared" si="448"/>
      </c>
      <c r="CS52" s="1801">
        <f t="shared" si="448"/>
      </c>
      <c r="CT52" s="1800">
        <f t="shared" si="448"/>
      </c>
      <c r="CU52" s="1800">
        <f t="shared" si="448"/>
      </c>
      <c r="CV52" s="1800">
        <f t="shared" si="448"/>
      </c>
      <c r="CW52" s="1801">
        <f t="shared" si="448"/>
      </c>
      <c r="CX52" s="1800">
        <f t="shared" si="448"/>
      </c>
      <c r="CY52" s="1800">
        <f t="shared" si="448"/>
      </c>
      <c r="CZ52" s="1800">
        <f t="shared" si="448"/>
      </c>
      <c r="DA52" s="1801">
        <f t="shared" si="448"/>
      </c>
      <c r="DB52" s="1800">
        <f t="shared" si="448"/>
      </c>
      <c r="DC52" s="1800">
        <f t="shared" si="448"/>
      </c>
      <c r="DD52" s="1800">
        <f t="shared" si="448"/>
      </c>
      <c r="DE52" s="1801">
        <f t="shared" si="448"/>
      </c>
      <c r="DF52" s="1800">
        <f t="shared" si="448"/>
      </c>
      <c r="DG52" s="1800">
        <f t="shared" si="448"/>
      </c>
      <c r="DH52" s="1800">
        <f t="shared" si="448"/>
      </c>
      <c r="DI52" s="1801">
        <f t="shared" si="448"/>
      </c>
      <c r="DJ52" s="1800">
        <f t="shared" ref="DJ52" si="449">DJ74*DJ133</f>
      </c>
      <c r="DK52" s="1800">
        <f t="shared" si="440"/>
      </c>
      <c r="DL52" s="1800">
        <f t="shared" si="440"/>
      </c>
      <c r="DM52" s="1801">
        <f t="shared" si="448"/>
      </c>
      <c r="DN52" s="1800">
        <f t="shared" si="438"/>
      </c>
      <c r="DO52" s="1800">
        <f t="shared" si="438"/>
      </c>
      <c r="DP52" s="1800">
        <f t="shared" ref="DP52" si="450">DP74*DP133</f>
      </c>
      <c r="DQ52" s="1801">
        <f t="shared" si="442"/>
      </c>
      <c r="DR52" s="1800">
        <f t="shared" si="442"/>
      </c>
      <c r="DS52" s="1800">
        <f t="shared" si="448"/>
      </c>
      <c r="DT52" s="1800">
        <f t="shared" si="448"/>
      </c>
      <c r="DU52" s="1801">
        <f t="shared" si="448"/>
      </c>
      <c r="DV52" s="1800">
        <f t="shared" ref="DV52:EK52" si="451">DV74*DV133</f>
      </c>
      <c r="DW52" s="1800">
        <f t="shared" si="451"/>
      </c>
      <c r="DX52" s="1800">
        <f t="shared" si="451"/>
      </c>
      <c r="DY52" s="1801">
        <f t="shared" si="451"/>
      </c>
      <c r="DZ52" s="1800">
        <f t="shared" si="451"/>
      </c>
      <c r="EA52" s="1800">
        <f t="shared" si="451"/>
      </c>
      <c r="EB52" s="1800">
        <f t="shared" si="451"/>
      </c>
      <c r="EC52" s="1801">
        <f t="shared" si="451"/>
      </c>
      <c r="ED52" s="1800">
        <f t="shared" si="451"/>
      </c>
      <c r="EE52" s="1800">
        <f t="shared" si="451"/>
      </c>
      <c r="EF52" s="1800">
        <f t="shared" si="451"/>
      </c>
      <c r="EG52" s="1801">
        <f t="shared" si="451"/>
      </c>
      <c r="EH52" s="1800">
        <f t="shared" si="451"/>
      </c>
      <c r="EI52" s="1800">
        <f t="shared" si="451"/>
      </c>
      <c r="EJ52" s="1800">
        <f t="shared" si="451"/>
      </c>
      <c r="EK52" s="1801">
        <f t="shared" si="451"/>
      </c>
      <c r="EM52" s="2192">
        <f t="shared" si="324"/>
      </c>
      <c r="EN52" s="2192">
        <f t="shared" si="325"/>
      </c>
      <c r="EO52" s="2192">
        <f t="shared" si="326"/>
      </c>
      <c r="EP52" s="2192">
        <f t="shared" si="327"/>
      </c>
      <c r="EQ52" s="2192">
        <f t="shared" si="328"/>
      </c>
      <c r="ER52" s="2192">
        <f t="shared" si="329"/>
      </c>
      <c r="ES52" s="2192">
        <f t="shared" si="330"/>
      </c>
      <c r="ET52" s="2192">
        <f t="shared" si="331"/>
      </c>
      <c r="EU52" s="2192">
        <f t="shared" si="332"/>
      </c>
      <c r="EV52" s="2192">
        <f t="shared" si="333"/>
      </c>
      <c r="EW52" s="2192">
        <f t="shared" si="334"/>
      </c>
      <c r="EX52" s="2192">
        <f t="shared" si="335"/>
      </c>
      <c r="EY52" s="2192">
        <f t="shared" si="336"/>
      </c>
      <c r="EZ52" s="2192">
        <f t="shared" si="337"/>
      </c>
      <c r="FA52" s="2192">
        <f t="shared" si="338"/>
      </c>
      <c r="FB52" s="2192">
        <f t="shared" si="339"/>
      </c>
      <c r="FC52" s="2192">
        <f t="shared" si="340"/>
      </c>
      <c r="FD52" s="2192">
        <f t="shared" si="341"/>
      </c>
      <c r="FE52" s="2192">
        <f t="shared" si="342"/>
      </c>
      <c r="FF52" s="2192">
        <f t="shared" si="343"/>
      </c>
      <c r="FG52" s="2192"/>
      <c r="FH52" s="2192">
        <f t="shared" si="344"/>
      </c>
      <c r="FI52" s="2192">
        <f t="shared" si="345"/>
      </c>
      <c r="FJ52" s="2192">
        <f t="shared" si="346"/>
      </c>
      <c r="FK52" s="2192">
        <f t="shared" si="347"/>
      </c>
      <c r="FL52" s="2192">
        <f t="shared" si="348"/>
      </c>
      <c r="FM52" s="2192">
        <f t="shared" si="349"/>
      </c>
      <c r="FN52" s="2192">
        <f t="shared" si="350"/>
      </c>
      <c r="FO52" s="2192">
        <f t="shared" si="351"/>
      </c>
      <c r="FP52" s="2192">
        <f t="shared" si="352"/>
      </c>
      <c r="FQ52" s="2192">
        <f t="shared" si="353"/>
      </c>
      <c r="FR52" s="2192">
        <f t="shared" si="444"/>
      </c>
      <c r="FS52" s="2192">
        <f t="shared" si="445"/>
      </c>
      <c r="FT52" s="2192">
        <f t="shared" si="446"/>
      </c>
      <c r="FU52" s="2192">
        <f t="shared" si="447"/>
      </c>
      <c r="FW52" s="1788"/>
      <c r="FX52" s="1788"/>
      <c r="FY52" s="1788"/>
      <c r="FZ52" s="1788">
        <f t="shared" si="358"/>
      </c>
      <c r="GA52" s="1788">
        <f t="shared" si="359"/>
      </c>
      <c r="GB52" s="1788">
        <f t="shared" si="360"/>
      </c>
      <c r="GC52" s="1788">
        <f t="shared" si="361"/>
      </c>
      <c r="GD52" s="1788">
        <f t="shared" si="362"/>
      </c>
      <c r="GE52" s="1788">
        <f t="shared" si="363"/>
      </c>
      <c r="GF52" s="1788">
        <f t="shared" si="364"/>
      </c>
      <c r="GG52" s="1788">
        <f t="shared" si="365"/>
      </c>
      <c r="GH52" s="1788">
        <f t="shared" si="366"/>
      </c>
      <c r="GI52" s="1788">
        <f t="shared" si="367"/>
      </c>
      <c r="GJ52" s="1788">
        <f t="shared" si="368"/>
      </c>
      <c r="GK52" s="1788">
        <f t="shared" si="369"/>
      </c>
      <c r="GL52" s="1788">
        <f t="shared" si="370"/>
      </c>
      <c r="GM52" s="1788">
        <f t="shared" si="371"/>
      </c>
      <c r="GN52" s="1788">
        <f t="shared" si="372"/>
      </c>
      <c r="GO52" s="1788">
        <f t="shared" si="373"/>
      </c>
      <c r="GP52" s="1788">
        <f t="shared" si="374"/>
      </c>
      <c r="GQ52" s="1788">
        <f t="shared" si="375"/>
      </c>
      <c r="GR52" s="1788">
        <f t="shared" si="376"/>
      </c>
      <c r="GS52" s="1788">
        <f t="shared" si="377"/>
      </c>
      <c r="GT52" s="1788">
        <f t="shared" si="378"/>
      </c>
      <c r="GU52" s="1788">
        <f t="shared" si="379"/>
      </c>
      <c r="GV52" s="1788">
        <f t="shared" si="380"/>
      </c>
      <c r="GW52" s="1788">
        <f t="shared" si="381"/>
      </c>
      <c r="GX52" s="1788">
        <f t="shared" si="382"/>
      </c>
      <c r="GY52" s="1788">
        <f t="shared" si="383"/>
      </c>
      <c r="GZ52" s="1788">
        <f t="shared" si="384"/>
      </c>
      <c r="HA52" s="1788">
        <f t="shared" si="385"/>
      </c>
      <c r="HB52" s="1788">
        <f t="shared" si="386"/>
      </c>
      <c r="HC52" s="1788">
        <f t="shared" si="387"/>
      </c>
      <c r="HD52" s="1788">
        <f t="shared" si="388"/>
      </c>
      <c r="HE52" s="1788">
        <f t="shared" si="389"/>
      </c>
      <c r="HF52" s="1788">
        <f t="shared" si="390"/>
      </c>
    </row>
    <row r="53" spans="1:214" s="1787" customFormat="1" ht="10.199999999999999">
      <c r="A53" s="1789" t="s">
        <v>1459</v>
      </c>
      <c r="B53" s="1790"/>
      <c r="C53" s="1790"/>
      <c r="D53" s="1790"/>
      <c r="E53" s="1791"/>
      <c r="F53" s="1790"/>
      <c r="G53" s="1790"/>
      <c r="H53" s="1790"/>
      <c r="I53" s="1791"/>
      <c r="J53" s="1790"/>
      <c r="K53" s="1790"/>
      <c r="L53" s="1790"/>
      <c r="M53" s="1791"/>
      <c r="N53" s="1790"/>
      <c r="O53" s="1790"/>
      <c r="P53" s="1790"/>
      <c r="Q53" s="1791"/>
      <c r="R53" s="1790"/>
      <c r="S53" s="1790"/>
      <c r="T53" s="1790"/>
      <c r="U53" s="1791"/>
      <c r="V53" s="1790"/>
      <c r="W53" s="1790"/>
      <c r="X53" s="1790"/>
      <c r="Y53" s="1791"/>
      <c r="Z53" s="1790"/>
      <c r="AA53" s="1790"/>
      <c r="AB53" s="1790"/>
      <c r="AC53" s="1791"/>
      <c r="AD53" s="1790"/>
      <c r="AE53" s="1790"/>
      <c r="AF53" s="1790"/>
      <c r="AG53" s="1791"/>
      <c r="AH53" s="1790"/>
      <c r="AI53" s="1790"/>
      <c r="AJ53" s="1790"/>
      <c r="AK53" s="1791"/>
      <c r="AL53" s="1790"/>
      <c r="AM53" s="1790"/>
      <c r="AN53" s="1790"/>
      <c r="AO53" s="1791"/>
      <c r="AP53" s="1790"/>
      <c r="AQ53" s="1790"/>
      <c r="AR53" s="1790"/>
      <c r="AS53" s="1791"/>
      <c r="AT53" s="1790"/>
      <c r="AU53" s="1790"/>
      <c r="AV53" s="1790"/>
      <c r="AW53" s="1791"/>
      <c r="AX53" s="1790"/>
      <c r="AY53" s="1790"/>
      <c r="AZ53" s="1790"/>
      <c r="BA53" s="1791"/>
      <c r="BB53" s="1790"/>
      <c r="BC53" s="1790"/>
      <c r="BD53" s="1790"/>
      <c r="BE53" s="1791"/>
      <c r="BF53" s="1790"/>
      <c r="BG53" s="1790"/>
      <c r="BH53" s="1790"/>
      <c r="BI53" s="1791"/>
      <c r="BJ53" s="1790"/>
      <c r="BK53" s="1790"/>
      <c r="BL53" s="1790"/>
      <c r="BM53" s="1791"/>
      <c r="BN53" s="1790"/>
      <c r="BO53" s="1790"/>
      <c r="BP53" s="1790"/>
      <c r="BQ53" s="1791"/>
      <c r="BR53" s="1790"/>
      <c r="BS53" s="1790"/>
      <c r="BT53" s="1790"/>
      <c r="BU53" s="1791"/>
      <c r="BV53" s="1790"/>
      <c r="BW53" s="1790"/>
      <c r="BX53" s="1790"/>
      <c r="BY53" s="1791"/>
      <c r="BZ53" s="1790"/>
      <c r="CA53" s="1790"/>
      <c r="CB53" s="1790"/>
      <c r="CC53" s="1791"/>
      <c r="CD53" s="1790"/>
      <c r="CE53" s="1790"/>
      <c r="CF53" s="1790"/>
      <c r="CG53" s="1791"/>
      <c r="CH53" s="1800">
        <f t="shared" ref="CH53:DU53" si="452">CH75*CH134</f>
      </c>
      <c r="CI53" s="1800">
        <f t="shared" si="452"/>
      </c>
      <c r="CJ53" s="1800">
        <f t="shared" si="452"/>
      </c>
      <c r="CK53" s="1801">
        <f t="shared" si="452"/>
      </c>
      <c r="CL53" s="1800">
        <f t="shared" si="452"/>
      </c>
      <c r="CM53" s="1800">
        <f t="shared" si="452"/>
      </c>
      <c r="CN53" s="1800">
        <f t="shared" si="452"/>
      </c>
      <c r="CO53" s="1801">
        <f t="shared" si="452"/>
      </c>
      <c r="CP53" s="1800">
        <f t="shared" si="452"/>
      </c>
      <c r="CQ53" s="1800">
        <f t="shared" si="452"/>
      </c>
      <c r="CR53" s="1800">
        <f t="shared" si="452"/>
      </c>
      <c r="CS53" s="1801">
        <f t="shared" si="452"/>
      </c>
      <c r="CT53" s="1800">
        <f t="shared" si="452"/>
      </c>
      <c r="CU53" s="1800">
        <f t="shared" si="452"/>
      </c>
      <c r="CV53" s="1800">
        <f t="shared" si="452"/>
      </c>
      <c r="CW53" s="1801">
        <f t="shared" si="452"/>
      </c>
      <c r="CX53" s="1800">
        <f t="shared" si="452"/>
      </c>
      <c r="CY53" s="1800">
        <f t="shared" si="452"/>
      </c>
      <c r="CZ53" s="1800">
        <f t="shared" si="452"/>
      </c>
      <c r="DA53" s="1801">
        <f t="shared" si="452"/>
      </c>
      <c r="DB53" s="1800">
        <f t="shared" si="452"/>
      </c>
      <c r="DC53" s="1800">
        <f t="shared" si="452"/>
      </c>
      <c r="DD53" s="1800">
        <f t="shared" si="452"/>
      </c>
      <c r="DE53" s="1801">
        <f t="shared" si="452"/>
      </c>
      <c r="DF53" s="1800">
        <f t="shared" si="452"/>
      </c>
      <c r="DG53" s="1800">
        <f t="shared" si="452"/>
      </c>
      <c r="DH53" s="1800">
        <f t="shared" si="452"/>
      </c>
      <c r="DI53" s="1801">
        <f t="shared" si="452"/>
      </c>
      <c r="DJ53" s="1800">
        <f t="shared" ref="DJ53" si="453">DJ75*DJ134</f>
      </c>
      <c r="DK53" s="1800">
        <f t="shared" si="440"/>
      </c>
      <c r="DL53" s="1800">
        <f t="shared" si="440"/>
      </c>
      <c r="DM53" s="1801">
        <f t="shared" si="452"/>
      </c>
      <c r="DN53" s="1800">
        <f t="shared" si="438"/>
      </c>
      <c r="DO53" s="1800">
        <f t="shared" si="438"/>
      </c>
      <c r="DP53" s="1800">
        <f t="shared" ref="DP53" si="454">DP75*DP134</f>
      </c>
      <c r="DQ53" s="1801">
        <f t="shared" si="442"/>
      </c>
      <c r="DR53" s="1800">
        <f t="shared" si="442"/>
      </c>
      <c r="DS53" s="1800">
        <f t="shared" si="452"/>
      </c>
      <c r="DT53" s="1800">
        <f t="shared" si="452"/>
      </c>
      <c r="DU53" s="1801">
        <f t="shared" si="452"/>
      </c>
      <c r="DV53" s="1800">
        <f t="shared" ref="DV53:EK53" si="455">DV75*DV134</f>
      </c>
      <c r="DW53" s="1800">
        <f t="shared" si="455"/>
      </c>
      <c r="DX53" s="1800">
        <f t="shared" si="455"/>
      </c>
      <c r="DY53" s="1801">
        <f t="shared" si="455"/>
      </c>
      <c r="DZ53" s="1800">
        <f t="shared" si="455"/>
      </c>
      <c r="EA53" s="1800">
        <f t="shared" si="455"/>
      </c>
      <c r="EB53" s="1800">
        <f t="shared" si="455"/>
      </c>
      <c r="EC53" s="1801">
        <f t="shared" si="455"/>
      </c>
      <c r="ED53" s="1800">
        <f t="shared" si="455"/>
      </c>
      <c r="EE53" s="1800">
        <f t="shared" si="455"/>
      </c>
      <c r="EF53" s="1800">
        <f t="shared" si="455"/>
      </c>
      <c r="EG53" s="1801">
        <f t="shared" si="455"/>
      </c>
      <c r="EH53" s="1800">
        <f t="shared" si="455"/>
      </c>
      <c r="EI53" s="1800">
        <f t="shared" si="455"/>
      </c>
      <c r="EJ53" s="1800">
        <f t="shared" si="455"/>
      </c>
      <c r="EK53" s="1801">
        <f t="shared" si="455"/>
      </c>
      <c r="EM53" s="2192">
        <f t="shared" si="324"/>
      </c>
      <c r="EN53" s="2192">
        <f t="shared" si="325"/>
      </c>
      <c r="EO53" s="2192">
        <f t="shared" si="326"/>
      </c>
      <c r="EP53" s="2192">
        <f t="shared" si="327"/>
      </c>
      <c r="EQ53" s="2192">
        <f t="shared" si="328"/>
      </c>
      <c r="ER53" s="2192">
        <f t="shared" si="329"/>
      </c>
      <c r="ES53" s="2192">
        <f t="shared" si="330"/>
      </c>
      <c r="ET53" s="2192">
        <f t="shared" si="331"/>
      </c>
      <c r="EU53" s="2192">
        <f t="shared" si="332"/>
      </c>
      <c r="EV53" s="2192">
        <f t="shared" si="333"/>
      </c>
      <c r="EW53" s="2192">
        <f t="shared" si="334"/>
      </c>
      <c r="EX53" s="2192">
        <f t="shared" si="335"/>
      </c>
      <c r="EY53" s="2192">
        <f t="shared" si="336"/>
      </c>
      <c r="EZ53" s="2192">
        <f t="shared" si="337"/>
      </c>
      <c r="FA53" s="2192">
        <f t="shared" si="338"/>
      </c>
      <c r="FB53" s="2192">
        <f t="shared" si="339"/>
      </c>
      <c r="FC53" s="2192">
        <f t="shared" si="340"/>
      </c>
      <c r="FD53" s="2192">
        <f t="shared" si="341"/>
      </c>
      <c r="FE53" s="2192">
        <f t="shared" si="342"/>
      </c>
      <c r="FF53" s="2192">
        <f t="shared" si="343"/>
      </c>
      <c r="FG53" s="2192"/>
      <c r="FH53" s="2192">
        <f t="shared" si="344"/>
      </c>
      <c r="FI53" s="2192">
        <f t="shared" si="345"/>
      </c>
      <c r="FJ53" s="2192">
        <f t="shared" si="346"/>
      </c>
      <c r="FK53" s="2192">
        <f t="shared" si="347"/>
      </c>
      <c r="FL53" s="2192">
        <f t="shared" si="348"/>
      </c>
      <c r="FM53" s="2192">
        <f t="shared" si="349"/>
      </c>
      <c r="FN53" s="2192">
        <f t="shared" si="350"/>
      </c>
      <c r="FO53" s="2192">
        <f t="shared" si="351"/>
      </c>
      <c r="FP53" s="2192">
        <f t="shared" si="352"/>
      </c>
      <c r="FQ53" s="2192">
        <f t="shared" si="353"/>
      </c>
      <c r="FR53" s="2192">
        <f t="shared" si="444"/>
      </c>
      <c r="FS53" s="2192">
        <f t="shared" si="445"/>
      </c>
      <c r="FT53" s="2192">
        <f t="shared" si="446"/>
      </c>
      <c r="FU53" s="2192">
        <f t="shared" si="447"/>
      </c>
      <c r="FW53" s="1788"/>
      <c r="FX53" s="1788"/>
      <c r="FY53" s="1788"/>
      <c r="FZ53" s="1788">
        <f t="shared" si="358"/>
      </c>
      <c r="GA53" s="1788">
        <f t="shared" si="359"/>
      </c>
      <c r="GB53" s="1788">
        <f t="shared" si="360"/>
      </c>
      <c r="GC53" s="1788">
        <f t="shared" si="361"/>
      </c>
      <c r="GD53" s="1788">
        <f t="shared" si="362"/>
      </c>
      <c r="GE53" s="1788">
        <f t="shared" si="363"/>
      </c>
      <c r="GF53" s="1788">
        <f t="shared" si="364"/>
      </c>
      <c r="GG53" s="1788">
        <f t="shared" si="365"/>
      </c>
      <c r="GH53" s="1788">
        <f t="shared" si="366"/>
      </c>
      <c r="GI53" s="1788">
        <f t="shared" si="367"/>
      </c>
      <c r="GJ53" s="1788">
        <f t="shared" si="368"/>
      </c>
      <c r="GK53" s="1788">
        <f t="shared" si="369"/>
      </c>
      <c r="GL53" s="1788">
        <f t="shared" si="370"/>
      </c>
      <c r="GM53" s="1788">
        <f t="shared" si="371"/>
      </c>
      <c r="GN53" s="1788">
        <f t="shared" si="372"/>
      </c>
      <c r="GO53" s="1788">
        <f t="shared" si="373"/>
      </c>
      <c r="GP53" s="1788">
        <f t="shared" si="374"/>
      </c>
      <c r="GQ53" s="1788">
        <f t="shared" si="375"/>
      </c>
      <c r="GR53" s="1788">
        <f t="shared" si="376"/>
      </c>
      <c r="GS53" s="1788">
        <f t="shared" si="377"/>
      </c>
      <c r="GT53" s="1788">
        <f t="shared" si="378"/>
      </c>
      <c r="GU53" s="1788">
        <f t="shared" si="379"/>
      </c>
      <c r="GV53" s="1788">
        <f t="shared" si="380"/>
      </c>
      <c r="GW53" s="1788">
        <f t="shared" si="381"/>
      </c>
      <c r="GX53" s="1788">
        <f t="shared" si="382"/>
      </c>
      <c r="GY53" s="1788">
        <f t="shared" si="383"/>
      </c>
      <c r="GZ53" s="1788">
        <f t="shared" si="384"/>
      </c>
      <c r="HA53" s="1788">
        <f t="shared" si="385"/>
      </c>
      <c r="HB53" s="1788">
        <f t="shared" si="386"/>
      </c>
      <c r="HC53" s="1788">
        <f t="shared" si="387"/>
      </c>
      <c r="HD53" s="1788">
        <f t="shared" si="388"/>
      </c>
      <c r="HE53" s="1788">
        <f t="shared" si="389"/>
      </c>
      <c r="HF53" s="1788">
        <f t="shared" si="390"/>
      </c>
    </row>
    <row r="54" spans="1:214" s="1787" customFormat="1" ht="10.199999999999999">
      <c r="A54" s="1789" t="s">
        <v>1460</v>
      </c>
      <c r="B54" s="1790"/>
      <c r="C54" s="1790"/>
      <c r="D54" s="1790"/>
      <c r="E54" s="1791"/>
      <c r="F54" s="1790"/>
      <c r="G54" s="1790"/>
      <c r="H54" s="1790"/>
      <c r="I54" s="1791"/>
      <c r="J54" s="1790"/>
      <c r="K54" s="1790"/>
      <c r="L54" s="1790"/>
      <c r="M54" s="1791"/>
      <c r="N54" s="1790"/>
      <c r="O54" s="1790"/>
      <c r="P54" s="1790"/>
      <c r="Q54" s="1791"/>
      <c r="R54" s="1790"/>
      <c r="S54" s="1790"/>
      <c r="T54" s="1790"/>
      <c r="U54" s="1791"/>
      <c r="V54" s="1790"/>
      <c r="W54" s="1790"/>
      <c r="X54" s="1790"/>
      <c r="Y54" s="1791"/>
      <c r="Z54" s="1790"/>
      <c r="AA54" s="1790"/>
      <c r="AB54" s="1790"/>
      <c r="AC54" s="1791"/>
      <c r="AD54" s="1790"/>
      <c r="AE54" s="1790"/>
      <c r="AF54" s="1790"/>
      <c r="AG54" s="1791"/>
      <c r="AH54" s="1790"/>
      <c r="AI54" s="1790"/>
      <c r="AJ54" s="1790"/>
      <c r="AK54" s="1791"/>
      <c r="AL54" s="1790"/>
      <c r="AM54" s="1790"/>
      <c r="AN54" s="1790"/>
      <c r="AO54" s="1791"/>
      <c r="AP54" s="1790"/>
      <c r="AQ54" s="1790"/>
      <c r="AR54" s="1790"/>
      <c r="AS54" s="1791"/>
      <c r="AT54" s="1790"/>
      <c r="AU54" s="1790"/>
      <c r="AV54" s="1790"/>
      <c r="AW54" s="1791"/>
      <c r="AX54" s="1790"/>
      <c r="AY54" s="1790"/>
      <c r="AZ54" s="1790"/>
      <c r="BA54" s="1791"/>
      <c r="BB54" s="1790"/>
      <c r="BC54" s="1790"/>
      <c r="BD54" s="1790"/>
      <c r="BE54" s="1791"/>
      <c r="BF54" s="1790"/>
      <c r="BG54" s="1790"/>
      <c r="BH54" s="1790"/>
      <c r="BI54" s="1791"/>
      <c r="BJ54" s="1790"/>
      <c r="BK54" s="1790"/>
      <c r="BL54" s="1790"/>
      <c r="BM54" s="1791"/>
      <c r="BN54" s="1790"/>
      <c r="BO54" s="1790"/>
      <c r="BP54" s="1790"/>
      <c r="BQ54" s="1791"/>
      <c r="BR54" s="1790"/>
      <c r="BS54" s="1790"/>
      <c r="BT54" s="1790"/>
      <c r="BU54" s="1791"/>
      <c r="BV54" s="1790"/>
      <c r="BW54" s="1790"/>
      <c r="BX54" s="1790"/>
      <c r="BY54" s="1791"/>
      <c r="BZ54" s="1790"/>
      <c r="CA54" s="1790"/>
      <c r="CB54" s="1790"/>
      <c r="CC54" s="1791"/>
      <c r="CD54" s="1790"/>
      <c r="CE54" s="1790"/>
      <c r="CF54" s="1790"/>
      <c r="CG54" s="1791"/>
      <c r="CH54" s="1800">
        <f t="shared" ref="CH54:DU54" si="456">CH76*CH135</f>
      </c>
      <c r="CI54" s="1800">
        <f t="shared" si="456"/>
      </c>
      <c r="CJ54" s="1800">
        <f t="shared" si="456"/>
      </c>
      <c r="CK54" s="1801">
        <f t="shared" si="456"/>
      </c>
      <c r="CL54" s="1800">
        <f t="shared" si="456"/>
      </c>
      <c r="CM54" s="1800">
        <f t="shared" si="456"/>
      </c>
      <c r="CN54" s="1800">
        <f t="shared" si="456"/>
      </c>
      <c r="CO54" s="1801">
        <f t="shared" si="456"/>
      </c>
      <c r="CP54" s="1800">
        <f t="shared" si="456"/>
      </c>
      <c r="CQ54" s="1800">
        <f t="shared" si="456"/>
      </c>
      <c r="CR54" s="1800">
        <f t="shared" si="456"/>
      </c>
      <c r="CS54" s="1801">
        <f t="shared" si="456"/>
      </c>
      <c r="CT54" s="1800">
        <f t="shared" si="456"/>
      </c>
      <c r="CU54" s="1800">
        <f t="shared" si="456"/>
      </c>
      <c r="CV54" s="1800">
        <f t="shared" si="456"/>
      </c>
      <c r="CW54" s="1801">
        <f t="shared" si="456"/>
      </c>
      <c r="CX54" s="1800">
        <f t="shared" si="456"/>
      </c>
      <c r="CY54" s="1800">
        <f t="shared" si="456"/>
      </c>
      <c r="CZ54" s="1800">
        <f t="shared" si="456"/>
      </c>
      <c r="DA54" s="1801">
        <f t="shared" si="456"/>
      </c>
      <c r="DB54" s="1800">
        <f t="shared" si="456"/>
      </c>
      <c r="DC54" s="1800">
        <f t="shared" si="456"/>
      </c>
      <c r="DD54" s="1800">
        <f t="shared" si="456"/>
      </c>
      <c r="DE54" s="1801">
        <f t="shared" si="456"/>
      </c>
      <c r="DF54" s="1800">
        <f t="shared" si="456"/>
      </c>
      <c r="DG54" s="1800">
        <f t="shared" si="456"/>
      </c>
      <c r="DH54" s="1800">
        <f t="shared" si="456"/>
      </c>
      <c r="DI54" s="1801">
        <f t="shared" si="456"/>
      </c>
      <c r="DJ54" s="1800">
        <f t="shared" ref="DJ54" si="457">DJ76*DJ135</f>
      </c>
      <c r="DK54" s="1800">
        <f t="shared" si="440"/>
      </c>
      <c r="DL54" s="1800">
        <f t="shared" si="440"/>
      </c>
      <c r="DM54" s="1801">
        <f t="shared" si="456"/>
      </c>
      <c r="DN54" s="1800">
        <f t="shared" si="438"/>
      </c>
      <c r="DO54" s="1800">
        <f t="shared" si="438"/>
      </c>
      <c r="DP54" s="1800">
        <f t="shared" ref="DP54" si="458">DP76*DP135</f>
      </c>
      <c r="DQ54" s="1801">
        <f t="shared" si="442"/>
      </c>
      <c r="DR54" s="1800">
        <f t="shared" si="442"/>
      </c>
      <c r="DS54" s="1800">
        <f t="shared" si="456"/>
      </c>
      <c r="DT54" s="1800">
        <f t="shared" si="456"/>
      </c>
      <c r="DU54" s="1801">
        <f t="shared" si="456"/>
      </c>
      <c r="DV54" s="1800">
        <f t="shared" ref="DV54:EK54" si="459">DV76*DV135</f>
      </c>
      <c r="DW54" s="1800">
        <f t="shared" si="459"/>
      </c>
      <c r="DX54" s="1800">
        <f t="shared" si="459"/>
      </c>
      <c r="DY54" s="1801">
        <f t="shared" si="459"/>
      </c>
      <c r="DZ54" s="1800">
        <f t="shared" si="459"/>
      </c>
      <c r="EA54" s="1800">
        <f t="shared" si="459"/>
      </c>
      <c r="EB54" s="1800">
        <f t="shared" si="459"/>
      </c>
      <c r="EC54" s="1801">
        <f t="shared" si="459"/>
      </c>
      <c r="ED54" s="1800">
        <f t="shared" si="459"/>
      </c>
      <c r="EE54" s="1800">
        <f t="shared" si="459"/>
      </c>
      <c r="EF54" s="1800">
        <f t="shared" si="459"/>
      </c>
      <c r="EG54" s="1801">
        <f t="shared" si="459"/>
      </c>
      <c r="EH54" s="1800">
        <f t="shared" si="459"/>
      </c>
      <c r="EI54" s="1800">
        <f t="shared" si="459"/>
      </c>
      <c r="EJ54" s="1800">
        <f t="shared" si="459"/>
      </c>
      <c r="EK54" s="1801">
        <f t="shared" si="459"/>
      </c>
      <c r="EM54" s="2192">
        <f t="shared" si="324"/>
      </c>
      <c r="EN54" s="2192">
        <f t="shared" si="325"/>
      </c>
      <c r="EO54" s="2192">
        <f t="shared" si="326"/>
      </c>
      <c r="EP54" s="2192">
        <f t="shared" si="327"/>
      </c>
      <c r="EQ54" s="2192">
        <f t="shared" si="328"/>
      </c>
      <c r="ER54" s="2192">
        <f t="shared" si="329"/>
      </c>
      <c r="ES54" s="2192">
        <f t="shared" si="330"/>
      </c>
      <c r="ET54" s="2192">
        <f t="shared" si="331"/>
      </c>
      <c r="EU54" s="2192">
        <f t="shared" si="332"/>
      </c>
      <c r="EV54" s="2192">
        <f t="shared" si="333"/>
      </c>
      <c r="EW54" s="2192">
        <f t="shared" si="334"/>
      </c>
      <c r="EX54" s="2192">
        <f t="shared" si="335"/>
      </c>
      <c r="EY54" s="2192">
        <f t="shared" si="336"/>
      </c>
      <c r="EZ54" s="2192">
        <f t="shared" si="337"/>
      </c>
      <c r="FA54" s="2192">
        <f t="shared" si="338"/>
      </c>
      <c r="FB54" s="2192">
        <f t="shared" si="339"/>
      </c>
      <c r="FC54" s="2192">
        <f t="shared" si="340"/>
      </c>
      <c r="FD54" s="2192">
        <f t="shared" si="341"/>
      </c>
      <c r="FE54" s="2192">
        <f t="shared" si="342"/>
      </c>
      <c r="FF54" s="2192">
        <f t="shared" si="343"/>
      </c>
      <c r="FG54" s="2192"/>
      <c r="FH54" s="2192">
        <f t="shared" si="344"/>
      </c>
      <c r="FI54" s="2192">
        <f t="shared" si="345"/>
      </c>
      <c r="FJ54" s="2192">
        <f t="shared" si="346"/>
      </c>
      <c r="FK54" s="2192">
        <f t="shared" si="347"/>
      </c>
      <c r="FL54" s="2192">
        <f t="shared" si="348"/>
      </c>
      <c r="FM54" s="2192">
        <f t="shared" si="349"/>
      </c>
      <c r="FN54" s="2192">
        <f t="shared" si="350"/>
      </c>
      <c r="FO54" s="2192">
        <f t="shared" si="351"/>
      </c>
      <c r="FP54" s="2192">
        <f t="shared" si="352"/>
      </c>
      <c r="FQ54" s="2192">
        <f t="shared" si="353"/>
      </c>
      <c r="FR54" s="2192">
        <f t="shared" si="444"/>
      </c>
      <c r="FS54" s="2192">
        <f t="shared" si="445"/>
      </c>
      <c r="FT54" s="2192">
        <f t="shared" si="446"/>
      </c>
      <c r="FU54" s="2192">
        <f t="shared" si="447"/>
      </c>
      <c r="FW54" s="1788"/>
      <c r="FX54" s="1788"/>
      <c r="FY54" s="1788"/>
      <c r="FZ54" s="1788">
        <f t="shared" si="358"/>
      </c>
      <c r="GA54" s="1788">
        <f t="shared" si="359"/>
      </c>
      <c r="GB54" s="1788">
        <f t="shared" si="360"/>
      </c>
      <c r="GC54" s="1788">
        <f t="shared" si="361"/>
      </c>
      <c r="GD54" s="1788">
        <f t="shared" si="362"/>
      </c>
      <c r="GE54" s="1788">
        <f t="shared" si="363"/>
      </c>
      <c r="GF54" s="1788">
        <f t="shared" si="364"/>
      </c>
      <c r="GG54" s="1788">
        <f t="shared" si="365"/>
      </c>
      <c r="GH54" s="1788">
        <f t="shared" si="366"/>
      </c>
      <c r="GI54" s="1788">
        <f t="shared" si="367"/>
      </c>
      <c r="GJ54" s="1788">
        <f t="shared" si="368"/>
      </c>
      <c r="GK54" s="1788">
        <f t="shared" si="369"/>
      </c>
      <c r="GL54" s="1788">
        <f t="shared" si="370"/>
      </c>
      <c r="GM54" s="1788">
        <f t="shared" si="371"/>
      </c>
      <c r="GN54" s="1788">
        <f t="shared" si="372"/>
      </c>
      <c r="GO54" s="1788">
        <f t="shared" si="373"/>
      </c>
      <c r="GP54" s="1788">
        <f t="shared" si="374"/>
      </c>
      <c r="GQ54" s="1788">
        <f t="shared" si="375"/>
      </c>
      <c r="GR54" s="1788">
        <f t="shared" si="376"/>
      </c>
      <c r="GS54" s="1788">
        <f t="shared" si="377"/>
      </c>
      <c r="GT54" s="1788">
        <f t="shared" si="378"/>
      </c>
      <c r="GU54" s="1788">
        <f t="shared" si="379"/>
      </c>
      <c r="GV54" s="1788">
        <f t="shared" si="380"/>
      </c>
      <c r="GW54" s="1788">
        <f t="shared" si="381"/>
      </c>
      <c r="GX54" s="1788">
        <f t="shared" si="382"/>
      </c>
      <c r="GY54" s="1788">
        <f t="shared" si="383"/>
      </c>
      <c r="GZ54" s="1788">
        <f t="shared" si="384"/>
      </c>
      <c r="HA54" s="1788">
        <f t="shared" si="385"/>
      </c>
      <c r="HB54" s="1788">
        <f t="shared" si="386"/>
      </c>
      <c r="HC54" s="1788">
        <f t="shared" si="387"/>
      </c>
      <c r="HD54" s="1788">
        <f t="shared" si="388"/>
      </c>
      <c r="HE54" s="1788">
        <f t="shared" si="389"/>
      </c>
      <c r="HF54" s="1788">
        <f t="shared" si="390"/>
      </c>
    </row>
    <row r="55" spans="1:214" s="1787" customFormat="1" ht="10.199999999999999">
      <c r="A55" s="1789" t="s">
        <v>1461</v>
      </c>
      <c r="B55" s="1790"/>
      <c r="C55" s="1790"/>
      <c r="D55" s="1790"/>
      <c r="E55" s="1791"/>
      <c r="F55" s="1790"/>
      <c r="G55" s="1790"/>
      <c r="H55" s="1790"/>
      <c r="I55" s="1791"/>
      <c r="J55" s="1790"/>
      <c r="K55" s="1790"/>
      <c r="L55" s="1790"/>
      <c r="M55" s="1791"/>
      <c r="N55" s="1790"/>
      <c r="O55" s="1790"/>
      <c r="P55" s="1790"/>
      <c r="Q55" s="1791"/>
      <c r="R55" s="1790"/>
      <c r="S55" s="1790"/>
      <c r="T55" s="1790"/>
      <c r="U55" s="1791"/>
      <c r="V55" s="1790"/>
      <c r="W55" s="1790"/>
      <c r="X55" s="1790"/>
      <c r="Y55" s="1791"/>
      <c r="Z55" s="1790"/>
      <c r="AA55" s="1790"/>
      <c r="AB55" s="1790"/>
      <c r="AC55" s="1791"/>
      <c r="AD55" s="1790"/>
      <c r="AE55" s="1790"/>
      <c r="AF55" s="1790"/>
      <c r="AG55" s="1791"/>
      <c r="AH55" s="1790"/>
      <c r="AI55" s="1790"/>
      <c r="AJ55" s="1790"/>
      <c r="AK55" s="1791"/>
      <c r="AL55" s="1790"/>
      <c r="AM55" s="1790"/>
      <c r="AN55" s="1790"/>
      <c r="AO55" s="1791"/>
      <c r="AP55" s="1790"/>
      <c r="AQ55" s="1790"/>
      <c r="AR55" s="1790"/>
      <c r="AS55" s="1791"/>
      <c r="AT55" s="1790"/>
      <c r="AU55" s="1790"/>
      <c r="AV55" s="1790"/>
      <c r="AW55" s="1791"/>
      <c r="AX55" s="1790"/>
      <c r="AY55" s="1790"/>
      <c r="AZ55" s="1790"/>
      <c r="BA55" s="1791"/>
      <c r="BB55" s="1790"/>
      <c r="BC55" s="1790"/>
      <c r="BD55" s="1790"/>
      <c r="BE55" s="1791"/>
      <c r="BF55" s="1790"/>
      <c r="BG55" s="1790"/>
      <c r="BH55" s="1790"/>
      <c r="BI55" s="1791"/>
      <c r="BJ55" s="1790"/>
      <c r="BK55" s="1790"/>
      <c r="BL55" s="1790"/>
      <c r="BM55" s="1791"/>
      <c r="BN55" s="1790"/>
      <c r="BO55" s="1790"/>
      <c r="BP55" s="1790"/>
      <c r="BQ55" s="1791"/>
      <c r="BR55" s="1790"/>
      <c r="BS55" s="1790"/>
      <c r="BT55" s="1790"/>
      <c r="BU55" s="1791"/>
      <c r="BV55" s="1790"/>
      <c r="BW55" s="1790"/>
      <c r="BX55" s="1790"/>
      <c r="BY55" s="1791"/>
      <c r="BZ55" s="1790"/>
      <c r="CA55" s="1790"/>
      <c r="CB55" s="1790"/>
      <c r="CC55" s="1791"/>
      <c r="CD55" s="1790"/>
      <c r="CE55" s="1790"/>
      <c r="CF55" s="1790"/>
      <c r="CG55" s="1791"/>
      <c r="CH55" s="1800">
        <f t="shared" ref="CH55:DU55" si="460">CH77*CH136</f>
      </c>
      <c r="CI55" s="1800">
        <f t="shared" si="460"/>
      </c>
      <c r="CJ55" s="1800">
        <f t="shared" si="460"/>
      </c>
      <c r="CK55" s="1801">
        <f t="shared" si="460"/>
      </c>
      <c r="CL55" s="1800">
        <f t="shared" si="460"/>
      </c>
      <c r="CM55" s="1800">
        <f t="shared" si="460"/>
      </c>
      <c r="CN55" s="1800">
        <f t="shared" si="460"/>
      </c>
      <c r="CO55" s="1802">
        <f t="shared" si="460"/>
      </c>
      <c r="CP55" s="1803">
        <f t="shared" si="460"/>
      </c>
      <c r="CQ55" s="1800">
        <f t="shared" si="460"/>
      </c>
      <c r="CR55" s="1800">
        <f t="shared" si="460"/>
      </c>
      <c r="CS55" s="1801">
        <f t="shared" si="460"/>
      </c>
      <c r="CT55" s="1800">
        <f t="shared" si="460"/>
      </c>
      <c r="CU55" s="1800">
        <f t="shared" si="460"/>
      </c>
      <c r="CV55" s="1800">
        <f t="shared" si="460"/>
      </c>
      <c r="CW55" s="1801">
        <f t="shared" si="460"/>
      </c>
      <c r="CX55" s="1800">
        <f t="shared" si="460"/>
      </c>
      <c r="CY55" s="1800">
        <f t="shared" si="460"/>
      </c>
      <c r="CZ55" s="1800">
        <f t="shared" si="460"/>
      </c>
      <c r="DA55" s="1801">
        <f t="shared" si="460"/>
      </c>
      <c r="DB55" s="1800">
        <f t="shared" si="460"/>
      </c>
      <c r="DC55" s="1800">
        <f t="shared" si="460"/>
      </c>
      <c r="DD55" s="1800">
        <f t="shared" si="460"/>
      </c>
      <c r="DE55" s="1801">
        <f t="shared" si="460"/>
      </c>
      <c r="DF55" s="1800">
        <f t="shared" si="460"/>
      </c>
      <c r="DG55" s="1800">
        <f t="shared" si="460"/>
      </c>
      <c r="DH55" s="1800">
        <f t="shared" si="460"/>
      </c>
      <c r="DI55" s="1801">
        <f t="shared" si="460"/>
      </c>
      <c r="DJ55" s="1800">
        <f t="shared" ref="DJ55" si="461">DJ77*DJ136</f>
      </c>
      <c r="DK55" s="1800">
        <f t="shared" si="440"/>
      </c>
      <c r="DL55" s="1800">
        <f t="shared" si="440"/>
      </c>
      <c r="DM55" s="1801">
        <f t="shared" si="460"/>
      </c>
      <c r="DN55" s="1800">
        <f t="shared" si="438"/>
      </c>
      <c r="DO55" s="1800">
        <f t="shared" si="438"/>
      </c>
      <c r="DP55" s="1800">
        <f t="shared" ref="DP55" si="462">DP77*DP136</f>
      </c>
      <c r="DQ55" s="1801">
        <f t="shared" si="442"/>
      </c>
      <c r="DR55" s="1800">
        <f t="shared" si="442"/>
      </c>
      <c r="DS55" s="1800">
        <f t="shared" si="460"/>
      </c>
      <c r="DT55" s="1800">
        <f t="shared" si="460"/>
      </c>
      <c r="DU55" s="1801">
        <f t="shared" si="460"/>
      </c>
      <c r="DV55" s="1800">
        <f t="shared" ref="DV55:EK55" si="463">DV77*DV136</f>
      </c>
      <c r="DW55" s="1800">
        <f t="shared" si="463"/>
      </c>
      <c r="DX55" s="1800">
        <f t="shared" si="463"/>
      </c>
      <c r="DY55" s="1801">
        <f t="shared" si="463"/>
      </c>
      <c r="DZ55" s="1800">
        <f t="shared" si="463"/>
      </c>
      <c r="EA55" s="1800">
        <f t="shared" si="463"/>
      </c>
      <c r="EB55" s="1800">
        <f t="shared" si="463"/>
      </c>
      <c r="EC55" s="1801">
        <f t="shared" si="463"/>
      </c>
      <c r="ED55" s="1800">
        <f t="shared" si="463"/>
      </c>
      <c r="EE55" s="1800">
        <f t="shared" si="463"/>
      </c>
      <c r="EF55" s="1800">
        <f t="shared" si="463"/>
      </c>
      <c r="EG55" s="1801">
        <f t="shared" si="463"/>
      </c>
      <c r="EH55" s="1800">
        <f t="shared" si="463"/>
      </c>
      <c r="EI55" s="1800">
        <f t="shared" si="463"/>
      </c>
      <c r="EJ55" s="1800">
        <f t="shared" si="463"/>
      </c>
      <c r="EK55" s="1801">
        <f t="shared" si="463"/>
      </c>
      <c r="EM55" s="2192">
        <f t="shared" si="324"/>
      </c>
      <c r="EN55" s="2192">
        <f t="shared" si="325"/>
      </c>
      <c r="EO55" s="2192">
        <f t="shared" si="326"/>
      </c>
      <c r="EP55" s="2192">
        <f t="shared" si="327"/>
      </c>
      <c r="EQ55" s="2192">
        <f t="shared" si="328"/>
      </c>
      <c r="ER55" s="2192">
        <f t="shared" si="329"/>
      </c>
      <c r="ES55" s="2192">
        <f t="shared" si="330"/>
      </c>
      <c r="ET55" s="2192">
        <f t="shared" si="331"/>
      </c>
      <c r="EU55" s="2192">
        <f t="shared" si="332"/>
      </c>
      <c r="EV55" s="2192">
        <f t="shared" si="333"/>
      </c>
      <c r="EW55" s="2192">
        <f t="shared" si="334"/>
      </c>
      <c r="EX55" s="2192">
        <f t="shared" si="335"/>
      </c>
      <c r="EY55" s="2192">
        <f t="shared" si="336"/>
      </c>
      <c r="EZ55" s="2192">
        <f t="shared" si="337"/>
      </c>
      <c r="FA55" s="2192">
        <f t="shared" si="338"/>
      </c>
      <c r="FB55" s="2192">
        <f t="shared" si="339"/>
      </c>
      <c r="FC55" s="2192">
        <f t="shared" si="340"/>
      </c>
      <c r="FD55" s="2192">
        <f t="shared" si="341"/>
      </c>
      <c r="FE55" s="2192">
        <f t="shared" si="342"/>
      </c>
      <c r="FF55" s="2192">
        <f t="shared" si="343"/>
      </c>
      <c r="FG55" s="2192"/>
      <c r="FH55" s="2192">
        <f t="shared" si="344"/>
      </c>
      <c r="FI55" s="2192">
        <f t="shared" si="345"/>
      </c>
      <c r="FJ55" s="2192">
        <f t="shared" si="346"/>
      </c>
      <c r="FK55" s="2192">
        <f t="shared" si="347"/>
      </c>
      <c r="FL55" s="2192">
        <f t="shared" si="348"/>
      </c>
      <c r="FM55" s="2192">
        <f t="shared" si="349"/>
      </c>
      <c r="FN55" s="2192">
        <f t="shared" si="350"/>
      </c>
      <c r="FO55" s="2192">
        <f t="shared" si="351"/>
      </c>
      <c r="FP55" s="2192">
        <f t="shared" si="352"/>
      </c>
      <c r="FQ55" s="2192">
        <f t="shared" si="353"/>
      </c>
      <c r="FR55" s="2192">
        <f t="shared" si="444"/>
      </c>
      <c r="FS55" s="2192">
        <f t="shared" si="445"/>
      </c>
      <c r="FT55" s="2192">
        <f t="shared" si="446"/>
      </c>
      <c r="FU55" s="2192">
        <f t="shared" si="447"/>
      </c>
      <c r="FW55" s="1788"/>
      <c r="FX55" s="1788"/>
      <c r="FY55" s="1788"/>
      <c r="FZ55" s="1788">
        <f t="shared" si="358"/>
      </c>
      <c r="GA55" s="1788">
        <f t="shared" si="359"/>
      </c>
      <c r="GB55" s="1788">
        <f t="shared" si="360"/>
      </c>
      <c r="GC55" s="1788">
        <f t="shared" si="361"/>
      </c>
      <c r="GD55" s="1788">
        <f t="shared" si="362"/>
      </c>
      <c r="GE55" s="1788">
        <f t="shared" si="363"/>
      </c>
      <c r="GF55" s="1788">
        <f t="shared" si="364"/>
      </c>
      <c r="GG55" s="1788">
        <f t="shared" si="365"/>
      </c>
      <c r="GH55" s="1788">
        <f t="shared" si="366"/>
      </c>
      <c r="GI55" s="1788">
        <f t="shared" si="367"/>
      </c>
      <c r="GJ55" s="1788">
        <f t="shared" si="368"/>
      </c>
      <c r="GK55" s="1788">
        <f t="shared" si="369"/>
      </c>
      <c r="GL55" s="1788">
        <f t="shared" si="370"/>
      </c>
      <c r="GM55" s="1788">
        <f t="shared" si="371"/>
      </c>
      <c r="GN55" s="1788">
        <f t="shared" si="372"/>
      </c>
      <c r="GO55" s="1788">
        <f t="shared" si="373"/>
      </c>
      <c r="GP55" s="1788">
        <f t="shared" si="374"/>
      </c>
      <c r="GQ55" s="1788">
        <f t="shared" si="375"/>
      </c>
      <c r="GR55" s="1788">
        <f t="shared" si="376"/>
      </c>
      <c r="GS55" s="1788">
        <f t="shared" si="377"/>
      </c>
      <c r="GT55" s="1788">
        <f t="shared" si="378"/>
      </c>
      <c r="GU55" s="1788">
        <f t="shared" si="379"/>
      </c>
      <c r="GV55" s="1788">
        <f t="shared" si="380"/>
      </c>
      <c r="GW55" s="1788">
        <f t="shared" si="381"/>
      </c>
      <c r="GX55" s="1788">
        <f t="shared" si="382"/>
      </c>
      <c r="GY55" s="1788">
        <f t="shared" si="383"/>
      </c>
      <c r="GZ55" s="1788">
        <f t="shared" si="384"/>
      </c>
      <c r="HA55" s="1788">
        <f t="shared" si="385"/>
      </c>
      <c r="HB55" s="1788">
        <f t="shared" si="386"/>
      </c>
      <c r="HC55" s="1788">
        <f t="shared" si="387"/>
      </c>
      <c r="HD55" s="1788">
        <f t="shared" si="388"/>
      </c>
      <c r="HE55" s="1788">
        <f t="shared" si="389"/>
      </c>
      <c r="HF55" s="1788">
        <f t="shared" si="390"/>
      </c>
    </row>
    <row r="56" spans="1:214" s="1787" customFormat="1" ht="10.199999999999999">
      <c r="A56" s="1789" t="s">
        <v>1126</v>
      </c>
      <c r="B56" s="1790"/>
      <c r="C56" s="1790"/>
      <c r="D56" s="1790"/>
      <c r="E56" s="1791"/>
      <c r="F56" s="1790"/>
      <c r="G56" s="1790"/>
      <c r="H56" s="1790"/>
      <c r="I56" s="1791"/>
      <c r="J56" s="1790"/>
      <c r="K56" s="1790"/>
      <c r="L56" s="1790"/>
      <c r="M56" s="1791"/>
      <c r="N56" s="1790"/>
      <c r="O56" s="1790"/>
      <c r="P56" s="1790"/>
      <c r="Q56" s="1791"/>
      <c r="R56" s="1790"/>
      <c r="S56" s="1790"/>
      <c r="T56" s="1790"/>
      <c r="U56" s="1791"/>
      <c r="V56" s="1790"/>
      <c r="W56" s="1790"/>
      <c r="X56" s="1790"/>
      <c r="Y56" s="1791"/>
      <c r="Z56" s="1790"/>
      <c r="AA56" s="1790"/>
      <c r="AB56" s="1790"/>
      <c r="AC56" s="1791"/>
      <c r="AD56" s="1790"/>
      <c r="AE56" s="1790"/>
      <c r="AF56" s="1790"/>
      <c r="AG56" s="1791"/>
      <c r="AH56" s="1790"/>
      <c r="AI56" s="1790"/>
      <c r="AJ56" s="1790"/>
      <c r="AK56" s="1791"/>
      <c r="AL56" s="1790"/>
      <c r="AM56" s="1790"/>
      <c r="AN56" s="1790"/>
      <c r="AO56" s="1791"/>
      <c r="AP56" s="1790"/>
      <c r="AQ56" s="1790"/>
      <c r="AR56" s="1790"/>
      <c r="AS56" s="1791"/>
      <c r="AT56" s="1790"/>
      <c r="AU56" s="1790"/>
      <c r="AV56" s="1790"/>
      <c r="AW56" s="1791"/>
      <c r="AX56" s="1790"/>
      <c r="AY56" s="1790"/>
      <c r="AZ56" s="1790"/>
      <c r="BA56" s="1791"/>
      <c r="BB56" s="1790"/>
      <c r="BC56" s="1790"/>
      <c r="BD56" s="1790"/>
      <c r="BE56" s="1791"/>
      <c r="BF56" s="1790"/>
      <c r="BG56" s="1790"/>
      <c r="BH56" s="1790"/>
      <c r="BI56" s="1791"/>
      <c r="BJ56" s="1790"/>
      <c r="BK56" s="1790"/>
      <c r="BL56" s="1790"/>
      <c r="BM56" s="1791"/>
      <c r="BN56" s="1790"/>
      <c r="BO56" s="1790"/>
      <c r="BP56" s="1790"/>
      <c r="BQ56" s="1791"/>
      <c r="BR56" s="1790"/>
      <c r="BS56" s="1790"/>
      <c r="BT56" s="1790"/>
      <c r="BU56" s="1791"/>
      <c r="BV56" s="1790"/>
      <c r="BW56" s="1790"/>
      <c r="BX56" s="1790"/>
      <c r="BY56" s="1791"/>
      <c r="BZ56" s="1790"/>
      <c r="CA56" s="1790"/>
      <c r="CB56" s="1790"/>
      <c r="CC56" s="1791"/>
      <c r="CD56" s="1790"/>
      <c r="CE56" s="1790"/>
      <c r="CF56" s="1790"/>
      <c r="CG56" s="1791"/>
      <c r="CH56" s="1800">
        <f t="shared" ref="CH56:DU56" si="464">CH78*CH137</f>
      </c>
      <c r="CI56" s="1800">
        <f t="shared" si="464"/>
      </c>
      <c r="CJ56" s="1800">
        <f t="shared" si="464"/>
      </c>
      <c r="CK56" s="1801">
        <f t="shared" si="464"/>
      </c>
      <c r="CL56" s="1800">
        <f t="shared" si="464"/>
      </c>
      <c r="CM56" s="1800">
        <f t="shared" si="464"/>
      </c>
      <c r="CN56" s="1800">
        <f t="shared" si="464"/>
      </c>
      <c r="CO56" s="1801">
        <f t="shared" si="464"/>
      </c>
      <c r="CP56" s="1800">
        <f t="shared" si="464"/>
      </c>
      <c r="CQ56" s="1800">
        <f t="shared" si="464"/>
      </c>
      <c r="CR56" s="1800">
        <f t="shared" si="464"/>
      </c>
      <c r="CS56" s="1802">
        <f t="shared" si="464"/>
      </c>
      <c r="CT56" s="1800">
        <f t="shared" si="464"/>
      </c>
      <c r="CU56" s="1800">
        <f t="shared" si="464"/>
      </c>
      <c r="CV56" s="1800">
        <f t="shared" si="464"/>
      </c>
      <c r="CW56" s="1801">
        <f t="shared" si="464"/>
      </c>
      <c r="CX56" s="1800">
        <f t="shared" si="464"/>
      </c>
      <c r="CY56" s="1800">
        <f t="shared" si="464"/>
      </c>
      <c r="CZ56" s="1800">
        <f t="shared" si="464"/>
      </c>
      <c r="DA56" s="1801">
        <f t="shared" si="464"/>
      </c>
      <c r="DB56" s="1800">
        <f t="shared" si="464"/>
      </c>
      <c r="DC56" s="1800">
        <f t="shared" si="464"/>
      </c>
      <c r="DD56" s="1800">
        <f t="shared" si="464"/>
      </c>
      <c r="DE56" s="1801">
        <f t="shared" si="464"/>
      </c>
      <c r="DF56" s="1800">
        <f t="shared" si="464"/>
      </c>
      <c r="DG56" s="1800">
        <f t="shared" si="464"/>
      </c>
      <c r="DH56" s="1800">
        <f t="shared" si="464"/>
      </c>
      <c r="DI56" s="1801">
        <f t="shared" si="464"/>
      </c>
      <c r="DJ56" s="1800">
        <f t="shared" ref="DJ56" si="465">DJ78*DJ137</f>
      </c>
      <c r="DK56" s="1800">
        <f t="shared" si="440"/>
      </c>
      <c r="DL56" s="1800">
        <f t="shared" si="440"/>
      </c>
      <c r="DM56" s="1801">
        <f t="shared" si="464"/>
      </c>
      <c r="DN56" s="1800">
        <f t="shared" si="438"/>
      </c>
      <c r="DO56" s="1800">
        <f t="shared" si="438"/>
      </c>
      <c r="DP56" s="1800">
        <f t="shared" ref="DP56" si="466">DP78*DP137</f>
      </c>
      <c r="DQ56" s="1801">
        <f t="shared" si="442"/>
      </c>
      <c r="DR56" s="1800">
        <f t="shared" si="442"/>
      </c>
      <c r="DS56" s="1800">
        <f t="shared" si="464"/>
      </c>
      <c r="DT56" s="1800">
        <f t="shared" si="464"/>
      </c>
      <c r="DU56" s="1801">
        <f t="shared" si="464"/>
      </c>
      <c r="DV56" s="1800">
        <f t="shared" ref="DV56:EK56" si="467">DV78*DV137</f>
      </c>
      <c r="DW56" s="1800">
        <f t="shared" si="467"/>
      </c>
      <c r="DX56" s="1800">
        <f t="shared" si="467"/>
      </c>
      <c r="DY56" s="1801">
        <f t="shared" si="467"/>
      </c>
      <c r="DZ56" s="1800">
        <f t="shared" si="467"/>
      </c>
      <c r="EA56" s="1800">
        <f t="shared" si="467"/>
      </c>
      <c r="EB56" s="1800">
        <f t="shared" si="467"/>
      </c>
      <c r="EC56" s="1801">
        <f t="shared" si="467"/>
      </c>
      <c r="ED56" s="1800">
        <f t="shared" si="467"/>
      </c>
      <c r="EE56" s="1800">
        <f t="shared" si="467"/>
      </c>
      <c r="EF56" s="1800">
        <f t="shared" si="467"/>
      </c>
      <c r="EG56" s="1801">
        <f t="shared" si="467"/>
      </c>
      <c r="EH56" s="1800">
        <f t="shared" si="467"/>
      </c>
      <c r="EI56" s="1800">
        <f t="shared" si="467"/>
      </c>
      <c r="EJ56" s="1800">
        <f t="shared" si="467"/>
      </c>
      <c r="EK56" s="1801">
        <f t="shared" si="467"/>
      </c>
      <c r="EM56" s="2192">
        <f t="shared" si="324"/>
      </c>
      <c r="EN56" s="2192">
        <f t="shared" si="325"/>
      </c>
      <c r="EO56" s="2192">
        <f t="shared" si="326"/>
      </c>
      <c r="EP56" s="2192">
        <f t="shared" si="327"/>
      </c>
      <c r="EQ56" s="2192">
        <f t="shared" si="328"/>
      </c>
      <c r="ER56" s="2192">
        <f t="shared" si="329"/>
      </c>
      <c r="ES56" s="2192">
        <f t="shared" si="330"/>
      </c>
      <c r="ET56" s="2192">
        <f t="shared" si="331"/>
      </c>
      <c r="EU56" s="2192">
        <f t="shared" si="332"/>
      </c>
      <c r="EV56" s="2192">
        <f t="shared" si="333"/>
      </c>
      <c r="EW56" s="2192">
        <f t="shared" si="334"/>
      </c>
      <c r="EX56" s="2192">
        <f t="shared" si="335"/>
      </c>
      <c r="EY56" s="2192">
        <f t="shared" si="336"/>
      </c>
      <c r="EZ56" s="2192">
        <f t="shared" si="337"/>
      </c>
      <c r="FA56" s="2192">
        <f t="shared" si="338"/>
      </c>
      <c r="FB56" s="2192">
        <f t="shared" si="339"/>
      </c>
      <c r="FC56" s="2192">
        <f t="shared" si="340"/>
      </c>
      <c r="FD56" s="2192">
        <f t="shared" si="341"/>
      </c>
      <c r="FE56" s="2192">
        <f t="shared" si="342"/>
      </c>
      <c r="FF56" s="2192">
        <f t="shared" si="343"/>
      </c>
      <c r="FG56" s="2192"/>
      <c r="FH56" s="2192">
        <f t="shared" si="344"/>
      </c>
      <c r="FI56" s="2192">
        <f t="shared" si="345"/>
      </c>
      <c r="FJ56" s="2192">
        <f t="shared" si="346"/>
      </c>
      <c r="FK56" s="2192">
        <f t="shared" si="347"/>
      </c>
      <c r="FL56" s="2192">
        <f t="shared" si="348"/>
      </c>
      <c r="FM56" s="2192">
        <f t="shared" si="349"/>
      </c>
      <c r="FN56" s="2192">
        <f t="shared" si="350"/>
      </c>
      <c r="FO56" s="2192">
        <f t="shared" si="351"/>
      </c>
      <c r="FP56" s="2192">
        <f t="shared" si="352"/>
      </c>
      <c r="FQ56" s="2192">
        <f t="shared" si="353"/>
      </c>
      <c r="FR56" s="2192">
        <f t="shared" si="444"/>
      </c>
      <c r="FS56" s="2192">
        <f t="shared" si="445"/>
      </c>
      <c r="FT56" s="2192">
        <f t="shared" si="446"/>
      </c>
      <c r="FU56" s="2192">
        <f t="shared" si="447"/>
      </c>
      <c r="FW56" s="1788"/>
      <c r="FX56" s="1788"/>
      <c r="FY56" s="1788"/>
      <c r="FZ56" s="1788">
        <f t="shared" si="358"/>
      </c>
      <c r="GA56" s="1788">
        <f t="shared" si="359"/>
      </c>
      <c r="GB56" s="1788">
        <f t="shared" si="360"/>
      </c>
      <c r="GC56" s="1788">
        <f t="shared" si="361"/>
      </c>
      <c r="GD56" s="1788">
        <f t="shared" si="362"/>
      </c>
      <c r="GE56" s="1788">
        <f t="shared" si="363"/>
      </c>
      <c r="GF56" s="1788">
        <f t="shared" si="364"/>
      </c>
      <c r="GG56" s="1788">
        <f t="shared" si="365"/>
      </c>
      <c r="GH56" s="1788">
        <f t="shared" si="366"/>
      </c>
      <c r="GI56" s="1788">
        <f t="shared" si="367"/>
      </c>
      <c r="GJ56" s="1788">
        <f t="shared" si="368"/>
      </c>
      <c r="GK56" s="1788">
        <f t="shared" si="369"/>
      </c>
      <c r="GL56" s="1788">
        <f t="shared" si="370"/>
      </c>
      <c r="GM56" s="1788">
        <f t="shared" si="371"/>
      </c>
      <c r="GN56" s="1788">
        <f t="shared" si="372"/>
      </c>
      <c r="GO56" s="1788">
        <f t="shared" si="373"/>
      </c>
      <c r="GP56" s="1788">
        <f t="shared" si="374"/>
      </c>
      <c r="GQ56" s="1788">
        <f t="shared" si="375"/>
      </c>
      <c r="GR56" s="1788">
        <f t="shared" si="376"/>
      </c>
      <c r="GS56" s="1788">
        <f t="shared" si="377"/>
      </c>
      <c r="GT56" s="1788">
        <f t="shared" si="378"/>
      </c>
      <c r="GU56" s="1788">
        <f t="shared" si="379"/>
      </c>
      <c r="GV56" s="1788">
        <f t="shared" si="380"/>
      </c>
      <c r="GW56" s="1788">
        <f t="shared" si="381"/>
      </c>
      <c r="GX56" s="1788">
        <f t="shared" si="382"/>
      </c>
      <c r="GY56" s="1788">
        <f t="shared" si="383"/>
      </c>
      <c r="GZ56" s="1788">
        <f t="shared" si="384"/>
      </c>
      <c r="HA56" s="1788">
        <f t="shared" si="385"/>
      </c>
      <c r="HB56" s="1788">
        <f t="shared" si="386"/>
      </c>
      <c r="HC56" s="1788">
        <f t="shared" si="387"/>
      </c>
      <c r="HD56" s="1788">
        <f t="shared" si="388"/>
      </c>
      <c r="HE56" s="1788">
        <f t="shared" si="389"/>
      </c>
      <c r="HF56" s="1788">
        <f t="shared" si="390"/>
      </c>
    </row>
    <row r="57" spans="1:214" s="1787" customFormat="1" ht="10.199999999999999">
      <c r="A57" s="1789" t="s">
        <v>1103</v>
      </c>
      <c r="B57" s="1790"/>
      <c r="C57" s="1790"/>
      <c r="D57" s="1790"/>
      <c r="E57" s="1791"/>
      <c r="F57" s="1790"/>
      <c r="G57" s="1790"/>
      <c r="H57" s="1790"/>
      <c r="I57" s="1791"/>
      <c r="J57" s="1790"/>
      <c r="K57" s="1790"/>
      <c r="L57" s="1790"/>
      <c r="M57" s="1791"/>
      <c r="N57" s="1790"/>
      <c r="O57" s="1790"/>
      <c r="P57" s="1790"/>
      <c r="Q57" s="1791"/>
      <c r="R57" s="1790"/>
      <c r="S57" s="1790"/>
      <c r="T57" s="1790"/>
      <c r="U57" s="1791"/>
      <c r="V57" s="1790"/>
      <c r="W57" s="1790"/>
      <c r="X57" s="1790"/>
      <c r="Y57" s="1791"/>
      <c r="Z57" s="1790"/>
      <c r="AA57" s="1790"/>
      <c r="AB57" s="1790"/>
      <c r="AC57" s="1791"/>
      <c r="AD57" s="1790"/>
      <c r="AE57" s="1790"/>
      <c r="AF57" s="1790"/>
      <c r="AG57" s="1791"/>
      <c r="AH57" s="1790"/>
      <c r="AI57" s="1790"/>
      <c r="AJ57" s="1790"/>
      <c r="AK57" s="1791"/>
      <c r="AL57" s="1790"/>
      <c r="AM57" s="1790"/>
      <c r="AN57" s="1790"/>
      <c r="AO57" s="1791"/>
      <c r="AP57" s="1790"/>
      <c r="AQ57" s="1790"/>
      <c r="AR57" s="1790"/>
      <c r="AS57" s="1791"/>
      <c r="AT57" s="1790"/>
      <c r="AU57" s="1790"/>
      <c r="AV57" s="1790"/>
      <c r="AW57" s="1791"/>
      <c r="AX57" s="1790"/>
      <c r="AY57" s="1790"/>
      <c r="AZ57" s="1790"/>
      <c r="BA57" s="1791"/>
      <c r="BB57" s="1790"/>
      <c r="BC57" s="1790"/>
      <c r="BD57" s="1790"/>
      <c r="BE57" s="1791"/>
      <c r="BF57" s="1790"/>
      <c r="BG57" s="1790"/>
      <c r="BH57" s="1790"/>
      <c r="BI57" s="1791"/>
      <c r="BJ57" s="1790"/>
      <c r="BK57" s="1790"/>
      <c r="BL57" s="1790"/>
      <c r="BM57" s="1791"/>
      <c r="BN57" s="1790"/>
      <c r="BO57" s="1790"/>
      <c r="BP57" s="1790"/>
      <c r="BQ57" s="1791"/>
      <c r="BR57" s="1790"/>
      <c r="BS57" s="1790"/>
      <c r="BT57" s="1790"/>
      <c r="BU57" s="1791"/>
      <c r="BV57" s="1790"/>
      <c r="BW57" s="1790"/>
      <c r="BX57" s="1790"/>
      <c r="BY57" s="1791"/>
      <c r="BZ57" s="1790"/>
      <c r="CA57" s="1790"/>
      <c r="CB57" s="1790"/>
      <c r="CC57" s="1791"/>
      <c r="CD57" s="1790"/>
      <c r="CE57" s="1790"/>
      <c r="CF57" s="1790"/>
      <c r="CG57" s="1791"/>
      <c r="CH57" s="1800">
        <f t="shared" ref="CH57:DU57" si="468">CH79*CH138</f>
      </c>
      <c r="CI57" s="1800">
        <f t="shared" si="468"/>
      </c>
      <c r="CJ57" s="1800">
        <f t="shared" si="468"/>
      </c>
      <c r="CK57" s="1801">
        <f t="shared" si="468"/>
      </c>
      <c r="CL57" s="1800">
        <f t="shared" si="468"/>
      </c>
      <c r="CM57" s="1800">
        <f t="shared" si="468"/>
      </c>
      <c r="CN57" s="1800">
        <f t="shared" si="468"/>
      </c>
      <c r="CO57" s="1801">
        <f t="shared" si="468"/>
      </c>
      <c r="CP57" s="1800">
        <f t="shared" si="468"/>
      </c>
      <c r="CQ57" s="1800">
        <f t="shared" si="468"/>
      </c>
      <c r="CR57" s="1800">
        <f t="shared" si="468"/>
      </c>
      <c r="CS57" s="1801">
        <f t="shared" si="468"/>
      </c>
      <c r="CT57" s="1800">
        <f t="shared" si="468"/>
      </c>
      <c r="CU57" s="1800">
        <f t="shared" si="468"/>
      </c>
      <c r="CV57" s="1800">
        <f t="shared" si="468"/>
      </c>
      <c r="CW57" s="1801">
        <f t="shared" si="468"/>
      </c>
      <c r="CX57" s="1803">
        <f t="shared" si="468"/>
      </c>
      <c r="CY57" s="1800">
        <f t="shared" si="468"/>
      </c>
      <c r="CZ57" s="1800">
        <f t="shared" si="468"/>
      </c>
      <c r="DA57" s="1801">
        <f t="shared" si="468"/>
      </c>
      <c r="DB57" s="1800">
        <f t="shared" si="468"/>
      </c>
      <c r="DC57" s="1800">
        <f t="shared" si="468"/>
      </c>
      <c r="DD57" s="1800">
        <f t="shared" si="468"/>
      </c>
      <c r="DE57" s="1801">
        <f t="shared" si="468"/>
      </c>
      <c r="DF57" s="1800">
        <f t="shared" si="468"/>
      </c>
      <c r="DG57" s="1800">
        <f t="shared" si="468"/>
      </c>
      <c r="DH57" s="1800">
        <f t="shared" si="468"/>
      </c>
      <c r="DI57" s="1801">
        <f t="shared" si="468"/>
      </c>
      <c r="DJ57" s="1800">
        <f t="shared" ref="DJ57" si="469">DJ79*DJ138</f>
      </c>
      <c r="DK57" s="1800">
        <f t="shared" si="440"/>
      </c>
      <c r="DL57" s="1800">
        <f t="shared" si="440"/>
      </c>
      <c r="DM57" s="1801">
        <f t="shared" si="468"/>
      </c>
      <c r="DN57" s="1800">
        <f t="shared" si="438"/>
      </c>
      <c r="DO57" s="1800">
        <f t="shared" si="438"/>
      </c>
      <c r="DP57" s="1800">
        <f t="shared" ref="DP57" si="470">DP79*DP138</f>
      </c>
      <c r="DQ57" s="1801">
        <f t="shared" si="442"/>
      </c>
      <c r="DR57" s="1800">
        <f t="shared" si="442"/>
      </c>
      <c r="DS57" s="1800">
        <f t="shared" si="468"/>
      </c>
      <c r="DT57" s="1800">
        <f t="shared" si="468"/>
      </c>
      <c r="DU57" s="1801">
        <f t="shared" si="468"/>
      </c>
      <c r="DV57" s="1800">
        <f t="shared" ref="DV57:EK57" si="471">DV79*DV138</f>
      </c>
      <c r="DW57" s="1800">
        <f t="shared" si="471"/>
      </c>
      <c r="DX57" s="1800">
        <f t="shared" si="471"/>
      </c>
      <c r="DY57" s="1801">
        <f t="shared" si="471"/>
      </c>
      <c r="DZ57" s="1800">
        <f t="shared" si="471"/>
      </c>
      <c r="EA57" s="1800">
        <f t="shared" si="471"/>
      </c>
      <c r="EB57" s="1800">
        <f t="shared" si="471"/>
      </c>
      <c r="EC57" s="1801">
        <f t="shared" si="471"/>
      </c>
      <c r="ED57" s="1800">
        <f t="shared" si="471"/>
      </c>
      <c r="EE57" s="1800">
        <f t="shared" si="471"/>
      </c>
      <c r="EF57" s="1800">
        <f t="shared" si="471"/>
      </c>
      <c r="EG57" s="1801">
        <f t="shared" si="471"/>
      </c>
      <c r="EH57" s="1800">
        <f t="shared" si="471"/>
      </c>
      <c r="EI57" s="1800">
        <f t="shared" si="471"/>
      </c>
      <c r="EJ57" s="1800">
        <f t="shared" si="471"/>
      </c>
      <c r="EK57" s="1801">
        <f t="shared" si="471"/>
      </c>
      <c r="EM57" s="2192">
        <f t="shared" si="324"/>
      </c>
      <c r="EN57" s="2192">
        <f t="shared" si="325"/>
      </c>
      <c r="EO57" s="2192">
        <f t="shared" si="326"/>
      </c>
      <c r="EP57" s="2192">
        <f t="shared" si="327"/>
      </c>
      <c r="EQ57" s="2192">
        <f t="shared" si="328"/>
      </c>
      <c r="ER57" s="2192">
        <f t="shared" si="329"/>
      </c>
      <c r="ES57" s="2192">
        <f t="shared" si="330"/>
      </c>
      <c r="ET57" s="2192">
        <f t="shared" si="331"/>
      </c>
      <c r="EU57" s="2192">
        <f t="shared" si="332"/>
      </c>
      <c r="EV57" s="2192">
        <f t="shared" si="333"/>
      </c>
      <c r="EW57" s="2192">
        <f t="shared" si="334"/>
      </c>
      <c r="EX57" s="2192">
        <f t="shared" si="335"/>
      </c>
      <c r="EY57" s="2192">
        <f t="shared" si="336"/>
      </c>
      <c r="EZ57" s="2192">
        <f t="shared" si="337"/>
      </c>
      <c r="FA57" s="2192">
        <f t="shared" si="338"/>
      </c>
      <c r="FB57" s="2192">
        <f t="shared" si="339"/>
      </c>
      <c r="FC57" s="2192">
        <f t="shared" si="340"/>
      </c>
      <c r="FD57" s="2192">
        <f t="shared" si="341"/>
      </c>
      <c r="FE57" s="2192">
        <f t="shared" si="342"/>
      </c>
      <c r="FF57" s="2192">
        <f t="shared" si="343"/>
      </c>
      <c r="FG57" s="2192"/>
      <c r="FH57" s="2192">
        <f t="shared" si="344"/>
      </c>
      <c r="FI57" s="2192">
        <f t="shared" si="345"/>
      </c>
      <c r="FJ57" s="2192">
        <f t="shared" si="346"/>
      </c>
      <c r="FK57" s="2192">
        <f t="shared" si="347"/>
      </c>
      <c r="FL57" s="2192">
        <f t="shared" si="348"/>
      </c>
      <c r="FM57" s="2192">
        <f t="shared" si="349"/>
      </c>
      <c r="FN57" s="2192">
        <f t="shared" si="350"/>
      </c>
      <c r="FO57" s="2192">
        <f t="shared" si="351"/>
      </c>
      <c r="FP57" s="2192">
        <f t="shared" si="352"/>
      </c>
      <c r="FQ57" s="2192">
        <f t="shared" si="353"/>
      </c>
      <c r="FR57" s="2192">
        <f t="shared" si="444"/>
      </c>
      <c r="FS57" s="2192">
        <f t="shared" si="445"/>
      </c>
      <c r="FT57" s="2192">
        <f t="shared" si="446"/>
      </c>
      <c r="FU57" s="2192">
        <f t="shared" si="447"/>
      </c>
      <c r="FW57" s="1788"/>
      <c r="FX57" s="1788"/>
      <c r="FY57" s="1788"/>
      <c r="FZ57" s="1788">
        <f t="shared" si="358"/>
      </c>
      <c r="GA57" s="1788">
        <f t="shared" si="359"/>
      </c>
      <c r="GB57" s="1788">
        <f t="shared" si="360"/>
      </c>
      <c r="GC57" s="1788">
        <f t="shared" si="361"/>
      </c>
      <c r="GD57" s="1788">
        <f t="shared" si="362"/>
      </c>
      <c r="GE57" s="1788">
        <f t="shared" si="363"/>
      </c>
      <c r="GF57" s="1788">
        <f t="shared" si="364"/>
      </c>
      <c r="GG57" s="1788">
        <f t="shared" si="365"/>
      </c>
      <c r="GH57" s="1788">
        <f t="shared" si="366"/>
      </c>
      <c r="GI57" s="1788">
        <f t="shared" si="367"/>
      </c>
      <c r="GJ57" s="1788">
        <f t="shared" si="368"/>
      </c>
      <c r="GK57" s="1788">
        <f t="shared" si="369"/>
      </c>
      <c r="GL57" s="1788">
        <f t="shared" si="370"/>
      </c>
      <c r="GM57" s="1788">
        <f t="shared" si="371"/>
      </c>
      <c r="GN57" s="1788">
        <f t="shared" si="372"/>
      </c>
      <c r="GO57" s="1788">
        <f t="shared" si="373"/>
      </c>
      <c r="GP57" s="1788">
        <f t="shared" si="374"/>
      </c>
      <c r="GQ57" s="1788">
        <f t="shared" si="375"/>
      </c>
      <c r="GR57" s="1788">
        <f t="shared" si="376"/>
      </c>
      <c r="GS57" s="1788">
        <f t="shared" si="377"/>
      </c>
      <c r="GT57" s="1788">
        <f t="shared" si="378"/>
      </c>
      <c r="GU57" s="1788">
        <f t="shared" si="379"/>
      </c>
      <c r="GV57" s="1788">
        <f t="shared" si="380"/>
      </c>
      <c r="GW57" s="1788">
        <f t="shared" si="381"/>
      </c>
      <c r="GX57" s="1788">
        <f t="shared" si="382"/>
      </c>
      <c r="GY57" s="1788">
        <f t="shared" si="383"/>
      </c>
      <c r="GZ57" s="1788">
        <f t="shared" si="384"/>
      </c>
      <c r="HA57" s="1788">
        <f t="shared" si="385"/>
      </c>
      <c r="HB57" s="1788">
        <f t="shared" si="386"/>
      </c>
      <c r="HC57" s="1788">
        <f t="shared" si="387"/>
      </c>
      <c r="HD57" s="1788">
        <f t="shared" si="388"/>
      </c>
      <c r="HE57" s="1788">
        <f t="shared" si="389"/>
      </c>
      <c r="HF57" s="1788">
        <f t="shared" si="390"/>
      </c>
    </row>
    <row r="58" spans="1:214" s="1787" customFormat="1" ht="10.199999999999999">
      <c r="A58" s="1789" t="s">
        <v>1111</v>
      </c>
      <c r="B58" s="1790"/>
      <c r="C58" s="1790"/>
      <c r="D58" s="1790"/>
      <c r="E58" s="1791"/>
      <c r="F58" s="1790"/>
      <c r="G58" s="1790"/>
      <c r="H58" s="1790"/>
      <c r="I58" s="1791"/>
      <c r="J58" s="1790"/>
      <c r="K58" s="1790"/>
      <c r="L58" s="1790"/>
      <c r="M58" s="1791"/>
      <c r="N58" s="1790"/>
      <c r="O58" s="1790"/>
      <c r="P58" s="1790"/>
      <c r="Q58" s="1791"/>
      <c r="R58" s="1790"/>
      <c r="S58" s="1790"/>
      <c r="T58" s="1790"/>
      <c r="U58" s="1791"/>
      <c r="V58" s="1790"/>
      <c r="W58" s="1790"/>
      <c r="X58" s="1790"/>
      <c r="Y58" s="1791"/>
      <c r="Z58" s="1790"/>
      <c r="AA58" s="1790"/>
      <c r="AB58" s="1790"/>
      <c r="AC58" s="1791"/>
      <c r="AD58" s="1790"/>
      <c r="AE58" s="1790"/>
      <c r="AF58" s="1790"/>
      <c r="AG58" s="1791"/>
      <c r="AH58" s="1790"/>
      <c r="AI58" s="1790"/>
      <c r="AJ58" s="1790"/>
      <c r="AK58" s="1791"/>
      <c r="AL58" s="1790"/>
      <c r="AM58" s="1790"/>
      <c r="AN58" s="1790"/>
      <c r="AO58" s="1791"/>
      <c r="AP58" s="1790"/>
      <c r="AQ58" s="1790"/>
      <c r="AR58" s="1790"/>
      <c r="AS58" s="1791"/>
      <c r="AT58" s="1790"/>
      <c r="AU58" s="1790"/>
      <c r="AV58" s="1790"/>
      <c r="AW58" s="1791"/>
      <c r="AX58" s="1790"/>
      <c r="AY58" s="1790"/>
      <c r="AZ58" s="1790"/>
      <c r="BA58" s="1791"/>
      <c r="BB58" s="1790"/>
      <c r="BC58" s="1790"/>
      <c r="BD58" s="1790"/>
      <c r="BE58" s="1791"/>
      <c r="BF58" s="1790"/>
      <c r="BG58" s="1790"/>
      <c r="BH58" s="1790"/>
      <c r="BI58" s="1791"/>
      <c r="BJ58" s="1790"/>
      <c r="BK58" s="1790"/>
      <c r="BL58" s="1790"/>
      <c r="BM58" s="1791"/>
      <c r="BN58" s="1790"/>
      <c r="BO58" s="1790"/>
      <c r="BP58" s="1790"/>
      <c r="BQ58" s="1791"/>
      <c r="BR58" s="1790"/>
      <c r="BS58" s="1790"/>
      <c r="BT58" s="1790"/>
      <c r="BU58" s="1791"/>
      <c r="BV58" s="1790"/>
      <c r="BW58" s="1790"/>
      <c r="BX58" s="1790"/>
      <c r="BY58" s="1791"/>
      <c r="BZ58" s="1790"/>
      <c r="CA58" s="1790"/>
      <c r="CB58" s="1790"/>
      <c r="CC58" s="1791"/>
      <c r="CD58" s="1790"/>
      <c r="CE58" s="1790"/>
      <c r="CF58" s="1790"/>
      <c r="CG58" s="1791"/>
      <c r="CH58" s="1800">
        <f t="shared" ref="CH58:DU58" si="472">CH80*CH139</f>
      </c>
      <c r="CI58" s="1800">
        <f t="shared" si="472"/>
      </c>
      <c r="CJ58" s="1800">
        <f t="shared" si="472"/>
      </c>
      <c r="CK58" s="1801">
        <f t="shared" si="472"/>
      </c>
      <c r="CL58" s="1800">
        <f t="shared" si="472"/>
      </c>
      <c r="CM58" s="1800">
        <f t="shared" si="472"/>
      </c>
      <c r="CN58" s="1800">
        <f t="shared" si="472"/>
      </c>
      <c r="CO58" s="1801">
        <f t="shared" si="472"/>
      </c>
      <c r="CP58" s="1800">
        <f t="shared" si="472"/>
      </c>
      <c r="CQ58" s="1800">
        <f t="shared" si="472"/>
      </c>
      <c r="CR58" s="1800">
        <f t="shared" si="472"/>
      </c>
      <c r="CS58" s="1801">
        <f t="shared" si="472"/>
      </c>
      <c r="CT58" s="1800">
        <f t="shared" si="472"/>
      </c>
      <c r="CU58" s="1800">
        <f t="shared" si="472"/>
      </c>
      <c r="CV58" s="1800">
        <f t="shared" si="472"/>
      </c>
      <c r="CW58" s="1801">
        <f t="shared" si="472"/>
      </c>
      <c r="CX58" s="1800">
        <f t="shared" si="472"/>
      </c>
      <c r="CY58" s="1800">
        <f t="shared" si="472"/>
      </c>
      <c r="CZ58" s="1800">
        <f t="shared" si="472"/>
      </c>
      <c r="DA58" s="1802">
        <f t="shared" si="472"/>
      </c>
      <c r="DB58" s="1800">
        <f t="shared" si="472"/>
      </c>
      <c r="DC58" s="1800">
        <f t="shared" si="472"/>
      </c>
      <c r="DD58" s="1800">
        <f t="shared" si="472"/>
      </c>
      <c r="DE58" s="1801">
        <f t="shared" si="472"/>
      </c>
      <c r="DF58" s="1800">
        <f>DF80*DF139</f>
      </c>
      <c r="DG58" s="1800">
        <f t="shared" si="472"/>
      </c>
      <c r="DH58" s="1800">
        <f t="shared" si="472"/>
      </c>
      <c r="DI58" s="1801">
        <f t="shared" ref="DI58:DJ62" si="473">DI80*DI139</f>
      </c>
      <c r="DJ58" s="1800">
        <f>DJ80*DJ139</f>
      </c>
      <c r="DK58" s="1800">
        <f t="shared" si="440"/>
      </c>
      <c r="DL58" s="1800">
        <f t="shared" si="440"/>
      </c>
      <c r="DM58" s="1801">
        <f t="shared" si="472"/>
      </c>
      <c r="DN58" s="1800">
        <f>DN80*DN139</f>
      </c>
      <c r="DO58" s="1800">
        <f t="shared" ref="DO58:DP58" si="474">DO80*DO139</f>
      </c>
      <c r="DP58" s="1800">
        <f t="shared" si="474"/>
      </c>
      <c r="DQ58" s="1801">
        <f t="shared" si="442"/>
      </c>
      <c r="DR58" s="1800">
        <f t="shared" si="442"/>
      </c>
      <c r="DS58" s="1800">
        <f t="shared" si="472"/>
      </c>
      <c r="DT58" s="1800">
        <f t="shared" si="472"/>
      </c>
      <c r="DU58" s="1801">
        <f t="shared" si="472"/>
      </c>
      <c r="DV58" s="1800">
        <f t="shared" ref="DV58:EK58" si="475">DV80*DV139</f>
      </c>
      <c r="DW58" s="1800">
        <f t="shared" si="475"/>
      </c>
      <c r="DX58" s="1800">
        <f t="shared" si="475"/>
      </c>
      <c r="DY58" s="1801">
        <f t="shared" si="475"/>
      </c>
      <c r="DZ58" s="1800">
        <f t="shared" si="475"/>
      </c>
      <c r="EA58" s="1800">
        <f t="shared" si="475"/>
      </c>
      <c r="EB58" s="1800">
        <f t="shared" si="475"/>
      </c>
      <c r="EC58" s="1801">
        <f t="shared" si="475"/>
      </c>
      <c r="ED58" s="1800">
        <f t="shared" si="475"/>
      </c>
      <c r="EE58" s="1800">
        <f t="shared" si="475"/>
      </c>
      <c r="EF58" s="1800">
        <f t="shared" si="475"/>
      </c>
      <c r="EG58" s="1801">
        <f t="shared" si="475"/>
      </c>
      <c r="EH58" s="1800">
        <f t="shared" si="475"/>
      </c>
      <c r="EI58" s="1800">
        <f t="shared" si="475"/>
      </c>
      <c r="EJ58" s="1800">
        <f t="shared" si="475"/>
      </c>
      <c r="EK58" s="1801">
        <f t="shared" si="475"/>
      </c>
      <c r="EM58" s="2192">
        <f t="shared" si="324"/>
      </c>
      <c r="EN58" s="2192">
        <f t="shared" si="325"/>
      </c>
      <c r="EO58" s="2192">
        <f t="shared" si="326"/>
      </c>
      <c r="EP58" s="2192">
        <f t="shared" si="327"/>
      </c>
      <c r="EQ58" s="2192">
        <f t="shared" si="328"/>
      </c>
      <c r="ER58" s="2192">
        <f t="shared" si="329"/>
      </c>
      <c r="ES58" s="2192">
        <f t="shared" si="330"/>
      </c>
      <c r="ET58" s="2192">
        <f t="shared" si="331"/>
      </c>
      <c r="EU58" s="2192">
        <f t="shared" si="332"/>
      </c>
      <c r="EV58" s="2192">
        <f t="shared" si="333"/>
      </c>
      <c r="EW58" s="2192">
        <f t="shared" si="334"/>
      </c>
      <c r="EX58" s="2192">
        <f t="shared" si="335"/>
      </c>
      <c r="EY58" s="2192">
        <f t="shared" si="336"/>
      </c>
      <c r="EZ58" s="2192">
        <f t="shared" si="337"/>
      </c>
      <c r="FA58" s="2192">
        <f t="shared" si="338"/>
      </c>
      <c r="FB58" s="2192">
        <f t="shared" si="339"/>
      </c>
      <c r="FC58" s="2192">
        <f t="shared" si="340"/>
      </c>
      <c r="FD58" s="2192">
        <f t="shared" si="341"/>
      </c>
      <c r="FE58" s="2192">
        <f t="shared" si="342"/>
      </c>
      <c r="FF58" s="2192">
        <f t="shared" si="343"/>
      </c>
      <c r="FG58" s="2192"/>
      <c r="FH58" s="2192">
        <f t="shared" si="344"/>
      </c>
      <c r="FI58" s="2192">
        <f t="shared" si="345"/>
      </c>
      <c r="FJ58" s="2192">
        <f t="shared" si="346"/>
      </c>
      <c r="FK58" s="2192">
        <f t="shared" si="347"/>
      </c>
      <c r="FL58" s="2192">
        <f t="shared" si="348"/>
      </c>
      <c r="FM58" s="2192">
        <f t="shared" si="349"/>
      </c>
      <c r="FN58" s="2192">
        <f t="shared" si="350"/>
      </c>
      <c r="FO58" s="2192">
        <f t="shared" si="351"/>
      </c>
      <c r="FP58" s="2192">
        <f t="shared" si="352"/>
      </c>
      <c r="FQ58" s="2192">
        <f t="shared" si="353"/>
      </c>
      <c r="FR58" s="2192">
        <f t="shared" si="444"/>
      </c>
      <c r="FS58" s="2192">
        <f t="shared" si="445"/>
      </c>
      <c r="FT58" s="2192">
        <f t="shared" si="446"/>
      </c>
      <c r="FU58" s="2192">
        <f t="shared" si="447"/>
      </c>
      <c r="FW58" s="1788"/>
      <c r="FX58" s="1788"/>
      <c r="FY58" s="1788"/>
      <c r="FZ58" s="1788">
        <f t="shared" si="358"/>
      </c>
      <c r="GA58" s="1788">
        <f t="shared" si="359"/>
      </c>
      <c r="GB58" s="1788">
        <f t="shared" si="360"/>
      </c>
      <c r="GC58" s="1788">
        <f t="shared" si="361"/>
      </c>
      <c r="GD58" s="1788">
        <f t="shared" si="362"/>
      </c>
      <c r="GE58" s="1788">
        <f t="shared" si="363"/>
      </c>
      <c r="GF58" s="1788">
        <f t="shared" si="364"/>
      </c>
      <c r="GG58" s="1788">
        <f t="shared" si="365"/>
      </c>
      <c r="GH58" s="1788">
        <f t="shared" si="366"/>
      </c>
      <c r="GI58" s="1788">
        <f t="shared" si="367"/>
      </c>
      <c r="GJ58" s="1788">
        <f t="shared" si="368"/>
      </c>
      <c r="GK58" s="1788">
        <f t="shared" si="369"/>
      </c>
      <c r="GL58" s="1788">
        <f t="shared" si="370"/>
      </c>
      <c r="GM58" s="1788">
        <f t="shared" si="371"/>
      </c>
      <c r="GN58" s="1788">
        <f t="shared" si="372"/>
      </c>
      <c r="GO58" s="1788">
        <f t="shared" si="373"/>
      </c>
      <c r="GP58" s="1788">
        <f t="shared" si="374"/>
      </c>
      <c r="GQ58" s="1788">
        <f t="shared" si="375"/>
      </c>
      <c r="GR58" s="1788">
        <f t="shared" si="376"/>
      </c>
      <c r="GS58" s="1788">
        <f t="shared" si="377"/>
      </c>
      <c r="GT58" s="1788">
        <f t="shared" si="378"/>
      </c>
      <c r="GU58" s="1788">
        <f t="shared" si="379"/>
      </c>
      <c r="GV58" s="1788">
        <f t="shared" si="380"/>
      </c>
      <c r="GW58" s="1788">
        <f t="shared" si="381"/>
      </c>
      <c r="GX58" s="1788">
        <f t="shared" si="382"/>
      </c>
      <c r="GY58" s="1788">
        <f t="shared" si="383"/>
      </c>
      <c r="GZ58" s="1788">
        <f t="shared" si="384"/>
      </c>
      <c r="HA58" s="1788">
        <f t="shared" si="385"/>
      </c>
      <c r="HB58" s="1788">
        <f t="shared" si="386"/>
      </c>
      <c r="HC58" s="1788">
        <f t="shared" si="387"/>
      </c>
      <c r="HD58" s="1788">
        <f t="shared" si="388"/>
      </c>
      <c r="HE58" s="1788">
        <f t="shared" si="389"/>
      </c>
      <c r="HF58" s="1788">
        <f t="shared" si="390"/>
      </c>
    </row>
    <row r="59" spans="1:214" s="1787" customFormat="1" ht="10.199999999999999">
      <c r="A59" s="1789" t="s">
        <v>1462</v>
      </c>
      <c r="B59" s="1790"/>
      <c r="C59" s="1790"/>
      <c r="D59" s="1790"/>
      <c r="E59" s="1791"/>
      <c r="F59" s="1790"/>
      <c r="G59" s="1790"/>
      <c r="H59" s="1790"/>
      <c r="I59" s="1791"/>
      <c r="J59" s="1790"/>
      <c r="K59" s="1790"/>
      <c r="L59" s="1790"/>
      <c r="M59" s="1791"/>
      <c r="N59" s="1790"/>
      <c r="O59" s="1790"/>
      <c r="P59" s="1790"/>
      <c r="Q59" s="1791"/>
      <c r="R59" s="1790"/>
      <c r="S59" s="1790"/>
      <c r="T59" s="1790"/>
      <c r="U59" s="1791"/>
      <c r="V59" s="1790"/>
      <c r="W59" s="1790"/>
      <c r="X59" s="1790"/>
      <c r="Y59" s="1791"/>
      <c r="Z59" s="1790"/>
      <c r="AA59" s="1790"/>
      <c r="AB59" s="1790"/>
      <c r="AC59" s="1791"/>
      <c r="AD59" s="1790"/>
      <c r="AE59" s="1790"/>
      <c r="AF59" s="1790"/>
      <c r="AG59" s="1791"/>
      <c r="AH59" s="1790"/>
      <c r="AI59" s="1790"/>
      <c r="AJ59" s="1790"/>
      <c r="AK59" s="1791"/>
      <c r="AL59" s="1790"/>
      <c r="AM59" s="1790"/>
      <c r="AN59" s="1790"/>
      <c r="AO59" s="1791"/>
      <c r="AP59" s="1790"/>
      <c r="AQ59" s="1790"/>
      <c r="AR59" s="1790"/>
      <c r="AS59" s="1791"/>
      <c r="AT59" s="1790"/>
      <c r="AU59" s="1790"/>
      <c r="AV59" s="1790"/>
      <c r="AW59" s="1791"/>
      <c r="AX59" s="1790"/>
      <c r="AY59" s="1790"/>
      <c r="AZ59" s="1790"/>
      <c r="BA59" s="1791"/>
      <c r="BB59" s="1790"/>
      <c r="BC59" s="1790"/>
      <c r="BD59" s="1790"/>
      <c r="BE59" s="1791"/>
      <c r="BF59" s="1790"/>
      <c r="BG59" s="1790"/>
      <c r="BH59" s="1790"/>
      <c r="BI59" s="1791"/>
      <c r="BJ59" s="1790"/>
      <c r="BK59" s="1790"/>
      <c r="BL59" s="1790"/>
      <c r="BM59" s="1791"/>
      <c r="BN59" s="1790"/>
      <c r="BO59" s="1790"/>
      <c r="BP59" s="1790"/>
      <c r="BQ59" s="1791"/>
      <c r="BR59" s="1790"/>
      <c r="BS59" s="1790"/>
      <c r="BT59" s="1790"/>
      <c r="BU59" s="1791"/>
      <c r="BV59" s="1790"/>
      <c r="BW59" s="1790"/>
      <c r="BX59" s="1790"/>
      <c r="BY59" s="1791"/>
      <c r="BZ59" s="1790"/>
      <c r="CA59" s="1790"/>
      <c r="CB59" s="1790"/>
      <c r="CC59" s="1791"/>
      <c r="CD59" s="1790"/>
      <c r="CE59" s="1790"/>
      <c r="CF59" s="1790"/>
      <c r="CG59" s="1791"/>
      <c r="CH59" s="1800">
        <f t="shared" ref="CH59:DU59" si="476">CH81*CH140</f>
      </c>
      <c r="CI59" s="1800">
        <f t="shared" si="476"/>
      </c>
      <c r="CJ59" s="1800">
        <f t="shared" si="476"/>
      </c>
      <c r="CK59" s="1801">
        <f t="shared" si="476"/>
      </c>
      <c r="CL59" s="1800">
        <f t="shared" si="476"/>
      </c>
      <c r="CM59" s="1800">
        <f t="shared" si="476"/>
      </c>
      <c r="CN59" s="1800">
        <f t="shared" si="476"/>
      </c>
      <c r="CO59" s="1801">
        <f t="shared" si="476"/>
      </c>
      <c r="CP59" s="1800">
        <f t="shared" si="476"/>
      </c>
      <c r="CQ59" s="1800">
        <f t="shared" si="476"/>
      </c>
      <c r="CR59" s="1800">
        <f t="shared" si="476"/>
      </c>
      <c r="CS59" s="1801">
        <f t="shared" si="476"/>
      </c>
      <c r="CT59" s="1800">
        <f t="shared" si="476"/>
      </c>
      <c r="CU59" s="1800">
        <f t="shared" si="476"/>
      </c>
      <c r="CV59" s="1800">
        <f t="shared" si="476"/>
      </c>
      <c r="CW59" s="1801">
        <f t="shared" si="476"/>
      </c>
      <c r="CX59" s="1800">
        <f t="shared" si="476"/>
      </c>
      <c r="CY59" s="1800">
        <f t="shared" si="476"/>
      </c>
      <c r="CZ59" s="1800">
        <f t="shared" si="476"/>
      </c>
      <c r="DA59" s="1801">
        <f t="shared" si="476"/>
      </c>
      <c r="DB59" s="1800">
        <f t="shared" si="476"/>
      </c>
      <c r="DC59" s="1800">
        <f t="shared" si="476"/>
      </c>
      <c r="DD59" s="1800">
        <f t="shared" si="476"/>
      </c>
      <c r="DE59" s="1802">
        <f t="shared" si="476"/>
      </c>
      <c r="DF59" s="1803">
        <f>DF81*DF140</f>
      </c>
      <c r="DG59" s="1800">
        <f t="shared" si="476"/>
      </c>
      <c r="DH59" s="1800">
        <f>DH81*DH140</f>
      </c>
      <c r="DI59" s="1801">
        <f t="shared" si="473"/>
      </c>
      <c r="DJ59" s="1803">
        <f>DJ81*DJ140</f>
      </c>
      <c r="DK59" s="1800">
        <f t="shared" si="440"/>
      </c>
      <c r="DL59" s="1800">
        <f t="shared" si="440"/>
      </c>
      <c r="DM59" s="1801">
        <f t="shared" si="476"/>
      </c>
      <c r="DN59" s="1803">
        <f>DN81*DN140</f>
      </c>
      <c r="DO59" s="1800">
        <f t="shared" ref="DO59:DP59" si="477">DO81*DO140</f>
      </c>
      <c r="DP59" s="1800">
        <f t="shared" si="477"/>
      </c>
      <c r="DQ59" s="1801">
        <f t="shared" si="442"/>
      </c>
      <c r="DR59" s="1800">
        <f t="shared" si="442"/>
      </c>
      <c r="DS59" s="1800">
        <f t="shared" si="476"/>
      </c>
      <c r="DT59" s="1800">
        <f t="shared" si="476"/>
      </c>
      <c r="DU59" s="1801">
        <f t="shared" si="476"/>
      </c>
      <c r="DV59" s="1800">
        <f t="shared" ref="DV59:EK59" si="478">DV81*DV140</f>
      </c>
      <c r="DW59" s="1800">
        <f t="shared" si="478"/>
      </c>
      <c r="DX59" s="1800">
        <f t="shared" si="478"/>
      </c>
      <c r="DY59" s="1801">
        <f t="shared" si="478"/>
      </c>
      <c r="DZ59" s="1800">
        <f t="shared" si="478"/>
      </c>
      <c r="EA59" s="1800">
        <f t="shared" si="478"/>
      </c>
      <c r="EB59" s="1800">
        <f t="shared" si="478"/>
      </c>
      <c r="EC59" s="1801">
        <f t="shared" si="478"/>
      </c>
      <c r="ED59" s="1800">
        <f t="shared" si="478"/>
      </c>
      <c r="EE59" s="1800">
        <f t="shared" si="478"/>
      </c>
      <c r="EF59" s="1800">
        <f t="shared" si="478"/>
      </c>
      <c r="EG59" s="1801">
        <f t="shared" si="478"/>
      </c>
      <c r="EH59" s="1800">
        <f t="shared" si="478"/>
      </c>
      <c r="EI59" s="1800">
        <f t="shared" si="478"/>
      </c>
      <c r="EJ59" s="1800">
        <f t="shared" si="478"/>
      </c>
      <c r="EK59" s="1801">
        <f t="shared" si="478"/>
      </c>
      <c r="EM59" s="2192">
        <f t="shared" si="324"/>
      </c>
      <c r="EN59" s="2192">
        <f t="shared" si="325"/>
      </c>
      <c r="EO59" s="2192">
        <f t="shared" si="326"/>
      </c>
      <c r="EP59" s="2192">
        <f t="shared" si="327"/>
      </c>
      <c r="EQ59" s="2192">
        <f t="shared" si="328"/>
      </c>
      <c r="ER59" s="2192">
        <f t="shared" si="329"/>
      </c>
      <c r="ES59" s="2192">
        <f t="shared" si="330"/>
      </c>
      <c r="ET59" s="2192">
        <f t="shared" si="331"/>
      </c>
      <c r="EU59" s="2192">
        <f t="shared" si="332"/>
      </c>
      <c r="EV59" s="2192">
        <f t="shared" si="333"/>
      </c>
      <c r="EW59" s="2192">
        <f t="shared" si="334"/>
      </c>
      <c r="EX59" s="2192">
        <f t="shared" si="335"/>
      </c>
      <c r="EY59" s="2192">
        <f t="shared" si="336"/>
      </c>
      <c r="EZ59" s="2192">
        <f t="shared" si="337"/>
      </c>
      <c r="FA59" s="2192">
        <f t="shared" si="338"/>
      </c>
      <c r="FB59" s="2192">
        <f t="shared" si="339"/>
      </c>
      <c r="FC59" s="2192">
        <f t="shared" si="340"/>
      </c>
      <c r="FD59" s="2192">
        <f t="shared" si="341"/>
      </c>
      <c r="FE59" s="2192">
        <f t="shared" si="342"/>
      </c>
      <c r="FF59" s="2192">
        <f t="shared" si="343"/>
      </c>
      <c r="FG59" s="2192"/>
      <c r="FH59" s="2192">
        <f t="shared" si="344"/>
      </c>
      <c r="FI59" s="2192">
        <f t="shared" si="345"/>
      </c>
      <c r="FJ59" s="2192">
        <f t="shared" si="346"/>
      </c>
      <c r="FK59" s="2192">
        <f t="shared" si="347"/>
      </c>
      <c r="FL59" s="2192">
        <f t="shared" si="348"/>
      </c>
      <c r="FM59" s="2192">
        <f t="shared" si="349"/>
      </c>
      <c r="FN59" s="2192">
        <f t="shared" si="350"/>
      </c>
      <c r="FO59" s="2192">
        <f t="shared" si="351"/>
      </c>
      <c r="FP59" s="2192">
        <f t="shared" si="352"/>
      </c>
      <c r="FQ59" s="2192">
        <f t="shared" si="353"/>
      </c>
      <c r="FR59" s="2192">
        <f t="shared" si="444"/>
      </c>
      <c r="FS59" s="2192">
        <f t="shared" si="445"/>
      </c>
      <c r="FT59" s="2192">
        <f t="shared" si="446"/>
      </c>
      <c r="FU59" s="2192">
        <f t="shared" si="447"/>
      </c>
      <c r="FW59" s="1788"/>
      <c r="FX59" s="1788"/>
      <c r="FY59" s="1788"/>
      <c r="FZ59" s="1788">
        <f t="shared" si="358"/>
      </c>
      <c r="GA59" s="1788">
        <f t="shared" si="359"/>
      </c>
      <c r="GB59" s="1788">
        <f t="shared" si="360"/>
      </c>
      <c r="GC59" s="1788">
        <f t="shared" si="361"/>
      </c>
      <c r="GD59" s="1788">
        <f t="shared" si="362"/>
      </c>
      <c r="GE59" s="1788">
        <f t="shared" si="363"/>
      </c>
      <c r="GF59" s="1788">
        <f t="shared" si="364"/>
      </c>
      <c r="GG59" s="1788">
        <f t="shared" si="365"/>
      </c>
      <c r="GH59" s="1788">
        <f t="shared" si="366"/>
      </c>
      <c r="GI59" s="1788">
        <f t="shared" si="367"/>
      </c>
      <c r="GJ59" s="1788">
        <f t="shared" si="368"/>
      </c>
      <c r="GK59" s="1788">
        <f t="shared" si="369"/>
      </c>
      <c r="GL59" s="1788">
        <f t="shared" si="370"/>
      </c>
      <c r="GM59" s="1788">
        <f t="shared" si="371"/>
      </c>
      <c r="GN59" s="1788">
        <f t="shared" si="372"/>
      </c>
      <c r="GO59" s="1788">
        <f t="shared" si="373"/>
      </c>
      <c r="GP59" s="1788">
        <f t="shared" si="374"/>
      </c>
      <c r="GQ59" s="1788">
        <f t="shared" si="375"/>
      </c>
      <c r="GR59" s="1788">
        <f t="shared" si="376"/>
      </c>
      <c r="GS59" s="1788">
        <f t="shared" si="377"/>
      </c>
      <c r="GT59" s="1788">
        <f t="shared" si="378"/>
      </c>
      <c r="GU59" s="1788">
        <f t="shared" si="379"/>
      </c>
      <c r="GV59" s="1788">
        <f t="shared" si="380"/>
      </c>
      <c r="GW59" s="1788">
        <f t="shared" si="381"/>
      </c>
      <c r="GX59" s="1788">
        <f t="shared" si="382"/>
      </c>
      <c r="GY59" s="1788">
        <f t="shared" si="383"/>
      </c>
      <c r="GZ59" s="1788">
        <f t="shared" si="384"/>
      </c>
      <c r="HA59" s="1788">
        <f t="shared" si="385"/>
      </c>
      <c r="HB59" s="1788">
        <f t="shared" si="386"/>
      </c>
      <c r="HC59" s="1788">
        <f t="shared" si="387"/>
      </c>
      <c r="HD59" s="1788">
        <f t="shared" si="388"/>
      </c>
      <c r="HE59" s="1788">
        <f t="shared" si="389"/>
      </c>
      <c r="HF59" s="1788">
        <f t="shared" si="390"/>
      </c>
    </row>
    <row r="60" spans="1:214" s="1787" customFormat="1" ht="10.199999999999999">
      <c r="A60" s="1789" t="s">
        <v>1463</v>
      </c>
      <c r="B60" s="1790"/>
      <c r="C60" s="1790"/>
      <c r="D60" s="1790"/>
      <c r="E60" s="1791"/>
      <c r="F60" s="1790"/>
      <c r="G60" s="1790"/>
      <c r="H60" s="1790"/>
      <c r="I60" s="1791"/>
      <c r="J60" s="1790"/>
      <c r="K60" s="1790"/>
      <c r="L60" s="1790"/>
      <c r="M60" s="1791"/>
      <c r="N60" s="1790"/>
      <c r="O60" s="1790"/>
      <c r="P60" s="1790"/>
      <c r="Q60" s="1791"/>
      <c r="R60" s="1790"/>
      <c r="S60" s="1790"/>
      <c r="T60" s="1790"/>
      <c r="U60" s="1791"/>
      <c r="V60" s="1790"/>
      <c r="W60" s="1790"/>
      <c r="X60" s="1790"/>
      <c r="Y60" s="1791"/>
      <c r="Z60" s="1790"/>
      <c r="AA60" s="1790"/>
      <c r="AB60" s="1790"/>
      <c r="AC60" s="1791"/>
      <c r="AD60" s="1790"/>
      <c r="AE60" s="1790"/>
      <c r="AF60" s="1790"/>
      <c r="AG60" s="1791"/>
      <c r="AH60" s="1790"/>
      <c r="AI60" s="1790"/>
      <c r="AJ60" s="1790"/>
      <c r="AK60" s="1791"/>
      <c r="AL60" s="1790"/>
      <c r="AM60" s="1790"/>
      <c r="AN60" s="1790"/>
      <c r="AO60" s="1791"/>
      <c r="AP60" s="1790"/>
      <c r="AQ60" s="1790"/>
      <c r="AR60" s="1790"/>
      <c r="AS60" s="1791"/>
      <c r="AT60" s="1790"/>
      <c r="AU60" s="1790"/>
      <c r="AV60" s="1790"/>
      <c r="AW60" s="1791"/>
      <c r="AX60" s="1790"/>
      <c r="AY60" s="1790"/>
      <c r="AZ60" s="1790"/>
      <c r="BA60" s="1791"/>
      <c r="BB60" s="1790"/>
      <c r="BC60" s="1790"/>
      <c r="BD60" s="1790"/>
      <c r="BE60" s="1791"/>
      <c r="BF60" s="1790"/>
      <c r="BG60" s="1790"/>
      <c r="BH60" s="1790"/>
      <c r="BI60" s="1791"/>
      <c r="BJ60" s="1790"/>
      <c r="BK60" s="1790"/>
      <c r="BL60" s="1790"/>
      <c r="BM60" s="1791"/>
      <c r="BN60" s="1790"/>
      <c r="BO60" s="1790"/>
      <c r="BP60" s="1790"/>
      <c r="BQ60" s="1791"/>
      <c r="BR60" s="1790"/>
      <c r="BS60" s="1790"/>
      <c r="BT60" s="1790"/>
      <c r="BU60" s="1791"/>
      <c r="BV60" s="1790"/>
      <c r="BW60" s="1790"/>
      <c r="BX60" s="1790"/>
      <c r="BY60" s="1791"/>
      <c r="BZ60" s="1790"/>
      <c r="CA60" s="1790"/>
      <c r="CB60" s="1790"/>
      <c r="CC60" s="1791"/>
      <c r="CD60" s="1790"/>
      <c r="CE60" s="1790"/>
      <c r="CF60" s="1790"/>
      <c r="CG60" s="1791"/>
      <c r="CH60" s="1800">
        <f t="shared" ref="CH60:DU61" si="479">CH82*CH141</f>
      </c>
      <c r="CI60" s="1800">
        <f t="shared" si="479"/>
      </c>
      <c r="CJ60" s="1800">
        <f t="shared" si="479"/>
      </c>
      <c r="CK60" s="1801">
        <f t="shared" si="479"/>
      </c>
      <c r="CL60" s="1800">
        <f t="shared" si="479"/>
      </c>
      <c r="CM60" s="1800">
        <f t="shared" si="479"/>
      </c>
      <c r="CN60" s="1800">
        <f t="shared" si="479"/>
      </c>
      <c r="CO60" s="1801">
        <f t="shared" si="479"/>
      </c>
      <c r="CP60" s="1800">
        <f t="shared" si="479"/>
      </c>
      <c r="CQ60" s="1800">
        <f t="shared" si="479"/>
      </c>
      <c r="CR60" s="1800">
        <f t="shared" si="479"/>
      </c>
      <c r="CS60" s="1801">
        <f t="shared" si="479"/>
      </c>
      <c r="CT60" s="1800">
        <f t="shared" si="479"/>
      </c>
      <c r="CU60" s="1800">
        <f t="shared" si="479"/>
      </c>
      <c r="CV60" s="1800">
        <f t="shared" si="479"/>
      </c>
      <c r="CW60" s="1801">
        <f t="shared" si="479"/>
      </c>
      <c r="CX60" s="1800">
        <f t="shared" si="479"/>
      </c>
      <c r="CY60" s="1800">
        <f t="shared" si="479"/>
      </c>
      <c r="CZ60" s="1800">
        <f t="shared" si="479"/>
      </c>
      <c r="DA60" s="1801">
        <f t="shared" si="479"/>
      </c>
      <c r="DB60" s="1800">
        <f t="shared" si="479"/>
      </c>
      <c r="DC60" s="1803">
        <f t="shared" si="479"/>
      </c>
      <c r="DD60" s="1800">
        <f t="shared" si="479"/>
      </c>
      <c r="DE60" s="1801">
        <f t="shared" si="479"/>
      </c>
      <c r="DF60" s="1800">
        <f t="shared" si="479"/>
      </c>
      <c r="DG60" s="1800">
        <f t="shared" si="479"/>
      </c>
      <c r="DH60" s="1800">
        <f t="shared" si="479"/>
      </c>
      <c r="DI60" s="1802">
        <f>DI82*DI141</f>
      </c>
      <c r="DJ60" s="1800">
        <f t="shared" ref="DJ60" si="480">DJ82*DJ141</f>
      </c>
      <c r="DK60" s="1800">
        <f t="shared" si="440"/>
      </c>
      <c r="DL60" s="1800">
        <f>DL82*DL141</f>
      </c>
      <c r="DM60" s="1801">
        <f t="shared" si="479"/>
      </c>
      <c r="DN60" s="1800">
        <f t="shared" si="479"/>
      </c>
      <c r="DO60" s="1800">
        <f t="shared" si="479"/>
      </c>
      <c r="DP60" s="1800">
        <f t="shared" ref="DP60" si="481">DP82*DP141</f>
      </c>
      <c r="DQ60" s="1801">
        <f t="shared" si="442"/>
      </c>
      <c r="DR60" s="1800">
        <f t="shared" si="442"/>
      </c>
      <c r="DS60" s="1800">
        <f t="shared" si="479"/>
      </c>
      <c r="DT60" s="1800">
        <f t="shared" si="479"/>
      </c>
      <c r="DU60" s="1801">
        <f t="shared" si="479"/>
      </c>
      <c r="DV60" s="1800">
        <f t="shared" ref="DV60:EK60" si="482">DV82*DV141</f>
      </c>
      <c r="DW60" s="1800">
        <f t="shared" si="482"/>
      </c>
      <c r="DX60" s="1800">
        <f t="shared" si="482"/>
      </c>
      <c r="DY60" s="1801">
        <f t="shared" si="482"/>
      </c>
      <c r="DZ60" s="1800">
        <f t="shared" si="482"/>
      </c>
      <c r="EA60" s="1800">
        <f t="shared" si="482"/>
      </c>
      <c r="EB60" s="1800">
        <f t="shared" si="482"/>
      </c>
      <c r="EC60" s="1801">
        <f t="shared" si="482"/>
      </c>
      <c r="ED60" s="1800">
        <f t="shared" si="482"/>
      </c>
      <c r="EE60" s="1800">
        <f t="shared" si="482"/>
      </c>
      <c r="EF60" s="1800">
        <f t="shared" si="482"/>
      </c>
      <c r="EG60" s="1801">
        <f t="shared" si="482"/>
      </c>
      <c r="EH60" s="1800">
        <f t="shared" si="482"/>
      </c>
      <c r="EI60" s="1800">
        <f t="shared" si="482"/>
      </c>
      <c r="EJ60" s="1800">
        <f t="shared" si="482"/>
      </c>
      <c r="EK60" s="1801">
        <f t="shared" si="482"/>
      </c>
      <c r="EM60" s="2192">
        <f t="shared" si="324"/>
      </c>
      <c r="EN60" s="2192">
        <f t="shared" si="325"/>
      </c>
      <c r="EO60" s="2192">
        <f t="shared" si="326"/>
      </c>
      <c r="EP60" s="2192">
        <f t="shared" si="327"/>
      </c>
      <c r="EQ60" s="2192">
        <f t="shared" si="328"/>
      </c>
      <c r="ER60" s="2192">
        <f t="shared" si="329"/>
      </c>
      <c r="ES60" s="2192">
        <f t="shared" si="330"/>
      </c>
      <c r="ET60" s="2192">
        <f t="shared" si="331"/>
      </c>
      <c r="EU60" s="2192">
        <f t="shared" si="332"/>
      </c>
      <c r="EV60" s="2192">
        <f t="shared" si="333"/>
      </c>
      <c r="EW60" s="2192">
        <f t="shared" si="334"/>
      </c>
      <c r="EX60" s="2192">
        <f t="shared" si="335"/>
      </c>
      <c r="EY60" s="2192">
        <f t="shared" si="336"/>
      </c>
      <c r="EZ60" s="2192">
        <f t="shared" si="337"/>
      </c>
      <c r="FA60" s="2192">
        <f t="shared" si="338"/>
      </c>
      <c r="FB60" s="2192">
        <f t="shared" si="339"/>
      </c>
      <c r="FC60" s="2192">
        <f t="shared" si="340"/>
      </c>
      <c r="FD60" s="2192">
        <f t="shared" si="341"/>
      </c>
      <c r="FE60" s="2192">
        <f t="shared" si="342"/>
      </c>
      <c r="FF60" s="2192">
        <f t="shared" si="343"/>
      </c>
      <c r="FG60" s="2192"/>
      <c r="FH60" s="2192">
        <f t="shared" si="344"/>
      </c>
      <c r="FI60" s="2192">
        <f t="shared" si="345"/>
      </c>
      <c r="FJ60" s="2192">
        <f t="shared" si="346"/>
      </c>
      <c r="FK60" s="2192">
        <f t="shared" si="347"/>
      </c>
      <c r="FL60" s="2192">
        <f t="shared" si="348"/>
      </c>
      <c r="FM60" s="2192">
        <f t="shared" si="349"/>
      </c>
      <c r="FN60" s="2192">
        <f t="shared" si="350"/>
      </c>
      <c r="FO60" s="2192">
        <f t="shared" si="351"/>
      </c>
      <c r="FP60" s="2192">
        <f t="shared" si="352"/>
      </c>
      <c r="FQ60" s="2192">
        <f t="shared" si="353"/>
      </c>
      <c r="FR60" s="2192">
        <f t="shared" si="444"/>
      </c>
      <c r="FS60" s="2192">
        <f t="shared" si="445"/>
      </c>
      <c r="FT60" s="2192">
        <f t="shared" si="446"/>
      </c>
      <c r="FU60" s="2192">
        <f t="shared" si="447"/>
      </c>
      <c r="FW60" s="1788"/>
      <c r="FX60" s="1788"/>
      <c r="FY60" s="1788"/>
      <c r="FZ60" s="1788">
        <f t="shared" si="358"/>
      </c>
      <c r="GA60" s="1788">
        <f t="shared" si="359"/>
      </c>
      <c r="GB60" s="1788">
        <f t="shared" si="360"/>
      </c>
      <c r="GC60" s="1788">
        <f t="shared" si="361"/>
      </c>
      <c r="GD60" s="1788">
        <f t="shared" si="362"/>
      </c>
      <c r="GE60" s="1788">
        <f t="shared" si="363"/>
      </c>
      <c r="GF60" s="1788">
        <f t="shared" si="364"/>
      </c>
      <c r="GG60" s="1788">
        <f t="shared" si="365"/>
      </c>
      <c r="GH60" s="1788">
        <f t="shared" si="366"/>
      </c>
      <c r="GI60" s="1788">
        <f t="shared" si="367"/>
      </c>
      <c r="GJ60" s="1788">
        <f t="shared" si="368"/>
      </c>
      <c r="GK60" s="1788">
        <f t="shared" si="369"/>
      </c>
      <c r="GL60" s="1788">
        <f t="shared" si="370"/>
      </c>
      <c r="GM60" s="1788">
        <f t="shared" si="371"/>
      </c>
      <c r="GN60" s="1788">
        <f t="shared" si="372"/>
      </c>
      <c r="GO60" s="1788">
        <f t="shared" si="373"/>
      </c>
      <c r="GP60" s="1788">
        <f t="shared" si="374"/>
      </c>
      <c r="GQ60" s="1788">
        <f t="shared" si="375"/>
      </c>
      <c r="GR60" s="1788">
        <f t="shared" si="376"/>
      </c>
      <c r="GS60" s="1788">
        <f t="shared" si="377"/>
      </c>
      <c r="GT60" s="1788">
        <f t="shared" si="378"/>
      </c>
      <c r="GU60" s="1788">
        <f t="shared" si="379"/>
      </c>
      <c r="GV60" s="1788">
        <f t="shared" si="380"/>
      </c>
      <c r="GW60" s="1788">
        <f t="shared" si="381"/>
      </c>
      <c r="GX60" s="1788">
        <f t="shared" si="382"/>
      </c>
      <c r="GY60" s="1788">
        <f t="shared" si="383"/>
      </c>
      <c r="GZ60" s="1788">
        <f t="shared" si="384"/>
      </c>
      <c r="HA60" s="1788">
        <f t="shared" si="385"/>
      </c>
      <c r="HB60" s="1788">
        <f t="shared" si="386"/>
      </c>
      <c r="HC60" s="1788">
        <f t="shared" si="387"/>
      </c>
      <c r="HD60" s="1788">
        <f t="shared" si="388"/>
      </c>
      <c r="HE60" s="1788">
        <f t="shared" si="389"/>
      </c>
      <c r="HF60" s="1788">
        <f t="shared" si="390"/>
      </c>
    </row>
    <row r="61" spans="1:214" s="1787" customFormat="1" ht="10.199999999999999">
      <c r="A61" s="1789" t="s">
        <v>1464</v>
      </c>
      <c r="B61" s="1790"/>
      <c r="C61" s="1790"/>
      <c r="D61" s="1790"/>
      <c r="E61" s="1791"/>
      <c r="F61" s="1790"/>
      <c r="G61" s="1790"/>
      <c r="H61" s="1790"/>
      <c r="I61" s="1791"/>
      <c r="J61" s="1790"/>
      <c r="K61" s="1790"/>
      <c r="L61" s="1790"/>
      <c r="M61" s="1791"/>
      <c r="N61" s="1790"/>
      <c r="O61" s="1790"/>
      <c r="P61" s="1790"/>
      <c r="Q61" s="1791"/>
      <c r="R61" s="1790"/>
      <c r="S61" s="1790"/>
      <c r="T61" s="1790"/>
      <c r="U61" s="1791"/>
      <c r="V61" s="1790"/>
      <c r="W61" s="1790"/>
      <c r="X61" s="1790"/>
      <c r="Y61" s="1791"/>
      <c r="Z61" s="1790"/>
      <c r="AA61" s="1790"/>
      <c r="AB61" s="1790"/>
      <c r="AC61" s="1791"/>
      <c r="AD61" s="1790"/>
      <c r="AE61" s="1790"/>
      <c r="AF61" s="1790"/>
      <c r="AG61" s="1791"/>
      <c r="AH61" s="1790"/>
      <c r="AI61" s="1790"/>
      <c r="AJ61" s="1790"/>
      <c r="AK61" s="1791"/>
      <c r="AL61" s="1790"/>
      <c r="AM61" s="1790"/>
      <c r="AN61" s="1790"/>
      <c r="AO61" s="1791"/>
      <c r="AP61" s="1790"/>
      <c r="AQ61" s="1790"/>
      <c r="AR61" s="1790"/>
      <c r="AS61" s="1791"/>
      <c r="AT61" s="1790"/>
      <c r="AU61" s="1790"/>
      <c r="AV61" s="1790"/>
      <c r="AW61" s="1791"/>
      <c r="AX61" s="1790"/>
      <c r="AY61" s="1790"/>
      <c r="AZ61" s="1790"/>
      <c r="BA61" s="1791"/>
      <c r="BB61" s="1790"/>
      <c r="BC61" s="1790"/>
      <c r="BD61" s="1790"/>
      <c r="BE61" s="1791"/>
      <c r="BF61" s="1790"/>
      <c r="BG61" s="1790"/>
      <c r="BH61" s="1790"/>
      <c r="BI61" s="1791"/>
      <c r="BJ61" s="1790"/>
      <c r="BK61" s="1790"/>
      <c r="BL61" s="1790"/>
      <c r="BM61" s="1791"/>
      <c r="BN61" s="1790"/>
      <c r="BO61" s="1790"/>
      <c r="BP61" s="1790"/>
      <c r="BQ61" s="1791"/>
      <c r="BR61" s="1790"/>
      <c r="BS61" s="1790"/>
      <c r="BT61" s="1790"/>
      <c r="BU61" s="1791"/>
      <c r="BV61" s="1790"/>
      <c r="BW61" s="1790"/>
      <c r="BX61" s="1790"/>
      <c r="BY61" s="1791"/>
      <c r="BZ61" s="1790"/>
      <c r="CA61" s="1790"/>
      <c r="CB61" s="1790"/>
      <c r="CC61" s="1791"/>
      <c r="CD61" s="1790"/>
      <c r="CE61" s="1790"/>
      <c r="CF61" s="1790"/>
      <c r="CG61" s="1791"/>
      <c r="CH61" s="1800">
        <f t="shared" ref="CH61:DU61" si="483">CH83*CH142</f>
      </c>
      <c r="CI61" s="1800">
        <f t="shared" si="483"/>
      </c>
      <c r="CJ61" s="1800">
        <f t="shared" si="483"/>
      </c>
      <c r="CK61" s="1801">
        <f t="shared" si="483"/>
      </c>
      <c r="CL61" s="1800">
        <f t="shared" si="483"/>
      </c>
      <c r="CM61" s="1800">
        <f t="shared" si="483"/>
      </c>
      <c r="CN61" s="1800">
        <f t="shared" si="483"/>
      </c>
      <c r="CO61" s="1801">
        <f t="shared" si="483"/>
      </c>
      <c r="CP61" s="1800">
        <f t="shared" si="483"/>
      </c>
      <c r="CQ61" s="1800">
        <f t="shared" si="483"/>
      </c>
      <c r="CR61" s="1800">
        <f t="shared" si="483"/>
      </c>
      <c r="CS61" s="1801">
        <f t="shared" si="483"/>
      </c>
      <c r="CT61" s="1800">
        <f t="shared" si="483"/>
      </c>
      <c r="CU61" s="1800">
        <f t="shared" si="483"/>
      </c>
      <c r="CV61" s="1800">
        <f t="shared" si="483"/>
      </c>
      <c r="CW61" s="1801">
        <f t="shared" si="483"/>
      </c>
      <c r="CX61" s="1800">
        <f t="shared" si="483"/>
      </c>
      <c r="CY61" s="1800">
        <f t="shared" si="483"/>
      </c>
      <c r="CZ61" s="1800">
        <f t="shared" si="483"/>
      </c>
      <c r="DA61" s="1801">
        <f t="shared" si="483"/>
      </c>
      <c r="DB61" s="1800">
        <f t="shared" si="483"/>
      </c>
      <c r="DC61" s="1800">
        <f t="shared" si="483"/>
      </c>
      <c r="DD61" s="1800">
        <f t="shared" si="483"/>
      </c>
      <c r="DE61" s="1801">
        <f t="shared" si="483"/>
      </c>
      <c r="DF61" s="1800">
        <f t="shared" si="483"/>
      </c>
      <c r="DG61" s="1800">
        <f t="shared" si="483"/>
      </c>
      <c r="DH61" s="1800">
        <f t="shared" si="483"/>
      </c>
      <c r="DI61" s="1801">
        <f>DI83*DI142</f>
      </c>
      <c r="DJ61" s="1800">
        <f t="shared" ref="DJ61" si="484">DJ83*DJ142</f>
      </c>
      <c r="DK61" s="1800">
        <f t="shared" si="440"/>
      </c>
      <c r="DL61" s="1800">
        <f t="shared" si="440"/>
      </c>
      <c r="DM61" s="1802">
        <f t="shared" si="483"/>
      </c>
      <c r="DN61" s="1800">
        <f t="shared" si="479"/>
      </c>
      <c r="DO61" s="1800">
        <f t="shared" si="479"/>
      </c>
      <c r="DP61" s="1800">
        <f t="shared" ref="DP61" si="485">DP83*DP142</f>
      </c>
      <c r="DQ61" s="1801">
        <f t="shared" si="442"/>
      </c>
      <c r="DR61" s="1800">
        <f t="shared" si="442"/>
      </c>
      <c r="DS61" s="1800">
        <f t="shared" si="483"/>
      </c>
      <c r="DT61" s="1800">
        <f t="shared" si="483"/>
      </c>
      <c r="DU61" s="1801">
        <f t="shared" si="483"/>
      </c>
      <c r="DV61" s="1800">
        <f t="shared" ref="DV61:EK61" si="486">DV83*DV142</f>
      </c>
      <c r="DW61" s="1800">
        <f t="shared" si="486"/>
      </c>
      <c r="DX61" s="1800">
        <f t="shared" si="486"/>
      </c>
      <c r="DY61" s="1801">
        <f t="shared" si="486"/>
      </c>
      <c r="DZ61" s="1800">
        <f t="shared" si="486"/>
      </c>
      <c r="EA61" s="1800">
        <f t="shared" si="486"/>
      </c>
      <c r="EB61" s="1800">
        <f t="shared" si="486"/>
      </c>
      <c r="EC61" s="1801">
        <f t="shared" si="486"/>
      </c>
      <c r="ED61" s="1800">
        <f t="shared" si="486"/>
      </c>
      <c r="EE61" s="1800">
        <f t="shared" si="486"/>
      </c>
      <c r="EF61" s="1800">
        <f t="shared" si="486"/>
      </c>
      <c r="EG61" s="1801">
        <f t="shared" si="486"/>
      </c>
      <c r="EH61" s="1800">
        <f t="shared" si="486"/>
      </c>
      <c r="EI61" s="1800">
        <f t="shared" si="486"/>
      </c>
      <c r="EJ61" s="1800">
        <f t="shared" si="486"/>
      </c>
      <c r="EK61" s="1801">
        <f t="shared" si="486"/>
      </c>
      <c r="EM61" s="2192">
        <f t="shared" si="324"/>
      </c>
      <c r="EN61" s="2192">
        <f t="shared" si="325"/>
      </c>
      <c r="EO61" s="2192">
        <f t="shared" si="326"/>
      </c>
      <c r="EP61" s="2192">
        <f t="shared" si="327"/>
      </c>
      <c r="EQ61" s="2192">
        <f t="shared" si="328"/>
      </c>
      <c r="ER61" s="2192">
        <f t="shared" si="329"/>
      </c>
      <c r="ES61" s="2192">
        <f t="shared" si="330"/>
      </c>
      <c r="ET61" s="2192">
        <f t="shared" si="331"/>
      </c>
      <c r="EU61" s="2192">
        <f t="shared" si="332"/>
      </c>
      <c r="EV61" s="2192">
        <f t="shared" si="333"/>
      </c>
      <c r="EW61" s="2192">
        <f t="shared" si="334"/>
      </c>
      <c r="EX61" s="2192">
        <f t="shared" si="335"/>
      </c>
      <c r="EY61" s="2192">
        <f t="shared" si="336"/>
      </c>
      <c r="EZ61" s="2192">
        <f t="shared" si="337"/>
      </c>
      <c r="FA61" s="2192">
        <f t="shared" si="338"/>
      </c>
      <c r="FB61" s="2192">
        <f t="shared" si="339"/>
      </c>
      <c r="FC61" s="2192">
        <f t="shared" si="340"/>
      </c>
      <c r="FD61" s="2192">
        <f t="shared" si="341"/>
      </c>
      <c r="FE61" s="2192">
        <f t="shared" si="342"/>
      </c>
      <c r="FF61" s="2192">
        <f t="shared" si="343"/>
      </c>
      <c r="FG61" s="2192"/>
      <c r="FH61" s="2192">
        <f t="shared" si="344"/>
      </c>
      <c r="FI61" s="2192">
        <f t="shared" si="345"/>
      </c>
      <c r="FJ61" s="2192">
        <f t="shared" si="346"/>
      </c>
      <c r="FK61" s="2192">
        <f t="shared" si="347"/>
      </c>
      <c r="FL61" s="2192">
        <f t="shared" si="348"/>
      </c>
      <c r="FM61" s="2192">
        <f t="shared" si="349"/>
      </c>
      <c r="FN61" s="2192">
        <f t="shared" si="350"/>
      </c>
      <c r="FO61" s="2192">
        <f t="shared" si="351"/>
      </c>
      <c r="FP61" s="2192">
        <f t="shared" si="352"/>
      </c>
      <c r="FQ61" s="2192">
        <f t="shared" si="353"/>
      </c>
      <c r="FR61" s="2192">
        <f t="shared" si="444"/>
      </c>
      <c r="FS61" s="2192">
        <f t="shared" si="445"/>
      </c>
      <c r="FT61" s="2192">
        <f t="shared" si="446"/>
      </c>
      <c r="FU61" s="2192">
        <f t="shared" si="447"/>
      </c>
      <c r="FW61" s="1788"/>
      <c r="FX61" s="1788"/>
      <c r="FY61" s="1788"/>
      <c r="FZ61" s="1788">
        <f t="shared" si="358"/>
      </c>
      <c r="GA61" s="1788">
        <f t="shared" si="359"/>
      </c>
      <c r="GB61" s="1788">
        <f t="shared" si="360"/>
      </c>
      <c r="GC61" s="1788">
        <f t="shared" si="361"/>
      </c>
      <c r="GD61" s="1788">
        <f t="shared" si="362"/>
      </c>
      <c r="GE61" s="1788">
        <f t="shared" si="363"/>
      </c>
      <c r="GF61" s="1788">
        <f t="shared" si="364"/>
      </c>
      <c r="GG61" s="1788">
        <f t="shared" si="365"/>
      </c>
      <c r="GH61" s="1788">
        <f t="shared" si="366"/>
      </c>
      <c r="GI61" s="1788">
        <f t="shared" si="367"/>
      </c>
      <c r="GJ61" s="1788">
        <f t="shared" si="368"/>
      </c>
      <c r="GK61" s="1788">
        <f t="shared" si="369"/>
      </c>
      <c r="GL61" s="1788">
        <f t="shared" si="370"/>
      </c>
      <c r="GM61" s="1788">
        <f t="shared" si="371"/>
      </c>
      <c r="GN61" s="1788">
        <f t="shared" si="372"/>
      </c>
      <c r="GO61" s="1788">
        <f t="shared" si="373"/>
      </c>
      <c r="GP61" s="1788">
        <f t="shared" si="374"/>
      </c>
      <c r="GQ61" s="1788">
        <f t="shared" si="375"/>
      </c>
      <c r="GR61" s="1788">
        <f t="shared" si="376"/>
      </c>
      <c r="GS61" s="1788">
        <f t="shared" si="377"/>
      </c>
      <c r="GT61" s="1788">
        <f t="shared" si="378"/>
      </c>
      <c r="GU61" s="1788">
        <f t="shared" si="379"/>
      </c>
      <c r="GV61" s="1788">
        <f t="shared" si="380"/>
      </c>
      <c r="GW61" s="1788">
        <f t="shared" si="381"/>
      </c>
      <c r="GX61" s="1788">
        <f t="shared" si="382"/>
      </c>
      <c r="GY61" s="1788">
        <f t="shared" si="383"/>
      </c>
      <c r="GZ61" s="1788">
        <f t="shared" si="384"/>
      </c>
      <c r="HA61" s="1788">
        <f t="shared" si="385"/>
      </c>
      <c r="HB61" s="1788">
        <f t="shared" si="386"/>
      </c>
      <c r="HC61" s="1788">
        <f t="shared" si="387"/>
      </c>
      <c r="HD61" s="1788">
        <f t="shared" si="388"/>
      </c>
      <c r="HE61" s="1788">
        <f t="shared" si="389"/>
      </c>
      <c r="HF61" s="1788">
        <f t="shared" si="390"/>
      </c>
    </row>
    <row r="62" spans="1:214" s="1787" customFormat="1" ht="10.199999999999999">
      <c r="A62" s="1789" t="s">
        <v>1465</v>
      </c>
      <c r="B62" s="1790"/>
      <c r="C62" s="1790"/>
      <c r="D62" s="1790"/>
      <c r="E62" s="1791"/>
      <c r="F62" s="1790"/>
      <c r="G62" s="1790"/>
      <c r="H62" s="1790"/>
      <c r="I62" s="1791"/>
      <c r="J62" s="1790"/>
      <c r="K62" s="1790"/>
      <c r="L62" s="1790"/>
      <c r="M62" s="1791"/>
      <c r="N62" s="1790"/>
      <c r="O62" s="1790"/>
      <c r="P62" s="1790"/>
      <c r="Q62" s="1791"/>
      <c r="R62" s="1790"/>
      <c r="S62" s="1790"/>
      <c r="T62" s="1790"/>
      <c r="U62" s="1791"/>
      <c r="V62" s="1790"/>
      <c r="W62" s="1790"/>
      <c r="X62" s="1790"/>
      <c r="Y62" s="1791"/>
      <c r="Z62" s="1790"/>
      <c r="AA62" s="1790"/>
      <c r="AB62" s="1790"/>
      <c r="AC62" s="1791"/>
      <c r="AD62" s="1790"/>
      <c r="AE62" s="1790"/>
      <c r="AF62" s="1790"/>
      <c r="AG62" s="1791"/>
      <c r="AH62" s="1790"/>
      <c r="AI62" s="1790"/>
      <c r="AJ62" s="1790"/>
      <c r="AK62" s="1791"/>
      <c r="AL62" s="1790"/>
      <c r="AM62" s="1790"/>
      <c r="AN62" s="1790"/>
      <c r="AO62" s="1791"/>
      <c r="AP62" s="1790"/>
      <c r="AQ62" s="1790"/>
      <c r="AR62" s="1790"/>
      <c r="AS62" s="1791"/>
      <c r="AT62" s="1790"/>
      <c r="AU62" s="1790"/>
      <c r="AV62" s="1790"/>
      <c r="AW62" s="1791"/>
      <c r="AX62" s="1790"/>
      <c r="AY62" s="1790"/>
      <c r="AZ62" s="1790"/>
      <c r="BA62" s="1791"/>
      <c r="BB62" s="1790"/>
      <c r="BC62" s="1790"/>
      <c r="BD62" s="1790"/>
      <c r="BE62" s="1791"/>
      <c r="BF62" s="1790"/>
      <c r="BG62" s="1790"/>
      <c r="BH62" s="1790"/>
      <c r="BI62" s="1791"/>
      <c r="BJ62" s="1790"/>
      <c r="BK62" s="1790"/>
      <c r="BL62" s="1790"/>
      <c r="BM62" s="1791"/>
      <c r="BN62" s="1790"/>
      <c r="BO62" s="1790"/>
      <c r="BP62" s="1790"/>
      <c r="BQ62" s="1791"/>
      <c r="BR62" s="1790"/>
      <c r="BS62" s="1790"/>
      <c r="BT62" s="1790"/>
      <c r="BU62" s="1791"/>
      <c r="BV62" s="1790"/>
      <c r="BW62" s="1790"/>
      <c r="BX62" s="1790"/>
      <c r="BY62" s="1791"/>
      <c r="BZ62" s="1790"/>
      <c r="CA62" s="1790"/>
      <c r="CB62" s="1790"/>
      <c r="CC62" s="1791"/>
      <c r="CD62" s="1790"/>
      <c r="CE62" s="1790"/>
      <c r="CF62" s="1790"/>
      <c r="CG62" s="1791"/>
      <c r="CH62" s="1800">
        <f t="shared" ref="CH62:DU62" si="487">CH84*CH143</f>
      </c>
      <c r="CI62" s="1800">
        <f t="shared" si="487"/>
      </c>
      <c r="CJ62" s="1800">
        <f t="shared" si="487"/>
      </c>
      <c r="CK62" s="1801">
        <f t="shared" si="487"/>
      </c>
      <c r="CL62" s="1800">
        <f t="shared" si="487"/>
      </c>
      <c r="CM62" s="1800">
        <f t="shared" si="487"/>
      </c>
      <c r="CN62" s="1800">
        <f t="shared" si="487"/>
      </c>
      <c r="CO62" s="1801">
        <f t="shared" si="487"/>
      </c>
      <c r="CP62" s="1800">
        <f t="shared" si="487"/>
      </c>
      <c r="CQ62" s="1800">
        <f t="shared" si="487"/>
      </c>
      <c r="CR62" s="1800">
        <f t="shared" si="487"/>
      </c>
      <c r="CS62" s="1801">
        <f t="shared" si="487"/>
      </c>
      <c r="CT62" s="1800">
        <f t="shared" si="487"/>
      </c>
      <c r="CU62" s="1800">
        <f t="shared" si="487"/>
      </c>
      <c r="CV62" s="1800">
        <f t="shared" si="487"/>
      </c>
      <c r="CW62" s="1801">
        <f t="shared" si="487"/>
      </c>
      <c r="CX62" s="1800">
        <f t="shared" si="487"/>
      </c>
      <c r="CY62" s="1800">
        <f t="shared" si="487"/>
      </c>
      <c r="CZ62" s="1800">
        <f t="shared" si="487"/>
      </c>
      <c r="DA62" s="1801">
        <f t="shared" si="487"/>
      </c>
      <c r="DB62" s="1800">
        <f t="shared" si="487"/>
      </c>
      <c r="DC62" s="1800">
        <f t="shared" si="487"/>
      </c>
      <c r="DD62" s="1800">
        <f t="shared" si="487"/>
      </c>
      <c r="DE62" s="1801">
        <f t="shared" si="487"/>
      </c>
      <c r="DF62" s="1800">
        <f t="shared" si="487"/>
      </c>
      <c r="DG62" s="1800">
        <f t="shared" si="487"/>
      </c>
      <c r="DH62" s="1800">
        <f t="shared" si="487"/>
      </c>
      <c r="DI62" s="1801">
        <f t="shared" si="473"/>
      </c>
      <c r="DJ62" s="1800">
        <f t="shared" si="473"/>
      </c>
      <c r="DK62" s="1800">
        <f t="shared" si="440"/>
      </c>
      <c r="DL62" s="1800">
        <f t="shared" si="440"/>
      </c>
      <c r="DM62" s="1801">
        <f>DM84*DM143</f>
      </c>
      <c r="DN62" s="1800">
        <f t="shared" ref="DN62:DO62" si="488">DN84*DN143</f>
      </c>
      <c r="DO62" s="1800">
        <f t="shared" si="488"/>
      </c>
      <c r="DP62" s="1800">
        <f t="shared" ref="DP62" si="489">DP84*DP143</f>
      </c>
      <c r="DQ62" s="1802">
        <f t="shared" si="442"/>
      </c>
      <c r="DR62" s="1803">
        <f t="shared" si="442"/>
      </c>
      <c r="DS62" s="1800">
        <f t="shared" si="487"/>
      </c>
      <c r="DT62" s="1800">
        <f t="shared" si="487"/>
      </c>
      <c r="DU62" s="1801">
        <f t="shared" si="487"/>
      </c>
      <c r="DV62" s="1803">
        <f t="shared" ref="DV62:EK62" si="490">DV84*DV143</f>
      </c>
      <c r="DW62" s="1800">
        <f t="shared" si="490"/>
      </c>
      <c r="DX62" s="1800">
        <f t="shared" si="490"/>
      </c>
      <c r="DY62" s="1801">
        <f t="shared" si="490"/>
      </c>
      <c r="DZ62" s="1803">
        <f t="shared" si="490"/>
      </c>
      <c r="EA62" s="1800">
        <f t="shared" si="490"/>
      </c>
      <c r="EB62" s="1800">
        <f t="shared" si="490"/>
      </c>
      <c r="EC62" s="1801">
        <f t="shared" si="490"/>
      </c>
      <c r="ED62" s="1803">
        <f t="shared" si="490"/>
      </c>
      <c r="EE62" s="1800">
        <f t="shared" si="490"/>
      </c>
      <c r="EF62" s="1800">
        <f t="shared" si="490"/>
      </c>
      <c r="EG62" s="1801">
        <f t="shared" si="490"/>
      </c>
      <c r="EH62" s="1803">
        <f t="shared" si="490"/>
      </c>
      <c r="EI62" s="1800">
        <f t="shared" si="490"/>
      </c>
      <c r="EJ62" s="1800">
        <f t="shared" si="490"/>
      </c>
      <c r="EK62" s="1801">
        <f t="shared" si="490"/>
      </c>
      <c r="EM62" s="2192">
        <f t="shared" si="324"/>
      </c>
      <c r="EN62" s="2192">
        <f t="shared" si="325"/>
      </c>
      <c r="EO62" s="2192">
        <f t="shared" si="326"/>
      </c>
      <c r="EP62" s="2192">
        <f t="shared" si="327"/>
      </c>
      <c r="EQ62" s="2192">
        <f t="shared" si="328"/>
      </c>
      <c r="ER62" s="2192">
        <f t="shared" si="329"/>
      </c>
      <c r="ES62" s="2192">
        <f t="shared" si="330"/>
      </c>
      <c r="ET62" s="2192">
        <f t="shared" si="331"/>
      </c>
      <c r="EU62" s="2192">
        <f t="shared" si="332"/>
      </c>
      <c r="EV62" s="2192">
        <f t="shared" si="333"/>
      </c>
      <c r="EW62" s="2192">
        <f t="shared" si="334"/>
      </c>
      <c r="EX62" s="2192">
        <f t="shared" si="335"/>
      </c>
      <c r="EY62" s="2192">
        <f t="shared" si="336"/>
      </c>
      <c r="EZ62" s="2192">
        <f t="shared" si="337"/>
      </c>
      <c r="FA62" s="2192">
        <f t="shared" si="338"/>
      </c>
      <c r="FB62" s="2192">
        <f t="shared" si="339"/>
      </c>
      <c r="FC62" s="2192">
        <f t="shared" si="340"/>
      </c>
      <c r="FD62" s="2192">
        <f t="shared" si="341"/>
      </c>
      <c r="FE62" s="2192">
        <f t="shared" si="342"/>
      </c>
      <c r="FF62" s="2192">
        <f t="shared" si="343"/>
      </c>
      <c r="FG62" s="2192"/>
      <c r="FH62" s="2192">
        <f t="shared" si="344"/>
      </c>
      <c r="FI62" s="2192">
        <f t="shared" si="345"/>
      </c>
      <c r="FJ62" s="2192">
        <f t="shared" si="346"/>
      </c>
      <c r="FK62" s="2192">
        <f t="shared" si="347"/>
      </c>
      <c r="FL62" s="2192">
        <f t="shared" si="348"/>
      </c>
      <c r="FM62" s="2192">
        <f t="shared" si="349"/>
      </c>
      <c r="FN62" s="2192">
        <f t="shared" si="350"/>
      </c>
      <c r="FO62" s="2192">
        <f t="shared" si="351"/>
      </c>
      <c r="FP62" s="2192">
        <f t="shared" si="352"/>
      </c>
      <c r="FQ62" s="2192">
        <f t="shared" si="353"/>
      </c>
      <c r="FR62" s="2192">
        <f t="shared" si="444"/>
      </c>
      <c r="FS62" s="2192">
        <f t="shared" si="445"/>
      </c>
      <c r="FT62" s="2192">
        <f t="shared" si="446"/>
      </c>
      <c r="FU62" s="2192">
        <f t="shared" si="447"/>
      </c>
      <c r="FW62" s="1788"/>
      <c r="FX62" s="1788"/>
      <c r="FY62" s="1788"/>
      <c r="FZ62" s="1788">
        <f t="shared" si="358"/>
      </c>
      <c r="GA62" s="1788">
        <f t="shared" si="359"/>
      </c>
      <c r="GB62" s="1788">
        <f t="shared" si="360"/>
      </c>
      <c r="GC62" s="1788">
        <f t="shared" si="361"/>
      </c>
      <c r="GD62" s="1788">
        <f t="shared" si="362"/>
      </c>
      <c r="GE62" s="1788">
        <f t="shared" si="363"/>
      </c>
      <c r="GF62" s="1788">
        <f t="shared" si="364"/>
      </c>
      <c r="GG62" s="1788">
        <f t="shared" si="365"/>
      </c>
      <c r="GH62" s="1788">
        <f t="shared" si="366"/>
      </c>
      <c r="GI62" s="1788">
        <f t="shared" si="367"/>
      </c>
      <c r="GJ62" s="1788">
        <f t="shared" si="368"/>
      </c>
      <c r="GK62" s="1788">
        <f t="shared" si="369"/>
      </c>
      <c r="GL62" s="1788">
        <f t="shared" si="370"/>
      </c>
      <c r="GM62" s="1788">
        <f t="shared" si="371"/>
      </c>
      <c r="GN62" s="1788">
        <f t="shared" si="372"/>
      </c>
      <c r="GO62" s="1788">
        <f t="shared" si="373"/>
      </c>
      <c r="GP62" s="1788">
        <f t="shared" si="374"/>
      </c>
      <c r="GQ62" s="1788">
        <f t="shared" si="375"/>
      </c>
      <c r="GR62" s="1788">
        <f t="shared" si="376"/>
      </c>
      <c r="GS62" s="1788">
        <f t="shared" si="377"/>
      </c>
      <c r="GT62" s="1788">
        <f t="shared" si="378"/>
      </c>
      <c r="GU62" s="1788">
        <f t="shared" si="379"/>
      </c>
      <c r="GV62" s="1788">
        <f t="shared" si="380"/>
      </c>
      <c r="GW62" s="1788">
        <f t="shared" si="381"/>
      </c>
      <c r="GX62" s="1788">
        <f t="shared" si="382"/>
      </c>
      <c r="GY62" s="1788">
        <f t="shared" si="383"/>
      </c>
      <c r="GZ62" s="1788">
        <f t="shared" si="384"/>
      </c>
      <c r="HA62" s="1788">
        <f t="shared" si="385"/>
      </c>
      <c r="HB62" s="1788">
        <f t="shared" si="386"/>
      </c>
      <c r="HC62" s="1788">
        <f t="shared" si="387"/>
      </c>
      <c r="HD62" s="1788">
        <f t="shared" si="388"/>
      </c>
      <c r="HE62" s="1788">
        <f t="shared" si="389"/>
      </c>
      <c r="HF62" s="1788">
        <f t="shared" si="390"/>
      </c>
    </row>
    <row r="63" spans="1:214" s="1787" customFormat="1" ht="10.199999999999999">
      <c r="A63" s="1789" t="s">
        <v>1503</v>
      </c>
      <c r="B63" s="1790"/>
      <c r="C63" s="1790"/>
      <c r="D63" s="1790"/>
      <c r="E63" s="1791"/>
      <c r="F63" s="1790"/>
      <c r="G63" s="1790"/>
      <c r="H63" s="1790"/>
      <c r="I63" s="1791"/>
      <c r="J63" s="1790"/>
      <c r="K63" s="1790"/>
      <c r="L63" s="1790"/>
      <c r="M63" s="1791"/>
      <c r="N63" s="1790"/>
      <c r="O63" s="1790"/>
      <c r="P63" s="1790"/>
      <c r="Q63" s="1791"/>
      <c r="R63" s="1790"/>
      <c r="S63" s="1790"/>
      <c r="T63" s="1790"/>
      <c r="U63" s="1791"/>
      <c r="V63" s="1790"/>
      <c r="W63" s="1790"/>
      <c r="X63" s="1790"/>
      <c r="Y63" s="1791"/>
      <c r="Z63" s="1790"/>
      <c r="AA63" s="1790"/>
      <c r="AB63" s="1790"/>
      <c r="AC63" s="1791"/>
      <c r="AD63" s="1790"/>
      <c r="AE63" s="1790"/>
      <c r="AF63" s="1790"/>
      <c r="AG63" s="1791"/>
      <c r="AH63" s="1790"/>
      <c r="AI63" s="1790"/>
      <c r="AJ63" s="1790"/>
      <c r="AK63" s="1791"/>
      <c r="AL63" s="1790"/>
      <c r="AM63" s="1790"/>
      <c r="AN63" s="1790"/>
      <c r="AO63" s="1791"/>
      <c r="AP63" s="1790"/>
      <c r="AQ63" s="1790"/>
      <c r="AR63" s="1790"/>
      <c r="AS63" s="1791"/>
      <c r="AT63" s="1790"/>
      <c r="AU63" s="1790"/>
      <c r="AV63" s="1790"/>
      <c r="AW63" s="1791"/>
      <c r="AX63" s="1790"/>
      <c r="AY63" s="1790"/>
      <c r="AZ63" s="1790"/>
      <c r="BA63" s="1791"/>
      <c r="BB63" s="1790"/>
      <c r="BC63" s="1790"/>
      <c r="BD63" s="1790"/>
      <c r="BE63" s="1791"/>
      <c r="BF63" s="1790"/>
      <c r="BG63" s="1790"/>
      <c r="BH63" s="1790"/>
      <c r="BI63" s="1791"/>
      <c r="BJ63" s="1790"/>
      <c r="BK63" s="1790"/>
      <c r="BL63" s="1790"/>
      <c r="BM63" s="1791"/>
      <c r="BN63" s="1790"/>
      <c r="BO63" s="1790"/>
      <c r="BP63" s="1790"/>
      <c r="BQ63" s="1791"/>
      <c r="BR63" s="1790"/>
      <c r="BS63" s="1790"/>
      <c r="BT63" s="1790"/>
      <c r="BU63" s="1791"/>
      <c r="BV63" s="1790"/>
      <c r="BW63" s="1790"/>
      <c r="BX63" s="1790"/>
      <c r="BY63" s="1791"/>
      <c r="BZ63" s="1790"/>
      <c r="CA63" s="1790"/>
      <c r="CB63" s="1790"/>
      <c r="CC63" s="1791"/>
      <c r="CD63" s="1790"/>
      <c r="CE63" s="1790"/>
      <c r="CF63" s="1790"/>
      <c r="CG63" s="1791"/>
      <c r="CH63" s="1800"/>
      <c r="CI63" s="1800"/>
      <c r="CJ63" s="1800"/>
      <c r="CK63" s="1801"/>
      <c r="CL63" s="1800"/>
      <c r="CM63" s="1800"/>
      <c r="CN63" s="1800"/>
      <c r="CO63" s="1801"/>
      <c r="CP63" s="1800"/>
      <c r="CQ63" s="1800"/>
      <c r="CR63" s="1800"/>
      <c r="CS63" s="1801"/>
      <c r="CT63" s="1800"/>
      <c r="CU63" s="1800"/>
      <c r="CV63" s="1800"/>
      <c r="CW63" s="1801"/>
      <c r="CX63" s="1800"/>
      <c r="CY63" s="1800"/>
      <c r="CZ63" s="1800"/>
      <c r="DA63" s="1801"/>
      <c r="DB63" s="1800"/>
      <c r="DC63" s="1800"/>
      <c r="DD63" s="1800"/>
      <c r="DE63" s="1801"/>
      <c r="DF63" s="1800"/>
      <c r="DG63" s="1800"/>
      <c r="DH63" s="1800"/>
      <c r="DI63" s="1801"/>
      <c r="DJ63" s="1800"/>
      <c r="DK63" s="1800"/>
      <c r="DL63" s="1800"/>
      <c r="DM63" s="1801"/>
      <c r="DN63" s="1800"/>
      <c r="DO63" s="1800"/>
      <c r="DP63" s="1800"/>
      <c r="DQ63" s="1802"/>
      <c r="DR63" s="1800">
        <f t="shared" ref="DR63:DR69" si="491">DR85*DR144</f>
      </c>
      <c r="DS63" s="1800">
        <f t="shared" ref="DS63:DU63" si="492">DS85*DS144</f>
      </c>
      <c r="DT63" s="1800">
        <f t="shared" si="492"/>
      </c>
      <c r="DU63" s="1801">
        <f t="shared" si="492"/>
      </c>
      <c r="DV63" s="1800">
        <f t="shared" ref="DV63:EK63" si="493">DV85*DV144</f>
      </c>
      <c r="DW63" s="1800">
        <f t="shared" si="493"/>
      </c>
      <c r="DX63" s="1800">
        <f t="shared" si="493"/>
      </c>
      <c r="DY63" s="1801">
        <f t="shared" si="493"/>
      </c>
      <c r="DZ63" s="1800">
        <f t="shared" si="493"/>
      </c>
      <c r="EA63" s="1800">
        <f t="shared" si="493"/>
      </c>
      <c r="EB63" s="1800">
        <f t="shared" si="493"/>
      </c>
      <c r="EC63" s="1801">
        <f t="shared" si="493"/>
      </c>
      <c r="ED63" s="1800">
        <f t="shared" si="493"/>
      </c>
      <c r="EE63" s="1800">
        <f t="shared" si="493"/>
      </c>
      <c r="EF63" s="1800">
        <f t="shared" si="493"/>
      </c>
      <c r="EG63" s="1801">
        <f t="shared" si="493"/>
      </c>
      <c r="EH63" s="1800">
        <f t="shared" si="493"/>
      </c>
      <c r="EI63" s="1800">
        <f t="shared" si="493"/>
      </c>
      <c r="EJ63" s="1800">
        <f t="shared" si="493"/>
      </c>
      <c r="EK63" s="1801">
        <f t="shared" si="493"/>
      </c>
      <c r="EM63" s="2192">
        <f t="shared" ref="EM63:EM66" si="494">SUM(B63:E63)</f>
      </c>
      <c r="EN63" s="2192">
        <f t="shared" ref="EN63:EN66" si="495">SUM(F63:I63)</f>
      </c>
      <c r="EO63" s="2192">
        <f t="shared" ref="EO63:EO66" si="496">SUM(J63:M63)</f>
      </c>
      <c r="EP63" s="2192">
        <f t="shared" ref="EP63:EP66" si="497">SUM(N63:Q63)</f>
      </c>
      <c r="EQ63" s="2192">
        <f t="shared" ref="EQ63:EQ66" si="498">SUM(R63:U63)</f>
      </c>
      <c r="ER63" s="2192">
        <f t="shared" ref="ER63:ER66" si="499">SUM(V63:Y63)</f>
      </c>
      <c r="ES63" s="2192">
        <f t="shared" ref="ES63:ES66" si="500">SUM(Z63:AC63)</f>
      </c>
      <c r="ET63" s="2192">
        <f t="shared" ref="ET63:ET66" si="501">SUM(AD63:AG63)</f>
      </c>
      <c r="EU63" s="2192">
        <f t="shared" ref="EU63:EU66" si="502">SUM(AH63:AK63)</f>
      </c>
      <c r="EV63" s="2192">
        <f t="shared" ref="EV63:EV66" si="503">SUM(AL63:AO63)</f>
      </c>
      <c r="EW63" s="2192">
        <f t="shared" ref="EW63:EW66" si="504">SUM(AP63:AS63)</f>
      </c>
      <c r="EX63" s="2192">
        <f t="shared" ref="EX63:EX66" si="505">SUM(AT63:AW63)</f>
      </c>
      <c r="EY63" s="2192">
        <f t="shared" ref="EY63:EY66" si="506">SUM(AX63:BA63)</f>
      </c>
      <c r="EZ63" s="2192">
        <f t="shared" ref="EZ63:EZ66" si="507">SUM(BB63:BE63)</f>
      </c>
      <c r="FA63" s="2192">
        <f t="shared" ref="FA63:FA66" si="508">SUM(BF63:BI63)</f>
      </c>
      <c r="FB63" s="2192">
        <f t="shared" ref="FB63:FB66" si="509">SUM(BJ63:BM63)</f>
      </c>
      <c r="FC63" s="2192">
        <f t="shared" ref="FC63:FC66" si="510">SUM(BN63:BQ63)</f>
      </c>
      <c r="FD63" s="2192">
        <f t="shared" ref="FD63:FD66" si="511">SUM(BR63:BU63)</f>
      </c>
      <c r="FE63" s="2192">
        <f t="shared" ref="FE63:FE66" si="512">SUM(BV63:BY63)</f>
      </c>
      <c r="FF63" s="2192">
        <f t="shared" ref="FF63:FF66" si="513">SUM(BZ63:CC63)</f>
      </c>
      <c r="FG63" s="2192"/>
      <c r="FH63" s="2192">
        <f t="shared" ref="FH63:FH66" si="514">SUM(CH63:CK63)</f>
      </c>
      <c r="FI63" s="2192">
        <f t="shared" ref="FI63:FI66" si="515">SUM(CL63:CO63)</f>
      </c>
      <c r="FJ63" s="2192">
        <f t="shared" ref="FJ63:FJ66" si="516">SUM(CP63:CS63)</f>
      </c>
      <c r="FK63" s="2192">
        <f t="shared" ref="FK63:FK66" si="517">SUM(CT63:CW63)</f>
      </c>
      <c r="FL63" s="2192">
        <f t="shared" ref="FL63:FL66" si="518">SUM(CX63:DA63)</f>
      </c>
      <c r="FM63" s="2192">
        <f t="shared" ref="FM63:FM66" si="519">SUM(DB63:DE63)</f>
      </c>
      <c r="FN63" s="2192">
        <f t="shared" ref="FN63:FN66" si="520">SUM(DF63:DI63)</f>
      </c>
      <c r="FO63" s="2192">
        <f t="shared" ref="FO63:FO66" si="521">SUM(DJ63:DM63)</f>
      </c>
      <c r="FP63" s="2192">
        <f t="shared" ref="FP63:FP66" si="522">SUM(DN63:DQ63)</f>
      </c>
      <c r="FQ63" s="2192">
        <f t="shared" ref="FQ63:FQ66" si="523">SUM(DR63:DU63)</f>
      </c>
      <c r="FR63" s="2192">
        <f t="shared" si="444"/>
      </c>
      <c r="FS63" s="2192">
        <f t="shared" si="445"/>
      </c>
      <c r="FT63" s="2192">
        <f t="shared" si="446"/>
      </c>
      <c r="FU63" s="2192">
        <f t="shared" si="447"/>
      </c>
      <c r="FW63" s="1788"/>
      <c r="FX63" s="1788"/>
      <c r="FY63" s="1788"/>
      <c r="FZ63" s="1788">
        <f t="shared" si="358"/>
      </c>
      <c r="GA63" s="1788">
        <f t="shared" si="359"/>
      </c>
      <c r="GB63" s="1788">
        <f t="shared" si="360"/>
      </c>
      <c r="GC63" s="1788">
        <f t="shared" si="361"/>
      </c>
      <c r="GD63" s="1788">
        <f t="shared" si="362"/>
      </c>
      <c r="GE63" s="1788">
        <f t="shared" si="363"/>
      </c>
      <c r="GF63" s="1788">
        <f t="shared" si="364"/>
      </c>
      <c r="GG63" s="1788">
        <f t="shared" si="365"/>
      </c>
      <c r="GH63" s="1788">
        <f t="shared" si="366"/>
      </c>
      <c r="GI63" s="1788">
        <f t="shared" si="367"/>
      </c>
      <c r="GJ63" s="1788">
        <f t="shared" si="368"/>
      </c>
      <c r="GK63" s="1788">
        <f t="shared" si="369"/>
      </c>
      <c r="GL63" s="1788">
        <f t="shared" si="370"/>
      </c>
      <c r="GM63" s="1788">
        <f t="shared" si="371"/>
      </c>
      <c r="GN63" s="1788">
        <f t="shared" si="372"/>
      </c>
      <c r="GO63" s="1788">
        <f t="shared" si="373"/>
      </c>
      <c r="GP63" s="1788">
        <f t="shared" si="374"/>
      </c>
      <c r="GQ63" s="1788">
        <f t="shared" si="375"/>
      </c>
      <c r="GR63" s="1788">
        <f t="shared" si="376"/>
      </c>
      <c r="GS63" s="1788">
        <f t="shared" si="377"/>
      </c>
      <c r="GT63" s="1788">
        <f t="shared" si="378"/>
      </c>
      <c r="GU63" s="1788">
        <f t="shared" si="379"/>
      </c>
      <c r="GV63" s="1788">
        <f t="shared" si="380"/>
      </c>
      <c r="GW63" s="1788">
        <f t="shared" si="381"/>
      </c>
      <c r="GX63" s="1788">
        <f t="shared" si="382"/>
      </c>
      <c r="GY63" s="1788">
        <f t="shared" si="383"/>
      </c>
      <c r="GZ63" s="1788">
        <f t="shared" si="384"/>
      </c>
      <c r="HA63" s="1788">
        <f t="shared" si="385"/>
      </c>
      <c r="HB63" s="1788">
        <f t="shared" si="386"/>
      </c>
      <c r="HC63" s="1788">
        <f t="shared" si="387"/>
      </c>
      <c r="HD63" s="1788">
        <f t="shared" si="388"/>
      </c>
      <c r="HE63" s="1788">
        <f t="shared" si="389"/>
      </c>
      <c r="HF63" s="1788">
        <f t="shared" si="390"/>
      </c>
    </row>
    <row r="64" spans="1:214" s="1787" customFormat="1" ht="10.199999999999999">
      <c r="A64" s="1789" t="s">
        <v>1504</v>
      </c>
      <c r="B64" s="1790"/>
      <c r="C64" s="1790"/>
      <c r="D64" s="1790"/>
      <c r="E64" s="1791"/>
      <c r="F64" s="1790"/>
      <c r="G64" s="1790"/>
      <c r="H64" s="1790"/>
      <c r="I64" s="1791"/>
      <c r="J64" s="1790"/>
      <c r="K64" s="1790"/>
      <c r="L64" s="1790"/>
      <c r="M64" s="1791"/>
      <c r="N64" s="1790"/>
      <c r="O64" s="1790"/>
      <c r="P64" s="1790"/>
      <c r="Q64" s="1791"/>
      <c r="R64" s="1790"/>
      <c r="S64" s="1790"/>
      <c r="T64" s="1790"/>
      <c r="U64" s="1791"/>
      <c r="V64" s="1790"/>
      <c r="W64" s="1790"/>
      <c r="X64" s="1790"/>
      <c r="Y64" s="1791"/>
      <c r="Z64" s="1790"/>
      <c r="AA64" s="1790"/>
      <c r="AB64" s="1790"/>
      <c r="AC64" s="1791"/>
      <c r="AD64" s="1790"/>
      <c r="AE64" s="1790"/>
      <c r="AF64" s="1790"/>
      <c r="AG64" s="1791"/>
      <c r="AH64" s="1790"/>
      <c r="AI64" s="1790"/>
      <c r="AJ64" s="1790"/>
      <c r="AK64" s="1791"/>
      <c r="AL64" s="1790"/>
      <c r="AM64" s="1790"/>
      <c r="AN64" s="1790"/>
      <c r="AO64" s="1791"/>
      <c r="AP64" s="1790"/>
      <c r="AQ64" s="1790"/>
      <c r="AR64" s="1790"/>
      <c r="AS64" s="1791"/>
      <c r="AT64" s="1790"/>
      <c r="AU64" s="1790"/>
      <c r="AV64" s="1790"/>
      <c r="AW64" s="1791"/>
      <c r="AX64" s="1790"/>
      <c r="AY64" s="1790"/>
      <c r="AZ64" s="1790"/>
      <c r="BA64" s="1791"/>
      <c r="BB64" s="1790"/>
      <c r="BC64" s="1790"/>
      <c r="BD64" s="1790"/>
      <c r="BE64" s="1791"/>
      <c r="BF64" s="1790"/>
      <c r="BG64" s="1790"/>
      <c r="BH64" s="1790"/>
      <c r="BI64" s="1791"/>
      <c r="BJ64" s="1790"/>
      <c r="BK64" s="1790"/>
      <c r="BL64" s="1790"/>
      <c r="BM64" s="1791"/>
      <c r="BN64" s="1790"/>
      <c r="BO64" s="1790"/>
      <c r="BP64" s="1790"/>
      <c r="BQ64" s="1791"/>
      <c r="BR64" s="1790"/>
      <c r="BS64" s="1790"/>
      <c r="BT64" s="1790"/>
      <c r="BU64" s="1791"/>
      <c r="BV64" s="1790"/>
      <c r="BW64" s="1790"/>
      <c r="BX64" s="1790"/>
      <c r="BY64" s="1791"/>
      <c r="BZ64" s="1790"/>
      <c r="CA64" s="1790"/>
      <c r="CB64" s="1790"/>
      <c r="CC64" s="1791"/>
      <c r="CD64" s="1790"/>
      <c r="CE64" s="1790"/>
      <c r="CF64" s="1790"/>
      <c r="CG64" s="1791"/>
      <c r="CH64" s="1800"/>
      <c r="CI64" s="1800"/>
      <c r="CJ64" s="1800"/>
      <c r="CK64" s="1801"/>
      <c r="CL64" s="1800"/>
      <c r="CM64" s="1800"/>
      <c r="CN64" s="1800"/>
      <c r="CO64" s="1801"/>
      <c r="CP64" s="1800"/>
      <c r="CQ64" s="1800"/>
      <c r="CR64" s="1800"/>
      <c r="CS64" s="1801"/>
      <c r="CT64" s="1800"/>
      <c r="CU64" s="1800"/>
      <c r="CV64" s="1800"/>
      <c r="CW64" s="1801"/>
      <c r="CX64" s="1800"/>
      <c r="CY64" s="1800"/>
      <c r="CZ64" s="1800"/>
      <c r="DA64" s="1801"/>
      <c r="DB64" s="1800"/>
      <c r="DC64" s="1800"/>
      <c r="DD64" s="1800"/>
      <c r="DE64" s="1801"/>
      <c r="DF64" s="1800"/>
      <c r="DG64" s="1800"/>
      <c r="DH64" s="1800"/>
      <c r="DI64" s="1801"/>
      <c r="DJ64" s="1800"/>
      <c r="DK64" s="1800"/>
      <c r="DL64" s="1800"/>
      <c r="DM64" s="1801"/>
      <c r="DN64" s="1800"/>
      <c r="DO64" s="1800"/>
      <c r="DP64" s="1800"/>
      <c r="DQ64" s="1802"/>
      <c r="DR64" s="1800">
        <f t="shared" si="491"/>
      </c>
      <c r="DS64" s="1800">
        <f t="shared" ref="DS64:DU64" si="524">DS86*DS145</f>
      </c>
      <c r="DT64" s="1800">
        <f t="shared" si="524"/>
      </c>
      <c r="DU64" s="1801">
        <f t="shared" si="524"/>
      </c>
      <c r="DV64" s="1800">
        <f t="shared" ref="DV64:EK64" si="525">DV86*DV145</f>
      </c>
      <c r="DW64" s="1800">
        <f t="shared" si="525"/>
      </c>
      <c r="DX64" s="1800">
        <f t="shared" si="525"/>
      </c>
      <c r="DY64" s="1801">
        <f t="shared" si="525"/>
      </c>
      <c r="DZ64" s="1800">
        <f t="shared" si="525"/>
      </c>
      <c r="EA64" s="1800">
        <f t="shared" si="525"/>
      </c>
      <c r="EB64" s="1800">
        <f t="shared" si="525"/>
      </c>
      <c r="EC64" s="1801">
        <f t="shared" si="525"/>
      </c>
      <c r="ED64" s="1800">
        <f t="shared" si="525"/>
      </c>
      <c r="EE64" s="1800">
        <f t="shared" si="525"/>
      </c>
      <c r="EF64" s="1800">
        <f t="shared" si="525"/>
      </c>
      <c r="EG64" s="1801">
        <f t="shared" si="525"/>
      </c>
      <c r="EH64" s="1800">
        <f t="shared" si="525"/>
      </c>
      <c r="EI64" s="1800">
        <f t="shared" si="525"/>
      </c>
      <c r="EJ64" s="1800">
        <f t="shared" si="525"/>
      </c>
      <c r="EK64" s="1801">
        <f t="shared" si="525"/>
      </c>
      <c r="EM64" s="2192">
        <f t="shared" si="494"/>
      </c>
      <c r="EN64" s="2192">
        <f t="shared" si="495"/>
      </c>
      <c r="EO64" s="2192">
        <f t="shared" si="496"/>
      </c>
      <c r="EP64" s="2192">
        <f t="shared" si="497"/>
      </c>
      <c r="EQ64" s="2192">
        <f t="shared" si="498"/>
      </c>
      <c r="ER64" s="2192">
        <f t="shared" si="499"/>
      </c>
      <c r="ES64" s="2192">
        <f t="shared" si="500"/>
      </c>
      <c r="ET64" s="2192">
        <f t="shared" si="501"/>
      </c>
      <c r="EU64" s="2192">
        <f t="shared" si="502"/>
      </c>
      <c r="EV64" s="2192">
        <f t="shared" si="503"/>
      </c>
      <c r="EW64" s="2192">
        <f t="shared" si="504"/>
      </c>
      <c r="EX64" s="2192">
        <f t="shared" si="505"/>
      </c>
      <c r="EY64" s="2192">
        <f t="shared" si="506"/>
      </c>
      <c r="EZ64" s="2192">
        <f t="shared" si="507"/>
      </c>
      <c r="FA64" s="2192">
        <f t="shared" si="508"/>
      </c>
      <c r="FB64" s="2192">
        <f t="shared" si="509"/>
      </c>
      <c r="FC64" s="2192">
        <f t="shared" si="510"/>
      </c>
      <c r="FD64" s="2192">
        <f t="shared" si="511"/>
      </c>
      <c r="FE64" s="2192">
        <f t="shared" si="512"/>
      </c>
      <c r="FF64" s="2192">
        <f t="shared" si="513"/>
      </c>
      <c r="FG64" s="2192"/>
      <c r="FH64" s="2192">
        <f t="shared" si="514"/>
      </c>
      <c r="FI64" s="2192">
        <f t="shared" si="515"/>
      </c>
      <c r="FJ64" s="2192">
        <f t="shared" si="516"/>
      </c>
      <c r="FK64" s="2192">
        <f t="shared" si="517"/>
      </c>
      <c r="FL64" s="2192">
        <f t="shared" si="518"/>
      </c>
      <c r="FM64" s="2192">
        <f t="shared" si="519"/>
      </c>
      <c r="FN64" s="2192">
        <f t="shared" si="520"/>
      </c>
      <c r="FO64" s="2192">
        <f t="shared" si="521"/>
      </c>
      <c r="FP64" s="2192">
        <f t="shared" si="522"/>
      </c>
      <c r="FQ64" s="2192">
        <f t="shared" si="523"/>
      </c>
      <c r="FR64" s="2192">
        <f t="shared" si="444"/>
      </c>
      <c r="FS64" s="2192">
        <f t="shared" si="445"/>
      </c>
      <c r="FT64" s="2192">
        <f t="shared" si="446"/>
      </c>
      <c r="FU64" s="2192">
        <f t="shared" si="447"/>
      </c>
      <c r="FW64" s="1788"/>
      <c r="FX64" s="1788"/>
      <c r="FY64" s="1788"/>
      <c r="FZ64" s="1788">
        <f t="shared" si="358"/>
      </c>
      <c r="GA64" s="1788">
        <f t="shared" si="359"/>
      </c>
      <c r="GB64" s="1788">
        <f t="shared" si="360"/>
      </c>
      <c r="GC64" s="1788">
        <f t="shared" si="361"/>
      </c>
      <c r="GD64" s="1788">
        <f t="shared" si="362"/>
      </c>
      <c r="GE64" s="1788">
        <f t="shared" si="363"/>
      </c>
      <c r="GF64" s="1788">
        <f t="shared" si="364"/>
      </c>
      <c r="GG64" s="1788">
        <f t="shared" si="365"/>
      </c>
      <c r="GH64" s="1788">
        <f t="shared" si="366"/>
      </c>
      <c r="GI64" s="1788">
        <f t="shared" si="367"/>
      </c>
      <c r="GJ64" s="1788">
        <f t="shared" si="368"/>
      </c>
      <c r="GK64" s="1788">
        <f t="shared" si="369"/>
      </c>
      <c r="GL64" s="1788">
        <f t="shared" si="370"/>
      </c>
      <c r="GM64" s="1788">
        <f t="shared" si="371"/>
      </c>
      <c r="GN64" s="1788">
        <f t="shared" si="372"/>
      </c>
      <c r="GO64" s="1788">
        <f t="shared" si="373"/>
      </c>
      <c r="GP64" s="1788">
        <f t="shared" si="374"/>
      </c>
      <c r="GQ64" s="1788">
        <f t="shared" si="375"/>
      </c>
      <c r="GR64" s="1788">
        <f t="shared" si="376"/>
      </c>
      <c r="GS64" s="1788">
        <f t="shared" si="377"/>
      </c>
      <c r="GT64" s="1788">
        <f t="shared" si="378"/>
      </c>
      <c r="GU64" s="1788">
        <f t="shared" si="379"/>
      </c>
      <c r="GV64" s="1788">
        <f t="shared" si="380"/>
      </c>
      <c r="GW64" s="1788">
        <f t="shared" si="381"/>
      </c>
      <c r="GX64" s="1788">
        <f t="shared" si="382"/>
      </c>
      <c r="GY64" s="1788">
        <f t="shared" si="383"/>
      </c>
      <c r="GZ64" s="1788">
        <f t="shared" si="384"/>
      </c>
      <c r="HA64" s="1788">
        <f t="shared" si="385"/>
      </c>
      <c r="HB64" s="1788">
        <f t="shared" si="386"/>
      </c>
      <c r="HC64" s="1788">
        <f t="shared" si="387"/>
      </c>
      <c r="HD64" s="1788">
        <f t="shared" si="388"/>
      </c>
      <c r="HE64" s="1788">
        <f t="shared" si="389"/>
      </c>
      <c r="HF64" s="1788">
        <f t="shared" si="390"/>
      </c>
    </row>
    <row r="65" spans="1:214" s="1787" customFormat="1" ht="10.199999999999999">
      <c r="A65" s="1789" t="s">
        <v>1505</v>
      </c>
      <c r="B65" s="1790"/>
      <c r="C65" s="1790"/>
      <c r="D65" s="1790"/>
      <c r="E65" s="1791"/>
      <c r="F65" s="1790"/>
      <c r="G65" s="1790"/>
      <c r="H65" s="1790"/>
      <c r="I65" s="1791"/>
      <c r="J65" s="1790"/>
      <c r="K65" s="1790"/>
      <c r="L65" s="1790"/>
      <c r="M65" s="1791"/>
      <c r="N65" s="1790"/>
      <c r="O65" s="1790"/>
      <c r="P65" s="1790"/>
      <c r="Q65" s="1791"/>
      <c r="R65" s="1790"/>
      <c r="S65" s="1790"/>
      <c r="T65" s="1790"/>
      <c r="U65" s="1791"/>
      <c r="V65" s="1790"/>
      <c r="W65" s="1790"/>
      <c r="X65" s="1790"/>
      <c r="Y65" s="1791"/>
      <c r="Z65" s="1790"/>
      <c r="AA65" s="1790"/>
      <c r="AB65" s="1790"/>
      <c r="AC65" s="1791"/>
      <c r="AD65" s="1790"/>
      <c r="AE65" s="1790"/>
      <c r="AF65" s="1790"/>
      <c r="AG65" s="1791"/>
      <c r="AH65" s="1790"/>
      <c r="AI65" s="1790"/>
      <c r="AJ65" s="1790"/>
      <c r="AK65" s="1791"/>
      <c r="AL65" s="1790"/>
      <c r="AM65" s="1790"/>
      <c r="AN65" s="1790"/>
      <c r="AO65" s="1791"/>
      <c r="AP65" s="1790"/>
      <c r="AQ65" s="1790"/>
      <c r="AR65" s="1790"/>
      <c r="AS65" s="1791"/>
      <c r="AT65" s="1790"/>
      <c r="AU65" s="1790"/>
      <c r="AV65" s="1790"/>
      <c r="AW65" s="1791"/>
      <c r="AX65" s="1790"/>
      <c r="AY65" s="1790"/>
      <c r="AZ65" s="1790"/>
      <c r="BA65" s="1791"/>
      <c r="BB65" s="1790"/>
      <c r="BC65" s="1790"/>
      <c r="BD65" s="1790"/>
      <c r="BE65" s="1791"/>
      <c r="BF65" s="1790"/>
      <c r="BG65" s="1790"/>
      <c r="BH65" s="1790"/>
      <c r="BI65" s="1791"/>
      <c r="BJ65" s="1790"/>
      <c r="BK65" s="1790"/>
      <c r="BL65" s="1790"/>
      <c r="BM65" s="1791"/>
      <c r="BN65" s="1790"/>
      <c r="BO65" s="1790"/>
      <c r="BP65" s="1790"/>
      <c r="BQ65" s="1791"/>
      <c r="BR65" s="1790"/>
      <c r="BS65" s="1790"/>
      <c r="BT65" s="1790"/>
      <c r="BU65" s="1791"/>
      <c r="BV65" s="1790"/>
      <c r="BW65" s="1790"/>
      <c r="BX65" s="1790"/>
      <c r="BY65" s="1791"/>
      <c r="BZ65" s="1790"/>
      <c r="CA65" s="1790"/>
      <c r="CB65" s="1790"/>
      <c r="CC65" s="1791"/>
      <c r="CD65" s="1790"/>
      <c r="CE65" s="1790"/>
      <c r="CF65" s="1790"/>
      <c r="CG65" s="1791"/>
      <c r="CH65" s="1800"/>
      <c r="CI65" s="1800"/>
      <c r="CJ65" s="1800"/>
      <c r="CK65" s="1801"/>
      <c r="CL65" s="1800"/>
      <c r="CM65" s="1800"/>
      <c r="CN65" s="1800"/>
      <c r="CO65" s="1801"/>
      <c r="CP65" s="1800"/>
      <c r="CQ65" s="1800"/>
      <c r="CR65" s="1800"/>
      <c r="CS65" s="1801"/>
      <c r="CT65" s="1800"/>
      <c r="CU65" s="1800"/>
      <c r="CV65" s="1800"/>
      <c r="CW65" s="1801"/>
      <c r="CX65" s="1800"/>
      <c r="CY65" s="1800"/>
      <c r="CZ65" s="1800"/>
      <c r="DA65" s="1801"/>
      <c r="DB65" s="1800"/>
      <c r="DC65" s="1800"/>
      <c r="DD65" s="1800"/>
      <c r="DE65" s="1801"/>
      <c r="DF65" s="1800"/>
      <c r="DG65" s="1800"/>
      <c r="DH65" s="1800"/>
      <c r="DI65" s="1801"/>
      <c r="DJ65" s="1800"/>
      <c r="DK65" s="1800"/>
      <c r="DL65" s="1800"/>
      <c r="DM65" s="1801"/>
      <c r="DN65" s="1800"/>
      <c r="DO65" s="1800"/>
      <c r="DP65" s="1800"/>
      <c r="DQ65" s="1802"/>
      <c r="DR65" s="1800">
        <f t="shared" si="491"/>
      </c>
      <c r="DS65" s="1800">
        <f t="shared" ref="DS65:DT66" si="526">DS87*DS146</f>
      </c>
      <c r="DT65" s="1800">
        <f t="shared" si="526"/>
      </c>
      <c r="DU65" s="1801">
        <f>DU87*DU146</f>
      </c>
      <c r="DV65" s="1800">
        <f t="shared" ref="DV65:DX66" si="527">DV87*DV146</f>
      </c>
      <c r="DW65" s="1800">
        <f t="shared" si="527"/>
      </c>
      <c r="DX65" s="1800">
        <f t="shared" si="527"/>
      </c>
      <c r="DY65" s="1801">
        <f>DY87*DY146</f>
      </c>
      <c r="DZ65" s="1800">
        <f t="shared" ref="DZ65:EB66" si="528">DZ87*DZ146</f>
      </c>
      <c r="EA65" s="1800">
        <f t="shared" si="528"/>
      </c>
      <c r="EB65" s="1800">
        <f t="shared" si="528"/>
      </c>
      <c r="EC65" s="1801">
        <f>EC87*EC146</f>
      </c>
      <c r="ED65" s="1800">
        <f t="shared" ref="ED65:EF66" si="529">ED87*ED146</f>
      </c>
      <c r="EE65" s="1800">
        <f t="shared" si="529"/>
      </c>
      <c r="EF65" s="1800">
        <f t="shared" si="529"/>
      </c>
      <c r="EG65" s="1801">
        <f>EG87*EG146</f>
      </c>
      <c r="EH65" s="1800">
        <f t="shared" ref="EH65:EJ66" si="530">EH87*EH146</f>
      </c>
      <c r="EI65" s="1800">
        <f t="shared" si="530"/>
      </c>
      <c r="EJ65" s="1800">
        <f t="shared" si="530"/>
      </c>
      <c r="EK65" s="1801">
        <f>EK87*EK146</f>
      </c>
      <c r="EM65" s="2192">
        <f t="shared" si="494"/>
      </c>
      <c r="EN65" s="2192">
        <f t="shared" si="495"/>
      </c>
      <c r="EO65" s="2192">
        <f t="shared" si="496"/>
      </c>
      <c r="EP65" s="2192">
        <f t="shared" si="497"/>
      </c>
      <c r="EQ65" s="2192">
        <f t="shared" si="498"/>
      </c>
      <c r="ER65" s="2192">
        <f t="shared" si="499"/>
      </c>
      <c r="ES65" s="2192">
        <f t="shared" si="500"/>
      </c>
      <c r="ET65" s="2192">
        <f t="shared" si="501"/>
      </c>
      <c r="EU65" s="2192">
        <f t="shared" si="502"/>
      </c>
      <c r="EV65" s="2192">
        <f t="shared" si="503"/>
      </c>
      <c r="EW65" s="2192">
        <f t="shared" si="504"/>
      </c>
      <c r="EX65" s="2192">
        <f t="shared" si="505"/>
      </c>
      <c r="EY65" s="2192">
        <f t="shared" si="506"/>
      </c>
      <c r="EZ65" s="2192">
        <f t="shared" si="507"/>
      </c>
      <c r="FA65" s="2192">
        <f t="shared" si="508"/>
      </c>
      <c r="FB65" s="2192">
        <f t="shared" si="509"/>
      </c>
      <c r="FC65" s="2192">
        <f t="shared" si="510"/>
      </c>
      <c r="FD65" s="2192">
        <f t="shared" si="511"/>
      </c>
      <c r="FE65" s="2192">
        <f t="shared" si="512"/>
      </c>
      <c r="FF65" s="2192">
        <f t="shared" si="513"/>
      </c>
      <c r="FG65" s="2192"/>
      <c r="FH65" s="2192">
        <f t="shared" si="514"/>
      </c>
      <c r="FI65" s="2192">
        <f t="shared" si="515"/>
      </c>
      <c r="FJ65" s="2192">
        <f t="shared" si="516"/>
      </c>
      <c r="FK65" s="2192">
        <f t="shared" si="517"/>
      </c>
      <c r="FL65" s="2192">
        <f t="shared" si="518"/>
      </c>
      <c r="FM65" s="2192">
        <f t="shared" si="519"/>
      </c>
      <c r="FN65" s="2192">
        <f t="shared" si="520"/>
      </c>
      <c r="FO65" s="2192">
        <f t="shared" si="521"/>
      </c>
      <c r="FP65" s="2192">
        <f t="shared" si="522"/>
      </c>
      <c r="FQ65" s="2192">
        <f t="shared" si="523"/>
      </c>
      <c r="FR65" s="2192">
        <f t="shared" si="444"/>
      </c>
      <c r="FS65" s="2192">
        <f t="shared" si="445"/>
      </c>
      <c r="FT65" s="2192">
        <f t="shared" si="446"/>
      </c>
      <c r="FU65" s="2192">
        <f t="shared" si="447"/>
      </c>
      <c r="FW65" s="1788"/>
      <c r="FX65" s="1788"/>
      <c r="FY65" s="1788"/>
      <c r="FZ65" s="1788">
        <f t="shared" si="358"/>
      </c>
      <c r="GA65" s="1788">
        <f t="shared" si="359"/>
      </c>
      <c r="GB65" s="1788">
        <f t="shared" si="360"/>
      </c>
      <c r="GC65" s="1788">
        <f t="shared" si="361"/>
      </c>
      <c r="GD65" s="1788">
        <f t="shared" si="362"/>
      </c>
      <c r="GE65" s="1788">
        <f t="shared" si="363"/>
      </c>
      <c r="GF65" s="1788">
        <f t="shared" si="364"/>
      </c>
      <c r="GG65" s="1788">
        <f t="shared" si="365"/>
      </c>
      <c r="GH65" s="1788">
        <f t="shared" si="366"/>
      </c>
      <c r="GI65" s="1788">
        <f t="shared" si="367"/>
      </c>
      <c r="GJ65" s="1788">
        <f t="shared" si="368"/>
      </c>
      <c r="GK65" s="1788">
        <f t="shared" si="369"/>
      </c>
      <c r="GL65" s="1788">
        <f t="shared" si="370"/>
      </c>
      <c r="GM65" s="1788">
        <f t="shared" si="371"/>
      </c>
      <c r="GN65" s="1788">
        <f t="shared" si="372"/>
      </c>
      <c r="GO65" s="1788">
        <f t="shared" si="373"/>
      </c>
      <c r="GP65" s="1788">
        <f t="shared" si="374"/>
      </c>
      <c r="GQ65" s="1788">
        <f t="shared" si="375"/>
      </c>
      <c r="GR65" s="1788">
        <f t="shared" si="376"/>
      </c>
      <c r="GS65" s="1788">
        <f t="shared" si="377"/>
      </c>
      <c r="GT65" s="1788">
        <f t="shared" si="378"/>
      </c>
      <c r="GU65" s="1788">
        <f t="shared" si="379"/>
      </c>
      <c r="GV65" s="1788">
        <f t="shared" si="380"/>
      </c>
      <c r="GW65" s="1788">
        <f t="shared" si="381"/>
      </c>
      <c r="GX65" s="1788">
        <f t="shared" si="382"/>
      </c>
      <c r="GY65" s="1788">
        <f t="shared" si="383"/>
      </c>
      <c r="GZ65" s="1788">
        <f t="shared" si="384"/>
      </c>
      <c r="HA65" s="1788">
        <f t="shared" si="385"/>
      </c>
      <c r="HB65" s="1788">
        <f t="shared" si="386"/>
      </c>
      <c r="HC65" s="1788">
        <f t="shared" si="387"/>
      </c>
      <c r="HD65" s="1788">
        <f t="shared" si="388"/>
      </c>
      <c r="HE65" s="1788">
        <f t="shared" si="389"/>
      </c>
      <c r="HF65" s="1788">
        <f t="shared" si="390"/>
      </c>
    </row>
    <row r="66" spans="1:214" s="1787" customFormat="1" ht="10.199999999999999">
      <c r="A66" s="1789" t="s">
        <v>1522</v>
      </c>
      <c r="B66" s="1790"/>
      <c r="C66" s="1790"/>
      <c r="D66" s="1790"/>
      <c r="E66" s="1791"/>
      <c r="F66" s="1790"/>
      <c r="G66" s="1790"/>
      <c r="H66" s="1790"/>
      <c r="I66" s="1791"/>
      <c r="J66" s="1790"/>
      <c r="K66" s="1790"/>
      <c r="L66" s="1790"/>
      <c r="M66" s="1791"/>
      <c r="N66" s="1790"/>
      <c r="O66" s="1790"/>
      <c r="P66" s="1790"/>
      <c r="Q66" s="1791"/>
      <c r="R66" s="1790"/>
      <c r="S66" s="1790"/>
      <c r="T66" s="1790"/>
      <c r="U66" s="1791"/>
      <c r="V66" s="1790"/>
      <c r="W66" s="1790"/>
      <c r="X66" s="1790"/>
      <c r="Y66" s="1791"/>
      <c r="Z66" s="1790"/>
      <c r="AA66" s="1790"/>
      <c r="AB66" s="1790"/>
      <c r="AC66" s="1791"/>
      <c r="AD66" s="1790"/>
      <c r="AE66" s="1790"/>
      <c r="AF66" s="1790"/>
      <c r="AG66" s="1791"/>
      <c r="AH66" s="1790"/>
      <c r="AI66" s="1790"/>
      <c r="AJ66" s="1790"/>
      <c r="AK66" s="1791"/>
      <c r="AL66" s="1790"/>
      <c r="AM66" s="1790"/>
      <c r="AN66" s="1790"/>
      <c r="AO66" s="1791"/>
      <c r="AP66" s="1790"/>
      <c r="AQ66" s="1790"/>
      <c r="AR66" s="1790"/>
      <c r="AS66" s="1791"/>
      <c r="AT66" s="1790"/>
      <c r="AU66" s="1790"/>
      <c r="AV66" s="1790"/>
      <c r="AW66" s="1791"/>
      <c r="AX66" s="1790"/>
      <c r="AY66" s="1790"/>
      <c r="AZ66" s="1790"/>
      <c r="BA66" s="1791"/>
      <c r="BB66" s="1790"/>
      <c r="BC66" s="1790"/>
      <c r="BD66" s="1790"/>
      <c r="BE66" s="1791"/>
      <c r="BF66" s="1790"/>
      <c r="BG66" s="1790"/>
      <c r="BH66" s="1790"/>
      <c r="BI66" s="1791"/>
      <c r="BJ66" s="1790"/>
      <c r="BK66" s="1790"/>
      <c r="BL66" s="1790"/>
      <c r="BM66" s="1791"/>
      <c r="BN66" s="1790"/>
      <c r="BO66" s="1790"/>
      <c r="BP66" s="1790"/>
      <c r="BQ66" s="1791"/>
      <c r="BR66" s="1790"/>
      <c r="BS66" s="1790"/>
      <c r="BT66" s="1790"/>
      <c r="BU66" s="1791"/>
      <c r="BV66" s="1790"/>
      <c r="BW66" s="1790"/>
      <c r="BX66" s="1790"/>
      <c r="BY66" s="1791"/>
      <c r="BZ66" s="1790"/>
      <c r="CA66" s="1790"/>
      <c r="CB66" s="1790"/>
      <c r="CC66" s="1791"/>
      <c r="CD66" s="1790"/>
      <c r="CE66" s="1790"/>
      <c r="CF66" s="1790"/>
      <c r="CG66" s="1791"/>
      <c r="CH66" s="1800"/>
      <c r="CI66" s="1800"/>
      <c r="CJ66" s="1800"/>
      <c r="CK66" s="1801"/>
      <c r="CL66" s="1800"/>
      <c r="CM66" s="1800"/>
      <c r="CN66" s="1800"/>
      <c r="CO66" s="1801"/>
      <c r="CP66" s="1800"/>
      <c r="CQ66" s="1800"/>
      <c r="CR66" s="1800"/>
      <c r="CS66" s="1801"/>
      <c r="CT66" s="1800"/>
      <c r="CU66" s="1800"/>
      <c r="CV66" s="1800"/>
      <c r="CW66" s="1801"/>
      <c r="CX66" s="1800"/>
      <c r="CY66" s="1800"/>
      <c r="CZ66" s="1800"/>
      <c r="DA66" s="1801"/>
      <c r="DB66" s="1800"/>
      <c r="DC66" s="1800"/>
      <c r="DD66" s="1800"/>
      <c r="DE66" s="1801"/>
      <c r="DF66" s="1800"/>
      <c r="DG66" s="1800"/>
      <c r="DH66" s="1800"/>
      <c r="DI66" s="1801"/>
      <c r="DJ66" s="1800"/>
      <c r="DK66" s="1800"/>
      <c r="DL66" s="1800"/>
      <c r="DM66" s="1801"/>
      <c r="DN66" s="1800"/>
      <c r="DO66" s="1800"/>
      <c r="DP66" s="1800"/>
      <c r="DQ66" s="1802"/>
      <c r="DR66" s="1800">
        <f t="shared" si="491"/>
      </c>
      <c r="DS66" s="1800">
        <f t="shared" si="526"/>
      </c>
      <c r="DT66" s="1800">
        <f t="shared" si="526"/>
      </c>
      <c r="DU66" s="1801">
        <f>DU88*DU147</f>
      </c>
      <c r="DV66" s="1800">
        <f t="shared" si="527"/>
      </c>
      <c r="DW66" s="1800">
        <f t="shared" si="527"/>
      </c>
      <c r="DX66" s="1800">
        <f t="shared" si="527"/>
      </c>
      <c r="DY66" s="1801">
        <f>DY88*DY147</f>
      </c>
      <c r="DZ66" s="1800">
        <f t="shared" si="528"/>
      </c>
      <c r="EA66" s="1800">
        <f t="shared" si="528"/>
      </c>
      <c r="EB66" s="1800">
        <f t="shared" si="528"/>
      </c>
      <c r="EC66" s="1801">
        <f>EC88*EC147</f>
      </c>
      <c r="ED66" s="1800">
        <f t="shared" si="529"/>
      </c>
      <c r="EE66" s="1800">
        <f t="shared" si="529"/>
      </c>
      <c r="EF66" s="1800">
        <f t="shared" si="529"/>
      </c>
      <c r="EG66" s="1801">
        <f>EG88*EG147</f>
      </c>
      <c r="EH66" s="1800">
        <f t="shared" si="530"/>
      </c>
      <c r="EI66" s="1800">
        <f t="shared" si="530"/>
      </c>
      <c r="EJ66" s="1800">
        <f t="shared" si="530"/>
      </c>
      <c r="EK66" s="1801">
        <f>EK88*EK147</f>
      </c>
      <c r="EM66" s="2192">
        <f t="shared" si="494"/>
      </c>
      <c r="EN66" s="2192">
        <f t="shared" si="495"/>
      </c>
      <c r="EO66" s="2192">
        <f t="shared" si="496"/>
      </c>
      <c r="EP66" s="2192">
        <f t="shared" si="497"/>
      </c>
      <c r="EQ66" s="2192">
        <f t="shared" si="498"/>
      </c>
      <c r="ER66" s="2192">
        <f t="shared" si="499"/>
      </c>
      <c r="ES66" s="2192">
        <f t="shared" si="500"/>
      </c>
      <c r="ET66" s="2192">
        <f t="shared" si="501"/>
      </c>
      <c r="EU66" s="2192">
        <f t="shared" si="502"/>
      </c>
      <c r="EV66" s="2192">
        <f t="shared" si="503"/>
      </c>
      <c r="EW66" s="2192">
        <f t="shared" si="504"/>
      </c>
      <c r="EX66" s="2192">
        <f t="shared" si="505"/>
      </c>
      <c r="EY66" s="2192">
        <f t="shared" si="506"/>
      </c>
      <c r="EZ66" s="2192">
        <f t="shared" si="507"/>
      </c>
      <c r="FA66" s="2192">
        <f t="shared" si="508"/>
      </c>
      <c r="FB66" s="2192">
        <f t="shared" si="509"/>
      </c>
      <c r="FC66" s="2192">
        <f t="shared" si="510"/>
      </c>
      <c r="FD66" s="2192">
        <f t="shared" si="511"/>
      </c>
      <c r="FE66" s="2192">
        <f t="shared" si="512"/>
      </c>
      <c r="FF66" s="2192">
        <f t="shared" si="513"/>
      </c>
      <c r="FG66" s="2192"/>
      <c r="FH66" s="2192">
        <f t="shared" si="514"/>
      </c>
      <c r="FI66" s="2192">
        <f t="shared" si="515"/>
      </c>
      <c r="FJ66" s="2192">
        <f t="shared" si="516"/>
      </c>
      <c r="FK66" s="2192">
        <f t="shared" si="517"/>
      </c>
      <c r="FL66" s="2192">
        <f t="shared" si="518"/>
      </c>
      <c r="FM66" s="2192">
        <f t="shared" si="519"/>
      </c>
      <c r="FN66" s="2192">
        <f t="shared" si="520"/>
      </c>
      <c r="FO66" s="2192">
        <f t="shared" si="521"/>
      </c>
      <c r="FP66" s="2192">
        <f t="shared" si="522"/>
      </c>
      <c r="FQ66" s="2192">
        <f t="shared" si="523"/>
      </c>
      <c r="FR66" s="2192">
        <f t="shared" si="444"/>
      </c>
      <c r="FS66" s="2192">
        <f t="shared" si="445"/>
      </c>
      <c r="FT66" s="2192">
        <f t="shared" si="446"/>
      </c>
      <c r="FU66" s="2192">
        <f t="shared" si="447"/>
      </c>
      <c r="FW66" s="1788"/>
      <c r="FX66" s="1788"/>
      <c r="FY66" s="1788"/>
      <c r="FZ66" s="1788">
        <f t="shared" si="358"/>
      </c>
      <c r="GA66" s="1788">
        <f t="shared" si="359"/>
      </c>
      <c r="GB66" s="1788">
        <f t="shared" si="360"/>
      </c>
      <c r="GC66" s="1788">
        <f t="shared" si="361"/>
      </c>
      <c r="GD66" s="1788">
        <f t="shared" si="362"/>
      </c>
      <c r="GE66" s="1788">
        <f t="shared" si="363"/>
      </c>
      <c r="GF66" s="1788">
        <f t="shared" si="364"/>
      </c>
      <c r="GG66" s="1788">
        <f t="shared" si="365"/>
      </c>
      <c r="GH66" s="1788">
        <f t="shared" si="366"/>
      </c>
      <c r="GI66" s="1788">
        <f t="shared" si="367"/>
      </c>
      <c r="GJ66" s="1788">
        <f t="shared" si="368"/>
      </c>
      <c r="GK66" s="1788">
        <f t="shared" si="369"/>
      </c>
      <c r="GL66" s="1788">
        <f t="shared" si="370"/>
      </c>
      <c r="GM66" s="1788">
        <f t="shared" si="371"/>
      </c>
      <c r="GN66" s="1788">
        <f t="shared" si="372"/>
      </c>
      <c r="GO66" s="1788">
        <f t="shared" si="373"/>
      </c>
      <c r="GP66" s="1788">
        <f t="shared" si="374"/>
      </c>
      <c r="GQ66" s="1788">
        <f t="shared" si="375"/>
      </c>
      <c r="GR66" s="1788">
        <f t="shared" si="376"/>
      </c>
      <c r="GS66" s="1788">
        <f t="shared" si="377"/>
      </c>
      <c r="GT66" s="1788">
        <f t="shared" si="378"/>
      </c>
      <c r="GU66" s="1788">
        <f t="shared" si="379"/>
      </c>
      <c r="GV66" s="1788">
        <f t="shared" si="380"/>
      </c>
      <c r="GW66" s="1788">
        <f t="shared" si="381"/>
      </c>
      <c r="GX66" s="1788">
        <f t="shared" si="382"/>
      </c>
      <c r="GY66" s="1788">
        <f t="shared" si="383"/>
      </c>
      <c r="GZ66" s="1788">
        <f t="shared" si="384"/>
      </c>
      <c r="HA66" s="1788">
        <f t="shared" si="385"/>
      </c>
      <c r="HB66" s="1788">
        <f t="shared" si="386"/>
      </c>
      <c r="HC66" s="1788">
        <f t="shared" si="387"/>
      </c>
      <c r="HD66" s="1788">
        <f t="shared" si="388"/>
      </c>
      <c r="HE66" s="1788">
        <f t="shared" si="389"/>
      </c>
      <c r="HF66" s="1788">
        <f t="shared" si="390"/>
      </c>
    </row>
    <row r="67" spans="1:214" s="1787" customFormat="1" ht="10.199999999999999">
      <c r="A67" s="1789" t="s">
        <v>1458</v>
      </c>
      <c r="B67" s="1790"/>
      <c r="C67" s="1790"/>
      <c r="D67" s="1790"/>
      <c r="E67" s="1791"/>
      <c r="F67" s="1790"/>
      <c r="G67" s="1790"/>
      <c r="H67" s="1790"/>
      <c r="I67" s="1791"/>
      <c r="J67" s="1790"/>
      <c r="K67" s="1790"/>
      <c r="L67" s="1790"/>
      <c r="M67" s="1791"/>
      <c r="N67" s="1790"/>
      <c r="O67" s="1790"/>
      <c r="P67" s="1790"/>
      <c r="Q67" s="1791"/>
      <c r="R67" s="1790"/>
      <c r="S67" s="1790"/>
      <c r="T67" s="1790"/>
      <c r="U67" s="1791"/>
      <c r="V67" s="1790"/>
      <c r="W67" s="1790"/>
      <c r="X67" s="1790"/>
      <c r="Y67" s="1791"/>
      <c r="Z67" s="1790"/>
      <c r="AA67" s="1790"/>
      <c r="AB67" s="1790"/>
      <c r="AC67" s="1791"/>
      <c r="AD67" s="1790"/>
      <c r="AE67" s="1790"/>
      <c r="AF67" s="1790"/>
      <c r="AG67" s="1791"/>
      <c r="AH67" s="1790"/>
      <c r="AI67" s="1790"/>
      <c r="AJ67" s="1790"/>
      <c r="AK67" s="1791"/>
      <c r="AL67" s="1790"/>
      <c r="AM67" s="1790"/>
      <c r="AN67" s="1790"/>
      <c r="AO67" s="1791"/>
      <c r="AP67" s="1790"/>
      <c r="AQ67" s="1790"/>
      <c r="AR67" s="1790"/>
      <c r="AS67" s="1791"/>
      <c r="AT67" s="1790"/>
      <c r="AU67" s="1790"/>
      <c r="AV67" s="1790"/>
      <c r="AW67" s="1791"/>
      <c r="AX67" s="1790"/>
      <c r="AY67" s="1790"/>
      <c r="AZ67" s="1790"/>
      <c r="BA67" s="1791"/>
      <c r="BB67" s="1790"/>
      <c r="BC67" s="1790"/>
      <c r="BD67" s="1790"/>
      <c r="BE67" s="1791"/>
      <c r="BF67" s="1790"/>
      <c r="BG67" s="1790"/>
      <c r="BH67" s="1790"/>
      <c r="BI67" s="1791"/>
      <c r="BJ67" s="1790"/>
      <c r="BK67" s="1790"/>
      <c r="BL67" s="1790"/>
      <c r="BM67" s="1791"/>
      <c r="BN67" s="1790"/>
      <c r="BO67" s="1790"/>
      <c r="BP67" s="1790"/>
      <c r="BQ67" s="1791"/>
      <c r="BR67" s="1790"/>
      <c r="BS67" s="1790"/>
      <c r="BT67" s="1790"/>
      <c r="BU67" s="1791"/>
      <c r="BV67" s="1790"/>
      <c r="BW67" s="1790"/>
      <c r="BX67" s="1790"/>
      <c r="BY67" s="1791"/>
      <c r="BZ67" s="1790"/>
      <c r="CA67" s="1790"/>
      <c r="CB67" s="1790"/>
      <c r="CC67" s="1791"/>
      <c r="CD67" s="1790"/>
      <c r="CE67" s="1790"/>
      <c r="CF67" s="1790"/>
      <c r="CG67" s="1791"/>
      <c r="CH67" s="1800">
        <f t="shared" ref="CH67:DU68" si="531">CH89*CH148</f>
      </c>
      <c r="CI67" s="1800">
        <f t="shared" si="531"/>
      </c>
      <c r="CJ67" s="1800">
        <f t="shared" si="531"/>
      </c>
      <c r="CK67" s="1801">
        <f t="shared" si="531"/>
      </c>
      <c r="CL67" s="1800">
        <f t="shared" si="531"/>
      </c>
      <c r="CM67" s="1800">
        <f t="shared" si="531"/>
      </c>
      <c r="CN67" s="1800">
        <f t="shared" si="531"/>
      </c>
      <c r="CO67" s="1801">
        <f t="shared" si="531"/>
      </c>
      <c r="CP67" s="1800">
        <f t="shared" si="531"/>
      </c>
      <c r="CQ67" s="1800">
        <f t="shared" si="531"/>
      </c>
      <c r="CR67" s="1800">
        <f t="shared" si="531"/>
      </c>
      <c r="CS67" s="1801">
        <f t="shared" si="531"/>
      </c>
      <c r="CT67" s="1800">
        <f t="shared" si="531"/>
      </c>
      <c r="CU67" s="1800">
        <f t="shared" si="531"/>
      </c>
      <c r="CV67" s="1800">
        <f t="shared" si="531"/>
      </c>
      <c r="CW67" s="1801">
        <f t="shared" si="531"/>
      </c>
      <c r="CX67" s="1800">
        <f t="shared" si="531"/>
      </c>
      <c r="CY67" s="1800">
        <f t="shared" si="531"/>
      </c>
      <c r="CZ67" s="1800">
        <f t="shared" si="531"/>
      </c>
      <c r="DA67" s="1801">
        <f t="shared" si="531"/>
      </c>
      <c r="DB67" s="1800">
        <f t="shared" si="531"/>
      </c>
      <c r="DC67" s="1803">
        <f t="shared" si="531"/>
      </c>
      <c r="DD67" s="1800">
        <f t="shared" si="531"/>
      </c>
      <c r="DE67" s="1801">
        <f t="shared" si="531"/>
      </c>
      <c r="DF67" s="1800">
        <f t="shared" si="531"/>
      </c>
      <c r="DG67" s="1800">
        <f t="shared" si="531"/>
      </c>
      <c r="DH67" s="1800">
        <f t="shared" si="531"/>
      </c>
      <c r="DI67" s="1801">
        <f t="shared" si="531"/>
      </c>
      <c r="DJ67" s="1800">
        <f t="shared" ref="DJ67" si="532">DJ89*DJ148</f>
      </c>
      <c r="DK67" s="1803">
        <f t="shared" ref="DK67:DL68" si="533">DK89*DK148</f>
      </c>
      <c r="DL67" s="1800">
        <f t="shared" si="533"/>
      </c>
      <c r="DM67" s="1801">
        <f t="shared" si="531"/>
      </c>
      <c r="DN67" s="1800">
        <f t="shared" si="531"/>
      </c>
      <c r="DO67" s="1803">
        <f t="shared" si="531"/>
      </c>
      <c r="DP67" s="1803">
        <f t="shared" ref="DP67" si="534">DP89*DP148</f>
      </c>
      <c r="DQ67" s="1801">
        <f t="shared" ref="DQ67:DQ69" si="535">DQ89*DQ148</f>
      </c>
      <c r="DR67" s="1800">
        <f t="shared" si="491"/>
      </c>
      <c r="DS67" s="1803">
        <f t="shared" si="531"/>
      </c>
      <c r="DT67" s="1800">
        <f t="shared" si="531"/>
      </c>
      <c r="DU67" s="1801">
        <f t="shared" si="531"/>
      </c>
      <c r="DV67" s="1800">
        <f t="shared" ref="DV67:EK67" si="536">DV89*DV148</f>
      </c>
      <c r="DW67" s="1803">
        <f t="shared" si="536"/>
      </c>
      <c r="DX67" s="1800">
        <f t="shared" si="536"/>
      </c>
      <c r="DY67" s="1801">
        <f t="shared" si="536"/>
      </c>
      <c r="DZ67" s="1800">
        <f t="shared" si="536"/>
      </c>
      <c r="EA67" s="1803">
        <f t="shared" si="536"/>
      </c>
      <c r="EB67" s="1800">
        <f t="shared" si="536"/>
      </c>
      <c r="EC67" s="1801">
        <f t="shared" si="536"/>
      </c>
      <c r="ED67" s="1800">
        <f t="shared" si="536"/>
      </c>
      <c r="EE67" s="1803">
        <f t="shared" si="536"/>
      </c>
      <c r="EF67" s="1800">
        <f t="shared" si="536"/>
      </c>
      <c r="EG67" s="1801">
        <f t="shared" si="536"/>
      </c>
      <c r="EH67" s="1800">
        <f t="shared" si="536"/>
      </c>
      <c r="EI67" s="1803">
        <f t="shared" si="536"/>
      </c>
      <c r="EJ67" s="1800">
        <f t="shared" si="536"/>
      </c>
      <c r="EK67" s="1801">
        <f t="shared" si="536"/>
      </c>
      <c r="EM67" s="2192">
        <f t="shared" si="324"/>
      </c>
      <c r="EN67" s="2192">
        <f t="shared" si="325"/>
      </c>
      <c r="EO67" s="2192">
        <f t="shared" si="326"/>
      </c>
      <c r="EP67" s="2192">
        <f t="shared" si="327"/>
      </c>
      <c r="EQ67" s="2192">
        <f t="shared" si="328"/>
      </c>
      <c r="ER67" s="2192">
        <f t="shared" si="329"/>
      </c>
      <c r="ES67" s="2192">
        <f t="shared" si="330"/>
      </c>
      <c r="ET67" s="2192">
        <f t="shared" si="331"/>
      </c>
      <c r="EU67" s="2192">
        <f t="shared" si="332"/>
      </c>
      <c r="EV67" s="2192">
        <f t="shared" si="333"/>
      </c>
      <c r="EW67" s="2192">
        <f t="shared" si="334"/>
      </c>
      <c r="EX67" s="2192">
        <f t="shared" si="335"/>
      </c>
      <c r="EY67" s="2192">
        <f t="shared" si="336"/>
      </c>
      <c r="EZ67" s="2192">
        <f t="shared" si="337"/>
      </c>
      <c r="FA67" s="2192">
        <f t="shared" si="338"/>
      </c>
      <c r="FB67" s="2192">
        <f t="shared" si="339"/>
      </c>
      <c r="FC67" s="2192">
        <f t="shared" si="340"/>
      </c>
      <c r="FD67" s="2192">
        <f t="shared" si="341"/>
      </c>
      <c r="FE67" s="2192">
        <f t="shared" si="342"/>
      </c>
      <c r="FF67" s="2192">
        <f t="shared" si="343"/>
      </c>
      <c r="FG67" s="2192"/>
      <c r="FH67" s="2192">
        <f t="shared" si="344"/>
      </c>
      <c r="FI67" s="2192">
        <f t="shared" si="345"/>
      </c>
      <c r="FJ67" s="2192">
        <f t="shared" si="346"/>
      </c>
      <c r="FK67" s="2192">
        <f t="shared" si="347"/>
      </c>
      <c r="FL67" s="2192">
        <f t="shared" si="348"/>
      </c>
      <c r="FM67" s="2192">
        <f t="shared" si="349"/>
      </c>
      <c r="FN67" s="2192">
        <f t="shared" si="350"/>
      </c>
      <c r="FO67" s="2192">
        <f t="shared" si="351"/>
      </c>
      <c r="FP67" s="2192">
        <f t="shared" si="352"/>
      </c>
      <c r="FQ67" s="2192">
        <f t="shared" si="353"/>
      </c>
      <c r="FR67" s="2192">
        <f t="shared" si="444"/>
      </c>
      <c r="FS67" s="2192">
        <f t="shared" si="445"/>
      </c>
      <c r="FT67" s="2192">
        <f t="shared" si="446"/>
      </c>
      <c r="FU67" s="2192">
        <f t="shared" si="447"/>
      </c>
      <c r="FW67" s="1788"/>
      <c r="FX67" s="1788"/>
      <c r="FY67" s="1788"/>
      <c r="FZ67" s="1788">
        <f t="shared" si="358"/>
      </c>
      <c r="GA67" s="1788">
        <f t="shared" si="359"/>
      </c>
      <c r="GB67" s="1788">
        <f t="shared" si="360"/>
      </c>
      <c r="GC67" s="1788">
        <f t="shared" si="361"/>
      </c>
      <c r="GD67" s="1788">
        <f t="shared" si="362"/>
      </c>
      <c r="GE67" s="1788">
        <f t="shared" si="363"/>
      </c>
      <c r="GF67" s="1788">
        <f t="shared" si="364"/>
      </c>
      <c r="GG67" s="1788">
        <f t="shared" si="365"/>
      </c>
      <c r="GH67" s="1788">
        <f t="shared" si="366"/>
      </c>
      <c r="GI67" s="1788">
        <f t="shared" si="367"/>
      </c>
      <c r="GJ67" s="1788">
        <f t="shared" si="368"/>
      </c>
      <c r="GK67" s="1788">
        <f t="shared" si="369"/>
      </c>
      <c r="GL67" s="1788">
        <f t="shared" si="370"/>
      </c>
      <c r="GM67" s="1788">
        <f t="shared" si="371"/>
      </c>
      <c r="GN67" s="1788">
        <f t="shared" si="372"/>
      </c>
      <c r="GO67" s="1788">
        <f t="shared" si="373"/>
      </c>
      <c r="GP67" s="1788">
        <f t="shared" si="374"/>
      </c>
      <c r="GQ67" s="1788">
        <f t="shared" si="375"/>
      </c>
      <c r="GR67" s="1788">
        <f t="shared" si="376"/>
      </c>
      <c r="GS67" s="1788">
        <f t="shared" si="377"/>
      </c>
      <c r="GT67" s="1788">
        <f t="shared" si="378"/>
      </c>
      <c r="GU67" s="1788">
        <f t="shared" si="379"/>
      </c>
      <c r="GV67" s="1788">
        <f t="shared" si="380"/>
      </c>
      <c r="GW67" s="1788">
        <f t="shared" si="381"/>
      </c>
      <c r="GX67" s="1788">
        <f t="shared" si="382"/>
      </c>
      <c r="GY67" s="1788">
        <f t="shared" si="383"/>
      </c>
      <c r="GZ67" s="1788">
        <f t="shared" si="384"/>
      </c>
      <c r="HA67" s="1788">
        <f t="shared" si="385"/>
      </c>
      <c r="HB67" s="1788">
        <f t="shared" si="386"/>
      </c>
      <c r="HC67" s="1788">
        <f t="shared" si="387"/>
      </c>
      <c r="HD67" s="1788">
        <f t="shared" si="388"/>
      </c>
      <c r="HE67" s="1788">
        <f t="shared" si="389"/>
      </c>
      <c r="HF67" s="1788">
        <f t="shared" si="390"/>
      </c>
    </row>
    <row r="68" spans="1:214" s="1787" customFormat="1" ht="10.199999999999999">
      <c r="A68" s="1792" t="s">
        <v>1457</v>
      </c>
      <c r="B68" s="1790"/>
      <c r="C68" s="1790"/>
      <c r="D68" s="1790"/>
      <c r="E68" s="1791"/>
      <c r="F68" s="1790"/>
      <c r="G68" s="1790"/>
      <c r="H68" s="1790"/>
      <c r="I68" s="1791"/>
      <c r="J68" s="1790"/>
      <c r="K68" s="1790"/>
      <c r="L68" s="1790"/>
      <c r="M68" s="1791"/>
      <c r="N68" s="1790"/>
      <c r="O68" s="1790"/>
      <c r="P68" s="1790"/>
      <c r="Q68" s="1791"/>
      <c r="R68" s="1790"/>
      <c r="S68" s="1790"/>
      <c r="T68" s="1790"/>
      <c r="U68" s="1791"/>
      <c r="V68" s="1790"/>
      <c r="W68" s="1790"/>
      <c r="X68" s="1790"/>
      <c r="Y68" s="1791"/>
      <c r="Z68" s="1790"/>
      <c r="AA68" s="1790"/>
      <c r="AB68" s="1790"/>
      <c r="AC68" s="1791"/>
      <c r="AD68" s="1790"/>
      <c r="AE68" s="1790"/>
      <c r="AF68" s="1790"/>
      <c r="AG68" s="1791"/>
      <c r="AH68" s="1790"/>
      <c r="AI68" s="1790"/>
      <c r="AJ68" s="1790"/>
      <c r="AK68" s="1791"/>
      <c r="AL68" s="1790"/>
      <c r="AM68" s="1790"/>
      <c r="AN68" s="1790"/>
      <c r="AO68" s="1791"/>
      <c r="AP68" s="1790"/>
      <c r="AQ68" s="1790"/>
      <c r="AR68" s="1790"/>
      <c r="AS68" s="1791"/>
      <c r="AT68" s="1790"/>
      <c r="AU68" s="1790"/>
      <c r="AV68" s="1790"/>
      <c r="AW68" s="1791"/>
      <c r="AX68" s="1790"/>
      <c r="AY68" s="1790"/>
      <c r="AZ68" s="1790"/>
      <c r="BA68" s="1791"/>
      <c r="BB68" s="1790"/>
      <c r="BC68" s="1790"/>
      <c r="BD68" s="1790"/>
      <c r="BE68" s="1791"/>
      <c r="BF68" s="1790"/>
      <c r="BG68" s="1790"/>
      <c r="BH68" s="1790"/>
      <c r="BI68" s="1791"/>
      <c r="BJ68" s="1790"/>
      <c r="BK68" s="1790"/>
      <c r="BL68" s="1790"/>
      <c r="BM68" s="1791"/>
      <c r="BN68" s="1790"/>
      <c r="BO68" s="1790"/>
      <c r="BP68" s="1790"/>
      <c r="BQ68" s="1791"/>
      <c r="BR68" s="1790"/>
      <c r="BS68" s="1790"/>
      <c r="BT68" s="1790"/>
      <c r="BU68" s="1791"/>
      <c r="BV68" s="1790"/>
      <c r="BW68" s="1790"/>
      <c r="BX68" s="1790"/>
      <c r="BY68" s="1791"/>
      <c r="BZ68" s="1790"/>
      <c r="CA68" s="1790"/>
      <c r="CB68" s="1790"/>
      <c r="CC68" s="1791"/>
      <c r="CD68" s="1790"/>
      <c r="CE68" s="1790"/>
      <c r="CF68" s="1790"/>
      <c r="CG68" s="1791"/>
      <c r="CH68" s="1800">
        <f t="shared" ref="CH68:DM68" si="537">CH90*CH149</f>
      </c>
      <c r="CI68" s="1800">
        <f t="shared" si="537"/>
      </c>
      <c r="CJ68" s="1800">
        <f t="shared" si="537"/>
      </c>
      <c r="CK68" s="1801">
        <f t="shared" si="537"/>
      </c>
      <c r="CL68" s="1800">
        <f t="shared" si="537"/>
      </c>
      <c r="CM68" s="1800">
        <f t="shared" si="537"/>
      </c>
      <c r="CN68" s="1800">
        <f t="shared" si="537"/>
      </c>
      <c r="CO68" s="1801">
        <f t="shared" si="537"/>
      </c>
      <c r="CP68" s="1800">
        <f t="shared" si="537"/>
      </c>
      <c r="CQ68" s="1800">
        <f t="shared" si="537"/>
      </c>
      <c r="CR68" s="1800">
        <f t="shared" si="537"/>
      </c>
      <c r="CS68" s="1801">
        <f t="shared" si="537"/>
      </c>
      <c r="CT68" s="1800">
        <f t="shared" si="537"/>
      </c>
      <c r="CU68" s="1800">
        <f t="shared" si="537"/>
      </c>
      <c r="CV68" s="1800">
        <f t="shared" si="537"/>
      </c>
      <c r="CW68" s="1801">
        <f t="shared" si="537"/>
      </c>
      <c r="CX68" s="1800">
        <f t="shared" si="537"/>
      </c>
      <c r="CY68" s="1800">
        <f t="shared" si="537"/>
      </c>
      <c r="CZ68" s="1800">
        <f t="shared" si="537"/>
      </c>
      <c r="DA68" s="1801">
        <f t="shared" si="537"/>
      </c>
      <c r="DB68" s="1800">
        <f t="shared" si="537"/>
      </c>
      <c r="DC68" s="1800">
        <f t="shared" si="537"/>
      </c>
      <c r="DD68" s="1800">
        <f t="shared" si="537"/>
      </c>
      <c r="DE68" s="1801">
        <f t="shared" si="537"/>
      </c>
      <c r="DF68" s="1800">
        <f t="shared" si="537"/>
      </c>
      <c r="DG68" s="1800">
        <f t="shared" si="537"/>
      </c>
      <c r="DH68" s="1800">
        <f t="shared" si="537"/>
      </c>
      <c r="DI68" s="1801">
        <f>DI90*DI149</f>
      </c>
      <c r="DJ68" s="1800">
        <f t="shared" ref="DJ68" si="538">DJ90*DJ149</f>
      </c>
      <c r="DK68" s="1800">
        <f t="shared" si="533"/>
      </c>
      <c r="DL68" s="1800">
        <f t="shared" si="533"/>
      </c>
      <c r="DM68" s="1801">
        <f t="shared" si="537"/>
      </c>
      <c r="DN68" s="1800">
        <f t="shared" si="531"/>
      </c>
      <c r="DO68" s="1800">
        <f t="shared" si="531"/>
      </c>
      <c r="DP68" s="1800">
        <f t="shared" ref="DP68" si="539">DP90*DP149</f>
      </c>
      <c r="DQ68" s="1801">
        <f t="shared" si="535"/>
      </c>
      <c r="DR68" s="1800">
        <f t="shared" si="491"/>
      </c>
      <c r="DS68" s="1800">
        <f t="shared" ref="DS68:EK68" si="540">DS90*DS149</f>
      </c>
      <c r="DT68" s="1800">
        <f t="shared" si="540"/>
      </c>
      <c r="DU68" s="1802">
        <f t="shared" si="540"/>
      </c>
      <c r="DV68" s="1800">
        <f t="shared" si="540"/>
      </c>
      <c r="DW68" s="1800">
        <f t="shared" si="540"/>
      </c>
      <c r="DX68" s="1800">
        <f t="shared" si="540"/>
      </c>
      <c r="DY68" s="1802">
        <f t="shared" si="540"/>
      </c>
      <c r="DZ68" s="1800">
        <f t="shared" si="540"/>
      </c>
      <c r="EA68" s="1800">
        <f t="shared" si="540"/>
      </c>
      <c r="EB68" s="1800">
        <f t="shared" si="540"/>
      </c>
      <c r="EC68" s="1802">
        <f t="shared" si="540"/>
      </c>
      <c r="ED68" s="1800">
        <f t="shared" si="540"/>
      </c>
      <c r="EE68" s="1800">
        <f t="shared" si="540"/>
      </c>
      <c r="EF68" s="1800">
        <f t="shared" si="540"/>
      </c>
      <c r="EG68" s="1802">
        <f t="shared" si="540"/>
      </c>
      <c r="EH68" s="1800">
        <f t="shared" si="540"/>
      </c>
      <c r="EI68" s="1800">
        <f t="shared" si="540"/>
      </c>
      <c r="EJ68" s="1800">
        <f t="shared" si="540"/>
      </c>
      <c r="EK68" s="1802">
        <f t="shared" si="540"/>
      </c>
      <c r="EM68" s="2192">
        <f t="shared" si="324"/>
      </c>
      <c r="EN68" s="2192">
        <f t="shared" si="325"/>
      </c>
      <c r="EO68" s="2192">
        <f t="shared" si="326"/>
      </c>
      <c r="EP68" s="2192">
        <f t="shared" si="327"/>
      </c>
      <c r="EQ68" s="2192">
        <f t="shared" si="328"/>
      </c>
      <c r="ER68" s="2192">
        <f t="shared" si="329"/>
      </c>
      <c r="ES68" s="2192">
        <f t="shared" si="330"/>
      </c>
      <c r="ET68" s="2192">
        <f t="shared" si="331"/>
      </c>
      <c r="EU68" s="2192">
        <f t="shared" si="332"/>
      </c>
      <c r="EV68" s="2192">
        <f t="shared" si="333"/>
      </c>
      <c r="EW68" s="2192">
        <f t="shared" si="334"/>
      </c>
      <c r="EX68" s="2192">
        <f t="shared" si="335"/>
      </c>
      <c r="EY68" s="2192">
        <f t="shared" si="336"/>
      </c>
      <c r="EZ68" s="2192">
        <f t="shared" si="337"/>
      </c>
      <c r="FA68" s="2192">
        <f t="shared" si="338"/>
      </c>
      <c r="FB68" s="2192">
        <f t="shared" si="339"/>
      </c>
      <c r="FC68" s="2192">
        <f t="shared" si="340"/>
      </c>
      <c r="FD68" s="2192">
        <f t="shared" si="341"/>
      </c>
      <c r="FE68" s="2192">
        <f t="shared" si="342"/>
      </c>
      <c r="FF68" s="2192">
        <f t="shared" si="343"/>
      </c>
      <c r="FG68" s="2192"/>
      <c r="FH68" s="2192">
        <f t="shared" si="344"/>
      </c>
      <c r="FI68" s="2192">
        <f t="shared" si="345"/>
      </c>
      <c r="FJ68" s="2192">
        <f t="shared" si="346"/>
      </c>
      <c r="FK68" s="2192">
        <f t="shared" si="347"/>
      </c>
      <c r="FL68" s="2192">
        <f t="shared" si="348"/>
      </c>
      <c r="FM68" s="2192">
        <f t="shared" si="349"/>
      </c>
      <c r="FN68" s="2192">
        <f t="shared" si="350"/>
      </c>
      <c r="FO68" s="2192">
        <f t="shared" si="351"/>
      </c>
      <c r="FP68" s="2192">
        <f t="shared" si="352"/>
      </c>
      <c r="FQ68" s="2192">
        <f t="shared" si="353"/>
      </c>
      <c r="FR68" s="2192">
        <f t="shared" si="444"/>
      </c>
      <c r="FS68" s="2192">
        <f t="shared" si="445"/>
      </c>
      <c r="FT68" s="2192">
        <f t="shared" si="446"/>
      </c>
      <c r="FU68" s="2192">
        <f t="shared" si="447"/>
      </c>
      <c r="FW68" s="1788"/>
      <c r="FX68" s="1788"/>
      <c r="FY68" s="1788"/>
      <c r="FZ68" s="1788">
        <f t="shared" si="358"/>
      </c>
      <c r="GA68" s="1788">
        <f t="shared" si="359"/>
      </c>
      <c r="GB68" s="1788">
        <f t="shared" si="360"/>
      </c>
      <c r="GC68" s="1788">
        <f t="shared" si="361"/>
      </c>
      <c r="GD68" s="1788">
        <f t="shared" si="362"/>
      </c>
      <c r="GE68" s="1788">
        <f t="shared" si="363"/>
      </c>
      <c r="GF68" s="1788">
        <f t="shared" si="364"/>
      </c>
      <c r="GG68" s="1788">
        <f t="shared" si="365"/>
      </c>
      <c r="GH68" s="1788">
        <f t="shared" si="366"/>
      </c>
      <c r="GI68" s="1788">
        <f t="shared" si="367"/>
      </c>
      <c r="GJ68" s="1788">
        <f t="shared" si="368"/>
      </c>
      <c r="GK68" s="1788">
        <f t="shared" si="369"/>
      </c>
      <c r="GL68" s="1788">
        <f t="shared" si="370"/>
      </c>
      <c r="GM68" s="1788">
        <f t="shared" si="371"/>
      </c>
      <c r="GN68" s="1788">
        <f t="shared" si="372"/>
      </c>
      <c r="GO68" s="1788">
        <f t="shared" si="373"/>
      </c>
      <c r="GP68" s="1788">
        <f t="shared" si="374"/>
      </c>
      <c r="GQ68" s="1788">
        <f t="shared" si="375"/>
      </c>
      <c r="GR68" s="1788">
        <f t="shared" si="376"/>
      </c>
      <c r="GS68" s="1788">
        <f t="shared" si="377"/>
      </c>
      <c r="GT68" s="1788">
        <f t="shared" si="378"/>
      </c>
      <c r="GU68" s="1788">
        <f t="shared" si="379"/>
      </c>
      <c r="GV68" s="1788">
        <f t="shared" si="380"/>
      </c>
      <c r="GW68" s="1788">
        <f t="shared" si="381"/>
      </c>
      <c r="GX68" s="1788">
        <f t="shared" si="382"/>
      </c>
      <c r="GY68" s="1788">
        <f t="shared" si="383"/>
      </c>
      <c r="GZ68" s="1788">
        <f t="shared" si="384"/>
      </c>
      <c r="HA68" s="1788">
        <f t="shared" si="385"/>
      </c>
      <c r="HB68" s="1788">
        <f t="shared" si="386"/>
      </c>
      <c r="HC68" s="1788">
        <f t="shared" si="387"/>
      </c>
      <c r="HD68" s="1788">
        <f t="shared" si="388"/>
      </c>
      <c r="HE68" s="1788">
        <f t="shared" si="389"/>
      </c>
      <c r="HF68" s="1788">
        <f t="shared" si="390"/>
      </c>
    </row>
    <row r="69" spans="1:214" s="1787" customFormat="1" ht="10.8" thickBot="1">
      <c r="A69" s="1793" t="s">
        <v>140</v>
      </c>
      <c r="B69" s="1794"/>
      <c r="C69" s="1794"/>
      <c r="D69" s="1794"/>
      <c r="E69" s="1795"/>
      <c r="F69" s="1794"/>
      <c r="G69" s="1794"/>
      <c r="H69" s="1794"/>
      <c r="I69" s="1795"/>
      <c r="J69" s="1794"/>
      <c r="K69" s="1794"/>
      <c r="L69" s="1794"/>
      <c r="M69" s="1795"/>
      <c r="N69" s="1794"/>
      <c r="O69" s="1794"/>
      <c r="P69" s="1794"/>
      <c r="Q69" s="1795"/>
      <c r="R69" s="1794"/>
      <c r="S69" s="1794"/>
      <c r="T69" s="1794"/>
      <c r="U69" s="1795"/>
      <c r="V69" s="1794"/>
      <c r="W69" s="1794"/>
      <c r="X69" s="1794"/>
      <c r="Y69" s="1795"/>
      <c r="Z69" s="1794"/>
      <c r="AA69" s="1794"/>
      <c r="AB69" s="1794"/>
      <c r="AC69" s="1795"/>
      <c r="AD69" s="1794"/>
      <c r="AE69" s="1794"/>
      <c r="AF69" s="1794"/>
      <c r="AG69" s="1795"/>
      <c r="AH69" s="1794"/>
      <c r="AI69" s="1794"/>
      <c r="AJ69" s="1794"/>
      <c r="AK69" s="1795"/>
      <c r="AL69" s="1794"/>
      <c r="AM69" s="1794"/>
      <c r="AN69" s="1794"/>
      <c r="AO69" s="1795"/>
      <c r="AP69" s="1794"/>
      <c r="AQ69" s="1794"/>
      <c r="AR69" s="1794"/>
      <c r="AS69" s="1795"/>
      <c r="AT69" s="1794"/>
      <c r="AU69" s="1794"/>
      <c r="AV69" s="1794"/>
      <c r="AW69" s="1795"/>
      <c r="AX69" s="1794"/>
      <c r="AY69" s="1794"/>
      <c r="AZ69" s="1794"/>
      <c r="BA69" s="1795"/>
      <c r="BB69" s="1794"/>
      <c r="BC69" s="1794"/>
      <c r="BD69" s="1794"/>
      <c r="BE69" s="1795"/>
      <c r="BF69" s="1794"/>
      <c r="BG69" s="1794"/>
      <c r="BH69" s="1794"/>
      <c r="BI69" s="1795"/>
      <c r="BJ69" s="1794"/>
      <c r="BK69" s="1794"/>
      <c r="BL69" s="1794"/>
      <c r="BM69" s="1795"/>
      <c r="BN69" s="1794"/>
      <c r="BO69" s="1794"/>
      <c r="BP69" s="1794"/>
      <c r="BQ69" s="1795"/>
      <c r="BR69" s="1794"/>
      <c r="BS69" s="1794"/>
      <c r="BT69" s="1794"/>
      <c r="BU69" s="1795"/>
      <c r="BV69" s="1794"/>
      <c r="BW69" s="1794"/>
      <c r="BX69" s="1794"/>
      <c r="BY69" s="1795"/>
      <c r="BZ69" s="1794"/>
      <c r="CA69" s="1794"/>
      <c r="CB69" s="1794"/>
      <c r="CC69" s="1795"/>
      <c r="CD69" s="1794"/>
      <c r="CE69" s="1794"/>
      <c r="CF69" s="1794"/>
      <c r="CG69" s="1795"/>
      <c r="CH69" s="1804">
        <f>CH11-SUM(CH51:CH68)</f>
      </c>
      <c r="CI69" s="1804">
        <f t="shared" ref="CI69:DE69" si="541">CI11-SUM(CI51:CI68)</f>
      </c>
      <c r="CJ69" s="1804">
        <f t="shared" si="541"/>
      </c>
      <c r="CK69" s="1805">
        <f t="shared" si="541"/>
      </c>
      <c r="CL69" s="1804">
        <f t="shared" si="541"/>
      </c>
      <c r="CM69" s="1804">
        <f t="shared" si="541"/>
      </c>
      <c r="CN69" s="1804">
        <f t="shared" si="541"/>
      </c>
      <c r="CO69" s="1805">
        <f t="shared" si="541"/>
      </c>
      <c r="CP69" s="1804">
        <f t="shared" si="541"/>
      </c>
      <c r="CQ69" s="1804">
        <f t="shared" si="541"/>
      </c>
      <c r="CR69" s="1804">
        <f t="shared" si="541"/>
      </c>
      <c r="CS69" s="1805">
        <f t="shared" si="541"/>
      </c>
      <c r="CT69" s="1804">
        <f t="shared" si="541"/>
      </c>
      <c r="CU69" s="1804">
        <f t="shared" si="541"/>
      </c>
      <c r="CV69" s="1804">
        <f t="shared" si="541"/>
      </c>
      <c r="CW69" s="1805">
        <f>CW11-SUM(CW51:CW68)</f>
      </c>
      <c r="CX69" s="1804">
        <f t="shared" si="541"/>
      </c>
      <c r="CY69" s="1804">
        <f t="shared" si="541"/>
      </c>
      <c r="CZ69" s="1804">
        <f t="shared" si="541"/>
      </c>
      <c r="DA69" s="1805">
        <f t="shared" si="541"/>
      </c>
      <c r="DB69" s="1804">
        <f t="shared" si="541"/>
      </c>
      <c r="DC69" s="1804">
        <f t="shared" si="541"/>
      </c>
      <c r="DD69" s="1804">
        <f t="shared" si="541"/>
      </c>
      <c r="DE69" s="1805">
        <f t="shared" si="541"/>
      </c>
      <c r="DF69" s="1804">
        <f>DF11-SUM(DF51:DF68)</f>
      </c>
      <c r="DG69" s="1804">
        <f t="shared" ref="DG69" si="542">DG11-SUM(DG51:DG68)</f>
      </c>
      <c r="DH69" s="1804">
        <f>DH11-SUM(DH51:DH68)</f>
      </c>
      <c r="DI69" s="1805">
        <f t="shared" ref="DI69" si="543">DI11-SUM(DI51:DI68)</f>
      </c>
      <c r="DJ69" s="1804">
        <f>DJ11-SUM(DJ51:DJ68)</f>
      </c>
      <c r="DK69" s="1804">
        <f>DK11-SUM(DK51:DK68)</f>
      </c>
      <c r="DL69" s="1804">
        <f>DL11-SUM(DL51:DL68)</f>
      </c>
      <c r="DM69" s="1805">
        <f t="shared" ref="DM69" si="544">DM11-SUM(DM51:DM68)</f>
      </c>
      <c r="DN69" s="1804">
        <f>DN11-SUM(DN51:DN68)</f>
      </c>
      <c r="DO69" s="1804">
        <f>DO11-SUM(DO51:DO68)</f>
      </c>
      <c r="DP69" s="1804">
        <f t="shared" ref="DP69" si="545">DP11-SUM(DP51:DP68)</f>
      </c>
      <c r="DQ69" s="1797">
        <f t="shared" si="535"/>
      </c>
      <c r="DR69" s="1796">
        <f t="shared" si="491"/>
      </c>
      <c r="DS69" s="1796">
        <f t="shared" ref="DS69:EK69" si="546">DS91*DS150</f>
      </c>
      <c r="DT69" s="1796">
        <f t="shared" si="546"/>
      </c>
      <c r="DU69" s="1797">
        <f t="shared" si="546"/>
      </c>
      <c r="DV69" s="1796">
        <f t="shared" si="546"/>
      </c>
      <c r="DW69" s="1796">
        <f t="shared" si="546"/>
      </c>
      <c r="DX69" s="1796">
        <f t="shared" si="546"/>
      </c>
      <c r="DY69" s="1797">
        <f t="shared" si="546"/>
      </c>
      <c r="DZ69" s="1796">
        <f t="shared" si="546"/>
      </c>
      <c r="EA69" s="1796">
        <f t="shared" si="546"/>
      </c>
      <c r="EB69" s="1796">
        <f t="shared" si="546"/>
      </c>
      <c r="EC69" s="1797">
        <f t="shared" si="546"/>
      </c>
      <c r="ED69" s="1796">
        <f t="shared" si="546"/>
      </c>
      <c r="EE69" s="1796">
        <f t="shared" si="546"/>
      </c>
      <c r="EF69" s="1796">
        <f t="shared" si="546"/>
      </c>
      <c r="EG69" s="1797">
        <f t="shared" si="546"/>
      </c>
      <c r="EH69" s="1796">
        <f t="shared" si="546"/>
      </c>
      <c r="EI69" s="1796">
        <f t="shared" si="546"/>
      </c>
      <c r="EJ69" s="1796">
        <f t="shared" si="546"/>
      </c>
      <c r="EK69" s="1797">
        <f t="shared" si="546"/>
      </c>
      <c r="EM69" s="2192">
        <f t="shared" si="324"/>
      </c>
      <c r="EN69" s="2192">
        <f t="shared" si="325"/>
      </c>
      <c r="EO69" s="2192">
        <f t="shared" si="326"/>
      </c>
      <c r="EP69" s="2192">
        <f t="shared" si="327"/>
      </c>
      <c r="EQ69" s="2192">
        <f t="shared" si="328"/>
      </c>
      <c r="ER69" s="2192">
        <f t="shared" si="329"/>
      </c>
      <c r="ES69" s="2192">
        <f t="shared" si="330"/>
      </c>
      <c r="ET69" s="2192">
        <f t="shared" si="331"/>
      </c>
      <c r="EU69" s="2192">
        <f t="shared" si="332"/>
      </c>
      <c r="EV69" s="2192">
        <f t="shared" si="333"/>
      </c>
      <c r="EW69" s="2192">
        <f t="shared" si="334"/>
      </c>
      <c r="EX69" s="2192">
        <f t="shared" si="335"/>
      </c>
      <c r="EY69" s="2192">
        <f t="shared" si="336"/>
      </c>
      <c r="EZ69" s="2192">
        <f t="shared" si="337"/>
      </c>
      <c r="FA69" s="2192">
        <f t="shared" si="338"/>
      </c>
      <c r="FB69" s="2192">
        <f t="shared" si="339"/>
      </c>
      <c r="FC69" s="2192">
        <f t="shared" si="340"/>
      </c>
      <c r="FD69" s="2192">
        <f t="shared" si="341"/>
      </c>
      <c r="FE69" s="2192">
        <f t="shared" si="342"/>
      </c>
      <c r="FF69" s="2192">
        <f t="shared" si="343"/>
      </c>
      <c r="FG69" s="2192"/>
      <c r="FH69" s="2192">
        <f t="shared" si="344"/>
      </c>
      <c r="FI69" s="2192">
        <f t="shared" si="345"/>
      </c>
      <c r="FJ69" s="2192">
        <f t="shared" si="346"/>
      </c>
      <c r="FK69" s="2192">
        <f t="shared" si="347"/>
      </c>
      <c r="FL69" s="2192">
        <f t="shared" si="348"/>
      </c>
      <c r="FM69" s="2192">
        <f t="shared" si="349"/>
      </c>
      <c r="FN69" s="2192">
        <f t="shared" si="350"/>
      </c>
      <c r="FO69" s="2192">
        <f t="shared" si="351"/>
      </c>
      <c r="FP69" s="2192">
        <f t="shared" si="352"/>
      </c>
      <c r="FQ69" s="2192">
        <f t="shared" si="353"/>
      </c>
      <c r="FR69" s="2192">
        <f t="shared" si="444"/>
      </c>
      <c r="FS69" s="2192">
        <f t="shared" si="445"/>
      </c>
      <c r="FT69" s="2192">
        <f t="shared" si="446"/>
      </c>
      <c r="FU69" s="2192">
        <f t="shared" si="447"/>
      </c>
      <c r="FW69" s="1788"/>
      <c r="FX69" s="1788"/>
      <c r="FY69" s="1788"/>
      <c r="FZ69" s="1788">
        <f t="shared" si="358"/>
      </c>
      <c r="GA69" s="1788">
        <f t="shared" si="359"/>
      </c>
      <c r="GB69" s="1788">
        <f t="shared" si="360"/>
      </c>
      <c r="GC69" s="1788">
        <f t="shared" si="361"/>
      </c>
      <c r="GD69" s="1788">
        <f t="shared" si="362"/>
      </c>
      <c r="GE69" s="1788">
        <f t="shared" si="363"/>
      </c>
      <c r="GF69" s="1788">
        <f t="shared" si="364"/>
      </c>
      <c r="GG69" s="1788">
        <f t="shared" si="365"/>
      </c>
      <c r="GH69" s="1788">
        <f t="shared" si="366"/>
      </c>
      <c r="GI69" s="1788">
        <f t="shared" si="367"/>
      </c>
      <c r="GJ69" s="1788">
        <f t="shared" si="368"/>
      </c>
      <c r="GK69" s="1788">
        <f t="shared" si="369"/>
      </c>
      <c r="GL69" s="1788">
        <f t="shared" si="370"/>
      </c>
      <c r="GM69" s="1788">
        <f t="shared" si="371"/>
      </c>
      <c r="GN69" s="1788">
        <f t="shared" si="372"/>
      </c>
      <c r="GO69" s="1788">
        <f t="shared" si="373"/>
      </c>
      <c r="GP69" s="1788">
        <f t="shared" si="374"/>
      </c>
      <c r="GQ69" s="1788">
        <f t="shared" si="375"/>
      </c>
      <c r="GR69" s="1788">
        <f t="shared" si="376"/>
      </c>
      <c r="GS69" s="1788">
        <f t="shared" si="377"/>
      </c>
      <c r="GT69" s="1788">
        <f t="shared" si="378"/>
      </c>
      <c r="GU69" s="1788">
        <f t="shared" si="379"/>
      </c>
      <c r="GV69" s="1788">
        <f t="shared" si="380"/>
      </c>
      <c r="GW69" s="1788">
        <f t="shared" si="381"/>
      </c>
      <c r="GX69" s="1788">
        <f t="shared" si="382"/>
      </c>
      <c r="GY69" s="1788">
        <f t="shared" si="383"/>
      </c>
      <c r="GZ69" s="1788">
        <f t="shared" si="384"/>
      </c>
      <c r="HA69" s="1788">
        <f t="shared" si="385"/>
      </c>
      <c r="HB69" s="1788">
        <f t="shared" si="386"/>
      </c>
      <c r="HC69" s="1788">
        <f t="shared" si="387"/>
      </c>
      <c r="HD69" s="1788">
        <f t="shared" si="388"/>
      </c>
      <c r="HE69" s="1788">
        <f t="shared" si="389"/>
      </c>
      <c r="HF69" s="1788">
        <f t="shared" si="390"/>
      </c>
    </row>
    <row r="70" spans="1:214" s="2227" customFormat="1" ht="10.199999999999999">
      <c r="A70" s="2222" t="s">
        <v>1466</v>
      </c>
      <c r="B70" s="2223"/>
      <c r="C70" s="2223"/>
      <c r="D70" s="2223"/>
      <c r="E70" s="2224"/>
      <c r="F70" s="2223"/>
      <c r="G70" s="2223"/>
      <c r="H70" s="2223"/>
      <c r="I70" s="2224"/>
      <c r="J70" s="2223"/>
      <c r="K70" s="2223"/>
      <c r="L70" s="2223"/>
      <c r="M70" s="2224"/>
      <c r="N70" s="2223"/>
      <c r="O70" s="2223"/>
      <c r="P70" s="2223"/>
      <c r="Q70" s="2224"/>
      <c r="R70" s="2223"/>
      <c r="S70" s="2223"/>
      <c r="T70" s="2223"/>
      <c r="U70" s="2224"/>
      <c r="V70" s="2223"/>
      <c r="W70" s="2223"/>
      <c r="X70" s="2223"/>
      <c r="Y70" s="2224"/>
      <c r="Z70" s="2223"/>
      <c r="AA70" s="2223"/>
      <c r="AB70" s="2223"/>
      <c r="AC70" s="2224"/>
      <c r="AD70" s="2223"/>
      <c r="AE70" s="2223"/>
      <c r="AF70" s="2223"/>
      <c r="AG70" s="2224"/>
      <c r="AH70" s="2223"/>
      <c r="AI70" s="2223"/>
      <c r="AJ70" s="2223"/>
      <c r="AK70" s="2224"/>
      <c r="AL70" s="2223"/>
      <c r="AM70" s="2223"/>
      <c r="AN70" s="2223"/>
      <c r="AO70" s="2224"/>
      <c r="AP70" s="2223"/>
      <c r="AQ70" s="2223"/>
      <c r="AR70" s="2223"/>
      <c r="AS70" s="2224"/>
      <c r="AT70" s="2223"/>
      <c r="AU70" s="2223"/>
      <c r="AV70" s="2223"/>
      <c r="AW70" s="2224"/>
      <c r="AX70" s="2223"/>
      <c r="AY70" s="2223"/>
      <c r="AZ70" s="2223"/>
      <c r="BA70" s="2224"/>
      <c r="BB70" s="2223"/>
      <c r="BC70" s="2223"/>
      <c r="BD70" s="2223"/>
      <c r="BE70" s="2224"/>
      <c r="BF70" s="2223"/>
      <c r="BG70" s="2223"/>
      <c r="BH70" s="2223"/>
      <c r="BI70" s="2224"/>
      <c r="BJ70" s="2223"/>
      <c r="BK70" s="2223"/>
      <c r="BL70" s="2223"/>
      <c r="BM70" s="2224"/>
      <c r="BN70" s="2223"/>
      <c r="BO70" s="2223"/>
      <c r="BP70" s="2223"/>
      <c r="BQ70" s="2224"/>
      <c r="BR70" s="2223"/>
      <c r="BS70" s="2223"/>
      <c r="BT70" s="2223"/>
      <c r="BU70" s="2224"/>
      <c r="BV70" s="2223"/>
      <c r="BW70" s="2223"/>
      <c r="BX70" s="2223"/>
      <c r="BY70" s="2224"/>
      <c r="BZ70" s="2223"/>
      <c r="CA70" s="2223"/>
      <c r="CB70" s="2223"/>
      <c r="CC70" s="2224"/>
      <c r="CD70" s="2223"/>
      <c r="CE70" s="2223"/>
      <c r="CF70" s="2223"/>
      <c r="CG70" s="2224"/>
      <c r="CH70" s="2225">
        <f>SUM(CH51:CH69)</f>
      </c>
      <c r="CI70" s="2225">
        <f t="shared" ref="CI70:DU70" si="547">SUM(CI51:CI69)</f>
      </c>
      <c r="CJ70" s="2225">
        <f t="shared" si="547"/>
      </c>
      <c r="CK70" s="2226">
        <f t="shared" si="547"/>
      </c>
      <c r="CL70" s="2225">
        <f t="shared" si="547"/>
      </c>
      <c r="CM70" s="2225">
        <f t="shared" si="547"/>
      </c>
      <c r="CN70" s="2225">
        <f t="shared" si="547"/>
      </c>
      <c r="CO70" s="2226">
        <f t="shared" si="547"/>
      </c>
      <c r="CP70" s="2225">
        <f t="shared" si="547"/>
      </c>
      <c r="CQ70" s="2225">
        <f t="shared" si="547"/>
      </c>
      <c r="CR70" s="2225">
        <f t="shared" si="547"/>
      </c>
      <c r="CS70" s="2226">
        <f t="shared" si="547"/>
      </c>
      <c r="CT70" s="2225">
        <f t="shared" si="547"/>
      </c>
      <c r="CU70" s="2225">
        <f t="shared" si="547"/>
      </c>
      <c r="CV70" s="2225">
        <f t="shared" si="547"/>
      </c>
      <c r="CW70" s="2226">
        <f t="shared" si="547"/>
      </c>
      <c r="CX70" s="2225">
        <f t="shared" si="547"/>
      </c>
      <c r="CY70" s="2225">
        <f t="shared" si="547"/>
      </c>
      <c r="CZ70" s="2225">
        <f t="shared" si="547"/>
      </c>
      <c r="DA70" s="2226">
        <f t="shared" si="547"/>
      </c>
      <c r="DB70" s="2225">
        <f t="shared" si="547"/>
      </c>
      <c r="DC70" s="2225">
        <f t="shared" si="547"/>
      </c>
      <c r="DD70" s="2225">
        <f t="shared" si="547"/>
      </c>
      <c r="DE70" s="2226">
        <f t="shared" si="547"/>
      </c>
      <c r="DF70" s="2225">
        <f t="shared" si="547"/>
      </c>
      <c r="DG70" s="2225">
        <f t="shared" ref="DG70" si="548">SUM(DG51:DG69)</f>
      </c>
      <c r="DH70" s="2225">
        <f t="shared" si="547"/>
      </c>
      <c r="DI70" s="2226">
        <f t="shared" si="547"/>
      </c>
      <c r="DJ70" s="2225">
        <f t="shared" ref="DJ70" si="549">SUM(DJ51:DJ69)</f>
      </c>
      <c r="DK70" s="2225">
        <f>SUM(DK51:DK69)</f>
      </c>
      <c r="DL70" s="2225">
        <f t="shared" ref="DL70:DN70" si="550">SUM(DL51:DL69)</f>
      </c>
      <c r="DM70" s="2226">
        <f t="shared" si="550"/>
      </c>
      <c r="DN70" s="2225">
        <f t="shared" si="550"/>
      </c>
      <c r="DO70" s="2225">
        <f>SUM(DO51:DO69)</f>
      </c>
      <c r="DP70" s="2225">
        <f t="shared" ref="DP70" si="551">SUM(DP51:DP69)</f>
      </c>
      <c r="DQ70" s="2226">
        <f t="shared" si="547"/>
      </c>
      <c r="DR70" s="2225">
        <f t="shared" si="547"/>
      </c>
      <c r="DS70" s="2225">
        <f t="shared" si="547"/>
      </c>
      <c r="DT70" s="2225">
        <f t="shared" si="547"/>
      </c>
      <c r="DU70" s="2226">
        <f t="shared" si="547"/>
      </c>
      <c r="DV70" s="2225">
        <f t="shared" ref="DV70:EK70" si="552">SUM(DV51:DV69)</f>
      </c>
      <c r="DW70" s="2225">
        <f t="shared" si="552"/>
      </c>
      <c r="DX70" s="2225">
        <f t="shared" si="552"/>
      </c>
      <c r="DY70" s="2226">
        <f t="shared" si="552"/>
      </c>
      <c r="DZ70" s="2225">
        <f t="shared" si="552"/>
      </c>
      <c r="EA70" s="2225">
        <f t="shared" si="552"/>
      </c>
      <c r="EB70" s="2225">
        <f t="shared" si="552"/>
      </c>
      <c r="EC70" s="2226">
        <f t="shared" si="552"/>
      </c>
      <c r="ED70" s="2225">
        <f t="shared" si="552"/>
      </c>
      <c r="EE70" s="2225">
        <f t="shared" si="552"/>
      </c>
      <c r="EF70" s="2225">
        <f t="shared" si="552"/>
      </c>
      <c r="EG70" s="2226">
        <f t="shared" si="552"/>
      </c>
      <c r="EH70" s="2225">
        <f t="shared" si="552"/>
      </c>
      <c r="EI70" s="2225">
        <f t="shared" si="552"/>
      </c>
      <c r="EJ70" s="2225">
        <f t="shared" si="552"/>
      </c>
      <c r="EK70" s="2226">
        <f t="shared" si="552"/>
      </c>
      <c r="EM70" s="2193">
        <f t="shared" si="324"/>
      </c>
      <c r="EN70" s="2193">
        <f t="shared" si="325"/>
      </c>
      <c r="EO70" s="2194">
        <f t="shared" si="326"/>
      </c>
      <c r="EP70" s="2194">
        <f t="shared" si="327"/>
      </c>
      <c r="EQ70" s="2194">
        <f t="shared" si="328"/>
      </c>
      <c r="ER70" s="2194">
        <f t="shared" si="329"/>
      </c>
      <c r="ES70" s="2194">
        <f t="shared" si="330"/>
      </c>
      <c r="ET70" s="2194">
        <f t="shared" si="331"/>
      </c>
      <c r="EU70" s="2194">
        <f t="shared" si="332"/>
      </c>
      <c r="EV70" s="2194">
        <f t="shared" si="333"/>
      </c>
      <c r="EW70" s="2194">
        <f t="shared" si="334"/>
      </c>
      <c r="EX70" s="2194">
        <f t="shared" si="335"/>
      </c>
      <c r="EY70" s="2194">
        <f t="shared" si="336"/>
      </c>
      <c r="EZ70" s="2194">
        <f t="shared" si="337"/>
      </c>
      <c r="FA70" s="2194">
        <f t="shared" si="338"/>
      </c>
      <c r="FB70" s="2194">
        <f t="shared" si="339"/>
      </c>
      <c r="FC70" s="2194">
        <f t="shared" si="340"/>
      </c>
      <c r="FD70" s="2194">
        <f t="shared" si="341"/>
      </c>
      <c r="FE70" s="2194">
        <f t="shared" si="342"/>
      </c>
      <c r="FF70" s="2194">
        <f t="shared" si="343"/>
      </c>
      <c r="FG70" s="2194"/>
      <c r="FH70" s="2194">
        <f t="shared" si="344"/>
      </c>
      <c r="FI70" s="2194">
        <f t="shared" si="345"/>
      </c>
      <c r="FJ70" s="2194">
        <f t="shared" si="346"/>
      </c>
      <c r="FK70" s="2194">
        <f t="shared" si="347"/>
      </c>
      <c r="FL70" s="2194">
        <f t="shared" si="348"/>
      </c>
      <c r="FM70" s="2194">
        <f t="shared" si="349"/>
      </c>
      <c r="FN70" s="2194">
        <f t="shared" si="350"/>
      </c>
      <c r="FO70" s="2194">
        <f t="shared" si="351"/>
      </c>
      <c r="FP70" s="2194">
        <f t="shared" si="352"/>
      </c>
      <c r="FQ70" s="2194">
        <f t="shared" si="353"/>
      </c>
      <c r="FR70" s="2194">
        <f t="shared" si="444"/>
      </c>
      <c r="FS70" s="2194">
        <f t="shared" si="445"/>
      </c>
      <c r="FT70" s="2194">
        <f t="shared" si="446"/>
      </c>
      <c r="FU70" s="2194">
        <f t="shared" si="447"/>
      </c>
      <c r="FW70" s="2228"/>
      <c r="FZ70" s="2286">
        <f t="shared" si="358"/>
      </c>
      <c r="GA70" s="2286">
        <f t="shared" si="359"/>
      </c>
      <c r="GB70" s="2286">
        <f t="shared" si="360"/>
      </c>
      <c r="GC70" s="2286">
        <f t="shared" si="361"/>
      </c>
      <c r="GD70" s="2286">
        <f t="shared" si="362"/>
      </c>
      <c r="GE70" s="2286">
        <f t="shared" si="363"/>
      </c>
      <c r="GF70" s="2286">
        <f t="shared" si="364"/>
      </c>
      <c r="GG70" s="2286">
        <f t="shared" si="365"/>
      </c>
      <c r="GH70" s="2286">
        <f t="shared" si="366"/>
      </c>
      <c r="GI70" s="2286">
        <f t="shared" si="367"/>
      </c>
      <c r="GJ70" s="2286">
        <f t="shared" si="368"/>
      </c>
      <c r="GK70" s="2286">
        <f t="shared" si="369"/>
      </c>
      <c r="GL70" s="2286">
        <f t="shared" si="370"/>
      </c>
      <c r="GM70" s="2286">
        <f t="shared" si="371"/>
      </c>
      <c r="GN70" s="2286">
        <f t="shared" si="372"/>
      </c>
      <c r="GO70" s="2286">
        <f t="shared" si="373"/>
      </c>
      <c r="GP70" s="2286">
        <f t="shared" si="374"/>
      </c>
      <c r="GQ70" s="2286">
        <f t="shared" si="375"/>
      </c>
      <c r="GR70" s="2286">
        <f t="shared" si="376"/>
      </c>
      <c r="GS70" s="2286">
        <f t="shared" si="377"/>
      </c>
      <c r="GT70" s="2286">
        <f t="shared" si="378"/>
      </c>
      <c r="GU70" s="2286">
        <f t="shared" si="379"/>
      </c>
      <c r="GV70" s="2286">
        <f t="shared" si="380"/>
      </c>
      <c r="GW70" s="2286">
        <f t="shared" si="381"/>
      </c>
      <c r="GX70" s="2286">
        <f t="shared" si="382"/>
      </c>
      <c r="GY70" s="2286">
        <f t="shared" si="383"/>
      </c>
      <c r="GZ70" s="2286">
        <f t="shared" si="384"/>
      </c>
      <c r="HA70" s="2286">
        <f t="shared" si="385"/>
      </c>
      <c r="HB70" s="2286">
        <f t="shared" si="386"/>
      </c>
      <c r="HC70" s="2286">
        <f t="shared" si="387"/>
      </c>
      <c r="HD70" s="2286">
        <f t="shared" si="388"/>
      </c>
      <c r="HE70" s="2286">
        <f t="shared" si="389"/>
      </c>
      <c r="HF70" s="2286">
        <f t="shared" si="390"/>
      </c>
    </row>
    <row r="71" spans="1:214" s="16" customFormat="1" ht="10.199999999999999">
      <c r="A71" s="135"/>
      <c r="B71" s="130"/>
      <c r="C71" s="130"/>
      <c r="D71" s="130"/>
      <c r="E71" s="235"/>
      <c r="F71" s="130"/>
      <c r="G71" s="130"/>
      <c r="H71" s="130"/>
      <c r="I71" s="235"/>
      <c r="J71" s="130"/>
      <c r="K71" s="130"/>
      <c r="L71" s="130"/>
      <c r="M71" s="235"/>
      <c r="N71" s="130"/>
      <c r="O71" s="130"/>
      <c r="P71" s="130"/>
      <c r="Q71" s="235"/>
      <c r="R71" s="130"/>
      <c r="S71" s="130"/>
      <c r="T71" s="130"/>
      <c r="U71" s="235"/>
      <c r="V71" s="130"/>
      <c r="W71" s="130"/>
      <c r="X71" s="130"/>
      <c r="Y71" s="235"/>
      <c r="Z71" s="98"/>
      <c r="AA71" s="98"/>
      <c r="AB71" s="98"/>
      <c r="AC71" s="180"/>
      <c r="AD71" s="98"/>
      <c r="AE71" s="98"/>
      <c r="AF71" s="98"/>
      <c r="AG71" s="180"/>
      <c r="AH71" s="98"/>
      <c r="AI71" s="98"/>
      <c r="AJ71" s="98"/>
      <c r="AK71" s="180"/>
      <c r="AL71" s="98"/>
      <c r="AM71" s="98"/>
      <c r="AN71" s="98"/>
      <c r="AO71" s="180"/>
      <c r="AP71" s="98"/>
      <c r="AQ71" s="98"/>
      <c r="AR71" s="98"/>
      <c r="AS71" s="180"/>
      <c r="AT71" s="98"/>
      <c r="AU71" s="98"/>
      <c r="AV71" s="98"/>
      <c r="AW71" s="180"/>
      <c r="AX71" s="98"/>
      <c r="AY71" s="98"/>
      <c r="AZ71" s="98"/>
      <c r="BA71" s="180"/>
      <c r="BB71" s="98"/>
      <c r="BC71" s="98"/>
      <c r="BD71" s="98"/>
      <c r="BE71" s="180"/>
      <c r="BF71" s="98"/>
      <c r="BG71" s="98"/>
      <c r="BH71" s="98"/>
      <c r="BI71" s="180"/>
      <c r="BJ71" s="98"/>
      <c r="BK71" s="98"/>
      <c r="BL71" s="98"/>
      <c r="BM71" s="180"/>
      <c r="BN71" s="98"/>
      <c r="BO71" s="98"/>
      <c r="BP71" s="98"/>
      <c r="BQ71" s="180"/>
      <c r="BR71" s="98"/>
      <c r="BS71" s="98"/>
      <c r="BT71" s="98"/>
      <c r="BU71" s="180"/>
      <c r="BV71" s="98"/>
      <c r="BW71" s="98"/>
      <c r="BX71" s="98"/>
      <c r="BY71" s="180"/>
      <c r="BZ71" s="98"/>
      <c r="CA71" s="98"/>
      <c r="CB71" s="98"/>
      <c r="CC71" s="180"/>
      <c r="CD71" s="523"/>
      <c r="CE71" s="523"/>
      <c r="CF71" s="524"/>
      <c r="CG71" s="525"/>
      <c r="CH71" s="523"/>
      <c r="CI71" s="523"/>
      <c r="CJ71" s="523"/>
      <c r="CK71" s="525"/>
      <c r="CL71" s="523"/>
      <c r="CM71" s="523"/>
      <c r="CN71" s="523"/>
      <c r="CO71" s="525"/>
      <c r="CP71" s="320"/>
      <c r="CQ71" s="320"/>
      <c r="CR71" s="320"/>
      <c r="CS71" s="321"/>
      <c r="CT71" s="320"/>
      <c r="CU71" s="320"/>
      <c r="CV71" s="320"/>
      <c r="CW71" s="321"/>
      <c r="CX71" s="320"/>
      <c r="CY71" s="320"/>
      <c r="CZ71" s="320"/>
      <c r="DA71" s="321"/>
      <c r="DB71" s="320"/>
      <c r="DC71" s="320"/>
      <c r="DD71" s="390"/>
      <c r="DE71" s="430"/>
      <c r="DF71" s="390"/>
      <c r="DG71" s="390"/>
      <c r="DH71" s="390"/>
      <c r="DI71" s="430"/>
      <c r="DJ71" s="390"/>
      <c r="DK71" s="390"/>
      <c r="DL71" s="390"/>
      <c r="DM71" s="430"/>
      <c r="DN71" s="390"/>
      <c r="DO71" s="390"/>
      <c r="DP71" s="390"/>
      <c r="DQ71" s="430"/>
      <c r="DR71" s="390"/>
      <c r="DS71" s="390"/>
      <c r="DT71" s="390"/>
      <c r="DU71" s="430"/>
      <c r="DV71" s="390"/>
      <c r="DW71" s="390"/>
      <c r="DX71" s="390"/>
      <c r="DY71" s="430"/>
      <c r="DZ71" s="390"/>
      <c r="EA71" s="390"/>
      <c r="EB71" s="390"/>
      <c r="EC71" s="430"/>
      <c r="ED71" s="390"/>
      <c r="EE71" s="390"/>
      <c r="EF71" s="390"/>
      <c r="EG71" s="430"/>
      <c r="EH71" s="390"/>
      <c r="EI71" s="390"/>
      <c r="EJ71" s="390"/>
      <c r="EK71" s="430"/>
      <c r="EL71" s="320"/>
      <c r="EM71" s="390"/>
      <c r="EN71" s="390"/>
      <c r="EO71" s="390"/>
      <c r="EP71" s="390"/>
      <c r="EQ71" s="390"/>
      <c r="ER71" s="390"/>
      <c r="ES71" s="390"/>
      <c r="ET71" s="390"/>
      <c r="EU71" s="390"/>
      <c r="EV71" s="390"/>
      <c r="EW71" s="390"/>
      <c r="EX71" s="390"/>
      <c r="EY71" s="390"/>
      <c r="EZ71" s="390"/>
      <c r="FA71" s="390"/>
      <c r="FB71" s="390"/>
      <c r="FC71" s="390"/>
      <c r="FD71" s="390"/>
      <c r="FE71" s="390"/>
      <c r="FF71" s="390"/>
      <c r="FG71" s="390"/>
      <c r="FH71" s="390"/>
      <c r="FI71" s="390"/>
      <c r="FJ71" s="390"/>
      <c r="FK71" s="390"/>
      <c r="FL71" s="390"/>
      <c r="FM71" s="390"/>
      <c r="FN71" s="390"/>
      <c r="FO71" s="3117"/>
      <c r="FP71" s="390"/>
      <c r="FQ71" s="390"/>
      <c r="FR71" s="390"/>
      <c r="FS71" s="390"/>
      <c r="FT71" s="390"/>
      <c r="FU71" s="390"/>
      <c r="FW71" s="390"/>
      <c r="FX71" s="390"/>
      <c r="FY71" s="390"/>
      <c r="FZ71" s="390"/>
      <c r="GA71" s="390"/>
      <c r="GB71" s="390"/>
      <c r="GC71" s="390"/>
      <c r="GD71" s="390"/>
      <c r="GE71" s="390"/>
      <c r="GF71" s="390"/>
      <c r="GG71" s="390"/>
      <c r="GH71" s="390"/>
      <c r="GI71" s="390"/>
      <c r="GJ71" s="390"/>
      <c r="GK71" s="390"/>
      <c r="GL71" s="390"/>
      <c r="GM71" s="390"/>
      <c r="GN71" s="390"/>
      <c r="GO71" s="390"/>
      <c r="GP71" s="390"/>
      <c r="GQ71" s="390"/>
      <c r="GR71" s="390"/>
      <c r="GS71" s="390"/>
      <c r="GT71" s="390"/>
      <c r="GU71" s="390"/>
      <c r="GV71" s="390"/>
      <c r="GW71" s="390"/>
      <c r="GX71" s="390"/>
      <c r="GY71" s="390"/>
      <c r="GZ71" s="390"/>
      <c r="HA71" s="390"/>
      <c r="HB71" s="390"/>
      <c r="HC71" s="390"/>
      <c r="HD71" s="390"/>
      <c r="HE71" s="390"/>
      <c r="HF71" s="390"/>
    </row>
    <row r="72" spans="1:214" s="16" customFormat="1" ht="10.199999999999999">
      <c r="A72" s="708" t="s">
        <v>1174</v>
      </c>
      <c r="B72" s="706" t="str">
        <f>'Revenue summary'!B$8</f>
      </c>
      <c r="C72" s="706" t="str">
        <f>'Revenue summary'!C$8</f>
      </c>
      <c r="D72" s="706" t="str">
        <f>'Revenue summary'!D$8</f>
      </c>
      <c r="E72" s="707" t="str">
        <f>'Revenue summary'!E$8</f>
      </c>
      <c r="F72" s="706" t="str">
        <f>'Revenue summary'!F$8</f>
      </c>
      <c r="G72" s="706" t="str">
        <f>'Revenue summary'!G$8</f>
      </c>
      <c r="H72" s="706" t="str">
        <f>'Revenue summary'!H$8</f>
      </c>
      <c r="I72" s="707" t="str">
        <f>'Revenue summary'!I$8</f>
      </c>
      <c r="J72" s="706" t="str">
        <f>'Revenue summary'!J$8</f>
      </c>
      <c r="K72" s="706" t="str">
        <f>'Revenue summary'!K$8</f>
      </c>
      <c r="L72" s="706" t="str">
        <f>'Revenue summary'!L$8</f>
      </c>
      <c r="M72" s="707" t="str">
        <f>'Revenue summary'!M$8</f>
      </c>
      <c r="N72" s="706" t="str">
        <f>'Revenue summary'!N$8</f>
      </c>
      <c r="O72" s="706" t="str">
        <f>'Revenue summary'!O$8</f>
      </c>
      <c r="P72" s="706" t="str">
        <f>'Revenue summary'!P$8</f>
      </c>
      <c r="Q72" s="707" t="str">
        <f>'Revenue summary'!Q$8</f>
      </c>
      <c r="R72" s="706" t="str">
        <f>'Revenue summary'!R$8</f>
      </c>
      <c r="S72" s="706" t="str">
        <f>'Revenue summary'!S$8</f>
      </c>
      <c r="T72" s="706" t="str">
        <f>'Revenue summary'!T$8</f>
      </c>
      <c r="U72" s="707" t="str">
        <f>'Revenue summary'!U$8</f>
      </c>
      <c r="V72" s="706" t="str">
        <f>'Revenue summary'!V$8</f>
      </c>
      <c r="W72" s="706" t="str">
        <f>'Revenue summary'!W$8</f>
      </c>
      <c r="X72" s="706" t="str">
        <f>'Revenue summary'!X$8</f>
      </c>
      <c r="Y72" s="707" t="str">
        <f>'Revenue summary'!Y$8</f>
      </c>
      <c r="Z72" s="706" t="str">
        <f>'Revenue summary'!Z$8</f>
      </c>
      <c r="AA72" s="706" t="str">
        <f>'Revenue summary'!AA$8</f>
      </c>
      <c r="AB72" s="706" t="str">
        <f>'Revenue summary'!AB$8</f>
      </c>
      <c r="AC72" s="707" t="str">
        <f>'Revenue summary'!AC$8</f>
      </c>
      <c r="AD72" s="706" t="str">
        <f>'Revenue summary'!AD$8</f>
      </c>
      <c r="AE72" s="706" t="str">
        <f>'Revenue summary'!AE$8</f>
      </c>
      <c r="AF72" s="706" t="str">
        <f>'Revenue summary'!AF$8</f>
      </c>
      <c r="AG72" s="707" t="str">
        <f>'Revenue summary'!AG$8</f>
      </c>
      <c r="AH72" s="706" t="str">
        <f>'Revenue summary'!AH$8</f>
      </c>
      <c r="AI72" s="706" t="str">
        <f>'Revenue summary'!AI$8</f>
      </c>
      <c r="AJ72" s="706" t="str">
        <f>'Revenue summary'!AJ$8</f>
      </c>
      <c r="AK72" s="707" t="str">
        <f>'Revenue summary'!AK$8</f>
      </c>
      <c r="AL72" s="706" t="str">
        <f>'Revenue summary'!AL$8</f>
      </c>
      <c r="AM72" s="706" t="str">
        <f>'Revenue summary'!AM$8</f>
      </c>
      <c r="AN72" s="706" t="str">
        <f>'Revenue summary'!AN$8</f>
      </c>
      <c r="AO72" s="707" t="str">
        <f>'Revenue summary'!AO$8</f>
      </c>
      <c r="AP72" s="706" t="str">
        <f>'Revenue summary'!AP$8</f>
      </c>
      <c r="AQ72" s="706" t="str">
        <f>'Revenue summary'!AQ$8</f>
      </c>
      <c r="AR72" s="706" t="str">
        <f>'Revenue summary'!AR$8</f>
      </c>
      <c r="AS72" s="707" t="str">
        <f>'Revenue summary'!AS$8</f>
      </c>
      <c r="AT72" s="706" t="str">
        <f>'Revenue summary'!AT$8</f>
      </c>
      <c r="AU72" s="706" t="str">
        <f>'Revenue summary'!AU$8</f>
      </c>
      <c r="AV72" s="706" t="str">
        <f>'Revenue summary'!AV$8</f>
      </c>
      <c r="AW72" s="707" t="str">
        <f>'Revenue summary'!AW$8</f>
      </c>
      <c r="AX72" s="706" t="str">
        <f>'Revenue summary'!AX$8</f>
      </c>
      <c r="AY72" s="706" t="str">
        <f>'Revenue summary'!AY$8</f>
      </c>
      <c r="AZ72" s="706" t="str">
        <f>'Revenue summary'!AZ$8</f>
      </c>
      <c r="BA72" s="707" t="str">
        <f>'Revenue summary'!BA$8</f>
      </c>
      <c r="BB72" s="706" t="str">
        <f>'Revenue summary'!BB$8</f>
      </c>
      <c r="BC72" s="706" t="str">
        <f>'Revenue summary'!BC$8</f>
      </c>
      <c r="BD72" s="706" t="str">
        <f>'Revenue summary'!BD$8</f>
      </c>
      <c r="BE72" s="707" t="str">
        <f>'Revenue summary'!BE$8</f>
      </c>
      <c r="BF72" s="706" t="str">
        <f>'Revenue summary'!BF$8</f>
      </c>
      <c r="BG72" s="706" t="str">
        <f>'Revenue summary'!BG$8</f>
      </c>
      <c r="BH72" s="706" t="str">
        <f>'Revenue summary'!BH$8</f>
      </c>
      <c r="BI72" s="707" t="str">
        <f>'Revenue summary'!BI$8</f>
      </c>
      <c r="BJ72" s="706" t="str">
        <f>'Revenue summary'!BJ$8</f>
      </c>
      <c r="BK72" s="706" t="str">
        <f>'Revenue summary'!BK$8</f>
      </c>
      <c r="BL72" s="706" t="str">
        <f>'Revenue summary'!BL$8</f>
      </c>
      <c r="BM72" s="707" t="str">
        <f>'Revenue summary'!BM$8</f>
      </c>
      <c r="BN72" s="706" t="str">
        <f>'Revenue summary'!BN$8</f>
      </c>
      <c r="BO72" s="706" t="str">
        <f>'Revenue summary'!BO$8</f>
      </c>
      <c r="BP72" s="706" t="str">
        <f>'Revenue summary'!BP$8</f>
      </c>
      <c r="BQ72" s="707" t="str">
        <f>'Revenue summary'!BQ$8</f>
      </c>
      <c r="BR72" s="706" t="str">
        <f>'Revenue summary'!BR$8</f>
      </c>
      <c r="BS72" s="706" t="str">
        <f>'Revenue summary'!BS$8</f>
      </c>
      <c r="BT72" s="706" t="str">
        <f>'Revenue summary'!BT$8</f>
      </c>
      <c r="BU72" s="707" t="str">
        <f>'Revenue summary'!BU$8</f>
      </c>
      <c r="BV72" s="706" t="str">
        <f>'Revenue summary'!BV$8</f>
      </c>
      <c r="BW72" s="706" t="str">
        <f>'Revenue summary'!BW$8</f>
      </c>
      <c r="BX72" s="706" t="str">
        <f>'Revenue summary'!BX$8</f>
      </c>
      <c r="BY72" s="707" t="str">
        <f>'Revenue summary'!BY$8</f>
      </c>
      <c r="BZ72" s="706" t="str">
        <f>'Revenue summary'!BZ$8</f>
      </c>
      <c r="CA72" s="706" t="str">
        <f>'Revenue summary'!CA$8</f>
      </c>
      <c r="CB72" s="706" t="str">
        <f>'Revenue summary'!CB$8</f>
      </c>
      <c r="CC72" s="707" t="str">
        <f>'Revenue summary'!CC$8</f>
      </c>
      <c r="CD72" s="706" t="str">
        <f>'Revenue summary'!CD$8</f>
      </c>
      <c r="CE72" s="706" t="str">
        <f>'Revenue summary'!CE$8</f>
      </c>
      <c r="CF72" s="706" t="str">
        <f>'Revenue summary'!CF$8</f>
      </c>
      <c r="CG72" s="707" t="str">
        <f>'Revenue summary'!CG$8</f>
      </c>
      <c r="CH72" s="706" t="str">
        <f>'Revenue summary'!CH$8</f>
      </c>
      <c r="CI72" s="706" t="str">
        <f>'Revenue summary'!CI$8</f>
      </c>
      <c r="CJ72" s="706" t="str">
        <f>'Revenue summary'!CJ$8</f>
      </c>
      <c r="CK72" s="707" t="str">
        <f>'Revenue summary'!CK$8</f>
      </c>
      <c r="CL72" s="706" t="str">
        <f>'Revenue summary'!CL$8</f>
      </c>
      <c r="CM72" s="706" t="str">
        <f>'Revenue summary'!CM$8</f>
      </c>
      <c r="CN72" s="706" t="str">
        <f>'Revenue summary'!CN$8</f>
      </c>
      <c r="CO72" s="707" t="str">
        <f>'Revenue summary'!CO$8</f>
      </c>
      <c r="CP72" s="706" t="str">
        <f>'Revenue summary'!CP$8</f>
      </c>
      <c r="CQ72" s="706" t="str">
        <f>'Revenue summary'!CQ$8</f>
      </c>
      <c r="CR72" s="706" t="str">
        <f>'Revenue summary'!CR$8</f>
      </c>
      <c r="CS72" s="707" t="str">
        <f>'Revenue summary'!CS$8</f>
      </c>
      <c r="CT72" s="706" t="str">
        <f>'Revenue summary'!CT$8</f>
      </c>
      <c r="CU72" s="706" t="str">
        <f>'Revenue summary'!CU$8</f>
      </c>
      <c r="CV72" s="706" t="str">
        <f>'Revenue summary'!CV$8</f>
      </c>
      <c r="CW72" s="707" t="str">
        <f>'Revenue summary'!CW$8</f>
      </c>
      <c r="CX72" s="706" t="str">
        <f>'Revenue summary'!CX$8</f>
      </c>
      <c r="CY72" s="706" t="str">
        <f>'Revenue summary'!CY$8</f>
      </c>
      <c r="CZ72" s="706" t="str">
        <f>'Revenue summary'!CZ$8</f>
      </c>
      <c r="DA72" s="707" t="str">
        <f>'Revenue summary'!DA$8</f>
      </c>
      <c r="DB72" s="706" t="str">
        <f>'Revenue summary'!DB$8</f>
      </c>
      <c r="DC72" s="706" t="str">
        <f>'Revenue summary'!DC$8</f>
      </c>
      <c r="DD72" s="706" t="str">
        <f>'Revenue summary'!DD$8</f>
      </c>
      <c r="DE72" s="707" t="str">
        <f>'Revenue summary'!DE$8</f>
      </c>
      <c r="DF72" s="706" t="str">
        <f>'Revenue summary'!DF$8</f>
      </c>
      <c r="DG72" s="706" t="str">
        <f>'Revenue summary'!DG$8</f>
      </c>
      <c r="DH72" s="706" t="str">
        <f>'Revenue summary'!DH$8</f>
      </c>
      <c r="DI72" s="707" t="str">
        <f>'Revenue summary'!DI$8</f>
      </c>
      <c r="DJ72" s="706" t="str">
        <f>'Revenue summary'!DJ$8</f>
      </c>
      <c r="DK72" s="706" t="str">
        <f>'Revenue summary'!DK$8</f>
      </c>
      <c r="DL72" s="706" t="str">
        <f>'Revenue summary'!DL$8</f>
      </c>
      <c r="DM72" s="707" t="str">
        <f>'Revenue summary'!DM$8</f>
      </c>
      <c r="DN72" s="706" t="str">
        <f>'Revenue summary'!DN$8</f>
      </c>
      <c r="DO72" s="706" t="str">
        <f>'Revenue summary'!DO$8</f>
      </c>
      <c r="DP72" s="706" t="str">
        <f>'Revenue summary'!DP$8</f>
      </c>
      <c r="DQ72" s="707" t="str">
        <f>'Revenue summary'!DQ$8</f>
      </c>
      <c r="DR72" s="706" t="str">
        <f>'Revenue summary'!DR$8</f>
      </c>
      <c r="DS72" s="706" t="str">
        <f>'Revenue summary'!DS$8</f>
      </c>
      <c r="DT72" s="706" t="str">
        <f>'Revenue summary'!DT$8</f>
      </c>
      <c r="DU72" s="707" t="str">
        <f>'Revenue summary'!DU$8</f>
      </c>
      <c r="DV72" s="706" t="str">
        <f>'Revenue summary'!DV$8</f>
      </c>
      <c r="DW72" s="706" t="str">
        <f>'Revenue summary'!DW$8</f>
      </c>
      <c r="DX72" s="706" t="str">
        <f>'Revenue summary'!DX$8</f>
      </c>
      <c r="DY72" s="707" t="str">
        <f>'Revenue summary'!DY$8</f>
      </c>
      <c r="DZ72" s="706" t="str">
        <f>'Revenue summary'!DZ$8</f>
      </c>
      <c r="EA72" s="706" t="str">
        <f>'Revenue summary'!EA$8</f>
      </c>
      <c r="EB72" s="706" t="str">
        <f>'Revenue summary'!EB$8</f>
      </c>
      <c r="EC72" s="707" t="str">
        <f>'Revenue summary'!EC$8</f>
      </c>
      <c r="ED72" s="706" t="str">
        <f>'Revenue summary'!ED$8</f>
      </c>
      <c r="EE72" s="706" t="str">
        <f>'Revenue summary'!EE$8</f>
      </c>
      <c r="EF72" s="706" t="str">
        <f>'Revenue summary'!EF$8</f>
      </c>
      <c r="EG72" s="707" t="str">
        <f>'Revenue summary'!EG$8</f>
      </c>
      <c r="EH72" s="706" t="str">
        <f>'Revenue summary'!EH$8</f>
      </c>
      <c r="EI72" s="706" t="str">
        <f>'Revenue summary'!EI$8</f>
      </c>
      <c r="EJ72" s="706" t="str">
        <f>'Revenue summary'!EJ$8</f>
      </c>
      <c r="EK72" s="707" t="str">
        <f>'Revenue summary'!EK$8</f>
      </c>
      <c r="EL72" s="320"/>
      <c r="EM72" s="706">
        <f>EM$9</f>
      </c>
      <c r="EN72" s="706">
        <f t="shared" ref="EN72:GZ72" si="553">EN$9</f>
      </c>
      <c r="EO72" s="706">
        <f t="shared" si="553"/>
      </c>
      <c r="EP72" s="706">
        <f t="shared" si="553"/>
      </c>
      <c r="EQ72" s="706">
        <f t="shared" si="553"/>
      </c>
      <c r="ER72" s="706">
        <f t="shared" si="553"/>
      </c>
      <c r="ES72" s="706">
        <f t="shared" si="553"/>
      </c>
      <c r="ET72" s="706">
        <f t="shared" si="553"/>
      </c>
      <c r="EU72" s="706">
        <f t="shared" si="553"/>
      </c>
      <c r="EV72" s="706">
        <f t="shared" si="553"/>
      </c>
      <c r="EW72" s="706">
        <f t="shared" si="553"/>
      </c>
      <c r="EX72" s="706">
        <f t="shared" si="553"/>
      </c>
      <c r="EY72" s="706">
        <f t="shared" si="553"/>
      </c>
      <c r="EZ72" s="706">
        <f t="shared" si="553"/>
      </c>
      <c r="FA72" s="706">
        <f t="shared" si="553"/>
      </c>
      <c r="FB72" s="706">
        <f t="shared" si="553"/>
      </c>
      <c r="FC72" s="706">
        <f t="shared" si="553"/>
      </c>
      <c r="FD72" s="706">
        <f t="shared" si="553"/>
      </c>
      <c r="FE72" s="706" t="str">
        <f t="shared" si="553"/>
      </c>
      <c r="FF72" s="706" t="str">
        <f t="shared" si="553"/>
      </c>
      <c r="FG72" s="706" t="str">
        <f t="shared" si="553"/>
      </c>
      <c r="FH72" s="706" t="str">
        <f t="shared" si="553"/>
      </c>
      <c r="FI72" s="706" t="str">
        <f t="shared" si="553"/>
      </c>
      <c r="FJ72" s="706" t="str">
        <f t="shared" si="553"/>
      </c>
      <c r="FK72" s="706" t="str">
        <f t="shared" si="553"/>
      </c>
      <c r="FL72" s="706" t="str">
        <f t="shared" si="553"/>
      </c>
      <c r="FM72" s="706" t="str">
        <f t="shared" si="553"/>
      </c>
      <c r="FN72" s="706" t="str">
        <f t="shared" si="553"/>
      </c>
      <c r="FO72" s="706" t="str">
        <f t="shared" si="553"/>
      </c>
      <c r="FP72" s="706" t="str">
        <f>FP$9</f>
      </c>
      <c r="FQ72" s="706" t="str">
        <f>FQ$9</f>
      </c>
      <c r="FR72" s="706" t="str">
        <f t="shared" ref="FR72:FU72" si="554">FR$9</f>
      </c>
      <c r="FS72" s="706" t="str">
        <f t="shared" si="554"/>
      </c>
      <c r="FT72" s="706" t="str">
        <f t="shared" si="554"/>
      </c>
      <c r="FU72" s="706" t="str">
        <f t="shared" si="554"/>
      </c>
      <c r="FW72" s="706"/>
      <c r="FX72" s="706"/>
      <c r="FY72" s="706">
        <f t="shared" si="553"/>
      </c>
      <c r="FZ72" s="706">
        <f t="shared" si="553"/>
      </c>
      <c r="GA72" s="706">
        <f t="shared" si="553"/>
      </c>
      <c r="GB72" s="706">
        <f t="shared" si="553"/>
      </c>
      <c r="GC72" s="706">
        <f t="shared" si="553"/>
      </c>
      <c r="GD72" s="706">
        <f t="shared" si="553"/>
      </c>
      <c r="GE72" s="706">
        <f t="shared" si="553"/>
      </c>
      <c r="GF72" s="706">
        <f t="shared" si="553"/>
      </c>
      <c r="GG72" s="706">
        <f t="shared" si="553"/>
      </c>
      <c r="GH72" s="706">
        <f t="shared" si="553"/>
      </c>
      <c r="GI72" s="706">
        <f t="shared" si="553"/>
      </c>
      <c r="GJ72" s="706">
        <f t="shared" si="553"/>
      </c>
      <c r="GK72" s="706">
        <f t="shared" si="553"/>
      </c>
      <c r="GL72" s="706">
        <f t="shared" si="553"/>
      </c>
      <c r="GM72" s="706">
        <f t="shared" si="553"/>
      </c>
      <c r="GN72" s="706">
        <f t="shared" si="553"/>
      </c>
      <c r="GO72" s="706">
        <f t="shared" si="553"/>
      </c>
      <c r="GP72" s="706">
        <f t="shared" si="553"/>
      </c>
      <c r="GQ72" s="706" t="str">
        <f t="shared" si="553"/>
      </c>
      <c r="GR72" s="706" t="str">
        <f t="shared" si="553"/>
      </c>
      <c r="GS72" s="706" t="str">
        <f t="shared" si="553"/>
      </c>
      <c r="GT72" s="706" t="str">
        <f t="shared" si="553"/>
      </c>
      <c r="GU72" s="706" t="str">
        <f t="shared" si="553"/>
      </c>
      <c r="GV72" s="706" t="str">
        <f t="shared" si="553"/>
      </c>
      <c r="GW72" s="706" t="str">
        <f t="shared" si="553"/>
      </c>
      <c r="GX72" s="706" t="str">
        <f t="shared" si="553"/>
      </c>
      <c r="GY72" s="706" t="str">
        <f t="shared" si="553"/>
      </c>
      <c r="GZ72" s="706" t="str">
        <f t="shared" si="553"/>
      </c>
      <c r="HA72" s="706" t="str">
        <f t="shared" ref="HA72" si="555">HA$9</f>
      </c>
      <c r="HB72" s="706" t="str">
        <f t="shared" ref="HB72:HF72" si="556">HB$9</f>
      </c>
      <c r="HC72" s="706" t="str">
        <f t="shared" si="556"/>
      </c>
      <c r="HD72" s="706" t="str">
        <f t="shared" si="556"/>
      </c>
      <c r="HE72" s="706" t="str">
        <f t="shared" si="556"/>
      </c>
      <c r="HF72" s="706" t="str">
        <f t="shared" si="556"/>
      </c>
    </row>
    <row r="73" spans="1:214" s="1721" customFormat="1" ht="10.199999999999999">
      <c r="A73" s="1780" t="s">
        <v>875</v>
      </c>
      <c r="B73" s="1774"/>
      <c r="C73" s="1774"/>
      <c r="D73" s="1774"/>
      <c r="E73" s="1775"/>
      <c r="F73" s="1774"/>
      <c r="G73" s="1774"/>
      <c r="H73" s="1774"/>
      <c r="I73" s="1775"/>
      <c r="J73" s="1776"/>
      <c r="K73" s="1776"/>
      <c r="L73" s="1776"/>
      <c r="M73" s="1777"/>
      <c r="N73" s="1776"/>
      <c r="O73" s="1776"/>
      <c r="P73" s="1776"/>
      <c r="Q73" s="1777"/>
      <c r="R73" s="1776"/>
      <c r="S73" s="1776"/>
      <c r="T73" s="1776"/>
      <c r="U73" s="1777"/>
      <c r="V73" s="1776"/>
      <c r="W73" s="1776"/>
      <c r="X73" s="1776"/>
      <c r="Y73" s="1777"/>
      <c r="Z73" s="1776"/>
      <c r="AA73" s="1776"/>
      <c r="AB73" s="1776"/>
      <c r="AC73" s="1777"/>
      <c r="AD73" s="1776"/>
      <c r="AE73" s="1776"/>
      <c r="AF73" s="1776"/>
      <c r="AG73" s="1777"/>
      <c r="AH73" s="1776"/>
      <c r="AI73" s="1776"/>
      <c r="AJ73" s="1776"/>
      <c r="AK73" s="1777"/>
      <c r="AL73" s="1776"/>
      <c r="AM73" s="1776"/>
      <c r="AN73" s="1776"/>
      <c r="AO73" s="1777"/>
      <c r="AP73" s="1776"/>
      <c r="AQ73" s="1776"/>
      <c r="AR73" s="1776"/>
      <c r="AS73" s="1777"/>
      <c r="AT73" s="1776"/>
      <c r="AU73" s="1776"/>
      <c r="AV73" s="1776"/>
      <c r="AW73" s="1777"/>
      <c r="AX73" s="1776"/>
      <c r="AY73" s="1776"/>
      <c r="AZ73" s="1776"/>
      <c r="BA73" s="1777"/>
      <c r="BB73" s="1776"/>
      <c r="BC73" s="1776"/>
      <c r="BD73" s="1776"/>
      <c r="BE73" s="1777"/>
      <c r="BF73" s="1776"/>
      <c r="BG73" s="1776"/>
      <c r="BH73" s="1776"/>
      <c r="BI73" s="1777"/>
      <c r="BJ73" s="1776"/>
      <c r="BK73" s="1776"/>
      <c r="BL73" s="1776"/>
      <c r="BM73" s="1777"/>
      <c r="BN73" s="1776"/>
      <c r="BO73" s="1776"/>
      <c r="BP73" s="1776"/>
      <c r="BQ73" s="1777"/>
      <c r="BR73" s="1776"/>
      <c r="BS73" s="1776"/>
      <c r="BT73" s="1776"/>
      <c r="BU73" s="1777"/>
      <c r="BV73" s="1776"/>
      <c r="BW73" s="1776"/>
      <c r="BX73" s="1776"/>
      <c r="BY73" s="1777"/>
      <c r="BZ73" s="1776"/>
      <c r="CA73" s="1776"/>
      <c r="CB73" s="1776"/>
      <c r="CC73" s="1777"/>
      <c r="CD73" s="1776"/>
      <c r="CE73" s="1776"/>
      <c r="CF73" s="1776"/>
      <c r="CG73" s="1777"/>
      <c r="CH73" s="1778"/>
      <c r="CI73" s="1778"/>
      <c r="CJ73" s="1778"/>
      <c r="CK73" s="1779"/>
      <c r="CL73" s="1778"/>
      <c r="CM73" s="1778"/>
      <c r="CN73" s="1778"/>
      <c r="CO73" s="1779"/>
      <c r="CP73" s="1778"/>
      <c r="CQ73" s="1778"/>
      <c r="CR73" s="1778"/>
      <c r="CS73" s="1779"/>
      <c r="CT73" s="1778"/>
      <c r="CU73" s="1778"/>
      <c r="CV73" s="1778"/>
      <c r="CW73" s="1779"/>
      <c r="CX73" s="1778"/>
      <c r="CY73" s="1778"/>
      <c r="CZ73" s="1778"/>
      <c r="DA73" s="1779"/>
      <c r="DB73" s="1778"/>
      <c r="DC73" s="1778"/>
      <c r="DD73" s="1778"/>
      <c r="DE73" s="1779"/>
      <c r="DF73" s="1778"/>
      <c r="DG73" s="1778"/>
      <c r="DH73" s="1778"/>
      <c r="DI73" s="1779"/>
      <c r="DJ73" s="1778"/>
      <c r="DK73" s="1778"/>
      <c r="DL73" s="1778"/>
      <c r="DM73" s="1779"/>
      <c r="DN73" s="1778"/>
      <c r="DO73" s="1778"/>
      <c r="DP73" s="1778"/>
      <c r="DQ73" s="1779"/>
      <c r="DR73" s="1778"/>
      <c r="DS73" s="1778"/>
      <c r="DT73" s="1778"/>
      <c r="DU73" s="1779"/>
      <c r="DV73" s="1778"/>
      <c r="DW73" s="1778"/>
      <c r="DX73" s="1778"/>
      <c r="DY73" s="1779"/>
      <c r="DZ73" s="1778"/>
      <c r="EA73" s="1778"/>
      <c r="EB73" s="1778"/>
      <c r="EC73" s="1779"/>
      <c r="ED73" s="1778"/>
      <c r="EE73" s="1778"/>
      <c r="EF73" s="1778"/>
      <c r="EG73" s="1779"/>
      <c r="EH73" s="1778"/>
      <c r="EI73" s="1778"/>
      <c r="EJ73" s="1778"/>
      <c r="EK73" s="1779"/>
      <c r="EM73" s="2189">
        <f t="shared" ref="EM73:EM91" si="557">SUM(B73:E73)</f>
      </c>
      <c r="EN73" s="2189">
        <f t="shared" ref="EN73:EN91" si="558">SUM(F73:I73)</f>
      </c>
      <c r="EO73" s="2189">
        <f t="shared" ref="EO73:EO91" si="559">SUM(J73:M73)</f>
      </c>
      <c r="EP73" s="2189">
        <f t="shared" ref="EP73:EP91" si="560">SUM(N73:Q73)</f>
      </c>
      <c r="EQ73" s="2189">
        <f t="shared" ref="EQ73:EQ91" si="561">SUM(R73:U73)</f>
      </c>
      <c r="ER73" s="2189">
        <f t="shared" ref="ER73:ER91" si="562">SUM(V73:Y73)</f>
      </c>
      <c r="ES73" s="2189">
        <f t="shared" ref="ES73:ES91" si="563">SUM(Z73:AC73)</f>
      </c>
      <c r="ET73" s="2189">
        <f t="shared" ref="ET73:ET91" si="564">SUM(AD73:AG73)</f>
      </c>
      <c r="EU73" s="2189">
        <f t="shared" ref="EU73:EU91" si="565">SUM(AH73:AK73)</f>
      </c>
      <c r="EV73" s="2189">
        <f t="shared" ref="EV73:EV91" si="566">SUM(AL73:AO73)</f>
      </c>
      <c r="EW73" s="2189">
        <f t="shared" ref="EW73:EW91" si="567">SUM(AP73:AS73)</f>
      </c>
      <c r="EX73" s="2189">
        <f t="shared" ref="EX73:EX91" si="568">SUM(AT73:AW73)</f>
      </c>
      <c r="EY73" s="2189">
        <f t="shared" ref="EY73:EY91" si="569">SUM(AX73:BA73)</f>
      </c>
      <c r="EZ73" s="2189">
        <f t="shared" ref="EZ73:EZ91" si="570">SUM(BB73:BE73)</f>
      </c>
      <c r="FA73" s="2189">
        <f t="shared" ref="FA73:FA91" si="571">SUM(BF73:BI73)</f>
      </c>
      <c r="FB73" s="2189">
        <f t="shared" ref="FB73:FB91" si="572">SUM(BJ73:BM73)</f>
      </c>
      <c r="FC73" s="2189">
        <f t="shared" ref="FC73:FC91" si="573">SUM(BN73:BQ73)</f>
      </c>
      <c r="FD73" s="2189">
        <f t="shared" ref="FD73:FD91" si="574">SUM(BR73:BU73)</f>
      </c>
      <c r="FE73" s="2189">
        <f t="shared" ref="FE73:FE91" si="575">SUM(BV73:BY73)</f>
      </c>
      <c r="FF73" s="2189">
        <f t="shared" ref="FF73:FF91" si="576">SUM(BZ73:CC73)</f>
      </c>
      <c r="FG73" s="2189"/>
      <c r="FH73" s="2189">
        <f t="shared" ref="FH73:FH91" si="577">SUM(CH73:CK73)</f>
      </c>
      <c r="FI73" s="2189">
        <f t="shared" ref="FI73:FI91" si="578">SUM(CL73:CO73)</f>
      </c>
      <c r="FJ73" s="2189">
        <f t="shared" ref="FJ73:FJ91" si="579">SUM(CP73:CS73)</f>
      </c>
      <c r="FK73" s="2189">
        <f t="shared" ref="FK73:FK91" si="580">SUM(CT73:CW73)</f>
      </c>
      <c r="FL73" s="2189">
        <f t="shared" ref="FL73:FL91" si="581">SUM(CX73:DA73)</f>
      </c>
      <c r="FM73" s="2189">
        <f t="shared" ref="FM73:FM91" si="582">SUM(DB73:DE73)</f>
      </c>
      <c r="FN73" s="2189">
        <f t="shared" ref="FN73:FN91" si="583">SUM(DF73:DI73)</f>
      </c>
      <c r="FO73" s="2189">
        <f t="shared" ref="FO73:FO91" si="584">SUM(DJ73:DM73)</f>
      </c>
      <c r="FP73" s="2189">
        <f t="shared" ref="FP73:FP91" si="585">SUM(DN73:DQ73)</f>
      </c>
      <c r="FQ73" s="2189">
        <f t="shared" ref="FQ73:FQ91" si="586">SUM(DR73:DU73)</f>
      </c>
      <c r="FR73" s="2189">
        <f t="shared" ref="FR73:FR84" si="587">SUM(DV73:DY73)</f>
      </c>
      <c r="FS73" s="2189">
        <f t="shared" ref="FS73:FS84" si="588">SUM(DZ73:EC73)</f>
      </c>
      <c r="FT73" s="2189">
        <f t="shared" ref="FT73:FT84" si="589">SUM(ED73:EG73)</f>
      </c>
      <c r="FU73" s="2189">
        <f t="shared" ref="FU73:FU84" si="590">SUM(EH73:EK73)</f>
      </c>
      <c r="FV73" s="2189"/>
      <c r="FW73" s="2189"/>
      <c r="FX73" s="2189"/>
      <c r="FY73" s="2189">
        <f t="shared" ref="FY73:FY84" si="591">SUM(C73:F73)</f>
      </c>
      <c r="FZ73" s="2189">
        <f t="shared" ref="FZ73:FZ84" si="592">SUM(G73:J73)</f>
      </c>
      <c r="GA73" s="2189">
        <f t="shared" ref="GA73:GA84" si="593">SUM(K73:N73)</f>
      </c>
      <c r="GB73" s="2189">
        <f t="shared" ref="GB73:GB84" si="594">SUM(O73:R73)</f>
      </c>
      <c r="GC73" s="2189">
        <f t="shared" ref="GC73:GC84" si="595">SUM(S73:V73)</f>
      </c>
      <c r="GD73" s="2189">
        <f t="shared" ref="GD73:GD84" si="596">SUM(W73:Z73)</f>
      </c>
      <c r="GE73" s="2189">
        <f t="shared" ref="GE73:GE84" si="597">SUM(AA73:AD73)</f>
      </c>
      <c r="GF73" s="2189">
        <f t="shared" ref="GF73:GF84" si="598">SUM(AE73:AH73)</f>
      </c>
      <c r="GG73" s="2189">
        <f t="shared" ref="GG73:GG84" si="599">SUM(AI73:AL73)</f>
      </c>
      <c r="GH73" s="2189">
        <f t="shared" ref="GH73:GH84" si="600">SUM(AM73:AP73)</f>
      </c>
      <c r="GI73" s="2189">
        <f t="shared" ref="GI73:GI84" si="601">SUM(AQ73:AT73)</f>
      </c>
      <c r="GJ73" s="2189">
        <f t="shared" ref="GJ73:GJ84" si="602">SUM(AU73:AX73)</f>
      </c>
      <c r="GK73" s="2189">
        <f t="shared" ref="GK73:GK84" si="603">SUM(AY73:BB73)</f>
      </c>
      <c r="GL73" s="2189">
        <f t="shared" ref="GL73:GL84" si="604">SUM(BC73:BF73)</f>
      </c>
      <c r="GM73" s="2189">
        <f t="shared" ref="GM73:GM84" si="605">SUM(BG73:BJ73)</f>
      </c>
      <c r="GN73" s="2189">
        <f t="shared" ref="GN73:GN84" si="606">SUM(BK73:BN73)</f>
      </c>
      <c r="GO73" s="2189">
        <f t="shared" ref="GO73:GO84" si="607">SUM(BO73:BR73)</f>
      </c>
      <c r="GP73" s="2189">
        <f t="shared" ref="GP73:GP84" si="608">SUM(BS73:BV73)</f>
      </c>
      <c r="GQ73" s="2189">
        <f t="shared" ref="GQ73:GQ84" si="609">SUM(BW73:BZ73)</f>
      </c>
      <c r="GR73" s="2189">
        <f t="shared" ref="GR73:GR84" si="610">SUM(CA73:CD73)</f>
      </c>
      <c r="GS73" s="2189">
        <f t="shared" ref="GS73:GS84" si="611">SUM(CE73:CH73)</f>
      </c>
      <c r="GT73" s="2189">
        <f t="shared" ref="GT73:GT84" si="612">SUM(CI73:CL73)</f>
      </c>
      <c r="GU73" s="2189">
        <f t="shared" ref="GU73:GU84" si="613">SUM(CM73:CP73)</f>
      </c>
      <c r="GV73" s="2189">
        <f t="shared" ref="GV73:GV84" si="614">SUM(CQ73:CT73)</f>
      </c>
      <c r="GW73" s="2189">
        <f t="shared" ref="GW73:GW84" si="615">SUM(CU73:CX73)</f>
      </c>
      <c r="GX73" s="2189">
        <f t="shared" ref="GX73:GX84" si="616">SUM(CY73:DB73)</f>
      </c>
      <c r="GY73" s="2189">
        <f t="shared" ref="GY73:GY84" si="617">SUM(DC73:DF73)</f>
      </c>
      <c r="GZ73" s="2189">
        <f t="shared" ref="GZ73:GZ84" si="618">SUM(DG73:DJ73)</f>
      </c>
      <c r="HA73" s="2189">
        <f t="shared" ref="HA73:HA84" si="619">SUM(DK73:DN73)</f>
      </c>
      <c r="HB73" s="2189">
        <f t="shared" ref="HB73:HB84" si="620">SUM(DO73:DR73)</f>
      </c>
      <c r="HC73" s="2189">
        <f t="shared" ref="HC73:HC84" si="621">SUM(DS73:DV73)</f>
      </c>
      <c r="HD73" s="2189">
        <f t="shared" ref="HD73:HD84" si="622">SUM(DW73:DZ73)</f>
      </c>
      <c r="HE73" s="2189">
        <f t="shared" ref="HE73:HE84" si="623">SUM(EA73:ED73)</f>
      </c>
      <c r="HF73" s="2189">
        <f t="shared" ref="HF73:HF84" si="624">SUM(EE73:EH73)</f>
      </c>
    </row>
    <row r="74" spans="1:214" s="1721" customFormat="1" ht="10.199999999999999">
      <c r="A74" s="1781" t="s">
        <v>876</v>
      </c>
      <c r="B74" s="882"/>
      <c r="C74" s="882"/>
      <c r="D74" s="882"/>
      <c r="E74" s="883"/>
      <c r="F74" s="882"/>
      <c r="G74" s="882"/>
      <c r="H74" s="882"/>
      <c r="I74" s="883"/>
      <c r="J74" s="1728"/>
      <c r="K74" s="1728"/>
      <c r="L74" s="1728"/>
      <c r="M74" s="1729"/>
      <c r="N74" s="1728"/>
      <c r="O74" s="1728"/>
      <c r="P74" s="1728"/>
      <c r="Q74" s="1729"/>
      <c r="R74" s="1728"/>
      <c r="S74" s="1728"/>
      <c r="T74" s="1728"/>
      <c r="U74" s="1729"/>
      <c r="V74" s="1728"/>
      <c r="W74" s="1728"/>
      <c r="X74" s="1728"/>
      <c r="Y74" s="1729"/>
      <c r="Z74" s="1728"/>
      <c r="AA74" s="1728"/>
      <c r="AB74" s="1728"/>
      <c r="AC74" s="1729"/>
      <c r="AD74" s="1728"/>
      <c r="AE74" s="1728"/>
      <c r="AF74" s="1728"/>
      <c r="AG74" s="1729"/>
      <c r="AH74" s="1728"/>
      <c r="AI74" s="1728"/>
      <c r="AJ74" s="1728"/>
      <c r="AK74" s="1729"/>
      <c r="AL74" s="1728"/>
      <c r="AM74" s="1728"/>
      <c r="AN74" s="1728"/>
      <c r="AO74" s="1729"/>
      <c r="AP74" s="1728"/>
      <c r="AQ74" s="1728"/>
      <c r="AR74" s="1728"/>
      <c r="AS74" s="1729"/>
      <c r="AT74" s="1728"/>
      <c r="AU74" s="1728"/>
      <c r="AV74" s="1728"/>
      <c r="AW74" s="1729"/>
      <c r="AX74" s="1728"/>
      <c r="AY74" s="1728"/>
      <c r="AZ74" s="1728"/>
      <c r="BA74" s="1729"/>
      <c r="BB74" s="1728"/>
      <c r="BC74" s="1728"/>
      <c r="BD74" s="1728"/>
      <c r="BE74" s="1729"/>
      <c r="BF74" s="1728"/>
      <c r="BG74" s="1728"/>
      <c r="BH74" s="1728"/>
      <c r="BI74" s="1729"/>
      <c r="BJ74" s="1728"/>
      <c r="BK74" s="1728"/>
      <c r="BL74" s="1728"/>
      <c r="BM74" s="1729"/>
      <c r="BN74" s="1728"/>
      <c r="BO74" s="1728"/>
      <c r="BP74" s="1728"/>
      <c r="BQ74" s="1729"/>
      <c r="BR74" s="1728"/>
      <c r="BS74" s="1728"/>
      <c r="BT74" s="1728"/>
      <c r="BU74" s="1729"/>
      <c r="BV74" s="1728"/>
      <c r="BW74" s="1728"/>
      <c r="BX74" s="1728"/>
      <c r="BY74" s="1729"/>
      <c r="BZ74" s="1728"/>
      <c r="CA74" s="1728"/>
      <c r="CB74" s="1728"/>
      <c r="CC74" s="1729"/>
      <c r="CD74" s="1728"/>
      <c r="CE74" s="1728"/>
      <c r="CF74" s="1728"/>
      <c r="CG74" s="1729"/>
      <c r="CH74" s="1747">
        <v>14.9</v>
      </c>
      <c r="CI74" s="1747">
        <v>8.8000000000000007</v>
      </c>
      <c r="CJ74" s="1747">
        <v>7.9</v>
      </c>
      <c r="CK74" s="1748">
        <v>5.8</v>
      </c>
      <c r="CL74" s="1747">
        <v>5.3</v>
      </c>
      <c r="CM74" s="1747">
        <v>4</v>
      </c>
      <c r="CN74" s="1747">
        <v>3.2</v>
      </c>
      <c r="CO74" s="1748">
        <v>2</v>
      </c>
      <c r="CP74" s="1747">
        <v>0</v>
      </c>
      <c r="CQ74" s="1747">
        <v>0</v>
      </c>
      <c r="CR74" s="1747">
        <v>0</v>
      </c>
      <c r="CS74" s="1748">
        <v>0</v>
      </c>
      <c r="CT74" s="1747">
        <v>0</v>
      </c>
      <c r="CU74" s="1747">
        <v>0</v>
      </c>
      <c r="CV74" s="1747">
        <v>0</v>
      </c>
      <c r="CW74" s="1748">
        <v>0</v>
      </c>
      <c r="CX74" s="1747"/>
      <c r="CY74" s="1747"/>
      <c r="CZ74" s="1747"/>
      <c r="DA74" s="1748"/>
      <c r="DB74" s="1747"/>
      <c r="DC74" s="1747"/>
      <c r="DD74" s="1747"/>
      <c r="DE74" s="1748"/>
      <c r="DF74" s="1747"/>
      <c r="DG74" s="1747"/>
      <c r="DH74" s="1747"/>
      <c r="DI74" s="1748"/>
      <c r="DJ74" s="1747"/>
      <c r="DK74" s="1747"/>
      <c r="DL74" s="1747"/>
      <c r="DM74" s="1748"/>
      <c r="DN74" s="1747"/>
      <c r="DO74" s="1747"/>
      <c r="DP74" s="1747"/>
      <c r="DQ74" s="1748"/>
      <c r="DR74" s="1747"/>
      <c r="DS74" s="1747"/>
      <c r="DT74" s="1747"/>
      <c r="DU74" s="1748"/>
      <c r="DV74" s="1747"/>
      <c r="DW74" s="1747"/>
      <c r="DX74" s="1747"/>
      <c r="DY74" s="1748"/>
      <c r="DZ74" s="1747"/>
      <c r="EA74" s="1747"/>
      <c r="EB74" s="1747"/>
      <c r="EC74" s="1748"/>
      <c r="ED74" s="1747"/>
      <c r="EE74" s="1747"/>
      <c r="EF74" s="1747"/>
      <c r="EG74" s="1748"/>
      <c r="EH74" s="1747"/>
      <c r="EI74" s="1747"/>
      <c r="EJ74" s="1747"/>
      <c r="EK74" s="1748"/>
      <c r="EM74" s="2189">
        <f t="shared" si="557"/>
      </c>
      <c r="EN74" s="2189">
        <f t="shared" si="558"/>
      </c>
      <c r="EO74" s="2189">
        <f t="shared" si="559"/>
      </c>
      <c r="EP74" s="2189">
        <f t="shared" si="560"/>
      </c>
      <c r="EQ74" s="2189">
        <f t="shared" si="561"/>
      </c>
      <c r="ER74" s="2189">
        <f t="shared" si="562"/>
      </c>
      <c r="ES74" s="2189">
        <f t="shared" si="563"/>
      </c>
      <c r="ET74" s="2189">
        <f t="shared" si="564"/>
      </c>
      <c r="EU74" s="2189">
        <f t="shared" si="565"/>
      </c>
      <c r="EV74" s="2189">
        <f t="shared" si="566"/>
      </c>
      <c r="EW74" s="2189">
        <f t="shared" si="567"/>
      </c>
      <c r="EX74" s="2189">
        <f t="shared" si="568"/>
      </c>
      <c r="EY74" s="2189">
        <f t="shared" si="569"/>
      </c>
      <c r="EZ74" s="2189">
        <f t="shared" si="570"/>
      </c>
      <c r="FA74" s="2189">
        <f t="shared" si="571"/>
      </c>
      <c r="FB74" s="2189">
        <f t="shared" si="572"/>
      </c>
      <c r="FC74" s="2189">
        <f t="shared" si="573"/>
      </c>
      <c r="FD74" s="2189">
        <f t="shared" si="574"/>
      </c>
      <c r="FE74" s="2189">
        <f t="shared" si="575"/>
      </c>
      <c r="FF74" s="2189">
        <f t="shared" si="576"/>
      </c>
      <c r="FG74" s="2189"/>
      <c r="FH74" s="2189">
        <f t="shared" si="577"/>
      </c>
      <c r="FI74" s="2189">
        <f t="shared" si="578"/>
      </c>
      <c r="FJ74" s="2189">
        <f t="shared" si="579"/>
      </c>
      <c r="FK74" s="2189">
        <f t="shared" si="580"/>
      </c>
      <c r="FL74" s="2189">
        <f t="shared" si="581"/>
      </c>
      <c r="FM74" s="2189">
        <f t="shared" si="582"/>
      </c>
      <c r="FN74" s="2189">
        <f t="shared" si="583"/>
      </c>
      <c r="FO74" s="2189">
        <f t="shared" si="584"/>
      </c>
      <c r="FP74" s="2189">
        <f t="shared" si="585"/>
      </c>
      <c r="FQ74" s="2189">
        <f t="shared" si="586"/>
      </c>
      <c r="FR74" s="2189">
        <f t="shared" si="587"/>
      </c>
      <c r="FS74" s="2189">
        <f t="shared" si="588"/>
      </c>
      <c r="FT74" s="2189">
        <f t="shared" si="589"/>
      </c>
      <c r="FU74" s="2189">
        <f t="shared" si="590"/>
      </c>
      <c r="FV74" s="2189"/>
      <c r="FW74" s="2189"/>
      <c r="FX74" s="2189"/>
      <c r="FY74" s="2189">
        <f t="shared" si="591"/>
      </c>
      <c r="FZ74" s="2189">
        <f t="shared" si="592"/>
      </c>
      <c r="GA74" s="2189">
        <f t="shared" si="593"/>
      </c>
      <c r="GB74" s="2189">
        <f t="shared" si="594"/>
      </c>
      <c r="GC74" s="2189">
        <f t="shared" si="595"/>
      </c>
      <c r="GD74" s="2189">
        <f t="shared" si="596"/>
      </c>
      <c r="GE74" s="2189">
        <f t="shared" si="597"/>
      </c>
      <c r="GF74" s="2189">
        <f t="shared" si="598"/>
      </c>
      <c r="GG74" s="2189">
        <f t="shared" si="599"/>
      </c>
      <c r="GH74" s="2189">
        <f t="shared" si="600"/>
      </c>
      <c r="GI74" s="2189">
        <f t="shared" si="601"/>
      </c>
      <c r="GJ74" s="2189">
        <f t="shared" si="602"/>
      </c>
      <c r="GK74" s="2189">
        <f t="shared" si="603"/>
      </c>
      <c r="GL74" s="2189">
        <f t="shared" si="604"/>
      </c>
      <c r="GM74" s="2189">
        <f t="shared" si="605"/>
      </c>
      <c r="GN74" s="2189">
        <f t="shared" si="606"/>
      </c>
      <c r="GO74" s="2189">
        <f t="shared" si="607"/>
      </c>
      <c r="GP74" s="2189">
        <f t="shared" si="608"/>
      </c>
      <c r="GQ74" s="2189">
        <f t="shared" si="609"/>
      </c>
      <c r="GR74" s="2189">
        <f t="shared" si="610"/>
      </c>
      <c r="GS74" s="2189">
        <f t="shared" si="611"/>
      </c>
      <c r="GT74" s="2189">
        <f t="shared" si="612"/>
      </c>
      <c r="GU74" s="2189">
        <f t="shared" si="613"/>
      </c>
      <c r="GV74" s="2189">
        <f t="shared" si="614"/>
      </c>
      <c r="GW74" s="2189">
        <f t="shared" si="615"/>
      </c>
      <c r="GX74" s="2189">
        <f t="shared" si="616"/>
      </c>
      <c r="GY74" s="2189">
        <f t="shared" si="617"/>
      </c>
      <c r="GZ74" s="2189">
        <f t="shared" si="618"/>
      </c>
      <c r="HA74" s="2189">
        <f t="shared" si="619"/>
      </c>
      <c r="HB74" s="2189">
        <f t="shared" si="620"/>
      </c>
      <c r="HC74" s="2189">
        <f t="shared" si="621"/>
      </c>
      <c r="HD74" s="2189">
        <f t="shared" si="622"/>
      </c>
      <c r="HE74" s="2189">
        <f t="shared" si="623"/>
      </c>
      <c r="HF74" s="2189">
        <f t="shared" si="624"/>
      </c>
    </row>
    <row r="75" spans="1:214" s="1721" customFormat="1" ht="10.199999999999999">
      <c r="A75" s="1781" t="s">
        <v>1459</v>
      </c>
      <c r="B75" s="882"/>
      <c r="C75" s="882"/>
      <c r="D75" s="882"/>
      <c r="E75" s="883"/>
      <c r="F75" s="882"/>
      <c r="G75" s="882"/>
      <c r="H75" s="882"/>
      <c r="I75" s="883"/>
      <c r="J75" s="1728"/>
      <c r="K75" s="1728"/>
      <c r="L75" s="1728"/>
      <c r="M75" s="1729"/>
      <c r="N75" s="1728"/>
      <c r="O75" s="1728"/>
      <c r="P75" s="1728"/>
      <c r="Q75" s="1729"/>
      <c r="R75" s="1728"/>
      <c r="S75" s="1728"/>
      <c r="T75" s="1728"/>
      <c r="U75" s="1729"/>
      <c r="V75" s="1728"/>
      <c r="W75" s="1728"/>
      <c r="X75" s="1728"/>
      <c r="Y75" s="1729"/>
      <c r="Z75" s="1728"/>
      <c r="AA75" s="1728"/>
      <c r="AB75" s="1728"/>
      <c r="AC75" s="1729"/>
      <c r="AD75" s="1728"/>
      <c r="AE75" s="1728"/>
      <c r="AF75" s="1728"/>
      <c r="AG75" s="1729"/>
      <c r="AH75" s="1728"/>
      <c r="AI75" s="1728"/>
      <c r="AJ75" s="1728"/>
      <c r="AK75" s="1729"/>
      <c r="AL75" s="1728"/>
      <c r="AM75" s="1728"/>
      <c r="AN75" s="1728"/>
      <c r="AO75" s="1729"/>
      <c r="AP75" s="1728"/>
      <c r="AQ75" s="1728"/>
      <c r="AR75" s="1728"/>
      <c r="AS75" s="1729"/>
      <c r="AT75" s="1728"/>
      <c r="AU75" s="1728"/>
      <c r="AV75" s="1728"/>
      <c r="AW75" s="1729"/>
      <c r="AX75" s="1728"/>
      <c r="AY75" s="1728"/>
      <c r="AZ75" s="1728"/>
      <c r="BA75" s="1729"/>
      <c r="BB75" s="1728"/>
      <c r="BC75" s="1728"/>
      <c r="BD75" s="1728"/>
      <c r="BE75" s="1729"/>
      <c r="BF75" s="1728"/>
      <c r="BG75" s="1728"/>
      <c r="BH75" s="1728"/>
      <c r="BI75" s="1729"/>
      <c r="BJ75" s="1728"/>
      <c r="BK75" s="1728"/>
      <c r="BL75" s="1728"/>
      <c r="BM75" s="1729"/>
      <c r="BN75" s="1728"/>
      <c r="BO75" s="1728"/>
      <c r="BP75" s="1728"/>
      <c r="BQ75" s="1729"/>
      <c r="BR75" s="1728"/>
      <c r="BS75" s="1728"/>
      <c r="BT75" s="1728"/>
      <c r="BU75" s="1729"/>
      <c r="BV75" s="1728"/>
      <c r="BW75" s="1728"/>
      <c r="BX75" s="1728"/>
      <c r="BY75" s="1729"/>
      <c r="BZ75" s="1728"/>
      <c r="CA75" s="1728"/>
      <c r="CB75" s="1728"/>
      <c r="CC75" s="1729"/>
      <c r="CD75" s="1728"/>
      <c r="CE75" s="1728"/>
      <c r="CF75" s="1728"/>
      <c r="CG75" s="1729"/>
      <c r="CH75" s="1747">
        <v>59</v>
      </c>
      <c r="CI75" s="1747">
        <v>37.5</v>
      </c>
      <c r="CJ75" s="1747">
        <v>28.5</v>
      </c>
      <c r="CK75" s="1748">
        <v>20.8</v>
      </c>
      <c r="CL75" s="1747">
        <v>10.5</v>
      </c>
      <c r="CM75" s="1747">
        <v>8</v>
      </c>
      <c r="CN75" s="1747">
        <v>6.7</v>
      </c>
      <c r="CO75" s="1748">
        <v>6.2</v>
      </c>
      <c r="CP75" s="1747">
        <v>6.7</v>
      </c>
      <c r="CQ75" s="1747">
        <v>5</v>
      </c>
      <c r="CR75" s="1747">
        <v>4</v>
      </c>
      <c r="CS75" s="1748">
        <v>3.4</v>
      </c>
      <c r="CT75" s="1747">
        <v>0</v>
      </c>
      <c r="CU75" s="1747">
        <v>0</v>
      </c>
      <c r="CV75" s="1747">
        <v>0</v>
      </c>
      <c r="CW75" s="1748">
        <v>0</v>
      </c>
      <c r="CX75" s="1747"/>
      <c r="CY75" s="1747"/>
      <c r="CZ75" s="1747"/>
      <c r="DA75" s="1748"/>
      <c r="DB75" s="1747"/>
      <c r="DC75" s="1747"/>
      <c r="DD75" s="1747"/>
      <c r="DE75" s="1748"/>
      <c r="DF75" s="1747"/>
      <c r="DG75" s="1747"/>
      <c r="DH75" s="1747"/>
      <c r="DI75" s="1748"/>
      <c r="DJ75" s="1747"/>
      <c r="DK75" s="1747"/>
      <c r="DL75" s="1747"/>
      <c r="DM75" s="1748"/>
      <c r="DN75" s="1747"/>
      <c r="DO75" s="1747"/>
      <c r="DP75" s="1747"/>
      <c r="DQ75" s="1748"/>
      <c r="DR75" s="1747"/>
      <c r="DS75" s="1747"/>
      <c r="DT75" s="1747"/>
      <c r="DU75" s="1748"/>
      <c r="DV75" s="1747"/>
      <c r="DW75" s="1747"/>
      <c r="DX75" s="1747"/>
      <c r="DY75" s="1748"/>
      <c r="DZ75" s="1747"/>
      <c r="EA75" s="1747"/>
      <c r="EB75" s="1747"/>
      <c r="EC75" s="1748"/>
      <c r="ED75" s="1747"/>
      <c r="EE75" s="1747"/>
      <c r="EF75" s="1747"/>
      <c r="EG75" s="1748"/>
      <c r="EH75" s="1747"/>
      <c r="EI75" s="1747"/>
      <c r="EJ75" s="1747"/>
      <c r="EK75" s="1748"/>
      <c r="EM75" s="2189">
        <f t="shared" si="557"/>
      </c>
      <c r="EN75" s="2189">
        <f t="shared" si="558"/>
      </c>
      <c r="EO75" s="2189">
        <f t="shared" si="559"/>
      </c>
      <c r="EP75" s="2189">
        <f t="shared" si="560"/>
      </c>
      <c r="EQ75" s="2189">
        <f t="shared" si="561"/>
      </c>
      <c r="ER75" s="2189">
        <f t="shared" si="562"/>
      </c>
      <c r="ES75" s="2189">
        <f t="shared" si="563"/>
      </c>
      <c r="ET75" s="2189">
        <f t="shared" si="564"/>
      </c>
      <c r="EU75" s="2189">
        <f t="shared" si="565"/>
      </c>
      <c r="EV75" s="2189">
        <f t="shared" si="566"/>
      </c>
      <c r="EW75" s="2189">
        <f t="shared" si="567"/>
      </c>
      <c r="EX75" s="2189">
        <f t="shared" si="568"/>
      </c>
      <c r="EY75" s="2189">
        <f t="shared" si="569"/>
      </c>
      <c r="EZ75" s="2189">
        <f t="shared" si="570"/>
      </c>
      <c r="FA75" s="2189">
        <f t="shared" si="571"/>
      </c>
      <c r="FB75" s="2189">
        <f t="shared" si="572"/>
      </c>
      <c r="FC75" s="2189">
        <f t="shared" si="573"/>
      </c>
      <c r="FD75" s="2189">
        <f t="shared" si="574"/>
      </c>
      <c r="FE75" s="2189">
        <f t="shared" si="575"/>
      </c>
      <c r="FF75" s="2189">
        <f t="shared" si="576"/>
      </c>
      <c r="FG75" s="2189"/>
      <c r="FH75" s="2189">
        <f t="shared" si="577"/>
      </c>
      <c r="FI75" s="2189">
        <f t="shared" si="578"/>
      </c>
      <c r="FJ75" s="2189">
        <f t="shared" si="579"/>
      </c>
      <c r="FK75" s="2189">
        <f t="shared" si="580"/>
      </c>
      <c r="FL75" s="2189">
        <f t="shared" si="581"/>
      </c>
      <c r="FM75" s="2189">
        <f t="shared" si="582"/>
      </c>
      <c r="FN75" s="2189">
        <f t="shared" si="583"/>
      </c>
      <c r="FO75" s="2189">
        <f t="shared" si="584"/>
      </c>
      <c r="FP75" s="2189">
        <f t="shared" si="585"/>
      </c>
      <c r="FQ75" s="2189">
        <f t="shared" si="586"/>
      </c>
      <c r="FR75" s="2189">
        <f t="shared" si="587"/>
      </c>
      <c r="FS75" s="2189">
        <f t="shared" si="588"/>
      </c>
      <c r="FT75" s="2189">
        <f t="shared" si="589"/>
      </c>
      <c r="FU75" s="2189">
        <f t="shared" si="590"/>
      </c>
      <c r="FV75" s="2189"/>
      <c r="FW75" s="2189"/>
      <c r="FX75" s="2189"/>
      <c r="FY75" s="2189">
        <f t="shared" si="591"/>
      </c>
      <c r="FZ75" s="2189">
        <f t="shared" si="592"/>
      </c>
      <c r="GA75" s="2189">
        <f t="shared" si="593"/>
      </c>
      <c r="GB75" s="2189">
        <f t="shared" si="594"/>
      </c>
      <c r="GC75" s="2189">
        <f t="shared" si="595"/>
      </c>
      <c r="GD75" s="2189">
        <f t="shared" si="596"/>
      </c>
      <c r="GE75" s="2189">
        <f t="shared" si="597"/>
      </c>
      <c r="GF75" s="2189">
        <f t="shared" si="598"/>
      </c>
      <c r="GG75" s="2189">
        <f t="shared" si="599"/>
      </c>
      <c r="GH75" s="2189">
        <f t="shared" si="600"/>
      </c>
      <c r="GI75" s="2189">
        <f t="shared" si="601"/>
      </c>
      <c r="GJ75" s="2189">
        <f t="shared" si="602"/>
      </c>
      <c r="GK75" s="2189">
        <f t="shared" si="603"/>
      </c>
      <c r="GL75" s="2189">
        <f t="shared" si="604"/>
      </c>
      <c r="GM75" s="2189">
        <f t="shared" si="605"/>
      </c>
      <c r="GN75" s="2189">
        <f t="shared" si="606"/>
      </c>
      <c r="GO75" s="2189">
        <f t="shared" si="607"/>
      </c>
      <c r="GP75" s="2189">
        <f t="shared" si="608"/>
      </c>
      <c r="GQ75" s="2189">
        <f t="shared" si="609"/>
      </c>
      <c r="GR75" s="2189">
        <f t="shared" si="610"/>
      </c>
      <c r="GS75" s="2189">
        <f t="shared" si="611"/>
      </c>
      <c r="GT75" s="2189">
        <f t="shared" si="612"/>
      </c>
      <c r="GU75" s="2189">
        <f t="shared" si="613"/>
      </c>
      <c r="GV75" s="2189">
        <f t="shared" si="614"/>
      </c>
      <c r="GW75" s="2189">
        <f t="shared" si="615"/>
      </c>
      <c r="GX75" s="2189">
        <f t="shared" si="616"/>
      </c>
      <c r="GY75" s="2189">
        <f t="shared" si="617"/>
      </c>
      <c r="GZ75" s="2189">
        <f t="shared" si="618"/>
      </c>
      <c r="HA75" s="2189">
        <f t="shared" si="619"/>
      </c>
      <c r="HB75" s="2189">
        <f t="shared" si="620"/>
      </c>
      <c r="HC75" s="2189">
        <f t="shared" si="621"/>
      </c>
      <c r="HD75" s="2189">
        <f t="shared" si="622"/>
      </c>
      <c r="HE75" s="2189">
        <f t="shared" si="623"/>
      </c>
      <c r="HF75" s="2189">
        <f t="shared" si="624"/>
      </c>
    </row>
    <row r="76" spans="1:214" s="1721" customFormat="1" ht="10.199999999999999">
      <c r="A76" s="1781" t="s">
        <v>1460</v>
      </c>
      <c r="B76" s="882"/>
      <c r="C76" s="882"/>
      <c r="D76" s="882"/>
      <c r="E76" s="883"/>
      <c r="F76" s="882"/>
      <c r="G76" s="882"/>
      <c r="H76" s="882"/>
      <c r="I76" s="883"/>
      <c r="J76" s="1728"/>
      <c r="K76" s="1728"/>
      <c r="L76" s="1728"/>
      <c r="M76" s="1729"/>
      <c r="N76" s="1728"/>
      <c r="O76" s="1728"/>
      <c r="P76" s="1728"/>
      <c r="Q76" s="1729"/>
      <c r="R76" s="1728"/>
      <c r="S76" s="1728"/>
      <c r="T76" s="1728"/>
      <c r="U76" s="1729"/>
      <c r="V76" s="1728"/>
      <c r="W76" s="1728"/>
      <c r="X76" s="1728"/>
      <c r="Y76" s="1729"/>
      <c r="Z76" s="1728"/>
      <c r="AA76" s="1728"/>
      <c r="AB76" s="1728"/>
      <c r="AC76" s="1729"/>
      <c r="AD76" s="1728"/>
      <c r="AE76" s="1728"/>
      <c r="AF76" s="1728"/>
      <c r="AG76" s="1729"/>
      <c r="AH76" s="1728"/>
      <c r="AI76" s="1728"/>
      <c r="AJ76" s="1728"/>
      <c r="AK76" s="1729"/>
      <c r="AL76" s="1728"/>
      <c r="AM76" s="1728"/>
      <c r="AN76" s="1728"/>
      <c r="AO76" s="1729"/>
      <c r="AP76" s="1728"/>
      <c r="AQ76" s="1728"/>
      <c r="AR76" s="1728"/>
      <c r="AS76" s="1729"/>
      <c r="AT76" s="1728"/>
      <c r="AU76" s="1728"/>
      <c r="AV76" s="1728"/>
      <c r="AW76" s="1729"/>
      <c r="AX76" s="1728"/>
      <c r="AY76" s="1728"/>
      <c r="AZ76" s="1728"/>
      <c r="BA76" s="1729"/>
      <c r="BB76" s="1728"/>
      <c r="BC76" s="1728"/>
      <c r="BD76" s="1728"/>
      <c r="BE76" s="1729"/>
      <c r="BF76" s="1728"/>
      <c r="BG76" s="1728"/>
      <c r="BH76" s="1728"/>
      <c r="BI76" s="1729"/>
      <c r="BJ76" s="1728"/>
      <c r="BK76" s="1728"/>
      <c r="BL76" s="1728"/>
      <c r="BM76" s="1729"/>
      <c r="BN76" s="1728"/>
      <c r="BO76" s="1728"/>
      <c r="BP76" s="1728"/>
      <c r="BQ76" s="1729"/>
      <c r="BR76" s="1728"/>
      <c r="BS76" s="1728"/>
      <c r="BT76" s="1728"/>
      <c r="BU76" s="1729"/>
      <c r="BV76" s="1728"/>
      <c r="BW76" s="1728"/>
      <c r="BX76" s="1728"/>
      <c r="BY76" s="1729"/>
      <c r="BZ76" s="1728"/>
      <c r="CA76" s="1728"/>
      <c r="CB76" s="1728"/>
      <c r="CC76" s="1729"/>
      <c r="CD76" s="1728"/>
      <c r="CE76" s="1728"/>
      <c r="CF76" s="1728"/>
      <c r="CG76" s="1729"/>
      <c r="CH76" s="1747"/>
      <c r="CI76" s="1747"/>
      <c r="CJ76" s="1747"/>
      <c r="CK76" s="1748">
        <v>16</v>
      </c>
      <c r="CL76" s="1747">
        <v>28.1</v>
      </c>
      <c r="CM76" s="1747">
        <v>19.5</v>
      </c>
      <c r="CN76" s="1747">
        <v>17.5</v>
      </c>
      <c r="CO76" s="1748">
        <v>15.2</v>
      </c>
      <c r="CP76" s="1747">
        <v>13.6</v>
      </c>
      <c r="CQ76" s="1747">
        <v>10.7</v>
      </c>
      <c r="CR76" s="1747">
        <v>9</v>
      </c>
      <c r="CS76" s="1748">
        <v>8</v>
      </c>
      <c r="CT76" s="1747">
        <v>10</v>
      </c>
      <c r="CU76" s="1747">
        <v>5.3</v>
      </c>
      <c r="CV76" s="1747">
        <v>2.7</v>
      </c>
      <c r="CW76" s="1748">
        <v>0</v>
      </c>
      <c r="CX76" s="1747">
        <v>0.4</v>
      </c>
      <c r="CY76" s="1747">
        <v>0.1</v>
      </c>
      <c r="CZ76" s="1747">
        <v>0.1</v>
      </c>
      <c r="DA76" s="1748"/>
      <c r="DB76" s="1747"/>
      <c r="DC76" s="1747"/>
      <c r="DD76" s="1747"/>
      <c r="DE76" s="1748"/>
      <c r="DF76" s="1747"/>
      <c r="DG76" s="1747"/>
      <c r="DH76" s="1747"/>
      <c r="DI76" s="1748"/>
      <c r="DJ76" s="1747"/>
      <c r="DK76" s="1747"/>
      <c r="DL76" s="1747"/>
      <c r="DM76" s="1748"/>
      <c r="DN76" s="1747"/>
      <c r="DO76" s="1747"/>
      <c r="DP76" s="1747"/>
      <c r="DQ76" s="1748"/>
      <c r="DR76" s="1747"/>
      <c r="DS76" s="1747"/>
      <c r="DT76" s="1747"/>
      <c r="DU76" s="1748"/>
      <c r="DV76" s="1747"/>
      <c r="DW76" s="1747"/>
      <c r="DX76" s="1747"/>
      <c r="DY76" s="1748"/>
      <c r="DZ76" s="1747"/>
      <c r="EA76" s="1747"/>
      <c r="EB76" s="1747"/>
      <c r="EC76" s="1748"/>
      <c r="ED76" s="1747"/>
      <c r="EE76" s="1747"/>
      <c r="EF76" s="1747"/>
      <c r="EG76" s="1748"/>
      <c r="EH76" s="1747"/>
      <c r="EI76" s="1747"/>
      <c r="EJ76" s="1747"/>
      <c r="EK76" s="1748"/>
      <c r="EM76" s="2189">
        <f t="shared" si="557"/>
      </c>
      <c r="EN76" s="2189">
        <f t="shared" si="558"/>
      </c>
      <c r="EO76" s="2189">
        <f t="shared" si="559"/>
      </c>
      <c r="EP76" s="2189">
        <f t="shared" si="560"/>
      </c>
      <c r="EQ76" s="2189">
        <f t="shared" si="561"/>
      </c>
      <c r="ER76" s="2189">
        <f t="shared" si="562"/>
      </c>
      <c r="ES76" s="2189">
        <f t="shared" si="563"/>
      </c>
      <c r="ET76" s="2189">
        <f t="shared" si="564"/>
      </c>
      <c r="EU76" s="2189">
        <f t="shared" si="565"/>
      </c>
      <c r="EV76" s="2189">
        <f t="shared" si="566"/>
      </c>
      <c r="EW76" s="2189">
        <f t="shared" si="567"/>
      </c>
      <c r="EX76" s="2189">
        <f t="shared" si="568"/>
      </c>
      <c r="EY76" s="2189">
        <f t="shared" si="569"/>
      </c>
      <c r="EZ76" s="2189">
        <f t="shared" si="570"/>
      </c>
      <c r="FA76" s="2189">
        <f t="shared" si="571"/>
      </c>
      <c r="FB76" s="2189">
        <f t="shared" si="572"/>
      </c>
      <c r="FC76" s="2189">
        <f t="shared" si="573"/>
      </c>
      <c r="FD76" s="2189">
        <f t="shared" si="574"/>
      </c>
      <c r="FE76" s="2189">
        <f t="shared" si="575"/>
      </c>
      <c r="FF76" s="2189">
        <f t="shared" si="576"/>
      </c>
      <c r="FG76" s="2189"/>
      <c r="FH76" s="2189">
        <f t="shared" si="577"/>
      </c>
      <c r="FI76" s="2189">
        <f t="shared" si="578"/>
      </c>
      <c r="FJ76" s="2189">
        <f t="shared" si="579"/>
      </c>
      <c r="FK76" s="2189">
        <f t="shared" si="580"/>
      </c>
      <c r="FL76" s="2189">
        <f t="shared" si="581"/>
      </c>
      <c r="FM76" s="2189">
        <f t="shared" si="582"/>
      </c>
      <c r="FN76" s="2189">
        <f t="shared" si="583"/>
      </c>
      <c r="FO76" s="2189">
        <f t="shared" si="584"/>
      </c>
      <c r="FP76" s="2189">
        <f t="shared" si="585"/>
      </c>
      <c r="FQ76" s="2189">
        <f t="shared" si="586"/>
      </c>
      <c r="FR76" s="2189">
        <f t="shared" si="587"/>
      </c>
      <c r="FS76" s="2189">
        <f t="shared" si="588"/>
      </c>
      <c r="FT76" s="2189">
        <f t="shared" si="589"/>
      </c>
      <c r="FU76" s="2189">
        <f t="shared" si="590"/>
      </c>
      <c r="FV76" s="2189"/>
      <c r="FW76" s="2189"/>
      <c r="FX76" s="2189"/>
      <c r="FY76" s="2189">
        <f t="shared" si="591"/>
      </c>
      <c r="FZ76" s="2189">
        <f t="shared" si="592"/>
      </c>
      <c r="GA76" s="2189">
        <f t="shared" si="593"/>
      </c>
      <c r="GB76" s="2189">
        <f t="shared" si="594"/>
      </c>
      <c r="GC76" s="2189">
        <f t="shared" si="595"/>
      </c>
      <c r="GD76" s="2189">
        <f t="shared" si="596"/>
      </c>
      <c r="GE76" s="2189">
        <f t="shared" si="597"/>
      </c>
      <c r="GF76" s="2189">
        <f t="shared" si="598"/>
      </c>
      <c r="GG76" s="2189">
        <f t="shared" si="599"/>
      </c>
      <c r="GH76" s="2189">
        <f t="shared" si="600"/>
      </c>
      <c r="GI76" s="2189">
        <f t="shared" si="601"/>
      </c>
      <c r="GJ76" s="2189">
        <f t="shared" si="602"/>
      </c>
      <c r="GK76" s="2189">
        <f t="shared" si="603"/>
      </c>
      <c r="GL76" s="2189">
        <f t="shared" si="604"/>
      </c>
      <c r="GM76" s="2189">
        <f t="shared" si="605"/>
      </c>
      <c r="GN76" s="2189">
        <f t="shared" si="606"/>
      </c>
      <c r="GO76" s="2189">
        <f t="shared" si="607"/>
      </c>
      <c r="GP76" s="2189">
        <f t="shared" si="608"/>
      </c>
      <c r="GQ76" s="2189">
        <f t="shared" si="609"/>
      </c>
      <c r="GR76" s="2189">
        <f t="shared" si="610"/>
      </c>
      <c r="GS76" s="2189">
        <f t="shared" si="611"/>
      </c>
      <c r="GT76" s="2189">
        <f t="shared" si="612"/>
      </c>
      <c r="GU76" s="2189">
        <f t="shared" si="613"/>
      </c>
      <c r="GV76" s="2189">
        <f t="shared" si="614"/>
      </c>
      <c r="GW76" s="2189">
        <f t="shared" si="615"/>
      </c>
      <c r="GX76" s="2189">
        <f t="shared" si="616"/>
      </c>
      <c r="GY76" s="2189">
        <f t="shared" si="617"/>
      </c>
      <c r="GZ76" s="2189">
        <f t="shared" si="618"/>
      </c>
      <c r="HA76" s="2189">
        <f t="shared" si="619"/>
      </c>
      <c r="HB76" s="2189">
        <f t="shared" si="620"/>
      </c>
      <c r="HC76" s="2189">
        <f t="shared" si="621"/>
      </c>
      <c r="HD76" s="2189">
        <f t="shared" si="622"/>
      </c>
      <c r="HE76" s="2189">
        <f t="shared" si="623"/>
      </c>
      <c r="HF76" s="2189">
        <f t="shared" si="624"/>
      </c>
    </row>
    <row r="77" spans="1:214" s="1721" customFormat="1" ht="10.199999999999999">
      <c r="A77" s="1781" t="s">
        <v>1461</v>
      </c>
      <c r="B77" s="882"/>
      <c r="C77" s="882"/>
      <c r="D77" s="882"/>
      <c r="E77" s="883"/>
      <c r="F77" s="882"/>
      <c r="G77" s="882"/>
      <c r="H77" s="882"/>
      <c r="I77" s="883"/>
      <c r="J77" s="1728"/>
      <c r="K77" s="1728"/>
      <c r="L77" s="1728"/>
      <c r="M77" s="1729"/>
      <c r="N77" s="1728"/>
      <c r="O77" s="1728"/>
      <c r="P77" s="1728"/>
      <c r="Q77" s="1729"/>
      <c r="R77" s="1728"/>
      <c r="S77" s="1728"/>
      <c r="T77" s="1728"/>
      <c r="U77" s="1729"/>
      <c r="V77" s="1728"/>
      <c r="W77" s="1728"/>
      <c r="X77" s="1728"/>
      <c r="Y77" s="1729"/>
      <c r="Z77" s="1728"/>
      <c r="AA77" s="1728"/>
      <c r="AB77" s="1728"/>
      <c r="AC77" s="1729"/>
      <c r="AD77" s="1728"/>
      <c r="AE77" s="1728"/>
      <c r="AF77" s="1728"/>
      <c r="AG77" s="1729"/>
      <c r="AH77" s="1728"/>
      <c r="AI77" s="1728"/>
      <c r="AJ77" s="1728"/>
      <c r="AK77" s="1729"/>
      <c r="AL77" s="1728"/>
      <c r="AM77" s="1728"/>
      <c r="AN77" s="1728"/>
      <c r="AO77" s="1729"/>
      <c r="AP77" s="1728"/>
      <c r="AQ77" s="1728"/>
      <c r="AR77" s="1728"/>
      <c r="AS77" s="1729"/>
      <c r="AT77" s="1728"/>
      <c r="AU77" s="1728"/>
      <c r="AV77" s="1728"/>
      <c r="AW77" s="1729"/>
      <c r="AX77" s="1728"/>
      <c r="AY77" s="1728"/>
      <c r="AZ77" s="1728"/>
      <c r="BA77" s="1729"/>
      <c r="BB77" s="1728"/>
      <c r="BC77" s="1728"/>
      <c r="BD77" s="1728"/>
      <c r="BE77" s="1729"/>
      <c r="BF77" s="1728"/>
      <c r="BG77" s="1728"/>
      <c r="BH77" s="1728"/>
      <c r="BI77" s="1729"/>
      <c r="BJ77" s="1728"/>
      <c r="BK77" s="1728"/>
      <c r="BL77" s="1728"/>
      <c r="BM77" s="1729"/>
      <c r="BN77" s="1728"/>
      <c r="BO77" s="1728"/>
      <c r="BP77" s="1728"/>
      <c r="BQ77" s="1729"/>
      <c r="BR77" s="1728"/>
      <c r="BS77" s="1728"/>
      <c r="BT77" s="1728"/>
      <c r="BU77" s="1729"/>
      <c r="BV77" s="1728"/>
      <c r="BW77" s="1728"/>
      <c r="BX77" s="1728"/>
      <c r="BY77" s="1729"/>
      <c r="BZ77" s="1728"/>
      <c r="CA77" s="1728"/>
      <c r="CB77" s="1728"/>
      <c r="CC77" s="1729"/>
      <c r="CD77" s="1728"/>
      <c r="CE77" s="1728"/>
      <c r="CF77" s="1728"/>
      <c r="CG77" s="1729"/>
      <c r="CH77" s="1747"/>
      <c r="CI77" s="1747"/>
      <c r="CJ77" s="1747"/>
      <c r="CK77" s="1748"/>
      <c r="CL77" s="1747">
        <v>28.9</v>
      </c>
      <c r="CM77" s="1747">
        <v>16.100000000000001</v>
      </c>
      <c r="CN77" s="1747">
        <v>11.5</v>
      </c>
      <c r="CO77" s="1750">
        <f>7.2+6.8+8.3</f>
      </c>
      <c r="CP77" s="1749">
        <v>46</v>
      </c>
      <c r="CQ77" s="1747">
        <v>21</v>
      </c>
      <c r="CR77" s="1747">
        <v>20</v>
      </c>
      <c r="CS77" s="1748">
        <f>2.6+2.7+2.7+6.9</f>
      </c>
      <c r="CT77" s="1747">
        <f>3+2.5+2.2+7.1+2</f>
      </c>
      <c r="CU77" s="1747">
        <f>1.8+1.6+1.1+3.6</f>
      </c>
      <c r="CV77" s="1747">
        <f>1.1+1.6+0.9+4.1</f>
      </c>
      <c r="CW77" s="1748">
        <f>1.3+0.9+0.8+4.3</f>
      </c>
      <c r="CX77" s="1747">
        <v>3.5</v>
      </c>
      <c r="CY77" s="1747">
        <f>0.5+0.3+0.1+1.1</f>
      </c>
      <c r="CZ77" s="1747">
        <v>2</v>
      </c>
      <c r="DA77" s="1748">
        <v>2</v>
      </c>
      <c r="DB77" s="1747"/>
      <c r="DC77" s="1747"/>
      <c r="DD77" s="1747"/>
      <c r="DE77" s="1748"/>
      <c r="DF77" s="1747"/>
      <c r="DG77" s="1747"/>
      <c r="DH77" s="1747"/>
      <c r="DI77" s="1748"/>
      <c r="DJ77" s="1747"/>
      <c r="DK77" s="1747"/>
      <c r="DL77" s="1747"/>
      <c r="DM77" s="1748"/>
      <c r="DN77" s="1747"/>
      <c r="DO77" s="1747"/>
      <c r="DP77" s="1747"/>
      <c r="DQ77" s="1748"/>
      <c r="DR77" s="1747"/>
      <c r="DS77" s="1747"/>
      <c r="DT77" s="1747"/>
      <c r="DU77" s="1748"/>
      <c r="DV77" s="1747"/>
      <c r="DW77" s="1747"/>
      <c r="DX77" s="1747"/>
      <c r="DY77" s="1748"/>
      <c r="DZ77" s="1747"/>
      <c r="EA77" s="1747"/>
      <c r="EB77" s="1747"/>
      <c r="EC77" s="1748"/>
      <c r="ED77" s="1747"/>
      <c r="EE77" s="1747"/>
      <c r="EF77" s="1747"/>
      <c r="EG77" s="1748"/>
      <c r="EH77" s="1747"/>
      <c r="EI77" s="1747"/>
      <c r="EJ77" s="1747"/>
      <c r="EK77" s="1748"/>
      <c r="EL77" s="2357"/>
      <c r="EM77" s="2189">
        <f t="shared" si="557"/>
      </c>
      <c r="EN77" s="2189">
        <f t="shared" si="558"/>
      </c>
      <c r="EO77" s="2189">
        <f t="shared" si="559"/>
      </c>
      <c r="EP77" s="2189">
        <f t="shared" si="560"/>
      </c>
      <c r="EQ77" s="2189">
        <f t="shared" si="561"/>
      </c>
      <c r="ER77" s="2189">
        <f t="shared" si="562"/>
      </c>
      <c r="ES77" s="2189">
        <f t="shared" si="563"/>
      </c>
      <c r="ET77" s="2189">
        <f t="shared" si="564"/>
      </c>
      <c r="EU77" s="2189">
        <f t="shared" si="565"/>
      </c>
      <c r="EV77" s="2189">
        <f t="shared" si="566"/>
      </c>
      <c r="EW77" s="2189">
        <f t="shared" si="567"/>
      </c>
      <c r="EX77" s="2189">
        <f t="shared" si="568"/>
      </c>
      <c r="EY77" s="2189">
        <f t="shared" si="569"/>
      </c>
      <c r="EZ77" s="2189">
        <f t="shared" si="570"/>
      </c>
      <c r="FA77" s="2189">
        <f t="shared" si="571"/>
      </c>
      <c r="FB77" s="2189">
        <f t="shared" si="572"/>
      </c>
      <c r="FC77" s="2189">
        <f t="shared" si="573"/>
      </c>
      <c r="FD77" s="2189">
        <f t="shared" si="574"/>
      </c>
      <c r="FE77" s="2189">
        <f t="shared" si="575"/>
      </c>
      <c r="FF77" s="2189">
        <f t="shared" si="576"/>
      </c>
      <c r="FG77" s="2189"/>
      <c r="FH77" s="2189">
        <f t="shared" si="577"/>
      </c>
      <c r="FI77" s="2189">
        <f t="shared" si="578"/>
      </c>
      <c r="FJ77" s="2189">
        <f t="shared" si="579"/>
      </c>
      <c r="FK77" s="2189">
        <f t="shared" si="580"/>
      </c>
      <c r="FL77" s="2189">
        <f t="shared" si="581"/>
      </c>
      <c r="FM77" s="2189">
        <f t="shared" si="582"/>
      </c>
      <c r="FN77" s="2189">
        <f t="shared" si="583"/>
      </c>
      <c r="FO77" s="2189">
        <f t="shared" si="584"/>
      </c>
      <c r="FP77" s="2189">
        <f t="shared" ref="FP77:FP86" si="625">SUM(DN77:DQ77)</f>
      </c>
      <c r="FQ77" s="2189">
        <f t="shared" si="586"/>
      </c>
      <c r="FR77" s="2189">
        <f t="shared" si="587"/>
      </c>
      <c r="FS77" s="2189">
        <f t="shared" si="588"/>
      </c>
      <c r="FT77" s="2189">
        <f t="shared" si="589"/>
      </c>
      <c r="FU77" s="2189">
        <f t="shared" si="590"/>
      </c>
      <c r="FV77" s="2189"/>
      <c r="FW77" s="2189"/>
      <c r="FX77" s="2189"/>
      <c r="FY77" s="2189">
        <f t="shared" si="591"/>
      </c>
      <c r="FZ77" s="2189">
        <f t="shared" si="592"/>
      </c>
      <c r="GA77" s="2189">
        <f t="shared" si="593"/>
      </c>
      <c r="GB77" s="2189">
        <f t="shared" si="594"/>
      </c>
      <c r="GC77" s="2189">
        <f t="shared" si="595"/>
      </c>
      <c r="GD77" s="2189">
        <f t="shared" si="596"/>
      </c>
      <c r="GE77" s="2189">
        <f t="shared" si="597"/>
      </c>
      <c r="GF77" s="2189">
        <f t="shared" si="598"/>
      </c>
      <c r="GG77" s="2189">
        <f t="shared" si="599"/>
      </c>
      <c r="GH77" s="2189">
        <f t="shared" si="600"/>
      </c>
      <c r="GI77" s="2189">
        <f t="shared" si="601"/>
      </c>
      <c r="GJ77" s="2189">
        <f t="shared" si="602"/>
      </c>
      <c r="GK77" s="2189">
        <f t="shared" si="603"/>
      </c>
      <c r="GL77" s="2189">
        <f t="shared" si="604"/>
      </c>
      <c r="GM77" s="2189">
        <f t="shared" si="605"/>
      </c>
      <c r="GN77" s="2189">
        <f t="shared" si="606"/>
      </c>
      <c r="GO77" s="2189">
        <f t="shared" si="607"/>
      </c>
      <c r="GP77" s="2189">
        <f t="shared" si="608"/>
      </c>
      <c r="GQ77" s="2189">
        <f t="shared" si="609"/>
      </c>
      <c r="GR77" s="2189">
        <f t="shared" si="610"/>
      </c>
      <c r="GS77" s="2189">
        <f t="shared" si="611"/>
      </c>
      <c r="GT77" s="2189">
        <f t="shared" si="612"/>
      </c>
      <c r="GU77" s="2189">
        <f t="shared" si="613"/>
      </c>
      <c r="GV77" s="2189">
        <f t="shared" si="614"/>
      </c>
      <c r="GW77" s="2189">
        <f t="shared" si="615"/>
      </c>
      <c r="GX77" s="2189">
        <f t="shared" si="616"/>
      </c>
      <c r="GY77" s="2189">
        <f t="shared" si="617"/>
      </c>
      <c r="GZ77" s="2189">
        <f t="shared" si="618"/>
      </c>
      <c r="HA77" s="2189">
        <f t="shared" si="619"/>
      </c>
      <c r="HB77" s="2189">
        <f t="shared" si="620"/>
      </c>
      <c r="HC77" s="2189">
        <f t="shared" si="621"/>
      </c>
      <c r="HD77" s="2189">
        <f t="shared" si="622"/>
      </c>
      <c r="HE77" s="2189">
        <f t="shared" si="623"/>
      </c>
      <c r="HF77" s="2189">
        <f t="shared" si="624"/>
      </c>
    </row>
    <row r="78" spans="1:214" s="1721" customFormat="1" ht="10.199999999999999">
      <c r="A78" s="1781" t="s">
        <v>1126</v>
      </c>
      <c r="B78" s="882"/>
      <c r="C78" s="882"/>
      <c r="D78" s="882"/>
      <c r="E78" s="883"/>
      <c r="F78" s="882"/>
      <c r="G78" s="882"/>
      <c r="H78" s="882"/>
      <c r="I78" s="883"/>
      <c r="J78" s="1728"/>
      <c r="K78" s="1728"/>
      <c r="L78" s="1728"/>
      <c r="M78" s="1729"/>
      <c r="N78" s="1728"/>
      <c r="O78" s="1728"/>
      <c r="P78" s="1728"/>
      <c r="Q78" s="1729"/>
      <c r="R78" s="1728"/>
      <c r="S78" s="1728"/>
      <c r="T78" s="1728"/>
      <c r="U78" s="1729"/>
      <c r="V78" s="1728"/>
      <c r="W78" s="1728"/>
      <c r="X78" s="1728"/>
      <c r="Y78" s="1729"/>
      <c r="Z78" s="1728"/>
      <c r="AA78" s="1728"/>
      <c r="AB78" s="1728"/>
      <c r="AC78" s="1729"/>
      <c r="AD78" s="1728"/>
      <c r="AE78" s="1728"/>
      <c r="AF78" s="1728"/>
      <c r="AG78" s="1729"/>
      <c r="AH78" s="1728"/>
      <c r="AI78" s="1728"/>
      <c r="AJ78" s="1728"/>
      <c r="AK78" s="1729"/>
      <c r="AL78" s="1728"/>
      <c r="AM78" s="1728"/>
      <c r="AN78" s="1728"/>
      <c r="AO78" s="1729"/>
      <c r="AP78" s="1728"/>
      <c r="AQ78" s="1728"/>
      <c r="AR78" s="1728"/>
      <c r="AS78" s="1729"/>
      <c r="AT78" s="1728"/>
      <c r="AU78" s="1728"/>
      <c r="AV78" s="1728"/>
      <c r="AW78" s="1729"/>
      <c r="AX78" s="1728"/>
      <c r="AY78" s="1728"/>
      <c r="AZ78" s="1728"/>
      <c r="BA78" s="1729"/>
      <c r="BB78" s="1728"/>
      <c r="BC78" s="1728"/>
      <c r="BD78" s="1728"/>
      <c r="BE78" s="1729"/>
      <c r="BF78" s="1728"/>
      <c r="BG78" s="1728"/>
      <c r="BH78" s="1728"/>
      <c r="BI78" s="1729"/>
      <c r="BJ78" s="1728"/>
      <c r="BK78" s="1728"/>
      <c r="BL78" s="1728"/>
      <c r="BM78" s="1729"/>
      <c r="BN78" s="1728"/>
      <c r="BO78" s="1728"/>
      <c r="BP78" s="1728"/>
      <c r="BQ78" s="1729"/>
      <c r="BR78" s="1728"/>
      <c r="BS78" s="1728"/>
      <c r="BT78" s="1728"/>
      <c r="BU78" s="1729"/>
      <c r="BV78" s="1728"/>
      <c r="BW78" s="1728"/>
      <c r="BX78" s="1728"/>
      <c r="BY78" s="1729"/>
      <c r="BZ78" s="1728"/>
      <c r="CA78" s="1728"/>
      <c r="CB78" s="1728"/>
      <c r="CC78" s="1729"/>
      <c r="CD78" s="1728"/>
      <c r="CE78" s="1728"/>
      <c r="CF78" s="1728"/>
      <c r="CG78" s="1729"/>
      <c r="CH78" s="1747"/>
      <c r="CI78" s="1747"/>
      <c r="CJ78" s="1747"/>
      <c r="CK78" s="1748"/>
      <c r="CL78" s="1747"/>
      <c r="CM78" s="1747"/>
      <c r="CN78" s="1747"/>
      <c r="CO78" s="1748"/>
      <c r="CP78" s="1747"/>
      <c r="CQ78" s="1747"/>
      <c r="CR78" s="1747"/>
      <c r="CS78" s="1750">
        <f>7.8+3.8+4+2</f>
      </c>
      <c r="CT78" s="1747">
        <f>20.4+10.1+12.5-1+4.5</f>
      </c>
      <c r="CU78" s="1747">
        <v>23</v>
      </c>
      <c r="CV78" s="1747">
        <v>19.5</v>
      </c>
      <c r="CW78" s="1748">
        <f>10.1+4.8+6.1+2</f>
      </c>
      <c r="CX78" s="1747">
        <v>9.8000000000000007</v>
      </c>
      <c r="CY78" s="1747">
        <v>5.9</v>
      </c>
      <c r="CZ78" s="1747">
        <v>3.5</v>
      </c>
      <c r="DA78" s="1748">
        <v>2.8</v>
      </c>
      <c r="DB78" s="1747">
        <v>4.3</v>
      </c>
      <c r="DC78" s="1747">
        <v>2.2999999999999998</v>
      </c>
      <c r="DD78" s="1747">
        <v>1.7</v>
      </c>
      <c r="DE78" s="1748">
        <v>0.9</v>
      </c>
      <c r="DF78" s="1747"/>
      <c r="DG78" s="1747"/>
      <c r="DH78" s="1747"/>
      <c r="DI78" s="1748"/>
      <c r="DJ78" s="1747"/>
      <c r="DK78" s="1747"/>
      <c r="DL78" s="1747"/>
      <c r="DM78" s="1748"/>
      <c r="DN78" s="1747"/>
      <c r="DO78" s="1747"/>
      <c r="DP78" s="1747"/>
      <c r="DQ78" s="1748"/>
      <c r="DR78" s="1747"/>
      <c r="DS78" s="1747"/>
      <c r="DT78" s="1747"/>
      <c r="DU78" s="1748"/>
      <c r="DV78" s="1747"/>
      <c r="DW78" s="1747"/>
      <c r="DX78" s="1747"/>
      <c r="DY78" s="1748"/>
      <c r="DZ78" s="1747"/>
      <c r="EA78" s="1747"/>
      <c r="EB78" s="1747"/>
      <c r="EC78" s="1748"/>
      <c r="ED78" s="1747"/>
      <c r="EE78" s="1747"/>
      <c r="EF78" s="1747"/>
      <c r="EG78" s="1748"/>
      <c r="EH78" s="1747"/>
      <c r="EI78" s="1747"/>
      <c r="EJ78" s="1747"/>
      <c r="EK78" s="1748"/>
      <c r="EL78" s="2357"/>
      <c r="EM78" s="2189">
        <f t="shared" si="557"/>
      </c>
      <c r="EN78" s="2189">
        <f t="shared" si="558"/>
      </c>
      <c r="EO78" s="2189">
        <f t="shared" si="559"/>
      </c>
      <c r="EP78" s="2189">
        <f t="shared" si="560"/>
      </c>
      <c r="EQ78" s="2189">
        <f t="shared" si="561"/>
      </c>
      <c r="ER78" s="2189">
        <f t="shared" si="562"/>
      </c>
      <c r="ES78" s="2189">
        <f t="shared" si="563"/>
      </c>
      <c r="ET78" s="2189">
        <f t="shared" si="564"/>
      </c>
      <c r="EU78" s="2189">
        <f t="shared" si="565"/>
      </c>
      <c r="EV78" s="2189">
        <f t="shared" si="566"/>
      </c>
      <c r="EW78" s="2189">
        <f t="shared" si="567"/>
      </c>
      <c r="EX78" s="2189">
        <f t="shared" si="568"/>
      </c>
      <c r="EY78" s="2189">
        <f t="shared" si="569"/>
      </c>
      <c r="EZ78" s="2189">
        <f t="shared" si="570"/>
      </c>
      <c r="FA78" s="2189">
        <f t="shared" si="571"/>
      </c>
      <c r="FB78" s="2189">
        <f t="shared" si="572"/>
      </c>
      <c r="FC78" s="2189">
        <f t="shared" si="573"/>
      </c>
      <c r="FD78" s="2189">
        <f t="shared" si="574"/>
      </c>
      <c r="FE78" s="2189">
        <f t="shared" si="575"/>
      </c>
      <c r="FF78" s="2189">
        <f t="shared" si="576"/>
      </c>
      <c r="FG78" s="2189"/>
      <c r="FH78" s="2189">
        <f t="shared" si="577"/>
      </c>
      <c r="FI78" s="2189">
        <f t="shared" si="578"/>
      </c>
      <c r="FJ78" s="2189">
        <f t="shared" si="579"/>
      </c>
      <c r="FK78" s="2189">
        <f t="shared" si="580"/>
      </c>
      <c r="FL78" s="2189">
        <f t="shared" si="581"/>
      </c>
      <c r="FM78" s="2189">
        <f t="shared" si="582"/>
      </c>
      <c r="FN78" s="2189">
        <f t="shared" si="583"/>
      </c>
      <c r="FO78" s="2189">
        <f t="shared" si="584"/>
      </c>
      <c r="FP78" s="2189">
        <f t="shared" si="625"/>
      </c>
      <c r="FQ78" s="2189">
        <f t="shared" si="586"/>
      </c>
      <c r="FR78" s="2189">
        <f t="shared" si="587"/>
      </c>
      <c r="FS78" s="2189">
        <f t="shared" si="588"/>
      </c>
      <c r="FT78" s="2189">
        <f t="shared" si="589"/>
      </c>
      <c r="FU78" s="2189">
        <f t="shared" si="590"/>
      </c>
      <c r="FV78" s="2189"/>
      <c r="FW78" s="2189"/>
      <c r="FX78" s="2189"/>
      <c r="FY78" s="2189">
        <f t="shared" si="591"/>
      </c>
      <c r="FZ78" s="2189">
        <f t="shared" si="592"/>
      </c>
      <c r="GA78" s="2189">
        <f t="shared" si="593"/>
      </c>
      <c r="GB78" s="2189">
        <f t="shared" si="594"/>
      </c>
      <c r="GC78" s="2189">
        <f t="shared" si="595"/>
      </c>
      <c r="GD78" s="2189">
        <f t="shared" si="596"/>
      </c>
      <c r="GE78" s="2189">
        <f t="shared" si="597"/>
      </c>
      <c r="GF78" s="2189">
        <f t="shared" si="598"/>
      </c>
      <c r="GG78" s="2189">
        <f t="shared" si="599"/>
      </c>
      <c r="GH78" s="2189">
        <f t="shared" si="600"/>
      </c>
      <c r="GI78" s="2189">
        <f t="shared" si="601"/>
      </c>
      <c r="GJ78" s="2189">
        <f t="shared" si="602"/>
      </c>
      <c r="GK78" s="2189">
        <f t="shared" si="603"/>
      </c>
      <c r="GL78" s="2189">
        <f t="shared" si="604"/>
      </c>
      <c r="GM78" s="2189">
        <f t="shared" si="605"/>
      </c>
      <c r="GN78" s="2189">
        <f t="shared" si="606"/>
      </c>
      <c r="GO78" s="2189">
        <f t="shared" si="607"/>
      </c>
      <c r="GP78" s="2189">
        <f t="shared" si="608"/>
      </c>
      <c r="GQ78" s="2189">
        <f t="shared" si="609"/>
      </c>
      <c r="GR78" s="2189">
        <f t="shared" si="610"/>
      </c>
      <c r="GS78" s="2189">
        <f t="shared" si="611"/>
      </c>
      <c r="GT78" s="2189">
        <f t="shared" si="612"/>
      </c>
      <c r="GU78" s="2189">
        <f t="shared" si="613"/>
      </c>
      <c r="GV78" s="2189">
        <f t="shared" si="614"/>
      </c>
      <c r="GW78" s="2189">
        <f t="shared" si="615"/>
      </c>
      <c r="GX78" s="2189">
        <f t="shared" si="616"/>
      </c>
      <c r="GY78" s="2189">
        <f t="shared" si="617"/>
      </c>
      <c r="GZ78" s="2189">
        <f t="shared" si="618"/>
      </c>
      <c r="HA78" s="2189">
        <f t="shared" si="619"/>
      </c>
      <c r="HB78" s="2189">
        <f t="shared" si="620"/>
      </c>
      <c r="HC78" s="2189">
        <f t="shared" si="621"/>
      </c>
      <c r="HD78" s="2189">
        <f t="shared" si="622"/>
      </c>
      <c r="HE78" s="2189">
        <f t="shared" si="623"/>
      </c>
      <c r="HF78" s="2189">
        <f t="shared" si="624"/>
      </c>
    </row>
    <row r="79" spans="1:214" s="1721" customFormat="1" ht="10.199999999999999">
      <c r="A79" s="1781" t="s">
        <v>1103</v>
      </c>
      <c r="B79" s="882"/>
      <c r="C79" s="882"/>
      <c r="D79" s="882"/>
      <c r="E79" s="883"/>
      <c r="F79" s="882"/>
      <c r="G79" s="882"/>
      <c r="H79" s="882"/>
      <c r="I79" s="883"/>
      <c r="J79" s="1728"/>
      <c r="K79" s="1728"/>
      <c r="L79" s="1728"/>
      <c r="M79" s="1729"/>
      <c r="N79" s="1728"/>
      <c r="O79" s="1728"/>
      <c r="P79" s="1728"/>
      <c r="Q79" s="1729"/>
      <c r="R79" s="1728"/>
      <c r="S79" s="1728"/>
      <c r="T79" s="1728"/>
      <c r="U79" s="1729"/>
      <c r="V79" s="1728"/>
      <c r="W79" s="1728"/>
      <c r="X79" s="1728"/>
      <c r="Y79" s="1729"/>
      <c r="Z79" s="1728"/>
      <c r="AA79" s="1728"/>
      <c r="AB79" s="1728"/>
      <c r="AC79" s="1729"/>
      <c r="AD79" s="1728"/>
      <c r="AE79" s="1728"/>
      <c r="AF79" s="1728"/>
      <c r="AG79" s="1729"/>
      <c r="AH79" s="1728"/>
      <c r="AI79" s="1728"/>
      <c r="AJ79" s="1728"/>
      <c r="AK79" s="1729"/>
      <c r="AL79" s="1728"/>
      <c r="AM79" s="1728"/>
      <c r="AN79" s="1728"/>
      <c r="AO79" s="1729"/>
      <c r="AP79" s="1728"/>
      <c r="AQ79" s="1728"/>
      <c r="AR79" s="1728"/>
      <c r="AS79" s="1729"/>
      <c r="AT79" s="1728"/>
      <c r="AU79" s="1728"/>
      <c r="AV79" s="1728"/>
      <c r="AW79" s="1729"/>
      <c r="AX79" s="1728"/>
      <c r="AY79" s="1728"/>
      <c r="AZ79" s="1728"/>
      <c r="BA79" s="1729"/>
      <c r="BB79" s="1728"/>
      <c r="BC79" s="1728"/>
      <c r="BD79" s="1728"/>
      <c r="BE79" s="1729"/>
      <c r="BF79" s="1728"/>
      <c r="BG79" s="1728"/>
      <c r="BH79" s="1728"/>
      <c r="BI79" s="1729"/>
      <c r="BJ79" s="1728"/>
      <c r="BK79" s="1728"/>
      <c r="BL79" s="1728"/>
      <c r="BM79" s="1729"/>
      <c r="BN79" s="1728"/>
      <c r="BO79" s="1728"/>
      <c r="BP79" s="1728"/>
      <c r="BQ79" s="1729"/>
      <c r="BR79" s="1728"/>
      <c r="BS79" s="1728"/>
      <c r="BT79" s="1728"/>
      <c r="BU79" s="1729"/>
      <c r="BV79" s="1728"/>
      <c r="BW79" s="1728"/>
      <c r="BX79" s="1728"/>
      <c r="BY79" s="1729"/>
      <c r="BZ79" s="1728"/>
      <c r="CA79" s="1728"/>
      <c r="CB79" s="1728"/>
      <c r="CC79" s="1729"/>
      <c r="CD79" s="1728"/>
      <c r="CE79" s="1728"/>
      <c r="CF79" s="1728"/>
      <c r="CG79" s="1729"/>
      <c r="CH79" s="1747"/>
      <c r="CI79" s="1747"/>
      <c r="CJ79" s="1747"/>
      <c r="CK79" s="1748"/>
      <c r="CL79" s="1747"/>
      <c r="CM79" s="1747"/>
      <c r="CN79" s="1747"/>
      <c r="CO79" s="1748"/>
      <c r="CP79" s="1747"/>
      <c r="CQ79" s="1747"/>
      <c r="CR79" s="1747"/>
      <c r="CS79" s="1748"/>
      <c r="CT79" s="1747"/>
      <c r="CU79" s="1747"/>
      <c r="CV79" s="1747"/>
      <c r="CW79" s="1748"/>
      <c r="CX79" s="1749">
        <v>65</v>
      </c>
      <c r="CY79" s="1747">
        <f>14.8+15.1+7.5+6</f>
      </c>
      <c r="CZ79" s="1747">
        <v>35</v>
      </c>
      <c r="DA79" s="1748">
        <v>25</v>
      </c>
      <c r="DB79" s="1747">
        <f>4.5+2.5+2.2+1.5</f>
      </c>
      <c r="DC79" s="1747">
        <f>4.6+1.6+1.8+1</f>
      </c>
      <c r="DD79" s="1747">
        <f>3.2+1.4+0.6+0.3</f>
      </c>
      <c r="DE79" s="1748">
        <f>2.5+0.7+0.3+0.4</f>
      </c>
      <c r="DF79" s="1747">
        <f>DF92*0.04</f>
      </c>
      <c r="DG79" s="1747">
        <f t="shared" ref="DG79:DI79" si="626">DG92*0.04</f>
      </c>
      <c r="DH79" s="1747">
        <f t="shared" si="626"/>
      </c>
      <c r="DI79" s="1748">
        <f t="shared" si="626"/>
      </c>
      <c r="DJ79" s="1747"/>
      <c r="DK79" s="1747"/>
      <c r="DL79" s="1747"/>
      <c r="DM79" s="1748"/>
      <c r="DN79" s="1747"/>
      <c r="DO79" s="1747"/>
      <c r="DP79" s="1747"/>
      <c r="DQ79" s="1748"/>
      <c r="DR79" s="1747"/>
      <c r="DS79" s="1747"/>
      <c r="DT79" s="1747"/>
      <c r="DU79" s="1748"/>
      <c r="DV79" s="1747"/>
      <c r="DW79" s="1747"/>
      <c r="DX79" s="1747"/>
      <c r="DY79" s="1748"/>
      <c r="DZ79" s="1747"/>
      <c r="EA79" s="1747"/>
      <c r="EB79" s="1747"/>
      <c r="EC79" s="1748"/>
      <c r="ED79" s="1747"/>
      <c r="EE79" s="1747"/>
      <c r="EF79" s="1747"/>
      <c r="EG79" s="1748"/>
      <c r="EH79" s="1747"/>
      <c r="EI79" s="1747"/>
      <c r="EJ79" s="1747"/>
      <c r="EK79" s="1748"/>
      <c r="EM79" s="2189">
        <f t="shared" si="557"/>
      </c>
      <c r="EN79" s="2189">
        <f t="shared" si="558"/>
      </c>
      <c r="EO79" s="2189">
        <f t="shared" si="559"/>
      </c>
      <c r="EP79" s="2189">
        <f t="shared" si="560"/>
      </c>
      <c r="EQ79" s="2189">
        <f t="shared" si="561"/>
      </c>
      <c r="ER79" s="2189">
        <f t="shared" si="562"/>
      </c>
      <c r="ES79" s="2189">
        <f t="shared" si="563"/>
      </c>
      <c r="ET79" s="2189">
        <f t="shared" si="564"/>
      </c>
      <c r="EU79" s="2189">
        <f t="shared" si="565"/>
      </c>
      <c r="EV79" s="2189">
        <f t="shared" si="566"/>
      </c>
      <c r="EW79" s="2189">
        <f t="shared" si="567"/>
      </c>
      <c r="EX79" s="2189">
        <f t="shared" si="568"/>
      </c>
      <c r="EY79" s="2189">
        <f t="shared" si="569"/>
      </c>
      <c r="EZ79" s="2189">
        <f t="shared" si="570"/>
      </c>
      <c r="FA79" s="2189">
        <f t="shared" si="571"/>
      </c>
      <c r="FB79" s="2189">
        <f t="shared" si="572"/>
      </c>
      <c r="FC79" s="2189">
        <f t="shared" si="573"/>
      </c>
      <c r="FD79" s="2189">
        <f t="shared" si="574"/>
      </c>
      <c r="FE79" s="2189">
        <f t="shared" si="575"/>
      </c>
      <c r="FF79" s="2189">
        <f t="shared" si="576"/>
      </c>
      <c r="FG79" s="2189"/>
      <c r="FH79" s="2189">
        <f t="shared" si="577"/>
      </c>
      <c r="FI79" s="2189">
        <f t="shared" si="578"/>
      </c>
      <c r="FJ79" s="2189">
        <f t="shared" si="579"/>
      </c>
      <c r="FK79" s="2189">
        <f t="shared" si="580"/>
      </c>
      <c r="FL79" s="2189">
        <f t="shared" si="581"/>
      </c>
      <c r="FM79" s="2189">
        <f t="shared" si="582"/>
      </c>
      <c r="FN79" s="2189">
        <f t="shared" si="583"/>
      </c>
      <c r="FO79" s="2189">
        <f t="shared" si="584"/>
      </c>
      <c r="FP79" s="2189">
        <f t="shared" si="625"/>
      </c>
      <c r="FQ79" s="2189">
        <f t="shared" si="586"/>
      </c>
      <c r="FR79" s="2189">
        <f t="shared" si="587"/>
      </c>
      <c r="FS79" s="2189">
        <f t="shared" si="588"/>
      </c>
      <c r="FT79" s="2189">
        <f t="shared" si="589"/>
      </c>
      <c r="FU79" s="2189">
        <f t="shared" si="590"/>
      </c>
      <c r="FV79" s="2189"/>
      <c r="FW79" s="2189"/>
      <c r="FX79" s="2189"/>
      <c r="FY79" s="2189">
        <f t="shared" si="591"/>
      </c>
      <c r="FZ79" s="2189">
        <f t="shared" si="592"/>
      </c>
      <c r="GA79" s="2189">
        <f t="shared" si="593"/>
      </c>
      <c r="GB79" s="2189">
        <f t="shared" si="594"/>
      </c>
      <c r="GC79" s="2189">
        <f t="shared" si="595"/>
      </c>
      <c r="GD79" s="2189">
        <f t="shared" si="596"/>
      </c>
      <c r="GE79" s="2189">
        <f t="shared" si="597"/>
      </c>
      <c r="GF79" s="2189">
        <f t="shared" si="598"/>
      </c>
      <c r="GG79" s="2189">
        <f t="shared" si="599"/>
      </c>
      <c r="GH79" s="2189">
        <f t="shared" si="600"/>
      </c>
      <c r="GI79" s="2189">
        <f t="shared" si="601"/>
      </c>
      <c r="GJ79" s="2189">
        <f t="shared" si="602"/>
      </c>
      <c r="GK79" s="2189">
        <f t="shared" si="603"/>
      </c>
      <c r="GL79" s="2189">
        <f t="shared" si="604"/>
      </c>
      <c r="GM79" s="2189">
        <f t="shared" si="605"/>
      </c>
      <c r="GN79" s="2189">
        <f t="shared" si="606"/>
      </c>
      <c r="GO79" s="2189">
        <f t="shared" si="607"/>
      </c>
      <c r="GP79" s="2189">
        <f t="shared" si="608"/>
      </c>
      <c r="GQ79" s="2189">
        <f t="shared" si="609"/>
      </c>
      <c r="GR79" s="2189">
        <f t="shared" si="610"/>
      </c>
      <c r="GS79" s="2189">
        <f t="shared" si="611"/>
      </c>
      <c r="GT79" s="2189">
        <f t="shared" si="612"/>
      </c>
      <c r="GU79" s="2189">
        <f t="shared" si="613"/>
      </c>
      <c r="GV79" s="2189">
        <f t="shared" si="614"/>
      </c>
      <c r="GW79" s="2189">
        <f t="shared" si="615"/>
      </c>
      <c r="GX79" s="2189">
        <f t="shared" si="616"/>
      </c>
      <c r="GY79" s="2189">
        <f t="shared" si="617"/>
      </c>
      <c r="GZ79" s="2189">
        <f t="shared" si="618"/>
      </c>
      <c r="HA79" s="2189">
        <f t="shared" si="619"/>
      </c>
      <c r="HB79" s="2189">
        <f t="shared" si="620"/>
      </c>
      <c r="HC79" s="2189">
        <f t="shared" si="621"/>
      </c>
      <c r="HD79" s="2189">
        <f t="shared" si="622"/>
      </c>
      <c r="HE79" s="2189">
        <f t="shared" si="623"/>
      </c>
      <c r="HF79" s="2189">
        <f t="shared" si="624"/>
      </c>
    </row>
    <row r="80" spans="1:214" s="1721" customFormat="1" ht="10.199999999999999">
      <c r="A80" s="1781" t="s">
        <v>1111</v>
      </c>
      <c r="B80" s="882"/>
      <c r="C80" s="882"/>
      <c r="D80" s="882"/>
      <c r="E80" s="883"/>
      <c r="F80" s="882"/>
      <c r="G80" s="882"/>
      <c r="H80" s="882"/>
      <c r="I80" s="883"/>
      <c r="J80" s="1728"/>
      <c r="K80" s="1728"/>
      <c r="L80" s="1728"/>
      <c r="M80" s="1729"/>
      <c r="N80" s="1728"/>
      <c r="O80" s="1728"/>
      <c r="P80" s="1728"/>
      <c r="Q80" s="1729"/>
      <c r="R80" s="1728"/>
      <c r="S80" s="1728"/>
      <c r="T80" s="1728"/>
      <c r="U80" s="1729"/>
      <c r="V80" s="1728"/>
      <c r="W80" s="1728"/>
      <c r="X80" s="1728"/>
      <c r="Y80" s="1729"/>
      <c r="Z80" s="1728"/>
      <c r="AA80" s="1728"/>
      <c r="AB80" s="1728"/>
      <c r="AC80" s="1729"/>
      <c r="AD80" s="1728"/>
      <c r="AE80" s="1728"/>
      <c r="AF80" s="1728"/>
      <c r="AG80" s="1729"/>
      <c r="AH80" s="1728"/>
      <c r="AI80" s="1728"/>
      <c r="AJ80" s="1728"/>
      <c r="AK80" s="1729"/>
      <c r="AL80" s="1728"/>
      <c r="AM80" s="1728"/>
      <c r="AN80" s="1728"/>
      <c r="AO80" s="1729"/>
      <c r="AP80" s="1728"/>
      <c r="AQ80" s="1728"/>
      <c r="AR80" s="1728"/>
      <c r="AS80" s="1729"/>
      <c r="AT80" s="1728"/>
      <c r="AU80" s="1728"/>
      <c r="AV80" s="1728"/>
      <c r="AW80" s="1729"/>
      <c r="AX80" s="1728"/>
      <c r="AY80" s="1728"/>
      <c r="AZ80" s="1728"/>
      <c r="BA80" s="1729"/>
      <c r="BB80" s="1728"/>
      <c r="BC80" s="1728"/>
      <c r="BD80" s="1728"/>
      <c r="BE80" s="1729"/>
      <c r="BF80" s="1728"/>
      <c r="BG80" s="1728"/>
      <c r="BH80" s="1728"/>
      <c r="BI80" s="1729"/>
      <c r="BJ80" s="1728"/>
      <c r="BK80" s="1728"/>
      <c r="BL80" s="1728"/>
      <c r="BM80" s="1729"/>
      <c r="BN80" s="1728"/>
      <c r="BO80" s="1728"/>
      <c r="BP80" s="1728"/>
      <c r="BQ80" s="1729"/>
      <c r="BR80" s="1728"/>
      <c r="BS80" s="1728"/>
      <c r="BT80" s="1728"/>
      <c r="BU80" s="1729"/>
      <c r="BV80" s="1728"/>
      <c r="BW80" s="1728"/>
      <c r="BX80" s="1728"/>
      <c r="BY80" s="1729"/>
      <c r="BZ80" s="1728"/>
      <c r="CA80" s="1728"/>
      <c r="CB80" s="1728"/>
      <c r="CC80" s="1729"/>
      <c r="CD80" s="1728"/>
      <c r="CE80" s="1728"/>
      <c r="CF80" s="1728"/>
      <c r="CG80" s="1729"/>
      <c r="CH80" s="1747"/>
      <c r="CI80" s="1747"/>
      <c r="CJ80" s="1747"/>
      <c r="CK80" s="1748"/>
      <c r="CL80" s="1747"/>
      <c r="CM80" s="1747"/>
      <c r="CN80" s="1747"/>
      <c r="CO80" s="1748"/>
      <c r="CP80" s="1747"/>
      <c r="CQ80" s="1747"/>
      <c r="CR80" s="1747"/>
      <c r="CS80" s="1748"/>
      <c r="CT80" s="1747"/>
      <c r="CU80" s="1747"/>
      <c r="CV80" s="1747"/>
      <c r="CW80" s="1748"/>
      <c r="CX80" s="1747"/>
      <c r="CY80" s="1747"/>
      <c r="CZ80" s="1747"/>
      <c r="DA80" s="1750">
        <v>14</v>
      </c>
      <c r="DB80" s="1747">
        <v>63</v>
      </c>
      <c r="DC80" s="1747">
        <v>37.5</v>
      </c>
      <c r="DD80" s="1747">
        <v>30</v>
      </c>
      <c r="DE80" s="1748">
        <v>16</v>
      </c>
      <c r="DF80" s="1747">
        <f>DF92*0.15</f>
      </c>
      <c r="DG80" s="1747">
        <v>7</v>
      </c>
      <c r="DH80" s="1747">
        <v>4.8</v>
      </c>
      <c r="DI80" s="1748">
        <v>2.5</v>
      </c>
      <c r="DJ80" s="1747">
        <f>DJ92*0.11</f>
      </c>
      <c r="DK80" s="1747">
        <v>2</v>
      </c>
      <c r="DL80" s="1747">
        <f t="shared" ref="DL80:DM80" si="627">DH79/DG79*DK80</f>
      </c>
      <c r="DM80" s="1748">
        <f t="shared" si="627"/>
      </c>
      <c r="DN80" s="1747"/>
      <c r="DO80" s="1747"/>
      <c r="DP80" s="1747"/>
      <c r="DQ80" s="1748"/>
      <c r="DR80" s="1747"/>
      <c r="DS80" s="1747"/>
      <c r="DT80" s="1747"/>
      <c r="DU80" s="1748"/>
      <c r="DV80" s="1747"/>
      <c r="DW80" s="1747"/>
      <c r="DX80" s="1747"/>
      <c r="DY80" s="1748"/>
      <c r="DZ80" s="1747"/>
      <c r="EA80" s="1747"/>
      <c r="EB80" s="1747"/>
      <c r="EC80" s="1748"/>
      <c r="ED80" s="1747"/>
      <c r="EE80" s="1747"/>
      <c r="EF80" s="1747"/>
      <c r="EG80" s="1748"/>
      <c r="EH80" s="1747"/>
      <c r="EI80" s="1747"/>
      <c r="EJ80" s="1747"/>
      <c r="EK80" s="1748"/>
      <c r="EM80" s="2189">
        <f t="shared" si="557"/>
      </c>
      <c r="EN80" s="2189">
        <f t="shared" si="558"/>
      </c>
      <c r="EO80" s="2189">
        <f t="shared" si="559"/>
      </c>
      <c r="EP80" s="2189">
        <f t="shared" si="560"/>
      </c>
      <c r="EQ80" s="2189">
        <f t="shared" si="561"/>
      </c>
      <c r="ER80" s="2189">
        <f t="shared" si="562"/>
      </c>
      <c r="ES80" s="2189">
        <f t="shared" si="563"/>
      </c>
      <c r="ET80" s="2189">
        <f t="shared" si="564"/>
      </c>
      <c r="EU80" s="2189">
        <f t="shared" si="565"/>
      </c>
      <c r="EV80" s="2189">
        <f t="shared" si="566"/>
      </c>
      <c r="EW80" s="2189">
        <f t="shared" si="567"/>
      </c>
      <c r="EX80" s="2189">
        <f t="shared" si="568"/>
      </c>
      <c r="EY80" s="2189">
        <f t="shared" si="569"/>
      </c>
      <c r="EZ80" s="2189">
        <f t="shared" si="570"/>
      </c>
      <c r="FA80" s="2189">
        <f t="shared" si="571"/>
      </c>
      <c r="FB80" s="2189">
        <f t="shared" si="572"/>
      </c>
      <c r="FC80" s="2189">
        <f t="shared" si="573"/>
      </c>
      <c r="FD80" s="2189">
        <f t="shared" si="574"/>
      </c>
      <c r="FE80" s="2189">
        <f t="shared" si="575"/>
      </c>
      <c r="FF80" s="2189">
        <f t="shared" si="576"/>
      </c>
      <c r="FG80" s="2189"/>
      <c r="FH80" s="2189">
        <f t="shared" si="577"/>
      </c>
      <c r="FI80" s="2189">
        <f t="shared" si="578"/>
      </c>
      <c r="FJ80" s="2189">
        <f t="shared" si="579"/>
      </c>
      <c r="FK80" s="2189">
        <f t="shared" si="580"/>
      </c>
      <c r="FL80" s="2189">
        <f t="shared" si="581"/>
      </c>
      <c r="FM80" s="2189">
        <f t="shared" si="582"/>
      </c>
      <c r="FN80" s="2189">
        <f t="shared" si="583"/>
      </c>
      <c r="FO80" s="2189">
        <f t="shared" si="584"/>
      </c>
      <c r="FP80" s="2189">
        <f t="shared" si="625"/>
      </c>
      <c r="FQ80" s="2189">
        <f t="shared" si="586"/>
      </c>
      <c r="FR80" s="2189">
        <f t="shared" si="587"/>
      </c>
      <c r="FS80" s="2189">
        <f t="shared" si="588"/>
      </c>
      <c r="FT80" s="2189">
        <f t="shared" si="589"/>
      </c>
      <c r="FU80" s="2189">
        <f t="shared" si="590"/>
      </c>
      <c r="FV80" s="2189"/>
      <c r="FW80" s="2189"/>
      <c r="FX80" s="2189"/>
      <c r="FY80" s="2189">
        <f t="shared" si="591"/>
      </c>
      <c r="FZ80" s="2189">
        <f t="shared" si="592"/>
      </c>
      <c r="GA80" s="2189">
        <f t="shared" si="593"/>
      </c>
      <c r="GB80" s="2189">
        <f t="shared" si="594"/>
      </c>
      <c r="GC80" s="2189">
        <f t="shared" si="595"/>
      </c>
      <c r="GD80" s="2189">
        <f t="shared" si="596"/>
      </c>
      <c r="GE80" s="2189">
        <f t="shared" si="597"/>
      </c>
      <c r="GF80" s="2189">
        <f t="shared" si="598"/>
      </c>
      <c r="GG80" s="2189">
        <f t="shared" si="599"/>
      </c>
      <c r="GH80" s="2189">
        <f t="shared" si="600"/>
      </c>
      <c r="GI80" s="2189">
        <f t="shared" si="601"/>
      </c>
      <c r="GJ80" s="2189">
        <f t="shared" si="602"/>
      </c>
      <c r="GK80" s="2189">
        <f t="shared" si="603"/>
      </c>
      <c r="GL80" s="2189">
        <f t="shared" si="604"/>
      </c>
      <c r="GM80" s="2189">
        <f t="shared" si="605"/>
      </c>
      <c r="GN80" s="2189">
        <f t="shared" si="606"/>
      </c>
      <c r="GO80" s="2189">
        <f t="shared" si="607"/>
      </c>
      <c r="GP80" s="2189">
        <f t="shared" si="608"/>
      </c>
      <c r="GQ80" s="2189">
        <f t="shared" si="609"/>
      </c>
      <c r="GR80" s="2189">
        <f t="shared" si="610"/>
      </c>
      <c r="GS80" s="2189">
        <f t="shared" si="611"/>
      </c>
      <c r="GT80" s="2189">
        <f t="shared" si="612"/>
      </c>
      <c r="GU80" s="2189">
        <f t="shared" si="613"/>
      </c>
      <c r="GV80" s="2189">
        <f t="shared" si="614"/>
      </c>
      <c r="GW80" s="2189">
        <f t="shared" si="615"/>
      </c>
      <c r="GX80" s="2189">
        <f t="shared" si="616"/>
      </c>
      <c r="GY80" s="2189">
        <f t="shared" si="617"/>
      </c>
      <c r="GZ80" s="2189">
        <f t="shared" si="618"/>
      </c>
      <c r="HA80" s="2189">
        <f t="shared" si="619"/>
      </c>
      <c r="HB80" s="2189">
        <f t="shared" si="620"/>
      </c>
      <c r="HC80" s="2189">
        <f t="shared" si="621"/>
      </c>
      <c r="HD80" s="2189">
        <f t="shared" si="622"/>
      </c>
      <c r="HE80" s="2189">
        <f t="shared" si="623"/>
      </c>
      <c r="HF80" s="2189">
        <f t="shared" si="624"/>
      </c>
    </row>
    <row r="81" spans="1:214" s="1721" customFormat="1" ht="10.199999999999999">
      <c r="A81" s="1781" t="s">
        <v>1462</v>
      </c>
      <c r="B81" s="882"/>
      <c r="C81" s="882"/>
      <c r="D81" s="882"/>
      <c r="E81" s="883"/>
      <c r="F81" s="882"/>
      <c r="G81" s="882"/>
      <c r="H81" s="882"/>
      <c r="I81" s="883"/>
      <c r="J81" s="1728"/>
      <c r="K81" s="1728"/>
      <c r="L81" s="1728"/>
      <c r="M81" s="1729"/>
      <c r="N81" s="1728"/>
      <c r="O81" s="1728"/>
      <c r="P81" s="1728"/>
      <c r="Q81" s="1729"/>
      <c r="R81" s="1728"/>
      <c r="S81" s="1728"/>
      <c r="T81" s="1728"/>
      <c r="U81" s="1729"/>
      <c r="V81" s="1728"/>
      <c r="W81" s="1728"/>
      <c r="X81" s="1728"/>
      <c r="Y81" s="1729"/>
      <c r="Z81" s="1728"/>
      <c r="AA81" s="1728"/>
      <c r="AB81" s="1728"/>
      <c r="AC81" s="1729"/>
      <c r="AD81" s="1728"/>
      <c r="AE81" s="1728"/>
      <c r="AF81" s="1728"/>
      <c r="AG81" s="1729"/>
      <c r="AH81" s="1728"/>
      <c r="AI81" s="1728"/>
      <c r="AJ81" s="1728"/>
      <c r="AK81" s="1729"/>
      <c r="AL81" s="1728"/>
      <c r="AM81" s="1728"/>
      <c r="AN81" s="1728"/>
      <c r="AO81" s="1729"/>
      <c r="AP81" s="1728"/>
      <c r="AQ81" s="1728"/>
      <c r="AR81" s="1728"/>
      <c r="AS81" s="1729"/>
      <c r="AT81" s="1728"/>
      <c r="AU81" s="1728"/>
      <c r="AV81" s="1728"/>
      <c r="AW81" s="1729"/>
      <c r="AX81" s="1728"/>
      <c r="AY81" s="1728"/>
      <c r="AZ81" s="1728"/>
      <c r="BA81" s="1729"/>
      <c r="BB81" s="1728"/>
      <c r="BC81" s="1728"/>
      <c r="BD81" s="1728"/>
      <c r="BE81" s="1729"/>
      <c r="BF81" s="1728"/>
      <c r="BG81" s="1728"/>
      <c r="BH81" s="1728"/>
      <c r="BI81" s="1729"/>
      <c r="BJ81" s="1728"/>
      <c r="BK81" s="1728"/>
      <c r="BL81" s="1728"/>
      <c r="BM81" s="1729"/>
      <c r="BN81" s="1728"/>
      <c r="BO81" s="1728"/>
      <c r="BP81" s="1728"/>
      <c r="BQ81" s="1729"/>
      <c r="BR81" s="1728"/>
      <c r="BS81" s="1728"/>
      <c r="BT81" s="1728"/>
      <c r="BU81" s="1729"/>
      <c r="BV81" s="1728"/>
      <c r="BW81" s="1728"/>
      <c r="BX81" s="1728"/>
      <c r="BY81" s="1729"/>
      <c r="BZ81" s="1728"/>
      <c r="CA81" s="1728"/>
      <c r="CB81" s="1728"/>
      <c r="CC81" s="1729"/>
      <c r="CD81" s="1728"/>
      <c r="CE81" s="1728"/>
      <c r="CF81" s="1728"/>
      <c r="CG81" s="1729"/>
      <c r="CH81" s="1747"/>
      <c r="CI81" s="1747"/>
      <c r="CJ81" s="1747"/>
      <c r="CK81" s="1748"/>
      <c r="CL81" s="1747"/>
      <c r="CM81" s="1747"/>
      <c r="CN81" s="1747"/>
      <c r="CO81" s="1748"/>
      <c r="CP81" s="1747"/>
      <c r="CQ81" s="1747"/>
      <c r="CR81" s="1747"/>
      <c r="CS81" s="1748"/>
      <c r="CT81" s="1747"/>
      <c r="CU81" s="1747"/>
      <c r="CV81" s="1747"/>
      <c r="CW81" s="1748"/>
      <c r="CX81" s="1747"/>
      <c r="CY81" s="1747"/>
      <c r="CZ81" s="1747"/>
      <c r="DA81" s="1748"/>
      <c r="DB81" s="1747"/>
      <c r="DC81" s="1747">
        <v>2</v>
      </c>
      <c r="DD81" s="1747">
        <v>5</v>
      </c>
      <c r="DE81" s="1750">
        <v>25</v>
      </c>
      <c r="DF81" s="1749">
        <f>DF92*0.75</f>
      </c>
      <c r="DG81" s="1747">
        <v>44.5</v>
      </c>
      <c r="DH81" s="1747">
        <v>34.5</v>
      </c>
      <c r="DI81" s="1748">
        <v>20</v>
      </c>
      <c r="DJ81" s="1747">
        <f>DJ92*0.12+2</f>
      </c>
      <c r="DK81" s="1747">
        <v>5</v>
      </c>
      <c r="DL81" s="1747">
        <v>4.5</v>
      </c>
      <c r="DM81" s="1748">
        <v>2</v>
      </c>
      <c r="DN81" s="1747">
        <v>7</v>
      </c>
      <c r="DO81" s="1747">
        <f>DK80*1</f>
      </c>
      <c r="DP81" s="1747">
        <v>1</v>
      </c>
      <c r="DQ81" s="1748">
        <f>DM80*1-1</f>
      </c>
      <c r="DR81" s="1747"/>
      <c r="DS81" s="1747"/>
      <c r="DT81" s="1747"/>
      <c r="DU81" s="1748"/>
      <c r="DV81" s="1747"/>
      <c r="DW81" s="1747"/>
      <c r="DX81" s="1747"/>
      <c r="DY81" s="1748"/>
      <c r="DZ81" s="1747"/>
      <c r="EA81" s="1747"/>
      <c r="EB81" s="1747"/>
      <c r="EC81" s="1748"/>
      <c r="ED81" s="1747"/>
      <c r="EE81" s="1747"/>
      <c r="EF81" s="1747"/>
      <c r="EG81" s="1748"/>
      <c r="EH81" s="1747"/>
      <c r="EI81" s="1747"/>
      <c r="EJ81" s="1747"/>
      <c r="EK81" s="1748"/>
      <c r="EM81" s="2189">
        <f t="shared" si="557"/>
      </c>
      <c r="EN81" s="2189">
        <f t="shared" si="558"/>
      </c>
      <c r="EO81" s="2189">
        <f t="shared" si="559"/>
      </c>
      <c r="EP81" s="2189">
        <f t="shared" si="560"/>
      </c>
      <c r="EQ81" s="2189">
        <f t="shared" si="561"/>
      </c>
      <c r="ER81" s="2189">
        <f t="shared" si="562"/>
      </c>
      <c r="ES81" s="2189">
        <f t="shared" si="563"/>
      </c>
      <c r="ET81" s="2189">
        <f t="shared" si="564"/>
      </c>
      <c r="EU81" s="2189">
        <f t="shared" si="565"/>
      </c>
      <c r="EV81" s="2189">
        <f t="shared" si="566"/>
      </c>
      <c r="EW81" s="2189">
        <f t="shared" si="567"/>
      </c>
      <c r="EX81" s="2189">
        <f t="shared" si="568"/>
      </c>
      <c r="EY81" s="2189">
        <f t="shared" si="569"/>
      </c>
      <c r="EZ81" s="2189">
        <f t="shared" si="570"/>
      </c>
      <c r="FA81" s="2189">
        <f t="shared" si="571"/>
      </c>
      <c r="FB81" s="2189">
        <f t="shared" si="572"/>
      </c>
      <c r="FC81" s="2189">
        <f t="shared" si="573"/>
      </c>
      <c r="FD81" s="2189">
        <f t="shared" si="574"/>
      </c>
      <c r="FE81" s="2189">
        <f t="shared" si="575"/>
      </c>
      <c r="FF81" s="2189">
        <f t="shared" si="576"/>
      </c>
      <c r="FG81" s="2189"/>
      <c r="FH81" s="2189">
        <f t="shared" si="577"/>
      </c>
      <c r="FI81" s="2189">
        <f t="shared" si="578"/>
      </c>
      <c r="FJ81" s="2189">
        <f t="shared" si="579"/>
      </c>
      <c r="FK81" s="2189">
        <f t="shared" si="580"/>
      </c>
      <c r="FL81" s="2189">
        <f t="shared" si="581"/>
      </c>
      <c r="FM81" s="2189">
        <f t="shared" si="582"/>
      </c>
      <c r="FN81" s="2189">
        <f t="shared" si="583"/>
      </c>
      <c r="FO81" s="2189">
        <f t="shared" si="584"/>
      </c>
      <c r="FP81" s="2189">
        <f t="shared" si="625"/>
      </c>
      <c r="FQ81" s="2189">
        <f t="shared" si="586"/>
      </c>
      <c r="FR81" s="2189">
        <f t="shared" si="587"/>
      </c>
      <c r="FS81" s="2189">
        <f t="shared" si="588"/>
      </c>
      <c r="FT81" s="2189">
        <f t="shared" si="589"/>
      </c>
      <c r="FU81" s="2189">
        <f t="shared" si="590"/>
      </c>
      <c r="FV81" s="2189"/>
      <c r="FW81" s="2189"/>
      <c r="FX81" s="2189"/>
      <c r="FY81" s="2189">
        <f t="shared" si="591"/>
      </c>
      <c r="FZ81" s="2189">
        <f t="shared" si="592"/>
      </c>
      <c r="GA81" s="2189">
        <f t="shared" si="593"/>
      </c>
      <c r="GB81" s="2189">
        <f t="shared" si="594"/>
      </c>
      <c r="GC81" s="2189">
        <f t="shared" si="595"/>
      </c>
      <c r="GD81" s="2189">
        <f t="shared" si="596"/>
      </c>
      <c r="GE81" s="2189">
        <f t="shared" si="597"/>
      </c>
      <c r="GF81" s="2189">
        <f t="shared" si="598"/>
      </c>
      <c r="GG81" s="2189">
        <f t="shared" si="599"/>
      </c>
      <c r="GH81" s="2189">
        <f t="shared" si="600"/>
      </c>
      <c r="GI81" s="2189">
        <f t="shared" si="601"/>
      </c>
      <c r="GJ81" s="2189">
        <f t="shared" si="602"/>
      </c>
      <c r="GK81" s="2189">
        <f t="shared" si="603"/>
      </c>
      <c r="GL81" s="2189">
        <f t="shared" si="604"/>
      </c>
      <c r="GM81" s="2189">
        <f t="shared" si="605"/>
      </c>
      <c r="GN81" s="2189">
        <f t="shared" si="606"/>
      </c>
      <c r="GO81" s="2189">
        <f t="shared" si="607"/>
      </c>
      <c r="GP81" s="2189">
        <f t="shared" si="608"/>
      </c>
      <c r="GQ81" s="2189">
        <f t="shared" si="609"/>
      </c>
      <c r="GR81" s="2189">
        <f t="shared" si="610"/>
      </c>
      <c r="GS81" s="2189">
        <f t="shared" si="611"/>
      </c>
      <c r="GT81" s="2189">
        <f t="shared" si="612"/>
      </c>
      <c r="GU81" s="2189">
        <f t="shared" si="613"/>
      </c>
      <c r="GV81" s="2189">
        <f t="shared" si="614"/>
      </c>
      <c r="GW81" s="2189">
        <f t="shared" si="615"/>
      </c>
      <c r="GX81" s="2189">
        <f t="shared" si="616"/>
      </c>
      <c r="GY81" s="2189">
        <f t="shared" si="617"/>
      </c>
      <c r="GZ81" s="2189">
        <f t="shared" si="618"/>
      </c>
      <c r="HA81" s="2189">
        <f t="shared" si="619"/>
      </c>
      <c r="HB81" s="2189">
        <f t="shared" si="620"/>
      </c>
      <c r="HC81" s="2189">
        <f t="shared" si="621"/>
      </c>
      <c r="HD81" s="2189">
        <f t="shared" si="622"/>
      </c>
      <c r="HE81" s="2189">
        <f t="shared" si="623"/>
      </c>
      <c r="HF81" s="2189">
        <f t="shared" si="624"/>
      </c>
    </row>
    <row r="82" spans="1:214" s="1721" customFormat="1" ht="10.199999999999999">
      <c r="A82" s="1781" t="s">
        <v>1463</v>
      </c>
      <c r="B82" s="882"/>
      <c r="C82" s="882"/>
      <c r="D82" s="882"/>
      <c r="E82" s="883"/>
      <c r="F82" s="882"/>
      <c r="G82" s="882"/>
      <c r="H82" s="882"/>
      <c r="I82" s="883"/>
      <c r="J82" s="1728"/>
      <c r="K82" s="1728"/>
      <c r="L82" s="1728"/>
      <c r="M82" s="1729"/>
      <c r="N82" s="1728"/>
      <c r="O82" s="1728"/>
      <c r="P82" s="1728"/>
      <c r="Q82" s="1729"/>
      <c r="R82" s="1728"/>
      <c r="S82" s="1728"/>
      <c r="T82" s="1728"/>
      <c r="U82" s="1729"/>
      <c r="V82" s="1728"/>
      <c r="W82" s="1728"/>
      <c r="X82" s="1728"/>
      <c r="Y82" s="1729"/>
      <c r="Z82" s="1728"/>
      <c r="AA82" s="1728"/>
      <c r="AB82" s="1728"/>
      <c r="AC82" s="1729"/>
      <c r="AD82" s="1728"/>
      <c r="AE82" s="1728"/>
      <c r="AF82" s="1728"/>
      <c r="AG82" s="1729"/>
      <c r="AH82" s="1728"/>
      <c r="AI82" s="1728"/>
      <c r="AJ82" s="1728"/>
      <c r="AK82" s="1729"/>
      <c r="AL82" s="1728"/>
      <c r="AM82" s="1728"/>
      <c r="AN82" s="1728"/>
      <c r="AO82" s="1729"/>
      <c r="AP82" s="1728"/>
      <c r="AQ82" s="1728"/>
      <c r="AR82" s="1728"/>
      <c r="AS82" s="1729"/>
      <c r="AT82" s="1728"/>
      <c r="AU82" s="1728"/>
      <c r="AV82" s="1728"/>
      <c r="AW82" s="1729"/>
      <c r="AX82" s="1728"/>
      <c r="AY82" s="1728"/>
      <c r="AZ82" s="1728"/>
      <c r="BA82" s="1729"/>
      <c r="BB82" s="1728"/>
      <c r="BC82" s="1728"/>
      <c r="BD82" s="1728"/>
      <c r="BE82" s="1729"/>
      <c r="BF82" s="1728"/>
      <c r="BG82" s="1728"/>
      <c r="BH82" s="1728"/>
      <c r="BI82" s="1729"/>
      <c r="BJ82" s="1728"/>
      <c r="BK82" s="1728"/>
      <c r="BL82" s="1728"/>
      <c r="BM82" s="1729"/>
      <c r="BN82" s="1728"/>
      <c r="BO82" s="1728"/>
      <c r="BP82" s="1728"/>
      <c r="BQ82" s="1729"/>
      <c r="BR82" s="1728"/>
      <c r="BS82" s="1728"/>
      <c r="BT82" s="1728"/>
      <c r="BU82" s="1729"/>
      <c r="BV82" s="1728"/>
      <c r="BW82" s="1728"/>
      <c r="BX82" s="1728"/>
      <c r="BY82" s="1729"/>
      <c r="BZ82" s="1728"/>
      <c r="CA82" s="1728"/>
      <c r="CB82" s="1728"/>
      <c r="CC82" s="1729"/>
      <c r="CD82" s="1728"/>
      <c r="CE82" s="1728"/>
      <c r="CF82" s="1728"/>
      <c r="CG82" s="1729"/>
      <c r="CH82" s="1747"/>
      <c r="CI82" s="1747"/>
      <c r="CJ82" s="1747"/>
      <c r="CK82" s="1748"/>
      <c r="CL82" s="1747"/>
      <c r="CM82" s="1747"/>
      <c r="CN82" s="1747"/>
      <c r="CO82" s="1748"/>
      <c r="CP82" s="1747"/>
      <c r="CQ82" s="1747"/>
      <c r="CR82" s="1747"/>
      <c r="CS82" s="1748"/>
      <c r="CT82" s="1747"/>
      <c r="CU82" s="1747"/>
      <c r="CV82" s="1747"/>
      <c r="CW82" s="1748"/>
      <c r="CX82" s="1747"/>
      <c r="CY82" s="1747"/>
      <c r="CZ82" s="1747"/>
      <c r="DA82" s="1748"/>
      <c r="DB82" s="1747"/>
      <c r="DC82" s="1749"/>
      <c r="DD82" s="1747"/>
      <c r="DE82" s="1748"/>
      <c r="DF82" s="1747"/>
      <c r="DG82" s="1747"/>
      <c r="DH82" s="1747"/>
      <c r="DI82" s="1750">
        <f>DE81*1.05</f>
      </c>
      <c r="DJ82" s="1749">
        <v>53.5</v>
      </c>
      <c r="DK82" s="1747">
        <f>DG81-2.5</f>
      </c>
      <c r="DL82" s="1747">
        <f>DH81</f>
      </c>
      <c r="DM82" s="1748">
        <v>22</v>
      </c>
      <c r="DN82" s="1747">
        <v>12.6</v>
      </c>
      <c r="DO82" s="1747">
        <v>4</v>
      </c>
      <c r="DP82" s="1747">
        <v>4</v>
      </c>
      <c r="DQ82" s="1748">
        <v>1</v>
      </c>
      <c r="DR82" s="1747">
        <f>DN81*0.95</f>
      </c>
      <c r="DS82" s="1747">
        <f>DO81*0.95</f>
      </c>
      <c r="DT82" s="1747">
        <f>DP81*0.95</f>
      </c>
      <c r="DU82" s="1748">
        <f>DQ81*0.95</f>
      </c>
      <c r="DV82" s="1747"/>
      <c r="DW82" s="1747"/>
      <c r="DX82" s="1747"/>
      <c r="DY82" s="1748"/>
      <c r="DZ82" s="1747"/>
      <c r="EA82" s="1747"/>
      <c r="EB82" s="1747"/>
      <c r="EC82" s="1748"/>
      <c r="ED82" s="1747"/>
      <c r="EE82" s="1747"/>
      <c r="EF82" s="1747"/>
      <c r="EG82" s="1748"/>
      <c r="EH82" s="1747"/>
      <c r="EI82" s="1747"/>
      <c r="EJ82" s="1747"/>
      <c r="EK82" s="1748"/>
      <c r="EM82" s="2189">
        <f t="shared" si="557"/>
      </c>
      <c r="EN82" s="2189">
        <f t="shared" si="558"/>
      </c>
      <c r="EO82" s="2189">
        <f t="shared" si="559"/>
      </c>
      <c r="EP82" s="2189">
        <f t="shared" si="560"/>
      </c>
      <c r="EQ82" s="2189">
        <f t="shared" si="561"/>
      </c>
      <c r="ER82" s="2189">
        <f t="shared" si="562"/>
      </c>
      <c r="ES82" s="2189">
        <f t="shared" si="563"/>
      </c>
      <c r="ET82" s="2189">
        <f t="shared" si="564"/>
      </c>
      <c r="EU82" s="2189">
        <f t="shared" si="565"/>
      </c>
      <c r="EV82" s="2189">
        <f t="shared" si="566"/>
      </c>
      <c r="EW82" s="2189">
        <f t="shared" si="567"/>
      </c>
      <c r="EX82" s="2189">
        <f t="shared" si="568"/>
      </c>
      <c r="EY82" s="2189">
        <f t="shared" si="569"/>
      </c>
      <c r="EZ82" s="2189">
        <f t="shared" si="570"/>
      </c>
      <c r="FA82" s="2189">
        <f t="shared" si="571"/>
      </c>
      <c r="FB82" s="2189">
        <f t="shared" si="572"/>
      </c>
      <c r="FC82" s="2189">
        <f t="shared" si="573"/>
      </c>
      <c r="FD82" s="2189">
        <f t="shared" si="574"/>
      </c>
      <c r="FE82" s="2189">
        <f t="shared" si="575"/>
      </c>
      <c r="FF82" s="2189">
        <f t="shared" si="576"/>
      </c>
      <c r="FG82" s="2189"/>
      <c r="FH82" s="2189">
        <f t="shared" si="577"/>
      </c>
      <c r="FI82" s="2189">
        <f t="shared" si="578"/>
      </c>
      <c r="FJ82" s="2189">
        <f t="shared" si="579"/>
      </c>
      <c r="FK82" s="2189">
        <f t="shared" si="580"/>
      </c>
      <c r="FL82" s="2189">
        <f t="shared" si="581"/>
      </c>
      <c r="FM82" s="2189">
        <f t="shared" si="582"/>
      </c>
      <c r="FN82" s="2189">
        <f t="shared" si="583"/>
      </c>
      <c r="FO82" s="2189">
        <f t="shared" si="584"/>
      </c>
      <c r="FP82" s="2189">
        <f t="shared" si="625"/>
      </c>
      <c r="FQ82" s="2189">
        <f t="shared" si="586"/>
      </c>
      <c r="FR82" s="2189">
        <f t="shared" si="587"/>
      </c>
      <c r="FS82" s="2189">
        <f t="shared" si="588"/>
      </c>
      <c r="FT82" s="2189">
        <f t="shared" si="589"/>
      </c>
      <c r="FU82" s="2189">
        <f t="shared" si="590"/>
      </c>
      <c r="FV82" s="2189"/>
      <c r="FW82" s="2189"/>
      <c r="FX82" s="2189"/>
      <c r="FY82" s="2189">
        <f t="shared" si="591"/>
      </c>
      <c r="FZ82" s="2189">
        <f t="shared" si="592"/>
      </c>
      <c r="GA82" s="2189">
        <f t="shared" si="593"/>
      </c>
      <c r="GB82" s="2189">
        <f t="shared" si="594"/>
      </c>
      <c r="GC82" s="2189">
        <f t="shared" si="595"/>
      </c>
      <c r="GD82" s="2189">
        <f t="shared" si="596"/>
      </c>
      <c r="GE82" s="2189">
        <f t="shared" si="597"/>
      </c>
      <c r="GF82" s="2189">
        <f t="shared" si="598"/>
      </c>
      <c r="GG82" s="2189">
        <f t="shared" si="599"/>
      </c>
      <c r="GH82" s="2189">
        <f t="shared" si="600"/>
      </c>
      <c r="GI82" s="2189">
        <f t="shared" si="601"/>
      </c>
      <c r="GJ82" s="2189">
        <f t="shared" si="602"/>
      </c>
      <c r="GK82" s="2189">
        <f t="shared" si="603"/>
      </c>
      <c r="GL82" s="2189">
        <f t="shared" si="604"/>
      </c>
      <c r="GM82" s="2189">
        <f t="shared" si="605"/>
      </c>
      <c r="GN82" s="2189">
        <f t="shared" si="606"/>
      </c>
      <c r="GO82" s="2189">
        <f t="shared" si="607"/>
      </c>
      <c r="GP82" s="2189">
        <f t="shared" si="608"/>
      </c>
      <c r="GQ82" s="2189">
        <f t="shared" si="609"/>
      </c>
      <c r="GR82" s="2189">
        <f t="shared" si="610"/>
      </c>
      <c r="GS82" s="2189">
        <f t="shared" si="611"/>
      </c>
      <c r="GT82" s="2189">
        <f t="shared" si="612"/>
      </c>
      <c r="GU82" s="2189">
        <f t="shared" si="613"/>
      </c>
      <c r="GV82" s="2189">
        <f t="shared" si="614"/>
      </c>
      <c r="GW82" s="2189">
        <f t="shared" si="615"/>
      </c>
      <c r="GX82" s="2189">
        <f t="shared" si="616"/>
      </c>
      <c r="GY82" s="2189">
        <f t="shared" si="617"/>
      </c>
      <c r="GZ82" s="2189">
        <f t="shared" si="618"/>
      </c>
      <c r="HA82" s="2189">
        <f t="shared" si="619"/>
      </c>
      <c r="HB82" s="2189">
        <f t="shared" si="620"/>
      </c>
      <c r="HC82" s="2189">
        <f t="shared" si="621"/>
      </c>
      <c r="HD82" s="2189">
        <f t="shared" si="622"/>
      </c>
      <c r="HE82" s="2189">
        <f t="shared" si="623"/>
      </c>
      <c r="HF82" s="2189">
        <f t="shared" si="624"/>
      </c>
    </row>
    <row r="83" spans="1:214" s="1721" customFormat="1" ht="10.199999999999999">
      <c r="A83" s="1781" t="s">
        <v>1464</v>
      </c>
      <c r="B83" s="882"/>
      <c r="C83" s="882"/>
      <c r="D83" s="882"/>
      <c r="E83" s="883"/>
      <c r="F83" s="882"/>
      <c r="G83" s="882"/>
      <c r="H83" s="882"/>
      <c r="I83" s="883"/>
      <c r="J83" s="1728"/>
      <c r="K83" s="1728"/>
      <c r="L83" s="1728"/>
      <c r="M83" s="1729"/>
      <c r="N83" s="1728"/>
      <c r="O83" s="1728"/>
      <c r="P83" s="1728"/>
      <c r="Q83" s="1729"/>
      <c r="R83" s="1728"/>
      <c r="S83" s="1728"/>
      <c r="T83" s="1728"/>
      <c r="U83" s="1729"/>
      <c r="V83" s="1728"/>
      <c r="W83" s="1728"/>
      <c r="X83" s="1728"/>
      <c r="Y83" s="1729"/>
      <c r="Z83" s="1728"/>
      <c r="AA83" s="1728"/>
      <c r="AB83" s="1728"/>
      <c r="AC83" s="1729"/>
      <c r="AD83" s="1728"/>
      <c r="AE83" s="1728"/>
      <c r="AF83" s="1728"/>
      <c r="AG83" s="1729"/>
      <c r="AH83" s="1728"/>
      <c r="AI83" s="1728"/>
      <c r="AJ83" s="1728"/>
      <c r="AK83" s="1729"/>
      <c r="AL83" s="1728"/>
      <c r="AM83" s="1728"/>
      <c r="AN83" s="1728"/>
      <c r="AO83" s="1729"/>
      <c r="AP83" s="1728"/>
      <c r="AQ83" s="1728"/>
      <c r="AR83" s="1728"/>
      <c r="AS83" s="1729"/>
      <c r="AT83" s="1728"/>
      <c r="AU83" s="1728"/>
      <c r="AV83" s="1728"/>
      <c r="AW83" s="1729"/>
      <c r="AX83" s="1728"/>
      <c r="AY83" s="1728"/>
      <c r="AZ83" s="1728"/>
      <c r="BA83" s="1729"/>
      <c r="BB83" s="1728"/>
      <c r="BC83" s="1728"/>
      <c r="BD83" s="1728"/>
      <c r="BE83" s="1729"/>
      <c r="BF83" s="1728"/>
      <c r="BG83" s="1728"/>
      <c r="BH83" s="1728"/>
      <c r="BI83" s="1729"/>
      <c r="BJ83" s="1728"/>
      <c r="BK83" s="1728"/>
      <c r="BL83" s="1728"/>
      <c r="BM83" s="1729"/>
      <c r="BN83" s="1728"/>
      <c r="BO83" s="1728"/>
      <c r="BP83" s="1728"/>
      <c r="BQ83" s="1729"/>
      <c r="BR83" s="1728"/>
      <c r="BS83" s="1728"/>
      <c r="BT83" s="1728"/>
      <c r="BU83" s="1729"/>
      <c r="BV83" s="1728"/>
      <c r="BW83" s="1728"/>
      <c r="BX83" s="1728"/>
      <c r="BY83" s="1729"/>
      <c r="BZ83" s="1728"/>
      <c r="CA83" s="1728"/>
      <c r="CB83" s="1728"/>
      <c r="CC83" s="1729"/>
      <c r="CD83" s="1728"/>
      <c r="CE83" s="1728"/>
      <c r="CF83" s="1728"/>
      <c r="CG83" s="1729"/>
      <c r="CH83" s="1747"/>
      <c r="CI83" s="1747"/>
      <c r="CJ83" s="1747"/>
      <c r="CK83" s="1748"/>
      <c r="CL83" s="1747"/>
      <c r="CM83" s="1747"/>
      <c r="CN83" s="1747"/>
      <c r="CO83" s="1748"/>
      <c r="CP83" s="1747"/>
      <c r="CQ83" s="1747"/>
      <c r="CR83" s="1747"/>
      <c r="CS83" s="1748"/>
      <c r="CT83" s="1747"/>
      <c r="CU83" s="1747"/>
      <c r="CV83" s="1747"/>
      <c r="CW83" s="1748"/>
      <c r="CX83" s="1747"/>
      <c r="CY83" s="1747"/>
      <c r="CZ83" s="1747"/>
      <c r="DA83" s="1748"/>
      <c r="DB83" s="1747"/>
      <c r="DC83" s="1747"/>
      <c r="DD83" s="1747"/>
      <c r="DE83" s="1748"/>
      <c r="DF83" s="1747"/>
      <c r="DG83" s="1747"/>
      <c r="DH83" s="1747"/>
      <c r="DI83" s="1748"/>
      <c r="DJ83" s="3178"/>
      <c r="DK83" s="1747"/>
      <c r="DL83" s="1747"/>
      <c r="DM83" s="1750">
        <v>26.25</v>
      </c>
      <c r="DN83" s="1749">
        <v>55</v>
      </c>
      <c r="DO83" s="1747">
        <v>42</v>
      </c>
      <c r="DP83" s="1747">
        <v>39</v>
      </c>
      <c r="DQ83" s="1748">
        <v>23</v>
      </c>
      <c r="DR83" s="1747">
        <f>DN82*1.07</f>
      </c>
      <c r="DS83" s="1747">
        <f>DO82*1.07</f>
      </c>
      <c r="DT83" s="1747">
        <f>DP82*1.07</f>
      </c>
      <c r="DU83" s="1748">
        <f>DQ82*1.07</f>
      </c>
      <c r="DV83" s="1747">
        <f t="shared" ref="DV83" si="628">DR82*1</f>
      </c>
      <c r="DW83" s="1747">
        <f t="shared" ref="DW83" si="629">DS82*1</f>
      </c>
      <c r="DX83" s="1747">
        <f t="shared" ref="DX83" si="630">DT82*1</f>
      </c>
      <c r="DY83" s="1748">
        <f t="shared" ref="DY83" si="631">DU82*1</f>
      </c>
      <c r="DZ83" s="1747"/>
      <c r="EA83" s="1747"/>
      <c r="EB83" s="1747"/>
      <c r="EC83" s="1748"/>
      <c r="ED83" s="1747">
        <f t="shared" ref="ED83" si="632">DZ82*1.03</f>
      </c>
      <c r="EE83" s="1747">
        <f t="shared" ref="EE83" si="633">EA82*1.03</f>
      </c>
      <c r="EF83" s="1747">
        <f t="shared" ref="EF83" si="634">EB82*1.03</f>
      </c>
      <c r="EG83" s="1748">
        <f t="shared" ref="EG83" si="635">EC82*1.03</f>
      </c>
      <c r="EH83" s="1747">
        <f t="shared" ref="EH83" si="636">ED82*1.03</f>
      </c>
      <c r="EI83" s="1747">
        <f t="shared" ref="EI83" si="637">EE82*1.03</f>
      </c>
      <c r="EJ83" s="1747">
        <f t="shared" ref="EJ83" si="638">EF82*1.03</f>
      </c>
      <c r="EK83" s="1748">
        <f t="shared" ref="EK83" si="639">EG82*1.03</f>
      </c>
      <c r="EM83" s="2189">
        <f t="shared" si="557"/>
      </c>
      <c r="EN83" s="2189">
        <f t="shared" si="558"/>
      </c>
      <c r="EO83" s="2189">
        <f t="shared" si="559"/>
      </c>
      <c r="EP83" s="2189">
        <f t="shared" si="560"/>
      </c>
      <c r="EQ83" s="2189">
        <f t="shared" si="561"/>
      </c>
      <c r="ER83" s="2189">
        <f t="shared" si="562"/>
      </c>
      <c r="ES83" s="2189">
        <f t="shared" si="563"/>
      </c>
      <c r="ET83" s="2189">
        <f t="shared" si="564"/>
      </c>
      <c r="EU83" s="2189">
        <f t="shared" si="565"/>
      </c>
      <c r="EV83" s="2189">
        <f t="shared" si="566"/>
      </c>
      <c r="EW83" s="2189">
        <f t="shared" si="567"/>
      </c>
      <c r="EX83" s="2189">
        <f t="shared" si="568"/>
      </c>
      <c r="EY83" s="2189">
        <f t="shared" si="569"/>
      </c>
      <c r="EZ83" s="2189">
        <f t="shared" si="570"/>
      </c>
      <c r="FA83" s="2189">
        <f t="shared" si="571"/>
      </c>
      <c r="FB83" s="2189">
        <f t="shared" si="572"/>
      </c>
      <c r="FC83" s="2189">
        <f t="shared" si="573"/>
      </c>
      <c r="FD83" s="2189">
        <f t="shared" si="574"/>
      </c>
      <c r="FE83" s="2189">
        <f t="shared" si="575"/>
      </c>
      <c r="FF83" s="2189">
        <f t="shared" si="576"/>
      </c>
      <c r="FG83" s="2189"/>
      <c r="FH83" s="2189">
        <f t="shared" si="577"/>
      </c>
      <c r="FI83" s="2189">
        <f t="shared" si="578"/>
      </c>
      <c r="FJ83" s="2189">
        <f t="shared" si="579"/>
      </c>
      <c r="FK83" s="2189">
        <f t="shared" si="580"/>
      </c>
      <c r="FL83" s="2189">
        <f t="shared" si="581"/>
      </c>
      <c r="FM83" s="2189">
        <f t="shared" si="582"/>
      </c>
      <c r="FN83" s="2189">
        <f>SUM(DF83:DI83)</f>
      </c>
      <c r="FO83" s="2189">
        <f t="shared" si="584"/>
      </c>
      <c r="FP83" s="2189">
        <f t="shared" si="625"/>
      </c>
      <c r="FQ83" s="2189">
        <f t="shared" si="586"/>
      </c>
      <c r="FR83" s="2189">
        <f t="shared" si="587"/>
      </c>
      <c r="FS83" s="2189">
        <f t="shared" si="588"/>
      </c>
      <c r="FT83" s="2189">
        <f t="shared" si="589"/>
      </c>
      <c r="FU83" s="2189">
        <f t="shared" si="590"/>
      </c>
      <c r="FV83" s="2189"/>
      <c r="FW83" s="2189"/>
      <c r="FX83" s="2189"/>
      <c r="FY83" s="2189">
        <f t="shared" si="591"/>
      </c>
      <c r="FZ83" s="2189">
        <f t="shared" si="592"/>
      </c>
      <c r="GA83" s="2189">
        <f t="shared" si="593"/>
      </c>
      <c r="GB83" s="2189">
        <f t="shared" si="594"/>
      </c>
      <c r="GC83" s="2189">
        <f t="shared" si="595"/>
      </c>
      <c r="GD83" s="2189">
        <f t="shared" si="596"/>
      </c>
      <c r="GE83" s="2189">
        <f t="shared" si="597"/>
      </c>
      <c r="GF83" s="2189">
        <f t="shared" si="598"/>
      </c>
      <c r="GG83" s="2189">
        <f t="shared" si="599"/>
      </c>
      <c r="GH83" s="2189">
        <f t="shared" si="600"/>
      </c>
      <c r="GI83" s="2189">
        <f t="shared" si="601"/>
      </c>
      <c r="GJ83" s="2189">
        <f t="shared" si="602"/>
      </c>
      <c r="GK83" s="2189">
        <f t="shared" si="603"/>
      </c>
      <c r="GL83" s="2189">
        <f t="shared" si="604"/>
      </c>
      <c r="GM83" s="2189">
        <f t="shared" si="605"/>
      </c>
      <c r="GN83" s="2189">
        <f t="shared" si="606"/>
      </c>
      <c r="GO83" s="2189">
        <f t="shared" si="607"/>
      </c>
      <c r="GP83" s="2189">
        <f t="shared" si="608"/>
      </c>
      <c r="GQ83" s="2189">
        <f t="shared" si="609"/>
      </c>
      <c r="GR83" s="2189">
        <f t="shared" si="610"/>
      </c>
      <c r="GS83" s="2189">
        <f t="shared" si="611"/>
      </c>
      <c r="GT83" s="2189">
        <f t="shared" si="612"/>
      </c>
      <c r="GU83" s="2189">
        <f t="shared" si="613"/>
      </c>
      <c r="GV83" s="2189">
        <f t="shared" si="614"/>
      </c>
      <c r="GW83" s="2189">
        <f t="shared" si="615"/>
      </c>
      <c r="GX83" s="2189">
        <f t="shared" si="616"/>
      </c>
      <c r="GY83" s="2189">
        <f t="shared" si="617"/>
      </c>
      <c r="GZ83" s="2189">
        <f t="shared" si="618"/>
      </c>
      <c r="HA83" s="2189">
        <f>SUM(DK83:DN83)</f>
      </c>
      <c r="HB83" s="2189">
        <f t="shared" si="620"/>
      </c>
      <c r="HC83" s="2189">
        <f t="shared" si="621"/>
      </c>
      <c r="HD83" s="2189">
        <f t="shared" si="622"/>
      </c>
      <c r="HE83" s="2189">
        <f t="shared" si="623"/>
      </c>
      <c r="HF83" s="2189">
        <f t="shared" si="624"/>
      </c>
    </row>
    <row r="84" spans="1:214" s="1721" customFormat="1" ht="10.199999999999999">
      <c r="A84" s="1781" t="s">
        <v>1465</v>
      </c>
      <c r="B84" s="882"/>
      <c r="C84" s="882"/>
      <c r="D84" s="882"/>
      <c r="E84" s="883"/>
      <c r="F84" s="882"/>
      <c r="G84" s="882"/>
      <c r="H84" s="882"/>
      <c r="I84" s="883"/>
      <c r="J84" s="1728"/>
      <c r="K84" s="1728"/>
      <c r="L84" s="1728"/>
      <c r="M84" s="1729"/>
      <c r="N84" s="1728"/>
      <c r="O84" s="1728"/>
      <c r="P84" s="1728"/>
      <c r="Q84" s="1729"/>
      <c r="R84" s="1728"/>
      <c r="S84" s="1728"/>
      <c r="T84" s="1728"/>
      <c r="U84" s="1729"/>
      <c r="V84" s="1728"/>
      <c r="W84" s="1728"/>
      <c r="X84" s="1728"/>
      <c r="Y84" s="1729"/>
      <c r="Z84" s="1728"/>
      <c r="AA84" s="1728"/>
      <c r="AB84" s="1728"/>
      <c r="AC84" s="1729"/>
      <c r="AD84" s="1728"/>
      <c r="AE84" s="1728"/>
      <c r="AF84" s="1728"/>
      <c r="AG84" s="1729"/>
      <c r="AH84" s="1728"/>
      <c r="AI84" s="1728"/>
      <c r="AJ84" s="1728"/>
      <c r="AK84" s="1729"/>
      <c r="AL84" s="1728"/>
      <c r="AM84" s="1728"/>
      <c r="AN84" s="1728"/>
      <c r="AO84" s="1729"/>
      <c r="AP84" s="1728"/>
      <c r="AQ84" s="1728"/>
      <c r="AR84" s="1728"/>
      <c r="AS84" s="1729"/>
      <c r="AT84" s="1728"/>
      <c r="AU84" s="1728"/>
      <c r="AV84" s="1728"/>
      <c r="AW84" s="1729"/>
      <c r="AX84" s="1728"/>
      <c r="AY84" s="1728"/>
      <c r="AZ84" s="1728"/>
      <c r="BA84" s="1729"/>
      <c r="BB84" s="1728"/>
      <c r="BC84" s="1728"/>
      <c r="BD84" s="1728"/>
      <c r="BE84" s="1729"/>
      <c r="BF84" s="1728"/>
      <c r="BG84" s="1728"/>
      <c r="BH84" s="1728"/>
      <c r="BI84" s="1729"/>
      <c r="BJ84" s="1728"/>
      <c r="BK84" s="1728"/>
      <c r="BL84" s="1728"/>
      <c r="BM84" s="1729"/>
      <c r="BN84" s="1728"/>
      <c r="BO84" s="1728"/>
      <c r="BP84" s="1728"/>
      <c r="BQ84" s="1729"/>
      <c r="BR84" s="1728"/>
      <c r="BS84" s="1728"/>
      <c r="BT84" s="1728"/>
      <c r="BU84" s="1729"/>
      <c r="BV84" s="1728"/>
      <c r="BW84" s="1728"/>
      <c r="BX84" s="1728"/>
      <c r="BY84" s="1729"/>
      <c r="BZ84" s="1728"/>
      <c r="CA84" s="1728"/>
      <c r="CB84" s="1728"/>
      <c r="CC84" s="1729"/>
      <c r="CD84" s="1728"/>
      <c r="CE84" s="1728"/>
      <c r="CF84" s="1728"/>
      <c r="CG84" s="1729"/>
      <c r="CH84" s="1747"/>
      <c r="CI84" s="1747"/>
      <c r="CJ84" s="1747"/>
      <c r="CK84" s="1748"/>
      <c r="CL84" s="1747"/>
      <c r="CM84" s="1747"/>
      <c r="CN84" s="1747"/>
      <c r="CO84" s="1748"/>
      <c r="CP84" s="1747"/>
      <c r="CQ84" s="1747"/>
      <c r="CR84" s="1747"/>
      <c r="CS84" s="1748"/>
      <c r="CT84" s="1747"/>
      <c r="CU84" s="1747"/>
      <c r="CV84" s="1747"/>
      <c r="CW84" s="1748"/>
      <c r="CX84" s="1747"/>
      <c r="CY84" s="1747"/>
      <c r="CZ84" s="1747"/>
      <c r="DA84" s="1748"/>
      <c r="DB84" s="1747"/>
      <c r="DC84" s="1747"/>
      <c r="DD84" s="1747"/>
      <c r="DE84" s="1748"/>
      <c r="DF84" s="1747"/>
      <c r="DG84" s="1747"/>
      <c r="DH84" s="1747"/>
      <c r="DI84" s="1748"/>
      <c r="DJ84" s="3177"/>
      <c r="DK84" s="1747"/>
      <c r="DL84" s="1747"/>
      <c r="DM84" s="1748"/>
      <c r="DN84" s="1747"/>
      <c r="DO84" s="1747"/>
      <c r="DP84" s="1747"/>
      <c r="DQ84" s="3238">
        <f>DM83*1.03</f>
      </c>
      <c r="DR84" s="1749">
        <f>DN83*1.05</f>
      </c>
      <c r="DS84" s="1747">
        <f>DO83*1.05</f>
      </c>
      <c r="DT84" s="1747">
        <f>DP83*1.05</f>
      </c>
      <c r="DU84" s="1748">
        <f>DQ83*1.05</f>
      </c>
      <c r="DV84" s="1747">
        <f t="shared" ref="DV84" si="640">DR83*1</f>
      </c>
      <c r="DW84" s="1747">
        <f t="shared" ref="DW84" si="641">DS83*1</f>
      </c>
      <c r="DX84" s="1747">
        <f t="shared" ref="DX84" si="642">DT83*1</f>
      </c>
      <c r="DY84" s="1748">
        <f t="shared" ref="DY84" si="643">DU83*1</f>
      </c>
      <c r="DZ84" s="1747">
        <f t="shared" ref="DZ84" si="644">DV83*1</f>
      </c>
      <c r="EA84" s="1747">
        <f t="shared" ref="EA84" si="645">DW83*1</f>
      </c>
      <c r="EB84" s="1747">
        <f t="shared" ref="EB84" si="646">DX83*1</f>
      </c>
      <c r="EC84" s="1748">
        <f t="shared" ref="EC84" si="647">DY83*1</f>
      </c>
      <c r="ED84" s="1747">
        <f t="shared" ref="ED84:EK84" si="648">DZ83*1.05</f>
      </c>
      <c r="EE84" s="1747">
        <f t="shared" si="648"/>
      </c>
      <c r="EF84" s="1747">
        <f t="shared" si="648"/>
      </c>
      <c r="EG84" s="1748">
        <f t="shared" si="648"/>
      </c>
      <c r="EH84" s="1747">
        <f t="shared" si="648"/>
      </c>
      <c r="EI84" s="1747">
        <f t="shared" si="648"/>
      </c>
      <c r="EJ84" s="1747">
        <f t="shared" si="648"/>
      </c>
      <c r="EK84" s="1748">
        <f t="shared" si="648"/>
      </c>
      <c r="EM84" s="2189">
        <f t="shared" si="557"/>
      </c>
      <c r="EN84" s="2189">
        <f t="shared" si="558"/>
      </c>
      <c r="EO84" s="2189">
        <f t="shared" si="559"/>
      </c>
      <c r="EP84" s="2189">
        <f t="shared" si="560"/>
      </c>
      <c r="EQ84" s="2189">
        <f t="shared" si="561"/>
      </c>
      <c r="ER84" s="2189">
        <f t="shared" si="562"/>
      </c>
      <c r="ES84" s="2189">
        <f t="shared" si="563"/>
      </c>
      <c r="ET84" s="2189">
        <f t="shared" si="564"/>
      </c>
      <c r="EU84" s="2189">
        <f t="shared" si="565"/>
      </c>
      <c r="EV84" s="2189">
        <f t="shared" si="566"/>
      </c>
      <c r="EW84" s="2189">
        <f t="shared" si="567"/>
      </c>
      <c r="EX84" s="2189">
        <f t="shared" si="568"/>
      </c>
      <c r="EY84" s="2189">
        <f t="shared" si="569"/>
      </c>
      <c r="EZ84" s="2189">
        <f t="shared" si="570"/>
      </c>
      <c r="FA84" s="2189">
        <f t="shared" si="571"/>
      </c>
      <c r="FB84" s="2189">
        <f t="shared" si="572"/>
      </c>
      <c r="FC84" s="2189">
        <f t="shared" si="573"/>
      </c>
      <c r="FD84" s="2189">
        <f t="shared" si="574"/>
      </c>
      <c r="FE84" s="2189">
        <f t="shared" si="575"/>
      </c>
      <c r="FF84" s="2189">
        <f t="shared" si="576"/>
      </c>
      <c r="FG84" s="2189"/>
      <c r="FH84" s="2189">
        <f t="shared" si="577"/>
      </c>
      <c r="FI84" s="2189">
        <f t="shared" si="578"/>
      </c>
      <c r="FJ84" s="2189">
        <f t="shared" si="579"/>
      </c>
      <c r="FK84" s="2189">
        <f t="shared" si="580"/>
      </c>
      <c r="FL84" s="2189">
        <f t="shared" si="581"/>
      </c>
      <c r="FM84" s="2189">
        <f t="shared" si="582"/>
      </c>
      <c r="FN84" s="2189">
        <f t="shared" si="583"/>
      </c>
      <c r="FO84" s="2189">
        <f t="shared" si="584"/>
      </c>
      <c r="FP84" s="2189">
        <f t="shared" si="625"/>
      </c>
      <c r="FQ84" s="2189">
        <f t="shared" si="586"/>
      </c>
      <c r="FR84" s="2189">
        <f t="shared" si="587"/>
      </c>
      <c r="FS84" s="2189">
        <f t="shared" si="588"/>
      </c>
      <c r="FT84" s="2189">
        <f t="shared" si="589"/>
      </c>
      <c r="FU84" s="2189">
        <f t="shared" si="590"/>
      </c>
      <c r="FV84" s="2189"/>
      <c r="FW84" s="2189"/>
      <c r="FX84" s="2189"/>
      <c r="FY84" s="2189">
        <f t="shared" si="591"/>
      </c>
      <c r="FZ84" s="2189">
        <f t="shared" si="592"/>
      </c>
      <c r="GA84" s="2189">
        <f t="shared" si="593"/>
      </c>
      <c r="GB84" s="2189">
        <f t="shared" si="594"/>
      </c>
      <c r="GC84" s="2189">
        <f t="shared" si="595"/>
      </c>
      <c r="GD84" s="2189">
        <f t="shared" si="596"/>
      </c>
      <c r="GE84" s="2189">
        <f t="shared" si="597"/>
      </c>
      <c r="GF84" s="2189">
        <f t="shared" si="598"/>
      </c>
      <c r="GG84" s="2189">
        <f t="shared" si="599"/>
      </c>
      <c r="GH84" s="2189">
        <f t="shared" si="600"/>
      </c>
      <c r="GI84" s="2189">
        <f t="shared" si="601"/>
      </c>
      <c r="GJ84" s="2189">
        <f t="shared" si="602"/>
      </c>
      <c r="GK84" s="2189">
        <f t="shared" si="603"/>
      </c>
      <c r="GL84" s="2189">
        <f t="shared" si="604"/>
      </c>
      <c r="GM84" s="2189">
        <f t="shared" si="605"/>
      </c>
      <c r="GN84" s="2189">
        <f t="shared" si="606"/>
      </c>
      <c r="GO84" s="2189">
        <f t="shared" si="607"/>
      </c>
      <c r="GP84" s="2189">
        <f t="shared" si="608"/>
      </c>
      <c r="GQ84" s="2189">
        <f t="shared" si="609"/>
      </c>
      <c r="GR84" s="2189">
        <f t="shared" si="610"/>
      </c>
      <c r="GS84" s="2189">
        <f t="shared" si="611"/>
      </c>
      <c r="GT84" s="2189">
        <f t="shared" si="612"/>
      </c>
      <c r="GU84" s="2189">
        <f t="shared" si="613"/>
      </c>
      <c r="GV84" s="2189">
        <f t="shared" si="614"/>
      </c>
      <c r="GW84" s="2189">
        <f t="shared" si="615"/>
      </c>
      <c r="GX84" s="2189">
        <f t="shared" si="616"/>
      </c>
      <c r="GY84" s="2189">
        <f t="shared" si="617"/>
      </c>
      <c r="GZ84" s="2189">
        <f t="shared" si="618"/>
      </c>
      <c r="HA84" s="2189">
        <f t="shared" si="619"/>
      </c>
      <c r="HB84" s="2189">
        <f t="shared" si="620"/>
      </c>
      <c r="HC84" s="2189">
        <f t="shared" si="621"/>
      </c>
      <c r="HD84" s="2189">
        <f t="shared" si="622"/>
      </c>
      <c r="HE84" s="2189">
        <f t="shared" si="623"/>
      </c>
      <c r="HF84" s="2189">
        <f t="shared" si="624"/>
      </c>
    </row>
    <row r="85" spans="1:214" s="1721" customFormat="1" ht="10.199999999999999">
      <c r="A85" s="1781" t="s">
        <v>1503</v>
      </c>
      <c r="B85" s="882"/>
      <c r="C85" s="882"/>
      <c r="D85" s="882"/>
      <c r="E85" s="883"/>
      <c r="F85" s="882"/>
      <c r="G85" s="882"/>
      <c r="H85" s="882"/>
      <c r="I85" s="883"/>
      <c r="J85" s="1728"/>
      <c r="K85" s="1728"/>
      <c r="L85" s="1728"/>
      <c r="M85" s="1729"/>
      <c r="N85" s="1728"/>
      <c r="O85" s="1728"/>
      <c r="P85" s="1728"/>
      <c r="Q85" s="1729"/>
      <c r="R85" s="1728"/>
      <c r="S85" s="1728"/>
      <c r="T85" s="1728"/>
      <c r="U85" s="1729"/>
      <c r="V85" s="1728"/>
      <c r="W85" s="1728"/>
      <c r="X85" s="1728"/>
      <c r="Y85" s="1729"/>
      <c r="Z85" s="1728"/>
      <c r="AA85" s="1728"/>
      <c r="AB85" s="1728"/>
      <c r="AC85" s="1729"/>
      <c r="AD85" s="1728"/>
      <c r="AE85" s="1728"/>
      <c r="AF85" s="1728"/>
      <c r="AG85" s="1729"/>
      <c r="AH85" s="1728"/>
      <c r="AI85" s="1728"/>
      <c r="AJ85" s="1728"/>
      <c r="AK85" s="1729"/>
      <c r="AL85" s="1728"/>
      <c r="AM85" s="1728"/>
      <c r="AN85" s="1728"/>
      <c r="AO85" s="1729"/>
      <c r="AP85" s="1728"/>
      <c r="AQ85" s="1728"/>
      <c r="AR85" s="1728"/>
      <c r="AS85" s="1729"/>
      <c r="AT85" s="1728"/>
      <c r="AU85" s="1728"/>
      <c r="AV85" s="1728"/>
      <c r="AW85" s="1729"/>
      <c r="AX85" s="1728"/>
      <c r="AY85" s="1728"/>
      <c r="AZ85" s="1728"/>
      <c r="BA85" s="1729"/>
      <c r="BB85" s="1728"/>
      <c r="BC85" s="1728"/>
      <c r="BD85" s="1728"/>
      <c r="BE85" s="1729"/>
      <c r="BF85" s="1728"/>
      <c r="BG85" s="1728"/>
      <c r="BH85" s="1728"/>
      <c r="BI85" s="1729"/>
      <c r="BJ85" s="1728"/>
      <c r="BK85" s="1728"/>
      <c r="BL85" s="1728"/>
      <c r="BM85" s="1729"/>
      <c r="BN85" s="1728"/>
      <c r="BO85" s="1728"/>
      <c r="BP85" s="1728"/>
      <c r="BQ85" s="1729"/>
      <c r="BR85" s="1728"/>
      <c r="BS85" s="1728"/>
      <c r="BT85" s="1728"/>
      <c r="BU85" s="1729"/>
      <c r="BV85" s="1728"/>
      <c r="BW85" s="1728"/>
      <c r="BX85" s="1728"/>
      <c r="BY85" s="1729"/>
      <c r="BZ85" s="1728"/>
      <c r="CA85" s="1728"/>
      <c r="CB85" s="1728"/>
      <c r="CC85" s="1729"/>
      <c r="CD85" s="1728"/>
      <c r="CE85" s="1728"/>
      <c r="CF85" s="1728"/>
      <c r="CG85" s="1729"/>
      <c r="CH85" s="1747"/>
      <c r="CI85" s="1747"/>
      <c r="CJ85" s="1747"/>
      <c r="CK85" s="1748"/>
      <c r="CL85" s="1747"/>
      <c r="CM85" s="1747"/>
      <c r="CN85" s="1747"/>
      <c r="CO85" s="1748"/>
      <c r="CP85" s="1747"/>
      <c r="CQ85" s="1747"/>
      <c r="CR85" s="1747"/>
      <c r="CS85" s="1748"/>
      <c r="CT85" s="1747"/>
      <c r="CU85" s="1747"/>
      <c r="CV85" s="1747"/>
      <c r="CW85" s="1748"/>
      <c r="CX85" s="1747"/>
      <c r="CY85" s="1747"/>
      <c r="CZ85" s="1747"/>
      <c r="DA85" s="1748"/>
      <c r="DB85" s="1747"/>
      <c r="DC85" s="1747"/>
      <c r="DD85" s="1747"/>
      <c r="DE85" s="1748"/>
      <c r="DF85" s="1747"/>
      <c r="DG85" s="1747"/>
      <c r="DH85" s="1747"/>
      <c r="DI85" s="1748"/>
      <c r="DJ85" s="1747"/>
      <c r="DK85" s="1747"/>
      <c r="DL85" s="1747"/>
      <c r="DM85" s="1748"/>
      <c r="DN85" s="1747"/>
      <c r="DO85" s="1747"/>
      <c r="DP85" s="1747"/>
      <c r="DQ85" s="1750"/>
      <c r="DR85" s="1747"/>
      <c r="DS85" s="1747"/>
      <c r="DT85" s="1747"/>
      <c r="DU85" s="1750">
        <f>DQ84*1.03</f>
      </c>
      <c r="DV85" s="1749">
        <f>DR84*1.03</f>
      </c>
      <c r="DW85" s="1747">
        <f>DS84*1.03</f>
      </c>
      <c r="DX85" s="1747">
        <f>DT84*1.03</f>
      </c>
      <c r="DY85" s="1748">
        <f>DU84*1.03</f>
      </c>
      <c r="DZ85" s="1747">
        <f t="shared" ref="DZ85:DZ86" si="649">DV84*1.02</f>
      </c>
      <c r="EA85" s="1747">
        <f t="shared" ref="EA85:EA86" si="650">DW84*1.02</f>
      </c>
      <c r="EB85" s="1747">
        <f t="shared" ref="EB85:EB86" si="651">DX84*1.02</f>
      </c>
      <c r="EC85" s="1748">
        <f t="shared" ref="EC85:EC86" si="652">DY84*1.02</f>
      </c>
      <c r="ED85" s="1747">
        <f t="shared" ref="ED85:ED87" si="653">DZ84*1.02</f>
      </c>
      <c r="EE85" s="1747">
        <f t="shared" ref="EE85:EE87" si="654">EA84*1.02</f>
      </c>
      <c r="EF85" s="1747">
        <f t="shared" ref="EF85:EF87" si="655">EB84*1.02</f>
      </c>
      <c r="EG85" s="1748">
        <f t="shared" ref="EG85:EG87" si="656">EC84*1.02</f>
      </c>
      <c r="EH85" s="1747">
        <f t="shared" ref="EH85:EH88" si="657">ED84*1.02</f>
      </c>
      <c r="EI85" s="1747">
        <f t="shared" ref="EI85:EI88" si="658">EE84*1.02</f>
      </c>
      <c r="EJ85" s="1747">
        <f t="shared" ref="EJ85:EJ88" si="659">EF84*1.02</f>
      </c>
      <c r="EK85" s="1748">
        <f t="shared" ref="EK85:EK88" si="660">EG84*1.02</f>
      </c>
      <c r="EM85" s="2189"/>
      <c r="EN85" s="2189"/>
      <c r="EO85" s="2189"/>
      <c r="EP85" s="2189"/>
      <c r="EQ85" s="2189"/>
      <c r="ER85" s="2189"/>
      <c r="ES85" s="2189"/>
      <c r="ET85" s="2189"/>
      <c r="EU85" s="2189"/>
      <c r="EV85" s="2189"/>
      <c r="EW85" s="2189"/>
      <c r="EX85" s="2189"/>
      <c r="EY85" s="2189"/>
      <c r="EZ85" s="2189"/>
      <c r="FA85" s="2189"/>
      <c r="FB85" s="2189"/>
      <c r="FC85" s="2189"/>
      <c r="FD85" s="2189"/>
      <c r="FE85" s="2189"/>
      <c r="FF85" s="2189"/>
      <c r="FG85" s="2189"/>
      <c r="FH85" s="2189">
        <f t="shared" ref="FH85:FH88" si="661">SUM(CH85:CK85)</f>
      </c>
      <c r="FI85" s="2189">
        <f t="shared" ref="FI85:FI88" si="662">SUM(CL85:CO85)</f>
      </c>
      <c r="FJ85" s="2189">
        <f t="shared" ref="FJ85:FJ88" si="663">SUM(CP85:CS85)</f>
      </c>
      <c r="FK85" s="2189">
        <f t="shared" ref="FK85:FK88" si="664">SUM(CT85:CW85)</f>
      </c>
      <c r="FL85" s="2189">
        <f t="shared" ref="FL85:FL88" si="665">SUM(CX85:DA85)</f>
      </c>
      <c r="FM85" s="2189">
        <f t="shared" ref="FM85:FM88" si="666">SUM(DB85:DE85)</f>
      </c>
      <c r="FN85" s="2189">
        <f>SUM(DF85:DI85)</f>
      </c>
      <c r="FO85" s="2189">
        <f>SUM(DJ85:DM85)</f>
      </c>
      <c r="FP85" s="2189">
        <f t="shared" si="625"/>
      </c>
      <c r="FQ85" s="2189">
        <f t="shared" ref="FQ85:FQ88" si="667">SUM(DR85:DU85)</f>
      </c>
      <c r="FR85" s="2189">
        <f>SUM(DV85:DY85)</f>
      </c>
      <c r="FS85" s="2189">
        <f t="shared" ref="FS85:FS88" si="668">SUM(DZ85:EC85)</f>
      </c>
      <c r="FT85" s="2189">
        <f t="shared" ref="FT85:FT88" si="669">SUM(ED85:EG85)</f>
      </c>
      <c r="FU85" s="2189">
        <f t="shared" ref="FU85:FU88" si="670">SUM(EH85:EK85)</f>
      </c>
      <c r="FV85" s="2189"/>
      <c r="FW85" s="2189"/>
      <c r="FX85" s="2189"/>
      <c r="FY85" s="2189"/>
      <c r="FZ85" s="2189"/>
      <c r="GA85" s="2189"/>
      <c r="GB85" s="2189"/>
      <c r="GC85" s="2189"/>
      <c r="GD85" s="2189"/>
      <c r="GE85" s="2189"/>
      <c r="GF85" s="2189"/>
      <c r="GG85" s="2189"/>
      <c r="GH85" s="2189"/>
      <c r="GI85" s="2189"/>
      <c r="GJ85" s="2189"/>
      <c r="GK85" s="2189"/>
      <c r="GL85" s="2189"/>
      <c r="GM85" s="2189"/>
      <c r="GN85" s="2189"/>
      <c r="GO85" s="2189"/>
      <c r="GP85" s="2189"/>
      <c r="GQ85" s="2189"/>
      <c r="GR85" s="2189"/>
      <c r="GS85" s="2189"/>
      <c r="GT85" s="2189"/>
      <c r="GU85" s="2189">
        <f t="shared" ref="GU85:GU88" si="671">SUM(CM85:CP85)</f>
      </c>
      <c r="GV85" s="2189">
        <f t="shared" ref="GV85:GV88" si="672">SUM(CQ85:CT85)</f>
      </c>
      <c r="GW85" s="2189">
        <f t="shared" ref="GW85:GW88" si="673">SUM(CU85:CX85)</f>
      </c>
      <c r="GX85" s="2189">
        <f t="shared" ref="GX85:GX88" si="674">SUM(CY85:DB85)</f>
      </c>
      <c r="GY85" s="2189">
        <f t="shared" ref="GY85:GY88" si="675">SUM(DC85:DF85)</f>
      </c>
      <c r="GZ85" s="2189">
        <f>SUM(DG85:DJ85)</f>
      </c>
      <c r="HA85" s="2189">
        <f t="shared" ref="HA85:HA91" si="676">SUM(DK85:DN85)</f>
      </c>
      <c r="HB85" s="2189">
        <f t="shared" ref="HB85:HB88" si="677">SUM(DO85:DR85)</f>
      </c>
      <c r="HC85" s="2189">
        <f t="shared" ref="HC85:HC88" si="678">SUM(DS85:DV85)</f>
      </c>
      <c r="HD85" s="2189">
        <f t="shared" ref="HD85:HD88" si="679">SUM(DW85:DZ85)</f>
      </c>
      <c r="HE85" s="2189">
        <f t="shared" ref="HE85:HE88" si="680">SUM(EA85:ED85)</f>
      </c>
      <c r="HF85" s="2189">
        <f t="shared" ref="HF85:HF88" si="681">SUM(EE85:EH85)</f>
      </c>
    </row>
    <row r="86" spans="1:214" s="1721" customFormat="1" ht="10.199999999999999">
      <c r="A86" s="1781" t="s">
        <v>1504</v>
      </c>
      <c r="B86" s="882"/>
      <c r="C86" s="882"/>
      <c r="D86" s="882"/>
      <c r="E86" s="883"/>
      <c r="F86" s="882"/>
      <c r="G86" s="882"/>
      <c r="H86" s="882"/>
      <c r="I86" s="883"/>
      <c r="J86" s="1728"/>
      <c r="K86" s="1728"/>
      <c r="L86" s="1728"/>
      <c r="M86" s="1729"/>
      <c r="N86" s="1728"/>
      <c r="O86" s="1728"/>
      <c r="P86" s="1728"/>
      <c r="Q86" s="1729"/>
      <c r="R86" s="1728"/>
      <c r="S86" s="1728"/>
      <c r="T86" s="1728"/>
      <c r="U86" s="1729"/>
      <c r="V86" s="1728"/>
      <c r="W86" s="1728"/>
      <c r="X86" s="1728"/>
      <c r="Y86" s="1729"/>
      <c r="Z86" s="1728"/>
      <c r="AA86" s="1728"/>
      <c r="AB86" s="1728"/>
      <c r="AC86" s="1729"/>
      <c r="AD86" s="1728"/>
      <c r="AE86" s="1728"/>
      <c r="AF86" s="1728"/>
      <c r="AG86" s="1729"/>
      <c r="AH86" s="1728"/>
      <c r="AI86" s="1728"/>
      <c r="AJ86" s="1728"/>
      <c r="AK86" s="1729"/>
      <c r="AL86" s="1728"/>
      <c r="AM86" s="1728"/>
      <c r="AN86" s="1728"/>
      <c r="AO86" s="1729"/>
      <c r="AP86" s="1728"/>
      <c r="AQ86" s="1728"/>
      <c r="AR86" s="1728"/>
      <c r="AS86" s="1729"/>
      <c r="AT86" s="1728"/>
      <c r="AU86" s="1728"/>
      <c r="AV86" s="1728"/>
      <c r="AW86" s="1729"/>
      <c r="AX86" s="1728"/>
      <c r="AY86" s="1728"/>
      <c r="AZ86" s="1728"/>
      <c r="BA86" s="1729"/>
      <c r="BB86" s="1728"/>
      <c r="BC86" s="1728"/>
      <c r="BD86" s="1728"/>
      <c r="BE86" s="1729"/>
      <c r="BF86" s="1728"/>
      <c r="BG86" s="1728"/>
      <c r="BH86" s="1728"/>
      <c r="BI86" s="1729"/>
      <c r="BJ86" s="1728"/>
      <c r="BK86" s="1728"/>
      <c r="BL86" s="1728"/>
      <c r="BM86" s="1729"/>
      <c r="BN86" s="1728"/>
      <c r="BO86" s="1728"/>
      <c r="BP86" s="1728"/>
      <c r="BQ86" s="1729"/>
      <c r="BR86" s="1728"/>
      <c r="BS86" s="1728"/>
      <c r="BT86" s="1728"/>
      <c r="BU86" s="1729"/>
      <c r="BV86" s="1728"/>
      <c r="BW86" s="1728"/>
      <c r="BX86" s="1728"/>
      <c r="BY86" s="1729"/>
      <c r="BZ86" s="1728"/>
      <c r="CA86" s="1728"/>
      <c r="CB86" s="1728"/>
      <c r="CC86" s="1729"/>
      <c r="CD86" s="1728"/>
      <c r="CE86" s="1728"/>
      <c r="CF86" s="1728"/>
      <c r="CG86" s="1729"/>
      <c r="CH86" s="1747"/>
      <c r="CI86" s="1747"/>
      <c r="CJ86" s="1747"/>
      <c r="CK86" s="1748"/>
      <c r="CL86" s="1747"/>
      <c r="CM86" s="1747"/>
      <c r="CN86" s="1747"/>
      <c r="CO86" s="1748"/>
      <c r="CP86" s="1747"/>
      <c r="CQ86" s="1747"/>
      <c r="CR86" s="1747"/>
      <c r="CS86" s="1748"/>
      <c r="CT86" s="1747"/>
      <c r="CU86" s="1747"/>
      <c r="CV86" s="1747"/>
      <c r="CW86" s="1748"/>
      <c r="CX86" s="1747"/>
      <c r="CY86" s="1747"/>
      <c r="CZ86" s="1747"/>
      <c r="DA86" s="1748"/>
      <c r="DB86" s="1747"/>
      <c r="DC86" s="1747"/>
      <c r="DD86" s="1747"/>
      <c r="DE86" s="1748"/>
      <c r="DF86" s="1747"/>
      <c r="DG86" s="1747"/>
      <c r="DH86" s="1747"/>
      <c r="DI86" s="1748"/>
      <c r="DJ86" s="1747"/>
      <c r="DK86" s="1747"/>
      <c r="DL86" s="1747"/>
      <c r="DM86" s="1748"/>
      <c r="DN86" s="1747"/>
      <c r="DO86" s="1747"/>
      <c r="DP86" s="1747"/>
      <c r="DQ86" s="1750"/>
      <c r="DR86" s="1749"/>
      <c r="DS86" s="1747"/>
      <c r="DT86" s="1747"/>
      <c r="DU86" s="1748"/>
      <c r="DV86" s="1747"/>
      <c r="DW86" s="1747"/>
      <c r="DX86" s="1747"/>
      <c r="DY86" s="1750">
        <f t="shared" ref="DY86" si="682">DU85*1.02</f>
      </c>
      <c r="DZ86" s="1749">
        <f t="shared" si="649"/>
      </c>
      <c r="EA86" s="1747">
        <f t="shared" si="650"/>
      </c>
      <c r="EB86" s="1747">
        <f t="shared" si="651"/>
      </c>
      <c r="EC86" s="1748">
        <f t="shared" si="652"/>
      </c>
      <c r="ED86" s="1747">
        <f t="shared" si="653"/>
      </c>
      <c r="EE86" s="1747">
        <f t="shared" si="654"/>
      </c>
      <c r="EF86" s="1747">
        <f t="shared" si="655"/>
      </c>
      <c r="EG86" s="1748">
        <f t="shared" si="656"/>
      </c>
      <c r="EH86" s="1747">
        <f t="shared" si="657"/>
      </c>
      <c r="EI86" s="1747">
        <f t="shared" si="658"/>
      </c>
      <c r="EJ86" s="1747">
        <f t="shared" si="659"/>
      </c>
      <c r="EK86" s="1748">
        <f t="shared" si="660"/>
      </c>
      <c r="EM86" s="2189"/>
      <c r="EN86" s="2189"/>
      <c r="EO86" s="2189"/>
      <c r="EP86" s="2189"/>
      <c r="EQ86" s="2189"/>
      <c r="ER86" s="2189"/>
      <c r="ES86" s="2189"/>
      <c r="ET86" s="2189"/>
      <c r="EU86" s="2189"/>
      <c r="EV86" s="2189"/>
      <c r="EW86" s="2189"/>
      <c r="EX86" s="2189"/>
      <c r="EY86" s="2189"/>
      <c r="EZ86" s="2189"/>
      <c r="FA86" s="2189"/>
      <c r="FB86" s="2189"/>
      <c r="FC86" s="2189"/>
      <c r="FD86" s="2189"/>
      <c r="FE86" s="2189"/>
      <c r="FF86" s="2189"/>
      <c r="FG86" s="2189"/>
      <c r="FH86" s="2189">
        <f t="shared" si="661"/>
      </c>
      <c r="FI86" s="2189">
        <f t="shared" si="662"/>
      </c>
      <c r="FJ86" s="2189">
        <f t="shared" si="663"/>
      </c>
      <c r="FK86" s="2189">
        <f t="shared" si="664"/>
      </c>
      <c r="FL86" s="2189">
        <f t="shared" si="665"/>
      </c>
      <c r="FM86" s="2189">
        <f t="shared" si="666"/>
      </c>
      <c r="FN86" s="2189">
        <f t="shared" ref="FN86:FN88" si="683">SUM(DF86:DI86)</f>
      </c>
      <c r="FO86" s="2189">
        <f t="shared" ref="FO86:FO88" si="684">SUM(DJ86:DM86)</f>
      </c>
      <c r="FP86" s="2189">
        <f t="shared" si="625"/>
      </c>
      <c r="FQ86" s="2189">
        <f t="shared" si="667"/>
      </c>
      <c r="FR86" s="2189">
        <f t="shared" ref="FR86:FR88" si="685">SUM(DV86:DY86)</f>
      </c>
      <c r="FS86" s="2189">
        <f t="shared" si="668"/>
      </c>
      <c r="FT86" s="2189">
        <f t="shared" si="669"/>
      </c>
      <c r="FU86" s="2189">
        <f t="shared" si="670"/>
      </c>
      <c r="FV86" s="2189"/>
      <c r="FW86" s="2189"/>
      <c r="FX86" s="2189"/>
      <c r="FY86" s="2189"/>
      <c r="FZ86" s="2189"/>
      <c r="GA86" s="2189"/>
      <c r="GB86" s="2189"/>
      <c r="GC86" s="2189"/>
      <c r="GD86" s="2189"/>
      <c r="GE86" s="2189"/>
      <c r="GF86" s="2189"/>
      <c r="GG86" s="2189"/>
      <c r="GH86" s="2189"/>
      <c r="GI86" s="2189"/>
      <c r="GJ86" s="2189"/>
      <c r="GK86" s="2189"/>
      <c r="GL86" s="2189"/>
      <c r="GM86" s="2189"/>
      <c r="GN86" s="2189"/>
      <c r="GO86" s="2189"/>
      <c r="GP86" s="2189"/>
      <c r="GQ86" s="2189"/>
      <c r="GR86" s="2189"/>
      <c r="GS86" s="2189"/>
      <c r="GT86" s="2189"/>
      <c r="GU86" s="2189">
        <f t="shared" si="671"/>
      </c>
      <c r="GV86" s="2189">
        <f t="shared" si="672"/>
      </c>
      <c r="GW86" s="2189">
        <f t="shared" si="673"/>
      </c>
      <c r="GX86" s="2189">
        <f t="shared" si="674"/>
      </c>
      <c r="GY86" s="2189">
        <f t="shared" si="675"/>
      </c>
      <c r="GZ86" s="2189">
        <f t="shared" ref="GZ86:GZ88" si="686">SUM(DG86:DJ86)</f>
      </c>
      <c r="HA86" s="2189">
        <f t="shared" si="676"/>
      </c>
      <c r="HB86" s="2189">
        <f>SUM(DO86:DR86)</f>
      </c>
      <c r="HC86" s="2189">
        <f t="shared" si="678"/>
      </c>
      <c r="HD86" s="2189">
        <f t="shared" si="679"/>
      </c>
      <c r="HE86" s="2189">
        <f t="shared" si="680"/>
      </c>
      <c r="HF86" s="2189">
        <f t="shared" si="681"/>
      </c>
    </row>
    <row r="87" spans="1:214" s="1721" customFormat="1" ht="10.199999999999999">
      <c r="A87" s="1781" t="s">
        <v>1505</v>
      </c>
      <c r="B87" s="882"/>
      <c r="C87" s="882"/>
      <c r="D87" s="882"/>
      <c r="E87" s="883"/>
      <c r="F87" s="882"/>
      <c r="G87" s="882"/>
      <c r="H87" s="882"/>
      <c r="I87" s="883"/>
      <c r="J87" s="1728"/>
      <c r="K87" s="1728"/>
      <c r="L87" s="1728"/>
      <c r="M87" s="1729"/>
      <c r="N87" s="1728"/>
      <c r="O87" s="1728"/>
      <c r="P87" s="1728"/>
      <c r="Q87" s="1729"/>
      <c r="R87" s="1728"/>
      <c r="S87" s="1728"/>
      <c r="T87" s="1728"/>
      <c r="U87" s="1729"/>
      <c r="V87" s="1728"/>
      <c r="W87" s="1728"/>
      <c r="X87" s="1728"/>
      <c r="Y87" s="1729"/>
      <c r="Z87" s="1728"/>
      <c r="AA87" s="1728"/>
      <c r="AB87" s="1728"/>
      <c r="AC87" s="1729"/>
      <c r="AD87" s="1728"/>
      <c r="AE87" s="1728"/>
      <c r="AF87" s="1728"/>
      <c r="AG87" s="1729"/>
      <c r="AH87" s="1728"/>
      <c r="AI87" s="1728"/>
      <c r="AJ87" s="1728"/>
      <c r="AK87" s="1729"/>
      <c r="AL87" s="1728"/>
      <c r="AM87" s="1728"/>
      <c r="AN87" s="1728"/>
      <c r="AO87" s="1729"/>
      <c r="AP87" s="1728"/>
      <c r="AQ87" s="1728"/>
      <c r="AR87" s="1728"/>
      <c r="AS87" s="1729"/>
      <c r="AT87" s="1728"/>
      <c r="AU87" s="1728"/>
      <c r="AV87" s="1728"/>
      <c r="AW87" s="1729"/>
      <c r="AX87" s="1728"/>
      <c r="AY87" s="1728"/>
      <c r="AZ87" s="1728"/>
      <c r="BA87" s="1729"/>
      <c r="BB87" s="1728"/>
      <c r="BC87" s="1728"/>
      <c r="BD87" s="1728"/>
      <c r="BE87" s="1729"/>
      <c r="BF87" s="1728"/>
      <c r="BG87" s="1728"/>
      <c r="BH87" s="1728"/>
      <c r="BI87" s="1729"/>
      <c r="BJ87" s="1728"/>
      <c r="BK87" s="1728"/>
      <c r="BL87" s="1728"/>
      <c r="BM87" s="1729"/>
      <c r="BN87" s="1728"/>
      <c r="BO87" s="1728"/>
      <c r="BP87" s="1728"/>
      <c r="BQ87" s="1729"/>
      <c r="BR87" s="1728"/>
      <c r="BS87" s="1728"/>
      <c r="BT87" s="1728"/>
      <c r="BU87" s="1729"/>
      <c r="BV87" s="1728"/>
      <c r="BW87" s="1728"/>
      <c r="BX87" s="1728"/>
      <c r="BY87" s="1729"/>
      <c r="BZ87" s="1728"/>
      <c r="CA87" s="1728"/>
      <c r="CB87" s="1728"/>
      <c r="CC87" s="1729"/>
      <c r="CD87" s="1728"/>
      <c r="CE87" s="1728"/>
      <c r="CF87" s="1728"/>
      <c r="CG87" s="1729"/>
      <c r="CH87" s="1747"/>
      <c r="CI87" s="1747"/>
      <c r="CJ87" s="1747"/>
      <c r="CK87" s="1748"/>
      <c r="CL87" s="1747"/>
      <c r="CM87" s="1747"/>
      <c r="CN87" s="1747"/>
      <c r="CO87" s="1748"/>
      <c r="CP87" s="1747"/>
      <c r="CQ87" s="1747"/>
      <c r="CR87" s="1747"/>
      <c r="CS87" s="1748"/>
      <c r="CT87" s="1747"/>
      <c r="CU87" s="1747"/>
      <c r="CV87" s="1747"/>
      <c r="CW87" s="1748"/>
      <c r="CX87" s="1747"/>
      <c r="CY87" s="1747"/>
      <c r="CZ87" s="1747"/>
      <c r="DA87" s="1748"/>
      <c r="DB87" s="1747"/>
      <c r="DC87" s="1747"/>
      <c r="DD87" s="1747"/>
      <c r="DE87" s="1748"/>
      <c r="DF87" s="1747"/>
      <c r="DG87" s="1747"/>
      <c r="DH87" s="1747"/>
      <c r="DI87" s="1748"/>
      <c r="DJ87" s="1747"/>
      <c r="DK87" s="1747"/>
      <c r="DL87" s="1747"/>
      <c r="DM87" s="1748"/>
      <c r="DN87" s="1747"/>
      <c r="DO87" s="1747"/>
      <c r="DP87" s="1747"/>
      <c r="DQ87" s="1750"/>
      <c r="DR87" s="1749"/>
      <c r="DS87" s="1747"/>
      <c r="DT87" s="1747"/>
      <c r="DU87" s="1748"/>
      <c r="DV87" s="1749"/>
      <c r="DW87" s="1747"/>
      <c r="DX87" s="1747"/>
      <c r="DY87" s="1748"/>
      <c r="DZ87" s="1747"/>
      <c r="EA87" s="1747"/>
      <c r="EB87" s="1747"/>
      <c r="EC87" s="1750">
        <f t="shared" ref="EC87" si="687">DY86*1.02</f>
      </c>
      <c r="ED87" s="1749">
        <f t="shared" si="653"/>
      </c>
      <c r="EE87" s="1747">
        <f t="shared" si="654"/>
      </c>
      <c r="EF87" s="1747">
        <f t="shared" si="655"/>
      </c>
      <c r="EG87" s="1748">
        <f t="shared" si="656"/>
      </c>
      <c r="EH87" s="1747">
        <f t="shared" si="657"/>
      </c>
      <c r="EI87" s="1747">
        <f t="shared" si="658"/>
      </c>
      <c r="EJ87" s="1747">
        <f t="shared" si="659"/>
      </c>
      <c r="EK87" s="1748">
        <f t="shared" si="660"/>
      </c>
      <c r="EM87" s="2189"/>
      <c r="EN87" s="2189"/>
      <c r="EO87" s="2189"/>
      <c r="EP87" s="2189"/>
      <c r="EQ87" s="2189"/>
      <c r="ER87" s="2189"/>
      <c r="ES87" s="2189"/>
      <c r="ET87" s="2189"/>
      <c r="EU87" s="2189"/>
      <c r="EV87" s="2189"/>
      <c r="EW87" s="2189"/>
      <c r="EX87" s="2189"/>
      <c r="EY87" s="2189"/>
      <c r="EZ87" s="2189"/>
      <c r="FA87" s="2189"/>
      <c r="FB87" s="2189"/>
      <c r="FC87" s="2189"/>
      <c r="FD87" s="2189"/>
      <c r="FE87" s="2189"/>
      <c r="FF87" s="2189"/>
      <c r="FG87" s="2189"/>
      <c r="FH87" s="2189">
        <f t="shared" si="661"/>
      </c>
      <c r="FI87" s="2189">
        <f t="shared" si="662"/>
      </c>
      <c r="FJ87" s="2189">
        <f t="shared" si="663"/>
      </c>
      <c r="FK87" s="2189">
        <f t="shared" si="664"/>
      </c>
      <c r="FL87" s="2189">
        <f t="shared" si="665"/>
      </c>
      <c r="FM87" s="2189">
        <f t="shared" si="666"/>
      </c>
      <c r="FN87" s="2189">
        <f t="shared" si="683"/>
      </c>
      <c r="FO87" s="2189">
        <f t="shared" si="684"/>
      </c>
      <c r="FP87" s="2189">
        <f t="shared" ref="FP87:FP88" si="688">SUM(DN87:DQ87)</f>
      </c>
      <c r="FQ87" s="2189">
        <f t="shared" si="667"/>
      </c>
      <c r="FR87" s="2189">
        <f t="shared" si="685"/>
      </c>
      <c r="FS87" s="2189">
        <f t="shared" si="668"/>
      </c>
      <c r="FT87" s="2189">
        <f t="shared" si="669"/>
      </c>
      <c r="FU87" s="2189">
        <f t="shared" si="670"/>
      </c>
      <c r="FV87" s="2189"/>
      <c r="FW87" s="2189"/>
      <c r="FX87" s="2189"/>
      <c r="FY87" s="2189"/>
      <c r="FZ87" s="2189"/>
      <c r="GA87" s="2189"/>
      <c r="GB87" s="2189"/>
      <c r="GC87" s="2189"/>
      <c r="GD87" s="2189"/>
      <c r="GE87" s="2189"/>
      <c r="GF87" s="2189"/>
      <c r="GG87" s="2189"/>
      <c r="GH87" s="2189"/>
      <c r="GI87" s="2189"/>
      <c r="GJ87" s="2189"/>
      <c r="GK87" s="2189"/>
      <c r="GL87" s="2189"/>
      <c r="GM87" s="2189"/>
      <c r="GN87" s="2189"/>
      <c r="GO87" s="2189"/>
      <c r="GP87" s="2189"/>
      <c r="GQ87" s="2189"/>
      <c r="GR87" s="2189"/>
      <c r="GS87" s="2189"/>
      <c r="GT87" s="2189"/>
      <c r="GU87" s="2189">
        <f t="shared" si="671"/>
      </c>
      <c r="GV87" s="2189">
        <f t="shared" si="672"/>
      </c>
      <c r="GW87" s="2189">
        <f t="shared" si="673"/>
      </c>
      <c r="GX87" s="2189">
        <f t="shared" si="674"/>
      </c>
      <c r="GY87" s="2189">
        <f t="shared" si="675"/>
      </c>
      <c r="GZ87" s="2189">
        <f t="shared" si="686"/>
      </c>
      <c r="HA87" s="2189">
        <f t="shared" si="676"/>
      </c>
      <c r="HB87" s="2189">
        <f t="shared" si="677"/>
      </c>
      <c r="HC87" s="2189">
        <f t="shared" si="678"/>
      </c>
      <c r="HD87" s="2189">
        <f t="shared" si="679"/>
      </c>
      <c r="HE87" s="2189">
        <f t="shared" si="680"/>
      </c>
      <c r="HF87" s="2189">
        <f t="shared" si="681"/>
      </c>
    </row>
    <row r="88" spans="1:214" s="1721" customFormat="1" ht="10.199999999999999">
      <c r="A88" s="1781" t="s">
        <v>1522</v>
      </c>
      <c r="B88" s="882"/>
      <c r="C88" s="882"/>
      <c r="D88" s="882"/>
      <c r="E88" s="883"/>
      <c r="F88" s="882"/>
      <c r="G88" s="882"/>
      <c r="H88" s="882"/>
      <c r="I88" s="883"/>
      <c r="J88" s="1728"/>
      <c r="K88" s="1728"/>
      <c r="L88" s="1728"/>
      <c r="M88" s="1729"/>
      <c r="N88" s="1728"/>
      <c r="O88" s="1728"/>
      <c r="P88" s="1728"/>
      <c r="Q88" s="1729"/>
      <c r="R88" s="1728"/>
      <c r="S88" s="1728"/>
      <c r="T88" s="1728"/>
      <c r="U88" s="1729"/>
      <c r="V88" s="1728"/>
      <c r="W88" s="1728"/>
      <c r="X88" s="1728"/>
      <c r="Y88" s="1729"/>
      <c r="Z88" s="1728"/>
      <c r="AA88" s="1728"/>
      <c r="AB88" s="1728"/>
      <c r="AC88" s="1729"/>
      <c r="AD88" s="1728"/>
      <c r="AE88" s="1728"/>
      <c r="AF88" s="1728"/>
      <c r="AG88" s="1729"/>
      <c r="AH88" s="1728"/>
      <c r="AI88" s="1728"/>
      <c r="AJ88" s="1728"/>
      <c r="AK88" s="1729"/>
      <c r="AL88" s="1728"/>
      <c r="AM88" s="1728"/>
      <c r="AN88" s="1728"/>
      <c r="AO88" s="1729"/>
      <c r="AP88" s="1728"/>
      <c r="AQ88" s="1728"/>
      <c r="AR88" s="1728"/>
      <c r="AS88" s="1729"/>
      <c r="AT88" s="1728"/>
      <c r="AU88" s="1728"/>
      <c r="AV88" s="1728"/>
      <c r="AW88" s="1729"/>
      <c r="AX88" s="1728"/>
      <c r="AY88" s="1728"/>
      <c r="AZ88" s="1728"/>
      <c r="BA88" s="1729"/>
      <c r="BB88" s="1728"/>
      <c r="BC88" s="1728"/>
      <c r="BD88" s="1728"/>
      <c r="BE88" s="1729"/>
      <c r="BF88" s="1728"/>
      <c r="BG88" s="1728"/>
      <c r="BH88" s="1728"/>
      <c r="BI88" s="1729"/>
      <c r="BJ88" s="1728"/>
      <c r="BK88" s="1728"/>
      <c r="BL88" s="1728"/>
      <c r="BM88" s="1729"/>
      <c r="BN88" s="1728"/>
      <c r="BO88" s="1728"/>
      <c r="BP88" s="1728"/>
      <c r="BQ88" s="1729"/>
      <c r="BR88" s="1728"/>
      <c r="BS88" s="1728"/>
      <c r="BT88" s="1728"/>
      <c r="BU88" s="1729"/>
      <c r="BV88" s="1728"/>
      <c r="BW88" s="1728"/>
      <c r="BX88" s="1728"/>
      <c r="BY88" s="1729"/>
      <c r="BZ88" s="1728"/>
      <c r="CA88" s="1728"/>
      <c r="CB88" s="1728"/>
      <c r="CC88" s="1729"/>
      <c r="CD88" s="1728"/>
      <c r="CE88" s="1728"/>
      <c r="CF88" s="1728"/>
      <c r="CG88" s="1729"/>
      <c r="CH88" s="1747"/>
      <c r="CI88" s="1747"/>
      <c r="CJ88" s="1747"/>
      <c r="CK88" s="1748"/>
      <c r="CL88" s="1747"/>
      <c r="CM88" s="1747"/>
      <c r="CN88" s="1747"/>
      <c r="CO88" s="1748"/>
      <c r="CP88" s="1747"/>
      <c r="CQ88" s="1747"/>
      <c r="CR88" s="1747"/>
      <c r="CS88" s="1748"/>
      <c r="CT88" s="1747"/>
      <c r="CU88" s="1747"/>
      <c r="CV88" s="1747"/>
      <c r="CW88" s="1748"/>
      <c r="CX88" s="1747"/>
      <c r="CY88" s="1747"/>
      <c r="CZ88" s="1747"/>
      <c r="DA88" s="1748"/>
      <c r="DB88" s="1747"/>
      <c r="DC88" s="1747"/>
      <c r="DD88" s="1747"/>
      <c r="DE88" s="1748"/>
      <c r="DF88" s="1747"/>
      <c r="DG88" s="1747"/>
      <c r="DH88" s="1747"/>
      <c r="DI88" s="1748"/>
      <c r="DJ88" s="1747"/>
      <c r="DK88" s="1747"/>
      <c r="DL88" s="1747"/>
      <c r="DM88" s="1748"/>
      <c r="DN88" s="1747"/>
      <c r="DO88" s="3177"/>
      <c r="DP88" s="1747"/>
      <c r="DQ88" s="1750"/>
      <c r="DR88" s="1749"/>
      <c r="DS88" s="1747"/>
      <c r="DT88" s="1747"/>
      <c r="DU88" s="1748"/>
      <c r="DV88" s="1749"/>
      <c r="DW88" s="1747"/>
      <c r="DX88" s="1747"/>
      <c r="DY88" s="1748"/>
      <c r="DZ88" s="1747"/>
      <c r="EA88" s="1747"/>
      <c r="EB88" s="1747"/>
      <c r="EC88" s="1750"/>
      <c r="ED88" s="1749"/>
      <c r="EE88" s="1747"/>
      <c r="EF88" s="1747"/>
      <c r="EG88" s="1750">
        <f t="shared" ref="EG88" si="689">EC87*1.02</f>
      </c>
      <c r="EH88" s="1749">
        <f t="shared" si="657"/>
      </c>
      <c r="EI88" s="1747">
        <f t="shared" si="658"/>
      </c>
      <c r="EJ88" s="1747">
        <f t="shared" si="659"/>
      </c>
      <c r="EK88" s="1748">
        <f t="shared" si="660"/>
      </c>
      <c r="EM88" s="2189"/>
      <c r="EN88" s="2189"/>
      <c r="EO88" s="2189"/>
      <c r="EP88" s="2189"/>
      <c r="EQ88" s="2189"/>
      <c r="ER88" s="2189"/>
      <c r="ES88" s="2189"/>
      <c r="ET88" s="2189"/>
      <c r="EU88" s="2189"/>
      <c r="EV88" s="2189"/>
      <c r="EW88" s="2189"/>
      <c r="EX88" s="2189"/>
      <c r="EY88" s="2189"/>
      <c r="EZ88" s="2189"/>
      <c r="FA88" s="2189"/>
      <c r="FB88" s="2189"/>
      <c r="FC88" s="2189"/>
      <c r="FD88" s="2189"/>
      <c r="FE88" s="2189"/>
      <c r="FF88" s="2189"/>
      <c r="FG88" s="2189"/>
      <c r="FH88" s="2189">
        <f t="shared" si="661"/>
      </c>
      <c r="FI88" s="2189">
        <f t="shared" si="662"/>
      </c>
      <c r="FJ88" s="2189">
        <f t="shared" si="663"/>
      </c>
      <c r="FK88" s="2189">
        <f t="shared" si="664"/>
      </c>
      <c r="FL88" s="2189">
        <f t="shared" si="665"/>
      </c>
      <c r="FM88" s="2189">
        <f t="shared" si="666"/>
      </c>
      <c r="FN88" s="2189">
        <f t="shared" si="683"/>
      </c>
      <c r="FO88" s="2189">
        <f t="shared" si="684"/>
      </c>
      <c r="FP88" s="2189">
        <f t="shared" si="688"/>
      </c>
      <c r="FQ88" s="2189">
        <f t="shared" si="667"/>
      </c>
      <c r="FR88" s="2189">
        <f t="shared" si="685"/>
      </c>
      <c r="FS88" s="2189">
        <f t="shared" si="668"/>
      </c>
      <c r="FT88" s="2189">
        <f t="shared" si="669"/>
      </c>
      <c r="FU88" s="2189">
        <f t="shared" si="670"/>
      </c>
      <c r="FV88" s="2189"/>
      <c r="FW88" s="2189"/>
      <c r="FX88" s="2189"/>
      <c r="FY88" s="2189"/>
      <c r="FZ88" s="2189"/>
      <c r="GA88" s="2189"/>
      <c r="GB88" s="2189"/>
      <c r="GC88" s="2189"/>
      <c r="GD88" s="2189"/>
      <c r="GE88" s="2189"/>
      <c r="GF88" s="2189"/>
      <c r="GG88" s="2189"/>
      <c r="GH88" s="2189"/>
      <c r="GI88" s="2189"/>
      <c r="GJ88" s="2189"/>
      <c r="GK88" s="2189"/>
      <c r="GL88" s="2189"/>
      <c r="GM88" s="2189"/>
      <c r="GN88" s="2189"/>
      <c r="GO88" s="2189"/>
      <c r="GP88" s="2189"/>
      <c r="GQ88" s="2189"/>
      <c r="GR88" s="2189"/>
      <c r="GS88" s="2189"/>
      <c r="GT88" s="2189"/>
      <c r="GU88" s="2189">
        <f t="shared" si="671"/>
      </c>
      <c r="GV88" s="2189">
        <f t="shared" si="672"/>
      </c>
      <c r="GW88" s="2189">
        <f t="shared" si="673"/>
      </c>
      <c r="GX88" s="2189">
        <f t="shared" si="674"/>
      </c>
      <c r="GY88" s="2189">
        <f t="shared" si="675"/>
      </c>
      <c r="GZ88" s="2189">
        <f t="shared" si="686"/>
      </c>
      <c r="HA88" s="2189">
        <f t="shared" si="676"/>
      </c>
      <c r="HB88" s="2189">
        <f t="shared" si="677"/>
      </c>
      <c r="HC88" s="2189">
        <f t="shared" si="678"/>
      </c>
      <c r="HD88" s="2189">
        <f t="shared" si="679"/>
      </c>
      <c r="HE88" s="2189">
        <f t="shared" si="680"/>
      </c>
      <c r="HF88" s="2189">
        <f t="shared" si="681"/>
      </c>
    </row>
    <row r="89" spans="1:214" s="1721" customFormat="1" ht="10.199999999999999">
      <c r="A89" s="1781" t="s">
        <v>1458</v>
      </c>
      <c r="B89" s="882"/>
      <c r="C89" s="882"/>
      <c r="D89" s="882"/>
      <c r="E89" s="883"/>
      <c r="F89" s="882"/>
      <c r="G89" s="882"/>
      <c r="H89" s="882"/>
      <c r="I89" s="883"/>
      <c r="J89" s="1728"/>
      <c r="K89" s="1728"/>
      <c r="L89" s="1728"/>
      <c r="M89" s="1729"/>
      <c r="N89" s="1728"/>
      <c r="O89" s="1728"/>
      <c r="P89" s="1728"/>
      <c r="Q89" s="1729"/>
      <c r="R89" s="1728"/>
      <c r="S89" s="1728"/>
      <c r="T89" s="1728"/>
      <c r="U89" s="1729"/>
      <c r="V89" s="1728"/>
      <c r="W89" s="1728"/>
      <c r="X89" s="1728"/>
      <c r="Y89" s="1729"/>
      <c r="Z89" s="1728"/>
      <c r="AA89" s="1728"/>
      <c r="AB89" s="1728"/>
      <c r="AC89" s="1729"/>
      <c r="AD89" s="1728"/>
      <c r="AE89" s="1728"/>
      <c r="AF89" s="1728"/>
      <c r="AG89" s="1729"/>
      <c r="AH89" s="1728"/>
      <c r="AI89" s="1728"/>
      <c r="AJ89" s="1728"/>
      <c r="AK89" s="1729"/>
      <c r="AL89" s="1728"/>
      <c r="AM89" s="1728"/>
      <c r="AN89" s="1728"/>
      <c r="AO89" s="1729"/>
      <c r="AP89" s="1728"/>
      <c r="AQ89" s="1728"/>
      <c r="AR89" s="1728"/>
      <c r="AS89" s="1729"/>
      <c r="AT89" s="1728"/>
      <c r="AU89" s="1728"/>
      <c r="AV89" s="1728"/>
      <c r="AW89" s="1729"/>
      <c r="AX89" s="1728"/>
      <c r="AY89" s="1728"/>
      <c r="AZ89" s="1728"/>
      <c r="BA89" s="1729"/>
      <c r="BB89" s="1728"/>
      <c r="BC89" s="1728"/>
      <c r="BD89" s="1728"/>
      <c r="BE89" s="1729"/>
      <c r="BF89" s="1728"/>
      <c r="BG89" s="1728"/>
      <c r="BH89" s="1728"/>
      <c r="BI89" s="1729"/>
      <c r="BJ89" s="1728"/>
      <c r="BK89" s="1728"/>
      <c r="BL89" s="1728"/>
      <c r="BM89" s="1729"/>
      <c r="BN89" s="1728"/>
      <c r="BO89" s="1728"/>
      <c r="BP89" s="1728"/>
      <c r="BQ89" s="1729"/>
      <c r="BR89" s="1728"/>
      <c r="BS89" s="1728"/>
      <c r="BT89" s="1728"/>
      <c r="BU89" s="1729"/>
      <c r="BV89" s="1728"/>
      <c r="BW89" s="1728"/>
      <c r="BX89" s="1728"/>
      <c r="BY89" s="1729"/>
      <c r="BZ89" s="1728"/>
      <c r="CA89" s="1728"/>
      <c r="CB89" s="1728"/>
      <c r="CC89" s="1729"/>
      <c r="CD89" s="1728"/>
      <c r="CE89" s="1728"/>
      <c r="CF89" s="1728"/>
      <c r="CG89" s="1729"/>
      <c r="CH89" s="1747">
        <v>4</v>
      </c>
      <c r="CI89" s="1747">
        <v>4</v>
      </c>
      <c r="CJ89" s="1747">
        <v>4</v>
      </c>
      <c r="CK89" s="1748">
        <v>4</v>
      </c>
      <c r="CL89" s="1747">
        <v>4</v>
      </c>
      <c r="CM89" s="1747">
        <v>4</v>
      </c>
      <c r="CN89" s="1747">
        <v>2</v>
      </c>
      <c r="CO89" s="1748">
        <v>1</v>
      </c>
      <c r="CP89" s="1747">
        <v>1</v>
      </c>
      <c r="CQ89" s="1747"/>
      <c r="CR89" s="1747"/>
      <c r="CS89" s="1748"/>
      <c r="CT89" s="1747"/>
      <c r="CU89" s="1747"/>
      <c r="CV89" s="1749">
        <v>7.2</v>
      </c>
      <c r="CW89" s="1748">
        <v>11</v>
      </c>
      <c r="CX89" s="1747">
        <v>8</v>
      </c>
      <c r="CY89" s="1747">
        <v>3.5</v>
      </c>
      <c r="CZ89" s="1747">
        <v>3</v>
      </c>
      <c r="DA89" s="1748">
        <v>6</v>
      </c>
      <c r="DB89" s="1747">
        <v>6</v>
      </c>
      <c r="DC89" s="1749">
        <v>5</v>
      </c>
      <c r="DD89" s="1747">
        <v>3</v>
      </c>
      <c r="DE89" s="1748">
        <v>6</v>
      </c>
      <c r="DF89" s="1747">
        <f>DF92*0.05</f>
      </c>
      <c r="DG89" s="1747">
        <v>1.5</v>
      </c>
      <c r="DH89" s="1747">
        <v>3</v>
      </c>
      <c r="DI89" s="1748">
        <v>3</v>
      </c>
      <c r="DJ89" s="1747">
        <f>DJ92*0.07</f>
      </c>
      <c r="DK89" s="1747">
        <v>3</v>
      </c>
      <c r="DL89" s="1747">
        <v>4</v>
      </c>
      <c r="DM89" s="1748">
        <v>3</v>
      </c>
      <c r="DN89" s="1747">
        <v>2</v>
      </c>
      <c r="DO89" s="1749">
        <v>8</v>
      </c>
      <c r="DP89" s="1747">
        <v>5</v>
      </c>
      <c r="DQ89" s="1748">
        <v>4</v>
      </c>
      <c r="DR89" s="1747">
        <v>3</v>
      </c>
      <c r="DS89" s="1749">
        <v>7</v>
      </c>
      <c r="DT89" s="1747">
        <v>3</v>
      </c>
      <c r="DU89" s="1748">
        <v>4</v>
      </c>
      <c r="DV89" s="1747">
        <v>2</v>
      </c>
      <c r="DW89" s="1749">
        <v>7</v>
      </c>
      <c r="DX89" s="1747">
        <v>3</v>
      </c>
      <c r="DY89" s="1748">
        <v>4</v>
      </c>
      <c r="DZ89" s="1747">
        <v>2</v>
      </c>
      <c r="EA89" s="1749">
        <v>7</v>
      </c>
      <c r="EB89" s="1747">
        <v>3</v>
      </c>
      <c r="EC89" s="1748">
        <v>4</v>
      </c>
      <c r="ED89" s="1747">
        <v>2</v>
      </c>
      <c r="EE89" s="1749">
        <v>7</v>
      </c>
      <c r="EF89" s="1747">
        <v>3</v>
      </c>
      <c r="EG89" s="1748">
        <v>4</v>
      </c>
      <c r="EH89" s="1747">
        <v>2</v>
      </c>
      <c r="EI89" s="1749">
        <v>7</v>
      </c>
      <c r="EJ89" s="1747">
        <v>3</v>
      </c>
      <c r="EK89" s="1748">
        <v>4</v>
      </c>
      <c r="EM89" s="2189">
        <f t="shared" si="557"/>
      </c>
      <c r="EN89" s="2189">
        <f t="shared" si="558"/>
      </c>
      <c r="EO89" s="2189">
        <f t="shared" si="559"/>
      </c>
      <c r="EP89" s="2189">
        <f t="shared" si="560"/>
      </c>
      <c r="EQ89" s="2189">
        <f t="shared" si="561"/>
      </c>
      <c r="ER89" s="2189">
        <f t="shared" si="562"/>
      </c>
      <c r="ES89" s="2189">
        <f t="shared" si="563"/>
      </c>
      <c r="ET89" s="2189">
        <f t="shared" si="564"/>
      </c>
      <c r="EU89" s="2189">
        <f t="shared" si="565"/>
      </c>
      <c r="EV89" s="2189">
        <f t="shared" si="566"/>
      </c>
      <c r="EW89" s="2189">
        <f t="shared" si="567"/>
      </c>
      <c r="EX89" s="2189">
        <f t="shared" si="568"/>
      </c>
      <c r="EY89" s="2189">
        <f t="shared" si="569"/>
      </c>
      <c r="EZ89" s="2189">
        <f t="shared" si="570"/>
      </c>
      <c r="FA89" s="2189">
        <f t="shared" si="571"/>
      </c>
      <c r="FB89" s="2189">
        <f t="shared" si="572"/>
      </c>
      <c r="FC89" s="2189">
        <f t="shared" si="573"/>
      </c>
      <c r="FD89" s="2189">
        <f t="shared" si="574"/>
      </c>
      <c r="FE89" s="2189">
        <f t="shared" si="575"/>
      </c>
      <c r="FF89" s="2189">
        <f t="shared" si="576"/>
      </c>
      <c r="FG89" s="2189"/>
      <c r="FH89" s="2189">
        <f t="shared" si="577"/>
      </c>
      <c r="FI89" s="2189">
        <f t="shared" si="578"/>
      </c>
      <c r="FJ89" s="2189">
        <f t="shared" si="579"/>
      </c>
      <c r="FK89" s="2189">
        <f t="shared" si="580"/>
      </c>
      <c r="FL89" s="2189">
        <f t="shared" si="581"/>
      </c>
      <c r="FM89" s="2189">
        <f t="shared" si="582"/>
      </c>
      <c r="FN89" s="2189">
        <f t="shared" si="583"/>
      </c>
      <c r="FO89" s="2189">
        <f t="shared" si="584"/>
      </c>
      <c r="FP89" s="2189">
        <f t="shared" si="585"/>
      </c>
      <c r="FQ89" s="2189">
        <f t="shared" si="586"/>
      </c>
      <c r="FR89" s="2189">
        <f>SUM(DV89:DY89)</f>
      </c>
      <c r="FS89" s="2189">
        <f>SUM(DZ89:EC89)</f>
      </c>
      <c r="FT89" s="2189">
        <f>SUM(ED89:EG89)</f>
      </c>
      <c r="FU89" s="2189">
        <f>SUM(EH89:EK89)</f>
      </c>
      <c r="FV89" s="2189"/>
      <c r="FW89" s="2189"/>
      <c r="FX89" s="2189"/>
      <c r="FY89" s="2189">
        <f>SUM(C89:F89)</f>
      </c>
      <c r="FZ89" s="2189">
        <f t="shared" ref="FZ89:FZ98" si="690">SUM(G89:J89)</f>
      </c>
      <c r="GA89" s="2189">
        <f t="shared" ref="GA89:GA98" si="691">SUM(K89:N89)</f>
      </c>
      <c r="GB89" s="2189">
        <f t="shared" ref="GB89:GB98" si="692">SUM(O89:R89)</f>
      </c>
      <c r="GC89" s="2189">
        <f t="shared" ref="GC89:GC98" si="693">SUM(S89:V89)</f>
      </c>
      <c r="GD89" s="2189">
        <f t="shared" ref="GD89:GD98" si="694">SUM(W89:Z89)</f>
      </c>
      <c r="GE89" s="2189">
        <f t="shared" ref="GE89:GE98" si="695">SUM(AA89:AD89)</f>
      </c>
      <c r="GF89" s="2189">
        <f t="shared" ref="GF89:GF98" si="696">SUM(AE89:AH89)</f>
      </c>
      <c r="GG89" s="2189">
        <f t="shared" ref="GG89:GG98" si="697">SUM(AI89:AL89)</f>
      </c>
      <c r="GH89" s="2189">
        <f t="shared" ref="GH89:GH98" si="698">SUM(AM89:AP89)</f>
      </c>
      <c r="GI89" s="2189">
        <f t="shared" ref="GI89:GI98" si="699">SUM(AQ89:AT89)</f>
      </c>
      <c r="GJ89" s="2189">
        <f t="shared" ref="GJ89:GJ98" si="700">SUM(AU89:AX89)</f>
      </c>
      <c r="GK89" s="2189">
        <f t="shared" ref="GK89:GK98" si="701">SUM(AY89:BB89)</f>
      </c>
      <c r="GL89" s="2189">
        <f t="shared" ref="GL89:GL98" si="702">SUM(BC89:BF89)</f>
      </c>
      <c r="GM89" s="2189">
        <f t="shared" ref="GM89:GM101" si="703">SUM(BG89:BJ89)</f>
      </c>
      <c r="GN89" s="2189">
        <f t="shared" ref="GN89:GN101" si="704">SUM(BK89:BN89)</f>
      </c>
      <c r="GO89" s="2189">
        <f t="shared" ref="GO89:GO101" si="705">SUM(BO89:BR89)</f>
      </c>
      <c r="GP89" s="2189">
        <f t="shared" ref="GP89:GP101" si="706">SUM(BS89:BV89)</f>
      </c>
      <c r="GQ89" s="2189">
        <f t="shared" ref="GQ89:GQ101" si="707">SUM(BW89:BZ89)</f>
      </c>
      <c r="GR89" s="2189">
        <f t="shared" ref="GR89:GR101" si="708">SUM(CA89:CD89)</f>
      </c>
      <c r="GS89" s="2189">
        <f t="shared" ref="GS89:GS101" si="709">SUM(CE89:CH89)</f>
      </c>
      <c r="GT89" s="2189">
        <f t="shared" ref="GT89:GT101" si="710">SUM(CI89:CL89)</f>
      </c>
      <c r="GU89" s="2189">
        <f>SUM(CM89:CP89)</f>
      </c>
      <c r="GV89" s="2189">
        <f>SUM(CQ89:CT89)</f>
      </c>
      <c r="GW89" s="2189">
        <f>SUM(CU89:CX89)</f>
      </c>
      <c r="GX89" s="2189">
        <f>SUM(CY89:DB89)</f>
      </c>
      <c r="GY89" s="2189">
        <f>SUM(DC89:DF89)</f>
      </c>
      <c r="GZ89" s="2189">
        <f>SUM(DG89:DJ89)</f>
      </c>
      <c r="HA89" s="2189">
        <f t="shared" si="676"/>
      </c>
      <c r="HB89" s="2189">
        <f>SUM(DO89:DR89)</f>
      </c>
      <c r="HC89" s="2189">
        <f>SUM(DS89:DV89)</f>
      </c>
      <c r="HD89" s="2189">
        <f>SUM(DW89:DZ89)</f>
      </c>
      <c r="HE89" s="2189">
        <f>SUM(EA89:ED89)</f>
      </c>
      <c r="HF89" s="2189">
        <f>SUM(EE89:EH89)</f>
      </c>
    </row>
    <row r="90" spans="1:214" s="1721" customFormat="1" ht="10.199999999999999">
      <c r="A90" s="1782" t="s">
        <v>1467</v>
      </c>
      <c r="B90" s="882"/>
      <c r="C90" s="882"/>
      <c r="D90" s="882"/>
      <c r="E90" s="883"/>
      <c r="F90" s="882"/>
      <c r="G90" s="882"/>
      <c r="H90" s="882"/>
      <c r="I90" s="883"/>
      <c r="J90" s="1728"/>
      <c r="K90" s="1728"/>
      <c r="L90" s="1728"/>
      <c r="M90" s="1729"/>
      <c r="N90" s="1728"/>
      <c r="O90" s="1728"/>
      <c r="P90" s="1728"/>
      <c r="Q90" s="1729"/>
      <c r="R90" s="1728"/>
      <c r="S90" s="1728"/>
      <c r="T90" s="1728"/>
      <c r="U90" s="1729"/>
      <c r="V90" s="1728"/>
      <c r="W90" s="1728"/>
      <c r="X90" s="1728"/>
      <c r="Y90" s="1729"/>
      <c r="Z90" s="1728"/>
      <c r="AA90" s="1728"/>
      <c r="AB90" s="1728"/>
      <c r="AC90" s="1729"/>
      <c r="AD90" s="1728"/>
      <c r="AE90" s="1728"/>
      <c r="AF90" s="1728"/>
      <c r="AG90" s="1729"/>
      <c r="AH90" s="1728"/>
      <c r="AI90" s="1728"/>
      <c r="AJ90" s="1728"/>
      <c r="AK90" s="1729"/>
      <c r="AL90" s="1728"/>
      <c r="AM90" s="1728"/>
      <c r="AN90" s="1728"/>
      <c r="AO90" s="1729"/>
      <c r="AP90" s="1728"/>
      <c r="AQ90" s="1728"/>
      <c r="AR90" s="1728"/>
      <c r="AS90" s="1729"/>
      <c r="AT90" s="1728"/>
      <c r="AU90" s="1728"/>
      <c r="AV90" s="1728"/>
      <c r="AW90" s="1729"/>
      <c r="AX90" s="1728"/>
      <c r="AY90" s="1728"/>
      <c r="AZ90" s="1728"/>
      <c r="BA90" s="1729"/>
      <c r="BB90" s="1728"/>
      <c r="BC90" s="1728"/>
      <c r="BD90" s="1728"/>
      <c r="BE90" s="1729"/>
      <c r="BF90" s="1728"/>
      <c r="BG90" s="1728"/>
      <c r="BH90" s="1728"/>
      <c r="BI90" s="1729"/>
      <c r="BJ90" s="1728"/>
      <c r="BK90" s="1728"/>
      <c r="BL90" s="1728"/>
      <c r="BM90" s="1729"/>
      <c r="BN90" s="1728"/>
      <c r="BO90" s="1728"/>
      <c r="BP90" s="1728"/>
      <c r="BQ90" s="1729"/>
      <c r="BR90" s="1728"/>
      <c r="BS90" s="1728"/>
      <c r="BT90" s="1728"/>
      <c r="BU90" s="1729"/>
      <c r="BV90" s="1728"/>
      <c r="BW90" s="1728"/>
      <c r="BX90" s="1728"/>
      <c r="BY90" s="1729"/>
      <c r="BZ90" s="1728"/>
      <c r="CA90" s="1728"/>
      <c r="CB90" s="1728"/>
      <c r="CC90" s="1729"/>
      <c r="CD90" s="1728"/>
      <c r="CE90" s="1728"/>
      <c r="CF90" s="1728"/>
      <c r="CG90" s="1729"/>
      <c r="CH90" s="1747"/>
      <c r="CI90" s="1747"/>
      <c r="CJ90" s="1747"/>
      <c r="CK90" s="1748"/>
      <c r="CL90" s="1747"/>
      <c r="CM90" s="1747"/>
      <c r="CN90" s="1747"/>
      <c r="CO90" s="1748"/>
      <c r="CP90" s="1747"/>
      <c r="CQ90" s="1747"/>
      <c r="CR90" s="1747"/>
      <c r="CS90" s="1748"/>
      <c r="CT90" s="1747"/>
      <c r="CU90" s="1747"/>
      <c r="CV90" s="1747"/>
      <c r="CW90" s="1748"/>
      <c r="CX90" s="1747"/>
      <c r="CY90" s="1747"/>
      <c r="CZ90" s="1747"/>
      <c r="DA90" s="1748"/>
      <c r="DB90" s="1747"/>
      <c r="DC90" s="1747"/>
      <c r="DD90" s="1747"/>
      <c r="DE90" s="1748"/>
      <c r="DF90" s="1747"/>
      <c r="DG90" s="1747"/>
      <c r="DH90" s="1747"/>
      <c r="DI90" s="1748"/>
      <c r="DJ90" s="1747"/>
      <c r="DK90" s="1747"/>
      <c r="DL90" s="1747"/>
      <c r="DM90" s="1748"/>
      <c r="DN90" s="1747"/>
      <c r="DO90" s="1747"/>
      <c r="DP90" s="1747"/>
      <c r="DQ90" s="1748"/>
      <c r="DR90" s="1747"/>
      <c r="DS90" s="1747"/>
      <c r="DT90" s="1747"/>
      <c r="DU90" s="1750"/>
      <c r="DV90" s="1747"/>
      <c r="DW90" s="1747"/>
      <c r="DX90" s="1747"/>
      <c r="DY90" s="1750"/>
      <c r="DZ90" s="1747"/>
      <c r="EA90" s="1747"/>
      <c r="EB90" s="1747"/>
      <c r="EC90" s="1750"/>
      <c r="ED90" s="1747"/>
      <c r="EE90" s="1747"/>
      <c r="EF90" s="1747"/>
      <c r="EG90" s="1750"/>
      <c r="EH90" s="1747"/>
      <c r="EI90" s="1747"/>
      <c r="EJ90" s="1747"/>
      <c r="EK90" s="1750">
        <v>30.5</v>
      </c>
      <c r="EM90" s="2189">
        <f t="shared" si="557"/>
      </c>
      <c r="EN90" s="2189">
        <f t="shared" si="558"/>
      </c>
      <c r="EO90" s="2189">
        <f t="shared" si="559"/>
      </c>
      <c r="EP90" s="2189">
        <f t="shared" si="560"/>
      </c>
      <c r="EQ90" s="2189">
        <f t="shared" si="561"/>
      </c>
      <c r="ER90" s="2189">
        <f t="shared" si="562"/>
      </c>
      <c r="ES90" s="2189">
        <f t="shared" si="563"/>
      </c>
      <c r="ET90" s="2189">
        <f t="shared" si="564"/>
      </c>
      <c r="EU90" s="2189">
        <f t="shared" si="565"/>
      </c>
      <c r="EV90" s="2189">
        <f t="shared" si="566"/>
      </c>
      <c r="EW90" s="2189">
        <f t="shared" si="567"/>
      </c>
      <c r="EX90" s="2189">
        <f t="shared" si="568"/>
      </c>
      <c r="EY90" s="2189">
        <f t="shared" si="569"/>
      </c>
      <c r="EZ90" s="2189">
        <f t="shared" si="570"/>
      </c>
      <c r="FA90" s="2189">
        <f t="shared" si="571"/>
      </c>
      <c r="FB90" s="2189">
        <f t="shared" si="572"/>
      </c>
      <c r="FC90" s="2189">
        <f t="shared" si="573"/>
      </c>
      <c r="FD90" s="2189">
        <f t="shared" si="574"/>
      </c>
      <c r="FE90" s="2189">
        <f t="shared" si="575"/>
      </c>
      <c r="FF90" s="2189">
        <f t="shared" si="576"/>
      </c>
      <c r="FG90" s="2189"/>
      <c r="FH90" s="2189">
        <f t="shared" si="577"/>
      </c>
      <c r="FI90" s="2189">
        <f t="shared" si="578"/>
      </c>
      <c r="FJ90" s="2189">
        <f t="shared" si="579"/>
      </c>
      <c r="FK90" s="2189">
        <f t="shared" si="580"/>
      </c>
      <c r="FL90" s="2189">
        <f t="shared" si="581"/>
      </c>
      <c r="FM90" s="2189">
        <f t="shared" si="582"/>
      </c>
      <c r="FN90" s="2189">
        <f>SUM(DF90:DI90)</f>
      </c>
      <c r="FO90" s="2189">
        <f t="shared" si="584"/>
      </c>
      <c r="FP90" s="2189">
        <f t="shared" si="585"/>
      </c>
      <c r="FQ90" s="2189">
        <f t="shared" si="586"/>
      </c>
      <c r="FR90" s="2189">
        <f>SUM(DV90:DY90)</f>
      </c>
      <c r="FS90" s="2189">
        <f>SUM(DZ90:EC90)</f>
      </c>
      <c r="FT90" s="2189">
        <f>SUM(ED90:EG90)</f>
      </c>
      <c r="FU90" s="2189">
        <f>SUM(EH90:EK90)</f>
      </c>
      <c r="FV90" s="2189"/>
      <c r="FW90" s="2189"/>
      <c r="FX90" s="2189"/>
      <c r="FY90" s="2189">
        <f>SUM(C90:F90)</f>
      </c>
      <c r="FZ90" s="2189">
        <f t="shared" si="690"/>
      </c>
      <c r="GA90" s="2189">
        <f t="shared" si="691"/>
      </c>
      <c r="GB90" s="2189">
        <f t="shared" si="692"/>
      </c>
      <c r="GC90" s="2189">
        <f t="shared" si="693"/>
      </c>
      <c r="GD90" s="2189">
        <f t="shared" si="694"/>
      </c>
      <c r="GE90" s="2189">
        <f t="shared" si="695"/>
      </c>
      <c r="GF90" s="2189">
        <f t="shared" si="696"/>
      </c>
      <c r="GG90" s="2189">
        <f t="shared" si="697"/>
      </c>
      <c r="GH90" s="2189">
        <f t="shared" si="698"/>
      </c>
      <c r="GI90" s="2189">
        <f t="shared" si="699"/>
      </c>
      <c r="GJ90" s="2189">
        <f t="shared" si="700"/>
      </c>
      <c r="GK90" s="2189">
        <f t="shared" si="701"/>
      </c>
      <c r="GL90" s="2189">
        <f t="shared" si="702"/>
      </c>
      <c r="GM90" s="2189">
        <f t="shared" si="703"/>
      </c>
      <c r="GN90" s="2189">
        <f t="shared" si="704"/>
      </c>
      <c r="GO90" s="2189">
        <f t="shared" si="705"/>
      </c>
      <c r="GP90" s="2189">
        <f t="shared" si="706"/>
      </c>
      <c r="GQ90" s="2189">
        <f t="shared" si="707"/>
      </c>
      <c r="GR90" s="2189">
        <f t="shared" si="708"/>
      </c>
      <c r="GS90" s="2189">
        <f t="shared" si="709"/>
      </c>
      <c r="GT90" s="2189">
        <f t="shared" si="710"/>
      </c>
      <c r="GU90" s="2189">
        <f>SUM(CM90:CP90)</f>
      </c>
      <c r="GV90" s="2189">
        <f>SUM(CQ90:CT90)</f>
      </c>
      <c r="GW90" s="2189">
        <f>SUM(CU90:CX90)</f>
      </c>
      <c r="GX90" s="2189">
        <f>SUM(CY90:DB90)</f>
      </c>
      <c r="GY90" s="2189">
        <f>SUM(DC90:DF90)</f>
      </c>
      <c r="GZ90" s="2189">
        <f>SUM(DG90:DJ90)</f>
      </c>
      <c r="HA90" s="2189">
        <f t="shared" si="676"/>
      </c>
      <c r="HB90" s="2189">
        <f>SUM(DO90:DR90)</f>
      </c>
      <c r="HC90" s="2189">
        <f>SUM(DS90:DV90)</f>
      </c>
      <c r="HD90" s="2189">
        <f>SUM(DW90:DZ90)</f>
      </c>
      <c r="HE90" s="2189">
        <f>SUM(EA90:ED90)</f>
      </c>
      <c r="HF90" s="2189">
        <f>SUM(EE90:EH90)</f>
      </c>
    </row>
    <row r="91" spans="1:214" s="1721" customFormat="1" ht="10.8" thickBot="1">
      <c r="A91" s="1783" t="s">
        <v>140</v>
      </c>
      <c r="B91" s="1730"/>
      <c r="C91" s="1730"/>
      <c r="D91" s="1730"/>
      <c r="E91" s="1731"/>
      <c r="F91" s="1730"/>
      <c r="G91" s="1730"/>
      <c r="H91" s="1730"/>
      <c r="I91" s="1731"/>
      <c r="J91" s="1732"/>
      <c r="K91" s="1732"/>
      <c r="L91" s="1732"/>
      <c r="M91" s="1733"/>
      <c r="N91" s="1732"/>
      <c r="O91" s="1732"/>
      <c r="P91" s="1732"/>
      <c r="Q91" s="1733"/>
      <c r="R91" s="1732"/>
      <c r="S91" s="1732"/>
      <c r="T91" s="1732"/>
      <c r="U91" s="1733"/>
      <c r="V91" s="1732"/>
      <c r="W91" s="1732"/>
      <c r="X91" s="1732"/>
      <c r="Y91" s="1733"/>
      <c r="Z91" s="1732"/>
      <c r="AA91" s="1732"/>
      <c r="AB91" s="1732"/>
      <c r="AC91" s="1733"/>
      <c r="AD91" s="1732"/>
      <c r="AE91" s="1732"/>
      <c r="AF91" s="1732"/>
      <c r="AG91" s="1733"/>
      <c r="AH91" s="1732"/>
      <c r="AI91" s="1732"/>
      <c r="AJ91" s="1732"/>
      <c r="AK91" s="1733"/>
      <c r="AL91" s="1732"/>
      <c r="AM91" s="1732"/>
      <c r="AN91" s="1732"/>
      <c r="AO91" s="1733"/>
      <c r="AP91" s="1732"/>
      <c r="AQ91" s="1732"/>
      <c r="AR91" s="1732"/>
      <c r="AS91" s="1733"/>
      <c r="AT91" s="1732"/>
      <c r="AU91" s="1732"/>
      <c r="AV91" s="1732"/>
      <c r="AW91" s="1733"/>
      <c r="AX91" s="1732"/>
      <c r="AY91" s="1732"/>
      <c r="AZ91" s="1732"/>
      <c r="BA91" s="1733"/>
      <c r="BB91" s="1732"/>
      <c r="BC91" s="1732"/>
      <c r="BD91" s="1732"/>
      <c r="BE91" s="1733"/>
      <c r="BF91" s="1732"/>
      <c r="BG91" s="1732"/>
      <c r="BH91" s="1732"/>
      <c r="BI91" s="1733"/>
      <c r="BJ91" s="1732"/>
      <c r="BK91" s="1732"/>
      <c r="BL91" s="1732"/>
      <c r="BM91" s="1733"/>
      <c r="BN91" s="1732"/>
      <c r="BO91" s="1732"/>
      <c r="BP91" s="1732"/>
      <c r="BQ91" s="1733"/>
      <c r="BR91" s="1732"/>
      <c r="BS91" s="1732"/>
      <c r="BT91" s="1732"/>
      <c r="BU91" s="1733"/>
      <c r="BV91" s="1732"/>
      <c r="BW91" s="1732"/>
      <c r="BX91" s="1732"/>
      <c r="BY91" s="1733"/>
      <c r="BZ91" s="1732"/>
      <c r="CA91" s="1732"/>
      <c r="CB91" s="1732"/>
      <c r="CC91" s="1733"/>
      <c r="CD91" s="1732"/>
      <c r="CE91" s="1732"/>
      <c r="CF91" s="1732"/>
      <c r="CG91" s="1733"/>
      <c r="CH91" s="1735">
        <f t="shared" ref="CH91:DH91" si="711">CH92-SUM(CH73:CH90)</f>
      </c>
      <c r="CI91" s="1735">
        <f t="shared" si="711"/>
      </c>
      <c r="CJ91" s="1735">
        <f t="shared" si="711"/>
      </c>
      <c r="CK91" s="1736">
        <f t="shared" si="711"/>
      </c>
      <c r="CL91" s="1735">
        <f t="shared" si="711"/>
      </c>
      <c r="CM91" s="1735">
        <f t="shared" si="711"/>
      </c>
      <c r="CN91" s="1735">
        <f t="shared" si="711"/>
      </c>
      <c r="CO91" s="1736">
        <f t="shared" si="711"/>
      </c>
      <c r="CP91" s="1735">
        <f t="shared" si="711"/>
      </c>
      <c r="CQ91" s="1735">
        <f t="shared" si="711"/>
      </c>
      <c r="CR91" s="1735">
        <f t="shared" si="711"/>
      </c>
      <c r="CS91" s="1736">
        <f t="shared" si="711"/>
      </c>
      <c r="CT91" s="1735">
        <f t="shared" si="711"/>
      </c>
      <c r="CU91" s="1735">
        <f t="shared" si="711"/>
      </c>
      <c r="CV91" s="1735">
        <f t="shared" si="711"/>
      </c>
      <c r="CW91" s="1736">
        <f t="shared" si="711"/>
      </c>
      <c r="CX91" s="1735">
        <f t="shared" si="711"/>
      </c>
      <c r="CY91" s="1735">
        <f t="shared" si="711"/>
      </c>
      <c r="CZ91" s="1735">
        <f t="shared" si="711"/>
      </c>
      <c r="DA91" s="1736">
        <f t="shared" si="711"/>
      </c>
      <c r="DB91" s="1735">
        <f t="shared" si="711"/>
      </c>
      <c r="DC91" s="1735">
        <f t="shared" si="711"/>
      </c>
      <c r="DD91" s="1735">
        <f t="shared" si="711"/>
      </c>
      <c r="DE91" s="2674">
        <f t="shared" si="711"/>
      </c>
      <c r="DF91" s="2675">
        <f t="shared" si="711"/>
      </c>
      <c r="DG91" s="1735">
        <f t="shared" si="711"/>
      </c>
      <c r="DH91" s="1735">
        <f t="shared" si="711"/>
      </c>
      <c r="DI91" s="2674">
        <f>DI92-SUM(DI73:DI90)</f>
      </c>
      <c r="DJ91" s="2675">
        <f t="shared" ref="DJ91:DP91" si="712">DJ92-SUM(DJ73:DJ90)</f>
      </c>
      <c r="DK91" s="1735">
        <f t="shared" si="712"/>
      </c>
      <c r="DL91" s="1735">
        <f t="shared" si="712"/>
      </c>
      <c r="DM91" s="1735">
        <f>DM92-SUM(DM73:DM90)</f>
      </c>
      <c r="DN91" s="3315">
        <f t="shared" si="712"/>
      </c>
      <c r="DO91" s="1735">
        <f t="shared" si="712"/>
      </c>
      <c r="DP91" s="1735">
        <f t="shared" si="712"/>
      </c>
      <c r="DQ91" s="1769">
        <v>0.5</v>
      </c>
      <c r="DR91" s="1768">
        <v>0.5</v>
      </c>
      <c r="DS91" s="1768">
        <v>0.5</v>
      </c>
      <c r="DT91" s="1768">
        <v>0.5</v>
      </c>
      <c r="DU91" s="1769">
        <v>0.5</v>
      </c>
      <c r="DV91" s="1768">
        <v>0.5</v>
      </c>
      <c r="DW91" s="1768">
        <v>0.5</v>
      </c>
      <c r="DX91" s="1768">
        <v>0.5</v>
      </c>
      <c r="DY91" s="1769">
        <v>0.5</v>
      </c>
      <c r="DZ91" s="1768">
        <v>0.5</v>
      </c>
      <c r="EA91" s="1768">
        <v>0.5</v>
      </c>
      <c r="EB91" s="1768">
        <v>0.5</v>
      </c>
      <c r="EC91" s="1769">
        <v>0.5</v>
      </c>
      <c r="ED91" s="1768">
        <v>0.5</v>
      </c>
      <c r="EE91" s="1768">
        <v>0.5</v>
      </c>
      <c r="EF91" s="1768">
        <v>0.5</v>
      </c>
      <c r="EG91" s="1769">
        <v>0.5</v>
      </c>
      <c r="EH91" s="1768">
        <v>0.5</v>
      </c>
      <c r="EI91" s="1768">
        <v>0.5</v>
      </c>
      <c r="EJ91" s="1768">
        <v>0.5</v>
      </c>
      <c r="EK91" s="1769">
        <v>0.5</v>
      </c>
      <c r="EM91" s="2189">
        <f t="shared" si="557"/>
      </c>
      <c r="EN91" s="2189">
        <f t="shared" si="558"/>
      </c>
      <c r="EO91" s="2189">
        <f t="shared" si="559"/>
      </c>
      <c r="EP91" s="2189">
        <f t="shared" si="560"/>
      </c>
      <c r="EQ91" s="2189">
        <f t="shared" si="561"/>
      </c>
      <c r="ER91" s="2189">
        <f t="shared" si="562"/>
      </c>
      <c r="ES91" s="2189">
        <f t="shared" si="563"/>
      </c>
      <c r="ET91" s="2189">
        <f t="shared" si="564"/>
      </c>
      <c r="EU91" s="2189">
        <f t="shared" si="565"/>
      </c>
      <c r="EV91" s="2189">
        <f t="shared" si="566"/>
      </c>
      <c r="EW91" s="2189">
        <f t="shared" si="567"/>
      </c>
      <c r="EX91" s="2189">
        <f t="shared" si="568"/>
      </c>
      <c r="EY91" s="2189">
        <f t="shared" si="569"/>
      </c>
      <c r="EZ91" s="2189">
        <f t="shared" si="570"/>
      </c>
      <c r="FA91" s="2189">
        <f t="shared" si="571"/>
      </c>
      <c r="FB91" s="2189">
        <f t="shared" si="572"/>
      </c>
      <c r="FC91" s="2189">
        <f t="shared" si="573"/>
      </c>
      <c r="FD91" s="2189">
        <f t="shared" si="574"/>
      </c>
      <c r="FE91" s="2189">
        <f t="shared" si="575"/>
      </c>
      <c r="FF91" s="2189">
        <f t="shared" si="576"/>
      </c>
      <c r="FG91" s="2189"/>
      <c r="FH91" s="2189">
        <f t="shared" si="577"/>
      </c>
      <c r="FI91" s="2189">
        <f t="shared" si="578"/>
      </c>
      <c r="FJ91" s="2189">
        <f t="shared" si="579"/>
      </c>
      <c r="FK91" s="2189">
        <f t="shared" si="580"/>
      </c>
      <c r="FL91" s="2189">
        <f t="shared" si="581"/>
      </c>
      <c r="FM91" s="2189">
        <f t="shared" si="582"/>
      </c>
      <c r="FN91" s="2189">
        <f t="shared" si="583"/>
      </c>
      <c r="FO91" s="2189">
        <f t="shared" si="584"/>
      </c>
      <c r="FP91" s="2189">
        <f t="shared" si="585"/>
      </c>
      <c r="FQ91" s="2189">
        <f t="shared" si="586"/>
      </c>
      <c r="FR91" s="2189">
        <f>SUM(DV91:DY91)</f>
      </c>
      <c r="FS91" s="2189">
        <f>SUM(DZ91:EC91)</f>
      </c>
      <c r="FT91" s="2189">
        <f>SUM(ED91:EG91)</f>
      </c>
      <c r="FU91" s="2189">
        <f>SUM(EH91:EK91)</f>
      </c>
      <c r="FV91" s="2189"/>
      <c r="FW91" s="2189"/>
      <c r="FX91" s="2189"/>
      <c r="FY91" s="2189">
        <f>SUM(C91:F91)</f>
      </c>
      <c r="FZ91" s="2189">
        <f t="shared" si="690"/>
      </c>
      <c r="GA91" s="2189">
        <f t="shared" si="691"/>
      </c>
      <c r="GB91" s="2189">
        <f t="shared" si="692"/>
      </c>
      <c r="GC91" s="2189">
        <f t="shared" si="693"/>
      </c>
      <c r="GD91" s="2189">
        <f t="shared" si="694"/>
      </c>
      <c r="GE91" s="2189">
        <f t="shared" si="695"/>
      </c>
      <c r="GF91" s="2189">
        <f t="shared" si="696"/>
      </c>
      <c r="GG91" s="2189">
        <f t="shared" si="697"/>
      </c>
      <c r="GH91" s="2189">
        <f t="shared" si="698"/>
      </c>
      <c r="GI91" s="2189">
        <f t="shared" si="699"/>
      </c>
      <c r="GJ91" s="2189">
        <f t="shared" si="700"/>
      </c>
      <c r="GK91" s="2189">
        <f t="shared" si="701"/>
      </c>
      <c r="GL91" s="2189">
        <f t="shared" si="702"/>
      </c>
      <c r="GM91" s="2189">
        <f t="shared" si="703"/>
      </c>
      <c r="GN91" s="2189">
        <f t="shared" si="704"/>
      </c>
      <c r="GO91" s="2189">
        <f t="shared" si="705"/>
      </c>
      <c r="GP91" s="2189">
        <f t="shared" si="706"/>
      </c>
      <c r="GQ91" s="2189">
        <f t="shared" si="707"/>
      </c>
      <c r="GR91" s="2189">
        <f t="shared" si="708"/>
      </c>
      <c r="GS91" s="2189">
        <f t="shared" si="709"/>
      </c>
      <c r="GT91" s="2189">
        <f t="shared" si="710"/>
      </c>
      <c r="GU91" s="2189">
        <f>SUM(CM91:CP91)</f>
      </c>
      <c r="GV91" s="2189">
        <f>SUM(CQ91:CT91)</f>
      </c>
      <c r="GW91" s="2189">
        <f>SUM(CU91:CX91)</f>
      </c>
      <c r="GX91" s="2189">
        <f>SUM(CY91:DB91)</f>
      </c>
      <c r="GY91" s="2189">
        <f>SUM(DC91:DF91)</f>
      </c>
      <c r="GZ91" s="2189">
        <f>SUM(DG91:DJ91)</f>
      </c>
      <c r="HA91" s="2189">
        <f t="shared" si="676"/>
      </c>
      <c r="HB91" s="2189">
        <f>SUM(DO91:DR91)</f>
      </c>
      <c r="HC91" s="2189">
        <f>SUM(DS91:DV91)</f>
      </c>
      <c r="HD91" s="2189">
        <f>SUM(DW91:DZ91)</f>
      </c>
      <c r="HE91" s="2189">
        <f>SUM(EA91:ED91)</f>
      </c>
      <c r="HF91" s="2189">
        <f>SUM(EE91:EH91)</f>
      </c>
    </row>
    <row r="92" spans="1:214" s="11" customFormat="1" ht="11.25" customHeight="1">
      <c r="A92" s="1" t="s">
        <v>84</v>
      </c>
      <c r="B92" s="65"/>
      <c r="C92" s="65"/>
      <c r="D92" s="65"/>
      <c r="E92" s="177"/>
      <c r="F92" s="65"/>
      <c r="G92" s="65"/>
      <c r="H92" s="65"/>
      <c r="I92" s="177"/>
      <c r="J92" s="65"/>
      <c r="K92" s="65"/>
      <c r="L92" s="65"/>
      <c r="M92" s="177"/>
      <c r="N92" s="65"/>
      <c r="O92" s="65"/>
      <c r="P92" s="65"/>
      <c r="Q92" s="177"/>
      <c r="R92" s="65"/>
      <c r="S92" s="65"/>
      <c r="T92" s="65"/>
      <c r="U92" s="177"/>
      <c r="V92" s="65"/>
      <c r="W92" s="65"/>
      <c r="X92" s="65"/>
      <c r="Y92" s="177"/>
      <c r="Z92" s="34"/>
      <c r="AA92" s="34"/>
      <c r="AB92" s="34"/>
      <c r="AC92" s="173"/>
      <c r="AD92" s="34"/>
      <c r="AE92" s="34"/>
      <c r="AF92" s="34"/>
      <c r="AG92" s="173"/>
      <c r="AH92" s="34"/>
      <c r="AI92" s="34"/>
      <c r="AJ92" s="34"/>
      <c r="AK92" s="173"/>
      <c r="AL92" s="34"/>
      <c r="AM92" s="34"/>
      <c r="AN92" s="34"/>
      <c r="AO92" s="173"/>
      <c r="AP92" s="34"/>
      <c r="AQ92" s="34"/>
      <c r="AR92" s="34"/>
      <c r="AS92" s="173"/>
      <c r="AT92" s="34"/>
      <c r="AU92" s="34"/>
      <c r="AV92" s="69">
        <v>0.27</v>
      </c>
      <c r="AW92" s="220">
        <v>1.119</v>
      </c>
      <c r="AX92" s="69">
        <v>2.3149999999999999</v>
      </c>
      <c r="AY92" s="69">
        <v>1.7030000000000001</v>
      </c>
      <c r="AZ92" s="69">
        <v>0.71699999999999997</v>
      </c>
      <c r="BA92" s="220">
        <v>6.8920000000000003</v>
      </c>
      <c r="BB92" s="69">
        <v>4.3630000000000004</v>
      </c>
      <c r="BC92" s="69">
        <v>3.7930000000000001</v>
      </c>
      <c r="BD92" s="69">
        <v>5.2080000000000002</v>
      </c>
      <c r="BE92" s="220">
        <v>7.367</v>
      </c>
      <c r="BF92" s="69">
        <v>8.7370000000000001</v>
      </c>
      <c r="BG92" s="69">
        <v>8.7520000000000007</v>
      </c>
      <c r="BH92" s="69">
        <v>8.3979999999999997</v>
      </c>
      <c r="BI92" s="220">
        <v>14.102</v>
      </c>
      <c r="BJ92" s="69">
        <v>16.234999999999999</v>
      </c>
      <c r="BK92" s="69">
        <v>18.646999999999998</v>
      </c>
      <c r="BL92" s="69">
        <v>20.338000000000001</v>
      </c>
      <c r="BM92" s="220">
        <v>17.073</v>
      </c>
      <c r="BN92" s="69">
        <v>37.043999999999997</v>
      </c>
      <c r="BO92" s="69">
        <v>35.064</v>
      </c>
      <c r="BP92" s="69">
        <v>26.027999999999999</v>
      </c>
      <c r="BQ92" s="220">
        <v>26.91</v>
      </c>
      <c r="BR92" s="69">
        <v>47.789000000000001</v>
      </c>
      <c r="BS92" s="69">
        <v>37.43</v>
      </c>
      <c r="BT92" s="69">
        <v>31.241</v>
      </c>
      <c r="BU92" s="220">
        <v>33.796999999999997</v>
      </c>
      <c r="BV92" s="69">
        <v>51.024999999999999</v>
      </c>
      <c r="BW92" s="69">
        <v>43.719000000000001</v>
      </c>
      <c r="BX92" s="69">
        <v>35.203000000000003</v>
      </c>
      <c r="BY92" s="220">
        <v>39.271999999999998</v>
      </c>
      <c r="BZ92" s="69">
        <v>74.468000000000004</v>
      </c>
      <c r="CA92" s="69">
        <v>61.17</v>
      </c>
      <c r="CB92" s="69">
        <v>47.533999999999999</v>
      </c>
      <c r="CC92" s="220">
        <v>48.045999999999999</v>
      </c>
      <c r="CD92" s="69">
        <v>74.778999999999996</v>
      </c>
      <c r="CE92" s="69">
        <v>51.192999999999998</v>
      </c>
      <c r="CF92" s="73">
        <v>40.399000000000001</v>
      </c>
      <c r="CG92" s="220">
        <v>45.512999999999998</v>
      </c>
      <c r="CH92" s="69">
        <v>78.290000000000006</v>
      </c>
      <c r="CI92" s="69">
        <v>50.762999999999998</v>
      </c>
      <c r="CJ92" s="69">
        <v>41.026000000000003</v>
      </c>
      <c r="CK92" s="220">
        <v>46.677</v>
      </c>
      <c r="CL92" s="69">
        <v>77.316000000000003</v>
      </c>
      <c r="CM92" s="69">
        <v>52.216999999999999</v>
      </c>
      <c r="CN92" s="69">
        <v>41.3</v>
      </c>
      <c r="CO92" s="220">
        <v>46.889000000000003</v>
      </c>
      <c r="CP92" s="804">
        <v>68.400000000000006</v>
      </c>
      <c r="CQ92" s="804">
        <v>36.834918999999999</v>
      </c>
      <c r="CR92" s="804">
        <v>33.787286999999999</v>
      </c>
      <c r="CS92" s="805">
        <v>46.583824</v>
      </c>
      <c r="CT92" s="804">
        <v>73.754638</v>
      </c>
      <c r="CU92" s="804">
        <v>36.728982999999999</v>
      </c>
      <c r="CV92" s="804">
        <v>37.551239000000002</v>
      </c>
      <c r="CW92" s="805">
        <v>41.693159999999999</v>
      </c>
      <c r="CX92" s="804">
        <v>87.5</v>
      </c>
      <c r="CY92" s="804">
        <v>55.262590000000003</v>
      </c>
      <c r="CZ92" s="804">
        <v>44.389116000000001</v>
      </c>
      <c r="DA92" s="805">
        <v>51.136678000000003</v>
      </c>
      <c r="DB92" s="804">
        <v>85</v>
      </c>
      <c r="DC92" s="804">
        <v>56.466360000000002</v>
      </c>
      <c r="DD92" s="804">
        <v>45.388769000000003</v>
      </c>
      <c r="DE92" s="805">
        <v>52.25311</v>
      </c>
      <c r="DF92" s="804">
        <v>72.138878000000005</v>
      </c>
      <c r="DG92" s="804">
        <v>55.442641999999999</v>
      </c>
      <c r="DH92" s="804">
        <v>44.545003999999999</v>
      </c>
      <c r="DI92" s="3164">
        <v>54.095734999999998</v>
      </c>
      <c r="DJ92" s="804">
        <v>80.190387000000001</v>
      </c>
      <c r="DK92" s="804">
        <v>52.590130000000002</v>
      </c>
      <c r="DL92" s="804">
        <v>45.2</v>
      </c>
      <c r="DM92" s="804">
        <v>56</v>
      </c>
      <c r="DN92" s="3316">
        <v>76.900000000000006</v>
      </c>
      <c r="DO92" s="804">
        <v>57.9</v>
      </c>
      <c r="DP92" s="3124">
        <f>46.4+3.5</f>
      </c>
      <c r="DQ92" s="231">
        <f>SUM(DQ73:DQ91)</f>
      </c>
      <c r="DR92" s="70">
        <f>SUM(DR73:DR91)</f>
      </c>
      <c r="DS92" s="70">
        <f t="shared" ref="DS92:DT92" si="713">SUM(DS73:DS91)</f>
      </c>
      <c r="DT92" s="70">
        <f t="shared" si="713"/>
      </c>
      <c r="DU92" s="231">
        <f>SUM(DU73:DU91)</f>
      </c>
      <c r="DV92" s="70">
        <f t="shared" ref="DV92:DX92" si="714">SUM(DV73:DV91)</f>
      </c>
      <c r="DW92" s="70">
        <f t="shared" si="714"/>
      </c>
      <c r="DX92" s="70">
        <f t="shared" si="714"/>
      </c>
      <c r="DY92" s="231">
        <f>SUM(DY73:DY91)</f>
      </c>
      <c r="DZ92" s="70">
        <f t="shared" ref="DZ92:EB92" si="715">SUM(DZ73:DZ91)</f>
      </c>
      <c r="EA92" s="70">
        <f t="shared" si="715"/>
      </c>
      <c r="EB92" s="70">
        <f t="shared" si="715"/>
      </c>
      <c r="EC92" s="231">
        <f>SUM(EC73:EC91)</f>
      </c>
      <c r="ED92" s="70">
        <f t="shared" ref="ED92:EF92" si="716">SUM(ED73:ED91)</f>
      </c>
      <c r="EE92" s="70">
        <f t="shared" si="716"/>
      </c>
      <c r="EF92" s="70">
        <f t="shared" si="716"/>
      </c>
      <c r="EG92" s="231">
        <f>SUM(EG73:EG91)</f>
      </c>
      <c r="EH92" s="70">
        <f t="shared" ref="EH92:EJ92" si="717">SUM(EH73:EH91)</f>
      </c>
      <c r="EI92" s="70">
        <f t="shared" si="717"/>
      </c>
      <c r="EJ92" s="70">
        <f t="shared" si="717"/>
      </c>
      <c r="EK92" s="231">
        <f>SUM(EK73:EK91)</f>
      </c>
      <c r="EM92" s="2184">
        <f>SUM(B92:E92)</f>
      </c>
      <c r="EN92" s="2184">
        <f>SUM(F92:I92)</f>
      </c>
      <c r="EO92" s="2184">
        <f>SUM(J92:M92)</f>
      </c>
      <c r="EP92" s="2184">
        <f>SUM(N92:Q92)</f>
      </c>
      <c r="EQ92" s="2184">
        <f>SUM(R92:U92)</f>
      </c>
      <c r="ER92" s="2184">
        <f>SUM(V92:Y92)</f>
      </c>
      <c r="ES92" s="2184">
        <f>SUM(Z92:AC92)</f>
      </c>
      <c r="ET92" s="2184">
        <f>SUM(AD92:AG92)</f>
      </c>
      <c r="EU92" s="2184">
        <f>SUM(AH92:AK92)</f>
      </c>
      <c r="EV92" s="2184">
        <f>SUM(AL92:AO92)</f>
      </c>
      <c r="EW92" s="2184">
        <f>SUM(AP92:AS92)</f>
      </c>
      <c r="EX92" s="2184">
        <f>SUM(AT92:AW92)</f>
      </c>
      <c r="EY92" s="2184">
        <f>SUM(AX92:BA92)</f>
      </c>
      <c r="EZ92" s="2184">
        <f>SUM(BB92:BE92)</f>
      </c>
      <c r="FA92" s="2184">
        <f>SUM(BF92:BI92)</f>
      </c>
      <c r="FB92" s="2184">
        <f>SUM(BJ92:BM92)</f>
      </c>
      <c r="FC92" s="2184">
        <f>SUM(BN92:BQ92)</f>
      </c>
      <c r="FD92" s="2184">
        <f>SUM(BR92:BU92)</f>
      </c>
      <c r="FE92" s="2184">
        <f>SUM(BV92:BY92)</f>
      </c>
      <c r="FF92" s="2184">
        <f>SUM(BZ92:CC92)</f>
      </c>
      <c r="FG92" s="2184">
        <f t="shared" ref="FG92" si="718">SUM(CD92:CG92)</f>
      </c>
      <c r="FH92" s="2184">
        <f t="shared" ref="FH92:FQ92" si="719">SUM(FH73:FH91)</f>
      </c>
      <c r="FI92" s="2184">
        <f t="shared" si="719"/>
      </c>
      <c r="FJ92" s="2184">
        <f t="shared" si="719"/>
      </c>
      <c r="FK92" s="2184">
        <f t="shared" si="719"/>
      </c>
      <c r="FL92" s="2184">
        <f t="shared" si="719"/>
      </c>
      <c r="FM92" s="2184">
        <f t="shared" si="719"/>
      </c>
      <c r="FN92" s="2184">
        <f t="shared" si="719"/>
      </c>
      <c r="FO92" s="2184">
        <f t="shared" si="719"/>
      </c>
      <c r="FP92" s="2184">
        <f t="shared" si="719"/>
      </c>
      <c r="FQ92" s="2184">
        <f t="shared" si="719"/>
      </c>
      <c r="FR92" s="2184">
        <f t="shared" ref="FR92:FU92" si="720">SUM(FR73:FR91)</f>
      </c>
      <c r="FS92" s="2184">
        <f t="shared" si="720"/>
      </c>
      <c r="FT92" s="2184">
        <f t="shared" si="720"/>
      </c>
      <c r="FU92" s="2184">
        <f t="shared" si="720"/>
      </c>
      <c r="FV92" s="2187"/>
      <c r="FW92" s="2184"/>
      <c r="FX92" s="2184"/>
      <c r="FY92" s="2184">
        <f>SUM(C92:F92)</f>
      </c>
      <c r="FZ92" s="2184">
        <f t="shared" si="690"/>
      </c>
      <c r="GA92" s="2184">
        <f t="shared" si="691"/>
      </c>
      <c r="GB92" s="2184">
        <f t="shared" si="692"/>
      </c>
      <c r="GC92" s="2184">
        <f t="shared" si="693"/>
      </c>
      <c r="GD92" s="2184">
        <f t="shared" si="694"/>
      </c>
      <c r="GE92" s="2184">
        <f t="shared" si="695"/>
      </c>
      <c r="GF92" s="2184">
        <f t="shared" si="696"/>
      </c>
      <c r="GG92" s="2184">
        <f t="shared" si="697"/>
      </c>
      <c r="GH92" s="2184">
        <f t="shared" si="698"/>
      </c>
      <c r="GI92" s="2184">
        <f t="shared" si="699"/>
      </c>
      <c r="GJ92" s="2184">
        <f t="shared" si="700"/>
      </c>
      <c r="GK92" s="2184">
        <f t="shared" si="701"/>
      </c>
      <c r="GL92" s="2184">
        <f t="shared" si="702"/>
      </c>
      <c r="GM92" s="2184">
        <f t="shared" si="703"/>
      </c>
      <c r="GN92" s="2184">
        <f t="shared" si="704"/>
      </c>
      <c r="GO92" s="2184">
        <f t="shared" si="705"/>
      </c>
      <c r="GP92" s="2184">
        <f t="shared" si="706"/>
      </c>
      <c r="GQ92" s="2184">
        <f t="shared" si="707"/>
      </c>
      <c r="GR92" s="2184">
        <f t="shared" si="708"/>
      </c>
      <c r="GS92" s="2184">
        <f t="shared" si="709"/>
      </c>
      <c r="GT92" s="2184">
        <f t="shared" si="710"/>
      </c>
      <c r="GU92" s="2184">
        <f t="shared" ref="GU92" si="721">SUM(GU73:GU91)</f>
      </c>
      <c r="GV92" s="2184">
        <f t="shared" ref="GV92" si="722">SUM(GV73:GV91)</f>
      </c>
      <c r="GW92" s="2184">
        <f t="shared" ref="GW92" si="723">SUM(GW73:GW91)</f>
      </c>
      <c r="GX92" s="2184">
        <f t="shared" ref="GX92" si="724">SUM(GX73:GX91)</f>
      </c>
      <c r="GY92" s="2184">
        <f t="shared" ref="GY92" si="725">SUM(GY73:GY91)</f>
      </c>
      <c r="GZ92" s="2184">
        <f t="shared" ref="GZ92" si="726">SUM(GZ73:GZ91)</f>
      </c>
      <c r="HA92" s="2184">
        <f t="shared" ref="HA92" si="727">SUM(HA73:HA91)</f>
      </c>
      <c r="HB92" s="2184">
        <f t="shared" ref="HB92:HF92" si="728">SUM(HB73:HB91)</f>
      </c>
      <c r="HC92" s="2184">
        <f t="shared" si="728"/>
      </c>
      <c r="HD92" s="2184">
        <f t="shared" si="728"/>
      </c>
      <c r="HE92" s="2184">
        <f t="shared" si="728"/>
      </c>
      <c r="HF92" s="2184">
        <f t="shared" si="728"/>
      </c>
    </row>
    <row r="93" spans="1:214" s="22" customFormat="1" ht="10.8" thickBot="1">
      <c r="A93" s="1" t="s">
        <v>86</v>
      </c>
      <c r="B93" s="65"/>
      <c r="C93" s="65"/>
      <c r="D93" s="65"/>
      <c r="E93" s="177"/>
      <c r="F93" s="65"/>
      <c r="G93" s="65"/>
      <c r="H93" s="65"/>
      <c r="I93" s="177"/>
      <c r="J93" s="122">
        <v>0.63500000000000001</v>
      </c>
      <c r="K93" s="122">
        <v>0.65</v>
      </c>
      <c r="L93" s="122">
        <v>0.64400000000000002</v>
      </c>
      <c r="M93" s="223">
        <v>0.83399999999999996</v>
      </c>
      <c r="N93" s="122">
        <v>0.94399999999999995</v>
      </c>
      <c r="O93" s="122">
        <v>0.82699999999999996</v>
      </c>
      <c r="P93" s="122">
        <v>0.90500000000000003</v>
      </c>
      <c r="Q93" s="223">
        <v>0.77200000000000002</v>
      </c>
      <c r="R93" s="122">
        <v>1.377</v>
      </c>
      <c r="S93" s="122">
        <v>1.0429999999999999</v>
      </c>
      <c r="T93" s="122">
        <v>1.016</v>
      </c>
      <c r="U93" s="223">
        <v>1.1220000000000001</v>
      </c>
      <c r="V93" s="122">
        <v>0.65900000000000003</v>
      </c>
      <c r="W93" s="122">
        <v>0.751</v>
      </c>
      <c r="X93" s="122">
        <v>0.82699999999999996</v>
      </c>
      <c r="Y93" s="223">
        <v>0.85</v>
      </c>
      <c r="Z93" s="122">
        <v>0.746</v>
      </c>
      <c r="AA93" s="122">
        <v>0.81299999999999994</v>
      </c>
      <c r="AB93" s="122">
        <v>0.80800000000000005</v>
      </c>
      <c r="AC93" s="223">
        <v>0.73399999999999999</v>
      </c>
      <c r="AD93" s="122">
        <v>0.74299999999999999</v>
      </c>
      <c r="AE93" s="122">
        <v>0.71099999999999997</v>
      </c>
      <c r="AF93" s="122">
        <v>0.77100000000000002</v>
      </c>
      <c r="AG93" s="223">
        <v>0.78700000000000003</v>
      </c>
      <c r="AH93" s="122">
        <v>0.82899999999999996</v>
      </c>
      <c r="AI93" s="122">
        <v>0.749</v>
      </c>
      <c r="AJ93" s="122">
        <v>0.876</v>
      </c>
      <c r="AK93" s="223">
        <v>0.83599999999999997</v>
      </c>
      <c r="AL93" s="122">
        <v>1.046</v>
      </c>
      <c r="AM93" s="122">
        <v>1.07</v>
      </c>
      <c r="AN93" s="122">
        <v>1.1819999999999999</v>
      </c>
      <c r="AO93" s="223">
        <v>1.236</v>
      </c>
      <c r="AP93" s="122">
        <v>1.254</v>
      </c>
      <c r="AQ93" s="122">
        <v>1.1120000000000001</v>
      </c>
      <c r="AR93" s="122">
        <v>1.327</v>
      </c>
      <c r="AS93" s="223">
        <v>1.61</v>
      </c>
      <c r="AT93" s="122">
        <v>1.6060000000000001</v>
      </c>
      <c r="AU93" s="122">
        <v>1.5169999999999999</v>
      </c>
      <c r="AV93" s="122">
        <v>1.764</v>
      </c>
      <c r="AW93" s="223">
        <v>2.1640000000000001</v>
      </c>
      <c r="AX93" s="122">
        <v>2.319</v>
      </c>
      <c r="AY93" s="122">
        <v>2.2890000000000001</v>
      </c>
      <c r="AZ93" s="122">
        <v>2.496</v>
      </c>
      <c r="BA93" s="223">
        <v>2.6110000000000002</v>
      </c>
      <c r="BB93" s="122">
        <v>2.524</v>
      </c>
      <c r="BC93" s="122">
        <v>2.2160000000000002</v>
      </c>
      <c r="BD93" s="122">
        <v>2.6030000000000002</v>
      </c>
      <c r="BE93" s="223">
        <v>3.0529999999999999</v>
      </c>
      <c r="BF93" s="122">
        <v>3.3620000000000001</v>
      </c>
      <c r="BG93" s="122">
        <v>2.9430000000000001</v>
      </c>
      <c r="BH93" s="122">
        <v>3.472</v>
      </c>
      <c r="BI93" s="223">
        <v>3.8849999999999998</v>
      </c>
      <c r="BJ93" s="122">
        <v>4.1340000000000003</v>
      </c>
      <c r="BK93" s="122">
        <v>3.76</v>
      </c>
      <c r="BL93" s="122">
        <v>3.9470000000000001</v>
      </c>
      <c r="BM93" s="223">
        <v>4.8940000000000001</v>
      </c>
      <c r="BN93" s="122">
        <v>5.1980000000000004</v>
      </c>
      <c r="BO93" s="122">
        <v>4.0170000000000003</v>
      </c>
      <c r="BP93" s="122">
        <v>4.0199999999999996</v>
      </c>
      <c r="BQ93" s="223">
        <v>4.923</v>
      </c>
      <c r="BR93" s="122">
        <v>4.0609999999999999</v>
      </c>
      <c r="BS93" s="122">
        <v>3.952</v>
      </c>
      <c r="BT93" s="122">
        <v>3.754</v>
      </c>
      <c r="BU93" s="223">
        <v>4.5739999999999998</v>
      </c>
      <c r="BV93" s="122">
        <v>4.8369999999999997</v>
      </c>
      <c r="BW93" s="122">
        <v>4.1360000000000001</v>
      </c>
      <c r="BX93" s="122">
        <v>4.4233640000000003</v>
      </c>
      <c r="BY93" s="223">
        <v>5.5135580000000024</v>
      </c>
      <c r="BZ93" s="122">
        <v>5.5036269999999989</v>
      </c>
      <c r="CA93" s="122">
        <v>4.5603741479926621</v>
      </c>
      <c r="CB93" s="122">
        <v>4.8196468773700918</v>
      </c>
      <c r="CC93" s="223">
        <v>5.7605310000000003</v>
      </c>
      <c r="CD93" s="122">
        <v>5.3113069999999984</v>
      </c>
      <c r="CE93" s="122">
        <v>4.0363610000000021</v>
      </c>
      <c r="CF93" s="123">
        <v>4.2599260000000001</v>
      </c>
      <c r="CG93" s="223">
        <v>4.8860000000000001</v>
      </c>
      <c r="CH93" s="122">
        <v>5.3739999999999997</v>
      </c>
      <c r="CI93" s="122">
        <v>4.1989999999999998</v>
      </c>
      <c r="CJ93" s="122">
        <v>4.2919999999999998</v>
      </c>
      <c r="CK93" s="223">
        <v>5.3860000000000001</v>
      </c>
      <c r="CL93" s="122">
        <v>5.1120000000000001</v>
      </c>
      <c r="CM93" s="122">
        <v>4.0780000000000003</v>
      </c>
      <c r="CN93" s="122">
        <v>3.72</v>
      </c>
      <c r="CO93" s="223">
        <v>5.2990000000000004</v>
      </c>
      <c r="CP93" s="806">
        <v>4.9835689999999992</v>
      </c>
      <c r="CQ93" s="806">
        <v>3.8964459999999921</v>
      </c>
      <c r="CR93" s="806">
        <v>4.1117389999999761</v>
      </c>
      <c r="CS93" s="807">
        <v>4.9593730000000056</v>
      </c>
      <c r="CT93" s="806">
        <v>4.9268519999999754</v>
      </c>
      <c r="CU93" s="806">
        <v>3.1644259999999993</v>
      </c>
      <c r="CV93" s="806">
        <v>5.6297890000000015</v>
      </c>
      <c r="CW93" s="807">
        <v>6.9587180000000162</v>
      </c>
      <c r="CX93" s="806">
        <v>7.001051999999949</v>
      </c>
      <c r="CY93" s="806">
        <v>6.8432610000000054</v>
      </c>
      <c r="CZ93" s="806">
        <v>6.1534260000000236</v>
      </c>
      <c r="DA93" s="807">
        <v>7.1619309999999956</v>
      </c>
      <c r="DB93" s="806">
        <v>7.6877860000000213</v>
      </c>
      <c r="DC93" s="806">
        <v>6.7835780000000234</v>
      </c>
      <c r="DD93" s="806">
        <v>4.8000150000000161</v>
      </c>
      <c r="DE93" s="807">
        <v>9.3623180000000001</v>
      </c>
      <c r="DF93" s="806">
        <v>6.9815759999999996</v>
      </c>
      <c r="DG93" s="806">
        <v>4.2048949999999996</v>
      </c>
      <c r="DH93" s="806">
        <v>4.74749</v>
      </c>
      <c r="DI93" s="3165">
        <v>7.0401239999999996</v>
      </c>
      <c r="DJ93" s="3242">
        <v>5.941058</v>
      </c>
      <c r="DK93" s="3242">
        <v>4.7916460000000001</v>
      </c>
      <c r="DL93" s="806">
        <v>5.1431659999999999</v>
      </c>
      <c r="DM93" s="806">
        <v>6.0056700000000003</v>
      </c>
      <c r="DN93" s="3317">
        <v>7.0940659999999998</v>
      </c>
      <c r="DO93" s="3242">
        <v>5.6795540000000004</v>
      </c>
      <c r="DP93" s="806">
        <v>6.2</v>
      </c>
      <c r="DQ93" s="263">
        <f t="shared" ref="DQ93:DV93" si="729">DM93*(1+DQ105)</f>
      </c>
      <c r="DR93" s="3314">
        <f t="shared" si="729"/>
      </c>
      <c r="DS93" s="158">
        <f t="shared" si="729"/>
      </c>
      <c r="DT93" s="158">
        <f t="shared" si="729"/>
      </c>
      <c r="DU93" s="263">
        <f t="shared" si="729"/>
      </c>
      <c r="DV93" s="158">
        <f t="shared" si="729"/>
      </c>
      <c r="DW93" s="158">
        <f t="shared" ref="DW93" si="730">DS93*(1+DW105)</f>
      </c>
      <c r="DX93" s="158">
        <f t="shared" ref="DX93" si="731">DT93*(1+DX105)</f>
      </c>
      <c r="DY93" s="263">
        <f t="shared" ref="DY93" si="732">DU93*(1+DY105)</f>
      </c>
      <c r="DZ93" s="158">
        <f t="shared" ref="DZ93" si="733">DV93*(1+DZ105)</f>
      </c>
      <c r="EA93" s="158">
        <f t="shared" ref="EA93" si="734">DW93*(1+EA105)</f>
      </c>
      <c r="EB93" s="158">
        <f t="shared" ref="EB93" si="735">DX93*(1+EB105)</f>
      </c>
      <c r="EC93" s="263">
        <f t="shared" ref="EC93" si="736">DY93*(1+EC105)</f>
      </c>
      <c r="ED93" s="158">
        <f t="shared" ref="ED93" si="737">DZ93*(1+ED105)</f>
      </c>
      <c r="EE93" s="158">
        <f t="shared" ref="EE93" si="738">EA93*(1+EE105)</f>
      </c>
      <c r="EF93" s="158">
        <f t="shared" ref="EF93" si="739">EB93*(1+EF105)</f>
      </c>
      <c r="EG93" s="263">
        <f t="shared" ref="EG93" si="740">EC93*(1+EG105)</f>
      </c>
      <c r="EH93" s="158">
        <f t="shared" ref="EH93" si="741">ED93*(1+EH105)</f>
      </c>
      <c r="EI93" s="158">
        <f t="shared" ref="EI93" si="742">EE93*(1+EI105)</f>
      </c>
      <c r="EJ93" s="158">
        <f t="shared" ref="EJ93" si="743">EF93*(1+EJ105)</f>
      </c>
      <c r="EK93" s="263">
        <f t="shared" ref="EK93" si="744">EG93*(1+EK105)</f>
      </c>
      <c r="EM93" s="158">
        <f t="shared" ref="EM93:EM98" si="745">SUM(B93:E93)</f>
      </c>
      <c r="EN93" s="158">
        <f t="shared" ref="EN93:EN98" si="746">SUM(F93:I93)</f>
      </c>
      <c r="EO93" s="158">
        <f t="shared" ref="EO93:EO98" si="747">SUM(J93:M93)</f>
      </c>
      <c r="EP93" s="158">
        <f t="shared" ref="EP93:EP98" si="748">SUM(N93:Q93)</f>
      </c>
      <c r="EQ93" s="158">
        <f t="shared" ref="EQ93:EQ98" si="749">SUM(R93:U93)</f>
      </c>
      <c r="ER93" s="158">
        <f t="shared" ref="ER93:ER98" si="750">SUM(V93:Y93)</f>
      </c>
      <c r="ES93" s="158">
        <f t="shared" ref="ES93:ES98" si="751">SUM(Z93:AC93)</f>
      </c>
      <c r="ET93" s="158">
        <f t="shared" ref="ET93:ET98" si="752">SUM(AD93:AG93)</f>
      </c>
      <c r="EU93" s="158">
        <f t="shared" ref="EU93:EU98" si="753">SUM(AH93:AK93)</f>
      </c>
      <c r="EV93" s="158">
        <f t="shared" ref="EV93:EV98" si="754">SUM(AL93:AO93)</f>
      </c>
      <c r="EW93" s="158">
        <f t="shared" ref="EW93:EW98" si="755">SUM(AP93:AS93)</f>
      </c>
      <c r="EX93" s="158">
        <f t="shared" ref="EX93:EX98" si="756">SUM(AT93:AW93)</f>
      </c>
      <c r="EY93" s="158">
        <f t="shared" ref="EY93:EY98" si="757">SUM(AX93:BA93)</f>
      </c>
      <c r="EZ93" s="158">
        <f t="shared" ref="EZ93:EZ98" si="758">SUM(BB93:BE93)</f>
      </c>
      <c r="FA93" s="158">
        <f t="shared" ref="FA93:FA98" si="759">SUM(BF93:BI93)</f>
      </c>
      <c r="FB93" s="158">
        <f t="shared" ref="FB93:FB98" si="760">SUM(BJ93:BM93)</f>
      </c>
      <c r="FC93" s="158">
        <f t="shared" ref="FC93:FC98" si="761">SUM(BN93:BQ93)</f>
      </c>
      <c r="FD93" s="158">
        <f t="shared" ref="FD93:FD98" si="762">SUM(BR93:BU93)</f>
      </c>
      <c r="FE93" s="158">
        <f t="shared" ref="FE93:FE98" si="763">SUM(BV93:BY93)</f>
      </c>
      <c r="FF93" s="158">
        <f t="shared" ref="FF93:FF98" si="764">SUM(BZ93:CC93)</f>
      </c>
      <c r="FG93" s="158">
        <f t="shared" ref="FG93:FG99" si="765">SUM(CD93:CG93)</f>
      </c>
      <c r="FH93" s="158">
        <f t="shared" ref="FH93:FH98" si="766">SUM(CH93:CK93)</f>
      </c>
      <c r="FI93" s="158">
        <f t="shared" ref="FI93:FI98" si="767">SUM(CL93:CO93)</f>
      </c>
      <c r="FJ93" s="158">
        <f t="shared" ref="FJ93:FJ98" si="768">SUM(CP93:CS93)</f>
      </c>
      <c r="FK93" s="158">
        <f t="shared" ref="FK93:FK98" si="769">SUM(CT93:CW93)</f>
      </c>
      <c r="FL93" s="158">
        <f t="shared" ref="FL93:FL98" si="770">SUM(CX93:DA93)</f>
      </c>
      <c r="FM93" s="158">
        <f t="shared" ref="FM93:FM98" si="771">SUM(DB93:DE93)</f>
      </c>
      <c r="FN93" s="158">
        <f>SUM(DF93:DI93)</f>
      </c>
      <c r="FO93" s="158">
        <f t="shared" ref="FO93:FO98" si="772">SUM(DJ93:DM93)</f>
      </c>
      <c r="FP93" s="158">
        <f t="shared" ref="FP93:FP98" si="773">SUM(DN93:DQ93)</f>
      </c>
      <c r="FQ93" s="158">
        <f>SUM(DR93:DU93)</f>
      </c>
      <c r="FR93" s="158">
        <f t="shared" ref="FR93:FR98" si="774">SUM(DV93:DY93)</f>
      </c>
      <c r="FS93" s="158">
        <f t="shared" ref="FS93:FS98" si="775">SUM(DZ93:EC93)</f>
      </c>
      <c r="FT93" s="158">
        <f t="shared" ref="FT93:FT98" si="776">SUM(ED93:EG93)</f>
      </c>
      <c r="FU93" s="158">
        <f t="shared" ref="FU93:FU98" si="777">SUM(EH93:EK93)</f>
      </c>
      <c r="FV93" s="2186"/>
      <c r="FW93" s="2185"/>
      <c r="FX93" s="2185"/>
      <c r="FY93" s="2185"/>
      <c r="FZ93" s="2185">
        <f t="shared" si="690"/>
      </c>
      <c r="GA93" s="2185">
        <f t="shared" si="691"/>
      </c>
      <c r="GB93" s="2185">
        <f t="shared" si="692"/>
      </c>
      <c r="GC93" s="2185">
        <f t="shared" si="693"/>
      </c>
      <c r="GD93" s="2185">
        <f t="shared" si="694"/>
      </c>
      <c r="GE93" s="2185">
        <f t="shared" si="695"/>
      </c>
      <c r="GF93" s="2185">
        <f t="shared" si="696"/>
      </c>
      <c r="GG93" s="2185">
        <f t="shared" si="697"/>
      </c>
      <c r="GH93" s="2185">
        <f t="shared" si="698"/>
      </c>
      <c r="GI93" s="2185">
        <f t="shared" si="699"/>
      </c>
      <c r="GJ93" s="2185">
        <f t="shared" si="700"/>
      </c>
      <c r="GK93" s="2185">
        <f t="shared" si="701"/>
      </c>
      <c r="GL93" s="2185">
        <f t="shared" si="702"/>
      </c>
      <c r="GM93" s="2185">
        <f t="shared" si="703"/>
      </c>
      <c r="GN93" s="2185">
        <f t="shared" si="704"/>
      </c>
      <c r="GO93" s="2185">
        <f t="shared" si="705"/>
      </c>
      <c r="GP93" s="2185">
        <f t="shared" si="706"/>
      </c>
      <c r="GQ93" s="2185">
        <f t="shared" si="707"/>
      </c>
      <c r="GR93" s="2185">
        <f t="shared" si="708"/>
      </c>
      <c r="GS93" s="2185">
        <f t="shared" si="709"/>
      </c>
      <c r="GT93" s="2185">
        <f t="shared" si="710"/>
      </c>
      <c r="GU93" s="2185">
        <f t="shared" ref="GU93:GU98" si="778">SUM(CM93:CP93)</f>
      </c>
      <c r="GV93" s="2185">
        <f t="shared" ref="GV93:GV98" si="779">SUM(CQ93:CT93)</f>
      </c>
      <c r="GW93" s="2185">
        <f t="shared" ref="GW93:GW98" si="780">SUM(CU93:CX93)</f>
      </c>
      <c r="GX93" s="2185">
        <f t="shared" ref="GX93:GX98" si="781">SUM(CY93:DB93)</f>
      </c>
      <c r="GY93" s="2185">
        <f t="shared" ref="GY93:GY98" si="782">SUM(DC93:DF93)</f>
      </c>
      <c r="GZ93" s="2185">
        <f t="shared" ref="GZ93" si="783">SUM(DG93:DJ93)</f>
      </c>
      <c r="HA93" s="2185">
        <f t="shared" ref="HA93" si="784">SUM(DK93:DN93)</f>
      </c>
      <c r="HB93" s="2185">
        <f t="shared" ref="HB93:HB98" si="785">SUM(DO93:DR93)</f>
      </c>
      <c r="HC93" s="2185">
        <f t="shared" ref="HC93" si="786">SUM(DS93:DV93)</f>
      </c>
      <c r="HD93" s="2185">
        <f t="shared" ref="HD93" si="787">SUM(DW93:DZ93)</f>
      </c>
      <c r="HE93" s="2185">
        <f t="shared" ref="HE93" si="788">SUM(EA93:ED93)</f>
      </c>
      <c r="HF93" s="2185">
        <f t="shared" ref="HF93" si="789">SUM(EE93:EH93)</f>
      </c>
    </row>
    <row r="94" spans="1:214" s="1721" customFormat="1" ht="10.199999999999999">
      <c r="A94" s="1722" t="s">
        <v>2214</v>
      </c>
      <c r="B94" s="1723"/>
      <c r="C94" s="1723"/>
      <c r="D94" s="1723"/>
      <c r="E94" s="1724"/>
      <c r="F94" s="1723"/>
      <c r="G94" s="1723"/>
      <c r="H94" s="1723"/>
      <c r="I94" s="1724"/>
      <c r="J94" s="1725"/>
      <c r="K94" s="1725"/>
      <c r="L94" s="1725"/>
      <c r="M94" s="1726"/>
      <c r="N94" s="1725"/>
      <c r="O94" s="1725"/>
      <c r="P94" s="1725"/>
      <c r="Q94" s="1726"/>
      <c r="R94" s="1725"/>
      <c r="S94" s="1725"/>
      <c r="T94" s="1725"/>
      <c r="U94" s="1726"/>
      <c r="V94" s="1725"/>
      <c r="W94" s="1725"/>
      <c r="X94" s="1725"/>
      <c r="Y94" s="1726"/>
      <c r="Z94" s="1725"/>
      <c r="AA94" s="1725"/>
      <c r="AB94" s="1725"/>
      <c r="AC94" s="1726"/>
      <c r="AD94" s="1725"/>
      <c r="AE94" s="1725"/>
      <c r="AF94" s="1725"/>
      <c r="AG94" s="1726"/>
      <c r="AH94" s="1725"/>
      <c r="AI94" s="1725"/>
      <c r="AJ94" s="1725"/>
      <c r="AK94" s="1726"/>
      <c r="AL94" s="1725"/>
      <c r="AM94" s="1725"/>
      <c r="AN94" s="1725"/>
      <c r="AO94" s="1726"/>
      <c r="AP94" s="1725"/>
      <c r="AQ94" s="1725"/>
      <c r="AR94" s="1725"/>
      <c r="AS94" s="1726"/>
      <c r="AT94" s="1725"/>
      <c r="AU94" s="1725"/>
      <c r="AV94" s="1725"/>
      <c r="AW94" s="1726"/>
      <c r="AX94" s="1725"/>
      <c r="AY94" s="1725"/>
      <c r="AZ94" s="1725"/>
      <c r="BA94" s="1726"/>
      <c r="BB94" s="1725"/>
      <c r="BC94" s="1725"/>
      <c r="BD94" s="1725"/>
      <c r="BE94" s="1726"/>
      <c r="BF94" s="1725"/>
      <c r="BG94" s="1725"/>
      <c r="BH94" s="1725"/>
      <c r="BI94" s="1726"/>
      <c r="BJ94" s="1725"/>
      <c r="BK94" s="1725"/>
      <c r="BL94" s="1725"/>
      <c r="BM94" s="1726"/>
      <c r="BN94" s="1725"/>
      <c r="BO94" s="1725"/>
      <c r="BP94" s="1725"/>
      <c r="BQ94" s="1726"/>
      <c r="BR94" s="1725"/>
      <c r="BS94" s="1725"/>
      <c r="BT94" s="1725"/>
      <c r="BU94" s="1726"/>
      <c r="BV94" s="1725"/>
      <c r="BW94" s="1725"/>
      <c r="BX94" s="1725"/>
      <c r="BY94" s="1726"/>
      <c r="BZ94" s="1725"/>
      <c r="CA94" s="1725"/>
      <c r="CB94" s="1725"/>
      <c r="CC94" s="1726"/>
      <c r="CD94" s="1725"/>
      <c r="CE94" s="1725"/>
      <c r="CF94" s="1725"/>
      <c r="CG94" s="1726"/>
      <c r="CH94" s="1743">
        <v>0.5</v>
      </c>
      <c r="CI94" s="1746">
        <v>6</v>
      </c>
      <c r="CJ94" s="1743">
        <v>6</v>
      </c>
      <c r="CK94" s="1744">
        <v>4.5</v>
      </c>
      <c r="CL94" s="1743">
        <v>6.5</v>
      </c>
      <c r="CM94" s="1746">
        <v>6</v>
      </c>
      <c r="CN94" s="1743">
        <v>8.5</v>
      </c>
      <c r="CO94" s="1744">
        <v>7</v>
      </c>
      <c r="CP94" s="1743">
        <v>7.25</v>
      </c>
      <c r="CQ94" s="1743">
        <v>2</v>
      </c>
      <c r="CR94" s="1743">
        <v>5</v>
      </c>
      <c r="CS94" s="1745">
        <v>8</v>
      </c>
      <c r="CT94" s="1743">
        <v>10.5</v>
      </c>
      <c r="CU94" s="1743">
        <v>2</v>
      </c>
      <c r="CV94" s="1743">
        <v>2.5</v>
      </c>
      <c r="CW94" s="1745">
        <v>8</v>
      </c>
      <c r="CX94" s="1743">
        <v>8</v>
      </c>
      <c r="CY94" s="1743">
        <v>4</v>
      </c>
      <c r="CZ94" s="1743">
        <v>2</v>
      </c>
      <c r="DA94" s="1745">
        <v>5.5</v>
      </c>
      <c r="DB94" s="1746">
        <v>5</v>
      </c>
      <c r="DC94" s="1743">
        <v>4.5</v>
      </c>
      <c r="DD94" s="1743">
        <v>3</v>
      </c>
      <c r="DE94" s="1744">
        <v>3</v>
      </c>
      <c r="DF94" s="1746">
        <f>5*14/13</f>
      </c>
      <c r="DG94" s="1743">
        <v>5</v>
      </c>
      <c r="DH94" s="1743">
        <v>5</v>
      </c>
      <c r="DI94" s="1744">
        <v>5</v>
      </c>
      <c r="DJ94" s="1743">
        <v>5</v>
      </c>
      <c r="DK94" s="1743">
        <v>4.5</v>
      </c>
      <c r="DL94" s="1743">
        <v>4</v>
      </c>
      <c r="DM94" s="1744">
        <v>4</v>
      </c>
      <c r="DN94" s="1743">
        <v>5</v>
      </c>
      <c r="DO94" s="1746">
        <v>4.5</v>
      </c>
      <c r="DP94" s="1743">
        <v>4.5</v>
      </c>
      <c r="DQ94" s="1744">
        <v>4</v>
      </c>
      <c r="DR94" s="1743">
        <v>5</v>
      </c>
      <c r="DS94" s="1746">
        <v>5</v>
      </c>
      <c r="DT94" s="1743">
        <v>3</v>
      </c>
      <c r="DU94" s="1744">
        <v>5</v>
      </c>
      <c r="DV94" s="1746">
        <v>6.5</v>
      </c>
      <c r="DW94" s="1743">
        <v>5</v>
      </c>
      <c r="DX94" s="1743">
        <v>3</v>
      </c>
      <c r="DY94" s="1744">
        <v>6</v>
      </c>
      <c r="DZ94" s="1746">
        <v>6.5</v>
      </c>
      <c r="EA94" s="1743">
        <v>5</v>
      </c>
      <c r="EB94" s="1743">
        <v>3</v>
      </c>
      <c r="EC94" s="1744">
        <v>5</v>
      </c>
      <c r="ED94" s="1746">
        <v>6.5</v>
      </c>
      <c r="EE94" s="1743">
        <v>5</v>
      </c>
      <c r="EF94" s="1743">
        <v>3</v>
      </c>
      <c r="EG94" s="1744">
        <v>5</v>
      </c>
      <c r="EH94" s="1746">
        <v>6.5</v>
      </c>
      <c r="EI94" s="1743">
        <v>5</v>
      </c>
      <c r="EJ94" s="1743">
        <v>3</v>
      </c>
      <c r="EK94" s="1744">
        <v>5</v>
      </c>
      <c r="EM94" s="2188">
        <f t="shared" si="745"/>
      </c>
      <c r="EN94" s="2188">
        <f t="shared" si="746"/>
      </c>
      <c r="EO94" s="2188">
        <f t="shared" si="747"/>
      </c>
      <c r="EP94" s="2188">
        <f t="shared" si="748"/>
      </c>
      <c r="EQ94" s="2188">
        <f t="shared" si="749"/>
      </c>
      <c r="ER94" s="2188">
        <f t="shared" si="750"/>
      </c>
      <c r="ES94" s="2188">
        <f t="shared" si="751"/>
      </c>
      <c r="ET94" s="2188">
        <f t="shared" si="752"/>
      </c>
      <c r="EU94" s="2188">
        <f t="shared" si="753"/>
      </c>
      <c r="EV94" s="2188">
        <f t="shared" si="754"/>
      </c>
      <c r="EW94" s="2188">
        <f t="shared" si="755"/>
      </c>
      <c r="EX94" s="2188">
        <f t="shared" si="756"/>
      </c>
      <c r="EY94" s="2188">
        <f t="shared" si="757"/>
      </c>
      <c r="EZ94" s="2188">
        <f t="shared" si="758"/>
      </c>
      <c r="FA94" s="2188">
        <f t="shared" si="759"/>
      </c>
      <c r="FB94" s="2188">
        <f t="shared" si="760"/>
      </c>
      <c r="FC94" s="2188">
        <f t="shared" si="761"/>
      </c>
      <c r="FD94" s="2188">
        <f t="shared" si="762"/>
      </c>
      <c r="FE94" s="2188">
        <f t="shared" si="763"/>
      </c>
      <c r="FF94" s="2188">
        <f t="shared" si="764"/>
      </c>
      <c r="FG94" s="2188"/>
      <c r="FH94" s="2188">
        <f t="shared" si="766"/>
      </c>
      <c r="FI94" s="2188">
        <f t="shared" si="767"/>
      </c>
      <c r="FJ94" s="2188">
        <f t="shared" si="768"/>
      </c>
      <c r="FK94" s="2188">
        <f t="shared" si="769"/>
      </c>
      <c r="FL94" s="2188">
        <f t="shared" si="770"/>
      </c>
      <c r="FM94" s="2188">
        <f t="shared" si="771"/>
      </c>
      <c r="FN94" s="2188">
        <f t="shared" ref="FN94:FN98" si="790">SUM(DF94:DI94)</f>
      </c>
      <c r="FO94" s="2188">
        <f t="shared" si="772"/>
      </c>
      <c r="FP94" s="2188">
        <f t="shared" si="773"/>
      </c>
      <c r="FQ94" s="2188">
        <f t="shared" ref="FQ94:FQ98" si="791">SUM(DR94:DU94)</f>
      </c>
      <c r="FR94" s="2188">
        <f t="shared" si="774"/>
      </c>
      <c r="FS94" s="2188">
        <f t="shared" si="775"/>
      </c>
      <c r="FT94" s="2188">
        <f t="shared" si="776"/>
      </c>
      <c r="FU94" s="2188">
        <f t="shared" si="777"/>
      </c>
      <c r="FV94" s="2189"/>
      <c r="FW94" s="2189"/>
      <c r="FX94" s="2189"/>
      <c r="FY94" s="2189"/>
      <c r="FZ94" s="2189">
        <f t="shared" si="690"/>
      </c>
      <c r="GA94" s="2189">
        <f t="shared" si="691"/>
      </c>
      <c r="GB94" s="2189">
        <f t="shared" si="692"/>
      </c>
      <c r="GC94" s="2189">
        <f t="shared" si="693"/>
      </c>
      <c r="GD94" s="2189">
        <f t="shared" si="694"/>
      </c>
      <c r="GE94" s="2189">
        <f t="shared" si="695"/>
      </c>
      <c r="GF94" s="2189">
        <f t="shared" si="696"/>
      </c>
      <c r="GG94" s="2189">
        <f t="shared" si="697"/>
      </c>
      <c r="GH94" s="2189">
        <f t="shared" si="698"/>
      </c>
      <c r="GI94" s="2189">
        <f t="shared" si="699"/>
      </c>
      <c r="GJ94" s="2189">
        <f t="shared" si="700"/>
      </c>
      <c r="GK94" s="2189">
        <f t="shared" si="701"/>
      </c>
      <c r="GL94" s="2189">
        <f t="shared" si="702"/>
      </c>
      <c r="GM94" s="2189">
        <f t="shared" si="703"/>
      </c>
      <c r="GN94" s="2189">
        <f t="shared" si="704"/>
      </c>
      <c r="GO94" s="2189">
        <f t="shared" si="705"/>
      </c>
      <c r="GP94" s="2189">
        <f t="shared" si="706"/>
      </c>
      <c r="GQ94" s="2189">
        <f t="shared" si="707"/>
      </c>
      <c r="GR94" s="2189">
        <f t="shared" si="708"/>
      </c>
      <c r="GS94" s="2189">
        <f t="shared" si="709"/>
      </c>
      <c r="GT94" s="2189">
        <f t="shared" si="710"/>
      </c>
      <c r="GU94" s="2189">
        <f t="shared" si="778"/>
      </c>
      <c r="GV94" s="2189">
        <f t="shared" si="779"/>
      </c>
      <c r="GW94" s="2189">
        <f t="shared" si="780"/>
      </c>
      <c r="GX94" s="2189">
        <f t="shared" si="781"/>
      </c>
      <c r="GY94" s="2189">
        <f t="shared" si="782"/>
      </c>
      <c r="GZ94" s="2189">
        <f t="shared" ref="GZ94:GZ98" si="792">SUM(DG94:DJ94)</f>
      </c>
      <c r="HA94" s="2189">
        <f>SUM(DK94:DN94)</f>
      </c>
      <c r="HB94" s="2189">
        <f t="shared" si="785"/>
      </c>
      <c r="HC94" s="2189">
        <f t="shared" ref="HC94:HC98" si="793">SUM(DS94:DV94)</f>
      </c>
      <c r="HD94" s="2189">
        <f t="shared" ref="HD94:HD98" si="794">SUM(DW94:DZ94)</f>
      </c>
      <c r="HE94" s="2189">
        <f t="shared" ref="HE94:HE98" si="795">SUM(EA94:ED94)</f>
      </c>
      <c r="HF94" s="2189">
        <f t="shared" ref="HF94:HF98" si="796">SUM(EE94:EH94)</f>
      </c>
    </row>
    <row r="95" spans="1:214" s="1721" customFormat="1" ht="10.199999999999999">
      <c r="A95" s="1727" t="s">
        <v>1453</v>
      </c>
      <c r="B95" s="882"/>
      <c r="C95" s="882"/>
      <c r="D95" s="882"/>
      <c r="E95" s="883"/>
      <c r="F95" s="882"/>
      <c r="G95" s="882"/>
      <c r="H95" s="882"/>
      <c r="I95" s="883"/>
      <c r="J95" s="1728"/>
      <c r="K95" s="1728"/>
      <c r="L95" s="1728"/>
      <c r="M95" s="1729"/>
      <c r="N95" s="1728"/>
      <c r="O95" s="1728"/>
      <c r="P95" s="1728"/>
      <c r="Q95" s="1729"/>
      <c r="R95" s="1728"/>
      <c r="S95" s="1728"/>
      <c r="T95" s="1728"/>
      <c r="U95" s="1729"/>
      <c r="V95" s="1728"/>
      <c r="W95" s="1728"/>
      <c r="X95" s="1728"/>
      <c r="Y95" s="1729"/>
      <c r="Z95" s="1728"/>
      <c r="AA95" s="1728"/>
      <c r="AB95" s="1728"/>
      <c r="AC95" s="1729"/>
      <c r="AD95" s="1728"/>
      <c r="AE95" s="1728"/>
      <c r="AF95" s="1728"/>
      <c r="AG95" s="1729"/>
      <c r="AH95" s="1728"/>
      <c r="AI95" s="1728"/>
      <c r="AJ95" s="1728"/>
      <c r="AK95" s="1729"/>
      <c r="AL95" s="1728"/>
      <c r="AM95" s="1728"/>
      <c r="AN95" s="1728"/>
      <c r="AO95" s="1729"/>
      <c r="AP95" s="1728"/>
      <c r="AQ95" s="1728"/>
      <c r="AR95" s="1728"/>
      <c r="AS95" s="1729"/>
      <c r="AT95" s="1728"/>
      <c r="AU95" s="1728"/>
      <c r="AV95" s="1728"/>
      <c r="AW95" s="1729"/>
      <c r="AX95" s="1728"/>
      <c r="AY95" s="1728"/>
      <c r="AZ95" s="1728"/>
      <c r="BA95" s="1729"/>
      <c r="BB95" s="1728"/>
      <c r="BC95" s="1728"/>
      <c r="BD95" s="1728"/>
      <c r="BE95" s="1729"/>
      <c r="BF95" s="1728"/>
      <c r="BG95" s="1728"/>
      <c r="BH95" s="1728"/>
      <c r="BI95" s="1729"/>
      <c r="BJ95" s="1728"/>
      <c r="BK95" s="1728"/>
      <c r="BL95" s="1728"/>
      <c r="BM95" s="1729"/>
      <c r="BN95" s="1728"/>
      <c r="BO95" s="1728"/>
      <c r="BP95" s="1728"/>
      <c r="BQ95" s="1729"/>
      <c r="BR95" s="1728"/>
      <c r="BS95" s="1728"/>
      <c r="BT95" s="1728"/>
      <c r="BU95" s="1729"/>
      <c r="BV95" s="1728"/>
      <c r="BW95" s="1728"/>
      <c r="BX95" s="1728"/>
      <c r="BY95" s="1729"/>
      <c r="BZ95" s="1728"/>
      <c r="CA95" s="1728"/>
      <c r="CB95" s="1728"/>
      <c r="CC95" s="1729"/>
      <c r="CD95" s="1728"/>
      <c r="CE95" s="1728"/>
      <c r="CF95" s="1728"/>
      <c r="CG95" s="1729"/>
      <c r="CH95" s="1747">
        <v>1.5</v>
      </c>
      <c r="CI95" s="1747">
        <v>1</v>
      </c>
      <c r="CJ95" s="1749">
        <v>3.5</v>
      </c>
      <c r="CK95" s="1748">
        <v>4.5</v>
      </c>
      <c r="CL95" s="1747">
        <v>5</v>
      </c>
      <c r="CM95" s="1747">
        <v>2.5</v>
      </c>
      <c r="CN95" s="1747">
        <v>2</v>
      </c>
      <c r="CO95" s="1748">
        <v>2</v>
      </c>
      <c r="CP95" s="1749">
        <v>5</v>
      </c>
      <c r="CQ95" s="1747">
        <v>2.5</v>
      </c>
      <c r="CR95" s="1747">
        <v>1</v>
      </c>
      <c r="CS95" s="1748">
        <v>0.5</v>
      </c>
      <c r="CT95" s="1747">
        <v>1</v>
      </c>
      <c r="CU95" s="1749">
        <v>4</v>
      </c>
      <c r="CV95" s="1747">
        <v>7</v>
      </c>
      <c r="CW95" s="1748">
        <v>4</v>
      </c>
      <c r="CX95" s="1747">
        <v>3</v>
      </c>
      <c r="CY95" s="1747">
        <v>2</v>
      </c>
      <c r="CZ95" s="1749">
        <v>5</v>
      </c>
      <c r="DA95" s="1748">
        <v>5</v>
      </c>
      <c r="DB95" s="1747">
        <v>3</v>
      </c>
      <c r="DC95" s="1747">
        <v>2.5</v>
      </c>
      <c r="DD95" s="1747">
        <v>1</v>
      </c>
      <c r="DE95" s="1748">
        <v>2</v>
      </c>
      <c r="DF95" s="1749">
        <f>5*14/13</f>
      </c>
      <c r="DG95" s="1747">
        <v>4.5</v>
      </c>
      <c r="DH95" s="1747">
        <v>3.75</v>
      </c>
      <c r="DI95" s="1748">
        <v>5</v>
      </c>
      <c r="DJ95" s="1747">
        <v>4.5</v>
      </c>
      <c r="DK95" s="1747">
        <v>3</v>
      </c>
      <c r="DL95" s="1749">
        <v>3</v>
      </c>
      <c r="DM95" s="1748">
        <v>3</v>
      </c>
      <c r="DN95" s="1747">
        <v>3.25</v>
      </c>
      <c r="DO95" s="1747">
        <v>3</v>
      </c>
      <c r="DP95" s="1747">
        <v>3</v>
      </c>
      <c r="DQ95" s="1748">
        <v>4</v>
      </c>
      <c r="DR95" s="1749">
        <v>4</v>
      </c>
      <c r="DS95" s="1747">
        <v>3</v>
      </c>
      <c r="DT95" s="1747">
        <v>2</v>
      </c>
      <c r="DU95" s="1750">
        <v>5</v>
      </c>
      <c r="DV95" s="1747">
        <v>4</v>
      </c>
      <c r="DW95" s="1747">
        <v>4</v>
      </c>
      <c r="DX95" s="1747">
        <v>2</v>
      </c>
      <c r="DY95" s="1750">
        <v>7</v>
      </c>
      <c r="DZ95" s="1747">
        <v>4</v>
      </c>
      <c r="EA95" s="1747">
        <v>4</v>
      </c>
      <c r="EB95" s="1747">
        <v>2</v>
      </c>
      <c r="EC95" s="1750">
        <v>5</v>
      </c>
      <c r="ED95" s="1747">
        <v>4</v>
      </c>
      <c r="EE95" s="1747">
        <v>4</v>
      </c>
      <c r="EF95" s="1747">
        <v>2</v>
      </c>
      <c r="EG95" s="1750">
        <v>5</v>
      </c>
      <c r="EH95" s="1747">
        <v>4</v>
      </c>
      <c r="EI95" s="1747">
        <v>4</v>
      </c>
      <c r="EJ95" s="1747">
        <v>2</v>
      </c>
      <c r="EK95" s="1750">
        <v>5</v>
      </c>
      <c r="EM95" s="2189">
        <f t="shared" si="745"/>
      </c>
      <c r="EN95" s="2189">
        <f t="shared" si="746"/>
      </c>
      <c r="EO95" s="2189">
        <f t="shared" si="747"/>
      </c>
      <c r="EP95" s="2189">
        <f t="shared" si="748"/>
      </c>
      <c r="EQ95" s="2189">
        <f t="shared" si="749"/>
      </c>
      <c r="ER95" s="2189">
        <f t="shared" si="750"/>
      </c>
      <c r="ES95" s="2189">
        <f t="shared" si="751"/>
      </c>
      <c r="ET95" s="2189">
        <f t="shared" si="752"/>
      </c>
      <c r="EU95" s="2189">
        <f t="shared" si="753"/>
      </c>
      <c r="EV95" s="2189">
        <f t="shared" si="754"/>
      </c>
      <c r="EW95" s="2189">
        <f t="shared" si="755"/>
      </c>
      <c r="EX95" s="2189">
        <f t="shared" si="756"/>
      </c>
      <c r="EY95" s="2189">
        <f t="shared" si="757"/>
      </c>
      <c r="EZ95" s="2189">
        <f t="shared" si="758"/>
      </c>
      <c r="FA95" s="2189">
        <f t="shared" si="759"/>
      </c>
      <c r="FB95" s="2189">
        <f t="shared" si="760"/>
      </c>
      <c r="FC95" s="2189">
        <f t="shared" si="761"/>
      </c>
      <c r="FD95" s="2189">
        <f t="shared" si="762"/>
      </c>
      <c r="FE95" s="2189">
        <f t="shared" si="763"/>
      </c>
      <c r="FF95" s="2189">
        <f t="shared" si="764"/>
      </c>
      <c r="FG95" s="2189"/>
      <c r="FH95" s="2189">
        <f t="shared" si="766"/>
      </c>
      <c r="FI95" s="2189">
        <f t="shared" si="767"/>
      </c>
      <c r="FJ95" s="2189">
        <f t="shared" si="768"/>
      </c>
      <c r="FK95" s="2189">
        <f t="shared" si="769"/>
      </c>
      <c r="FL95" s="2189">
        <f t="shared" si="770"/>
      </c>
      <c r="FM95" s="2189">
        <f t="shared" si="771"/>
      </c>
      <c r="FN95" s="2189">
        <f t="shared" si="790"/>
      </c>
      <c r="FO95" s="2189">
        <f t="shared" si="772"/>
      </c>
      <c r="FP95" s="2189">
        <f t="shared" si="773"/>
      </c>
      <c r="FQ95" s="2189">
        <f t="shared" si="791"/>
      </c>
      <c r="FR95" s="2189">
        <f t="shared" si="774"/>
      </c>
      <c r="FS95" s="2189">
        <f t="shared" si="775"/>
      </c>
      <c r="FT95" s="2189">
        <f t="shared" si="776"/>
      </c>
      <c r="FU95" s="2189">
        <f t="shared" si="777"/>
      </c>
      <c r="FV95" s="2189"/>
      <c r="FW95" s="2189"/>
      <c r="FX95" s="2189"/>
      <c r="FY95" s="2189"/>
      <c r="FZ95" s="2189">
        <f t="shared" si="690"/>
      </c>
      <c r="GA95" s="2189">
        <f t="shared" si="691"/>
      </c>
      <c r="GB95" s="2189">
        <f t="shared" si="692"/>
      </c>
      <c r="GC95" s="2189">
        <f t="shared" si="693"/>
      </c>
      <c r="GD95" s="2189">
        <f t="shared" si="694"/>
      </c>
      <c r="GE95" s="2189">
        <f t="shared" si="695"/>
      </c>
      <c r="GF95" s="2189">
        <f t="shared" si="696"/>
      </c>
      <c r="GG95" s="2189">
        <f t="shared" si="697"/>
      </c>
      <c r="GH95" s="2189">
        <f t="shared" si="698"/>
      </c>
      <c r="GI95" s="2189">
        <f t="shared" si="699"/>
      </c>
      <c r="GJ95" s="2189">
        <f t="shared" si="700"/>
      </c>
      <c r="GK95" s="2189">
        <f t="shared" si="701"/>
      </c>
      <c r="GL95" s="2189">
        <f t="shared" si="702"/>
      </c>
      <c r="GM95" s="2189">
        <f t="shared" si="703"/>
      </c>
      <c r="GN95" s="2189">
        <f t="shared" si="704"/>
      </c>
      <c r="GO95" s="2189">
        <f t="shared" si="705"/>
      </c>
      <c r="GP95" s="2189">
        <f t="shared" si="706"/>
      </c>
      <c r="GQ95" s="2189">
        <f t="shared" si="707"/>
      </c>
      <c r="GR95" s="2189">
        <f t="shared" si="708"/>
      </c>
      <c r="GS95" s="2189">
        <f t="shared" si="709"/>
      </c>
      <c r="GT95" s="2189">
        <f t="shared" si="710"/>
      </c>
      <c r="GU95" s="2189">
        <f t="shared" si="778"/>
      </c>
      <c r="GV95" s="2189">
        <f t="shared" si="779"/>
      </c>
      <c r="GW95" s="2189">
        <f t="shared" si="780"/>
      </c>
      <c r="GX95" s="2189">
        <f t="shared" si="781"/>
      </c>
      <c r="GY95" s="2189">
        <f t="shared" si="782"/>
      </c>
      <c r="GZ95" s="2189">
        <f t="shared" si="792"/>
      </c>
      <c r="HA95" s="2189">
        <f t="shared" ref="HA95:HA98" si="797">SUM(DK95:DN95)</f>
      </c>
      <c r="HB95" s="2189">
        <f t="shared" si="785"/>
      </c>
      <c r="HC95" s="2189">
        <f t="shared" si="793"/>
      </c>
      <c r="HD95" s="2189">
        <f t="shared" si="794"/>
      </c>
      <c r="HE95" s="2189">
        <f t="shared" si="795"/>
      </c>
      <c r="HF95" s="2189">
        <f t="shared" si="796"/>
      </c>
    </row>
    <row r="96" spans="1:214" s="1721" customFormat="1" ht="10.199999999999999">
      <c r="A96" s="1727" t="s">
        <v>1454</v>
      </c>
      <c r="B96" s="882"/>
      <c r="C96" s="882"/>
      <c r="D96" s="882"/>
      <c r="E96" s="883"/>
      <c r="F96" s="882"/>
      <c r="G96" s="882"/>
      <c r="H96" s="882"/>
      <c r="I96" s="883"/>
      <c r="J96" s="1728"/>
      <c r="K96" s="1728"/>
      <c r="L96" s="1728"/>
      <c r="M96" s="1729"/>
      <c r="N96" s="1728"/>
      <c r="O96" s="1728"/>
      <c r="P96" s="1728"/>
      <c r="Q96" s="1729"/>
      <c r="R96" s="1728"/>
      <c r="S96" s="1728"/>
      <c r="T96" s="1728"/>
      <c r="U96" s="1729"/>
      <c r="V96" s="1728"/>
      <c r="W96" s="1728"/>
      <c r="X96" s="1728"/>
      <c r="Y96" s="1729"/>
      <c r="Z96" s="1728"/>
      <c r="AA96" s="1728"/>
      <c r="AB96" s="1728"/>
      <c r="AC96" s="1729"/>
      <c r="AD96" s="1728"/>
      <c r="AE96" s="1728"/>
      <c r="AF96" s="1728"/>
      <c r="AG96" s="1729"/>
      <c r="AH96" s="1728"/>
      <c r="AI96" s="1728"/>
      <c r="AJ96" s="1728"/>
      <c r="AK96" s="1729"/>
      <c r="AL96" s="1728"/>
      <c r="AM96" s="1728"/>
      <c r="AN96" s="1728"/>
      <c r="AO96" s="1729"/>
      <c r="AP96" s="1728"/>
      <c r="AQ96" s="1728"/>
      <c r="AR96" s="1728"/>
      <c r="AS96" s="1729"/>
      <c r="AT96" s="1728"/>
      <c r="AU96" s="1728"/>
      <c r="AV96" s="1728"/>
      <c r="AW96" s="1729"/>
      <c r="AX96" s="1728"/>
      <c r="AY96" s="1728"/>
      <c r="AZ96" s="1728"/>
      <c r="BA96" s="1729"/>
      <c r="BB96" s="1728"/>
      <c r="BC96" s="1728"/>
      <c r="BD96" s="1728"/>
      <c r="BE96" s="1729"/>
      <c r="BF96" s="1728"/>
      <c r="BG96" s="1728"/>
      <c r="BH96" s="1728"/>
      <c r="BI96" s="1729"/>
      <c r="BJ96" s="1728"/>
      <c r="BK96" s="1728"/>
      <c r="BL96" s="1728"/>
      <c r="BM96" s="1729"/>
      <c r="BN96" s="1728"/>
      <c r="BO96" s="1728"/>
      <c r="BP96" s="1728"/>
      <c r="BQ96" s="1729"/>
      <c r="BR96" s="1728"/>
      <c r="BS96" s="1728"/>
      <c r="BT96" s="1728"/>
      <c r="BU96" s="1729"/>
      <c r="BV96" s="1728"/>
      <c r="BW96" s="1728"/>
      <c r="BX96" s="1728"/>
      <c r="BY96" s="1729"/>
      <c r="BZ96" s="1728"/>
      <c r="CA96" s="1728"/>
      <c r="CB96" s="1728"/>
      <c r="CC96" s="1729"/>
      <c r="CD96" s="1728"/>
      <c r="CE96" s="1728"/>
      <c r="CF96" s="1728"/>
      <c r="CG96" s="1729"/>
      <c r="CH96" s="1747">
        <v>3</v>
      </c>
      <c r="CI96" s="1747">
        <v>1</v>
      </c>
      <c r="CJ96" s="1747">
        <v>0.25</v>
      </c>
      <c r="CK96" s="1748">
        <v>0.25</v>
      </c>
      <c r="CL96" s="1747">
        <v>0.5</v>
      </c>
      <c r="CM96" s="1747">
        <v>0.1</v>
      </c>
      <c r="CN96" s="1747">
        <v>0.1</v>
      </c>
      <c r="CO96" s="1748">
        <v>0.1</v>
      </c>
      <c r="CP96" s="1747">
        <v>0.25</v>
      </c>
      <c r="CQ96" s="1749">
        <v>2.5</v>
      </c>
      <c r="CR96" s="1747">
        <v>3</v>
      </c>
      <c r="CS96" s="1748">
        <v>1</v>
      </c>
      <c r="CT96" s="1747">
        <v>1.5</v>
      </c>
      <c r="CU96" s="1747">
        <v>0.5</v>
      </c>
      <c r="CV96" s="1747">
        <v>0.5</v>
      </c>
      <c r="CW96" s="1748">
        <v>0.25</v>
      </c>
      <c r="CX96" s="1749">
        <v>3.5</v>
      </c>
      <c r="CY96" s="1747">
        <v>6</v>
      </c>
      <c r="CZ96" s="1747">
        <v>3</v>
      </c>
      <c r="DA96" s="1748">
        <v>1</v>
      </c>
      <c r="DB96" s="1747">
        <v>2</v>
      </c>
      <c r="DC96" s="1749">
        <v>4.5</v>
      </c>
      <c r="DD96" s="1749">
        <v>7</v>
      </c>
      <c r="DE96" s="1748">
        <v>6</v>
      </c>
      <c r="DF96" s="1747">
        <f>1.5*14/13</f>
      </c>
      <c r="DG96" s="1747">
        <v>1</v>
      </c>
      <c r="DH96" s="1747">
        <v>1</v>
      </c>
      <c r="DI96" s="1748">
        <v>1</v>
      </c>
      <c r="DJ96" s="1747">
        <v>1</v>
      </c>
      <c r="DK96" s="1747">
        <v>1</v>
      </c>
      <c r="DL96" s="1749">
        <v>3.8</v>
      </c>
      <c r="DM96" s="1748">
        <v>3.5</v>
      </c>
      <c r="DN96" s="1747">
        <v>3</v>
      </c>
      <c r="DO96" s="1749">
        <v>2</v>
      </c>
      <c r="DP96" s="1747">
        <v>2</v>
      </c>
      <c r="DQ96" s="1748">
        <v>2</v>
      </c>
      <c r="DR96" s="1747">
        <v>1</v>
      </c>
      <c r="DS96" s="1749">
        <v>2.5</v>
      </c>
      <c r="DT96" s="1747">
        <v>2</v>
      </c>
      <c r="DU96" s="1750">
        <v>4.5</v>
      </c>
      <c r="DV96" s="1747">
        <v>3</v>
      </c>
      <c r="DW96" s="1747">
        <v>3</v>
      </c>
      <c r="DX96" s="1747">
        <v>2</v>
      </c>
      <c r="DY96" s="1748">
        <v>0.5</v>
      </c>
      <c r="DZ96" s="1747">
        <v>0.5</v>
      </c>
      <c r="EA96" s="1749">
        <v>5</v>
      </c>
      <c r="EB96" s="1749">
        <v>2</v>
      </c>
      <c r="EC96" s="1748">
        <v>2</v>
      </c>
      <c r="ED96" s="1747">
        <v>3</v>
      </c>
      <c r="EE96" s="1747">
        <v>2.5</v>
      </c>
      <c r="EF96" s="1747">
        <v>2</v>
      </c>
      <c r="EG96" s="1750">
        <v>4.5</v>
      </c>
      <c r="EH96" s="1747">
        <v>3</v>
      </c>
      <c r="EI96" s="1747">
        <v>3</v>
      </c>
      <c r="EJ96" s="1747">
        <v>2</v>
      </c>
      <c r="EK96" s="1750">
        <v>4.5</v>
      </c>
      <c r="EM96" s="2189">
        <f t="shared" si="745"/>
      </c>
      <c r="EN96" s="2189">
        <f t="shared" si="746"/>
      </c>
      <c r="EO96" s="2189">
        <f t="shared" si="747"/>
      </c>
      <c r="EP96" s="2189">
        <f t="shared" si="748"/>
      </c>
      <c r="EQ96" s="2189">
        <f t="shared" si="749"/>
      </c>
      <c r="ER96" s="2189">
        <f t="shared" si="750"/>
      </c>
      <c r="ES96" s="2189">
        <f t="shared" si="751"/>
      </c>
      <c r="ET96" s="2189">
        <f t="shared" si="752"/>
      </c>
      <c r="EU96" s="2189">
        <f t="shared" si="753"/>
      </c>
      <c r="EV96" s="2189">
        <f t="shared" si="754"/>
      </c>
      <c r="EW96" s="2189">
        <f t="shared" si="755"/>
      </c>
      <c r="EX96" s="2189">
        <f t="shared" si="756"/>
      </c>
      <c r="EY96" s="2189">
        <f t="shared" si="757"/>
      </c>
      <c r="EZ96" s="2189">
        <f t="shared" si="758"/>
      </c>
      <c r="FA96" s="2189">
        <f t="shared" si="759"/>
      </c>
      <c r="FB96" s="2189">
        <f t="shared" si="760"/>
      </c>
      <c r="FC96" s="2189">
        <f t="shared" si="761"/>
      </c>
      <c r="FD96" s="2189">
        <f t="shared" si="762"/>
      </c>
      <c r="FE96" s="2189">
        <f t="shared" si="763"/>
      </c>
      <c r="FF96" s="2189">
        <f t="shared" si="764"/>
      </c>
      <c r="FG96" s="2189"/>
      <c r="FH96" s="2189">
        <f t="shared" si="766"/>
      </c>
      <c r="FI96" s="2189">
        <f t="shared" si="767"/>
      </c>
      <c r="FJ96" s="2189">
        <f t="shared" si="768"/>
      </c>
      <c r="FK96" s="2189">
        <f t="shared" si="769"/>
      </c>
      <c r="FL96" s="2189">
        <f t="shared" si="770"/>
      </c>
      <c r="FM96" s="2189">
        <f t="shared" si="771"/>
      </c>
      <c r="FN96" s="2189">
        <f t="shared" si="790"/>
      </c>
      <c r="FO96" s="2189">
        <f t="shared" si="772"/>
      </c>
      <c r="FP96" s="2189">
        <f t="shared" si="773"/>
      </c>
      <c r="FQ96" s="2189">
        <f t="shared" si="791"/>
      </c>
      <c r="FR96" s="2189">
        <f t="shared" si="774"/>
      </c>
      <c r="FS96" s="2189">
        <f t="shared" si="775"/>
      </c>
      <c r="FT96" s="2189">
        <f t="shared" si="776"/>
      </c>
      <c r="FU96" s="2189">
        <f t="shared" si="777"/>
      </c>
      <c r="FV96" s="2189"/>
      <c r="FW96" s="2189"/>
      <c r="FX96" s="2189"/>
      <c r="FY96" s="2189"/>
      <c r="FZ96" s="2189">
        <f t="shared" si="690"/>
      </c>
      <c r="GA96" s="2189">
        <f t="shared" si="691"/>
      </c>
      <c r="GB96" s="2189">
        <f t="shared" si="692"/>
      </c>
      <c r="GC96" s="2189">
        <f t="shared" si="693"/>
      </c>
      <c r="GD96" s="2189">
        <f t="shared" si="694"/>
      </c>
      <c r="GE96" s="2189">
        <f t="shared" si="695"/>
      </c>
      <c r="GF96" s="2189">
        <f t="shared" si="696"/>
      </c>
      <c r="GG96" s="2189">
        <f t="shared" si="697"/>
      </c>
      <c r="GH96" s="2189">
        <f t="shared" si="698"/>
      </c>
      <c r="GI96" s="2189">
        <f t="shared" si="699"/>
      </c>
      <c r="GJ96" s="2189">
        <f t="shared" si="700"/>
      </c>
      <c r="GK96" s="2189">
        <f t="shared" si="701"/>
      </c>
      <c r="GL96" s="2189">
        <f t="shared" si="702"/>
      </c>
      <c r="GM96" s="2189">
        <f t="shared" si="703"/>
      </c>
      <c r="GN96" s="2189">
        <f t="shared" si="704"/>
      </c>
      <c r="GO96" s="2189">
        <f t="shared" si="705"/>
      </c>
      <c r="GP96" s="2189">
        <f t="shared" si="706"/>
      </c>
      <c r="GQ96" s="2189">
        <f t="shared" si="707"/>
      </c>
      <c r="GR96" s="2189">
        <f t="shared" si="708"/>
      </c>
      <c r="GS96" s="2189">
        <f t="shared" si="709"/>
      </c>
      <c r="GT96" s="2189">
        <f t="shared" si="710"/>
      </c>
      <c r="GU96" s="2189">
        <f t="shared" si="778"/>
      </c>
      <c r="GV96" s="2189">
        <f t="shared" si="779"/>
      </c>
      <c r="GW96" s="2189">
        <f t="shared" si="780"/>
      </c>
      <c r="GX96" s="2189">
        <f t="shared" si="781"/>
      </c>
      <c r="GY96" s="2189">
        <f t="shared" si="782"/>
      </c>
      <c r="GZ96" s="2189">
        <f t="shared" si="792"/>
      </c>
      <c r="HA96" s="2189">
        <f t="shared" si="797"/>
      </c>
      <c r="HB96" s="2189">
        <f t="shared" si="785"/>
      </c>
      <c r="HC96" s="2189">
        <f t="shared" si="793"/>
      </c>
      <c r="HD96" s="2189">
        <f t="shared" si="794"/>
      </c>
      <c r="HE96" s="2189">
        <f t="shared" si="795"/>
      </c>
      <c r="HF96" s="2189">
        <f t="shared" si="796"/>
      </c>
    </row>
    <row r="97" spans="1:214" s="1721" customFormat="1" ht="10.199999999999999">
      <c r="A97" s="1727" t="s">
        <v>1455</v>
      </c>
      <c r="B97" s="882"/>
      <c r="C97" s="882"/>
      <c r="D97" s="882"/>
      <c r="E97" s="883"/>
      <c r="F97" s="882"/>
      <c r="G97" s="882"/>
      <c r="H97" s="882"/>
      <c r="I97" s="883"/>
      <c r="J97" s="1728"/>
      <c r="K97" s="1728"/>
      <c r="L97" s="1728"/>
      <c r="M97" s="1729"/>
      <c r="N97" s="1728"/>
      <c r="O97" s="1728"/>
      <c r="P97" s="1728"/>
      <c r="Q97" s="1729"/>
      <c r="R97" s="1728"/>
      <c r="S97" s="1728"/>
      <c r="T97" s="1728"/>
      <c r="U97" s="1729"/>
      <c r="V97" s="1728"/>
      <c r="W97" s="1728"/>
      <c r="X97" s="1728"/>
      <c r="Y97" s="1729"/>
      <c r="Z97" s="1728"/>
      <c r="AA97" s="1728"/>
      <c r="AB97" s="1728"/>
      <c r="AC97" s="1729"/>
      <c r="AD97" s="1728"/>
      <c r="AE97" s="1728"/>
      <c r="AF97" s="1728"/>
      <c r="AG97" s="1729"/>
      <c r="AH97" s="1728"/>
      <c r="AI97" s="1728"/>
      <c r="AJ97" s="1728"/>
      <c r="AK97" s="1729"/>
      <c r="AL97" s="1728"/>
      <c r="AM97" s="1728"/>
      <c r="AN97" s="1728"/>
      <c r="AO97" s="1729"/>
      <c r="AP97" s="1728"/>
      <c r="AQ97" s="1728"/>
      <c r="AR97" s="1728"/>
      <c r="AS97" s="1729"/>
      <c r="AT97" s="1728"/>
      <c r="AU97" s="1728"/>
      <c r="AV97" s="1728"/>
      <c r="AW97" s="1729"/>
      <c r="AX97" s="1728"/>
      <c r="AY97" s="1728"/>
      <c r="AZ97" s="1728"/>
      <c r="BA97" s="1729"/>
      <c r="BB97" s="1728"/>
      <c r="BC97" s="1728"/>
      <c r="BD97" s="1728"/>
      <c r="BE97" s="1729"/>
      <c r="BF97" s="1728"/>
      <c r="BG97" s="1728"/>
      <c r="BH97" s="1728"/>
      <c r="BI97" s="1729"/>
      <c r="BJ97" s="1728"/>
      <c r="BK97" s="1728"/>
      <c r="BL97" s="1728"/>
      <c r="BM97" s="1729"/>
      <c r="BN97" s="1728"/>
      <c r="BO97" s="1728"/>
      <c r="BP97" s="1728"/>
      <c r="BQ97" s="1729"/>
      <c r="BR97" s="1728"/>
      <c r="BS97" s="1728"/>
      <c r="BT97" s="1728"/>
      <c r="BU97" s="1729"/>
      <c r="BV97" s="1728"/>
      <c r="BW97" s="1728"/>
      <c r="BX97" s="1728"/>
      <c r="BY97" s="1729"/>
      <c r="BZ97" s="1728"/>
      <c r="CA97" s="1728"/>
      <c r="CB97" s="1728"/>
      <c r="CC97" s="1729"/>
      <c r="CD97" s="1728"/>
      <c r="CE97" s="1728"/>
      <c r="CF97" s="1728"/>
      <c r="CG97" s="1729"/>
      <c r="CH97" s="1747">
        <v>7</v>
      </c>
      <c r="CI97" s="1747">
        <v>0.7</v>
      </c>
      <c r="CJ97" s="1747">
        <v>0.5</v>
      </c>
      <c r="CK97" s="1748">
        <v>0.25</v>
      </c>
      <c r="CL97" s="1747">
        <v>0.5</v>
      </c>
      <c r="CM97" s="1747">
        <v>0.1</v>
      </c>
      <c r="CN97" s="1747">
        <v>0.1</v>
      </c>
      <c r="CO97" s="1748">
        <v>0.1</v>
      </c>
      <c r="CP97" s="1747">
        <v>0.25</v>
      </c>
      <c r="CQ97" s="1749">
        <v>2</v>
      </c>
      <c r="CR97" s="1747">
        <v>2.5</v>
      </c>
      <c r="CS97" s="1748">
        <v>1</v>
      </c>
      <c r="CT97" s="1747">
        <v>2</v>
      </c>
      <c r="CU97" s="1747">
        <v>0.5</v>
      </c>
      <c r="CV97" s="1747">
        <v>0.75</v>
      </c>
      <c r="CW97" s="1748">
        <v>0.5</v>
      </c>
      <c r="CX97" s="1747">
        <v>1</v>
      </c>
      <c r="CY97" s="1747">
        <v>0.25</v>
      </c>
      <c r="CZ97" s="1747">
        <v>0.25</v>
      </c>
      <c r="DA97" s="1750">
        <v>2</v>
      </c>
      <c r="DB97" s="1747">
        <v>4</v>
      </c>
      <c r="DC97" s="1747">
        <v>0.5</v>
      </c>
      <c r="DD97" s="1747">
        <v>0.5</v>
      </c>
      <c r="DE97" s="1748">
        <v>0.5</v>
      </c>
      <c r="DF97" s="1747">
        <f>0.5*14/13</f>
      </c>
      <c r="DG97" s="1747">
        <v>1</v>
      </c>
      <c r="DH97" s="1747">
        <v>1</v>
      </c>
      <c r="DI97" s="1748">
        <v>1</v>
      </c>
      <c r="DJ97" s="1747">
        <v>0.5</v>
      </c>
      <c r="DK97" s="1747">
        <v>0.5</v>
      </c>
      <c r="DL97" s="1747">
        <v>0.5</v>
      </c>
      <c r="DM97" s="1748">
        <v>0.5</v>
      </c>
      <c r="DN97" s="1749">
        <v>4</v>
      </c>
      <c r="DO97" s="1747">
        <v>2</v>
      </c>
      <c r="DP97" s="1747">
        <v>1</v>
      </c>
      <c r="DQ97" s="1748">
        <v>1</v>
      </c>
      <c r="DR97" s="1747">
        <v>1.5</v>
      </c>
      <c r="DS97" s="1747">
        <v>0.5</v>
      </c>
      <c r="DT97" s="1747">
        <v>0.5</v>
      </c>
      <c r="DU97" s="1748">
        <v>0.5</v>
      </c>
      <c r="DV97" s="1747">
        <v>1</v>
      </c>
      <c r="DW97" s="1747">
        <v>0.5</v>
      </c>
      <c r="DX97" s="1747">
        <v>0.5</v>
      </c>
      <c r="DY97" s="1748">
        <v>0.5</v>
      </c>
      <c r="DZ97" s="1747">
        <v>1</v>
      </c>
      <c r="EA97" s="1747">
        <v>0.5</v>
      </c>
      <c r="EB97" s="1747">
        <v>0.5</v>
      </c>
      <c r="EC97" s="1748">
        <v>0.5</v>
      </c>
      <c r="ED97" s="1747">
        <v>1</v>
      </c>
      <c r="EE97" s="1747">
        <v>0.5</v>
      </c>
      <c r="EF97" s="1747">
        <v>0.5</v>
      </c>
      <c r="EG97" s="1748">
        <v>0.5</v>
      </c>
      <c r="EH97" s="1747">
        <v>1</v>
      </c>
      <c r="EI97" s="1747">
        <v>0.5</v>
      </c>
      <c r="EJ97" s="1747">
        <v>0.5</v>
      </c>
      <c r="EK97" s="1748">
        <v>0.5</v>
      </c>
      <c r="EM97" s="2189">
        <f t="shared" si="745"/>
      </c>
      <c r="EN97" s="2189">
        <f t="shared" si="746"/>
      </c>
      <c r="EO97" s="2189">
        <f t="shared" si="747"/>
      </c>
      <c r="EP97" s="2189">
        <f t="shared" si="748"/>
      </c>
      <c r="EQ97" s="2189">
        <f t="shared" si="749"/>
      </c>
      <c r="ER97" s="2189">
        <f t="shared" si="750"/>
      </c>
      <c r="ES97" s="2189">
        <f t="shared" si="751"/>
      </c>
      <c r="ET97" s="2189">
        <f t="shared" si="752"/>
      </c>
      <c r="EU97" s="2189">
        <f t="shared" si="753"/>
      </c>
      <c r="EV97" s="2189">
        <f t="shared" si="754"/>
      </c>
      <c r="EW97" s="2189">
        <f t="shared" si="755"/>
      </c>
      <c r="EX97" s="2189">
        <f t="shared" si="756"/>
      </c>
      <c r="EY97" s="2189">
        <f t="shared" si="757"/>
      </c>
      <c r="EZ97" s="2189">
        <f t="shared" si="758"/>
      </c>
      <c r="FA97" s="2189">
        <f t="shared" si="759"/>
      </c>
      <c r="FB97" s="2189">
        <f t="shared" si="760"/>
      </c>
      <c r="FC97" s="2189">
        <f t="shared" si="761"/>
      </c>
      <c r="FD97" s="2189">
        <f t="shared" si="762"/>
      </c>
      <c r="FE97" s="2189">
        <f t="shared" si="763"/>
      </c>
      <c r="FF97" s="2189">
        <f t="shared" si="764"/>
      </c>
      <c r="FG97" s="2189"/>
      <c r="FH97" s="2189">
        <f t="shared" si="766"/>
      </c>
      <c r="FI97" s="2189">
        <f t="shared" si="767"/>
      </c>
      <c r="FJ97" s="2189">
        <f t="shared" si="768"/>
      </c>
      <c r="FK97" s="2189">
        <f t="shared" si="769"/>
      </c>
      <c r="FL97" s="2189">
        <f t="shared" si="770"/>
      </c>
      <c r="FM97" s="2189">
        <f t="shared" si="771"/>
      </c>
      <c r="FN97" s="2189">
        <f t="shared" si="790"/>
      </c>
      <c r="FO97" s="2189">
        <f t="shared" si="772"/>
      </c>
      <c r="FP97" s="2189">
        <f t="shared" si="773"/>
      </c>
      <c r="FQ97" s="2189">
        <f t="shared" si="791"/>
      </c>
      <c r="FR97" s="2189">
        <f t="shared" si="774"/>
      </c>
      <c r="FS97" s="2189">
        <f t="shared" si="775"/>
      </c>
      <c r="FT97" s="2189">
        <f t="shared" si="776"/>
      </c>
      <c r="FU97" s="2189">
        <f t="shared" si="777"/>
      </c>
      <c r="FV97" s="2189"/>
      <c r="FW97" s="2189"/>
      <c r="FX97" s="2189"/>
      <c r="FY97" s="2189"/>
      <c r="FZ97" s="2189">
        <f t="shared" si="690"/>
      </c>
      <c r="GA97" s="2189">
        <f t="shared" si="691"/>
      </c>
      <c r="GB97" s="2189">
        <f t="shared" si="692"/>
      </c>
      <c r="GC97" s="2189">
        <f t="shared" si="693"/>
      </c>
      <c r="GD97" s="2189">
        <f t="shared" si="694"/>
      </c>
      <c r="GE97" s="2189">
        <f t="shared" si="695"/>
      </c>
      <c r="GF97" s="2189">
        <f t="shared" si="696"/>
      </c>
      <c r="GG97" s="2189">
        <f t="shared" si="697"/>
      </c>
      <c r="GH97" s="2189">
        <f t="shared" si="698"/>
      </c>
      <c r="GI97" s="2189">
        <f t="shared" si="699"/>
      </c>
      <c r="GJ97" s="2189">
        <f t="shared" si="700"/>
      </c>
      <c r="GK97" s="2189">
        <f t="shared" si="701"/>
      </c>
      <c r="GL97" s="2189">
        <f t="shared" si="702"/>
      </c>
      <c r="GM97" s="2189">
        <f t="shared" si="703"/>
      </c>
      <c r="GN97" s="2189">
        <f t="shared" si="704"/>
      </c>
      <c r="GO97" s="2189">
        <f t="shared" si="705"/>
      </c>
      <c r="GP97" s="2189">
        <f t="shared" si="706"/>
      </c>
      <c r="GQ97" s="2189">
        <f t="shared" si="707"/>
      </c>
      <c r="GR97" s="2189">
        <f t="shared" si="708"/>
      </c>
      <c r="GS97" s="2189">
        <f t="shared" si="709"/>
      </c>
      <c r="GT97" s="2189">
        <f t="shared" si="710"/>
      </c>
      <c r="GU97" s="2189">
        <f t="shared" si="778"/>
      </c>
      <c r="GV97" s="2189">
        <f t="shared" si="779"/>
      </c>
      <c r="GW97" s="2189">
        <f t="shared" si="780"/>
      </c>
      <c r="GX97" s="2189">
        <f t="shared" si="781"/>
      </c>
      <c r="GY97" s="2189">
        <f t="shared" si="782"/>
      </c>
      <c r="GZ97" s="2189">
        <f t="shared" si="792"/>
      </c>
      <c r="HA97" s="2189">
        <f t="shared" si="797"/>
      </c>
      <c r="HB97" s="2189">
        <f t="shared" si="785"/>
      </c>
      <c r="HC97" s="2189">
        <f t="shared" si="793"/>
      </c>
      <c r="HD97" s="2189">
        <f t="shared" si="794"/>
      </c>
      <c r="HE97" s="2189">
        <f t="shared" si="795"/>
      </c>
      <c r="HF97" s="2189">
        <f t="shared" si="796"/>
      </c>
    </row>
    <row r="98" spans="1:214" s="1721" customFormat="1" ht="10.8" thickBot="1">
      <c r="A98" s="1734" t="s">
        <v>140</v>
      </c>
      <c r="B98" s="1730"/>
      <c r="C98" s="1730"/>
      <c r="D98" s="1730"/>
      <c r="E98" s="1731"/>
      <c r="F98" s="1730"/>
      <c r="G98" s="1730"/>
      <c r="H98" s="1730"/>
      <c r="I98" s="1731"/>
      <c r="J98" s="1732"/>
      <c r="K98" s="1732"/>
      <c r="L98" s="1732"/>
      <c r="M98" s="1733"/>
      <c r="N98" s="1732"/>
      <c r="O98" s="1732"/>
      <c r="P98" s="1732"/>
      <c r="Q98" s="1733"/>
      <c r="R98" s="1732"/>
      <c r="S98" s="1732"/>
      <c r="T98" s="1732"/>
      <c r="U98" s="1733"/>
      <c r="V98" s="1732"/>
      <c r="W98" s="1732"/>
      <c r="X98" s="1732"/>
      <c r="Y98" s="1733"/>
      <c r="Z98" s="1732"/>
      <c r="AA98" s="1732"/>
      <c r="AB98" s="1732"/>
      <c r="AC98" s="1733"/>
      <c r="AD98" s="1732"/>
      <c r="AE98" s="1732"/>
      <c r="AF98" s="1732"/>
      <c r="AG98" s="1733"/>
      <c r="AH98" s="1732"/>
      <c r="AI98" s="1732"/>
      <c r="AJ98" s="1732"/>
      <c r="AK98" s="1733"/>
      <c r="AL98" s="1732"/>
      <c r="AM98" s="1732"/>
      <c r="AN98" s="1732"/>
      <c r="AO98" s="1733"/>
      <c r="AP98" s="1732"/>
      <c r="AQ98" s="1732"/>
      <c r="AR98" s="1732"/>
      <c r="AS98" s="1733"/>
      <c r="AT98" s="1732"/>
      <c r="AU98" s="1732"/>
      <c r="AV98" s="1732"/>
      <c r="AW98" s="1733"/>
      <c r="AX98" s="1732"/>
      <c r="AY98" s="1732"/>
      <c r="AZ98" s="1732"/>
      <c r="BA98" s="1733"/>
      <c r="BB98" s="1732"/>
      <c r="BC98" s="1732"/>
      <c r="BD98" s="1732"/>
      <c r="BE98" s="1733"/>
      <c r="BF98" s="1732"/>
      <c r="BG98" s="1732"/>
      <c r="BH98" s="1732"/>
      <c r="BI98" s="1733"/>
      <c r="BJ98" s="1732"/>
      <c r="BK98" s="1732"/>
      <c r="BL98" s="1732"/>
      <c r="BM98" s="1733"/>
      <c r="BN98" s="1732"/>
      <c r="BO98" s="1732"/>
      <c r="BP98" s="1732"/>
      <c r="BQ98" s="1733"/>
      <c r="BR98" s="1732"/>
      <c r="BS98" s="1732"/>
      <c r="BT98" s="1732"/>
      <c r="BU98" s="1733"/>
      <c r="BV98" s="1732"/>
      <c r="BW98" s="1732"/>
      <c r="BX98" s="1732"/>
      <c r="BY98" s="1733"/>
      <c r="BZ98" s="1732"/>
      <c r="CA98" s="1732"/>
      <c r="CB98" s="1732"/>
      <c r="CC98" s="1733"/>
      <c r="CD98" s="1732"/>
      <c r="CE98" s="1732"/>
      <c r="CF98" s="1732"/>
      <c r="CG98" s="1733"/>
      <c r="CH98" s="1735">
        <f t="shared" ref="CH98:DF98" si="798">CH99-CH97-CH96-CH95-CH94</f>
      </c>
      <c r="CI98" s="1735">
        <f t="shared" si="798"/>
      </c>
      <c r="CJ98" s="1735">
        <f t="shared" si="798"/>
      </c>
      <c r="CK98" s="1736">
        <f t="shared" si="798"/>
      </c>
      <c r="CL98" s="1735">
        <f t="shared" si="798"/>
      </c>
      <c r="CM98" s="1735">
        <f t="shared" si="798"/>
      </c>
      <c r="CN98" s="1735">
        <f t="shared" si="798"/>
      </c>
      <c r="CO98" s="1736">
        <f t="shared" si="798"/>
      </c>
      <c r="CP98" s="1735">
        <f t="shared" si="798"/>
      </c>
      <c r="CQ98" s="1735">
        <f t="shared" si="798"/>
      </c>
      <c r="CR98" s="1735">
        <f t="shared" si="798"/>
      </c>
      <c r="CS98" s="1736">
        <f t="shared" si="798"/>
      </c>
      <c r="CT98" s="1735">
        <f t="shared" si="798"/>
      </c>
      <c r="CU98" s="1735">
        <f t="shared" si="798"/>
      </c>
      <c r="CV98" s="1735">
        <f t="shared" si="798"/>
      </c>
      <c r="CW98" s="1736">
        <f t="shared" si="798"/>
      </c>
      <c r="CX98" s="1735">
        <f t="shared" si="798"/>
      </c>
      <c r="CY98" s="1735">
        <f t="shared" si="798"/>
      </c>
      <c r="CZ98" s="1735">
        <f t="shared" si="798"/>
      </c>
      <c r="DA98" s="1736">
        <f t="shared" si="798"/>
      </c>
      <c r="DB98" s="1735">
        <f t="shared" si="798"/>
      </c>
      <c r="DC98" s="1735">
        <f>DC99-DC97-DC96-DC95-DC94</f>
      </c>
      <c r="DD98" s="1735">
        <f t="shared" si="798"/>
      </c>
      <c r="DE98" s="1736">
        <f t="shared" ref="DE98" si="799">DE99-DE97-DE96-DE95-DE94</f>
      </c>
      <c r="DF98" s="1735">
        <f t="shared" si="798"/>
      </c>
      <c r="DG98" s="1735">
        <f>DG99-DG97-DG96-DG95-DG94</f>
      </c>
      <c r="DH98" s="1735">
        <f t="shared" ref="DH98:DK98" si="800">DH99-DH97-DH96-DH95-DH94</f>
      </c>
      <c r="DI98" s="1736">
        <f t="shared" si="800"/>
      </c>
      <c r="DJ98" s="1735">
        <f t="shared" si="800"/>
      </c>
      <c r="DK98" s="1735">
        <f t="shared" si="800"/>
      </c>
      <c r="DL98" s="1735">
        <f>DL99-DL97-DL96-DL95-DL94</f>
      </c>
      <c r="DM98" s="1735">
        <f>DM99-DM97-DM96-DM95-DM94</f>
      </c>
      <c r="DN98" s="1735">
        <f t="shared" ref="DN98" si="801">DN99-DN97-DN96-DN95-DN94</f>
      </c>
      <c r="DO98" s="1768">
        <v>1</v>
      </c>
      <c r="DP98" s="1768">
        <v>1</v>
      </c>
      <c r="DQ98" s="1769">
        <v>1</v>
      </c>
      <c r="DR98" s="1768">
        <v>1</v>
      </c>
      <c r="DS98" s="1768">
        <v>1</v>
      </c>
      <c r="DT98" s="1768">
        <v>1</v>
      </c>
      <c r="DU98" s="1769">
        <v>1</v>
      </c>
      <c r="DV98" s="1768">
        <v>1</v>
      </c>
      <c r="DW98" s="1768">
        <v>1</v>
      </c>
      <c r="DX98" s="1768">
        <v>1</v>
      </c>
      <c r="DY98" s="1769">
        <v>1</v>
      </c>
      <c r="DZ98" s="1768">
        <v>1</v>
      </c>
      <c r="EA98" s="1768">
        <v>1</v>
      </c>
      <c r="EB98" s="1768">
        <v>1</v>
      </c>
      <c r="EC98" s="1769">
        <v>1</v>
      </c>
      <c r="ED98" s="1768">
        <v>1</v>
      </c>
      <c r="EE98" s="1768">
        <v>1</v>
      </c>
      <c r="EF98" s="1768">
        <v>1</v>
      </c>
      <c r="EG98" s="1769">
        <v>1</v>
      </c>
      <c r="EH98" s="1768">
        <v>1</v>
      </c>
      <c r="EI98" s="1768">
        <v>1</v>
      </c>
      <c r="EJ98" s="1768">
        <v>1</v>
      </c>
      <c r="EK98" s="1769">
        <v>1</v>
      </c>
      <c r="EM98" s="2190">
        <f t="shared" si="745"/>
      </c>
      <c r="EN98" s="2190">
        <f t="shared" si="746"/>
      </c>
      <c r="EO98" s="2190">
        <f t="shared" si="747"/>
      </c>
      <c r="EP98" s="2190">
        <f t="shared" si="748"/>
      </c>
      <c r="EQ98" s="2190">
        <f t="shared" si="749"/>
      </c>
      <c r="ER98" s="2190">
        <f t="shared" si="750"/>
      </c>
      <c r="ES98" s="2190">
        <f t="shared" si="751"/>
      </c>
      <c r="ET98" s="2190">
        <f t="shared" si="752"/>
      </c>
      <c r="EU98" s="2190">
        <f t="shared" si="753"/>
      </c>
      <c r="EV98" s="2190">
        <f t="shared" si="754"/>
      </c>
      <c r="EW98" s="2190">
        <f t="shared" si="755"/>
      </c>
      <c r="EX98" s="2190">
        <f t="shared" si="756"/>
      </c>
      <c r="EY98" s="2190">
        <f t="shared" si="757"/>
      </c>
      <c r="EZ98" s="2190">
        <f t="shared" si="758"/>
      </c>
      <c r="FA98" s="2190">
        <f t="shared" si="759"/>
      </c>
      <c r="FB98" s="2190">
        <f t="shared" si="760"/>
      </c>
      <c r="FC98" s="2190">
        <f t="shared" si="761"/>
      </c>
      <c r="FD98" s="2190">
        <f t="shared" si="762"/>
      </c>
      <c r="FE98" s="2190">
        <f t="shared" si="763"/>
      </c>
      <c r="FF98" s="2190">
        <f t="shared" si="764"/>
      </c>
      <c r="FG98" s="2190"/>
      <c r="FH98" s="2190">
        <f t="shared" si="766"/>
      </c>
      <c r="FI98" s="2190">
        <f t="shared" si="767"/>
      </c>
      <c r="FJ98" s="2190">
        <f t="shared" si="768"/>
      </c>
      <c r="FK98" s="2190">
        <f t="shared" si="769"/>
      </c>
      <c r="FL98" s="2190">
        <f t="shared" si="770"/>
      </c>
      <c r="FM98" s="2190">
        <f t="shared" si="771"/>
      </c>
      <c r="FN98" s="2190">
        <f t="shared" si="790"/>
      </c>
      <c r="FO98" s="2190">
        <f t="shared" si="772"/>
      </c>
      <c r="FP98" s="2190">
        <f t="shared" si="773"/>
      </c>
      <c r="FQ98" s="2190">
        <f t="shared" si="791"/>
      </c>
      <c r="FR98" s="2190">
        <f t="shared" si="774"/>
      </c>
      <c r="FS98" s="2190">
        <f t="shared" si="775"/>
      </c>
      <c r="FT98" s="2190">
        <f t="shared" si="776"/>
      </c>
      <c r="FU98" s="2190">
        <f t="shared" si="777"/>
      </c>
      <c r="FV98" s="2189"/>
      <c r="FW98" s="2189"/>
      <c r="FX98" s="2189"/>
      <c r="FY98" s="2189"/>
      <c r="FZ98" s="2189">
        <f t="shared" si="690"/>
      </c>
      <c r="GA98" s="2189">
        <f t="shared" si="691"/>
      </c>
      <c r="GB98" s="2189">
        <f t="shared" si="692"/>
      </c>
      <c r="GC98" s="2189">
        <f t="shared" si="693"/>
      </c>
      <c r="GD98" s="2189">
        <f t="shared" si="694"/>
      </c>
      <c r="GE98" s="2189">
        <f t="shared" si="695"/>
      </c>
      <c r="GF98" s="2189">
        <f t="shared" si="696"/>
      </c>
      <c r="GG98" s="2189">
        <f t="shared" si="697"/>
      </c>
      <c r="GH98" s="2189">
        <f t="shared" si="698"/>
      </c>
      <c r="GI98" s="2189">
        <f t="shared" si="699"/>
      </c>
      <c r="GJ98" s="2189">
        <f t="shared" si="700"/>
      </c>
      <c r="GK98" s="2189">
        <f t="shared" si="701"/>
      </c>
      <c r="GL98" s="2189">
        <f t="shared" si="702"/>
      </c>
      <c r="GM98" s="2189">
        <f t="shared" si="703"/>
      </c>
      <c r="GN98" s="2189">
        <f t="shared" si="704"/>
      </c>
      <c r="GO98" s="2189">
        <f t="shared" si="705"/>
      </c>
      <c r="GP98" s="2189">
        <f t="shared" si="706"/>
      </c>
      <c r="GQ98" s="2189">
        <f t="shared" si="707"/>
      </c>
      <c r="GR98" s="2189">
        <f t="shared" si="708"/>
      </c>
      <c r="GS98" s="2189">
        <f t="shared" si="709"/>
      </c>
      <c r="GT98" s="2189">
        <f t="shared" si="710"/>
      </c>
      <c r="GU98" s="2189">
        <f t="shared" si="778"/>
      </c>
      <c r="GV98" s="2189">
        <f t="shared" si="779"/>
      </c>
      <c r="GW98" s="2189">
        <f t="shared" si="780"/>
      </c>
      <c r="GX98" s="2189">
        <f t="shared" si="781"/>
      </c>
      <c r="GY98" s="2189">
        <f t="shared" si="782"/>
      </c>
      <c r="GZ98" s="2189">
        <f t="shared" si="792"/>
      </c>
      <c r="HA98" s="2189">
        <f t="shared" si="797"/>
      </c>
      <c r="HB98" s="2189">
        <f t="shared" si="785"/>
      </c>
      <c r="HC98" s="2189">
        <f t="shared" si="793"/>
      </c>
      <c r="HD98" s="2189">
        <f t="shared" si="794"/>
      </c>
      <c r="HE98" s="2189">
        <f t="shared" si="795"/>
      </c>
      <c r="HF98" s="2189">
        <f t="shared" si="796"/>
      </c>
    </row>
    <row r="99" spans="1:214" s="18" customFormat="1" ht="10.199999999999999">
      <c r="A99" s="1" t="s">
        <v>85</v>
      </c>
      <c r="B99" s="65"/>
      <c r="C99" s="65"/>
      <c r="D99" s="65"/>
      <c r="E99" s="177"/>
      <c r="F99" s="65"/>
      <c r="G99" s="65"/>
      <c r="H99" s="65"/>
      <c r="I99" s="177"/>
      <c r="J99" s="65"/>
      <c r="K99" s="65"/>
      <c r="L99" s="65"/>
      <c r="M99" s="177"/>
      <c r="N99" s="65"/>
      <c r="O99" s="65"/>
      <c r="P99" s="65"/>
      <c r="Q99" s="177"/>
      <c r="R99" s="65"/>
      <c r="S99" s="65"/>
      <c r="T99" s="65"/>
      <c r="U99" s="177"/>
      <c r="V99" s="65"/>
      <c r="W99" s="65"/>
      <c r="X99" s="65"/>
      <c r="Y99" s="177"/>
      <c r="Z99" s="34"/>
      <c r="AA99" s="34"/>
      <c r="AB99" s="34"/>
      <c r="AC99" s="173"/>
      <c r="AD99" s="34"/>
      <c r="AE99" s="34"/>
      <c r="AF99" s="34"/>
      <c r="AG99" s="173"/>
      <c r="AH99" s="34"/>
      <c r="AI99" s="34"/>
      <c r="AJ99" s="34"/>
      <c r="AK99" s="173"/>
      <c r="AL99" s="34"/>
      <c r="AM99" s="34"/>
      <c r="AN99" s="34"/>
      <c r="AO99" s="173"/>
      <c r="AP99" s="34"/>
      <c r="AQ99" s="34"/>
      <c r="AR99" s="34"/>
      <c r="AS99" s="173"/>
      <c r="AT99" s="34"/>
      <c r="AU99" s="34"/>
      <c r="AV99" s="34"/>
      <c r="AW99" s="218"/>
      <c r="AX99" s="61"/>
      <c r="AY99" s="61"/>
      <c r="AZ99" s="61"/>
      <c r="BA99" s="218"/>
      <c r="BB99" s="61"/>
      <c r="BC99" s="61"/>
      <c r="BD99" s="61"/>
      <c r="BE99" s="218"/>
      <c r="BF99" s="61"/>
      <c r="BG99" s="61"/>
      <c r="BH99" s="69">
        <v>3.27</v>
      </c>
      <c r="BI99" s="220">
        <v>4.1879999999999997</v>
      </c>
      <c r="BJ99" s="69">
        <v>7.3310000000000004</v>
      </c>
      <c r="BK99" s="69">
        <v>4.694</v>
      </c>
      <c r="BL99" s="69">
        <v>9.2460000000000004</v>
      </c>
      <c r="BM99" s="220">
        <v>11.122999999999999</v>
      </c>
      <c r="BN99" s="69">
        <v>15.433999999999999</v>
      </c>
      <c r="BO99" s="69">
        <v>11.798</v>
      </c>
      <c r="BP99" s="69">
        <v>17.042000000000002</v>
      </c>
      <c r="BQ99" s="220">
        <v>14.036</v>
      </c>
      <c r="BR99" s="69">
        <v>22.86</v>
      </c>
      <c r="BS99" s="69">
        <v>19.477</v>
      </c>
      <c r="BT99" s="69">
        <v>14.617000000000001</v>
      </c>
      <c r="BU99" s="220">
        <v>14.079000000000001</v>
      </c>
      <c r="BV99" s="69">
        <v>26.035</v>
      </c>
      <c r="BW99" s="69">
        <v>16.350000000000001</v>
      </c>
      <c r="BX99" s="69">
        <v>13.276</v>
      </c>
      <c r="BY99" s="220">
        <v>12.316000000000001</v>
      </c>
      <c r="BZ99" s="69">
        <v>21.419</v>
      </c>
      <c r="CA99" s="69">
        <v>12.622999999999999</v>
      </c>
      <c r="CB99" s="69">
        <v>10.930999999999999</v>
      </c>
      <c r="CC99" s="220">
        <v>9.8829999999999991</v>
      </c>
      <c r="CD99" s="69">
        <v>16.122</v>
      </c>
      <c r="CE99" s="69">
        <v>10.250999999999999</v>
      </c>
      <c r="CF99" s="73">
        <v>9.9499999999999993</v>
      </c>
      <c r="CG99" s="220">
        <v>9.2669999999999995</v>
      </c>
      <c r="CH99" s="69">
        <v>13.081</v>
      </c>
      <c r="CI99" s="69">
        <v>8.9220000000000006</v>
      </c>
      <c r="CJ99" s="69">
        <v>11.423999999999999</v>
      </c>
      <c r="CK99" s="220">
        <v>10.326000000000001</v>
      </c>
      <c r="CL99" s="69">
        <v>13.17</v>
      </c>
      <c r="CM99" s="69">
        <v>9.1129999999999995</v>
      </c>
      <c r="CN99" s="69">
        <v>11.553000000000001</v>
      </c>
      <c r="CO99" s="220">
        <v>9.6989999999999998</v>
      </c>
      <c r="CP99" s="804">
        <f>43.287079-CO99-CN99-CM99</f>
      </c>
      <c r="CQ99" s="804">
        <v>9.9005449999999993</v>
      </c>
      <c r="CR99" s="804">
        <v>12.256565</v>
      </c>
      <c r="CS99" s="805">
        <v>11.843139000000001</v>
      </c>
      <c r="CT99" s="804">
        <v>15.915383</v>
      </c>
      <c r="CU99" s="804">
        <v>7.7046809999999999</v>
      </c>
      <c r="CV99" s="804">
        <v>12.496288</v>
      </c>
      <c r="CW99" s="805">
        <v>14.01793</v>
      </c>
      <c r="CX99" s="804">
        <v>19.099809</v>
      </c>
      <c r="CY99" s="804">
        <v>12.67418</v>
      </c>
      <c r="CZ99" s="70">
        <f>CV99*(1+CZ106)</f>
      </c>
      <c r="DA99" s="805">
        <v>14.7</v>
      </c>
      <c r="DB99" s="18">
        <f t="shared" ref="DB99" si="802">CX99*(1+DB106)</f>
      </c>
      <c r="DC99" s="804">
        <v>14.881</v>
      </c>
      <c r="DD99" s="804">
        <v>12.102</v>
      </c>
      <c r="DE99" s="805">
        <v>14.381</v>
      </c>
      <c r="DF99" s="804">
        <v>19.48</v>
      </c>
      <c r="DG99" s="804">
        <v>13.954000000000001</v>
      </c>
      <c r="DH99" s="804">
        <v>12.35</v>
      </c>
      <c r="DI99" s="805">
        <v>12.542</v>
      </c>
      <c r="DJ99" s="804">
        <v>14.801</v>
      </c>
      <c r="DK99" s="804">
        <v>12.1</v>
      </c>
      <c r="DL99" s="804">
        <v>13.9</v>
      </c>
      <c r="DM99" s="804">
        <v>13.590999999999999</v>
      </c>
      <c r="DN99" s="804">
        <v>16.899999999999999</v>
      </c>
      <c r="DO99" s="804">
        <v>13.7</v>
      </c>
      <c r="DP99" s="70">
        <f t="shared" ref="DP99:DU99" si="803">SUM(DP94:DP98)</f>
      </c>
      <c r="DQ99" s="231">
        <f t="shared" si="803"/>
      </c>
      <c r="DR99" s="70">
        <f t="shared" si="803"/>
      </c>
      <c r="DS99" s="70">
        <f t="shared" si="803"/>
      </c>
      <c r="DT99" s="70">
        <f t="shared" si="803"/>
      </c>
      <c r="DU99" s="231">
        <f t="shared" si="803"/>
      </c>
      <c r="DV99" s="70">
        <f t="shared" ref="DV99:EK99" si="804">SUM(DV94:DV98)</f>
      </c>
      <c r="DW99" s="70">
        <f t="shared" si="804"/>
      </c>
      <c r="DX99" s="70">
        <f t="shared" si="804"/>
      </c>
      <c r="DY99" s="231">
        <f t="shared" si="804"/>
      </c>
      <c r="DZ99" s="70">
        <f t="shared" si="804"/>
      </c>
      <c r="EA99" s="70">
        <f t="shared" si="804"/>
      </c>
      <c r="EB99" s="70">
        <f t="shared" si="804"/>
      </c>
      <c r="EC99" s="231">
        <f t="shared" si="804"/>
      </c>
      <c r="ED99" s="70">
        <f t="shared" si="804"/>
      </c>
      <c r="EE99" s="70">
        <f t="shared" si="804"/>
      </c>
      <c r="EF99" s="70">
        <f t="shared" si="804"/>
      </c>
      <c r="EG99" s="231">
        <f t="shared" si="804"/>
      </c>
      <c r="EH99" s="70">
        <f t="shared" si="804"/>
      </c>
      <c r="EI99" s="70">
        <f t="shared" si="804"/>
      </c>
      <c r="EJ99" s="70">
        <f t="shared" si="804"/>
      </c>
      <c r="EK99" s="231">
        <f t="shared" si="804"/>
      </c>
      <c r="EM99" s="70"/>
      <c r="EN99" s="70"/>
      <c r="EO99" s="70"/>
      <c r="EP99" s="70"/>
      <c r="EQ99" s="70"/>
      <c r="ER99" s="70"/>
      <c r="ES99" s="70"/>
      <c r="ET99" s="70"/>
      <c r="EU99" s="70"/>
      <c r="EV99" s="70"/>
      <c r="EW99" s="70"/>
      <c r="EX99" s="70"/>
      <c r="EY99" s="70"/>
      <c r="EZ99" s="70"/>
      <c r="FA99" s="70">
        <f>SUM(BF99:BI99)</f>
      </c>
      <c r="FB99" s="70">
        <f>SUM(BJ99:BM99)</f>
      </c>
      <c r="FC99" s="70">
        <f>SUM(BN99:BQ99)</f>
      </c>
      <c r="FD99" s="70">
        <f>SUM(BR99:BU99)</f>
      </c>
      <c r="FE99" s="70">
        <f>SUM(BV99:BY99)</f>
      </c>
      <c r="FF99" s="70">
        <f>SUM(BZ99:CC99)</f>
      </c>
      <c r="FG99" s="70">
        <f t="shared" si="765"/>
      </c>
      <c r="FH99" s="70">
        <f t="shared" ref="FH99:FQ99" si="805">SUM(FH94:FH98)</f>
      </c>
      <c r="FI99" s="70">
        <f t="shared" si="805"/>
      </c>
      <c r="FJ99" s="70">
        <f t="shared" si="805"/>
      </c>
      <c r="FK99" s="70">
        <f t="shared" si="805"/>
      </c>
      <c r="FL99" s="70">
        <f t="shared" si="805"/>
      </c>
      <c r="FM99" s="70">
        <f t="shared" si="805"/>
      </c>
      <c r="FN99" s="70">
        <f t="shared" si="805"/>
      </c>
      <c r="FO99" s="70">
        <f t="shared" si="805"/>
      </c>
      <c r="FP99" s="70">
        <f t="shared" si="805"/>
      </c>
      <c r="FQ99" s="70">
        <f t="shared" si="805"/>
      </c>
      <c r="FR99" s="70">
        <f t="shared" ref="FR99:FU99" si="806">SUM(FR94:FR98)</f>
      </c>
      <c r="FS99" s="70">
        <f t="shared" si="806"/>
      </c>
      <c r="FT99" s="70">
        <f t="shared" si="806"/>
      </c>
      <c r="FU99" s="70">
        <f t="shared" si="806"/>
      </c>
      <c r="FV99" s="2187"/>
      <c r="FW99" s="2184"/>
      <c r="FX99" s="2184"/>
      <c r="FY99" s="2184"/>
      <c r="FZ99" s="2184"/>
      <c r="GA99" s="2184"/>
      <c r="GB99" s="2184"/>
      <c r="GC99" s="2184"/>
      <c r="GD99" s="2184"/>
      <c r="GE99" s="2184"/>
      <c r="GF99" s="2184"/>
      <c r="GG99" s="2184"/>
      <c r="GH99" s="2184"/>
      <c r="GI99" s="2184"/>
      <c r="GJ99" s="2184"/>
      <c r="GK99" s="2184"/>
      <c r="GL99" s="2184"/>
      <c r="GM99" s="2184">
        <f t="shared" si="703"/>
      </c>
      <c r="GN99" s="2184">
        <f t="shared" si="704"/>
      </c>
      <c r="GO99" s="2184">
        <f t="shared" si="705"/>
      </c>
      <c r="GP99" s="2184">
        <f t="shared" si="706"/>
      </c>
      <c r="GQ99" s="2184">
        <f t="shared" si="707"/>
      </c>
      <c r="GR99" s="2184">
        <f t="shared" si="708"/>
      </c>
      <c r="GS99" s="2184">
        <f t="shared" si="709"/>
      </c>
      <c r="GT99" s="2184">
        <f t="shared" si="710"/>
      </c>
      <c r="GU99" s="2184">
        <f t="shared" ref="GU99:HB99" si="807">SUM(GU94:GU98)</f>
      </c>
      <c r="GV99" s="2184">
        <f t="shared" si="807"/>
      </c>
      <c r="GW99" s="2184">
        <f t="shared" si="807"/>
      </c>
      <c r="GX99" s="2184">
        <f t="shared" si="807"/>
      </c>
      <c r="GY99" s="2184">
        <f t="shared" si="807"/>
      </c>
      <c r="GZ99" s="2184">
        <f t="shared" si="807"/>
      </c>
      <c r="HA99" s="2184">
        <f t="shared" si="807"/>
      </c>
      <c r="HB99" s="2184">
        <f t="shared" si="807"/>
      </c>
      <c r="HC99" s="2184">
        <f t="shared" ref="HC99:HF99" si="808">SUM(HC94:HC98)</f>
      </c>
      <c r="HD99" s="2184">
        <f t="shared" si="808"/>
      </c>
      <c r="HE99" s="2184">
        <f t="shared" si="808"/>
      </c>
      <c r="HF99" s="2184">
        <f t="shared" si="808"/>
      </c>
    </row>
    <row r="100" spans="1:214" s="11" customFormat="1" ht="10.199999999999999">
      <c r="A100" s="1" t="s">
        <v>1184</v>
      </c>
      <c r="E100" s="170"/>
      <c r="I100" s="170"/>
      <c r="J100" s="15"/>
      <c r="K100" s="15"/>
      <c r="L100" s="15"/>
      <c r="M100" s="174"/>
      <c r="N100" s="15"/>
      <c r="O100" s="15"/>
      <c r="P100" s="15"/>
      <c r="Q100" s="174"/>
      <c r="R100" s="15"/>
      <c r="S100" s="15"/>
      <c r="T100" s="15"/>
      <c r="U100" s="174"/>
      <c r="V100" s="15"/>
      <c r="W100" s="15"/>
      <c r="X100" s="15"/>
      <c r="Y100" s="174"/>
      <c r="Z100" s="15"/>
      <c r="AA100" s="21"/>
      <c r="AB100" s="21"/>
      <c r="AC100" s="172"/>
      <c r="AD100" s="21"/>
      <c r="AE100" s="21"/>
      <c r="AF100" s="21"/>
      <c r="AG100" s="172"/>
      <c r="AH100" s="21"/>
      <c r="AI100" s="21"/>
      <c r="AJ100" s="21"/>
      <c r="AK100" s="172"/>
      <c r="AL100" s="21"/>
      <c r="AM100" s="21"/>
      <c r="AN100" s="21"/>
      <c r="AO100" s="172"/>
      <c r="AP100" s="21"/>
      <c r="AQ100" s="21"/>
      <c r="AR100" s="21"/>
      <c r="AS100" s="172"/>
      <c r="AT100" s="21"/>
      <c r="AU100" s="21"/>
      <c r="AV100" s="21"/>
      <c r="AW100" s="172"/>
      <c r="AX100" s="21"/>
      <c r="AY100" s="21"/>
      <c r="AZ100" s="21"/>
      <c r="BA100" s="172"/>
      <c r="BB100" s="21"/>
      <c r="BC100" s="21"/>
      <c r="BD100" s="21"/>
      <c r="BE100" s="172"/>
      <c r="BF100" s="21"/>
      <c r="BG100" s="21"/>
      <c r="BH100" s="21"/>
      <c r="BI100" s="172"/>
      <c r="BJ100" s="21"/>
      <c r="BK100" s="21"/>
      <c r="BL100" s="21"/>
      <c r="BM100" s="172"/>
      <c r="BN100" s="21"/>
      <c r="BO100" s="21"/>
      <c r="BP100" s="21"/>
      <c r="BQ100" s="172"/>
      <c r="BR100" s="21"/>
      <c r="BS100" s="21"/>
      <c r="BT100" s="21"/>
      <c r="BU100" s="172"/>
      <c r="BV100" s="21"/>
      <c r="BW100" s="21"/>
      <c r="BX100" s="21"/>
      <c r="BY100" s="172"/>
      <c r="BZ100" s="21"/>
      <c r="CA100" s="21"/>
      <c r="CB100" s="122">
        <v>3.6</v>
      </c>
      <c r="CC100" s="230">
        <v>3.9</v>
      </c>
      <c r="CD100" s="123">
        <v>4.0999999999999996</v>
      </c>
      <c r="CE100" s="123">
        <v>2.5</v>
      </c>
      <c r="CF100" s="73">
        <v>1.6</v>
      </c>
      <c r="CG100" s="220">
        <v>1.1000000000000001</v>
      </c>
      <c r="CH100" s="121">
        <f t="shared" ref="CH100:CN101" si="809">+CD100*(1+CH107)</f>
      </c>
      <c r="CI100" s="121">
        <f t="shared" si="809"/>
      </c>
      <c r="CJ100" s="121">
        <f t="shared" si="809"/>
      </c>
      <c r="CK100" s="222">
        <f t="shared" si="809"/>
      </c>
      <c r="CL100" s="18">
        <f t="shared" si="809"/>
      </c>
      <c r="CM100" s="18">
        <f t="shared" si="809"/>
      </c>
      <c r="CN100" s="18">
        <f t="shared" si="809"/>
      </c>
      <c r="CO100" s="223">
        <v>3.4</v>
      </c>
      <c r="CP100" s="18">
        <f t="shared" ref="CP100:CY101" si="810">+CL100*(1+CP107)</f>
      </c>
      <c r="CQ100" s="18">
        <f t="shared" si="810"/>
      </c>
      <c r="CR100" s="18">
        <f t="shared" si="810"/>
      </c>
      <c r="CS100" s="191">
        <f t="shared" si="810"/>
      </c>
      <c r="CT100" s="18">
        <f t="shared" si="810"/>
      </c>
      <c r="CU100" s="18">
        <f t="shared" si="810"/>
      </c>
      <c r="CV100" s="18">
        <f t="shared" si="810"/>
      </c>
      <c r="CW100" s="191">
        <f t="shared" si="810"/>
      </c>
      <c r="CX100" s="18">
        <f t="shared" si="810"/>
      </c>
      <c r="CY100" s="804">
        <v>7.6</v>
      </c>
      <c r="CZ100" s="804">
        <v>7.9</v>
      </c>
      <c r="DA100" s="18">
        <f>39.4-DB100-CZ100-CY100</f>
      </c>
      <c r="DB100" s="804">
        <v>16.5</v>
      </c>
      <c r="DC100" s="804">
        <v>9.1999999999999993</v>
      </c>
      <c r="DD100" s="804">
        <v>8.4</v>
      </c>
      <c r="DE100" s="3124">
        <f>41.4-DF100-DD100-DC100</f>
      </c>
      <c r="DF100" s="804">
        <v>13.6</v>
      </c>
      <c r="DG100" s="804">
        <v>9.3000000000000007</v>
      </c>
      <c r="DH100" s="804">
        <v>9.1</v>
      </c>
      <c r="DI100" s="3212">
        <v>10.1</v>
      </c>
      <c r="DJ100" s="804">
        <v>12.1</v>
      </c>
      <c r="DK100" s="804">
        <v>8.0640000000000001</v>
      </c>
      <c r="DL100" s="804">
        <v>6.8249999999999993</v>
      </c>
      <c r="DM100" s="3116">
        <f t="shared" ref="DJ100:DM101" si="811">+DI100*(1+DM107)</f>
      </c>
      <c r="DN100" s="70">
        <f t="shared" ref="DN100:DV101" si="812">+DJ100*(1+DN107)</f>
      </c>
      <c r="DO100" s="70">
        <f t="shared" si="812"/>
      </c>
      <c r="DP100" s="70">
        <f t="shared" si="812"/>
      </c>
      <c r="DQ100" s="3116">
        <f t="shared" si="812"/>
      </c>
      <c r="DR100" s="70">
        <f t="shared" si="812"/>
      </c>
      <c r="DS100" s="70">
        <f t="shared" si="812"/>
      </c>
      <c r="DT100" s="70">
        <f t="shared" si="812"/>
      </c>
      <c r="DU100" s="231">
        <f t="shared" si="812"/>
      </c>
      <c r="DV100" s="70">
        <f t="shared" si="812"/>
      </c>
      <c r="DW100" s="70">
        <f t="shared" ref="DW100:DW101" si="813">+DS100*(1+DW107)</f>
      </c>
      <c r="DX100" s="70">
        <f t="shared" ref="DX100:DX101" si="814">+DT100*(1+DX107)</f>
      </c>
      <c r="DY100" s="231">
        <f t="shared" ref="DY100:DY101" si="815">+DU100*(1+DY107)</f>
      </c>
      <c r="DZ100" s="70">
        <f t="shared" ref="DZ100:DZ101" si="816">+DV100*(1+DZ107)</f>
      </c>
      <c r="EA100" s="70">
        <f t="shared" ref="EA100:EA101" si="817">+DW100*(1+EA107)</f>
      </c>
      <c r="EB100" s="70">
        <f t="shared" ref="EB100:EB101" si="818">+DX100*(1+EB107)</f>
      </c>
      <c r="EC100" s="231">
        <f t="shared" ref="EC100:EC101" si="819">+DY100*(1+EC107)</f>
      </c>
      <c r="ED100" s="70">
        <f t="shared" ref="ED100:ED101" si="820">+DZ100*(1+ED107)</f>
      </c>
      <c r="EE100" s="70">
        <f t="shared" ref="EE100:EE101" si="821">+EA100*(1+EE107)</f>
      </c>
      <c r="EF100" s="70">
        <f t="shared" ref="EF100:EF101" si="822">+EB100*(1+EF107)</f>
      </c>
      <c r="EG100" s="231">
        <f t="shared" ref="EG100:EG101" si="823">+EC100*(1+EG107)</f>
      </c>
      <c r="EH100" s="70">
        <f t="shared" ref="EH100:EH101" si="824">+ED100*(1+EH107)</f>
      </c>
      <c r="EI100" s="70">
        <f t="shared" ref="EI100:EI101" si="825">+EE100*(1+EI107)</f>
      </c>
      <c r="EJ100" s="70">
        <f t="shared" ref="EJ100:EJ101" si="826">+EF100*(1+EJ107)</f>
      </c>
      <c r="EK100" s="231">
        <f t="shared" ref="EK100:EK101" si="827">+EG100*(1+EK107)</f>
      </c>
      <c r="EM100" s="70"/>
      <c r="EN100" s="70"/>
      <c r="EO100" s="70"/>
      <c r="EP100" s="70"/>
      <c r="EQ100" s="70"/>
      <c r="ER100" s="70"/>
      <c r="ES100" s="70"/>
      <c r="ET100" s="70"/>
      <c r="EU100" s="70"/>
      <c r="EV100" s="70"/>
      <c r="EW100" s="70"/>
      <c r="EX100" s="70"/>
      <c r="EY100" s="70"/>
      <c r="EZ100" s="70"/>
      <c r="FA100" s="70"/>
      <c r="FB100" s="70">
        <f>SUM(BJ100:BM100)</f>
      </c>
      <c r="FC100" s="70">
        <f>SUM(BN100:BQ100)</f>
      </c>
      <c r="FD100" s="70">
        <f>SUM(BR100:BU100)</f>
      </c>
      <c r="FE100" s="70">
        <f>SUM(BV100:BY100)</f>
      </c>
      <c r="FF100" s="70">
        <f>SUM(BZ100:CC100)</f>
      </c>
      <c r="FG100" s="70">
        <f>SUM(CD100:CG100)</f>
      </c>
      <c r="FH100" s="70">
        <f>SUM(CH100:CK100)</f>
      </c>
      <c r="FI100" s="70">
        <f>SUM(CL100:CO100)</f>
      </c>
      <c r="FJ100" s="70">
        <f>SUM(CP100:CS100)</f>
      </c>
      <c r="FK100" s="70">
        <f>SUM(CT100:CW100)</f>
      </c>
      <c r="FL100" s="70">
        <f>SUM(CX100:DA100)</f>
      </c>
      <c r="FM100" s="70">
        <f>SUM(DB100:DE100)</f>
      </c>
      <c r="FN100" s="70">
        <f>SUM(DF100:DI100)</f>
      </c>
      <c r="FO100" s="70">
        <f>SUM(DJ100:DM100)</f>
      </c>
      <c r="FP100" s="70">
        <f>SUM(DN100:DQ100)</f>
      </c>
      <c r="FQ100" s="70">
        <f>SUM(DR100:DU100)</f>
      </c>
      <c r="FR100" s="70">
        <f>SUM(DV100:DY100)</f>
      </c>
      <c r="FS100" s="70">
        <f>SUM(DZ100:EC100)</f>
      </c>
      <c r="FT100" s="70">
        <f>SUM(ED100:EG100)</f>
      </c>
      <c r="FU100" s="70">
        <f>SUM(EH100:EK100)</f>
      </c>
      <c r="FW100" s="70"/>
      <c r="FX100" s="70"/>
      <c r="FY100" s="70"/>
      <c r="FZ100" s="70"/>
      <c r="GA100" s="70"/>
      <c r="GB100" s="70"/>
      <c r="GC100" s="70"/>
      <c r="GD100" s="70">
        <f>SUM(W100:Z100)</f>
      </c>
      <c r="GE100" s="70">
        <f>SUM(AA100:AD100)</f>
      </c>
      <c r="GF100" s="70">
        <f>SUM(AE100:AH100)</f>
      </c>
      <c r="GG100" s="70">
        <f>SUM(AI100:AL100)</f>
      </c>
      <c r="GH100" s="70">
        <f>SUM(AM100:AP100)</f>
      </c>
      <c r="GI100" s="70">
        <f>SUM(AQ100:AT100)</f>
      </c>
      <c r="GJ100" s="70">
        <f>SUM(AU100:AX100)</f>
      </c>
      <c r="GK100" s="70">
        <f>SUM(AY100:BB100)</f>
      </c>
      <c r="GL100" s="70">
        <f>SUM(BC100:BF100)</f>
      </c>
      <c r="GM100" s="70">
        <f t="shared" si="703"/>
      </c>
      <c r="GN100" s="70">
        <f t="shared" si="704"/>
      </c>
      <c r="GO100" s="70">
        <f t="shared" si="705"/>
      </c>
      <c r="GP100" s="70">
        <f t="shared" si="706"/>
      </c>
      <c r="GQ100" s="70">
        <f t="shared" si="707"/>
      </c>
      <c r="GR100" s="70">
        <f t="shared" si="708"/>
      </c>
      <c r="GS100" s="70">
        <f t="shared" si="709"/>
      </c>
      <c r="GT100" s="70">
        <f t="shared" si="710"/>
      </c>
      <c r="GU100" s="70">
        <f>SUM(CM100:CP100)</f>
      </c>
      <c r="GV100" s="70">
        <f>SUM(CQ100:CT100)</f>
      </c>
      <c r="GW100" s="70">
        <f>SUM(CU100:CX100)</f>
      </c>
      <c r="GX100" s="70">
        <f>SUM(CY100:DB100)</f>
      </c>
      <c r="GY100" s="70">
        <f>SUM(DC100:DF100)</f>
      </c>
      <c r="GZ100" s="70">
        <f>SUM(DG100:DJ100)</f>
      </c>
      <c r="HA100" s="70">
        <f>SUM(DK100:DN100)</f>
      </c>
      <c r="HB100" s="70">
        <f>SUM(DO100:DR100)</f>
      </c>
      <c r="HC100" s="70">
        <f>SUM(DS100:DV100)</f>
      </c>
      <c r="HD100" s="70">
        <f>SUM(DW100:DZ100)</f>
      </c>
      <c r="HE100" s="70">
        <f>SUM(EA100:ED100)</f>
      </c>
      <c r="HF100" s="70">
        <f>SUM(EE100:EH100)</f>
      </c>
    </row>
    <row r="101" spans="1:214" s="11" customFormat="1" ht="10.199999999999999">
      <c r="A101" s="827" t="s">
        <v>1183</v>
      </c>
      <c r="B101" s="65"/>
      <c r="C101" s="65"/>
      <c r="D101" s="65"/>
      <c r="E101" s="177"/>
      <c r="F101" s="65"/>
      <c r="G101" s="65"/>
      <c r="H101" s="65"/>
      <c r="I101" s="177"/>
      <c r="J101" s="34"/>
      <c r="K101" s="34"/>
      <c r="L101" s="34"/>
      <c r="M101" s="173"/>
      <c r="N101" s="34"/>
      <c r="O101" s="34"/>
      <c r="P101" s="34"/>
      <c r="Q101" s="173"/>
      <c r="R101" s="34"/>
      <c r="S101" s="34"/>
      <c r="T101" s="34"/>
      <c r="U101" s="173"/>
      <c r="V101" s="34"/>
      <c r="W101" s="34"/>
      <c r="X101" s="34"/>
      <c r="Y101" s="173"/>
      <c r="Z101" s="69">
        <v>0.13</v>
      </c>
      <c r="AA101" s="69">
        <v>5.7000000000000002E-2</v>
      </c>
      <c r="AB101" s="69">
        <v>5.3999999999999999E-2</v>
      </c>
      <c r="AC101" s="220">
        <v>0.14000000000000001</v>
      </c>
      <c r="AD101" s="69">
        <v>0.219</v>
      </c>
      <c r="AE101" s="69">
        <v>7.8E-2</v>
      </c>
      <c r="AF101" s="69">
        <v>0.30399999999999999</v>
      </c>
      <c r="AG101" s="220">
        <v>0.33600000000000002</v>
      </c>
      <c r="AH101" s="69">
        <v>0.73299999999999998</v>
      </c>
      <c r="AI101" s="69">
        <v>0.80700000000000005</v>
      </c>
      <c r="AJ101" s="69">
        <v>0.86</v>
      </c>
      <c r="AK101" s="220">
        <v>2.016</v>
      </c>
      <c r="AL101" s="69">
        <v>4.58</v>
      </c>
      <c r="AM101" s="69">
        <v>5.3109999999999999</v>
      </c>
      <c r="AN101" s="69">
        <v>6.1550000000000002</v>
      </c>
      <c r="AO101" s="220">
        <v>6.4509999999999996</v>
      </c>
      <c r="AP101" s="69">
        <v>14.042999999999999</v>
      </c>
      <c r="AQ101" s="69">
        <v>8.5259999999999998</v>
      </c>
      <c r="AR101" s="69">
        <v>8.1110000000000007</v>
      </c>
      <c r="AS101" s="220">
        <v>8.7289999999999992</v>
      </c>
      <c r="AT101" s="69">
        <v>21.065999999999999</v>
      </c>
      <c r="AU101" s="69">
        <v>10.548999999999999</v>
      </c>
      <c r="AV101" s="69">
        <v>9.8149999999999995</v>
      </c>
      <c r="AW101" s="220">
        <v>10.199999999999999</v>
      </c>
      <c r="AX101" s="69">
        <v>22.120999999999999</v>
      </c>
      <c r="AY101" s="69">
        <v>10.644</v>
      </c>
      <c r="AZ101" s="69">
        <v>11.010999999999999</v>
      </c>
      <c r="BA101" s="220">
        <v>11.052</v>
      </c>
      <c r="BB101" s="69">
        <v>22.727</v>
      </c>
      <c r="BC101" s="69">
        <v>11.013</v>
      </c>
      <c r="BD101" s="69">
        <v>10.215</v>
      </c>
      <c r="BE101" s="220">
        <v>10.177</v>
      </c>
      <c r="BF101" s="69">
        <v>20.97</v>
      </c>
      <c r="BG101" s="69">
        <v>10.855</v>
      </c>
      <c r="BH101" s="69">
        <v>9.4060000000000006</v>
      </c>
      <c r="BI101" s="220">
        <v>9.0510000000000002</v>
      </c>
      <c r="BJ101" s="69">
        <v>19.446000000000002</v>
      </c>
      <c r="BK101" s="69">
        <v>9.0169999999999995</v>
      </c>
      <c r="BL101" s="69">
        <v>7.5350000000000001</v>
      </c>
      <c r="BM101" s="220">
        <v>6.6219999999999999</v>
      </c>
      <c r="BN101" s="69">
        <v>15.397</v>
      </c>
      <c r="BO101" s="69">
        <v>7.673</v>
      </c>
      <c r="BP101" s="69">
        <v>6.7510000000000003</v>
      </c>
      <c r="BQ101" s="220">
        <v>5.3440000000000003</v>
      </c>
      <c r="BR101" s="69">
        <v>12.679</v>
      </c>
      <c r="BS101" s="69">
        <v>5.633</v>
      </c>
      <c r="BT101" s="69">
        <v>4.569</v>
      </c>
      <c r="BU101" s="220">
        <v>3.4980000000000002</v>
      </c>
      <c r="BV101" s="69">
        <v>6.0490000000000004</v>
      </c>
      <c r="BW101" s="69">
        <v>2.7610000000000001</v>
      </c>
      <c r="BX101" s="69">
        <v>2.9260000000000002</v>
      </c>
      <c r="BY101" s="220">
        <v>2.641</v>
      </c>
      <c r="BZ101" s="69">
        <f>0.75*BV101</f>
      </c>
      <c r="CA101" s="69">
        <v>1.75</v>
      </c>
      <c r="CB101" s="18">
        <f t="shared" ref="CB101:CG101" si="828">+BX101*(1+CB108)</f>
      </c>
      <c r="CC101" s="191">
        <f t="shared" si="828"/>
      </c>
      <c r="CD101" s="18">
        <f t="shared" si="828"/>
      </c>
      <c r="CE101" s="18">
        <f t="shared" si="828"/>
      </c>
      <c r="CF101" s="18">
        <f t="shared" si="828"/>
      </c>
      <c r="CG101" s="191">
        <f t="shared" si="828"/>
      </c>
      <c r="CH101" s="18">
        <f t="shared" si="809"/>
      </c>
      <c r="CI101" s="18">
        <f t="shared" si="809"/>
      </c>
      <c r="CJ101" s="18">
        <f t="shared" si="809"/>
      </c>
      <c r="CK101" s="191">
        <f t="shared" si="809"/>
      </c>
      <c r="CL101" s="18">
        <f t="shared" si="809"/>
      </c>
      <c r="CM101" s="18">
        <f t="shared" si="809"/>
      </c>
      <c r="CN101" s="18">
        <f t="shared" si="809"/>
      </c>
      <c r="CO101" s="191">
        <f>+CK101*(1+CO108)</f>
      </c>
      <c r="CP101" s="18">
        <f t="shared" si="810"/>
      </c>
      <c r="CQ101" s="18">
        <f t="shared" si="810"/>
      </c>
      <c r="CR101" s="18">
        <f t="shared" si="810"/>
      </c>
      <c r="CS101" s="191">
        <f t="shared" si="810"/>
      </c>
      <c r="CT101" s="18">
        <f t="shared" si="810"/>
      </c>
      <c r="CU101" s="18">
        <f t="shared" si="810"/>
      </c>
      <c r="CV101" s="18">
        <f t="shared" si="810"/>
      </c>
      <c r="CW101" s="191">
        <f t="shared" si="810"/>
      </c>
      <c r="CX101" s="18">
        <f t="shared" si="810"/>
      </c>
      <c r="CY101" s="18">
        <f t="shared" si="810"/>
      </c>
      <c r="CZ101" s="18">
        <f t="shared" ref="CZ101:DI101" si="829">+CV101*(1+CZ108)</f>
      </c>
      <c r="DA101" s="191">
        <f t="shared" si="829"/>
      </c>
      <c r="DB101" s="18">
        <f t="shared" si="829"/>
      </c>
      <c r="DC101" s="70">
        <f t="shared" si="829"/>
      </c>
      <c r="DD101" s="70">
        <f t="shared" si="829"/>
      </c>
      <c r="DE101" s="231">
        <f t="shared" si="829"/>
      </c>
      <c r="DF101" s="70">
        <f t="shared" si="829"/>
      </c>
      <c r="DG101" s="70">
        <f t="shared" si="829"/>
      </c>
      <c r="DH101" s="70">
        <f t="shared" si="829"/>
      </c>
      <c r="DI101" s="231">
        <f t="shared" si="829"/>
      </c>
      <c r="DJ101" s="70">
        <f t="shared" si="811"/>
      </c>
      <c r="DK101" s="70">
        <f>+DG101*(1+DK108)</f>
      </c>
      <c r="DL101" s="70">
        <f>+DH101*(1+DL108)</f>
      </c>
      <c r="DM101" s="231">
        <f t="shared" si="811"/>
      </c>
      <c r="DN101" s="70">
        <f t="shared" si="812"/>
      </c>
      <c r="DO101" s="70">
        <f t="shared" si="812"/>
      </c>
      <c r="DP101" s="70">
        <f t="shared" si="812"/>
      </c>
      <c r="DQ101" s="231">
        <f t="shared" si="812"/>
      </c>
      <c r="DR101" s="70">
        <f t="shared" si="812"/>
      </c>
      <c r="DS101" s="70">
        <f t="shared" si="812"/>
      </c>
      <c r="DT101" s="70">
        <f t="shared" si="812"/>
      </c>
      <c r="DU101" s="231">
        <f t="shared" si="812"/>
      </c>
      <c r="DV101" s="70">
        <f t="shared" si="812"/>
      </c>
      <c r="DW101" s="70">
        <f t="shared" si="813"/>
      </c>
      <c r="DX101" s="70">
        <f t="shared" si="814"/>
      </c>
      <c r="DY101" s="231">
        <f t="shared" si="815"/>
      </c>
      <c r="DZ101" s="70">
        <f t="shared" si="816"/>
      </c>
      <c r="EA101" s="70">
        <f t="shared" si="817"/>
      </c>
      <c r="EB101" s="70">
        <f t="shared" si="818"/>
      </c>
      <c r="EC101" s="231">
        <f t="shared" si="819"/>
      </c>
      <c r="ED101" s="70">
        <f t="shared" si="820"/>
      </c>
      <c r="EE101" s="70">
        <f t="shared" si="821"/>
      </c>
      <c r="EF101" s="70">
        <f t="shared" si="822"/>
      </c>
      <c r="EG101" s="231">
        <f t="shared" si="823"/>
      </c>
      <c r="EH101" s="70">
        <f t="shared" si="824"/>
      </c>
      <c r="EI101" s="70">
        <f t="shared" si="825"/>
      </c>
      <c r="EJ101" s="70">
        <f t="shared" si="826"/>
      </c>
      <c r="EK101" s="231">
        <f t="shared" si="827"/>
      </c>
      <c r="EM101" s="70"/>
      <c r="EN101" s="70"/>
      <c r="EO101" s="70"/>
      <c r="EP101" s="70"/>
      <c r="EQ101" s="70"/>
      <c r="ER101" s="70"/>
      <c r="ES101" s="70">
        <f>SUM(Z101:AC101)</f>
      </c>
      <c r="ET101" s="70">
        <f>SUM(AD101:AG101)</f>
      </c>
      <c r="EU101" s="70">
        <f>SUM(AH101:AK101)</f>
      </c>
      <c r="EV101" s="70">
        <f>SUM(AL101:AO101)</f>
      </c>
      <c r="EW101" s="70">
        <f>SUM(AP101:AS101)</f>
      </c>
      <c r="EX101" s="70">
        <f>SUM(AT101:AW101)</f>
      </c>
      <c r="EY101" s="70">
        <f>SUM(AX101:BA101)</f>
      </c>
      <c r="EZ101" s="70">
        <f>SUM(BB101:BE101)</f>
      </c>
      <c r="FA101" s="70">
        <f>SUM(BF101:BI101)</f>
      </c>
      <c r="FB101" s="70">
        <f>SUM(BJ101:BM101)</f>
      </c>
      <c r="FC101" s="70">
        <f>SUM(BN101:BQ101)</f>
      </c>
      <c r="FD101" s="70">
        <f>SUM(BR101:BU101)</f>
      </c>
      <c r="FE101" s="70">
        <f>SUM(BV101:BY101)</f>
      </c>
      <c r="FF101" s="70">
        <f>SUM(BZ101:CC101)</f>
      </c>
      <c r="FG101" s="70">
        <f>SUM(CD101:CG101)</f>
      </c>
      <c r="FH101" s="70">
        <f>SUM(CH101:CK101)</f>
      </c>
      <c r="FI101" s="70">
        <f>SUM(CL101:CO101)</f>
      </c>
      <c r="FJ101" s="70">
        <f>SUM(CP101:CS101)</f>
      </c>
      <c r="FK101" s="70">
        <f>SUM(CT101:CW101)</f>
      </c>
      <c r="FL101" s="70">
        <f>SUM(CX101:DA101)</f>
      </c>
      <c r="FM101" s="70">
        <f>SUM(DB101:DE101)</f>
      </c>
      <c r="FN101" s="70">
        <f>SUM(DF101:DI101)</f>
      </c>
      <c r="FO101" s="70">
        <f>SUM(DJ101:DM101)</f>
      </c>
      <c r="FP101" s="70">
        <f>SUM(DN101:DQ101)</f>
      </c>
      <c r="FQ101" s="70">
        <f>SUM(DR101:DU101)</f>
      </c>
      <c r="FR101" s="70">
        <f>SUM(DV101:DY101)</f>
      </c>
      <c r="FS101" s="70">
        <f>SUM(DZ101:EC101)</f>
      </c>
      <c r="FT101" s="70">
        <f>SUM(ED101:EG101)</f>
      </c>
      <c r="FU101" s="70">
        <f>SUM(EH101:EK101)</f>
      </c>
      <c r="FW101" s="70"/>
      <c r="FX101" s="70"/>
      <c r="FY101" s="70"/>
      <c r="FZ101" s="70"/>
      <c r="GA101" s="70"/>
      <c r="GB101" s="70"/>
      <c r="GC101" s="70"/>
      <c r="GD101" s="70">
        <f>SUM(W101:Z101)</f>
      </c>
      <c r="GE101" s="70">
        <f>SUM(AA101:AD101)</f>
      </c>
      <c r="GF101" s="70">
        <f>SUM(AE101:AH101)</f>
      </c>
      <c r="GG101" s="70">
        <f>SUM(AI101:AL101)</f>
      </c>
      <c r="GH101" s="70">
        <f>SUM(AM101:AP101)</f>
      </c>
      <c r="GI101" s="70">
        <f>SUM(AQ101:AT101)</f>
      </c>
      <c r="GJ101" s="70">
        <f>SUM(AU101:AX101)</f>
      </c>
      <c r="GK101" s="70">
        <f>SUM(AY101:BB101)</f>
      </c>
      <c r="GL101" s="70">
        <f>SUM(BC101:BF101)</f>
      </c>
      <c r="GM101" s="70">
        <f t="shared" si="703"/>
      </c>
      <c r="GN101" s="70">
        <f t="shared" si="704"/>
      </c>
      <c r="GO101" s="70">
        <f t="shared" si="705"/>
      </c>
      <c r="GP101" s="70">
        <f t="shared" si="706"/>
      </c>
      <c r="GQ101" s="70">
        <f t="shared" si="707"/>
      </c>
      <c r="GR101" s="70">
        <f t="shared" si="708"/>
      </c>
      <c r="GS101" s="70">
        <f t="shared" si="709"/>
      </c>
      <c r="GT101" s="70">
        <f t="shared" si="710"/>
      </c>
      <c r="GU101" s="70">
        <f>SUM(CM101:CP101)</f>
      </c>
      <c r="GV101" s="70">
        <f>SUM(CQ101:CT101)</f>
      </c>
      <c r="GW101" s="70">
        <f>SUM(CU101:CX101)</f>
      </c>
      <c r="GX101" s="70">
        <f>SUM(CY101:DB101)</f>
      </c>
      <c r="GY101" s="70">
        <f>SUM(DC101:DF101)</f>
      </c>
      <c r="GZ101" s="70">
        <f>SUM(DG101:DJ101)</f>
      </c>
      <c r="HA101" s="70">
        <f>SUM(DK101:DN101)</f>
      </c>
      <c r="HB101" s="70">
        <f>SUM(DO101:DR101)</f>
      </c>
      <c r="HC101" s="70">
        <f>SUM(DS101:DV101)</f>
      </c>
      <c r="HD101" s="70">
        <f>SUM(DW101:DZ101)</f>
      </c>
      <c r="HE101" s="70">
        <f>SUM(EA101:ED101)</f>
      </c>
      <c r="HF101" s="70">
        <f>SUM(EE101:EH101)</f>
      </c>
    </row>
    <row r="102" spans="1:214" s="16" customFormat="1" ht="10.199999999999999">
      <c r="A102" s="135"/>
      <c r="B102" s="130"/>
      <c r="C102" s="130"/>
      <c r="D102" s="130"/>
      <c r="E102" s="235"/>
      <c r="F102" s="130"/>
      <c r="G102" s="130"/>
      <c r="H102" s="130"/>
      <c r="I102" s="235"/>
      <c r="J102" s="130"/>
      <c r="K102" s="130"/>
      <c r="L102" s="130"/>
      <c r="M102" s="235"/>
      <c r="N102" s="130"/>
      <c r="O102" s="130"/>
      <c r="P102" s="130"/>
      <c r="Q102" s="235"/>
      <c r="R102" s="130"/>
      <c r="S102" s="130"/>
      <c r="T102" s="130"/>
      <c r="U102" s="235"/>
      <c r="V102" s="130"/>
      <c r="W102" s="130"/>
      <c r="X102" s="130"/>
      <c r="Y102" s="235"/>
      <c r="Z102" s="98"/>
      <c r="AA102" s="98"/>
      <c r="AB102" s="98"/>
      <c r="AC102" s="180"/>
      <c r="AD102" s="98"/>
      <c r="AE102" s="98"/>
      <c r="AF102" s="98"/>
      <c r="AG102" s="180"/>
      <c r="AH102" s="98"/>
      <c r="AI102" s="98"/>
      <c r="AJ102" s="98"/>
      <c r="AK102" s="180"/>
      <c r="AL102" s="98"/>
      <c r="AM102" s="98"/>
      <c r="AN102" s="98"/>
      <c r="AO102" s="180"/>
      <c r="AP102" s="98"/>
      <c r="AQ102" s="98"/>
      <c r="AR102" s="98"/>
      <c r="AS102" s="180"/>
      <c r="AT102" s="98"/>
      <c r="AU102" s="98"/>
      <c r="AV102" s="98"/>
      <c r="AW102" s="180"/>
      <c r="AX102" s="98"/>
      <c r="AY102" s="98"/>
      <c r="AZ102" s="98"/>
      <c r="BA102" s="180"/>
      <c r="BB102" s="98"/>
      <c r="BC102" s="98"/>
      <c r="BD102" s="98"/>
      <c r="BE102" s="180"/>
      <c r="BF102" s="98"/>
      <c r="BG102" s="98"/>
      <c r="BH102" s="98"/>
      <c r="BI102" s="180"/>
      <c r="BJ102" s="98"/>
      <c r="BK102" s="98"/>
      <c r="BL102" s="98"/>
      <c r="BM102" s="180"/>
      <c r="BN102" s="98"/>
      <c r="BO102" s="98"/>
      <c r="BP102" s="98"/>
      <c r="BQ102" s="180"/>
      <c r="BR102" s="98"/>
      <c r="BS102" s="98"/>
      <c r="BT102" s="98"/>
      <c r="BU102" s="180"/>
      <c r="BV102" s="98"/>
      <c r="BW102" s="98"/>
      <c r="BX102" s="98"/>
      <c r="BY102" s="180"/>
      <c r="BZ102" s="98"/>
      <c r="CA102" s="98"/>
      <c r="CB102" s="98"/>
      <c r="CC102" s="180"/>
      <c r="CD102" s="523"/>
      <c r="CE102" s="523"/>
      <c r="CF102" s="524"/>
      <c r="CG102" s="525"/>
      <c r="CH102" s="523"/>
      <c r="CI102" s="523"/>
      <c r="CJ102" s="523"/>
      <c r="CK102" s="525"/>
      <c r="CL102" s="523"/>
      <c r="CM102" s="523"/>
      <c r="CN102" s="523"/>
      <c r="CO102" s="525"/>
      <c r="CP102" s="320"/>
      <c r="CQ102" s="320"/>
      <c r="CR102" s="320"/>
      <c r="CS102" s="321"/>
      <c r="CT102" s="320"/>
      <c r="CU102" s="320"/>
      <c r="CV102" s="320"/>
      <c r="CW102" s="321"/>
      <c r="CX102" s="320"/>
      <c r="CY102" s="320"/>
      <c r="CZ102" s="320"/>
      <c r="DA102" s="321"/>
      <c r="DB102" s="320"/>
      <c r="DC102" s="320"/>
      <c r="DD102" s="390"/>
      <c r="DE102" s="430"/>
      <c r="DF102" s="390"/>
      <c r="DG102" s="390"/>
      <c r="DH102" s="390"/>
      <c r="DI102" s="430"/>
      <c r="DJ102" s="390"/>
      <c r="DK102" s="390"/>
      <c r="DL102" s="390"/>
      <c r="DM102" s="430"/>
      <c r="DN102" s="390"/>
      <c r="DO102" s="390"/>
      <c r="DP102" s="390"/>
      <c r="DQ102" s="430"/>
      <c r="DR102" s="390"/>
      <c r="DS102" s="390"/>
      <c r="DT102" s="390"/>
      <c r="DU102" s="430"/>
      <c r="DV102" s="390"/>
      <c r="DW102" s="390"/>
      <c r="DX102" s="390"/>
      <c r="DY102" s="430"/>
      <c r="DZ102" s="390"/>
      <c r="EA102" s="390"/>
      <c r="EB102" s="390"/>
      <c r="EC102" s="430"/>
      <c r="ED102" s="390"/>
      <c r="EE102" s="390"/>
      <c r="EF102" s="390"/>
      <c r="EG102" s="430"/>
      <c r="EH102" s="390"/>
      <c r="EI102" s="390"/>
      <c r="EJ102" s="390"/>
      <c r="EK102" s="430"/>
      <c r="EL102" s="320"/>
      <c r="EM102" s="390"/>
      <c r="EN102" s="390"/>
      <c r="EO102" s="390"/>
      <c r="EP102" s="390"/>
      <c r="EQ102" s="390"/>
      <c r="ER102" s="390"/>
      <c r="ES102" s="390"/>
      <c r="ET102" s="390"/>
      <c r="EU102" s="390"/>
      <c r="EV102" s="390"/>
      <c r="EW102" s="390"/>
      <c r="EX102" s="390"/>
      <c r="EY102" s="390"/>
      <c r="EZ102" s="390"/>
      <c r="FA102" s="390"/>
      <c r="FB102" s="390"/>
      <c r="FC102" s="390"/>
      <c r="FD102" s="390"/>
      <c r="FE102" s="390"/>
      <c r="FF102" s="390"/>
      <c r="FG102" s="390"/>
      <c r="FH102" s="390"/>
      <c r="FI102" s="390"/>
      <c r="FJ102" s="390"/>
      <c r="FK102" s="390"/>
      <c r="FL102" s="390"/>
      <c r="FM102" s="390"/>
      <c r="FN102" s="390"/>
      <c r="FO102" s="1056"/>
      <c r="FP102" s="390"/>
      <c r="FQ102" s="390"/>
      <c r="FR102" s="390"/>
      <c r="FS102" s="390"/>
      <c r="FT102" s="390"/>
      <c r="FU102" s="390"/>
      <c r="FW102" s="390"/>
      <c r="FX102" s="390"/>
      <c r="FY102" s="390"/>
      <c r="FZ102" s="390"/>
      <c r="GA102" s="390"/>
      <c r="GB102" s="390"/>
      <c r="GC102" s="390"/>
      <c r="GD102" s="390"/>
      <c r="GE102" s="390"/>
      <c r="GF102" s="390"/>
      <c r="GG102" s="390"/>
      <c r="GH102" s="390"/>
      <c r="GI102" s="390"/>
      <c r="GJ102" s="390"/>
      <c r="GK102" s="390"/>
      <c r="GL102" s="390"/>
      <c r="GM102" s="390"/>
      <c r="GN102" s="390"/>
      <c r="GO102" s="390"/>
      <c r="GP102" s="390"/>
      <c r="GQ102" s="390"/>
      <c r="GR102" s="390"/>
      <c r="GS102" s="390"/>
      <c r="GT102" s="390"/>
      <c r="GU102" s="390"/>
      <c r="GV102" s="390"/>
      <c r="GW102" s="390"/>
      <c r="GX102" s="390"/>
      <c r="GY102" s="390"/>
      <c r="GZ102" s="390"/>
      <c r="HA102" s="390"/>
      <c r="HB102" s="390"/>
      <c r="HC102" s="390"/>
      <c r="HD102" s="390"/>
      <c r="HE102" s="390"/>
      <c r="HF102" s="390"/>
    </row>
    <row r="103" spans="1:214" s="16" customFormat="1" ht="10.199999999999999">
      <c r="A103" s="708" t="s">
        <v>1175</v>
      </c>
      <c r="B103" s="706" t="str">
        <f>'Revenue summary'!B$8</f>
      </c>
      <c r="C103" s="706" t="str">
        <f>'Revenue summary'!C$8</f>
      </c>
      <c r="D103" s="706" t="str">
        <f>'Revenue summary'!D$8</f>
      </c>
      <c r="E103" s="707" t="str">
        <f>'Revenue summary'!E$8</f>
      </c>
      <c r="F103" s="706" t="str">
        <f>'Revenue summary'!F$8</f>
      </c>
      <c r="G103" s="706" t="str">
        <f>'Revenue summary'!G$8</f>
      </c>
      <c r="H103" s="706" t="str">
        <f>'Revenue summary'!H$8</f>
      </c>
      <c r="I103" s="707" t="str">
        <f>'Revenue summary'!I$8</f>
      </c>
      <c r="J103" s="706" t="str">
        <f>'Revenue summary'!J$8</f>
      </c>
      <c r="K103" s="706" t="str">
        <f>'Revenue summary'!K$8</f>
      </c>
      <c r="L103" s="706" t="str">
        <f>'Revenue summary'!L$8</f>
      </c>
      <c r="M103" s="707" t="str">
        <f>'Revenue summary'!M$8</f>
      </c>
      <c r="N103" s="706" t="str">
        <f>'Revenue summary'!N$8</f>
      </c>
      <c r="O103" s="706" t="str">
        <f>'Revenue summary'!O$8</f>
      </c>
      <c r="P103" s="706" t="str">
        <f>'Revenue summary'!P$8</f>
      </c>
      <c r="Q103" s="707" t="str">
        <f>'Revenue summary'!Q$8</f>
      </c>
      <c r="R103" s="706" t="str">
        <f>'Revenue summary'!R$8</f>
      </c>
      <c r="S103" s="706" t="str">
        <f>'Revenue summary'!S$8</f>
      </c>
      <c r="T103" s="706" t="str">
        <f>'Revenue summary'!T$8</f>
      </c>
      <c r="U103" s="707" t="str">
        <f>'Revenue summary'!U$8</f>
      </c>
      <c r="V103" s="706" t="str">
        <f>'Revenue summary'!V$8</f>
      </c>
      <c r="W103" s="706" t="str">
        <f>'Revenue summary'!W$8</f>
      </c>
      <c r="X103" s="706" t="str">
        <f>'Revenue summary'!X$8</f>
      </c>
      <c r="Y103" s="707" t="str">
        <f>'Revenue summary'!Y$8</f>
      </c>
      <c r="Z103" s="706" t="str">
        <f>'Revenue summary'!Z$8</f>
      </c>
      <c r="AA103" s="706" t="str">
        <f>'Revenue summary'!AA$8</f>
      </c>
      <c r="AB103" s="706" t="str">
        <f>'Revenue summary'!AB$8</f>
      </c>
      <c r="AC103" s="707" t="str">
        <f>'Revenue summary'!AC$8</f>
      </c>
      <c r="AD103" s="706" t="str">
        <f>'Revenue summary'!AD$8</f>
      </c>
      <c r="AE103" s="706" t="str">
        <f>'Revenue summary'!AE$8</f>
      </c>
      <c r="AF103" s="706" t="str">
        <f>'Revenue summary'!AF$8</f>
      </c>
      <c r="AG103" s="707" t="str">
        <f>'Revenue summary'!AG$8</f>
      </c>
      <c r="AH103" s="706" t="str">
        <f>'Revenue summary'!AH$8</f>
      </c>
      <c r="AI103" s="706" t="str">
        <f>'Revenue summary'!AI$8</f>
      </c>
      <c r="AJ103" s="706" t="str">
        <f>'Revenue summary'!AJ$8</f>
      </c>
      <c r="AK103" s="707" t="str">
        <f>'Revenue summary'!AK$8</f>
      </c>
      <c r="AL103" s="706" t="str">
        <f>'Revenue summary'!AL$8</f>
      </c>
      <c r="AM103" s="706" t="str">
        <f>'Revenue summary'!AM$8</f>
      </c>
      <c r="AN103" s="706" t="str">
        <f>'Revenue summary'!AN$8</f>
      </c>
      <c r="AO103" s="707" t="str">
        <f>'Revenue summary'!AO$8</f>
      </c>
      <c r="AP103" s="706" t="str">
        <f>'Revenue summary'!AP$8</f>
      </c>
      <c r="AQ103" s="706" t="str">
        <f>'Revenue summary'!AQ$8</f>
      </c>
      <c r="AR103" s="706" t="str">
        <f>'Revenue summary'!AR$8</f>
      </c>
      <c r="AS103" s="707" t="str">
        <f>'Revenue summary'!AS$8</f>
      </c>
      <c r="AT103" s="706" t="str">
        <f>'Revenue summary'!AT$8</f>
      </c>
      <c r="AU103" s="706" t="str">
        <f>'Revenue summary'!AU$8</f>
      </c>
      <c r="AV103" s="706" t="str">
        <f>'Revenue summary'!AV$8</f>
      </c>
      <c r="AW103" s="707" t="str">
        <f>'Revenue summary'!AW$8</f>
      </c>
      <c r="AX103" s="706" t="str">
        <f>'Revenue summary'!AX$8</f>
      </c>
      <c r="AY103" s="706" t="str">
        <f>'Revenue summary'!AY$8</f>
      </c>
      <c r="AZ103" s="706" t="str">
        <f>'Revenue summary'!AZ$8</f>
      </c>
      <c r="BA103" s="707" t="str">
        <f>'Revenue summary'!BA$8</f>
      </c>
      <c r="BB103" s="706" t="str">
        <f>'Revenue summary'!BB$8</f>
      </c>
      <c r="BC103" s="706" t="str">
        <f>'Revenue summary'!BC$8</f>
      </c>
      <c r="BD103" s="706" t="str">
        <f>'Revenue summary'!BD$8</f>
      </c>
      <c r="BE103" s="707" t="str">
        <f>'Revenue summary'!BE$8</f>
      </c>
      <c r="BF103" s="706" t="str">
        <f>'Revenue summary'!BF$8</f>
      </c>
      <c r="BG103" s="706" t="str">
        <f>'Revenue summary'!BG$8</f>
      </c>
      <c r="BH103" s="706" t="str">
        <f>'Revenue summary'!BH$8</f>
      </c>
      <c r="BI103" s="707" t="str">
        <f>'Revenue summary'!BI$8</f>
      </c>
      <c r="BJ103" s="706" t="str">
        <f>'Revenue summary'!BJ$8</f>
      </c>
      <c r="BK103" s="706" t="str">
        <f>'Revenue summary'!BK$8</f>
      </c>
      <c r="BL103" s="706" t="str">
        <f>'Revenue summary'!BL$8</f>
      </c>
      <c r="BM103" s="707" t="str">
        <f>'Revenue summary'!BM$8</f>
      </c>
      <c r="BN103" s="706" t="str">
        <f>'Revenue summary'!BN$8</f>
      </c>
      <c r="BO103" s="706" t="str">
        <f>'Revenue summary'!BO$8</f>
      </c>
      <c r="BP103" s="706" t="str">
        <f>'Revenue summary'!BP$8</f>
      </c>
      <c r="BQ103" s="707" t="str">
        <f>'Revenue summary'!BQ$8</f>
      </c>
      <c r="BR103" s="706" t="str">
        <f>'Revenue summary'!BR$8</f>
      </c>
      <c r="BS103" s="706" t="str">
        <f>'Revenue summary'!BS$8</f>
      </c>
      <c r="BT103" s="706" t="str">
        <f>'Revenue summary'!BT$8</f>
      </c>
      <c r="BU103" s="707" t="str">
        <f>'Revenue summary'!BU$8</f>
      </c>
      <c r="BV103" s="706" t="str">
        <f>'Revenue summary'!BV$8</f>
      </c>
      <c r="BW103" s="706" t="str">
        <f>'Revenue summary'!BW$8</f>
      </c>
      <c r="BX103" s="706" t="str">
        <f>'Revenue summary'!BX$8</f>
      </c>
      <c r="BY103" s="707" t="str">
        <f>'Revenue summary'!BY$8</f>
      </c>
      <c r="BZ103" s="706" t="str">
        <f>'Revenue summary'!BZ$8</f>
      </c>
      <c r="CA103" s="706" t="str">
        <f>'Revenue summary'!CA$8</f>
      </c>
      <c r="CB103" s="706" t="str">
        <f>'Revenue summary'!CB$8</f>
      </c>
      <c r="CC103" s="707" t="str">
        <f>'Revenue summary'!CC$8</f>
      </c>
      <c r="CD103" s="706" t="str">
        <f>'Revenue summary'!CD$8</f>
      </c>
      <c r="CE103" s="706" t="str">
        <f>'Revenue summary'!CE$8</f>
      </c>
      <c r="CF103" s="706" t="str">
        <f>'Revenue summary'!CF$8</f>
      </c>
      <c r="CG103" s="707" t="str">
        <f>'Revenue summary'!CG$8</f>
      </c>
      <c r="CH103" s="706" t="str">
        <f>'Revenue summary'!CH$8</f>
      </c>
      <c r="CI103" s="706" t="str">
        <f>'Revenue summary'!CI$8</f>
      </c>
      <c r="CJ103" s="706" t="str">
        <f>'Revenue summary'!CJ$8</f>
      </c>
      <c r="CK103" s="707" t="str">
        <f>'Revenue summary'!CK$8</f>
      </c>
      <c r="CL103" s="706" t="str">
        <f>'Revenue summary'!CL$8</f>
      </c>
      <c r="CM103" s="706" t="str">
        <f>'Revenue summary'!CM$8</f>
      </c>
      <c r="CN103" s="706" t="str">
        <f>'Revenue summary'!CN$8</f>
      </c>
      <c r="CO103" s="707" t="str">
        <f>'Revenue summary'!CO$8</f>
      </c>
      <c r="CP103" s="706" t="str">
        <f>'Revenue summary'!CP$8</f>
      </c>
      <c r="CQ103" s="706" t="str">
        <f>'Revenue summary'!CQ$8</f>
      </c>
      <c r="CR103" s="706" t="str">
        <f>'Revenue summary'!CR$8</f>
      </c>
      <c r="CS103" s="707" t="str">
        <f>'Revenue summary'!CS$8</f>
      </c>
      <c r="CT103" s="706" t="str">
        <f>'Revenue summary'!CT$8</f>
      </c>
      <c r="CU103" s="706" t="str">
        <f>'Revenue summary'!CU$8</f>
      </c>
      <c r="CV103" s="706" t="str">
        <f>'Revenue summary'!CV$8</f>
      </c>
      <c r="CW103" s="707" t="str">
        <f>'Revenue summary'!CW$8</f>
      </c>
      <c r="CX103" s="706" t="str">
        <f>'Revenue summary'!CX$8</f>
      </c>
      <c r="CY103" s="706" t="str">
        <f>'Revenue summary'!CY$8</f>
      </c>
      <c r="CZ103" s="706" t="str">
        <f>'Revenue summary'!CZ$8</f>
      </c>
      <c r="DA103" s="707" t="str">
        <f>'Revenue summary'!DA$8</f>
      </c>
      <c r="DB103" s="706" t="str">
        <f>'Revenue summary'!DB$8</f>
      </c>
      <c r="DC103" s="706" t="str">
        <f>'Revenue summary'!DC$8</f>
      </c>
      <c r="DD103" s="706" t="str">
        <f>'Revenue summary'!DD$8</f>
      </c>
      <c r="DE103" s="707" t="str">
        <f>'Revenue summary'!DE$8</f>
      </c>
      <c r="DF103" s="706" t="str">
        <f>'Revenue summary'!DF$8</f>
      </c>
      <c r="DG103" s="706" t="str">
        <f>'Revenue summary'!DG$8</f>
      </c>
      <c r="DH103" s="706" t="str">
        <f>'Revenue summary'!DH$8</f>
      </c>
      <c r="DI103" s="707" t="str">
        <f>'Revenue summary'!DI$8</f>
      </c>
      <c r="DJ103" s="706" t="str">
        <f>'Revenue summary'!DJ$8</f>
      </c>
      <c r="DK103" s="706" t="str">
        <f>'Revenue summary'!DK$8</f>
      </c>
      <c r="DL103" s="706" t="str">
        <f>'Revenue summary'!DL$8</f>
      </c>
      <c r="DM103" s="707" t="str">
        <f>'Revenue summary'!DM$8</f>
      </c>
      <c r="DN103" s="706" t="str">
        <f>'Revenue summary'!DN$8</f>
      </c>
      <c r="DO103" s="706" t="str">
        <f>'Revenue summary'!DO$8</f>
      </c>
      <c r="DP103" s="706" t="str">
        <f>'Revenue summary'!DP$8</f>
      </c>
      <c r="DQ103" s="707" t="str">
        <f>'Revenue summary'!DQ$8</f>
      </c>
      <c r="DR103" s="706" t="str">
        <f>'Revenue summary'!DR$8</f>
      </c>
      <c r="DS103" s="706" t="str">
        <f>'Revenue summary'!DS$8</f>
      </c>
      <c r="DT103" s="706" t="str">
        <f>'Revenue summary'!DT$8</f>
      </c>
      <c r="DU103" s="707" t="str">
        <f>'Revenue summary'!DU$8</f>
      </c>
      <c r="DV103" s="706" t="str">
        <f>'Revenue summary'!DV$8</f>
      </c>
      <c r="DW103" s="706" t="str">
        <f>'Revenue summary'!DW$8</f>
      </c>
      <c r="DX103" s="706" t="str">
        <f>'Revenue summary'!DX$8</f>
      </c>
      <c r="DY103" s="707" t="str">
        <f>'Revenue summary'!DY$8</f>
      </c>
      <c r="DZ103" s="706" t="str">
        <f>'Revenue summary'!DZ$8</f>
      </c>
      <c r="EA103" s="706" t="str">
        <f>'Revenue summary'!EA$8</f>
      </c>
      <c r="EB103" s="706" t="str">
        <f>'Revenue summary'!EB$8</f>
      </c>
      <c r="EC103" s="707" t="str">
        <f>'Revenue summary'!EC$8</f>
      </c>
      <c r="ED103" s="706" t="str">
        <f>'Revenue summary'!ED$8</f>
      </c>
      <c r="EE103" s="706" t="str">
        <f>'Revenue summary'!EE$8</f>
      </c>
      <c r="EF103" s="706" t="str">
        <f>'Revenue summary'!EF$8</f>
      </c>
      <c r="EG103" s="707" t="str">
        <f>'Revenue summary'!EG$8</f>
      </c>
      <c r="EH103" s="706" t="str">
        <f>'Revenue summary'!EH$8</f>
      </c>
      <c r="EI103" s="706" t="str">
        <f>'Revenue summary'!EI$8</f>
      </c>
      <c r="EJ103" s="706" t="str">
        <f>'Revenue summary'!EJ$8</f>
      </c>
      <c r="EK103" s="707" t="str">
        <f>'Revenue summary'!EK$8</f>
      </c>
      <c r="EL103" s="320"/>
      <c r="EM103" s="706">
        <f>EM$9</f>
      </c>
      <c r="EN103" s="706">
        <f t="shared" ref="EN103:GZ103" si="830">EN$9</f>
      </c>
      <c r="EO103" s="706">
        <f t="shared" si="830"/>
      </c>
      <c r="EP103" s="706">
        <f t="shared" si="830"/>
      </c>
      <c r="EQ103" s="706">
        <f t="shared" si="830"/>
      </c>
      <c r="ER103" s="706">
        <f t="shared" si="830"/>
      </c>
      <c r="ES103" s="706">
        <f t="shared" si="830"/>
      </c>
      <c r="ET103" s="706">
        <f t="shared" si="830"/>
      </c>
      <c r="EU103" s="706">
        <f t="shared" si="830"/>
      </c>
      <c r="EV103" s="706">
        <f t="shared" si="830"/>
      </c>
      <c r="EW103" s="706">
        <f t="shared" si="830"/>
      </c>
      <c r="EX103" s="706">
        <f t="shared" si="830"/>
      </c>
      <c r="EY103" s="706">
        <f t="shared" si="830"/>
      </c>
      <c r="EZ103" s="706">
        <f t="shared" si="830"/>
      </c>
      <c r="FA103" s="706">
        <f t="shared" si="830"/>
      </c>
      <c r="FB103" s="706">
        <f t="shared" si="830"/>
      </c>
      <c r="FC103" s="706">
        <f t="shared" si="830"/>
      </c>
      <c r="FD103" s="706">
        <f t="shared" si="830"/>
      </c>
      <c r="FE103" s="706" t="str">
        <f t="shared" si="830"/>
      </c>
      <c r="FF103" s="706" t="str">
        <f t="shared" si="830"/>
      </c>
      <c r="FG103" s="706" t="str">
        <f t="shared" si="830"/>
      </c>
      <c r="FH103" s="706" t="str">
        <f t="shared" si="830"/>
      </c>
      <c r="FI103" s="706" t="str">
        <f t="shared" si="830"/>
      </c>
      <c r="FJ103" s="706" t="str">
        <f t="shared" si="830"/>
      </c>
      <c r="FK103" s="706" t="str">
        <f t="shared" si="830"/>
      </c>
      <c r="FL103" s="706" t="str">
        <f t="shared" si="830"/>
      </c>
      <c r="FM103" s="706" t="str">
        <f t="shared" si="830"/>
      </c>
      <c r="FN103" s="706" t="str">
        <f t="shared" si="830"/>
      </c>
      <c r="FO103" s="706" t="str">
        <f t="shared" si="830"/>
      </c>
      <c r="FP103" s="706" t="str">
        <f>FP$9</f>
      </c>
      <c r="FQ103" s="706" t="str">
        <f>FQ$9</f>
      </c>
      <c r="FR103" s="706" t="str">
        <f t="shared" ref="FR103:FU103" si="831">FR$9</f>
      </c>
      <c r="FS103" s="706" t="str">
        <f t="shared" si="831"/>
      </c>
      <c r="FT103" s="706" t="str">
        <f t="shared" si="831"/>
      </c>
      <c r="FU103" s="706" t="str">
        <f t="shared" si="831"/>
      </c>
      <c r="FW103" s="706"/>
      <c r="FX103" s="706"/>
      <c r="FY103" s="706">
        <f t="shared" si="830"/>
      </c>
      <c r="FZ103" s="706">
        <f t="shared" si="830"/>
      </c>
      <c r="GA103" s="706">
        <f t="shared" si="830"/>
      </c>
      <c r="GB103" s="706">
        <f t="shared" si="830"/>
      </c>
      <c r="GC103" s="706">
        <f t="shared" si="830"/>
      </c>
      <c r="GD103" s="706">
        <f t="shared" si="830"/>
      </c>
      <c r="GE103" s="706">
        <f t="shared" si="830"/>
      </c>
      <c r="GF103" s="706">
        <f t="shared" si="830"/>
      </c>
      <c r="GG103" s="706">
        <f t="shared" si="830"/>
      </c>
      <c r="GH103" s="706">
        <f t="shared" si="830"/>
      </c>
      <c r="GI103" s="706">
        <f t="shared" si="830"/>
      </c>
      <c r="GJ103" s="706">
        <f t="shared" si="830"/>
      </c>
      <c r="GK103" s="706">
        <f t="shared" si="830"/>
      </c>
      <c r="GL103" s="706">
        <f t="shared" si="830"/>
      </c>
      <c r="GM103" s="706">
        <f t="shared" si="830"/>
      </c>
      <c r="GN103" s="706">
        <f t="shared" si="830"/>
      </c>
      <c r="GO103" s="706">
        <f t="shared" si="830"/>
      </c>
      <c r="GP103" s="706">
        <f t="shared" si="830"/>
      </c>
      <c r="GQ103" s="706" t="str">
        <f t="shared" si="830"/>
      </c>
      <c r="GR103" s="706" t="str">
        <f t="shared" si="830"/>
      </c>
      <c r="GS103" s="706" t="str">
        <f t="shared" si="830"/>
      </c>
      <c r="GT103" s="706" t="str">
        <f t="shared" si="830"/>
      </c>
      <c r="GU103" s="706" t="str">
        <f t="shared" si="830"/>
      </c>
      <c r="GV103" s="706" t="str">
        <f t="shared" si="830"/>
      </c>
      <c r="GW103" s="706" t="str">
        <f t="shared" si="830"/>
      </c>
      <c r="GX103" s="706" t="str">
        <f t="shared" si="830"/>
      </c>
      <c r="GY103" s="706" t="str">
        <f t="shared" si="830"/>
      </c>
      <c r="GZ103" s="706" t="str">
        <f t="shared" si="830"/>
      </c>
      <c r="HA103" s="706" t="str">
        <f t="shared" ref="HA103" si="832">HA$9</f>
      </c>
      <c r="HB103" s="706" t="str">
        <f t="shared" ref="HB103:HF103" si="833">HB$9</f>
      </c>
      <c r="HC103" s="706" t="str">
        <f t="shared" si="833"/>
      </c>
      <c r="HD103" s="706" t="str">
        <f t="shared" si="833"/>
      </c>
      <c r="HE103" s="706" t="str">
        <f t="shared" si="833"/>
      </c>
      <c r="HF103" s="706" t="str">
        <f t="shared" si="833"/>
      </c>
    </row>
    <row r="104" spans="1:214" s="17" customFormat="1" ht="10.199999999999999">
      <c r="A104" s="629" t="s">
        <v>84</v>
      </c>
      <c r="B104" s="589"/>
      <c r="C104" s="589"/>
      <c r="D104" s="589"/>
      <c r="E104" s="590"/>
      <c r="F104" s="589"/>
      <c r="G104" s="589"/>
      <c r="H104" s="589"/>
      <c r="I104" s="590"/>
      <c r="J104" s="589"/>
      <c r="K104" s="589"/>
      <c r="L104" s="589"/>
      <c r="M104" s="590"/>
      <c r="N104" s="589"/>
      <c r="O104" s="589"/>
      <c r="P104" s="589"/>
      <c r="Q104" s="590"/>
      <c r="R104" s="589"/>
      <c r="S104" s="589"/>
      <c r="T104" s="589"/>
      <c r="U104" s="590"/>
      <c r="V104" s="589"/>
      <c r="W104" s="589"/>
      <c r="X104" s="589"/>
      <c r="Y104" s="590"/>
      <c r="Z104" s="589"/>
      <c r="AA104" s="589"/>
      <c r="AB104" s="589"/>
      <c r="AC104" s="590"/>
      <c r="AD104" s="589"/>
      <c r="AE104" s="589"/>
      <c r="AF104" s="589"/>
      <c r="AG104" s="590"/>
      <c r="AH104" s="589"/>
      <c r="AI104" s="589"/>
      <c r="AJ104" s="589"/>
      <c r="AK104" s="590"/>
      <c r="AL104" s="589"/>
      <c r="AM104" s="589"/>
      <c r="AN104" s="589"/>
      <c r="AO104" s="590"/>
      <c r="AP104" s="589"/>
      <c r="AQ104" s="589"/>
      <c r="AR104" s="589"/>
      <c r="AS104" s="590"/>
      <c r="AT104" s="589"/>
      <c r="AU104" s="589"/>
      <c r="AV104" s="589"/>
      <c r="AW104" s="590"/>
      <c r="AX104" s="589"/>
      <c r="AY104" s="589"/>
      <c r="AZ104" s="589">
        <f t="shared" ref="AZ104:CE104" si="834">+AZ92/AV92-1</f>
      </c>
      <c r="BA104" s="590">
        <f t="shared" si="834"/>
      </c>
      <c r="BB104" s="589">
        <f t="shared" si="834"/>
      </c>
      <c r="BC104" s="589">
        <f t="shared" si="834"/>
      </c>
      <c r="BD104" s="589">
        <f t="shared" si="834"/>
      </c>
      <c r="BE104" s="590">
        <f t="shared" si="834"/>
      </c>
      <c r="BF104" s="589">
        <f t="shared" si="834"/>
      </c>
      <c r="BG104" s="589">
        <f t="shared" si="834"/>
      </c>
      <c r="BH104" s="589">
        <f t="shared" si="834"/>
      </c>
      <c r="BI104" s="590">
        <f t="shared" si="834"/>
      </c>
      <c r="BJ104" s="589">
        <f t="shared" si="834"/>
      </c>
      <c r="BK104" s="589">
        <f t="shared" si="834"/>
      </c>
      <c r="BL104" s="589">
        <f t="shared" si="834"/>
      </c>
      <c r="BM104" s="590">
        <f t="shared" si="834"/>
      </c>
      <c r="BN104" s="589">
        <f t="shared" si="834"/>
      </c>
      <c r="BO104" s="589">
        <f t="shared" si="834"/>
      </c>
      <c r="BP104" s="589">
        <f t="shared" si="834"/>
      </c>
      <c r="BQ104" s="590">
        <f t="shared" si="834"/>
      </c>
      <c r="BR104" s="589">
        <f t="shared" si="834"/>
      </c>
      <c r="BS104" s="589">
        <f t="shared" si="834"/>
      </c>
      <c r="BT104" s="589">
        <f t="shared" si="834"/>
      </c>
      <c r="BU104" s="590">
        <f t="shared" si="834"/>
      </c>
      <c r="BV104" s="589">
        <f t="shared" si="834"/>
      </c>
      <c r="BW104" s="589">
        <f t="shared" si="834"/>
      </c>
      <c r="BX104" s="589">
        <f t="shared" si="834"/>
      </c>
      <c r="BY104" s="590">
        <f t="shared" si="834"/>
      </c>
      <c r="BZ104" s="589">
        <f t="shared" si="834"/>
      </c>
      <c r="CA104" s="589">
        <f t="shared" si="834"/>
      </c>
      <c r="CB104" s="589">
        <f t="shared" si="834"/>
      </c>
      <c r="CC104" s="590">
        <f t="shared" si="834"/>
      </c>
      <c r="CD104" s="589">
        <f t="shared" si="834"/>
      </c>
      <c r="CE104" s="589">
        <f t="shared" si="834"/>
      </c>
      <c r="CF104" s="589">
        <f t="shared" ref="CF104:DA104" si="835">+CF92/CB92-1</f>
      </c>
      <c r="CG104" s="590">
        <f t="shared" si="835"/>
      </c>
      <c r="CH104" s="589">
        <f t="shared" si="835"/>
      </c>
      <c r="CI104" s="589">
        <f t="shared" si="835"/>
      </c>
      <c r="CJ104" s="589">
        <f t="shared" si="835"/>
      </c>
      <c r="CK104" s="590">
        <f t="shared" si="835"/>
      </c>
      <c r="CL104" s="589">
        <f t="shared" si="835"/>
      </c>
      <c r="CM104" s="589">
        <f t="shared" si="835"/>
      </c>
      <c r="CN104" s="589">
        <f t="shared" si="835"/>
      </c>
      <c r="CO104" s="590">
        <f t="shared" si="835"/>
      </c>
      <c r="CP104" s="589">
        <f t="shared" si="835"/>
      </c>
      <c r="CQ104" s="589">
        <f t="shared" si="835"/>
      </c>
      <c r="CR104" s="589">
        <f t="shared" si="835"/>
      </c>
      <c r="CS104" s="590">
        <f t="shared" si="835"/>
      </c>
      <c r="CT104" s="589">
        <f t="shared" si="835"/>
      </c>
      <c r="CU104" s="589">
        <f t="shared" si="835"/>
      </c>
      <c r="CV104" s="589">
        <f t="shared" si="835"/>
      </c>
      <c r="CW104" s="590">
        <f t="shared" si="835"/>
      </c>
      <c r="CX104" s="589">
        <f t="shared" si="835"/>
      </c>
      <c r="CY104" s="589">
        <f t="shared" si="835"/>
      </c>
      <c r="CZ104" s="589">
        <f t="shared" si="835"/>
      </c>
      <c r="DA104" s="590">
        <f t="shared" si="835"/>
      </c>
      <c r="DB104" s="589">
        <f t="shared" ref="DB104:DB105" si="836">+DB92/CX92-1</f>
      </c>
      <c r="DC104" s="589">
        <f t="shared" ref="DC104" si="837">+DC92/CY92-1</f>
      </c>
      <c r="DD104" s="589">
        <f t="shared" ref="DD104" si="838">+DD92/CZ92-1</f>
      </c>
      <c r="DE104" s="844">
        <f>+DE92/DA92-1</f>
      </c>
      <c r="DF104" s="589">
        <f t="shared" ref="DF104" si="839">+DF92/DB92-1</f>
      </c>
      <c r="DG104" s="589">
        <f t="shared" ref="DG104" si="840">+DG92/DC92-1</f>
      </c>
      <c r="DH104" s="589">
        <f t="shared" ref="DH104" si="841">+DH92/DD92-1</f>
      </c>
      <c r="DI104" s="611">
        <f t="shared" ref="DI104" si="842">+DI92/DE92-1</f>
      </c>
      <c r="DJ104" s="589">
        <f t="shared" ref="DJ104" si="843">+DJ92/DF92-1</f>
      </c>
      <c r="DK104" s="589">
        <f>+DK92/DG92-1</f>
      </c>
      <c r="DL104" s="589">
        <f t="shared" ref="DL104" si="844">+DL92/DH92-1</f>
      </c>
      <c r="DM104" s="590">
        <f t="shared" ref="DM104:DN104" si="845">+DM92/DI92-1</f>
      </c>
      <c r="DN104" s="589">
        <f t="shared" si="845"/>
      </c>
      <c r="DO104" s="589">
        <f t="shared" ref="DO104:DV104" si="846">+DO92/DK92-1</f>
      </c>
      <c r="DP104" s="589">
        <f t="shared" si="846"/>
      </c>
      <c r="DQ104" s="590">
        <f t="shared" si="846"/>
      </c>
      <c r="DR104" s="589">
        <f t="shared" si="846"/>
      </c>
      <c r="DS104" s="589">
        <f t="shared" si="846"/>
      </c>
      <c r="DT104" s="589">
        <f t="shared" si="846"/>
      </c>
      <c r="DU104" s="590">
        <f t="shared" si="846"/>
      </c>
      <c r="DV104" s="589">
        <f t="shared" si="846"/>
      </c>
      <c r="DW104" s="589">
        <f t="shared" ref="DW104" si="847">+DW92/DS92-1</f>
      </c>
      <c r="DX104" s="589">
        <f t="shared" ref="DX104" si="848">+DX92/DT92-1</f>
      </c>
      <c r="DY104" s="590">
        <f t="shared" ref="DY104" si="849">+DY92/DU92-1</f>
      </c>
      <c r="DZ104" s="589">
        <f t="shared" ref="DZ104" si="850">+DZ92/DV92-1</f>
      </c>
      <c r="EA104" s="589">
        <f t="shared" ref="EA104" si="851">+EA92/DW92-1</f>
      </c>
      <c r="EB104" s="589">
        <f t="shared" ref="EB104" si="852">+EB92/DX92-1</f>
      </c>
      <c r="EC104" s="590">
        <f t="shared" ref="EC104" si="853">+EC92/DY92-1</f>
      </c>
      <c r="ED104" s="589">
        <f t="shared" ref="ED104" si="854">+ED92/DZ92-1</f>
      </c>
      <c r="EE104" s="589">
        <f t="shared" ref="EE104" si="855">+EE92/EA92-1</f>
      </c>
      <c r="EF104" s="589">
        <f t="shared" ref="EF104" si="856">+EF92/EB92-1</f>
      </c>
      <c r="EG104" s="590">
        <f t="shared" ref="EG104" si="857">+EG92/EC92-1</f>
      </c>
      <c r="EH104" s="589">
        <f t="shared" ref="EH104" si="858">+EH92/ED92-1</f>
      </c>
      <c r="EI104" s="589">
        <f t="shared" ref="EI104" si="859">+EI92/EE92-1</f>
      </c>
      <c r="EJ104" s="589">
        <f t="shared" ref="EJ104" si="860">+EJ92/EF92-1</f>
      </c>
      <c r="EK104" s="590">
        <f>+EK92/EG92-1</f>
      </c>
      <c r="EM104" s="589"/>
      <c r="EN104" s="589"/>
      <c r="EO104" s="589"/>
      <c r="EP104" s="589"/>
      <c r="EQ104" s="589"/>
      <c r="ER104" s="589"/>
      <c r="ES104" s="589"/>
      <c r="ET104" s="589"/>
      <c r="EU104" s="589"/>
      <c r="EV104" s="589"/>
      <c r="EW104" s="589"/>
      <c r="EX104" s="589"/>
      <c r="EY104" s="589">
        <f t="shared" ref="EY104:FQ104" si="861">+EY92/EX92-1</f>
      </c>
      <c r="EZ104" s="589">
        <f t="shared" si="861"/>
      </c>
      <c r="FA104" s="589">
        <f t="shared" si="861"/>
      </c>
      <c r="FB104" s="589">
        <f t="shared" si="861"/>
      </c>
      <c r="FC104" s="589">
        <f t="shared" si="861"/>
      </c>
      <c r="FD104" s="589">
        <f t="shared" si="861"/>
      </c>
      <c r="FE104" s="589">
        <f t="shared" si="861"/>
      </c>
      <c r="FF104" s="589">
        <f t="shared" si="861"/>
      </c>
      <c r="FG104" s="589">
        <f t="shared" si="861"/>
      </c>
      <c r="FH104" s="589">
        <f t="shared" si="861"/>
      </c>
      <c r="FI104" s="589">
        <f t="shared" si="861"/>
      </c>
      <c r="FJ104" s="589">
        <f t="shared" si="861"/>
      </c>
      <c r="FK104" s="589">
        <f t="shared" si="861"/>
      </c>
      <c r="FL104" s="589">
        <f t="shared" si="861"/>
      </c>
      <c r="FM104" s="589">
        <f t="shared" si="861"/>
      </c>
      <c r="FN104" s="589">
        <f t="shared" si="861"/>
      </c>
      <c r="FO104" s="589">
        <f t="shared" si="861"/>
      </c>
      <c r="FP104" s="589">
        <f t="shared" si="861"/>
      </c>
      <c r="FQ104" s="589">
        <f t="shared" si="861"/>
      </c>
      <c r="FR104" s="589">
        <f t="shared" ref="FR104:FR105" si="862">+FR92/FQ92-1</f>
      </c>
      <c r="FS104" s="589">
        <f t="shared" ref="FS104:FS105" si="863">+FS92/FR92-1</f>
      </c>
      <c r="FT104" s="589">
        <f t="shared" ref="FT104:FT105" si="864">+FT92/FS92-1</f>
      </c>
      <c r="FU104" s="589">
        <f t="shared" ref="FU104:FU105" si="865">+FU92/FT92-1</f>
      </c>
      <c r="FW104" s="589"/>
      <c r="FX104" s="589"/>
      <c r="FY104" s="589"/>
      <c r="FZ104" s="589"/>
      <c r="GA104" s="589"/>
      <c r="GB104" s="589"/>
      <c r="GC104" s="589"/>
      <c r="GD104" s="589"/>
      <c r="GE104" s="589"/>
      <c r="GF104" s="589"/>
      <c r="GG104" s="589"/>
      <c r="GH104" s="589"/>
      <c r="GI104" s="589"/>
      <c r="GJ104" s="589"/>
      <c r="GK104" s="589">
        <f t="shared" ref="GK104:HB104" si="866">+GK92/GJ92-1</f>
      </c>
      <c r="GL104" s="589">
        <f t="shared" si="866"/>
      </c>
      <c r="GM104" s="589">
        <f t="shared" si="866"/>
      </c>
      <c r="GN104" s="589">
        <f t="shared" si="866"/>
      </c>
      <c r="GO104" s="589">
        <f t="shared" si="866"/>
      </c>
      <c r="GP104" s="589">
        <f t="shared" si="866"/>
      </c>
      <c r="GQ104" s="589">
        <f t="shared" si="866"/>
      </c>
      <c r="GR104" s="589">
        <f t="shared" si="866"/>
      </c>
      <c r="GS104" s="589">
        <f t="shared" si="866"/>
      </c>
      <c r="GT104" s="589">
        <f t="shared" si="866"/>
      </c>
      <c r="GU104" s="589">
        <f t="shared" si="866"/>
      </c>
      <c r="GV104" s="589">
        <f t="shared" si="866"/>
      </c>
      <c r="GW104" s="589">
        <f t="shared" si="866"/>
      </c>
      <c r="GX104" s="589">
        <f t="shared" si="866"/>
      </c>
      <c r="GY104" s="589">
        <f t="shared" si="866"/>
      </c>
      <c r="GZ104" s="589">
        <f t="shared" si="866"/>
      </c>
      <c r="HA104" s="589">
        <f t="shared" si="866"/>
      </c>
      <c r="HB104" s="589">
        <f t="shared" si="866"/>
      </c>
      <c r="HC104" s="589">
        <f t="shared" ref="HC104:HC105" si="867">+HC92/HB92-1</f>
      </c>
      <c r="HD104" s="589">
        <f t="shared" ref="HD104:HD105" si="868">+HD92/HC92-1</f>
      </c>
      <c r="HE104" s="589">
        <f t="shared" ref="HE104:HE105" si="869">+HE92/HD92-1</f>
      </c>
      <c r="HF104" s="589">
        <f t="shared" ref="HF104:HF105" si="870">+HF92/HE92-1</f>
      </c>
    </row>
    <row r="105" spans="1:214" s="17" customFormat="1" ht="10.199999999999999">
      <c r="A105" s="629" t="s">
        <v>86</v>
      </c>
      <c r="B105" s="589"/>
      <c r="C105" s="589"/>
      <c r="D105" s="589"/>
      <c r="E105" s="590"/>
      <c r="F105" s="589"/>
      <c r="G105" s="589"/>
      <c r="H105" s="589"/>
      <c r="I105" s="590"/>
      <c r="J105" s="589"/>
      <c r="K105" s="589"/>
      <c r="L105" s="589"/>
      <c r="M105" s="590"/>
      <c r="N105" s="589">
        <f t="shared" ref="N105:AS105" si="871">+N93/J93-1</f>
      </c>
      <c r="O105" s="589">
        <f t="shared" si="871"/>
      </c>
      <c r="P105" s="589">
        <f t="shared" si="871"/>
      </c>
      <c r="Q105" s="590">
        <f t="shared" si="871"/>
      </c>
      <c r="R105" s="589">
        <f t="shared" si="871"/>
      </c>
      <c r="S105" s="589">
        <f t="shared" si="871"/>
      </c>
      <c r="T105" s="589">
        <f t="shared" si="871"/>
      </c>
      <c r="U105" s="590">
        <f t="shared" si="871"/>
      </c>
      <c r="V105" s="589">
        <f t="shared" si="871"/>
      </c>
      <c r="W105" s="589">
        <f t="shared" si="871"/>
      </c>
      <c r="X105" s="589">
        <f t="shared" si="871"/>
      </c>
      <c r="Y105" s="590">
        <f t="shared" si="871"/>
      </c>
      <c r="Z105" s="589">
        <f t="shared" si="871"/>
      </c>
      <c r="AA105" s="589">
        <f t="shared" si="871"/>
      </c>
      <c r="AB105" s="589">
        <f t="shared" si="871"/>
      </c>
      <c r="AC105" s="590">
        <f t="shared" si="871"/>
      </c>
      <c r="AD105" s="589">
        <f t="shared" si="871"/>
      </c>
      <c r="AE105" s="589">
        <f t="shared" si="871"/>
      </c>
      <c r="AF105" s="589">
        <f t="shared" si="871"/>
      </c>
      <c r="AG105" s="590">
        <f t="shared" si="871"/>
      </c>
      <c r="AH105" s="589">
        <f t="shared" si="871"/>
      </c>
      <c r="AI105" s="589">
        <f t="shared" si="871"/>
      </c>
      <c r="AJ105" s="589">
        <f t="shared" si="871"/>
      </c>
      <c r="AK105" s="590">
        <f t="shared" si="871"/>
      </c>
      <c r="AL105" s="589">
        <f t="shared" si="871"/>
      </c>
      <c r="AM105" s="589">
        <f t="shared" si="871"/>
      </c>
      <c r="AN105" s="589">
        <f t="shared" si="871"/>
      </c>
      <c r="AO105" s="590">
        <f t="shared" si="871"/>
      </c>
      <c r="AP105" s="589">
        <f t="shared" si="871"/>
      </c>
      <c r="AQ105" s="589">
        <f t="shared" si="871"/>
      </c>
      <c r="AR105" s="589">
        <f t="shared" si="871"/>
      </c>
      <c r="AS105" s="590">
        <f t="shared" si="871"/>
      </c>
      <c r="AT105" s="589">
        <f t="shared" ref="AT105:BY105" si="872">+AT93/AP93-1</f>
      </c>
      <c r="AU105" s="589">
        <f t="shared" si="872"/>
      </c>
      <c r="AV105" s="589">
        <f t="shared" si="872"/>
      </c>
      <c r="AW105" s="590">
        <f t="shared" si="872"/>
      </c>
      <c r="AX105" s="589">
        <f t="shared" si="872"/>
      </c>
      <c r="AY105" s="589">
        <f t="shared" si="872"/>
      </c>
      <c r="AZ105" s="589">
        <f t="shared" si="872"/>
      </c>
      <c r="BA105" s="590">
        <f t="shared" si="872"/>
      </c>
      <c r="BB105" s="589">
        <f t="shared" si="872"/>
      </c>
      <c r="BC105" s="589">
        <f t="shared" si="872"/>
      </c>
      <c r="BD105" s="589">
        <f t="shared" si="872"/>
      </c>
      <c r="BE105" s="590">
        <f t="shared" si="872"/>
      </c>
      <c r="BF105" s="589">
        <f t="shared" si="872"/>
      </c>
      <c r="BG105" s="589">
        <f t="shared" si="872"/>
      </c>
      <c r="BH105" s="589">
        <f t="shared" si="872"/>
      </c>
      <c r="BI105" s="590">
        <f t="shared" si="872"/>
      </c>
      <c r="BJ105" s="589">
        <f t="shared" si="872"/>
      </c>
      <c r="BK105" s="589">
        <f t="shared" si="872"/>
      </c>
      <c r="BL105" s="589">
        <f t="shared" si="872"/>
      </c>
      <c r="BM105" s="590">
        <f t="shared" si="872"/>
      </c>
      <c r="BN105" s="589">
        <f t="shared" si="872"/>
      </c>
      <c r="BO105" s="589">
        <f t="shared" si="872"/>
      </c>
      <c r="BP105" s="589">
        <f t="shared" si="872"/>
      </c>
      <c r="BQ105" s="590">
        <f t="shared" si="872"/>
      </c>
      <c r="BR105" s="589">
        <f t="shared" si="872"/>
      </c>
      <c r="BS105" s="589">
        <f t="shared" si="872"/>
      </c>
      <c r="BT105" s="589">
        <f t="shared" si="872"/>
      </c>
      <c r="BU105" s="590">
        <f t="shared" si="872"/>
      </c>
      <c r="BV105" s="589">
        <f t="shared" si="872"/>
      </c>
      <c r="BW105" s="589">
        <f t="shared" si="872"/>
      </c>
      <c r="BX105" s="589">
        <f t="shared" si="872"/>
      </c>
      <c r="BY105" s="590">
        <f t="shared" si="872"/>
      </c>
      <c r="BZ105" s="589">
        <f t="shared" ref="BZ105:CY105" si="873">+BZ93/BV93-1</f>
      </c>
      <c r="CA105" s="589">
        <f t="shared" si="873"/>
      </c>
      <c r="CB105" s="589">
        <f t="shared" si="873"/>
      </c>
      <c r="CC105" s="590">
        <f t="shared" si="873"/>
      </c>
      <c r="CD105" s="589">
        <f t="shared" si="873"/>
      </c>
      <c r="CE105" s="589">
        <f t="shared" si="873"/>
      </c>
      <c r="CF105" s="589">
        <f t="shared" si="873"/>
      </c>
      <c r="CG105" s="590">
        <f t="shared" si="873"/>
      </c>
      <c r="CH105" s="589">
        <f t="shared" si="873"/>
      </c>
      <c r="CI105" s="589">
        <f t="shared" si="873"/>
      </c>
      <c r="CJ105" s="589">
        <f t="shared" si="873"/>
      </c>
      <c r="CK105" s="590">
        <f t="shared" si="873"/>
      </c>
      <c r="CL105" s="589">
        <f t="shared" si="873"/>
      </c>
      <c r="CM105" s="589">
        <f t="shared" si="873"/>
      </c>
      <c r="CN105" s="589">
        <f t="shared" si="873"/>
      </c>
      <c r="CO105" s="590">
        <f t="shared" si="873"/>
      </c>
      <c r="CP105" s="589">
        <f t="shared" si="873"/>
      </c>
      <c r="CQ105" s="589">
        <f t="shared" si="873"/>
      </c>
      <c r="CR105" s="589">
        <f t="shared" si="873"/>
      </c>
      <c r="CS105" s="590">
        <f t="shared" si="873"/>
      </c>
      <c r="CT105" s="589">
        <f t="shared" si="873"/>
      </c>
      <c r="CU105" s="589">
        <f t="shared" si="873"/>
      </c>
      <c r="CV105" s="589">
        <f t="shared" si="873"/>
      </c>
      <c r="CW105" s="590">
        <f t="shared" si="873"/>
      </c>
      <c r="CX105" s="589">
        <f t="shared" si="873"/>
      </c>
      <c r="CY105" s="589">
        <f t="shared" si="873"/>
      </c>
      <c r="CZ105" s="589">
        <f>+CZ93/CV93-1</f>
      </c>
      <c r="DA105" s="590">
        <f>+DA93/CW93-1</f>
      </c>
      <c r="DB105" s="589">
        <f t="shared" si="836"/>
      </c>
      <c r="DC105" s="589">
        <f>+DC93/CY93-1</f>
      </c>
      <c r="DD105" s="589">
        <f>+DD93/CZ93-1</f>
      </c>
      <c r="DE105" s="844">
        <f>+DE93/DA93-1</f>
      </c>
      <c r="DF105" s="589">
        <f t="shared" ref="DF105:DP105" si="874">+DF93/DB93-1</f>
      </c>
      <c r="DG105" s="589">
        <f t="shared" si="874"/>
      </c>
      <c r="DH105" s="589">
        <f t="shared" si="874"/>
      </c>
      <c r="DI105" s="590">
        <f t="shared" si="874"/>
      </c>
      <c r="DJ105" s="589">
        <f t="shared" si="874"/>
      </c>
      <c r="DK105" s="589">
        <f t="shared" si="874"/>
      </c>
      <c r="DL105" s="589">
        <f t="shared" si="874"/>
      </c>
      <c r="DM105" s="590">
        <f>+DM93/DI93-1</f>
      </c>
      <c r="DN105" s="589">
        <f t="shared" si="874"/>
      </c>
      <c r="DO105" s="589">
        <f t="shared" si="874"/>
      </c>
      <c r="DP105" s="589">
        <f t="shared" si="874"/>
      </c>
      <c r="DQ105" s="811">
        <v>0.08</v>
      </c>
      <c r="DR105" s="812">
        <v>-0.08</v>
      </c>
      <c r="DS105" s="812">
        <v>0</v>
      </c>
      <c r="DT105" s="812">
        <v>0</v>
      </c>
      <c r="DU105" s="811">
        <v>0</v>
      </c>
      <c r="DV105" s="812">
        <v>0</v>
      </c>
      <c r="DW105" s="812">
        <v>0.03</v>
      </c>
      <c r="DX105" s="812">
        <v>0.03</v>
      </c>
      <c r="DY105" s="811">
        <v>0.03</v>
      </c>
      <c r="DZ105" s="812">
        <v>0.03</v>
      </c>
      <c r="EA105" s="812">
        <v>0.03</v>
      </c>
      <c r="EB105" s="812">
        <v>0.03</v>
      </c>
      <c r="EC105" s="811">
        <v>0.03</v>
      </c>
      <c r="ED105" s="812">
        <v>0.02</v>
      </c>
      <c r="EE105" s="812">
        <v>0.02</v>
      </c>
      <c r="EF105" s="812">
        <v>0.02</v>
      </c>
      <c r="EG105" s="811">
        <v>0.02</v>
      </c>
      <c r="EH105" s="812">
        <v>0.02</v>
      </c>
      <c r="EI105" s="812">
        <v>0.02</v>
      </c>
      <c r="EJ105" s="812">
        <v>0.02</v>
      </c>
      <c r="EK105" s="811">
        <v>0.02</v>
      </c>
      <c r="EM105" s="589"/>
      <c r="EN105" s="589"/>
      <c r="EO105" s="589"/>
      <c r="EP105" s="589">
        <f t="shared" ref="EP105:EX105" si="875">+EP93/EO93-1</f>
      </c>
      <c r="EQ105" s="589">
        <f t="shared" si="875"/>
      </c>
      <c r="ER105" s="589">
        <f t="shared" si="875"/>
      </c>
      <c r="ES105" s="589">
        <f t="shared" si="875"/>
      </c>
      <c r="ET105" s="589">
        <f t="shared" si="875"/>
      </c>
      <c r="EU105" s="589">
        <f t="shared" si="875"/>
      </c>
      <c r="EV105" s="589">
        <f t="shared" si="875"/>
      </c>
      <c r="EW105" s="589">
        <f t="shared" si="875"/>
      </c>
      <c r="EX105" s="589">
        <f t="shared" si="875"/>
      </c>
      <c r="EY105" s="589">
        <f t="shared" ref="EY105:FQ105" si="876">+EY93/EX93-1</f>
      </c>
      <c r="EZ105" s="589">
        <f t="shared" si="876"/>
      </c>
      <c r="FA105" s="589">
        <f t="shared" si="876"/>
      </c>
      <c r="FB105" s="589">
        <f t="shared" si="876"/>
      </c>
      <c r="FC105" s="589">
        <f t="shared" si="876"/>
      </c>
      <c r="FD105" s="589">
        <f t="shared" si="876"/>
      </c>
      <c r="FE105" s="589">
        <f t="shared" si="876"/>
      </c>
      <c r="FF105" s="589">
        <f t="shared" si="876"/>
      </c>
      <c r="FG105" s="589">
        <f t="shared" si="876"/>
      </c>
      <c r="FH105" s="589">
        <f t="shared" si="876"/>
      </c>
      <c r="FI105" s="589">
        <f t="shared" si="876"/>
      </c>
      <c r="FJ105" s="589">
        <f t="shared" si="876"/>
      </c>
      <c r="FK105" s="589">
        <f t="shared" si="876"/>
      </c>
      <c r="FL105" s="589">
        <f t="shared" si="876"/>
      </c>
      <c r="FM105" s="589">
        <f t="shared" si="876"/>
      </c>
      <c r="FN105" s="589">
        <f t="shared" si="876"/>
      </c>
      <c r="FO105" s="589">
        <f t="shared" si="876"/>
      </c>
      <c r="FP105" s="589">
        <f t="shared" si="876"/>
      </c>
      <c r="FQ105" s="589">
        <f t="shared" si="876"/>
      </c>
      <c r="FR105" s="589">
        <f t="shared" si="862"/>
      </c>
      <c r="FS105" s="589">
        <f t="shared" si="863"/>
      </c>
      <c r="FT105" s="589">
        <f t="shared" si="864"/>
      </c>
      <c r="FU105" s="589">
        <f t="shared" si="865"/>
      </c>
      <c r="FW105" s="589"/>
      <c r="FX105" s="589"/>
      <c r="FY105" s="589"/>
      <c r="FZ105" s="589"/>
      <c r="GA105" s="589">
        <f t="shared" ref="GA105:GJ105" si="877">+GA93/FZ93-1</f>
      </c>
      <c r="GB105" s="589">
        <f t="shared" si="877"/>
      </c>
      <c r="GC105" s="589">
        <f t="shared" si="877"/>
      </c>
      <c r="GD105" s="589">
        <f t="shared" si="877"/>
      </c>
      <c r="GE105" s="589">
        <f t="shared" si="877"/>
      </c>
      <c r="GF105" s="589">
        <f t="shared" si="877"/>
      </c>
      <c r="GG105" s="589">
        <f t="shared" si="877"/>
      </c>
      <c r="GH105" s="589">
        <f t="shared" si="877"/>
      </c>
      <c r="GI105" s="589">
        <f t="shared" si="877"/>
      </c>
      <c r="GJ105" s="589">
        <f t="shared" si="877"/>
      </c>
      <c r="GK105" s="589">
        <f t="shared" ref="GK105:HB105" si="878">+GK93/GJ93-1</f>
      </c>
      <c r="GL105" s="589">
        <f t="shared" si="878"/>
      </c>
      <c r="GM105" s="589">
        <f t="shared" si="878"/>
      </c>
      <c r="GN105" s="589">
        <f t="shared" si="878"/>
      </c>
      <c r="GO105" s="589">
        <f t="shared" si="878"/>
      </c>
      <c r="GP105" s="589">
        <f t="shared" si="878"/>
      </c>
      <c r="GQ105" s="589">
        <f t="shared" si="878"/>
      </c>
      <c r="GR105" s="589">
        <f t="shared" si="878"/>
      </c>
      <c r="GS105" s="589">
        <f t="shared" si="878"/>
      </c>
      <c r="GT105" s="589">
        <f t="shared" si="878"/>
      </c>
      <c r="GU105" s="589">
        <f t="shared" si="878"/>
      </c>
      <c r="GV105" s="589">
        <f t="shared" si="878"/>
      </c>
      <c r="GW105" s="589">
        <f t="shared" si="878"/>
      </c>
      <c r="GX105" s="589">
        <f t="shared" si="878"/>
      </c>
      <c r="GY105" s="589">
        <f t="shared" si="878"/>
      </c>
      <c r="GZ105" s="589">
        <f t="shared" si="878"/>
      </c>
      <c r="HA105" s="589">
        <f t="shared" si="878"/>
      </c>
      <c r="HB105" s="589">
        <f t="shared" si="878"/>
      </c>
      <c r="HC105" s="589">
        <f t="shared" si="867"/>
      </c>
      <c r="HD105" s="589">
        <f t="shared" si="868"/>
      </c>
      <c r="HE105" s="589">
        <f t="shared" si="869"/>
      </c>
      <c r="HF105" s="589">
        <f t="shared" si="870"/>
      </c>
    </row>
    <row r="106" spans="1:214" s="17" customFormat="1" ht="10.199999999999999">
      <c r="A106" s="629" t="s">
        <v>85</v>
      </c>
      <c r="B106" s="589"/>
      <c r="C106" s="589"/>
      <c r="D106" s="589"/>
      <c r="E106" s="590"/>
      <c r="F106" s="589"/>
      <c r="G106" s="589"/>
      <c r="H106" s="589"/>
      <c r="I106" s="590"/>
      <c r="J106" s="589"/>
      <c r="K106" s="589"/>
      <c r="L106" s="589"/>
      <c r="M106" s="590"/>
      <c r="N106" s="589"/>
      <c r="O106" s="589"/>
      <c r="P106" s="589"/>
      <c r="Q106" s="590"/>
      <c r="R106" s="589"/>
      <c r="S106" s="589"/>
      <c r="T106" s="589"/>
      <c r="U106" s="590"/>
      <c r="V106" s="589"/>
      <c r="W106" s="589"/>
      <c r="X106" s="589"/>
      <c r="Y106" s="590"/>
      <c r="Z106" s="589"/>
      <c r="AA106" s="589"/>
      <c r="AB106" s="589"/>
      <c r="AC106" s="590"/>
      <c r="AD106" s="589"/>
      <c r="AE106" s="589"/>
      <c r="AF106" s="589"/>
      <c r="AG106" s="590"/>
      <c r="AH106" s="589"/>
      <c r="AI106" s="589"/>
      <c r="AJ106" s="589"/>
      <c r="AK106" s="590"/>
      <c r="AL106" s="589"/>
      <c r="AM106" s="589"/>
      <c r="AN106" s="589"/>
      <c r="AO106" s="590"/>
      <c r="AP106" s="589"/>
      <c r="AQ106" s="589"/>
      <c r="AR106" s="589"/>
      <c r="AS106" s="590"/>
      <c r="AT106" s="589"/>
      <c r="AU106" s="589"/>
      <c r="AV106" s="589"/>
      <c r="AW106" s="590"/>
      <c r="AX106" s="589"/>
      <c r="AY106" s="589"/>
      <c r="AZ106" s="589"/>
      <c r="BA106" s="590"/>
      <c r="BB106" s="589"/>
      <c r="BC106" s="589"/>
      <c r="BD106" s="589"/>
      <c r="BE106" s="590"/>
      <c r="BF106" s="589"/>
      <c r="BG106" s="589"/>
      <c r="BH106" s="589"/>
      <c r="BI106" s="590"/>
      <c r="BJ106" s="589"/>
      <c r="BK106" s="589"/>
      <c r="BL106" s="589">
        <f t="shared" ref="BL106:CZ107" si="879">+BL99/BH99-1</f>
      </c>
      <c r="BM106" s="590">
        <f t="shared" si="879"/>
      </c>
      <c r="BN106" s="589">
        <f t="shared" si="879"/>
      </c>
      <c r="BO106" s="589">
        <f t="shared" si="879"/>
      </c>
      <c r="BP106" s="589">
        <f t="shared" si="879"/>
      </c>
      <c r="BQ106" s="590">
        <f t="shared" si="879"/>
      </c>
      <c r="BR106" s="589">
        <f t="shared" si="879"/>
      </c>
      <c r="BS106" s="589">
        <f t="shared" si="879"/>
      </c>
      <c r="BT106" s="589">
        <f t="shared" si="879"/>
      </c>
      <c r="BU106" s="590">
        <f t="shared" si="879"/>
      </c>
      <c r="BV106" s="589">
        <f t="shared" si="879"/>
      </c>
      <c r="BW106" s="589">
        <f t="shared" si="879"/>
      </c>
      <c r="BX106" s="589">
        <f t="shared" si="879"/>
      </c>
      <c r="BY106" s="590">
        <f t="shared" si="879"/>
      </c>
      <c r="BZ106" s="589">
        <f t="shared" si="879"/>
      </c>
      <c r="CA106" s="589">
        <f t="shared" si="879"/>
      </c>
      <c r="CB106" s="589">
        <f t="shared" si="879"/>
      </c>
      <c r="CC106" s="590">
        <f t="shared" si="879"/>
      </c>
      <c r="CD106" s="589">
        <f t="shared" si="879"/>
      </c>
      <c r="CE106" s="589">
        <f t="shared" si="879"/>
      </c>
      <c r="CF106" s="589">
        <f t="shared" si="879"/>
      </c>
      <c r="CG106" s="590">
        <f t="shared" si="879"/>
      </c>
      <c r="CH106" s="589">
        <f t="shared" si="879"/>
      </c>
      <c r="CI106" s="589">
        <f t="shared" si="879"/>
      </c>
      <c r="CJ106" s="589">
        <f t="shared" si="879"/>
      </c>
      <c r="CK106" s="590">
        <f t="shared" si="879"/>
      </c>
      <c r="CL106" s="589">
        <f t="shared" si="879"/>
      </c>
      <c r="CM106" s="589">
        <f t="shared" si="879"/>
      </c>
      <c r="CN106" s="589">
        <f t="shared" si="879"/>
      </c>
      <c r="CO106" s="590">
        <f t="shared" si="879"/>
      </c>
      <c r="CP106" s="589">
        <f t="shared" si="879"/>
      </c>
      <c r="CQ106" s="589">
        <f t="shared" si="879"/>
      </c>
      <c r="CR106" s="589">
        <f t="shared" si="879"/>
      </c>
      <c r="CS106" s="590">
        <f t="shared" si="879"/>
      </c>
      <c r="CT106" s="589">
        <f t="shared" si="879"/>
      </c>
      <c r="CU106" s="589">
        <f t="shared" si="879"/>
      </c>
      <c r="CV106" s="589">
        <f t="shared" si="879"/>
      </c>
      <c r="CW106" s="590">
        <f t="shared" si="879"/>
      </c>
      <c r="CX106" s="589">
        <f t="shared" si="879"/>
      </c>
      <c r="CY106" s="589">
        <f t="shared" si="879"/>
      </c>
      <c r="CZ106" s="812">
        <v>0.04</v>
      </c>
      <c r="DA106" s="590">
        <f>+DA99/CW99-1</f>
      </c>
      <c r="DB106" s="812">
        <v>-0.09</v>
      </c>
      <c r="DC106" s="589">
        <f t="shared" ref="DC106:DF107" si="880">+DC99/CY99-1</f>
      </c>
      <c r="DD106" s="589">
        <f t="shared" si="880"/>
      </c>
      <c r="DE106" s="844">
        <f t="shared" si="880"/>
      </c>
      <c r="DF106" s="629">
        <f t="shared" si="880"/>
      </c>
      <c r="DG106" s="629">
        <f t="shared" ref="DG106:DI107" si="881">+DG99/DC99-1</f>
      </c>
      <c r="DH106" s="629">
        <f t="shared" si="881"/>
      </c>
      <c r="DI106" s="844">
        <f t="shared" si="881"/>
      </c>
      <c r="DJ106" s="629">
        <f>+DJ99/DF99-1</f>
      </c>
      <c r="DK106" s="629">
        <f>+DK99/DG99-1</f>
      </c>
      <c r="DL106" s="629">
        <f t="shared" ref="DL106:DL107" si="882">+DL99/DH99-1</f>
      </c>
      <c r="DM106" s="844">
        <f t="shared" ref="DM106" si="883">+DM99/DI99-1</f>
      </c>
      <c r="DN106" s="629">
        <f t="shared" ref="DN106:DV106" si="884">+DN99/DJ99-1</f>
      </c>
      <c r="DO106" s="629">
        <f t="shared" si="884"/>
      </c>
      <c r="DP106" s="629">
        <f t="shared" si="884"/>
      </c>
      <c r="DQ106" s="844">
        <f t="shared" si="884"/>
      </c>
      <c r="DR106" s="629">
        <f t="shared" si="884"/>
      </c>
      <c r="DS106" s="629">
        <f t="shared" si="884"/>
      </c>
      <c r="DT106" s="629">
        <f t="shared" si="884"/>
      </c>
      <c r="DU106" s="844">
        <f t="shared" si="884"/>
      </c>
      <c r="DV106" s="629">
        <f t="shared" si="884"/>
      </c>
      <c r="DW106" s="629">
        <f t="shared" ref="DW106" si="885">+DW99/DS99-1</f>
      </c>
      <c r="DX106" s="629">
        <f t="shared" ref="DX106" si="886">+DX99/DT99-1</f>
      </c>
      <c r="DY106" s="844">
        <f t="shared" ref="DY106" si="887">+DY99/DU99-1</f>
      </c>
      <c r="DZ106" s="629">
        <f>+DZ99/DV99-1</f>
      </c>
      <c r="EA106" s="629">
        <f t="shared" ref="EA106" si="888">+EA99/DW99-1</f>
      </c>
      <c r="EB106" s="629">
        <f t="shared" ref="EB106" si="889">+EB99/DX99-1</f>
      </c>
      <c r="EC106" s="844">
        <f t="shared" ref="EC106" si="890">+EC99/DY99-1</f>
      </c>
      <c r="ED106" s="629">
        <f>+ED99/DZ99-1</f>
      </c>
      <c r="EE106" s="629">
        <f t="shared" ref="EE106" si="891">+EE99/EA99-1</f>
      </c>
      <c r="EF106" s="629">
        <f t="shared" ref="EF106" si="892">+EF99/EB99-1</f>
      </c>
      <c r="EG106" s="844">
        <f t="shared" ref="EG106" si="893">+EG99/EC99-1</f>
      </c>
      <c r="EH106" s="629">
        <f>+EH99/ED99-1</f>
      </c>
      <c r="EI106" s="629">
        <f t="shared" ref="EI106" si="894">+EI99/EE99-1</f>
      </c>
      <c r="EJ106" s="629">
        <f t="shared" ref="EJ106" si="895">+EJ99/EF99-1</f>
      </c>
      <c r="EK106" s="844">
        <f t="shared" ref="EK106" si="896">+EK99/EG99-1</f>
      </c>
      <c r="EM106" s="589"/>
      <c r="EN106" s="589"/>
      <c r="EO106" s="589"/>
      <c r="EP106" s="589"/>
      <c r="EQ106" s="589"/>
      <c r="ER106" s="589"/>
      <c r="ES106" s="589"/>
      <c r="ET106" s="589"/>
      <c r="EU106" s="589"/>
      <c r="EV106" s="589"/>
      <c r="EW106" s="589"/>
      <c r="EX106" s="589"/>
      <c r="EY106" s="589"/>
      <c r="EZ106" s="589"/>
      <c r="FA106" s="589"/>
      <c r="FB106" s="589">
        <f t="shared" ref="FB106:FQ106" si="897">+FB99/FA99-1</f>
      </c>
      <c r="FC106" s="589">
        <f t="shared" si="897"/>
      </c>
      <c r="FD106" s="589">
        <f t="shared" si="897"/>
      </c>
      <c r="FE106" s="589">
        <f t="shared" si="897"/>
      </c>
      <c r="FF106" s="589">
        <f t="shared" si="897"/>
      </c>
      <c r="FG106" s="589">
        <f t="shared" si="897"/>
      </c>
      <c r="FH106" s="589">
        <f t="shared" si="897"/>
      </c>
      <c r="FI106" s="589">
        <f t="shared" si="897"/>
      </c>
      <c r="FJ106" s="589">
        <f t="shared" si="897"/>
      </c>
      <c r="FK106" s="589">
        <f t="shared" si="897"/>
      </c>
      <c r="FL106" s="589">
        <f t="shared" si="897"/>
      </c>
      <c r="FM106" s="589">
        <f t="shared" si="897"/>
      </c>
      <c r="FN106" s="589">
        <f t="shared" si="897"/>
      </c>
      <c r="FO106" s="589">
        <f t="shared" si="897"/>
      </c>
      <c r="FP106" s="589">
        <f t="shared" si="897"/>
      </c>
      <c r="FQ106" s="589">
        <f t="shared" si="897"/>
      </c>
      <c r="FR106" s="589">
        <f t="shared" ref="FR106:FR107" si="898">+FR99/FQ99-1</f>
      </c>
      <c r="FS106" s="589">
        <f t="shared" ref="FS106:FS107" si="899">+FS99/FR99-1</f>
      </c>
      <c r="FT106" s="589">
        <f t="shared" ref="FT106:FT107" si="900">+FT99/FS99-1</f>
      </c>
      <c r="FU106" s="589">
        <f t="shared" ref="FU106:FU107" si="901">+FU99/FT99-1</f>
      </c>
      <c r="FW106" s="589"/>
      <c r="FX106" s="589"/>
      <c r="FY106" s="589"/>
      <c r="FZ106" s="589"/>
      <c r="GA106" s="589"/>
      <c r="GB106" s="589"/>
      <c r="GC106" s="589"/>
      <c r="GD106" s="589"/>
      <c r="GE106" s="589"/>
      <c r="GF106" s="589"/>
      <c r="GG106" s="589"/>
      <c r="GH106" s="589"/>
      <c r="GI106" s="589"/>
      <c r="GJ106" s="589"/>
      <c r="GK106" s="589"/>
      <c r="GL106" s="589"/>
      <c r="GM106" s="589"/>
      <c r="GN106" s="589">
        <f t="shared" ref="GN106:HB106" si="902">+GN99/GM99-1</f>
      </c>
      <c r="GO106" s="589">
        <f t="shared" si="902"/>
      </c>
      <c r="GP106" s="589">
        <f t="shared" si="902"/>
      </c>
      <c r="GQ106" s="589">
        <f t="shared" si="902"/>
      </c>
      <c r="GR106" s="589">
        <f t="shared" si="902"/>
      </c>
      <c r="GS106" s="589">
        <f t="shared" si="902"/>
      </c>
      <c r="GT106" s="589">
        <f t="shared" si="902"/>
      </c>
      <c r="GU106" s="589">
        <f t="shared" si="902"/>
      </c>
      <c r="GV106" s="589">
        <f t="shared" si="902"/>
      </c>
      <c r="GW106" s="589">
        <f t="shared" si="902"/>
      </c>
      <c r="GX106" s="589">
        <f t="shared" si="902"/>
      </c>
      <c r="GY106" s="589">
        <f t="shared" si="902"/>
      </c>
      <c r="GZ106" s="589">
        <f t="shared" si="902"/>
      </c>
      <c r="HA106" s="589">
        <f t="shared" si="902"/>
      </c>
      <c r="HB106" s="589">
        <f t="shared" si="902"/>
      </c>
      <c r="HC106" s="589">
        <f t="shared" ref="HC106:HC107" si="903">+HC99/HB99-1</f>
      </c>
      <c r="HD106" s="589">
        <f t="shared" ref="HD106:HD107" si="904">+HD99/HC99-1</f>
      </c>
      <c r="HE106" s="589">
        <f t="shared" ref="HE106:HE107" si="905">+HE99/HD99-1</f>
      </c>
      <c r="HF106" s="589">
        <f t="shared" ref="HF106:HF107" si="906">+HF99/HE99-1</f>
      </c>
    </row>
    <row r="107" spans="1:214" s="17" customFormat="1" ht="10.199999999999999">
      <c r="A107" s="629" t="s">
        <v>1184</v>
      </c>
      <c r="B107" s="589"/>
      <c r="C107" s="589"/>
      <c r="D107" s="589"/>
      <c r="E107" s="590"/>
      <c r="F107" s="589"/>
      <c r="G107" s="589"/>
      <c r="H107" s="589"/>
      <c r="I107" s="590"/>
      <c r="J107" s="589"/>
      <c r="K107" s="589"/>
      <c r="L107" s="589"/>
      <c r="M107" s="590"/>
      <c r="N107" s="589"/>
      <c r="O107" s="589"/>
      <c r="P107" s="589"/>
      <c r="Q107" s="590"/>
      <c r="R107" s="589"/>
      <c r="S107" s="589"/>
      <c r="T107" s="589"/>
      <c r="U107" s="590"/>
      <c r="V107" s="589"/>
      <c r="W107" s="589"/>
      <c r="X107" s="589"/>
      <c r="Y107" s="590"/>
      <c r="Z107" s="589"/>
      <c r="AA107" s="589"/>
      <c r="AB107" s="589"/>
      <c r="AC107" s="590"/>
      <c r="AD107" s="589"/>
      <c r="AE107" s="589"/>
      <c r="AF107" s="589"/>
      <c r="AG107" s="590"/>
      <c r="AH107" s="589"/>
      <c r="AI107" s="589"/>
      <c r="AJ107" s="589"/>
      <c r="AK107" s="590"/>
      <c r="AL107" s="589"/>
      <c r="AM107" s="589"/>
      <c r="AN107" s="589"/>
      <c r="AO107" s="590"/>
      <c r="AP107" s="589"/>
      <c r="AQ107" s="589"/>
      <c r="AR107" s="589"/>
      <c r="AS107" s="590"/>
      <c r="AT107" s="589"/>
      <c r="AU107" s="589"/>
      <c r="AV107" s="589"/>
      <c r="AW107" s="590"/>
      <c r="AX107" s="589"/>
      <c r="AY107" s="589"/>
      <c r="AZ107" s="589"/>
      <c r="BA107" s="590"/>
      <c r="BB107" s="589"/>
      <c r="BC107" s="589"/>
      <c r="BD107" s="589"/>
      <c r="BE107" s="590"/>
      <c r="BF107" s="589"/>
      <c r="BG107" s="589"/>
      <c r="BH107" s="589"/>
      <c r="BI107" s="590"/>
      <c r="BJ107" s="589"/>
      <c r="BK107" s="589"/>
      <c r="BL107" s="589"/>
      <c r="BM107" s="590"/>
      <c r="BN107" s="589"/>
      <c r="BO107" s="589"/>
      <c r="BP107" s="589"/>
      <c r="BQ107" s="590"/>
      <c r="BR107" s="589"/>
      <c r="BS107" s="589"/>
      <c r="BT107" s="589"/>
      <c r="BU107" s="590"/>
      <c r="BV107" s="589"/>
      <c r="BW107" s="589"/>
      <c r="BX107" s="589"/>
      <c r="BY107" s="590"/>
      <c r="BZ107" s="589"/>
      <c r="CA107" s="589"/>
      <c r="CB107" s="589"/>
      <c r="CC107" s="590"/>
      <c r="CD107" s="589"/>
      <c r="CE107" s="589"/>
      <c r="CF107" s="1291">
        <f>CF100/CB100-1</f>
      </c>
      <c r="CG107" s="1292">
        <f>CG100/CC100-1</f>
      </c>
      <c r="CH107" s="1299">
        <v>0.2</v>
      </c>
      <c r="CI107" s="1299">
        <v>0.65</v>
      </c>
      <c r="CJ107" s="1299">
        <v>0.6</v>
      </c>
      <c r="CK107" s="1300">
        <v>0.6</v>
      </c>
      <c r="CL107" s="1301">
        <v>0.55000000000000004</v>
      </c>
      <c r="CM107" s="1301">
        <v>0.5</v>
      </c>
      <c r="CN107" s="1301">
        <v>0.55000000000000004</v>
      </c>
      <c r="CO107" s="590">
        <f>+CO100/CK100-1</f>
      </c>
      <c r="CP107" s="1301">
        <v>0.4</v>
      </c>
      <c r="CQ107" s="1301">
        <v>0.2</v>
      </c>
      <c r="CR107" s="1301">
        <v>0.15</v>
      </c>
      <c r="CS107" s="2290">
        <v>0.5</v>
      </c>
      <c r="CT107" s="1301">
        <v>0.08</v>
      </c>
      <c r="CU107" s="1301">
        <v>0.35</v>
      </c>
      <c r="CV107" s="1301">
        <v>0.05</v>
      </c>
      <c r="CW107" s="2290">
        <v>0.45</v>
      </c>
      <c r="CX107" s="1301">
        <v>0.45</v>
      </c>
      <c r="CY107" s="589">
        <f t="shared" si="879"/>
      </c>
      <c r="CZ107" s="589">
        <f t="shared" si="879"/>
      </c>
      <c r="DA107" s="590">
        <f>+DA100/CW100-1</f>
      </c>
      <c r="DB107" s="589">
        <f>+DB100/CX100-1</f>
      </c>
      <c r="DC107" s="589">
        <f t="shared" si="880"/>
      </c>
      <c r="DD107" s="589">
        <f t="shared" si="880"/>
      </c>
      <c r="DE107" s="590">
        <f t="shared" si="880"/>
      </c>
      <c r="DF107" s="629">
        <f t="shared" si="880"/>
      </c>
      <c r="DG107" s="1112">
        <f t="shared" si="881"/>
      </c>
      <c r="DH107" s="629">
        <f t="shared" si="881"/>
      </c>
      <c r="DI107" s="1289">
        <f t="shared" si="881"/>
      </c>
      <c r="DJ107" s="1112">
        <f t="shared" ref="DJ107" si="907">+DJ100/DF100-1</f>
      </c>
      <c r="DK107" s="1112">
        <f>+DK100/DG100-1</f>
      </c>
      <c r="DL107" s="629">
        <f t="shared" si="882"/>
      </c>
      <c r="DM107" s="2290">
        <v>0.05</v>
      </c>
      <c r="DN107" s="1301">
        <v>0.05</v>
      </c>
      <c r="DO107" s="1301">
        <f>7.5/DK100-1</f>
      </c>
      <c r="DP107" s="1301">
        <f>7.5/DL100-1</f>
      </c>
      <c r="DQ107" s="2290">
        <v>0.05</v>
      </c>
      <c r="DR107" s="1301">
        <v>0.05</v>
      </c>
      <c r="DS107" s="1301">
        <v>0.05</v>
      </c>
      <c r="DT107" s="1301">
        <v>0.05</v>
      </c>
      <c r="DU107" s="1302">
        <v>0.05</v>
      </c>
      <c r="DV107" s="1301">
        <v>0.05</v>
      </c>
      <c r="DW107" s="1301">
        <v>0.05</v>
      </c>
      <c r="DX107" s="1301">
        <v>0.05</v>
      </c>
      <c r="DY107" s="1302">
        <v>0.05</v>
      </c>
      <c r="DZ107" s="1301">
        <v>0.05</v>
      </c>
      <c r="EA107" s="1301">
        <v>0.05</v>
      </c>
      <c r="EB107" s="1301">
        <v>0.05</v>
      </c>
      <c r="EC107" s="1302">
        <v>0.05</v>
      </c>
      <c r="ED107" s="1301">
        <v>0.05</v>
      </c>
      <c r="EE107" s="1301">
        <v>0.05</v>
      </c>
      <c r="EF107" s="1301">
        <v>0.05</v>
      </c>
      <c r="EG107" s="1302">
        <v>0.05</v>
      </c>
      <c r="EH107" s="1301">
        <v>0.05</v>
      </c>
      <c r="EI107" s="1301">
        <v>0.05</v>
      </c>
      <c r="EJ107" s="1301">
        <v>0.05</v>
      </c>
      <c r="EK107" s="1302">
        <v>0.05</v>
      </c>
      <c r="EM107" s="589"/>
      <c r="EN107" s="589"/>
      <c r="EO107" s="589"/>
      <c r="EP107" s="589"/>
      <c r="EQ107" s="589"/>
      <c r="ER107" s="589"/>
      <c r="ES107" s="589"/>
      <c r="ET107" s="589"/>
      <c r="EU107" s="589"/>
      <c r="EV107" s="589"/>
      <c r="EW107" s="589"/>
      <c r="EX107" s="589"/>
      <c r="EY107" s="589"/>
      <c r="EZ107" s="589"/>
      <c r="FA107" s="589"/>
      <c r="FB107" s="589"/>
      <c r="FC107" s="589"/>
      <c r="FD107" s="589"/>
      <c r="FE107" s="589"/>
      <c r="FF107" s="589"/>
      <c r="FG107" s="589">
        <f t="shared" ref="FG107:FQ107" si="908">+FG100/FF100-1</f>
      </c>
      <c r="FH107" s="589">
        <f t="shared" si="908"/>
      </c>
      <c r="FI107" s="589">
        <f t="shared" si="908"/>
      </c>
      <c r="FJ107" s="589">
        <f t="shared" si="908"/>
      </c>
      <c r="FK107" s="589">
        <f t="shared" si="908"/>
      </c>
      <c r="FL107" s="589">
        <f t="shared" si="908"/>
      </c>
      <c r="FM107" s="589">
        <f t="shared" si="908"/>
      </c>
      <c r="FN107" s="589">
        <f t="shared" si="908"/>
      </c>
      <c r="FO107" s="589">
        <f t="shared" si="908"/>
      </c>
      <c r="FP107" s="589">
        <f t="shared" si="908"/>
      </c>
      <c r="FQ107" s="589">
        <f t="shared" si="908"/>
      </c>
      <c r="FR107" s="589">
        <f t="shared" si="898"/>
      </c>
      <c r="FS107" s="589">
        <f t="shared" si="899"/>
      </c>
      <c r="FT107" s="589">
        <f t="shared" si="900"/>
      </c>
      <c r="FU107" s="589">
        <f t="shared" si="901"/>
      </c>
      <c r="FW107" s="589"/>
      <c r="FX107" s="589"/>
      <c r="FY107" s="589"/>
      <c r="FZ107" s="589"/>
      <c r="GA107" s="589"/>
      <c r="GB107" s="589"/>
      <c r="GC107" s="589"/>
      <c r="GD107" s="589"/>
      <c r="GE107" s="589"/>
      <c r="GF107" s="589"/>
      <c r="GG107" s="589"/>
      <c r="GH107" s="589"/>
      <c r="GI107" s="589"/>
      <c r="GJ107" s="589"/>
      <c r="GK107" s="589"/>
      <c r="GL107" s="589"/>
      <c r="GM107" s="589"/>
      <c r="GN107" s="589"/>
      <c r="GO107" s="589"/>
      <c r="GP107" s="589"/>
      <c r="GQ107" s="589"/>
      <c r="GR107" s="589"/>
      <c r="GS107" s="589">
        <f t="shared" ref="GS107:HB107" si="909">+GS100/GR100-1</f>
      </c>
      <c r="GT107" s="589">
        <f t="shared" si="909"/>
      </c>
      <c r="GU107" s="589">
        <f t="shared" si="909"/>
      </c>
      <c r="GV107" s="589">
        <f t="shared" si="909"/>
      </c>
      <c r="GW107" s="589">
        <f t="shared" si="909"/>
      </c>
      <c r="GX107" s="589">
        <f t="shared" si="909"/>
      </c>
      <c r="GY107" s="589">
        <f t="shared" si="909"/>
      </c>
      <c r="GZ107" s="589">
        <f t="shared" si="909"/>
      </c>
      <c r="HA107" s="589">
        <f t="shared" si="909"/>
      </c>
      <c r="HB107" s="589">
        <f t="shared" si="909"/>
      </c>
      <c r="HC107" s="589">
        <f t="shared" si="903"/>
      </c>
      <c r="HD107" s="589">
        <f t="shared" si="904"/>
      </c>
      <c r="HE107" s="589">
        <f t="shared" si="905"/>
      </c>
      <c r="HF107" s="589">
        <f t="shared" si="906"/>
      </c>
    </row>
    <row r="108" spans="1:214" s="17" customFormat="1" ht="10.199999999999999">
      <c r="A108" s="1294" t="s">
        <v>1183</v>
      </c>
      <c r="B108" s="589"/>
      <c r="C108" s="589"/>
      <c r="D108" s="589"/>
      <c r="E108" s="590"/>
      <c r="F108" s="589"/>
      <c r="G108" s="589"/>
      <c r="H108" s="589"/>
      <c r="I108" s="590"/>
      <c r="J108" s="589"/>
      <c r="K108" s="589"/>
      <c r="L108" s="589"/>
      <c r="M108" s="590"/>
      <c r="N108" s="589"/>
      <c r="O108" s="589"/>
      <c r="P108" s="589"/>
      <c r="Q108" s="590"/>
      <c r="R108" s="589"/>
      <c r="S108" s="589"/>
      <c r="T108" s="589"/>
      <c r="U108" s="590"/>
      <c r="V108" s="589"/>
      <c r="W108" s="589"/>
      <c r="X108" s="589"/>
      <c r="Y108" s="590"/>
      <c r="Z108" s="589"/>
      <c r="AA108" s="589"/>
      <c r="AB108" s="589"/>
      <c r="AC108" s="590"/>
      <c r="AD108" s="589">
        <f t="shared" ref="AD108:BI108" si="910">+AD101/Z101-1</f>
      </c>
      <c r="AE108" s="589">
        <f t="shared" si="910"/>
      </c>
      <c r="AF108" s="589">
        <f t="shared" si="910"/>
      </c>
      <c r="AG108" s="590">
        <f t="shared" si="910"/>
      </c>
      <c r="AH108" s="589">
        <f t="shared" si="910"/>
      </c>
      <c r="AI108" s="589">
        <f t="shared" si="910"/>
      </c>
      <c r="AJ108" s="589">
        <f t="shared" si="910"/>
      </c>
      <c r="AK108" s="590">
        <f t="shared" si="910"/>
      </c>
      <c r="AL108" s="589">
        <f t="shared" si="910"/>
      </c>
      <c r="AM108" s="589">
        <f t="shared" si="910"/>
      </c>
      <c r="AN108" s="589">
        <f t="shared" si="910"/>
      </c>
      <c r="AO108" s="590">
        <f t="shared" si="910"/>
      </c>
      <c r="AP108" s="589">
        <f t="shared" si="910"/>
      </c>
      <c r="AQ108" s="589">
        <f t="shared" si="910"/>
      </c>
      <c r="AR108" s="589">
        <f t="shared" si="910"/>
      </c>
      <c r="AS108" s="590">
        <f t="shared" si="910"/>
      </c>
      <c r="AT108" s="589">
        <f t="shared" si="910"/>
      </c>
      <c r="AU108" s="589">
        <f t="shared" si="910"/>
      </c>
      <c r="AV108" s="589">
        <f t="shared" si="910"/>
      </c>
      <c r="AW108" s="590">
        <f t="shared" si="910"/>
      </c>
      <c r="AX108" s="589">
        <f t="shared" si="910"/>
      </c>
      <c r="AY108" s="589">
        <f t="shared" si="910"/>
      </c>
      <c r="AZ108" s="589">
        <f t="shared" si="910"/>
      </c>
      <c r="BA108" s="590">
        <f t="shared" si="910"/>
      </c>
      <c r="BB108" s="589">
        <f t="shared" si="910"/>
      </c>
      <c r="BC108" s="589">
        <f t="shared" si="910"/>
      </c>
      <c r="BD108" s="589">
        <f t="shared" si="910"/>
      </c>
      <c r="BE108" s="590">
        <f t="shared" si="910"/>
      </c>
      <c r="BF108" s="589">
        <f t="shared" si="910"/>
      </c>
      <c r="BG108" s="589">
        <f t="shared" si="910"/>
      </c>
      <c r="BH108" s="589">
        <f t="shared" si="910"/>
      </c>
      <c r="BI108" s="590">
        <f t="shared" si="910"/>
      </c>
      <c r="BJ108" s="589">
        <f t="shared" ref="BJ108:CA108" si="911">+BJ101/BF101-1</f>
      </c>
      <c r="BK108" s="589">
        <f t="shared" si="911"/>
      </c>
      <c r="BL108" s="589">
        <f t="shared" si="911"/>
      </c>
      <c r="BM108" s="590">
        <f t="shared" si="911"/>
      </c>
      <c r="BN108" s="589">
        <f t="shared" si="911"/>
      </c>
      <c r="BO108" s="589">
        <f t="shared" si="911"/>
      </c>
      <c r="BP108" s="589">
        <f t="shared" si="911"/>
      </c>
      <c r="BQ108" s="590">
        <f t="shared" si="911"/>
      </c>
      <c r="BR108" s="589">
        <f t="shared" si="911"/>
      </c>
      <c r="BS108" s="589">
        <f t="shared" si="911"/>
      </c>
      <c r="BT108" s="589">
        <f t="shared" si="911"/>
      </c>
      <c r="BU108" s="590">
        <f t="shared" si="911"/>
      </c>
      <c r="BV108" s="589">
        <f t="shared" si="911"/>
      </c>
      <c r="BW108" s="589">
        <f t="shared" si="911"/>
      </c>
      <c r="BX108" s="589">
        <f t="shared" si="911"/>
      </c>
      <c r="BY108" s="590">
        <f t="shared" si="911"/>
      </c>
      <c r="BZ108" s="589">
        <f t="shared" si="911"/>
      </c>
      <c r="CA108" s="589">
        <f t="shared" si="911"/>
      </c>
      <c r="CB108" s="1297">
        <v>-0.5</v>
      </c>
      <c r="CC108" s="1296">
        <v>-0.5</v>
      </c>
      <c r="CD108" s="1297">
        <v>-0.7</v>
      </c>
      <c r="CE108" s="1297">
        <v>-0.5</v>
      </c>
      <c r="CF108" s="1297">
        <v>-0.5</v>
      </c>
      <c r="CG108" s="1296">
        <v>-0.5</v>
      </c>
      <c r="CH108" s="1297">
        <v>-0.5</v>
      </c>
      <c r="CI108" s="1297">
        <v>-0.5</v>
      </c>
      <c r="CJ108" s="1297">
        <v>-0.5</v>
      </c>
      <c r="CK108" s="1296">
        <v>-0.5</v>
      </c>
      <c r="CL108" s="1074">
        <v>-1</v>
      </c>
      <c r="CM108" s="1074">
        <v>-1</v>
      </c>
      <c r="CN108" s="1074">
        <v>-1</v>
      </c>
      <c r="CO108" s="1298">
        <v>-1</v>
      </c>
      <c r="CP108" s="1074">
        <v>0</v>
      </c>
      <c r="CQ108" s="1074">
        <v>0</v>
      </c>
      <c r="CR108" s="1074">
        <v>0</v>
      </c>
      <c r="CS108" s="1298">
        <v>0</v>
      </c>
      <c r="CT108" s="1074">
        <v>0</v>
      </c>
      <c r="CU108" s="1074">
        <v>0</v>
      </c>
      <c r="CV108" s="1074">
        <v>0</v>
      </c>
      <c r="CW108" s="1298">
        <v>0</v>
      </c>
      <c r="CX108" s="1074">
        <v>0</v>
      </c>
      <c r="CY108" s="1074">
        <v>0</v>
      </c>
      <c r="CZ108" s="1074">
        <v>0</v>
      </c>
      <c r="DA108" s="1298">
        <v>0</v>
      </c>
      <c r="DB108" s="1074">
        <v>0</v>
      </c>
      <c r="DC108" s="1074">
        <v>0</v>
      </c>
      <c r="DD108" s="1074">
        <v>0</v>
      </c>
      <c r="DE108" s="1298">
        <v>0</v>
      </c>
      <c r="DF108" s="1074">
        <v>0</v>
      </c>
      <c r="DG108" s="1074">
        <v>0</v>
      </c>
      <c r="DH108" s="1074">
        <v>0</v>
      </c>
      <c r="DI108" s="1298">
        <v>0</v>
      </c>
      <c r="DJ108" s="1074">
        <v>0</v>
      </c>
      <c r="DK108" s="1074">
        <v>0</v>
      </c>
      <c r="DL108" s="1074">
        <v>0</v>
      </c>
      <c r="DM108" s="1298">
        <v>0</v>
      </c>
      <c r="DN108" s="1074">
        <v>0</v>
      </c>
      <c r="DO108" s="1074">
        <v>0</v>
      </c>
      <c r="DP108" s="1074">
        <v>0</v>
      </c>
      <c r="DQ108" s="1298">
        <v>0</v>
      </c>
      <c r="DR108" s="1074">
        <v>0</v>
      </c>
      <c r="DS108" s="1074">
        <v>0</v>
      </c>
      <c r="DT108" s="1074">
        <v>0</v>
      </c>
      <c r="DU108" s="1298">
        <v>0</v>
      </c>
      <c r="DV108" s="1074">
        <v>0</v>
      </c>
      <c r="DW108" s="1074">
        <v>0</v>
      </c>
      <c r="DX108" s="1074">
        <v>0</v>
      </c>
      <c r="DY108" s="1298">
        <v>0</v>
      </c>
      <c r="DZ108" s="1074">
        <v>0</v>
      </c>
      <c r="EA108" s="1074">
        <v>0</v>
      </c>
      <c r="EB108" s="1074">
        <v>0</v>
      </c>
      <c r="EC108" s="1298">
        <v>0</v>
      </c>
      <c r="ED108" s="1074">
        <v>0</v>
      </c>
      <c r="EE108" s="1074">
        <v>0</v>
      </c>
      <c r="EF108" s="1074">
        <v>0</v>
      </c>
      <c r="EG108" s="1298">
        <v>0</v>
      </c>
      <c r="EH108" s="1074">
        <v>0</v>
      </c>
      <c r="EI108" s="1074">
        <v>0</v>
      </c>
      <c r="EJ108" s="1074">
        <v>0</v>
      </c>
      <c r="EK108" s="1298">
        <v>0</v>
      </c>
      <c r="EM108" s="589"/>
      <c r="EN108" s="589"/>
      <c r="EO108" s="589"/>
      <c r="EP108" s="589"/>
      <c r="EQ108" s="589"/>
      <c r="ER108" s="589"/>
      <c r="ES108" s="589"/>
      <c r="ET108" s="589">
        <f t="shared" ref="ET108:FI108" si="912">+ET101/ES101-1</f>
      </c>
      <c r="EU108" s="589">
        <f t="shared" si="912"/>
      </c>
      <c r="EV108" s="589">
        <f t="shared" si="912"/>
      </c>
      <c r="EW108" s="589">
        <f t="shared" si="912"/>
      </c>
      <c r="EX108" s="589">
        <f t="shared" si="912"/>
      </c>
      <c r="EY108" s="589">
        <f t="shared" si="912"/>
      </c>
      <c r="EZ108" s="589">
        <f t="shared" si="912"/>
      </c>
      <c r="FA108" s="589">
        <f t="shared" si="912"/>
      </c>
      <c r="FB108" s="589">
        <f t="shared" si="912"/>
      </c>
      <c r="FC108" s="589">
        <f t="shared" si="912"/>
      </c>
      <c r="FD108" s="589">
        <f t="shared" si="912"/>
      </c>
      <c r="FE108" s="589">
        <f t="shared" si="912"/>
      </c>
      <c r="FF108" s="589">
        <f t="shared" si="912"/>
      </c>
      <c r="FG108" s="589">
        <f t="shared" si="912"/>
      </c>
      <c r="FH108" s="589">
        <f t="shared" si="912"/>
      </c>
      <c r="FI108" s="589">
        <f t="shared" si="912"/>
      </c>
      <c r="FJ108" s="589"/>
      <c r="FK108" s="589"/>
      <c r="FL108" s="589"/>
      <c r="FM108" s="589"/>
      <c r="FN108" s="589"/>
      <c r="FO108" s="589"/>
      <c r="FP108" s="589"/>
      <c r="FQ108" s="589"/>
      <c r="FR108" s="589"/>
      <c r="FS108" s="589"/>
      <c r="FT108" s="589"/>
      <c r="FU108" s="589"/>
      <c r="FW108" s="589"/>
      <c r="FX108" s="589"/>
      <c r="FY108" s="589"/>
      <c r="FZ108" s="589"/>
      <c r="GA108" s="589"/>
      <c r="GB108" s="589"/>
      <c r="GC108" s="589"/>
      <c r="GD108" s="589"/>
      <c r="GE108" s="589">
        <f t="shared" ref="GE108:GU108" si="913">+GE101/GD101-1</f>
      </c>
      <c r="GF108" s="589">
        <f t="shared" si="913"/>
      </c>
      <c r="GG108" s="589">
        <f t="shared" si="913"/>
      </c>
      <c r="GH108" s="589">
        <f t="shared" si="913"/>
      </c>
      <c r="GI108" s="589">
        <f t="shared" si="913"/>
      </c>
      <c r="GJ108" s="589">
        <f t="shared" si="913"/>
      </c>
      <c r="GK108" s="589">
        <f t="shared" si="913"/>
      </c>
      <c r="GL108" s="589">
        <f t="shared" si="913"/>
      </c>
      <c r="GM108" s="589">
        <f t="shared" si="913"/>
      </c>
      <c r="GN108" s="589">
        <f t="shared" si="913"/>
      </c>
      <c r="GO108" s="589">
        <f t="shared" si="913"/>
      </c>
      <c r="GP108" s="589">
        <f t="shared" si="913"/>
      </c>
      <c r="GQ108" s="589">
        <f t="shared" si="913"/>
      </c>
      <c r="GR108" s="589">
        <f t="shared" si="913"/>
      </c>
      <c r="GS108" s="589">
        <f t="shared" si="913"/>
      </c>
      <c r="GT108" s="589">
        <f t="shared" si="913"/>
      </c>
      <c r="GU108" s="589">
        <f t="shared" si="913"/>
      </c>
      <c r="GV108" s="589"/>
      <c r="GW108" s="589"/>
      <c r="GX108" s="589"/>
      <c r="GY108" s="589"/>
      <c r="GZ108" s="589"/>
      <c r="HA108" s="589"/>
      <c r="HB108" s="589"/>
      <c r="HC108" s="589"/>
      <c r="HD108" s="589"/>
      <c r="HE108" s="589"/>
      <c r="HF108" s="589"/>
    </row>
    <row r="109" spans="1:214" s="16" customFormat="1" ht="10.199999999999999">
      <c r="A109" s="135"/>
      <c r="B109" s="130"/>
      <c r="C109" s="130"/>
      <c r="D109" s="130"/>
      <c r="E109" s="235"/>
      <c r="F109" s="130"/>
      <c r="G109" s="130"/>
      <c r="H109" s="130"/>
      <c r="I109" s="235"/>
      <c r="J109" s="130"/>
      <c r="K109" s="130"/>
      <c r="L109" s="130"/>
      <c r="M109" s="235"/>
      <c r="N109" s="130"/>
      <c r="O109" s="130"/>
      <c r="P109" s="130"/>
      <c r="Q109" s="235"/>
      <c r="R109" s="130"/>
      <c r="S109" s="130"/>
      <c r="T109" s="130"/>
      <c r="U109" s="235"/>
      <c r="V109" s="130"/>
      <c r="W109" s="130"/>
      <c r="X109" s="130"/>
      <c r="Y109" s="235"/>
      <c r="Z109" s="98"/>
      <c r="AA109" s="98"/>
      <c r="AB109" s="98"/>
      <c r="AC109" s="180"/>
      <c r="AD109" s="98"/>
      <c r="AE109" s="98"/>
      <c r="AF109" s="98"/>
      <c r="AG109" s="180"/>
      <c r="AH109" s="98"/>
      <c r="AI109" s="98"/>
      <c r="AJ109" s="98"/>
      <c r="AK109" s="180"/>
      <c r="AL109" s="98"/>
      <c r="AM109" s="98"/>
      <c r="AN109" s="98"/>
      <c r="AO109" s="180"/>
      <c r="AP109" s="98"/>
      <c r="AQ109" s="98"/>
      <c r="AR109" s="98"/>
      <c r="AS109" s="180"/>
      <c r="AT109" s="98"/>
      <c r="AU109" s="98"/>
      <c r="AV109" s="98"/>
      <c r="AW109" s="180"/>
      <c r="AX109" s="98"/>
      <c r="AY109" s="98"/>
      <c r="AZ109" s="98"/>
      <c r="BA109" s="180"/>
      <c r="BB109" s="98"/>
      <c r="BC109" s="98"/>
      <c r="BD109" s="98"/>
      <c r="BE109" s="180"/>
      <c r="BF109" s="98"/>
      <c r="BG109" s="98"/>
      <c r="BH109" s="98"/>
      <c r="BI109" s="180"/>
      <c r="BJ109" s="98"/>
      <c r="BK109" s="98"/>
      <c r="BL109" s="98"/>
      <c r="BM109" s="180"/>
      <c r="BN109" s="98"/>
      <c r="BO109" s="98"/>
      <c r="BP109" s="98"/>
      <c r="BQ109" s="180"/>
      <c r="BR109" s="98"/>
      <c r="BS109" s="98"/>
      <c r="BT109" s="98"/>
      <c r="BU109" s="180"/>
      <c r="BV109" s="98"/>
      <c r="BW109" s="98"/>
      <c r="BX109" s="98"/>
      <c r="BY109" s="180"/>
      <c r="BZ109" s="98"/>
      <c r="CA109" s="98"/>
      <c r="CB109" s="98"/>
      <c r="CC109" s="180"/>
      <c r="CD109" s="523"/>
      <c r="CE109" s="523"/>
      <c r="CF109" s="524"/>
      <c r="CG109" s="525"/>
      <c r="CH109" s="523"/>
      <c r="CI109" s="523"/>
      <c r="CJ109" s="523"/>
      <c r="CK109" s="525"/>
      <c r="CL109" s="523"/>
      <c r="CM109" s="523"/>
      <c r="CN109" s="523"/>
      <c r="CO109" s="525"/>
      <c r="CP109" s="320"/>
      <c r="CQ109" s="320"/>
      <c r="CR109" s="320"/>
      <c r="CS109" s="321"/>
      <c r="CT109" s="320"/>
      <c r="CU109" s="320"/>
      <c r="CV109" s="320"/>
      <c r="CW109" s="321"/>
      <c r="CX109" s="320"/>
      <c r="CY109" s="320"/>
      <c r="CZ109" s="320"/>
      <c r="DA109" s="321"/>
      <c r="DB109" s="320"/>
      <c r="DC109" s="320"/>
      <c r="DD109" s="390"/>
      <c r="DE109" s="430"/>
      <c r="DF109" s="390"/>
      <c r="DG109" s="390"/>
      <c r="DH109" s="390"/>
      <c r="DI109" s="430"/>
      <c r="DJ109" s="390"/>
      <c r="DK109" s="390"/>
      <c r="DL109" s="390"/>
      <c r="DM109" s="430"/>
      <c r="DN109" s="390"/>
      <c r="DO109" s="390"/>
      <c r="DP109" s="390"/>
      <c r="DQ109" s="430"/>
      <c r="DR109" s="390"/>
      <c r="DS109" s="390"/>
      <c r="DT109" s="390"/>
      <c r="DU109" s="430"/>
      <c r="DV109" s="390"/>
      <c r="DW109" s="390"/>
      <c r="DX109" s="390"/>
      <c r="DY109" s="430"/>
      <c r="DZ109" s="390"/>
      <c r="EA109" s="390"/>
      <c r="EB109" s="390"/>
      <c r="EC109" s="430"/>
      <c r="ED109" s="390"/>
      <c r="EE109" s="390"/>
      <c r="EF109" s="390"/>
      <c r="EG109" s="430"/>
      <c r="EH109" s="390"/>
      <c r="EI109" s="390"/>
      <c r="EJ109" s="390"/>
      <c r="EK109" s="430"/>
      <c r="EL109" s="320"/>
      <c r="EM109" s="430"/>
      <c r="EN109" s="430"/>
      <c r="EO109" s="430"/>
      <c r="EP109" s="430"/>
      <c r="EQ109" s="430"/>
      <c r="ER109" s="430"/>
      <c r="ES109" s="430"/>
      <c r="ET109" s="430"/>
      <c r="EU109" s="430"/>
      <c r="EV109" s="430"/>
      <c r="EW109" s="430"/>
      <c r="EX109" s="430"/>
      <c r="EY109" s="430"/>
      <c r="EZ109" s="430"/>
      <c r="FA109" s="430"/>
      <c r="FB109" s="430"/>
      <c r="FC109" s="430"/>
      <c r="FD109" s="430"/>
      <c r="FE109" s="430"/>
      <c r="FF109" s="430"/>
      <c r="FG109" s="430"/>
      <c r="FH109" s="430"/>
      <c r="FI109" s="430"/>
      <c r="FJ109" s="430"/>
      <c r="FK109" s="430"/>
      <c r="FL109" s="430"/>
      <c r="FM109" s="1463"/>
      <c r="FN109" s="1463"/>
      <c r="FO109" s="1463"/>
      <c r="FP109" s="1463"/>
      <c r="FQ109" s="1463"/>
      <c r="FR109" s="1463"/>
      <c r="FS109" s="1463"/>
      <c r="FT109" s="1463"/>
      <c r="FU109" s="1463"/>
      <c r="FV109" s="1463"/>
      <c r="FW109" s="1463"/>
      <c r="FX109" s="1463"/>
      <c r="FY109" s="1463"/>
      <c r="FZ109" s="1463"/>
      <c r="GA109" s="1463"/>
      <c r="GB109" s="1463"/>
      <c r="GC109" s="1463"/>
      <c r="GD109" s="1463"/>
      <c r="GE109" s="1463"/>
      <c r="GF109" s="1463"/>
      <c r="GG109" s="1463"/>
      <c r="GH109" s="1463"/>
      <c r="GI109" s="1463"/>
      <c r="GJ109" s="1463"/>
      <c r="GK109" s="1463"/>
      <c r="GL109" s="1463"/>
      <c r="GM109" s="1463"/>
      <c r="GN109" s="1463"/>
      <c r="GO109" s="1463"/>
      <c r="GP109" s="1463"/>
      <c r="GQ109" s="1463"/>
      <c r="GR109" s="1463"/>
      <c r="GS109" s="1463"/>
      <c r="GT109" s="1463"/>
      <c r="GU109" s="1463"/>
      <c r="GV109" s="1463"/>
      <c r="GW109" s="1463"/>
      <c r="GX109" s="1463"/>
      <c r="GY109" s="1463"/>
      <c r="GZ109" s="1463"/>
      <c r="HA109" s="1463"/>
      <c r="HB109" s="1463"/>
      <c r="HC109" s="1463"/>
      <c r="HD109" s="1463"/>
      <c r="HE109" s="1463"/>
      <c r="HF109" s="1463"/>
    </row>
    <row r="110" spans="1:214" s="16" customFormat="1" ht="10.199999999999999">
      <c r="A110" s="708" t="s">
        <v>1176</v>
      </c>
      <c r="B110" s="706" t="str">
        <f>'Revenue summary'!B$8</f>
      </c>
      <c r="C110" s="706" t="str">
        <f>'Revenue summary'!C$8</f>
      </c>
      <c r="D110" s="706" t="str">
        <f>'Revenue summary'!D$8</f>
      </c>
      <c r="E110" s="707" t="str">
        <f>'Revenue summary'!E$8</f>
      </c>
      <c r="F110" s="706" t="str">
        <f>'Revenue summary'!F$8</f>
      </c>
      <c r="G110" s="706" t="str">
        <f>'Revenue summary'!G$8</f>
      </c>
      <c r="H110" s="706" t="str">
        <f>'Revenue summary'!H$8</f>
      </c>
      <c r="I110" s="707" t="str">
        <f>'Revenue summary'!I$8</f>
      </c>
      <c r="J110" s="706" t="str">
        <f>'Revenue summary'!J$8</f>
      </c>
      <c r="K110" s="706" t="str">
        <f>'Revenue summary'!K$8</f>
      </c>
      <c r="L110" s="706" t="str">
        <f>'Revenue summary'!L$8</f>
      </c>
      <c r="M110" s="707" t="str">
        <f>'Revenue summary'!M$8</f>
      </c>
      <c r="N110" s="706" t="str">
        <f>'Revenue summary'!N$8</f>
      </c>
      <c r="O110" s="706" t="str">
        <f>'Revenue summary'!O$8</f>
      </c>
      <c r="P110" s="706" t="str">
        <f>'Revenue summary'!P$8</f>
      </c>
      <c r="Q110" s="707" t="str">
        <f>'Revenue summary'!Q$8</f>
      </c>
      <c r="R110" s="706" t="str">
        <f>'Revenue summary'!R$8</f>
      </c>
      <c r="S110" s="706" t="str">
        <f>'Revenue summary'!S$8</f>
      </c>
      <c r="T110" s="706" t="str">
        <f>'Revenue summary'!T$8</f>
      </c>
      <c r="U110" s="707" t="str">
        <f>'Revenue summary'!U$8</f>
      </c>
      <c r="V110" s="706" t="str">
        <f>'Revenue summary'!V$8</f>
      </c>
      <c r="W110" s="706" t="str">
        <f>'Revenue summary'!W$8</f>
      </c>
      <c r="X110" s="706" t="str">
        <f>'Revenue summary'!X$8</f>
      </c>
      <c r="Y110" s="707" t="str">
        <f>'Revenue summary'!Y$8</f>
      </c>
      <c r="Z110" s="706" t="str">
        <f>'Revenue summary'!Z$8</f>
      </c>
      <c r="AA110" s="706" t="str">
        <f>'Revenue summary'!AA$8</f>
      </c>
      <c r="AB110" s="706" t="str">
        <f>'Revenue summary'!AB$8</f>
      </c>
      <c r="AC110" s="707" t="str">
        <f>'Revenue summary'!AC$8</f>
      </c>
      <c r="AD110" s="706" t="str">
        <f>'Revenue summary'!AD$8</f>
      </c>
      <c r="AE110" s="706" t="str">
        <f>'Revenue summary'!AE$8</f>
      </c>
      <c r="AF110" s="706" t="str">
        <f>'Revenue summary'!AF$8</f>
      </c>
      <c r="AG110" s="707" t="str">
        <f>'Revenue summary'!AG$8</f>
      </c>
      <c r="AH110" s="706" t="str">
        <f>'Revenue summary'!AH$8</f>
      </c>
      <c r="AI110" s="706" t="str">
        <f>'Revenue summary'!AI$8</f>
      </c>
      <c r="AJ110" s="706" t="str">
        <f>'Revenue summary'!AJ$8</f>
      </c>
      <c r="AK110" s="707" t="str">
        <f>'Revenue summary'!AK$8</f>
      </c>
      <c r="AL110" s="706" t="str">
        <f>'Revenue summary'!AL$8</f>
      </c>
      <c r="AM110" s="706" t="str">
        <f>'Revenue summary'!AM$8</f>
      </c>
      <c r="AN110" s="706" t="str">
        <f>'Revenue summary'!AN$8</f>
      </c>
      <c r="AO110" s="707" t="str">
        <f>'Revenue summary'!AO$8</f>
      </c>
      <c r="AP110" s="706" t="str">
        <f>'Revenue summary'!AP$8</f>
      </c>
      <c r="AQ110" s="706" t="str">
        <f>'Revenue summary'!AQ$8</f>
      </c>
      <c r="AR110" s="706" t="str">
        <f>'Revenue summary'!AR$8</f>
      </c>
      <c r="AS110" s="707" t="str">
        <f>'Revenue summary'!AS$8</f>
      </c>
      <c r="AT110" s="706" t="str">
        <f>'Revenue summary'!AT$8</f>
      </c>
      <c r="AU110" s="706" t="str">
        <f>'Revenue summary'!AU$8</f>
      </c>
      <c r="AV110" s="706" t="str">
        <f>'Revenue summary'!AV$8</f>
      </c>
      <c r="AW110" s="707" t="str">
        <f>'Revenue summary'!AW$8</f>
      </c>
      <c r="AX110" s="706" t="str">
        <f>'Revenue summary'!AX$8</f>
      </c>
      <c r="AY110" s="706" t="str">
        <f>'Revenue summary'!AY$8</f>
      </c>
      <c r="AZ110" s="706" t="str">
        <f>'Revenue summary'!AZ$8</f>
      </c>
      <c r="BA110" s="707" t="str">
        <f>'Revenue summary'!BA$8</f>
      </c>
      <c r="BB110" s="706" t="str">
        <f>'Revenue summary'!BB$8</f>
      </c>
      <c r="BC110" s="706" t="str">
        <f>'Revenue summary'!BC$8</f>
      </c>
      <c r="BD110" s="706" t="str">
        <f>'Revenue summary'!BD$8</f>
      </c>
      <c r="BE110" s="707" t="str">
        <f>'Revenue summary'!BE$8</f>
      </c>
      <c r="BF110" s="706" t="str">
        <f>'Revenue summary'!BF$8</f>
      </c>
      <c r="BG110" s="706" t="str">
        <f>'Revenue summary'!BG$8</f>
      </c>
      <c r="BH110" s="706" t="str">
        <f>'Revenue summary'!BH$8</f>
      </c>
      <c r="BI110" s="707" t="str">
        <f>'Revenue summary'!BI$8</f>
      </c>
      <c r="BJ110" s="706" t="str">
        <f>'Revenue summary'!BJ$8</f>
      </c>
      <c r="BK110" s="706" t="str">
        <f>'Revenue summary'!BK$8</f>
      </c>
      <c r="BL110" s="706" t="str">
        <f>'Revenue summary'!BL$8</f>
      </c>
      <c r="BM110" s="707" t="str">
        <f>'Revenue summary'!BM$8</f>
      </c>
      <c r="BN110" s="706" t="str">
        <f>'Revenue summary'!BN$8</f>
      </c>
      <c r="BO110" s="706" t="str">
        <f>'Revenue summary'!BO$8</f>
      </c>
      <c r="BP110" s="706" t="str">
        <f>'Revenue summary'!BP$8</f>
      </c>
      <c r="BQ110" s="707" t="str">
        <f>'Revenue summary'!BQ$8</f>
      </c>
      <c r="BR110" s="706" t="str">
        <f>'Revenue summary'!BR$8</f>
      </c>
      <c r="BS110" s="706" t="str">
        <f>'Revenue summary'!BS$8</f>
      </c>
      <c r="BT110" s="706" t="str">
        <f>'Revenue summary'!BT$8</f>
      </c>
      <c r="BU110" s="707" t="str">
        <f>'Revenue summary'!BU$8</f>
      </c>
      <c r="BV110" s="706" t="str">
        <f>'Revenue summary'!BV$8</f>
      </c>
      <c r="BW110" s="706" t="str">
        <f>'Revenue summary'!BW$8</f>
      </c>
      <c r="BX110" s="706" t="str">
        <f>'Revenue summary'!BX$8</f>
      </c>
      <c r="BY110" s="707" t="str">
        <f>'Revenue summary'!BY$8</f>
      </c>
      <c r="BZ110" s="706" t="str">
        <f>'Revenue summary'!BZ$8</f>
      </c>
      <c r="CA110" s="706" t="str">
        <f>'Revenue summary'!CA$8</f>
      </c>
      <c r="CB110" s="706" t="str">
        <f>'Revenue summary'!CB$8</f>
      </c>
      <c r="CC110" s="707" t="str">
        <f>'Revenue summary'!CC$8</f>
      </c>
      <c r="CD110" s="706" t="str">
        <f>'Revenue summary'!CD$8</f>
      </c>
      <c r="CE110" s="706" t="str">
        <f>'Revenue summary'!CE$8</f>
      </c>
      <c r="CF110" s="706" t="str">
        <f>'Revenue summary'!CF$8</f>
      </c>
      <c r="CG110" s="707" t="str">
        <f>'Revenue summary'!CG$8</f>
      </c>
      <c r="CH110" s="706" t="str">
        <f>'Revenue summary'!CH$8</f>
      </c>
      <c r="CI110" s="706" t="str">
        <f>'Revenue summary'!CI$8</f>
      </c>
      <c r="CJ110" s="706" t="str">
        <f>'Revenue summary'!CJ$8</f>
      </c>
      <c r="CK110" s="707" t="str">
        <f>'Revenue summary'!CK$8</f>
      </c>
      <c r="CL110" s="706" t="str">
        <f>'Revenue summary'!CL$8</f>
      </c>
      <c r="CM110" s="706" t="str">
        <f>'Revenue summary'!CM$8</f>
      </c>
      <c r="CN110" s="706" t="str">
        <f>'Revenue summary'!CN$8</f>
      </c>
      <c r="CO110" s="707" t="str">
        <f>'Revenue summary'!CO$8</f>
      </c>
      <c r="CP110" s="706" t="str">
        <f>'Revenue summary'!CP$8</f>
      </c>
      <c r="CQ110" s="706" t="str">
        <f>'Revenue summary'!CQ$8</f>
      </c>
      <c r="CR110" s="706" t="str">
        <f>'Revenue summary'!CR$8</f>
      </c>
      <c r="CS110" s="707" t="str">
        <f>'Revenue summary'!CS$8</f>
      </c>
      <c r="CT110" s="706" t="str">
        <f>'Revenue summary'!CT$8</f>
      </c>
      <c r="CU110" s="706" t="str">
        <f>'Revenue summary'!CU$8</f>
      </c>
      <c r="CV110" s="706" t="str">
        <f>'Revenue summary'!CV$8</f>
      </c>
      <c r="CW110" s="707" t="str">
        <f>'Revenue summary'!CW$8</f>
      </c>
      <c r="CX110" s="706" t="str">
        <f>'Revenue summary'!CX$8</f>
      </c>
      <c r="CY110" s="706" t="str">
        <f>'Revenue summary'!CY$8</f>
      </c>
      <c r="CZ110" s="706" t="str">
        <f>'Revenue summary'!CZ$8</f>
      </c>
      <c r="DA110" s="707" t="str">
        <f>'Revenue summary'!DA$8</f>
      </c>
      <c r="DB110" s="706" t="str">
        <f>'Revenue summary'!DB$8</f>
      </c>
      <c r="DC110" s="706" t="str">
        <f>'Revenue summary'!DC$8</f>
      </c>
      <c r="DD110" s="706" t="str">
        <f>'Revenue summary'!DD$8</f>
      </c>
      <c r="DE110" s="707" t="str">
        <f>'Revenue summary'!DE$8</f>
      </c>
      <c r="DF110" s="706" t="str">
        <f>'Revenue summary'!DF$8</f>
      </c>
      <c r="DG110" s="706" t="str">
        <f>'Revenue summary'!DG$8</f>
      </c>
      <c r="DH110" s="706" t="str">
        <f>'Revenue summary'!DH$8</f>
      </c>
      <c r="DI110" s="707" t="str">
        <f>'Revenue summary'!DI$8</f>
      </c>
      <c r="DJ110" s="706" t="str">
        <f>'Revenue summary'!DJ$8</f>
      </c>
      <c r="DK110" s="706" t="str">
        <f>'Revenue summary'!DK$8</f>
      </c>
      <c r="DL110" s="706" t="str">
        <f>'Revenue summary'!DL$8</f>
      </c>
      <c r="DM110" s="707" t="str">
        <f>'Revenue summary'!DM$8</f>
      </c>
      <c r="DN110" s="706" t="str">
        <f>'Revenue summary'!DN$8</f>
      </c>
      <c r="DO110" s="706" t="str">
        <f>'Revenue summary'!DO$8</f>
      </c>
      <c r="DP110" s="706" t="str">
        <f>'Revenue summary'!DP$8</f>
      </c>
      <c r="DQ110" s="707" t="str">
        <f>'Revenue summary'!DQ$8</f>
      </c>
      <c r="DR110" s="706" t="str">
        <f>'Revenue summary'!DR$8</f>
      </c>
      <c r="DS110" s="706" t="str">
        <f>'Revenue summary'!DS$8</f>
      </c>
      <c r="DT110" s="706" t="str">
        <f>'Revenue summary'!DT$8</f>
      </c>
      <c r="DU110" s="707" t="str">
        <f>'Revenue summary'!DU$8</f>
      </c>
      <c r="DV110" s="706" t="str">
        <f>'Revenue summary'!DV$8</f>
      </c>
      <c r="DW110" s="706" t="str">
        <f>'Revenue summary'!DW$8</f>
      </c>
      <c r="DX110" s="706" t="str">
        <f>'Revenue summary'!DX$8</f>
      </c>
      <c r="DY110" s="707" t="str">
        <f>'Revenue summary'!DY$8</f>
      </c>
      <c r="DZ110" s="706" t="str">
        <f>'Revenue summary'!DZ$8</f>
      </c>
      <c r="EA110" s="706" t="str">
        <f>'Revenue summary'!EA$8</f>
      </c>
      <c r="EB110" s="706" t="str">
        <f>'Revenue summary'!EB$8</f>
      </c>
      <c r="EC110" s="707" t="str">
        <f>'Revenue summary'!EC$8</f>
      </c>
      <c r="ED110" s="706" t="str">
        <f>'Revenue summary'!ED$8</f>
      </c>
      <c r="EE110" s="706" t="str">
        <f>'Revenue summary'!EE$8</f>
      </c>
      <c r="EF110" s="706" t="str">
        <f>'Revenue summary'!EF$8</f>
      </c>
      <c r="EG110" s="707" t="str">
        <f>'Revenue summary'!EG$8</f>
      </c>
      <c r="EH110" s="706" t="str">
        <f>'Revenue summary'!EH$8</f>
      </c>
      <c r="EI110" s="706" t="str">
        <f>'Revenue summary'!EI$8</f>
      </c>
      <c r="EJ110" s="706" t="str">
        <f>'Revenue summary'!EJ$8</f>
      </c>
      <c r="EK110" s="707" t="str">
        <f>'Revenue summary'!EK$8</f>
      </c>
      <c r="EL110" s="320"/>
      <c r="EM110" s="320"/>
      <c r="EN110" s="320"/>
      <c r="EO110" s="320"/>
      <c r="EP110" s="320"/>
      <c r="EQ110" s="320"/>
      <c r="ER110" s="320"/>
      <c r="ES110" s="320"/>
      <c r="ET110" s="320"/>
      <c r="EU110" s="320"/>
      <c r="EV110" s="320"/>
      <c r="EW110" s="320"/>
      <c r="EX110" s="320"/>
      <c r="EY110" s="320"/>
      <c r="EZ110" s="320"/>
      <c r="FA110" s="320"/>
      <c r="FB110" s="320"/>
      <c r="FC110" s="320"/>
      <c r="FD110" s="320"/>
      <c r="FE110" s="320"/>
      <c r="FF110" s="320"/>
      <c r="FG110" s="320"/>
      <c r="FH110" s="320"/>
      <c r="FI110" s="320"/>
      <c r="FJ110" s="320"/>
      <c r="FK110" s="320"/>
      <c r="FL110" s="320"/>
      <c r="FM110" s="1463"/>
      <c r="FN110" s="1463"/>
      <c r="FO110" s="1463"/>
      <c r="FP110" s="1463"/>
      <c r="FQ110" s="1463"/>
      <c r="FR110" s="1463"/>
      <c r="FS110" s="1463"/>
      <c r="FT110" s="1463"/>
      <c r="FU110" s="1463"/>
      <c r="FV110" s="1463"/>
      <c r="FW110" s="1463"/>
      <c r="FX110" s="1463"/>
      <c r="FY110" s="1463"/>
      <c r="FZ110" s="1463"/>
      <c r="GA110" s="1463"/>
      <c r="GB110" s="1463"/>
      <c r="GC110" s="1463"/>
      <c r="GD110" s="1463"/>
      <c r="GE110" s="1463"/>
      <c r="GF110" s="1463"/>
      <c r="GG110" s="1463"/>
      <c r="GH110" s="1463"/>
      <c r="GI110" s="1463"/>
      <c r="GJ110" s="1463"/>
      <c r="GK110" s="1463"/>
      <c r="GL110" s="1463"/>
      <c r="GM110" s="1463"/>
      <c r="GN110" s="1463"/>
      <c r="GO110" s="1463"/>
      <c r="GP110" s="1463"/>
      <c r="GQ110" s="1463"/>
      <c r="GR110" s="1463"/>
      <c r="GS110" s="1463"/>
      <c r="GT110" s="1463"/>
      <c r="GU110" s="1463"/>
      <c r="GV110" s="1463"/>
      <c r="GW110" s="1463"/>
      <c r="GX110" s="1463"/>
      <c r="GY110" s="1463"/>
      <c r="GZ110" s="1463"/>
      <c r="HA110" s="1463"/>
      <c r="HB110" s="1463"/>
      <c r="HC110" s="1463"/>
      <c r="HD110" s="1463"/>
      <c r="HE110" s="1463"/>
      <c r="HF110" s="1463"/>
    </row>
    <row r="111" spans="1:214" s="1463" customFormat="1" ht="10.199999999999999">
      <c r="A111" s="1460" t="s">
        <v>84</v>
      </c>
      <c r="B111" s="1461"/>
      <c r="C111" s="1461"/>
      <c r="D111" s="1461"/>
      <c r="E111" s="1462"/>
      <c r="F111" s="1461"/>
      <c r="G111" s="1461"/>
      <c r="H111" s="1461"/>
      <c r="I111" s="1462"/>
      <c r="J111" s="1461"/>
      <c r="K111" s="1461"/>
      <c r="L111" s="1461"/>
      <c r="M111" s="1462"/>
      <c r="N111" s="1461"/>
      <c r="O111" s="1461"/>
      <c r="P111" s="1461"/>
      <c r="Q111" s="1462"/>
      <c r="R111" s="1461"/>
      <c r="S111" s="1461"/>
      <c r="T111" s="1461"/>
      <c r="U111" s="1462"/>
      <c r="V111" s="1461"/>
      <c r="W111" s="1461"/>
      <c r="X111" s="1461"/>
      <c r="Y111" s="1462"/>
      <c r="Z111" s="1461"/>
      <c r="AA111" s="1461"/>
      <c r="AB111" s="1461"/>
      <c r="AC111" s="1462"/>
      <c r="AD111" s="1461"/>
      <c r="AE111" s="1461"/>
      <c r="AF111" s="1461"/>
      <c r="AG111" s="1462"/>
      <c r="AH111" s="1461"/>
      <c r="AI111" s="1461"/>
      <c r="AJ111" s="1461"/>
      <c r="AK111" s="1462"/>
      <c r="AL111" s="1461"/>
      <c r="AM111" s="1461"/>
      <c r="AN111" s="1461"/>
      <c r="AO111" s="1462"/>
      <c r="AP111" s="1461"/>
      <c r="AQ111" s="1461"/>
      <c r="AR111" s="1461"/>
      <c r="AS111" s="1462"/>
      <c r="AT111" s="1461"/>
      <c r="AU111" s="1461"/>
      <c r="AV111" s="1461"/>
      <c r="AW111" s="1462">
        <f t="shared" ref="AW111:CB111" si="914">+AW92/AV92-1</f>
      </c>
      <c r="AX111" s="1461">
        <f t="shared" si="914"/>
      </c>
      <c r="AY111" s="1461">
        <f t="shared" si="914"/>
      </c>
      <c r="AZ111" s="1461">
        <f t="shared" si="914"/>
      </c>
      <c r="BA111" s="1462">
        <f t="shared" si="914"/>
      </c>
      <c r="BB111" s="1461">
        <f t="shared" si="914"/>
      </c>
      <c r="BC111" s="1461">
        <f t="shared" si="914"/>
      </c>
      <c r="BD111" s="1461">
        <f t="shared" si="914"/>
      </c>
      <c r="BE111" s="1462">
        <f t="shared" si="914"/>
      </c>
      <c r="BF111" s="1461">
        <f t="shared" si="914"/>
      </c>
      <c r="BG111" s="1461">
        <f t="shared" si="914"/>
      </c>
      <c r="BH111" s="1461">
        <f t="shared" si="914"/>
      </c>
      <c r="BI111" s="1462">
        <f t="shared" si="914"/>
      </c>
      <c r="BJ111" s="1461">
        <f t="shared" si="914"/>
      </c>
      <c r="BK111" s="1461">
        <f t="shared" si="914"/>
      </c>
      <c r="BL111" s="1461">
        <f t="shared" si="914"/>
      </c>
      <c r="BM111" s="1462">
        <f t="shared" si="914"/>
      </c>
      <c r="BN111" s="1461">
        <f t="shared" si="914"/>
      </c>
      <c r="BO111" s="1461">
        <f t="shared" si="914"/>
      </c>
      <c r="BP111" s="1461">
        <f t="shared" si="914"/>
      </c>
      <c r="BQ111" s="1462">
        <f t="shared" si="914"/>
      </c>
      <c r="BR111" s="1461">
        <f t="shared" si="914"/>
      </c>
      <c r="BS111" s="1461">
        <f t="shared" si="914"/>
      </c>
      <c r="BT111" s="1461">
        <f t="shared" si="914"/>
      </c>
      <c r="BU111" s="1462">
        <f t="shared" si="914"/>
      </c>
      <c r="BV111" s="1461">
        <f t="shared" si="914"/>
      </c>
      <c r="BW111" s="1461">
        <f t="shared" si="914"/>
      </c>
      <c r="BX111" s="1461">
        <f t="shared" si="914"/>
      </c>
      <c r="BY111" s="1462">
        <f t="shared" si="914"/>
      </c>
      <c r="BZ111" s="1461">
        <f t="shared" si="914"/>
      </c>
      <c r="CA111" s="1461">
        <f t="shared" si="914"/>
      </c>
      <c r="CB111" s="1461">
        <f t="shared" si="914"/>
      </c>
      <c r="CC111" s="1462">
        <f t="shared" ref="CC111:DH111" si="915">+CC92/CB92-1</f>
      </c>
      <c r="CD111" s="1461">
        <f t="shared" si="915"/>
      </c>
      <c r="CE111" s="1461">
        <f t="shared" si="915"/>
      </c>
      <c r="CF111" s="1461">
        <f t="shared" si="915"/>
      </c>
      <c r="CG111" s="1462">
        <f t="shared" si="915"/>
      </c>
      <c r="CH111" s="1461">
        <f t="shared" si="915"/>
      </c>
      <c r="CI111" s="1461">
        <f t="shared" si="915"/>
      </c>
      <c r="CJ111" s="1461">
        <f t="shared" si="915"/>
      </c>
      <c r="CK111" s="1462">
        <f t="shared" si="915"/>
      </c>
      <c r="CL111" s="1461">
        <f t="shared" si="915"/>
      </c>
      <c r="CM111" s="1461">
        <f t="shared" si="915"/>
      </c>
      <c r="CN111" s="1461">
        <f t="shared" si="915"/>
      </c>
      <c r="CO111" s="1462">
        <f t="shared" si="915"/>
      </c>
      <c r="CP111" s="1461">
        <f t="shared" si="915"/>
      </c>
      <c r="CQ111" s="1461">
        <f t="shared" si="915"/>
      </c>
      <c r="CR111" s="1461">
        <f t="shared" si="915"/>
      </c>
      <c r="CS111" s="1462">
        <f t="shared" si="915"/>
      </c>
      <c r="CT111" s="1461">
        <f t="shared" si="915"/>
      </c>
      <c r="CU111" s="1461">
        <f t="shared" si="915"/>
      </c>
      <c r="CV111" s="1461">
        <f t="shared" si="915"/>
      </c>
      <c r="CW111" s="1462">
        <f t="shared" si="915"/>
      </c>
      <c r="CX111" s="1461">
        <f t="shared" si="915"/>
      </c>
      <c r="CY111" s="1461">
        <f t="shared" si="915"/>
      </c>
      <c r="CZ111" s="1461">
        <f t="shared" si="915"/>
      </c>
      <c r="DA111" s="1462">
        <f t="shared" si="915"/>
      </c>
      <c r="DB111" s="1461">
        <f t="shared" si="915"/>
      </c>
      <c r="DC111" s="1461">
        <f t="shared" si="915"/>
      </c>
      <c r="DD111" s="1461">
        <f t="shared" si="915"/>
      </c>
      <c r="DE111" s="1462">
        <f t="shared" si="915"/>
      </c>
      <c r="DF111" s="1461">
        <f t="shared" si="915"/>
      </c>
      <c r="DG111" s="1461">
        <f t="shared" si="915"/>
      </c>
      <c r="DH111" s="1461">
        <f t="shared" si="915"/>
      </c>
      <c r="DI111" s="1462">
        <f t="shared" ref="DI111:DU111" si="916">+DI92/DH92-1</f>
      </c>
      <c r="DJ111" s="1461">
        <f t="shared" si="916"/>
      </c>
      <c r="DK111" s="1461">
        <f>+DK92/DJ92-1</f>
      </c>
      <c r="DL111" s="1461">
        <f t="shared" si="916"/>
      </c>
      <c r="DM111" s="1462">
        <f t="shared" ref="DM111:DS111" si="917">+DM92/DL92-1</f>
      </c>
      <c r="DN111" s="1461">
        <f t="shared" si="917"/>
      </c>
      <c r="DO111" s="1461">
        <f t="shared" si="917"/>
      </c>
      <c r="DP111" s="1461">
        <f t="shared" si="917"/>
      </c>
      <c r="DQ111" s="1462">
        <f t="shared" si="917"/>
      </c>
      <c r="DR111" s="1461">
        <f t="shared" si="917"/>
      </c>
      <c r="DS111" s="1461">
        <f t="shared" si="917"/>
      </c>
      <c r="DT111" s="1461">
        <f t="shared" si="916"/>
      </c>
      <c r="DU111" s="1462">
        <f t="shared" si="916"/>
      </c>
      <c r="DV111" s="1461">
        <f t="shared" ref="DV111:DV112" si="918">+DV92/DU92-1</f>
      </c>
      <c r="DW111" s="1461">
        <f t="shared" ref="DW111:DW112" si="919">+DW92/DV92-1</f>
      </c>
      <c r="DX111" s="1461">
        <f t="shared" ref="DX111:DX112" si="920">+DX92/DW92-1</f>
      </c>
      <c r="DY111" s="1462">
        <f t="shared" ref="DY111:DY112" si="921">+DY92/DX92-1</f>
      </c>
      <c r="DZ111" s="1461">
        <f t="shared" ref="DZ111:DZ112" si="922">+DZ92/DY92-1</f>
      </c>
      <c r="EA111" s="1461">
        <f t="shared" ref="EA111:EA112" si="923">+EA92/DZ92-1</f>
      </c>
      <c r="EB111" s="1461">
        <f t="shared" ref="EB111:EB112" si="924">+EB92/EA92-1</f>
      </c>
      <c r="EC111" s="1462">
        <f t="shared" ref="EC111:EC112" si="925">+EC92/EB92-1</f>
      </c>
      <c r="ED111" s="1461">
        <f t="shared" ref="ED111:ED112" si="926">+ED92/EC92-1</f>
      </c>
      <c r="EE111" s="1461">
        <f t="shared" ref="EE111:EE112" si="927">+EE92/ED92-1</f>
      </c>
      <c r="EF111" s="1461">
        <f t="shared" ref="EF111:EF112" si="928">+EF92/EE92-1</f>
      </c>
      <c r="EG111" s="1462">
        <f t="shared" ref="EG111:EG112" si="929">+EG92/EF92-1</f>
      </c>
      <c r="EH111" s="1461">
        <f t="shared" ref="EH111:EH112" si="930">+EH92/EG92-1</f>
      </c>
      <c r="EI111" s="1461">
        <f t="shared" ref="EI111:EI112" si="931">+EI92/EH92-1</f>
      </c>
      <c r="EJ111" s="1461">
        <f t="shared" ref="EJ111:EJ112" si="932">+EJ92/EI92-1</f>
      </c>
      <c r="EK111" s="1462">
        <f t="shared" ref="EK111:EK112" si="933">+EK92/EJ92-1</f>
      </c>
    </row>
    <row r="112" spans="1:214" s="1463" customFormat="1" ht="10.199999999999999">
      <c r="A112" s="1460" t="s">
        <v>86</v>
      </c>
      <c r="B112" s="1461"/>
      <c r="C112" s="1461"/>
      <c r="D112" s="1461"/>
      <c r="E112" s="1462"/>
      <c r="F112" s="1461"/>
      <c r="G112" s="1461"/>
      <c r="H112" s="1461"/>
      <c r="I112" s="1462"/>
      <c r="J112" s="1461"/>
      <c r="K112" s="1461">
        <f t="shared" ref="K112:AV112" si="934">+K93/J93-1</f>
      </c>
      <c r="L112" s="1461">
        <f t="shared" si="934"/>
      </c>
      <c r="M112" s="1462">
        <f t="shared" si="934"/>
      </c>
      <c r="N112" s="1461">
        <f t="shared" si="934"/>
      </c>
      <c r="O112" s="1461">
        <f t="shared" si="934"/>
      </c>
      <c r="P112" s="1461">
        <f t="shared" si="934"/>
      </c>
      <c r="Q112" s="1462">
        <f t="shared" si="934"/>
      </c>
      <c r="R112" s="1461">
        <f t="shared" si="934"/>
      </c>
      <c r="S112" s="1461">
        <f t="shared" si="934"/>
      </c>
      <c r="T112" s="1461">
        <f t="shared" si="934"/>
      </c>
      <c r="U112" s="1462">
        <f t="shared" si="934"/>
      </c>
      <c r="V112" s="1461">
        <f t="shared" si="934"/>
      </c>
      <c r="W112" s="1461">
        <f t="shared" si="934"/>
      </c>
      <c r="X112" s="1461">
        <f t="shared" si="934"/>
      </c>
      <c r="Y112" s="1462">
        <f t="shared" si="934"/>
      </c>
      <c r="Z112" s="1461">
        <f t="shared" si="934"/>
      </c>
      <c r="AA112" s="1461">
        <f t="shared" si="934"/>
      </c>
      <c r="AB112" s="1461">
        <f t="shared" si="934"/>
      </c>
      <c r="AC112" s="1462">
        <f t="shared" si="934"/>
      </c>
      <c r="AD112" s="1461">
        <f t="shared" si="934"/>
      </c>
      <c r="AE112" s="1461">
        <f t="shared" si="934"/>
      </c>
      <c r="AF112" s="1461">
        <f t="shared" si="934"/>
      </c>
      <c r="AG112" s="1462">
        <f t="shared" si="934"/>
      </c>
      <c r="AH112" s="1461">
        <f t="shared" si="934"/>
      </c>
      <c r="AI112" s="1461">
        <f t="shared" si="934"/>
      </c>
      <c r="AJ112" s="1461">
        <f t="shared" si="934"/>
      </c>
      <c r="AK112" s="1462">
        <f t="shared" si="934"/>
      </c>
      <c r="AL112" s="1461">
        <f t="shared" si="934"/>
      </c>
      <c r="AM112" s="1461">
        <f t="shared" si="934"/>
      </c>
      <c r="AN112" s="1461">
        <f t="shared" si="934"/>
      </c>
      <c r="AO112" s="1462">
        <f t="shared" si="934"/>
      </c>
      <c r="AP112" s="1461">
        <f t="shared" si="934"/>
      </c>
      <c r="AQ112" s="1461">
        <f t="shared" si="934"/>
      </c>
      <c r="AR112" s="1461">
        <f t="shared" si="934"/>
      </c>
      <c r="AS112" s="1462">
        <f t="shared" si="934"/>
      </c>
      <c r="AT112" s="1461">
        <f t="shared" si="934"/>
      </c>
      <c r="AU112" s="1461">
        <f t="shared" si="934"/>
      </c>
      <c r="AV112" s="1461">
        <f t="shared" si="934"/>
      </c>
      <c r="AW112" s="1462">
        <f t="shared" ref="AW112:CB112" si="935">+AW93/AV93-1</f>
      </c>
      <c r="AX112" s="1461">
        <f t="shared" si="935"/>
      </c>
      <c r="AY112" s="1461">
        <f t="shared" si="935"/>
      </c>
      <c r="AZ112" s="1461">
        <f t="shared" si="935"/>
      </c>
      <c r="BA112" s="1462">
        <f t="shared" si="935"/>
      </c>
      <c r="BB112" s="1461">
        <f t="shared" si="935"/>
      </c>
      <c r="BC112" s="1461">
        <f t="shared" si="935"/>
      </c>
      <c r="BD112" s="1461">
        <f t="shared" si="935"/>
      </c>
      <c r="BE112" s="1462">
        <f t="shared" si="935"/>
      </c>
      <c r="BF112" s="1461">
        <f t="shared" si="935"/>
      </c>
      <c r="BG112" s="1461">
        <f t="shared" si="935"/>
      </c>
      <c r="BH112" s="1461">
        <f t="shared" si="935"/>
      </c>
      <c r="BI112" s="1462">
        <f t="shared" si="935"/>
      </c>
      <c r="BJ112" s="1461">
        <f t="shared" si="935"/>
      </c>
      <c r="BK112" s="1461">
        <f t="shared" si="935"/>
      </c>
      <c r="BL112" s="1461">
        <f t="shared" si="935"/>
      </c>
      <c r="BM112" s="1462">
        <f t="shared" si="935"/>
      </c>
      <c r="BN112" s="1461">
        <f t="shared" si="935"/>
      </c>
      <c r="BO112" s="1461">
        <f t="shared" si="935"/>
      </c>
      <c r="BP112" s="1461">
        <f t="shared" si="935"/>
      </c>
      <c r="BQ112" s="1462">
        <f t="shared" si="935"/>
      </c>
      <c r="BR112" s="1461">
        <f t="shared" si="935"/>
      </c>
      <c r="BS112" s="1461">
        <f t="shared" si="935"/>
      </c>
      <c r="BT112" s="1461">
        <f t="shared" si="935"/>
      </c>
      <c r="BU112" s="1462">
        <f t="shared" si="935"/>
      </c>
      <c r="BV112" s="1461">
        <f t="shared" si="935"/>
      </c>
      <c r="BW112" s="1461">
        <f t="shared" si="935"/>
      </c>
      <c r="BX112" s="1461">
        <f t="shared" si="935"/>
      </c>
      <c r="BY112" s="1462">
        <f t="shared" si="935"/>
      </c>
      <c r="BZ112" s="1461">
        <f t="shared" si="935"/>
      </c>
      <c r="CA112" s="1461">
        <f t="shared" si="935"/>
      </c>
      <c r="CB112" s="1461">
        <f t="shared" si="935"/>
      </c>
      <c r="CC112" s="1462">
        <f t="shared" ref="CC112:DH112" si="936">+CC93/CB93-1</f>
      </c>
      <c r="CD112" s="1461">
        <f t="shared" si="936"/>
      </c>
      <c r="CE112" s="1461">
        <f t="shared" si="936"/>
      </c>
      <c r="CF112" s="1461">
        <f t="shared" si="936"/>
      </c>
      <c r="CG112" s="1462">
        <f t="shared" si="936"/>
      </c>
      <c r="CH112" s="1461">
        <f t="shared" si="936"/>
      </c>
      <c r="CI112" s="1461">
        <f t="shared" si="936"/>
      </c>
      <c r="CJ112" s="1461">
        <f t="shared" si="936"/>
      </c>
      <c r="CK112" s="1462">
        <f t="shared" si="936"/>
      </c>
      <c r="CL112" s="1461">
        <f t="shared" si="936"/>
      </c>
      <c r="CM112" s="1461">
        <f t="shared" si="936"/>
      </c>
      <c r="CN112" s="1461">
        <f t="shared" si="936"/>
      </c>
      <c r="CO112" s="1462">
        <f t="shared" si="936"/>
      </c>
      <c r="CP112" s="1461">
        <f t="shared" si="936"/>
      </c>
      <c r="CQ112" s="1461">
        <f t="shared" si="936"/>
      </c>
      <c r="CR112" s="1461">
        <f t="shared" si="936"/>
      </c>
      <c r="CS112" s="1462">
        <f t="shared" si="936"/>
      </c>
      <c r="CT112" s="1461">
        <f t="shared" si="936"/>
      </c>
      <c r="CU112" s="1461">
        <f t="shared" si="936"/>
      </c>
      <c r="CV112" s="1461">
        <f t="shared" si="936"/>
      </c>
      <c r="CW112" s="1462">
        <f t="shared" si="936"/>
      </c>
      <c r="CX112" s="1461">
        <f t="shared" si="936"/>
      </c>
      <c r="CY112" s="1461">
        <f t="shared" si="936"/>
      </c>
      <c r="CZ112" s="1461">
        <f t="shared" si="936"/>
      </c>
      <c r="DA112" s="1462">
        <f t="shared" si="936"/>
      </c>
      <c r="DB112" s="1461">
        <f t="shared" si="936"/>
      </c>
      <c r="DC112" s="1461">
        <f t="shared" si="936"/>
      </c>
      <c r="DD112" s="1461">
        <f t="shared" si="936"/>
      </c>
      <c r="DE112" s="1462">
        <f t="shared" si="936"/>
      </c>
      <c r="DF112" s="1461">
        <f t="shared" si="936"/>
      </c>
      <c r="DG112" s="1461">
        <f t="shared" si="936"/>
      </c>
      <c r="DH112" s="1461">
        <f t="shared" si="936"/>
      </c>
      <c r="DI112" s="1462">
        <f t="shared" ref="DI112:DU112" si="937">+DI93/DH93-1</f>
      </c>
      <c r="DJ112" s="1461">
        <f t="shared" si="937"/>
      </c>
      <c r="DK112" s="1461">
        <f>+DK93/DJ93-1</f>
      </c>
      <c r="DL112" s="1461">
        <f t="shared" si="937"/>
      </c>
      <c r="DM112" s="1462">
        <f>+DM93/DL93-1</f>
      </c>
      <c r="DN112" s="1461">
        <f>+DN93/DM93-1</f>
      </c>
      <c r="DO112" s="1461">
        <f>+DO93/DN93-1</f>
      </c>
      <c r="DP112" s="1461">
        <f t="shared" si="937"/>
      </c>
      <c r="DQ112" s="1462">
        <f>+DQ93/DP93-1</f>
      </c>
      <c r="DR112" s="1461">
        <f>+DR93/DQ93-1</f>
      </c>
      <c r="DS112" s="1461">
        <f>+DS93/DR93-1</f>
      </c>
      <c r="DT112" s="1461">
        <f t="shared" si="937"/>
      </c>
      <c r="DU112" s="1462">
        <f t="shared" si="937"/>
      </c>
      <c r="DV112" s="1461">
        <f t="shared" si="918"/>
      </c>
      <c r="DW112" s="1461">
        <f t="shared" si="919"/>
      </c>
      <c r="DX112" s="1461">
        <f t="shared" si="920"/>
      </c>
      <c r="DY112" s="1462">
        <f t="shared" si="921"/>
      </c>
      <c r="DZ112" s="1461">
        <f t="shared" si="922"/>
      </c>
      <c r="EA112" s="1461">
        <f t="shared" si="923"/>
      </c>
      <c r="EB112" s="1461">
        <f t="shared" si="924"/>
      </c>
      <c r="EC112" s="1462">
        <f t="shared" si="925"/>
      </c>
      <c r="ED112" s="1461">
        <f t="shared" si="926"/>
      </c>
      <c r="EE112" s="1461">
        <f t="shared" si="927"/>
      </c>
      <c r="EF112" s="1461">
        <f t="shared" si="928"/>
      </c>
      <c r="EG112" s="1462">
        <f t="shared" si="929"/>
      </c>
      <c r="EH112" s="1461">
        <f t="shared" si="930"/>
      </c>
      <c r="EI112" s="1461">
        <f t="shared" si="931"/>
      </c>
      <c r="EJ112" s="1461">
        <f t="shared" si="932"/>
      </c>
      <c r="EK112" s="1462">
        <f t="shared" si="933"/>
      </c>
    </row>
    <row r="113" spans="1:214" s="1463" customFormat="1" ht="10.199999999999999">
      <c r="A113" s="1460" t="s">
        <v>85</v>
      </c>
      <c r="B113" s="1461"/>
      <c r="C113" s="1461"/>
      <c r="D113" s="1461"/>
      <c r="E113" s="1462"/>
      <c r="F113" s="1461"/>
      <c r="G113" s="1461"/>
      <c r="H113" s="1461"/>
      <c r="I113" s="1462"/>
      <c r="J113" s="1461"/>
      <c r="K113" s="1461"/>
      <c r="L113" s="1461"/>
      <c r="M113" s="1462"/>
      <c r="N113" s="1461"/>
      <c r="O113" s="1461"/>
      <c r="P113" s="1461"/>
      <c r="Q113" s="1462"/>
      <c r="R113" s="1461"/>
      <c r="S113" s="1461"/>
      <c r="T113" s="1461"/>
      <c r="U113" s="1462"/>
      <c r="V113" s="1461"/>
      <c r="W113" s="1461"/>
      <c r="X113" s="1461"/>
      <c r="Y113" s="1462"/>
      <c r="Z113" s="1461"/>
      <c r="AA113" s="1461"/>
      <c r="AB113" s="1461"/>
      <c r="AC113" s="1462"/>
      <c r="AD113" s="1461"/>
      <c r="AE113" s="1461"/>
      <c r="AF113" s="1461"/>
      <c r="AG113" s="1462"/>
      <c r="AH113" s="1461"/>
      <c r="AI113" s="1461"/>
      <c r="AJ113" s="1461"/>
      <c r="AK113" s="1462"/>
      <c r="AL113" s="1461"/>
      <c r="AM113" s="1461"/>
      <c r="AN113" s="1461"/>
      <c r="AO113" s="1462"/>
      <c r="AP113" s="1461"/>
      <c r="AQ113" s="1461"/>
      <c r="AR113" s="1461"/>
      <c r="AS113" s="1462"/>
      <c r="AT113" s="1461"/>
      <c r="AU113" s="1461"/>
      <c r="AV113" s="1461"/>
      <c r="AW113" s="1462"/>
      <c r="AX113" s="1461"/>
      <c r="AY113" s="1461"/>
      <c r="AZ113" s="1461"/>
      <c r="BA113" s="1462"/>
      <c r="BB113" s="1461"/>
      <c r="BC113" s="1461"/>
      <c r="BD113" s="1461"/>
      <c r="BE113" s="1462"/>
      <c r="BF113" s="1461"/>
      <c r="BG113" s="1461"/>
      <c r="BH113" s="1461"/>
      <c r="BI113" s="1462">
        <f t="shared" ref="BI113:CN113" si="938">+BI99/BH99-1</f>
      </c>
      <c r="BJ113" s="1461">
        <f t="shared" si="938"/>
      </c>
      <c r="BK113" s="1461">
        <f t="shared" si="938"/>
      </c>
      <c r="BL113" s="1461">
        <f t="shared" si="938"/>
      </c>
      <c r="BM113" s="1462">
        <f t="shared" si="938"/>
      </c>
      <c r="BN113" s="1461">
        <f t="shared" si="938"/>
      </c>
      <c r="BO113" s="1461">
        <f t="shared" si="938"/>
      </c>
      <c r="BP113" s="1461">
        <f t="shared" si="938"/>
      </c>
      <c r="BQ113" s="1462">
        <f t="shared" si="938"/>
      </c>
      <c r="BR113" s="1461">
        <f t="shared" si="938"/>
      </c>
      <c r="BS113" s="1461">
        <f t="shared" si="938"/>
      </c>
      <c r="BT113" s="1461">
        <f t="shared" si="938"/>
      </c>
      <c r="BU113" s="1462">
        <f t="shared" si="938"/>
      </c>
      <c r="BV113" s="1461">
        <f t="shared" si="938"/>
      </c>
      <c r="BW113" s="1461">
        <f t="shared" si="938"/>
      </c>
      <c r="BX113" s="1461">
        <f t="shared" si="938"/>
      </c>
      <c r="BY113" s="1462">
        <f t="shared" si="938"/>
      </c>
      <c r="BZ113" s="1461">
        <f t="shared" si="938"/>
      </c>
      <c r="CA113" s="1461">
        <f t="shared" si="938"/>
      </c>
      <c r="CB113" s="1461">
        <f t="shared" si="938"/>
      </c>
      <c r="CC113" s="1462">
        <f t="shared" si="938"/>
      </c>
      <c r="CD113" s="1461">
        <f t="shared" si="938"/>
      </c>
      <c r="CE113" s="1461">
        <f t="shared" si="938"/>
      </c>
      <c r="CF113" s="1461">
        <f t="shared" si="938"/>
      </c>
      <c r="CG113" s="1462">
        <f t="shared" si="938"/>
      </c>
      <c r="CH113" s="1461">
        <f t="shared" si="938"/>
      </c>
      <c r="CI113" s="1461">
        <f t="shared" si="938"/>
      </c>
      <c r="CJ113" s="1461">
        <f t="shared" si="938"/>
      </c>
      <c r="CK113" s="1462">
        <f t="shared" si="938"/>
      </c>
      <c r="CL113" s="1461">
        <f t="shared" si="938"/>
      </c>
      <c r="CM113" s="1461">
        <f t="shared" si="938"/>
      </c>
      <c r="CN113" s="1461">
        <f t="shared" si="938"/>
      </c>
      <c r="CO113" s="1462">
        <f t="shared" ref="CO113:DU113" si="939">+CO99/CN99-1</f>
      </c>
      <c r="CP113" s="1461">
        <f t="shared" si="939"/>
      </c>
      <c r="CQ113" s="1461">
        <f t="shared" si="939"/>
      </c>
      <c r="CR113" s="1461">
        <f t="shared" si="939"/>
      </c>
      <c r="CS113" s="1462">
        <f t="shared" si="939"/>
      </c>
      <c r="CT113" s="1461">
        <f t="shared" si="939"/>
      </c>
      <c r="CU113" s="1461">
        <f t="shared" si="939"/>
      </c>
      <c r="CV113" s="1461">
        <f t="shared" si="939"/>
      </c>
      <c r="CW113" s="1462">
        <f t="shared" si="939"/>
      </c>
      <c r="CX113" s="1461">
        <f t="shared" si="939"/>
      </c>
      <c r="CY113" s="1461">
        <f t="shared" si="939"/>
      </c>
      <c r="CZ113" s="1461">
        <f t="shared" si="939"/>
      </c>
      <c r="DA113" s="1462">
        <f t="shared" si="939"/>
      </c>
      <c r="DB113" s="1461">
        <f t="shared" si="939"/>
      </c>
      <c r="DC113" s="1461">
        <f t="shared" si="939"/>
      </c>
      <c r="DD113" s="1461">
        <f t="shared" si="939"/>
      </c>
      <c r="DE113" s="1462">
        <f t="shared" si="939"/>
      </c>
      <c r="DF113" s="1461">
        <f t="shared" si="939"/>
      </c>
      <c r="DG113" s="1461">
        <f t="shared" si="939"/>
      </c>
      <c r="DH113" s="1461">
        <f t="shared" si="939"/>
      </c>
      <c r="DI113" s="1462">
        <f t="shared" si="939"/>
      </c>
      <c r="DJ113" s="1461">
        <f t="shared" si="939"/>
      </c>
      <c r="DK113" s="1461">
        <f>+DK99/DJ99-1</f>
      </c>
      <c r="DL113" s="1461">
        <f t="shared" si="939"/>
      </c>
      <c r="DM113" s="1462">
        <f t="shared" ref="DM113:DO114" si="940">+DM99/DL99-1</f>
      </c>
      <c r="DN113" s="1461">
        <f t="shared" si="940"/>
      </c>
      <c r="DO113" s="1461">
        <f t="shared" si="940"/>
      </c>
      <c r="DP113" s="1461">
        <f t="shared" si="939"/>
      </c>
      <c r="DQ113" s="1462">
        <f t="shared" ref="DQ113:DS114" si="941">+DQ99/DP99-1</f>
      </c>
      <c r="DR113" s="1461">
        <f t="shared" si="941"/>
      </c>
      <c r="DS113" s="1461">
        <f t="shared" si="941"/>
      </c>
      <c r="DT113" s="1461">
        <f t="shared" si="939"/>
      </c>
      <c r="DU113" s="1462">
        <f t="shared" si="939"/>
      </c>
      <c r="DV113" s="1461">
        <f t="shared" ref="DV113:DV114" si="942">+DV99/DU99-1</f>
      </c>
      <c r="DW113" s="1461">
        <f t="shared" ref="DW113:DW114" si="943">+DW99/DV99-1</f>
      </c>
      <c r="DX113" s="1461">
        <f t="shared" ref="DX113:DX114" si="944">+DX99/DW99-1</f>
      </c>
      <c r="DY113" s="1462">
        <f t="shared" ref="DY113:DY114" si="945">+DY99/DX99-1</f>
      </c>
      <c r="DZ113" s="1461">
        <f t="shared" ref="DZ113:DZ114" si="946">+DZ99/DY99-1</f>
      </c>
      <c r="EA113" s="1461">
        <f t="shared" ref="EA113:EA114" si="947">+EA99/DZ99-1</f>
      </c>
      <c r="EB113" s="1461">
        <f t="shared" ref="EB113:EB114" si="948">+EB99/EA99-1</f>
      </c>
      <c r="EC113" s="1462">
        <f t="shared" ref="EC113:EC114" si="949">+EC99/EB99-1</f>
      </c>
      <c r="ED113" s="1461">
        <f t="shared" ref="ED113:ED114" si="950">+ED99/EC99-1</f>
      </c>
      <c r="EE113" s="1461">
        <f t="shared" ref="EE113:EE114" si="951">+EE99/ED99-1</f>
      </c>
      <c r="EF113" s="1461">
        <f t="shared" ref="EF113:EF114" si="952">+EF99/EE99-1</f>
      </c>
      <c r="EG113" s="1462">
        <f t="shared" ref="EG113:EG114" si="953">+EG99/EF99-1</f>
      </c>
      <c r="EH113" s="1461">
        <f t="shared" ref="EH113:EH114" si="954">+EH99/EG99-1</f>
      </c>
      <c r="EI113" s="1461">
        <f t="shared" ref="EI113:EI114" si="955">+EI99/EH99-1</f>
      </c>
      <c r="EJ113" s="1461">
        <f t="shared" ref="EJ113:EJ114" si="956">+EJ99/EI99-1</f>
      </c>
      <c r="EK113" s="1462">
        <f t="shared" ref="EK113:EK114" si="957">+EK99/EJ99-1</f>
      </c>
    </row>
    <row r="114" spans="1:214" s="1463" customFormat="1" ht="10.199999999999999">
      <c r="A114" s="1460" t="s">
        <v>1184</v>
      </c>
      <c r="B114" s="1461"/>
      <c r="C114" s="1461"/>
      <c r="D114" s="1461"/>
      <c r="E114" s="1462"/>
      <c r="F114" s="1461"/>
      <c r="G114" s="1461"/>
      <c r="H114" s="1461"/>
      <c r="I114" s="1462"/>
      <c r="J114" s="1461"/>
      <c r="K114" s="1461"/>
      <c r="L114" s="1461"/>
      <c r="M114" s="1462"/>
      <c r="N114" s="1461"/>
      <c r="O114" s="1461"/>
      <c r="P114" s="1461"/>
      <c r="Q114" s="1462"/>
      <c r="R114" s="1461"/>
      <c r="S114" s="1461"/>
      <c r="T114" s="1461"/>
      <c r="U114" s="1462"/>
      <c r="V114" s="1461"/>
      <c r="W114" s="1461"/>
      <c r="X114" s="1461"/>
      <c r="Y114" s="1462"/>
      <c r="Z114" s="1461"/>
      <c r="AA114" s="1461"/>
      <c r="AB114" s="1461"/>
      <c r="AC114" s="1462"/>
      <c r="AD114" s="1461"/>
      <c r="AE114" s="1461"/>
      <c r="AF114" s="1461"/>
      <c r="AG114" s="1462"/>
      <c r="AH114" s="1461"/>
      <c r="AI114" s="1461"/>
      <c r="AJ114" s="1461"/>
      <c r="AK114" s="1462"/>
      <c r="AL114" s="1461"/>
      <c r="AM114" s="1461"/>
      <c r="AN114" s="1461"/>
      <c r="AO114" s="1462"/>
      <c r="AP114" s="1461"/>
      <c r="AQ114" s="1461"/>
      <c r="AR114" s="1461"/>
      <c r="AS114" s="1462"/>
      <c r="AT114" s="1461"/>
      <c r="AU114" s="1461"/>
      <c r="AV114" s="1461"/>
      <c r="AW114" s="1462"/>
      <c r="AX114" s="1461"/>
      <c r="AY114" s="1461"/>
      <c r="AZ114" s="1461"/>
      <c r="BA114" s="1462"/>
      <c r="BB114" s="1461"/>
      <c r="BC114" s="1461"/>
      <c r="BD114" s="1461"/>
      <c r="BE114" s="1462"/>
      <c r="BF114" s="1461"/>
      <c r="BG114" s="1461"/>
      <c r="BH114" s="1461"/>
      <c r="BI114" s="1462"/>
      <c r="BJ114" s="1461"/>
      <c r="BK114" s="1461"/>
      <c r="BL114" s="1461"/>
      <c r="BM114" s="1462"/>
      <c r="BN114" s="1461"/>
      <c r="BO114" s="1461"/>
      <c r="BP114" s="1461"/>
      <c r="BQ114" s="1462"/>
      <c r="BR114" s="1461"/>
      <c r="BS114" s="1461"/>
      <c r="BT114" s="1461"/>
      <c r="BU114" s="1462"/>
      <c r="BV114" s="1461"/>
      <c r="BW114" s="1461"/>
      <c r="BX114" s="1461"/>
      <c r="BY114" s="1462"/>
      <c r="BZ114" s="1461"/>
      <c r="CA114" s="1461"/>
      <c r="CB114" s="1461"/>
      <c r="CC114" s="1462">
        <f t="shared" ref="CC114:DU114" si="958">+CC100/CB100-1</f>
      </c>
      <c r="CD114" s="1461">
        <f t="shared" si="958"/>
      </c>
      <c r="CE114" s="1461">
        <f t="shared" si="958"/>
      </c>
      <c r="CF114" s="1461">
        <f t="shared" si="958"/>
      </c>
      <c r="CG114" s="1462">
        <f t="shared" si="958"/>
      </c>
      <c r="CH114" s="1461">
        <f t="shared" si="958"/>
      </c>
      <c r="CI114" s="1461">
        <f t="shared" si="958"/>
      </c>
      <c r="CJ114" s="1461">
        <f t="shared" si="958"/>
      </c>
      <c r="CK114" s="1462">
        <f t="shared" si="958"/>
      </c>
      <c r="CL114" s="1461">
        <f t="shared" si="958"/>
      </c>
      <c r="CM114" s="1461">
        <f t="shared" si="958"/>
      </c>
      <c r="CN114" s="1461">
        <f t="shared" si="958"/>
      </c>
      <c r="CO114" s="1462">
        <f t="shared" si="958"/>
      </c>
      <c r="CP114" s="1461">
        <f t="shared" si="958"/>
      </c>
      <c r="CQ114" s="1461">
        <f t="shared" si="958"/>
      </c>
      <c r="CR114" s="1461">
        <f t="shared" si="958"/>
      </c>
      <c r="CS114" s="1462">
        <f t="shared" si="958"/>
      </c>
      <c r="CT114" s="1461">
        <f t="shared" si="958"/>
      </c>
      <c r="CU114" s="1461">
        <f t="shared" si="958"/>
      </c>
      <c r="CV114" s="1461">
        <f t="shared" si="958"/>
      </c>
      <c r="CW114" s="1462">
        <f t="shared" si="958"/>
      </c>
      <c r="CX114" s="1461">
        <f t="shared" si="958"/>
      </c>
      <c r="CY114" s="1461">
        <f t="shared" si="958"/>
      </c>
      <c r="CZ114" s="1461">
        <f t="shared" si="958"/>
      </c>
      <c r="DA114" s="1462">
        <f t="shared" si="958"/>
      </c>
      <c r="DB114" s="1461">
        <f t="shared" si="958"/>
      </c>
      <c r="DC114" s="1461">
        <f t="shared" si="958"/>
      </c>
      <c r="DD114" s="1461">
        <f t="shared" si="958"/>
      </c>
      <c r="DE114" s="1462">
        <f t="shared" si="958"/>
      </c>
      <c r="DF114" s="1461">
        <f t="shared" si="958"/>
      </c>
      <c r="DG114" s="1461">
        <f t="shared" si="958"/>
      </c>
      <c r="DH114" s="1461">
        <f t="shared" si="958"/>
      </c>
      <c r="DI114" s="1462">
        <f t="shared" si="958"/>
      </c>
      <c r="DJ114" s="1461">
        <f t="shared" si="958"/>
      </c>
      <c r="DK114" s="1461">
        <f>+DK100/DJ100-1</f>
      </c>
      <c r="DL114" s="1461">
        <f t="shared" si="958"/>
      </c>
      <c r="DM114" s="1462">
        <f t="shared" si="940"/>
      </c>
      <c r="DN114" s="1461">
        <f t="shared" si="940"/>
      </c>
      <c r="DO114" s="1461">
        <f t="shared" si="940"/>
      </c>
      <c r="DP114" s="1461">
        <f t="shared" si="958"/>
      </c>
      <c r="DQ114" s="1462">
        <f t="shared" si="941"/>
      </c>
      <c r="DR114" s="1461">
        <f t="shared" si="941"/>
      </c>
      <c r="DS114" s="1461">
        <f t="shared" si="941"/>
      </c>
      <c r="DT114" s="1461">
        <f t="shared" si="958"/>
      </c>
      <c r="DU114" s="1462">
        <f t="shared" si="958"/>
      </c>
      <c r="DV114" s="1461">
        <f t="shared" si="942"/>
      </c>
      <c r="DW114" s="1461">
        <f t="shared" si="943"/>
      </c>
      <c r="DX114" s="1461">
        <f t="shared" si="944"/>
      </c>
      <c r="DY114" s="1462">
        <f t="shared" si="945"/>
      </c>
      <c r="DZ114" s="1461">
        <f t="shared" si="946"/>
      </c>
      <c r="EA114" s="1461">
        <f t="shared" si="947"/>
      </c>
      <c r="EB114" s="1461">
        <f t="shared" si="948"/>
      </c>
      <c r="EC114" s="1462">
        <f t="shared" si="949"/>
      </c>
      <c r="ED114" s="1461">
        <f t="shared" si="950"/>
      </c>
      <c r="EE114" s="1461">
        <f t="shared" si="951"/>
      </c>
      <c r="EF114" s="1461">
        <f t="shared" si="952"/>
      </c>
      <c r="EG114" s="1462">
        <f t="shared" si="953"/>
      </c>
      <c r="EH114" s="1461">
        <f t="shared" si="954"/>
      </c>
      <c r="EI114" s="1461">
        <f t="shared" si="955"/>
      </c>
      <c r="EJ114" s="1461">
        <f t="shared" si="956"/>
      </c>
      <c r="EK114" s="1462">
        <f t="shared" si="957"/>
      </c>
    </row>
    <row r="115" spans="1:214" s="1463" customFormat="1" ht="10.199999999999999">
      <c r="A115" s="1465" t="s">
        <v>1183</v>
      </c>
      <c r="B115" s="1461"/>
      <c r="C115" s="1461"/>
      <c r="D115" s="1461"/>
      <c r="E115" s="1462"/>
      <c r="F115" s="1461"/>
      <c r="G115" s="1461"/>
      <c r="H115" s="1461"/>
      <c r="I115" s="1462"/>
      <c r="J115" s="1461"/>
      <c r="K115" s="1461"/>
      <c r="L115" s="1461"/>
      <c r="M115" s="1462"/>
      <c r="N115" s="1461"/>
      <c r="O115" s="1461"/>
      <c r="P115" s="1461"/>
      <c r="Q115" s="1462"/>
      <c r="R115" s="1461"/>
      <c r="S115" s="1461"/>
      <c r="T115" s="1461"/>
      <c r="U115" s="1462"/>
      <c r="V115" s="1461"/>
      <c r="W115" s="1461"/>
      <c r="X115" s="1461"/>
      <c r="Y115" s="1462"/>
      <c r="Z115" s="1461"/>
      <c r="AA115" s="1461">
        <f t="shared" ref="AA115:BF115" si="959">+AA101/Z101-1</f>
      </c>
      <c r="AB115" s="1461">
        <f t="shared" si="959"/>
      </c>
      <c r="AC115" s="1462">
        <f t="shared" si="959"/>
      </c>
      <c r="AD115" s="1461">
        <f t="shared" si="959"/>
      </c>
      <c r="AE115" s="1461">
        <f t="shared" si="959"/>
      </c>
      <c r="AF115" s="1461">
        <f t="shared" si="959"/>
      </c>
      <c r="AG115" s="1462">
        <f t="shared" si="959"/>
      </c>
      <c r="AH115" s="1461">
        <f t="shared" si="959"/>
      </c>
      <c r="AI115" s="1461">
        <f t="shared" si="959"/>
      </c>
      <c r="AJ115" s="1461">
        <f t="shared" si="959"/>
      </c>
      <c r="AK115" s="1462">
        <f t="shared" si="959"/>
      </c>
      <c r="AL115" s="1461">
        <f t="shared" si="959"/>
      </c>
      <c r="AM115" s="1461">
        <f t="shared" si="959"/>
      </c>
      <c r="AN115" s="1461">
        <f t="shared" si="959"/>
      </c>
      <c r="AO115" s="1462">
        <f t="shared" si="959"/>
      </c>
      <c r="AP115" s="1461">
        <f t="shared" si="959"/>
      </c>
      <c r="AQ115" s="1461">
        <f t="shared" si="959"/>
      </c>
      <c r="AR115" s="1461">
        <f t="shared" si="959"/>
      </c>
      <c r="AS115" s="1462">
        <f t="shared" si="959"/>
      </c>
      <c r="AT115" s="1461">
        <f t="shared" si="959"/>
      </c>
      <c r="AU115" s="1461">
        <f t="shared" si="959"/>
      </c>
      <c r="AV115" s="1461">
        <f t="shared" si="959"/>
      </c>
      <c r="AW115" s="1462">
        <f t="shared" si="959"/>
      </c>
      <c r="AX115" s="1461">
        <f t="shared" si="959"/>
      </c>
      <c r="AY115" s="1461">
        <f t="shared" si="959"/>
      </c>
      <c r="AZ115" s="1461">
        <f t="shared" si="959"/>
      </c>
      <c r="BA115" s="1462">
        <f t="shared" si="959"/>
      </c>
      <c r="BB115" s="1461">
        <f t="shared" si="959"/>
      </c>
      <c r="BC115" s="1461">
        <f t="shared" si="959"/>
      </c>
      <c r="BD115" s="1461">
        <f t="shared" si="959"/>
      </c>
      <c r="BE115" s="1462">
        <f t="shared" si="959"/>
      </c>
      <c r="BF115" s="1461">
        <f t="shared" si="959"/>
      </c>
      <c r="BG115" s="1461">
        <f t="shared" ref="BG115:CK115" si="960">+BG101/BF101-1</f>
      </c>
      <c r="BH115" s="1461">
        <f t="shared" si="960"/>
      </c>
      <c r="BI115" s="1462">
        <f t="shared" si="960"/>
      </c>
      <c r="BJ115" s="1461">
        <f t="shared" si="960"/>
      </c>
      <c r="BK115" s="1461">
        <f t="shared" si="960"/>
      </c>
      <c r="BL115" s="1461">
        <f t="shared" si="960"/>
      </c>
      <c r="BM115" s="1462">
        <f t="shared" si="960"/>
      </c>
      <c r="BN115" s="1461">
        <f t="shared" si="960"/>
      </c>
      <c r="BO115" s="1461">
        <f t="shared" si="960"/>
      </c>
      <c r="BP115" s="1461">
        <f t="shared" si="960"/>
      </c>
      <c r="BQ115" s="1462">
        <f t="shared" si="960"/>
      </c>
      <c r="BR115" s="1461">
        <f t="shared" si="960"/>
      </c>
      <c r="BS115" s="1461">
        <f t="shared" si="960"/>
      </c>
      <c r="BT115" s="1461">
        <f t="shared" si="960"/>
      </c>
      <c r="BU115" s="1462">
        <f t="shared" si="960"/>
      </c>
      <c r="BV115" s="1461">
        <f t="shared" si="960"/>
      </c>
      <c r="BW115" s="1461">
        <f t="shared" si="960"/>
      </c>
      <c r="BX115" s="1461">
        <f t="shared" si="960"/>
      </c>
      <c r="BY115" s="1462">
        <f t="shared" si="960"/>
      </c>
      <c r="BZ115" s="1461">
        <f t="shared" si="960"/>
      </c>
      <c r="CA115" s="1461">
        <f t="shared" si="960"/>
      </c>
      <c r="CB115" s="1461">
        <f t="shared" si="960"/>
      </c>
      <c r="CC115" s="1462">
        <f t="shared" si="960"/>
      </c>
      <c r="CD115" s="1461">
        <f t="shared" si="960"/>
      </c>
      <c r="CE115" s="1461">
        <f t="shared" si="960"/>
      </c>
      <c r="CF115" s="1461">
        <f t="shared" si="960"/>
      </c>
      <c r="CG115" s="1462">
        <f t="shared" si="960"/>
      </c>
      <c r="CH115" s="1461">
        <f t="shared" si="960"/>
      </c>
      <c r="CI115" s="1461">
        <f t="shared" si="960"/>
      </c>
      <c r="CJ115" s="1461">
        <f t="shared" si="960"/>
      </c>
      <c r="CK115" s="1462">
        <f t="shared" si="960"/>
      </c>
      <c r="CL115" s="1461">
        <f t="shared" ref="CL115:DU115" si="961">IF(ISERROR(CL101/CK101-1),"NA",CL101/CK101-1)</f>
      </c>
      <c r="CM115" s="1461" t="str">
        <f t="shared" si="961"/>
      </c>
      <c r="CN115" s="1461" t="str">
        <f t="shared" si="961"/>
      </c>
      <c r="CO115" s="1462" t="str">
        <f t="shared" si="961"/>
      </c>
      <c r="CP115" s="2863" t="str">
        <f t="shared" si="961"/>
      </c>
      <c r="CQ115" s="2863" t="str">
        <f t="shared" si="961"/>
      </c>
      <c r="CR115" s="2863" t="str">
        <f t="shared" si="961"/>
      </c>
      <c r="CS115" s="2864" t="str">
        <f t="shared" si="961"/>
      </c>
      <c r="CT115" s="2863" t="str">
        <f t="shared" si="961"/>
      </c>
      <c r="CU115" s="2863" t="str">
        <f t="shared" si="961"/>
      </c>
      <c r="CV115" s="2863" t="str">
        <f t="shared" si="961"/>
      </c>
      <c r="CW115" s="2864" t="str">
        <f t="shared" si="961"/>
      </c>
      <c r="CX115" s="2863" t="str">
        <f t="shared" si="961"/>
      </c>
      <c r="CY115" s="2863" t="str">
        <f t="shared" si="961"/>
      </c>
      <c r="CZ115" s="2863" t="str">
        <f t="shared" si="961"/>
      </c>
      <c r="DA115" s="2864" t="str">
        <f t="shared" si="961"/>
      </c>
      <c r="DB115" s="2863" t="str">
        <f t="shared" si="961"/>
      </c>
      <c r="DC115" s="2863" t="str">
        <f t="shared" si="961"/>
      </c>
      <c r="DD115" s="2863" t="str">
        <f t="shared" si="961"/>
      </c>
      <c r="DE115" s="2864" t="str">
        <f t="shared" si="961"/>
      </c>
      <c r="DF115" s="2863" t="str">
        <f t="shared" si="961"/>
      </c>
      <c r="DG115" s="2863" t="str">
        <f t="shared" si="961"/>
      </c>
      <c r="DH115" s="2863" t="str">
        <f t="shared" si="961"/>
      </c>
      <c r="DI115" s="2864" t="str">
        <f t="shared" si="961"/>
      </c>
      <c r="DJ115" s="2863" t="str">
        <f t="shared" si="961"/>
      </c>
      <c r="DK115" s="2863" t="str">
        <f>IF(ISERROR(DK101/DJ101-1),"NA",DK101/DJ101-1)</f>
      </c>
      <c r="DL115" s="2863" t="str">
        <f t="shared" si="961"/>
      </c>
      <c r="DM115" s="2864" t="str">
        <f>IF(ISERROR(DM101/DL101-1),"NA",DM101/DL101-1)</f>
      </c>
      <c r="DN115" s="2863" t="str">
        <f>IF(ISERROR(DN101/DM101-1),"NA",DN101/DM101-1)</f>
      </c>
      <c r="DO115" s="2863" t="str">
        <f>IF(ISERROR(DO101/DN101-1),"NA",DO101/DN101-1)</f>
      </c>
      <c r="DP115" s="2863" t="str">
        <f t="shared" si="961"/>
      </c>
      <c r="DQ115" s="2864" t="str">
        <f>IF(ISERROR(DQ101/DP101-1),"NA",DQ101/DP101-1)</f>
      </c>
      <c r="DR115" s="2863" t="str">
        <f>IF(ISERROR(DR101/DQ101-1),"NA",DR101/DQ101-1)</f>
      </c>
      <c r="DS115" s="2863" t="str">
        <f>IF(ISERROR(DS101/DR101-1),"NA",DS101/DR101-1)</f>
      </c>
      <c r="DT115" s="2863" t="str">
        <f t="shared" si="961"/>
      </c>
      <c r="DU115" s="2864" t="str">
        <f t="shared" si="961"/>
      </c>
      <c r="DV115" s="2863" t="str">
        <f t="shared" ref="DV115" si="962">IF(ISERROR(DV101/DU101-1),"NA",DV101/DU101-1)</f>
      </c>
      <c r="DW115" s="2863" t="str">
        <f t="shared" ref="DW115" si="963">IF(ISERROR(DW101/DV101-1),"NA",DW101/DV101-1)</f>
      </c>
      <c r="DX115" s="2863" t="str">
        <f t="shared" ref="DX115" si="964">IF(ISERROR(DX101/DW101-1),"NA",DX101/DW101-1)</f>
      </c>
      <c r="DY115" s="2864" t="str">
        <f t="shared" ref="DY115" si="965">IF(ISERROR(DY101/DX101-1),"NA",DY101/DX101-1)</f>
      </c>
      <c r="DZ115" s="2863" t="str">
        <f t="shared" ref="DZ115" si="966">IF(ISERROR(DZ101/DY101-1),"NA",DZ101/DY101-1)</f>
      </c>
      <c r="EA115" s="2863" t="str">
        <f t="shared" ref="EA115" si="967">IF(ISERROR(EA101/DZ101-1),"NA",EA101/DZ101-1)</f>
      </c>
      <c r="EB115" s="2863" t="str">
        <f t="shared" ref="EB115" si="968">IF(ISERROR(EB101/EA101-1),"NA",EB101/EA101-1)</f>
      </c>
      <c r="EC115" s="2864" t="str">
        <f t="shared" ref="EC115" si="969">IF(ISERROR(EC101/EB101-1),"NA",EC101/EB101-1)</f>
      </c>
      <c r="ED115" s="2863" t="str">
        <f t="shared" ref="ED115" si="970">IF(ISERROR(ED101/EC101-1),"NA",ED101/EC101-1)</f>
      </c>
      <c r="EE115" s="2863" t="str">
        <f t="shared" ref="EE115" si="971">IF(ISERROR(EE101/ED101-1),"NA",EE101/ED101-1)</f>
      </c>
      <c r="EF115" s="2863" t="str">
        <f t="shared" ref="EF115" si="972">IF(ISERROR(EF101/EE101-1),"NA",EF101/EE101-1)</f>
      </c>
      <c r="EG115" s="2864" t="str">
        <f t="shared" ref="EG115" si="973">IF(ISERROR(EG101/EF101-1),"NA",EG101/EF101-1)</f>
      </c>
      <c r="EH115" s="2863" t="str">
        <f t="shared" ref="EH115" si="974">IF(ISERROR(EH101/EG101-1),"NA",EH101/EG101-1)</f>
      </c>
      <c r="EI115" s="2863" t="str">
        <f t="shared" ref="EI115" si="975">IF(ISERROR(EI101/EH101-1),"NA",EI101/EH101-1)</f>
      </c>
      <c r="EJ115" s="2863" t="str">
        <f t="shared" ref="EJ115" si="976">IF(ISERROR(EJ101/EI101-1),"NA",EJ101/EI101-1)</f>
      </c>
      <c r="EK115" s="2864" t="str">
        <f t="shared" ref="EK115" si="977">IF(ISERROR(EK101/EJ101-1),"NA",EK101/EJ101-1)</f>
      </c>
      <c r="FL115" s="1466"/>
      <c r="FM115" s="1466"/>
      <c r="FN115" s="1466"/>
      <c r="FO115" s="1466"/>
      <c r="FP115" s="1466"/>
      <c r="FQ115" s="1466"/>
      <c r="FR115" s="1466"/>
      <c r="FS115" s="1466"/>
      <c r="FT115" s="1466"/>
      <c r="FU115" s="1466"/>
      <c r="FW115" s="1466"/>
    </row>
    <row r="116" spans="1:214" s="16" customFormat="1" ht="10.199999999999999">
      <c r="A116" s="135"/>
      <c r="B116" s="130"/>
      <c r="C116" s="130"/>
      <c r="D116" s="130"/>
      <c r="E116" s="235"/>
      <c r="F116" s="130"/>
      <c r="G116" s="130"/>
      <c r="H116" s="130"/>
      <c r="I116" s="235"/>
      <c r="J116" s="130"/>
      <c r="K116" s="130"/>
      <c r="L116" s="130"/>
      <c r="M116" s="235"/>
      <c r="N116" s="130"/>
      <c r="O116" s="130"/>
      <c r="P116" s="130"/>
      <c r="Q116" s="235"/>
      <c r="R116" s="130"/>
      <c r="S116" s="130"/>
      <c r="T116" s="130"/>
      <c r="U116" s="235"/>
      <c r="V116" s="130"/>
      <c r="W116" s="130"/>
      <c r="X116" s="130"/>
      <c r="Y116" s="235"/>
      <c r="Z116" s="98"/>
      <c r="AA116" s="98"/>
      <c r="AB116" s="98"/>
      <c r="AC116" s="180"/>
      <c r="AD116" s="98"/>
      <c r="AE116" s="98"/>
      <c r="AF116" s="98"/>
      <c r="AG116" s="180"/>
      <c r="AH116" s="98"/>
      <c r="AI116" s="98"/>
      <c r="AJ116" s="98"/>
      <c r="AK116" s="180"/>
      <c r="AL116" s="98"/>
      <c r="AM116" s="98"/>
      <c r="AN116" s="98"/>
      <c r="AO116" s="180"/>
      <c r="AP116" s="98"/>
      <c r="AQ116" s="98"/>
      <c r="AR116" s="98"/>
      <c r="AS116" s="180"/>
      <c r="AT116" s="98"/>
      <c r="AU116" s="98"/>
      <c r="AV116" s="98"/>
      <c r="AW116" s="180"/>
      <c r="AX116" s="98"/>
      <c r="AY116" s="98"/>
      <c r="AZ116" s="98"/>
      <c r="BA116" s="180"/>
      <c r="BB116" s="98"/>
      <c r="BC116" s="98"/>
      <c r="BD116" s="98"/>
      <c r="BE116" s="180"/>
      <c r="BF116" s="98"/>
      <c r="BG116" s="98"/>
      <c r="BH116" s="98"/>
      <c r="BI116" s="180"/>
      <c r="BJ116" s="98"/>
      <c r="BK116" s="98"/>
      <c r="BL116" s="98"/>
      <c r="BM116" s="180"/>
      <c r="BN116" s="98"/>
      <c r="BO116" s="98"/>
      <c r="BP116" s="98"/>
      <c r="BQ116" s="180"/>
      <c r="BR116" s="98"/>
      <c r="BS116" s="98"/>
      <c r="BT116" s="98"/>
      <c r="BU116" s="180"/>
      <c r="BV116" s="98"/>
      <c r="BW116" s="98"/>
      <c r="BX116" s="98"/>
      <c r="BY116" s="180"/>
      <c r="BZ116" s="98"/>
      <c r="CA116" s="98"/>
      <c r="CB116" s="98"/>
      <c r="CC116" s="180"/>
      <c r="CD116" s="523"/>
      <c r="CE116" s="523"/>
      <c r="CF116" s="524"/>
      <c r="CG116" s="525"/>
      <c r="CH116" s="523"/>
      <c r="CI116" s="523"/>
      <c r="CJ116" s="523"/>
      <c r="CK116" s="525"/>
      <c r="CL116" s="523"/>
      <c r="CM116" s="523"/>
      <c r="CN116" s="523"/>
      <c r="CO116" s="525"/>
      <c r="CP116" s="320"/>
      <c r="CQ116" s="320"/>
      <c r="CR116" s="320"/>
      <c r="CS116" s="321"/>
      <c r="CT116" s="320"/>
      <c r="CU116" s="320"/>
      <c r="CV116" s="320"/>
      <c r="CW116" s="321"/>
      <c r="CX116" s="320"/>
      <c r="CY116" s="320"/>
      <c r="CZ116" s="320"/>
      <c r="DA116" s="321"/>
      <c r="DB116" s="320"/>
      <c r="DC116" s="320"/>
      <c r="DD116" s="390"/>
      <c r="DE116" s="430"/>
      <c r="DF116" s="390"/>
      <c r="DG116" s="390"/>
      <c r="DH116" s="390"/>
      <c r="DI116" s="430"/>
      <c r="DJ116" s="390"/>
      <c r="DK116" s="390"/>
      <c r="DL116" s="390"/>
      <c r="DM116" s="430"/>
      <c r="DN116" s="390"/>
      <c r="DO116" s="390"/>
      <c r="DP116" s="390"/>
      <c r="DQ116" s="430"/>
      <c r="DR116" s="390"/>
      <c r="DS116" s="390"/>
      <c r="DT116" s="390"/>
      <c r="DU116" s="430"/>
      <c r="DV116" s="390"/>
      <c r="DW116" s="390"/>
      <c r="DX116" s="390"/>
      <c r="DY116" s="430"/>
      <c r="DZ116" s="390"/>
      <c r="EA116" s="390"/>
      <c r="EB116" s="390"/>
      <c r="EC116" s="430"/>
      <c r="ED116" s="390"/>
      <c r="EE116" s="390"/>
      <c r="EF116" s="390"/>
      <c r="EG116" s="430"/>
      <c r="EH116" s="390"/>
      <c r="EI116" s="390"/>
      <c r="EJ116" s="390"/>
      <c r="EK116" s="430"/>
      <c r="EL116" s="320"/>
      <c r="EM116" s="320"/>
      <c r="EN116" s="320"/>
      <c r="EO116" s="320"/>
      <c r="EP116" s="320"/>
      <c r="EQ116" s="320"/>
      <c r="ER116" s="320"/>
      <c r="ES116" s="320"/>
      <c r="ET116" s="320"/>
      <c r="EU116" s="320"/>
      <c r="EV116" s="320"/>
      <c r="EW116" s="320"/>
      <c r="EX116" s="320"/>
      <c r="EY116" s="320"/>
      <c r="EZ116" s="320"/>
      <c r="FA116" s="320"/>
      <c r="FB116" s="320"/>
      <c r="FC116" s="320"/>
      <c r="FD116" s="320"/>
      <c r="FE116" s="320"/>
      <c r="FF116" s="320"/>
      <c r="FG116" s="320"/>
      <c r="FH116" s="320"/>
      <c r="FI116" s="320"/>
      <c r="FJ116" s="320"/>
      <c r="FK116" s="320"/>
      <c r="FL116" s="320"/>
      <c r="FM116" s="320"/>
      <c r="FN116" s="320"/>
      <c r="FO116" s="320"/>
      <c r="FP116" s="320"/>
      <c r="FQ116" s="320"/>
      <c r="FR116" s="320"/>
      <c r="FS116" s="320"/>
      <c r="FT116" s="320"/>
      <c r="FU116" s="320"/>
      <c r="FW116" s="320"/>
      <c r="FX116" s="320"/>
      <c r="FY116" s="320"/>
      <c r="FZ116" s="320"/>
      <c r="GA116" s="320"/>
      <c r="GB116" s="320"/>
      <c r="GC116" s="320"/>
      <c r="GD116" s="320"/>
      <c r="GE116" s="320"/>
      <c r="GF116" s="320"/>
      <c r="GG116" s="320"/>
      <c r="GH116" s="320"/>
      <c r="GI116" s="320"/>
      <c r="GJ116" s="320"/>
      <c r="GK116" s="320"/>
      <c r="GL116" s="320"/>
      <c r="GM116" s="320"/>
      <c r="GN116" s="320"/>
      <c r="GO116" s="320"/>
      <c r="GP116" s="320"/>
      <c r="GQ116" s="320"/>
      <c r="GR116" s="320"/>
      <c r="GS116" s="320"/>
      <c r="GT116" s="320"/>
      <c r="GU116" s="320"/>
      <c r="GV116" s="320"/>
      <c r="GW116" s="320"/>
      <c r="GX116" s="320"/>
      <c r="GY116" s="320"/>
      <c r="GZ116" s="320"/>
      <c r="HA116" s="320"/>
      <c r="HB116" s="320"/>
      <c r="HC116" s="320"/>
      <c r="HD116" s="320"/>
      <c r="HE116" s="320"/>
      <c r="HF116" s="320"/>
    </row>
    <row r="117" spans="1:214" s="16" customFormat="1" ht="10.199999999999999">
      <c r="A117" s="708" t="s">
        <v>1177</v>
      </c>
      <c r="B117" s="706" t="str">
        <f>'Revenue summary'!B$8</f>
      </c>
      <c r="C117" s="706" t="str">
        <f>'Revenue summary'!C$8</f>
      </c>
      <c r="D117" s="706" t="str">
        <f>'Revenue summary'!D$8</f>
      </c>
      <c r="E117" s="707" t="str">
        <f>'Revenue summary'!E$8</f>
      </c>
      <c r="F117" s="706" t="str">
        <f>'Revenue summary'!F$8</f>
      </c>
      <c r="G117" s="706" t="str">
        <f>'Revenue summary'!G$8</f>
      </c>
      <c r="H117" s="706" t="str">
        <f>'Revenue summary'!H$8</f>
      </c>
      <c r="I117" s="707" t="str">
        <f>'Revenue summary'!I$8</f>
      </c>
      <c r="J117" s="706" t="str">
        <f>'Revenue summary'!J$8</f>
      </c>
      <c r="K117" s="706" t="str">
        <f>'Revenue summary'!K$8</f>
      </c>
      <c r="L117" s="706" t="str">
        <f>'Revenue summary'!L$8</f>
      </c>
      <c r="M117" s="707" t="str">
        <f>'Revenue summary'!M$8</f>
      </c>
      <c r="N117" s="706" t="str">
        <f>'Revenue summary'!N$8</f>
      </c>
      <c r="O117" s="706" t="str">
        <f>'Revenue summary'!O$8</f>
      </c>
      <c r="P117" s="706" t="str">
        <f>'Revenue summary'!P$8</f>
      </c>
      <c r="Q117" s="707" t="str">
        <f>'Revenue summary'!Q$8</f>
      </c>
      <c r="R117" s="706" t="str">
        <f>'Revenue summary'!R$8</f>
      </c>
      <c r="S117" s="706" t="str">
        <f>'Revenue summary'!S$8</f>
      </c>
      <c r="T117" s="706" t="str">
        <f>'Revenue summary'!T$8</f>
      </c>
      <c r="U117" s="707" t="str">
        <f>'Revenue summary'!U$8</f>
      </c>
      <c r="V117" s="706" t="str">
        <f>'Revenue summary'!V$8</f>
      </c>
      <c r="W117" s="706" t="str">
        <f>'Revenue summary'!W$8</f>
      </c>
      <c r="X117" s="706" t="str">
        <f>'Revenue summary'!X$8</f>
      </c>
      <c r="Y117" s="707" t="str">
        <f>'Revenue summary'!Y$8</f>
      </c>
      <c r="Z117" s="706" t="str">
        <f>'Revenue summary'!Z$8</f>
      </c>
      <c r="AA117" s="706" t="str">
        <f>'Revenue summary'!AA$8</f>
      </c>
      <c r="AB117" s="706" t="str">
        <f>'Revenue summary'!AB$8</f>
      </c>
      <c r="AC117" s="707" t="str">
        <f>'Revenue summary'!AC$8</f>
      </c>
      <c r="AD117" s="706" t="str">
        <f>'Revenue summary'!AD$8</f>
      </c>
      <c r="AE117" s="706" t="str">
        <f>'Revenue summary'!AE$8</f>
      </c>
      <c r="AF117" s="706" t="str">
        <f>'Revenue summary'!AF$8</f>
      </c>
      <c r="AG117" s="707" t="str">
        <f>'Revenue summary'!AG$8</f>
      </c>
      <c r="AH117" s="706" t="str">
        <f>'Revenue summary'!AH$8</f>
      </c>
      <c r="AI117" s="706" t="str">
        <f>'Revenue summary'!AI$8</f>
      </c>
      <c r="AJ117" s="706" t="str">
        <f>'Revenue summary'!AJ$8</f>
      </c>
      <c r="AK117" s="707" t="str">
        <f>'Revenue summary'!AK$8</f>
      </c>
      <c r="AL117" s="706" t="str">
        <f>'Revenue summary'!AL$8</f>
      </c>
      <c r="AM117" s="706" t="str">
        <f>'Revenue summary'!AM$8</f>
      </c>
      <c r="AN117" s="706" t="str">
        <f>'Revenue summary'!AN$8</f>
      </c>
      <c r="AO117" s="707" t="str">
        <f>'Revenue summary'!AO$8</f>
      </c>
      <c r="AP117" s="706" t="str">
        <f>'Revenue summary'!AP$8</f>
      </c>
      <c r="AQ117" s="706" t="str">
        <f>'Revenue summary'!AQ$8</f>
      </c>
      <c r="AR117" s="706" t="str">
        <f>'Revenue summary'!AR$8</f>
      </c>
      <c r="AS117" s="707" t="str">
        <f>'Revenue summary'!AS$8</f>
      </c>
      <c r="AT117" s="706" t="str">
        <f>'Revenue summary'!AT$8</f>
      </c>
      <c r="AU117" s="706" t="str">
        <f>'Revenue summary'!AU$8</f>
      </c>
      <c r="AV117" s="706" t="str">
        <f>'Revenue summary'!AV$8</f>
      </c>
      <c r="AW117" s="707" t="str">
        <f>'Revenue summary'!AW$8</f>
      </c>
      <c r="AX117" s="706" t="str">
        <f>'Revenue summary'!AX$8</f>
      </c>
      <c r="AY117" s="706" t="str">
        <f>'Revenue summary'!AY$8</f>
      </c>
      <c r="AZ117" s="706" t="str">
        <f>'Revenue summary'!AZ$8</f>
      </c>
      <c r="BA117" s="707" t="str">
        <f>'Revenue summary'!BA$8</f>
      </c>
      <c r="BB117" s="706" t="str">
        <f>'Revenue summary'!BB$8</f>
      </c>
      <c r="BC117" s="706" t="str">
        <f>'Revenue summary'!BC$8</f>
      </c>
      <c r="BD117" s="706" t="str">
        <f>'Revenue summary'!BD$8</f>
      </c>
      <c r="BE117" s="707" t="str">
        <f>'Revenue summary'!BE$8</f>
      </c>
      <c r="BF117" s="706" t="str">
        <f>'Revenue summary'!BF$8</f>
      </c>
      <c r="BG117" s="706" t="str">
        <f>'Revenue summary'!BG$8</f>
      </c>
      <c r="BH117" s="706" t="str">
        <f>'Revenue summary'!BH$8</f>
      </c>
      <c r="BI117" s="707" t="str">
        <f>'Revenue summary'!BI$8</f>
      </c>
      <c r="BJ117" s="706" t="str">
        <f>'Revenue summary'!BJ$8</f>
      </c>
      <c r="BK117" s="706" t="str">
        <f>'Revenue summary'!BK$8</f>
      </c>
      <c r="BL117" s="706" t="str">
        <f>'Revenue summary'!BL$8</f>
      </c>
      <c r="BM117" s="707" t="str">
        <f>'Revenue summary'!BM$8</f>
      </c>
      <c r="BN117" s="706" t="str">
        <f>'Revenue summary'!BN$8</f>
      </c>
      <c r="BO117" s="706" t="str">
        <f>'Revenue summary'!BO$8</f>
      </c>
      <c r="BP117" s="706" t="str">
        <f>'Revenue summary'!BP$8</f>
      </c>
      <c r="BQ117" s="707" t="str">
        <f>'Revenue summary'!BQ$8</f>
      </c>
      <c r="BR117" s="706" t="str">
        <f>'Revenue summary'!BR$8</f>
      </c>
      <c r="BS117" s="706" t="str">
        <f>'Revenue summary'!BS$8</f>
      </c>
      <c r="BT117" s="706" t="str">
        <f>'Revenue summary'!BT$8</f>
      </c>
      <c r="BU117" s="707" t="str">
        <f>'Revenue summary'!BU$8</f>
      </c>
      <c r="BV117" s="706" t="str">
        <f>'Revenue summary'!BV$8</f>
      </c>
      <c r="BW117" s="706" t="str">
        <f>'Revenue summary'!BW$8</f>
      </c>
      <c r="BX117" s="706" t="str">
        <f>'Revenue summary'!BX$8</f>
      </c>
      <c r="BY117" s="707" t="str">
        <f>'Revenue summary'!BY$8</f>
      </c>
      <c r="BZ117" s="706" t="str">
        <f>'Revenue summary'!BZ$8</f>
      </c>
      <c r="CA117" s="706" t="str">
        <f>'Revenue summary'!CA$8</f>
      </c>
      <c r="CB117" s="706" t="str">
        <f>'Revenue summary'!CB$8</f>
      </c>
      <c r="CC117" s="707" t="str">
        <f>'Revenue summary'!CC$8</f>
      </c>
      <c r="CD117" s="706" t="str">
        <f>'Revenue summary'!CD$8</f>
      </c>
      <c r="CE117" s="706" t="str">
        <f>'Revenue summary'!CE$8</f>
      </c>
      <c r="CF117" s="706" t="str">
        <f>'Revenue summary'!CF$8</f>
      </c>
      <c r="CG117" s="707" t="str">
        <f>'Revenue summary'!CG$8</f>
      </c>
      <c r="CH117" s="706" t="str">
        <f>'Revenue summary'!CH$8</f>
      </c>
      <c r="CI117" s="706" t="str">
        <f>'Revenue summary'!CI$8</f>
      </c>
      <c r="CJ117" s="706" t="str">
        <f>'Revenue summary'!CJ$8</f>
      </c>
      <c r="CK117" s="707" t="str">
        <f>'Revenue summary'!CK$8</f>
      </c>
      <c r="CL117" s="706" t="str">
        <f>'Revenue summary'!CL$8</f>
      </c>
      <c r="CM117" s="706" t="str">
        <f>'Revenue summary'!CM$8</f>
      </c>
      <c r="CN117" s="706" t="str">
        <f>'Revenue summary'!CN$8</f>
      </c>
      <c r="CO117" s="707" t="str">
        <f>'Revenue summary'!CO$8</f>
      </c>
      <c r="CP117" s="706" t="str">
        <f>'Revenue summary'!CP$8</f>
      </c>
      <c r="CQ117" s="706" t="str">
        <f>'Revenue summary'!CQ$8</f>
      </c>
      <c r="CR117" s="706" t="str">
        <f>'Revenue summary'!CR$8</f>
      </c>
      <c r="CS117" s="707" t="str">
        <f>'Revenue summary'!CS$8</f>
      </c>
      <c r="CT117" s="706" t="str">
        <f>'Revenue summary'!CT$8</f>
      </c>
      <c r="CU117" s="706" t="str">
        <f>'Revenue summary'!CU$8</f>
      </c>
      <c r="CV117" s="706" t="str">
        <f>'Revenue summary'!CV$8</f>
      </c>
      <c r="CW117" s="707" t="str">
        <f>'Revenue summary'!CW$8</f>
      </c>
      <c r="CX117" s="706" t="str">
        <f>'Revenue summary'!CX$8</f>
      </c>
      <c r="CY117" s="706" t="str">
        <f>'Revenue summary'!CY$8</f>
      </c>
      <c r="CZ117" s="706" t="str">
        <f>'Revenue summary'!CZ$8</f>
      </c>
      <c r="DA117" s="707" t="str">
        <f>'Revenue summary'!DA$8</f>
      </c>
      <c r="DB117" s="706" t="str">
        <f>'Revenue summary'!DB$8</f>
      </c>
      <c r="DC117" s="706" t="str">
        <f>'Revenue summary'!DC$8</f>
      </c>
      <c r="DD117" s="706" t="str">
        <f>'Revenue summary'!DD$8</f>
      </c>
      <c r="DE117" s="707" t="str">
        <f>'Revenue summary'!DE$8</f>
      </c>
      <c r="DF117" s="706" t="str">
        <f>'Revenue summary'!DF$8</f>
      </c>
      <c r="DG117" s="706" t="str">
        <f>'Revenue summary'!DG$8</f>
      </c>
      <c r="DH117" s="706" t="str">
        <f>'Revenue summary'!DH$8</f>
      </c>
      <c r="DI117" s="707" t="str">
        <f>'Revenue summary'!DI$8</f>
      </c>
      <c r="DJ117" s="706" t="str">
        <f>'Revenue summary'!DJ$8</f>
      </c>
      <c r="DK117" s="706" t="str">
        <f>'Revenue summary'!DK$8</f>
      </c>
      <c r="DL117" s="706" t="str">
        <f>'Revenue summary'!DL$8</f>
      </c>
      <c r="DM117" s="707" t="str">
        <f>'Revenue summary'!DM$8</f>
      </c>
      <c r="DN117" s="706" t="str">
        <f>'Revenue summary'!DN$8</f>
      </c>
      <c r="DO117" s="706" t="str">
        <f>'Revenue summary'!DO$8</f>
      </c>
      <c r="DP117" s="706" t="str">
        <f>'Revenue summary'!DP$8</f>
      </c>
      <c r="DQ117" s="707" t="str">
        <f>'Revenue summary'!DQ$8</f>
      </c>
      <c r="DR117" s="706" t="str">
        <f>'Revenue summary'!DR$8</f>
      </c>
      <c r="DS117" s="706" t="str">
        <f>'Revenue summary'!DS$8</f>
      </c>
      <c r="DT117" s="706" t="str">
        <f>'Revenue summary'!DT$8</f>
      </c>
      <c r="DU117" s="707" t="str">
        <f>'Revenue summary'!DU$8</f>
      </c>
      <c r="DV117" s="706" t="str">
        <f>'Revenue summary'!DV$8</f>
      </c>
      <c r="DW117" s="706" t="str">
        <f>'Revenue summary'!DW$8</f>
      </c>
      <c r="DX117" s="706" t="str">
        <f>'Revenue summary'!DX$8</f>
      </c>
      <c r="DY117" s="707" t="str">
        <f>'Revenue summary'!DY$8</f>
      </c>
      <c r="DZ117" s="706" t="str">
        <f>'Revenue summary'!DZ$8</f>
      </c>
      <c r="EA117" s="706" t="str">
        <f>'Revenue summary'!EA$8</f>
      </c>
      <c r="EB117" s="706" t="str">
        <f>'Revenue summary'!EB$8</f>
      </c>
      <c r="EC117" s="707" t="str">
        <f>'Revenue summary'!EC$8</f>
      </c>
      <c r="ED117" s="706" t="str">
        <f>'Revenue summary'!ED$8</f>
      </c>
      <c r="EE117" s="706" t="str">
        <f>'Revenue summary'!EE$8</f>
      </c>
      <c r="EF117" s="706" t="str">
        <f>'Revenue summary'!EF$8</f>
      </c>
      <c r="EG117" s="707" t="str">
        <f>'Revenue summary'!EG$8</f>
      </c>
      <c r="EH117" s="706" t="str">
        <f>'Revenue summary'!EH$8</f>
      </c>
      <c r="EI117" s="706" t="str">
        <f>'Revenue summary'!EI$8</f>
      </c>
      <c r="EJ117" s="706" t="str">
        <f>'Revenue summary'!EJ$8</f>
      </c>
      <c r="EK117" s="707" t="str">
        <f>'Revenue summary'!EK$8</f>
      </c>
      <c r="EL117" s="320"/>
      <c r="EM117" s="706">
        <f>EM$9</f>
      </c>
      <c r="EN117" s="706">
        <f t="shared" ref="EN117:GZ117" si="978">EN$9</f>
      </c>
      <c r="EO117" s="706">
        <f t="shared" si="978"/>
      </c>
      <c r="EP117" s="706">
        <f t="shared" si="978"/>
      </c>
      <c r="EQ117" s="706">
        <f t="shared" si="978"/>
      </c>
      <c r="ER117" s="706">
        <f t="shared" si="978"/>
      </c>
      <c r="ES117" s="706">
        <f t="shared" si="978"/>
      </c>
      <c r="ET117" s="706">
        <f t="shared" si="978"/>
      </c>
      <c r="EU117" s="706">
        <f t="shared" si="978"/>
      </c>
      <c r="EV117" s="706">
        <f t="shared" si="978"/>
      </c>
      <c r="EW117" s="706">
        <f t="shared" si="978"/>
      </c>
      <c r="EX117" s="706">
        <f t="shared" si="978"/>
      </c>
      <c r="EY117" s="706">
        <f t="shared" si="978"/>
      </c>
      <c r="EZ117" s="706">
        <f t="shared" si="978"/>
      </c>
      <c r="FA117" s="706">
        <f t="shared" si="978"/>
      </c>
      <c r="FB117" s="706">
        <f t="shared" si="978"/>
      </c>
      <c r="FC117" s="706">
        <f t="shared" si="978"/>
      </c>
      <c r="FD117" s="706">
        <f t="shared" si="978"/>
      </c>
      <c r="FE117" s="706" t="str">
        <f t="shared" si="978"/>
      </c>
      <c r="FF117" s="706" t="str">
        <f t="shared" si="978"/>
      </c>
      <c r="FG117" s="706" t="str">
        <f t="shared" si="978"/>
      </c>
      <c r="FH117" s="706" t="str">
        <f t="shared" si="978"/>
      </c>
      <c r="FI117" s="706" t="str">
        <f t="shared" si="978"/>
      </c>
      <c r="FJ117" s="706" t="str">
        <f t="shared" si="978"/>
      </c>
      <c r="FK117" s="706" t="str">
        <f t="shared" si="978"/>
      </c>
      <c r="FL117" s="706" t="str">
        <f t="shared" si="978"/>
      </c>
      <c r="FM117" s="706" t="str">
        <f t="shared" si="978"/>
      </c>
      <c r="FN117" s="706" t="str">
        <f t="shared" si="978"/>
      </c>
      <c r="FO117" s="706" t="str">
        <f t="shared" si="978"/>
      </c>
      <c r="FP117" s="706" t="str">
        <f>FP$9</f>
      </c>
      <c r="FQ117" s="706" t="str">
        <f>FQ$9</f>
      </c>
      <c r="FR117" s="706" t="str">
        <f t="shared" ref="FR117:FU117" si="979">FR$9</f>
      </c>
      <c r="FS117" s="706" t="str">
        <f t="shared" si="979"/>
      </c>
      <c r="FT117" s="706" t="str">
        <f t="shared" si="979"/>
      </c>
      <c r="FU117" s="706" t="str">
        <f t="shared" si="979"/>
      </c>
      <c r="FW117" s="706"/>
      <c r="FX117" s="706"/>
      <c r="FY117" s="706">
        <f t="shared" si="978"/>
      </c>
      <c r="FZ117" s="706">
        <f t="shared" si="978"/>
      </c>
      <c r="GA117" s="706">
        <f t="shared" si="978"/>
      </c>
      <c r="GB117" s="706">
        <f t="shared" si="978"/>
      </c>
      <c r="GC117" s="706">
        <f t="shared" si="978"/>
      </c>
      <c r="GD117" s="706">
        <f t="shared" si="978"/>
      </c>
      <c r="GE117" s="706">
        <f t="shared" si="978"/>
      </c>
      <c r="GF117" s="706">
        <f t="shared" si="978"/>
      </c>
      <c r="GG117" s="706">
        <f t="shared" si="978"/>
      </c>
      <c r="GH117" s="706">
        <f t="shared" si="978"/>
      </c>
      <c r="GI117" s="706">
        <f t="shared" si="978"/>
      </c>
      <c r="GJ117" s="706">
        <f t="shared" si="978"/>
      </c>
      <c r="GK117" s="706">
        <f t="shared" si="978"/>
      </c>
      <c r="GL117" s="706">
        <f t="shared" si="978"/>
      </c>
      <c r="GM117" s="706">
        <f t="shared" si="978"/>
      </c>
      <c r="GN117" s="706">
        <f t="shared" si="978"/>
      </c>
      <c r="GO117" s="706">
        <f t="shared" si="978"/>
      </c>
      <c r="GP117" s="706">
        <f t="shared" si="978"/>
      </c>
      <c r="GQ117" s="706" t="str">
        <f t="shared" si="978"/>
      </c>
      <c r="GR117" s="706" t="str">
        <f t="shared" si="978"/>
      </c>
      <c r="GS117" s="706" t="str">
        <f t="shared" si="978"/>
      </c>
      <c r="GT117" s="706" t="str">
        <f t="shared" si="978"/>
      </c>
      <c r="GU117" s="706" t="str">
        <f t="shared" si="978"/>
      </c>
      <c r="GV117" s="706" t="str">
        <f t="shared" si="978"/>
      </c>
      <c r="GW117" s="706" t="str">
        <f t="shared" si="978"/>
      </c>
      <c r="GX117" s="706" t="str">
        <f t="shared" si="978"/>
      </c>
      <c r="GY117" s="706" t="str">
        <f t="shared" si="978"/>
      </c>
      <c r="GZ117" s="706" t="str">
        <f t="shared" si="978"/>
      </c>
      <c r="HA117" s="706" t="str">
        <f t="shared" ref="HA117" si="980">HA$9</f>
      </c>
      <c r="HB117" s="706" t="str">
        <f t="shared" ref="HB117:HF117" si="981">HB$9</f>
      </c>
      <c r="HC117" s="706" t="str">
        <f t="shared" si="981"/>
      </c>
      <c r="HD117" s="706" t="str">
        <f t="shared" si="981"/>
      </c>
      <c r="HE117" s="706" t="str">
        <f t="shared" si="981"/>
      </c>
      <c r="HF117" s="706" t="str">
        <f t="shared" si="981"/>
      </c>
    </row>
    <row r="118" spans="1:214" s="82" customFormat="1" ht="10.199999999999999">
      <c r="A118" s="880" t="s">
        <v>84</v>
      </c>
      <c r="B118" s="882"/>
      <c r="C118" s="882"/>
      <c r="D118" s="882"/>
      <c r="E118" s="883"/>
      <c r="F118" s="882"/>
      <c r="G118" s="882"/>
      <c r="H118" s="882"/>
      <c r="I118" s="883"/>
      <c r="J118" s="882"/>
      <c r="K118" s="882"/>
      <c r="L118" s="882"/>
      <c r="M118" s="883"/>
      <c r="N118" s="882"/>
      <c r="O118" s="882"/>
      <c r="P118" s="882"/>
      <c r="Q118" s="883"/>
      <c r="R118" s="882"/>
      <c r="S118" s="882"/>
      <c r="T118" s="882"/>
      <c r="U118" s="883"/>
      <c r="V118" s="882"/>
      <c r="W118" s="882"/>
      <c r="X118" s="882"/>
      <c r="Y118" s="883"/>
      <c r="Z118" s="884"/>
      <c r="AA118" s="884"/>
      <c r="AB118" s="884"/>
      <c r="AC118" s="772"/>
      <c r="AD118" s="884"/>
      <c r="AE118" s="884"/>
      <c r="AF118" s="884"/>
      <c r="AG118" s="772"/>
      <c r="AH118" s="884"/>
      <c r="AI118" s="884"/>
      <c r="AJ118" s="884"/>
      <c r="AK118" s="772"/>
      <c r="AL118" s="884"/>
      <c r="AM118" s="884"/>
      <c r="AN118" s="884"/>
      <c r="AO118" s="772"/>
      <c r="AP118" s="885">
        <f t="shared" ref="AP118:BU118" si="982">AP92-AO92</f>
      </c>
      <c r="AQ118" s="885">
        <f t="shared" si="982"/>
      </c>
      <c r="AR118" s="885">
        <f t="shared" si="982"/>
      </c>
      <c r="AS118" s="886">
        <f t="shared" si="982"/>
      </c>
      <c r="AT118" s="885">
        <f t="shared" si="982"/>
      </c>
      <c r="AU118" s="885">
        <f t="shared" si="982"/>
      </c>
      <c r="AV118" s="885">
        <f t="shared" si="982"/>
      </c>
      <c r="AW118" s="886">
        <f t="shared" si="982"/>
      </c>
      <c r="AX118" s="885">
        <f t="shared" si="982"/>
      </c>
      <c r="AY118" s="885">
        <f t="shared" si="982"/>
      </c>
      <c r="AZ118" s="885">
        <f t="shared" si="982"/>
      </c>
      <c r="BA118" s="886">
        <f t="shared" si="982"/>
      </c>
      <c r="BB118" s="885">
        <f t="shared" si="982"/>
      </c>
      <c r="BC118" s="885">
        <f t="shared" si="982"/>
      </c>
      <c r="BD118" s="885">
        <f t="shared" si="982"/>
      </c>
      <c r="BE118" s="886">
        <f t="shared" si="982"/>
      </c>
      <c r="BF118" s="885">
        <f t="shared" si="982"/>
      </c>
      <c r="BG118" s="885">
        <f t="shared" si="982"/>
      </c>
      <c r="BH118" s="885">
        <f t="shared" si="982"/>
      </c>
      <c r="BI118" s="886">
        <f t="shared" si="982"/>
      </c>
      <c r="BJ118" s="885">
        <f t="shared" si="982"/>
      </c>
      <c r="BK118" s="885">
        <f t="shared" si="982"/>
      </c>
      <c r="BL118" s="885">
        <f t="shared" si="982"/>
      </c>
      <c r="BM118" s="886">
        <f t="shared" si="982"/>
      </c>
      <c r="BN118" s="885">
        <f t="shared" si="982"/>
      </c>
      <c r="BO118" s="885">
        <f t="shared" si="982"/>
      </c>
      <c r="BP118" s="885">
        <f t="shared" si="982"/>
      </c>
      <c r="BQ118" s="886">
        <f t="shared" si="982"/>
      </c>
      <c r="BR118" s="885">
        <f t="shared" si="982"/>
      </c>
      <c r="BS118" s="885">
        <f t="shared" si="982"/>
      </c>
      <c r="BT118" s="885">
        <f t="shared" si="982"/>
      </c>
      <c r="BU118" s="886">
        <f t="shared" si="982"/>
      </c>
      <c r="BV118" s="885">
        <f t="shared" ref="BV118:DA118" si="983">BV92-BU92</f>
      </c>
      <c r="BW118" s="885">
        <f t="shared" si="983"/>
      </c>
      <c r="BX118" s="885">
        <f t="shared" si="983"/>
      </c>
      <c r="BY118" s="886">
        <f t="shared" si="983"/>
      </c>
      <c r="BZ118" s="885">
        <f t="shared" si="983"/>
      </c>
      <c r="CA118" s="885">
        <f t="shared" si="983"/>
      </c>
      <c r="CB118" s="885">
        <f t="shared" si="983"/>
      </c>
      <c r="CC118" s="886">
        <f t="shared" si="983"/>
      </c>
      <c r="CD118" s="885">
        <f t="shared" si="983"/>
      </c>
      <c r="CE118" s="885">
        <f t="shared" si="983"/>
      </c>
      <c r="CF118" s="885">
        <f t="shared" si="983"/>
      </c>
      <c r="CG118" s="886">
        <f t="shared" si="983"/>
      </c>
      <c r="CH118" s="885">
        <f t="shared" si="983"/>
      </c>
      <c r="CI118" s="885">
        <f t="shared" si="983"/>
      </c>
      <c r="CJ118" s="885">
        <f t="shared" si="983"/>
      </c>
      <c r="CK118" s="886">
        <f t="shared" si="983"/>
      </c>
      <c r="CL118" s="885">
        <f t="shared" si="983"/>
      </c>
      <c r="CM118" s="885">
        <f t="shared" si="983"/>
      </c>
      <c r="CN118" s="885">
        <f t="shared" si="983"/>
      </c>
      <c r="CO118" s="886">
        <f t="shared" si="983"/>
      </c>
      <c r="CP118" s="885">
        <f t="shared" si="983"/>
      </c>
      <c r="CQ118" s="885">
        <f t="shared" si="983"/>
      </c>
      <c r="CR118" s="885">
        <f t="shared" si="983"/>
      </c>
      <c r="CS118" s="886">
        <f t="shared" si="983"/>
      </c>
      <c r="CT118" s="885">
        <f t="shared" si="983"/>
      </c>
      <c r="CU118" s="885">
        <f t="shared" si="983"/>
      </c>
      <c r="CV118" s="885">
        <f t="shared" si="983"/>
      </c>
      <c r="CW118" s="886">
        <f t="shared" si="983"/>
      </c>
      <c r="CX118" s="885">
        <f t="shared" si="983"/>
      </c>
      <c r="CY118" s="885">
        <f t="shared" si="983"/>
      </c>
      <c r="CZ118" s="885">
        <f t="shared" si="983"/>
      </c>
      <c r="DA118" s="886">
        <f t="shared" si="983"/>
      </c>
      <c r="DB118" s="885">
        <f t="shared" ref="DB118:DU118" si="984">DB92-DA92</f>
      </c>
      <c r="DC118" s="885">
        <f t="shared" si="984"/>
      </c>
      <c r="DD118" s="885">
        <f t="shared" si="984"/>
      </c>
      <c r="DE118" s="886">
        <f t="shared" si="984"/>
      </c>
      <c r="DF118" s="885">
        <f t="shared" si="984"/>
      </c>
      <c r="DG118" s="885">
        <f t="shared" si="984"/>
      </c>
      <c r="DH118" s="885">
        <f t="shared" si="984"/>
      </c>
      <c r="DI118" s="886">
        <f t="shared" si="984"/>
      </c>
      <c r="DJ118" s="885">
        <f t="shared" si="984"/>
      </c>
      <c r="DK118" s="885">
        <f>DK92-DJ92</f>
      </c>
      <c r="DL118" s="885">
        <f t="shared" si="984"/>
      </c>
      <c r="DM118" s="886">
        <f t="shared" ref="DM118:DS118" si="985">DM92-DL92</f>
      </c>
      <c r="DN118" s="885">
        <f t="shared" si="985"/>
      </c>
      <c r="DO118" s="885">
        <f t="shared" si="985"/>
      </c>
      <c r="DP118" s="885">
        <f t="shared" si="985"/>
      </c>
      <c r="DQ118" s="886">
        <f t="shared" si="985"/>
      </c>
      <c r="DR118" s="885">
        <f t="shared" si="985"/>
      </c>
      <c r="DS118" s="885">
        <f t="shared" si="985"/>
      </c>
      <c r="DT118" s="885">
        <f t="shared" si="984"/>
      </c>
      <c r="DU118" s="886">
        <f t="shared" si="984"/>
      </c>
      <c r="DV118" s="885">
        <f t="shared" ref="DV118:DV119" si="986">DV92-DU92</f>
      </c>
      <c r="DW118" s="885">
        <f t="shared" ref="DW118:DW119" si="987">DW92-DV92</f>
      </c>
      <c r="DX118" s="885">
        <f t="shared" ref="DX118:DX119" si="988">DX92-DW92</f>
      </c>
      <c r="DY118" s="886">
        <f t="shared" ref="DY118:DY119" si="989">DY92-DX92</f>
      </c>
      <c r="DZ118" s="885">
        <f t="shared" ref="DZ118:DZ119" si="990">DZ92-DY92</f>
      </c>
      <c r="EA118" s="885">
        <f t="shared" ref="EA118:EA119" si="991">EA92-DZ92</f>
      </c>
      <c r="EB118" s="885">
        <f t="shared" ref="EB118:EB119" si="992">EB92-EA92</f>
      </c>
      <c r="EC118" s="886">
        <f t="shared" ref="EC118:EC119" si="993">EC92-EB92</f>
      </c>
      <c r="ED118" s="885">
        <f t="shared" ref="ED118:ED119" si="994">ED92-EC92</f>
      </c>
      <c r="EE118" s="885">
        <f t="shared" ref="EE118:EE119" si="995">EE92-ED92</f>
      </c>
      <c r="EF118" s="885">
        <f t="shared" ref="EF118:EF119" si="996">EF92-EE92</f>
      </c>
      <c r="EG118" s="886">
        <f t="shared" ref="EG118:EG119" si="997">EG92-EF92</f>
      </c>
      <c r="EH118" s="885">
        <f t="shared" ref="EH118:EH119" si="998">EH92-EG92</f>
      </c>
      <c r="EI118" s="885">
        <f t="shared" ref="EI118:EI119" si="999">EI92-EH92</f>
      </c>
      <c r="EJ118" s="885">
        <f t="shared" ref="EJ118:EJ119" si="1000">EJ92-EI92</f>
      </c>
      <c r="EK118" s="886">
        <f t="shared" ref="EK118:EK119" si="1001">EK92-EJ92</f>
      </c>
      <c r="EM118" s="885"/>
      <c r="EN118" s="885"/>
      <c r="EO118" s="885">
        <f t="shared" ref="EO118:FQ118" si="1002">EO92-EN92</f>
      </c>
      <c r="EP118" s="885">
        <f t="shared" si="1002"/>
      </c>
      <c r="EQ118" s="885">
        <f t="shared" si="1002"/>
      </c>
      <c r="ER118" s="885">
        <f t="shared" si="1002"/>
      </c>
      <c r="ES118" s="885">
        <f t="shared" si="1002"/>
      </c>
      <c r="ET118" s="885">
        <f t="shared" si="1002"/>
      </c>
      <c r="EU118" s="885">
        <f t="shared" si="1002"/>
      </c>
      <c r="EV118" s="885">
        <f t="shared" si="1002"/>
      </c>
      <c r="EW118" s="885">
        <f t="shared" si="1002"/>
      </c>
      <c r="EX118" s="885">
        <f t="shared" si="1002"/>
      </c>
      <c r="EY118" s="885">
        <f t="shared" si="1002"/>
      </c>
      <c r="EZ118" s="885">
        <f t="shared" si="1002"/>
      </c>
      <c r="FA118" s="885">
        <f t="shared" si="1002"/>
      </c>
      <c r="FB118" s="885">
        <f t="shared" si="1002"/>
      </c>
      <c r="FC118" s="885">
        <f t="shared" si="1002"/>
      </c>
      <c r="FD118" s="885">
        <f t="shared" si="1002"/>
      </c>
      <c r="FE118" s="885">
        <f t="shared" si="1002"/>
      </c>
      <c r="FF118" s="885">
        <f t="shared" si="1002"/>
      </c>
      <c r="FG118" s="885">
        <f t="shared" si="1002"/>
      </c>
      <c r="FH118" s="885">
        <f t="shared" si="1002"/>
      </c>
      <c r="FI118" s="885">
        <f t="shared" si="1002"/>
      </c>
      <c r="FJ118" s="885">
        <f t="shared" si="1002"/>
      </c>
      <c r="FK118" s="885">
        <f t="shared" si="1002"/>
      </c>
      <c r="FL118" s="885">
        <f t="shared" si="1002"/>
      </c>
      <c r="FM118" s="885">
        <f t="shared" si="1002"/>
      </c>
      <c r="FN118" s="885">
        <f t="shared" si="1002"/>
      </c>
      <c r="FO118" s="885">
        <f t="shared" si="1002"/>
      </c>
      <c r="FP118" s="885">
        <f t="shared" si="1002"/>
      </c>
      <c r="FQ118" s="885">
        <f t="shared" si="1002"/>
      </c>
      <c r="FR118" s="885">
        <f t="shared" ref="FR118:FR119" si="1003">FR92-FQ92</f>
      </c>
      <c r="FS118" s="885">
        <f t="shared" ref="FS118:FS119" si="1004">FS92-FR92</f>
      </c>
      <c r="FT118" s="885">
        <f t="shared" ref="FT118:FT119" si="1005">FT92-FS92</f>
      </c>
      <c r="FU118" s="885">
        <f t="shared" ref="FU118:FU119" si="1006">FU92-FT92</f>
      </c>
      <c r="FW118" s="885"/>
      <c r="FX118" s="885"/>
      <c r="FY118" s="885"/>
      <c r="FZ118" s="885">
        <f t="shared" ref="FZ118:HB118" si="1007">FZ92-FY92</f>
      </c>
      <c r="GA118" s="885">
        <f t="shared" si="1007"/>
      </c>
      <c r="GB118" s="885">
        <f t="shared" si="1007"/>
      </c>
      <c r="GC118" s="885">
        <f t="shared" si="1007"/>
      </c>
      <c r="GD118" s="885">
        <f t="shared" si="1007"/>
      </c>
      <c r="GE118" s="885">
        <f t="shared" si="1007"/>
      </c>
      <c r="GF118" s="885">
        <f t="shared" si="1007"/>
      </c>
      <c r="GG118" s="885">
        <f t="shared" si="1007"/>
      </c>
      <c r="GH118" s="885">
        <f t="shared" si="1007"/>
      </c>
      <c r="GI118" s="885">
        <f t="shared" si="1007"/>
      </c>
      <c r="GJ118" s="885">
        <f t="shared" si="1007"/>
      </c>
      <c r="GK118" s="885">
        <f t="shared" si="1007"/>
      </c>
      <c r="GL118" s="885">
        <f t="shared" si="1007"/>
      </c>
      <c r="GM118" s="885">
        <f t="shared" si="1007"/>
      </c>
      <c r="GN118" s="885">
        <f t="shared" si="1007"/>
      </c>
      <c r="GO118" s="885">
        <f t="shared" si="1007"/>
      </c>
      <c r="GP118" s="885">
        <f t="shared" si="1007"/>
      </c>
      <c r="GQ118" s="885">
        <f t="shared" si="1007"/>
      </c>
      <c r="GR118" s="885">
        <f t="shared" si="1007"/>
      </c>
      <c r="GS118" s="885">
        <f t="shared" si="1007"/>
      </c>
      <c r="GT118" s="885">
        <f t="shared" si="1007"/>
      </c>
      <c r="GU118" s="885">
        <f t="shared" si="1007"/>
      </c>
      <c r="GV118" s="885">
        <f t="shared" si="1007"/>
      </c>
      <c r="GW118" s="885">
        <f t="shared" si="1007"/>
      </c>
      <c r="GX118" s="885">
        <f t="shared" si="1007"/>
      </c>
      <c r="GY118" s="885">
        <f t="shared" si="1007"/>
      </c>
      <c r="GZ118" s="885">
        <f t="shared" si="1007"/>
      </c>
      <c r="HA118" s="885">
        <f t="shared" si="1007"/>
      </c>
      <c r="HB118" s="885">
        <f t="shared" si="1007"/>
      </c>
      <c r="HC118" s="885">
        <f t="shared" ref="HC118:HC119" si="1008">HC92-HB92</f>
      </c>
      <c r="HD118" s="885">
        <f t="shared" ref="HD118:HD119" si="1009">HD92-HC92</f>
      </c>
      <c r="HE118" s="885">
        <f t="shared" ref="HE118:HE119" si="1010">HE92-HD92</f>
      </c>
      <c r="HF118" s="885">
        <f t="shared" ref="HF118:HF119" si="1011">HF92-HE92</f>
      </c>
    </row>
    <row r="119" spans="1:214" s="16" customFormat="1" ht="10.199999999999999">
      <c r="A119" s="880" t="s">
        <v>86</v>
      </c>
      <c r="B119" s="887"/>
      <c r="C119" s="887"/>
      <c r="D119" s="887"/>
      <c r="E119" s="888"/>
      <c r="F119" s="887"/>
      <c r="G119" s="887"/>
      <c r="H119" s="887"/>
      <c r="I119" s="888"/>
      <c r="J119" s="887"/>
      <c r="K119" s="887"/>
      <c r="L119" s="887"/>
      <c r="M119" s="888"/>
      <c r="N119" s="887"/>
      <c r="O119" s="887"/>
      <c r="P119" s="887"/>
      <c r="Q119" s="888"/>
      <c r="R119" s="887"/>
      <c r="S119" s="887"/>
      <c r="T119" s="887"/>
      <c r="U119" s="888"/>
      <c r="V119" s="887"/>
      <c r="W119" s="887"/>
      <c r="X119" s="887"/>
      <c r="Y119" s="888"/>
      <c r="Z119" s="889"/>
      <c r="AA119" s="889"/>
      <c r="AB119" s="889"/>
      <c r="AC119" s="809"/>
      <c r="AD119" s="889"/>
      <c r="AE119" s="889"/>
      <c r="AF119" s="889"/>
      <c r="AG119" s="809"/>
      <c r="AH119" s="889"/>
      <c r="AI119" s="889"/>
      <c r="AJ119" s="889"/>
      <c r="AK119" s="809"/>
      <c r="AL119" s="889"/>
      <c r="AM119" s="889"/>
      <c r="AN119" s="889"/>
      <c r="AO119" s="809"/>
      <c r="AP119" s="885">
        <f t="shared" ref="AP119:BU119" si="1012">AP93-AO93</f>
      </c>
      <c r="AQ119" s="885">
        <f t="shared" si="1012"/>
      </c>
      <c r="AR119" s="885">
        <f t="shared" si="1012"/>
      </c>
      <c r="AS119" s="886">
        <f t="shared" si="1012"/>
      </c>
      <c r="AT119" s="885">
        <f t="shared" si="1012"/>
      </c>
      <c r="AU119" s="885">
        <f t="shared" si="1012"/>
      </c>
      <c r="AV119" s="885">
        <f t="shared" si="1012"/>
      </c>
      <c r="AW119" s="886">
        <f t="shared" si="1012"/>
      </c>
      <c r="AX119" s="885">
        <f t="shared" si="1012"/>
      </c>
      <c r="AY119" s="885">
        <f t="shared" si="1012"/>
      </c>
      <c r="AZ119" s="885">
        <f t="shared" si="1012"/>
      </c>
      <c r="BA119" s="886">
        <f t="shared" si="1012"/>
      </c>
      <c r="BB119" s="885">
        <f t="shared" si="1012"/>
      </c>
      <c r="BC119" s="885">
        <f t="shared" si="1012"/>
      </c>
      <c r="BD119" s="885">
        <f t="shared" si="1012"/>
      </c>
      <c r="BE119" s="886">
        <f t="shared" si="1012"/>
      </c>
      <c r="BF119" s="885">
        <f t="shared" si="1012"/>
      </c>
      <c r="BG119" s="885">
        <f t="shared" si="1012"/>
      </c>
      <c r="BH119" s="885">
        <f t="shared" si="1012"/>
      </c>
      <c r="BI119" s="886">
        <f t="shared" si="1012"/>
      </c>
      <c r="BJ119" s="885">
        <f t="shared" si="1012"/>
      </c>
      <c r="BK119" s="885">
        <f t="shared" si="1012"/>
      </c>
      <c r="BL119" s="885">
        <f t="shared" si="1012"/>
      </c>
      <c r="BM119" s="886">
        <f t="shared" si="1012"/>
      </c>
      <c r="BN119" s="885">
        <f t="shared" si="1012"/>
      </c>
      <c r="BO119" s="885">
        <f t="shared" si="1012"/>
      </c>
      <c r="BP119" s="885">
        <f t="shared" si="1012"/>
      </c>
      <c r="BQ119" s="886">
        <f t="shared" si="1012"/>
      </c>
      <c r="BR119" s="885">
        <f t="shared" si="1012"/>
      </c>
      <c r="BS119" s="885">
        <f t="shared" si="1012"/>
      </c>
      <c r="BT119" s="885">
        <f t="shared" si="1012"/>
      </c>
      <c r="BU119" s="886">
        <f t="shared" si="1012"/>
      </c>
      <c r="BV119" s="885">
        <f t="shared" ref="BV119:DA119" si="1013">BV93-BU93</f>
      </c>
      <c r="BW119" s="885">
        <f t="shared" si="1013"/>
      </c>
      <c r="BX119" s="885">
        <f t="shared" si="1013"/>
      </c>
      <c r="BY119" s="886">
        <f t="shared" si="1013"/>
      </c>
      <c r="BZ119" s="885">
        <f t="shared" si="1013"/>
      </c>
      <c r="CA119" s="885">
        <f t="shared" si="1013"/>
      </c>
      <c r="CB119" s="885">
        <f t="shared" si="1013"/>
      </c>
      <c r="CC119" s="886">
        <f t="shared" si="1013"/>
      </c>
      <c r="CD119" s="885">
        <f t="shared" si="1013"/>
      </c>
      <c r="CE119" s="885">
        <f t="shared" si="1013"/>
      </c>
      <c r="CF119" s="885">
        <f t="shared" si="1013"/>
      </c>
      <c r="CG119" s="886">
        <f t="shared" si="1013"/>
      </c>
      <c r="CH119" s="885">
        <f t="shared" si="1013"/>
      </c>
      <c r="CI119" s="885">
        <f t="shared" si="1013"/>
      </c>
      <c r="CJ119" s="885">
        <f t="shared" si="1013"/>
      </c>
      <c r="CK119" s="886">
        <f t="shared" si="1013"/>
      </c>
      <c r="CL119" s="885">
        <f t="shared" si="1013"/>
      </c>
      <c r="CM119" s="885">
        <f t="shared" si="1013"/>
      </c>
      <c r="CN119" s="885">
        <f t="shared" si="1013"/>
      </c>
      <c r="CO119" s="886">
        <f t="shared" si="1013"/>
      </c>
      <c r="CP119" s="885">
        <f t="shared" si="1013"/>
      </c>
      <c r="CQ119" s="885">
        <f t="shared" si="1013"/>
      </c>
      <c r="CR119" s="885">
        <f t="shared" si="1013"/>
      </c>
      <c r="CS119" s="886">
        <f t="shared" si="1013"/>
      </c>
      <c r="CT119" s="885">
        <f t="shared" si="1013"/>
      </c>
      <c r="CU119" s="885">
        <f t="shared" si="1013"/>
      </c>
      <c r="CV119" s="885">
        <f t="shared" si="1013"/>
      </c>
      <c r="CW119" s="886">
        <f t="shared" si="1013"/>
      </c>
      <c r="CX119" s="885">
        <f t="shared" si="1013"/>
      </c>
      <c r="CY119" s="885">
        <f t="shared" si="1013"/>
      </c>
      <c r="CZ119" s="885">
        <f t="shared" si="1013"/>
      </c>
      <c r="DA119" s="886">
        <f t="shared" si="1013"/>
      </c>
      <c r="DB119" s="885">
        <f t="shared" ref="DB119:DU119" si="1014">DB93-DA93</f>
      </c>
      <c r="DC119" s="885">
        <f t="shared" si="1014"/>
      </c>
      <c r="DD119" s="885">
        <f t="shared" si="1014"/>
      </c>
      <c r="DE119" s="886">
        <f t="shared" si="1014"/>
      </c>
      <c r="DF119" s="885">
        <f t="shared" si="1014"/>
      </c>
      <c r="DG119" s="885">
        <f t="shared" si="1014"/>
      </c>
      <c r="DH119" s="885">
        <f t="shared" si="1014"/>
      </c>
      <c r="DI119" s="886">
        <f t="shared" si="1014"/>
      </c>
      <c r="DJ119" s="885">
        <f t="shared" si="1014"/>
      </c>
      <c r="DK119" s="885">
        <f>DK93-DJ93</f>
      </c>
      <c r="DL119" s="885">
        <f t="shared" si="1014"/>
      </c>
      <c r="DM119" s="886">
        <f>DM93-DL93</f>
      </c>
      <c r="DN119" s="885">
        <f>DN93-DM93</f>
      </c>
      <c r="DO119" s="885">
        <f>DO93-DN93</f>
      </c>
      <c r="DP119" s="885">
        <f t="shared" si="1014"/>
      </c>
      <c r="DQ119" s="886">
        <f>DQ93-DP93</f>
      </c>
      <c r="DR119" s="885">
        <f>DR93-DQ93</f>
      </c>
      <c r="DS119" s="885">
        <f>DS93-DR93</f>
      </c>
      <c r="DT119" s="885">
        <f t="shared" si="1014"/>
      </c>
      <c r="DU119" s="886">
        <f t="shared" si="1014"/>
      </c>
      <c r="DV119" s="885">
        <f t="shared" si="986"/>
      </c>
      <c r="DW119" s="885">
        <f t="shared" si="987"/>
      </c>
      <c r="DX119" s="885">
        <f t="shared" si="988"/>
      </c>
      <c r="DY119" s="886">
        <f t="shared" si="989"/>
      </c>
      <c r="DZ119" s="885">
        <f t="shared" si="990"/>
      </c>
      <c r="EA119" s="885">
        <f t="shared" si="991"/>
      </c>
      <c r="EB119" s="885">
        <f t="shared" si="992"/>
      </c>
      <c r="EC119" s="886">
        <f t="shared" si="993"/>
      </c>
      <c r="ED119" s="885">
        <f t="shared" si="994"/>
      </c>
      <c r="EE119" s="885">
        <f t="shared" si="995"/>
      </c>
      <c r="EF119" s="885">
        <f t="shared" si="996"/>
      </c>
      <c r="EG119" s="886">
        <f t="shared" si="997"/>
      </c>
      <c r="EH119" s="885">
        <f t="shared" si="998"/>
      </c>
      <c r="EI119" s="885">
        <f t="shared" si="999"/>
      </c>
      <c r="EJ119" s="885">
        <f t="shared" si="1000"/>
      </c>
      <c r="EK119" s="886">
        <f t="shared" si="1001"/>
      </c>
      <c r="EL119" s="320"/>
      <c r="EM119" s="885"/>
      <c r="EN119" s="885"/>
      <c r="EO119" s="885">
        <f t="shared" ref="EO119:FQ119" si="1015">EO93-EN93</f>
      </c>
      <c r="EP119" s="885">
        <f t="shared" si="1015"/>
      </c>
      <c r="EQ119" s="885">
        <f t="shared" si="1015"/>
      </c>
      <c r="ER119" s="885">
        <f t="shared" si="1015"/>
      </c>
      <c r="ES119" s="885">
        <f t="shared" si="1015"/>
      </c>
      <c r="ET119" s="885">
        <f t="shared" si="1015"/>
      </c>
      <c r="EU119" s="885">
        <f t="shared" si="1015"/>
      </c>
      <c r="EV119" s="885">
        <f t="shared" si="1015"/>
      </c>
      <c r="EW119" s="885">
        <f t="shared" si="1015"/>
      </c>
      <c r="EX119" s="885">
        <f t="shared" si="1015"/>
      </c>
      <c r="EY119" s="885">
        <f t="shared" si="1015"/>
      </c>
      <c r="EZ119" s="885">
        <f t="shared" si="1015"/>
      </c>
      <c r="FA119" s="885">
        <f t="shared" si="1015"/>
      </c>
      <c r="FB119" s="885">
        <f t="shared" si="1015"/>
      </c>
      <c r="FC119" s="885">
        <f t="shared" si="1015"/>
      </c>
      <c r="FD119" s="885">
        <f t="shared" si="1015"/>
      </c>
      <c r="FE119" s="885">
        <f t="shared" si="1015"/>
      </c>
      <c r="FF119" s="885">
        <f t="shared" si="1015"/>
      </c>
      <c r="FG119" s="885">
        <f t="shared" si="1015"/>
      </c>
      <c r="FH119" s="885">
        <f t="shared" si="1015"/>
      </c>
      <c r="FI119" s="885">
        <f t="shared" si="1015"/>
      </c>
      <c r="FJ119" s="885">
        <f t="shared" si="1015"/>
      </c>
      <c r="FK119" s="885">
        <f t="shared" si="1015"/>
      </c>
      <c r="FL119" s="885">
        <f t="shared" si="1015"/>
      </c>
      <c r="FM119" s="885">
        <f t="shared" si="1015"/>
      </c>
      <c r="FN119" s="885">
        <f t="shared" si="1015"/>
      </c>
      <c r="FO119" s="885">
        <f t="shared" si="1015"/>
      </c>
      <c r="FP119" s="885">
        <f t="shared" si="1015"/>
      </c>
      <c r="FQ119" s="885">
        <f t="shared" si="1015"/>
      </c>
      <c r="FR119" s="885">
        <f t="shared" si="1003"/>
      </c>
      <c r="FS119" s="885">
        <f t="shared" si="1004"/>
      </c>
      <c r="FT119" s="885">
        <f t="shared" si="1005"/>
      </c>
      <c r="FU119" s="885">
        <f t="shared" si="1006"/>
      </c>
      <c r="FW119" s="885"/>
      <c r="FX119" s="885"/>
      <c r="FY119" s="885"/>
      <c r="FZ119" s="885">
        <f t="shared" ref="FZ119:HB119" si="1016">FZ93-FY93</f>
      </c>
      <c r="GA119" s="885">
        <f t="shared" si="1016"/>
      </c>
      <c r="GB119" s="885">
        <f t="shared" si="1016"/>
      </c>
      <c r="GC119" s="885">
        <f t="shared" si="1016"/>
      </c>
      <c r="GD119" s="885">
        <f t="shared" si="1016"/>
      </c>
      <c r="GE119" s="885">
        <f t="shared" si="1016"/>
      </c>
      <c r="GF119" s="885">
        <f t="shared" si="1016"/>
      </c>
      <c r="GG119" s="885">
        <f t="shared" si="1016"/>
      </c>
      <c r="GH119" s="885">
        <f t="shared" si="1016"/>
      </c>
      <c r="GI119" s="885">
        <f t="shared" si="1016"/>
      </c>
      <c r="GJ119" s="885">
        <f t="shared" si="1016"/>
      </c>
      <c r="GK119" s="885">
        <f t="shared" si="1016"/>
      </c>
      <c r="GL119" s="885">
        <f t="shared" si="1016"/>
      </c>
      <c r="GM119" s="885">
        <f t="shared" si="1016"/>
      </c>
      <c r="GN119" s="885">
        <f t="shared" si="1016"/>
      </c>
      <c r="GO119" s="885">
        <f t="shared" si="1016"/>
      </c>
      <c r="GP119" s="885">
        <f t="shared" si="1016"/>
      </c>
      <c r="GQ119" s="885">
        <f t="shared" si="1016"/>
      </c>
      <c r="GR119" s="885">
        <f t="shared" si="1016"/>
      </c>
      <c r="GS119" s="885">
        <f t="shared" si="1016"/>
      </c>
      <c r="GT119" s="885">
        <f t="shared" si="1016"/>
      </c>
      <c r="GU119" s="885">
        <f t="shared" si="1016"/>
      </c>
      <c r="GV119" s="885">
        <f t="shared" si="1016"/>
      </c>
      <c r="GW119" s="885">
        <f t="shared" si="1016"/>
      </c>
      <c r="GX119" s="885">
        <f t="shared" si="1016"/>
      </c>
      <c r="GY119" s="885">
        <f t="shared" si="1016"/>
      </c>
      <c r="GZ119" s="885">
        <f t="shared" si="1016"/>
      </c>
      <c r="HA119" s="885">
        <f t="shared" si="1016"/>
      </c>
      <c r="HB119" s="885">
        <f t="shared" si="1016"/>
      </c>
      <c r="HC119" s="885">
        <f t="shared" si="1008"/>
      </c>
      <c r="HD119" s="885">
        <f t="shared" si="1009"/>
      </c>
      <c r="HE119" s="885">
        <f t="shared" si="1010"/>
      </c>
      <c r="HF119" s="885">
        <f t="shared" si="1011"/>
      </c>
    </row>
    <row r="120" spans="1:214" s="82" customFormat="1" ht="10.199999999999999">
      <c r="A120" s="880" t="s">
        <v>85</v>
      </c>
      <c r="B120" s="882"/>
      <c r="C120" s="882"/>
      <c r="D120" s="882"/>
      <c r="E120" s="883"/>
      <c r="F120" s="882"/>
      <c r="G120" s="882"/>
      <c r="H120" s="882"/>
      <c r="I120" s="883"/>
      <c r="J120" s="882"/>
      <c r="K120" s="882"/>
      <c r="L120" s="882"/>
      <c r="M120" s="883"/>
      <c r="N120" s="882"/>
      <c r="O120" s="882"/>
      <c r="P120" s="882"/>
      <c r="Q120" s="883"/>
      <c r="R120" s="882"/>
      <c r="S120" s="882"/>
      <c r="T120" s="882"/>
      <c r="U120" s="883"/>
      <c r="V120" s="882"/>
      <c r="W120" s="882"/>
      <c r="X120" s="882"/>
      <c r="Y120" s="883"/>
      <c r="Z120" s="884"/>
      <c r="AA120" s="884"/>
      <c r="AB120" s="884"/>
      <c r="AC120" s="772"/>
      <c r="AD120" s="884"/>
      <c r="AE120" s="884"/>
      <c r="AF120" s="884"/>
      <c r="AG120" s="772"/>
      <c r="AH120" s="884"/>
      <c r="AI120" s="884"/>
      <c r="AJ120" s="884"/>
      <c r="AK120" s="772"/>
      <c r="AL120" s="884"/>
      <c r="AM120" s="884"/>
      <c r="AN120" s="884"/>
      <c r="AO120" s="772"/>
      <c r="AP120" s="885">
        <f t="shared" ref="AP120:BU120" si="1017">AP99-AO99</f>
      </c>
      <c r="AQ120" s="885">
        <f t="shared" si="1017"/>
      </c>
      <c r="AR120" s="885">
        <f t="shared" si="1017"/>
      </c>
      <c r="AS120" s="886">
        <f t="shared" si="1017"/>
      </c>
      <c r="AT120" s="885">
        <f t="shared" si="1017"/>
      </c>
      <c r="AU120" s="885">
        <f t="shared" si="1017"/>
      </c>
      <c r="AV120" s="885">
        <f t="shared" si="1017"/>
      </c>
      <c r="AW120" s="886">
        <f t="shared" si="1017"/>
      </c>
      <c r="AX120" s="885">
        <f t="shared" si="1017"/>
      </c>
      <c r="AY120" s="885">
        <f t="shared" si="1017"/>
      </c>
      <c r="AZ120" s="885">
        <f t="shared" si="1017"/>
      </c>
      <c r="BA120" s="886">
        <f t="shared" si="1017"/>
      </c>
      <c r="BB120" s="885">
        <f t="shared" si="1017"/>
      </c>
      <c r="BC120" s="885">
        <f t="shared" si="1017"/>
      </c>
      <c r="BD120" s="885">
        <f t="shared" si="1017"/>
      </c>
      <c r="BE120" s="886">
        <f t="shared" si="1017"/>
      </c>
      <c r="BF120" s="885">
        <f t="shared" si="1017"/>
      </c>
      <c r="BG120" s="885">
        <f t="shared" si="1017"/>
      </c>
      <c r="BH120" s="885">
        <f t="shared" si="1017"/>
      </c>
      <c r="BI120" s="886">
        <f t="shared" si="1017"/>
      </c>
      <c r="BJ120" s="885">
        <f t="shared" si="1017"/>
      </c>
      <c r="BK120" s="885">
        <f t="shared" si="1017"/>
      </c>
      <c r="BL120" s="885">
        <f t="shared" si="1017"/>
      </c>
      <c r="BM120" s="886">
        <f t="shared" si="1017"/>
      </c>
      <c r="BN120" s="885">
        <f t="shared" si="1017"/>
      </c>
      <c r="BO120" s="885">
        <f t="shared" si="1017"/>
      </c>
      <c r="BP120" s="885">
        <f t="shared" si="1017"/>
      </c>
      <c r="BQ120" s="886">
        <f t="shared" si="1017"/>
      </c>
      <c r="BR120" s="885">
        <f t="shared" si="1017"/>
      </c>
      <c r="BS120" s="885">
        <f t="shared" si="1017"/>
      </c>
      <c r="BT120" s="885">
        <f t="shared" si="1017"/>
      </c>
      <c r="BU120" s="886">
        <f t="shared" si="1017"/>
      </c>
      <c r="BV120" s="885">
        <f t="shared" ref="BV120:DA120" si="1018">BV99-BU99</f>
      </c>
      <c r="BW120" s="885">
        <f t="shared" si="1018"/>
      </c>
      <c r="BX120" s="885">
        <f t="shared" si="1018"/>
      </c>
      <c r="BY120" s="886">
        <f t="shared" si="1018"/>
      </c>
      <c r="BZ120" s="885">
        <f t="shared" si="1018"/>
      </c>
      <c r="CA120" s="885">
        <f t="shared" si="1018"/>
      </c>
      <c r="CB120" s="885">
        <f t="shared" si="1018"/>
      </c>
      <c r="CC120" s="886">
        <f t="shared" si="1018"/>
      </c>
      <c r="CD120" s="885">
        <f t="shared" si="1018"/>
      </c>
      <c r="CE120" s="885">
        <f t="shared" si="1018"/>
      </c>
      <c r="CF120" s="885">
        <f t="shared" si="1018"/>
      </c>
      <c r="CG120" s="886">
        <f t="shared" si="1018"/>
      </c>
      <c r="CH120" s="885">
        <f t="shared" si="1018"/>
      </c>
      <c r="CI120" s="885">
        <f t="shared" si="1018"/>
      </c>
      <c r="CJ120" s="885">
        <f t="shared" si="1018"/>
      </c>
      <c r="CK120" s="886">
        <f t="shared" si="1018"/>
      </c>
      <c r="CL120" s="885">
        <f t="shared" si="1018"/>
      </c>
      <c r="CM120" s="885">
        <f t="shared" si="1018"/>
      </c>
      <c r="CN120" s="885">
        <f t="shared" si="1018"/>
      </c>
      <c r="CO120" s="886">
        <f t="shared" si="1018"/>
      </c>
      <c r="CP120" s="885">
        <f t="shared" si="1018"/>
      </c>
      <c r="CQ120" s="885">
        <f t="shared" si="1018"/>
      </c>
      <c r="CR120" s="885">
        <f t="shared" si="1018"/>
      </c>
      <c r="CS120" s="886">
        <f t="shared" si="1018"/>
      </c>
      <c r="CT120" s="885">
        <f t="shared" si="1018"/>
      </c>
      <c r="CU120" s="885">
        <f t="shared" si="1018"/>
      </c>
      <c r="CV120" s="885">
        <f t="shared" si="1018"/>
      </c>
      <c r="CW120" s="886">
        <f t="shared" si="1018"/>
      </c>
      <c r="CX120" s="885">
        <f t="shared" si="1018"/>
      </c>
      <c r="CY120" s="885">
        <f t="shared" si="1018"/>
      </c>
      <c r="CZ120" s="885">
        <f t="shared" si="1018"/>
      </c>
      <c r="DA120" s="886">
        <f t="shared" si="1018"/>
      </c>
      <c r="DB120" s="885">
        <f t="shared" ref="DB120:DU120" si="1019">DB99-DA99</f>
      </c>
      <c r="DC120" s="885">
        <f t="shared" si="1019"/>
      </c>
      <c r="DD120" s="885">
        <f t="shared" si="1019"/>
      </c>
      <c r="DE120" s="886">
        <f t="shared" si="1019"/>
      </c>
      <c r="DF120" s="885">
        <f t="shared" si="1019"/>
      </c>
      <c r="DG120" s="885">
        <f t="shared" si="1019"/>
      </c>
      <c r="DH120" s="885">
        <f t="shared" si="1019"/>
      </c>
      <c r="DI120" s="886">
        <f t="shared" si="1019"/>
      </c>
      <c r="DJ120" s="885">
        <f t="shared" si="1019"/>
      </c>
      <c r="DK120" s="885">
        <f>DK99-DJ99</f>
      </c>
      <c r="DL120" s="885">
        <f t="shared" si="1019"/>
      </c>
      <c r="DM120" s="886">
        <f t="shared" ref="DM120:DO122" si="1020">DM99-DL99</f>
      </c>
      <c r="DN120" s="885">
        <f t="shared" si="1020"/>
      </c>
      <c r="DO120" s="885">
        <f t="shared" si="1020"/>
      </c>
      <c r="DP120" s="885">
        <f t="shared" si="1019"/>
      </c>
      <c r="DQ120" s="886">
        <f t="shared" ref="DQ120:DS122" si="1021">DQ99-DP99</f>
      </c>
      <c r="DR120" s="885">
        <f t="shared" si="1021"/>
      </c>
      <c r="DS120" s="885">
        <f t="shared" si="1021"/>
      </c>
      <c r="DT120" s="885">
        <f t="shared" si="1019"/>
      </c>
      <c r="DU120" s="886">
        <f t="shared" si="1019"/>
      </c>
      <c r="DV120" s="885">
        <f t="shared" ref="DV120:DV122" si="1022">DV99-DU99</f>
      </c>
      <c r="DW120" s="885">
        <f t="shared" ref="DW120:DW122" si="1023">DW99-DV99</f>
      </c>
      <c r="DX120" s="885">
        <f t="shared" ref="DX120:DX122" si="1024">DX99-DW99</f>
      </c>
      <c r="DY120" s="886">
        <f t="shared" ref="DY120:DY122" si="1025">DY99-DX99</f>
      </c>
      <c r="DZ120" s="885">
        <f t="shared" ref="DZ120:DZ122" si="1026">DZ99-DY99</f>
      </c>
      <c r="EA120" s="885">
        <f t="shared" ref="EA120:EA122" si="1027">EA99-DZ99</f>
      </c>
      <c r="EB120" s="885">
        <f t="shared" ref="EB120:EB122" si="1028">EB99-EA99</f>
      </c>
      <c r="EC120" s="886">
        <f t="shared" ref="EC120:EC122" si="1029">EC99-EB99</f>
      </c>
      <c r="ED120" s="885">
        <f t="shared" ref="ED120:ED122" si="1030">ED99-EC99</f>
      </c>
      <c r="EE120" s="885">
        <f t="shared" ref="EE120:EE122" si="1031">EE99-ED99</f>
      </c>
      <c r="EF120" s="885">
        <f t="shared" ref="EF120:EF122" si="1032">EF99-EE99</f>
      </c>
      <c r="EG120" s="886">
        <f t="shared" ref="EG120:EG122" si="1033">EG99-EF99</f>
      </c>
      <c r="EH120" s="885">
        <f t="shared" ref="EH120:EH122" si="1034">EH99-EG99</f>
      </c>
      <c r="EI120" s="885">
        <f t="shared" ref="EI120:EI122" si="1035">EI99-EH99</f>
      </c>
      <c r="EJ120" s="885">
        <f t="shared" ref="EJ120:EJ122" si="1036">EJ99-EI99</f>
      </c>
      <c r="EK120" s="886">
        <f t="shared" ref="EK120:EK122" si="1037">EK99-EJ99</f>
      </c>
      <c r="EM120" s="885"/>
      <c r="EN120" s="885"/>
      <c r="EO120" s="885">
        <f t="shared" ref="EO120:FQ120" si="1038">EO99-EN99</f>
      </c>
      <c r="EP120" s="885">
        <f t="shared" si="1038"/>
      </c>
      <c r="EQ120" s="885">
        <f t="shared" si="1038"/>
      </c>
      <c r="ER120" s="885">
        <f t="shared" si="1038"/>
      </c>
      <c r="ES120" s="885">
        <f t="shared" si="1038"/>
      </c>
      <c r="ET120" s="885">
        <f t="shared" si="1038"/>
      </c>
      <c r="EU120" s="885">
        <f t="shared" si="1038"/>
      </c>
      <c r="EV120" s="885">
        <f t="shared" si="1038"/>
      </c>
      <c r="EW120" s="885">
        <f t="shared" si="1038"/>
      </c>
      <c r="EX120" s="885">
        <f t="shared" si="1038"/>
      </c>
      <c r="EY120" s="885">
        <f t="shared" si="1038"/>
      </c>
      <c r="EZ120" s="885">
        <f t="shared" si="1038"/>
      </c>
      <c r="FA120" s="885">
        <f t="shared" si="1038"/>
      </c>
      <c r="FB120" s="885">
        <f t="shared" si="1038"/>
      </c>
      <c r="FC120" s="885">
        <f t="shared" si="1038"/>
      </c>
      <c r="FD120" s="885">
        <f t="shared" si="1038"/>
      </c>
      <c r="FE120" s="885">
        <f t="shared" si="1038"/>
      </c>
      <c r="FF120" s="885">
        <f t="shared" si="1038"/>
      </c>
      <c r="FG120" s="885">
        <f t="shared" si="1038"/>
      </c>
      <c r="FH120" s="885">
        <f t="shared" si="1038"/>
      </c>
      <c r="FI120" s="885">
        <f t="shared" si="1038"/>
      </c>
      <c r="FJ120" s="885">
        <f t="shared" si="1038"/>
      </c>
      <c r="FK120" s="885">
        <f t="shared" si="1038"/>
      </c>
      <c r="FL120" s="885">
        <f t="shared" si="1038"/>
      </c>
      <c r="FM120" s="885">
        <f t="shared" si="1038"/>
      </c>
      <c r="FN120" s="885">
        <f t="shared" si="1038"/>
      </c>
      <c r="FO120" s="885">
        <f t="shared" si="1038"/>
      </c>
      <c r="FP120" s="885">
        <f t="shared" si="1038"/>
      </c>
      <c r="FQ120" s="885">
        <f t="shared" si="1038"/>
      </c>
      <c r="FR120" s="885">
        <f t="shared" ref="FR120:FR122" si="1039">FR99-FQ99</f>
      </c>
      <c r="FS120" s="885">
        <f t="shared" ref="FS120:FS122" si="1040">FS99-FR99</f>
      </c>
      <c r="FT120" s="885">
        <f t="shared" ref="FT120:FT122" si="1041">FT99-FS99</f>
      </c>
      <c r="FU120" s="885">
        <f t="shared" ref="FU120:FU122" si="1042">FU99-FT99</f>
      </c>
      <c r="FW120" s="885"/>
      <c r="FX120" s="885"/>
      <c r="FY120" s="885"/>
      <c r="FZ120" s="885">
        <f t="shared" ref="FZ120:HB120" si="1043">FZ99-FY99</f>
      </c>
      <c r="GA120" s="885">
        <f t="shared" si="1043"/>
      </c>
      <c r="GB120" s="885">
        <f t="shared" si="1043"/>
      </c>
      <c r="GC120" s="885">
        <f t="shared" si="1043"/>
      </c>
      <c r="GD120" s="885">
        <f t="shared" si="1043"/>
      </c>
      <c r="GE120" s="885">
        <f t="shared" si="1043"/>
      </c>
      <c r="GF120" s="885">
        <f t="shared" si="1043"/>
      </c>
      <c r="GG120" s="885">
        <f t="shared" si="1043"/>
      </c>
      <c r="GH120" s="885">
        <f t="shared" si="1043"/>
      </c>
      <c r="GI120" s="885">
        <f t="shared" si="1043"/>
      </c>
      <c r="GJ120" s="885">
        <f t="shared" si="1043"/>
      </c>
      <c r="GK120" s="885">
        <f t="shared" si="1043"/>
      </c>
      <c r="GL120" s="885">
        <f t="shared" si="1043"/>
      </c>
      <c r="GM120" s="885">
        <f t="shared" si="1043"/>
      </c>
      <c r="GN120" s="885">
        <f t="shared" si="1043"/>
      </c>
      <c r="GO120" s="885">
        <f t="shared" si="1043"/>
      </c>
      <c r="GP120" s="885">
        <f t="shared" si="1043"/>
      </c>
      <c r="GQ120" s="885">
        <f t="shared" si="1043"/>
      </c>
      <c r="GR120" s="885">
        <f t="shared" si="1043"/>
      </c>
      <c r="GS120" s="885">
        <f t="shared" si="1043"/>
      </c>
      <c r="GT120" s="885">
        <f t="shared" si="1043"/>
      </c>
      <c r="GU120" s="885">
        <f t="shared" si="1043"/>
      </c>
      <c r="GV120" s="885">
        <f t="shared" si="1043"/>
      </c>
      <c r="GW120" s="885">
        <f t="shared" si="1043"/>
      </c>
      <c r="GX120" s="885">
        <f t="shared" si="1043"/>
      </c>
      <c r="GY120" s="885">
        <f t="shared" si="1043"/>
      </c>
      <c r="GZ120" s="885">
        <f t="shared" si="1043"/>
      </c>
      <c r="HA120" s="885">
        <f t="shared" si="1043"/>
      </c>
      <c r="HB120" s="885">
        <f t="shared" si="1043"/>
      </c>
      <c r="HC120" s="885">
        <f t="shared" ref="HC120:HC122" si="1044">HC99-HB99</f>
      </c>
      <c r="HD120" s="885">
        <f t="shared" ref="HD120:HD122" si="1045">HD99-HC99</f>
      </c>
      <c r="HE120" s="885">
        <f t="shared" ref="HE120:HE122" si="1046">HE99-HD99</f>
      </c>
      <c r="HF120" s="885">
        <f t="shared" ref="HF120:HF122" si="1047">HF99-HE99</f>
      </c>
    </row>
    <row r="121" spans="1:214" s="16" customFormat="1" ht="10.199999999999999">
      <c r="A121" s="880" t="s">
        <v>1184</v>
      </c>
      <c r="B121" s="887"/>
      <c r="C121" s="887"/>
      <c r="D121" s="887"/>
      <c r="E121" s="888"/>
      <c r="F121" s="887"/>
      <c r="G121" s="887"/>
      <c r="H121" s="887"/>
      <c r="I121" s="888"/>
      <c r="J121" s="887"/>
      <c r="K121" s="887"/>
      <c r="L121" s="887"/>
      <c r="M121" s="888"/>
      <c r="N121" s="887"/>
      <c r="O121" s="887"/>
      <c r="P121" s="887"/>
      <c r="Q121" s="888"/>
      <c r="R121" s="887"/>
      <c r="S121" s="887"/>
      <c r="T121" s="887"/>
      <c r="U121" s="888"/>
      <c r="V121" s="887"/>
      <c r="W121" s="887"/>
      <c r="X121" s="887"/>
      <c r="Y121" s="888"/>
      <c r="Z121" s="889"/>
      <c r="AA121" s="889"/>
      <c r="AB121" s="889"/>
      <c r="AC121" s="809"/>
      <c r="AD121" s="889"/>
      <c r="AE121" s="889"/>
      <c r="AF121" s="889"/>
      <c r="AG121" s="809"/>
      <c r="AH121" s="889"/>
      <c r="AI121" s="889"/>
      <c r="AJ121" s="889"/>
      <c r="AK121" s="809"/>
      <c r="AL121" s="889"/>
      <c r="AM121" s="889"/>
      <c r="AN121" s="889"/>
      <c r="AO121" s="809"/>
      <c r="AP121" s="885">
        <f t="shared" ref="AP121:BU121" si="1048">AP100-AO100</f>
      </c>
      <c r="AQ121" s="885">
        <f t="shared" si="1048"/>
      </c>
      <c r="AR121" s="885">
        <f t="shared" si="1048"/>
      </c>
      <c r="AS121" s="886">
        <f t="shared" si="1048"/>
      </c>
      <c r="AT121" s="885">
        <f t="shared" si="1048"/>
      </c>
      <c r="AU121" s="885">
        <f t="shared" si="1048"/>
      </c>
      <c r="AV121" s="885">
        <f t="shared" si="1048"/>
      </c>
      <c r="AW121" s="886">
        <f t="shared" si="1048"/>
      </c>
      <c r="AX121" s="885">
        <f t="shared" si="1048"/>
      </c>
      <c r="AY121" s="885">
        <f t="shared" si="1048"/>
      </c>
      <c r="AZ121" s="885">
        <f t="shared" si="1048"/>
      </c>
      <c r="BA121" s="886">
        <f t="shared" si="1048"/>
      </c>
      <c r="BB121" s="885">
        <f t="shared" si="1048"/>
      </c>
      <c r="BC121" s="885">
        <f t="shared" si="1048"/>
      </c>
      <c r="BD121" s="885">
        <f t="shared" si="1048"/>
      </c>
      <c r="BE121" s="886">
        <f t="shared" si="1048"/>
      </c>
      <c r="BF121" s="885">
        <f t="shared" si="1048"/>
      </c>
      <c r="BG121" s="885">
        <f t="shared" si="1048"/>
      </c>
      <c r="BH121" s="885">
        <f t="shared" si="1048"/>
      </c>
      <c r="BI121" s="886">
        <f t="shared" si="1048"/>
      </c>
      <c r="BJ121" s="885">
        <f t="shared" si="1048"/>
      </c>
      <c r="BK121" s="885">
        <f t="shared" si="1048"/>
      </c>
      <c r="BL121" s="885">
        <f t="shared" si="1048"/>
      </c>
      <c r="BM121" s="886">
        <f t="shared" si="1048"/>
      </c>
      <c r="BN121" s="885">
        <f t="shared" si="1048"/>
      </c>
      <c r="BO121" s="885">
        <f t="shared" si="1048"/>
      </c>
      <c r="BP121" s="885">
        <f t="shared" si="1048"/>
      </c>
      <c r="BQ121" s="886">
        <f t="shared" si="1048"/>
      </c>
      <c r="BR121" s="885">
        <f t="shared" si="1048"/>
      </c>
      <c r="BS121" s="885">
        <f t="shared" si="1048"/>
      </c>
      <c r="BT121" s="885">
        <f t="shared" si="1048"/>
      </c>
      <c r="BU121" s="886">
        <f t="shared" si="1048"/>
      </c>
      <c r="BV121" s="885">
        <f t="shared" ref="BV121:DA121" si="1049">BV100-BU100</f>
      </c>
      <c r="BW121" s="885">
        <f t="shared" si="1049"/>
      </c>
      <c r="BX121" s="885">
        <f t="shared" si="1049"/>
      </c>
      <c r="BY121" s="886">
        <f t="shared" si="1049"/>
      </c>
      <c r="BZ121" s="885">
        <f t="shared" si="1049"/>
      </c>
      <c r="CA121" s="885">
        <f t="shared" si="1049"/>
      </c>
      <c r="CB121" s="885">
        <f t="shared" si="1049"/>
      </c>
      <c r="CC121" s="886">
        <f t="shared" si="1049"/>
      </c>
      <c r="CD121" s="885">
        <f t="shared" si="1049"/>
      </c>
      <c r="CE121" s="885">
        <f t="shared" si="1049"/>
      </c>
      <c r="CF121" s="885">
        <f t="shared" si="1049"/>
      </c>
      <c r="CG121" s="886">
        <f t="shared" si="1049"/>
      </c>
      <c r="CH121" s="885">
        <f t="shared" si="1049"/>
      </c>
      <c r="CI121" s="885">
        <f t="shared" si="1049"/>
      </c>
      <c r="CJ121" s="885">
        <f t="shared" si="1049"/>
      </c>
      <c r="CK121" s="886">
        <f t="shared" si="1049"/>
      </c>
      <c r="CL121" s="885">
        <f t="shared" si="1049"/>
      </c>
      <c r="CM121" s="885">
        <f t="shared" si="1049"/>
      </c>
      <c r="CN121" s="885">
        <f t="shared" si="1049"/>
      </c>
      <c r="CO121" s="886">
        <f t="shared" si="1049"/>
      </c>
      <c r="CP121" s="885">
        <f t="shared" si="1049"/>
      </c>
      <c r="CQ121" s="885">
        <f t="shared" si="1049"/>
      </c>
      <c r="CR121" s="885">
        <f t="shared" si="1049"/>
      </c>
      <c r="CS121" s="886">
        <f t="shared" si="1049"/>
      </c>
      <c r="CT121" s="885">
        <f t="shared" si="1049"/>
      </c>
      <c r="CU121" s="885">
        <f t="shared" si="1049"/>
      </c>
      <c r="CV121" s="885">
        <f t="shared" si="1049"/>
      </c>
      <c r="CW121" s="886">
        <f t="shared" si="1049"/>
      </c>
      <c r="CX121" s="885">
        <f t="shared" si="1049"/>
      </c>
      <c r="CY121" s="885">
        <f t="shared" si="1049"/>
      </c>
      <c r="CZ121" s="885">
        <f t="shared" si="1049"/>
      </c>
      <c r="DA121" s="886">
        <f t="shared" si="1049"/>
      </c>
      <c r="DB121" s="885">
        <f t="shared" ref="DB121:DU121" si="1050">DB100-DA100</f>
      </c>
      <c r="DC121" s="885">
        <f t="shared" si="1050"/>
      </c>
      <c r="DD121" s="885">
        <f t="shared" si="1050"/>
      </c>
      <c r="DE121" s="886">
        <f t="shared" si="1050"/>
      </c>
      <c r="DF121" s="885">
        <f t="shared" si="1050"/>
      </c>
      <c r="DG121" s="885">
        <f t="shared" si="1050"/>
      </c>
      <c r="DH121" s="885">
        <f t="shared" si="1050"/>
      </c>
      <c r="DI121" s="886">
        <f t="shared" si="1050"/>
      </c>
      <c r="DJ121" s="885">
        <f t="shared" si="1050"/>
      </c>
      <c r="DK121" s="885">
        <f>DK100-DJ100</f>
      </c>
      <c r="DL121" s="885">
        <f t="shared" si="1050"/>
      </c>
      <c r="DM121" s="886">
        <f t="shared" si="1020"/>
      </c>
      <c r="DN121" s="885">
        <f t="shared" si="1020"/>
      </c>
      <c r="DO121" s="885">
        <f t="shared" si="1020"/>
      </c>
      <c r="DP121" s="885">
        <f t="shared" si="1050"/>
      </c>
      <c r="DQ121" s="886">
        <f t="shared" si="1021"/>
      </c>
      <c r="DR121" s="885">
        <f t="shared" si="1021"/>
      </c>
      <c r="DS121" s="885">
        <f t="shared" si="1021"/>
      </c>
      <c r="DT121" s="885">
        <f t="shared" si="1050"/>
      </c>
      <c r="DU121" s="886">
        <f t="shared" si="1050"/>
      </c>
      <c r="DV121" s="885">
        <f t="shared" si="1022"/>
      </c>
      <c r="DW121" s="885">
        <f t="shared" si="1023"/>
      </c>
      <c r="DX121" s="885">
        <f t="shared" si="1024"/>
      </c>
      <c r="DY121" s="886">
        <f t="shared" si="1025"/>
      </c>
      <c r="DZ121" s="885">
        <f t="shared" si="1026"/>
      </c>
      <c r="EA121" s="885">
        <f t="shared" si="1027"/>
      </c>
      <c r="EB121" s="885">
        <f t="shared" si="1028"/>
      </c>
      <c r="EC121" s="886">
        <f t="shared" si="1029"/>
      </c>
      <c r="ED121" s="885">
        <f t="shared" si="1030"/>
      </c>
      <c r="EE121" s="885">
        <f t="shared" si="1031"/>
      </c>
      <c r="EF121" s="885">
        <f t="shared" si="1032"/>
      </c>
      <c r="EG121" s="886">
        <f t="shared" si="1033"/>
      </c>
      <c r="EH121" s="885">
        <f t="shared" si="1034"/>
      </c>
      <c r="EI121" s="885">
        <f t="shared" si="1035"/>
      </c>
      <c r="EJ121" s="885">
        <f t="shared" si="1036"/>
      </c>
      <c r="EK121" s="886">
        <f t="shared" si="1037"/>
      </c>
      <c r="EL121" s="320"/>
      <c r="EM121" s="885"/>
      <c r="EN121" s="885"/>
      <c r="EO121" s="885">
        <f t="shared" ref="EO121:FQ121" si="1051">EO100-EN100</f>
      </c>
      <c r="EP121" s="885">
        <f t="shared" si="1051"/>
      </c>
      <c r="EQ121" s="885">
        <f t="shared" si="1051"/>
      </c>
      <c r="ER121" s="885">
        <f t="shared" si="1051"/>
      </c>
      <c r="ES121" s="885">
        <f t="shared" si="1051"/>
      </c>
      <c r="ET121" s="885">
        <f t="shared" si="1051"/>
      </c>
      <c r="EU121" s="885">
        <f t="shared" si="1051"/>
      </c>
      <c r="EV121" s="885">
        <f t="shared" si="1051"/>
      </c>
      <c r="EW121" s="885">
        <f t="shared" si="1051"/>
      </c>
      <c r="EX121" s="885">
        <f t="shared" si="1051"/>
      </c>
      <c r="EY121" s="885">
        <f t="shared" si="1051"/>
      </c>
      <c r="EZ121" s="885">
        <f t="shared" si="1051"/>
      </c>
      <c r="FA121" s="885">
        <f t="shared" si="1051"/>
      </c>
      <c r="FB121" s="885">
        <f t="shared" si="1051"/>
      </c>
      <c r="FC121" s="885">
        <f t="shared" si="1051"/>
      </c>
      <c r="FD121" s="885">
        <f t="shared" si="1051"/>
      </c>
      <c r="FE121" s="885">
        <f t="shared" si="1051"/>
      </c>
      <c r="FF121" s="885">
        <f t="shared" si="1051"/>
      </c>
      <c r="FG121" s="885">
        <f t="shared" si="1051"/>
      </c>
      <c r="FH121" s="885">
        <f t="shared" si="1051"/>
      </c>
      <c r="FI121" s="885">
        <f t="shared" si="1051"/>
      </c>
      <c r="FJ121" s="885">
        <f t="shared" si="1051"/>
      </c>
      <c r="FK121" s="885">
        <f t="shared" si="1051"/>
      </c>
      <c r="FL121" s="885">
        <f t="shared" si="1051"/>
      </c>
      <c r="FM121" s="885">
        <f t="shared" si="1051"/>
      </c>
      <c r="FN121" s="885">
        <f t="shared" si="1051"/>
      </c>
      <c r="FO121" s="885">
        <f t="shared" si="1051"/>
      </c>
      <c r="FP121" s="885">
        <f t="shared" si="1051"/>
      </c>
      <c r="FQ121" s="885">
        <f t="shared" si="1051"/>
      </c>
      <c r="FR121" s="885">
        <f t="shared" si="1039"/>
      </c>
      <c r="FS121" s="885">
        <f t="shared" si="1040"/>
      </c>
      <c r="FT121" s="885">
        <f t="shared" si="1041"/>
      </c>
      <c r="FU121" s="885">
        <f t="shared" si="1042"/>
      </c>
      <c r="FW121" s="885"/>
      <c r="FX121" s="885"/>
      <c r="FY121" s="885"/>
      <c r="FZ121" s="885">
        <f t="shared" ref="FZ121:HB121" si="1052">FZ100-FY100</f>
      </c>
      <c r="GA121" s="885">
        <f t="shared" si="1052"/>
      </c>
      <c r="GB121" s="885">
        <f t="shared" si="1052"/>
      </c>
      <c r="GC121" s="885">
        <f t="shared" si="1052"/>
      </c>
      <c r="GD121" s="885">
        <f t="shared" si="1052"/>
      </c>
      <c r="GE121" s="885">
        <f t="shared" si="1052"/>
      </c>
      <c r="GF121" s="885">
        <f t="shared" si="1052"/>
      </c>
      <c r="GG121" s="885">
        <f t="shared" si="1052"/>
      </c>
      <c r="GH121" s="885">
        <f t="shared" si="1052"/>
      </c>
      <c r="GI121" s="885">
        <f t="shared" si="1052"/>
      </c>
      <c r="GJ121" s="885">
        <f t="shared" si="1052"/>
      </c>
      <c r="GK121" s="885">
        <f t="shared" si="1052"/>
      </c>
      <c r="GL121" s="885">
        <f t="shared" si="1052"/>
      </c>
      <c r="GM121" s="885">
        <f t="shared" si="1052"/>
      </c>
      <c r="GN121" s="885">
        <f t="shared" si="1052"/>
      </c>
      <c r="GO121" s="885">
        <f t="shared" si="1052"/>
      </c>
      <c r="GP121" s="885">
        <f t="shared" si="1052"/>
      </c>
      <c r="GQ121" s="885">
        <f t="shared" si="1052"/>
      </c>
      <c r="GR121" s="885">
        <f t="shared" si="1052"/>
      </c>
      <c r="GS121" s="885">
        <f t="shared" si="1052"/>
      </c>
      <c r="GT121" s="885">
        <f t="shared" si="1052"/>
      </c>
      <c r="GU121" s="885">
        <f t="shared" si="1052"/>
      </c>
      <c r="GV121" s="885">
        <f t="shared" si="1052"/>
      </c>
      <c r="GW121" s="885">
        <f t="shared" si="1052"/>
      </c>
      <c r="GX121" s="885">
        <f t="shared" si="1052"/>
      </c>
      <c r="GY121" s="885">
        <f t="shared" si="1052"/>
      </c>
      <c r="GZ121" s="885">
        <f t="shared" si="1052"/>
      </c>
      <c r="HA121" s="885">
        <f t="shared" si="1052"/>
      </c>
      <c r="HB121" s="885">
        <f t="shared" si="1052"/>
      </c>
      <c r="HC121" s="885">
        <f t="shared" si="1044"/>
      </c>
      <c r="HD121" s="885">
        <f t="shared" si="1045"/>
      </c>
      <c r="HE121" s="885">
        <f t="shared" si="1046"/>
      </c>
      <c r="HF121" s="885">
        <f t="shared" si="1047"/>
      </c>
    </row>
    <row r="122" spans="1:214" s="16" customFormat="1" ht="10.199999999999999">
      <c r="A122" s="881" t="s">
        <v>1183</v>
      </c>
      <c r="B122" s="887"/>
      <c r="C122" s="887"/>
      <c r="D122" s="887"/>
      <c r="E122" s="888"/>
      <c r="F122" s="887"/>
      <c r="G122" s="887"/>
      <c r="H122" s="887"/>
      <c r="I122" s="888"/>
      <c r="J122" s="887"/>
      <c r="K122" s="887"/>
      <c r="L122" s="887"/>
      <c r="M122" s="888"/>
      <c r="N122" s="887"/>
      <c r="O122" s="887"/>
      <c r="P122" s="887"/>
      <c r="Q122" s="888"/>
      <c r="R122" s="887"/>
      <c r="S122" s="887"/>
      <c r="T122" s="887"/>
      <c r="U122" s="888"/>
      <c r="V122" s="887"/>
      <c r="W122" s="887"/>
      <c r="X122" s="887"/>
      <c r="Y122" s="888"/>
      <c r="Z122" s="889"/>
      <c r="AA122" s="889"/>
      <c r="AB122" s="889"/>
      <c r="AC122" s="809"/>
      <c r="AD122" s="889"/>
      <c r="AE122" s="889"/>
      <c r="AF122" s="889"/>
      <c r="AG122" s="809"/>
      <c r="AH122" s="889"/>
      <c r="AI122" s="889"/>
      <c r="AJ122" s="889"/>
      <c r="AK122" s="809"/>
      <c r="AL122" s="889"/>
      <c r="AM122" s="889"/>
      <c r="AN122" s="889"/>
      <c r="AO122" s="809"/>
      <c r="AP122" s="885">
        <f t="shared" ref="AP122:BU122" si="1053">AP101-AO101</f>
      </c>
      <c r="AQ122" s="885">
        <f t="shared" si="1053"/>
      </c>
      <c r="AR122" s="885">
        <f t="shared" si="1053"/>
      </c>
      <c r="AS122" s="886">
        <f t="shared" si="1053"/>
      </c>
      <c r="AT122" s="885">
        <f t="shared" si="1053"/>
      </c>
      <c r="AU122" s="885">
        <f t="shared" si="1053"/>
      </c>
      <c r="AV122" s="885">
        <f t="shared" si="1053"/>
      </c>
      <c r="AW122" s="886">
        <f t="shared" si="1053"/>
      </c>
      <c r="AX122" s="885">
        <f t="shared" si="1053"/>
      </c>
      <c r="AY122" s="885">
        <f t="shared" si="1053"/>
      </c>
      <c r="AZ122" s="885">
        <f t="shared" si="1053"/>
      </c>
      <c r="BA122" s="886">
        <f t="shared" si="1053"/>
      </c>
      <c r="BB122" s="885">
        <f t="shared" si="1053"/>
      </c>
      <c r="BC122" s="885">
        <f t="shared" si="1053"/>
      </c>
      <c r="BD122" s="885">
        <f t="shared" si="1053"/>
      </c>
      <c r="BE122" s="886">
        <f t="shared" si="1053"/>
      </c>
      <c r="BF122" s="885">
        <f t="shared" si="1053"/>
      </c>
      <c r="BG122" s="885">
        <f t="shared" si="1053"/>
      </c>
      <c r="BH122" s="885">
        <f t="shared" si="1053"/>
      </c>
      <c r="BI122" s="886">
        <f t="shared" si="1053"/>
      </c>
      <c r="BJ122" s="885">
        <f t="shared" si="1053"/>
      </c>
      <c r="BK122" s="885">
        <f t="shared" si="1053"/>
      </c>
      <c r="BL122" s="885">
        <f t="shared" si="1053"/>
      </c>
      <c r="BM122" s="886">
        <f t="shared" si="1053"/>
      </c>
      <c r="BN122" s="885">
        <f t="shared" si="1053"/>
      </c>
      <c r="BO122" s="885">
        <f t="shared" si="1053"/>
      </c>
      <c r="BP122" s="885">
        <f t="shared" si="1053"/>
      </c>
      <c r="BQ122" s="886">
        <f t="shared" si="1053"/>
      </c>
      <c r="BR122" s="885">
        <f t="shared" si="1053"/>
      </c>
      <c r="BS122" s="885">
        <f t="shared" si="1053"/>
      </c>
      <c r="BT122" s="885">
        <f t="shared" si="1053"/>
      </c>
      <c r="BU122" s="886">
        <f t="shared" si="1053"/>
      </c>
      <c r="BV122" s="885">
        <f t="shared" ref="BV122:DA122" si="1054">BV101-BU101</f>
      </c>
      <c r="BW122" s="885">
        <f t="shared" si="1054"/>
      </c>
      <c r="BX122" s="885">
        <f t="shared" si="1054"/>
      </c>
      <c r="BY122" s="886">
        <f t="shared" si="1054"/>
      </c>
      <c r="BZ122" s="885">
        <f t="shared" si="1054"/>
      </c>
      <c r="CA122" s="885">
        <f t="shared" si="1054"/>
      </c>
      <c r="CB122" s="885">
        <f t="shared" si="1054"/>
      </c>
      <c r="CC122" s="886">
        <f t="shared" si="1054"/>
      </c>
      <c r="CD122" s="885">
        <f t="shared" si="1054"/>
      </c>
      <c r="CE122" s="885">
        <f t="shared" si="1054"/>
      </c>
      <c r="CF122" s="885">
        <f t="shared" si="1054"/>
      </c>
      <c r="CG122" s="886">
        <f t="shared" si="1054"/>
      </c>
      <c r="CH122" s="885">
        <f t="shared" si="1054"/>
      </c>
      <c r="CI122" s="885">
        <f t="shared" si="1054"/>
      </c>
      <c r="CJ122" s="885">
        <f t="shared" si="1054"/>
      </c>
      <c r="CK122" s="886">
        <f t="shared" si="1054"/>
      </c>
      <c r="CL122" s="885">
        <f t="shared" si="1054"/>
      </c>
      <c r="CM122" s="885">
        <f t="shared" si="1054"/>
      </c>
      <c r="CN122" s="885">
        <f t="shared" si="1054"/>
      </c>
      <c r="CO122" s="886">
        <f t="shared" si="1054"/>
      </c>
      <c r="CP122" s="885">
        <f t="shared" si="1054"/>
      </c>
      <c r="CQ122" s="885">
        <f t="shared" si="1054"/>
      </c>
      <c r="CR122" s="885">
        <f t="shared" si="1054"/>
      </c>
      <c r="CS122" s="886">
        <f t="shared" si="1054"/>
      </c>
      <c r="CT122" s="885">
        <f t="shared" si="1054"/>
      </c>
      <c r="CU122" s="885">
        <f t="shared" si="1054"/>
      </c>
      <c r="CV122" s="885">
        <f t="shared" si="1054"/>
      </c>
      <c r="CW122" s="886">
        <f t="shared" si="1054"/>
      </c>
      <c r="CX122" s="885">
        <f t="shared" si="1054"/>
      </c>
      <c r="CY122" s="885">
        <f t="shared" si="1054"/>
      </c>
      <c r="CZ122" s="885">
        <f t="shared" si="1054"/>
      </c>
      <c r="DA122" s="886">
        <f t="shared" si="1054"/>
      </c>
      <c r="DB122" s="885">
        <f t="shared" ref="DB122:DU122" si="1055">DB101-DA101</f>
      </c>
      <c r="DC122" s="885">
        <f t="shared" si="1055"/>
      </c>
      <c r="DD122" s="885">
        <f t="shared" si="1055"/>
      </c>
      <c r="DE122" s="886">
        <f t="shared" si="1055"/>
      </c>
      <c r="DF122" s="885">
        <f t="shared" si="1055"/>
      </c>
      <c r="DG122" s="885">
        <f t="shared" si="1055"/>
      </c>
      <c r="DH122" s="885">
        <f t="shared" si="1055"/>
      </c>
      <c r="DI122" s="886">
        <f t="shared" si="1055"/>
      </c>
      <c r="DJ122" s="885">
        <f t="shared" si="1055"/>
      </c>
      <c r="DK122" s="885">
        <f>DK101-DJ101</f>
      </c>
      <c r="DL122" s="885">
        <f t="shared" si="1055"/>
      </c>
      <c r="DM122" s="886">
        <f t="shared" si="1020"/>
      </c>
      <c r="DN122" s="885">
        <f t="shared" si="1020"/>
      </c>
      <c r="DO122" s="885">
        <f t="shared" si="1020"/>
      </c>
      <c r="DP122" s="885">
        <f t="shared" si="1055"/>
      </c>
      <c r="DQ122" s="886">
        <f t="shared" si="1021"/>
      </c>
      <c r="DR122" s="885">
        <f t="shared" si="1021"/>
      </c>
      <c r="DS122" s="885">
        <f t="shared" si="1021"/>
      </c>
      <c r="DT122" s="885">
        <f t="shared" si="1055"/>
      </c>
      <c r="DU122" s="886">
        <f t="shared" si="1055"/>
      </c>
      <c r="DV122" s="885">
        <f t="shared" si="1022"/>
      </c>
      <c r="DW122" s="885">
        <f t="shared" si="1023"/>
      </c>
      <c r="DX122" s="885">
        <f t="shared" si="1024"/>
      </c>
      <c r="DY122" s="886">
        <f t="shared" si="1025"/>
      </c>
      <c r="DZ122" s="885">
        <f t="shared" si="1026"/>
      </c>
      <c r="EA122" s="885">
        <f t="shared" si="1027"/>
      </c>
      <c r="EB122" s="885">
        <f t="shared" si="1028"/>
      </c>
      <c r="EC122" s="886">
        <f t="shared" si="1029"/>
      </c>
      <c r="ED122" s="885">
        <f t="shared" si="1030"/>
      </c>
      <c r="EE122" s="885">
        <f t="shared" si="1031"/>
      </c>
      <c r="EF122" s="885">
        <f t="shared" si="1032"/>
      </c>
      <c r="EG122" s="886">
        <f t="shared" si="1033"/>
      </c>
      <c r="EH122" s="885">
        <f t="shared" si="1034"/>
      </c>
      <c r="EI122" s="885">
        <f t="shared" si="1035"/>
      </c>
      <c r="EJ122" s="885">
        <f t="shared" si="1036"/>
      </c>
      <c r="EK122" s="886">
        <f t="shared" si="1037"/>
      </c>
      <c r="EL122" s="320"/>
      <c r="EM122" s="885"/>
      <c r="EN122" s="885"/>
      <c r="EO122" s="885">
        <f t="shared" ref="EO122:FQ122" si="1056">EO101-EN101</f>
      </c>
      <c r="EP122" s="885">
        <f t="shared" si="1056"/>
      </c>
      <c r="EQ122" s="885">
        <f t="shared" si="1056"/>
      </c>
      <c r="ER122" s="885">
        <f t="shared" si="1056"/>
      </c>
      <c r="ES122" s="885">
        <f t="shared" si="1056"/>
      </c>
      <c r="ET122" s="885">
        <f t="shared" si="1056"/>
      </c>
      <c r="EU122" s="885">
        <f t="shared" si="1056"/>
      </c>
      <c r="EV122" s="885">
        <f t="shared" si="1056"/>
      </c>
      <c r="EW122" s="885">
        <f t="shared" si="1056"/>
      </c>
      <c r="EX122" s="885">
        <f t="shared" si="1056"/>
      </c>
      <c r="EY122" s="885">
        <f t="shared" si="1056"/>
      </c>
      <c r="EZ122" s="885">
        <f t="shared" si="1056"/>
      </c>
      <c r="FA122" s="885">
        <f t="shared" si="1056"/>
      </c>
      <c r="FB122" s="885">
        <f t="shared" si="1056"/>
      </c>
      <c r="FC122" s="885">
        <f t="shared" si="1056"/>
      </c>
      <c r="FD122" s="885">
        <f t="shared" si="1056"/>
      </c>
      <c r="FE122" s="885">
        <f t="shared" si="1056"/>
      </c>
      <c r="FF122" s="885">
        <f t="shared" si="1056"/>
      </c>
      <c r="FG122" s="885">
        <f t="shared" si="1056"/>
      </c>
      <c r="FH122" s="885">
        <f t="shared" si="1056"/>
      </c>
      <c r="FI122" s="885">
        <f t="shared" si="1056"/>
      </c>
      <c r="FJ122" s="885">
        <f t="shared" si="1056"/>
      </c>
      <c r="FK122" s="885">
        <f t="shared" si="1056"/>
      </c>
      <c r="FL122" s="885">
        <f t="shared" si="1056"/>
      </c>
      <c r="FM122" s="885">
        <f t="shared" si="1056"/>
      </c>
      <c r="FN122" s="885">
        <f t="shared" si="1056"/>
      </c>
      <c r="FO122" s="885">
        <f t="shared" si="1056"/>
      </c>
      <c r="FP122" s="885">
        <f t="shared" si="1056"/>
      </c>
      <c r="FQ122" s="885">
        <f t="shared" si="1056"/>
      </c>
      <c r="FR122" s="885">
        <f t="shared" si="1039"/>
      </c>
      <c r="FS122" s="885">
        <f t="shared" si="1040"/>
      </c>
      <c r="FT122" s="885">
        <f t="shared" si="1041"/>
      </c>
      <c r="FU122" s="885">
        <f t="shared" si="1042"/>
      </c>
      <c r="FW122" s="885"/>
      <c r="FX122" s="885"/>
      <c r="FY122" s="885"/>
      <c r="FZ122" s="885">
        <f t="shared" ref="FZ122:HB122" si="1057">FZ101-FY101</f>
      </c>
      <c r="GA122" s="885">
        <f t="shared" si="1057"/>
      </c>
      <c r="GB122" s="885">
        <f t="shared" si="1057"/>
      </c>
      <c r="GC122" s="885">
        <f t="shared" si="1057"/>
      </c>
      <c r="GD122" s="885">
        <f t="shared" si="1057"/>
      </c>
      <c r="GE122" s="885">
        <f t="shared" si="1057"/>
      </c>
      <c r="GF122" s="885">
        <f t="shared" si="1057"/>
      </c>
      <c r="GG122" s="885">
        <f t="shared" si="1057"/>
      </c>
      <c r="GH122" s="885">
        <f t="shared" si="1057"/>
      </c>
      <c r="GI122" s="885">
        <f t="shared" si="1057"/>
      </c>
      <c r="GJ122" s="885">
        <f t="shared" si="1057"/>
      </c>
      <c r="GK122" s="885">
        <f t="shared" si="1057"/>
      </c>
      <c r="GL122" s="885">
        <f t="shared" si="1057"/>
      </c>
      <c r="GM122" s="885">
        <f t="shared" si="1057"/>
      </c>
      <c r="GN122" s="885">
        <f t="shared" si="1057"/>
      </c>
      <c r="GO122" s="885">
        <f t="shared" si="1057"/>
      </c>
      <c r="GP122" s="885">
        <f t="shared" si="1057"/>
      </c>
      <c r="GQ122" s="885">
        <f t="shared" si="1057"/>
      </c>
      <c r="GR122" s="885">
        <f t="shared" si="1057"/>
      </c>
      <c r="GS122" s="885">
        <f t="shared" si="1057"/>
      </c>
      <c r="GT122" s="885">
        <f t="shared" si="1057"/>
      </c>
      <c r="GU122" s="885">
        <f t="shared" si="1057"/>
      </c>
      <c r="GV122" s="885">
        <f t="shared" si="1057"/>
      </c>
      <c r="GW122" s="885">
        <f t="shared" si="1057"/>
      </c>
      <c r="GX122" s="885">
        <f t="shared" si="1057"/>
      </c>
      <c r="GY122" s="885">
        <f t="shared" si="1057"/>
      </c>
      <c r="GZ122" s="885">
        <f t="shared" si="1057"/>
      </c>
      <c r="HA122" s="885">
        <f t="shared" si="1057"/>
      </c>
      <c r="HB122" s="885">
        <f t="shared" si="1057"/>
      </c>
      <c r="HC122" s="885">
        <f t="shared" si="1044"/>
      </c>
      <c r="HD122" s="885">
        <f t="shared" si="1045"/>
      </c>
      <c r="HE122" s="885">
        <f t="shared" si="1046"/>
      </c>
      <c r="HF122" s="885">
        <f t="shared" si="1047"/>
      </c>
    </row>
    <row r="123" spans="1:214" s="16" customFormat="1" ht="10.199999999999999">
      <c r="A123" s="135"/>
      <c r="B123" s="130"/>
      <c r="C123" s="130"/>
      <c r="D123" s="130"/>
      <c r="E123" s="235"/>
      <c r="F123" s="130"/>
      <c r="G123" s="130"/>
      <c r="H123" s="130"/>
      <c r="I123" s="235"/>
      <c r="J123" s="130"/>
      <c r="K123" s="130"/>
      <c r="L123" s="130"/>
      <c r="M123" s="235"/>
      <c r="N123" s="130"/>
      <c r="O123" s="130"/>
      <c r="P123" s="130"/>
      <c r="Q123" s="235"/>
      <c r="R123" s="130"/>
      <c r="S123" s="130"/>
      <c r="T123" s="130"/>
      <c r="U123" s="235"/>
      <c r="V123" s="130"/>
      <c r="W123" s="130"/>
      <c r="X123" s="130"/>
      <c r="Y123" s="235"/>
      <c r="Z123" s="98"/>
      <c r="AA123" s="98"/>
      <c r="AB123" s="98"/>
      <c r="AC123" s="180"/>
      <c r="AD123" s="98"/>
      <c r="AE123" s="98"/>
      <c r="AF123" s="98"/>
      <c r="AG123" s="180"/>
      <c r="AH123" s="98"/>
      <c r="AI123" s="98"/>
      <c r="AJ123" s="98"/>
      <c r="AK123" s="180"/>
      <c r="AL123" s="98"/>
      <c r="AM123" s="98"/>
      <c r="AN123" s="98"/>
      <c r="AO123" s="180"/>
      <c r="AP123" s="98"/>
      <c r="AQ123" s="98"/>
      <c r="AR123" s="98"/>
      <c r="AS123" s="180"/>
      <c r="AT123" s="98"/>
      <c r="AU123" s="98"/>
      <c r="AV123" s="98"/>
      <c r="AW123" s="180"/>
      <c r="AX123" s="98"/>
      <c r="AY123" s="98"/>
      <c r="AZ123" s="98"/>
      <c r="BA123" s="180"/>
      <c r="BB123" s="98"/>
      <c r="BC123" s="98"/>
      <c r="BD123" s="98"/>
      <c r="BE123" s="180"/>
      <c r="BF123" s="98"/>
      <c r="BG123" s="98"/>
      <c r="BH123" s="98"/>
      <c r="BI123" s="180"/>
      <c r="BJ123" s="98"/>
      <c r="BK123" s="98"/>
      <c r="BL123" s="98"/>
      <c r="BM123" s="180"/>
      <c r="BN123" s="98"/>
      <c r="BO123" s="98"/>
      <c r="BP123" s="98"/>
      <c r="BQ123" s="180"/>
      <c r="BR123" s="98"/>
      <c r="BS123" s="98"/>
      <c r="BT123" s="98"/>
      <c r="BU123" s="180"/>
      <c r="BV123" s="98"/>
      <c r="BW123" s="98"/>
      <c r="BX123" s="98"/>
      <c r="BY123" s="180"/>
      <c r="BZ123" s="98"/>
      <c r="CA123" s="98"/>
      <c r="CB123" s="98"/>
      <c r="CC123" s="180"/>
      <c r="CD123" s="523"/>
      <c r="CE123" s="523"/>
      <c r="CF123" s="524"/>
      <c r="CG123" s="525"/>
      <c r="CH123" s="523"/>
      <c r="CI123" s="523"/>
      <c r="CJ123" s="523"/>
      <c r="CK123" s="525"/>
      <c r="CL123" s="523"/>
      <c r="CM123" s="523"/>
      <c r="CN123" s="523"/>
      <c r="CO123" s="525"/>
      <c r="CP123" s="320"/>
      <c r="CQ123" s="320"/>
      <c r="CR123" s="320"/>
      <c r="CS123" s="321"/>
      <c r="CT123" s="320"/>
      <c r="CU123" s="320"/>
      <c r="CV123" s="320"/>
      <c r="CW123" s="321"/>
      <c r="CX123" s="320"/>
      <c r="CY123" s="320"/>
      <c r="CZ123" s="320"/>
      <c r="DA123" s="321"/>
      <c r="DB123" s="320"/>
      <c r="DC123" s="320"/>
      <c r="DD123" s="390"/>
      <c r="DE123" s="430"/>
      <c r="DF123" s="390"/>
      <c r="DG123" s="390"/>
      <c r="DH123" s="390"/>
      <c r="DI123" s="430"/>
      <c r="DJ123" s="390"/>
      <c r="DK123" s="390"/>
      <c r="DL123" s="390"/>
      <c r="DM123" s="430"/>
      <c r="DN123" s="390"/>
      <c r="DO123" s="390"/>
      <c r="DP123" s="390"/>
      <c r="DQ123" s="430"/>
      <c r="DR123" s="390"/>
      <c r="DS123" s="390"/>
      <c r="DT123" s="390"/>
      <c r="DU123" s="430"/>
      <c r="DV123" s="390"/>
      <c r="DW123" s="390"/>
      <c r="DX123" s="390"/>
      <c r="DY123" s="430"/>
      <c r="DZ123" s="390"/>
      <c r="EA123" s="390"/>
      <c r="EB123" s="390"/>
      <c r="EC123" s="430"/>
      <c r="ED123" s="390"/>
      <c r="EE123" s="390"/>
      <c r="EF123" s="390"/>
      <c r="EG123" s="430"/>
      <c r="EH123" s="390"/>
      <c r="EI123" s="390"/>
      <c r="EJ123" s="390"/>
      <c r="EK123" s="430"/>
      <c r="EL123" s="320"/>
      <c r="EM123" s="390"/>
      <c r="EN123" s="390"/>
      <c r="EO123" s="390"/>
      <c r="EP123" s="390"/>
      <c r="EQ123" s="390"/>
      <c r="ER123" s="390"/>
      <c r="ES123" s="390"/>
      <c r="ET123" s="390"/>
      <c r="EU123" s="390"/>
      <c r="EV123" s="390"/>
      <c r="EW123" s="390"/>
      <c r="EX123" s="390"/>
      <c r="EY123" s="390"/>
      <c r="EZ123" s="390"/>
      <c r="FA123" s="390"/>
      <c r="FB123" s="390"/>
      <c r="FC123" s="390"/>
      <c r="FD123" s="390"/>
      <c r="FE123" s="390"/>
      <c r="FF123" s="390"/>
      <c r="FG123" s="390"/>
      <c r="FH123" s="390"/>
      <c r="FI123" s="390"/>
      <c r="FJ123" s="390"/>
      <c r="FK123" s="390"/>
      <c r="FL123" s="390"/>
      <c r="FM123" s="390"/>
      <c r="FN123" s="390"/>
      <c r="FO123" s="390"/>
      <c r="FP123" s="390"/>
      <c r="FQ123" s="390"/>
      <c r="FR123" s="390"/>
      <c r="FS123" s="390"/>
      <c r="FT123" s="390"/>
      <c r="FU123" s="390"/>
      <c r="FW123" s="390"/>
      <c r="FX123" s="390"/>
      <c r="FY123" s="390"/>
      <c r="FZ123" s="390"/>
      <c r="GA123" s="390"/>
      <c r="GB123" s="390"/>
      <c r="GC123" s="390"/>
      <c r="GD123" s="390"/>
      <c r="GE123" s="390"/>
      <c r="GF123" s="390"/>
      <c r="GG123" s="390"/>
      <c r="GH123" s="390"/>
      <c r="GI123" s="390"/>
      <c r="GJ123" s="390"/>
      <c r="GK123" s="390"/>
      <c r="GL123" s="390"/>
      <c r="GM123" s="390"/>
      <c r="GN123" s="390"/>
      <c r="GO123" s="390"/>
      <c r="GP123" s="390"/>
      <c r="GQ123" s="390"/>
      <c r="GR123" s="390"/>
      <c r="GS123" s="390"/>
      <c r="GT123" s="390"/>
      <c r="GU123" s="390"/>
      <c r="GV123" s="390"/>
      <c r="GW123" s="390"/>
      <c r="GX123" s="390"/>
      <c r="GY123" s="390"/>
      <c r="GZ123" s="390"/>
      <c r="HA123" s="390"/>
      <c r="HB123" s="390"/>
      <c r="HC123" s="390"/>
      <c r="HD123" s="390"/>
      <c r="HE123" s="390"/>
      <c r="HF123" s="390"/>
    </row>
    <row r="124" spans="1:214" s="16" customFormat="1" ht="10.199999999999999">
      <c r="A124" s="708" t="s">
        <v>1178</v>
      </c>
      <c r="B124" s="706" t="str">
        <f>'Revenue summary'!B$8</f>
      </c>
      <c r="C124" s="706" t="str">
        <f>'Revenue summary'!C$8</f>
      </c>
      <c r="D124" s="706" t="str">
        <f>'Revenue summary'!D$8</f>
      </c>
      <c r="E124" s="707" t="str">
        <f>'Revenue summary'!E$8</f>
      </c>
      <c r="F124" s="706" t="str">
        <f>'Revenue summary'!F$8</f>
      </c>
      <c r="G124" s="706" t="str">
        <f>'Revenue summary'!G$8</f>
      </c>
      <c r="H124" s="706" t="str">
        <f>'Revenue summary'!H$8</f>
      </c>
      <c r="I124" s="707" t="str">
        <f>'Revenue summary'!I$8</f>
      </c>
      <c r="J124" s="706" t="str">
        <f>'Revenue summary'!J$8</f>
      </c>
      <c r="K124" s="706" t="str">
        <f>'Revenue summary'!K$8</f>
      </c>
      <c r="L124" s="706" t="str">
        <f>'Revenue summary'!L$8</f>
      </c>
      <c r="M124" s="707" t="str">
        <f>'Revenue summary'!M$8</f>
      </c>
      <c r="N124" s="706" t="str">
        <f>'Revenue summary'!N$8</f>
      </c>
      <c r="O124" s="706" t="str">
        <f>'Revenue summary'!O$8</f>
      </c>
      <c r="P124" s="706" t="str">
        <f>'Revenue summary'!P$8</f>
      </c>
      <c r="Q124" s="707" t="str">
        <f>'Revenue summary'!Q$8</f>
      </c>
      <c r="R124" s="706" t="str">
        <f>'Revenue summary'!R$8</f>
      </c>
      <c r="S124" s="706" t="str">
        <f>'Revenue summary'!S$8</f>
      </c>
      <c r="T124" s="706" t="str">
        <f>'Revenue summary'!T$8</f>
      </c>
      <c r="U124" s="707" t="str">
        <f>'Revenue summary'!U$8</f>
      </c>
      <c r="V124" s="706" t="str">
        <f>'Revenue summary'!V$8</f>
      </c>
      <c r="W124" s="706" t="str">
        <f>'Revenue summary'!W$8</f>
      </c>
      <c r="X124" s="706" t="str">
        <f>'Revenue summary'!X$8</f>
      </c>
      <c r="Y124" s="707" t="str">
        <f>'Revenue summary'!Y$8</f>
      </c>
      <c r="Z124" s="706" t="str">
        <f>'Revenue summary'!Z$8</f>
      </c>
      <c r="AA124" s="706" t="str">
        <f>'Revenue summary'!AA$8</f>
      </c>
      <c r="AB124" s="706" t="str">
        <f>'Revenue summary'!AB$8</f>
      </c>
      <c r="AC124" s="707" t="str">
        <f>'Revenue summary'!AC$8</f>
      </c>
      <c r="AD124" s="706" t="str">
        <f>'Revenue summary'!AD$8</f>
      </c>
      <c r="AE124" s="706" t="str">
        <f>'Revenue summary'!AE$8</f>
      </c>
      <c r="AF124" s="706" t="str">
        <f>'Revenue summary'!AF$8</f>
      </c>
      <c r="AG124" s="707" t="str">
        <f>'Revenue summary'!AG$8</f>
      </c>
      <c r="AH124" s="706" t="str">
        <f>'Revenue summary'!AH$8</f>
      </c>
      <c r="AI124" s="706" t="str">
        <f>'Revenue summary'!AI$8</f>
      </c>
      <c r="AJ124" s="706" t="str">
        <f>'Revenue summary'!AJ$8</f>
      </c>
      <c r="AK124" s="707" t="str">
        <f>'Revenue summary'!AK$8</f>
      </c>
      <c r="AL124" s="706" t="str">
        <f>'Revenue summary'!AL$8</f>
      </c>
      <c r="AM124" s="706" t="str">
        <f>'Revenue summary'!AM$8</f>
      </c>
      <c r="AN124" s="706" t="str">
        <f>'Revenue summary'!AN$8</f>
      </c>
      <c r="AO124" s="707" t="str">
        <f>'Revenue summary'!AO$8</f>
      </c>
      <c r="AP124" s="706" t="str">
        <f>'Revenue summary'!AP$8</f>
      </c>
      <c r="AQ124" s="706" t="str">
        <f>'Revenue summary'!AQ$8</f>
      </c>
      <c r="AR124" s="706" t="str">
        <f>'Revenue summary'!AR$8</f>
      </c>
      <c r="AS124" s="707" t="str">
        <f>'Revenue summary'!AS$8</f>
      </c>
      <c r="AT124" s="706" t="str">
        <f>'Revenue summary'!AT$8</f>
      </c>
      <c r="AU124" s="706" t="str">
        <f>'Revenue summary'!AU$8</f>
      </c>
      <c r="AV124" s="706" t="str">
        <f>'Revenue summary'!AV$8</f>
      </c>
      <c r="AW124" s="707" t="str">
        <f>'Revenue summary'!AW$8</f>
      </c>
      <c r="AX124" s="706" t="str">
        <f>'Revenue summary'!AX$8</f>
      </c>
      <c r="AY124" s="706" t="str">
        <f>'Revenue summary'!AY$8</f>
      </c>
      <c r="AZ124" s="706" t="str">
        <f>'Revenue summary'!AZ$8</f>
      </c>
      <c r="BA124" s="707" t="str">
        <f>'Revenue summary'!BA$8</f>
      </c>
      <c r="BB124" s="706" t="str">
        <f>'Revenue summary'!BB$8</f>
      </c>
      <c r="BC124" s="706" t="str">
        <f>'Revenue summary'!BC$8</f>
      </c>
      <c r="BD124" s="706" t="str">
        <f>'Revenue summary'!BD$8</f>
      </c>
      <c r="BE124" s="707" t="str">
        <f>'Revenue summary'!BE$8</f>
      </c>
      <c r="BF124" s="706" t="str">
        <f>'Revenue summary'!BF$8</f>
      </c>
      <c r="BG124" s="706" t="str">
        <f>'Revenue summary'!BG$8</f>
      </c>
      <c r="BH124" s="706" t="str">
        <f>'Revenue summary'!BH$8</f>
      </c>
      <c r="BI124" s="707" t="str">
        <f>'Revenue summary'!BI$8</f>
      </c>
      <c r="BJ124" s="706" t="str">
        <f>'Revenue summary'!BJ$8</f>
      </c>
      <c r="BK124" s="706" t="str">
        <f>'Revenue summary'!BK$8</f>
      </c>
      <c r="BL124" s="706" t="str">
        <f>'Revenue summary'!BL$8</f>
      </c>
      <c r="BM124" s="707" t="str">
        <f>'Revenue summary'!BM$8</f>
      </c>
      <c r="BN124" s="706" t="str">
        <f>'Revenue summary'!BN$8</f>
      </c>
      <c r="BO124" s="706" t="str">
        <f>'Revenue summary'!BO$8</f>
      </c>
      <c r="BP124" s="706" t="str">
        <f>'Revenue summary'!BP$8</f>
      </c>
      <c r="BQ124" s="707" t="str">
        <f>'Revenue summary'!BQ$8</f>
      </c>
      <c r="BR124" s="706" t="str">
        <f>'Revenue summary'!BR$8</f>
      </c>
      <c r="BS124" s="706" t="str">
        <f>'Revenue summary'!BS$8</f>
      </c>
      <c r="BT124" s="706" t="str">
        <f>'Revenue summary'!BT$8</f>
      </c>
      <c r="BU124" s="707" t="str">
        <f>'Revenue summary'!BU$8</f>
      </c>
      <c r="BV124" s="706" t="str">
        <f>'Revenue summary'!BV$8</f>
      </c>
      <c r="BW124" s="706" t="str">
        <f>'Revenue summary'!BW$8</f>
      </c>
      <c r="BX124" s="706" t="str">
        <f>'Revenue summary'!BX$8</f>
      </c>
      <c r="BY124" s="707" t="str">
        <f>'Revenue summary'!BY$8</f>
      </c>
      <c r="BZ124" s="706" t="str">
        <f>'Revenue summary'!BZ$8</f>
      </c>
      <c r="CA124" s="706" t="str">
        <f>'Revenue summary'!CA$8</f>
      </c>
      <c r="CB124" s="706" t="str">
        <f>'Revenue summary'!CB$8</f>
      </c>
      <c r="CC124" s="707" t="str">
        <f>'Revenue summary'!CC$8</f>
      </c>
      <c r="CD124" s="706" t="str">
        <f>'Revenue summary'!CD$8</f>
      </c>
      <c r="CE124" s="706" t="str">
        <f>'Revenue summary'!CE$8</f>
      </c>
      <c r="CF124" s="706" t="str">
        <f>'Revenue summary'!CF$8</f>
      </c>
      <c r="CG124" s="707" t="str">
        <f>'Revenue summary'!CG$8</f>
      </c>
      <c r="CH124" s="706" t="str">
        <f>'Revenue summary'!CH$8</f>
      </c>
      <c r="CI124" s="706" t="str">
        <f>'Revenue summary'!CI$8</f>
      </c>
      <c r="CJ124" s="706" t="str">
        <f>'Revenue summary'!CJ$8</f>
      </c>
      <c r="CK124" s="707" t="str">
        <f>'Revenue summary'!CK$8</f>
      </c>
      <c r="CL124" s="706" t="str">
        <f>'Revenue summary'!CL$8</f>
      </c>
      <c r="CM124" s="706" t="str">
        <f>'Revenue summary'!CM$8</f>
      </c>
      <c r="CN124" s="706" t="str">
        <f>'Revenue summary'!CN$8</f>
      </c>
      <c r="CO124" s="707" t="str">
        <f>'Revenue summary'!CO$8</f>
      </c>
      <c r="CP124" s="706" t="str">
        <f>'Revenue summary'!CP$8</f>
      </c>
      <c r="CQ124" s="706" t="str">
        <f>'Revenue summary'!CQ$8</f>
      </c>
      <c r="CR124" s="706" t="str">
        <f>'Revenue summary'!CR$8</f>
      </c>
      <c r="CS124" s="707" t="str">
        <f>'Revenue summary'!CS$8</f>
      </c>
      <c r="CT124" s="706" t="str">
        <f>'Revenue summary'!CT$8</f>
      </c>
      <c r="CU124" s="706" t="str">
        <f>'Revenue summary'!CU$8</f>
      </c>
      <c r="CV124" s="706" t="str">
        <f>'Revenue summary'!CV$8</f>
      </c>
      <c r="CW124" s="707" t="str">
        <f>'Revenue summary'!CW$8</f>
      </c>
      <c r="CX124" s="706" t="str">
        <f>'Revenue summary'!CX$8</f>
      </c>
      <c r="CY124" s="706" t="str">
        <f>'Revenue summary'!CY$8</f>
      </c>
      <c r="CZ124" s="706" t="str">
        <f>'Revenue summary'!CZ$8</f>
      </c>
      <c r="DA124" s="707" t="str">
        <f>'Revenue summary'!DA$8</f>
      </c>
      <c r="DB124" s="706" t="str">
        <f>'Revenue summary'!DB$8</f>
      </c>
      <c r="DC124" s="706" t="str">
        <f>'Revenue summary'!DC$8</f>
      </c>
      <c r="DD124" s="706" t="str">
        <f>'Revenue summary'!DD$8</f>
      </c>
      <c r="DE124" s="707" t="str">
        <f>'Revenue summary'!DE$8</f>
      </c>
      <c r="DF124" s="706" t="str">
        <f>'Revenue summary'!DF$8</f>
      </c>
      <c r="DG124" s="706" t="str">
        <f>'Revenue summary'!DG$8</f>
      </c>
      <c r="DH124" s="706" t="str">
        <f>'Revenue summary'!DH$8</f>
      </c>
      <c r="DI124" s="707" t="str">
        <f>'Revenue summary'!DI$8</f>
      </c>
      <c r="DJ124" s="706" t="str">
        <f>'Revenue summary'!DJ$8</f>
      </c>
      <c r="DK124" s="706" t="str">
        <f>'Revenue summary'!DK$8</f>
      </c>
      <c r="DL124" s="706" t="str">
        <f>'Revenue summary'!DL$8</f>
      </c>
      <c r="DM124" s="707" t="str">
        <f>'Revenue summary'!DM$8</f>
      </c>
      <c r="DN124" s="706" t="str">
        <f>'Revenue summary'!DN$8</f>
      </c>
      <c r="DO124" s="706" t="str">
        <f>'Revenue summary'!DO$8</f>
      </c>
      <c r="DP124" s="706" t="str">
        <f>'Revenue summary'!DP$8</f>
      </c>
      <c r="DQ124" s="707" t="str">
        <f>'Revenue summary'!DQ$8</f>
      </c>
      <c r="DR124" s="706" t="str">
        <f>'Revenue summary'!DR$8</f>
      </c>
      <c r="DS124" s="706" t="str">
        <f>'Revenue summary'!DS$8</f>
      </c>
      <c r="DT124" s="706" t="str">
        <f>'Revenue summary'!DT$8</f>
      </c>
      <c r="DU124" s="707" t="str">
        <f>'Revenue summary'!DU$8</f>
      </c>
      <c r="DV124" s="706" t="str">
        <f>'Revenue summary'!DV$8</f>
      </c>
      <c r="DW124" s="706" t="str">
        <f>'Revenue summary'!DW$8</f>
      </c>
      <c r="DX124" s="706" t="str">
        <f>'Revenue summary'!DX$8</f>
      </c>
      <c r="DY124" s="707" t="str">
        <f>'Revenue summary'!DY$8</f>
      </c>
      <c r="DZ124" s="706" t="str">
        <f>'Revenue summary'!DZ$8</f>
      </c>
      <c r="EA124" s="706" t="str">
        <f>'Revenue summary'!EA$8</f>
      </c>
      <c r="EB124" s="706" t="str">
        <f>'Revenue summary'!EB$8</f>
      </c>
      <c r="EC124" s="707" t="str">
        <f>'Revenue summary'!EC$8</f>
      </c>
      <c r="ED124" s="706" t="str">
        <f>'Revenue summary'!ED$8</f>
      </c>
      <c r="EE124" s="706" t="str">
        <f>'Revenue summary'!EE$8</f>
      </c>
      <c r="EF124" s="706" t="str">
        <f>'Revenue summary'!EF$8</f>
      </c>
      <c r="EG124" s="707" t="str">
        <f>'Revenue summary'!EG$8</f>
      </c>
      <c r="EH124" s="706" t="str">
        <f>'Revenue summary'!EH$8</f>
      </c>
      <c r="EI124" s="706" t="str">
        <f>'Revenue summary'!EI$8</f>
      </c>
      <c r="EJ124" s="706" t="str">
        <f>'Revenue summary'!EJ$8</f>
      </c>
      <c r="EK124" s="707" t="str">
        <f>'Revenue summary'!EK$8</f>
      </c>
      <c r="EL124" s="320"/>
      <c r="EM124" s="320"/>
      <c r="EN124" s="320"/>
      <c r="EO124" s="320"/>
      <c r="EP124" s="320"/>
      <c r="EQ124" s="320"/>
      <c r="ER124" s="320"/>
      <c r="ES124" s="320"/>
      <c r="ET124" s="320"/>
      <c r="EU124" s="320"/>
      <c r="EV124" s="320"/>
      <c r="EW124" s="320"/>
      <c r="EX124" s="320"/>
      <c r="EY124" s="320"/>
      <c r="EZ124" s="320"/>
      <c r="FA124" s="320"/>
      <c r="FB124" s="320"/>
      <c r="FC124" s="320"/>
      <c r="FD124" s="320"/>
      <c r="FE124" s="320"/>
      <c r="FF124" s="320"/>
      <c r="FG124" s="320"/>
      <c r="FH124" s="320"/>
      <c r="FI124" s="320"/>
      <c r="FJ124" s="320"/>
      <c r="FK124" s="320"/>
      <c r="FL124" s="320"/>
      <c r="FM124" s="320"/>
      <c r="FN124" s="320"/>
      <c r="FO124" s="320"/>
      <c r="FP124" s="320"/>
      <c r="FQ124" s="320"/>
      <c r="FR124" s="320"/>
      <c r="FS124" s="320"/>
      <c r="FT124" s="320"/>
      <c r="FU124" s="320"/>
      <c r="FW124" s="320"/>
      <c r="FX124" s="320"/>
      <c r="FY124" s="320"/>
      <c r="FZ124" s="320"/>
      <c r="GA124" s="320"/>
      <c r="GB124" s="320"/>
      <c r="GC124" s="320"/>
      <c r="GD124" s="320"/>
      <c r="GE124" s="320"/>
      <c r="GF124" s="320"/>
      <c r="GG124" s="320"/>
      <c r="GH124" s="320"/>
      <c r="GI124" s="320"/>
      <c r="GJ124" s="320"/>
      <c r="GK124" s="320"/>
      <c r="GL124" s="320"/>
      <c r="GM124" s="320"/>
      <c r="GN124" s="320"/>
      <c r="GO124" s="320"/>
      <c r="GP124" s="320"/>
      <c r="GQ124" s="320"/>
      <c r="GR124" s="320"/>
      <c r="GS124" s="320"/>
      <c r="GT124" s="320"/>
      <c r="GU124" s="320"/>
      <c r="GV124" s="320"/>
      <c r="GW124" s="320"/>
      <c r="GX124" s="320"/>
      <c r="GY124" s="320"/>
      <c r="GZ124" s="320"/>
      <c r="HA124" s="320"/>
      <c r="HB124" s="320"/>
      <c r="HC124" s="320"/>
      <c r="HD124" s="320"/>
      <c r="HE124" s="320"/>
      <c r="HF124" s="320"/>
    </row>
    <row r="125" spans="1:214" s="82" customFormat="1" ht="10.199999999999999">
      <c r="A125" s="880" t="s">
        <v>84</v>
      </c>
      <c r="B125" s="882"/>
      <c r="C125" s="882"/>
      <c r="D125" s="882"/>
      <c r="E125" s="883"/>
      <c r="F125" s="882"/>
      <c r="G125" s="882"/>
      <c r="H125" s="882"/>
      <c r="I125" s="883"/>
      <c r="J125" s="882"/>
      <c r="K125" s="882"/>
      <c r="L125" s="882"/>
      <c r="M125" s="883"/>
      <c r="N125" s="882"/>
      <c r="O125" s="882"/>
      <c r="P125" s="882"/>
      <c r="Q125" s="883"/>
      <c r="R125" s="882"/>
      <c r="S125" s="882"/>
      <c r="T125" s="882"/>
      <c r="U125" s="883"/>
      <c r="V125" s="882"/>
      <c r="W125" s="882"/>
      <c r="X125" s="882"/>
      <c r="Y125" s="883"/>
      <c r="Z125" s="884"/>
      <c r="AA125" s="884"/>
      <c r="AB125" s="884"/>
      <c r="AC125" s="772"/>
      <c r="AD125" s="884"/>
      <c r="AE125" s="884"/>
      <c r="AF125" s="884"/>
      <c r="AG125" s="772"/>
      <c r="AH125" s="884"/>
      <c r="AI125" s="884"/>
      <c r="AJ125" s="884"/>
      <c r="AK125" s="772"/>
      <c r="AL125" s="884"/>
      <c r="AM125" s="884"/>
      <c r="AN125" s="884"/>
      <c r="AO125" s="772"/>
      <c r="AP125" s="884"/>
      <c r="AQ125" s="884"/>
      <c r="AR125" s="884"/>
      <c r="AS125" s="772"/>
      <c r="AT125" s="884"/>
      <c r="AU125" s="884"/>
      <c r="AV125" s="890"/>
      <c r="AW125" s="891"/>
      <c r="AX125" s="892">
        <f>AX92/SUM(AX92:BA92)</f>
      </c>
      <c r="AY125" s="892">
        <f>AY92/SUM(AX92:BA92)</f>
      </c>
      <c r="AZ125" s="892">
        <f>AZ92/SUM(AX92:BA92)</f>
      </c>
      <c r="BA125" s="893">
        <f>BA92/SUM(AX92:BA92)</f>
      </c>
      <c r="BB125" s="892">
        <f>BB92/SUM(BB92:BE92)</f>
      </c>
      <c r="BC125" s="892">
        <f>BC92/SUM(BB92:BE92)</f>
      </c>
      <c r="BD125" s="892">
        <f>BD92/SUM(BB92:BE92)</f>
      </c>
      <c r="BE125" s="893">
        <f>BE92/SUM(BB92:BE92)</f>
      </c>
      <c r="BF125" s="892">
        <f>BF92/SUM(BF92:BI92)</f>
      </c>
      <c r="BG125" s="892">
        <f>BG92/SUM(BF92:BI92)</f>
      </c>
      <c r="BH125" s="892">
        <f>BH92/SUM(BF92:BI92)</f>
      </c>
      <c r="BI125" s="893">
        <f>BI92/SUM(BF92:BI92)</f>
      </c>
      <c r="BJ125" s="892">
        <f>BJ92/SUM(BJ92:BM92)</f>
      </c>
      <c r="BK125" s="892">
        <f>BK92/SUM(BJ92:BM92)</f>
      </c>
      <c r="BL125" s="892">
        <f>BL92/SUM(BJ92:BM92)</f>
      </c>
      <c r="BM125" s="893">
        <f>BM92/SUM(BJ92:BM92)</f>
      </c>
      <c r="BN125" s="892">
        <f>BN92/SUM(BN92:BQ92)</f>
      </c>
      <c r="BO125" s="892">
        <f>BO92/SUM(BN92:BQ92)</f>
      </c>
      <c r="BP125" s="892">
        <f>BP92/SUM(BN92:BQ92)</f>
      </c>
      <c r="BQ125" s="893">
        <f>BQ92/SUM(BN92:BQ92)</f>
      </c>
      <c r="BR125" s="892">
        <f>BR92/SUM(BR92:BU92)</f>
      </c>
      <c r="BS125" s="892">
        <f>BS92/SUM(BR92:BU92)</f>
      </c>
      <c r="BT125" s="892">
        <f>BT92/SUM(BR92:BU92)</f>
      </c>
      <c r="BU125" s="893">
        <f>BU92/SUM(BR92:BU92)</f>
      </c>
      <c r="BV125" s="892">
        <f>BV92/SUM(BV92:BY92)</f>
      </c>
      <c r="BW125" s="892">
        <f>BW92/SUM(BV92:BY92)</f>
      </c>
      <c r="BX125" s="892">
        <f>BX92/SUM(BV92:BY92)</f>
      </c>
      <c r="BY125" s="893">
        <f>BY92/SUM(BV92:BY92)</f>
      </c>
      <c r="BZ125" s="892">
        <f>BZ92/SUM(BZ92:CC92)</f>
      </c>
      <c r="CA125" s="892">
        <f>CA92/SUM(BZ92:CC92)</f>
      </c>
      <c r="CB125" s="892">
        <f>CB92/SUM(BZ92:CC92)</f>
      </c>
      <c r="CC125" s="893">
        <f>CC92/SUM(BZ92:CC92)</f>
      </c>
      <c r="CD125" s="892">
        <f>CD92/SUM(CD92:CG92)</f>
      </c>
      <c r="CE125" s="892">
        <f>CE92/SUM(CD92:CG92)</f>
      </c>
      <c r="CF125" s="892">
        <f>CF92/SUM(CD92:CG92)</f>
      </c>
      <c r="CG125" s="893">
        <f>CG92/SUM(CD92:CG92)</f>
      </c>
      <c r="CH125" s="892">
        <f>CH92/SUM(CH92:CK92)</f>
      </c>
      <c r="CI125" s="892">
        <f>CI92/SUM(CH92:CK92)</f>
      </c>
      <c r="CJ125" s="892">
        <f>CJ92/SUM(CH92:CK92)</f>
      </c>
      <c r="CK125" s="893">
        <f>CK92/SUM(CH92:CK92)</f>
      </c>
      <c r="CL125" s="892">
        <f>CL92/SUM(CL92:CO92)</f>
      </c>
      <c r="CM125" s="892">
        <f>CM92/SUM(CL92:CO92)</f>
      </c>
      <c r="CN125" s="892">
        <f>CN92/SUM(CL92:CO92)</f>
      </c>
      <c r="CO125" s="893">
        <f>CO92/SUM(CL92:CO92)</f>
      </c>
      <c r="CP125" s="892">
        <f>CP92/SUM(CP92:CS92)</f>
      </c>
      <c r="CQ125" s="892">
        <f>CQ92/SUM(CP92:CS92)</f>
      </c>
      <c r="CR125" s="892">
        <f>CR92/SUM(CP92:CS92)</f>
      </c>
      <c r="CS125" s="893">
        <f>CS92/SUM(CP92:CS92)</f>
      </c>
      <c r="CT125" s="892">
        <f>CT92/SUM(CT92:CW92)</f>
      </c>
      <c r="CU125" s="892">
        <f>CU92/SUM(CT92:CW92)</f>
      </c>
      <c r="CV125" s="892">
        <f>CV92/SUM(CU92:CX92)</f>
      </c>
      <c r="CW125" s="893">
        <f>CW92/SUM(CT92:CW92)</f>
      </c>
      <c r="CX125" s="892">
        <f>CX92/SUM(CX92:DA92)</f>
      </c>
      <c r="CY125" s="892">
        <f>CY92/SUM(CY92:DB92)</f>
      </c>
      <c r="CZ125" s="892">
        <f>CZ92/SUM(CX92:DA92)</f>
      </c>
      <c r="DA125" s="893">
        <f>DA92/SUM(CX92:DA92)</f>
      </c>
      <c r="DB125" s="892">
        <f>DB92/SUM(DB92:DE92)</f>
      </c>
      <c r="DC125" s="892">
        <f>DC92/SUM(DB92:DE92)</f>
      </c>
      <c r="DD125" s="892">
        <f>DD92/SUM(DB92:DE92)</f>
      </c>
      <c r="DE125" s="893">
        <f>DE92/SUM(DB92:DE92)</f>
      </c>
      <c r="DF125" s="892">
        <f>DF92/SUM(DF92:DI92)</f>
      </c>
      <c r="DG125" s="892">
        <f>DG92/SUM(DF92:DI92)</f>
      </c>
      <c r="DH125" s="892">
        <f>DH92/SUM(DF92:DI92)</f>
      </c>
      <c r="DI125" s="893">
        <f>DI92/SUM(DF92:DI92)</f>
      </c>
      <c r="DJ125" s="892">
        <f>DJ92/SUM(DJ92:DM92)</f>
      </c>
      <c r="DK125" s="892">
        <f>DK92/SUM(DJ92:DM92)</f>
      </c>
      <c r="DL125" s="892">
        <f>DL92/SUM(DJ92:DM92)</f>
      </c>
      <c r="DM125" s="893">
        <f>DM92/SUM(DJ92:DM92)</f>
      </c>
      <c r="DN125" s="892">
        <f>DN92/SUM(DN92:DN92)</f>
      </c>
      <c r="DO125" s="892">
        <f>DO92/SUM(DN92:DN92)</f>
      </c>
      <c r="DP125" s="892">
        <f>DP92/SUM(DN92:DN92)</f>
      </c>
      <c r="DQ125" s="893">
        <f>DQ92/SUM(DN92:DN92)</f>
      </c>
      <c r="DR125" s="892">
        <f>DR92/SUM(DS92:DU92)</f>
      </c>
      <c r="DS125" s="892">
        <f>DS92/SUM(DS92:DU92)</f>
      </c>
      <c r="DT125" s="892">
        <f>DT92/SUM(DS92:DU92)</f>
      </c>
      <c r="DU125" s="893">
        <f>DU92/SUM(DS92:DU92)</f>
      </c>
      <c r="DV125" s="892">
        <f>DV92/SUM(DV92:DY92)</f>
      </c>
      <c r="DW125" s="892">
        <f>DW92/SUM(DV92:DY92)</f>
      </c>
      <c r="DX125" s="892">
        <f>DX92/SUM(DV92:DY92)</f>
      </c>
      <c r="DY125" s="893">
        <f>DY92/SUM(DV92:DY92)</f>
      </c>
      <c r="DZ125" s="892">
        <f>DZ92/SUM(DZ92:EC92)</f>
      </c>
      <c r="EA125" s="892">
        <f>EA92/SUM(DZ92:EC92)</f>
      </c>
      <c r="EB125" s="892">
        <f>EB92/SUM(DZ92:EC92)</f>
      </c>
      <c r="EC125" s="893">
        <f>EC92/SUM(DZ92:EC92)</f>
      </c>
      <c r="ED125" s="892">
        <f>ED92/SUM(ED92:EG92)</f>
      </c>
      <c r="EE125" s="892">
        <f>EE92/SUM(ED92:EG92)</f>
      </c>
      <c r="EF125" s="892">
        <f>EF92/SUM(ED92:EG92)</f>
      </c>
      <c r="EG125" s="893">
        <f>EG92/SUM(ED92:EG92)</f>
      </c>
      <c r="EH125" s="892">
        <f>EH92/SUM(EH92:EK92)</f>
      </c>
      <c r="EI125" s="892">
        <f>EI92/SUM(EH92:EK92)</f>
      </c>
      <c r="EJ125" s="892">
        <f>EJ92/SUM(EH92:EK92)</f>
      </c>
      <c r="EK125" s="893">
        <f>EK92/SUM(EH92:EK92)</f>
      </c>
      <c r="EM125" s="75"/>
      <c r="EN125" s="75"/>
      <c r="EO125" s="75"/>
      <c r="EP125" s="75"/>
      <c r="EQ125" s="75"/>
      <c r="ER125" s="75"/>
      <c r="ES125" s="75"/>
      <c r="ET125" s="75"/>
      <c r="EU125" s="75"/>
      <c r="EV125" s="75"/>
      <c r="EW125" s="75"/>
      <c r="EX125" s="75"/>
      <c r="EY125" s="75"/>
      <c r="EZ125" s="75"/>
      <c r="FA125" s="75"/>
      <c r="FB125" s="75"/>
      <c r="FC125" s="75"/>
      <c r="FD125" s="75"/>
      <c r="FE125" s="75"/>
      <c r="FF125" s="75"/>
      <c r="FG125" s="318"/>
      <c r="FH125" s="318"/>
      <c r="FI125" s="318"/>
      <c r="FJ125" s="318"/>
      <c r="FK125" s="318"/>
      <c r="FL125" s="318"/>
      <c r="FM125" s="318"/>
      <c r="FN125" s="318"/>
      <c r="FO125" s="318"/>
      <c r="FP125" s="318"/>
      <c r="FQ125" s="318"/>
      <c r="FR125" s="318"/>
      <c r="FS125" s="318"/>
      <c r="FT125" s="318"/>
      <c r="FU125" s="318"/>
      <c r="FW125" s="318"/>
      <c r="FY125" s="75"/>
      <c r="FZ125" s="75"/>
      <c r="GA125" s="75"/>
      <c r="GB125" s="75"/>
      <c r="GC125" s="75"/>
      <c r="GD125" s="75"/>
      <c r="GE125" s="75"/>
      <c r="GF125" s="75"/>
      <c r="GG125" s="75"/>
      <c r="GH125" s="75"/>
      <c r="GI125" s="75"/>
      <c r="GJ125" s="75"/>
      <c r="GK125" s="75"/>
      <c r="GL125" s="75"/>
      <c r="GM125" s="75"/>
      <c r="GN125" s="75"/>
      <c r="GO125" s="75"/>
      <c r="GP125" s="75"/>
      <c r="GQ125" s="75"/>
      <c r="GR125" s="75"/>
      <c r="GS125" s="75"/>
      <c r="GT125" s="75"/>
      <c r="GU125" s="75"/>
      <c r="GV125" s="75"/>
      <c r="GW125" s="75"/>
      <c r="GX125" s="75"/>
      <c r="GY125" s="75"/>
      <c r="GZ125" s="75"/>
      <c r="HA125" s="75"/>
      <c r="HB125" s="75"/>
      <c r="HC125" s="75"/>
      <c r="HD125" s="75"/>
      <c r="HE125" s="75"/>
      <c r="HF125" s="75"/>
    </row>
    <row r="126" spans="1:214" s="82" customFormat="1" ht="10.199999999999999">
      <c r="A126" s="880" t="s">
        <v>86</v>
      </c>
      <c r="B126" s="882"/>
      <c r="C126" s="882"/>
      <c r="D126" s="882"/>
      <c r="E126" s="883"/>
      <c r="F126" s="882"/>
      <c r="G126" s="882"/>
      <c r="H126" s="882"/>
      <c r="I126" s="883"/>
      <c r="J126" s="882"/>
      <c r="K126" s="882"/>
      <c r="L126" s="882"/>
      <c r="M126" s="883"/>
      <c r="N126" s="882"/>
      <c r="O126" s="882"/>
      <c r="P126" s="882"/>
      <c r="Q126" s="883"/>
      <c r="R126" s="882"/>
      <c r="S126" s="882"/>
      <c r="T126" s="882"/>
      <c r="U126" s="883"/>
      <c r="V126" s="882"/>
      <c r="W126" s="882"/>
      <c r="X126" s="882"/>
      <c r="Y126" s="883"/>
      <c r="Z126" s="884"/>
      <c r="AA126" s="884"/>
      <c r="AB126" s="884"/>
      <c r="AC126" s="772"/>
      <c r="AD126" s="884"/>
      <c r="AE126" s="884"/>
      <c r="AF126" s="884"/>
      <c r="AG126" s="772"/>
      <c r="AH126" s="884"/>
      <c r="AI126" s="884"/>
      <c r="AJ126" s="884"/>
      <c r="AK126" s="772"/>
      <c r="AL126" s="884"/>
      <c r="AM126" s="884"/>
      <c r="AN126" s="884"/>
      <c r="AO126" s="772"/>
      <c r="AP126" s="884"/>
      <c r="AQ126" s="884"/>
      <c r="AR126" s="884"/>
      <c r="AS126" s="772"/>
      <c r="AT126" s="884"/>
      <c r="AU126" s="884"/>
      <c r="AV126" s="890"/>
      <c r="AW126" s="891"/>
      <c r="AX126" s="892">
        <f>AX93/SUM(AX93:BA93)</f>
      </c>
      <c r="AY126" s="892">
        <f>AY93/SUM(AX93:BA93)</f>
      </c>
      <c r="AZ126" s="892">
        <f>AZ93/SUM(AX93:BA93)</f>
      </c>
      <c r="BA126" s="893">
        <f>BA93/SUM(AX93:BA93)</f>
      </c>
      <c r="BB126" s="892">
        <f>BB93/SUM(BB93:BE93)</f>
      </c>
      <c r="BC126" s="892">
        <f>BC93/SUM(BB93:BE93)</f>
      </c>
      <c r="BD126" s="892">
        <f>BD93/SUM(BB93:BE93)</f>
      </c>
      <c r="BE126" s="893">
        <f>BE93/SUM(BB93:BE93)</f>
      </c>
      <c r="BF126" s="892">
        <f>BF93/SUM(BF93:BI93)</f>
      </c>
      <c r="BG126" s="892">
        <f>BG93/SUM(BF93:BI93)</f>
      </c>
      <c r="BH126" s="892">
        <f>BH93/SUM(BF93:BI93)</f>
      </c>
      <c r="BI126" s="893">
        <f>BI93/SUM(BF93:BI93)</f>
      </c>
      <c r="BJ126" s="892">
        <f>BJ93/SUM(BJ93:BM93)</f>
      </c>
      <c r="BK126" s="892">
        <f>BK93/SUM(BJ93:BM93)</f>
      </c>
      <c r="BL126" s="892">
        <f>BL93/SUM(BJ93:BM93)</f>
      </c>
      <c r="BM126" s="893">
        <f>BM93/SUM(BJ93:BM93)</f>
      </c>
      <c r="BN126" s="892">
        <f>BN93/SUM(BN93:BQ93)</f>
      </c>
      <c r="BO126" s="892">
        <f>BO93/SUM(BN93:BQ93)</f>
      </c>
      <c r="BP126" s="892">
        <f>BP93/SUM(BN93:BQ93)</f>
      </c>
      <c r="BQ126" s="893">
        <f>BQ93/SUM(BN93:BQ93)</f>
      </c>
      <c r="BR126" s="892">
        <f>BR93/SUM(BR93:BU93)</f>
      </c>
      <c r="BS126" s="892">
        <f>BS93/SUM(BR93:BU93)</f>
      </c>
      <c r="BT126" s="892">
        <f>BT93/SUM(BR93:BU93)</f>
      </c>
      <c r="BU126" s="893">
        <f>BU93/SUM(BR93:BU93)</f>
      </c>
      <c r="BV126" s="892">
        <f>BV93/SUM(BV93:BY93)</f>
      </c>
      <c r="BW126" s="892">
        <f>BW93/SUM(BV93:BY93)</f>
      </c>
      <c r="BX126" s="892">
        <f>BX93/SUM(BV93:BY93)</f>
      </c>
      <c r="BY126" s="893">
        <f>BY93/SUM(BV93:BY93)</f>
      </c>
      <c r="BZ126" s="892">
        <f>BZ93/SUM(BZ93:CC93)</f>
      </c>
      <c r="CA126" s="892">
        <f>CA93/SUM(BZ93:CC93)</f>
      </c>
      <c r="CB126" s="892">
        <f>CB93/SUM(BZ93:CC93)</f>
      </c>
      <c r="CC126" s="893">
        <f>CC93/SUM(BZ93:CC93)</f>
      </c>
      <c r="CD126" s="892">
        <f>CD93/SUM(CD93:CG93)</f>
      </c>
      <c r="CE126" s="892">
        <f>CE93/SUM(CD93:CG93)</f>
      </c>
      <c r="CF126" s="892">
        <f>CF93/SUM(CD93:CG93)</f>
      </c>
      <c r="CG126" s="893">
        <f>CG93/SUM(CD93:CG93)</f>
      </c>
      <c r="CH126" s="892">
        <f>CH93/SUM(CH93:CK93)</f>
      </c>
      <c r="CI126" s="892">
        <f>CI93/SUM(CH93:CK93)</f>
      </c>
      <c r="CJ126" s="892">
        <f>CJ93/SUM(CH93:CK93)</f>
      </c>
      <c r="CK126" s="893">
        <f>CK93/SUM(CH93:CK93)</f>
      </c>
      <c r="CL126" s="892">
        <f>CL93/SUM(CL93:CO93)</f>
      </c>
      <c r="CM126" s="892">
        <f>CM93/SUM(CL93:CO93)</f>
      </c>
      <c r="CN126" s="892">
        <f>CN93/SUM(CL93:CO93)</f>
      </c>
      <c r="CO126" s="893">
        <f>CO93/SUM(CL93:CO93)</f>
      </c>
      <c r="CP126" s="892">
        <f>CP93/SUM(CP93:CS93)</f>
      </c>
      <c r="CQ126" s="892">
        <f>CQ93/SUM(CP93:CS93)</f>
      </c>
      <c r="CR126" s="892">
        <f>CR93/SUM(CP93:CS93)</f>
      </c>
      <c r="CS126" s="893">
        <f>CS93/SUM(CP93:CS93)</f>
      </c>
      <c r="CT126" s="892">
        <f>CT93/SUM(CT93:CW93)</f>
      </c>
      <c r="CU126" s="892">
        <f>CU93/SUM(CT93:CW93)</f>
      </c>
      <c r="CV126" s="892">
        <f>CV93/SUM(CT93:CW93)</f>
      </c>
      <c r="CW126" s="893">
        <f>CW93/SUM(CT93:CW93)</f>
      </c>
      <c r="CX126" s="892">
        <f>CX93/SUM(CX93:DA93)</f>
      </c>
      <c r="CY126" s="892">
        <f>CY93/SUM(CX93:DA93)</f>
      </c>
      <c r="CZ126" s="892">
        <f>CZ93/SUM(CX93:DA93)</f>
      </c>
      <c r="DA126" s="893">
        <f>DA93/SUM(CX93:DA93)</f>
      </c>
      <c r="DB126" s="892">
        <f>DB93/SUM(DB93:DE93)</f>
      </c>
      <c r="DC126" s="892">
        <f>DC93/SUM(DB93:DE93)</f>
      </c>
      <c r="DD126" s="892">
        <f>DD93/SUM(DB93:DE93)</f>
      </c>
      <c r="DE126" s="893">
        <f>DE93/SUM(DB93:DE93)</f>
      </c>
      <c r="DF126" s="892">
        <f>DF93/SUM(DF93:DI93)</f>
      </c>
      <c r="DG126" s="892">
        <f>DG93/SUM(DF93:DI93)</f>
      </c>
      <c r="DH126" s="892">
        <f>DH93/SUM(DF93:DI93)</f>
      </c>
      <c r="DI126" s="893">
        <f>DI93/SUM(DF93:DI93)</f>
      </c>
      <c r="DJ126" s="892">
        <f>DJ93/SUM(DJ93:DM93)</f>
      </c>
      <c r="DK126" s="892">
        <f>DK93/SUM(DJ93:DM93)</f>
      </c>
      <c r="DL126" s="892">
        <f>DL93/SUM(DJ93:DM93)</f>
      </c>
      <c r="DM126" s="893">
        <f>DM93/SUM(DJ93:DM93)</f>
      </c>
      <c r="DN126" s="892">
        <f>DN93/SUM(DN93:DN93)</f>
      </c>
      <c r="DO126" s="892">
        <f>DO93/SUM(DN93:DN93)</f>
      </c>
      <c r="DP126" s="892">
        <f>DP93/SUM(DN93:DN93)</f>
      </c>
      <c r="DQ126" s="893">
        <f>DQ93/SUM(DN93:DN93)</f>
      </c>
      <c r="DR126" s="892">
        <f>DR93/SUM(DS93:DU93)</f>
      </c>
      <c r="DS126" s="892">
        <f>DS93/SUM(DS93:DU93)</f>
      </c>
      <c r="DT126" s="892">
        <f>DT93/SUM(DS93:DU93)</f>
      </c>
      <c r="DU126" s="893">
        <f>DU93/SUM(DS93:DU93)</f>
      </c>
      <c r="DV126" s="892">
        <f>DV93/SUM(DV93:DY93)</f>
      </c>
      <c r="DW126" s="892">
        <f>DW93/SUM(DV93:DY93)</f>
      </c>
      <c r="DX126" s="892">
        <f>DX93/SUM(DV93:DY93)</f>
      </c>
      <c r="DY126" s="893">
        <f>DY93/SUM(DV93:DY93)</f>
      </c>
      <c r="DZ126" s="892">
        <f>DZ93/SUM(DZ93:EC93)</f>
      </c>
      <c r="EA126" s="892">
        <f>EA93/SUM(DZ93:EC93)</f>
      </c>
      <c r="EB126" s="892">
        <f>EB93/SUM(DZ93:EC93)</f>
      </c>
      <c r="EC126" s="893">
        <f>EC93/SUM(DZ93:EC93)</f>
      </c>
      <c r="ED126" s="892">
        <f>ED93/SUM(ED93:EG93)</f>
      </c>
      <c r="EE126" s="892">
        <f>EE93/SUM(ED93:EG93)</f>
      </c>
      <c r="EF126" s="892">
        <f>EF93/SUM(ED93:EG93)</f>
      </c>
      <c r="EG126" s="893">
        <f>EG93/SUM(ED93:EG93)</f>
      </c>
      <c r="EH126" s="892">
        <f>EH93/SUM(EH93:EK93)</f>
      </c>
      <c r="EI126" s="892">
        <f>EI93/SUM(EH93:EK93)</f>
      </c>
      <c r="EJ126" s="892">
        <f>EJ93/SUM(EH93:EK93)</f>
      </c>
      <c r="EK126" s="893">
        <f>EK93/SUM(EH93:EK93)</f>
      </c>
      <c r="EM126" s="75"/>
      <c r="EN126" s="75"/>
      <c r="EO126" s="75"/>
      <c r="EP126" s="75"/>
      <c r="EQ126" s="75"/>
      <c r="ER126" s="75"/>
      <c r="ES126" s="75"/>
      <c r="ET126" s="75"/>
      <c r="EU126" s="75"/>
      <c r="EV126" s="75"/>
      <c r="EW126" s="75"/>
      <c r="EX126" s="75"/>
      <c r="EY126" s="75"/>
      <c r="EZ126" s="75"/>
      <c r="FA126" s="75"/>
      <c r="FB126" s="75"/>
      <c r="FC126" s="75"/>
      <c r="FD126" s="75"/>
      <c r="FE126" s="75"/>
      <c r="FF126" s="75"/>
      <c r="FG126" s="318"/>
      <c r="FH126" s="318"/>
      <c r="FI126" s="318"/>
      <c r="FJ126" s="318"/>
      <c r="FK126" s="318"/>
      <c r="FL126" s="318"/>
      <c r="FM126" s="318"/>
      <c r="FN126" s="318"/>
      <c r="FO126" s="318"/>
      <c r="FP126" s="318"/>
      <c r="FQ126" s="318"/>
      <c r="FR126" s="318"/>
      <c r="FS126" s="318"/>
      <c r="FT126" s="318"/>
      <c r="FU126" s="318"/>
      <c r="FW126" s="318"/>
      <c r="FY126" s="75"/>
      <c r="FZ126" s="75"/>
      <c r="GA126" s="75"/>
      <c r="GB126" s="75"/>
      <c r="GC126" s="75"/>
      <c r="GD126" s="75"/>
      <c r="GE126" s="75"/>
      <c r="GF126" s="75"/>
      <c r="GG126" s="75"/>
      <c r="GH126" s="75"/>
      <c r="GI126" s="75"/>
      <c r="GJ126" s="75"/>
      <c r="GK126" s="75"/>
      <c r="GL126" s="75"/>
      <c r="GM126" s="75"/>
      <c r="GN126" s="75"/>
      <c r="GO126" s="75"/>
      <c r="GP126" s="75"/>
      <c r="GQ126" s="75"/>
      <c r="GR126" s="75"/>
      <c r="GS126" s="75"/>
      <c r="GT126" s="75"/>
      <c r="GU126" s="75"/>
      <c r="GV126" s="75"/>
      <c r="GW126" s="75"/>
      <c r="GX126" s="75"/>
      <c r="GY126" s="75"/>
      <c r="GZ126" s="75"/>
      <c r="HA126" s="75"/>
      <c r="HB126" s="75"/>
      <c r="HC126" s="75"/>
      <c r="HD126" s="75"/>
      <c r="HE126" s="75"/>
      <c r="HF126" s="75"/>
    </row>
    <row r="127" spans="1:214" s="82" customFormat="1" ht="10.199999999999999">
      <c r="A127" s="880" t="s">
        <v>85</v>
      </c>
      <c r="B127" s="882"/>
      <c r="C127" s="882"/>
      <c r="D127" s="882"/>
      <c r="E127" s="883"/>
      <c r="F127" s="882"/>
      <c r="G127" s="882"/>
      <c r="H127" s="882"/>
      <c r="I127" s="883"/>
      <c r="J127" s="882"/>
      <c r="K127" s="882"/>
      <c r="L127" s="882"/>
      <c r="M127" s="883"/>
      <c r="N127" s="882"/>
      <c r="O127" s="882"/>
      <c r="P127" s="882"/>
      <c r="Q127" s="883"/>
      <c r="R127" s="882"/>
      <c r="S127" s="882"/>
      <c r="T127" s="882"/>
      <c r="U127" s="883"/>
      <c r="V127" s="882"/>
      <c r="W127" s="882"/>
      <c r="X127" s="882"/>
      <c r="Y127" s="883"/>
      <c r="Z127" s="884"/>
      <c r="AA127" s="884"/>
      <c r="AB127" s="884"/>
      <c r="AC127" s="772"/>
      <c r="AD127" s="884"/>
      <c r="AE127" s="884"/>
      <c r="AF127" s="884"/>
      <c r="AG127" s="772"/>
      <c r="AH127" s="884"/>
      <c r="AI127" s="884"/>
      <c r="AJ127" s="884"/>
      <c r="AK127" s="772"/>
      <c r="AL127" s="884"/>
      <c r="AM127" s="884"/>
      <c r="AN127" s="884"/>
      <c r="AO127" s="772"/>
      <c r="AP127" s="884"/>
      <c r="AQ127" s="884"/>
      <c r="AR127" s="884"/>
      <c r="AS127" s="772"/>
      <c r="AT127" s="884"/>
      <c r="AU127" s="884"/>
      <c r="AV127" s="890"/>
      <c r="AW127" s="891"/>
      <c r="AX127" s="892" t="e">
        <f>AX99/SUM(AX99:BA99)</f>
      </c>
      <c r="AY127" s="892" t="e">
        <f>AY99/SUM(AX99:BA99)</f>
      </c>
      <c r="AZ127" s="892" t="e">
        <f>AZ99/SUM(AX99:BA99)</f>
      </c>
      <c r="BA127" s="893" t="e">
        <f>BA99/SUM(AX99:BA99)</f>
      </c>
      <c r="BB127" s="892" t="e">
        <f>BB99/SUM(BB99:BE99)</f>
      </c>
      <c r="BC127" s="892" t="e">
        <f>BC99/SUM(BB99:BE99)</f>
      </c>
      <c r="BD127" s="892" t="e">
        <f>BD99/SUM(BB99:BE99)</f>
      </c>
      <c r="BE127" s="893" t="e">
        <f>BE99/SUM(BB99:BE99)</f>
      </c>
      <c r="BF127" s="892">
        <f>BF99/SUM(BF99:BI99)</f>
      </c>
      <c r="BG127" s="892">
        <f>BG99/SUM(BF99:BI99)</f>
      </c>
      <c r="BH127" s="892">
        <f>BH99/SUM(BF99:BI99)</f>
      </c>
      <c r="BI127" s="893">
        <f>BI99/SUM(BF99:BI99)</f>
      </c>
      <c r="BJ127" s="892">
        <f>BJ99/SUM(BJ99:BM99)</f>
      </c>
      <c r="BK127" s="892">
        <f>BK99/SUM(BJ99:BM99)</f>
      </c>
      <c r="BL127" s="892">
        <f>BL99/SUM(BJ99:BM99)</f>
      </c>
      <c r="BM127" s="893">
        <f>BM99/SUM(BJ99:BM99)</f>
      </c>
      <c r="BN127" s="892">
        <f>BN99/SUM(BN99:BQ99)</f>
      </c>
      <c r="BO127" s="892">
        <f>BO99/SUM(BN99:BQ99)</f>
      </c>
      <c r="BP127" s="892">
        <f>BP99/SUM(BN99:BQ99)</f>
      </c>
      <c r="BQ127" s="893">
        <f>BQ99/SUM(BN99:BQ99)</f>
      </c>
      <c r="BR127" s="892">
        <f>BR99/SUM(BR99:BU99)</f>
      </c>
      <c r="BS127" s="892">
        <f>BS99/SUM(BR99:BU99)</f>
      </c>
      <c r="BT127" s="892">
        <f>BT99/SUM(BR99:BU99)</f>
      </c>
      <c r="BU127" s="893">
        <f>BU99/SUM(BR99:BU99)</f>
      </c>
      <c r="BV127" s="892">
        <f>BV99/SUM(BV99:BY99)</f>
      </c>
      <c r="BW127" s="892">
        <f>BW99/SUM(BV99:BY99)</f>
      </c>
      <c r="BX127" s="892">
        <f>BX99/SUM(BV99:BY99)</f>
      </c>
      <c r="BY127" s="893">
        <f>BY99/SUM(BV99:BY99)</f>
      </c>
      <c r="BZ127" s="892">
        <f>BZ99/SUM(BZ99:CC99)</f>
      </c>
      <c r="CA127" s="892">
        <f>CA99/SUM(BZ99:CC99)</f>
      </c>
      <c r="CB127" s="892">
        <f>CB99/SUM(BZ99:CC99)</f>
      </c>
      <c r="CC127" s="893">
        <f>CC99/SUM(BZ99:CC99)</f>
      </c>
      <c r="CD127" s="892">
        <f>CD99/SUM(CD99:CG99)</f>
      </c>
      <c r="CE127" s="892">
        <f>CE99/SUM(CD99:CG99)</f>
      </c>
      <c r="CF127" s="892">
        <f>CF99/SUM(CD99:CG99)</f>
      </c>
      <c r="CG127" s="893">
        <f>CG99/SUM(CD99:CG99)</f>
      </c>
      <c r="CH127" s="892">
        <f>CH99/SUM(CH99:CK99)</f>
      </c>
      <c r="CI127" s="892">
        <f>CI99/SUM(CH99:CK99)</f>
      </c>
      <c r="CJ127" s="892">
        <f>CJ99/SUM(CH99:CK99)</f>
      </c>
      <c r="CK127" s="893">
        <f>CK99/SUM(CH99:CK99)</f>
      </c>
      <c r="CL127" s="892">
        <f>CL99/SUM(CL99:CO99)</f>
      </c>
      <c r="CM127" s="892">
        <f>CM99/SUM(CL99:CO99)</f>
      </c>
      <c r="CN127" s="892">
        <f>CN99/SUM(CL99:CO99)</f>
      </c>
      <c r="CO127" s="893">
        <f>CO99/SUM(CL99:CO99)</f>
      </c>
      <c r="CP127" s="892">
        <f>CP99/SUM(CP99:CS99)</f>
      </c>
      <c r="CQ127" s="892">
        <f>CQ99/SUM(CP99:CS99)</f>
      </c>
      <c r="CR127" s="892">
        <f>CR99/SUM(CP99:CS99)</f>
      </c>
      <c r="CS127" s="893">
        <f>CS99/SUM(CP99:CS99)</f>
      </c>
      <c r="CT127" s="892">
        <f>CT99/SUM(CT99:CW99)</f>
      </c>
      <c r="CU127" s="892">
        <f>CU99/SUM(CT99:CW99)</f>
      </c>
      <c r="CV127" s="892">
        <f>CV99/SUM(CT99:CW99)</f>
      </c>
      <c r="CW127" s="893">
        <f>CW99/SUM(CT99:CW99)</f>
      </c>
      <c r="CX127" s="892">
        <f>CX99/SUM(CX99:DA99)</f>
      </c>
      <c r="CY127" s="892">
        <f>CY99/SUM(CX99:DA99)</f>
      </c>
      <c r="CZ127" s="892">
        <f>CZ99/SUM(CX99:DA99)</f>
      </c>
      <c r="DA127" s="893">
        <f>DA99/SUM(CX99:DA99)</f>
      </c>
      <c r="DB127" s="892">
        <f>DB99/SUM(DB99:DE99)</f>
      </c>
      <c r="DC127" s="892">
        <f>DC99/SUM(DB99:DE99)</f>
      </c>
      <c r="DD127" s="892">
        <f>DD99/SUM(DB99:DE99)</f>
      </c>
      <c r="DE127" s="893">
        <f>DE99/SUM(DB99:DE99)</f>
      </c>
      <c r="DF127" s="892">
        <f>DF99/SUM(DF99:DI99)</f>
      </c>
      <c r="DG127" s="892">
        <f>DG99/SUM(DF99:DI99)</f>
      </c>
      <c r="DH127" s="892">
        <f>DH99/SUM(DF99:DI99)</f>
      </c>
      <c r="DI127" s="893">
        <f>DI99/SUM(DF99:DI99)</f>
      </c>
      <c r="DJ127" s="892">
        <f>DJ99/SUM(DJ99:DM99)</f>
      </c>
      <c r="DK127" s="892">
        <f>DK99/SUM(DJ99:DM99)</f>
      </c>
      <c r="DL127" s="892">
        <f>DL99/SUM(DJ99:DM99)</f>
      </c>
      <c r="DM127" s="893">
        <f>DM99/SUM(DJ99:DM99)</f>
      </c>
      <c r="DN127" s="892">
        <f>DN99/SUM(DN99:DQ99)</f>
      </c>
      <c r="DO127" s="892">
        <f>DO99/SUM(DN99:DQ99)</f>
      </c>
      <c r="DP127" s="892">
        <f>DP99/SUM(DN99:DQ99)</f>
      </c>
      <c r="DQ127" s="893">
        <f>DQ99/SUM(DN99:DQ99)</f>
      </c>
      <c r="DR127" s="892">
        <f>DR99/SUM(DR99:DU99)</f>
      </c>
      <c r="DS127" s="892">
        <f>DS99/SUM(DR99:DU99)</f>
      </c>
      <c r="DT127" s="892">
        <f>DT99/SUM(DR99:DU99)</f>
      </c>
      <c r="DU127" s="893">
        <f>DU99/SUM(DR99:DU99)</f>
      </c>
      <c r="DV127" s="892">
        <f>DV99/SUM(DV99:DY99)</f>
      </c>
      <c r="DW127" s="892">
        <f>DW99/SUM(DV99:DY99)</f>
      </c>
      <c r="DX127" s="892">
        <f>DX99/SUM(DV99:DY99)</f>
      </c>
      <c r="DY127" s="893">
        <f>DY99/SUM(DV99:DY99)</f>
      </c>
      <c r="DZ127" s="892">
        <f>DZ99/SUM(DZ99:EC99)</f>
      </c>
      <c r="EA127" s="892">
        <f>EA99/SUM(DZ99:EC99)</f>
      </c>
      <c r="EB127" s="892">
        <f>EB99/SUM(DZ99:EC99)</f>
      </c>
      <c r="EC127" s="893">
        <f>EC99/SUM(DZ99:EC99)</f>
      </c>
      <c r="ED127" s="892">
        <f>ED99/SUM(ED99:EG99)</f>
      </c>
      <c r="EE127" s="892">
        <f>EE99/SUM(ED99:EG99)</f>
      </c>
      <c r="EF127" s="892">
        <f>EF99/SUM(ED99:EG99)</f>
      </c>
      <c r="EG127" s="893">
        <f>EG99/SUM(ED99:EG99)</f>
      </c>
      <c r="EH127" s="892">
        <f>EH99/SUM(EH99:EK99)</f>
      </c>
      <c r="EI127" s="892">
        <f>EI99/SUM(EH99:EK99)</f>
      </c>
      <c r="EJ127" s="892">
        <f>EJ99/SUM(EH99:EK99)</f>
      </c>
      <c r="EK127" s="893">
        <f>EK99/SUM(EH99:EK99)</f>
      </c>
      <c r="EM127" s="75"/>
      <c r="EN127" s="75"/>
      <c r="EO127" s="75"/>
      <c r="EP127" s="75"/>
      <c r="EQ127" s="75"/>
      <c r="ER127" s="75"/>
      <c r="ES127" s="75"/>
      <c r="ET127" s="75"/>
      <c r="EU127" s="75"/>
      <c r="EV127" s="75"/>
      <c r="EW127" s="75"/>
      <c r="EX127" s="75"/>
      <c r="EY127" s="75"/>
      <c r="EZ127" s="75"/>
      <c r="FA127" s="75"/>
      <c r="FB127" s="75"/>
      <c r="FC127" s="75"/>
      <c r="FD127" s="75"/>
      <c r="FE127" s="75"/>
      <c r="FF127" s="75"/>
      <c r="FG127" s="318"/>
      <c r="FH127" s="318"/>
      <c r="FI127" s="318"/>
      <c r="FJ127" s="318"/>
      <c r="FK127" s="318"/>
      <c r="FL127" s="318"/>
      <c r="FM127" s="318"/>
      <c r="FN127" s="318"/>
      <c r="FO127" s="318"/>
      <c r="FP127" s="318"/>
      <c r="FQ127" s="318"/>
      <c r="FR127" s="318"/>
      <c r="FS127" s="318"/>
      <c r="FT127" s="318"/>
      <c r="FU127" s="318"/>
      <c r="FW127" s="318"/>
      <c r="FY127" s="75"/>
      <c r="FZ127" s="75"/>
      <c r="GA127" s="75"/>
      <c r="GB127" s="75"/>
      <c r="GC127" s="75"/>
      <c r="GD127" s="75"/>
      <c r="GE127" s="75"/>
      <c r="GF127" s="75"/>
      <c r="GG127" s="75"/>
      <c r="GH127" s="75"/>
      <c r="GI127" s="75"/>
      <c r="GJ127" s="75"/>
      <c r="GK127" s="75"/>
      <c r="GL127" s="75"/>
      <c r="GM127" s="75"/>
      <c r="GN127" s="75"/>
      <c r="GO127" s="75"/>
      <c r="GP127" s="75"/>
      <c r="GQ127" s="75"/>
      <c r="GR127" s="75"/>
      <c r="GS127" s="75"/>
      <c r="GT127" s="75"/>
      <c r="GU127" s="75"/>
      <c r="GV127" s="75"/>
      <c r="GW127" s="75"/>
      <c r="GX127" s="75"/>
      <c r="GY127" s="75"/>
      <c r="GZ127" s="75"/>
      <c r="HA127" s="75"/>
      <c r="HB127" s="75"/>
      <c r="HC127" s="75"/>
      <c r="HD127" s="75"/>
      <c r="HE127" s="75"/>
      <c r="HF127" s="75"/>
    </row>
    <row r="128" spans="1:214" s="16" customFormat="1" ht="10.199999999999999">
      <c r="A128" s="880" t="s">
        <v>1184</v>
      </c>
      <c r="B128" s="887"/>
      <c r="C128" s="887"/>
      <c r="D128" s="887"/>
      <c r="E128" s="888"/>
      <c r="F128" s="887"/>
      <c r="G128" s="887"/>
      <c r="H128" s="887"/>
      <c r="I128" s="888"/>
      <c r="J128" s="887"/>
      <c r="K128" s="887"/>
      <c r="L128" s="887"/>
      <c r="M128" s="888"/>
      <c r="N128" s="887"/>
      <c r="O128" s="887"/>
      <c r="P128" s="887"/>
      <c r="Q128" s="888"/>
      <c r="R128" s="887"/>
      <c r="S128" s="887"/>
      <c r="T128" s="887"/>
      <c r="U128" s="888"/>
      <c r="V128" s="887"/>
      <c r="W128" s="887"/>
      <c r="X128" s="887"/>
      <c r="Y128" s="888"/>
      <c r="Z128" s="889"/>
      <c r="AA128" s="889"/>
      <c r="AB128" s="889"/>
      <c r="AC128" s="809"/>
      <c r="AD128" s="889"/>
      <c r="AE128" s="889"/>
      <c r="AF128" s="889"/>
      <c r="AG128" s="809"/>
      <c r="AH128" s="889"/>
      <c r="AI128" s="889"/>
      <c r="AJ128" s="889"/>
      <c r="AK128" s="809"/>
      <c r="AL128" s="889"/>
      <c r="AM128" s="889"/>
      <c r="AN128" s="889"/>
      <c r="AO128" s="809"/>
      <c r="AP128" s="889"/>
      <c r="AQ128" s="889"/>
      <c r="AR128" s="889"/>
      <c r="AS128" s="809"/>
      <c r="AT128" s="889"/>
      <c r="AU128" s="889"/>
      <c r="AV128" s="889"/>
      <c r="AW128" s="809"/>
      <c r="AX128" s="892"/>
      <c r="AY128" s="892"/>
      <c r="AZ128" s="892"/>
      <c r="BA128" s="893"/>
      <c r="BB128" s="892"/>
      <c r="BC128" s="892"/>
      <c r="BD128" s="892"/>
      <c r="BE128" s="893"/>
      <c r="BF128" s="892"/>
      <c r="BG128" s="892"/>
      <c r="BH128" s="892"/>
      <c r="BI128" s="893"/>
      <c r="BJ128" s="892"/>
      <c r="BK128" s="892"/>
      <c r="BL128" s="892"/>
      <c r="BM128" s="893"/>
      <c r="BN128" s="892"/>
      <c r="BO128" s="892"/>
      <c r="BP128" s="892"/>
      <c r="BQ128" s="893"/>
      <c r="BR128" s="892"/>
      <c r="BS128" s="892"/>
      <c r="BT128" s="892"/>
      <c r="BU128" s="893"/>
      <c r="BV128" s="892"/>
      <c r="BW128" s="892"/>
      <c r="BX128" s="892"/>
      <c r="BY128" s="893"/>
      <c r="BZ128" s="892">
        <f>BZ100/SUM(BZ100:CC100)</f>
      </c>
      <c r="CA128" s="892">
        <f>CA100/SUM(BZ100:CC100)</f>
      </c>
      <c r="CB128" s="892">
        <f>CB100/SUM(BZ100:CC100)</f>
      </c>
      <c r="CC128" s="893">
        <f>CC100/SUM(BZ100:CC100)</f>
      </c>
      <c r="CD128" s="892">
        <f>CD100/SUM(CD100:CG100)</f>
      </c>
      <c r="CE128" s="892">
        <f>CE100/SUM(CD100:CG100)</f>
      </c>
      <c r="CF128" s="892">
        <f>CF100/SUM(CD100:CG100)</f>
      </c>
      <c r="CG128" s="893">
        <f>CG100/SUM(CD100:CG100)</f>
      </c>
      <c r="CH128" s="892">
        <f>CH100/SUM(CH100:CK100)</f>
      </c>
      <c r="CI128" s="892">
        <f>CI100/SUM(CH100:CK100)</f>
      </c>
      <c r="CJ128" s="892">
        <f>CJ100/SUM(CH100:CK100)</f>
      </c>
      <c r="CK128" s="893">
        <f>CK100/SUM(CH100:CK100)</f>
      </c>
      <c r="CL128" s="892">
        <f>CL100/SUM(CL100:CO100)</f>
      </c>
      <c r="CM128" s="892">
        <f>CM100/SUM(CL100:CO100)</f>
      </c>
      <c r="CN128" s="892">
        <f>CN100/SUM(CL100:CO100)</f>
      </c>
      <c r="CO128" s="893">
        <f>CO100/SUM(CL100:CO100)</f>
      </c>
      <c r="CP128" s="892">
        <f>CP100/SUM(CP100:CS100)</f>
      </c>
      <c r="CQ128" s="892">
        <f>CQ100/SUM(CP100:CS100)</f>
      </c>
      <c r="CR128" s="892">
        <f>CR100/SUM(CP100:CS100)</f>
      </c>
      <c r="CS128" s="893">
        <f>CS100/SUM(CP100:CS100)</f>
      </c>
      <c r="CT128" s="892">
        <f>CT100/SUM(CT100:CW100)</f>
      </c>
      <c r="CU128" s="892">
        <f>CU100/SUM(CT100:CW100)</f>
      </c>
      <c r="CV128" s="892">
        <f>CV100/SUM(CT100:CW100)</f>
      </c>
      <c r="CW128" s="893">
        <f>CW100/SUM(CT100:CW100)</f>
      </c>
      <c r="CX128" s="892">
        <f>CX100/SUM(CX100:DA100)</f>
      </c>
      <c r="CY128" s="892">
        <f>CY100/SUM(CX100:DA100)</f>
      </c>
      <c r="CZ128" s="892">
        <f>CZ100/SUM(CX100:DA100)</f>
      </c>
      <c r="DA128" s="893">
        <f>DA100/SUM(CX100:DA100)</f>
      </c>
      <c r="DB128" s="892">
        <f>DB100/SUM(DB100:DE100)</f>
      </c>
      <c r="DC128" s="892">
        <f>DC100/SUM(DB100:DE100)</f>
      </c>
      <c r="DD128" s="892">
        <f>DD100/SUM(DB100:DE100)</f>
      </c>
      <c r="DE128" s="893">
        <f>DE100/SUM(DB100:DE100)</f>
      </c>
      <c r="DF128" s="892">
        <f>DF100/SUM(DF100:DI100)</f>
      </c>
      <c r="DG128" s="892">
        <f>DG100/SUM(DF100:DI100)</f>
      </c>
      <c r="DH128" s="892">
        <f>DH100/SUM(DF100:DI100)</f>
      </c>
      <c r="DI128" s="893">
        <f>DI100/SUM(DF100:DI100)</f>
      </c>
      <c r="DJ128" s="892">
        <f>DJ100/SUM(DJ100:DM100)</f>
      </c>
      <c r="DK128" s="892">
        <f>DK100/SUM(DJ100:DM100)</f>
      </c>
      <c r="DL128" s="892">
        <f>DL100/SUM(DJ100:DM100)</f>
      </c>
      <c r="DM128" s="893">
        <f>DM100/SUM(DJ100:DM100)</f>
      </c>
      <c r="DN128" s="892">
        <f>DN100/SUM(DN100:DQ100)</f>
      </c>
      <c r="DO128" s="892">
        <f>DO100/SUM(DN100:DQ100)</f>
      </c>
      <c r="DP128" s="892">
        <f>DP100/SUM(DN100:DQ100)</f>
      </c>
      <c r="DQ128" s="893">
        <f>DQ100/SUM(DN100:DQ100)</f>
      </c>
      <c r="DR128" s="892">
        <f>DR100/SUM(DR100:DU100)</f>
      </c>
      <c r="DS128" s="892">
        <f>DS100/SUM(DR100:DU100)</f>
      </c>
      <c r="DT128" s="892">
        <f>DT100/SUM(DR100:DU100)</f>
      </c>
      <c r="DU128" s="893">
        <f>DU100/SUM(DR100:DU100)</f>
      </c>
      <c r="DV128" s="892">
        <f>DV100/SUM(DV100:DY100)</f>
      </c>
      <c r="DW128" s="892">
        <f>DW100/SUM(DV100:DY100)</f>
      </c>
      <c r="DX128" s="892">
        <f>DX100/SUM(DV100:DY100)</f>
      </c>
      <c r="DY128" s="893">
        <f>DY100/SUM(DV100:DY100)</f>
      </c>
      <c r="DZ128" s="892">
        <f>DZ100/SUM(DZ100:EC100)</f>
      </c>
      <c r="EA128" s="892">
        <f>EA100/SUM(DZ100:EC100)</f>
      </c>
      <c r="EB128" s="892">
        <f>EB100/SUM(DZ100:EC100)</f>
      </c>
      <c r="EC128" s="893">
        <f>EC100/SUM(DZ100:EC100)</f>
      </c>
      <c r="ED128" s="892">
        <f>ED100/SUM(ED100:EG100)</f>
      </c>
      <c r="EE128" s="892">
        <f>EE100/SUM(ED100:EG100)</f>
      </c>
      <c r="EF128" s="892">
        <f>EF100/SUM(ED100:EG100)</f>
      </c>
      <c r="EG128" s="893">
        <f>EG100/SUM(ED100:EG100)</f>
      </c>
      <c r="EH128" s="892">
        <f>EH100/SUM(EH100:EK100)</f>
      </c>
      <c r="EI128" s="892">
        <f>EI100/SUM(EH100:EK100)</f>
      </c>
      <c r="EJ128" s="892">
        <f>EJ100/SUM(EH100:EK100)</f>
      </c>
      <c r="EK128" s="893">
        <f>EK100/SUM(EH100:EK100)</f>
      </c>
      <c r="EL128" s="320"/>
      <c r="EM128" s="320"/>
      <c r="EN128" s="320"/>
      <c r="EO128" s="320"/>
      <c r="EP128" s="320"/>
      <c r="EQ128" s="320"/>
      <c r="ER128" s="320"/>
      <c r="ES128" s="320"/>
      <c r="ET128" s="320"/>
      <c r="EU128" s="320"/>
      <c r="EV128" s="320"/>
      <c r="EW128" s="320"/>
      <c r="EX128" s="320"/>
      <c r="EY128" s="320"/>
      <c r="EZ128" s="320"/>
      <c r="FA128" s="320"/>
      <c r="FB128" s="320"/>
      <c r="FC128" s="320"/>
      <c r="FD128" s="320"/>
      <c r="FE128" s="320"/>
      <c r="FF128" s="320"/>
      <c r="FG128" s="320"/>
      <c r="FH128" s="320"/>
      <c r="FI128" s="320"/>
      <c r="FJ128" s="320"/>
      <c r="FK128" s="320"/>
      <c r="FL128" s="320"/>
      <c r="FM128" s="320"/>
      <c r="FN128" s="320"/>
      <c r="FO128" s="320"/>
      <c r="FP128" s="320"/>
      <c r="FQ128" s="320"/>
      <c r="FR128" s="320"/>
      <c r="FS128" s="320"/>
      <c r="FT128" s="320"/>
      <c r="FU128" s="320"/>
      <c r="FW128" s="320"/>
      <c r="FX128" s="320"/>
      <c r="FY128" s="320"/>
      <c r="FZ128" s="320"/>
      <c r="GA128" s="320"/>
      <c r="GB128" s="320"/>
      <c r="GC128" s="320"/>
      <c r="GD128" s="320"/>
      <c r="GE128" s="320"/>
      <c r="GF128" s="320"/>
      <c r="GG128" s="320"/>
      <c r="GH128" s="320"/>
      <c r="GI128" s="320"/>
      <c r="GJ128" s="320"/>
      <c r="GK128" s="320"/>
      <c r="GL128" s="320"/>
      <c r="GM128" s="320"/>
      <c r="GN128" s="320"/>
      <c r="GO128" s="320"/>
      <c r="GP128" s="320"/>
      <c r="GQ128" s="320"/>
      <c r="GR128" s="320"/>
      <c r="GS128" s="320"/>
      <c r="GT128" s="320"/>
      <c r="GU128" s="320"/>
      <c r="GV128" s="320"/>
      <c r="GW128" s="320"/>
      <c r="GX128" s="320"/>
      <c r="GY128" s="320"/>
      <c r="GZ128" s="320"/>
      <c r="HA128" s="320"/>
      <c r="HB128" s="320"/>
      <c r="HC128" s="320"/>
      <c r="HD128" s="320"/>
      <c r="HE128" s="320"/>
      <c r="HF128" s="320"/>
    </row>
    <row r="129" spans="1:214" s="16" customFormat="1" ht="10.199999999999999">
      <c r="A129" s="881" t="s">
        <v>1183</v>
      </c>
      <c r="B129" s="887"/>
      <c r="C129" s="887"/>
      <c r="D129" s="887"/>
      <c r="E129" s="888"/>
      <c r="F129" s="887"/>
      <c r="G129" s="887"/>
      <c r="H129" s="887"/>
      <c r="I129" s="888"/>
      <c r="J129" s="887"/>
      <c r="K129" s="887"/>
      <c r="L129" s="887"/>
      <c r="M129" s="888"/>
      <c r="N129" s="887"/>
      <c r="O129" s="887"/>
      <c r="P129" s="887"/>
      <c r="Q129" s="888"/>
      <c r="R129" s="887"/>
      <c r="S129" s="887"/>
      <c r="T129" s="887"/>
      <c r="U129" s="888"/>
      <c r="V129" s="887"/>
      <c r="W129" s="887"/>
      <c r="X129" s="887"/>
      <c r="Y129" s="888"/>
      <c r="Z129" s="889"/>
      <c r="AA129" s="889"/>
      <c r="AB129" s="889"/>
      <c r="AC129" s="809"/>
      <c r="AD129" s="889"/>
      <c r="AE129" s="889"/>
      <c r="AF129" s="889"/>
      <c r="AG129" s="809"/>
      <c r="AH129" s="889"/>
      <c r="AI129" s="889"/>
      <c r="AJ129" s="889"/>
      <c r="AK129" s="809"/>
      <c r="AL129" s="889"/>
      <c r="AM129" s="889"/>
      <c r="AN129" s="889"/>
      <c r="AO129" s="809"/>
      <c r="AP129" s="889"/>
      <c r="AQ129" s="889"/>
      <c r="AR129" s="889"/>
      <c r="AS129" s="809"/>
      <c r="AT129" s="889"/>
      <c r="AU129" s="889"/>
      <c r="AV129" s="889"/>
      <c r="AW129" s="809"/>
      <c r="AX129" s="892">
        <f>AX101/SUM(AX101:BA101)</f>
      </c>
      <c r="AY129" s="892">
        <f>AY101/SUM(AX101:BA101)</f>
      </c>
      <c r="AZ129" s="892">
        <f>AZ101/SUM(AX101:BA101)</f>
      </c>
      <c r="BA129" s="893">
        <f>BA101/SUM(AX101:BA101)</f>
      </c>
      <c r="BB129" s="892">
        <f>BB101/SUM(BB101:BE101)</f>
      </c>
      <c r="BC129" s="892">
        <f>BC101/SUM(BB101:BE101)</f>
      </c>
      <c r="BD129" s="892">
        <f>BD101/SUM(BB101:BE101)</f>
      </c>
      <c r="BE129" s="893">
        <f>BE101/SUM(BB101:BE101)</f>
      </c>
      <c r="BF129" s="892">
        <f>BF101/SUM(BF101:BI101)</f>
      </c>
      <c r="BG129" s="892">
        <f>BG101/SUM(BF101:BI101)</f>
      </c>
      <c r="BH129" s="892">
        <f>BH101/SUM(BF101:BI101)</f>
      </c>
      <c r="BI129" s="893">
        <f>BI101/SUM(BF101:BI101)</f>
      </c>
      <c r="BJ129" s="892">
        <f>BJ101/SUM(BJ101:BM101)</f>
      </c>
      <c r="BK129" s="892">
        <f>BK101/SUM(BJ101:BM101)</f>
      </c>
      <c r="BL129" s="892">
        <f>BL101/SUM(BJ101:BM101)</f>
      </c>
      <c r="BM129" s="893">
        <f>BM101/SUM(BJ101:BM101)</f>
      </c>
      <c r="BN129" s="892">
        <f>BN101/SUM(BN101:BQ101)</f>
      </c>
      <c r="BO129" s="892">
        <f>BO101/SUM(BN101:BQ101)</f>
      </c>
      <c r="BP129" s="892">
        <f>BP101/SUM(BN101:BQ101)</f>
      </c>
      <c r="BQ129" s="893">
        <f>BQ101/SUM(BN101:BQ101)</f>
      </c>
      <c r="BR129" s="892">
        <f>BR101/SUM(BR101:BU101)</f>
      </c>
      <c r="BS129" s="892">
        <f>BS101/SUM(BR101:BU101)</f>
      </c>
      <c r="BT129" s="892">
        <f>BT101/SUM(BR101:BU101)</f>
      </c>
      <c r="BU129" s="893">
        <f>BU101/SUM(BR101:BU101)</f>
      </c>
      <c r="BV129" s="892">
        <f>BV101/SUM(BV101:BY101)</f>
      </c>
      <c r="BW129" s="892">
        <f>BW101/SUM(BV101:BY101)</f>
      </c>
      <c r="BX129" s="892">
        <f>BX101/SUM(BV101:BY101)</f>
      </c>
      <c r="BY129" s="893">
        <f>BY101/SUM(BV101:BY101)</f>
      </c>
      <c r="BZ129" s="892">
        <f>BZ101/SUM(BZ101:CC101)</f>
      </c>
      <c r="CA129" s="892">
        <f>CA101/SUM(BZ101:CC101)</f>
      </c>
      <c r="CB129" s="892">
        <f>CB101/SUM(BZ101:CC101)</f>
      </c>
      <c r="CC129" s="893">
        <f>CC101/SUM(BZ101:CC101)</f>
      </c>
      <c r="CD129" s="892">
        <f>CD101/SUM(CD101:CG101)</f>
      </c>
      <c r="CE129" s="892">
        <f>CE101/SUM(CD101:CG101)</f>
      </c>
      <c r="CF129" s="892">
        <f>CF101/SUM(CD101:CG101)</f>
      </c>
      <c r="CG129" s="893">
        <f>CG101/SUM(CD101:CG101)</f>
      </c>
      <c r="CH129" s="892">
        <f>CH101/SUM(CH101:CK101)</f>
      </c>
      <c r="CI129" s="892">
        <f>CI101/SUM(CH101:CK101)</f>
      </c>
      <c r="CJ129" s="892">
        <f>CJ101/SUM(CH101:CK101)</f>
      </c>
      <c r="CK129" s="893">
        <f>CK101/SUM(CH101:CK101)</f>
      </c>
      <c r="CL129" s="892"/>
      <c r="CM129" s="892"/>
      <c r="CN129" s="892"/>
      <c r="CO129" s="893"/>
      <c r="CP129" s="892"/>
      <c r="CQ129" s="892"/>
      <c r="CR129" s="892"/>
      <c r="CS129" s="893"/>
      <c r="CT129" s="892"/>
      <c r="CU129" s="892"/>
      <c r="CV129" s="892"/>
      <c r="CW129" s="893"/>
      <c r="CX129" s="892"/>
      <c r="CY129" s="892"/>
      <c r="CZ129" s="892"/>
      <c r="DA129" s="893"/>
      <c r="DB129" s="892"/>
      <c r="DC129" s="892"/>
      <c r="DD129" s="892"/>
      <c r="DE129" s="893"/>
      <c r="DF129" s="892"/>
      <c r="DG129" s="892"/>
      <c r="DH129" s="892"/>
      <c r="DI129" s="893"/>
      <c r="DJ129" s="892"/>
      <c r="DK129" s="892"/>
      <c r="DL129" s="892"/>
      <c r="DM129" s="893"/>
      <c r="DN129" s="892"/>
      <c r="DO129" s="892"/>
      <c r="DP129" s="892"/>
      <c r="DQ129" s="893"/>
      <c r="DR129" s="892"/>
      <c r="DS129" s="892"/>
      <c r="DT129" s="892"/>
      <c r="DU129" s="893"/>
      <c r="DV129" s="892"/>
      <c r="DW129" s="892"/>
      <c r="DX129" s="892"/>
      <c r="DY129" s="893"/>
      <c r="DZ129" s="892"/>
      <c r="EA129" s="892"/>
      <c r="EB129" s="892"/>
      <c r="EC129" s="893"/>
      <c r="ED129" s="892"/>
      <c r="EE129" s="892"/>
      <c r="EF129" s="892"/>
      <c r="EG129" s="893"/>
      <c r="EH129" s="892"/>
      <c r="EI129" s="892"/>
      <c r="EJ129" s="892"/>
      <c r="EK129" s="893"/>
      <c r="EL129" s="320"/>
      <c r="EM129" s="320"/>
      <c r="EN129" s="320"/>
      <c r="EO129" s="320"/>
      <c r="EP129" s="320"/>
      <c r="EQ129" s="320"/>
      <c r="ER129" s="320"/>
      <c r="ES129" s="320"/>
      <c r="ET129" s="320"/>
      <c r="EU129" s="320"/>
      <c r="EV129" s="320"/>
      <c r="EW129" s="320"/>
      <c r="EX129" s="320"/>
      <c r="EY129" s="320"/>
      <c r="EZ129" s="320"/>
      <c r="FA129" s="320"/>
      <c r="FB129" s="320"/>
      <c r="FC129" s="320"/>
      <c r="FD129" s="320"/>
      <c r="FE129" s="320"/>
      <c r="FF129" s="320"/>
      <c r="FG129" s="320"/>
      <c r="FH129" s="320"/>
      <c r="FI129" s="320"/>
      <c r="FJ129" s="320"/>
      <c r="FK129" s="320"/>
      <c r="FL129" s="320"/>
      <c r="FM129" s="320"/>
      <c r="FN129" s="320"/>
      <c r="FO129" s="320"/>
      <c r="FP129" s="320"/>
      <c r="FQ129" s="320"/>
      <c r="FR129" s="320"/>
      <c r="FS129" s="320"/>
      <c r="FT129" s="320"/>
      <c r="FU129" s="320"/>
      <c r="FW129" s="320"/>
      <c r="FX129" s="320"/>
      <c r="FY129" s="320"/>
      <c r="FZ129" s="320"/>
      <c r="GA129" s="320"/>
      <c r="GB129" s="320"/>
      <c r="GC129" s="320"/>
      <c r="GD129" s="320"/>
      <c r="GE129" s="320"/>
      <c r="GF129" s="320"/>
      <c r="GG129" s="320"/>
      <c r="GH129" s="320"/>
      <c r="GI129" s="320"/>
      <c r="GJ129" s="320"/>
      <c r="GK129" s="320"/>
      <c r="GL129" s="320"/>
      <c r="GM129" s="320"/>
      <c r="GN129" s="320"/>
      <c r="GO129" s="320"/>
      <c r="GP129" s="320"/>
      <c r="GQ129" s="320"/>
      <c r="GR129" s="320"/>
      <c r="GS129" s="320"/>
      <c r="GT129" s="320"/>
      <c r="GU129" s="320"/>
      <c r="GV129" s="320"/>
      <c r="GW129" s="320"/>
      <c r="GX129" s="320"/>
      <c r="GY129" s="320"/>
      <c r="GZ129" s="320"/>
      <c r="HA129" s="320"/>
      <c r="HB129" s="320"/>
      <c r="HC129" s="320"/>
      <c r="HD129" s="320"/>
      <c r="HE129" s="320"/>
      <c r="HF129" s="320"/>
    </row>
    <row r="130" spans="1:214" s="16" customFormat="1" ht="10.199999999999999">
      <c r="A130" s="135"/>
      <c r="B130" s="130"/>
      <c r="C130" s="130"/>
      <c r="D130" s="130"/>
      <c r="E130" s="235"/>
      <c r="F130" s="130"/>
      <c r="G130" s="130"/>
      <c r="H130" s="130"/>
      <c r="I130" s="235"/>
      <c r="J130" s="130"/>
      <c r="K130" s="130"/>
      <c r="L130" s="130"/>
      <c r="M130" s="235"/>
      <c r="N130" s="130"/>
      <c r="O130" s="130"/>
      <c r="P130" s="130"/>
      <c r="Q130" s="235"/>
      <c r="R130" s="130"/>
      <c r="S130" s="130"/>
      <c r="T130" s="130"/>
      <c r="U130" s="235"/>
      <c r="V130" s="130"/>
      <c r="W130" s="130"/>
      <c r="X130" s="130"/>
      <c r="Y130" s="235"/>
      <c r="Z130" s="98"/>
      <c r="AA130" s="98"/>
      <c r="AB130" s="98"/>
      <c r="AC130" s="180"/>
      <c r="AD130" s="98"/>
      <c r="AE130" s="98"/>
      <c r="AF130" s="98"/>
      <c r="AG130" s="180"/>
      <c r="AH130" s="98"/>
      <c r="AI130" s="98"/>
      <c r="AJ130" s="98"/>
      <c r="AK130" s="180"/>
      <c r="AL130" s="98"/>
      <c r="AM130" s="98"/>
      <c r="AN130" s="98"/>
      <c r="AO130" s="180"/>
      <c r="AP130" s="98"/>
      <c r="AQ130" s="98"/>
      <c r="AR130" s="98"/>
      <c r="AS130" s="180"/>
      <c r="AT130" s="98"/>
      <c r="AU130" s="98"/>
      <c r="AV130" s="98"/>
      <c r="AW130" s="180"/>
      <c r="AX130" s="98"/>
      <c r="AY130" s="98"/>
      <c r="AZ130" s="98"/>
      <c r="BA130" s="180"/>
      <c r="BB130" s="98"/>
      <c r="BC130" s="98"/>
      <c r="BD130" s="98"/>
      <c r="BE130" s="180"/>
      <c r="BF130" s="98"/>
      <c r="BG130" s="98"/>
      <c r="BH130" s="98"/>
      <c r="BI130" s="180"/>
      <c r="BJ130" s="98"/>
      <c r="BK130" s="98"/>
      <c r="BL130" s="98"/>
      <c r="BM130" s="180"/>
      <c r="BN130" s="98"/>
      <c r="BO130" s="98"/>
      <c r="BP130" s="98"/>
      <c r="BQ130" s="180"/>
      <c r="BR130" s="98"/>
      <c r="BS130" s="98"/>
      <c r="BT130" s="98"/>
      <c r="BU130" s="180"/>
      <c r="BV130" s="98"/>
      <c r="BW130" s="98"/>
      <c r="BX130" s="98"/>
      <c r="BY130" s="180"/>
      <c r="BZ130" s="98"/>
      <c r="CA130" s="98"/>
      <c r="CB130" s="98"/>
      <c r="CC130" s="180"/>
      <c r="CD130" s="523"/>
      <c r="CE130" s="523"/>
      <c r="CF130" s="524"/>
      <c r="CG130" s="525"/>
      <c r="CH130" s="523"/>
      <c r="CI130" s="523"/>
      <c r="CJ130" s="523"/>
      <c r="CK130" s="525"/>
      <c r="CL130" s="523"/>
      <c r="CM130" s="523"/>
      <c r="CN130" s="523"/>
      <c r="CO130" s="525"/>
      <c r="CP130" s="320"/>
      <c r="CQ130" s="320"/>
      <c r="CR130" s="320"/>
      <c r="CS130" s="321"/>
      <c r="CT130" s="320"/>
      <c r="CU130" s="320"/>
      <c r="CV130" s="320"/>
      <c r="CW130" s="321"/>
      <c r="CX130" s="320"/>
      <c r="CY130" s="320"/>
      <c r="CZ130" s="320"/>
      <c r="DA130" s="321"/>
      <c r="DB130" s="320"/>
      <c r="DC130" s="320"/>
      <c r="DD130" s="390"/>
      <c r="DE130" s="430"/>
      <c r="DF130" s="390"/>
      <c r="DG130" s="390"/>
      <c r="DH130" s="390"/>
      <c r="DI130" s="430"/>
      <c r="DJ130" s="390"/>
      <c r="DK130" s="390"/>
      <c r="DL130" s="390"/>
      <c r="DM130" s="430"/>
      <c r="DN130" s="390"/>
      <c r="DO130" s="390"/>
      <c r="DP130" s="390"/>
      <c r="DQ130" s="430"/>
      <c r="DR130" s="390"/>
      <c r="DS130" s="390"/>
      <c r="DT130" s="390"/>
      <c r="DU130" s="430"/>
      <c r="DV130" s="390"/>
      <c r="DW130" s="390"/>
      <c r="DX130" s="390"/>
      <c r="DY130" s="430"/>
      <c r="DZ130" s="390"/>
      <c r="EA130" s="390"/>
      <c r="EB130" s="390"/>
      <c r="EC130" s="430"/>
      <c r="ED130" s="390"/>
      <c r="EE130" s="390"/>
      <c r="EF130" s="390"/>
      <c r="EG130" s="430"/>
      <c r="EH130" s="390"/>
      <c r="EI130" s="390"/>
      <c r="EJ130" s="390"/>
      <c r="EK130" s="430"/>
      <c r="EL130" s="320"/>
      <c r="EM130" s="390"/>
      <c r="EN130" s="390"/>
      <c r="EO130" s="390"/>
      <c r="EP130" s="390"/>
      <c r="EQ130" s="390"/>
      <c r="ER130" s="390"/>
      <c r="ES130" s="390"/>
      <c r="ET130" s="390"/>
      <c r="EU130" s="390"/>
      <c r="EV130" s="390"/>
      <c r="EW130" s="390"/>
      <c r="EX130" s="390"/>
      <c r="EY130" s="390"/>
      <c r="EZ130" s="390"/>
      <c r="FA130" s="390"/>
      <c r="FB130" s="390"/>
      <c r="FC130" s="390"/>
      <c r="FD130" s="390"/>
      <c r="FE130" s="390"/>
      <c r="FF130" s="390"/>
      <c r="FG130" s="390"/>
      <c r="FH130" s="390"/>
      <c r="FI130" s="390"/>
      <c r="FJ130" s="390"/>
      <c r="FK130" s="390"/>
      <c r="FL130" s="390"/>
      <c r="FM130" s="390"/>
      <c r="FN130" s="390"/>
      <c r="FO130" s="390"/>
      <c r="FP130" s="390"/>
      <c r="FQ130" s="390"/>
      <c r="FR130" s="390"/>
      <c r="FS130" s="390"/>
      <c r="FT130" s="390"/>
      <c r="FU130" s="390"/>
      <c r="FW130" s="390"/>
      <c r="FX130" s="390"/>
      <c r="FY130" s="390"/>
      <c r="FZ130" s="390"/>
      <c r="GA130" s="390"/>
      <c r="GB130" s="390"/>
      <c r="GC130" s="390"/>
      <c r="GD130" s="390"/>
      <c r="GE130" s="390"/>
      <c r="GF130" s="390"/>
      <c r="GG130" s="390"/>
      <c r="GH130" s="390"/>
      <c r="GI130" s="390"/>
      <c r="GJ130" s="390"/>
      <c r="GK130" s="390"/>
      <c r="GL130" s="390"/>
      <c r="GM130" s="390"/>
      <c r="GN130" s="390"/>
      <c r="GO130" s="390"/>
      <c r="GP130" s="390"/>
      <c r="GQ130" s="390"/>
      <c r="GR130" s="390"/>
      <c r="GS130" s="390"/>
      <c r="GT130" s="390"/>
      <c r="GU130" s="390"/>
      <c r="GV130" s="390"/>
      <c r="GW130" s="390"/>
      <c r="GX130" s="390"/>
      <c r="GY130" s="390"/>
      <c r="GZ130" s="390"/>
      <c r="HA130" s="390"/>
      <c r="HB130" s="390"/>
      <c r="HC130" s="390"/>
      <c r="HD130" s="390"/>
      <c r="HE130" s="390"/>
      <c r="HF130" s="390"/>
    </row>
    <row r="131" spans="1:214" s="16" customFormat="1" ht="10.199999999999999">
      <c r="A131" s="708" t="s">
        <v>1448</v>
      </c>
      <c r="B131" s="706" t="str">
        <f>'Revenue summary'!B$8</f>
      </c>
      <c r="C131" s="706" t="str">
        <f>'Revenue summary'!C$8</f>
      </c>
      <c r="D131" s="706" t="str">
        <f>'Revenue summary'!D$8</f>
      </c>
      <c r="E131" s="707" t="str">
        <f>'Revenue summary'!E$8</f>
      </c>
      <c r="F131" s="706" t="str">
        <f>'Revenue summary'!F$8</f>
      </c>
      <c r="G131" s="706" t="str">
        <f>'Revenue summary'!G$8</f>
      </c>
      <c r="H131" s="706" t="str">
        <f>'Revenue summary'!H$8</f>
      </c>
      <c r="I131" s="707" t="str">
        <f>'Revenue summary'!I$8</f>
      </c>
      <c r="J131" s="706" t="str">
        <f>'Revenue summary'!J$8</f>
      </c>
      <c r="K131" s="706" t="str">
        <f>'Revenue summary'!K$8</f>
      </c>
      <c r="L131" s="706" t="str">
        <f>'Revenue summary'!L$8</f>
      </c>
      <c r="M131" s="707" t="str">
        <f>'Revenue summary'!M$8</f>
      </c>
      <c r="N131" s="706" t="str">
        <f>'Revenue summary'!N$8</f>
      </c>
      <c r="O131" s="706" t="str">
        <f>'Revenue summary'!O$8</f>
      </c>
      <c r="P131" s="706" t="str">
        <f>'Revenue summary'!P$8</f>
      </c>
      <c r="Q131" s="707" t="str">
        <f>'Revenue summary'!Q$8</f>
      </c>
      <c r="R131" s="706" t="str">
        <f>'Revenue summary'!R$8</f>
      </c>
      <c r="S131" s="706" t="str">
        <f>'Revenue summary'!S$8</f>
      </c>
      <c r="T131" s="706" t="str">
        <f>'Revenue summary'!T$8</f>
      </c>
      <c r="U131" s="707" t="str">
        <f>'Revenue summary'!U$8</f>
      </c>
      <c r="V131" s="706" t="str">
        <f>'Revenue summary'!V$8</f>
      </c>
      <c r="W131" s="706" t="str">
        <f>'Revenue summary'!W$8</f>
      </c>
      <c r="X131" s="706" t="str">
        <f>'Revenue summary'!X$8</f>
      </c>
      <c r="Y131" s="707" t="str">
        <f>'Revenue summary'!Y$8</f>
      </c>
      <c r="Z131" s="706" t="str">
        <f>'Revenue summary'!Z$8</f>
      </c>
      <c r="AA131" s="706" t="str">
        <f>'Revenue summary'!AA$8</f>
      </c>
      <c r="AB131" s="706" t="str">
        <f>'Revenue summary'!AB$8</f>
      </c>
      <c r="AC131" s="707" t="str">
        <f>'Revenue summary'!AC$8</f>
      </c>
      <c r="AD131" s="706" t="str">
        <f>'Revenue summary'!AD$8</f>
      </c>
      <c r="AE131" s="706" t="str">
        <f>'Revenue summary'!AE$8</f>
      </c>
      <c r="AF131" s="706" t="str">
        <f>'Revenue summary'!AF$8</f>
      </c>
      <c r="AG131" s="707" t="str">
        <f>'Revenue summary'!AG$8</f>
      </c>
      <c r="AH131" s="706" t="str">
        <f>'Revenue summary'!AH$8</f>
      </c>
      <c r="AI131" s="706" t="str">
        <f>'Revenue summary'!AI$8</f>
      </c>
      <c r="AJ131" s="706" t="str">
        <f>'Revenue summary'!AJ$8</f>
      </c>
      <c r="AK131" s="707" t="str">
        <f>'Revenue summary'!AK$8</f>
      </c>
      <c r="AL131" s="706" t="str">
        <f>'Revenue summary'!AL$8</f>
      </c>
      <c r="AM131" s="706" t="str">
        <f>'Revenue summary'!AM$8</f>
      </c>
      <c r="AN131" s="706" t="str">
        <f>'Revenue summary'!AN$8</f>
      </c>
      <c r="AO131" s="707" t="str">
        <f>'Revenue summary'!AO$8</f>
      </c>
      <c r="AP131" s="706" t="str">
        <f>'Revenue summary'!AP$8</f>
      </c>
      <c r="AQ131" s="706" t="str">
        <f>'Revenue summary'!AQ$8</f>
      </c>
      <c r="AR131" s="706" t="str">
        <f>'Revenue summary'!AR$8</f>
      </c>
      <c r="AS131" s="707" t="str">
        <f>'Revenue summary'!AS$8</f>
      </c>
      <c r="AT131" s="706" t="str">
        <f>'Revenue summary'!AT$8</f>
      </c>
      <c r="AU131" s="706" t="str">
        <f>'Revenue summary'!AU$8</f>
      </c>
      <c r="AV131" s="706" t="str">
        <f>'Revenue summary'!AV$8</f>
      </c>
      <c r="AW131" s="707" t="str">
        <f>'Revenue summary'!AW$8</f>
      </c>
      <c r="AX131" s="706" t="str">
        <f>'Revenue summary'!AX$8</f>
      </c>
      <c r="AY131" s="706" t="str">
        <f>'Revenue summary'!AY$8</f>
      </c>
      <c r="AZ131" s="706" t="str">
        <f>'Revenue summary'!AZ$8</f>
      </c>
      <c r="BA131" s="707" t="str">
        <f>'Revenue summary'!BA$8</f>
      </c>
      <c r="BB131" s="706" t="str">
        <f>'Revenue summary'!BB$8</f>
      </c>
      <c r="BC131" s="706" t="str">
        <f>'Revenue summary'!BC$8</f>
      </c>
      <c r="BD131" s="706" t="str">
        <f>'Revenue summary'!BD$8</f>
      </c>
      <c r="BE131" s="707" t="str">
        <f>'Revenue summary'!BE$8</f>
      </c>
      <c r="BF131" s="706" t="str">
        <f>'Revenue summary'!BF$8</f>
      </c>
      <c r="BG131" s="706" t="str">
        <f>'Revenue summary'!BG$8</f>
      </c>
      <c r="BH131" s="706" t="str">
        <f>'Revenue summary'!BH$8</f>
      </c>
      <c r="BI131" s="707" t="str">
        <f>'Revenue summary'!BI$8</f>
      </c>
      <c r="BJ131" s="706" t="str">
        <f>'Revenue summary'!BJ$8</f>
      </c>
      <c r="BK131" s="706" t="str">
        <f>'Revenue summary'!BK$8</f>
      </c>
      <c r="BL131" s="706" t="str">
        <f>'Revenue summary'!BL$8</f>
      </c>
      <c r="BM131" s="707" t="str">
        <f>'Revenue summary'!BM$8</f>
      </c>
      <c r="BN131" s="706" t="str">
        <f>'Revenue summary'!BN$8</f>
      </c>
      <c r="BO131" s="706" t="str">
        <f>'Revenue summary'!BO$8</f>
      </c>
      <c r="BP131" s="706" t="str">
        <f>'Revenue summary'!BP$8</f>
      </c>
      <c r="BQ131" s="707" t="str">
        <f>'Revenue summary'!BQ$8</f>
      </c>
      <c r="BR131" s="706" t="str">
        <f>'Revenue summary'!BR$8</f>
      </c>
      <c r="BS131" s="706" t="str">
        <f>'Revenue summary'!BS$8</f>
      </c>
      <c r="BT131" s="706" t="str">
        <f>'Revenue summary'!BT$8</f>
      </c>
      <c r="BU131" s="707" t="str">
        <f>'Revenue summary'!BU$8</f>
      </c>
      <c r="BV131" s="706" t="str">
        <f>'Revenue summary'!BV$8</f>
      </c>
      <c r="BW131" s="706" t="str">
        <f>'Revenue summary'!BW$8</f>
      </c>
      <c r="BX131" s="706" t="str">
        <f>'Revenue summary'!BX$8</f>
      </c>
      <c r="BY131" s="707" t="str">
        <f>'Revenue summary'!BY$8</f>
      </c>
      <c r="BZ131" s="706" t="str">
        <f>'Revenue summary'!BZ$8</f>
      </c>
      <c r="CA131" s="706" t="str">
        <f>'Revenue summary'!CA$8</f>
      </c>
      <c r="CB131" s="706" t="str">
        <f>'Revenue summary'!CB$8</f>
      </c>
      <c r="CC131" s="707" t="str">
        <f>'Revenue summary'!CC$8</f>
      </c>
      <c r="CD131" s="706" t="str">
        <f>'Revenue summary'!CD$8</f>
      </c>
      <c r="CE131" s="706" t="str">
        <f>'Revenue summary'!CE$8</f>
      </c>
      <c r="CF131" s="706" t="str">
        <f>'Revenue summary'!CF$8</f>
      </c>
      <c r="CG131" s="707" t="str">
        <f>'Revenue summary'!CG$8</f>
      </c>
      <c r="CH131" s="706" t="str">
        <f>'Revenue summary'!CH$8</f>
      </c>
      <c r="CI131" s="706" t="str">
        <f>'Revenue summary'!CI$8</f>
      </c>
      <c r="CJ131" s="706" t="str">
        <f>'Revenue summary'!CJ$8</f>
      </c>
      <c r="CK131" s="707" t="str">
        <f>'Revenue summary'!CK$8</f>
      </c>
      <c r="CL131" s="706" t="str">
        <f>'Revenue summary'!CL$8</f>
      </c>
      <c r="CM131" s="706" t="str">
        <f>'Revenue summary'!CM$8</f>
      </c>
      <c r="CN131" s="706" t="str">
        <f>'Revenue summary'!CN$8</f>
      </c>
      <c r="CO131" s="707" t="str">
        <f>'Revenue summary'!CO$8</f>
      </c>
      <c r="CP131" s="706" t="str">
        <f>'Revenue summary'!CP$8</f>
      </c>
      <c r="CQ131" s="706" t="str">
        <f>'Revenue summary'!CQ$8</f>
      </c>
      <c r="CR131" s="706" t="str">
        <f>'Revenue summary'!CR$8</f>
      </c>
      <c r="CS131" s="707" t="str">
        <f>'Revenue summary'!CS$8</f>
      </c>
      <c r="CT131" s="706" t="str">
        <f>'Revenue summary'!CT$8</f>
      </c>
      <c r="CU131" s="706" t="str">
        <f>'Revenue summary'!CU$8</f>
      </c>
      <c r="CV131" s="706" t="str">
        <f>'Revenue summary'!CV$8</f>
      </c>
      <c r="CW131" s="707" t="str">
        <f>'Revenue summary'!CW$8</f>
      </c>
      <c r="CX131" s="706" t="str">
        <f>'Revenue summary'!CX$8</f>
      </c>
      <c r="CY131" s="706" t="str">
        <f>'Revenue summary'!CY$8</f>
      </c>
      <c r="CZ131" s="706" t="str">
        <f>'Revenue summary'!CZ$8</f>
      </c>
      <c r="DA131" s="707" t="str">
        <f>'Revenue summary'!DA$8</f>
      </c>
      <c r="DB131" s="706" t="str">
        <f>'Revenue summary'!DB$8</f>
      </c>
      <c r="DC131" s="706" t="str">
        <f>'Revenue summary'!DC$8</f>
      </c>
      <c r="DD131" s="706" t="str">
        <f>'Revenue summary'!DD$8</f>
      </c>
      <c r="DE131" s="707" t="str">
        <f>'Revenue summary'!DE$8</f>
      </c>
      <c r="DF131" s="706" t="str">
        <f>'Revenue summary'!DF$8</f>
      </c>
      <c r="DG131" s="706" t="str">
        <f>'Revenue summary'!DG$8</f>
      </c>
      <c r="DH131" s="706" t="str">
        <f>'Revenue summary'!DH$8</f>
      </c>
      <c r="DI131" s="707" t="str">
        <f>'Revenue summary'!DI$8</f>
      </c>
      <c r="DJ131" s="706" t="str">
        <f>'Revenue summary'!DJ$8</f>
      </c>
      <c r="DK131" s="706" t="str">
        <f>'Revenue summary'!DK$8</f>
      </c>
      <c r="DL131" s="706" t="str">
        <f>'Revenue summary'!DL$8</f>
      </c>
      <c r="DM131" s="707" t="str">
        <f>'Revenue summary'!DM$8</f>
      </c>
      <c r="DN131" s="706" t="str">
        <f>'Revenue summary'!DN$8</f>
      </c>
      <c r="DO131" s="706" t="str">
        <f>'Revenue summary'!DO$8</f>
      </c>
      <c r="DP131" s="706" t="str">
        <f>'Revenue summary'!DP$8</f>
      </c>
      <c r="DQ131" s="707" t="str">
        <f>'Revenue summary'!DQ$8</f>
      </c>
      <c r="DR131" s="706" t="str">
        <f>'Revenue summary'!DR$8</f>
      </c>
      <c r="DS131" s="706" t="str">
        <f>'Revenue summary'!DS$8</f>
      </c>
      <c r="DT131" s="706" t="str">
        <f>'Revenue summary'!DT$8</f>
      </c>
      <c r="DU131" s="707" t="str">
        <f>'Revenue summary'!DU$8</f>
      </c>
      <c r="DV131" s="706" t="str">
        <f>'Revenue summary'!DV$8</f>
      </c>
      <c r="DW131" s="706" t="str">
        <f>'Revenue summary'!DW$8</f>
      </c>
      <c r="DX131" s="706" t="str">
        <f>'Revenue summary'!DX$8</f>
      </c>
      <c r="DY131" s="707" t="str">
        <f>'Revenue summary'!DY$8</f>
      </c>
      <c r="DZ131" s="706" t="str">
        <f>'Revenue summary'!DZ$8</f>
      </c>
      <c r="EA131" s="706" t="str">
        <f>'Revenue summary'!EA$8</f>
      </c>
      <c r="EB131" s="706" t="str">
        <f>'Revenue summary'!EB$8</f>
      </c>
      <c r="EC131" s="707" t="str">
        <f>'Revenue summary'!EC$8</f>
      </c>
      <c r="ED131" s="706" t="str">
        <f>'Revenue summary'!ED$8</f>
      </c>
      <c r="EE131" s="706" t="str">
        <f>'Revenue summary'!EE$8</f>
      </c>
      <c r="EF131" s="706" t="str">
        <f>'Revenue summary'!EF$8</f>
      </c>
      <c r="EG131" s="707" t="str">
        <f>'Revenue summary'!EG$8</f>
      </c>
      <c r="EH131" s="706" t="str">
        <f>'Revenue summary'!EH$8</f>
      </c>
      <c r="EI131" s="706" t="str">
        <f>'Revenue summary'!EI$8</f>
      </c>
      <c r="EJ131" s="706" t="str">
        <f>'Revenue summary'!EJ$8</f>
      </c>
      <c r="EK131" s="707" t="str">
        <f>'Revenue summary'!EK$8</f>
      </c>
      <c r="EL131" s="320"/>
      <c r="EM131" s="706">
        <f>EM$9</f>
      </c>
      <c r="EN131" s="706">
        <f t="shared" ref="EN131:GZ131" si="1058">EN$9</f>
      </c>
      <c r="EO131" s="706">
        <f t="shared" si="1058"/>
      </c>
      <c r="EP131" s="706">
        <f t="shared" si="1058"/>
      </c>
      <c r="EQ131" s="706">
        <f t="shared" si="1058"/>
      </c>
      <c r="ER131" s="706">
        <f t="shared" si="1058"/>
      </c>
      <c r="ES131" s="706">
        <f t="shared" si="1058"/>
      </c>
      <c r="ET131" s="706">
        <f t="shared" si="1058"/>
      </c>
      <c r="EU131" s="706">
        <f t="shared" si="1058"/>
      </c>
      <c r="EV131" s="706">
        <f t="shared" si="1058"/>
      </c>
      <c r="EW131" s="706">
        <f t="shared" si="1058"/>
      </c>
      <c r="EX131" s="706">
        <f t="shared" si="1058"/>
      </c>
      <c r="EY131" s="706">
        <f t="shared" si="1058"/>
      </c>
      <c r="EZ131" s="706">
        <f t="shared" si="1058"/>
      </c>
      <c r="FA131" s="706">
        <f t="shared" si="1058"/>
      </c>
      <c r="FB131" s="706">
        <f t="shared" si="1058"/>
      </c>
      <c r="FC131" s="706">
        <f t="shared" si="1058"/>
      </c>
      <c r="FD131" s="706">
        <f t="shared" si="1058"/>
      </c>
      <c r="FE131" s="706" t="str">
        <f t="shared" si="1058"/>
      </c>
      <c r="FF131" s="706" t="str">
        <f t="shared" si="1058"/>
      </c>
      <c r="FG131" s="706" t="str">
        <f t="shared" si="1058"/>
      </c>
      <c r="FH131" s="706" t="str">
        <f t="shared" si="1058"/>
      </c>
      <c r="FI131" s="706" t="str">
        <f t="shared" si="1058"/>
      </c>
      <c r="FJ131" s="706" t="str">
        <f t="shared" si="1058"/>
      </c>
      <c r="FK131" s="706" t="str">
        <f t="shared" si="1058"/>
      </c>
      <c r="FL131" s="706" t="str">
        <f t="shared" si="1058"/>
      </c>
      <c r="FM131" s="706" t="str">
        <f t="shared" si="1058"/>
      </c>
      <c r="FN131" s="706" t="str">
        <f t="shared" si="1058"/>
      </c>
      <c r="FO131" s="706" t="str">
        <f t="shared" si="1058"/>
      </c>
      <c r="FP131" s="706" t="str">
        <f>FP$9</f>
      </c>
      <c r="FQ131" s="706" t="str">
        <f>FQ$9</f>
      </c>
      <c r="FR131" s="706" t="str">
        <f t="shared" ref="FR131:FU131" si="1059">FR$9</f>
      </c>
      <c r="FS131" s="706" t="str">
        <f t="shared" si="1059"/>
      </c>
      <c r="FT131" s="706" t="str">
        <f t="shared" si="1059"/>
      </c>
      <c r="FU131" s="706" t="str">
        <f t="shared" si="1059"/>
      </c>
      <c r="FW131" s="706"/>
      <c r="FX131" s="706"/>
      <c r="FY131" s="706">
        <f t="shared" si="1058"/>
      </c>
      <c r="FZ131" s="706">
        <f t="shared" si="1058"/>
      </c>
      <c r="GA131" s="706">
        <f t="shared" si="1058"/>
      </c>
      <c r="GB131" s="706">
        <f t="shared" si="1058"/>
      </c>
      <c r="GC131" s="706">
        <f t="shared" si="1058"/>
      </c>
      <c r="GD131" s="706">
        <f t="shared" si="1058"/>
      </c>
      <c r="GE131" s="706">
        <f t="shared" si="1058"/>
      </c>
      <c r="GF131" s="706">
        <f t="shared" si="1058"/>
      </c>
      <c r="GG131" s="706">
        <f t="shared" si="1058"/>
      </c>
      <c r="GH131" s="706">
        <f t="shared" si="1058"/>
      </c>
      <c r="GI131" s="706">
        <f t="shared" si="1058"/>
      </c>
      <c r="GJ131" s="706">
        <f t="shared" si="1058"/>
      </c>
      <c r="GK131" s="706">
        <f t="shared" si="1058"/>
      </c>
      <c r="GL131" s="706">
        <f t="shared" si="1058"/>
      </c>
      <c r="GM131" s="706">
        <f t="shared" si="1058"/>
      </c>
      <c r="GN131" s="706">
        <f t="shared" si="1058"/>
      </c>
      <c r="GO131" s="706">
        <f t="shared" si="1058"/>
      </c>
      <c r="GP131" s="706">
        <f t="shared" si="1058"/>
      </c>
      <c r="GQ131" s="706" t="str">
        <f t="shared" si="1058"/>
      </c>
      <c r="GR131" s="706" t="str">
        <f t="shared" si="1058"/>
      </c>
      <c r="GS131" s="706" t="str">
        <f t="shared" si="1058"/>
      </c>
      <c r="GT131" s="706" t="str">
        <f t="shared" si="1058"/>
      </c>
      <c r="GU131" s="706" t="str">
        <f t="shared" si="1058"/>
      </c>
      <c r="GV131" s="706" t="str">
        <f t="shared" si="1058"/>
      </c>
      <c r="GW131" s="706" t="str">
        <f t="shared" si="1058"/>
      </c>
      <c r="GX131" s="706" t="str">
        <f t="shared" si="1058"/>
      </c>
      <c r="GY131" s="706" t="str">
        <f t="shared" si="1058"/>
      </c>
      <c r="GZ131" s="706" t="str">
        <f t="shared" si="1058"/>
      </c>
      <c r="HA131" s="706" t="str">
        <f t="shared" ref="HA131" si="1060">HA$9</f>
      </c>
      <c r="HB131" s="706" t="str">
        <f t="shared" ref="HB131:HF131" si="1061">HB$9</f>
      </c>
      <c r="HC131" s="706" t="str">
        <f t="shared" si="1061"/>
      </c>
      <c r="HD131" s="706" t="str">
        <f t="shared" si="1061"/>
      </c>
      <c r="HE131" s="706" t="str">
        <f t="shared" si="1061"/>
      </c>
      <c r="HF131" s="706" t="str">
        <f t="shared" si="1061"/>
      </c>
    </row>
    <row r="132" spans="1:214" s="2202" customFormat="1" ht="10.199999999999999">
      <c r="A132" s="2197" t="s">
        <v>875</v>
      </c>
      <c r="B132" s="2198"/>
      <c r="C132" s="2198"/>
      <c r="D132" s="2198"/>
      <c r="E132" s="2199"/>
      <c r="F132" s="2198"/>
      <c r="G132" s="2198"/>
      <c r="H132" s="2198"/>
      <c r="I132" s="2199"/>
      <c r="J132" s="2198"/>
      <c r="K132" s="2198"/>
      <c r="L132" s="2198"/>
      <c r="M132" s="2199"/>
      <c r="N132" s="2198"/>
      <c r="O132" s="2198"/>
      <c r="P132" s="2198"/>
      <c r="Q132" s="2199"/>
      <c r="R132" s="2198"/>
      <c r="S132" s="2198"/>
      <c r="T132" s="2198"/>
      <c r="U132" s="2199"/>
      <c r="V132" s="2198"/>
      <c r="W132" s="2198"/>
      <c r="X132" s="2198"/>
      <c r="Y132" s="2199"/>
      <c r="Z132" s="2198"/>
      <c r="AA132" s="2198"/>
      <c r="AB132" s="2198"/>
      <c r="AC132" s="2199"/>
      <c r="AD132" s="2198"/>
      <c r="AE132" s="2198"/>
      <c r="AF132" s="2198"/>
      <c r="AG132" s="2199"/>
      <c r="AH132" s="2198"/>
      <c r="AI132" s="2198"/>
      <c r="AJ132" s="2198"/>
      <c r="AK132" s="2199"/>
      <c r="AL132" s="2198"/>
      <c r="AM132" s="2198"/>
      <c r="AN132" s="2198"/>
      <c r="AO132" s="2199"/>
      <c r="AP132" s="2198"/>
      <c r="AQ132" s="2198"/>
      <c r="AR132" s="2198"/>
      <c r="AS132" s="2199"/>
      <c r="AT132" s="2198"/>
      <c r="AU132" s="2198"/>
      <c r="AV132" s="2198"/>
      <c r="AW132" s="2199"/>
      <c r="AX132" s="2198"/>
      <c r="AY132" s="2198"/>
      <c r="AZ132" s="2198"/>
      <c r="BA132" s="2199"/>
      <c r="BB132" s="2198"/>
      <c r="BC132" s="2198"/>
      <c r="BD132" s="2198"/>
      <c r="BE132" s="2199"/>
      <c r="BF132" s="2198"/>
      <c r="BG132" s="2198"/>
      <c r="BH132" s="2198"/>
      <c r="BI132" s="2199"/>
      <c r="BJ132" s="2198"/>
      <c r="BK132" s="2198"/>
      <c r="BL132" s="2198"/>
      <c r="BM132" s="2199"/>
      <c r="BN132" s="2198"/>
      <c r="BO132" s="2198"/>
      <c r="BP132" s="2198"/>
      <c r="BQ132" s="2199"/>
      <c r="BR132" s="2198"/>
      <c r="BS132" s="2198"/>
      <c r="BT132" s="2198"/>
      <c r="BU132" s="2199"/>
      <c r="BV132" s="2198"/>
      <c r="BW132" s="2198"/>
      <c r="BX132" s="2198"/>
      <c r="BY132" s="2199"/>
      <c r="BZ132" s="2198"/>
      <c r="CA132" s="2198"/>
      <c r="CB132" s="2198"/>
      <c r="CC132" s="2199"/>
      <c r="CD132" s="2198"/>
      <c r="CE132" s="2198"/>
      <c r="CF132" s="2198"/>
      <c r="CG132" s="2199"/>
      <c r="CH132" s="2200">
        <v>550</v>
      </c>
      <c r="CI132" s="2200">
        <v>550</v>
      </c>
      <c r="CJ132" s="2200">
        <v>550</v>
      </c>
      <c r="CK132" s="2201">
        <v>550</v>
      </c>
      <c r="CL132" s="2200">
        <v>550</v>
      </c>
      <c r="CM132" s="2200">
        <v>550</v>
      </c>
      <c r="CN132" s="2200">
        <v>550</v>
      </c>
      <c r="CO132" s="2201">
        <v>550</v>
      </c>
      <c r="CP132" s="2200"/>
      <c r="CQ132" s="2200"/>
      <c r="CR132" s="2200"/>
      <c r="CS132" s="2201"/>
      <c r="CT132" s="2200"/>
      <c r="CU132" s="2200"/>
      <c r="CV132" s="2200"/>
      <c r="CW132" s="2201"/>
      <c r="CX132" s="2200"/>
      <c r="CY132" s="2200"/>
      <c r="CZ132" s="2200"/>
      <c r="DA132" s="2201"/>
      <c r="DB132" s="2200"/>
      <c r="DC132" s="2200"/>
      <c r="DD132" s="2200"/>
      <c r="DE132" s="2201"/>
      <c r="DF132" s="2200"/>
      <c r="DG132" s="2200"/>
      <c r="DH132" s="2200"/>
      <c r="DI132" s="2201"/>
      <c r="DJ132" s="2200"/>
      <c r="DK132" s="2200"/>
      <c r="DL132" s="2200"/>
      <c r="DM132" s="2201"/>
      <c r="DN132" s="2200"/>
      <c r="DO132" s="2200"/>
      <c r="DP132" s="2200"/>
      <c r="DQ132" s="2201"/>
      <c r="DR132" s="2200"/>
      <c r="DS132" s="2200"/>
      <c r="DT132" s="2200"/>
      <c r="DU132" s="2201"/>
      <c r="DV132" s="2200"/>
      <c r="DW132" s="2200"/>
      <c r="DX132" s="2200"/>
      <c r="DY132" s="2201"/>
      <c r="DZ132" s="2200"/>
      <c r="EA132" s="2200"/>
      <c r="EB132" s="2200"/>
      <c r="EC132" s="2201"/>
      <c r="ED132" s="2200"/>
      <c r="EE132" s="2200"/>
      <c r="EF132" s="2200"/>
      <c r="EG132" s="2201"/>
      <c r="EH132" s="2200"/>
      <c r="EI132" s="2200"/>
      <c r="EJ132" s="2200"/>
      <c r="EK132" s="2201"/>
      <c r="EM132" s="2203"/>
      <c r="EN132" s="2203"/>
      <c r="EO132" s="2203"/>
      <c r="EP132" s="2203"/>
      <c r="EQ132" s="2203"/>
      <c r="ER132" s="2203"/>
      <c r="ES132" s="2203"/>
      <c r="ET132" s="2203"/>
      <c r="EU132" s="2203"/>
      <c r="EV132" s="2203"/>
      <c r="EW132" s="2203"/>
      <c r="EX132" s="2203"/>
      <c r="EY132" s="2203"/>
      <c r="EZ132" s="2203"/>
      <c r="FA132" s="2203"/>
      <c r="FB132" s="2203"/>
      <c r="FC132" s="2203"/>
      <c r="FD132" s="2203"/>
      <c r="FE132" s="2203"/>
      <c r="FF132" s="2203"/>
      <c r="FG132" s="2203"/>
      <c r="FH132" s="2203"/>
      <c r="FI132" s="2204" t="str">
        <f t="shared" ref="FI132:FP132" si="1062">IF(ISERROR(FI51/FI73),"NA",FI51/FI73)</f>
      </c>
      <c r="FJ132" s="2204" t="str">
        <f t="shared" si="1062"/>
      </c>
      <c r="FK132" s="2204" t="str">
        <f t="shared" si="1062"/>
      </c>
      <c r="FL132" s="2204" t="str">
        <f t="shared" si="1062"/>
      </c>
      <c r="FM132" s="2204" t="str">
        <f t="shared" si="1062"/>
      </c>
      <c r="FN132" s="2204" t="str">
        <f t="shared" si="1062"/>
      </c>
      <c r="FO132" s="2204" t="str">
        <f t="shared" si="1062"/>
      </c>
      <c r="FP132" s="2204" t="str">
        <f t="shared" si="1062"/>
      </c>
      <c r="FQ132" s="2204" t="str">
        <f>IF(ISERROR(FQ51/FQ73),"NA",FQ51/FQ73)</f>
      </c>
      <c r="FR132" s="2204" t="str">
        <f t="shared" ref="FR132:FU132" si="1063">IF(ISERROR(FR51/FR73),"NA",FR51/FR73)</f>
      </c>
      <c r="FS132" s="2204" t="str">
        <f t="shared" si="1063"/>
      </c>
      <c r="FT132" s="2204" t="str">
        <f t="shared" si="1063"/>
      </c>
      <c r="FU132" s="2204" t="str">
        <f t="shared" si="1063"/>
      </c>
      <c r="FW132" s="2203"/>
      <c r="FX132" s="2203"/>
      <c r="FY132" s="2203"/>
      <c r="FZ132" s="2203"/>
      <c r="GA132" s="2203"/>
      <c r="GB132" s="2203"/>
      <c r="GC132" s="2203"/>
      <c r="GD132" s="2203"/>
      <c r="GE132" s="2203"/>
      <c r="GF132" s="2203"/>
      <c r="GG132" s="2203"/>
      <c r="GH132" s="2203"/>
      <c r="GI132" s="2203"/>
      <c r="GJ132" s="2203"/>
      <c r="GK132" s="2203"/>
      <c r="GL132" s="2203"/>
      <c r="GM132" s="2203"/>
      <c r="GN132" s="2203"/>
      <c r="GO132" s="2203"/>
      <c r="GP132" s="2203"/>
      <c r="GQ132" s="2203"/>
      <c r="GR132" s="2203"/>
      <c r="GS132" s="2203"/>
      <c r="GT132" s="2203"/>
      <c r="GU132" s="2203"/>
      <c r="GV132" s="2203"/>
      <c r="GW132" s="2203"/>
      <c r="GX132" s="2203"/>
      <c r="GY132" s="2203"/>
      <c r="GZ132" s="2203"/>
      <c r="HA132" s="2203"/>
      <c r="HB132" s="2203"/>
      <c r="HC132" s="2203"/>
      <c r="HD132" s="2203"/>
      <c r="HE132" s="2203"/>
      <c r="HF132" s="2203"/>
    </row>
    <row r="133" spans="1:214" s="2202" customFormat="1" ht="10.199999999999999">
      <c r="A133" s="2205" t="s">
        <v>876</v>
      </c>
      <c r="B133" s="2206"/>
      <c r="C133" s="2206"/>
      <c r="D133" s="2206"/>
      <c r="E133" s="2207"/>
      <c r="F133" s="2206"/>
      <c r="G133" s="2206"/>
      <c r="H133" s="2206"/>
      <c r="I133" s="2207"/>
      <c r="J133" s="2206"/>
      <c r="K133" s="2206"/>
      <c r="L133" s="2206"/>
      <c r="M133" s="2207"/>
      <c r="N133" s="2206"/>
      <c r="O133" s="2206"/>
      <c r="P133" s="2206"/>
      <c r="Q133" s="2207"/>
      <c r="R133" s="2206"/>
      <c r="S133" s="2206"/>
      <c r="T133" s="2206"/>
      <c r="U133" s="2207"/>
      <c r="V133" s="2206"/>
      <c r="W133" s="2206"/>
      <c r="X133" s="2206"/>
      <c r="Y133" s="2207"/>
      <c r="Z133" s="2206"/>
      <c r="AA133" s="2206"/>
      <c r="AB133" s="2206"/>
      <c r="AC133" s="2207"/>
      <c r="AD133" s="2206"/>
      <c r="AE133" s="2206"/>
      <c r="AF133" s="2206"/>
      <c r="AG133" s="2207"/>
      <c r="AH133" s="2206"/>
      <c r="AI133" s="2206"/>
      <c r="AJ133" s="2206"/>
      <c r="AK133" s="2207"/>
      <c r="AL133" s="2206"/>
      <c r="AM133" s="2206"/>
      <c r="AN133" s="2206"/>
      <c r="AO133" s="2207"/>
      <c r="AP133" s="2206"/>
      <c r="AQ133" s="2206"/>
      <c r="AR133" s="2206"/>
      <c r="AS133" s="2207"/>
      <c r="AT133" s="2206"/>
      <c r="AU133" s="2206"/>
      <c r="AV133" s="2206"/>
      <c r="AW133" s="2207"/>
      <c r="AX133" s="2206"/>
      <c r="AY133" s="2206"/>
      <c r="AZ133" s="2206"/>
      <c r="BA133" s="2207"/>
      <c r="BB133" s="2206"/>
      <c r="BC133" s="2206"/>
      <c r="BD133" s="2206"/>
      <c r="BE133" s="2207"/>
      <c r="BF133" s="2206"/>
      <c r="BG133" s="2206"/>
      <c r="BH133" s="2206"/>
      <c r="BI133" s="2207"/>
      <c r="BJ133" s="2206"/>
      <c r="BK133" s="2206"/>
      <c r="BL133" s="2206"/>
      <c r="BM133" s="2207"/>
      <c r="BN133" s="2206"/>
      <c r="BO133" s="2206"/>
      <c r="BP133" s="2206"/>
      <c r="BQ133" s="2207"/>
      <c r="BR133" s="2206"/>
      <c r="BS133" s="2206"/>
      <c r="BT133" s="2206"/>
      <c r="BU133" s="2207"/>
      <c r="BV133" s="2206"/>
      <c r="BW133" s="2206"/>
      <c r="BX133" s="2206"/>
      <c r="BY133" s="2207"/>
      <c r="BZ133" s="2206"/>
      <c r="CA133" s="2206"/>
      <c r="CB133" s="2206"/>
      <c r="CC133" s="2207"/>
      <c r="CD133" s="2206"/>
      <c r="CE133" s="2206"/>
      <c r="CF133" s="2206"/>
      <c r="CG133" s="2207"/>
      <c r="CH133" s="2208">
        <v>550</v>
      </c>
      <c r="CI133" s="2208">
        <v>550</v>
      </c>
      <c r="CJ133" s="2208">
        <v>550</v>
      </c>
      <c r="CK133" s="2209">
        <v>550</v>
      </c>
      <c r="CL133" s="2208">
        <v>550</v>
      </c>
      <c r="CM133" s="2208">
        <v>550</v>
      </c>
      <c r="CN133" s="2208">
        <v>550</v>
      </c>
      <c r="CO133" s="2209">
        <v>550</v>
      </c>
      <c r="CP133" s="2208"/>
      <c r="CQ133" s="2208"/>
      <c r="CR133" s="2208"/>
      <c r="CS133" s="2209"/>
      <c r="CT133" s="2208"/>
      <c r="CU133" s="2208"/>
      <c r="CV133" s="2208"/>
      <c r="CW133" s="2209"/>
      <c r="CX133" s="2208"/>
      <c r="CY133" s="2208"/>
      <c r="CZ133" s="2208"/>
      <c r="DA133" s="2209"/>
      <c r="DB133" s="2208"/>
      <c r="DC133" s="2208"/>
      <c r="DD133" s="2208"/>
      <c r="DE133" s="2209"/>
      <c r="DF133" s="2208"/>
      <c r="DG133" s="2208"/>
      <c r="DH133" s="2208"/>
      <c r="DI133" s="2209"/>
      <c r="DJ133" s="2208"/>
      <c r="DK133" s="2208"/>
      <c r="DL133" s="2208"/>
      <c r="DM133" s="2209"/>
      <c r="DN133" s="2208"/>
      <c r="DO133" s="2208"/>
      <c r="DP133" s="2208"/>
      <c r="DQ133" s="2209"/>
      <c r="DR133" s="2208"/>
      <c r="DS133" s="2208"/>
      <c r="DT133" s="2208"/>
      <c r="DU133" s="2209"/>
      <c r="DV133" s="2208"/>
      <c r="DW133" s="2208"/>
      <c r="DX133" s="2208"/>
      <c r="DY133" s="2209"/>
      <c r="DZ133" s="2208"/>
      <c r="EA133" s="2208"/>
      <c r="EB133" s="2208"/>
      <c r="EC133" s="2209"/>
      <c r="ED133" s="2208"/>
      <c r="EE133" s="2208"/>
      <c r="EF133" s="2208"/>
      <c r="EG133" s="2209"/>
      <c r="EH133" s="2208"/>
      <c r="EI133" s="2208"/>
      <c r="EJ133" s="2208"/>
      <c r="EK133" s="2209"/>
      <c r="EM133" s="2203"/>
      <c r="EN133" s="2203"/>
      <c r="EO133" s="2203"/>
      <c r="EP133" s="2203"/>
      <c r="EQ133" s="2203"/>
      <c r="ER133" s="2203"/>
      <c r="ES133" s="2203"/>
      <c r="ET133" s="2203"/>
      <c r="EU133" s="2203"/>
      <c r="EV133" s="2203"/>
      <c r="EW133" s="2203"/>
      <c r="EX133" s="2203"/>
      <c r="EY133" s="2203"/>
      <c r="EZ133" s="2203"/>
      <c r="FA133" s="2203"/>
      <c r="FB133" s="2203"/>
      <c r="FC133" s="2203"/>
      <c r="FD133" s="2203"/>
      <c r="FE133" s="2203"/>
      <c r="FF133" s="2203"/>
      <c r="FG133" s="2203"/>
      <c r="FH133" s="2203"/>
      <c r="FI133" s="2204">
        <f t="shared" ref="FI133:FQ133" si="1064">IF(ISERROR(FI52/FI74),"NA",FI52/FI74)</f>
      </c>
      <c r="FJ133" s="2204" t="str">
        <f t="shared" si="1064"/>
      </c>
      <c r="FK133" s="2204" t="str">
        <f t="shared" si="1064"/>
      </c>
      <c r="FL133" s="2204" t="str">
        <f t="shared" si="1064"/>
      </c>
      <c r="FM133" s="2204" t="str">
        <f t="shared" si="1064"/>
      </c>
      <c r="FN133" s="2204" t="str">
        <f t="shared" si="1064"/>
      </c>
      <c r="FO133" s="2204" t="str">
        <f t="shared" si="1064"/>
      </c>
      <c r="FP133" s="2204" t="str">
        <f t="shared" si="1064"/>
      </c>
      <c r="FQ133" s="2204" t="str">
        <f t="shared" si="1064"/>
      </c>
      <c r="FR133" s="2204" t="str">
        <f t="shared" ref="FR133:FU133" si="1065">IF(ISERROR(FR52/FR74),"NA",FR52/FR74)</f>
      </c>
      <c r="FS133" s="2204" t="str">
        <f t="shared" si="1065"/>
      </c>
      <c r="FT133" s="2204" t="str">
        <f t="shared" si="1065"/>
      </c>
      <c r="FU133" s="2204" t="str">
        <f t="shared" si="1065"/>
      </c>
      <c r="FW133" s="2203"/>
      <c r="FX133" s="2203"/>
      <c r="FY133" s="2203"/>
      <c r="FZ133" s="2203"/>
      <c r="GA133" s="2203"/>
      <c r="GB133" s="2203"/>
      <c r="GC133" s="2203"/>
      <c r="GD133" s="2203"/>
      <c r="GE133" s="2203"/>
      <c r="GF133" s="2203"/>
      <c r="GG133" s="2203"/>
      <c r="GH133" s="2203"/>
      <c r="GI133" s="2203"/>
      <c r="GJ133" s="2203"/>
      <c r="GK133" s="2203"/>
      <c r="GL133" s="2203"/>
      <c r="GM133" s="2203"/>
      <c r="GN133" s="2203"/>
      <c r="GO133" s="2203"/>
      <c r="GP133" s="2203"/>
      <c r="GQ133" s="2203"/>
      <c r="GR133" s="2203"/>
      <c r="GS133" s="2203"/>
      <c r="GT133" s="2203"/>
      <c r="GU133" s="2203"/>
      <c r="GV133" s="2203"/>
      <c r="GW133" s="2203"/>
      <c r="GX133" s="2203"/>
      <c r="GY133" s="2203"/>
      <c r="GZ133" s="2203"/>
      <c r="HA133" s="2203"/>
      <c r="HB133" s="2203"/>
      <c r="HC133" s="2203"/>
      <c r="HD133" s="2203"/>
      <c r="HE133" s="2203"/>
      <c r="HF133" s="2203"/>
    </row>
    <row r="134" spans="1:214" s="2202" customFormat="1" ht="10.199999999999999">
      <c r="A134" s="2205" t="s">
        <v>1459</v>
      </c>
      <c r="B134" s="2206"/>
      <c r="C134" s="2206"/>
      <c r="D134" s="2206"/>
      <c r="E134" s="2207"/>
      <c r="F134" s="2206"/>
      <c r="G134" s="2206"/>
      <c r="H134" s="2206"/>
      <c r="I134" s="2207"/>
      <c r="J134" s="2206"/>
      <c r="K134" s="2206"/>
      <c r="L134" s="2206"/>
      <c r="M134" s="2207"/>
      <c r="N134" s="2206"/>
      <c r="O134" s="2206"/>
      <c r="P134" s="2206"/>
      <c r="Q134" s="2207"/>
      <c r="R134" s="2206"/>
      <c r="S134" s="2206"/>
      <c r="T134" s="2206"/>
      <c r="U134" s="2207"/>
      <c r="V134" s="2206"/>
      <c r="W134" s="2206"/>
      <c r="X134" s="2206"/>
      <c r="Y134" s="2207"/>
      <c r="Z134" s="2206"/>
      <c r="AA134" s="2206"/>
      <c r="AB134" s="2206"/>
      <c r="AC134" s="2207"/>
      <c r="AD134" s="2206"/>
      <c r="AE134" s="2206"/>
      <c r="AF134" s="2206"/>
      <c r="AG134" s="2207"/>
      <c r="AH134" s="2206"/>
      <c r="AI134" s="2206"/>
      <c r="AJ134" s="2206"/>
      <c r="AK134" s="2207"/>
      <c r="AL134" s="2206"/>
      <c r="AM134" s="2206"/>
      <c r="AN134" s="2206"/>
      <c r="AO134" s="2207"/>
      <c r="AP134" s="2206"/>
      <c r="AQ134" s="2206"/>
      <c r="AR134" s="2206"/>
      <c r="AS134" s="2207"/>
      <c r="AT134" s="2206"/>
      <c r="AU134" s="2206"/>
      <c r="AV134" s="2206"/>
      <c r="AW134" s="2207"/>
      <c r="AX134" s="2206"/>
      <c r="AY134" s="2206"/>
      <c r="AZ134" s="2206"/>
      <c r="BA134" s="2207"/>
      <c r="BB134" s="2206"/>
      <c r="BC134" s="2206"/>
      <c r="BD134" s="2206"/>
      <c r="BE134" s="2207"/>
      <c r="BF134" s="2206"/>
      <c r="BG134" s="2206"/>
      <c r="BH134" s="2206"/>
      <c r="BI134" s="2207"/>
      <c r="BJ134" s="2206"/>
      <c r="BK134" s="2206"/>
      <c r="BL134" s="2206"/>
      <c r="BM134" s="2207"/>
      <c r="BN134" s="2206"/>
      <c r="BO134" s="2206"/>
      <c r="BP134" s="2206"/>
      <c r="BQ134" s="2207"/>
      <c r="BR134" s="2206"/>
      <c r="BS134" s="2206"/>
      <c r="BT134" s="2206"/>
      <c r="BU134" s="2207"/>
      <c r="BV134" s="2206"/>
      <c r="BW134" s="2206"/>
      <c r="BX134" s="2206"/>
      <c r="BY134" s="2207"/>
      <c r="BZ134" s="2206"/>
      <c r="CA134" s="2206"/>
      <c r="CB134" s="2206"/>
      <c r="CC134" s="2207"/>
      <c r="CD134" s="2206"/>
      <c r="CE134" s="2206"/>
      <c r="CF134" s="2206"/>
      <c r="CG134" s="2207"/>
      <c r="CH134" s="2208">
        <v>735</v>
      </c>
      <c r="CI134" s="2208">
        <v>675</v>
      </c>
      <c r="CJ134" s="2208">
        <v>625</v>
      </c>
      <c r="CK134" s="2209">
        <v>550</v>
      </c>
      <c r="CL134" s="2208">
        <v>550</v>
      </c>
      <c r="CM134" s="2208">
        <v>550</v>
      </c>
      <c r="CN134" s="2208">
        <v>550</v>
      </c>
      <c r="CO134" s="2209">
        <v>550</v>
      </c>
      <c r="CP134" s="2208">
        <v>550</v>
      </c>
      <c r="CQ134" s="2208">
        <v>550</v>
      </c>
      <c r="CR134" s="2208">
        <v>550</v>
      </c>
      <c r="CS134" s="2209">
        <v>550</v>
      </c>
      <c r="CT134" s="2208"/>
      <c r="CU134" s="2208"/>
      <c r="CV134" s="2208"/>
      <c r="CW134" s="2209"/>
      <c r="CX134" s="2208"/>
      <c r="CY134" s="2208"/>
      <c r="CZ134" s="2208"/>
      <c r="DA134" s="2209"/>
      <c r="DB134" s="2208"/>
      <c r="DC134" s="2208"/>
      <c r="DD134" s="2208"/>
      <c r="DE134" s="2209"/>
      <c r="DF134" s="2208"/>
      <c r="DG134" s="2208"/>
      <c r="DH134" s="2208"/>
      <c r="DI134" s="2209"/>
      <c r="DJ134" s="2208"/>
      <c r="DK134" s="2208"/>
      <c r="DL134" s="2208"/>
      <c r="DM134" s="2209"/>
      <c r="DN134" s="2208"/>
      <c r="DO134" s="2208"/>
      <c r="DP134" s="2208"/>
      <c r="DQ134" s="2209"/>
      <c r="DR134" s="2208"/>
      <c r="DS134" s="2208"/>
      <c r="DT134" s="2208"/>
      <c r="DU134" s="2209"/>
      <c r="DV134" s="2208"/>
      <c r="DW134" s="2208"/>
      <c r="DX134" s="2208"/>
      <c r="DY134" s="2209"/>
      <c r="DZ134" s="2208"/>
      <c r="EA134" s="2208"/>
      <c r="EB134" s="2208"/>
      <c r="EC134" s="2209"/>
      <c r="ED134" s="2208"/>
      <c r="EE134" s="2208"/>
      <c r="EF134" s="2208"/>
      <c r="EG134" s="2209"/>
      <c r="EH134" s="2208"/>
      <c r="EI134" s="2208"/>
      <c r="EJ134" s="2208"/>
      <c r="EK134" s="2209"/>
      <c r="EM134" s="2203"/>
      <c r="EN134" s="2203"/>
      <c r="EO134" s="2203"/>
      <c r="EP134" s="2203"/>
      <c r="EQ134" s="2203"/>
      <c r="ER134" s="2203"/>
      <c r="ES134" s="2203"/>
      <c r="ET134" s="2203"/>
      <c r="EU134" s="2203"/>
      <c r="EV134" s="2203"/>
      <c r="EW134" s="2203"/>
      <c r="EX134" s="2203"/>
      <c r="EY134" s="2203"/>
      <c r="EZ134" s="2203"/>
      <c r="FA134" s="2203"/>
      <c r="FB134" s="2203"/>
      <c r="FC134" s="2203"/>
      <c r="FD134" s="2203"/>
      <c r="FE134" s="2203"/>
      <c r="FF134" s="2203"/>
      <c r="FG134" s="2203"/>
      <c r="FH134" s="2203"/>
      <c r="FI134" s="2204">
        <f t="shared" ref="FI134:FQ134" si="1066">IF(ISERROR(FI53/FI75),"NA",FI53/FI75)</f>
      </c>
      <c r="FJ134" s="2204">
        <f t="shared" si="1066"/>
      </c>
      <c r="FK134" s="2204" t="str">
        <f t="shared" si="1066"/>
      </c>
      <c r="FL134" s="2204" t="str">
        <f t="shared" si="1066"/>
      </c>
      <c r="FM134" s="2204" t="str">
        <f t="shared" si="1066"/>
      </c>
      <c r="FN134" s="2204" t="str">
        <f t="shared" si="1066"/>
      </c>
      <c r="FO134" s="2204" t="str">
        <f t="shared" si="1066"/>
      </c>
      <c r="FP134" s="2204" t="str">
        <f t="shared" si="1066"/>
      </c>
      <c r="FQ134" s="2204" t="str">
        <f t="shared" si="1066"/>
      </c>
      <c r="FR134" s="2204" t="str">
        <f t="shared" ref="FR134:FU134" si="1067">IF(ISERROR(FR53/FR75),"NA",FR53/FR75)</f>
      </c>
      <c r="FS134" s="2204" t="str">
        <f t="shared" si="1067"/>
      </c>
      <c r="FT134" s="2204" t="str">
        <f t="shared" si="1067"/>
      </c>
      <c r="FU134" s="2204" t="str">
        <f t="shared" si="1067"/>
      </c>
      <c r="FW134" s="2203"/>
      <c r="FX134" s="2203"/>
      <c r="FY134" s="2203"/>
      <c r="FZ134" s="2203"/>
      <c r="GA134" s="2203"/>
      <c r="GB134" s="2203"/>
      <c r="GC134" s="2203"/>
      <c r="GD134" s="2203"/>
      <c r="GE134" s="2203"/>
      <c r="GF134" s="2203"/>
      <c r="GG134" s="2203"/>
      <c r="GH134" s="2203"/>
      <c r="GI134" s="2203"/>
      <c r="GJ134" s="2203"/>
      <c r="GK134" s="2203"/>
      <c r="GL134" s="2203"/>
      <c r="GM134" s="2203"/>
      <c r="GN134" s="2203"/>
      <c r="GO134" s="2203"/>
      <c r="GP134" s="2203"/>
      <c r="GQ134" s="2203"/>
      <c r="GR134" s="2203"/>
      <c r="GS134" s="2203"/>
      <c r="GT134" s="2203"/>
      <c r="GU134" s="2203"/>
      <c r="GV134" s="2203"/>
      <c r="GW134" s="2203"/>
      <c r="GX134" s="2203"/>
      <c r="GY134" s="2203"/>
      <c r="GZ134" s="2203"/>
      <c r="HA134" s="2203"/>
      <c r="HB134" s="2203"/>
      <c r="HC134" s="2203"/>
      <c r="HD134" s="2203"/>
      <c r="HE134" s="2203"/>
      <c r="HF134" s="2203"/>
    </row>
    <row r="135" spans="1:214" s="2202" customFormat="1" ht="10.199999999999999">
      <c r="A135" s="2205" t="s">
        <v>1460</v>
      </c>
      <c r="B135" s="2206"/>
      <c r="C135" s="2206"/>
      <c r="D135" s="2206"/>
      <c r="E135" s="2207"/>
      <c r="F135" s="2206"/>
      <c r="G135" s="2206"/>
      <c r="H135" s="2206"/>
      <c r="I135" s="2207"/>
      <c r="J135" s="2206"/>
      <c r="K135" s="2206"/>
      <c r="L135" s="2206"/>
      <c r="M135" s="2207"/>
      <c r="N135" s="2206"/>
      <c r="O135" s="2206"/>
      <c r="P135" s="2206"/>
      <c r="Q135" s="2207"/>
      <c r="R135" s="2206"/>
      <c r="S135" s="2206"/>
      <c r="T135" s="2206"/>
      <c r="U135" s="2207"/>
      <c r="V135" s="2206"/>
      <c r="W135" s="2206"/>
      <c r="X135" s="2206"/>
      <c r="Y135" s="2207"/>
      <c r="Z135" s="2206"/>
      <c r="AA135" s="2206"/>
      <c r="AB135" s="2206"/>
      <c r="AC135" s="2207"/>
      <c r="AD135" s="2206"/>
      <c r="AE135" s="2206"/>
      <c r="AF135" s="2206"/>
      <c r="AG135" s="2207"/>
      <c r="AH135" s="2206"/>
      <c r="AI135" s="2206"/>
      <c r="AJ135" s="2206"/>
      <c r="AK135" s="2207"/>
      <c r="AL135" s="2206"/>
      <c r="AM135" s="2206"/>
      <c r="AN135" s="2206"/>
      <c r="AO135" s="2207"/>
      <c r="AP135" s="2206"/>
      <c r="AQ135" s="2206"/>
      <c r="AR135" s="2206"/>
      <c r="AS135" s="2207"/>
      <c r="AT135" s="2206"/>
      <c r="AU135" s="2206"/>
      <c r="AV135" s="2206"/>
      <c r="AW135" s="2207"/>
      <c r="AX135" s="2206"/>
      <c r="AY135" s="2206"/>
      <c r="AZ135" s="2206"/>
      <c r="BA135" s="2207"/>
      <c r="BB135" s="2206"/>
      <c r="BC135" s="2206"/>
      <c r="BD135" s="2206"/>
      <c r="BE135" s="2207"/>
      <c r="BF135" s="2206"/>
      <c r="BG135" s="2206"/>
      <c r="BH135" s="2206"/>
      <c r="BI135" s="2207"/>
      <c r="BJ135" s="2206"/>
      <c r="BK135" s="2206"/>
      <c r="BL135" s="2206"/>
      <c r="BM135" s="2207"/>
      <c r="BN135" s="2206"/>
      <c r="BO135" s="2206"/>
      <c r="BP135" s="2206"/>
      <c r="BQ135" s="2207"/>
      <c r="BR135" s="2206"/>
      <c r="BS135" s="2206"/>
      <c r="BT135" s="2206"/>
      <c r="BU135" s="2207"/>
      <c r="BV135" s="2206"/>
      <c r="BW135" s="2206"/>
      <c r="BX135" s="2206"/>
      <c r="BY135" s="2207"/>
      <c r="BZ135" s="2206"/>
      <c r="CA135" s="2206"/>
      <c r="CB135" s="2206"/>
      <c r="CC135" s="2207"/>
      <c r="CD135" s="2206"/>
      <c r="CE135" s="2206"/>
      <c r="CF135" s="2206"/>
      <c r="CG135" s="2207"/>
      <c r="CH135" s="2208"/>
      <c r="CI135" s="2208"/>
      <c r="CJ135" s="2208"/>
      <c r="CK135" s="2210">
        <v>750</v>
      </c>
      <c r="CL135" s="2208">
        <v>750</v>
      </c>
      <c r="CM135" s="2208">
        <v>725</v>
      </c>
      <c r="CN135" s="2208">
        <v>725</v>
      </c>
      <c r="CO135" s="2209">
        <v>700</v>
      </c>
      <c r="CP135" s="2208">
        <v>700</v>
      </c>
      <c r="CQ135" s="2208">
        <v>700</v>
      </c>
      <c r="CR135" s="2208">
        <v>700</v>
      </c>
      <c r="CS135" s="2209">
        <v>600</v>
      </c>
      <c r="CT135" s="2208">
        <v>550</v>
      </c>
      <c r="CU135" s="2208">
        <f t="shared" ref="CU135:CV135" si="1068">CT135</f>
      </c>
      <c r="CV135" s="2208">
        <f t="shared" si="1068"/>
      </c>
      <c r="CW135" s="2209"/>
      <c r="CX135" s="2208"/>
      <c r="CY135" s="2208"/>
      <c r="CZ135" s="2208"/>
      <c r="DA135" s="2209"/>
      <c r="DB135" s="2208"/>
      <c r="DC135" s="2208"/>
      <c r="DD135" s="2208"/>
      <c r="DE135" s="2209"/>
      <c r="DF135" s="2208"/>
      <c r="DG135" s="2208"/>
      <c r="DH135" s="2208"/>
      <c r="DI135" s="2209"/>
      <c r="DJ135" s="2208"/>
      <c r="DK135" s="2208"/>
      <c r="DL135" s="2208"/>
      <c r="DM135" s="2209"/>
      <c r="DN135" s="2208"/>
      <c r="DO135" s="2208"/>
      <c r="DP135" s="2208"/>
      <c r="DQ135" s="2209"/>
      <c r="DR135" s="2208"/>
      <c r="DS135" s="2208"/>
      <c r="DT135" s="2208"/>
      <c r="DU135" s="2209"/>
      <c r="DV135" s="2208"/>
      <c r="DW135" s="2208"/>
      <c r="DX135" s="2208"/>
      <c r="DY135" s="2209"/>
      <c r="DZ135" s="2208"/>
      <c r="EA135" s="2208"/>
      <c r="EB135" s="2208"/>
      <c r="EC135" s="2209"/>
      <c r="ED135" s="2208"/>
      <c r="EE135" s="2208"/>
      <c r="EF135" s="2208"/>
      <c r="EG135" s="2209"/>
      <c r="EH135" s="2208"/>
      <c r="EI135" s="2208"/>
      <c r="EJ135" s="2208"/>
      <c r="EK135" s="2209"/>
      <c r="EM135" s="2203"/>
      <c r="EN135" s="2203"/>
      <c r="EO135" s="2203"/>
      <c r="EP135" s="2203"/>
      <c r="EQ135" s="2203"/>
      <c r="ER135" s="2203"/>
      <c r="ES135" s="2203"/>
      <c r="ET135" s="2203"/>
      <c r="EU135" s="2203"/>
      <c r="EV135" s="2203"/>
      <c r="EW135" s="2203"/>
      <c r="EX135" s="2203"/>
      <c r="EY135" s="2203"/>
      <c r="EZ135" s="2203"/>
      <c r="FA135" s="2203"/>
      <c r="FB135" s="2203"/>
      <c r="FC135" s="2203"/>
      <c r="FD135" s="2203"/>
      <c r="FE135" s="2203"/>
      <c r="FF135" s="2203"/>
      <c r="FG135" s="2203"/>
      <c r="FH135" s="2203"/>
      <c r="FI135" s="2204">
        <f t="shared" ref="FI135:FQ135" si="1069">IF(ISERROR(FI54/FI76),"NA",FI54/FI76)</f>
      </c>
      <c r="FJ135" s="2204">
        <f t="shared" si="1069"/>
      </c>
      <c r="FK135" s="2204">
        <f t="shared" si="1069"/>
      </c>
      <c r="FL135" s="2204">
        <f t="shared" si="1069"/>
      </c>
      <c r="FM135" s="2204" t="str">
        <f t="shared" si="1069"/>
      </c>
      <c r="FN135" s="2204" t="str">
        <f t="shared" si="1069"/>
      </c>
      <c r="FO135" s="2204" t="str">
        <f t="shared" si="1069"/>
      </c>
      <c r="FP135" s="2204" t="str">
        <f t="shared" si="1069"/>
      </c>
      <c r="FQ135" s="2204" t="str">
        <f t="shared" si="1069"/>
      </c>
      <c r="FR135" s="2204" t="str">
        <f t="shared" ref="FR135:FU135" si="1070">IF(ISERROR(FR54/FR76),"NA",FR54/FR76)</f>
      </c>
      <c r="FS135" s="2204" t="str">
        <f t="shared" si="1070"/>
      </c>
      <c r="FT135" s="2204" t="str">
        <f t="shared" si="1070"/>
      </c>
      <c r="FU135" s="2204" t="str">
        <f t="shared" si="1070"/>
      </c>
      <c r="FW135" s="2203"/>
      <c r="FX135" s="2203"/>
      <c r="FY135" s="2203"/>
      <c r="FZ135" s="2203"/>
      <c r="GA135" s="2203"/>
      <c r="GB135" s="2203"/>
      <c r="GC135" s="2203"/>
      <c r="GD135" s="2203"/>
      <c r="GE135" s="2203"/>
      <c r="GF135" s="2203"/>
      <c r="GG135" s="2203"/>
      <c r="GH135" s="2203"/>
      <c r="GI135" s="2203"/>
      <c r="GJ135" s="2203"/>
      <c r="GK135" s="2203"/>
      <c r="GL135" s="2203"/>
      <c r="GM135" s="2203"/>
      <c r="GN135" s="2203"/>
      <c r="GO135" s="2203"/>
      <c r="GP135" s="2203"/>
      <c r="GQ135" s="2203"/>
      <c r="GR135" s="2203"/>
      <c r="GS135" s="2203"/>
      <c r="GT135" s="2203"/>
      <c r="GU135" s="2203"/>
      <c r="GV135" s="2203"/>
      <c r="GW135" s="2203"/>
      <c r="GX135" s="2203"/>
      <c r="GY135" s="2203"/>
      <c r="GZ135" s="2203"/>
      <c r="HA135" s="2203"/>
      <c r="HB135" s="2203"/>
      <c r="HC135" s="2203"/>
      <c r="HD135" s="2203"/>
      <c r="HE135" s="2203"/>
      <c r="HF135" s="2203"/>
    </row>
    <row r="136" spans="1:214" s="2202" customFormat="1" ht="10.199999999999999">
      <c r="A136" s="2205" t="s">
        <v>1461</v>
      </c>
      <c r="B136" s="2206"/>
      <c r="C136" s="2206"/>
      <c r="D136" s="2206"/>
      <c r="E136" s="2207"/>
      <c r="F136" s="2206"/>
      <c r="G136" s="2206"/>
      <c r="H136" s="2206"/>
      <c r="I136" s="2207"/>
      <c r="J136" s="2206"/>
      <c r="K136" s="2206"/>
      <c r="L136" s="2206"/>
      <c r="M136" s="2207"/>
      <c r="N136" s="2206"/>
      <c r="O136" s="2206"/>
      <c r="P136" s="2206"/>
      <c r="Q136" s="2207"/>
      <c r="R136" s="2206"/>
      <c r="S136" s="2206"/>
      <c r="T136" s="2206"/>
      <c r="U136" s="2207"/>
      <c r="V136" s="2206"/>
      <c r="W136" s="2206"/>
      <c r="X136" s="2206"/>
      <c r="Y136" s="2207"/>
      <c r="Z136" s="2206"/>
      <c r="AA136" s="2206"/>
      <c r="AB136" s="2206"/>
      <c r="AC136" s="2207"/>
      <c r="AD136" s="2206"/>
      <c r="AE136" s="2206"/>
      <c r="AF136" s="2206"/>
      <c r="AG136" s="2207"/>
      <c r="AH136" s="2206"/>
      <c r="AI136" s="2206"/>
      <c r="AJ136" s="2206"/>
      <c r="AK136" s="2207"/>
      <c r="AL136" s="2206"/>
      <c r="AM136" s="2206"/>
      <c r="AN136" s="2206"/>
      <c r="AO136" s="2207"/>
      <c r="AP136" s="2206"/>
      <c r="AQ136" s="2206"/>
      <c r="AR136" s="2206"/>
      <c r="AS136" s="2207"/>
      <c r="AT136" s="2206"/>
      <c r="AU136" s="2206"/>
      <c r="AV136" s="2206"/>
      <c r="AW136" s="2207"/>
      <c r="AX136" s="2206"/>
      <c r="AY136" s="2206"/>
      <c r="AZ136" s="2206"/>
      <c r="BA136" s="2207"/>
      <c r="BB136" s="2206"/>
      <c r="BC136" s="2206"/>
      <c r="BD136" s="2206"/>
      <c r="BE136" s="2207"/>
      <c r="BF136" s="2206"/>
      <c r="BG136" s="2206"/>
      <c r="BH136" s="2206"/>
      <c r="BI136" s="2207"/>
      <c r="BJ136" s="2206"/>
      <c r="BK136" s="2206"/>
      <c r="BL136" s="2206"/>
      <c r="BM136" s="2207"/>
      <c r="BN136" s="2206"/>
      <c r="BO136" s="2206"/>
      <c r="BP136" s="2206"/>
      <c r="BQ136" s="2207"/>
      <c r="BR136" s="2206"/>
      <c r="BS136" s="2206"/>
      <c r="BT136" s="2206"/>
      <c r="BU136" s="2207"/>
      <c r="BV136" s="2206"/>
      <c r="BW136" s="2206"/>
      <c r="BX136" s="2206"/>
      <c r="BY136" s="2207"/>
      <c r="BZ136" s="2206"/>
      <c r="CA136" s="2206"/>
      <c r="CB136" s="2206"/>
      <c r="CC136" s="2207"/>
      <c r="CD136" s="2206"/>
      <c r="CE136" s="2206"/>
      <c r="CF136" s="2206"/>
      <c r="CG136" s="2207"/>
      <c r="CH136" s="2208"/>
      <c r="CI136" s="2208"/>
      <c r="CJ136" s="2208"/>
      <c r="CK136" s="2209"/>
      <c r="CL136" s="2211">
        <v>1000</v>
      </c>
      <c r="CM136" s="2208">
        <v>900</v>
      </c>
      <c r="CN136" s="2208">
        <v>900</v>
      </c>
      <c r="CO136" s="2210">
        <v>925</v>
      </c>
      <c r="CP136" s="2211">
        <v>875</v>
      </c>
      <c r="CQ136" s="2208">
        <v>800</v>
      </c>
      <c r="CR136" s="2208">
        <v>850</v>
      </c>
      <c r="CS136" s="2209">
        <v>750</v>
      </c>
      <c r="CT136" s="2208">
        <v>700</v>
      </c>
      <c r="CU136" s="2208">
        <v>700</v>
      </c>
      <c r="CV136" s="2208">
        <v>700</v>
      </c>
      <c r="CW136" s="2209">
        <v>700</v>
      </c>
      <c r="CX136" s="2208">
        <v>600</v>
      </c>
      <c r="CY136" s="2208">
        <v>600</v>
      </c>
      <c r="CZ136" s="2208">
        <v>600</v>
      </c>
      <c r="DA136" s="2209">
        <v>600</v>
      </c>
      <c r="DB136" s="2208"/>
      <c r="DC136" s="2208"/>
      <c r="DD136" s="2208"/>
      <c r="DE136" s="2209"/>
      <c r="DF136" s="2208"/>
      <c r="DG136" s="2208"/>
      <c r="DH136" s="2208"/>
      <c r="DI136" s="2209"/>
      <c r="DJ136" s="2208"/>
      <c r="DK136" s="2208"/>
      <c r="DL136" s="2208"/>
      <c r="DM136" s="2209"/>
      <c r="DN136" s="2208"/>
      <c r="DO136" s="2208"/>
      <c r="DP136" s="2208"/>
      <c r="DQ136" s="2209"/>
      <c r="DR136" s="2208"/>
      <c r="DS136" s="2208"/>
      <c r="DT136" s="2208"/>
      <c r="DU136" s="2209"/>
      <c r="DV136" s="2208"/>
      <c r="DW136" s="2208"/>
      <c r="DX136" s="2208"/>
      <c r="DY136" s="2209"/>
      <c r="DZ136" s="2208"/>
      <c r="EA136" s="2208"/>
      <c r="EB136" s="2208"/>
      <c r="EC136" s="2209"/>
      <c r="ED136" s="2208"/>
      <c r="EE136" s="2208"/>
      <c r="EF136" s="2208"/>
      <c r="EG136" s="2209"/>
      <c r="EH136" s="2208"/>
      <c r="EI136" s="2208"/>
      <c r="EJ136" s="2208"/>
      <c r="EK136" s="2209"/>
      <c r="EM136" s="2203"/>
      <c r="EN136" s="2203"/>
      <c r="EO136" s="2203"/>
      <c r="EP136" s="2203"/>
      <c r="EQ136" s="2203"/>
      <c r="ER136" s="2203"/>
      <c r="ES136" s="2203"/>
      <c r="ET136" s="2203"/>
      <c r="EU136" s="2203"/>
      <c r="EV136" s="2203"/>
      <c r="EW136" s="2203"/>
      <c r="EX136" s="2203"/>
      <c r="EY136" s="2203"/>
      <c r="EZ136" s="2203"/>
      <c r="FA136" s="2203"/>
      <c r="FB136" s="2203"/>
      <c r="FC136" s="2203"/>
      <c r="FD136" s="2203"/>
      <c r="FE136" s="2203"/>
      <c r="FF136" s="2203"/>
      <c r="FG136" s="2203"/>
      <c r="FH136" s="2203"/>
      <c r="FI136" s="2204">
        <f t="shared" ref="FI136:FQ136" si="1071">IF(ISERROR(FI55/FI77),"NA",FI55/FI77)</f>
      </c>
      <c r="FJ136" s="2204">
        <f t="shared" si="1071"/>
      </c>
      <c r="FK136" s="2204">
        <f t="shared" si="1071"/>
      </c>
      <c r="FL136" s="2204">
        <f t="shared" si="1071"/>
      </c>
      <c r="FM136" s="2204" t="str">
        <f t="shared" si="1071"/>
      </c>
      <c r="FN136" s="2204" t="str">
        <f t="shared" si="1071"/>
      </c>
      <c r="FO136" s="2204" t="str">
        <f t="shared" si="1071"/>
      </c>
      <c r="FP136" s="2204" t="str">
        <f t="shared" si="1071"/>
      </c>
      <c r="FQ136" s="2204" t="str">
        <f t="shared" si="1071"/>
      </c>
      <c r="FR136" s="2204" t="str">
        <f t="shared" ref="FR136:FU136" si="1072">IF(ISERROR(FR55/FR77),"NA",FR55/FR77)</f>
      </c>
      <c r="FS136" s="2204" t="str">
        <f t="shared" si="1072"/>
      </c>
      <c r="FT136" s="2204" t="str">
        <f t="shared" si="1072"/>
      </c>
      <c r="FU136" s="2204" t="str">
        <f t="shared" si="1072"/>
      </c>
      <c r="FW136" s="2203"/>
      <c r="FX136" s="2203"/>
      <c r="FY136" s="2203"/>
      <c r="FZ136" s="2203"/>
      <c r="GA136" s="2203"/>
      <c r="GB136" s="2203"/>
      <c r="GC136" s="2203"/>
      <c r="GD136" s="2203"/>
      <c r="GE136" s="2203"/>
      <c r="GF136" s="2203"/>
      <c r="GG136" s="2203"/>
      <c r="GH136" s="2203"/>
      <c r="GI136" s="2203"/>
      <c r="GJ136" s="2203"/>
      <c r="GK136" s="2203"/>
      <c r="GL136" s="2203"/>
      <c r="GM136" s="2203"/>
      <c r="GN136" s="2203"/>
      <c r="GO136" s="2203"/>
      <c r="GP136" s="2203"/>
      <c r="GQ136" s="2203"/>
      <c r="GR136" s="2203"/>
      <c r="GS136" s="2203"/>
      <c r="GT136" s="2203"/>
      <c r="GU136" s="2203"/>
      <c r="GV136" s="2203"/>
      <c r="GW136" s="2203"/>
      <c r="GX136" s="2203"/>
      <c r="GY136" s="2203"/>
      <c r="GZ136" s="2203"/>
      <c r="HA136" s="2203"/>
      <c r="HB136" s="2203"/>
      <c r="HC136" s="2203"/>
      <c r="HD136" s="2203"/>
      <c r="HE136" s="2203"/>
      <c r="HF136" s="2203"/>
    </row>
    <row r="137" spans="1:214" s="2202" customFormat="1" ht="10.199999999999999">
      <c r="A137" s="2205" t="s">
        <v>1126</v>
      </c>
      <c r="B137" s="2206"/>
      <c r="C137" s="2206"/>
      <c r="D137" s="2206"/>
      <c r="E137" s="2207"/>
      <c r="F137" s="2206"/>
      <c r="G137" s="2206"/>
      <c r="H137" s="2206"/>
      <c r="I137" s="2207"/>
      <c r="J137" s="2206"/>
      <c r="K137" s="2206"/>
      <c r="L137" s="2206"/>
      <c r="M137" s="2207"/>
      <c r="N137" s="2206"/>
      <c r="O137" s="2206"/>
      <c r="P137" s="2206"/>
      <c r="Q137" s="2207"/>
      <c r="R137" s="2206"/>
      <c r="S137" s="2206"/>
      <c r="T137" s="2206"/>
      <c r="U137" s="2207"/>
      <c r="V137" s="2206"/>
      <c r="W137" s="2206"/>
      <c r="X137" s="2206"/>
      <c r="Y137" s="2207"/>
      <c r="Z137" s="2206"/>
      <c r="AA137" s="2206"/>
      <c r="AB137" s="2206"/>
      <c r="AC137" s="2207"/>
      <c r="AD137" s="2206"/>
      <c r="AE137" s="2206"/>
      <c r="AF137" s="2206"/>
      <c r="AG137" s="2207"/>
      <c r="AH137" s="2206"/>
      <c r="AI137" s="2206"/>
      <c r="AJ137" s="2206"/>
      <c r="AK137" s="2207"/>
      <c r="AL137" s="2206"/>
      <c r="AM137" s="2206"/>
      <c r="AN137" s="2206"/>
      <c r="AO137" s="2207"/>
      <c r="AP137" s="2206"/>
      <c r="AQ137" s="2206"/>
      <c r="AR137" s="2206"/>
      <c r="AS137" s="2207"/>
      <c r="AT137" s="2206"/>
      <c r="AU137" s="2206"/>
      <c r="AV137" s="2206"/>
      <c r="AW137" s="2207"/>
      <c r="AX137" s="2206"/>
      <c r="AY137" s="2206"/>
      <c r="AZ137" s="2206"/>
      <c r="BA137" s="2207"/>
      <c r="BB137" s="2206"/>
      <c r="BC137" s="2206"/>
      <c r="BD137" s="2206"/>
      <c r="BE137" s="2207"/>
      <c r="BF137" s="2206"/>
      <c r="BG137" s="2206"/>
      <c r="BH137" s="2206"/>
      <c r="BI137" s="2207"/>
      <c r="BJ137" s="2206"/>
      <c r="BK137" s="2206"/>
      <c r="BL137" s="2206"/>
      <c r="BM137" s="2207"/>
      <c r="BN137" s="2206"/>
      <c r="BO137" s="2206"/>
      <c r="BP137" s="2206"/>
      <c r="BQ137" s="2207"/>
      <c r="BR137" s="2206"/>
      <c r="BS137" s="2206"/>
      <c r="BT137" s="2206"/>
      <c r="BU137" s="2207"/>
      <c r="BV137" s="2206"/>
      <c r="BW137" s="2206"/>
      <c r="BX137" s="2206"/>
      <c r="BY137" s="2207"/>
      <c r="BZ137" s="2206"/>
      <c r="CA137" s="2206"/>
      <c r="CB137" s="2206"/>
      <c r="CC137" s="2207"/>
      <c r="CD137" s="2206"/>
      <c r="CE137" s="2206"/>
      <c r="CF137" s="2206"/>
      <c r="CG137" s="2207"/>
      <c r="CH137" s="2208"/>
      <c r="CI137" s="2208"/>
      <c r="CJ137" s="2208"/>
      <c r="CK137" s="2209"/>
      <c r="CL137" s="2208"/>
      <c r="CM137" s="2208"/>
      <c r="CN137" s="2208"/>
      <c r="CO137" s="2209"/>
      <c r="CP137" s="2208"/>
      <c r="CQ137" s="2208"/>
      <c r="CR137" s="2208"/>
      <c r="CS137" s="2210">
        <v>850</v>
      </c>
      <c r="CT137" s="2208">
        <v>825</v>
      </c>
      <c r="CU137" s="2208">
        <v>825</v>
      </c>
      <c r="CV137" s="2208">
        <v>825</v>
      </c>
      <c r="CW137" s="2209">
        <v>715</v>
      </c>
      <c r="CX137" s="2208">
        <v>650</v>
      </c>
      <c r="CY137" s="2208">
        <v>650</v>
      </c>
      <c r="CZ137" s="2208">
        <v>625</v>
      </c>
      <c r="DA137" s="2209">
        <v>600</v>
      </c>
      <c r="DB137" s="2208">
        <v>600</v>
      </c>
      <c r="DC137" s="2208">
        <v>600</v>
      </c>
      <c r="DD137" s="2208">
        <v>600</v>
      </c>
      <c r="DE137" s="2209">
        <v>600</v>
      </c>
      <c r="DF137" s="2208"/>
      <c r="DG137" s="2208"/>
      <c r="DH137" s="2208"/>
      <c r="DI137" s="2209"/>
      <c r="DJ137" s="2208"/>
      <c r="DK137" s="2208"/>
      <c r="DL137" s="2208"/>
      <c r="DM137" s="2209"/>
      <c r="DN137" s="2208"/>
      <c r="DO137" s="2208"/>
      <c r="DP137" s="2208"/>
      <c r="DQ137" s="2209"/>
      <c r="DR137" s="2208"/>
      <c r="DS137" s="2208"/>
      <c r="DT137" s="2208"/>
      <c r="DU137" s="2209"/>
      <c r="DV137" s="2208"/>
      <c r="DW137" s="2208"/>
      <c r="DX137" s="2208"/>
      <c r="DY137" s="2209"/>
      <c r="DZ137" s="2208"/>
      <c r="EA137" s="2208"/>
      <c r="EB137" s="2208"/>
      <c r="EC137" s="2209"/>
      <c r="ED137" s="2208"/>
      <c r="EE137" s="2208"/>
      <c r="EF137" s="2208"/>
      <c r="EG137" s="2209"/>
      <c r="EH137" s="2208"/>
      <c r="EI137" s="2208"/>
      <c r="EJ137" s="2208"/>
      <c r="EK137" s="2209"/>
      <c r="EM137" s="2203"/>
      <c r="EN137" s="2203"/>
      <c r="EO137" s="2203"/>
      <c r="EP137" s="2203"/>
      <c r="EQ137" s="2203"/>
      <c r="ER137" s="2203"/>
      <c r="ES137" s="2203"/>
      <c r="ET137" s="2203"/>
      <c r="EU137" s="2203"/>
      <c r="EV137" s="2203"/>
      <c r="EW137" s="2203"/>
      <c r="EX137" s="2203"/>
      <c r="EY137" s="2203"/>
      <c r="EZ137" s="2203"/>
      <c r="FA137" s="2203"/>
      <c r="FB137" s="2203"/>
      <c r="FC137" s="2203"/>
      <c r="FD137" s="2203"/>
      <c r="FE137" s="2203"/>
      <c r="FF137" s="2203"/>
      <c r="FG137" s="2203"/>
      <c r="FH137" s="2203"/>
      <c r="FI137" s="2204" t="str">
        <f t="shared" ref="FI137:FQ137" si="1073">IF(ISERROR(FI56/FI78),"NA",FI56/FI78)</f>
      </c>
      <c r="FJ137" s="2204">
        <f t="shared" si="1073"/>
      </c>
      <c r="FK137" s="2204">
        <f t="shared" si="1073"/>
      </c>
      <c r="FL137" s="2204">
        <f t="shared" si="1073"/>
      </c>
      <c r="FM137" s="2204">
        <f t="shared" si="1073"/>
      </c>
      <c r="FN137" s="2204" t="str">
        <f t="shared" si="1073"/>
      </c>
      <c r="FO137" s="2204" t="str">
        <f t="shared" si="1073"/>
      </c>
      <c r="FP137" s="2204" t="str">
        <f t="shared" si="1073"/>
      </c>
      <c r="FQ137" s="2204" t="str">
        <f t="shared" si="1073"/>
      </c>
      <c r="FR137" s="2204" t="str">
        <f t="shared" ref="FR137:FU137" si="1074">IF(ISERROR(FR56/FR78),"NA",FR56/FR78)</f>
      </c>
      <c r="FS137" s="2204" t="str">
        <f t="shared" si="1074"/>
      </c>
      <c r="FT137" s="2204" t="str">
        <f t="shared" si="1074"/>
      </c>
      <c r="FU137" s="2204" t="str">
        <f t="shared" si="1074"/>
      </c>
      <c r="FW137" s="2203"/>
      <c r="FX137" s="2203"/>
      <c r="FY137" s="2203"/>
      <c r="FZ137" s="2203"/>
      <c r="GA137" s="2203"/>
      <c r="GB137" s="2203"/>
      <c r="GC137" s="2203"/>
      <c r="GD137" s="2203"/>
      <c r="GE137" s="2203"/>
      <c r="GF137" s="2203"/>
      <c r="GG137" s="2203"/>
      <c r="GH137" s="2203"/>
      <c r="GI137" s="2203"/>
      <c r="GJ137" s="2203"/>
      <c r="GK137" s="2203"/>
      <c r="GL137" s="2203"/>
      <c r="GM137" s="2203"/>
      <c r="GN137" s="2203"/>
      <c r="GO137" s="2203"/>
      <c r="GP137" s="2203"/>
      <c r="GQ137" s="2203"/>
      <c r="GR137" s="2203"/>
      <c r="GS137" s="2203"/>
      <c r="GT137" s="2203"/>
      <c r="GU137" s="2203"/>
      <c r="GV137" s="2203"/>
      <c r="GW137" s="2203"/>
      <c r="GX137" s="2203"/>
      <c r="GY137" s="2203"/>
      <c r="GZ137" s="2203"/>
      <c r="HA137" s="2203"/>
      <c r="HB137" s="2203"/>
      <c r="HC137" s="2203"/>
      <c r="HD137" s="2203"/>
      <c r="HE137" s="2203"/>
      <c r="HF137" s="2203"/>
    </row>
    <row r="138" spans="1:214" s="2202" customFormat="1" ht="10.199999999999999">
      <c r="A138" s="2205" t="s">
        <v>1103</v>
      </c>
      <c r="B138" s="2206"/>
      <c r="C138" s="2206"/>
      <c r="D138" s="2206"/>
      <c r="E138" s="2207"/>
      <c r="F138" s="2206"/>
      <c r="G138" s="2206"/>
      <c r="H138" s="2206"/>
      <c r="I138" s="2207"/>
      <c r="J138" s="2206"/>
      <c r="K138" s="2206"/>
      <c r="L138" s="2206"/>
      <c r="M138" s="2207"/>
      <c r="N138" s="2206"/>
      <c r="O138" s="2206"/>
      <c r="P138" s="2206"/>
      <c r="Q138" s="2207"/>
      <c r="R138" s="2206"/>
      <c r="S138" s="2206"/>
      <c r="T138" s="2206"/>
      <c r="U138" s="2207"/>
      <c r="V138" s="2206"/>
      <c r="W138" s="2206"/>
      <c r="X138" s="2206"/>
      <c r="Y138" s="2207"/>
      <c r="Z138" s="2206"/>
      <c r="AA138" s="2206"/>
      <c r="AB138" s="2206"/>
      <c r="AC138" s="2207"/>
      <c r="AD138" s="2206"/>
      <c r="AE138" s="2206"/>
      <c r="AF138" s="2206"/>
      <c r="AG138" s="2207"/>
      <c r="AH138" s="2206"/>
      <c r="AI138" s="2206"/>
      <c r="AJ138" s="2206"/>
      <c r="AK138" s="2207"/>
      <c r="AL138" s="2206"/>
      <c r="AM138" s="2206"/>
      <c r="AN138" s="2206"/>
      <c r="AO138" s="2207"/>
      <c r="AP138" s="2206"/>
      <c r="AQ138" s="2206"/>
      <c r="AR138" s="2206"/>
      <c r="AS138" s="2207"/>
      <c r="AT138" s="2206"/>
      <c r="AU138" s="2206"/>
      <c r="AV138" s="2206"/>
      <c r="AW138" s="2207"/>
      <c r="AX138" s="2206"/>
      <c r="AY138" s="2206"/>
      <c r="AZ138" s="2206"/>
      <c r="BA138" s="2207"/>
      <c r="BB138" s="2206"/>
      <c r="BC138" s="2206"/>
      <c r="BD138" s="2206"/>
      <c r="BE138" s="2207"/>
      <c r="BF138" s="2206"/>
      <c r="BG138" s="2206"/>
      <c r="BH138" s="2206"/>
      <c r="BI138" s="2207"/>
      <c r="BJ138" s="2206"/>
      <c r="BK138" s="2206"/>
      <c r="BL138" s="2206"/>
      <c r="BM138" s="2207"/>
      <c r="BN138" s="2206"/>
      <c r="BO138" s="2206"/>
      <c r="BP138" s="2206"/>
      <c r="BQ138" s="2207"/>
      <c r="BR138" s="2206"/>
      <c r="BS138" s="2206"/>
      <c r="BT138" s="2206"/>
      <c r="BU138" s="2207"/>
      <c r="BV138" s="2206"/>
      <c r="BW138" s="2206"/>
      <c r="BX138" s="2206"/>
      <c r="BY138" s="2207"/>
      <c r="BZ138" s="2206"/>
      <c r="CA138" s="2206"/>
      <c r="CB138" s="2206"/>
      <c r="CC138" s="2207"/>
      <c r="CD138" s="2206"/>
      <c r="CE138" s="2206"/>
      <c r="CF138" s="2206"/>
      <c r="CG138" s="2207"/>
      <c r="CH138" s="2208"/>
      <c r="CI138" s="2208"/>
      <c r="CJ138" s="2208"/>
      <c r="CK138" s="2209"/>
      <c r="CL138" s="2208"/>
      <c r="CM138" s="2208"/>
      <c r="CN138" s="2208"/>
      <c r="CO138" s="2209"/>
      <c r="CP138" s="2208"/>
      <c r="CQ138" s="2208"/>
      <c r="CR138" s="2208"/>
      <c r="CS138" s="2209"/>
      <c r="CT138" s="2208"/>
      <c r="CU138" s="2208"/>
      <c r="CV138" s="2208"/>
      <c r="CW138" s="2209"/>
      <c r="CX138" s="2211">
        <v>825</v>
      </c>
      <c r="CY138" s="2208">
        <v>925</v>
      </c>
      <c r="CZ138" s="2208">
        <v>925</v>
      </c>
      <c r="DA138" s="2209">
        <v>800</v>
      </c>
      <c r="DB138" s="2208">
        <v>700</v>
      </c>
      <c r="DC138" s="2208">
        <v>700</v>
      </c>
      <c r="DD138" s="2208">
        <v>700</v>
      </c>
      <c r="DE138" s="2209">
        <v>700</v>
      </c>
      <c r="DF138" s="2208"/>
      <c r="DG138" s="2208"/>
      <c r="DH138" s="2208"/>
      <c r="DI138" s="2209"/>
      <c r="DJ138" s="2208"/>
      <c r="DK138" s="2208"/>
      <c r="DL138" s="2208"/>
      <c r="DM138" s="2209"/>
      <c r="DN138" s="2208"/>
      <c r="DO138" s="2208"/>
      <c r="DP138" s="2208"/>
      <c r="DQ138" s="2209"/>
      <c r="DR138" s="2208"/>
      <c r="DS138" s="2208"/>
      <c r="DT138" s="2208"/>
      <c r="DU138" s="2209"/>
      <c r="DV138" s="2208"/>
      <c r="DW138" s="2208"/>
      <c r="DX138" s="2208"/>
      <c r="DY138" s="2209"/>
      <c r="DZ138" s="2208"/>
      <c r="EA138" s="2208"/>
      <c r="EB138" s="2208"/>
      <c r="EC138" s="2209"/>
      <c r="ED138" s="2208"/>
      <c r="EE138" s="2208"/>
      <c r="EF138" s="2208"/>
      <c r="EG138" s="2209"/>
      <c r="EH138" s="2208"/>
      <c r="EI138" s="2208"/>
      <c r="EJ138" s="2208"/>
      <c r="EK138" s="2209"/>
      <c r="EM138" s="2203"/>
      <c r="EN138" s="2203"/>
      <c r="EO138" s="2203"/>
      <c r="EP138" s="2203"/>
      <c r="EQ138" s="2203"/>
      <c r="ER138" s="2203"/>
      <c r="ES138" s="2203"/>
      <c r="ET138" s="2203"/>
      <c r="EU138" s="2203"/>
      <c r="EV138" s="2203"/>
      <c r="EW138" s="2203"/>
      <c r="EX138" s="2203"/>
      <c r="EY138" s="2203"/>
      <c r="EZ138" s="2203"/>
      <c r="FA138" s="2203"/>
      <c r="FB138" s="2203"/>
      <c r="FC138" s="2203"/>
      <c r="FD138" s="2203"/>
      <c r="FE138" s="2203"/>
      <c r="FF138" s="2203"/>
      <c r="FG138" s="2203"/>
      <c r="FH138" s="2203"/>
      <c r="FI138" s="2204" t="str">
        <f t="shared" ref="FI138:FQ138" si="1075">IF(ISERROR(FI57/FI79),"NA",FI57/FI79)</f>
      </c>
      <c r="FJ138" s="2204" t="str">
        <f t="shared" si="1075"/>
      </c>
      <c r="FK138" s="2204" t="str">
        <f t="shared" si="1075"/>
      </c>
      <c r="FL138" s="2204">
        <f t="shared" si="1075"/>
      </c>
      <c r="FM138" s="2204">
        <f t="shared" si="1075"/>
      </c>
      <c r="FN138" s="2204">
        <f t="shared" si="1075"/>
      </c>
      <c r="FO138" s="2204" t="str">
        <f t="shared" si="1075"/>
      </c>
      <c r="FP138" s="2204" t="str">
        <f t="shared" si="1075"/>
      </c>
      <c r="FQ138" s="2204" t="str">
        <f t="shared" si="1075"/>
      </c>
      <c r="FR138" s="2204" t="str">
        <f t="shared" ref="FR138:FU138" si="1076">IF(ISERROR(FR57/FR79),"NA",FR57/FR79)</f>
      </c>
      <c r="FS138" s="2204" t="str">
        <f t="shared" si="1076"/>
      </c>
      <c r="FT138" s="2204" t="str">
        <f t="shared" si="1076"/>
      </c>
      <c r="FU138" s="2204" t="str">
        <f t="shared" si="1076"/>
      </c>
      <c r="FW138" s="2203"/>
      <c r="FX138" s="2203"/>
      <c r="FY138" s="2203"/>
      <c r="FZ138" s="2203"/>
      <c r="GA138" s="2203"/>
      <c r="GB138" s="2203"/>
      <c r="GC138" s="2203"/>
      <c r="GD138" s="2203"/>
      <c r="GE138" s="2203"/>
      <c r="GF138" s="2203"/>
      <c r="GG138" s="2203"/>
      <c r="GH138" s="2203"/>
      <c r="GI138" s="2203"/>
      <c r="GJ138" s="2203"/>
      <c r="GK138" s="2203"/>
      <c r="GL138" s="2203"/>
      <c r="GM138" s="2203"/>
      <c r="GN138" s="2203"/>
      <c r="GO138" s="2203"/>
      <c r="GP138" s="2203"/>
      <c r="GQ138" s="2203"/>
      <c r="GR138" s="2203"/>
      <c r="GS138" s="2203"/>
      <c r="GT138" s="2203"/>
      <c r="GU138" s="2203"/>
      <c r="GV138" s="2203"/>
      <c r="GW138" s="2203"/>
      <c r="GX138" s="2203"/>
      <c r="GY138" s="2203"/>
      <c r="GZ138" s="2203"/>
      <c r="HA138" s="2203"/>
      <c r="HB138" s="2203"/>
      <c r="HC138" s="2203"/>
      <c r="HD138" s="2203"/>
      <c r="HE138" s="2203"/>
      <c r="HF138" s="2203"/>
    </row>
    <row r="139" spans="1:214" s="2202" customFormat="1" ht="10.199999999999999">
      <c r="A139" s="2205" t="s">
        <v>1111</v>
      </c>
      <c r="B139" s="2206"/>
      <c r="C139" s="2206"/>
      <c r="D139" s="2206"/>
      <c r="E139" s="2207"/>
      <c r="F139" s="2206"/>
      <c r="G139" s="2206"/>
      <c r="H139" s="2206"/>
      <c r="I139" s="2207"/>
      <c r="J139" s="2206"/>
      <c r="K139" s="2206"/>
      <c r="L139" s="2206"/>
      <c r="M139" s="2207"/>
      <c r="N139" s="2206"/>
      <c r="O139" s="2206"/>
      <c r="P139" s="2206"/>
      <c r="Q139" s="2207"/>
      <c r="R139" s="2206"/>
      <c r="S139" s="2206"/>
      <c r="T139" s="2206"/>
      <c r="U139" s="2207"/>
      <c r="V139" s="2206"/>
      <c r="W139" s="2206"/>
      <c r="X139" s="2206"/>
      <c r="Y139" s="2207"/>
      <c r="Z139" s="2206"/>
      <c r="AA139" s="2206"/>
      <c r="AB139" s="2206"/>
      <c r="AC139" s="2207"/>
      <c r="AD139" s="2206"/>
      <c r="AE139" s="2206"/>
      <c r="AF139" s="2206"/>
      <c r="AG139" s="2207"/>
      <c r="AH139" s="2206"/>
      <c r="AI139" s="2206"/>
      <c r="AJ139" s="2206"/>
      <c r="AK139" s="2207"/>
      <c r="AL139" s="2206"/>
      <c r="AM139" s="2206"/>
      <c r="AN139" s="2206"/>
      <c r="AO139" s="2207"/>
      <c r="AP139" s="2206"/>
      <c r="AQ139" s="2206"/>
      <c r="AR139" s="2206"/>
      <c r="AS139" s="2207"/>
      <c r="AT139" s="2206"/>
      <c r="AU139" s="2206"/>
      <c r="AV139" s="2206"/>
      <c r="AW139" s="2207"/>
      <c r="AX139" s="2206"/>
      <c r="AY139" s="2206"/>
      <c r="AZ139" s="2206"/>
      <c r="BA139" s="2207"/>
      <c r="BB139" s="2206"/>
      <c r="BC139" s="2206"/>
      <c r="BD139" s="2206"/>
      <c r="BE139" s="2207"/>
      <c r="BF139" s="2206"/>
      <c r="BG139" s="2206"/>
      <c r="BH139" s="2206"/>
      <c r="BI139" s="2207"/>
      <c r="BJ139" s="2206"/>
      <c r="BK139" s="2206"/>
      <c r="BL139" s="2206"/>
      <c r="BM139" s="2207"/>
      <c r="BN139" s="2206"/>
      <c r="BO139" s="2206"/>
      <c r="BP139" s="2206"/>
      <c r="BQ139" s="2207"/>
      <c r="BR139" s="2206"/>
      <c r="BS139" s="2206"/>
      <c r="BT139" s="2206"/>
      <c r="BU139" s="2207"/>
      <c r="BV139" s="2206"/>
      <c r="BW139" s="2206"/>
      <c r="BX139" s="2206"/>
      <c r="BY139" s="2207"/>
      <c r="BZ139" s="2206"/>
      <c r="CA139" s="2206"/>
      <c r="CB139" s="2206"/>
      <c r="CC139" s="2207"/>
      <c r="CD139" s="2206"/>
      <c r="CE139" s="2206"/>
      <c r="CF139" s="2206"/>
      <c r="CG139" s="2207"/>
      <c r="CH139" s="2208"/>
      <c r="CI139" s="2208"/>
      <c r="CJ139" s="2208"/>
      <c r="CK139" s="2209"/>
      <c r="CL139" s="2208"/>
      <c r="CM139" s="2208"/>
      <c r="CN139" s="2208"/>
      <c r="CO139" s="2209"/>
      <c r="CP139" s="2208"/>
      <c r="CQ139" s="2208"/>
      <c r="CR139" s="2208"/>
      <c r="CS139" s="2209"/>
      <c r="CT139" s="2208"/>
      <c r="CU139" s="2208"/>
      <c r="CV139" s="2208"/>
      <c r="CW139" s="2209"/>
      <c r="CX139" s="2208"/>
      <c r="CY139" s="2208"/>
      <c r="CZ139" s="2208"/>
      <c r="DA139" s="2210">
        <v>950</v>
      </c>
      <c r="DB139" s="2208">
        <v>925</v>
      </c>
      <c r="DC139" s="2208">
        <v>1000</v>
      </c>
      <c r="DD139" s="2208">
        <v>955</v>
      </c>
      <c r="DE139" s="2209">
        <v>700</v>
      </c>
      <c r="DF139" s="2208">
        <f>DE139</f>
      </c>
      <c r="DG139" s="2208">
        <f>DF139</f>
      </c>
      <c r="DH139" s="2208">
        <f t="shared" ref="DH139" si="1077">DG139</f>
      </c>
      <c r="DI139" s="2208">
        <v>600</v>
      </c>
      <c r="DJ139" s="2208"/>
      <c r="DK139" s="2208"/>
      <c r="DL139" s="2208"/>
      <c r="DM139" s="2209"/>
      <c r="DN139" s="2208"/>
      <c r="DO139" s="2208"/>
      <c r="DP139" s="2208"/>
      <c r="DQ139" s="2209"/>
      <c r="DR139" s="2208"/>
      <c r="DS139" s="2208"/>
      <c r="DT139" s="2208"/>
      <c r="DU139" s="2209"/>
      <c r="DV139" s="2208"/>
      <c r="DW139" s="2208"/>
      <c r="DX139" s="2208"/>
      <c r="DY139" s="2209"/>
      <c r="DZ139" s="2208"/>
      <c r="EA139" s="2208"/>
      <c r="EB139" s="2208"/>
      <c r="EC139" s="2209"/>
      <c r="ED139" s="2208"/>
      <c r="EE139" s="2208"/>
      <c r="EF139" s="2208"/>
      <c r="EG139" s="2209"/>
      <c r="EH139" s="2208"/>
      <c r="EI139" s="2208"/>
      <c r="EJ139" s="2208"/>
      <c r="EK139" s="2209"/>
      <c r="EM139" s="2203"/>
      <c r="EN139" s="2203"/>
      <c r="EO139" s="2203"/>
      <c r="EP139" s="2203"/>
      <c r="EQ139" s="2203"/>
      <c r="ER139" s="2203"/>
      <c r="ES139" s="2203"/>
      <c r="ET139" s="2203"/>
      <c r="EU139" s="2203"/>
      <c r="EV139" s="2203"/>
      <c r="EW139" s="2203"/>
      <c r="EX139" s="2203"/>
      <c r="EY139" s="2203"/>
      <c r="EZ139" s="2203"/>
      <c r="FA139" s="2203"/>
      <c r="FB139" s="2203"/>
      <c r="FC139" s="2203"/>
      <c r="FD139" s="2203"/>
      <c r="FE139" s="2203"/>
      <c r="FF139" s="2203"/>
      <c r="FG139" s="2203"/>
      <c r="FH139" s="2203"/>
      <c r="FI139" s="2204" t="str">
        <f t="shared" ref="FI139:FQ139" si="1078">IF(ISERROR(FI58/FI80),"NA",FI58/FI80)</f>
      </c>
      <c r="FJ139" s="2204" t="str">
        <f t="shared" si="1078"/>
      </c>
      <c r="FK139" s="2204" t="str">
        <f t="shared" si="1078"/>
      </c>
      <c r="FL139" s="2204">
        <f t="shared" si="1078"/>
      </c>
      <c r="FM139" s="2204">
        <f t="shared" si="1078"/>
      </c>
      <c r="FN139" s="2204">
        <f t="shared" si="1078"/>
      </c>
      <c r="FO139" s="2204">
        <f t="shared" si="1078"/>
      </c>
      <c r="FP139" s="2204" t="str">
        <f t="shared" si="1078"/>
      </c>
      <c r="FQ139" s="2204" t="str">
        <f t="shared" si="1078"/>
      </c>
      <c r="FR139" s="2204" t="str">
        <f t="shared" ref="FR139:FU139" si="1079">IF(ISERROR(FR58/FR80),"NA",FR58/FR80)</f>
      </c>
      <c r="FS139" s="2204" t="str">
        <f t="shared" si="1079"/>
      </c>
      <c r="FT139" s="2204" t="str">
        <f t="shared" si="1079"/>
      </c>
      <c r="FU139" s="2204" t="str">
        <f t="shared" si="1079"/>
      </c>
      <c r="FW139" s="2203"/>
      <c r="FX139" s="2203"/>
      <c r="FY139" s="2203"/>
      <c r="FZ139" s="2203"/>
      <c r="GA139" s="2203"/>
      <c r="GB139" s="2203"/>
      <c r="GC139" s="2203"/>
      <c r="GD139" s="2203"/>
      <c r="GE139" s="2203"/>
      <c r="GF139" s="2203"/>
      <c r="GG139" s="2203"/>
      <c r="GH139" s="2203"/>
      <c r="GI139" s="2203"/>
      <c r="GJ139" s="2203"/>
      <c r="GK139" s="2203"/>
      <c r="GL139" s="2203"/>
      <c r="GM139" s="2203"/>
      <c r="GN139" s="2203"/>
      <c r="GO139" s="2203"/>
      <c r="GP139" s="2203"/>
      <c r="GQ139" s="2203"/>
      <c r="GR139" s="2203"/>
      <c r="GS139" s="2203"/>
      <c r="GT139" s="2203"/>
      <c r="GU139" s="2203"/>
      <c r="GV139" s="2203"/>
      <c r="GW139" s="2203"/>
      <c r="GX139" s="2203"/>
      <c r="GY139" s="2203"/>
      <c r="GZ139" s="2203"/>
      <c r="HA139" s="2203"/>
      <c r="HB139" s="2203"/>
      <c r="HC139" s="2203"/>
      <c r="HD139" s="2203"/>
      <c r="HE139" s="2203"/>
      <c r="HF139" s="2203"/>
    </row>
    <row r="140" spans="1:214" s="2202" customFormat="1" ht="10.199999999999999">
      <c r="A140" s="2205" t="s">
        <v>1462</v>
      </c>
      <c r="B140" s="2206"/>
      <c r="C140" s="2206"/>
      <c r="D140" s="2206"/>
      <c r="E140" s="2207"/>
      <c r="F140" s="2206"/>
      <c r="G140" s="2206"/>
      <c r="H140" s="2206"/>
      <c r="I140" s="2207"/>
      <c r="J140" s="2206"/>
      <c r="K140" s="2206"/>
      <c r="L140" s="2206"/>
      <c r="M140" s="2207"/>
      <c r="N140" s="2206"/>
      <c r="O140" s="2206"/>
      <c r="P140" s="2206"/>
      <c r="Q140" s="2207"/>
      <c r="R140" s="2206"/>
      <c r="S140" s="2206"/>
      <c r="T140" s="2206"/>
      <c r="U140" s="2207"/>
      <c r="V140" s="2206"/>
      <c r="W140" s="2206"/>
      <c r="X140" s="2206"/>
      <c r="Y140" s="2207"/>
      <c r="Z140" s="2206"/>
      <c r="AA140" s="2206"/>
      <c r="AB140" s="2206"/>
      <c r="AC140" s="2207"/>
      <c r="AD140" s="2206"/>
      <c r="AE140" s="2206"/>
      <c r="AF140" s="2206"/>
      <c r="AG140" s="2207"/>
      <c r="AH140" s="2206"/>
      <c r="AI140" s="2206"/>
      <c r="AJ140" s="2206"/>
      <c r="AK140" s="2207"/>
      <c r="AL140" s="2206"/>
      <c r="AM140" s="2206"/>
      <c r="AN140" s="2206"/>
      <c r="AO140" s="2207"/>
      <c r="AP140" s="2206"/>
      <c r="AQ140" s="2206"/>
      <c r="AR140" s="2206"/>
      <c r="AS140" s="2207"/>
      <c r="AT140" s="2206"/>
      <c r="AU140" s="2206"/>
      <c r="AV140" s="2206"/>
      <c r="AW140" s="2207"/>
      <c r="AX140" s="2206"/>
      <c r="AY140" s="2206"/>
      <c r="AZ140" s="2206"/>
      <c r="BA140" s="2207"/>
      <c r="BB140" s="2206"/>
      <c r="BC140" s="2206"/>
      <c r="BD140" s="2206"/>
      <c r="BE140" s="2207"/>
      <c r="BF140" s="2206"/>
      <c r="BG140" s="2206"/>
      <c r="BH140" s="2206"/>
      <c r="BI140" s="2207"/>
      <c r="BJ140" s="2206"/>
      <c r="BK140" s="2206"/>
      <c r="BL140" s="2206"/>
      <c r="BM140" s="2207"/>
      <c r="BN140" s="2206"/>
      <c r="BO140" s="2206"/>
      <c r="BP140" s="2206"/>
      <c r="BQ140" s="2207"/>
      <c r="BR140" s="2206"/>
      <c r="BS140" s="2206"/>
      <c r="BT140" s="2206"/>
      <c r="BU140" s="2207"/>
      <c r="BV140" s="2206"/>
      <c r="BW140" s="2206"/>
      <c r="BX140" s="2206"/>
      <c r="BY140" s="2207"/>
      <c r="BZ140" s="2206"/>
      <c r="CA140" s="2206"/>
      <c r="CB140" s="2206"/>
      <c r="CC140" s="2207"/>
      <c r="CD140" s="2206"/>
      <c r="CE140" s="2206"/>
      <c r="CF140" s="2206"/>
      <c r="CG140" s="2207"/>
      <c r="CH140" s="2208"/>
      <c r="CI140" s="2208"/>
      <c r="CJ140" s="2208"/>
      <c r="CK140" s="2209"/>
      <c r="CL140" s="2208"/>
      <c r="CM140" s="2208"/>
      <c r="CN140" s="2208"/>
      <c r="CO140" s="2209"/>
      <c r="CP140" s="2208"/>
      <c r="CQ140" s="2208"/>
      <c r="CR140" s="2208"/>
      <c r="CS140" s="2209"/>
      <c r="CT140" s="2208"/>
      <c r="CU140" s="2208"/>
      <c r="CV140" s="2208"/>
      <c r="CW140" s="2209"/>
      <c r="CX140" s="2208"/>
      <c r="CY140" s="2208"/>
      <c r="CZ140" s="2208"/>
      <c r="DA140" s="2209"/>
      <c r="DB140" s="2208"/>
      <c r="DC140" s="2208">
        <v>1100</v>
      </c>
      <c r="DD140" s="2208">
        <v>1100</v>
      </c>
      <c r="DE140" s="2210">
        <v>1000</v>
      </c>
      <c r="DF140" s="2211">
        <v>1040</v>
      </c>
      <c r="DG140" s="2208">
        <v>1000</v>
      </c>
      <c r="DH140" s="2208">
        <v>1000</v>
      </c>
      <c r="DI140" s="2209">
        <v>725</v>
      </c>
      <c r="DJ140" s="2208">
        <v>800</v>
      </c>
      <c r="DK140" s="2208">
        <v>800</v>
      </c>
      <c r="DL140" s="2208">
        <v>800</v>
      </c>
      <c r="DM140" s="2209">
        <v>700</v>
      </c>
      <c r="DN140" s="2208"/>
      <c r="DO140" s="2208"/>
      <c r="DP140" s="2208"/>
      <c r="DQ140" s="2209"/>
      <c r="DR140" s="2208"/>
      <c r="DS140" s="2208"/>
      <c r="DT140" s="2208"/>
      <c r="DU140" s="2209"/>
      <c r="DV140" s="2208"/>
      <c r="DW140" s="2208"/>
      <c r="DX140" s="2208"/>
      <c r="DY140" s="2209"/>
      <c r="DZ140" s="2208"/>
      <c r="EA140" s="2208"/>
      <c r="EB140" s="2208"/>
      <c r="EC140" s="2209"/>
      <c r="ED140" s="2208"/>
      <c r="EE140" s="2208"/>
      <c r="EF140" s="2208"/>
      <c r="EG140" s="2209"/>
      <c r="EH140" s="2208"/>
      <c r="EI140" s="2208"/>
      <c r="EJ140" s="2208"/>
      <c r="EK140" s="2209"/>
      <c r="EM140" s="2203"/>
      <c r="EN140" s="2203"/>
      <c r="EO140" s="2203"/>
      <c r="EP140" s="2203"/>
      <c r="EQ140" s="2203"/>
      <c r="ER140" s="2203"/>
      <c r="ES140" s="2203"/>
      <c r="ET140" s="2203"/>
      <c r="EU140" s="2203"/>
      <c r="EV140" s="2203"/>
      <c r="EW140" s="2203"/>
      <c r="EX140" s="2203"/>
      <c r="EY140" s="2203"/>
      <c r="EZ140" s="2203"/>
      <c r="FA140" s="2203"/>
      <c r="FB140" s="2203"/>
      <c r="FC140" s="2203"/>
      <c r="FD140" s="2203"/>
      <c r="FE140" s="2203"/>
      <c r="FF140" s="2203"/>
      <c r="FG140" s="2203"/>
      <c r="FH140" s="2203"/>
      <c r="FI140" s="2204" t="str">
        <f t="shared" ref="FI140:FQ140" si="1080">IF(ISERROR(FI59/FI81),"NA",FI59/FI81)</f>
      </c>
      <c r="FJ140" s="2204" t="str">
        <f t="shared" si="1080"/>
      </c>
      <c r="FK140" s="2204" t="str">
        <f t="shared" si="1080"/>
      </c>
      <c r="FL140" s="2204" t="str">
        <f t="shared" si="1080"/>
      </c>
      <c r="FM140" s="2204">
        <f t="shared" si="1080"/>
      </c>
      <c r="FN140" s="2204">
        <f t="shared" si="1080"/>
      </c>
      <c r="FO140" s="2204">
        <f t="shared" si="1080"/>
      </c>
      <c r="FP140" s="2204">
        <f t="shared" si="1080"/>
      </c>
      <c r="FQ140" s="2204" t="str">
        <f t="shared" si="1080"/>
      </c>
      <c r="FR140" s="2204" t="str">
        <f t="shared" ref="FR140:FU140" si="1081">IF(ISERROR(FR59/FR81),"NA",FR59/FR81)</f>
      </c>
      <c r="FS140" s="2204" t="str">
        <f t="shared" si="1081"/>
      </c>
      <c r="FT140" s="2204" t="str">
        <f t="shared" si="1081"/>
      </c>
      <c r="FU140" s="2204" t="str">
        <f t="shared" si="1081"/>
      </c>
      <c r="FW140" s="2203"/>
      <c r="FX140" s="2203"/>
      <c r="FY140" s="2203"/>
      <c r="FZ140" s="2203"/>
      <c r="GA140" s="2203"/>
      <c r="GB140" s="2203"/>
      <c r="GC140" s="2203"/>
      <c r="GD140" s="2203"/>
      <c r="GE140" s="2203"/>
      <c r="GF140" s="2203"/>
      <c r="GG140" s="2203"/>
      <c r="GH140" s="2203"/>
      <c r="GI140" s="2203"/>
      <c r="GJ140" s="2203"/>
      <c r="GK140" s="2203"/>
      <c r="GL140" s="2203"/>
      <c r="GM140" s="2203"/>
      <c r="GN140" s="2203"/>
      <c r="GO140" s="2203"/>
      <c r="GP140" s="2203"/>
      <c r="GQ140" s="2203"/>
      <c r="GR140" s="2203"/>
      <c r="GS140" s="2203"/>
      <c r="GT140" s="2203"/>
      <c r="GU140" s="2203"/>
      <c r="GV140" s="2203"/>
      <c r="GW140" s="2203"/>
      <c r="GX140" s="2203"/>
      <c r="GY140" s="2203"/>
      <c r="GZ140" s="2203"/>
      <c r="HA140" s="2203"/>
      <c r="HB140" s="2203"/>
      <c r="HC140" s="2203"/>
      <c r="HD140" s="2203"/>
      <c r="HE140" s="2203"/>
      <c r="HF140" s="2203"/>
    </row>
    <row r="141" spans="1:214" s="2202" customFormat="1" ht="10.199999999999999">
      <c r="A141" s="2205" t="s">
        <v>1463</v>
      </c>
      <c r="B141" s="2206"/>
      <c r="C141" s="2206"/>
      <c r="D141" s="2206"/>
      <c r="E141" s="2207"/>
      <c r="F141" s="2206"/>
      <c r="G141" s="2206"/>
      <c r="H141" s="2206"/>
      <c r="I141" s="2207"/>
      <c r="J141" s="2206"/>
      <c r="K141" s="2206"/>
      <c r="L141" s="2206"/>
      <c r="M141" s="2207"/>
      <c r="N141" s="2206"/>
      <c r="O141" s="2206"/>
      <c r="P141" s="2206"/>
      <c r="Q141" s="2207"/>
      <c r="R141" s="2206"/>
      <c r="S141" s="2206"/>
      <c r="T141" s="2206"/>
      <c r="U141" s="2207"/>
      <c r="V141" s="2206"/>
      <c r="W141" s="2206"/>
      <c r="X141" s="2206"/>
      <c r="Y141" s="2207"/>
      <c r="Z141" s="2206"/>
      <c r="AA141" s="2206"/>
      <c r="AB141" s="2206"/>
      <c r="AC141" s="2207"/>
      <c r="AD141" s="2206"/>
      <c r="AE141" s="2206"/>
      <c r="AF141" s="2206"/>
      <c r="AG141" s="2207"/>
      <c r="AH141" s="2206"/>
      <c r="AI141" s="2206"/>
      <c r="AJ141" s="2206"/>
      <c r="AK141" s="2207"/>
      <c r="AL141" s="2206"/>
      <c r="AM141" s="2206"/>
      <c r="AN141" s="2206"/>
      <c r="AO141" s="2207"/>
      <c r="AP141" s="2206"/>
      <c r="AQ141" s="2206"/>
      <c r="AR141" s="2206"/>
      <c r="AS141" s="2207"/>
      <c r="AT141" s="2206"/>
      <c r="AU141" s="2206"/>
      <c r="AV141" s="2206"/>
      <c r="AW141" s="2207"/>
      <c r="AX141" s="2206"/>
      <c r="AY141" s="2206"/>
      <c r="AZ141" s="2206"/>
      <c r="BA141" s="2207"/>
      <c r="BB141" s="2206"/>
      <c r="BC141" s="2206"/>
      <c r="BD141" s="2206"/>
      <c r="BE141" s="2207"/>
      <c r="BF141" s="2206"/>
      <c r="BG141" s="2206"/>
      <c r="BH141" s="2206"/>
      <c r="BI141" s="2207"/>
      <c r="BJ141" s="2206"/>
      <c r="BK141" s="2206"/>
      <c r="BL141" s="2206"/>
      <c r="BM141" s="2207"/>
      <c r="BN141" s="2206"/>
      <c r="BO141" s="2206"/>
      <c r="BP141" s="2206"/>
      <c r="BQ141" s="2207"/>
      <c r="BR141" s="2206"/>
      <c r="BS141" s="2206"/>
      <c r="BT141" s="2206"/>
      <c r="BU141" s="2207"/>
      <c r="BV141" s="2206"/>
      <c r="BW141" s="2206"/>
      <c r="BX141" s="2206"/>
      <c r="BY141" s="2207"/>
      <c r="BZ141" s="2206"/>
      <c r="CA141" s="2206"/>
      <c r="CB141" s="2206"/>
      <c r="CC141" s="2207"/>
      <c r="CD141" s="2206"/>
      <c r="CE141" s="2206"/>
      <c r="CF141" s="2206"/>
      <c r="CG141" s="2207"/>
      <c r="CH141" s="2208"/>
      <c r="CI141" s="2208"/>
      <c r="CJ141" s="2208"/>
      <c r="CK141" s="2209"/>
      <c r="CL141" s="2208"/>
      <c r="CM141" s="2208"/>
      <c r="CN141" s="2208"/>
      <c r="CO141" s="2209"/>
      <c r="CP141" s="2208"/>
      <c r="CQ141" s="2208"/>
      <c r="CR141" s="2208"/>
      <c r="CS141" s="2209"/>
      <c r="CT141" s="2208"/>
      <c r="CU141" s="2208"/>
      <c r="CV141" s="2208"/>
      <c r="CW141" s="2209"/>
      <c r="CX141" s="2208"/>
      <c r="CY141" s="2208"/>
      <c r="CZ141" s="2208"/>
      <c r="DA141" s="2209"/>
      <c r="DB141" s="2208"/>
      <c r="DC141" s="2211"/>
      <c r="DD141" s="2208"/>
      <c r="DE141" s="2209"/>
      <c r="DF141" s="2208"/>
      <c r="DG141" s="2208"/>
      <c r="DH141" s="2208"/>
      <c r="DI141" s="2210">
        <v>1000</v>
      </c>
      <c r="DJ141" s="2211">
        <f>DF140*(1+'Revenue summary'!DJ27+2.5%)</f>
      </c>
      <c r="DK141" s="2208">
        <v>950</v>
      </c>
      <c r="DL141" s="2208">
        <v>960</v>
      </c>
      <c r="DM141" s="2209">
        <f>DI140*(1+'Revenue summary'!DM$27)</f>
      </c>
      <c r="DN141" s="2208">
        <f>DJ140*(1+'Revenue summary'!DN27+2%)</f>
      </c>
      <c r="DO141" s="2208">
        <f>DK140*(1+'Revenue summary'!DO27+2%)</f>
      </c>
      <c r="DP141" s="2208">
        <v>850</v>
      </c>
      <c r="DQ141" s="2209">
        <f>DM140*(1+'Revenue summary'!DQ27+2%)</f>
      </c>
      <c r="DR141" s="2208"/>
      <c r="DS141" s="2208"/>
      <c r="DT141" s="2208"/>
      <c r="DU141" s="2209"/>
      <c r="DV141" s="2208"/>
      <c r="DW141" s="2208"/>
      <c r="DX141" s="2208"/>
      <c r="DY141" s="2209"/>
      <c r="DZ141" s="2208"/>
      <c r="EA141" s="2208"/>
      <c r="EB141" s="2208"/>
      <c r="EC141" s="2209"/>
      <c r="ED141" s="2208"/>
      <c r="EE141" s="2208"/>
      <c r="EF141" s="2208"/>
      <c r="EG141" s="2209"/>
      <c r="EH141" s="2208"/>
      <c r="EI141" s="2208"/>
      <c r="EJ141" s="2208"/>
      <c r="EK141" s="2209"/>
      <c r="EM141" s="2203"/>
      <c r="EN141" s="2203"/>
      <c r="EO141" s="2203"/>
      <c r="EP141" s="2203"/>
      <c r="EQ141" s="2203"/>
      <c r="ER141" s="2203"/>
      <c r="ES141" s="2203"/>
      <c r="ET141" s="2203"/>
      <c r="EU141" s="2203"/>
      <c r="EV141" s="2203"/>
      <c r="EW141" s="2203"/>
      <c r="EX141" s="2203"/>
      <c r="EY141" s="2203"/>
      <c r="EZ141" s="2203"/>
      <c r="FA141" s="2203"/>
      <c r="FB141" s="2203"/>
      <c r="FC141" s="2203"/>
      <c r="FD141" s="2203"/>
      <c r="FE141" s="2203"/>
      <c r="FF141" s="2203"/>
      <c r="FG141" s="2203"/>
      <c r="FH141" s="2203"/>
      <c r="FI141" s="2204" t="str">
        <f t="shared" ref="FI141:FQ141" si="1082">IF(ISERROR(FI60/FI82),"NA",FI60/FI82)</f>
      </c>
      <c r="FJ141" s="2204" t="str">
        <f t="shared" si="1082"/>
      </c>
      <c r="FK141" s="2204" t="str">
        <f t="shared" si="1082"/>
      </c>
      <c r="FL141" s="2204" t="str">
        <f t="shared" si="1082"/>
      </c>
      <c r="FM141" s="2204" t="str">
        <f t="shared" si="1082"/>
      </c>
      <c r="FN141" s="2204">
        <f t="shared" si="1082"/>
      </c>
      <c r="FO141" s="2204">
        <f t="shared" si="1082"/>
      </c>
      <c r="FP141" s="2204">
        <f t="shared" si="1082"/>
      </c>
      <c r="FQ141" s="2204">
        <f t="shared" si="1082"/>
      </c>
      <c r="FR141" s="2204" t="str">
        <f t="shared" ref="FR141:FU141" si="1083">IF(ISERROR(FR60/FR82),"NA",FR60/FR82)</f>
      </c>
      <c r="FS141" s="2204" t="str">
        <f t="shared" si="1083"/>
      </c>
      <c r="FT141" s="2204" t="str">
        <f t="shared" si="1083"/>
      </c>
      <c r="FU141" s="2204" t="str">
        <f t="shared" si="1083"/>
      </c>
      <c r="FW141" s="2203"/>
      <c r="FX141" s="2203"/>
      <c r="FY141" s="2203"/>
      <c r="FZ141" s="2203"/>
      <c r="GA141" s="2203"/>
      <c r="GB141" s="2203"/>
      <c r="GC141" s="2203"/>
      <c r="GD141" s="2203"/>
      <c r="GE141" s="2203"/>
      <c r="GF141" s="2203"/>
      <c r="GG141" s="2203"/>
      <c r="GH141" s="2203"/>
      <c r="GI141" s="2203"/>
      <c r="GJ141" s="2203"/>
      <c r="GK141" s="2203"/>
      <c r="GL141" s="2203"/>
      <c r="GM141" s="2203"/>
      <c r="GN141" s="2203"/>
      <c r="GO141" s="2203"/>
      <c r="GP141" s="2203"/>
      <c r="GQ141" s="2203"/>
      <c r="GR141" s="2203"/>
      <c r="GS141" s="2203"/>
      <c r="GT141" s="2203"/>
      <c r="GU141" s="2203"/>
      <c r="GV141" s="2203"/>
      <c r="GW141" s="2203"/>
      <c r="GX141" s="2203"/>
      <c r="GY141" s="2203"/>
      <c r="GZ141" s="2203"/>
      <c r="HA141" s="2203"/>
      <c r="HB141" s="2203"/>
      <c r="HC141" s="2203"/>
      <c r="HD141" s="2203"/>
      <c r="HE141" s="2203"/>
      <c r="HF141" s="2203"/>
    </row>
    <row r="142" spans="1:214" s="2202" customFormat="1" ht="10.199999999999999">
      <c r="A142" s="2205" t="s">
        <v>1464</v>
      </c>
      <c r="B142" s="2206"/>
      <c r="C142" s="2206"/>
      <c r="D142" s="2206"/>
      <c r="E142" s="2207"/>
      <c r="F142" s="2206"/>
      <c r="G142" s="2206"/>
      <c r="H142" s="2206"/>
      <c r="I142" s="2207"/>
      <c r="J142" s="2206"/>
      <c r="K142" s="2206"/>
      <c r="L142" s="2206"/>
      <c r="M142" s="2207"/>
      <c r="N142" s="2206"/>
      <c r="O142" s="2206"/>
      <c r="P142" s="2206"/>
      <c r="Q142" s="2207"/>
      <c r="R142" s="2206"/>
      <c r="S142" s="2206"/>
      <c r="T142" s="2206"/>
      <c r="U142" s="2207"/>
      <c r="V142" s="2206"/>
      <c r="W142" s="2206"/>
      <c r="X142" s="2206"/>
      <c r="Y142" s="2207"/>
      <c r="Z142" s="2206"/>
      <c r="AA142" s="2206"/>
      <c r="AB142" s="2206"/>
      <c r="AC142" s="2207"/>
      <c r="AD142" s="2206"/>
      <c r="AE142" s="2206"/>
      <c r="AF142" s="2206"/>
      <c r="AG142" s="2207"/>
      <c r="AH142" s="2206"/>
      <c r="AI142" s="2206"/>
      <c r="AJ142" s="2206"/>
      <c r="AK142" s="2207"/>
      <c r="AL142" s="2206"/>
      <c r="AM142" s="2206"/>
      <c r="AN142" s="2206"/>
      <c r="AO142" s="2207"/>
      <c r="AP142" s="2206"/>
      <c r="AQ142" s="2206"/>
      <c r="AR142" s="2206"/>
      <c r="AS142" s="2207"/>
      <c r="AT142" s="2206"/>
      <c r="AU142" s="2206"/>
      <c r="AV142" s="2206"/>
      <c r="AW142" s="2207"/>
      <c r="AX142" s="2206"/>
      <c r="AY142" s="2206"/>
      <c r="AZ142" s="2206"/>
      <c r="BA142" s="2207"/>
      <c r="BB142" s="2206"/>
      <c r="BC142" s="2206"/>
      <c r="BD142" s="2206"/>
      <c r="BE142" s="2207"/>
      <c r="BF142" s="2206"/>
      <c r="BG142" s="2206"/>
      <c r="BH142" s="2206"/>
      <c r="BI142" s="2207"/>
      <c r="BJ142" s="2206"/>
      <c r="BK142" s="2206"/>
      <c r="BL142" s="2206"/>
      <c r="BM142" s="2207"/>
      <c r="BN142" s="2206"/>
      <c r="BO142" s="2206"/>
      <c r="BP142" s="2206"/>
      <c r="BQ142" s="2207"/>
      <c r="BR142" s="2206"/>
      <c r="BS142" s="2206"/>
      <c r="BT142" s="2206"/>
      <c r="BU142" s="2207"/>
      <c r="BV142" s="2206"/>
      <c r="BW142" s="2206"/>
      <c r="BX142" s="2206"/>
      <c r="BY142" s="2207"/>
      <c r="BZ142" s="2206"/>
      <c r="CA142" s="2206"/>
      <c r="CB142" s="2206"/>
      <c r="CC142" s="2207"/>
      <c r="CD142" s="2206"/>
      <c r="CE142" s="2206"/>
      <c r="CF142" s="2206"/>
      <c r="CG142" s="2207"/>
      <c r="CH142" s="2208"/>
      <c r="CI142" s="2208"/>
      <c r="CJ142" s="2208"/>
      <c r="CK142" s="2209"/>
      <c r="CL142" s="2208"/>
      <c r="CM142" s="2208"/>
      <c r="CN142" s="2208"/>
      <c r="CO142" s="2209"/>
      <c r="CP142" s="2208"/>
      <c r="CQ142" s="2208"/>
      <c r="CR142" s="2208"/>
      <c r="CS142" s="2209"/>
      <c r="CT142" s="2208"/>
      <c r="CU142" s="2208"/>
      <c r="CV142" s="2208"/>
      <c r="CW142" s="2209"/>
      <c r="CX142" s="2208"/>
      <c r="CY142" s="2208"/>
      <c r="CZ142" s="2208"/>
      <c r="DA142" s="2209"/>
      <c r="DB142" s="2208"/>
      <c r="DC142" s="2208"/>
      <c r="DD142" s="2208"/>
      <c r="DE142" s="2209"/>
      <c r="DF142" s="2208"/>
      <c r="DG142" s="2208"/>
      <c r="DH142" s="2208"/>
      <c r="DI142" s="3140"/>
      <c r="DJ142" s="2208"/>
      <c r="DK142" s="2208"/>
      <c r="DL142" s="2208"/>
      <c r="DM142" s="2210">
        <v>1035</v>
      </c>
      <c r="DN142" s="2211">
        <v>1045</v>
      </c>
      <c r="DO142" s="2208">
        <v>930</v>
      </c>
      <c r="DP142" s="2208">
        <v>900</v>
      </c>
      <c r="DQ142" s="2209">
        <v>725</v>
      </c>
      <c r="DR142" s="2208">
        <f>DN141*1.03</f>
      </c>
      <c r="DS142" s="2208">
        <f>DO141*1.03</f>
      </c>
      <c r="DT142" s="2208">
        <f>DP141*1.03</f>
      </c>
      <c r="DU142" s="2209">
        <f>DQ141*1.03</f>
      </c>
      <c r="DV142" s="2208">
        <v>700</v>
      </c>
      <c r="DW142" s="2208">
        <v>700</v>
      </c>
      <c r="DX142" s="2208">
        <v>700</v>
      </c>
      <c r="DY142" s="2209">
        <v>700</v>
      </c>
      <c r="DZ142" s="2208">
        <v>700</v>
      </c>
      <c r="EA142" s="2208">
        <v>700</v>
      </c>
      <c r="EB142" s="2208">
        <v>700</v>
      </c>
      <c r="EC142" s="2209">
        <v>700</v>
      </c>
      <c r="ED142" s="2208">
        <v>700</v>
      </c>
      <c r="EE142" s="2208">
        <v>700</v>
      </c>
      <c r="EF142" s="2208">
        <v>700</v>
      </c>
      <c r="EG142" s="2209">
        <v>700</v>
      </c>
      <c r="EH142" s="2208">
        <v>700</v>
      </c>
      <c r="EI142" s="2208">
        <v>700</v>
      </c>
      <c r="EJ142" s="2208">
        <v>700</v>
      </c>
      <c r="EK142" s="2209">
        <v>700</v>
      </c>
      <c r="EM142" s="2203"/>
      <c r="EN142" s="2203"/>
      <c r="EO142" s="2203"/>
      <c r="EP142" s="2203"/>
      <c r="EQ142" s="2203"/>
      <c r="ER142" s="2203"/>
      <c r="ES142" s="2203"/>
      <c r="ET142" s="2203"/>
      <c r="EU142" s="2203"/>
      <c r="EV142" s="2203"/>
      <c r="EW142" s="2203"/>
      <c r="EX142" s="2203"/>
      <c r="EY142" s="2203"/>
      <c r="EZ142" s="2203"/>
      <c r="FA142" s="2203"/>
      <c r="FB142" s="2203"/>
      <c r="FC142" s="2203"/>
      <c r="FD142" s="2203"/>
      <c r="FE142" s="2203"/>
      <c r="FF142" s="2203"/>
      <c r="FG142" s="2203"/>
      <c r="FH142" s="2203"/>
      <c r="FI142" s="2204" t="str">
        <f t="shared" ref="FI142:FQ142" si="1084">IF(ISERROR(FI61/FI83),"NA",FI61/FI83)</f>
      </c>
      <c r="FJ142" s="2204" t="str">
        <f t="shared" si="1084"/>
      </c>
      <c r="FK142" s="2204" t="str">
        <f t="shared" si="1084"/>
      </c>
      <c r="FL142" s="2204" t="str">
        <f t="shared" si="1084"/>
      </c>
      <c r="FM142" s="2204" t="str">
        <f t="shared" si="1084"/>
      </c>
      <c r="FN142" s="2204" t="str">
        <f t="shared" si="1084"/>
      </c>
      <c r="FO142" s="2204">
        <f t="shared" si="1084"/>
      </c>
      <c r="FP142" s="2204">
        <f t="shared" si="1084"/>
      </c>
      <c r="FQ142" s="2204">
        <f t="shared" si="1084"/>
      </c>
      <c r="FR142" s="2204">
        <f t="shared" ref="FR142:FU142" si="1085">IF(ISERROR(FR61/FR83),"NA",FR61/FR83)</f>
      </c>
      <c r="FS142" s="2204" t="str">
        <f t="shared" si="1085"/>
      </c>
      <c r="FT142" s="2204" t="str">
        <f t="shared" si="1085"/>
      </c>
      <c r="FU142" s="2204" t="str">
        <f t="shared" si="1085"/>
      </c>
      <c r="FW142" s="2203"/>
      <c r="FX142" s="2203"/>
      <c r="FY142" s="2203"/>
      <c r="FZ142" s="2203"/>
      <c r="GA142" s="2203"/>
      <c r="GB142" s="2203"/>
      <c r="GC142" s="2203"/>
      <c r="GD142" s="2203"/>
      <c r="GE142" s="2203"/>
      <c r="GF142" s="2203"/>
      <c r="GG142" s="2203"/>
      <c r="GH142" s="2203"/>
      <c r="GI142" s="2203"/>
      <c r="GJ142" s="2203"/>
      <c r="GK142" s="2203"/>
      <c r="GL142" s="2203"/>
      <c r="GM142" s="2203"/>
      <c r="GN142" s="2203"/>
      <c r="GO142" s="2203"/>
      <c r="GP142" s="2203"/>
      <c r="GQ142" s="2203"/>
      <c r="GR142" s="2203"/>
      <c r="GS142" s="2203"/>
      <c r="GT142" s="2203"/>
      <c r="GU142" s="2203"/>
      <c r="GV142" s="2203"/>
      <c r="GW142" s="2203"/>
      <c r="GX142" s="2203"/>
      <c r="GY142" s="2203"/>
      <c r="GZ142" s="2203"/>
      <c r="HA142" s="2203"/>
      <c r="HB142" s="2203"/>
      <c r="HC142" s="2203"/>
      <c r="HD142" s="2203"/>
      <c r="HE142" s="2203"/>
      <c r="HF142" s="2203"/>
    </row>
    <row r="143" spans="1:214" s="2202" customFormat="1" ht="10.199999999999999">
      <c r="A143" s="2205" t="s">
        <v>1465</v>
      </c>
      <c r="B143" s="2206"/>
      <c r="C143" s="2206"/>
      <c r="D143" s="2206"/>
      <c r="E143" s="2207"/>
      <c r="F143" s="2206"/>
      <c r="G143" s="2206"/>
      <c r="H143" s="2206"/>
      <c r="I143" s="2207"/>
      <c r="J143" s="2206"/>
      <c r="K143" s="2206"/>
      <c r="L143" s="2206"/>
      <c r="M143" s="2207"/>
      <c r="N143" s="2206"/>
      <c r="O143" s="2206"/>
      <c r="P143" s="2206"/>
      <c r="Q143" s="2207"/>
      <c r="R143" s="2206"/>
      <c r="S143" s="2206"/>
      <c r="T143" s="2206"/>
      <c r="U143" s="2207"/>
      <c r="V143" s="2206"/>
      <c r="W143" s="2206"/>
      <c r="X143" s="2206"/>
      <c r="Y143" s="2207"/>
      <c r="Z143" s="2206"/>
      <c r="AA143" s="2206"/>
      <c r="AB143" s="2206"/>
      <c r="AC143" s="2207"/>
      <c r="AD143" s="2206"/>
      <c r="AE143" s="2206"/>
      <c r="AF143" s="2206"/>
      <c r="AG143" s="2207"/>
      <c r="AH143" s="2206"/>
      <c r="AI143" s="2206"/>
      <c r="AJ143" s="2206"/>
      <c r="AK143" s="2207"/>
      <c r="AL143" s="2206"/>
      <c r="AM143" s="2206"/>
      <c r="AN143" s="2206"/>
      <c r="AO143" s="2207"/>
      <c r="AP143" s="2206"/>
      <c r="AQ143" s="2206"/>
      <c r="AR143" s="2206"/>
      <c r="AS143" s="2207"/>
      <c r="AT143" s="2206"/>
      <c r="AU143" s="2206"/>
      <c r="AV143" s="2206"/>
      <c r="AW143" s="2207"/>
      <c r="AX143" s="2206"/>
      <c r="AY143" s="2206"/>
      <c r="AZ143" s="2206"/>
      <c r="BA143" s="2207"/>
      <c r="BB143" s="2206"/>
      <c r="BC143" s="2206"/>
      <c r="BD143" s="2206"/>
      <c r="BE143" s="2207"/>
      <c r="BF143" s="2206"/>
      <c r="BG143" s="2206"/>
      <c r="BH143" s="2206"/>
      <c r="BI143" s="2207"/>
      <c r="BJ143" s="2206"/>
      <c r="BK143" s="2206"/>
      <c r="BL143" s="2206"/>
      <c r="BM143" s="2207"/>
      <c r="BN143" s="2206"/>
      <c r="BO143" s="2206"/>
      <c r="BP143" s="2206"/>
      <c r="BQ143" s="2207"/>
      <c r="BR143" s="2206"/>
      <c r="BS143" s="2206"/>
      <c r="BT143" s="2206"/>
      <c r="BU143" s="2207"/>
      <c r="BV143" s="2206"/>
      <c r="BW143" s="2206"/>
      <c r="BX143" s="2206"/>
      <c r="BY143" s="2207"/>
      <c r="BZ143" s="2206"/>
      <c r="CA143" s="2206"/>
      <c r="CB143" s="2206"/>
      <c r="CC143" s="2207"/>
      <c r="CD143" s="2206"/>
      <c r="CE143" s="2206"/>
      <c r="CF143" s="2206"/>
      <c r="CG143" s="2207"/>
      <c r="CH143" s="2208"/>
      <c r="CI143" s="2208"/>
      <c r="CJ143" s="2208"/>
      <c r="CK143" s="2209"/>
      <c r="CL143" s="2208"/>
      <c r="CM143" s="2208"/>
      <c r="CN143" s="2208"/>
      <c r="CO143" s="2209"/>
      <c r="CP143" s="2208"/>
      <c r="CQ143" s="2208"/>
      <c r="CR143" s="2208"/>
      <c r="CS143" s="2209"/>
      <c r="CT143" s="2208"/>
      <c r="CU143" s="2208"/>
      <c r="CV143" s="2208"/>
      <c r="CW143" s="2209"/>
      <c r="CX143" s="2208"/>
      <c r="CY143" s="2208"/>
      <c r="CZ143" s="2208"/>
      <c r="DA143" s="2209"/>
      <c r="DB143" s="2208"/>
      <c r="DC143" s="2208"/>
      <c r="DD143" s="2208"/>
      <c r="DE143" s="2209"/>
      <c r="DF143" s="2208"/>
      <c r="DG143" s="2208"/>
      <c r="DH143" s="2208"/>
      <c r="DI143" s="2209"/>
      <c r="DJ143" s="2208"/>
      <c r="DK143" s="2208"/>
      <c r="DL143" s="2208"/>
      <c r="DM143" s="2209"/>
      <c r="DN143" s="2208"/>
      <c r="DO143" s="2208"/>
      <c r="DP143" s="2208"/>
      <c r="DQ143" s="2210">
        <v>1075</v>
      </c>
      <c r="DR143" s="2211">
        <v>1075</v>
      </c>
      <c r="DS143" s="2208">
        <v>975</v>
      </c>
      <c r="DT143" s="2208">
        <v>900</v>
      </c>
      <c r="DU143" s="2209">
        <v>750</v>
      </c>
      <c r="DV143" s="2208">
        <f>DR142</f>
      </c>
      <c r="DW143" s="2208">
        <f t="shared" ref="DW143:DY144" si="1086">DS142</f>
      </c>
      <c r="DX143" s="2208">
        <f t="shared" si="1086"/>
      </c>
      <c r="DY143" s="2209">
        <f t="shared" si="1086"/>
      </c>
      <c r="DZ143" s="2208">
        <v>700</v>
      </c>
      <c r="EA143" s="2208">
        <v>700</v>
      </c>
      <c r="EB143" s="2208">
        <v>700</v>
      </c>
      <c r="EC143" s="2209">
        <v>700</v>
      </c>
      <c r="ED143" s="2208">
        <v>700</v>
      </c>
      <c r="EE143" s="2208">
        <v>700</v>
      </c>
      <c r="EF143" s="2208">
        <v>700</v>
      </c>
      <c r="EG143" s="2209">
        <v>700</v>
      </c>
      <c r="EH143" s="2208">
        <v>700</v>
      </c>
      <c r="EI143" s="2208">
        <v>700</v>
      </c>
      <c r="EJ143" s="2208">
        <v>700</v>
      </c>
      <c r="EK143" s="2209">
        <v>700</v>
      </c>
      <c r="EM143" s="2203"/>
      <c r="EN143" s="2203"/>
      <c r="EO143" s="2203"/>
      <c r="EP143" s="2203"/>
      <c r="EQ143" s="2203"/>
      <c r="ER143" s="2203"/>
      <c r="ES143" s="2203"/>
      <c r="ET143" s="2203"/>
      <c r="EU143" s="2203"/>
      <c r="EV143" s="2203"/>
      <c r="EW143" s="2203"/>
      <c r="EX143" s="2203"/>
      <c r="EY143" s="2203"/>
      <c r="EZ143" s="2203"/>
      <c r="FA143" s="2203"/>
      <c r="FB143" s="2203"/>
      <c r="FC143" s="2203"/>
      <c r="FD143" s="2203"/>
      <c r="FE143" s="2203"/>
      <c r="FF143" s="2203"/>
      <c r="FG143" s="2203"/>
      <c r="FH143" s="2203"/>
      <c r="FI143" s="2204" t="str">
        <f t="shared" ref="FI143:FQ143" si="1087">IF(ISERROR(FI62/FI84),"NA",FI62/FI84)</f>
      </c>
      <c r="FJ143" s="2204" t="str">
        <f t="shared" si="1087"/>
      </c>
      <c r="FK143" s="2204" t="str">
        <f t="shared" si="1087"/>
      </c>
      <c r="FL143" s="2204" t="str">
        <f t="shared" si="1087"/>
      </c>
      <c r="FM143" s="2204" t="str">
        <f t="shared" si="1087"/>
      </c>
      <c r="FN143" s="2204" t="str">
        <f t="shared" si="1087"/>
      </c>
      <c r="FO143" s="2204" t="str">
        <f t="shared" si="1087"/>
      </c>
      <c r="FP143" s="2204">
        <f t="shared" si="1087"/>
      </c>
      <c r="FQ143" s="2204">
        <f t="shared" si="1087"/>
      </c>
      <c r="FR143" s="2204">
        <f t="shared" ref="FR143:FU143" si="1088">IF(ISERROR(FR62/FR84),"NA",FR62/FR84)</f>
      </c>
      <c r="FS143" s="2204">
        <f t="shared" si="1088"/>
      </c>
      <c r="FT143" s="2204" t="str">
        <f t="shared" si="1088"/>
      </c>
      <c r="FU143" s="2204" t="str">
        <f t="shared" si="1088"/>
      </c>
      <c r="FW143" s="2203"/>
      <c r="FX143" s="2203"/>
      <c r="FY143" s="2203"/>
      <c r="FZ143" s="2203"/>
      <c r="GA143" s="2203"/>
      <c r="GB143" s="2203"/>
      <c r="GC143" s="2203"/>
      <c r="GD143" s="2203"/>
      <c r="GE143" s="2203"/>
      <c r="GF143" s="2203"/>
      <c r="GG143" s="2203"/>
      <c r="GH143" s="2203"/>
      <c r="GI143" s="2203"/>
      <c r="GJ143" s="2203"/>
      <c r="GK143" s="2203"/>
      <c r="GL143" s="2203"/>
      <c r="GM143" s="2203"/>
      <c r="GN143" s="2203"/>
      <c r="GO143" s="2203"/>
      <c r="GP143" s="2203"/>
      <c r="GQ143" s="2203"/>
      <c r="GR143" s="2203"/>
      <c r="GS143" s="2203"/>
      <c r="GT143" s="2203"/>
      <c r="GU143" s="2203"/>
      <c r="GV143" s="2203"/>
      <c r="GW143" s="2203"/>
      <c r="GX143" s="2203"/>
      <c r="GY143" s="2203"/>
      <c r="GZ143" s="2203"/>
      <c r="HA143" s="2203"/>
      <c r="HB143" s="2203"/>
      <c r="HC143" s="2203"/>
      <c r="HD143" s="2203"/>
      <c r="HE143" s="2203"/>
      <c r="HF143" s="2203"/>
    </row>
    <row r="144" spans="1:214" s="2202" customFormat="1" ht="10.199999999999999">
      <c r="A144" s="2205" t="s">
        <v>1503</v>
      </c>
      <c r="B144" s="2206"/>
      <c r="C144" s="2206"/>
      <c r="D144" s="2206"/>
      <c r="E144" s="2207"/>
      <c r="F144" s="2206"/>
      <c r="G144" s="2206"/>
      <c r="H144" s="2206"/>
      <c r="I144" s="2207"/>
      <c r="J144" s="2206"/>
      <c r="K144" s="2206"/>
      <c r="L144" s="2206"/>
      <c r="M144" s="2207"/>
      <c r="N144" s="2206"/>
      <c r="O144" s="2206"/>
      <c r="P144" s="2206"/>
      <c r="Q144" s="2207"/>
      <c r="R144" s="2206"/>
      <c r="S144" s="2206"/>
      <c r="T144" s="2206"/>
      <c r="U144" s="2207"/>
      <c r="V144" s="2206"/>
      <c r="W144" s="2206"/>
      <c r="X144" s="2206"/>
      <c r="Y144" s="2207"/>
      <c r="Z144" s="2206"/>
      <c r="AA144" s="2206"/>
      <c r="AB144" s="2206"/>
      <c r="AC144" s="2207"/>
      <c r="AD144" s="2206"/>
      <c r="AE144" s="2206"/>
      <c r="AF144" s="2206"/>
      <c r="AG144" s="2207"/>
      <c r="AH144" s="2206"/>
      <c r="AI144" s="2206"/>
      <c r="AJ144" s="2206"/>
      <c r="AK144" s="2207"/>
      <c r="AL144" s="2206"/>
      <c r="AM144" s="2206"/>
      <c r="AN144" s="2206"/>
      <c r="AO144" s="2207"/>
      <c r="AP144" s="2206"/>
      <c r="AQ144" s="2206"/>
      <c r="AR144" s="2206"/>
      <c r="AS144" s="2207"/>
      <c r="AT144" s="2206"/>
      <c r="AU144" s="2206"/>
      <c r="AV144" s="2206"/>
      <c r="AW144" s="2207"/>
      <c r="AX144" s="2206"/>
      <c r="AY144" s="2206"/>
      <c r="AZ144" s="2206"/>
      <c r="BA144" s="2207"/>
      <c r="BB144" s="2206"/>
      <c r="BC144" s="2206"/>
      <c r="BD144" s="2206"/>
      <c r="BE144" s="2207"/>
      <c r="BF144" s="2206"/>
      <c r="BG144" s="2206"/>
      <c r="BH144" s="2206"/>
      <c r="BI144" s="2207"/>
      <c r="BJ144" s="2206"/>
      <c r="BK144" s="2206"/>
      <c r="BL144" s="2206"/>
      <c r="BM144" s="2207"/>
      <c r="BN144" s="2206"/>
      <c r="BO144" s="2206"/>
      <c r="BP144" s="2206"/>
      <c r="BQ144" s="2207"/>
      <c r="BR144" s="2206"/>
      <c r="BS144" s="2206"/>
      <c r="BT144" s="2206"/>
      <c r="BU144" s="2207"/>
      <c r="BV144" s="2206"/>
      <c r="BW144" s="2206"/>
      <c r="BX144" s="2206"/>
      <c r="BY144" s="2207"/>
      <c r="BZ144" s="2206"/>
      <c r="CA144" s="2206"/>
      <c r="CB144" s="2206"/>
      <c r="CC144" s="2207"/>
      <c r="CD144" s="2206"/>
      <c r="CE144" s="2206"/>
      <c r="CF144" s="2206"/>
      <c r="CG144" s="2207"/>
      <c r="CH144" s="2208"/>
      <c r="CI144" s="2208"/>
      <c r="CJ144" s="2208"/>
      <c r="CK144" s="2209"/>
      <c r="CL144" s="2208"/>
      <c r="CM144" s="2208"/>
      <c r="CN144" s="2208"/>
      <c r="CO144" s="2209"/>
      <c r="CP144" s="2208"/>
      <c r="CQ144" s="2208"/>
      <c r="CR144" s="2208"/>
      <c r="CS144" s="2209"/>
      <c r="CT144" s="2208"/>
      <c r="CU144" s="2208"/>
      <c r="CV144" s="2208"/>
      <c r="CW144" s="2209"/>
      <c r="CX144" s="2208"/>
      <c r="CY144" s="2208"/>
      <c r="CZ144" s="2208"/>
      <c r="DA144" s="2209"/>
      <c r="DB144" s="2208"/>
      <c r="DC144" s="2208"/>
      <c r="DD144" s="2208"/>
      <c r="DE144" s="2209"/>
      <c r="DF144" s="2208"/>
      <c r="DG144" s="2208"/>
      <c r="DH144" s="2208"/>
      <c r="DI144" s="2209"/>
      <c r="DJ144" s="2208"/>
      <c r="DK144" s="2208"/>
      <c r="DL144" s="2208"/>
      <c r="DM144" s="2209"/>
      <c r="DN144" s="2208"/>
      <c r="DO144" s="2208"/>
      <c r="DP144" s="2208"/>
      <c r="DQ144" s="2210"/>
      <c r="DR144" s="2211"/>
      <c r="DS144" s="2208"/>
      <c r="DT144" s="2208"/>
      <c r="DU144" s="2210">
        <v>1100</v>
      </c>
      <c r="DV144" s="2211">
        <v>1100</v>
      </c>
      <c r="DW144" s="2208">
        <v>985</v>
      </c>
      <c r="DX144" s="2208">
        <v>985</v>
      </c>
      <c r="DY144" s="2209">
        <f t="shared" si="1086"/>
      </c>
      <c r="DZ144" s="2208">
        <f>DV143*1.03</f>
      </c>
      <c r="EA144" s="2208">
        <f t="shared" ref="EA144" si="1089">DW143*1.03</f>
      </c>
      <c r="EB144" s="2208">
        <f t="shared" ref="EB144" si="1090">DX143*1.03</f>
      </c>
      <c r="EC144" s="2209">
        <f t="shared" ref="EC144:EC145" si="1091">DY143*1.03</f>
      </c>
      <c r="ED144" s="2208">
        <v>700</v>
      </c>
      <c r="EE144" s="2208">
        <v>700</v>
      </c>
      <c r="EF144" s="2208">
        <v>700</v>
      </c>
      <c r="EG144" s="2209">
        <v>700</v>
      </c>
      <c r="EH144" s="2208">
        <v>700</v>
      </c>
      <c r="EI144" s="2208">
        <v>700</v>
      </c>
      <c r="EJ144" s="2208">
        <v>700</v>
      </c>
      <c r="EK144" s="2209">
        <v>700</v>
      </c>
      <c r="EM144" s="2203"/>
      <c r="EN144" s="2203"/>
      <c r="EO144" s="2203"/>
      <c r="EP144" s="2203"/>
      <c r="EQ144" s="2203"/>
      <c r="ER144" s="2203"/>
      <c r="ES144" s="2203"/>
      <c r="ET144" s="2203"/>
      <c r="EU144" s="2203"/>
      <c r="EV144" s="2203"/>
      <c r="EW144" s="2203"/>
      <c r="EX144" s="2203"/>
      <c r="EY144" s="2203"/>
      <c r="EZ144" s="2203"/>
      <c r="FA144" s="2203"/>
      <c r="FB144" s="2203"/>
      <c r="FC144" s="2203"/>
      <c r="FD144" s="2203"/>
      <c r="FE144" s="2203"/>
      <c r="FF144" s="2203"/>
      <c r="FG144" s="2203"/>
      <c r="FH144" s="2203"/>
      <c r="FI144" s="2204"/>
      <c r="FJ144" s="2204"/>
      <c r="FK144" s="2204"/>
      <c r="FL144" s="2204"/>
      <c r="FM144" s="2204"/>
      <c r="FN144" s="2204"/>
      <c r="FO144" s="2204"/>
      <c r="FP144" s="2204"/>
      <c r="FQ144" s="2204"/>
      <c r="FR144" s="2204"/>
      <c r="FS144" s="2204"/>
      <c r="FT144" s="2204"/>
      <c r="FU144" s="2204"/>
      <c r="FW144" s="2203"/>
      <c r="FX144" s="2203"/>
      <c r="FY144" s="2203"/>
      <c r="FZ144" s="2203"/>
      <c r="GA144" s="2203"/>
      <c r="GB144" s="2203"/>
      <c r="GC144" s="2203"/>
      <c r="GD144" s="2203"/>
      <c r="GE144" s="2203"/>
      <c r="GF144" s="2203"/>
      <c r="GG144" s="2203"/>
      <c r="GH144" s="2203"/>
      <c r="GI144" s="2203"/>
      <c r="GJ144" s="2203"/>
      <c r="GK144" s="2203"/>
      <c r="GL144" s="2203"/>
      <c r="GM144" s="2203"/>
      <c r="GN144" s="2203"/>
      <c r="GO144" s="2203"/>
      <c r="GP144" s="2203"/>
      <c r="GQ144" s="2203"/>
      <c r="GR144" s="2203"/>
      <c r="GS144" s="2203"/>
      <c r="GT144" s="2203"/>
      <c r="GU144" s="2203"/>
      <c r="GV144" s="2203"/>
      <c r="GW144" s="2203"/>
      <c r="GX144" s="2203"/>
      <c r="GY144" s="2203"/>
      <c r="GZ144" s="2203"/>
      <c r="HA144" s="2203"/>
      <c r="HB144" s="2203"/>
      <c r="HC144" s="2203"/>
      <c r="HD144" s="2203"/>
      <c r="HE144" s="2203"/>
      <c r="HF144" s="2203"/>
    </row>
    <row r="145" spans="1:214" s="2202" customFormat="1" ht="10.199999999999999">
      <c r="A145" s="2205" t="s">
        <v>1504</v>
      </c>
      <c r="B145" s="2206"/>
      <c r="C145" s="2206"/>
      <c r="D145" s="2206"/>
      <c r="E145" s="2207"/>
      <c r="F145" s="2206"/>
      <c r="G145" s="2206"/>
      <c r="H145" s="2206"/>
      <c r="I145" s="2207"/>
      <c r="J145" s="2206"/>
      <c r="K145" s="2206"/>
      <c r="L145" s="2206"/>
      <c r="M145" s="2207"/>
      <c r="N145" s="2206"/>
      <c r="O145" s="2206"/>
      <c r="P145" s="2206"/>
      <c r="Q145" s="2207"/>
      <c r="R145" s="2206"/>
      <c r="S145" s="2206"/>
      <c r="T145" s="2206"/>
      <c r="U145" s="2207"/>
      <c r="V145" s="2206"/>
      <c r="W145" s="2206"/>
      <c r="X145" s="2206"/>
      <c r="Y145" s="2207"/>
      <c r="Z145" s="2206"/>
      <c r="AA145" s="2206"/>
      <c r="AB145" s="2206"/>
      <c r="AC145" s="2207"/>
      <c r="AD145" s="2206"/>
      <c r="AE145" s="2206"/>
      <c r="AF145" s="2206"/>
      <c r="AG145" s="2207"/>
      <c r="AH145" s="2206"/>
      <c r="AI145" s="2206"/>
      <c r="AJ145" s="2206"/>
      <c r="AK145" s="2207"/>
      <c r="AL145" s="2206"/>
      <c r="AM145" s="2206"/>
      <c r="AN145" s="2206"/>
      <c r="AO145" s="2207"/>
      <c r="AP145" s="2206"/>
      <c r="AQ145" s="2206"/>
      <c r="AR145" s="2206"/>
      <c r="AS145" s="2207"/>
      <c r="AT145" s="2206"/>
      <c r="AU145" s="2206"/>
      <c r="AV145" s="2206"/>
      <c r="AW145" s="2207"/>
      <c r="AX145" s="2206"/>
      <c r="AY145" s="2206"/>
      <c r="AZ145" s="2206"/>
      <c r="BA145" s="2207"/>
      <c r="BB145" s="2206"/>
      <c r="BC145" s="2206"/>
      <c r="BD145" s="2206"/>
      <c r="BE145" s="2207"/>
      <c r="BF145" s="2206"/>
      <c r="BG145" s="2206"/>
      <c r="BH145" s="2206"/>
      <c r="BI145" s="2207"/>
      <c r="BJ145" s="2206"/>
      <c r="BK145" s="2206"/>
      <c r="BL145" s="2206"/>
      <c r="BM145" s="2207"/>
      <c r="BN145" s="2206"/>
      <c r="BO145" s="2206"/>
      <c r="BP145" s="2206"/>
      <c r="BQ145" s="2207"/>
      <c r="BR145" s="2206"/>
      <c r="BS145" s="2206"/>
      <c r="BT145" s="2206"/>
      <c r="BU145" s="2207"/>
      <c r="BV145" s="2206"/>
      <c r="BW145" s="2206"/>
      <c r="BX145" s="2206"/>
      <c r="BY145" s="2207"/>
      <c r="BZ145" s="2206"/>
      <c r="CA145" s="2206"/>
      <c r="CB145" s="2206"/>
      <c r="CC145" s="2207"/>
      <c r="CD145" s="2206"/>
      <c r="CE145" s="2206"/>
      <c r="CF145" s="2206"/>
      <c r="CG145" s="2207"/>
      <c r="CH145" s="2208"/>
      <c r="CI145" s="2208"/>
      <c r="CJ145" s="2208"/>
      <c r="CK145" s="2209"/>
      <c r="CL145" s="2208"/>
      <c r="CM145" s="2208"/>
      <c r="CN145" s="2208"/>
      <c r="CO145" s="2209"/>
      <c r="CP145" s="2208"/>
      <c r="CQ145" s="2208"/>
      <c r="CR145" s="2208"/>
      <c r="CS145" s="2209"/>
      <c r="CT145" s="2208"/>
      <c r="CU145" s="2208"/>
      <c r="CV145" s="2208"/>
      <c r="CW145" s="2209"/>
      <c r="CX145" s="2208"/>
      <c r="CY145" s="2208"/>
      <c r="CZ145" s="2208"/>
      <c r="DA145" s="2209"/>
      <c r="DB145" s="2208"/>
      <c r="DC145" s="2208"/>
      <c r="DD145" s="2208"/>
      <c r="DE145" s="2209"/>
      <c r="DF145" s="2208"/>
      <c r="DG145" s="2208"/>
      <c r="DH145" s="2208"/>
      <c r="DI145" s="2209"/>
      <c r="DJ145" s="2208"/>
      <c r="DK145" s="2208"/>
      <c r="DL145" s="2208"/>
      <c r="DM145" s="2209"/>
      <c r="DN145" s="2208"/>
      <c r="DO145" s="2208"/>
      <c r="DP145" s="2208"/>
      <c r="DQ145" s="2210"/>
      <c r="DR145" s="2211"/>
      <c r="DS145" s="2208"/>
      <c r="DT145" s="2208"/>
      <c r="DU145" s="2209"/>
      <c r="DV145" s="2211"/>
      <c r="DW145" s="2208"/>
      <c r="DX145" s="2208"/>
      <c r="DY145" s="2210">
        <v>1075</v>
      </c>
      <c r="DZ145" s="2211">
        <v>1100</v>
      </c>
      <c r="EA145" s="2208">
        <v>1000</v>
      </c>
      <c r="EB145" s="2208">
        <v>1000</v>
      </c>
      <c r="EC145" s="2209">
        <f t="shared" si="1091"/>
      </c>
      <c r="ED145" s="2208">
        <f>DZ144*1.03</f>
      </c>
      <c r="EE145" s="2208">
        <f t="shared" ref="EE145" si="1092">EA144*1.03</f>
      </c>
      <c r="EF145" s="2208">
        <f t="shared" ref="EF145" si="1093">EB144*1.03</f>
      </c>
      <c r="EG145" s="2209">
        <f t="shared" ref="EG145:EG146" si="1094">EC144*1.03</f>
      </c>
      <c r="EH145" s="2208">
        <v>700</v>
      </c>
      <c r="EI145" s="2208">
        <v>700</v>
      </c>
      <c r="EJ145" s="2208">
        <v>700</v>
      </c>
      <c r="EK145" s="2209">
        <v>700</v>
      </c>
      <c r="EM145" s="2203"/>
      <c r="EN145" s="2203"/>
      <c r="EO145" s="2203"/>
      <c r="EP145" s="2203"/>
      <c r="EQ145" s="2203"/>
      <c r="ER145" s="2203"/>
      <c r="ES145" s="2203"/>
      <c r="ET145" s="2203"/>
      <c r="EU145" s="2203"/>
      <c r="EV145" s="2203"/>
      <c r="EW145" s="2203"/>
      <c r="EX145" s="2203"/>
      <c r="EY145" s="2203"/>
      <c r="EZ145" s="2203"/>
      <c r="FA145" s="2203"/>
      <c r="FB145" s="2203"/>
      <c r="FC145" s="2203"/>
      <c r="FD145" s="2203"/>
      <c r="FE145" s="2203"/>
      <c r="FF145" s="2203"/>
      <c r="FG145" s="2203"/>
      <c r="FH145" s="2203"/>
      <c r="FI145" s="2204"/>
      <c r="FJ145" s="2204"/>
      <c r="FK145" s="2204"/>
      <c r="FL145" s="2204"/>
      <c r="FM145" s="2204"/>
      <c r="FN145" s="3240"/>
      <c r="FO145" s="2204"/>
      <c r="FP145" s="2204"/>
      <c r="FQ145" s="2204"/>
      <c r="FR145" s="2204"/>
      <c r="FS145" s="2204"/>
      <c r="FT145" s="2204"/>
      <c r="FU145" s="2204"/>
      <c r="FW145" s="2203"/>
      <c r="FX145" s="2203"/>
      <c r="FY145" s="2203"/>
      <c r="FZ145" s="2203"/>
      <c r="GA145" s="2203"/>
      <c r="GB145" s="2203"/>
      <c r="GC145" s="2203"/>
      <c r="GD145" s="2203"/>
      <c r="GE145" s="2203"/>
      <c r="GF145" s="2203"/>
      <c r="GG145" s="2203"/>
      <c r="GH145" s="2203"/>
      <c r="GI145" s="2203"/>
      <c r="GJ145" s="2203"/>
      <c r="GK145" s="2203"/>
      <c r="GL145" s="2203"/>
      <c r="GM145" s="2203"/>
      <c r="GN145" s="2203"/>
      <c r="GO145" s="2203"/>
      <c r="GP145" s="2203"/>
      <c r="GQ145" s="2203"/>
      <c r="GR145" s="2203"/>
      <c r="GS145" s="2203"/>
      <c r="GT145" s="2203"/>
      <c r="GU145" s="2203"/>
      <c r="GV145" s="2203"/>
      <c r="GW145" s="2203"/>
      <c r="GX145" s="2203"/>
      <c r="GY145" s="2203"/>
      <c r="GZ145" s="2203"/>
      <c r="HA145" s="2203"/>
      <c r="HB145" s="2203"/>
      <c r="HC145" s="2203"/>
      <c r="HD145" s="2203"/>
      <c r="HE145" s="2203"/>
      <c r="HF145" s="2203"/>
    </row>
    <row r="146" spans="1:214" s="2202" customFormat="1" ht="10.199999999999999">
      <c r="A146" s="2205" t="s">
        <v>1505</v>
      </c>
      <c r="B146" s="2206"/>
      <c r="C146" s="2206"/>
      <c r="D146" s="2206"/>
      <c r="E146" s="2207"/>
      <c r="F146" s="2206"/>
      <c r="G146" s="2206"/>
      <c r="H146" s="2206"/>
      <c r="I146" s="2207"/>
      <c r="J146" s="2206"/>
      <c r="K146" s="2206"/>
      <c r="L146" s="2206"/>
      <c r="M146" s="2207"/>
      <c r="N146" s="2206"/>
      <c r="O146" s="2206"/>
      <c r="P146" s="2206"/>
      <c r="Q146" s="2207"/>
      <c r="R146" s="2206"/>
      <c r="S146" s="2206"/>
      <c r="T146" s="2206"/>
      <c r="U146" s="2207"/>
      <c r="V146" s="2206"/>
      <c r="W146" s="2206"/>
      <c r="X146" s="2206"/>
      <c r="Y146" s="2207"/>
      <c r="Z146" s="2206"/>
      <c r="AA146" s="2206"/>
      <c r="AB146" s="2206"/>
      <c r="AC146" s="2207"/>
      <c r="AD146" s="2206"/>
      <c r="AE146" s="2206"/>
      <c r="AF146" s="2206"/>
      <c r="AG146" s="2207"/>
      <c r="AH146" s="2206"/>
      <c r="AI146" s="2206"/>
      <c r="AJ146" s="2206"/>
      <c r="AK146" s="2207"/>
      <c r="AL146" s="2206"/>
      <c r="AM146" s="2206"/>
      <c r="AN146" s="2206"/>
      <c r="AO146" s="2207"/>
      <c r="AP146" s="2206"/>
      <c r="AQ146" s="2206"/>
      <c r="AR146" s="2206"/>
      <c r="AS146" s="2207"/>
      <c r="AT146" s="2206"/>
      <c r="AU146" s="2206"/>
      <c r="AV146" s="2206"/>
      <c r="AW146" s="2207"/>
      <c r="AX146" s="2206"/>
      <c r="AY146" s="2206"/>
      <c r="AZ146" s="2206"/>
      <c r="BA146" s="2207"/>
      <c r="BB146" s="2206"/>
      <c r="BC146" s="2206"/>
      <c r="BD146" s="2206"/>
      <c r="BE146" s="2207"/>
      <c r="BF146" s="2206"/>
      <c r="BG146" s="2206"/>
      <c r="BH146" s="2206"/>
      <c r="BI146" s="2207"/>
      <c r="BJ146" s="2206"/>
      <c r="BK146" s="2206"/>
      <c r="BL146" s="2206"/>
      <c r="BM146" s="2207"/>
      <c r="BN146" s="2206"/>
      <c r="BO146" s="2206"/>
      <c r="BP146" s="2206"/>
      <c r="BQ146" s="2207"/>
      <c r="BR146" s="2206"/>
      <c r="BS146" s="2206"/>
      <c r="BT146" s="2206"/>
      <c r="BU146" s="2207"/>
      <c r="BV146" s="2206"/>
      <c r="BW146" s="2206"/>
      <c r="BX146" s="2206"/>
      <c r="BY146" s="2207"/>
      <c r="BZ146" s="2206"/>
      <c r="CA146" s="2206"/>
      <c r="CB146" s="2206"/>
      <c r="CC146" s="2207"/>
      <c r="CD146" s="2206"/>
      <c r="CE146" s="2206"/>
      <c r="CF146" s="2206"/>
      <c r="CG146" s="2207"/>
      <c r="CH146" s="2208"/>
      <c r="CI146" s="2208"/>
      <c r="CJ146" s="2208"/>
      <c r="CK146" s="2209"/>
      <c r="CL146" s="2208"/>
      <c r="CM146" s="2208"/>
      <c r="CN146" s="2208"/>
      <c r="CO146" s="2209"/>
      <c r="CP146" s="2208"/>
      <c r="CQ146" s="2208"/>
      <c r="CR146" s="2208"/>
      <c r="CS146" s="2209"/>
      <c r="CT146" s="2208"/>
      <c r="CU146" s="2208"/>
      <c r="CV146" s="2208"/>
      <c r="CW146" s="2209"/>
      <c r="CX146" s="2208"/>
      <c r="CY146" s="2208"/>
      <c r="CZ146" s="2208"/>
      <c r="DA146" s="2209"/>
      <c r="DB146" s="2208"/>
      <c r="DC146" s="2208"/>
      <c r="DD146" s="2208"/>
      <c r="DE146" s="2209"/>
      <c r="DF146" s="2208"/>
      <c r="DG146" s="2208"/>
      <c r="DH146" s="2208"/>
      <c r="DI146" s="2209"/>
      <c r="DJ146" s="2208"/>
      <c r="DK146" s="2208"/>
      <c r="DL146" s="2208"/>
      <c r="DM146" s="2209"/>
      <c r="DN146" s="2208"/>
      <c r="DO146" s="2208"/>
      <c r="DP146" s="2208"/>
      <c r="DQ146" s="2210"/>
      <c r="DR146" s="2211"/>
      <c r="DS146" s="2208"/>
      <c r="DT146" s="2208"/>
      <c r="DU146" s="2209"/>
      <c r="DV146" s="2211"/>
      <c r="DW146" s="2208"/>
      <c r="DX146" s="2208"/>
      <c r="DY146" s="2209"/>
      <c r="DZ146" s="2211"/>
      <c r="EA146" s="2208"/>
      <c r="EB146" s="2208"/>
      <c r="EC146" s="2210">
        <v>1075</v>
      </c>
      <c r="ED146" s="2211">
        <v>1100</v>
      </c>
      <c r="EE146" s="2208">
        <v>1000</v>
      </c>
      <c r="EF146" s="2208">
        <v>1000</v>
      </c>
      <c r="EG146" s="2209">
        <f t="shared" si="1094"/>
      </c>
      <c r="EH146" s="2208">
        <f>ED145*1.03</f>
      </c>
      <c r="EI146" s="2208">
        <f t="shared" ref="EI146" si="1095">EE145*1.03</f>
      </c>
      <c r="EJ146" s="2208">
        <f t="shared" ref="EJ146:EK147" si="1096">EF145*1.03</f>
      </c>
      <c r="EK146" s="2209">
        <f t="shared" si="1096"/>
      </c>
      <c r="EM146" s="2203"/>
      <c r="EN146" s="2203"/>
      <c r="EO146" s="2203"/>
      <c r="EP146" s="2203"/>
      <c r="EQ146" s="2203"/>
      <c r="ER146" s="2203"/>
      <c r="ES146" s="2203"/>
      <c r="ET146" s="2203"/>
      <c r="EU146" s="2203"/>
      <c r="EV146" s="2203"/>
      <c r="EW146" s="2203"/>
      <c r="EX146" s="2203"/>
      <c r="EY146" s="2203"/>
      <c r="EZ146" s="2203"/>
      <c r="FA146" s="2203"/>
      <c r="FB146" s="2203"/>
      <c r="FC146" s="2203"/>
      <c r="FD146" s="2203"/>
      <c r="FE146" s="2203"/>
      <c r="FF146" s="2203"/>
      <c r="FG146" s="2203"/>
      <c r="FH146" s="2203"/>
      <c r="FI146" s="2204"/>
      <c r="FJ146" s="2204"/>
      <c r="FK146" s="2204"/>
      <c r="FL146" s="2204"/>
      <c r="FM146" s="2204"/>
      <c r="FN146" s="2204"/>
      <c r="FO146" s="3239"/>
      <c r="FP146" s="2204"/>
      <c r="FQ146" s="2204"/>
      <c r="FR146" s="2204"/>
      <c r="FS146" s="2204"/>
      <c r="FT146" s="2204"/>
      <c r="FU146" s="2204"/>
      <c r="FW146" s="2203"/>
      <c r="FX146" s="2203"/>
      <c r="FY146" s="2203"/>
      <c r="FZ146" s="2203"/>
      <c r="GA146" s="2203"/>
      <c r="GB146" s="2203"/>
      <c r="GC146" s="2203"/>
      <c r="GD146" s="2203"/>
      <c r="GE146" s="2203"/>
      <c r="GF146" s="2203"/>
      <c r="GG146" s="2203"/>
      <c r="GH146" s="2203"/>
      <c r="GI146" s="2203"/>
      <c r="GJ146" s="2203"/>
      <c r="GK146" s="2203"/>
      <c r="GL146" s="2203"/>
      <c r="GM146" s="2203"/>
      <c r="GN146" s="2203"/>
      <c r="GO146" s="2203"/>
      <c r="GP146" s="2203"/>
      <c r="GQ146" s="2203"/>
      <c r="GR146" s="2203"/>
      <c r="GS146" s="2203"/>
      <c r="GT146" s="2203"/>
      <c r="GU146" s="2203"/>
      <c r="GV146" s="2203"/>
      <c r="GW146" s="2203"/>
      <c r="GX146" s="2203"/>
      <c r="GY146" s="2203"/>
      <c r="GZ146" s="2203"/>
      <c r="HA146" s="2203"/>
      <c r="HB146" s="2203"/>
      <c r="HC146" s="2203"/>
      <c r="HD146" s="2203"/>
      <c r="HE146" s="2203"/>
      <c r="HF146" s="2203"/>
    </row>
    <row r="147" spans="1:214" s="2202" customFormat="1" ht="10.199999999999999">
      <c r="A147" s="2205" t="s">
        <v>1522</v>
      </c>
      <c r="B147" s="2206"/>
      <c r="C147" s="2206"/>
      <c r="D147" s="2206"/>
      <c r="E147" s="2207"/>
      <c r="F147" s="2206"/>
      <c r="G147" s="2206"/>
      <c r="H147" s="2206"/>
      <c r="I147" s="2207"/>
      <c r="J147" s="2206"/>
      <c r="K147" s="2206"/>
      <c r="L147" s="2206"/>
      <c r="M147" s="2207"/>
      <c r="N147" s="2206"/>
      <c r="O147" s="2206"/>
      <c r="P147" s="2206"/>
      <c r="Q147" s="2207"/>
      <c r="R147" s="2206"/>
      <c r="S147" s="2206"/>
      <c r="T147" s="2206"/>
      <c r="U147" s="2207"/>
      <c r="V147" s="2206"/>
      <c r="W147" s="2206"/>
      <c r="X147" s="2206"/>
      <c r="Y147" s="2207"/>
      <c r="Z147" s="2206"/>
      <c r="AA147" s="2206"/>
      <c r="AB147" s="2206"/>
      <c r="AC147" s="2207"/>
      <c r="AD147" s="2206"/>
      <c r="AE147" s="2206"/>
      <c r="AF147" s="2206"/>
      <c r="AG147" s="2207"/>
      <c r="AH147" s="2206"/>
      <c r="AI147" s="2206"/>
      <c r="AJ147" s="2206"/>
      <c r="AK147" s="2207"/>
      <c r="AL147" s="2206"/>
      <c r="AM147" s="2206"/>
      <c r="AN147" s="2206"/>
      <c r="AO147" s="2207"/>
      <c r="AP147" s="2206"/>
      <c r="AQ147" s="2206"/>
      <c r="AR147" s="2206"/>
      <c r="AS147" s="2207"/>
      <c r="AT147" s="2206"/>
      <c r="AU147" s="2206"/>
      <c r="AV147" s="2206"/>
      <c r="AW147" s="2207"/>
      <c r="AX147" s="2206"/>
      <c r="AY147" s="2206"/>
      <c r="AZ147" s="2206"/>
      <c r="BA147" s="2207"/>
      <c r="BB147" s="2206"/>
      <c r="BC147" s="2206"/>
      <c r="BD147" s="2206"/>
      <c r="BE147" s="2207"/>
      <c r="BF147" s="2206"/>
      <c r="BG147" s="2206"/>
      <c r="BH147" s="2206"/>
      <c r="BI147" s="2207"/>
      <c r="BJ147" s="2206"/>
      <c r="BK147" s="2206"/>
      <c r="BL147" s="2206"/>
      <c r="BM147" s="2207"/>
      <c r="BN147" s="2206"/>
      <c r="BO147" s="2206"/>
      <c r="BP147" s="2206"/>
      <c r="BQ147" s="2207"/>
      <c r="BR147" s="2206"/>
      <c r="BS147" s="2206"/>
      <c r="BT147" s="2206"/>
      <c r="BU147" s="2207"/>
      <c r="BV147" s="2206"/>
      <c r="BW147" s="2206"/>
      <c r="BX147" s="2206"/>
      <c r="BY147" s="2207"/>
      <c r="BZ147" s="2206"/>
      <c r="CA147" s="2206"/>
      <c r="CB147" s="2206"/>
      <c r="CC147" s="2207"/>
      <c r="CD147" s="2206"/>
      <c r="CE147" s="2206"/>
      <c r="CF147" s="2206"/>
      <c r="CG147" s="2207"/>
      <c r="CH147" s="2208"/>
      <c r="CI147" s="2208"/>
      <c r="CJ147" s="2208"/>
      <c r="CK147" s="2209"/>
      <c r="CL147" s="2208"/>
      <c r="CM147" s="2208"/>
      <c r="CN147" s="2208"/>
      <c r="CO147" s="2209"/>
      <c r="CP147" s="2208"/>
      <c r="CQ147" s="2208"/>
      <c r="CR147" s="2208"/>
      <c r="CS147" s="2209"/>
      <c r="CT147" s="2208"/>
      <c r="CU147" s="2208"/>
      <c r="CV147" s="2208"/>
      <c r="CW147" s="2209"/>
      <c r="CX147" s="2208"/>
      <c r="CY147" s="2208"/>
      <c r="CZ147" s="2208"/>
      <c r="DA147" s="2209"/>
      <c r="DB147" s="2208"/>
      <c r="DC147" s="2208"/>
      <c r="DD147" s="2208"/>
      <c r="DE147" s="2209"/>
      <c r="DF147" s="2208"/>
      <c r="DG147" s="2208"/>
      <c r="DH147" s="2208"/>
      <c r="DI147" s="2209"/>
      <c r="DJ147" s="2208"/>
      <c r="DK147" s="2208"/>
      <c r="DL147" s="2208"/>
      <c r="DM147" s="2209"/>
      <c r="DN147" s="2208"/>
      <c r="DO147" s="2208"/>
      <c r="DP147" s="2208"/>
      <c r="DQ147" s="2210"/>
      <c r="DR147" s="2211"/>
      <c r="DS147" s="2208"/>
      <c r="DT147" s="2208"/>
      <c r="DU147" s="2209"/>
      <c r="DV147" s="2211"/>
      <c r="DW147" s="2208"/>
      <c r="DX147" s="2208"/>
      <c r="DY147" s="2209"/>
      <c r="DZ147" s="2211"/>
      <c r="EA147" s="2208"/>
      <c r="EB147" s="2208"/>
      <c r="EC147" s="2209"/>
      <c r="ED147" s="2211"/>
      <c r="EE147" s="2208"/>
      <c r="EF147" s="2208"/>
      <c r="EG147" s="2210">
        <v>1075</v>
      </c>
      <c r="EH147" s="2211">
        <v>1100</v>
      </c>
      <c r="EI147" s="2208">
        <v>1000</v>
      </c>
      <c r="EJ147" s="2208">
        <v>1000</v>
      </c>
      <c r="EK147" s="2209">
        <f t="shared" si="1096"/>
      </c>
      <c r="EM147" s="2203"/>
      <c r="EN147" s="2203"/>
      <c r="EO147" s="2203"/>
      <c r="EP147" s="2203"/>
      <c r="EQ147" s="2203"/>
      <c r="ER147" s="2203"/>
      <c r="ES147" s="2203"/>
      <c r="ET147" s="2203"/>
      <c r="EU147" s="2203"/>
      <c r="EV147" s="2203"/>
      <c r="EW147" s="2203"/>
      <c r="EX147" s="2203"/>
      <c r="EY147" s="2203"/>
      <c r="EZ147" s="2203"/>
      <c r="FA147" s="2203"/>
      <c r="FB147" s="2203"/>
      <c r="FC147" s="2203"/>
      <c r="FD147" s="2203"/>
      <c r="FE147" s="2203"/>
      <c r="FF147" s="2203"/>
      <c r="FG147" s="2203"/>
      <c r="FH147" s="2203"/>
      <c r="FI147" s="2204"/>
      <c r="FJ147" s="2204"/>
      <c r="FK147" s="2204"/>
      <c r="FL147" s="2204"/>
      <c r="FM147" s="2204"/>
      <c r="FN147" s="2204"/>
      <c r="FO147" s="2204"/>
      <c r="FP147" s="2204"/>
      <c r="FQ147" s="2204"/>
      <c r="FR147" s="2204"/>
      <c r="FS147" s="2204"/>
      <c r="FT147" s="2204"/>
      <c r="FU147" s="2204"/>
      <c r="FW147" s="2203"/>
      <c r="FX147" s="2203"/>
      <c r="FY147" s="2203"/>
      <c r="FZ147" s="2203"/>
      <c r="GA147" s="2203"/>
      <c r="GB147" s="2203"/>
      <c r="GC147" s="2203"/>
      <c r="GD147" s="2203"/>
      <c r="GE147" s="2203"/>
      <c r="GF147" s="2203"/>
      <c r="GG147" s="2203"/>
      <c r="GH147" s="2203"/>
      <c r="GI147" s="2203"/>
      <c r="GJ147" s="2203"/>
      <c r="GK147" s="2203"/>
      <c r="GL147" s="2203"/>
      <c r="GM147" s="2203"/>
      <c r="GN147" s="2203"/>
      <c r="GO147" s="2203"/>
      <c r="GP147" s="2203"/>
      <c r="GQ147" s="2203"/>
      <c r="GR147" s="2203"/>
      <c r="GS147" s="2203"/>
      <c r="GT147" s="2203"/>
      <c r="GU147" s="2203"/>
      <c r="GV147" s="2203"/>
      <c r="GW147" s="2203"/>
      <c r="GX147" s="2203"/>
      <c r="GY147" s="2203"/>
      <c r="GZ147" s="2203"/>
      <c r="HA147" s="2203"/>
      <c r="HB147" s="2203"/>
      <c r="HC147" s="2203"/>
      <c r="HD147" s="2203"/>
      <c r="HE147" s="2203"/>
      <c r="HF147" s="2203"/>
    </row>
    <row r="148" spans="1:214" s="2202" customFormat="1" ht="10.199999999999999">
      <c r="A148" s="2205" t="s">
        <v>1458</v>
      </c>
      <c r="B148" s="2206"/>
      <c r="C148" s="2206"/>
      <c r="D148" s="2206"/>
      <c r="E148" s="2207"/>
      <c r="F148" s="2206"/>
      <c r="G148" s="2206"/>
      <c r="H148" s="2206"/>
      <c r="I148" s="2207"/>
      <c r="J148" s="2206"/>
      <c r="K148" s="2206"/>
      <c r="L148" s="2206"/>
      <c r="M148" s="2207"/>
      <c r="N148" s="2206"/>
      <c r="O148" s="2206"/>
      <c r="P148" s="2206"/>
      <c r="Q148" s="2207"/>
      <c r="R148" s="2206"/>
      <c r="S148" s="2206"/>
      <c r="T148" s="2206"/>
      <c r="U148" s="2207"/>
      <c r="V148" s="2206"/>
      <c r="W148" s="2206"/>
      <c r="X148" s="2206"/>
      <c r="Y148" s="2207"/>
      <c r="Z148" s="2206"/>
      <c r="AA148" s="2206"/>
      <c r="AB148" s="2206"/>
      <c r="AC148" s="2207"/>
      <c r="AD148" s="2206"/>
      <c r="AE148" s="2206"/>
      <c r="AF148" s="2206"/>
      <c r="AG148" s="2207"/>
      <c r="AH148" s="2206"/>
      <c r="AI148" s="2206"/>
      <c r="AJ148" s="2206"/>
      <c r="AK148" s="2207"/>
      <c r="AL148" s="2206"/>
      <c r="AM148" s="2206"/>
      <c r="AN148" s="2206"/>
      <c r="AO148" s="2207"/>
      <c r="AP148" s="2206"/>
      <c r="AQ148" s="2206"/>
      <c r="AR148" s="2206"/>
      <c r="AS148" s="2207"/>
      <c r="AT148" s="2206"/>
      <c r="AU148" s="2206"/>
      <c r="AV148" s="2206"/>
      <c r="AW148" s="2207"/>
      <c r="AX148" s="2206"/>
      <c r="AY148" s="2206"/>
      <c r="AZ148" s="2206"/>
      <c r="BA148" s="2207"/>
      <c r="BB148" s="2206"/>
      <c r="BC148" s="2206"/>
      <c r="BD148" s="2206"/>
      <c r="BE148" s="2207"/>
      <c r="BF148" s="2206"/>
      <c r="BG148" s="2206"/>
      <c r="BH148" s="2206"/>
      <c r="BI148" s="2207"/>
      <c r="BJ148" s="2206"/>
      <c r="BK148" s="2206"/>
      <c r="BL148" s="2206"/>
      <c r="BM148" s="2207"/>
      <c r="BN148" s="2206"/>
      <c r="BO148" s="2206"/>
      <c r="BP148" s="2206"/>
      <c r="BQ148" s="2207"/>
      <c r="BR148" s="2206"/>
      <c r="BS148" s="2206"/>
      <c r="BT148" s="2206"/>
      <c r="BU148" s="2207"/>
      <c r="BV148" s="2206"/>
      <c r="BW148" s="2206"/>
      <c r="BX148" s="2206"/>
      <c r="BY148" s="2207"/>
      <c r="BZ148" s="2206"/>
      <c r="CA148" s="2206"/>
      <c r="CB148" s="2206"/>
      <c r="CC148" s="2207"/>
      <c r="CD148" s="2206"/>
      <c r="CE148" s="2206"/>
      <c r="CF148" s="2206"/>
      <c r="CG148" s="2207"/>
      <c r="CH148" s="2208">
        <v>430</v>
      </c>
      <c r="CI148" s="2208">
        <v>430</v>
      </c>
      <c r="CJ148" s="2208">
        <v>430</v>
      </c>
      <c r="CK148" s="2209">
        <v>430</v>
      </c>
      <c r="CL148" s="2208">
        <v>430</v>
      </c>
      <c r="CM148" s="2208">
        <v>430</v>
      </c>
      <c r="CN148" s="2208">
        <v>430</v>
      </c>
      <c r="CO148" s="2209">
        <v>430</v>
      </c>
      <c r="CP148" s="2208"/>
      <c r="CQ148" s="2208"/>
      <c r="CR148" s="2208"/>
      <c r="CS148" s="2209"/>
      <c r="CT148" s="2208"/>
      <c r="CU148" s="2208"/>
      <c r="CV148" s="2211">
        <v>430</v>
      </c>
      <c r="CW148" s="2209">
        <v>430</v>
      </c>
      <c r="CX148" s="2208">
        <v>400</v>
      </c>
      <c r="CY148" s="2208">
        <v>430</v>
      </c>
      <c r="CZ148" s="2208">
        <v>430</v>
      </c>
      <c r="DA148" s="2209">
        <v>430</v>
      </c>
      <c r="DB148" s="2208">
        <v>430</v>
      </c>
      <c r="DC148" s="2211">
        <v>500</v>
      </c>
      <c r="DD148" s="2208">
        <v>500</v>
      </c>
      <c r="DE148" s="2209">
        <v>500</v>
      </c>
      <c r="DF148" s="2208">
        <v>500</v>
      </c>
      <c r="DG148" s="2208">
        <v>500</v>
      </c>
      <c r="DH148" s="2208">
        <v>500</v>
      </c>
      <c r="DI148" s="2209">
        <v>500</v>
      </c>
      <c r="DJ148" s="2208">
        <v>500</v>
      </c>
      <c r="DK148" s="2211">
        <v>500</v>
      </c>
      <c r="DL148" s="2208">
        <v>500</v>
      </c>
      <c r="DM148" s="2209">
        <v>500</v>
      </c>
      <c r="DN148" s="2208">
        <v>500</v>
      </c>
      <c r="DO148" s="2208">
        <v>500</v>
      </c>
      <c r="DP148" s="2208">
        <v>900</v>
      </c>
      <c r="DQ148" s="2209">
        <v>800</v>
      </c>
      <c r="DR148" s="2208">
        <v>800</v>
      </c>
      <c r="DS148" s="2211">
        <v>800</v>
      </c>
      <c r="DT148" s="2208">
        <v>800</v>
      </c>
      <c r="DU148" s="2209">
        <v>800</v>
      </c>
      <c r="DV148" s="2208">
        <v>800</v>
      </c>
      <c r="DW148" s="2211">
        <v>800</v>
      </c>
      <c r="DX148" s="2208">
        <v>800</v>
      </c>
      <c r="DY148" s="2209">
        <v>800</v>
      </c>
      <c r="DZ148" s="2208">
        <v>800</v>
      </c>
      <c r="EA148" s="2211">
        <v>800</v>
      </c>
      <c r="EB148" s="2208">
        <v>800</v>
      </c>
      <c r="EC148" s="2209">
        <v>800</v>
      </c>
      <c r="ED148" s="2208">
        <v>800</v>
      </c>
      <c r="EE148" s="2211">
        <v>800</v>
      </c>
      <c r="EF148" s="2208">
        <v>800</v>
      </c>
      <c r="EG148" s="2209">
        <v>800</v>
      </c>
      <c r="EH148" s="2208">
        <v>800</v>
      </c>
      <c r="EI148" s="2211">
        <v>800</v>
      </c>
      <c r="EJ148" s="2208">
        <v>800</v>
      </c>
      <c r="EK148" s="2209">
        <v>800</v>
      </c>
      <c r="EM148" s="2203"/>
      <c r="EN148" s="2203"/>
      <c r="EO148" s="2203"/>
      <c r="EP148" s="2203"/>
      <c r="EQ148" s="2203"/>
      <c r="ER148" s="2203"/>
      <c r="ES148" s="2203"/>
      <c r="ET148" s="2203"/>
      <c r="EU148" s="2203"/>
      <c r="EV148" s="2203"/>
      <c r="EW148" s="2203"/>
      <c r="EX148" s="2203"/>
      <c r="EY148" s="2203"/>
      <c r="EZ148" s="2203"/>
      <c r="FA148" s="2203"/>
      <c r="FB148" s="2203"/>
      <c r="FC148" s="2203"/>
      <c r="FD148" s="2203"/>
      <c r="FE148" s="2203"/>
      <c r="FF148" s="2203"/>
      <c r="FG148" s="2203"/>
      <c r="FH148" s="2203"/>
      <c r="FI148" s="2204">
        <f t="shared" ref="FI148:FQ148" si="1097">IF(ISERROR(FI67/FI89),"NA",FI67/FI89)</f>
      </c>
      <c r="FJ148" s="2204">
        <f t="shared" si="1097"/>
      </c>
      <c r="FK148" s="2204">
        <f t="shared" si="1097"/>
      </c>
      <c r="FL148" s="2204">
        <f t="shared" si="1097"/>
      </c>
      <c r="FM148" s="2204">
        <f t="shared" si="1097"/>
      </c>
      <c r="FN148" s="2204">
        <f t="shared" si="1097"/>
      </c>
      <c r="FO148" s="2204">
        <f t="shared" si="1097"/>
      </c>
      <c r="FP148" s="2204">
        <f t="shared" si="1097"/>
      </c>
      <c r="FQ148" s="2204">
        <f t="shared" si="1097"/>
      </c>
      <c r="FR148" s="2204">
        <f t="shared" ref="FR148:FU148" si="1098">IF(ISERROR(FR67/FR89),"NA",FR67/FR89)</f>
      </c>
      <c r="FS148" s="2204">
        <f t="shared" si="1098"/>
      </c>
      <c r="FT148" s="2204">
        <f t="shared" si="1098"/>
      </c>
      <c r="FU148" s="2204">
        <f t="shared" si="1098"/>
      </c>
      <c r="FW148" s="2203"/>
      <c r="FX148" s="2203"/>
      <c r="FY148" s="2203"/>
      <c r="FZ148" s="2203"/>
      <c r="GA148" s="2203"/>
      <c r="GB148" s="2203"/>
      <c r="GC148" s="2203"/>
      <c r="GD148" s="2203"/>
      <c r="GE148" s="2203"/>
      <c r="GF148" s="2203"/>
      <c r="GG148" s="2203"/>
      <c r="GH148" s="2203"/>
      <c r="GI148" s="2203"/>
      <c r="GJ148" s="2203"/>
      <c r="GK148" s="2203"/>
      <c r="GL148" s="2203"/>
      <c r="GM148" s="2203"/>
      <c r="GN148" s="2203"/>
      <c r="GO148" s="2203"/>
      <c r="GP148" s="2203"/>
      <c r="GQ148" s="2203"/>
      <c r="GR148" s="2203"/>
      <c r="GS148" s="2203"/>
      <c r="GT148" s="2203"/>
      <c r="GU148" s="2203"/>
      <c r="GV148" s="2203"/>
      <c r="GW148" s="2203"/>
      <c r="GX148" s="2203"/>
      <c r="GY148" s="2203"/>
      <c r="GZ148" s="2203"/>
      <c r="HA148" s="2203"/>
      <c r="HB148" s="2203"/>
      <c r="HC148" s="2203"/>
      <c r="HD148" s="2203"/>
      <c r="HE148" s="2203"/>
      <c r="HF148" s="2203"/>
    </row>
    <row r="149" spans="1:214" s="2202" customFormat="1" ht="10.199999999999999">
      <c r="A149" s="2212" t="s">
        <v>1457</v>
      </c>
      <c r="B149" s="2206"/>
      <c r="C149" s="2206"/>
      <c r="D149" s="2206"/>
      <c r="E149" s="2207"/>
      <c r="F149" s="2206"/>
      <c r="G149" s="2206"/>
      <c r="H149" s="2206"/>
      <c r="I149" s="2207"/>
      <c r="J149" s="2206"/>
      <c r="K149" s="2206"/>
      <c r="L149" s="2206"/>
      <c r="M149" s="2207"/>
      <c r="N149" s="2206"/>
      <c r="O149" s="2206"/>
      <c r="P149" s="2206"/>
      <c r="Q149" s="2207"/>
      <c r="R149" s="2206"/>
      <c r="S149" s="2206"/>
      <c r="T149" s="2206"/>
      <c r="U149" s="2207"/>
      <c r="V149" s="2206"/>
      <c r="W149" s="2206"/>
      <c r="X149" s="2206"/>
      <c r="Y149" s="2207"/>
      <c r="Z149" s="2206"/>
      <c r="AA149" s="2206"/>
      <c r="AB149" s="2206"/>
      <c r="AC149" s="2207"/>
      <c r="AD149" s="2206"/>
      <c r="AE149" s="2206"/>
      <c r="AF149" s="2206"/>
      <c r="AG149" s="2207"/>
      <c r="AH149" s="2206"/>
      <c r="AI149" s="2206"/>
      <c r="AJ149" s="2206"/>
      <c r="AK149" s="2207"/>
      <c r="AL149" s="2206"/>
      <c r="AM149" s="2206"/>
      <c r="AN149" s="2206"/>
      <c r="AO149" s="2207"/>
      <c r="AP149" s="2206"/>
      <c r="AQ149" s="2206"/>
      <c r="AR149" s="2206"/>
      <c r="AS149" s="2207"/>
      <c r="AT149" s="2206"/>
      <c r="AU149" s="2206"/>
      <c r="AV149" s="2206"/>
      <c r="AW149" s="2207"/>
      <c r="AX149" s="2206"/>
      <c r="AY149" s="2206"/>
      <c r="AZ149" s="2206"/>
      <c r="BA149" s="2207"/>
      <c r="BB149" s="2206"/>
      <c r="BC149" s="2206"/>
      <c r="BD149" s="2206"/>
      <c r="BE149" s="2207"/>
      <c r="BF149" s="2206"/>
      <c r="BG149" s="2206"/>
      <c r="BH149" s="2206"/>
      <c r="BI149" s="2207"/>
      <c r="BJ149" s="2206"/>
      <c r="BK149" s="2206"/>
      <c r="BL149" s="2206"/>
      <c r="BM149" s="2207"/>
      <c r="BN149" s="2206"/>
      <c r="BO149" s="2206"/>
      <c r="BP149" s="2206"/>
      <c r="BQ149" s="2207"/>
      <c r="BR149" s="2206"/>
      <c r="BS149" s="2206"/>
      <c r="BT149" s="2206"/>
      <c r="BU149" s="2207"/>
      <c r="BV149" s="2206"/>
      <c r="BW149" s="2206"/>
      <c r="BX149" s="2206"/>
      <c r="BY149" s="2207"/>
      <c r="BZ149" s="2206"/>
      <c r="CA149" s="2206"/>
      <c r="CB149" s="2206"/>
      <c r="CC149" s="2207"/>
      <c r="CD149" s="2206"/>
      <c r="CE149" s="2206"/>
      <c r="CF149" s="2206"/>
      <c r="CG149" s="2207"/>
      <c r="CH149" s="2208"/>
      <c r="CI149" s="2208"/>
      <c r="CJ149" s="2208"/>
      <c r="CK149" s="2209"/>
      <c r="CL149" s="2208"/>
      <c r="CM149" s="2208"/>
      <c r="CN149" s="2208"/>
      <c r="CO149" s="2209"/>
      <c r="CP149" s="2208"/>
      <c r="CQ149" s="2208"/>
      <c r="CR149" s="2208"/>
      <c r="CS149" s="2209"/>
      <c r="CT149" s="2208"/>
      <c r="CU149" s="2208"/>
      <c r="CV149" s="2208"/>
      <c r="CW149" s="2209"/>
      <c r="CX149" s="2208"/>
      <c r="CY149" s="2208"/>
      <c r="CZ149" s="2208"/>
      <c r="DA149" s="2209"/>
      <c r="DB149" s="2208"/>
      <c r="DC149" s="2208"/>
      <c r="DD149" s="2208"/>
      <c r="DE149" s="2209"/>
      <c r="DF149" s="2208"/>
      <c r="DG149" s="2208"/>
      <c r="DH149" s="2208"/>
      <c r="DI149" s="2209"/>
      <c r="DJ149" s="2208"/>
      <c r="DK149" s="2208"/>
      <c r="DL149" s="2208"/>
      <c r="DM149" s="2209"/>
      <c r="DN149" s="2208"/>
      <c r="DO149" s="2208"/>
      <c r="DP149" s="2208"/>
      <c r="DQ149" s="2209"/>
      <c r="DR149" s="2208"/>
      <c r="DS149" s="2208"/>
      <c r="DT149" s="2208"/>
      <c r="DU149" s="2210"/>
      <c r="DV149" s="2208"/>
      <c r="DW149" s="2208"/>
      <c r="DX149" s="2208"/>
      <c r="DY149" s="2210"/>
      <c r="DZ149" s="2208"/>
      <c r="EA149" s="2208"/>
      <c r="EB149" s="2208"/>
      <c r="EC149" s="2210"/>
      <c r="ED149" s="2208"/>
      <c r="EE149" s="2208"/>
      <c r="EF149" s="2208"/>
      <c r="EG149" s="2210"/>
      <c r="EH149" s="2208"/>
      <c r="EI149" s="2208"/>
      <c r="EJ149" s="2208"/>
      <c r="EK149" s="2210">
        <v>1100</v>
      </c>
      <c r="EM149" s="2203"/>
      <c r="EN149" s="2203"/>
      <c r="EO149" s="2203"/>
      <c r="EP149" s="2203"/>
      <c r="EQ149" s="2203"/>
      <c r="ER149" s="2203"/>
      <c r="ES149" s="2203"/>
      <c r="ET149" s="2203"/>
      <c r="EU149" s="2203"/>
      <c r="EV149" s="2203"/>
      <c r="EW149" s="2203"/>
      <c r="EX149" s="2203"/>
      <c r="EY149" s="2203"/>
      <c r="EZ149" s="2203"/>
      <c r="FA149" s="2203"/>
      <c r="FB149" s="2203"/>
      <c r="FC149" s="2203"/>
      <c r="FD149" s="2203"/>
      <c r="FE149" s="2203"/>
      <c r="FF149" s="2203"/>
      <c r="FG149" s="2203"/>
      <c r="FH149" s="2203"/>
      <c r="FI149" s="2204" t="str">
        <f t="shared" ref="FI149:FQ149" si="1099">IF(ISERROR(FI68/FI90),"NA",FI68/FI90)</f>
      </c>
      <c r="FJ149" s="2204" t="str">
        <f t="shared" si="1099"/>
      </c>
      <c r="FK149" s="2204" t="str">
        <f t="shared" si="1099"/>
      </c>
      <c r="FL149" s="2204" t="str">
        <f t="shared" si="1099"/>
      </c>
      <c r="FM149" s="2204" t="str">
        <f t="shared" si="1099"/>
      </c>
      <c r="FN149" s="2204" t="str">
        <f t="shared" si="1099"/>
      </c>
      <c r="FO149" s="2204" t="str">
        <f t="shared" si="1099"/>
      </c>
      <c r="FP149" s="2204" t="str">
        <f t="shared" si="1099"/>
      </c>
      <c r="FQ149" s="2204" t="str">
        <f t="shared" si="1099"/>
      </c>
      <c r="FR149" s="2204" t="str">
        <f t="shared" ref="FR149:FU149" si="1100">IF(ISERROR(FR68/FR90),"NA",FR68/FR90)</f>
      </c>
      <c r="FS149" s="2204" t="str">
        <f t="shared" si="1100"/>
      </c>
      <c r="FT149" s="2204" t="str">
        <f t="shared" si="1100"/>
      </c>
      <c r="FU149" s="2204">
        <f t="shared" si="1100"/>
      </c>
      <c r="FW149" s="2203"/>
      <c r="FX149" s="2203"/>
      <c r="FY149" s="2203"/>
      <c r="FZ149" s="2203"/>
      <c r="GA149" s="2203"/>
      <c r="GB149" s="2203"/>
      <c r="GC149" s="2203"/>
      <c r="GD149" s="2203"/>
      <c r="GE149" s="2203"/>
      <c r="GF149" s="2203"/>
      <c r="GG149" s="2203"/>
      <c r="GH149" s="2203"/>
      <c r="GI149" s="2203"/>
      <c r="GJ149" s="2203"/>
      <c r="GK149" s="2203"/>
      <c r="GL149" s="2203"/>
      <c r="GM149" s="2203"/>
      <c r="GN149" s="2203"/>
      <c r="GO149" s="2203"/>
      <c r="GP149" s="2203"/>
      <c r="GQ149" s="2203"/>
      <c r="GR149" s="2203"/>
      <c r="GS149" s="2203"/>
      <c r="GT149" s="2203"/>
      <c r="GU149" s="2203"/>
      <c r="GV149" s="2203"/>
      <c r="GW149" s="2203"/>
      <c r="GX149" s="2203"/>
      <c r="GY149" s="2203"/>
      <c r="GZ149" s="2203"/>
      <c r="HA149" s="2203"/>
      <c r="HB149" s="2203"/>
      <c r="HC149" s="2203"/>
      <c r="HD149" s="2203"/>
      <c r="HE149" s="2203"/>
      <c r="HF149" s="2203"/>
    </row>
    <row r="150" spans="1:214" s="2202" customFormat="1" ht="10.8" thickBot="1">
      <c r="A150" s="2213" t="s">
        <v>140</v>
      </c>
      <c r="B150" s="2214"/>
      <c r="C150" s="2214"/>
      <c r="D150" s="2214"/>
      <c r="E150" s="2215"/>
      <c r="F150" s="2214"/>
      <c r="G150" s="2214"/>
      <c r="H150" s="2214"/>
      <c r="I150" s="2215"/>
      <c r="J150" s="2214"/>
      <c r="K150" s="2214"/>
      <c r="L150" s="2214"/>
      <c r="M150" s="2215"/>
      <c r="N150" s="2214"/>
      <c r="O150" s="2214"/>
      <c r="P150" s="2214"/>
      <c r="Q150" s="2215"/>
      <c r="R150" s="2214"/>
      <c r="S150" s="2214"/>
      <c r="T150" s="2214"/>
      <c r="U150" s="2215"/>
      <c r="V150" s="2214"/>
      <c r="W150" s="2214"/>
      <c r="X150" s="2214"/>
      <c r="Y150" s="2215"/>
      <c r="Z150" s="2214"/>
      <c r="AA150" s="2214"/>
      <c r="AB150" s="2214"/>
      <c r="AC150" s="2215"/>
      <c r="AD150" s="2214"/>
      <c r="AE150" s="2214"/>
      <c r="AF150" s="2214"/>
      <c r="AG150" s="2215"/>
      <c r="AH150" s="2214"/>
      <c r="AI150" s="2214"/>
      <c r="AJ150" s="2214"/>
      <c r="AK150" s="2215"/>
      <c r="AL150" s="2214"/>
      <c r="AM150" s="2214"/>
      <c r="AN150" s="2214"/>
      <c r="AO150" s="2215"/>
      <c r="AP150" s="2214"/>
      <c r="AQ150" s="2214"/>
      <c r="AR150" s="2214"/>
      <c r="AS150" s="2215"/>
      <c r="AT150" s="2214"/>
      <c r="AU150" s="2214"/>
      <c r="AV150" s="2214"/>
      <c r="AW150" s="2215"/>
      <c r="AX150" s="2214"/>
      <c r="AY150" s="2214"/>
      <c r="AZ150" s="2214"/>
      <c r="BA150" s="2215"/>
      <c r="BB150" s="2214"/>
      <c r="BC150" s="2214"/>
      <c r="BD150" s="2214"/>
      <c r="BE150" s="2215"/>
      <c r="BF150" s="2214"/>
      <c r="BG150" s="2214"/>
      <c r="BH150" s="2214"/>
      <c r="BI150" s="2215"/>
      <c r="BJ150" s="2214"/>
      <c r="BK150" s="2214"/>
      <c r="BL150" s="2214"/>
      <c r="BM150" s="2215"/>
      <c r="BN150" s="2214"/>
      <c r="BO150" s="2214"/>
      <c r="BP150" s="2214"/>
      <c r="BQ150" s="2215"/>
      <c r="BR150" s="2214"/>
      <c r="BS150" s="2214"/>
      <c r="BT150" s="2214"/>
      <c r="BU150" s="2215"/>
      <c r="BV150" s="2214"/>
      <c r="BW150" s="2214"/>
      <c r="BX150" s="2214"/>
      <c r="BY150" s="2215"/>
      <c r="BZ150" s="2214"/>
      <c r="CA150" s="2214"/>
      <c r="CB150" s="2214"/>
      <c r="CC150" s="2215"/>
      <c r="CD150" s="2214"/>
      <c r="CE150" s="2214"/>
      <c r="CF150" s="2214"/>
      <c r="CG150" s="2215"/>
      <c r="CH150" s="2216">
        <f>CH69/CH91</f>
      </c>
      <c r="CI150" s="2216">
        <f t="shared" ref="CI150:DI150" si="1101">CI69/CI91</f>
      </c>
      <c r="CJ150" s="2216">
        <f t="shared" si="1101"/>
      </c>
      <c r="CK150" s="2217">
        <f t="shared" si="1101"/>
      </c>
      <c r="CL150" s="2216">
        <f t="shared" si="1101"/>
      </c>
      <c r="CM150" s="2216">
        <f t="shared" si="1101"/>
      </c>
      <c r="CN150" s="2216">
        <f t="shared" si="1101"/>
      </c>
      <c r="CO150" s="2217">
        <f t="shared" si="1101"/>
      </c>
      <c r="CP150" s="2216">
        <f t="shared" si="1101"/>
      </c>
      <c r="CQ150" s="2216">
        <f t="shared" si="1101"/>
      </c>
      <c r="CR150" s="2216">
        <f t="shared" si="1101"/>
      </c>
      <c r="CS150" s="2217">
        <f t="shared" si="1101"/>
      </c>
      <c r="CT150" s="2216">
        <f t="shared" si="1101"/>
      </c>
      <c r="CU150" s="2216">
        <f t="shared" si="1101"/>
      </c>
      <c r="CV150" s="2216">
        <f t="shared" si="1101"/>
      </c>
      <c r="CW150" s="2217">
        <f t="shared" si="1101"/>
      </c>
      <c r="CX150" s="2216">
        <f>CX69/CX91</f>
      </c>
      <c r="CY150" s="2216">
        <f>CY69/CY91</f>
      </c>
      <c r="CZ150" s="2216">
        <f t="shared" si="1101"/>
      </c>
      <c r="DA150" s="2217">
        <f t="shared" si="1101"/>
      </c>
      <c r="DB150" s="2216">
        <f t="shared" si="1101"/>
      </c>
      <c r="DC150" s="2216">
        <f t="shared" si="1101"/>
      </c>
      <c r="DD150" s="2216">
        <f>DD69/DD91</f>
      </c>
      <c r="DE150" s="2217">
        <f t="shared" si="1101"/>
      </c>
      <c r="DF150" s="2216">
        <f>DF69/DF91</f>
      </c>
      <c r="DG150" s="2216">
        <f t="shared" si="1101"/>
      </c>
      <c r="DH150" s="2216">
        <f>DH69/DH91</f>
      </c>
      <c r="DI150" s="2217">
        <f t="shared" si="1101"/>
      </c>
      <c r="DJ150" s="2216">
        <f>DJ69/DJ91</f>
      </c>
      <c r="DK150" s="2216">
        <f>DK69/DK91</f>
      </c>
      <c r="DL150" s="2216">
        <f>DL69/DL91</f>
      </c>
      <c r="DM150" s="2217">
        <f t="shared" ref="DM150" si="1102">DM69/DM91</f>
      </c>
      <c r="DN150" s="2216">
        <f>DN69/DN91</f>
      </c>
      <c r="DO150" s="2216">
        <f>DO69/DO91</f>
      </c>
      <c r="DP150" s="2216">
        <f>DP69/DP91</f>
      </c>
      <c r="DQ150" s="2219">
        <v>500</v>
      </c>
      <c r="DR150" s="2218">
        <v>500</v>
      </c>
      <c r="DS150" s="2218">
        <v>500</v>
      </c>
      <c r="DT150" s="2218">
        <v>500</v>
      </c>
      <c r="DU150" s="2219">
        <v>500</v>
      </c>
      <c r="DV150" s="2218">
        <v>500</v>
      </c>
      <c r="DW150" s="2218">
        <v>500</v>
      </c>
      <c r="DX150" s="2218">
        <v>500</v>
      </c>
      <c r="DY150" s="2219">
        <v>500</v>
      </c>
      <c r="DZ150" s="2218">
        <v>500</v>
      </c>
      <c r="EA150" s="2218">
        <v>500</v>
      </c>
      <c r="EB150" s="2218">
        <v>500</v>
      </c>
      <c r="EC150" s="2219">
        <v>500</v>
      </c>
      <c r="ED150" s="2218">
        <v>500</v>
      </c>
      <c r="EE150" s="2218">
        <v>500</v>
      </c>
      <c r="EF150" s="2218">
        <v>500</v>
      </c>
      <c r="EG150" s="2219">
        <v>500</v>
      </c>
      <c r="EH150" s="2218">
        <v>500</v>
      </c>
      <c r="EI150" s="2218">
        <v>500</v>
      </c>
      <c r="EJ150" s="2218">
        <v>500</v>
      </c>
      <c r="EK150" s="2219">
        <v>500</v>
      </c>
      <c r="EM150" s="2203"/>
      <c r="EN150" s="2203"/>
      <c r="EO150" s="2203"/>
      <c r="EP150" s="2203"/>
      <c r="EQ150" s="2203"/>
      <c r="ER150" s="2203"/>
      <c r="ES150" s="2203"/>
      <c r="ET150" s="2203"/>
      <c r="EU150" s="2203"/>
      <c r="EV150" s="2203"/>
      <c r="EW150" s="2203"/>
      <c r="EX150" s="2203"/>
      <c r="EY150" s="2203"/>
      <c r="EZ150" s="2203"/>
      <c r="FA150" s="2203"/>
      <c r="FB150" s="2203"/>
      <c r="FC150" s="2203"/>
      <c r="FD150" s="2203"/>
      <c r="FE150" s="2203"/>
      <c r="FF150" s="2203"/>
      <c r="FG150" s="2203"/>
      <c r="FH150" s="2203"/>
      <c r="FI150" s="2204">
        <f t="shared" ref="FI150:FQ150" si="1103">IF(ISERROR(FI69/FI91),"NA",FI69/FI91)</f>
      </c>
      <c r="FJ150" s="2204">
        <f t="shared" si="1103"/>
      </c>
      <c r="FK150" s="2204">
        <f t="shared" si="1103"/>
      </c>
      <c r="FL150" s="2204">
        <f t="shared" si="1103"/>
      </c>
      <c r="FM150" s="2204">
        <f t="shared" si="1103"/>
      </c>
      <c r="FN150" s="2204">
        <f t="shared" si="1103"/>
      </c>
      <c r="FO150" s="2204">
        <f t="shared" si="1103"/>
      </c>
      <c r="FP150" s="2204">
        <f t="shared" si="1103"/>
      </c>
      <c r="FQ150" s="2204">
        <f t="shared" si="1103"/>
      </c>
      <c r="FR150" s="2204">
        <f t="shared" ref="FR150:FU150" si="1104">IF(ISERROR(FR69/FR91),"NA",FR69/FR91)</f>
      </c>
      <c r="FS150" s="2204">
        <f t="shared" si="1104"/>
      </c>
      <c r="FT150" s="2204">
        <f t="shared" si="1104"/>
      </c>
      <c r="FU150" s="2204">
        <f t="shared" si="1104"/>
      </c>
      <c r="FW150" s="2203"/>
      <c r="FX150" s="2203"/>
      <c r="FY150" s="2203"/>
      <c r="FZ150" s="2203"/>
      <c r="GA150" s="2203"/>
      <c r="GB150" s="2203"/>
      <c r="GC150" s="2203"/>
      <c r="GD150" s="2203"/>
      <c r="GE150" s="2203"/>
      <c r="GF150" s="2203"/>
      <c r="GG150" s="2203"/>
      <c r="GH150" s="2203"/>
      <c r="GI150" s="2203"/>
      <c r="GJ150" s="2203"/>
      <c r="GK150" s="2203"/>
      <c r="GL150" s="2203"/>
      <c r="GM150" s="2203"/>
      <c r="GN150" s="2203"/>
      <c r="GO150" s="2203"/>
      <c r="GP150" s="2203"/>
      <c r="GQ150" s="2203"/>
      <c r="GR150" s="2203"/>
      <c r="GS150" s="2203"/>
      <c r="GT150" s="2203"/>
      <c r="GU150" s="2203"/>
      <c r="GV150" s="2203"/>
      <c r="GW150" s="2203"/>
      <c r="GX150" s="2203"/>
      <c r="GY150" s="2203"/>
      <c r="GZ150" s="2203"/>
      <c r="HA150" s="2203"/>
      <c r="HB150" s="2203"/>
      <c r="HC150" s="2203"/>
      <c r="HD150" s="2203"/>
      <c r="HE150" s="2203"/>
      <c r="HF150" s="2203"/>
    </row>
    <row r="151" spans="1:214" s="370" customFormat="1" ht="10.199999999999999">
      <c r="A151" s="899" t="s">
        <v>89</v>
      </c>
      <c r="E151" s="423"/>
      <c r="I151" s="423"/>
      <c r="M151" s="423"/>
      <c r="Q151" s="423"/>
      <c r="U151" s="423"/>
      <c r="Y151" s="423"/>
      <c r="AC151" s="423"/>
      <c r="AG151" s="423"/>
      <c r="AK151" s="423"/>
      <c r="AO151" s="423"/>
      <c r="AS151" s="423"/>
      <c r="AV151" s="370">
        <f t="shared" ref="AV151:CK151" si="1105">+AV194/AV92</f>
      </c>
      <c r="AW151" s="423">
        <f t="shared" si="1105"/>
      </c>
      <c r="AX151" s="370">
        <f t="shared" si="1105"/>
      </c>
      <c r="AY151" s="370">
        <f t="shared" si="1105"/>
      </c>
      <c r="AZ151" s="370">
        <f t="shared" si="1105"/>
      </c>
      <c r="BA151" s="423">
        <f t="shared" si="1105"/>
      </c>
      <c r="BB151" s="370">
        <f t="shared" si="1105"/>
      </c>
      <c r="BC151" s="370">
        <f t="shared" si="1105"/>
      </c>
      <c r="BD151" s="370">
        <f t="shared" si="1105"/>
      </c>
      <c r="BE151" s="423">
        <f t="shared" si="1105"/>
      </c>
      <c r="BF151" s="370">
        <f t="shared" si="1105"/>
      </c>
      <c r="BG151" s="370">
        <f t="shared" si="1105"/>
      </c>
      <c r="BH151" s="370">
        <f t="shared" si="1105"/>
      </c>
      <c r="BI151" s="423">
        <f t="shared" si="1105"/>
      </c>
      <c r="BJ151" s="370">
        <f t="shared" si="1105"/>
      </c>
      <c r="BK151" s="370">
        <f t="shared" si="1105"/>
      </c>
      <c r="BL151" s="370">
        <f t="shared" si="1105"/>
      </c>
      <c r="BM151" s="423">
        <f t="shared" si="1105"/>
      </c>
      <c r="BN151" s="370">
        <f t="shared" si="1105"/>
      </c>
      <c r="BO151" s="370">
        <f t="shared" si="1105"/>
      </c>
      <c r="BP151" s="370">
        <f t="shared" si="1105"/>
      </c>
      <c r="BQ151" s="423">
        <f t="shared" si="1105"/>
      </c>
      <c r="BR151" s="370">
        <f t="shared" si="1105"/>
      </c>
      <c r="BS151" s="370">
        <f t="shared" si="1105"/>
      </c>
      <c r="BT151" s="370">
        <f t="shared" si="1105"/>
      </c>
      <c r="BU151" s="423">
        <f t="shared" si="1105"/>
      </c>
      <c r="BV151" s="370">
        <f t="shared" si="1105"/>
      </c>
      <c r="BW151" s="370">
        <f t="shared" si="1105"/>
      </c>
      <c r="BX151" s="370">
        <f t="shared" si="1105"/>
      </c>
      <c r="BY151" s="423">
        <f t="shared" si="1105"/>
      </c>
      <c r="BZ151" s="370">
        <f t="shared" si="1105"/>
      </c>
      <c r="CA151" s="370">
        <f t="shared" si="1105"/>
      </c>
      <c r="CB151" s="370">
        <f t="shared" si="1105"/>
      </c>
      <c r="CC151" s="423">
        <f t="shared" si="1105"/>
      </c>
      <c r="CD151" s="370">
        <f t="shared" si="1105"/>
      </c>
      <c r="CE151" s="370">
        <f t="shared" si="1105"/>
      </c>
      <c r="CF151" s="370">
        <f t="shared" si="1105"/>
      </c>
      <c r="CG151" s="423">
        <f t="shared" si="1105"/>
      </c>
      <c r="CH151" s="370">
        <f t="shared" si="1105"/>
      </c>
      <c r="CI151" s="370">
        <f t="shared" si="1105"/>
      </c>
      <c r="CJ151" s="370">
        <f t="shared" si="1105"/>
      </c>
      <c r="CK151" s="423">
        <f t="shared" si="1105"/>
      </c>
      <c r="CL151" s="370">
        <f>+CL11/CL92</f>
      </c>
      <c r="CM151" s="370">
        <f>+CM11/CM92</f>
      </c>
      <c r="CN151" s="370">
        <f>+CN11/CN92</f>
      </c>
      <c r="CO151" s="423">
        <f>+CO11/CO92</f>
      </c>
      <c r="CP151" s="370">
        <f>+CP11/CP92</f>
      </c>
      <c r="CQ151" s="370">
        <f t="shared" ref="CQ151:DE151" si="1106">+CQ11/CQ92</f>
      </c>
      <c r="CR151" s="370">
        <f t="shared" si="1106"/>
      </c>
      <c r="CS151" s="423">
        <f t="shared" si="1106"/>
      </c>
      <c r="CT151" s="899">
        <f t="shared" si="1106"/>
      </c>
      <c r="CU151" s="370">
        <f t="shared" si="1106"/>
      </c>
      <c r="CV151" s="370">
        <f t="shared" si="1106"/>
      </c>
      <c r="CW151" s="423">
        <f t="shared" si="1106"/>
      </c>
      <c r="CX151" s="370">
        <f>+CX11/CX92</f>
      </c>
      <c r="CY151" s="370">
        <f t="shared" si="1106"/>
      </c>
      <c r="CZ151" s="370">
        <f t="shared" si="1106"/>
      </c>
      <c r="DA151" s="423">
        <f t="shared" si="1106"/>
      </c>
      <c r="DB151" s="900">
        <f t="shared" si="1106"/>
      </c>
      <c r="DC151" s="900">
        <f t="shared" si="1106"/>
      </c>
      <c r="DD151" s="900">
        <f t="shared" si="1106"/>
      </c>
      <c r="DE151" s="2672">
        <f t="shared" si="1106"/>
      </c>
      <c r="DF151" s="900">
        <f t="shared" ref="DF151:DG151" si="1107">+DF11/DF92</f>
      </c>
      <c r="DG151" s="900">
        <f t="shared" si="1107"/>
      </c>
      <c r="DH151" s="900">
        <f t="shared" ref="DH151" si="1108">+DH11/DH92</f>
      </c>
      <c r="DI151" s="1081">
        <f t="shared" ref="DI151:DU152" si="1109">+DI11/DI92</f>
      </c>
      <c r="DJ151" s="900">
        <f t="shared" si="1109"/>
      </c>
      <c r="DK151" s="900">
        <f t="shared" si="1109"/>
      </c>
      <c r="DL151" s="900">
        <f t="shared" si="1109"/>
      </c>
      <c r="DM151" s="1081">
        <f t="shared" ref="DM151:DO151" si="1110">+DM11/DM92</f>
      </c>
      <c r="DN151" s="900">
        <f t="shared" si="1110"/>
      </c>
      <c r="DO151" s="900">
        <f t="shared" si="1110"/>
      </c>
      <c r="DP151" s="900">
        <f t="shared" ref="DP151" si="1111">+DP11/DP92</f>
      </c>
      <c r="DQ151" s="901">
        <f>+DQ11/DQ92</f>
      </c>
      <c r="DR151" s="899">
        <f>+DR11/DR92</f>
      </c>
      <c r="DS151" s="899">
        <f t="shared" si="1109"/>
      </c>
      <c r="DT151" s="899">
        <f t="shared" si="1109"/>
      </c>
      <c r="DU151" s="901">
        <f t="shared" si="1109"/>
      </c>
      <c r="DV151" s="899">
        <f t="shared" ref="DV151:EK151" si="1112">+DV11/DV92</f>
      </c>
      <c r="DW151" s="899">
        <f t="shared" si="1112"/>
      </c>
      <c r="DX151" s="899">
        <f t="shared" si="1112"/>
      </c>
      <c r="DY151" s="901">
        <f t="shared" si="1112"/>
      </c>
      <c r="DZ151" s="899">
        <f t="shared" si="1112"/>
      </c>
      <c r="EA151" s="899">
        <f t="shared" si="1112"/>
      </c>
      <c r="EB151" s="899">
        <f t="shared" si="1112"/>
      </c>
      <c r="EC151" s="901">
        <f t="shared" si="1112"/>
      </c>
      <c r="ED151" s="899">
        <f t="shared" si="1112"/>
      </c>
      <c r="EE151" s="899">
        <f t="shared" si="1112"/>
      </c>
      <c r="EF151" s="899">
        <f t="shared" si="1112"/>
      </c>
      <c r="EG151" s="901">
        <f t="shared" si="1112"/>
      </c>
      <c r="EH151" s="899">
        <f t="shared" si="1112"/>
      </c>
      <c r="EI151" s="899">
        <f t="shared" si="1112"/>
      </c>
      <c r="EJ151" s="899">
        <f t="shared" si="1112"/>
      </c>
      <c r="EK151" s="901">
        <f t="shared" si="1112"/>
      </c>
      <c r="EM151" s="2196"/>
      <c r="EN151" s="2196"/>
      <c r="EO151" s="2196"/>
      <c r="EP151" s="2196"/>
      <c r="EQ151" s="2196"/>
      <c r="ER151" s="2196"/>
      <c r="ES151" s="2196"/>
      <c r="ET151" s="2196"/>
      <c r="EU151" s="2196"/>
      <c r="EV151" s="2196"/>
      <c r="EW151" s="2196"/>
      <c r="EX151" s="2196"/>
      <c r="EY151" s="2196"/>
      <c r="EZ151" s="2196">
        <f t="shared" ref="EZ151:FH151" si="1113">+EZ11/EZ92</f>
      </c>
      <c r="FA151" s="2196">
        <f t="shared" si="1113"/>
      </c>
      <c r="FB151" s="2196">
        <f t="shared" si="1113"/>
      </c>
      <c r="FC151" s="2196">
        <f t="shared" si="1113"/>
      </c>
      <c r="FD151" s="2196">
        <f t="shared" si="1113"/>
      </c>
      <c r="FE151" s="2196">
        <f t="shared" si="1113"/>
      </c>
      <c r="FF151" s="2196">
        <f t="shared" si="1113"/>
      </c>
      <c r="FG151" s="2196">
        <f t="shared" si="1113"/>
      </c>
      <c r="FH151" s="2196">
        <f t="shared" si="1113"/>
      </c>
      <c r="FI151" s="2196">
        <f t="shared" ref="FI151:FO151" si="1114">+FI70/FI92</f>
      </c>
      <c r="FJ151" s="2196">
        <f t="shared" si="1114"/>
      </c>
      <c r="FK151" s="2196">
        <f>+FK70/FK92</f>
      </c>
      <c r="FL151" s="2196">
        <f t="shared" si="1114"/>
      </c>
      <c r="FM151" s="2196">
        <f t="shared" si="1114"/>
      </c>
      <c r="FN151" s="2196">
        <f t="shared" si="1114"/>
      </c>
      <c r="FO151" s="2196">
        <f t="shared" si="1114"/>
      </c>
      <c r="FP151" s="2196">
        <f>+FP70/FP92</f>
      </c>
      <c r="FQ151" s="2196">
        <f>+FQ70/FQ92</f>
      </c>
      <c r="FR151" s="2196">
        <f t="shared" ref="FR151:FU151" si="1115">+FR70/FR92</f>
      </c>
      <c r="FS151" s="2196">
        <f t="shared" si="1115"/>
      </c>
      <c r="FT151" s="2196">
        <f t="shared" si="1115"/>
      </c>
      <c r="FU151" s="2196">
        <f t="shared" si="1115"/>
      </c>
      <c r="FW151" s="899"/>
      <c r="FX151" s="899"/>
      <c r="FY151" s="899"/>
      <c r="FZ151" s="899"/>
      <c r="GA151" s="899"/>
      <c r="GB151" s="899"/>
      <c r="GC151" s="899"/>
      <c r="GD151" s="899"/>
      <c r="GE151" s="899"/>
      <c r="GF151" s="899"/>
      <c r="GG151" s="899"/>
      <c r="GH151" s="899"/>
      <c r="GI151" s="899"/>
      <c r="GJ151" s="899"/>
      <c r="GK151" s="899">
        <f t="shared" ref="GK151:HB151" si="1116">+GK11/GK92</f>
      </c>
      <c r="GL151" s="899">
        <f t="shared" si="1116"/>
      </c>
      <c r="GM151" s="899">
        <f t="shared" si="1116"/>
      </c>
      <c r="GN151" s="899">
        <f t="shared" si="1116"/>
      </c>
      <c r="GO151" s="899">
        <f t="shared" si="1116"/>
      </c>
      <c r="GP151" s="899">
        <f t="shared" si="1116"/>
      </c>
      <c r="GQ151" s="899">
        <f t="shared" si="1116"/>
      </c>
      <c r="GR151" s="899">
        <f t="shared" si="1116"/>
      </c>
      <c r="GS151" s="899">
        <f t="shared" si="1116"/>
      </c>
      <c r="GT151" s="899">
        <f t="shared" si="1116"/>
      </c>
      <c r="GU151" s="899">
        <f t="shared" si="1116"/>
      </c>
      <c r="GV151" s="899">
        <f t="shared" si="1116"/>
      </c>
      <c r="GW151" s="899">
        <f t="shared" si="1116"/>
      </c>
      <c r="GX151" s="899">
        <f t="shared" si="1116"/>
      </c>
      <c r="GY151" s="899">
        <f t="shared" si="1116"/>
      </c>
      <c r="GZ151" s="899">
        <f t="shared" si="1116"/>
      </c>
      <c r="HA151" s="899">
        <f t="shared" si="1116"/>
      </c>
      <c r="HB151" s="899">
        <f t="shared" si="1116"/>
      </c>
      <c r="HC151" s="899">
        <f t="shared" ref="HC151:HF151" si="1117">+HC11/HC92</f>
      </c>
      <c r="HD151" s="899">
        <f t="shared" si="1117"/>
      </c>
      <c r="HE151" s="899">
        <f t="shared" si="1117"/>
      </c>
      <c r="HF151" s="899">
        <f t="shared" si="1117"/>
      </c>
    </row>
    <row r="152" spans="1:214" s="370" customFormat="1" ht="10.8" thickBot="1">
      <c r="A152" s="899" t="s">
        <v>91</v>
      </c>
      <c r="E152" s="423"/>
      <c r="I152" s="423"/>
      <c r="J152" s="370">
        <f t="shared" ref="J152:AO152" si="1118">+J196/J93</f>
      </c>
      <c r="K152" s="370">
        <f t="shared" si="1118"/>
      </c>
      <c r="L152" s="370">
        <f t="shared" si="1118"/>
      </c>
      <c r="M152" s="423">
        <f t="shared" si="1118"/>
      </c>
      <c r="N152" s="370">
        <f t="shared" si="1118"/>
      </c>
      <c r="O152" s="370">
        <f t="shared" si="1118"/>
      </c>
      <c r="P152" s="370">
        <f t="shared" si="1118"/>
      </c>
      <c r="Q152" s="423">
        <f t="shared" si="1118"/>
      </c>
      <c r="R152" s="370">
        <f t="shared" si="1118"/>
      </c>
      <c r="S152" s="370">
        <f t="shared" si="1118"/>
      </c>
      <c r="T152" s="370">
        <f t="shared" si="1118"/>
      </c>
      <c r="U152" s="423">
        <f t="shared" si="1118"/>
      </c>
      <c r="V152" s="370">
        <f t="shared" si="1118"/>
      </c>
      <c r="W152" s="370">
        <f t="shared" si="1118"/>
      </c>
      <c r="X152" s="370">
        <f t="shared" si="1118"/>
      </c>
      <c r="Y152" s="423">
        <f t="shared" si="1118"/>
      </c>
      <c r="Z152" s="370">
        <f t="shared" si="1118"/>
      </c>
      <c r="AA152" s="370">
        <f t="shared" si="1118"/>
      </c>
      <c r="AB152" s="370">
        <f t="shared" si="1118"/>
      </c>
      <c r="AC152" s="423">
        <f t="shared" si="1118"/>
      </c>
      <c r="AD152" s="370">
        <f t="shared" si="1118"/>
      </c>
      <c r="AE152" s="370">
        <f t="shared" si="1118"/>
      </c>
      <c r="AF152" s="370">
        <f t="shared" si="1118"/>
      </c>
      <c r="AG152" s="423">
        <f t="shared" si="1118"/>
      </c>
      <c r="AH152" s="370">
        <f t="shared" si="1118"/>
      </c>
      <c r="AI152" s="370">
        <f t="shared" si="1118"/>
      </c>
      <c r="AJ152" s="370">
        <f t="shared" si="1118"/>
      </c>
      <c r="AK152" s="423">
        <f t="shared" si="1118"/>
      </c>
      <c r="AL152" s="370">
        <f t="shared" si="1118"/>
      </c>
      <c r="AM152" s="370">
        <f t="shared" si="1118"/>
      </c>
      <c r="AN152" s="370">
        <f t="shared" si="1118"/>
      </c>
      <c r="AO152" s="423">
        <f t="shared" si="1118"/>
      </c>
      <c r="AP152" s="370">
        <f t="shared" ref="AP152:BU152" si="1119">+AP196/AP93</f>
      </c>
      <c r="AQ152" s="370">
        <f t="shared" si="1119"/>
      </c>
      <c r="AR152" s="370">
        <f t="shared" si="1119"/>
      </c>
      <c r="AS152" s="423">
        <f t="shared" si="1119"/>
      </c>
      <c r="AT152" s="370">
        <f t="shared" si="1119"/>
      </c>
      <c r="AU152" s="370">
        <f t="shared" si="1119"/>
      </c>
      <c r="AV152" s="370">
        <f t="shared" si="1119"/>
      </c>
      <c r="AW152" s="423">
        <f t="shared" si="1119"/>
      </c>
      <c r="AX152" s="370">
        <f t="shared" si="1119"/>
      </c>
      <c r="AY152" s="370">
        <f t="shared" si="1119"/>
      </c>
      <c r="AZ152" s="370">
        <f t="shared" si="1119"/>
      </c>
      <c r="BA152" s="423">
        <f t="shared" si="1119"/>
      </c>
      <c r="BB152" s="370">
        <f t="shared" si="1119"/>
      </c>
      <c r="BC152" s="370">
        <f t="shared" si="1119"/>
      </c>
      <c r="BD152" s="370">
        <f t="shared" si="1119"/>
      </c>
      <c r="BE152" s="423">
        <f t="shared" si="1119"/>
      </c>
      <c r="BF152" s="370">
        <f t="shared" si="1119"/>
      </c>
      <c r="BG152" s="370">
        <f t="shared" si="1119"/>
      </c>
      <c r="BH152" s="370">
        <f t="shared" si="1119"/>
      </c>
      <c r="BI152" s="423">
        <f t="shared" si="1119"/>
      </c>
      <c r="BJ152" s="370">
        <f t="shared" si="1119"/>
      </c>
      <c r="BK152" s="370">
        <f t="shared" si="1119"/>
      </c>
      <c r="BL152" s="370">
        <f t="shared" si="1119"/>
      </c>
      <c r="BM152" s="423">
        <f t="shared" si="1119"/>
      </c>
      <c r="BN152" s="370">
        <f t="shared" si="1119"/>
      </c>
      <c r="BO152" s="370">
        <f t="shared" si="1119"/>
      </c>
      <c r="BP152" s="370">
        <f t="shared" si="1119"/>
      </c>
      <c r="BQ152" s="423">
        <f t="shared" si="1119"/>
      </c>
      <c r="BR152" s="370">
        <f t="shared" si="1119"/>
      </c>
      <c r="BS152" s="370">
        <f t="shared" si="1119"/>
      </c>
      <c r="BT152" s="370">
        <f t="shared" si="1119"/>
      </c>
      <c r="BU152" s="423">
        <f t="shared" si="1119"/>
      </c>
      <c r="BV152" s="370">
        <f t="shared" ref="BV152:CK152" si="1120">+BV196/BV93</f>
      </c>
      <c r="BW152" s="370">
        <f t="shared" si="1120"/>
      </c>
      <c r="BX152" s="370">
        <f t="shared" si="1120"/>
      </c>
      <c r="BY152" s="423">
        <f t="shared" si="1120"/>
      </c>
      <c r="BZ152" s="370">
        <f t="shared" si="1120"/>
      </c>
      <c r="CA152" s="370">
        <f t="shared" si="1120"/>
      </c>
      <c r="CB152" s="370">
        <f t="shared" si="1120"/>
      </c>
      <c r="CC152" s="423">
        <f t="shared" si="1120"/>
      </c>
      <c r="CD152" s="370">
        <f t="shared" si="1120"/>
      </c>
      <c r="CE152" s="370">
        <f t="shared" si="1120"/>
      </c>
      <c r="CF152" s="370">
        <f t="shared" si="1120"/>
      </c>
      <c r="CG152" s="423">
        <f t="shared" si="1120"/>
      </c>
      <c r="CH152" s="370">
        <f t="shared" si="1120"/>
      </c>
      <c r="CI152" s="370">
        <f t="shared" si="1120"/>
      </c>
      <c r="CJ152" s="370">
        <f t="shared" si="1120"/>
      </c>
      <c r="CK152" s="423">
        <f t="shared" si="1120"/>
      </c>
      <c r="CL152" s="370">
        <f>+CL12/CL93</f>
      </c>
      <c r="CM152" s="370">
        <f>+CM12/CM93</f>
      </c>
      <c r="CN152" s="370">
        <f>+CN12/CN93</f>
      </c>
      <c r="CO152" s="423">
        <f>+CO12/CO93</f>
      </c>
      <c r="CP152" s="370">
        <f t="shared" ref="CP152:DE152" si="1121">+CP12/CP93</f>
      </c>
      <c r="CQ152" s="370">
        <f t="shared" si="1121"/>
      </c>
      <c r="CR152" s="370">
        <f t="shared" si="1121"/>
      </c>
      <c r="CS152" s="423">
        <f t="shared" si="1121"/>
      </c>
      <c r="CT152" s="370">
        <f t="shared" si="1121"/>
      </c>
      <c r="CU152" s="370">
        <f t="shared" si="1121"/>
      </c>
      <c r="CV152" s="370">
        <f t="shared" si="1121"/>
      </c>
      <c r="CW152" s="423">
        <f t="shared" si="1121"/>
      </c>
      <c r="CX152" s="902">
        <f t="shared" si="1121"/>
      </c>
      <c r="CY152" s="370">
        <f t="shared" si="1121"/>
      </c>
      <c r="CZ152" s="370">
        <f t="shared" si="1121"/>
      </c>
      <c r="DA152" s="423">
        <f t="shared" si="1121"/>
      </c>
      <c r="DB152" s="903">
        <f t="shared" si="1121"/>
      </c>
      <c r="DC152" s="900">
        <f t="shared" si="1121"/>
      </c>
      <c r="DD152" s="900">
        <f t="shared" si="1121"/>
      </c>
      <c r="DE152" s="2673">
        <f t="shared" si="1121"/>
      </c>
      <c r="DF152" s="903">
        <f t="shared" ref="DF152" si="1122">+DF12/DF93</f>
      </c>
      <c r="DG152" s="900">
        <f>+DG12/DG93</f>
      </c>
      <c r="DH152" s="900">
        <f>+DH12/DH93</f>
      </c>
      <c r="DI152" s="2673">
        <f>+DI12/DI93</f>
      </c>
      <c r="DJ152" s="903">
        <f t="shared" si="1109"/>
      </c>
      <c r="DK152" s="3225">
        <f t="shared" si="1109"/>
      </c>
      <c r="DL152" s="900">
        <f>+DL12/DL93</f>
      </c>
      <c r="DM152" s="2673">
        <f>+DM12/DM93</f>
      </c>
      <c r="DN152" s="903">
        <f t="shared" si="1109"/>
      </c>
      <c r="DO152" s="3225">
        <f t="shared" ref="DO152:DP152" si="1123">+DO12/DO93</f>
      </c>
      <c r="DP152" s="3225">
        <f t="shared" si="1123"/>
      </c>
      <c r="DQ152" s="423">
        <f t="shared" ref="DQ152:DY152" si="1124">DM152*(1+DQ164)</f>
      </c>
      <c r="DR152" s="370">
        <f t="shared" si="1124"/>
      </c>
      <c r="DS152" s="370">
        <f t="shared" si="1124"/>
      </c>
      <c r="DT152" s="370">
        <f t="shared" si="1124"/>
      </c>
      <c r="DU152" s="423">
        <f t="shared" si="1124"/>
      </c>
      <c r="DV152" s="370">
        <f t="shared" si="1124"/>
      </c>
      <c r="DW152" s="370">
        <f t="shared" si="1124"/>
      </c>
      <c r="DX152" s="370">
        <f t="shared" si="1124"/>
      </c>
      <c r="DY152" s="423">
        <f t="shared" si="1124"/>
      </c>
      <c r="DZ152" s="370">
        <f t="shared" ref="DZ152" si="1125">DV152*(1+DZ164)</f>
      </c>
      <c r="EA152" s="370">
        <f>DW152*(1+EA164)</f>
      </c>
      <c r="EB152" s="370">
        <f>DX152*(1+EB164)</f>
      </c>
      <c r="EC152" s="423">
        <f>DY152*(1+EC164)</f>
      </c>
      <c r="ED152" s="370">
        <f t="shared" ref="ED152" si="1126">DZ152*(1+ED164)</f>
      </c>
      <c r="EE152" s="370">
        <f>EA152*(1+EE164)</f>
      </c>
      <c r="EF152" s="370">
        <f>EB152*(1+EF164)</f>
      </c>
      <c r="EG152" s="423">
        <f>EC152*(1+EG164)</f>
      </c>
      <c r="EH152" s="370">
        <f t="shared" ref="EH152" si="1127">ED152*(1+EH164)</f>
      </c>
      <c r="EI152" s="370">
        <f>EE152*(1+EI164)</f>
      </c>
      <c r="EJ152" s="370">
        <f>EF152*(1+EJ164)</f>
      </c>
      <c r="EK152" s="423">
        <f>EG152*(1+EK164)</f>
      </c>
      <c r="EM152" s="2220"/>
      <c r="EN152" s="2220"/>
      <c r="EO152" s="2221">
        <f t="shared" ref="EO152:EY152" si="1128">+EO12/EO93</f>
      </c>
      <c r="EP152" s="2221">
        <f t="shared" si="1128"/>
      </c>
      <c r="EQ152" s="2221">
        <f t="shared" si="1128"/>
      </c>
      <c r="ER152" s="2221">
        <f t="shared" si="1128"/>
      </c>
      <c r="ES152" s="2221">
        <f t="shared" si="1128"/>
      </c>
      <c r="ET152" s="2221">
        <f t="shared" si="1128"/>
      </c>
      <c r="EU152" s="2221">
        <f t="shared" si="1128"/>
      </c>
      <c r="EV152" s="2221">
        <f t="shared" si="1128"/>
      </c>
      <c r="EW152" s="2221">
        <f t="shared" si="1128"/>
      </c>
      <c r="EX152" s="2221">
        <f t="shared" si="1128"/>
      </c>
      <c r="EY152" s="2221">
        <f t="shared" si="1128"/>
      </c>
      <c r="EZ152" s="2221">
        <f t="shared" ref="EZ152:FQ152" si="1129">+EZ12/EZ93</f>
      </c>
      <c r="FA152" s="2221">
        <f t="shared" si="1129"/>
      </c>
      <c r="FB152" s="2221">
        <f t="shared" si="1129"/>
      </c>
      <c r="FC152" s="2221">
        <f t="shared" si="1129"/>
      </c>
      <c r="FD152" s="2221">
        <f t="shared" si="1129"/>
      </c>
      <c r="FE152" s="2221">
        <f t="shared" si="1129"/>
      </c>
      <c r="FF152" s="2221">
        <f t="shared" si="1129"/>
      </c>
      <c r="FG152" s="2221">
        <f t="shared" si="1129"/>
      </c>
      <c r="FH152" s="2221">
        <f t="shared" si="1129"/>
      </c>
      <c r="FI152" s="2221">
        <f t="shared" si="1129"/>
      </c>
      <c r="FJ152" s="2221">
        <f t="shared" si="1129"/>
      </c>
      <c r="FK152" s="2221">
        <f t="shared" si="1129"/>
      </c>
      <c r="FL152" s="2221">
        <f t="shared" si="1129"/>
      </c>
      <c r="FM152" s="2221">
        <f t="shared" si="1129"/>
      </c>
      <c r="FN152" s="2221">
        <f t="shared" si="1129"/>
      </c>
      <c r="FO152" s="2221">
        <f t="shared" si="1129"/>
      </c>
      <c r="FP152" s="2221">
        <f t="shared" si="1129"/>
      </c>
      <c r="FQ152" s="2221">
        <f t="shared" si="1129"/>
      </c>
      <c r="FR152" s="2221">
        <f t="shared" ref="FR152:FU152" si="1130">+FR12/FR93</f>
      </c>
      <c r="FS152" s="2221">
        <f t="shared" si="1130"/>
      </c>
      <c r="FT152" s="2221">
        <f t="shared" si="1130"/>
      </c>
      <c r="FU152" s="2221">
        <f t="shared" si="1130"/>
      </c>
      <c r="FW152" s="899"/>
      <c r="FZ152" s="370">
        <f t="shared" ref="FZ152:GJ152" si="1131">+FZ12/FZ93</f>
      </c>
      <c r="GA152" s="370">
        <f t="shared" si="1131"/>
      </c>
      <c r="GB152" s="370">
        <f t="shared" si="1131"/>
      </c>
      <c r="GC152" s="370">
        <f t="shared" si="1131"/>
      </c>
      <c r="GD152" s="370">
        <f t="shared" si="1131"/>
      </c>
      <c r="GE152" s="370">
        <f t="shared" si="1131"/>
      </c>
      <c r="GF152" s="370">
        <f t="shared" si="1131"/>
      </c>
      <c r="GG152" s="370">
        <f t="shared" si="1131"/>
      </c>
      <c r="GH152" s="370">
        <f t="shared" si="1131"/>
      </c>
      <c r="GI152" s="370">
        <f t="shared" si="1131"/>
      </c>
      <c r="GJ152" s="370">
        <f t="shared" si="1131"/>
      </c>
      <c r="GK152" s="370">
        <f t="shared" ref="GK152:HB152" si="1132">+GK12/GK93</f>
      </c>
      <c r="GL152" s="370">
        <f t="shared" si="1132"/>
      </c>
      <c r="GM152" s="370">
        <f t="shared" si="1132"/>
      </c>
      <c r="GN152" s="370">
        <f t="shared" si="1132"/>
      </c>
      <c r="GO152" s="370">
        <f t="shared" si="1132"/>
      </c>
      <c r="GP152" s="370">
        <f t="shared" si="1132"/>
      </c>
      <c r="GQ152" s="370">
        <f t="shared" si="1132"/>
      </c>
      <c r="GR152" s="370">
        <f t="shared" si="1132"/>
      </c>
      <c r="GS152" s="370">
        <f t="shared" si="1132"/>
      </c>
      <c r="GT152" s="370">
        <f t="shared" si="1132"/>
      </c>
      <c r="GU152" s="370">
        <f t="shared" si="1132"/>
      </c>
      <c r="GV152" s="370">
        <f t="shared" si="1132"/>
      </c>
      <c r="GW152" s="370">
        <f t="shared" si="1132"/>
      </c>
      <c r="GX152" s="370">
        <f t="shared" si="1132"/>
      </c>
      <c r="GY152" s="370">
        <f t="shared" si="1132"/>
      </c>
      <c r="GZ152" s="370">
        <f t="shared" si="1132"/>
      </c>
      <c r="HA152" s="370">
        <f t="shared" si="1132"/>
      </c>
      <c r="HB152" s="370">
        <f t="shared" si="1132"/>
      </c>
      <c r="HC152" s="370">
        <f t="shared" ref="HC152:HF152" si="1133">+HC12/HC93</f>
      </c>
      <c r="HD152" s="370">
        <f t="shared" si="1133"/>
      </c>
      <c r="HE152" s="370">
        <f t="shared" si="1133"/>
      </c>
      <c r="HF152" s="370">
        <f t="shared" si="1133"/>
      </c>
    </row>
    <row r="153" spans="1:214" s="370" customFormat="1" ht="10.199999999999999">
      <c r="A153" s="1755" t="s">
        <v>85</v>
      </c>
      <c r="B153" s="1738"/>
      <c r="C153" s="1738"/>
      <c r="D153" s="1738"/>
      <c r="E153" s="1739"/>
      <c r="F153" s="1738"/>
      <c r="G153" s="1738"/>
      <c r="H153" s="1738"/>
      <c r="I153" s="1739"/>
      <c r="J153" s="1738"/>
      <c r="K153" s="1738"/>
      <c r="L153" s="1738"/>
      <c r="M153" s="1739"/>
      <c r="N153" s="1738"/>
      <c r="O153" s="1738"/>
      <c r="P153" s="1738"/>
      <c r="Q153" s="1739"/>
      <c r="R153" s="1738"/>
      <c r="S153" s="1738"/>
      <c r="T153" s="1738"/>
      <c r="U153" s="1739"/>
      <c r="V153" s="1738"/>
      <c r="W153" s="1738"/>
      <c r="X153" s="1738"/>
      <c r="Y153" s="1739"/>
      <c r="Z153" s="1738"/>
      <c r="AA153" s="1738"/>
      <c r="AB153" s="1738"/>
      <c r="AC153" s="1739"/>
      <c r="AD153" s="1738"/>
      <c r="AE153" s="1738"/>
      <c r="AF153" s="1738"/>
      <c r="AG153" s="1739"/>
      <c r="AH153" s="1738"/>
      <c r="AI153" s="1738"/>
      <c r="AJ153" s="1738"/>
      <c r="AK153" s="1739"/>
      <c r="AL153" s="1738"/>
      <c r="AM153" s="1738"/>
      <c r="AN153" s="1738"/>
      <c r="AO153" s="1739"/>
      <c r="AP153" s="1738"/>
      <c r="AQ153" s="1738"/>
      <c r="AR153" s="1738"/>
      <c r="AS153" s="1739"/>
      <c r="AT153" s="1738"/>
      <c r="AU153" s="1738"/>
      <c r="AV153" s="1738"/>
      <c r="AW153" s="1739"/>
      <c r="AX153" s="1738"/>
      <c r="AY153" s="1738"/>
      <c r="AZ153" s="1738"/>
      <c r="BA153" s="1739"/>
      <c r="BB153" s="1738"/>
      <c r="BC153" s="1738"/>
      <c r="BD153" s="1738"/>
      <c r="BE153" s="1739"/>
      <c r="BF153" s="1738"/>
      <c r="BG153" s="1738"/>
      <c r="BH153" s="1738"/>
      <c r="BI153" s="1739"/>
      <c r="BJ153" s="1738"/>
      <c r="BK153" s="1738"/>
      <c r="BL153" s="1738"/>
      <c r="BM153" s="1739"/>
      <c r="BN153" s="1738"/>
      <c r="BO153" s="1738"/>
      <c r="BP153" s="1738"/>
      <c r="BQ153" s="1739"/>
      <c r="BR153" s="1738"/>
      <c r="BS153" s="1738"/>
      <c r="BT153" s="1738"/>
      <c r="BU153" s="1739"/>
      <c r="BV153" s="1738"/>
      <c r="BW153" s="1738"/>
      <c r="BX153" s="1738"/>
      <c r="BY153" s="1739"/>
      <c r="BZ153" s="1738"/>
      <c r="CA153" s="1738"/>
      <c r="CB153" s="1738"/>
      <c r="CC153" s="1739"/>
      <c r="CD153" s="1738"/>
      <c r="CE153" s="1738"/>
      <c r="CF153" s="1738"/>
      <c r="CG153" s="1739"/>
      <c r="CH153" s="1751">
        <v>300</v>
      </c>
      <c r="CI153" s="1759">
        <v>390</v>
      </c>
      <c r="CJ153" s="1751">
        <v>375</v>
      </c>
      <c r="CK153" s="1752">
        <v>350</v>
      </c>
      <c r="CL153" s="1751">
        <v>350</v>
      </c>
      <c r="CM153" s="1759">
        <v>400</v>
      </c>
      <c r="CN153" s="1751">
        <v>400</v>
      </c>
      <c r="CO153" s="1752">
        <v>400</v>
      </c>
      <c r="CP153" s="1751">
        <v>350</v>
      </c>
      <c r="CQ153" s="1751">
        <v>350</v>
      </c>
      <c r="CR153" s="1751">
        <v>300</v>
      </c>
      <c r="CS153" s="1763">
        <v>400</v>
      </c>
      <c r="CT153" s="1751">
        <v>350</v>
      </c>
      <c r="CU153" s="1751">
        <v>350</v>
      </c>
      <c r="CV153" s="1751">
        <v>350</v>
      </c>
      <c r="CW153" s="1763">
        <v>425</v>
      </c>
      <c r="CX153" s="1751">
        <v>425</v>
      </c>
      <c r="CY153" s="1751">
        <v>450</v>
      </c>
      <c r="CZ153" s="1751">
        <v>400</v>
      </c>
      <c r="DA153" s="1763">
        <v>450</v>
      </c>
      <c r="DB153" s="1751">
        <v>425</v>
      </c>
      <c r="DC153" s="1751">
        <v>425</v>
      </c>
      <c r="DD153" s="1751">
        <v>350</v>
      </c>
      <c r="DE153" s="1752">
        <v>350</v>
      </c>
      <c r="DF153" s="1759">
        <v>600</v>
      </c>
      <c r="DG153" s="1751">
        <v>500</v>
      </c>
      <c r="DH153" s="1751">
        <v>500</v>
      </c>
      <c r="DI153" s="1752">
        <v>500</v>
      </c>
      <c r="DJ153" s="1751">
        <v>550</v>
      </c>
      <c r="DK153" s="1751">
        <v>550</v>
      </c>
      <c r="DL153" s="1751">
        <v>500</v>
      </c>
      <c r="DM153" s="1752">
        <v>500</v>
      </c>
      <c r="DN153" s="1751">
        <v>500</v>
      </c>
      <c r="DO153" s="1759">
        <v>475</v>
      </c>
      <c r="DP153" s="1751">
        <v>475</v>
      </c>
      <c r="DQ153" s="1752">
        <v>475</v>
      </c>
      <c r="DR153" s="1759">
        <v>500</v>
      </c>
      <c r="DS153" s="1751">
        <v>500</v>
      </c>
      <c r="DT153" s="1751">
        <v>500</v>
      </c>
      <c r="DU153" s="1752">
        <v>500</v>
      </c>
      <c r="DV153" s="1759">
        <v>550</v>
      </c>
      <c r="DW153" s="1751">
        <v>550</v>
      </c>
      <c r="DX153" s="1751">
        <v>500</v>
      </c>
      <c r="DY153" s="1752">
        <v>500</v>
      </c>
      <c r="DZ153" s="1759">
        <v>550</v>
      </c>
      <c r="EA153" s="1751">
        <v>550</v>
      </c>
      <c r="EB153" s="1751">
        <v>500</v>
      </c>
      <c r="EC153" s="1752">
        <v>500</v>
      </c>
      <c r="ED153" s="1759">
        <v>550</v>
      </c>
      <c r="EE153" s="1751">
        <v>550</v>
      </c>
      <c r="EF153" s="1751">
        <v>500</v>
      </c>
      <c r="EG153" s="1752">
        <v>500</v>
      </c>
      <c r="EH153" s="1759">
        <v>550</v>
      </c>
      <c r="EI153" s="1751">
        <v>550</v>
      </c>
      <c r="EJ153" s="1751">
        <v>500</v>
      </c>
      <c r="EK153" s="1752">
        <v>500</v>
      </c>
      <c r="EO153" s="899"/>
      <c r="EP153" s="899"/>
      <c r="EQ153" s="899"/>
      <c r="ER153" s="899"/>
      <c r="ES153" s="899"/>
      <c r="ET153" s="899"/>
      <c r="EU153" s="899"/>
      <c r="EV153" s="899"/>
      <c r="EW153" s="899"/>
      <c r="EX153" s="899"/>
      <c r="EY153" s="899"/>
      <c r="EZ153" s="899"/>
      <c r="FA153" s="899"/>
      <c r="FB153" s="899"/>
      <c r="FC153" s="899"/>
      <c r="FD153" s="899"/>
      <c r="FE153" s="899"/>
      <c r="FF153" s="899"/>
      <c r="FG153" s="899"/>
      <c r="FH153" s="899"/>
      <c r="FI153" s="899">
        <f t="shared" ref="FI153:FQ153" si="1134">+FI44/FI94</f>
      </c>
      <c r="FJ153" s="899">
        <f t="shared" si="1134"/>
      </c>
      <c r="FK153" s="899">
        <f t="shared" si="1134"/>
      </c>
      <c r="FL153" s="899">
        <f t="shared" si="1134"/>
      </c>
      <c r="FM153" s="899">
        <f t="shared" si="1134"/>
      </c>
      <c r="FN153" s="899">
        <f t="shared" si="1134"/>
      </c>
      <c r="FO153" s="899">
        <f t="shared" si="1134"/>
      </c>
      <c r="FP153" s="899">
        <f t="shared" si="1134"/>
      </c>
      <c r="FQ153" s="899">
        <f t="shared" si="1134"/>
      </c>
      <c r="FR153" s="899">
        <f t="shared" ref="FR153:FU153" si="1135">+FR44/FR94</f>
      </c>
      <c r="FS153" s="899">
        <f t="shared" si="1135"/>
      </c>
      <c r="FT153" s="899">
        <f t="shared" si="1135"/>
      </c>
      <c r="FU153" s="899">
        <f t="shared" si="1135"/>
      </c>
      <c r="FW153" s="899"/>
    </row>
    <row r="154" spans="1:214" s="370" customFormat="1" ht="10.199999999999999">
      <c r="A154" s="1756" t="s">
        <v>1453</v>
      </c>
      <c r="B154" s="813"/>
      <c r="C154" s="813"/>
      <c r="D154" s="813"/>
      <c r="E154" s="778"/>
      <c r="F154" s="813"/>
      <c r="G154" s="813"/>
      <c r="H154" s="813"/>
      <c r="I154" s="778"/>
      <c r="J154" s="813"/>
      <c r="K154" s="813"/>
      <c r="L154" s="813"/>
      <c r="M154" s="778"/>
      <c r="N154" s="813"/>
      <c r="O154" s="813"/>
      <c r="P154" s="813"/>
      <c r="Q154" s="778"/>
      <c r="R154" s="813"/>
      <c r="S154" s="813"/>
      <c r="T154" s="813"/>
      <c r="U154" s="778"/>
      <c r="V154" s="813"/>
      <c r="W154" s="813"/>
      <c r="X154" s="813"/>
      <c r="Y154" s="778"/>
      <c r="Z154" s="813"/>
      <c r="AA154" s="813"/>
      <c r="AB154" s="813"/>
      <c r="AC154" s="778"/>
      <c r="AD154" s="813"/>
      <c r="AE154" s="813"/>
      <c r="AF154" s="813"/>
      <c r="AG154" s="778"/>
      <c r="AH154" s="813"/>
      <c r="AI154" s="813"/>
      <c r="AJ154" s="813"/>
      <c r="AK154" s="778"/>
      <c r="AL154" s="813"/>
      <c r="AM154" s="813"/>
      <c r="AN154" s="813"/>
      <c r="AO154" s="778"/>
      <c r="AP154" s="813"/>
      <c r="AQ154" s="813"/>
      <c r="AR154" s="813"/>
      <c r="AS154" s="778"/>
      <c r="AT154" s="813"/>
      <c r="AU154" s="813"/>
      <c r="AV154" s="813"/>
      <c r="AW154" s="778"/>
      <c r="AX154" s="813"/>
      <c r="AY154" s="813"/>
      <c r="AZ154" s="813"/>
      <c r="BA154" s="778"/>
      <c r="BB154" s="813"/>
      <c r="BC154" s="813"/>
      <c r="BD154" s="813"/>
      <c r="BE154" s="778"/>
      <c r="BF154" s="813"/>
      <c r="BG154" s="813"/>
      <c r="BH154" s="813"/>
      <c r="BI154" s="778"/>
      <c r="BJ154" s="813"/>
      <c r="BK154" s="813"/>
      <c r="BL154" s="813"/>
      <c r="BM154" s="778"/>
      <c r="BN154" s="813"/>
      <c r="BO154" s="813"/>
      <c r="BP154" s="813"/>
      <c r="BQ154" s="778"/>
      <c r="BR154" s="813"/>
      <c r="BS154" s="813"/>
      <c r="BT154" s="813"/>
      <c r="BU154" s="778"/>
      <c r="BV154" s="813"/>
      <c r="BW154" s="813"/>
      <c r="BX154" s="813"/>
      <c r="BY154" s="778"/>
      <c r="BZ154" s="813"/>
      <c r="CA154" s="813"/>
      <c r="CB154" s="813"/>
      <c r="CC154" s="778"/>
      <c r="CD154" s="813"/>
      <c r="CE154" s="813"/>
      <c r="CF154" s="813"/>
      <c r="CG154" s="778"/>
      <c r="CH154" s="1753">
        <v>650</v>
      </c>
      <c r="CI154" s="1753">
        <v>650</v>
      </c>
      <c r="CJ154" s="1760">
        <v>650</v>
      </c>
      <c r="CK154" s="1764">
        <v>625</v>
      </c>
      <c r="CL154" s="1753">
        <v>600</v>
      </c>
      <c r="CM154" s="1753">
        <v>600</v>
      </c>
      <c r="CN154" s="1753">
        <v>575</v>
      </c>
      <c r="CO154" s="1754">
        <v>550</v>
      </c>
      <c r="CP154" s="1760">
        <v>800</v>
      </c>
      <c r="CQ154" s="1753">
        <v>800</v>
      </c>
      <c r="CR154" s="1753">
        <v>750</v>
      </c>
      <c r="CS154" s="1754">
        <v>750</v>
      </c>
      <c r="CT154" s="1753">
        <v>700</v>
      </c>
      <c r="CU154" s="1760">
        <v>800</v>
      </c>
      <c r="CV154" s="1753">
        <v>725</v>
      </c>
      <c r="CW154" s="1754">
        <v>725</v>
      </c>
      <c r="CX154" s="1753">
        <v>725</v>
      </c>
      <c r="CY154" s="1753">
        <v>725</v>
      </c>
      <c r="CZ154" s="1760">
        <v>850</v>
      </c>
      <c r="DA154" s="1754">
        <v>800</v>
      </c>
      <c r="DB154" s="1753">
        <v>700</v>
      </c>
      <c r="DC154" s="1753">
        <v>700</v>
      </c>
      <c r="DD154" s="1753">
        <v>700</v>
      </c>
      <c r="DE154" s="1754">
        <v>700</v>
      </c>
      <c r="DF154" s="1760">
        <v>850</v>
      </c>
      <c r="DG154" s="1753">
        <v>700</v>
      </c>
      <c r="DH154" s="1753">
        <v>600</v>
      </c>
      <c r="DI154" s="1754">
        <v>600</v>
      </c>
      <c r="DJ154" s="1753">
        <v>700</v>
      </c>
      <c r="DK154" s="1753">
        <v>700</v>
      </c>
      <c r="DL154" s="1760">
        <v>750</v>
      </c>
      <c r="DM154" s="1754">
        <v>725</v>
      </c>
      <c r="DN154" s="1753">
        <v>650</v>
      </c>
      <c r="DO154" s="1753">
        <f>DN154-50</f>
      </c>
      <c r="DP154" s="1753">
        <v>800</v>
      </c>
      <c r="DQ154" s="1754">
        <v>750</v>
      </c>
      <c r="DR154" s="1753">
        <f>DQ154-50</f>
      </c>
      <c r="DS154" s="1753">
        <f>DR154</f>
      </c>
      <c r="DT154" s="1753">
        <v>750</v>
      </c>
      <c r="DU154" s="1764">
        <v>800</v>
      </c>
      <c r="DV154" s="1753">
        <f>DU154-50</f>
      </c>
      <c r="DW154" s="1753">
        <f>DV154</f>
      </c>
      <c r="DX154" s="1753">
        <v>750</v>
      </c>
      <c r="DY154" s="1764">
        <v>800</v>
      </c>
      <c r="DZ154" s="1753">
        <f>DY154-50</f>
      </c>
      <c r="EA154" s="1753">
        <f>DZ154</f>
      </c>
      <c r="EB154" s="1753">
        <v>750</v>
      </c>
      <c r="EC154" s="1764">
        <v>800</v>
      </c>
      <c r="ED154" s="1753">
        <f>EC154-50</f>
      </c>
      <c r="EE154" s="1753">
        <f>ED154</f>
      </c>
      <c r="EF154" s="1753">
        <v>750</v>
      </c>
      <c r="EG154" s="1764">
        <v>800</v>
      </c>
      <c r="EH154" s="1753">
        <f>EG154-50</f>
      </c>
      <c r="EI154" s="1753">
        <f>EH154</f>
      </c>
      <c r="EJ154" s="1753">
        <v>750</v>
      </c>
      <c r="EK154" s="1764">
        <v>800</v>
      </c>
      <c r="EO154" s="899"/>
      <c r="EP154" s="899"/>
      <c r="EQ154" s="899"/>
      <c r="ER154" s="899"/>
      <c r="ES154" s="899"/>
      <c r="ET154" s="899"/>
      <c r="EU154" s="899"/>
      <c r="EV154" s="899"/>
      <c r="EW154" s="899"/>
      <c r="EX154" s="899"/>
      <c r="EY154" s="899"/>
      <c r="EZ154" s="899"/>
      <c r="FA154" s="899"/>
      <c r="FB154" s="899"/>
      <c r="FC154" s="899"/>
      <c r="FD154" s="899"/>
      <c r="FE154" s="899"/>
      <c r="FF154" s="899"/>
      <c r="FG154" s="899"/>
      <c r="FH154" s="899"/>
      <c r="FI154" s="899">
        <f t="shared" ref="FI154:FQ154" si="1136">+FI45/FI95</f>
      </c>
      <c r="FJ154" s="899">
        <f t="shared" si="1136"/>
      </c>
      <c r="FK154" s="899">
        <f t="shared" si="1136"/>
      </c>
      <c r="FL154" s="899">
        <f t="shared" si="1136"/>
      </c>
      <c r="FM154" s="899">
        <f t="shared" si="1136"/>
      </c>
      <c r="FN154" s="899">
        <f t="shared" si="1136"/>
      </c>
      <c r="FO154" s="899">
        <f t="shared" si="1136"/>
      </c>
      <c r="FP154" s="899">
        <f t="shared" si="1136"/>
      </c>
      <c r="FQ154" s="899">
        <f t="shared" si="1136"/>
      </c>
      <c r="FR154" s="899">
        <f t="shared" ref="FR154:FU154" si="1137">+FR45/FR95</f>
      </c>
      <c r="FS154" s="899">
        <f t="shared" si="1137"/>
      </c>
      <c r="FT154" s="899">
        <f t="shared" si="1137"/>
      </c>
      <c r="FU154" s="899">
        <f t="shared" si="1137"/>
      </c>
      <c r="FW154" s="899"/>
    </row>
    <row r="155" spans="1:214" s="370" customFormat="1" ht="10.199999999999999">
      <c r="A155" s="1756" t="s">
        <v>1454</v>
      </c>
      <c r="B155" s="813"/>
      <c r="C155" s="813"/>
      <c r="D155" s="813"/>
      <c r="E155" s="778"/>
      <c r="F155" s="813"/>
      <c r="G155" s="813"/>
      <c r="H155" s="813"/>
      <c r="I155" s="778"/>
      <c r="J155" s="813"/>
      <c r="K155" s="813"/>
      <c r="L155" s="813"/>
      <c r="M155" s="778"/>
      <c r="N155" s="813"/>
      <c r="O155" s="813"/>
      <c r="P155" s="813"/>
      <c r="Q155" s="778"/>
      <c r="R155" s="813"/>
      <c r="S155" s="813"/>
      <c r="T155" s="813"/>
      <c r="U155" s="778"/>
      <c r="V155" s="813"/>
      <c r="W155" s="813"/>
      <c r="X155" s="813"/>
      <c r="Y155" s="778"/>
      <c r="Z155" s="813"/>
      <c r="AA155" s="813"/>
      <c r="AB155" s="813"/>
      <c r="AC155" s="778"/>
      <c r="AD155" s="813"/>
      <c r="AE155" s="813"/>
      <c r="AF155" s="813"/>
      <c r="AG155" s="778"/>
      <c r="AH155" s="813"/>
      <c r="AI155" s="813"/>
      <c r="AJ155" s="813"/>
      <c r="AK155" s="778"/>
      <c r="AL155" s="813"/>
      <c r="AM155" s="813"/>
      <c r="AN155" s="813"/>
      <c r="AO155" s="778"/>
      <c r="AP155" s="813"/>
      <c r="AQ155" s="813"/>
      <c r="AR155" s="813"/>
      <c r="AS155" s="778"/>
      <c r="AT155" s="813"/>
      <c r="AU155" s="813"/>
      <c r="AV155" s="813"/>
      <c r="AW155" s="778"/>
      <c r="AX155" s="813"/>
      <c r="AY155" s="813"/>
      <c r="AZ155" s="813"/>
      <c r="BA155" s="778"/>
      <c r="BB155" s="813"/>
      <c r="BC155" s="813"/>
      <c r="BD155" s="813"/>
      <c r="BE155" s="778"/>
      <c r="BF155" s="813"/>
      <c r="BG155" s="813"/>
      <c r="BH155" s="813"/>
      <c r="BI155" s="778"/>
      <c r="BJ155" s="813"/>
      <c r="BK155" s="813"/>
      <c r="BL155" s="813"/>
      <c r="BM155" s="778"/>
      <c r="BN155" s="813"/>
      <c r="BO155" s="813"/>
      <c r="BP155" s="813"/>
      <c r="BQ155" s="778"/>
      <c r="BR155" s="813"/>
      <c r="BS155" s="813"/>
      <c r="BT155" s="813"/>
      <c r="BU155" s="778"/>
      <c r="BV155" s="813"/>
      <c r="BW155" s="813"/>
      <c r="BX155" s="813"/>
      <c r="BY155" s="778"/>
      <c r="BZ155" s="813"/>
      <c r="CA155" s="813"/>
      <c r="CB155" s="813"/>
      <c r="CC155" s="778"/>
      <c r="CD155" s="813"/>
      <c r="CE155" s="813"/>
      <c r="CF155" s="813"/>
      <c r="CG155" s="778"/>
      <c r="CH155" s="1753">
        <v>500</v>
      </c>
      <c r="CI155" s="1753">
        <v>450</v>
      </c>
      <c r="CJ155" s="1753">
        <v>400</v>
      </c>
      <c r="CK155" s="1754">
        <v>400</v>
      </c>
      <c r="CL155" s="1753">
        <v>400</v>
      </c>
      <c r="CM155" s="1753">
        <v>400</v>
      </c>
      <c r="CN155" s="1753">
        <v>400</v>
      </c>
      <c r="CO155" s="1754">
        <v>400</v>
      </c>
      <c r="CP155" s="1753">
        <v>400</v>
      </c>
      <c r="CQ155" s="1760">
        <v>500</v>
      </c>
      <c r="CR155" s="1753">
        <v>500</v>
      </c>
      <c r="CS155" s="1754">
        <v>500</v>
      </c>
      <c r="CT155" s="1753">
        <v>450</v>
      </c>
      <c r="CU155" s="1753">
        <v>450</v>
      </c>
      <c r="CV155" s="1753">
        <v>450</v>
      </c>
      <c r="CW155" s="1754">
        <v>400</v>
      </c>
      <c r="CX155" s="1760">
        <v>650</v>
      </c>
      <c r="CY155" s="1753">
        <v>700</v>
      </c>
      <c r="CZ155" s="1753">
        <v>700</v>
      </c>
      <c r="DA155" s="1754">
        <v>550</v>
      </c>
      <c r="DB155" s="1753">
        <v>450</v>
      </c>
      <c r="DC155" s="1760">
        <v>825</v>
      </c>
      <c r="DD155" s="1753">
        <v>725</v>
      </c>
      <c r="DE155" s="1754">
        <v>700</v>
      </c>
      <c r="DF155" s="1753">
        <v>700</v>
      </c>
      <c r="DG155" s="1753">
        <v>500</v>
      </c>
      <c r="DH155" s="1753">
        <v>500</v>
      </c>
      <c r="DI155" s="1754">
        <v>500</v>
      </c>
      <c r="DJ155" s="1753">
        <v>700</v>
      </c>
      <c r="DK155" s="1753">
        <v>700</v>
      </c>
      <c r="DL155" s="1760">
        <v>700</v>
      </c>
      <c r="DM155" s="1754">
        <v>675</v>
      </c>
      <c r="DN155" s="1753">
        <v>600</v>
      </c>
      <c r="DO155" s="1760">
        <v>600</v>
      </c>
      <c r="DP155" s="1753">
        <v>600</v>
      </c>
      <c r="DQ155" s="1754">
        <v>600</v>
      </c>
      <c r="DR155" s="1753">
        <v>600</v>
      </c>
      <c r="DS155" s="1753">
        <v>600</v>
      </c>
      <c r="DT155" s="1753">
        <v>600</v>
      </c>
      <c r="DU155" s="1764">
        <v>750</v>
      </c>
      <c r="DV155" s="1760">
        <v>750</v>
      </c>
      <c r="DW155" s="1753">
        <v>600</v>
      </c>
      <c r="DX155" s="1753">
        <v>600</v>
      </c>
      <c r="DY155" s="1754">
        <v>600</v>
      </c>
      <c r="DZ155" s="1753">
        <v>600</v>
      </c>
      <c r="EA155" s="1760">
        <v>750</v>
      </c>
      <c r="EB155" s="1760">
        <v>750</v>
      </c>
      <c r="EC155" s="1754">
        <v>700</v>
      </c>
      <c r="ED155" s="1753">
        <v>650</v>
      </c>
      <c r="EE155" s="1753">
        <v>600</v>
      </c>
      <c r="EF155" s="1753">
        <v>600</v>
      </c>
      <c r="EG155" s="1764">
        <v>750</v>
      </c>
      <c r="EH155" s="1760">
        <v>750</v>
      </c>
      <c r="EI155" s="1753">
        <v>600</v>
      </c>
      <c r="EJ155" s="1753">
        <v>600</v>
      </c>
      <c r="EK155" s="1754">
        <v>600</v>
      </c>
      <c r="EO155" s="899"/>
      <c r="EP155" s="899"/>
      <c r="EQ155" s="899"/>
      <c r="ER155" s="899"/>
      <c r="ES155" s="899"/>
      <c r="ET155" s="899"/>
      <c r="EU155" s="899"/>
      <c r="EV155" s="899"/>
      <c r="EW155" s="899"/>
      <c r="EX155" s="899"/>
      <c r="EY155" s="899"/>
      <c r="EZ155" s="899"/>
      <c r="FA155" s="899"/>
      <c r="FB155" s="899"/>
      <c r="FC155" s="899"/>
      <c r="FD155" s="899"/>
      <c r="FE155" s="899"/>
      <c r="FF155" s="899"/>
      <c r="FG155" s="899"/>
      <c r="FH155" s="899"/>
      <c r="FI155" s="899">
        <f t="shared" ref="FI155:FQ155" si="1138">+FI46/FI96</f>
      </c>
      <c r="FJ155" s="899">
        <f t="shared" si="1138"/>
      </c>
      <c r="FK155" s="899">
        <f t="shared" si="1138"/>
      </c>
      <c r="FL155" s="899">
        <f t="shared" si="1138"/>
      </c>
      <c r="FM155" s="899">
        <f t="shared" si="1138"/>
      </c>
      <c r="FN155" s="899">
        <f t="shared" si="1138"/>
      </c>
      <c r="FO155" s="899">
        <f t="shared" si="1138"/>
      </c>
      <c r="FP155" s="899">
        <f t="shared" si="1138"/>
      </c>
      <c r="FQ155" s="899">
        <f t="shared" si="1138"/>
      </c>
      <c r="FR155" s="899">
        <f t="shared" ref="FR155:FU155" si="1139">+FR46/FR96</f>
      </c>
      <c r="FS155" s="899">
        <f t="shared" si="1139"/>
      </c>
      <c r="FT155" s="899">
        <f t="shared" si="1139"/>
      </c>
      <c r="FU155" s="899">
        <f t="shared" si="1139"/>
      </c>
      <c r="FW155" s="899"/>
    </row>
    <row r="156" spans="1:214" s="370" customFormat="1" ht="10.199999999999999">
      <c r="A156" s="1756" t="s">
        <v>1455</v>
      </c>
      <c r="B156" s="813"/>
      <c r="C156" s="813"/>
      <c r="D156" s="813"/>
      <c r="E156" s="778"/>
      <c r="F156" s="813"/>
      <c r="G156" s="813"/>
      <c r="H156" s="813"/>
      <c r="I156" s="778"/>
      <c r="J156" s="813"/>
      <c r="K156" s="813"/>
      <c r="L156" s="813"/>
      <c r="M156" s="778"/>
      <c r="N156" s="813"/>
      <c r="O156" s="813"/>
      <c r="P156" s="813"/>
      <c r="Q156" s="778"/>
      <c r="R156" s="813"/>
      <c r="S156" s="813"/>
      <c r="T156" s="813"/>
      <c r="U156" s="778"/>
      <c r="V156" s="813"/>
      <c r="W156" s="813"/>
      <c r="X156" s="813"/>
      <c r="Y156" s="778"/>
      <c r="Z156" s="813"/>
      <c r="AA156" s="813"/>
      <c r="AB156" s="813"/>
      <c r="AC156" s="778"/>
      <c r="AD156" s="813"/>
      <c r="AE156" s="813"/>
      <c r="AF156" s="813"/>
      <c r="AG156" s="778"/>
      <c r="AH156" s="813"/>
      <c r="AI156" s="813"/>
      <c r="AJ156" s="813"/>
      <c r="AK156" s="778"/>
      <c r="AL156" s="813"/>
      <c r="AM156" s="813"/>
      <c r="AN156" s="813"/>
      <c r="AO156" s="778"/>
      <c r="AP156" s="813"/>
      <c r="AQ156" s="813"/>
      <c r="AR156" s="813"/>
      <c r="AS156" s="778"/>
      <c r="AT156" s="813"/>
      <c r="AU156" s="813"/>
      <c r="AV156" s="813"/>
      <c r="AW156" s="778"/>
      <c r="AX156" s="813"/>
      <c r="AY156" s="813"/>
      <c r="AZ156" s="813"/>
      <c r="BA156" s="778"/>
      <c r="BB156" s="813"/>
      <c r="BC156" s="813"/>
      <c r="BD156" s="813"/>
      <c r="BE156" s="778"/>
      <c r="BF156" s="813"/>
      <c r="BG156" s="813"/>
      <c r="BH156" s="813"/>
      <c r="BI156" s="778"/>
      <c r="BJ156" s="813"/>
      <c r="BK156" s="813"/>
      <c r="BL156" s="813"/>
      <c r="BM156" s="778"/>
      <c r="BN156" s="813"/>
      <c r="BO156" s="813"/>
      <c r="BP156" s="813"/>
      <c r="BQ156" s="778"/>
      <c r="BR156" s="813"/>
      <c r="BS156" s="813"/>
      <c r="BT156" s="813"/>
      <c r="BU156" s="778"/>
      <c r="BV156" s="813"/>
      <c r="BW156" s="813"/>
      <c r="BX156" s="813"/>
      <c r="BY156" s="778"/>
      <c r="BZ156" s="813"/>
      <c r="CA156" s="813"/>
      <c r="CB156" s="813"/>
      <c r="CC156" s="778"/>
      <c r="CD156" s="813"/>
      <c r="CE156" s="813"/>
      <c r="CF156" s="813"/>
      <c r="CG156" s="778"/>
      <c r="CH156" s="1753">
        <v>350</v>
      </c>
      <c r="CI156" s="1753">
        <v>350</v>
      </c>
      <c r="CJ156" s="1753">
        <v>300</v>
      </c>
      <c r="CK156" s="1754">
        <v>300</v>
      </c>
      <c r="CL156" s="1753">
        <v>300</v>
      </c>
      <c r="CM156" s="1753">
        <v>300</v>
      </c>
      <c r="CN156" s="1753">
        <v>300</v>
      </c>
      <c r="CO156" s="1754">
        <v>300</v>
      </c>
      <c r="CP156" s="1753">
        <v>300</v>
      </c>
      <c r="CQ156" s="1760">
        <v>450</v>
      </c>
      <c r="CR156" s="1753">
        <v>450</v>
      </c>
      <c r="CS156" s="1754">
        <v>450</v>
      </c>
      <c r="CT156" s="1753">
        <v>400</v>
      </c>
      <c r="CU156" s="1753">
        <v>400</v>
      </c>
      <c r="CV156" s="1753">
        <v>400</v>
      </c>
      <c r="CW156" s="1754">
        <v>400</v>
      </c>
      <c r="CX156" s="1753">
        <v>400</v>
      </c>
      <c r="CY156" s="1753">
        <v>400</v>
      </c>
      <c r="CZ156" s="1753">
        <v>375</v>
      </c>
      <c r="DA156" s="1764">
        <v>500</v>
      </c>
      <c r="DB156" s="1753">
        <v>500</v>
      </c>
      <c r="DC156" s="1753">
        <v>500</v>
      </c>
      <c r="DD156" s="1753">
        <v>500</v>
      </c>
      <c r="DE156" s="1754">
        <v>500</v>
      </c>
      <c r="DF156" s="1753">
        <v>400</v>
      </c>
      <c r="DG156" s="1753">
        <v>400</v>
      </c>
      <c r="DH156" s="1753">
        <v>400</v>
      </c>
      <c r="DI156" s="1754">
        <v>400</v>
      </c>
      <c r="DJ156" s="1753">
        <v>400</v>
      </c>
      <c r="DK156" s="1753">
        <v>400</v>
      </c>
      <c r="DL156" s="1753">
        <v>400</v>
      </c>
      <c r="DM156" s="1754">
        <v>400</v>
      </c>
      <c r="DN156" s="1760">
        <v>400</v>
      </c>
      <c r="DO156" s="1753">
        <v>400</v>
      </c>
      <c r="DP156" s="1753">
        <v>400</v>
      </c>
      <c r="DQ156" s="1754">
        <v>400</v>
      </c>
      <c r="DR156" s="1753">
        <v>500</v>
      </c>
      <c r="DS156" s="1753">
        <v>500</v>
      </c>
      <c r="DT156" s="1753">
        <v>500</v>
      </c>
      <c r="DU156" s="1754">
        <v>450</v>
      </c>
      <c r="DV156" s="1753">
        <v>500</v>
      </c>
      <c r="DW156" s="1753">
        <v>500</v>
      </c>
      <c r="DX156" s="1753">
        <v>500</v>
      </c>
      <c r="DY156" s="1754">
        <v>450</v>
      </c>
      <c r="DZ156" s="1753">
        <v>500</v>
      </c>
      <c r="EA156" s="1753">
        <v>500</v>
      </c>
      <c r="EB156" s="1753">
        <v>500</v>
      </c>
      <c r="EC156" s="1754">
        <v>450</v>
      </c>
      <c r="ED156" s="1753">
        <v>500</v>
      </c>
      <c r="EE156" s="1753">
        <v>500</v>
      </c>
      <c r="EF156" s="1753">
        <v>500</v>
      </c>
      <c r="EG156" s="1754">
        <v>450</v>
      </c>
      <c r="EH156" s="1753">
        <v>500</v>
      </c>
      <c r="EI156" s="1753">
        <v>500</v>
      </c>
      <c r="EJ156" s="1753">
        <v>500</v>
      </c>
      <c r="EK156" s="1754">
        <v>450</v>
      </c>
      <c r="EO156" s="899"/>
      <c r="EP156" s="899"/>
      <c r="EQ156" s="899"/>
      <c r="ER156" s="899"/>
      <c r="ES156" s="899"/>
      <c r="ET156" s="899"/>
      <c r="EU156" s="899"/>
      <c r="EV156" s="899"/>
      <c r="EW156" s="899"/>
      <c r="EX156" s="899"/>
      <c r="EY156" s="899"/>
      <c r="EZ156" s="899"/>
      <c r="FA156" s="899"/>
      <c r="FB156" s="899"/>
      <c r="FC156" s="899"/>
      <c r="FD156" s="899"/>
      <c r="FE156" s="899"/>
      <c r="FF156" s="899"/>
      <c r="FG156" s="899"/>
      <c r="FH156" s="899"/>
      <c r="FI156" s="899">
        <f t="shared" ref="FI156:FQ156" si="1140">+FI47/FI97</f>
      </c>
      <c r="FJ156" s="899">
        <f t="shared" si="1140"/>
      </c>
      <c r="FK156" s="899">
        <f t="shared" si="1140"/>
      </c>
      <c r="FL156" s="899">
        <f t="shared" si="1140"/>
      </c>
      <c r="FM156" s="899">
        <f t="shared" si="1140"/>
      </c>
      <c r="FN156" s="899">
        <f t="shared" si="1140"/>
      </c>
      <c r="FO156" s="899">
        <f t="shared" si="1140"/>
      </c>
      <c r="FP156" s="899">
        <f t="shared" si="1140"/>
      </c>
      <c r="FQ156" s="899">
        <f t="shared" si="1140"/>
      </c>
      <c r="FR156" s="899">
        <f t="shared" ref="FR156:FU156" si="1141">+FR47/FR97</f>
      </c>
      <c r="FS156" s="899">
        <f t="shared" si="1141"/>
      </c>
      <c r="FT156" s="899">
        <f t="shared" si="1141"/>
      </c>
      <c r="FU156" s="899">
        <f t="shared" si="1141"/>
      </c>
      <c r="FW156" s="899"/>
    </row>
    <row r="157" spans="1:214" s="370" customFormat="1" ht="10.8" thickBot="1">
      <c r="A157" s="1757" t="s">
        <v>140</v>
      </c>
      <c r="B157" s="1740"/>
      <c r="C157" s="1740"/>
      <c r="D157" s="1740"/>
      <c r="E157" s="1741"/>
      <c r="F157" s="1740"/>
      <c r="G157" s="1740"/>
      <c r="H157" s="1740"/>
      <c r="I157" s="1741"/>
      <c r="J157" s="1740"/>
      <c r="K157" s="1740"/>
      <c r="L157" s="1740"/>
      <c r="M157" s="1741"/>
      <c r="N157" s="1740"/>
      <c r="O157" s="1740"/>
      <c r="P157" s="1740"/>
      <c r="Q157" s="1741"/>
      <c r="R157" s="1740"/>
      <c r="S157" s="1740"/>
      <c r="T157" s="1740"/>
      <c r="U157" s="1741"/>
      <c r="V157" s="1740"/>
      <c r="W157" s="1740"/>
      <c r="X157" s="1740"/>
      <c r="Y157" s="1741"/>
      <c r="Z157" s="1740"/>
      <c r="AA157" s="1740"/>
      <c r="AB157" s="1740"/>
      <c r="AC157" s="1741"/>
      <c r="AD157" s="1740"/>
      <c r="AE157" s="1740"/>
      <c r="AF157" s="1740"/>
      <c r="AG157" s="1741"/>
      <c r="AH157" s="1740"/>
      <c r="AI157" s="1740"/>
      <c r="AJ157" s="1740"/>
      <c r="AK157" s="1741"/>
      <c r="AL157" s="1740"/>
      <c r="AM157" s="1740"/>
      <c r="AN157" s="1740"/>
      <c r="AO157" s="1741"/>
      <c r="AP157" s="1740"/>
      <c r="AQ157" s="1740"/>
      <c r="AR157" s="1740"/>
      <c r="AS157" s="1741"/>
      <c r="AT157" s="1740"/>
      <c r="AU157" s="1740"/>
      <c r="AV157" s="1740"/>
      <c r="AW157" s="1741"/>
      <c r="AX157" s="1740"/>
      <c r="AY157" s="1740"/>
      <c r="AZ157" s="1740"/>
      <c r="BA157" s="1741"/>
      <c r="BB157" s="1740"/>
      <c r="BC157" s="1740"/>
      <c r="BD157" s="1740"/>
      <c r="BE157" s="1741"/>
      <c r="BF157" s="1740"/>
      <c r="BG157" s="1740"/>
      <c r="BH157" s="1740"/>
      <c r="BI157" s="1741"/>
      <c r="BJ157" s="1740"/>
      <c r="BK157" s="1740"/>
      <c r="BL157" s="1740"/>
      <c r="BM157" s="1741"/>
      <c r="BN157" s="1740"/>
      <c r="BO157" s="1740"/>
      <c r="BP157" s="1740"/>
      <c r="BQ157" s="1741"/>
      <c r="BR157" s="1740"/>
      <c r="BS157" s="1740"/>
      <c r="BT157" s="1740"/>
      <c r="BU157" s="1741"/>
      <c r="BV157" s="1740"/>
      <c r="BW157" s="1740"/>
      <c r="BX157" s="1740"/>
      <c r="BY157" s="1741"/>
      <c r="BZ157" s="1740"/>
      <c r="CA157" s="1740"/>
      <c r="CB157" s="1740"/>
      <c r="CC157" s="1741"/>
      <c r="CD157" s="1740"/>
      <c r="CE157" s="1740"/>
      <c r="CF157" s="1740"/>
      <c r="CG157" s="1741"/>
      <c r="CH157" s="1740">
        <f t="shared" ref="CH157:DF157" si="1142">CH48/CH98</f>
      </c>
      <c r="CI157" s="1740">
        <f t="shared" si="1142"/>
      </c>
      <c r="CJ157" s="1740">
        <f t="shared" si="1142"/>
      </c>
      <c r="CK157" s="1741">
        <f t="shared" si="1142"/>
      </c>
      <c r="CL157" s="1740">
        <f t="shared" si="1142"/>
      </c>
      <c r="CM157" s="1740">
        <f t="shared" si="1142"/>
      </c>
      <c r="CN157" s="1740">
        <f t="shared" si="1142"/>
      </c>
      <c r="CO157" s="1741">
        <f t="shared" si="1142"/>
      </c>
      <c r="CP157" s="1740">
        <f t="shared" si="1142"/>
      </c>
      <c r="CQ157" s="1740">
        <f t="shared" si="1142"/>
      </c>
      <c r="CR157" s="1740">
        <f t="shared" si="1142"/>
      </c>
      <c r="CS157" s="1741">
        <f t="shared" si="1142"/>
      </c>
      <c r="CT157" s="1740">
        <f t="shared" si="1142"/>
      </c>
      <c r="CU157" s="1740">
        <f t="shared" si="1142"/>
      </c>
      <c r="CV157" s="1740">
        <f t="shared" si="1142"/>
      </c>
      <c r="CW157" s="1741">
        <f t="shared" si="1142"/>
      </c>
      <c r="CX157" s="1740">
        <f t="shared" si="1142"/>
      </c>
      <c r="CY157" s="1740">
        <f t="shared" si="1142"/>
      </c>
      <c r="CZ157" s="1740">
        <f t="shared" si="1142"/>
      </c>
      <c r="DA157" s="1741">
        <f t="shared" si="1142"/>
      </c>
      <c r="DB157" s="1742">
        <f t="shared" si="1142"/>
      </c>
      <c r="DC157" s="1742">
        <f t="shared" si="1142"/>
      </c>
      <c r="DD157" s="1742">
        <f t="shared" si="1142"/>
      </c>
      <c r="DE157" s="1762">
        <f t="shared" si="1142"/>
      </c>
      <c r="DF157" s="1742">
        <f t="shared" si="1142"/>
      </c>
      <c r="DG157" s="1742">
        <f t="shared" ref="DG157" si="1143">DG48/DG98</f>
      </c>
      <c r="DH157" s="1742">
        <f>DH48/DH98</f>
      </c>
      <c r="DI157" s="1762">
        <f>DI48/DI98</f>
      </c>
      <c r="DJ157" s="1742">
        <f t="shared" ref="DJ157:DK157" si="1144">DJ48/DJ98</f>
      </c>
      <c r="DK157" s="1742">
        <f t="shared" si="1144"/>
      </c>
      <c r="DL157" s="1742">
        <f>DL48/DL98</f>
      </c>
      <c r="DM157" s="1762">
        <f>DM48/DM98</f>
      </c>
      <c r="DN157" s="1742">
        <f>DN48/DN98</f>
      </c>
      <c r="DO157" s="1742">
        <f t="shared" ref="DO157:DP157" si="1145">DO48/DO98</f>
      </c>
      <c r="DP157" s="1742">
        <f t="shared" si="1145"/>
      </c>
      <c r="DQ157" s="1767">
        <v>30</v>
      </c>
      <c r="DR157" s="1765">
        <v>30</v>
      </c>
      <c r="DS157" s="1766">
        <v>30</v>
      </c>
      <c r="DT157" s="1766">
        <v>30</v>
      </c>
      <c r="DU157" s="1767">
        <v>30</v>
      </c>
      <c r="DV157" s="1765">
        <v>30</v>
      </c>
      <c r="DW157" s="1766">
        <v>30</v>
      </c>
      <c r="DX157" s="1766">
        <v>30</v>
      </c>
      <c r="DY157" s="1767">
        <v>30</v>
      </c>
      <c r="DZ157" s="1765">
        <v>30</v>
      </c>
      <c r="EA157" s="1766">
        <v>30</v>
      </c>
      <c r="EB157" s="1766">
        <v>30</v>
      </c>
      <c r="EC157" s="1767">
        <v>30</v>
      </c>
      <c r="ED157" s="1765">
        <v>30</v>
      </c>
      <c r="EE157" s="1766">
        <v>30</v>
      </c>
      <c r="EF157" s="1766">
        <v>30</v>
      </c>
      <c r="EG157" s="1767">
        <v>30</v>
      </c>
      <c r="EH157" s="1765">
        <v>30</v>
      </c>
      <c r="EI157" s="1766">
        <v>30</v>
      </c>
      <c r="EJ157" s="1766">
        <v>30</v>
      </c>
      <c r="EK157" s="1767">
        <v>30</v>
      </c>
      <c r="EO157" s="899"/>
      <c r="EP157" s="899"/>
      <c r="EQ157" s="899"/>
      <c r="ER157" s="899"/>
      <c r="ES157" s="899"/>
      <c r="ET157" s="899"/>
      <c r="EU157" s="899"/>
      <c r="EV157" s="899"/>
      <c r="EW157" s="899"/>
      <c r="EX157" s="899"/>
      <c r="EY157" s="899"/>
      <c r="EZ157" s="899"/>
      <c r="FA157" s="899"/>
      <c r="FB157" s="899"/>
      <c r="FC157" s="899"/>
      <c r="FD157" s="899"/>
      <c r="FE157" s="899"/>
      <c r="FF157" s="899"/>
      <c r="FG157" s="899"/>
      <c r="FH157" s="899"/>
      <c r="FI157" s="899">
        <f t="shared" ref="FI157:FQ157" si="1146">+FI48/FI98</f>
      </c>
      <c r="FJ157" s="899">
        <f t="shared" si="1146"/>
      </c>
      <c r="FK157" s="899">
        <f t="shared" si="1146"/>
      </c>
      <c r="FL157" s="899">
        <f t="shared" si="1146"/>
      </c>
      <c r="FM157" s="899">
        <f t="shared" si="1146"/>
      </c>
      <c r="FN157" s="899">
        <f t="shared" si="1146"/>
      </c>
      <c r="FO157" s="899">
        <f t="shared" si="1146"/>
      </c>
      <c r="FP157" s="899">
        <f t="shared" si="1146"/>
      </c>
      <c r="FQ157" s="899">
        <f t="shared" si="1146"/>
      </c>
      <c r="FR157" s="899">
        <f t="shared" ref="FR157:FU157" si="1147">+FR48/FR98</f>
      </c>
      <c r="FS157" s="899">
        <f t="shared" si="1147"/>
      </c>
      <c r="FT157" s="899">
        <f t="shared" si="1147"/>
      </c>
      <c r="FU157" s="899">
        <f t="shared" si="1147"/>
      </c>
      <c r="FW157" s="899"/>
    </row>
    <row r="158" spans="1:214" s="370" customFormat="1" ht="10.199999999999999">
      <c r="A158" s="899" t="s">
        <v>90</v>
      </c>
      <c r="E158" s="423"/>
      <c r="I158" s="423"/>
      <c r="M158" s="423"/>
      <c r="Q158" s="423"/>
      <c r="U158" s="423"/>
      <c r="Y158" s="423"/>
      <c r="AC158" s="423"/>
      <c r="AG158" s="423"/>
      <c r="AK158" s="423"/>
      <c r="AO158" s="423"/>
      <c r="AS158" s="423"/>
      <c r="AW158" s="423"/>
      <c r="BA158" s="423"/>
      <c r="BE158" s="423"/>
      <c r="BI158" s="423"/>
      <c r="BM158" s="423"/>
      <c r="BQ158" s="423"/>
      <c r="BU158" s="423"/>
      <c r="BV158" s="370">
        <f t="shared" ref="BV158:CK158" si="1148">+BV195/BV99</f>
      </c>
      <c r="BW158" s="370">
        <f t="shared" si="1148"/>
      </c>
      <c r="BX158" s="370">
        <f t="shared" si="1148"/>
      </c>
      <c r="BY158" s="423">
        <f t="shared" si="1148"/>
      </c>
      <c r="BZ158" s="370">
        <f t="shared" si="1148"/>
      </c>
      <c r="CA158" s="370">
        <f t="shared" si="1148"/>
      </c>
      <c r="CB158" s="370">
        <f t="shared" si="1148"/>
      </c>
      <c r="CC158" s="423">
        <f t="shared" si="1148"/>
      </c>
      <c r="CD158" s="370">
        <f t="shared" si="1148"/>
      </c>
      <c r="CE158" s="370">
        <f t="shared" si="1148"/>
      </c>
      <c r="CF158" s="370">
        <f t="shared" si="1148"/>
      </c>
      <c r="CG158" s="423">
        <f t="shared" si="1148"/>
      </c>
      <c r="CH158" s="370">
        <f t="shared" si="1148"/>
      </c>
      <c r="CI158" s="370">
        <f t="shared" si="1148"/>
      </c>
      <c r="CJ158" s="370">
        <f t="shared" si="1148"/>
      </c>
      <c r="CK158" s="423">
        <f t="shared" si="1148"/>
      </c>
      <c r="CL158" s="370">
        <f t="shared" ref="CL158:DD158" si="1149">+CL13/CL99</f>
      </c>
      <c r="CM158" s="370">
        <f t="shared" si="1149"/>
      </c>
      <c r="CN158" s="370">
        <f t="shared" si="1149"/>
      </c>
      <c r="CO158" s="423">
        <f t="shared" si="1149"/>
      </c>
      <c r="CP158" s="370">
        <f t="shared" si="1149"/>
      </c>
      <c r="CQ158" s="370">
        <f t="shared" si="1149"/>
      </c>
      <c r="CR158" s="370">
        <f t="shared" si="1149"/>
      </c>
      <c r="CS158" s="423">
        <f t="shared" si="1149"/>
      </c>
      <c r="CT158" s="370">
        <f t="shared" si="1149"/>
      </c>
      <c r="CU158" s="370">
        <f t="shared" si="1149"/>
      </c>
      <c r="CV158" s="370">
        <f t="shared" si="1149"/>
      </c>
      <c r="CW158" s="423">
        <f t="shared" si="1149"/>
      </c>
      <c r="CX158" s="370">
        <f t="shared" si="1149"/>
      </c>
      <c r="CY158" s="370">
        <f t="shared" si="1149"/>
      </c>
      <c r="CZ158" s="370">
        <f t="shared" si="1149"/>
      </c>
      <c r="DA158" s="423">
        <f t="shared" si="1149"/>
      </c>
      <c r="DB158" s="899">
        <f t="shared" si="1149"/>
      </c>
      <c r="DC158" s="899">
        <f t="shared" si="1149"/>
      </c>
      <c r="DD158" s="899">
        <f t="shared" si="1149"/>
      </c>
      <c r="DE158" s="901">
        <f t="shared" ref="DE158:DU158" si="1150">DE13/DE99</f>
      </c>
      <c r="DF158" s="899">
        <f>DF13/DF99</f>
      </c>
      <c r="DG158" s="899">
        <f t="shared" ref="DG158" si="1151">+DG13/DG99</f>
      </c>
      <c r="DH158" s="899">
        <f>DH13/DH99</f>
      </c>
      <c r="DI158" s="901">
        <f>DI13/DI99</f>
      </c>
      <c r="DJ158" s="899">
        <f>DJ13/DJ99</f>
      </c>
      <c r="DK158" s="899">
        <f>DK13/DK99</f>
      </c>
      <c r="DL158" s="899">
        <f>DL13/DL99</f>
      </c>
      <c r="DM158" s="901">
        <f t="shared" si="1150"/>
      </c>
      <c r="DN158" s="899">
        <f>DN13/DN99</f>
      </c>
      <c r="DO158" s="899">
        <f>DO13/DO99</f>
      </c>
      <c r="DP158" s="899">
        <f>DP13/DP99</f>
      </c>
      <c r="DQ158" s="901">
        <f>DQ13/DQ99</f>
      </c>
      <c r="DR158" s="899">
        <f>DR13/DR99</f>
      </c>
      <c r="DS158" s="899">
        <f t="shared" si="1150"/>
      </c>
      <c r="DT158" s="899">
        <f t="shared" si="1150"/>
      </c>
      <c r="DU158" s="901">
        <f t="shared" si="1150"/>
      </c>
      <c r="DV158" s="899">
        <f t="shared" ref="DV158:EK158" si="1152">DV13/DV99</f>
      </c>
      <c r="DW158" s="899">
        <f t="shared" si="1152"/>
      </c>
      <c r="DX158" s="899">
        <f t="shared" si="1152"/>
      </c>
      <c r="DY158" s="901">
        <f t="shared" si="1152"/>
      </c>
      <c r="DZ158" s="899">
        <f t="shared" si="1152"/>
      </c>
      <c r="EA158" s="899">
        <f t="shared" si="1152"/>
      </c>
      <c r="EB158" s="899">
        <f t="shared" si="1152"/>
      </c>
      <c r="EC158" s="901">
        <f t="shared" si="1152"/>
      </c>
      <c r="ED158" s="899">
        <f t="shared" si="1152"/>
      </c>
      <c r="EE158" s="899">
        <f t="shared" si="1152"/>
      </c>
      <c r="EF158" s="899">
        <f t="shared" si="1152"/>
      </c>
      <c r="EG158" s="901">
        <f t="shared" si="1152"/>
      </c>
      <c r="EH158" s="899">
        <f t="shared" si="1152"/>
      </c>
      <c r="EI158" s="899">
        <f t="shared" si="1152"/>
      </c>
      <c r="EJ158" s="899">
        <f t="shared" si="1152"/>
      </c>
      <c r="EK158" s="901">
        <f t="shared" si="1152"/>
      </c>
      <c r="EM158" s="2195"/>
      <c r="EN158" s="2195"/>
      <c r="EO158" s="2196"/>
      <c r="EP158" s="2196"/>
      <c r="EQ158" s="2196"/>
      <c r="ER158" s="2196"/>
      <c r="ES158" s="2196"/>
      <c r="ET158" s="2196"/>
      <c r="EU158" s="2196"/>
      <c r="EV158" s="2196"/>
      <c r="EW158" s="2196"/>
      <c r="EX158" s="2196"/>
      <c r="EY158" s="2196"/>
      <c r="EZ158" s="2196"/>
      <c r="FA158" s="2196">
        <f t="shared" ref="FA158:FG158" si="1153">+FA13/FA99</f>
      </c>
      <c r="FB158" s="2196">
        <f t="shared" si="1153"/>
      </c>
      <c r="FC158" s="2196">
        <f t="shared" si="1153"/>
      </c>
      <c r="FD158" s="2196">
        <f t="shared" si="1153"/>
      </c>
      <c r="FE158" s="2196">
        <f t="shared" si="1153"/>
      </c>
      <c r="FF158" s="2196">
        <f t="shared" si="1153"/>
      </c>
      <c r="FG158" s="2196">
        <f t="shared" si="1153"/>
      </c>
      <c r="FH158" s="2196">
        <f>+FH13/FH99</f>
      </c>
      <c r="FI158" s="2196">
        <f t="shared" ref="FI158:FP158" si="1154">+FI49/FI99</f>
      </c>
      <c r="FJ158" s="2196">
        <f t="shared" si="1154"/>
      </c>
      <c r="FK158" s="2196">
        <f t="shared" si="1154"/>
      </c>
      <c r="FL158" s="2196">
        <f t="shared" si="1154"/>
      </c>
      <c r="FM158" s="2196">
        <f t="shared" si="1154"/>
      </c>
      <c r="FN158" s="2196">
        <f t="shared" si="1154"/>
      </c>
      <c r="FO158" s="2196">
        <f t="shared" si="1154"/>
      </c>
      <c r="FP158" s="2196">
        <f t="shared" si="1154"/>
      </c>
      <c r="FQ158" s="2196">
        <f>+FQ49/FQ99</f>
      </c>
      <c r="FR158" s="2196">
        <f t="shared" ref="FR158:FU158" si="1155">+FR49/FR99</f>
      </c>
      <c r="FS158" s="2196">
        <f t="shared" si="1155"/>
      </c>
      <c r="FT158" s="2196">
        <f t="shared" si="1155"/>
      </c>
      <c r="FU158" s="2196">
        <f t="shared" si="1155"/>
      </c>
      <c r="FW158" s="899"/>
      <c r="GM158" s="370">
        <f t="shared" ref="GM158:HB158" si="1156">+GM13/GM99</f>
      </c>
      <c r="GN158" s="370">
        <f t="shared" si="1156"/>
      </c>
      <c r="GO158" s="370">
        <f t="shared" si="1156"/>
      </c>
      <c r="GP158" s="370">
        <f t="shared" si="1156"/>
      </c>
      <c r="GQ158" s="370">
        <f t="shared" si="1156"/>
      </c>
      <c r="GR158" s="370">
        <f t="shared" si="1156"/>
      </c>
      <c r="GS158" s="370">
        <f t="shared" si="1156"/>
      </c>
      <c r="GT158" s="370">
        <f t="shared" si="1156"/>
      </c>
      <c r="GU158" s="370">
        <f t="shared" si="1156"/>
      </c>
      <c r="GV158" s="370">
        <f t="shared" si="1156"/>
      </c>
      <c r="GW158" s="370">
        <f t="shared" si="1156"/>
      </c>
      <c r="GX158" s="370">
        <f t="shared" si="1156"/>
      </c>
      <c r="GY158" s="370">
        <f t="shared" si="1156"/>
      </c>
      <c r="GZ158" s="370">
        <f t="shared" si="1156"/>
      </c>
      <c r="HA158" s="370">
        <f t="shared" si="1156"/>
      </c>
      <c r="HB158" s="370">
        <f t="shared" si="1156"/>
      </c>
      <c r="HC158" s="370">
        <f t="shared" ref="HC158:HF158" si="1157">+HC13/HC99</f>
      </c>
      <c r="HD158" s="370">
        <f t="shared" si="1157"/>
      </c>
      <c r="HE158" s="370">
        <f t="shared" si="1157"/>
      </c>
      <c r="HF158" s="370">
        <f t="shared" si="1157"/>
      </c>
    </row>
    <row r="159" spans="1:214" s="905" customFormat="1" ht="10.199999999999999">
      <c r="A159" s="904" t="s">
        <v>95</v>
      </c>
      <c r="B159" s="779"/>
      <c r="C159" s="779"/>
      <c r="D159" s="779"/>
      <c r="E159" s="780"/>
      <c r="F159" s="779"/>
      <c r="G159" s="779"/>
      <c r="H159" s="779"/>
      <c r="I159" s="780"/>
      <c r="J159" s="779"/>
      <c r="K159" s="779"/>
      <c r="L159" s="779"/>
      <c r="M159" s="780"/>
      <c r="N159" s="779"/>
      <c r="O159" s="779"/>
      <c r="P159" s="779"/>
      <c r="Q159" s="780"/>
      <c r="R159" s="779"/>
      <c r="S159" s="779"/>
      <c r="T159" s="779"/>
      <c r="U159" s="780"/>
      <c r="V159" s="779"/>
      <c r="W159" s="779"/>
      <c r="X159" s="779"/>
      <c r="Y159" s="780"/>
      <c r="Z159" s="779"/>
      <c r="AA159" s="779"/>
      <c r="AB159" s="779"/>
      <c r="AC159" s="780"/>
      <c r="AD159" s="779"/>
      <c r="AE159" s="779"/>
      <c r="AF159" s="779"/>
      <c r="AG159" s="780"/>
      <c r="AH159" s="779"/>
      <c r="AI159" s="779"/>
      <c r="AJ159" s="779"/>
      <c r="AK159" s="780"/>
      <c r="AL159" s="779"/>
      <c r="AM159" s="779"/>
      <c r="AN159" s="779"/>
      <c r="AO159" s="780"/>
      <c r="AP159" s="779"/>
      <c r="AQ159" s="779"/>
      <c r="AR159" s="779"/>
      <c r="AS159" s="780"/>
      <c r="AT159" s="779"/>
      <c r="AU159" s="779"/>
      <c r="AV159" s="779"/>
      <c r="AW159" s="780"/>
      <c r="AX159" s="779"/>
      <c r="AY159" s="779"/>
      <c r="AZ159" s="779"/>
      <c r="BA159" s="780"/>
      <c r="BB159" s="779"/>
      <c r="BC159" s="779"/>
      <c r="BD159" s="779"/>
      <c r="BE159" s="780"/>
      <c r="BF159" s="779"/>
      <c r="BG159" s="779"/>
      <c r="BH159" s="779"/>
      <c r="BI159" s="780"/>
      <c r="BJ159" s="779"/>
      <c r="BK159" s="779"/>
      <c r="BL159" s="779"/>
      <c r="BM159" s="780"/>
      <c r="BN159" s="779"/>
      <c r="BO159" s="779"/>
      <c r="BP159" s="779"/>
      <c r="BQ159" s="780"/>
      <c r="BR159" s="779"/>
      <c r="BS159" s="779"/>
      <c r="BT159" s="779"/>
      <c r="BU159" s="780"/>
      <c r="BV159" s="779"/>
      <c r="BW159" s="779"/>
      <c r="BX159" s="779"/>
      <c r="BY159" s="780"/>
      <c r="BZ159" s="779"/>
      <c r="CA159" s="779"/>
      <c r="CB159" s="779">
        <v>400</v>
      </c>
      <c r="CC159" s="780">
        <v>425</v>
      </c>
      <c r="CD159" s="779">
        <v>440</v>
      </c>
      <c r="CE159" s="779">
        <v>400</v>
      </c>
      <c r="CF159" s="779">
        <v>400</v>
      </c>
      <c r="CG159" s="780">
        <v>420</v>
      </c>
      <c r="CH159" s="779">
        <v>450</v>
      </c>
      <c r="CI159" s="779">
        <v>470</v>
      </c>
      <c r="CJ159" s="779">
        <v>470</v>
      </c>
      <c r="CK159" s="780">
        <v>450</v>
      </c>
      <c r="CL159" s="779">
        <v>440</v>
      </c>
      <c r="CM159" s="779">
        <v>440</v>
      </c>
      <c r="CN159" s="779">
        <v>440</v>
      </c>
      <c r="CO159" s="2676">
        <v>440</v>
      </c>
      <c r="CP159" s="779">
        <v>440</v>
      </c>
      <c r="CQ159" s="779">
        <v>440</v>
      </c>
      <c r="CR159" s="779">
        <v>440</v>
      </c>
      <c r="CS159" s="2676">
        <v>450</v>
      </c>
      <c r="CT159" s="779">
        <v>450</v>
      </c>
      <c r="CU159" s="779">
        <v>450</v>
      </c>
      <c r="CV159" s="779">
        <v>450</v>
      </c>
      <c r="CW159" s="2676">
        <v>450</v>
      </c>
      <c r="CX159" s="779">
        <v>450</v>
      </c>
      <c r="CY159" s="779">
        <v>450</v>
      </c>
      <c r="CZ159" s="779">
        <v>450</v>
      </c>
      <c r="DA159" s="2676">
        <v>450</v>
      </c>
      <c r="DB159" s="779">
        <v>450</v>
      </c>
      <c r="DC159" s="779">
        <v>450</v>
      </c>
      <c r="DD159" s="779">
        <v>450</v>
      </c>
      <c r="DE159" s="2676">
        <v>550</v>
      </c>
      <c r="DF159" s="779">
        <v>550</v>
      </c>
      <c r="DG159" s="2677">
        <v>550</v>
      </c>
      <c r="DH159" s="779">
        <v>550</v>
      </c>
      <c r="DI159" s="2676">
        <v>550</v>
      </c>
      <c r="DJ159" s="779">
        <v>550</v>
      </c>
      <c r="DK159" s="779">
        <v>550</v>
      </c>
      <c r="DL159" s="779">
        <v>550</v>
      </c>
      <c r="DM159" s="2676">
        <v>500</v>
      </c>
      <c r="DN159" s="779">
        <v>500</v>
      </c>
      <c r="DO159" s="779">
        <v>500</v>
      </c>
      <c r="DP159" s="779">
        <v>500</v>
      </c>
      <c r="DQ159" s="2676">
        <v>500</v>
      </c>
      <c r="DR159" s="779">
        <v>500</v>
      </c>
      <c r="DS159" s="779">
        <v>500</v>
      </c>
      <c r="DT159" s="779">
        <v>500</v>
      </c>
      <c r="DU159" s="2676">
        <f>DT159+25</f>
      </c>
      <c r="DV159" s="779">
        <f>DU159</f>
      </c>
      <c r="DW159" s="779">
        <f t="shared" ref="DW159:EK159" si="1158">DV159</f>
      </c>
      <c r="DX159" s="779">
        <f t="shared" si="1158"/>
      </c>
      <c r="DY159" s="2676">
        <f t="shared" si="1158"/>
      </c>
      <c r="DZ159" s="779">
        <f t="shared" si="1158"/>
      </c>
      <c r="EA159" s="779">
        <f t="shared" si="1158"/>
      </c>
      <c r="EB159" s="779">
        <f t="shared" si="1158"/>
      </c>
      <c r="EC159" s="2676">
        <f t="shared" si="1158"/>
      </c>
      <c r="ED159" s="779">
        <f t="shared" si="1158"/>
      </c>
      <c r="EE159" s="779">
        <f t="shared" si="1158"/>
      </c>
      <c r="EF159" s="779">
        <f t="shared" si="1158"/>
      </c>
      <c r="EG159" s="2676">
        <f t="shared" si="1158"/>
      </c>
      <c r="EH159" s="779">
        <f t="shared" si="1158"/>
      </c>
      <c r="EI159" s="779">
        <f t="shared" si="1158"/>
      </c>
      <c r="EJ159" s="779">
        <f t="shared" si="1158"/>
      </c>
      <c r="EK159" s="2676">
        <f t="shared" si="1158"/>
      </c>
      <c r="EM159" s="779"/>
      <c r="EN159" s="779"/>
      <c r="EO159" s="1057"/>
      <c r="EP159" s="1057"/>
      <c r="EQ159" s="1057"/>
      <c r="ER159" s="1057"/>
      <c r="ES159" s="1057"/>
      <c r="ET159" s="1057"/>
      <c r="EU159" s="1057"/>
      <c r="EV159" s="1057"/>
      <c r="EW159" s="1057"/>
      <c r="EX159" s="1057"/>
      <c r="EY159" s="1057"/>
      <c r="EZ159" s="1057"/>
      <c r="FA159" s="1057"/>
      <c r="FB159" s="1057"/>
      <c r="FC159" s="1057"/>
      <c r="FD159" s="1057"/>
      <c r="FE159" s="1057"/>
      <c r="FF159" s="1057">
        <f t="shared" ref="FF159:FQ159" si="1159">+FF15/FF100</f>
      </c>
      <c r="FG159" s="1057">
        <f t="shared" si="1159"/>
      </c>
      <c r="FH159" s="1057">
        <f t="shared" si="1159"/>
      </c>
      <c r="FI159" s="1057">
        <f t="shared" si="1159"/>
      </c>
      <c r="FJ159" s="1057">
        <f t="shared" si="1159"/>
      </c>
      <c r="FK159" s="1057">
        <f t="shared" si="1159"/>
      </c>
      <c r="FL159" s="1057">
        <f t="shared" si="1159"/>
      </c>
      <c r="FM159" s="1057">
        <f t="shared" si="1159"/>
      </c>
      <c r="FN159" s="1057">
        <f t="shared" si="1159"/>
      </c>
      <c r="FO159" s="1057">
        <f t="shared" si="1159"/>
      </c>
      <c r="FP159" s="1057">
        <f t="shared" si="1159"/>
      </c>
      <c r="FQ159" s="1057">
        <f t="shared" si="1159"/>
      </c>
      <c r="FR159" s="1057">
        <f t="shared" ref="FR159:FU159" si="1160">+FR15/FR100</f>
      </c>
      <c r="FS159" s="1057">
        <f t="shared" si="1160"/>
      </c>
      <c r="FT159" s="1057">
        <f t="shared" si="1160"/>
      </c>
      <c r="FU159" s="1057">
        <f t="shared" si="1160"/>
      </c>
      <c r="FW159" s="1057"/>
      <c r="FX159" s="779"/>
      <c r="FY159" s="779"/>
      <c r="FZ159" s="779"/>
      <c r="GA159" s="779"/>
      <c r="GB159" s="779"/>
      <c r="GC159" s="779"/>
      <c r="GD159" s="779"/>
      <c r="GE159" s="779"/>
      <c r="GF159" s="779"/>
      <c r="GG159" s="779"/>
      <c r="GH159" s="779"/>
      <c r="GI159" s="779"/>
      <c r="GJ159" s="779"/>
      <c r="GK159" s="779"/>
      <c r="GL159" s="779"/>
      <c r="GM159" s="779"/>
      <c r="GN159" s="779"/>
      <c r="GO159" s="779"/>
      <c r="GP159" s="779"/>
      <c r="GQ159" s="779"/>
      <c r="GR159" s="1057">
        <f t="shared" ref="GR159:HB159" si="1161">+GR15/GR100</f>
      </c>
      <c r="GS159" s="1057">
        <f t="shared" si="1161"/>
      </c>
      <c r="GT159" s="1057">
        <f t="shared" si="1161"/>
      </c>
      <c r="GU159" s="1057">
        <f t="shared" si="1161"/>
      </c>
      <c r="GV159" s="1057">
        <f t="shared" si="1161"/>
      </c>
      <c r="GW159" s="1057">
        <f t="shared" si="1161"/>
      </c>
      <c r="GX159" s="1057">
        <f t="shared" si="1161"/>
      </c>
      <c r="GY159" s="1057">
        <f t="shared" si="1161"/>
      </c>
      <c r="GZ159" s="1057">
        <f t="shared" si="1161"/>
      </c>
      <c r="HA159" s="1057">
        <f t="shared" si="1161"/>
      </c>
      <c r="HB159" s="1057">
        <f t="shared" si="1161"/>
      </c>
      <c r="HC159" s="1057">
        <f t="shared" ref="HC159:HF159" si="1162">+HC15/HC100</f>
      </c>
      <c r="HD159" s="1057">
        <f t="shared" si="1162"/>
      </c>
      <c r="HE159" s="1057">
        <f t="shared" si="1162"/>
      </c>
      <c r="HF159" s="1057">
        <f t="shared" si="1162"/>
      </c>
    </row>
    <row r="160" spans="1:214" s="370" customFormat="1" ht="10.199999999999999">
      <c r="A160" s="906" t="s">
        <v>93</v>
      </c>
      <c r="E160" s="423"/>
      <c r="I160" s="423"/>
      <c r="M160" s="423"/>
      <c r="Q160" s="423"/>
      <c r="U160" s="423"/>
      <c r="Y160" s="423"/>
      <c r="Z160" s="370">
        <f t="shared" ref="Z160:BE160" si="1163">+Z18/Z101</f>
      </c>
      <c r="AA160" s="370">
        <f t="shared" si="1163"/>
      </c>
      <c r="AB160" s="370">
        <f t="shared" si="1163"/>
      </c>
      <c r="AC160" s="423">
        <f t="shared" si="1163"/>
      </c>
      <c r="AD160" s="370">
        <f t="shared" si="1163"/>
      </c>
      <c r="AE160" s="370">
        <f t="shared" si="1163"/>
      </c>
      <c r="AF160" s="370">
        <f t="shared" si="1163"/>
      </c>
      <c r="AG160" s="423">
        <f t="shared" si="1163"/>
      </c>
      <c r="AH160" s="370">
        <f t="shared" si="1163"/>
      </c>
      <c r="AI160" s="370">
        <f t="shared" si="1163"/>
      </c>
      <c r="AJ160" s="370">
        <f t="shared" si="1163"/>
      </c>
      <c r="AK160" s="423">
        <f t="shared" si="1163"/>
      </c>
      <c r="AL160" s="370">
        <f t="shared" si="1163"/>
      </c>
      <c r="AM160" s="370">
        <f t="shared" si="1163"/>
      </c>
      <c r="AN160" s="370">
        <f t="shared" si="1163"/>
      </c>
      <c r="AO160" s="423">
        <f t="shared" si="1163"/>
      </c>
      <c r="AP160" s="370">
        <f t="shared" si="1163"/>
      </c>
      <c r="AQ160" s="370">
        <f t="shared" si="1163"/>
      </c>
      <c r="AR160" s="370">
        <f t="shared" si="1163"/>
      </c>
      <c r="AS160" s="423">
        <f t="shared" si="1163"/>
      </c>
      <c r="AT160" s="370">
        <f t="shared" si="1163"/>
      </c>
      <c r="AU160" s="370">
        <f t="shared" si="1163"/>
      </c>
      <c r="AV160" s="370">
        <f t="shared" si="1163"/>
      </c>
      <c r="AW160" s="423">
        <f t="shared" si="1163"/>
      </c>
      <c r="AX160" s="370">
        <f t="shared" si="1163"/>
      </c>
      <c r="AY160" s="370">
        <f t="shared" si="1163"/>
      </c>
      <c r="AZ160" s="370">
        <f t="shared" si="1163"/>
      </c>
      <c r="BA160" s="423">
        <f t="shared" si="1163"/>
      </c>
      <c r="BB160" s="370">
        <f t="shared" si="1163"/>
      </c>
      <c r="BC160" s="370">
        <f t="shared" si="1163"/>
      </c>
      <c r="BD160" s="370">
        <f t="shared" si="1163"/>
      </c>
      <c r="BE160" s="423">
        <f t="shared" si="1163"/>
      </c>
      <c r="BF160" s="370">
        <f t="shared" ref="BF160:BZ160" si="1164">+BF18/BF101</f>
      </c>
      <c r="BG160" s="370">
        <f t="shared" si="1164"/>
      </c>
      <c r="BH160" s="370">
        <f t="shared" si="1164"/>
      </c>
      <c r="BI160" s="423">
        <f t="shared" si="1164"/>
      </c>
      <c r="BJ160" s="370">
        <f t="shared" si="1164"/>
      </c>
      <c r="BK160" s="370">
        <f t="shared" si="1164"/>
      </c>
      <c r="BL160" s="370">
        <f t="shared" si="1164"/>
      </c>
      <c r="BM160" s="423">
        <f t="shared" si="1164"/>
      </c>
      <c r="BN160" s="370">
        <f t="shared" si="1164"/>
      </c>
      <c r="BO160" s="370">
        <f t="shared" si="1164"/>
      </c>
      <c r="BP160" s="370">
        <f t="shared" si="1164"/>
      </c>
      <c r="BQ160" s="423">
        <f t="shared" si="1164"/>
      </c>
      <c r="BR160" s="370">
        <f t="shared" si="1164"/>
      </c>
      <c r="BS160" s="370">
        <f t="shared" si="1164"/>
      </c>
      <c r="BT160" s="370">
        <f t="shared" si="1164"/>
      </c>
      <c r="BU160" s="423">
        <f t="shared" si="1164"/>
      </c>
      <c r="BV160" s="370">
        <f t="shared" si="1164"/>
      </c>
      <c r="BW160" s="370">
        <f t="shared" si="1164"/>
      </c>
      <c r="BX160" s="370">
        <f t="shared" si="1164"/>
      </c>
      <c r="BY160" s="423">
        <f t="shared" si="1164"/>
      </c>
      <c r="BZ160" s="370">
        <f t="shared" si="1164"/>
      </c>
      <c r="CA160" s="370">
        <f>IF(ISERROR(CA18/CA101),"NA",CA18/CA101)</f>
      </c>
      <c r="CB160" s="370">
        <f t="shared" ref="CB160:DM160" si="1165">+BX160*(1+CB167)</f>
      </c>
      <c r="CC160" s="423">
        <f t="shared" si="1165"/>
      </c>
      <c r="CD160" s="370">
        <f t="shared" si="1165"/>
      </c>
      <c r="CE160" s="370">
        <f t="shared" si="1165"/>
      </c>
      <c r="CF160" s="370">
        <f t="shared" si="1165"/>
      </c>
      <c r="CG160" s="423">
        <f t="shared" si="1165"/>
      </c>
      <c r="CH160" s="370">
        <f t="shared" si="1165"/>
      </c>
      <c r="CI160" s="370">
        <f t="shared" si="1165"/>
      </c>
      <c r="CJ160" s="370">
        <f t="shared" si="1165"/>
      </c>
      <c r="CK160" s="423">
        <f t="shared" si="1165"/>
      </c>
      <c r="CL160" s="370">
        <f t="shared" si="1165"/>
      </c>
      <c r="CM160" s="370">
        <f t="shared" si="1165"/>
      </c>
      <c r="CN160" s="370">
        <f t="shared" si="1165"/>
      </c>
      <c r="CO160" s="423">
        <f t="shared" si="1165"/>
      </c>
      <c r="CP160" s="370">
        <f t="shared" si="1165"/>
      </c>
      <c r="CQ160" s="370">
        <f t="shared" si="1165"/>
      </c>
      <c r="CR160" s="370">
        <f t="shared" si="1165"/>
      </c>
      <c r="CS160" s="423">
        <f t="shared" si="1165"/>
      </c>
      <c r="CT160" s="370">
        <f t="shared" si="1165"/>
      </c>
      <c r="CU160" s="370">
        <f t="shared" si="1165"/>
      </c>
      <c r="CV160" s="370">
        <f t="shared" si="1165"/>
      </c>
      <c r="CW160" s="423">
        <f t="shared" si="1165"/>
      </c>
      <c r="CX160" s="370">
        <f t="shared" si="1165"/>
      </c>
      <c r="CY160" s="370">
        <f t="shared" si="1165"/>
      </c>
      <c r="CZ160" s="370">
        <f t="shared" si="1165"/>
      </c>
      <c r="DA160" s="423">
        <f t="shared" si="1165"/>
      </c>
      <c r="DB160" s="370">
        <f t="shared" si="1165"/>
      </c>
      <c r="DC160" s="370">
        <f t="shared" si="1165"/>
      </c>
      <c r="DD160" s="370">
        <f t="shared" si="1165"/>
      </c>
      <c r="DE160" s="423">
        <f t="shared" si="1165"/>
      </c>
      <c r="DF160" s="370">
        <f t="shared" si="1165"/>
      </c>
      <c r="DG160" s="370">
        <f t="shared" si="1165"/>
      </c>
      <c r="DH160" s="370">
        <f t="shared" si="1165"/>
      </c>
      <c r="DI160" s="423">
        <f t="shared" si="1165"/>
      </c>
      <c r="DJ160" s="370">
        <f t="shared" si="1165"/>
      </c>
      <c r="DK160" s="370">
        <f>+DG160*(1+DK167)</f>
      </c>
      <c r="DL160" s="370">
        <f>+DH160*(1+DL167)</f>
      </c>
      <c r="DM160" s="423">
        <f t="shared" si="1165"/>
      </c>
      <c r="DN160" s="370">
        <f t="shared" ref="DN160:DV160" si="1166">+DJ160*(1+DN167)</f>
      </c>
      <c r="DO160" s="370">
        <f t="shared" si="1166"/>
      </c>
      <c r="DP160" s="370">
        <f t="shared" si="1166"/>
      </c>
      <c r="DQ160" s="423">
        <f t="shared" si="1166"/>
      </c>
      <c r="DR160" s="370">
        <f t="shared" si="1166"/>
      </c>
      <c r="DS160" s="370">
        <f t="shared" si="1166"/>
      </c>
      <c r="DT160" s="370">
        <f t="shared" si="1166"/>
      </c>
      <c r="DU160" s="423">
        <f t="shared" si="1166"/>
      </c>
      <c r="DV160" s="370">
        <f t="shared" si="1166"/>
      </c>
      <c r="DW160" s="370">
        <f t="shared" ref="DW160" si="1167">+DS160*(1+DW167)</f>
      </c>
      <c r="DX160" s="370">
        <f t="shared" ref="DX160" si="1168">+DT160*(1+DX167)</f>
      </c>
      <c r="DY160" s="423">
        <f t="shared" ref="DY160" si="1169">+DU160*(1+DY167)</f>
      </c>
      <c r="DZ160" s="370">
        <f t="shared" ref="DZ160" si="1170">+DV160*(1+DZ167)</f>
      </c>
      <c r="EA160" s="370">
        <f t="shared" ref="EA160" si="1171">+DW160*(1+EA167)</f>
      </c>
      <c r="EB160" s="370">
        <f t="shared" ref="EB160" si="1172">+DX160*(1+EB167)</f>
      </c>
      <c r="EC160" s="423">
        <f t="shared" ref="EC160" si="1173">+DY160*(1+EC167)</f>
      </c>
      <c r="ED160" s="370">
        <f t="shared" ref="ED160" si="1174">+DZ160*(1+ED167)</f>
      </c>
      <c r="EE160" s="370">
        <f t="shared" ref="EE160" si="1175">+EA160*(1+EE167)</f>
      </c>
      <c r="EF160" s="370">
        <f t="shared" ref="EF160" si="1176">+EB160*(1+EF167)</f>
      </c>
      <c r="EG160" s="423">
        <f t="shared" ref="EG160" si="1177">+EC160*(1+EG167)</f>
      </c>
      <c r="EH160" s="370">
        <f t="shared" ref="EH160" si="1178">+ED160*(1+EH167)</f>
      </c>
      <c r="EI160" s="370">
        <f t="shared" ref="EI160" si="1179">+EE160*(1+EI167)</f>
      </c>
      <c r="EJ160" s="370">
        <f t="shared" ref="EJ160" si="1180">+EF160*(1+EJ167)</f>
      </c>
      <c r="EK160" s="423">
        <f t="shared" ref="EK160" si="1181">+EG160*(1+EK167)</f>
      </c>
      <c r="EO160" s="899"/>
      <c r="EP160" s="899"/>
      <c r="EQ160" s="899"/>
      <c r="ER160" s="899"/>
      <c r="ES160" s="899">
        <f t="shared" ref="ES160:FQ160" si="1182">IF(ISERROR(ES18/ES101),"NA",ES18/ES101)</f>
      </c>
      <c r="ET160" s="899">
        <f t="shared" si="1182"/>
      </c>
      <c r="EU160" s="899">
        <f t="shared" si="1182"/>
      </c>
      <c r="EV160" s="899">
        <f t="shared" si="1182"/>
      </c>
      <c r="EW160" s="899">
        <f t="shared" si="1182"/>
      </c>
      <c r="EX160" s="899">
        <f t="shared" si="1182"/>
      </c>
      <c r="EY160" s="899">
        <f t="shared" si="1182"/>
      </c>
      <c r="EZ160" s="899">
        <f t="shared" si="1182"/>
      </c>
      <c r="FA160" s="899">
        <f t="shared" si="1182"/>
      </c>
      <c r="FB160" s="899">
        <f t="shared" si="1182"/>
      </c>
      <c r="FC160" s="899">
        <f t="shared" si="1182"/>
      </c>
      <c r="FD160" s="899">
        <f t="shared" si="1182"/>
      </c>
      <c r="FE160" s="899">
        <f t="shared" si="1182"/>
      </c>
      <c r="FF160" s="899">
        <f t="shared" si="1182"/>
      </c>
      <c r="FG160" s="899">
        <f t="shared" si="1182"/>
      </c>
      <c r="FH160" s="899">
        <f t="shared" si="1182"/>
      </c>
      <c r="FI160" s="1018" t="str">
        <f t="shared" si="1182"/>
      </c>
      <c r="FJ160" s="1018" t="str">
        <f t="shared" si="1182"/>
      </c>
      <c r="FK160" s="1018" t="str">
        <f t="shared" si="1182"/>
      </c>
      <c r="FL160" s="1018" t="str">
        <f t="shared" si="1182"/>
      </c>
      <c r="FM160" s="1018" t="str">
        <f t="shared" si="1182"/>
      </c>
      <c r="FN160" s="1018" t="str">
        <f t="shared" si="1182"/>
      </c>
      <c r="FO160" s="1018" t="str">
        <f t="shared" si="1182"/>
      </c>
      <c r="FP160" s="1018" t="str">
        <f t="shared" si="1182"/>
      </c>
      <c r="FQ160" s="1018" t="str">
        <f t="shared" si="1182"/>
      </c>
      <c r="FR160" s="1018" t="str">
        <f t="shared" ref="FR160:FU160" si="1183">IF(ISERROR(FR18/FR101),"NA",FR18/FR101)</f>
      </c>
      <c r="FS160" s="1018" t="str">
        <f t="shared" si="1183"/>
      </c>
      <c r="FT160" s="1018" t="str">
        <f t="shared" si="1183"/>
      </c>
      <c r="FU160" s="1018" t="str">
        <f t="shared" si="1183"/>
      </c>
      <c r="FW160" s="1018"/>
      <c r="GD160" s="370">
        <f t="shared" ref="GD160:HB160" si="1184">IF(ISERROR(GD18/GD101),"NA",GD18/GD101)</f>
      </c>
      <c r="GE160" s="370">
        <f t="shared" si="1184"/>
      </c>
      <c r="GF160" s="370">
        <f t="shared" si="1184"/>
      </c>
      <c r="GG160" s="370">
        <f t="shared" si="1184"/>
      </c>
      <c r="GH160" s="370">
        <f t="shared" si="1184"/>
      </c>
      <c r="GI160" s="370">
        <f t="shared" si="1184"/>
      </c>
      <c r="GJ160" s="370">
        <f t="shared" si="1184"/>
      </c>
      <c r="GK160" s="370">
        <f t="shared" si="1184"/>
      </c>
      <c r="GL160" s="370">
        <f t="shared" si="1184"/>
      </c>
      <c r="GM160" s="370">
        <f t="shared" si="1184"/>
      </c>
      <c r="GN160" s="370">
        <f t="shared" si="1184"/>
      </c>
      <c r="GO160" s="370">
        <f t="shared" si="1184"/>
      </c>
      <c r="GP160" s="370">
        <f t="shared" si="1184"/>
      </c>
      <c r="GQ160" s="370">
        <f t="shared" si="1184"/>
      </c>
      <c r="GR160" s="370">
        <f t="shared" si="1184"/>
      </c>
      <c r="GS160" s="370">
        <f t="shared" si="1184"/>
      </c>
      <c r="GT160" s="370">
        <f t="shared" si="1184"/>
      </c>
      <c r="GU160" s="370" t="str">
        <f t="shared" si="1184"/>
      </c>
      <c r="GV160" s="370" t="str">
        <f t="shared" si="1184"/>
      </c>
      <c r="GW160" s="370" t="str">
        <f t="shared" si="1184"/>
      </c>
      <c r="GX160" s="370" t="str">
        <f t="shared" si="1184"/>
      </c>
      <c r="GY160" s="370" t="str">
        <f t="shared" si="1184"/>
      </c>
      <c r="GZ160" s="1285" t="str">
        <f t="shared" si="1184"/>
      </c>
      <c r="HA160" s="1285" t="str">
        <f t="shared" si="1184"/>
      </c>
      <c r="HB160" s="1285" t="str">
        <f t="shared" si="1184"/>
      </c>
      <c r="HC160" s="1285" t="str">
        <f t="shared" ref="HC160:HF160" si="1185">IF(ISERROR(HC18/HC101),"NA",HC18/HC101)</f>
      </c>
      <c r="HD160" s="1285" t="str">
        <f t="shared" si="1185"/>
      </c>
      <c r="HE160" s="1285" t="str">
        <f t="shared" si="1185"/>
      </c>
      <c r="HF160" s="1285" t="str">
        <f t="shared" si="1185"/>
      </c>
    </row>
    <row r="161" spans="1:214" s="139" customFormat="1" ht="10.199999999999999">
      <c r="A161" s="148"/>
      <c r="B161" s="138"/>
      <c r="C161" s="138"/>
      <c r="D161" s="138"/>
      <c r="E161" s="273"/>
      <c r="F161" s="138"/>
      <c r="G161" s="138"/>
      <c r="H161" s="138"/>
      <c r="I161" s="273"/>
      <c r="J161" s="138"/>
      <c r="K161" s="138"/>
      <c r="L161" s="138"/>
      <c r="M161" s="273"/>
      <c r="N161" s="138"/>
      <c r="O161" s="138"/>
      <c r="P161" s="138"/>
      <c r="Q161" s="273"/>
      <c r="R161" s="138"/>
      <c r="S161" s="138"/>
      <c r="T161" s="138"/>
      <c r="U161" s="273"/>
      <c r="V161" s="138"/>
      <c r="W161" s="138"/>
      <c r="X161" s="138"/>
      <c r="Y161" s="273"/>
      <c r="Z161" s="99"/>
      <c r="AA161" s="99"/>
      <c r="AB161" s="99"/>
      <c r="AC161" s="462"/>
      <c r="AD161" s="99"/>
      <c r="AE161" s="99"/>
      <c r="AF161" s="99"/>
      <c r="AG161" s="462"/>
      <c r="AH161" s="99"/>
      <c r="AI161" s="99"/>
      <c r="AJ161" s="99"/>
      <c r="AK161" s="462"/>
      <c r="AL161" s="99"/>
      <c r="AM161" s="99"/>
      <c r="AN161" s="99"/>
      <c r="AO161" s="462"/>
      <c r="AP161" s="99"/>
      <c r="AQ161" s="99"/>
      <c r="AR161" s="99"/>
      <c r="AS161" s="462"/>
      <c r="AT161" s="99"/>
      <c r="AU161" s="99"/>
      <c r="AV161" s="99"/>
      <c r="AW161" s="462"/>
      <c r="AX161" s="99"/>
      <c r="AY161" s="99"/>
      <c r="AZ161" s="99"/>
      <c r="BA161" s="462"/>
      <c r="BB161" s="99"/>
      <c r="BC161" s="99"/>
      <c r="BD161" s="99"/>
      <c r="BE161" s="462"/>
      <c r="BF161" s="99"/>
      <c r="BG161" s="99"/>
      <c r="BH161" s="99"/>
      <c r="BI161" s="462"/>
      <c r="BJ161" s="99"/>
      <c r="BK161" s="99"/>
      <c r="BL161" s="99"/>
      <c r="BM161" s="462"/>
      <c r="BN161" s="99"/>
      <c r="BO161" s="99"/>
      <c r="BP161" s="99"/>
      <c r="BQ161" s="462"/>
      <c r="BR161" s="99"/>
      <c r="BS161" s="99"/>
      <c r="BT161" s="99"/>
      <c r="BU161" s="462"/>
      <c r="BV161" s="99"/>
      <c r="BW161" s="99"/>
      <c r="BX161" s="99"/>
      <c r="BY161" s="462"/>
      <c r="BZ161" s="99"/>
      <c r="CA161" s="99"/>
      <c r="CB161" s="99"/>
      <c r="CC161" s="462"/>
      <c r="CD161" s="524"/>
      <c r="CE161" s="524"/>
      <c r="CF161" s="524"/>
      <c r="CG161" s="824"/>
      <c r="CH161" s="524"/>
      <c r="CI161" s="524"/>
      <c r="CJ161" s="524"/>
      <c r="CK161" s="824"/>
      <c r="CL161" s="524"/>
      <c r="CM161" s="524"/>
      <c r="CN161" s="524"/>
      <c r="CO161" s="824"/>
      <c r="CP161" s="390"/>
      <c r="CQ161" s="390"/>
      <c r="CR161" s="390"/>
      <c r="CS161" s="430"/>
      <c r="CT161" s="390"/>
      <c r="CU161" s="390"/>
      <c r="CV161" s="390"/>
      <c r="CW161" s="430"/>
      <c r="CX161" s="390"/>
      <c r="CY161" s="390"/>
      <c r="CZ161" s="390"/>
      <c r="DA161" s="430"/>
      <c r="DB161" s="390"/>
      <c r="DC161" s="390"/>
      <c r="DD161" s="390"/>
      <c r="DE161" s="430"/>
      <c r="DF161" s="390"/>
      <c r="DG161" s="390"/>
      <c r="DH161" s="390"/>
      <c r="DI161" s="430"/>
      <c r="DJ161" s="390"/>
      <c r="DK161" s="390"/>
      <c r="DL161" s="390"/>
      <c r="DM161" s="430"/>
      <c r="DN161" s="390"/>
      <c r="DO161" s="390"/>
      <c r="DP161" s="390"/>
      <c r="DQ161" s="430"/>
      <c r="DR161" s="390"/>
      <c r="DS161" s="390"/>
      <c r="DT161" s="390"/>
      <c r="DU161" s="430"/>
      <c r="DV161" s="390"/>
      <c r="DW161" s="390"/>
      <c r="DX161" s="390"/>
      <c r="DY161" s="430"/>
      <c r="DZ161" s="390"/>
      <c r="EA161" s="390"/>
      <c r="EB161" s="390"/>
      <c r="EC161" s="430"/>
      <c r="ED161" s="390"/>
      <c r="EE161" s="390"/>
      <c r="EF161" s="390"/>
      <c r="EG161" s="430"/>
      <c r="EH161" s="390"/>
      <c r="EI161" s="390"/>
      <c r="EJ161" s="390"/>
      <c r="EK161" s="430"/>
      <c r="EL161" s="390"/>
      <c r="EM161" s="390"/>
      <c r="EN161" s="390"/>
      <c r="EO161" s="390"/>
      <c r="EP161" s="390"/>
      <c r="EQ161" s="390"/>
      <c r="ER161" s="390"/>
      <c r="ES161" s="390"/>
      <c r="ET161" s="390"/>
      <c r="EU161" s="390"/>
      <c r="EV161" s="390"/>
      <c r="EW161" s="390"/>
      <c r="EX161" s="390"/>
      <c r="EY161" s="390"/>
      <c r="EZ161" s="390"/>
      <c r="FA161" s="390"/>
      <c r="FB161" s="390"/>
      <c r="FC161" s="390"/>
      <c r="FD161" s="390"/>
      <c r="FE161" s="390"/>
      <c r="FF161" s="390"/>
      <c r="FG161" s="390"/>
      <c r="FH161" s="390"/>
      <c r="FI161" s="390"/>
      <c r="FJ161" s="390"/>
      <c r="FK161" s="390"/>
      <c r="FL161" s="390"/>
      <c r="FM161" s="390"/>
      <c r="FN161" s="390"/>
      <c r="FO161" s="390"/>
      <c r="FP161" s="390"/>
      <c r="FQ161" s="390"/>
      <c r="FR161" s="390"/>
      <c r="FS161" s="390"/>
      <c r="FT161" s="390"/>
      <c r="FU161" s="390"/>
      <c r="FW161" s="390"/>
      <c r="FX161" s="390"/>
      <c r="FY161" s="390"/>
      <c r="FZ161" s="390"/>
      <c r="GA161" s="390"/>
      <c r="GB161" s="390"/>
      <c r="GC161" s="390"/>
      <c r="GD161" s="390"/>
      <c r="GE161" s="390"/>
      <c r="GF161" s="390"/>
      <c r="GG161" s="390"/>
      <c r="GH161" s="390"/>
      <c r="GI161" s="390"/>
      <c r="GJ161" s="390"/>
      <c r="GK161" s="390"/>
      <c r="GL161" s="390"/>
      <c r="GM161" s="390"/>
      <c r="GN161" s="390"/>
      <c r="GO161" s="390"/>
      <c r="GP161" s="390"/>
      <c r="GQ161" s="390"/>
      <c r="GR161" s="390"/>
      <c r="GS161" s="390"/>
      <c r="GT161" s="390"/>
      <c r="GU161" s="390"/>
      <c r="GV161" s="390"/>
      <c r="GW161" s="390"/>
      <c r="GX161" s="390"/>
      <c r="GY161" s="390"/>
      <c r="GZ161" s="430"/>
      <c r="HA161" s="430"/>
      <c r="HB161" s="430"/>
      <c r="HC161" s="430"/>
      <c r="HD161" s="430"/>
      <c r="HE161" s="430"/>
      <c r="HF161" s="430"/>
    </row>
    <row r="162" spans="1:214" s="16" customFormat="1" ht="10.199999999999999">
      <c r="A162" s="708" t="s">
        <v>1451</v>
      </c>
      <c r="B162" s="706" t="str">
        <f>'Revenue summary'!B$8</f>
      </c>
      <c r="C162" s="706" t="str">
        <f>'Revenue summary'!C$8</f>
      </c>
      <c r="D162" s="706" t="str">
        <f>'Revenue summary'!D$8</f>
      </c>
      <c r="E162" s="707" t="str">
        <f>'Revenue summary'!E$8</f>
      </c>
      <c r="F162" s="706" t="str">
        <f>'Revenue summary'!F$8</f>
      </c>
      <c r="G162" s="706" t="str">
        <f>'Revenue summary'!G$8</f>
      </c>
      <c r="H162" s="706" t="str">
        <f>'Revenue summary'!H$8</f>
      </c>
      <c r="I162" s="707" t="str">
        <f>'Revenue summary'!I$8</f>
      </c>
      <c r="J162" s="706" t="str">
        <f>'Revenue summary'!J$8</f>
      </c>
      <c r="K162" s="706" t="str">
        <f>'Revenue summary'!K$8</f>
      </c>
      <c r="L162" s="706" t="str">
        <f>'Revenue summary'!L$8</f>
      </c>
      <c r="M162" s="707" t="str">
        <f>'Revenue summary'!M$8</f>
      </c>
      <c r="N162" s="706" t="str">
        <f>'Revenue summary'!N$8</f>
      </c>
      <c r="O162" s="706" t="str">
        <f>'Revenue summary'!O$8</f>
      </c>
      <c r="P162" s="706" t="str">
        <f>'Revenue summary'!P$8</f>
      </c>
      <c r="Q162" s="707" t="str">
        <f>'Revenue summary'!Q$8</f>
      </c>
      <c r="R162" s="706" t="str">
        <f>'Revenue summary'!R$8</f>
      </c>
      <c r="S162" s="706" t="str">
        <f>'Revenue summary'!S$8</f>
      </c>
      <c r="T162" s="706" t="str">
        <f>'Revenue summary'!T$8</f>
      </c>
      <c r="U162" s="707" t="str">
        <f>'Revenue summary'!U$8</f>
      </c>
      <c r="V162" s="706" t="str">
        <f>'Revenue summary'!V$8</f>
      </c>
      <c r="W162" s="706" t="str">
        <f>'Revenue summary'!W$8</f>
      </c>
      <c r="X162" s="706" t="str">
        <f>'Revenue summary'!X$8</f>
      </c>
      <c r="Y162" s="707" t="str">
        <f>'Revenue summary'!Y$8</f>
      </c>
      <c r="Z162" s="706" t="str">
        <f>'Revenue summary'!Z$8</f>
      </c>
      <c r="AA162" s="706" t="str">
        <f>'Revenue summary'!AA$8</f>
      </c>
      <c r="AB162" s="706" t="str">
        <f>'Revenue summary'!AB$8</f>
      </c>
      <c r="AC162" s="707" t="str">
        <f>'Revenue summary'!AC$8</f>
      </c>
      <c r="AD162" s="706" t="str">
        <f>'Revenue summary'!AD$8</f>
      </c>
      <c r="AE162" s="706" t="str">
        <f>'Revenue summary'!AE$8</f>
      </c>
      <c r="AF162" s="706" t="str">
        <f>'Revenue summary'!AF$8</f>
      </c>
      <c r="AG162" s="707" t="str">
        <f>'Revenue summary'!AG$8</f>
      </c>
      <c r="AH162" s="706" t="str">
        <f>'Revenue summary'!AH$8</f>
      </c>
      <c r="AI162" s="706" t="str">
        <f>'Revenue summary'!AI$8</f>
      </c>
      <c r="AJ162" s="706" t="str">
        <f>'Revenue summary'!AJ$8</f>
      </c>
      <c r="AK162" s="707" t="str">
        <f>'Revenue summary'!AK$8</f>
      </c>
      <c r="AL162" s="706" t="str">
        <f>'Revenue summary'!AL$8</f>
      </c>
      <c r="AM162" s="706" t="str">
        <f>'Revenue summary'!AM$8</f>
      </c>
      <c r="AN162" s="706" t="str">
        <f>'Revenue summary'!AN$8</f>
      </c>
      <c r="AO162" s="707" t="str">
        <f>'Revenue summary'!AO$8</f>
      </c>
      <c r="AP162" s="706" t="str">
        <f>'Revenue summary'!AP$8</f>
      </c>
      <c r="AQ162" s="706" t="str">
        <f>'Revenue summary'!AQ$8</f>
      </c>
      <c r="AR162" s="706" t="str">
        <f>'Revenue summary'!AR$8</f>
      </c>
      <c r="AS162" s="707" t="str">
        <f>'Revenue summary'!AS$8</f>
      </c>
      <c r="AT162" s="706" t="str">
        <f>'Revenue summary'!AT$8</f>
      </c>
      <c r="AU162" s="706" t="str">
        <f>'Revenue summary'!AU$8</f>
      </c>
      <c r="AV162" s="706" t="str">
        <f>'Revenue summary'!AV$8</f>
      </c>
      <c r="AW162" s="707" t="str">
        <f>'Revenue summary'!AW$8</f>
      </c>
      <c r="AX162" s="706" t="str">
        <f>'Revenue summary'!AX$8</f>
      </c>
      <c r="AY162" s="706" t="str">
        <f>'Revenue summary'!AY$8</f>
      </c>
      <c r="AZ162" s="706" t="str">
        <f>'Revenue summary'!AZ$8</f>
      </c>
      <c r="BA162" s="707" t="str">
        <f>'Revenue summary'!BA$8</f>
      </c>
      <c r="BB162" s="706" t="str">
        <f>'Revenue summary'!BB$8</f>
      </c>
      <c r="BC162" s="706" t="str">
        <f>'Revenue summary'!BC$8</f>
      </c>
      <c r="BD162" s="706" t="str">
        <f>'Revenue summary'!BD$8</f>
      </c>
      <c r="BE162" s="707" t="str">
        <f>'Revenue summary'!BE$8</f>
      </c>
      <c r="BF162" s="706" t="str">
        <f>'Revenue summary'!BF$8</f>
      </c>
      <c r="BG162" s="706" t="str">
        <f>'Revenue summary'!BG$8</f>
      </c>
      <c r="BH162" s="706" t="str">
        <f>'Revenue summary'!BH$8</f>
      </c>
      <c r="BI162" s="707" t="str">
        <f>'Revenue summary'!BI$8</f>
      </c>
      <c r="BJ162" s="706" t="str">
        <f>'Revenue summary'!BJ$8</f>
      </c>
      <c r="BK162" s="706" t="str">
        <f>'Revenue summary'!BK$8</f>
      </c>
      <c r="BL162" s="706" t="str">
        <f>'Revenue summary'!BL$8</f>
      </c>
      <c r="BM162" s="707" t="str">
        <f>'Revenue summary'!BM$8</f>
      </c>
      <c r="BN162" s="706" t="str">
        <f>'Revenue summary'!BN$8</f>
      </c>
      <c r="BO162" s="706" t="str">
        <f>'Revenue summary'!BO$8</f>
      </c>
      <c r="BP162" s="706" t="str">
        <f>'Revenue summary'!BP$8</f>
      </c>
      <c r="BQ162" s="707" t="str">
        <f>'Revenue summary'!BQ$8</f>
      </c>
      <c r="BR162" s="706" t="str">
        <f>'Revenue summary'!BR$8</f>
      </c>
      <c r="BS162" s="706" t="str">
        <f>'Revenue summary'!BS$8</f>
      </c>
      <c r="BT162" s="706" t="str">
        <f>'Revenue summary'!BT$8</f>
      </c>
      <c r="BU162" s="707" t="str">
        <f>'Revenue summary'!BU$8</f>
      </c>
      <c r="BV162" s="706" t="str">
        <f>'Revenue summary'!BV$8</f>
      </c>
      <c r="BW162" s="706" t="str">
        <f>'Revenue summary'!BW$8</f>
      </c>
      <c r="BX162" s="706" t="str">
        <f>'Revenue summary'!BX$8</f>
      </c>
      <c r="BY162" s="707" t="str">
        <f>'Revenue summary'!BY$8</f>
      </c>
      <c r="BZ162" s="706" t="str">
        <f>'Revenue summary'!BZ$8</f>
      </c>
      <c r="CA162" s="706" t="str">
        <f>'Revenue summary'!CA$8</f>
      </c>
      <c r="CB162" s="706" t="str">
        <f>'Revenue summary'!CB$8</f>
      </c>
      <c r="CC162" s="707" t="str">
        <f>'Revenue summary'!CC$8</f>
      </c>
      <c r="CD162" s="706" t="str">
        <f>'Revenue summary'!CD$8</f>
      </c>
      <c r="CE162" s="706" t="str">
        <f>'Revenue summary'!CE$8</f>
      </c>
      <c r="CF162" s="706" t="str">
        <f>'Revenue summary'!CF$8</f>
      </c>
      <c r="CG162" s="707" t="str">
        <f>'Revenue summary'!CG$8</f>
      </c>
      <c r="CH162" s="706" t="str">
        <f>'Revenue summary'!CH$8</f>
      </c>
      <c r="CI162" s="706" t="str">
        <f>'Revenue summary'!CI$8</f>
      </c>
      <c r="CJ162" s="706" t="str">
        <f>'Revenue summary'!CJ$8</f>
      </c>
      <c r="CK162" s="707" t="str">
        <f>'Revenue summary'!CK$8</f>
      </c>
      <c r="CL162" s="706" t="str">
        <f>'Revenue summary'!CL$8</f>
      </c>
      <c r="CM162" s="706" t="str">
        <f>'Revenue summary'!CM$8</f>
      </c>
      <c r="CN162" s="706" t="str">
        <f>'Revenue summary'!CN$8</f>
      </c>
      <c r="CO162" s="707" t="str">
        <f>'Revenue summary'!CO$8</f>
      </c>
      <c r="CP162" s="706" t="str">
        <f>'Revenue summary'!CP$8</f>
      </c>
      <c r="CQ162" s="706" t="str">
        <f>'Revenue summary'!CQ$8</f>
      </c>
      <c r="CR162" s="706" t="str">
        <f>'Revenue summary'!CR$8</f>
      </c>
      <c r="CS162" s="707" t="str">
        <f>'Revenue summary'!CS$8</f>
      </c>
      <c r="CT162" s="706" t="str">
        <f>'Revenue summary'!CT$8</f>
      </c>
      <c r="CU162" s="706" t="str">
        <f>'Revenue summary'!CU$8</f>
      </c>
      <c r="CV162" s="706" t="str">
        <f>'Revenue summary'!CV$8</f>
      </c>
      <c r="CW162" s="707" t="str">
        <f>'Revenue summary'!CW$8</f>
      </c>
      <c r="CX162" s="706" t="str">
        <f>'Revenue summary'!CX$8</f>
      </c>
      <c r="CY162" s="706" t="str">
        <f>'Revenue summary'!CY$8</f>
      </c>
      <c r="CZ162" s="706" t="str">
        <f>'Revenue summary'!CZ$8</f>
      </c>
      <c r="DA162" s="707" t="str">
        <f>'Revenue summary'!DA$8</f>
      </c>
      <c r="DB162" s="706" t="str">
        <f>'Revenue summary'!DB$8</f>
      </c>
      <c r="DC162" s="706" t="str">
        <f>'Revenue summary'!DC$8</f>
      </c>
      <c r="DD162" s="706" t="str">
        <f>'Revenue summary'!DD$8</f>
      </c>
      <c r="DE162" s="707" t="str">
        <f>'Revenue summary'!DE$8</f>
      </c>
      <c r="DF162" s="706" t="str">
        <f>'Revenue summary'!DF$8</f>
      </c>
      <c r="DG162" s="706" t="str">
        <f>'Revenue summary'!DG$8</f>
      </c>
      <c r="DH162" s="706" t="str">
        <f>'Revenue summary'!DH$8</f>
      </c>
      <c r="DI162" s="707" t="str">
        <f>'Revenue summary'!DI$8</f>
      </c>
      <c r="DJ162" s="706" t="str">
        <f>'Revenue summary'!DJ$8</f>
      </c>
      <c r="DK162" s="706" t="str">
        <f>'Revenue summary'!DK$8</f>
      </c>
      <c r="DL162" s="706" t="str">
        <f>'Revenue summary'!DL$8</f>
      </c>
      <c r="DM162" s="707" t="str">
        <f>'Revenue summary'!DM$8</f>
      </c>
      <c r="DN162" s="706" t="str">
        <f>'Revenue summary'!DN$8</f>
      </c>
      <c r="DO162" s="706" t="str">
        <f>'Revenue summary'!DO$8</f>
      </c>
      <c r="DP162" s="706" t="str">
        <f>'Revenue summary'!DP$8</f>
      </c>
      <c r="DQ162" s="707" t="str">
        <f>'Revenue summary'!DQ$8</f>
      </c>
      <c r="DR162" s="706" t="str">
        <f>'Revenue summary'!DR$8</f>
      </c>
      <c r="DS162" s="706" t="str">
        <f>'Revenue summary'!DS$8</f>
      </c>
      <c r="DT162" s="706" t="str">
        <f>'Revenue summary'!DT$8</f>
      </c>
      <c r="DU162" s="707" t="str">
        <f>'Revenue summary'!DU$8</f>
      </c>
      <c r="DV162" s="706" t="str">
        <f>'Revenue summary'!DV$8</f>
      </c>
      <c r="DW162" s="706" t="str">
        <f>'Revenue summary'!DW$8</f>
      </c>
      <c r="DX162" s="706" t="str">
        <f>'Revenue summary'!DX$8</f>
      </c>
      <c r="DY162" s="707" t="str">
        <f>'Revenue summary'!DY$8</f>
      </c>
      <c r="DZ162" s="706" t="str">
        <f>'Revenue summary'!DZ$8</f>
      </c>
      <c r="EA162" s="706" t="str">
        <f>'Revenue summary'!EA$8</f>
      </c>
      <c r="EB162" s="706" t="str">
        <f>'Revenue summary'!EB$8</f>
      </c>
      <c r="EC162" s="707" t="str">
        <f>'Revenue summary'!EC$8</f>
      </c>
      <c r="ED162" s="706" t="str">
        <f>'Revenue summary'!ED$8</f>
      </c>
      <c r="EE162" s="706" t="str">
        <f>'Revenue summary'!EE$8</f>
      </c>
      <c r="EF162" s="706" t="str">
        <f>'Revenue summary'!EF$8</f>
      </c>
      <c r="EG162" s="707" t="str">
        <f>'Revenue summary'!EG$8</f>
      </c>
      <c r="EH162" s="706" t="str">
        <f>'Revenue summary'!EH$8</f>
      </c>
      <c r="EI162" s="706" t="str">
        <f>'Revenue summary'!EI$8</f>
      </c>
      <c r="EJ162" s="706" t="str">
        <f>'Revenue summary'!EJ$8</f>
      </c>
      <c r="EK162" s="707" t="str">
        <f>'Revenue summary'!EK$8</f>
      </c>
      <c r="EL162" s="320"/>
      <c r="EM162" s="706">
        <f>EM$9</f>
      </c>
      <c r="EN162" s="706">
        <f t="shared" ref="EN162:GZ162" si="1186">EN$9</f>
      </c>
      <c r="EO162" s="706">
        <f t="shared" si="1186"/>
      </c>
      <c r="EP162" s="706">
        <f t="shared" si="1186"/>
      </c>
      <c r="EQ162" s="706">
        <f t="shared" si="1186"/>
      </c>
      <c r="ER162" s="706">
        <f t="shared" si="1186"/>
      </c>
      <c r="ES162" s="706">
        <f t="shared" si="1186"/>
      </c>
      <c r="ET162" s="706">
        <f t="shared" si="1186"/>
      </c>
      <c r="EU162" s="706">
        <f t="shared" si="1186"/>
      </c>
      <c r="EV162" s="706">
        <f t="shared" si="1186"/>
      </c>
      <c r="EW162" s="706">
        <f t="shared" si="1186"/>
      </c>
      <c r="EX162" s="706">
        <f t="shared" si="1186"/>
      </c>
      <c r="EY162" s="706">
        <f t="shared" si="1186"/>
      </c>
      <c r="EZ162" s="706">
        <f t="shared" si="1186"/>
      </c>
      <c r="FA162" s="706">
        <f t="shared" si="1186"/>
      </c>
      <c r="FB162" s="706">
        <f t="shared" si="1186"/>
      </c>
      <c r="FC162" s="706">
        <f t="shared" si="1186"/>
      </c>
      <c r="FD162" s="706">
        <f t="shared" si="1186"/>
      </c>
      <c r="FE162" s="706" t="str">
        <f t="shared" si="1186"/>
      </c>
      <c r="FF162" s="706" t="str">
        <f t="shared" si="1186"/>
      </c>
      <c r="FG162" s="706" t="str">
        <f t="shared" si="1186"/>
      </c>
      <c r="FH162" s="706" t="str">
        <f t="shared" si="1186"/>
      </c>
      <c r="FI162" s="706" t="str">
        <f t="shared" si="1186"/>
      </c>
      <c r="FJ162" s="706" t="str">
        <f t="shared" si="1186"/>
      </c>
      <c r="FK162" s="706" t="str">
        <f t="shared" si="1186"/>
      </c>
      <c r="FL162" s="706" t="str">
        <f t="shared" si="1186"/>
      </c>
      <c r="FM162" s="706" t="str">
        <f t="shared" si="1186"/>
      </c>
      <c r="FN162" s="706" t="str">
        <f t="shared" si="1186"/>
      </c>
      <c r="FO162" s="706" t="str">
        <f t="shared" si="1186"/>
      </c>
      <c r="FP162" s="706" t="str">
        <f>FP$9</f>
      </c>
      <c r="FQ162" s="706" t="str">
        <f>FQ$9</f>
      </c>
      <c r="FR162" s="706" t="str">
        <f t="shared" ref="FR162:FU162" si="1187">FR$9</f>
      </c>
      <c r="FS162" s="706" t="str">
        <f t="shared" si="1187"/>
      </c>
      <c r="FT162" s="706" t="str">
        <f t="shared" si="1187"/>
      </c>
      <c r="FU162" s="706" t="str">
        <f t="shared" si="1187"/>
      </c>
      <c r="FW162" s="706"/>
      <c r="FX162" s="706"/>
      <c r="FY162" s="706">
        <f t="shared" si="1186"/>
      </c>
      <c r="FZ162" s="706">
        <f t="shared" si="1186"/>
      </c>
      <c r="GA162" s="706">
        <f t="shared" si="1186"/>
      </c>
      <c r="GB162" s="706">
        <f t="shared" si="1186"/>
      </c>
      <c r="GC162" s="706">
        <f t="shared" si="1186"/>
      </c>
      <c r="GD162" s="706">
        <f t="shared" si="1186"/>
      </c>
      <c r="GE162" s="706">
        <f t="shared" si="1186"/>
      </c>
      <c r="GF162" s="706">
        <f t="shared" si="1186"/>
      </c>
      <c r="GG162" s="706">
        <f t="shared" si="1186"/>
      </c>
      <c r="GH162" s="706">
        <f t="shared" si="1186"/>
      </c>
      <c r="GI162" s="706">
        <f t="shared" si="1186"/>
      </c>
      <c r="GJ162" s="706">
        <f t="shared" si="1186"/>
      </c>
      <c r="GK162" s="706">
        <f t="shared" si="1186"/>
      </c>
      <c r="GL162" s="706">
        <f t="shared" si="1186"/>
      </c>
      <c r="GM162" s="706">
        <f t="shared" si="1186"/>
      </c>
      <c r="GN162" s="706">
        <f t="shared" si="1186"/>
      </c>
      <c r="GO162" s="706">
        <f t="shared" si="1186"/>
      </c>
      <c r="GP162" s="706">
        <f t="shared" si="1186"/>
      </c>
      <c r="GQ162" s="706" t="str">
        <f t="shared" si="1186"/>
      </c>
      <c r="GR162" s="706" t="str">
        <f t="shared" si="1186"/>
      </c>
      <c r="GS162" s="706" t="str">
        <f t="shared" si="1186"/>
      </c>
      <c r="GT162" s="706" t="str">
        <f t="shared" si="1186"/>
      </c>
      <c r="GU162" s="706" t="str">
        <f t="shared" si="1186"/>
      </c>
      <c r="GV162" s="706" t="str">
        <f t="shared" si="1186"/>
      </c>
      <c r="GW162" s="706" t="str">
        <f t="shared" si="1186"/>
      </c>
      <c r="GX162" s="706" t="str">
        <f t="shared" si="1186"/>
      </c>
      <c r="GY162" s="706" t="str">
        <f t="shared" si="1186"/>
      </c>
      <c r="GZ162" s="706" t="str">
        <f t="shared" si="1186"/>
      </c>
      <c r="HA162" s="706" t="str">
        <f t="shared" ref="HA162" si="1188">HA$9</f>
      </c>
      <c r="HB162" s="706" t="str">
        <f t="shared" ref="HB162:HF162" si="1189">HB$9</f>
      </c>
      <c r="HC162" s="706" t="str">
        <f t="shared" si="1189"/>
      </c>
      <c r="HD162" s="706" t="str">
        <f t="shared" si="1189"/>
      </c>
      <c r="HE162" s="706" t="str">
        <f t="shared" si="1189"/>
      </c>
      <c r="HF162" s="706" t="str">
        <f t="shared" si="1189"/>
      </c>
    </row>
    <row r="163" spans="1:214" s="17" customFormat="1" ht="10.199999999999999">
      <c r="A163" s="629" t="s">
        <v>84</v>
      </c>
      <c r="B163" s="589"/>
      <c r="C163" s="589"/>
      <c r="D163" s="589"/>
      <c r="E163" s="590"/>
      <c r="F163" s="589"/>
      <c r="G163" s="589"/>
      <c r="H163" s="589"/>
      <c r="I163" s="590"/>
      <c r="J163" s="589"/>
      <c r="K163" s="589"/>
      <c r="L163" s="589"/>
      <c r="M163" s="590"/>
      <c r="N163" s="589"/>
      <c r="O163" s="589"/>
      <c r="P163" s="589"/>
      <c r="Q163" s="590"/>
      <c r="R163" s="589"/>
      <c r="S163" s="589"/>
      <c r="T163" s="589"/>
      <c r="U163" s="590"/>
      <c r="V163" s="589"/>
      <c r="W163" s="589"/>
      <c r="X163" s="589"/>
      <c r="Y163" s="590"/>
      <c r="Z163" s="589"/>
      <c r="AA163" s="589"/>
      <c r="AB163" s="589"/>
      <c r="AC163" s="590"/>
      <c r="AD163" s="589"/>
      <c r="AE163" s="589"/>
      <c r="AF163" s="589"/>
      <c r="AG163" s="590"/>
      <c r="AH163" s="589"/>
      <c r="AI163" s="589"/>
      <c r="AJ163" s="589"/>
      <c r="AK163" s="590"/>
      <c r="AL163" s="589"/>
      <c r="AM163" s="589"/>
      <c r="AN163" s="589"/>
      <c r="AO163" s="590"/>
      <c r="AP163" s="589"/>
      <c r="AQ163" s="589"/>
      <c r="AR163" s="589"/>
      <c r="AS163" s="590"/>
      <c r="AT163" s="589"/>
      <c r="AU163" s="589"/>
      <c r="AV163" s="589"/>
      <c r="AW163" s="590"/>
      <c r="AX163" s="589"/>
      <c r="AY163" s="589"/>
      <c r="AZ163" s="589">
        <f t="shared" ref="AZ163:CE163" si="1190">+AZ151/AV151-1</f>
      </c>
      <c r="BA163" s="590">
        <f t="shared" si="1190"/>
      </c>
      <c r="BB163" s="589">
        <f t="shared" si="1190"/>
      </c>
      <c r="BC163" s="589">
        <f t="shared" si="1190"/>
      </c>
      <c r="BD163" s="589">
        <f t="shared" si="1190"/>
      </c>
      <c r="BE163" s="590">
        <f t="shared" si="1190"/>
      </c>
      <c r="BF163" s="589">
        <f t="shared" si="1190"/>
      </c>
      <c r="BG163" s="589">
        <f t="shared" si="1190"/>
      </c>
      <c r="BH163" s="589">
        <f t="shared" si="1190"/>
      </c>
      <c r="BI163" s="590">
        <f t="shared" si="1190"/>
      </c>
      <c r="BJ163" s="589">
        <f t="shared" si="1190"/>
      </c>
      <c r="BK163" s="589">
        <f t="shared" si="1190"/>
      </c>
      <c r="BL163" s="589">
        <f t="shared" si="1190"/>
      </c>
      <c r="BM163" s="590">
        <f t="shared" si="1190"/>
      </c>
      <c r="BN163" s="589">
        <f t="shared" si="1190"/>
      </c>
      <c r="BO163" s="589">
        <f t="shared" si="1190"/>
      </c>
      <c r="BP163" s="589">
        <f t="shared" si="1190"/>
      </c>
      <c r="BQ163" s="590">
        <f t="shared" si="1190"/>
      </c>
      <c r="BR163" s="589">
        <f t="shared" si="1190"/>
      </c>
      <c r="BS163" s="589">
        <f t="shared" si="1190"/>
      </c>
      <c r="BT163" s="589">
        <f t="shared" si="1190"/>
      </c>
      <c r="BU163" s="590">
        <f t="shared" si="1190"/>
      </c>
      <c r="BV163" s="589">
        <f t="shared" si="1190"/>
      </c>
      <c r="BW163" s="589">
        <f t="shared" si="1190"/>
      </c>
      <c r="BX163" s="589">
        <f t="shared" si="1190"/>
      </c>
      <c r="BY163" s="590">
        <f t="shared" si="1190"/>
      </c>
      <c r="BZ163" s="589">
        <f t="shared" si="1190"/>
      </c>
      <c r="CA163" s="589">
        <f t="shared" si="1190"/>
      </c>
      <c r="CB163" s="589">
        <f t="shared" si="1190"/>
      </c>
      <c r="CC163" s="590">
        <f t="shared" si="1190"/>
      </c>
      <c r="CD163" s="589">
        <f t="shared" si="1190"/>
      </c>
      <c r="CE163" s="589">
        <f t="shared" si="1190"/>
      </c>
      <c r="CF163" s="589">
        <f t="shared" ref="CF163:DD163" si="1191">+CF151/CB151-1</f>
      </c>
      <c r="CG163" s="590">
        <f t="shared" si="1191"/>
      </c>
      <c r="CH163" s="1112">
        <f t="shared" si="1191"/>
      </c>
      <c r="CI163" s="589">
        <f t="shared" si="1191"/>
      </c>
      <c r="CJ163" s="589">
        <f t="shared" si="1191"/>
      </c>
      <c r="CK163" s="589">
        <f t="shared" si="1191"/>
      </c>
      <c r="CL163" s="1286">
        <f t="shared" si="1191"/>
      </c>
      <c r="CM163" s="1287">
        <f t="shared" si="1191"/>
      </c>
      <c r="CN163" s="1287">
        <f t="shared" si="1191"/>
      </c>
      <c r="CO163" s="1288">
        <f t="shared" si="1191"/>
      </c>
      <c r="CP163" s="589">
        <f t="shared" si="1191"/>
      </c>
      <c r="CQ163" s="589">
        <f t="shared" si="1191"/>
      </c>
      <c r="CR163" s="589">
        <f t="shared" si="1191"/>
      </c>
      <c r="CS163" s="590">
        <f t="shared" si="1191"/>
      </c>
      <c r="CT163" s="589">
        <f t="shared" si="1191"/>
      </c>
      <c r="CU163" s="589">
        <f t="shared" si="1191"/>
      </c>
      <c r="CV163" s="589">
        <f t="shared" si="1191"/>
      </c>
      <c r="CW163" s="590">
        <f t="shared" si="1191"/>
      </c>
      <c r="CX163" s="589">
        <f t="shared" si="1191"/>
      </c>
      <c r="CY163" s="589">
        <f t="shared" si="1191"/>
      </c>
      <c r="CZ163" s="589">
        <f t="shared" si="1191"/>
      </c>
      <c r="DA163" s="590">
        <f t="shared" si="1191"/>
      </c>
      <c r="DB163" s="589">
        <f t="shared" si="1191"/>
      </c>
      <c r="DC163" s="589">
        <f t="shared" si="1191"/>
      </c>
      <c r="DD163" s="589">
        <f t="shared" si="1191"/>
      </c>
      <c r="DE163" s="590">
        <f>+DE151/DA151-1</f>
      </c>
      <c r="DF163" s="589">
        <f t="shared" ref="DF163" si="1192">+DF151/DB151-1</f>
      </c>
      <c r="DG163" s="589">
        <f t="shared" ref="DG163" si="1193">+DG151/DC151-1</f>
      </c>
      <c r="DH163" s="589">
        <f t="shared" ref="DH163:DI163" si="1194">+DH151/DD151-1</f>
      </c>
      <c r="DI163" s="590">
        <f t="shared" si="1194"/>
      </c>
      <c r="DJ163" s="589">
        <f t="shared" ref="DJ163" si="1195">+DJ151/DF151-1</f>
      </c>
      <c r="DK163" s="589">
        <f>+DK151/DG151-1</f>
      </c>
      <c r="DL163" s="589">
        <f t="shared" ref="DL163:DP163" si="1196">+DL151/DH151-1</f>
      </c>
      <c r="DM163" s="590">
        <f t="shared" si="1196"/>
      </c>
      <c r="DN163" s="589">
        <f t="shared" si="1196"/>
      </c>
      <c r="DO163" s="589">
        <f>+DO151/DK151-1</f>
      </c>
      <c r="DP163" s="589">
        <f t="shared" si="1196"/>
      </c>
      <c r="DQ163" s="590">
        <f t="shared" ref="DQ163:DV163" si="1197">+DQ151/DM151-1</f>
      </c>
      <c r="DR163" s="589">
        <f t="shared" si="1197"/>
      </c>
      <c r="DS163" s="589">
        <f t="shared" si="1197"/>
      </c>
      <c r="DT163" s="589">
        <f t="shared" si="1197"/>
      </c>
      <c r="DU163" s="590">
        <f t="shared" si="1197"/>
      </c>
      <c r="DV163" s="589">
        <f t="shared" si="1197"/>
      </c>
      <c r="DW163" s="589">
        <f t="shared" ref="DW163" si="1198">+DW151/DS151-1</f>
      </c>
      <c r="DX163" s="589">
        <f t="shared" ref="DX163" si="1199">+DX151/DT151-1</f>
      </c>
      <c r="DY163" s="590">
        <f t="shared" ref="DY163" si="1200">+DY151/DU151-1</f>
      </c>
      <c r="DZ163" s="589">
        <f t="shared" ref="DZ163" si="1201">+DZ151/DV151-1</f>
      </c>
      <c r="EA163" s="589">
        <f t="shared" ref="EA163" si="1202">+EA151/DW151-1</f>
      </c>
      <c r="EB163" s="589">
        <f t="shared" ref="EB163" si="1203">+EB151/DX151-1</f>
      </c>
      <c r="EC163" s="590">
        <f t="shared" ref="EC163" si="1204">+EC151/DY151-1</f>
      </c>
      <c r="ED163" s="589">
        <f t="shared" ref="ED163" si="1205">+ED151/DZ151-1</f>
      </c>
      <c r="EE163" s="589">
        <f t="shared" ref="EE163" si="1206">+EE151/EA151-1</f>
      </c>
      <c r="EF163" s="589">
        <f t="shared" ref="EF163" si="1207">+EF151/EB151-1</f>
      </c>
      <c r="EG163" s="590">
        <f t="shared" ref="EG163" si="1208">+EG151/EC151-1</f>
      </c>
      <c r="EH163" s="589">
        <f t="shared" ref="EH163" si="1209">+EH151/ED151-1</f>
      </c>
      <c r="EI163" s="589">
        <f t="shared" ref="EI163" si="1210">+EI151/EE151-1</f>
      </c>
      <c r="EJ163" s="589">
        <f t="shared" ref="EJ163" si="1211">+EJ151/EF151-1</f>
      </c>
      <c r="EK163" s="590">
        <f t="shared" ref="EK163" si="1212">+EK151/EG151-1</f>
      </c>
      <c r="EM163" s="589"/>
      <c r="EN163" s="589"/>
      <c r="EO163" s="589"/>
      <c r="EP163" s="1100" t="str">
        <f t="shared" ref="EP163:FO163" si="1213">IF(ISERROR(EP151/EO151-1),"NA",EP151/EO151-1)</f>
      </c>
      <c r="EQ163" s="1100" t="str">
        <f t="shared" si="1213"/>
      </c>
      <c r="ER163" s="1100" t="str">
        <f t="shared" si="1213"/>
      </c>
      <c r="ES163" s="1100" t="str">
        <f t="shared" si="1213"/>
      </c>
      <c r="ET163" s="1100" t="str">
        <f t="shared" si="1213"/>
      </c>
      <c r="EU163" s="1100" t="str">
        <f t="shared" si="1213"/>
      </c>
      <c r="EV163" s="1100" t="str">
        <f t="shared" si="1213"/>
      </c>
      <c r="EW163" s="1100" t="str">
        <f t="shared" si="1213"/>
      </c>
      <c r="EX163" s="1100" t="str">
        <f t="shared" si="1213"/>
      </c>
      <c r="EY163" s="1100" t="str">
        <f t="shared" si="1213"/>
      </c>
      <c r="EZ163" s="1100" t="str">
        <f t="shared" si="1213"/>
      </c>
      <c r="FA163" s="1100">
        <f t="shared" si="1213"/>
      </c>
      <c r="FB163" s="1100">
        <f t="shared" si="1213"/>
      </c>
      <c r="FC163" s="1100">
        <f t="shared" si="1213"/>
      </c>
      <c r="FD163" s="1100">
        <f t="shared" si="1213"/>
      </c>
      <c r="FE163" s="1100">
        <f t="shared" si="1213"/>
      </c>
      <c r="FF163" s="1100">
        <f t="shared" si="1213"/>
      </c>
      <c r="FG163" s="1100">
        <f t="shared" si="1213"/>
      </c>
      <c r="FH163" s="1100">
        <f t="shared" si="1213"/>
      </c>
      <c r="FI163" s="1100">
        <f t="shared" si="1213"/>
      </c>
      <c r="FJ163" s="1100">
        <f t="shared" si="1213"/>
      </c>
      <c r="FK163" s="1100">
        <f t="shared" si="1213"/>
      </c>
      <c r="FL163" s="1100">
        <f t="shared" si="1213"/>
      </c>
      <c r="FM163" s="1100">
        <f t="shared" si="1213"/>
      </c>
      <c r="FN163" s="1100">
        <f t="shared" si="1213"/>
      </c>
      <c r="FO163" s="1100">
        <f t="shared" si="1213"/>
      </c>
      <c r="FP163" s="1100">
        <f t="shared" ref="FP163:FP164" si="1214">IF(ISERROR(FP151/FO151-1),"NA",FP151/FO151-1)</f>
      </c>
      <c r="FQ163" s="1100">
        <f t="shared" ref="FQ163:FQ164" si="1215">IF(ISERROR(FQ151/FP151-1),"NA",FQ151/FP151-1)</f>
      </c>
      <c r="FR163" s="1100">
        <f t="shared" ref="FR163:FR164" si="1216">IF(ISERROR(FR151/FQ151-1),"NA",FR151/FQ151-1)</f>
      </c>
      <c r="FS163" s="1100">
        <f t="shared" ref="FS163:FS164" si="1217">IF(ISERROR(FS151/FR151-1),"NA",FS151/FR151-1)</f>
      </c>
      <c r="FT163" s="1100">
        <f t="shared" ref="FT163:FT164" si="1218">IF(ISERROR(FT151/FS151-1),"NA",FT151/FS151-1)</f>
      </c>
      <c r="FU163" s="1100">
        <f t="shared" ref="FU163:FU164" si="1219">IF(ISERROR(FU151/FT151-1),"NA",FU151/FT151-1)</f>
      </c>
      <c r="FW163" s="1100"/>
      <c r="FX163" s="589"/>
      <c r="FY163" s="589"/>
      <c r="FZ163" s="589"/>
      <c r="GA163" s="1100" t="str">
        <f t="shared" ref="GA163:HB163" si="1220">IF(ISERROR(GA151/FZ151-1),"NA",GA151/FZ151-1)</f>
      </c>
      <c r="GB163" s="1100" t="str">
        <f t="shared" si="1220"/>
      </c>
      <c r="GC163" s="1100" t="str">
        <f t="shared" si="1220"/>
      </c>
      <c r="GD163" s="1100" t="str">
        <f t="shared" si="1220"/>
      </c>
      <c r="GE163" s="1100" t="str">
        <f t="shared" si="1220"/>
      </c>
      <c r="GF163" s="1100" t="str">
        <f t="shared" si="1220"/>
      </c>
      <c r="GG163" s="1100" t="str">
        <f t="shared" si="1220"/>
      </c>
      <c r="GH163" s="1100" t="str">
        <f t="shared" si="1220"/>
      </c>
      <c r="GI163" s="1100" t="str">
        <f t="shared" si="1220"/>
      </c>
      <c r="GJ163" s="1100" t="str">
        <f t="shared" si="1220"/>
      </c>
      <c r="GK163" s="1100" t="str">
        <f t="shared" si="1220"/>
      </c>
      <c r="GL163" s="1100">
        <f t="shared" si="1220"/>
      </c>
      <c r="GM163" s="1100">
        <f t="shared" si="1220"/>
      </c>
      <c r="GN163" s="1100">
        <f t="shared" si="1220"/>
      </c>
      <c r="GO163" s="1100">
        <f t="shared" si="1220"/>
      </c>
      <c r="GP163" s="1100">
        <f t="shared" si="1220"/>
      </c>
      <c r="GQ163" s="1100">
        <f t="shared" si="1220"/>
      </c>
      <c r="GR163" s="1100">
        <f t="shared" si="1220"/>
      </c>
      <c r="GS163" s="1100">
        <f t="shared" si="1220"/>
      </c>
      <c r="GT163" s="1100">
        <f t="shared" si="1220"/>
      </c>
      <c r="GU163" s="1100">
        <f t="shared" si="1220"/>
      </c>
      <c r="GV163" s="1100">
        <f t="shared" si="1220"/>
      </c>
      <c r="GW163" s="1100">
        <f t="shared" si="1220"/>
      </c>
      <c r="GX163" s="1100">
        <f t="shared" si="1220"/>
      </c>
      <c r="GY163" s="1100">
        <f t="shared" si="1220"/>
      </c>
      <c r="GZ163" s="1100">
        <f t="shared" si="1220"/>
      </c>
      <c r="HA163" s="1100">
        <f t="shared" si="1220"/>
      </c>
      <c r="HB163" s="1100">
        <f t="shared" si="1220"/>
      </c>
      <c r="HC163" s="1100">
        <f t="shared" ref="HC163:HC164" si="1221">IF(ISERROR(HC151/HB151-1),"NA",HC151/HB151-1)</f>
      </c>
      <c r="HD163" s="1100">
        <f t="shared" ref="HD163:HD164" si="1222">IF(ISERROR(HD151/HC151-1),"NA",HD151/HC151-1)</f>
      </c>
      <c r="HE163" s="1100">
        <f t="shared" ref="HE163:HE164" si="1223">IF(ISERROR(HE151/HD151-1),"NA",HE151/HD151-1)</f>
      </c>
      <c r="HF163" s="1100">
        <f t="shared" ref="HF163:HF164" si="1224">IF(ISERROR(HF151/HE151-1),"NA",HF151/HE151-1)</f>
      </c>
    </row>
    <row r="164" spans="1:214" s="17" customFormat="1" ht="10.199999999999999">
      <c r="A164" s="629" t="s">
        <v>86</v>
      </c>
      <c r="B164" s="589"/>
      <c r="C164" s="589"/>
      <c r="D164" s="589"/>
      <c r="E164" s="590"/>
      <c r="F164" s="589"/>
      <c r="G164" s="589"/>
      <c r="H164" s="589"/>
      <c r="I164" s="590"/>
      <c r="J164" s="589"/>
      <c r="K164" s="589"/>
      <c r="L164" s="589"/>
      <c r="M164" s="590"/>
      <c r="N164" s="589">
        <f t="shared" ref="N164:AS164" si="1225">+N152/J152-1</f>
      </c>
      <c r="O164" s="589">
        <f t="shared" si="1225"/>
      </c>
      <c r="P164" s="589">
        <f t="shared" si="1225"/>
      </c>
      <c r="Q164" s="590">
        <f t="shared" si="1225"/>
      </c>
      <c r="R164" s="589">
        <f t="shared" si="1225"/>
      </c>
      <c r="S164" s="589">
        <f t="shared" si="1225"/>
      </c>
      <c r="T164" s="589">
        <f t="shared" si="1225"/>
      </c>
      <c r="U164" s="590">
        <f t="shared" si="1225"/>
      </c>
      <c r="V164" s="589">
        <f t="shared" si="1225"/>
      </c>
      <c r="W164" s="589">
        <f t="shared" si="1225"/>
      </c>
      <c r="X164" s="589">
        <f t="shared" si="1225"/>
      </c>
      <c r="Y164" s="590">
        <f t="shared" si="1225"/>
      </c>
      <c r="Z164" s="589">
        <f t="shared" si="1225"/>
      </c>
      <c r="AA164" s="589">
        <f t="shared" si="1225"/>
      </c>
      <c r="AB164" s="589">
        <f t="shared" si="1225"/>
      </c>
      <c r="AC164" s="590">
        <f t="shared" si="1225"/>
      </c>
      <c r="AD164" s="589">
        <f t="shared" si="1225"/>
      </c>
      <c r="AE164" s="589">
        <f t="shared" si="1225"/>
      </c>
      <c r="AF164" s="589">
        <f t="shared" si="1225"/>
      </c>
      <c r="AG164" s="590">
        <f t="shared" si="1225"/>
      </c>
      <c r="AH164" s="589">
        <f t="shared" si="1225"/>
      </c>
      <c r="AI164" s="589">
        <f t="shared" si="1225"/>
      </c>
      <c r="AJ164" s="589">
        <f t="shared" si="1225"/>
      </c>
      <c r="AK164" s="590">
        <f t="shared" si="1225"/>
      </c>
      <c r="AL164" s="589">
        <f t="shared" si="1225"/>
      </c>
      <c r="AM164" s="589">
        <f t="shared" si="1225"/>
      </c>
      <c r="AN164" s="589">
        <f t="shared" si="1225"/>
      </c>
      <c r="AO164" s="590">
        <f t="shared" si="1225"/>
      </c>
      <c r="AP164" s="589">
        <f t="shared" si="1225"/>
      </c>
      <c r="AQ164" s="589">
        <f t="shared" si="1225"/>
      </c>
      <c r="AR164" s="589">
        <f t="shared" si="1225"/>
      </c>
      <c r="AS164" s="590">
        <f t="shared" si="1225"/>
      </c>
      <c r="AT164" s="589">
        <f t="shared" ref="AT164:BY164" si="1226">+AT152/AP152-1</f>
      </c>
      <c r="AU164" s="589">
        <f t="shared" si="1226"/>
      </c>
      <c r="AV164" s="589">
        <f t="shared" si="1226"/>
      </c>
      <c r="AW164" s="590">
        <f t="shared" si="1226"/>
      </c>
      <c r="AX164" s="589">
        <f t="shared" si="1226"/>
      </c>
      <c r="AY164" s="589">
        <f t="shared" si="1226"/>
      </c>
      <c r="AZ164" s="589">
        <f t="shared" si="1226"/>
      </c>
      <c r="BA164" s="590">
        <f t="shared" si="1226"/>
      </c>
      <c r="BB164" s="589">
        <f t="shared" si="1226"/>
      </c>
      <c r="BC164" s="589">
        <f t="shared" si="1226"/>
      </c>
      <c r="BD164" s="589">
        <f t="shared" si="1226"/>
      </c>
      <c r="BE164" s="590">
        <f t="shared" si="1226"/>
      </c>
      <c r="BF164" s="589">
        <f t="shared" si="1226"/>
      </c>
      <c r="BG164" s="589">
        <f t="shared" si="1226"/>
      </c>
      <c r="BH164" s="589">
        <f t="shared" si="1226"/>
      </c>
      <c r="BI164" s="590">
        <f t="shared" si="1226"/>
      </c>
      <c r="BJ164" s="589">
        <f t="shared" si="1226"/>
      </c>
      <c r="BK164" s="589">
        <f t="shared" si="1226"/>
      </c>
      <c r="BL164" s="589">
        <f t="shared" si="1226"/>
      </c>
      <c r="BM164" s="590">
        <f t="shared" si="1226"/>
      </c>
      <c r="BN164" s="589">
        <f t="shared" si="1226"/>
      </c>
      <c r="BO164" s="589">
        <f t="shared" si="1226"/>
      </c>
      <c r="BP164" s="589">
        <f t="shared" si="1226"/>
      </c>
      <c r="BQ164" s="590">
        <f t="shared" si="1226"/>
      </c>
      <c r="BR164" s="589">
        <f t="shared" si="1226"/>
      </c>
      <c r="BS164" s="589">
        <f t="shared" si="1226"/>
      </c>
      <c r="BT164" s="589">
        <f t="shared" si="1226"/>
      </c>
      <c r="BU164" s="590">
        <f t="shared" si="1226"/>
      </c>
      <c r="BV164" s="589">
        <f t="shared" si="1226"/>
      </c>
      <c r="BW164" s="589">
        <f t="shared" si="1226"/>
      </c>
      <c r="BX164" s="589">
        <f t="shared" si="1226"/>
      </c>
      <c r="BY164" s="590">
        <f t="shared" si="1226"/>
      </c>
      <c r="BZ164" s="589">
        <f t="shared" ref="BZ164:CK164" si="1227">+BZ152/BV152-1</f>
      </c>
      <c r="CA164" s="589">
        <f t="shared" si="1227"/>
      </c>
      <c r="CB164" s="589">
        <f t="shared" si="1227"/>
      </c>
      <c r="CC164" s="590">
        <f t="shared" si="1227"/>
      </c>
      <c r="CD164" s="589">
        <f t="shared" si="1227"/>
      </c>
      <c r="CE164" s="589">
        <f t="shared" si="1227"/>
      </c>
      <c r="CF164" s="589">
        <f t="shared" si="1227"/>
      </c>
      <c r="CG164" s="590">
        <f t="shared" si="1227"/>
      </c>
      <c r="CH164" s="589">
        <f t="shared" si="1227"/>
      </c>
      <c r="CI164" s="589">
        <f t="shared" si="1227"/>
      </c>
      <c r="CJ164" s="589">
        <f t="shared" si="1227"/>
      </c>
      <c r="CK164" s="589">
        <f t="shared" si="1227"/>
      </c>
      <c r="CL164" s="1287">
        <f t="shared" ref="CL164:DP164" si="1228">CL152/CH152-1</f>
      </c>
      <c r="CM164" s="1287">
        <f t="shared" si="1228"/>
      </c>
      <c r="CN164" s="1287">
        <f t="shared" si="1228"/>
      </c>
      <c r="CO164" s="1288">
        <f t="shared" si="1228"/>
      </c>
      <c r="CP164" s="1112">
        <f t="shared" si="1228"/>
      </c>
      <c r="CQ164" s="1112">
        <f t="shared" si="1228"/>
      </c>
      <c r="CR164" s="1112">
        <f t="shared" si="1228"/>
      </c>
      <c r="CS164" s="1289">
        <f t="shared" si="1228"/>
      </c>
      <c r="CT164" s="1112">
        <f t="shared" si="1228"/>
      </c>
      <c r="CU164" s="1112">
        <f t="shared" si="1228"/>
      </c>
      <c r="CV164" s="1112">
        <f t="shared" si="1228"/>
      </c>
      <c r="CW164" s="1289">
        <f t="shared" si="1228"/>
      </c>
      <c r="CX164" s="1290">
        <f t="shared" si="1228"/>
      </c>
      <c r="CY164" s="1112">
        <f t="shared" si="1228"/>
      </c>
      <c r="CZ164" s="1112">
        <f t="shared" si="1228"/>
      </c>
      <c r="DA164" s="1289">
        <f t="shared" si="1228"/>
      </c>
      <c r="DB164" s="1290">
        <f t="shared" si="1228"/>
      </c>
      <c r="DC164" s="1112">
        <f t="shared" si="1228"/>
      </c>
      <c r="DD164" s="1112">
        <f t="shared" si="1228"/>
      </c>
      <c r="DE164" s="1289">
        <f t="shared" si="1228"/>
      </c>
      <c r="DF164" s="1290">
        <f t="shared" si="1228"/>
      </c>
      <c r="DG164" s="1112">
        <f t="shared" si="1228"/>
      </c>
      <c r="DH164" s="1112">
        <f t="shared" si="1228"/>
      </c>
      <c r="DI164" s="1289">
        <f t="shared" si="1228"/>
      </c>
      <c r="DJ164" s="1290">
        <f>DJ152/DF152-1</f>
      </c>
      <c r="DK164" s="1112">
        <f t="shared" si="1228"/>
      </c>
      <c r="DL164" s="1112">
        <f t="shared" si="1228"/>
      </c>
      <c r="DM164" s="1289">
        <f t="shared" si="1228"/>
      </c>
      <c r="DN164" s="1290">
        <f>DN152/DJ152-1</f>
      </c>
      <c r="DO164" s="1112">
        <f t="shared" si="1228"/>
      </c>
      <c r="DP164" s="1112">
        <f t="shared" si="1228"/>
      </c>
      <c r="DQ164" s="811">
        <v>0.03</v>
      </c>
      <c r="DR164" s="926">
        <v>0.03</v>
      </c>
      <c r="DS164" s="812">
        <v>0.03</v>
      </c>
      <c r="DT164" s="812">
        <v>0.03</v>
      </c>
      <c r="DU164" s="811">
        <v>0.03</v>
      </c>
      <c r="DV164" s="926">
        <v>0.03</v>
      </c>
      <c r="DW164" s="812">
        <v>0.03</v>
      </c>
      <c r="DX164" s="812">
        <v>0.03</v>
      </c>
      <c r="DY164" s="811">
        <v>0.03</v>
      </c>
      <c r="DZ164" s="926">
        <v>0.03</v>
      </c>
      <c r="EA164" s="812">
        <v>0.03</v>
      </c>
      <c r="EB164" s="812">
        <v>0.03</v>
      </c>
      <c r="EC164" s="811">
        <v>0.03</v>
      </c>
      <c r="ED164" s="926">
        <v>0.03</v>
      </c>
      <c r="EE164" s="812">
        <v>0.03</v>
      </c>
      <c r="EF164" s="812">
        <v>0.03</v>
      </c>
      <c r="EG164" s="811">
        <v>0.03</v>
      </c>
      <c r="EH164" s="926">
        <v>0.03</v>
      </c>
      <c r="EI164" s="812">
        <v>0.03</v>
      </c>
      <c r="EJ164" s="812">
        <v>0.03</v>
      </c>
      <c r="EK164" s="811">
        <v>0.03</v>
      </c>
      <c r="EM164" s="1112"/>
      <c r="EN164" s="1112"/>
      <c r="EO164" s="1112"/>
      <c r="EP164" s="1113">
        <f t="shared" ref="EP164:FO164" si="1229">IF(ISERROR(EP152/EO152-1),"NA",EP152/EO152-1)</f>
      </c>
      <c r="EQ164" s="1113">
        <f t="shared" si="1229"/>
      </c>
      <c r="ER164" s="1113">
        <f t="shared" si="1229"/>
      </c>
      <c r="ES164" s="1113">
        <f t="shared" si="1229"/>
      </c>
      <c r="ET164" s="1113">
        <f t="shared" si="1229"/>
      </c>
      <c r="EU164" s="1113">
        <f t="shared" si="1229"/>
      </c>
      <c r="EV164" s="1113">
        <f t="shared" si="1229"/>
      </c>
      <c r="EW164" s="1113">
        <f t="shared" si="1229"/>
      </c>
      <c r="EX164" s="1113">
        <f t="shared" si="1229"/>
      </c>
      <c r="EY164" s="1113">
        <f t="shared" si="1229"/>
      </c>
      <c r="EZ164" s="1113">
        <f t="shared" si="1229"/>
      </c>
      <c r="FA164" s="1113">
        <f t="shared" si="1229"/>
      </c>
      <c r="FB164" s="1113">
        <f t="shared" si="1229"/>
      </c>
      <c r="FC164" s="1113">
        <f t="shared" si="1229"/>
      </c>
      <c r="FD164" s="1113">
        <f t="shared" si="1229"/>
      </c>
      <c r="FE164" s="1113">
        <f t="shared" si="1229"/>
      </c>
      <c r="FF164" s="1113">
        <f t="shared" si="1229"/>
      </c>
      <c r="FG164" s="1113">
        <f t="shared" si="1229"/>
      </c>
      <c r="FH164" s="1113">
        <f t="shared" si="1229"/>
      </c>
      <c r="FI164" s="1113">
        <f t="shared" si="1229"/>
      </c>
      <c r="FJ164" s="1113">
        <f t="shared" si="1229"/>
      </c>
      <c r="FK164" s="1113">
        <f t="shared" si="1229"/>
      </c>
      <c r="FL164" s="1113">
        <f t="shared" si="1229"/>
      </c>
      <c r="FM164" s="1113">
        <f t="shared" si="1229"/>
      </c>
      <c r="FN164" s="1113">
        <f t="shared" si="1229"/>
      </c>
      <c r="FO164" s="1113">
        <f t="shared" si="1229"/>
      </c>
      <c r="FP164" s="1113">
        <f t="shared" si="1214"/>
      </c>
      <c r="FQ164" s="1113">
        <f t="shared" si="1215"/>
      </c>
      <c r="FR164" s="1113">
        <f t="shared" si="1216"/>
      </c>
      <c r="FS164" s="1113">
        <f t="shared" si="1217"/>
      </c>
      <c r="FT164" s="1113">
        <f t="shared" si="1218"/>
      </c>
      <c r="FU164" s="1113">
        <f t="shared" si="1219"/>
      </c>
      <c r="FW164" s="1113"/>
      <c r="FX164" s="1112"/>
      <c r="FY164" s="1112"/>
      <c r="FZ164" s="1112"/>
      <c r="GA164" s="1113">
        <f t="shared" ref="GA164:HB164" si="1230">IF(ISERROR(GA152/FZ152-1),"NA",GA152/FZ152-1)</f>
      </c>
      <c r="GB164" s="1113">
        <f t="shared" si="1230"/>
      </c>
      <c r="GC164" s="1113">
        <f t="shared" si="1230"/>
      </c>
      <c r="GD164" s="1113">
        <f t="shared" si="1230"/>
      </c>
      <c r="GE164" s="1113">
        <f t="shared" si="1230"/>
      </c>
      <c r="GF164" s="1113">
        <f t="shared" si="1230"/>
      </c>
      <c r="GG164" s="1113">
        <f t="shared" si="1230"/>
      </c>
      <c r="GH164" s="1113">
        <f t="shared" si="1230"/>
      </c>
      <c r="GI164" s="1113">
        <f t="shared" si="1230"/>
      </c>
      <c r="GJ164" s="1113">
        <f t="shared" si="1230"/>
      </c>
      <c r="GK164" s="1113">
        <f t="shared" si="1230"/>
      </c>
      <c r="GL164" s="1113">
        <f t="shared" si="1230"/>
      </c>
      <c r="GM164" s="1113">
        <f t="shared" si="1230"/>
      </c>
      <c r="GN164" s="1113">
        <f t="shared" si="1230"/>
      </c>
      <c r="GO164" s="1113">
        <f t="shared" si="1230"/>
      </c>
      <c r="GP164" s="1113">
        <f t="shared" si="1230"/>
      </c>
      <c r="GQ164" s="1113">
        <f t="shared" si="1230"/>
      </c>
      <c r="GR164" s="1113">
        <f t="shared" si="1230"/>
      </c>
      <c r="GS164" s="1113">
        <f t="shared" si="1230"/>
      </c>
      <c r="GT164" s="1113">
        <f t="shared" si="1230"/>
      </c>
      <c r="GU164" s="1113">
        <f t="shared" si="1230"/>
      </c>
      <c r="GV164" s="1113">
        <f t="shared" si="1230"/>
      </c>
      <c r="GW164" s="1113">
        <f t="shared" si="1230"/>
      </c>
      <c r="GX164" s="1113">
        <f t="shared" si="1230"/>
      </c>
      <c r="GY164" s="1113">
        <f t="shared" si="1230"/>
      </c>
      <c r="GZ164" s="1113">
        <f t="shared" si="1230"/>
      </c>
      <c r="HA164" s="1113">
        <f t="shared" si="1230"/>
      </c>
      <c r="HB164" s="1113">
        <f t="shared" si="1230"/>
      </c>
      <c r="HC164" s="1113">
        <f t="shared" si="1221"/>
      </c>
      <c r="HD164" s="1113">
        <f t="shared" si="1222"/>
      </c>
      <c r="HE164" s="1113">
        <f t="shared" si="1223"/>
      </c>
      <c r="HF164" s="1113">
        <f t="shared" si="1224"/>
      </c>
    </row>
    <row r="165" spans="1:214" s="17" customFormat="1" ht="10.199999999999999">
      <c r="A165" s="629" t="s">
        <v>85</v>
      </c>
      <c r="B165" s="589"/>
      <c r="C165" s="589"/>
      <c r="D165" s="589"/>
      <c r="E165" s="590"/>
      <c r="F165" s="589"/>
      <c r="G165" s="589"/>
      <c r="H165" s="589"/>
      <c r="I165" s="590"/>
      <c r="J165" s="589"/>
      <c r="K165" s="589"/>
      <c r="L165" s="589"/>
      <c r="M165" s="590"/>
      <c r="N165" s="589"/>
      <c r="O165" s="589"/>
      <c r="P165" s="589"/>
      <c r="Q165" s="590"/>
      <c r="R165" s="589"/>
      <c r="S165" s="589"/>
      <c r="T165" s="589"/>
      <c r="U165" s="590"/>
      <c r="V165" s="589"/>
      <c r="W165" s="589"/>
      <c r="X165" s="589"/>
      <c r="Y165" s="590"/>
      <c r="Z165" s="589"/>
      <c r="AA165" s="589"/>
      <c r="AB165" s="589"/>
      <c r="AC165" s="590"/>
      <c r="AD165" s="589"/>
      <c r="AE165" s="589"/>
      <c r="AF165" s="589"/>
      <c r="AG165" s="590"/>
      <c r="AH165" s="589"/>
      <c r="AI165" s="589"/>
      <c r="AJ165" s="589"/>
      <c r="AK165" s="590"/>
      <c r="AL165" s="589"/>
      <c r="AM165" s="589"/>
      <c r="AN165" s="589"/>
      <c r="AO165" s="590"/>
      <c r="AP165" s="589"/>
      <c r="AQ165" s="589"/>
      <c r="AR165" s="589"/>
      <c r="AS165" s="590"/>
      <c r="AT165" s="589"/>
      <c r="AU165" s="589"/>
      <c r="AV165" s="589"/>
      <c r="AW165" s="590"/>
      <c r="AX165" s="589"/>
      <c r="AY165" s="589"/>
      <c r="AZ165" s="589"/>
      <c r="BA165" s="590"/>
      <c r="BB165" s="589"/>
      <c r="BC165" s="589"/>
      <c r="BD165" s="589"/>
      <c r="BE165" s="590"/>
      <c r="BF165" s="589"/>
      <c r="BG165" s="589"/>
      <c r="BH165" s="589"/>
      <c r="BI165" s="590"/>
      <c r="BJ165" s="589"/>
      <c r="BK165" s="589"/>
      <c r="BL165" s="589"/>
      <c r="BM165" s="590"/>
      <c r="BN165" s="589"/>
      <c r="BO165" s="589"/>
      <c r="BP165" s="589"/>
      <c r="BQ165" s="590"/>
      <c r="BR165" s="589"/>
      <c r="BS165" s="589"/>
      <c r="BT165" s="589"/>
      <c r="BU165" s="590"/>
      <c r="BV165" s="589"/>
      <c r="BW165" s="589"/>
      <c r="BX165" s="589"/>
      <c r="BY165" s="590"/>
      <c r="BZ165" s="589">
        <f t="shared" ref="BZ165:CK165" si="1231">+BZ158/BV158-1</f>
      </c>
      <c r="CA165" s="589">
        <f t="shared" si="1231"/>
      </c>
      <c r="CB165" s="589">
        <f t="shared" si="1231"/>
      </c>
      <c r="CC165" s="590">
        <f t="shared" si="1231"/>
      </c>
      <c r="CD165" s="589">
        <f t="shared" si="1231"/>
      </c>
      <c r="CE165" s="589">
        <f t="shared" si="1231"/>
      </c>
      <c r="CF165" s="589">
        <f t="shared" si="1231"/>
      </c>
      <c r="CG165" s="590">
        <f t="shared" si="1231"/>
      </c>
      <c r="CH165" s="589">
        <f t="shared" si="1231"/>
      </c>
      <c r="CI165" s="589">
        <f t="shared" si="1231"/>
      </c>
      <c r="CJ165" s="589">
        <f t="shared" si="1231"/>
      </c>
      <c r="CK165" s="589">
        <f t="shared" si="1231"/>
      </c>
      <c r="CL165" s="1287">
        <f t="shared" ref="CL165:CU165" si="1232">CL158/CH158-1</f>
      </c>
      <c r="CM165" s="1287">
        <f t="shared" si="1232"/>
      </c>
      <c r="CN165" s="1287">
        <f t="shared" si="1232"/>
      </c>
      <c r="CO165" s="1288">
        <f t="shared" si="1232"/>
      </c>
      <c r="CP165" s="1112">
        <f t="shared" si="1232"/>
      </c>
      <c r="CQ165" s="1112">
        <f t="shared" si="1232"/>
      </c>
      <c r="CR165" s="1112">
        <f t="shared" si="1232"/>
      </c>
      <c r="CS165" s="1289">
        <f t="shared" si="1232"/>
      </c>
      <c r="CT165" s="1112">
        <f t="shared" si="1232"/>
      </c>
      <c r="CU165" s="1112">
        <f t="shared" si="1232"/>
      </c>
      <c r="CV165" s="1112">
        <f t="shared" ref="CV165:DD165" si="1233">CV158/CR158-1</f>
      </c>
      <c r="CW165" s="1289">
        <f t="shared" si="1233"/>
      </c>
      <c r="CX165" s="1112">
        <f t="shared" si="1233"/>
      </c>
      <c r="CY165" s="1112">
        <f t="shared" si="1233"/>
      </c>
      <c r="CZ165" s="1112">
        <f t="shared" si="1233"/>
      </c>
      <c r="DA165" s="1289">
        <f t="shared" si="1233"/>
      </c>
      <c r="DB165" s="1112">
        <f t="shared" si="1233"/>
      </c>
      <c r="DC165" s="1112">
        <f t="shared" si="1233"/>
      </c>
      <c r="DD165" s="1112">
        <f t="shared" si="1233"/>
      </c>
      <c r="DE165" s="1289">
        <f>DE158/DA158-1</f>
      </c>
      <c r="DF165" s="1112">
        <f t="shared" ref="DF165" si="1234">DF158/DB158-1</f>
      </c>
      <c r="DG165" s="1112">
        <f t="shared" ref="DG165" si="1235">DG158/DC158-1</f>
      </c>
      <c r="DH165" s="1112">
        <f t="shared" ref="DH165" si="1236">DH158/DD158-1</f>
      </c>
      <c r="DI165" s="1289">
        <f t="shared" ref="DI165" si="1237">DI158/DE158-1</f>
      </c>
      <c r="DJ165" s="1112">
        <f t="shared" ref="DJ165" si="1238">DJ158/DF158-1</f>
      </c>
      <c r="DK165" s="1112">
        <f>DK158/DG158-1</f>
      </c>
      <c r="DL165" s="1112">
        <f t="shared" ref="DL165:DM166" si="1239">DL158/DH158-1</f>
      </c>
      <c r="DM165" s="1289">
        <f t="shared" si="1239"/>
      </c>
      <c r="DN165" s="1112">
        <f t="shared" ref="DN165:DV166" si="1240">DN158/DJ158-1</f>
      </c>
      <c r="DO165" s="1112">
        <f>DO158/DK158-1</f>
      </c>
      <c r="DP165" s="1112">
        <f t="shared" ref="DP165:DP166" si="1241">DP158/DL158-1</f>
      </c>
      <c r="DQ165" s="1289">
        <f t="shared" si="1240"/>
      </c>
      <c r="DR165" s="1112">
        <f t="shared" si="1240"/>
      </c>
      <c r="DS165" s="1112">
        <f t="shared" si="1240"/>
      </c>
      <c r="DT165" s="1112">
        <f t="shared" si="1240"/>
      </c>
      <c r="DU165" s="1289">
        <f t="shared" si="1240"/>
      </c>
      <c r="DV165" s="1112">
        <f t="shared" si="1240"/>
      </c>
      <c r="DW165" s="1112">
        <f t="shared" ref="DW165:DW166" si="1242">DW158/DS158-1</f>
      </c>
      <c r="DX165" s="1112">
        <f t="shared" ref="DX165:DX166" si="1243">DX158/DT158-1</f>
      </c>
      <c r="DY165" s="1289">
        <f t="shared" ref="DY165:DY166" si="1244">DY158/DU158-1</f>
      </c>
      <c r="DZ165" s="1112">
        <f t="shared" ref="DZ165:DZ166" si="1245">DZ158/DV158-1</f>
      </c>
      <c r="EA165" s="1112">
        <f t="shared" ref="EA165:EA166" si="1246">EA158/DW158-1</f>
      </c>
      <c r="EB165" s="1112">
        <f t="shared" ref="EB165:EB166" si="1247">EB158/DX158-1</f>
      </c>
      <c r="EC165" s="1289">
        <f t="shared" ref="EC165:EC166" si="1248">EC158/DY158-1</f>
      </c>
      <c r="ED165" s="1112">
        <f t="shared" ref="ED165:ED166" si="1249">ED158/DZ158-1</f>
      </c>
      <c r="EE165" s="1112">
        <f t="shared" ref="EE165:EE166" si="1250">EE158/EA158-1</f>
      </c>
      <c r="EF165" s="1112">
        <f t="shared" ref="EF165:EF166" si="1251">EF158/EB158-1</f>
      </c>
      <c r="EG165" s="1289">
        <f t="shared" ref="EG165:EG166" si="1252">EG158/EC158-1</f>
      </c>
      <c r="EH165" s="1112">
        <f t="shared" ref="EH165:EH166" si="1253">EH158/ED158-1</f>
      </c>
      <c r="EI165" s="1112">
        <f t="shared" ref="EI165:EI166" si="1254">EI158/EE158-1</f>
      </c>
      <c r="EJ165" s="1112">
        <f t="shared" ref="EJ165:EJ166" si="1255">EJ158/EF158-1</f>
      </c>
      <c r="EK165" s="1289">
        <f t="shared" ref="EK165:EK166" si="1256">EK158/EG158-1</f>
      </c>
      <c r="EM165" s="1112"/>
      <c r="EN165" s="1112"/>
      <c r="EO165" s="1112"/>
      <c r="EP165" s="1113" t="str">
        <f t="shared" ref="EP165:FO165" si="1257">IF(ISERROR(EP158/EO158-1),"NA",EP158/EO158-1)</f>
      </c>
      <c r="EQ165" s="1113" t="str">
        <f t="shared" si="1257"/>
      </c>
      <c r="ER165" s="1113" t="str">
        <f t="shared" si="1257"/>
      </c>
      <c r="ES165" s="1113" t="str">
        <f t="shared" si="1257"/>
      </c>
      <c r="ET165" s="1113" t="str">
        <f t="shared" si="1257"/>
      </c>
      <c r="EU165" s="1113" t="str">
        <f t="shared" si="1257"/>
      </c>
      <c r="EV165" s="1113" t="str">
        <f t="shared" si="1257"/>
      </c>
      <c r="EW165" s="1113" t="str">
        <f t="shared" si="1257"/>
      </c>
      <c r="EX165" s="1113" t="str">
        <f t="shared" si="1257"/>
      </c>
      <c r="EY165" s="1113" t="str">
        <f t="shared" si="1257"/>
      </c>
      <c r="EZ165" s="1113" t="str">
        <f t="shared" si="1257"/>
      </c>
      <c r="FA165" s="1113" t="str">
        <f t="shared" si="1257"/>
      </c>
      <c r="FB165" s="1113">
        <f t="shared" si="1257"/>
      </c>
      <c r="FC165" s="1113">
        <f t="shared" si="1257"/>
      </c>
      <c r="FD165" s="1113">
        <f t="shared" si="1257"/>
      </c>
      <c r="FE165" s="1113">
        <f t="shared" si="1257"/>
      </c>
      <c r="FF165" s="1113">
        <f t="shared" si="1257"/>
      </c>
      <c r="FG165" s="1113">
        <f t="shared" si="1257"/>
      </c>
      <c r="FH165" s="1113">
        <f t="shared" si="1257"/>
      </c>
      <c r="FI165" s="1113">
        <f t="shared" si="1257"/>
      </c>
      <c r="FJ165" s="1113">
        <f t="shared" si="1257"/>
      </c>
      <c r="FK165" s="1113">
        <f t="shared" si="1257"/>
      </c>
      <c r="FL165" s="1113">
        <f t="shared" si="1257"/>
      </c>
      <c r="FM165" s="1113">
        <f t="shared" si="1257"/>
      </c>
      <c r="FN165" s="1113">
        <f t="shared" si="1257"/>
      </c>
      <c r="FO165" s="1113">
        <f t="shared" si="1257"/>
      </c>
      <c r="FP165" s="1113">
        <f t="shared" ref="FP165:FP167" si="1258">IF(ISERROR(FP158/FO158-1),"NA",FP158/FO158-1)</f>
      </c>
      <c r="FQ165" s="1113">
        <f t="shared" ref="FQ165:FQ167" si="1259">IF(ISERROR(FQ158/FP158-1),"NA",FQ158/FP158-1)</f>
      </c>
      <c r="FR165" s="1113">
        <f t="shared" ref="FR165:FR167" si="1260">IF(ISERROR(FR158/FQ158-1),"NA",FR158/FQ158-1)</f>
      </c>
      <c r="FS165" s="1113">
        <f t="shared" ref="FS165:FS167" si="1261">IF(ISERROR(FS158/FR158-1),"NA",FS158/FR158-1)</f>
      </c>
      <c r="FT165" s="1113">
        <f t="shared" ref="FT165:FT167" si="1262">IF(ISERROR(FT158/FS158-1),"NA",FT158/FS158-1)</f>
      </c>
      <c r="FU165" s="1113">
        <f t="shared" ref="FU165:FU167" si="1263">IF(ISERROR(FU158/FT158-1),"NA",FU158/FT158-1)</f>
      </c>
      <c r="FW165" s="1113"/>
      <c r="FX165" s="1112"/>
      <c r="FY165" s="1112"/>
      <c r="FZ165" s="1112"/>
      <c r="GA165" s="1113" t="str">
        <f t="shared" ref="GA165:HB165" si="1264">IF(ISERROR(GA158/FZ158-1),"NA",GA158/FZ158-1)</f>
      </c>
      <c r="GB165" s="1113" t="str">
        <f t="shared" si="1264"/>
      </c>
      <c r="GC165" s="1113" t="str">
        <f t="shared" si="1264"/>
      </c>
      <c r="GD165" s="1113" t="str">
        <f t="shared" si="1264"/>
      </c>
      <c r="GE165" s="1113" t="str">
        <f t="shared" si="1264"/>
      </c>
      <c r="GF165" s="1113" t="str">
        <f t="shared" si="1264"/>
      </c>
      <c r="GG165" s="1113" t="str">
        <f t="shared" si="1264"/>
      </c>
      <c r="GH165" s="1113" t="str">
        <f t="shared" si="1264"/>
      </c>
      <c r="GI165" s="1113" t="str">
        <f t="shared" si="1264"/>
      </c>
      <c r="GJ165" s="1113" t="str">
        <f t="shared" si="1264"/>
      </c>
      <c r="GK165" s="1113" t="str">
        <f t="shared" si="1264"/>
      </c>
      <c r="GL165" s="1113" t="str">
        <f t="shared" si="1264"/>
      </c>
      <c r="GM165" s="1113" t="str">
        <f t="shared" si="1264"/>
      </c>
      <c r="GN165" s="1113">
        <f t="shared" si="1264"/>
      </c>
      <c r="GO165" s="1113">
        <f t="shared" si="1264"/>
      </c>
      <c r="GP165" s="1113">
        <f t="shared" si="1264"/>
      </c>
      <c r="GQ165" s="1113">
        <f t="shared" si="1264"/>
      </c>
      <c r="GR165" s="1113">
        <f t="shared" si="1264"/>
      </c>
      <c r="GS165" s="1113">
        <f t="shared" si="1264"/>
      </c>
      <c r="GT165" s="1113">
        <f t="shared" si="1264"/>
      </c>
      <c r="GU165" s="1113">
        <f t="shared" si="1264"/>
      </c>
      <c r="GV165" s="1113">
        <f t="shared" si="1264"/>
      </c>
      <c r="GW165" s="1113">
        <f t="shared" si="1264"/>
      </c>
      <c r="GX165" s="1113">
        <f t="shared" si="1264"/>
      </c>
      <c r="GY165" s="1113">
        <f t="shared" si="1264"/>
      </c>
      <c r="GZ165" s="1113">
        <f t="shared" si="1264"/>
      </c>
      <c r="HA165" s="1113">
        <f t="shared" si="1264"/>
      </c>
      <c r="HB165" s="1113">
        <f t="shared" si="1264"/>
      </c>
      <c r="HC165" s="1113">
        <f t="shared" ref="HC165:HC167" si="1265">IF(ISERROR(HC158/HB158-1),"NA",HC158/HB158-1)</f>
      </c>
      <c r="HD165" s="1113">
        <f t="shared" ref="HD165:HD167" si="1266">IF(ISERROR(HD158/HC158-1),"NA",HD158/HC158-1)</f>
      </c>
      <c r="HE165" s="1113">
        <f t="shared" ref="HE165:HE167" si="1267">IF(ISERROR(HE158/HD158-1),"NA",HE158/HD158-1)</f>
      </c>
      <c r="HF165" s="1113">
        <f t="shared" ref="HF165:HF167" si="1268">IF(ISERROR(HF158/HE158-1),"NA",HF158/HE158-1)</f>
      </c>
    </row>
    <row r="166" spans="1:214" s="17" customFormat="1" ht="10.199999999999999">
      <c r="A166" s="629" t="s">
        <v>1184</v>
      </c>
      <c r="B166" s="589"/>
      <c r="C166" s="589"/>
      <c r="D166" s="589"/>
      <c r="E166" s="590"/>
      <c r="F166" s="589"/>
      <c r="G166" s="589"/>
      <c r="H166" s="589"/>
      <c r="I166" s="590"/>
      <c r="J166" s="589"/>
      <c r="K166" s="589"/>
      <c r="L166" s="589"/>
      <c r="M166" s="590"/>
      <c r="N166" s="589"/>
      <c r="O166" s="589"/>
      <c r="P166" s="589"/>
      <c r="Q166" s="590"/>
      <c r="R166" s="589"/>
      <c r="S166" s="589"/>
      <c r="T166" s="589"/>
      <c r="U166" s="590"/>
      <c r="V166" s="589"/>
      <c r="W166" s="589"/>
      <c r="X166" s="589"/>
      <c r="Y166" s="590"/>
      <c r="Z166" s="589"/>
      <c r="AA166" s="589"/>
      <c r="AB166" s="589"/>
      <c r="AC166" s="590"/>
      <c r="AD166" s="589"/>
      <c r="AE166" s="589"/>
      <c r="AF166" s="589"/>
      <c r="AG166" s="590"/>
      <c r="AH166" s="589"/>
      <c r="AI166" s="589"/>
      <c r="AJ166" s="589"/>
      <c r="AK166" s="590"/>
      <c r="AL166" s="589"/>
      <c r="AM166" s="589"/>
      <c r="AN166" s="589"/>
      <c r="AO166" s="590"/>
      <c r="AP166" s="589"/>
      <c r="AQ166" s="589"/>
      <c r="AR166" s="589"/>
      <c r="AS166" s="590"/>
      <c r="AT166" s="589"/>
      <c r="AU166" s="589"/>
      <c r="AV166" s="589"/>
      <c r="AW166" s="590"/>
      <c r="AX166" s="589"/>
      <c r="AY166" s="589"/>
      <c r="AZ166" s="589"/>
      <c r="BA166" s="590"/>
      <c r="BB166" s="589"/>
      <c r="BC166" s="589"/>
      <c r="BD166" s="589"/>
      <c r="BE166" s="590"/>
      <c r="BF166" s="589"/>
      <c r="BG166" s="589"/>
      <c r="BH166" s="589"/>
      <c r="BI166" s="590"/>
      <c r="BJ166" s="589"/>
      <c r="BK166" s="589"/>
      <c r="BL166" s="589"/>
      <c r="BM166" s="590"/>
      <c r="BN166" s="589"/>
      <c r="BO166" s="589"/>
      <c r="BP166" s="589"/>
      <c r="BQ166" s="590"/>
      <c r="BR166" s="589"/>
      <c r="BS166" s="589"/>
      <c r="BT166" s="589"/>
      <c r="BU166" s="590"/>
      <c r="BV166" s="589"/>
      <c r="BW166" s="589"/>
      <c r="BX166" s="589"/>
      <c r="BY166" s="590"/>
      <c r="BZ166" s="589"/>
      <c r="CA166" s="589"/>
      <c r="CB166" s="589"/>
      <c r="CC166" s="590"/>
      <c r="CD166" s="589"/>
      <c r="CE166" s="589"/>
      <c r="CF166" s="1291">
        <f t="shared" ref="CF166:CO166" si="1269">CF159/CB159-1</f>
      </c>
      <c r="CG166" s="1292">
        <f t="shared" si="1269"/>
      </c>
      <c r="CH166" s="1291">
        <f t="shared" si="1269"/>
      </c>
      <c r="CI166" s="1291">
        <f t="shared" si="1269"/>
      </c>
      <c r="CJ166" s="1291">
        <f t="shared" si="1269"/>
      </c>
      <c r="CK166" s="1292">
        <f t="shared" si="1269"/>
      </c>
      <c r="CL166" s="1291">
        <f t="shared" si="1269"/>
      </c>
      <c r="CM166" s="1291">
        <f t="shared" si="1269"/>
      </c>
      <c r="CN166" s="1291">
        <f t="shared" si="1269"/>
      </c>
      <c r="CO166" s="1292">
        <f t="shared" si="1269"/>
      </c>
      <c r="CP166" s="1291">
        <f t="shared" ref="CP166:CY166" si="1270">CP159/CL159-1</f>
      </c>
      <c r="CQ166" s="1291">
        <f t="shared" si="1270"/>
      </c>
      <c r="CR166" s="1291">
        <f t="shared" si="1270"/>
      </c>
      <c r="CS166" s="1292">
        <f t="shared" si="1270"/>
      </c>
      <c r="CT166" s="1291">
        <f t="shared" si="1270"/>
      </c>
      <c r="CU166" s="1291">
        <f t="shared" si="1270"/>
      </c>
      <c r="CV166" s="1291">
        <f t="shared" si="1270"/>
      </c>
      <c r="CW166" s="1292">
        <f t="shared" si="1270"/>
      </c>
      <c r="CX166" s="1291">
        <f t="shared" si="1270"/>
      </c>
      <c r="CY166" s="1291">
        <f t="shared" si="1270"/>
      </c>
      <c r="CZ166" s="1291">
        <f t="shared" ref="CZ166:DI166" si="1271">CZ159/CV159-1</f>
      </c>
      <c r="DA166" s="1292">
        <f t="shared" si="1271"/>
      </c>
      <c r="DB166" s="1291">
        <f t="shared" si="1271"/>
      </c>
      <c r="DC166" s="1291">
        <f t="shared" si="1271"/>
      </c>
      <c r="DD166" s="1291">
        <f t="shared" si="1271"/>
      </c>
      <c r="DE166" s="1292">
        <f t="shared" si="1271"/>
      </c>
      <c r="DF166" s="1291">
        <f t="shared" si="1271"/>
      </c>
      <c r="DG166" s="1291">
        <f t="shared" si="1271"/>
      </c>
      <c r="DH166" s="1291">
        <f t="shared" si="1271"/>
      </c>
      <c r="DI166" s="1292">
        <f t="shared" si="1271"/>
      </c>
      <c r="DJ166" s="1291">
        <f t="shared" ref="DJ166" si="1272">DJ159/DF159-1</f>
      </c>
      <c r="DK166" s="1291">
        <f>DK159/DG159-1</f>
      </c>
      <c r="DL166" s="1291">
        <f t="shared" si="1239"/>
      </c>
      <c r="DM166" s="1292">
        <f t="shared" si="1239"/>
      </c>
      <c r="DN166" s="1291">
        <f t="shared" si="1240"/>
      </c>
      <c r="DO166" s="1291">
        <f>DO159/DK159-1</f>
      </c>
      <c r="DP166" s="1291">
        <f t="shared" si="1241"/>
      </c>
      <c r="DQ166" s="1292">
        <f t="shared" si="1240"/>
      </c>
      <c r="DR166" s="1291">
        <f t="shared" si="1240"/>
      </c>
      <c r="DS166" s="1291">
        <f t="shared" si="1240"/>
      </c>
      <c r="DT166" s="1291">
        <f t="shared" si="1240"/>
      </c>
      <c r="DU166" s="1292">
        <f t="shared" si="1240"/>
      </c>
      <c r="DV166" s="1291">
        <f t="shared" si="1240"/>
      </c>
      <c r="DW166" s="1291">
        <f t="shared" si="1242"/>
      </c>
      <c r="DX166" s="1291">
        <f t="shared" si="1243"/>
      </c>
      <c r="DY166" s="1292">
        <f t="shared" si="1244"/>
      </c>
      <c r="DZ166" s="1291">
        <f t="shared" si="1245"/>
      </c>
      <c r="EA166" s="1291">
        <f t="shared" si="1246"/>
      </c>
      <c r="EB166" s="1291">
        <f t="shared" si="1247"/>
      </c>
      <c r="EC166" s="1292">
        <f t="shared" si="1248"/>
      </c>
      <c r="ED166" s="1291">
        <f t="shared" si="1249"/>
      </c>
      <c r="EE166" s="1291">
        <f t="shared" si="1250"/>
      </c>
      <c r="EF166" s="1291">
        <f t="shared" si="1251"/>
      </c>
      <c r="EG166" s="1292">
        <f t="shared" si="1252"/>
      </c>
      <c r="EH166" s="1291">
        <f t="shared" si="1253"/>
      </c>
      <c r="EI166" s="1291">
        <f t="shared" si="1254"/>
      </c>
      <c r="EJ166" s="1291">
        <f t="shared" si="1255"/>
      </c>
      <c r="EK166" s="1292">
        <f t="shared" si="1256"/>
      </c>
      <c r="EM166" s="1291"/>
      <c r="EN166" s="1291"/>
      <c r="EO166" s="1291"/>
      <c r="EP166" s="1293" t="str">
        <f t="shared" ref="EP166:FO166" si="1273">IF(ISERROR(EP159/EO159-1),"NA",EP159/EO159-1)</f>
      </c>
      <c r="EQ166" s="1293" t="str">
        <f t="shared" si="1273"/>
      </c>
      <c r="ER166" s="1293" t="str">
        <f t="shared" si="1273"/>
      </c>
      <c r="ES166" s="1293" t="str">
        <f t="shared" si="1273"/>
      </c>
      <c r="ET166" s="1293" t="str">
        <f t="shared" si="1273"/>
      </c>
      <c r="EU166" s="1293" t="str">
        <f t="shared" si="1273"/>
      </c>
      <c r="EV166" s="1293" t="str">
        <f t="shared" si="1273"/>
      </c>
      <c r="EW166" s="1293" t="str">
        <f t="shared" si="1273"/>
      </c>
      <c r="EX166" s="1293" t="str">
        <f t="shared" si="1273"/>
      </c>
      <c r="EY166" s="1293" t="str">
        <f t="shared" si="1273"/>
      </c>
      <c r="EZ166" s="1293" t="str">
        <f t="shared" si="1273"/>
      </c>
      <c r="FA166" s="1293" t="str">
        <f t="shared" si="1273"/>
      </c>
      <c r="FB166" s="1293" t="str">
        <f t="shared" si="1273"/>
      </c>
      <c r="FC166" s="1293" t="str">
        <f t="shared" si="1273"/>
      </c>
      <c r="FD166" s="1293" t="str">
        <f t="shared" si="1273"/>
      </c>
      <c r="FE166" s="1293" t="str">
        <f t="shared" si="1273"/>
      </c>
      <c r="FF166" s="1293" t="str">
        <f t="shared" si="1273"/>
      </c>
      <c r="FG166" s="1293">
        <f t="shared" si="1273"/>
      </c>
      <c r="FH166" s="1293">
        <f t="shared" si="1273"/>
      </c>
      <c r="FI166" s="1293">
        <f t="shared" si="1273"/>
      </c>
      <c r="FJ166" s="1293">
        <f t="shared" si="1273"/>
      </c>
      <c r="FK166" s="1293">
        <f t="shared" si="1273"/>
      </c>
      <c r="FL166" s="1293">
        <f t="shared" si="1273"/>
      </c>
      <c r="FM166" s="1293">
        <f t="shared" si="1273"/>
      </c>
      <c r="FN166" s="1293">
        <f t="shared" si="1273"/>
      </c>
      <c r="FO166" s="1293">
        <f t="shared" si="1273"/>
      </c>
      <c r="FP166" s="1293">
        <f t="shared" si="1258"/>
      </c>
      <c r="FQ166" s="1293">
        <f t="shared" si="1259"/>
      </c>
      <c r="FR166" s="1293">
        <f t="shared" si="1260"/>
      </c>
      <c r="FS166" s="1293">
        <f t="shared" si="1261"/>
      </c>
      <c r="FT166" s="1293">
        <f t="shared" si="1262"/>
      </c>
      <c r="FU166" s="1293">
        <f t="shared" si="1263"/>
      </c>
      <c r="FW166" s="1293"/>
      <c r="FX166" s="1291"/>
      <c r="FY166" s="1291"/>
      <c r="FZ166" s="1291"/>
      <c r="GA166" s="1293" t="str">
        <f t="shared" ref="GA166:GY167" si="1274">IF(ISERROR(GA159/FZ159-1),"NA",GA159/FZ159-1)</f>
      </c>
      <c r="GB166" s="1293" t="str">
        <f t="shared" si="1274"/>
      </c>
      <c r="GC166" s="1293" t="str">
        <f t="shared" si="1274"/>
      </c>
      <c r="GD166" s="1293" t="str">
        <f t="shared" si="1274"/>
      </c>
      <c r="GE166" s="1293" t="str">
        <f t="shared" si="1274"/>
      </c>
      <c r="GF166" s="1293" t="str">
        <f t="shared" si="1274"/>
      </c>
      <c r="GG166" s="1293" t="str">
        <f t="shared" si="1274"/>
      </c>
      <c r="GH166" s="1293" t="str">
        <f t="shared" si="1274"/>
      </c>
      <c r="GI166" s="1293" t="str">
        <f t="shared" si="1274"/>
      </c>
      <c r="GJ166" s="1293" t="str">
        <f t="shared" si="1274"/>
      </c>
      <c r="GK166" s="1293" t="str">
        <f t="shared" si="1274"/>
      </c>
      <c r="GL166" s="1293" t="str">
        <f t="shared" si="1274"/>
      </c>
      <c r="GM166" s="1293" t="str">
        <f t="shared" si="1274"/>
      </c>
      <c r="GN166" s="1293" t="str">
        <f t="shared" si="1274"/>
      </c>
      <c r="GO166" s="1293" t="str">
        <f t="shared" si="1274"/>
      </c>
      <c r="GP166" s="1293" t="str">
        <f t="shared" si="1274"/>
      </c>
      <c r="GQ166" s="1293" t="str">
        <f t="shared" si="1274"/>
      </c>
      <c r="GR166" s="1293" t="str">
        <f t="shared" si="1274"/>
      </c>
      <c r="GS166" s="1293">
        <f t="shared" si="1274"/>
      </c>
      <c r="GT166" s="1293">
        <f t="shared" si="1274"/>
      </c>
      <c r="GU166" s="1293">
        <f t="shared" si="1274"/>
      </c>
      <c r="GV166" s="1293">
        <f t="shared" si="1274"/>
      </c>
      <c r="GW166" s="1293">
        <f t="shared" si="1274"/>
      </c>
      <c r="GX166" s="1293">
        <f t="shared" si="1274"/>
      </c>
      <c r="GY166" s="1293">
        <f t="shared" si="1274"/>
      </c>
      <c r="GZ166" s="1293">
        <f t="shared" ref="GZ166:HA167" si="1275">IF(ISERROR(GZ159/GY159-1),"NA",GZ159/GY159-1)</f>
      </c>
      <c r="HA166" s="1293">
        <f t="shared" si="1275"/>
      </c>
      <c r="HB166" s="1293">
        <f t="shared" ref="HB166" si="1276">IF(ISERROR(HB159/HA159-1),"NA",HB159/HA159-1)</f>
      </c>
      <c r="HC166" s="1293">
        <f t="shared" si="1265"/>
      </c>
      <c r="HD166" s="1293">
        <f t="shared" si="1266"/>
      </c>
      <c r="HE166" s="1293">
        <f t="shared" si="1267"/>
      </c>
      <c r="HF166" s="1293">
        <f t="shared" si="1268"/>
      </c>
    </row>
    <row r="167" spans="1:214" s="17" customFormat="1" ht="10.199999999999999">
      <c r="A167" s="1294" t="s">
        <v>1183</v>
      </c>
      <c r="B167" s="589"/>
      <c r="C167" s="589"/>
      <c r="D167" s="589"/>
      <c r="E167" s="590"/>
      <c r="F167" s="589"/>
      <c r="G167" s="589"/>
      <c r="H167" s="589"/>
      <c r="I167" s="590"/>
      <c r="J167" s="589"/>
      <c r="K167" s="589"/>
      <c r="L167" s="589"/>
      <c r="M167" s="590"/>
      <c r="N167" s="589"/>
      <c r="O167" s="589"/>
      <c r="P167" s="589"/>
      <c r="Q167" s="590"/>
      <c r="R167" s="589"/>
      <c r="S167" s="589"/>
      <c r="T167" s="589"/>
      <c r="U167" s="590"/>
      <c r="V167" s="589"/>
      <c r="W167" s="589"/>
      <c r="X167" s="589"/>
      <c r="Y167" s="590"/>
      <c r="Z167" s="589"/>
      <c r="AA167" s="589"/>
      <c r="AB167" s="589"/>
      <c r="AC167" s="590"/>
      <c r="AD167" s="589">
        <f t="shared" ref="AD167:BI167" si="1277">+AD160/Z160-1</f>
      </c>
      <c r="AE167" s="589">
        <f t="shared" si="1277"/>
      </c>
      <c r="AF167" s="589">
        <f t="shared" si="1277"/>
      </c>
      <c r="AG167" s="590">
        <f t="shared" si="1277"/>
      </c>
      <c r="AH167" s="589">
        <f t="shared" si="1277"/>
      </c>
      <c r="AI167" s="589">
        <f t="shared" si="1277"/>
      </c>
      <c r="AJ167" s="589">
        <f t="shared" si="1277"/>
      </c>
      <c r="AK167" s="590">
        <f t="shared" si="1277"/>
      </c>
      <c r="AL167" s="589">
        <f t="shared" si="1277"/>
      </c>
      <c r="AM167" s="589">
        <f t="shared" si="1277"/>
      </c>
      <c r="AN167" s="589">
        <f t="shared" si="1277"/>
      </c>
      <c r="AO167" s="590">
        <f t="shared" si="1277"/>
      </c>
      <c r="AP167" s="589">
        <f t="shared" si="1277"/>
      </c>
      <c r="AQ167" s="589">
        <f t="shared" si="1277"/>
      </c>
      <c r="AR167" s="589">
        <f t="shared" si="1277"/>
      </c>
      <c r="AS167" s="590">
        <f t="shared" si="1277"/>
      </c>
      <c r="AT167" s="589">
        <f t="shared" si="1277"/>
      </c>
      <c r="AU167" s="589">
        <f t="shared" si="1277"/>
      </c>
      <c r="AV167" s="589">
        <f t="shared" si="1277"/>
      </c>
      <c r="AW167" s="590">
        <f t="shared" si="1277"/>
      </c>
      <c r="AX167" s="589">
        <f t="shared" si="1277"/>
      </c>
      <c r="AY167" s="589">
        <f t="shared" si="1277"/>
      </c>
      <c r="AZ167" s="589">
        <f t="shared" si="1277"/>
      </c>
      <c r="BA167" s="590">
        <f t="shared" si="1277"/>
      </c>
      <c r="BB167" s="589">
        <f t="shared" si="1277"/>
      </c>
      <c r="BC167" s="589">
        <f t="shared" si="1277"/>
      </c>
      <c r="BD167" s="589">
        <f t="shared" si="1277"/>
      </c>
      <c r="BE167" s="590">
        <f t="shared" si="1277"/>
      </c>
      <c r="BF167" s="589">
        <f t="shared" si="1277"/>
      </c>
      <c r="BG167" s="589">
        <f t="shared" si="1277"/>
      </c>
      <c r="BH167" s="589">
        <f t="shared" si="1277"/>
      </c>
      <c r="BI167" s="590">
        <f t="shared" si="1277"/>
      </c>
      <c r="BJ167" s="589">
        <f t="shared" ref="BJ167:BZ167" si="1278">+BJ160/BF160-1</f>
      </c>
      <c r="BK167" s="589">
        <f t="shared" si="1278"/>
      </c>
      <c r="BL167" s="589">
        <f t="shared" si="1278"/>
      </c>
      <c r="BM167" s="590">
        <f t="shared" si="1278"/>
      </c>
      <c r="BN167" s="589">
        <f t="shared" si="1278"/>
      </c>
      <c r="BO167" s="589">
        <f t="shared" si="1278"/>
      </c>
      <c r="BP167" s="589">
        <f t="shared" si="1278"/>
      </c>
      <c r="BQ167" s="590">
        <f t="shared" si="1278"/>
      </c>
      <c r="BR167" s="589">
        <f t="shared" si="1278"/>
      </c>
      <c r="BS167" s="589">
        <f t="shared" si="1278"/>
      </c>
      <c r="BT167" s="589">
        <f t="shared" si="1278"/>
      </c>
      <c r="BU167" s="590">
        <f t="shared" si="1278"/>
      </c>
      <c r="BV167" s="589">
        <f t="shared" si="1278"/>
      </c>
      <c r="BW167" s="589">
        <f t="shared" si="1278"/>
      </c>
      <c r="BX167" s="589">
        <f t="shared" si="1278"/>
      </c>
      <c r="BY167" s="590">
        <f t="shared" si="1278"/>
      </c>
      <c r="BZ167" s="589">
        <f t="shared" si="1278"/>
      </c>
      <c r="CA167" s="589">
        <f>IF(ISERROR(CA160/BW160-1),"NA",CA160/BW160-1)</f>
      </c>
      <c r="CB167" s="1295">
        <v>-0.1</v>
      </c>
      <c r="CC167" s="1296">
        <v>-0.1</v>
      </c>
      <c r="CD167" s="1297">
        <v>-0.05</v>
      </c>
      <c r="CE167" s="1297">
        <v>-0.05</v>
      </c>
      <c r="CF167" s="1297">
        <v>-0.05</v>
      </c>
      <c r="CG167" s="1296">
        <v>-0.05</v>
      </c>
      <c r="CH167" s="1297">
        <v>-0.02</v>
      </c>
      <c r="CI167" s="1297">
        <v>-0.02</v>
      </c>
      <c r="CJ167" s="1297">
        <v>-0.02</v>
      </c>
      <c r="CK167" s="1296">
        <v>-0.02</v>
      </c>
      <c r="CL167" s="1074">
        <v>-0.01</v>
      </c>
      <c r="CM167" s="1074">
        <v>-0.01</v>
      </c>
      <c r="CN167" s="1074">
        <v>-0.01</v>
      </c>
      <c r="CO167" s="1298">
        <v>-0.01</v>
      </c>
      <c r="CP167" s="1074">
        <v>-0.01</v>
      </c>
      <c r="CQ167" s="1074">
        <v>-0.01</v>
      </c>
      <c r="CR167" s="1074">
        <v>-0.01</v>
      </c>
      <c r="CS167" s="1298">
        <v>-0.01</v>
      </c>
      <c r="CT167" s="1074">
        <v>-0.01</v>
      </c>
      <c r="CU167" s="1074">
        <v>-0.01</v>
      </c>
      <c r="CV167" s="1074">
        <v>-0.01</v>
      </c>
      <c r="CW167" s="1298">
        <v>-0.01</v>
      </c>
      <c r="CX167" s="1074">
        <v>-0.01</v>
      </c>
      <c r="CY167" s="1074">
        <v>-0.01</v>
      </c>
      <c r="CZ167" s="1074">
        <v>-0.01</v>
      </c>
      <c r="DA167" s="1298">
        <v>-0.01</v>
      </c>
      <c r="DB167" s="1074">
        <v>-0.01</v>
      </c>
      <c r="DC167" s="1074">
        <v>-0.01</v>
      </c>
      <c r="DD167" s="1074">
        <v>-0.01</v>
      </c>
      <c r="DE167" s="1298">
        <v>-0.01</v>
      </c>
      <c r="DF167" s="1074">
        <v>-0.01</v>
      </c>
      <c r="DG167" s="1074">
        <v>-0.01</v>
      </c>
      <c r="DH167" s="1074">
        <v>-0.01</v>
      </c>
      <c r="DI167" s="1298">
        <v>-0.01</v>
      </c>
      <c r="DJ167" s="1074">
        <v>-0.01</v>
      </c>
      <c r="DK167" s="1074">
        <v>-0.01</v>
      </c>
      <c r="DL167" s="1074">
        <v>-0.01</v>
      </c>
      <c r="DM167" s="1298">
        <v>-0.01</v>
      </c>
      <c r="DN167" s="1074">
        <v>-0.01</v>
      </c>
      <c r="DO167" s="1074">
        <v>-0.01</v>
      </c>
      <c r="DP167" s="1074">
        <v>-0.01</v>
      </c>
      <c r="DQ167" s="1298">
        <v>-0.01</v>
      </c>
      <c r="DR167" s="1074">
        <v>-0.01</v>
      </c>
      <c r="DS167" s="1074">
        <v>-0.01</v>
      </c>
      <c r="DT167" s="1074">
        <v>-0.01</v>
      </c>
      <c r="DU167" s="1298">
        <v>-0.01</v>
      </c>
      <c r="DV167" s="1074">
        <v>-0.01</v>
      </c>
      <c r="DW167" s="1074">
        <v>-0.01</v>
      </c>
      <c r="DX167" s="1074">
        <v>-0.01</v>
      </c>
      <c r="DY167" s="1298">
        <v>-0.01</v>
      </c>
      <c r="DZ167" s="1074">
        <v>-0.01</v>
      </c>
      <c r="EA167" s="1074">
        <v>-0.01</v>
      </c>
      <c r="EB167" s="1074">
        <v>-0.01</v>
      </c>
      <c r="EC167" s="1298">
        <v>-0.01</v>
      </c>
      <c r="ED167" s="1074">
        <v>-0.01</v>
      </c>
      <c r="EE167" s="1074">
        <v>-0.01</v>
      </c>
      <c r="EF167" s="1074">
        <v>-0.01</v>
      </c>
      <c r="EG167" s="1298">
        <v>-0.01</v>
      </c>
      <c r="EH167" s="1074">
        <v>-0.01</v>
      </c>
      <c r="EI167" s="1074">
        <v>-0.01</v>
      </c>
      <c r="EJ167" s="1074">
        <v>-0.01</v>
      </c>
      <c r="EK167" s="1298">
        <v>-0.01</v>
      </c>
      <c r="EM167" s="1291"/>
      <c r="EN167" s="1291"/>
      <c r="EO167" s="1291"/>
      <c r="EP167" s="1293" t="str">
        <f t="shared" ref="EP167:FO167" si="1279">IF(ISERROR(EP160/EO160-1),"NA",EP160/EO160-1)</f>
      </c>
      <c r="EQ167" s="1293" t="str">
        <f t="shared" si="1279"/>
      </c>
      <c r="ER167" s="1293" t="str">
        <f t="shared" si="1279"/>
      </c>
      <c r="ES167" s="1293" t="str">
        <f t="shared" si="1279"/>
      </c>
      <c r="ET167" s="1293">
        <f t="shared" si="1279"/>
      </c>
      <c r="EU167" s="1293">
        <f t="shared" si="1279"/>
      </c>
      <c r="EV167" s="1293">
        <f t="shared" si="1279"/>
      </c>
      <c r="EW167" s="1293">
        <f t="shared" si="1279"/>
      </c>
      <c r="EX167" s="1293">
        <f t="shared" si="1279"/>
      </c>
      <c r="EY167" s="1293">
        <f t="shared" si="1279"/>
      </c>
      <c r="EZ167" s="1293">
        <f t="shared" si="1279"/>
      </c>
      <c r="FA167" s="1293">
        <f t="shared" si="1279"/>
      </c>
      <c r="FB167" s="1293">
        <f t="shared" si="1279"/>
      </c>
      <c r="FC167" s="1293">
        <f t="shared" si="1279"/>
      </c>
      <c r="FD167" s="1293">
        <f t="shared" si="1279"/>
      </c>
      <c r="FE167" s="1293">
        <f t="shared" si="1279"/>
      </c>
      <c r="FF167" s="1293">
        <f t="shared" si="1279"/>
      </c>
      <c r="FG167" s="1293">
        <f t="shared" si="1279"/>
      </c>
      <c r="FH167" s="1293">
        <f t="shared" si="1279"/>
      </c>
      <c r="FI167" s="1293" t="str">
        <f t="shared" si="1279"/>
      </c>
      <c r="FJ167" s="1293" t="str">
        <f t="shared" si="1279"/>
      </c>
      <c r="FK167" s="1293" t="str">
        <f t="shared" si="1279"/>
      </c>
      <c r="FL167" s="1293" t="str">
        <f t="shared" si="1279"/>
      </c>
      <c r="FM167" s="1293" t="str">
        <f t="shared" si="1279"/>
      </c>
      <c r="FN167" s="1293" t="str">
        <f t="shared" si="1279"/>
      </c>
      <c r="FO167" s="1293" t="str">
        <f t="shared" si="1279"/>
      </c>
      <c r="FP167" s="1293" t="str">
        <f t="shared" si="1258"/>
      </c>
      <c r="FQ167" s="1293" t="str">
        <f t="shared" si="1259"/>
      </c>
      <c r="FR167" s="1293" t="str">
        <f t="shared" si="1260"/>
      </c>
      <c r="FS167" s="1293" t="str">
        <f t="shared" si="1261"/>
      </c>
      <c r="FT167" s="1293" t="str">
        <f t="shared" si="1262"/>
      </c>
      <c r="FU167" s="1293" t="str">
        <f t="shared" si="1263"/>
      </c>
      <c r="FW167" s="1293"/>
      <c r="FX167" s="1291"/>
      <c r="FY167" s="1291"/>
      <c r="FZ167" s="1291"/>
      <c r="GA167" s="1293" t="str">
        <f t="shared" si="1274"/>
      </c>
      <c r="GB167" s="1293" t="str">
        <f t="shared" si="1274"/>
      </c>
      <c r="GC167" s="1293" t="str">
        <f t="shared" si="1274"/>
      </c>
      <c r="GD167" s="1293" t="str">
        <f t="shared" si="1274"/>
      </c>
      <c r="GE167" s="1293">
        <f t="shared" si="1274"/>
      </c>
      <c r="GF167" s="1293">
        <f t="shared" si="1274"/>
      </c>
      <c r="GG167" s="1293">
        <f t="shared" si="1274"/>
      </c>
      <c r="GH167" s="1293">
        <f t="shared" si="1274"/>
      </c>
      <c r="GI167" s="1293">
        <f t="shared" si="1274"/>
      </c>
      <c r="GJ167" s="1293">
        <f t="shared" si="1274"/>
      </c>
      <c r="GK167" s="1293">
        <f t="shared" si="1274"/>
      </c>
      <c r="GL167" s="1293">
        <f t="shared" si="1274"/>
      </c>
      <c r="GM167" s="1293">
        <f t="shared" si="1274"/>
      </c>
      <c r="GN167" s="1293">
        <f t="shared" si="1274"/>
      </c>
      <c r="GO167" s="1293">
        <f t="shared" si="1274"/>
      </c>
      <c r="GP167" s="1293">
        <f t="shared" si="1274"/>
      </c>
      <c r="GQ167" s="1293">
        <f t="shared" si="1274"/>
      </c>
      <c r="GR167" s="1293">
        <f t="shared" si="1274"/>
      </c>
      <c r="GS167" s="1293">
        <f t="shared" si="1274"/>
      </c>
      <c r="GT167" s="1293">
        <f t="shared" si="1274"/>
      </c>
      <c r="GU167" s="1293" t="str">
        <f t="shared" si="1274"/>
      </c>
      <c r="GV167" s="1293" t="str">
        <f t="shared" si="1274"/>
      </c>
      <c r="GW167" s="1293" t="str">
        <f t="shared" si="1274"/>
      </c>
      <c r="GX167" s="1293" t="str">
        <f t="shared" si="1274"/>
      </c>
      <c r="GY167" s="1293" t="str">
        <f t="shared" si="1274"/>
      </c>
      <c r="GZ167" s="1293" t="str">
        <f t="shared" si="1275"/>
      </c>
      <c r="HA167" s="1293" t="str">
        <f t="shared" si="1275"/>
      </c>
      <c r="HB167" s="1293" t="str">
        <f t="shared" ref="HB167" si="1280">IF(ISERROR(HB160/HA160-1),"NA",HB160/HA160-1)</f>
      </c>
      <c r="HC167" s="1293" t="str">
        <f t="shared" si="1265"/>
      </c>
      <c r="HD167" s="1293" t="str">
        <f t="shared" si="1266"/>
      </c>
      <c r="HE167" s="1293" t="str">
        <f t="shared" si="1267"/>
      </c>
      <c r="HF167" s="1293" t="str">
        <f t="shared" si="1268"/>
      </c>
    </row>
    <row r="168" spans="1:214" s="16" customFormat="1" ht="10.199999999999999">
      <c r="A168" s="135"/>
      <c r="B168" s="130"/>
      <c r="C168" s="130"/>
      <c r="D168" s="130"/>
      <c r="E168" s="235"/>
      <c r="F168" s="130"/>
      <c r="G168" s="130"/>
      <c r="H168" s="130"/>
      <c r="I168" s="235"/>
      <c r="J168" s="130"/>
      <c r="K168" s="130"/>
      <c r="L168" s="130"/>
      <c r="M168" s="235"/>
      <c r="N168" s="130"/>
      <c r="O168" s="130"/>
      <c r="P168" s="130"/>
      <c r="Q168" s="235"/>
      <c r="R168" s="130"/>
      <c r="S168" s="130"/>
      <c r="T168" s="130"/>
      <c r="U168" s="235"/>
      <c r="V168" s="130"/>
      <c r="W168" s="130"/>
      <c r="X168" s="130"/>
      <c r="Y168" s="235"/>
      <c r="Z168" s="98"/>
      <c r="AA168" s="98"/>
      <c r="AB168" s="98"/>
      <c r="AC168" s="180"/>
      <c r="AD168" s="98"/>
      <c r="AE168" s="98"/>
      <c r="AF168" s="98"/>
      <c r="AG168" s="180"/>
      <c r="AH168" s="98"/>
      <c r="AI168" s="98"/>
      <c r="AJ168" s="98"/>
      <c r="AK168" s="180"/>
      <c r="AL168" s="98"/>
      <c r="AM168" s="98"/>
      <c r="AN168" s="98"/>
      <c r="AO168" s="180"/>
      <c r="AP168" s="98"/>
      <c r="AQ168" s="98"/>
      <c r="AR168" s="98"/>
      <c r="AS168" s="180"/>
      <c r="AT168" s="98"/>
      <c r="AU168" s="98"/>
      <c r="AV168" s="98"/>
      <c r="AW168" s="180"/>
      <c r="AX168" s="98"/>
      <c r="AY168" s="98"/>
      <c r="AZ168" s="98"/>
      <c r="BA168" s="180"/>
      <c r="BB168" s="98"/>
      <c r="BC168" s="98"/>
      <c r="BD168" s="98"/>
      <c r="BE168" s="180"/>
      <c r="BF168" s="98"/>
      <c r="BG168" s="98"/>
      <c r="BH168" s="98"/>
      <c r="BI168" s="180"/>
      <c r="BJ168" s="98"/>
      <c r="BK168" s="98"/>
      <c r="BL168" s="98"/>
      <c r="BM168" s="180"/>
      <c r="BN168" s="98"/>
      <c r="BO168" s="98"/>
      <c r="BP168" s="98"/>
      <c r="BQ168" s="180"/>
      <c r="BR168" s="98"/>
      <c r="BS168" s="98"/>
      <c r="BT168" s="98"/>
      <c r="BU168" s="180"/>
      <c r="BV168" s="98"/>
      <c r="BW168" s="98"/>
      <c r="BX168" s="98"/>
      <c r="BY168" s="180"/>
      <c r="BZ168" s="98"/>
      <c r="CA168" s="98"/>
      <c r="CB168" s="98"/>
      <c r="CC168" s="180"/>
      <c r="CD168" s="523"/>
      <c r="CE168" s="523"/>
      <c r="CF168" s="524"/>
      <c r="CG168" s="525"/>
      <c r="CH168" s="523"/>
      <c r="CI168" s="523"/>
      <c r="CJ168" s="523"/>
      <c r="CK168" s="525"/>
      <c r="CL168" s="523"/>
      <c r="CM168" s="523"/>
      <c r="CN168" s="523"/>
      <c r="CO168" s="525"/>
      <c r="CP168" s="320"/>
      <c r="CQ168" s="320"/>
      <c r="CR168" s="320"/>
      <c r="CS168" s="321"/>
      <c r="CT168" s="320"/>
      <c r="CU168" s="320"/>
      <c r="CV168" s="320"/>
      <c r="CW168" s="321"/>
      <c r="CX168" s="320"/>
      <c r="CY168" s="320"/>
      <c r="CZ168" s="320"/>
      <c r="DA168" s="321"/>
      <c r="DB168" s="320"/>
      <c r="DC168" s="320"/>
      <c r="DD168" s="390"/>
      <c r="DE168" s="430"/>
      <c r="DF168" s="390"/>
      <c r="DG168" s="390"/>
      <c r="DH168" s="390"/>
      <c r="DI168" s="430"/>
      <c r="DJ168" s="390"/>
      <c r="DK168" s="390"/>
      <c r="DL168" s="390"/>
      <c r="DM168" s="430"/>
      <c r="DN168" s="390"/>
      <c r="DO168" s="390"/>
      <c r="DP168" s="390"/>
      <c r="DQ168" s="430"/>
      <c r="DR168" s="390"/>
      <c r="DS168" s="390"/>
      <c r="DT168" s="390"/>
      <c r="DU168" s="430"/>
      <c r="DV168" s="390"/>
      <c r="DW168" s="390"/>
      <c r="DX168" s="390"/>
      <c r="DY168" s="430"/>
      <c r="DZ168" s="390"/>
      <c r="EA168" s="390"/>
      <c r="EB168" s="390"/>
      <c r="EC168" s="430"/>
      <c r="ED168" s="390"/>
      <c r="EE168" s="390"/>
      <c r="EF168" s="390"/>
      <c r="EG168" s="430"/>
      <c r="EH168" s="390"/>
      <c r="EI168" s="390"/>
      <c r="EJ168" s="390"/>
      <c r="EK168" s="430"/>
      <c r="EL168" s="320"/>
      <c r="EM168" s="390"/>
      <c r="EN168" s="390"/>
      <c r="EO168" s="390"/>
      <c r="EP168" s="390"/>
      <c r="EQ168" s="390"/>
      <c r="ER168" s="390"/>
      <c r="ES168" s="390"/>
      <c r="ET168" s="390"/>
      <c r="EU168" s="390"/>
      <c r="EV168" s="390"/>
      <c r="EW168" s="390"/>
      <c r="EX168" s="390"/>
      <c r="EY168" s="390"/>
      <c r="EZ168" s="390"/>
      <c r="FA168" s="390"/>
      <c r="FB168" s="390"/>
      <c r="FC168" s="390"/>
      <c r="FD168" s="390"/>
      <c r="FE168" s="390"/>
      <c r="FF168" s="390"/>
      <c r="FG168" s="390"/>
      <c r="FH168" s="390"/>
      <c r="FI168" s="390"/>
      <c r="FJ168" s="390"/>
      <c r="FK168" s="390"/>
      <c r="FL168" s="390"/>
      <c r="FM168" s="390"/>
      <c r="FN168" s="390"/>
      <c r="FO168" s="390"/>
      <c r="FP168" s="390"/>
      <c r="FQ168" s="390"/>
      <c r="FR168" s="390"/>
      <c r="FS168" s="390"/>
      <c r="FT168" s="390"/>
      <c r="FU168" s="390"/>
      <c r="FW168" s="390"/>
      <c r="FX168" s="390"/>
      <c r="FY168" s="390"/>
      <c r="FZ168" s="390"/>
      <c r="GA168" s="390"/>
      <c r="GB168" s="390"/>
      <c r="GC168" s="390"/>
      <c r="GD168" s="390"/>
      <c r="GE168" s="390"/>
      <c r="GF168" s="390"/>
      <c r="GG168" s="390"/>
      <c r="GH168" s="390"/>
      <c r="GI168" s="390"/>
      <c r="GJ168" s="390"/>
      <c r="GK168" s="390"/>
      <c r="GL168" s="390"/>
      <c r="GM168" s="390"/>
      <c r="GN168" s="390"/>
      <c r="GO168" s="390"/>
      <c r="GP168" s="390"/>
      <c r="GQ168" s="390"/>
      <c r="GR168" s="390"/>
      <c r="GS168" s="390"/>
      <c r="GT168" s="390"/>
      <c r="GU168" s="390"/>
      <c r="GV168" s="390"/>
      <c r="GW168" s="390"/>
      <c r="GX168" s="390"/>
      <c r="GY168" s="390"/>
      <c r="GZ168" s="390"/>
      <c r="HA168" s="390"/>
      <c r="HB168" s="390"/>
      <c r="HC168" s="390"/>
      <c r="HD168" s="390"/>
      <c r="HE168" s="390"/>
      <c r="HF168" s="390"/>
    </row>
    <row r="169" spans="1:214" s="16" customFormat="1" ht="10.199999999999999">
      <c r="A169" s="708" t="s">
        <v>1181</v>
      </c>
      <c r="B169" s="706" t="str">
        <f>'Revenue summary'!B$8</f>
      </c>
      <c r="C169" s="706" t="str">
        <f>'Revenue summary'!C$8</f>
      </c>
      <c r="D169" s="706" t="str">
        <f>'Revenue summary'!D$8</f>
      </c>
      <c r="E169" s="707" t="str">
        <f>'Revenue summary'!E$8</f>
      </c>
      <c r="F169" s="706" t="str">
        <f>'Revenue summary'!F$8</f>
      </c>
      <c r="G169" s="706" t="str">
        <f>'Revenue summary'!G$8</f>
      </c>
      <c r="H169" s="706" t="str">
        <f>'Revenue summary'!H$8</f>
      </c>
      <c r="I169" s="707" t="str">
        <f>'Revenue summary'!I$8</f>
      </c>
      <c r="J169" s="706" t="str">
        <f>'Revenue summary'!J$8</f>
      </c>
      <c r="K169" s="706" t="str">
        <f>'Revenue summary'!K$8</f>
      </c>
      <c r="L169" s="706" t="str">
        <f>'Revenue summary'!L$8</f>
      </c>
      <c r="M169" s="707" t="str">
        <f>'Revenue summary'!M$8</f>
      </c>
      <c r="N169" s="706" t="str">
        <f>'Revenue summary'!N$8</f>
      </c>
      <c r="O169" s="706" t="str">
        <f>'Revenue summary'!O$8</f>
      </c>
      <c r="P169" s="706" t="str">
        <f>'Revenue summary'!P$8</f>
      </c>
      <c r="Q169" s="707" t="str">
        <f>'Revenue summary'!Q$8</f>
      </c>
      <c r="R169" s="706" t="str">
        <f>'Revenue summary'!R$8</f>
      </c>
      <c r="S169" s="706" t="str">
        <f>'Revenue summary'!S$8</f>
      </c>
      <c r="T169" s="706" t="str">
        <f>'Revenue summary'!T$8</f>
      </c>
      <c r="U169" s="707" t="str">
        <f>'Revenue summary'!U$8</f>
      </c>
      <c r="V169" s="706" t="str">
        <f>'Revenue summary'!V$8</f>
      </c>
      <c r="W169" s="706" t="str">
        <f>'Revenue summary'!W$8</f>
      </c>
      <c r="X169" s="706" t="str">
        <f>'Revenue summary'!X$8</f>
      </c>
      <c r="Y169" s="707" t="str">
        <f>'Revenue summary'!Y$8</f>
      </c>
      <c r="Z169" s="706" t="str">
        <f>'Revenue summary'!Z$8</f>
      </c>
      <c r="AA169" s="706" t="str">
        <f>'Revenue summary'!AA$8</f>
      </c>
      <c r="AB169" s="706" t="str">
        <f>'Revenue summary'!AB$8</f>
      </c>
      <c r="AC169" s="707" t="str">
        <f>'Revenue summary'!AC$8</f>
      </c>
      <c r="AD169" s="706" t="str">
        <f>'Revenue summary'!AD$8</f>
      </c>
      <c r="AE169" s="706" t="str">
        <f>'Revenue summary'!AE$8</f>
      </c>
      <c r="AF169" s="706" t="str">
        <f>'Revenue summary'!AF$8</f>
      </c>
      <c r="AG169" s="707" t="str">
        <f>'Revenue summary'!AG$8</f>
      </c>
      <c r="AH169" s="706" t="str">
        <f>'Revenue summary'!AH$8</f>
      </c>
      <c r="AI169" s="706" t="str">
        <f>'Revenue summary'!AI$8</f>
      </c>
      <c r="AJ169" s="706" t="str">
        <f>'Revenue summary'!AJ$8</f>
      </c>
      <c r="AK169" s="707" t="str">
        <f>'Revenue summary'!AK$8</f>
      </c>
      <c r="AL169" s="706" t="str">
        <f>'Revenue summary'!AL$8</f>
      </c>
      <c r="AM169" s="706" t="str">
        <f>'Revenue summary'!AM$8</f>
      </c>
      <c r="AN169" s="706" t="str">
        <f>'Revenue summary'!AN$8</f>
      </c>
      <c r="AO169" s="707" t="str">
        <f>'Revenue summary'!AO$8</f>
      </c>
      <c r="AP169" s="706" t="str">
        <f>'Revenue summary'!AP$8</f>
      </c>
      <c r="AQ169" s="706" t="str">
        <f>'Revenue summary'!AQ$8</f>
      </c>
      <c r="AR169" s="706" t="str">
        <f>'Revenue summary'!AR$8</f>
      </c>
      <c r="AS169" s="707" t="str">
        <f>'Revenue summary'!AS$8</f>
      </c>
      <c r="AT169" s="706" t="str">
        <f>'Revenue summary'!AT$8</f>
      </c>
      <c r="AU169" s="706" t="str">
        <f>'Revenue summary'!AU$8</f>
      </c>
      <c r="AV169" s="706" t="str">
        <f>'Revenue summary'!AV$8</f>
      </c>
      <c r="AW169" s="707" t="str">
        <f>'Revenue summary'!AW$8</f>
      </c>
      <c r="AX169" s="706" t="str">
        <f>'Revenue summary'!AX$8</f>
      </c>
      <c r="AY169" s="706" t="str">
        <f>'Revenue summary'!AY$8</f>
      </c>
      <c r="AZ169" s="706" t="str">
        <f>'Revenue summary'!AZ$8</f>
      </c>
      <c r="BA169" s="707" t="str">
        <f>'Revenue summary'!BA$8</f>
      </c>
      <c r="BB169" s="706" t="str">
        <f>'Revenue summary'!BB$8</f>
      </c>
      <c r="BC169" s="706" t="str">
        <f>'Revenue summary'!BC$8</f>
      </c>
      <c r="BD169" s="706" t="str">
        <f>'Revenue summary'!BD$8</f>
      </c>
      <c r="BE169" s="707" t="str">
        <f>'Revenue summary'!BE$8</f>
      </c>
      <c r="BF169" s="706" t="str">
        <f>'Revenue summary'!BF$8</f>
      </c>
      <c r="BG169" s="706" t="str">
        <f>'Revenue summary'!BG$8</f>
      </c>
      <c r="BH169" s="706" t="str">
        <f>'Revenue summary'!BH$8</f>
      </c>
      <c r="BI169" s="707" t="str">
        <f>'Revenue summary'!BI$8</f>
      </c>
      <c r="BJ169" s="706" t="str">
        <f>'Revenue summary'!BJ$8</f>
      </c>
      <c r="BK169" s="706" t="str">
        <f>'Revenue summary'!BK$8</f>
      </c>
      <c r="BL169" s="706" t="str">
        <f>'Revenue summary'!BL$8</f>
      </c>
      <c r="BM169" s="707" t="str">
        <f>'Revenue summary'!BM$8</f>
      </c>
      <c r="BN169" s="706" t="str">
        <f>'Revenue summary'!BN$8</f>
      </c>
      <c r="BO169" s="706" t="str">
        <f>'Revenue summary'!BO$8</f>
      </c>
      <c r="BP169" s="706" t="str">
        <f>'Revenue summary'!BP$8</f>
      </c>
      <c r="BQ169" s="707" t="str">
        <f>'Revenue summary'!BQ$8</f>
      </c>
      <c r="BR169" s="706" t="str">
        <f>'Revenue summary'!BR$8</f>
      </c>
      <c r="BS169" s="706" t="str">
        <f>'Revenue summary'!BS$8</f>
      </c>
      <c r="BT169" s="706" t="str">
        <f>'Revenue summary'!BT$8</f>
      </c>
      <c r="BU169" s="707" t="str">
        <f>'Revenue summary'!BU$8</f>
      </c>
      <c r="BV169" s="706" t="str">
        <f>'Revenue summary'!BV$8</f>
      </c>
      <c r="BW169" s="706" t="str">
        <f>'Revenue summary'!BW$8</f>
      </c>
      <c r="BX169" s="706" t="str">
        <f>'Revenue summary'!BX$8</f>
      </c>
      <c r="BY169" s="707" t="str">
        <f>'Revenue summary'!BY$8</f>
      </c>
      <c r="BZ169" s="706" t="str">
        <f>'Revenue summary'!BZ$8</f>
      </c>
      <c r="CA169" s="706" t="str">
        <f>'Revenue summary'!CA$8</f>
      </c>
      <c r="CB169" s="706" t="str">
        <f>'Revenue summary'!CB$8</f>
      </c>
      <c r="CC169" s="707" t="str">
        <f>'Revenue summary'!CC$8</f>
      </c>
      <c r="CD169" s="706" t="str">
        <f>'Revenue summary'!CD$8</f>
      </c>
      <c r="CE169" s="706" t="str">
        <f>'Revenue summary'!CE$8</f>
      </c>
      <c r="CF169" s="706" t="str">
        <f>'Revenue summary'!CF$8</f>
      </c>
      <c r="CG169" s="707" t="str">
        <f>'Revenue summary'!CG$8</f>
      </c>
      <c r="CH169" s="706" t="str">
        <f>'Revenue summary'!CH$8</f>
      </c>
      <c r="CI169" s="706" t="str">
        <f>'Revenue summary'!CI$8</f>
      </c>
      <c r="CJ169" s="706" t="str">
        <f>'Revenue summary'!CJ$8</f>
      </c>
      <c r="CK169" s="707" t="str">
        <f>'Revenue summary'!CK$8</f>
      </c>
      <c r="CL169" s="706" t="str">
        <f>'Revenue summary'!CL$8</f>
      </c>
      <c r="CM169" s="706" t="str">
        <f>'Revenue summary'!CM$8</f>
      </c>
      <c r="CN169" s="706" t="str">
        <f>'Revenue summary'!CN$8</f>
      </c>
      <c r="CO169" s="707" t="str">
        <f>'Revenue summary'!CO$8</f>
      </c>
      <c r="CP169" s="706" t="str">
        <f>'Revenue summary'!CP$8</f>
      </c>
      <c r="CQ169" s="706" t="str">
        <f>'Revenue summary'!CQ$8</f>
      </c>
      <c r="CR169" s="706" t="str">
        <f>'Revenue summary'!CR$8</f>
      </c>
      <c r="CS169" s="707" t="str">
        <f>'Revenue summary'!CS$8</f>
      </c>
      <c r="CT169" s="706" t="str">
        <f>'Revenue summary'!CT$8</f>
      </c>
      <c r="CU169" s="706" t="str">
        <f>'Revenue summary'!CU$8</f>
      </c>
      <c r="CV169" s="706" t="str">
        <f>'Revenue summary'!CV$8</f>
      </c>
      <c r="CW169" s="707" t="str">
        <f>'Revenue summary'!CW$8</f>
      </c>
      <c r="CX169" s="706" t="str">
        <f>'Revenue summary'!CX$8</f>
      </c>
      <c r="CY169" s="706" t="str">
        <f>'Revenue summary'!CY$8</f>
      </c>
      <c r="CZ169" s="706" t="str">
        <f>'Revenue summary'!CZ$8</f>
      </c>
      <c r="DA169" s="707" t="str">
        <f>'Revenue summary'!DA$8</f>
      </c>
      <c r="DB169" s="706" t="str">
        <f>'Revenue summary'!DB$8</f>
      </c>
      <c r="DC169" s="706" t="str">
        <f>'Revenue summary'!DC$8</f>
      </c>
      <c r="DD169" s="706" t="str">
        <f>'Revenue summary'!DD$8</f>
      </c>
      <c r="DE169" s="707" t="str">
        <f>'Revenue summary'!DE$8</f>
      </c>
      <c r="DF169" s="706" t="str">
        <f>'Revenue summary'!DF$8</f>
      </c>
      <c r="DG169" s="706" t="str">
        <f>'Revenue summary'!DG$8</f>
      </c>
      <c r="DH169" s="706" t="str">
        <f>'Revenue summary'!DH$8</f>
      </c>
      <c r="DI169" s="707" t="str">
        <f>'Revenue summary'!DI$8</f>
      </c>
      <c r="DJ169" s="706" t="str">
        <f>'Revenue summary'!DJ$8</f>
      </c>
      <c r="DK169" s="706" t="str">
        <f>'Revenue summary'!DK$8</f>
      </c>
      <c r="DL169" s="706" t="str">
        <f>'Revenue summary'!DL$8</f>
      </c>
      <c r="DM169" s="707" t="str">
        <f>'Revenue summary'!DM$8</f>
      </c>
      <c r="DN169" s="706" t="str">
        <f>'Revenue summary'!DN$8</f>
      </c>
      <c r="DO169" s="706" t="str">
        <f>'Revenue summary'!DO$8</f>
      </c>
      <c r="DP169" s="706" t="str">
        <f>'Revenue summary'!DP$8</f>
      </c>
      <c r="DQ169" s="707" t="str">
        <f>'Revenue summary'!DQ$8</f>
      </c>
      <c r="DR169" s="706" t="str">
        <f>'Revenue summary'!DR$8</f>
      </c>
      <c r="DS169" s="706" t="str">
        <f>'Revenue summary'!DS$8</f>
      </c>
      <c r="DT169" s="706" t="str">
        <f>'Revenue summary'!DT$8</f>
      </c>
      <c r="DU169" s="707" t="str">
        <f>'Revenue summary'!DU$8</f>
      </c>
      <c r="DV169" s="706" t="str">
        <f>'Revenue summary'!DV$8</f>
      </c>
      <c r="DW169" s="706" t="str">
        <f>'Revenue summary'!DW$8</f>
      </c>
      <c r="DX169" s="706" t="str">
        <f>'Revenue summary'!DX$8</f>
      </c>
      <c r="DY169" s="707" t="str">
        <f>'Revenue summary'!DY$8</f>
      </c>
      <c r="DZ169" s="706" t="str">
        <f>'Revenue summary'!DZ$8</f>
      </c>
      <c r="EA169" s="706" t="str">
        <f>'Revenue summary'!EA$8</f>
      </c>
      <c r="EB169" s="706" t="str">
        <f>'Revenue summary'!EB$8</f>
      </c>
      <c r="EC169" s="707" t="str">
        <f>'Revenue summary'!EC$8</f>
      </c>
      <c r="ED169" s="706" t="str">
        <f>'Revenue summary'!ED$8</f>
      </c>
      <c r="EE169" s="706" t="str">
        <f>'Revenue summary'!EE$8</f>
      </c>
      <c r="EF169" s="706" t="str">
        <f>'Revenue summary'!EF$8</f>
      </c>
      <c r="EG169" s="707" t="str">
        <f>'Revenue summary'!EG$8</f>
      </c>
      <c r="EH169" s="706" t="str">
        <f>'Revenue summary'!EH$8</f>
      </c>
      <c r="EI169" s="706" t="str">
        <f>'Revenue summary'!EI$8</f>
      </c>
      <c r="EJ169" s="706" t="str">
        <f>'Revenue summary'!EJ$8</f>
      </c>
      <c r="EK169" s="707" t="str">
        <f>'Revenue summary'!EK$8</f>
      </c>
      <c r="EL169" s="320"/>
      <c r="EM169" s="320"/>
      <c r="EN169" s="320"/>
      <c r="EO169" s="320"/>
      <c r="EP169" s="320"/>
      <c r="EQ169" s="320"/>
      <c r="ER169" s="320"/>
      <c r="ES169" s="320"/>
      <c r="ET169" s="320"/>
      <c r="EU169" s="320"/>
      <c r="EV169" s="320"/>
      <c r="EW169" s="320"/>
      <c r="EX169" s="320"/>
      <c r="EY169" s="320"/>
      <c r="EZ169" s="320"/>
      <c r="FA169" s="320"/>
      <c r="FB169" s="320"/>
      <c r="FC169" s="320"/>
      <c r="FD169" s="320"/>
      <c r="FE169" s="320"/>
      <c r="FF169" s="320"/>
      <c r="FG169" s="320"/>
      <c r="FH169" s="320"/>
      <c r="FI169" s="320"/>
      <c r="FJ169" s="320"/>
      <c r="FK169" s="320"/>
      <c r="FL169" s="320"/>
      <c r="FM169" s="320"/>
      <c r="FN169" s="320"/>
      <c r="FO169" s="320"/>
      <c r="FP169" s="320"/>
      <c r="FQ169" s="320"/>
      <c r="FR169" s="320"/>
      <c r="FS169" s="320"/>
      <c r="FT169" s="320"/>
      <c r="FU169" s="320"/>
      <c r="FW169" s="320"/>
      <c r="FX169" s="320"/>
      <c r="FY169" s="320"/>
      <c r="FZ169" s="320"/>
      <c r="GA169" s="320"/>
      <c r="GB169" s="320"/>
      <c r="GC169" s="320"/>
      <c r="GD169" s="320"/>
      <c r="GE169" s="320"/>
      <c r="GF169" s="320"/>
      <c r="GG169" s="320"/>
      <c r="GH169" s="320"/>
      <c r="GI169" s="320"/>
      <c r="GJ169" s="320"/>
      <c r="GK169" s="320"/>
      <c r="GL169" s="320"/>
      <c r="GM169" s="320"/>
      <c r="GN169" s="320"/>
      <c r="GO169" s="320"/>
      <c r="GP169" s="320"/>
      <c r="GQ169" s="320"/>
      <c r="GR169" s="320"/>
      <c r="GS169" s="320"/>
      <c r="GT169" s="320"/>
      <c r="GU169" s="320"/>
      <c r="GV169" s="320"/>
      <c r="GW169" s="320"/>
      <c r="GX169" s="320"/>
      <c r="GY169" s="320"/>
      <c r="GZ169" s="320"/>
      <c r="HA169" s="320"/>
      <c r="HB169" s="320"/>
      <c r="HC169" s="320"/>
      <c r="HD169" s="320"/>
      <c r="HE169" s="320"/>
      <c r="HF169" s="320"/>
    </row>
    <row r="170" spans="1:214" s="1463" customFormat="1" ht="10.199999999999999">
      <c r="A170" s="1460" t="s">
        <v>84</v>
      </c>
      <c r="B170" s="1461"/>
      <c r="C170" s="1461"/>
      <c r="D170" s="1461"/>
      <c r="E170" s="1462"/>
      <c r="F170" s="1461"/>
      <c r="G170" s="1461"/>
      <c r="H170" s="1461"/>
      <c r="I170" s="1462"/>
      <c r="J170" s="1461"/>
      <c r="K170" s="1461"/>
      <c r="L170" s="1461"/>
      <c r="M170" s="1462"/>
      <c r="N170" s="1461"/>
      <c r="O170" s="1461"/>
      <c r="P170" s="1461"/>
      <c r="Q170" s="1462"/>
      <c r="R170" s="1461"/>
      <c r="S170" s="1461"/>
      <c r="T170" s="1461"/>
      <c r="U170" s="1462"/>
      <c r="V170" s="1461"/>
      <c r="W170" s="1461"/>
      <c r="X170" s="1461"/>
      <c r="Y170" s="1462"/>
      <c r="Z170" s="1461"/>
      <c r="AA170" s="1461"/>
      <c r="AB170" s="1461"/>
      <c r="AC170" s="1462"/>
      <c r="AD170" s="1461"/>
      <c r="AE170" s="1461"/>
      <c r="AF170" s="1461"/>
      <c r="AG170" s="1462"/>
      <c r="AH170" s="1461"/>
      <c r="AI170" s="1461"/>
      <c r="AJ170" s="1461"/>
      <c r="AK170" s="1462"/>
      <c r="AL170" s="1461"/>
      <c r="AM170" s="1461"/>
      <c r="AN170" s="1461"/>
      <c r="AO170" s="1462"/>
      <c r="AP170" s="1461"/>
      <c r="AQ170" s="1461"/>
      <c r="AR170" s="1461"/>
      <c r="AS170" s="1462"/>
      <c r="AT170" s="1461"/>
      <c r="AU170" s="1461"/>
      <c r="AV170" s="1461"/>
      <c r="AW170" s="1462">
        <f t="shared" ref="AW170:CK170" si="1281">+AW151/AV151-1</f>
      </c>
      <c r="AX170" s="1461">
        <f t="shared" si="1281"/>
      </c>
      <c r="AY170" s="1461">
        <f t="shared" si="1281"/>
      </c>
      <c r="AZ170" s="1461">
        <f t="shared" si="1281"/>
      </c>
      <c r="BA170" s="1462">
        <f t="shared" si="1281"/>
      </c>
      <c r="BB170" s="1461">
        <f t="shared" si="1281"/>
      </c>
      <c r="BC170" s="1461">
        <f t="shared" si="1281"/>
      </c>
      <c r="BD170" s="1461">
        <f t="shared" si="1281"/>
      </c>
      <c r="BE170" s="1462">
        <f t="shared" si="1281"/>
      </c>
      <c r="BF170" s="1461">
        <f t="shared" si="1281"/>
      </c>
      <c r="BG170" s="1461">
        <f t="shared" si="1281"/>
      </c>
      <c r="BH170" s="1461">
        <f t="shared" si="1281"/>
      </c>
      <c r="BI170" s="1462">
        <f t="shared" si="1281"/>
      </c>
      <c r="BJ170" s="1461">
        <f t="shared" si="1281"/>
      </c>
      <c r="BK170" s="1461">
        <f t="shared" si="1281"/>
      </c>
      <c r="BL170" s="1461">
        <f t="shared" si="1281"/>
      </c>
      <c r="BM170" s="1462">
        <f t="shared" si="1281"/>
      </c>
      <c r="BN170" s="1461">
        <f t="shared" si="1281"/>
      </c>
      <c r="BO170" s="1461">
        <f t="shared" si="1281"/>
      </c>
      <c r="BP170" s="1461">
        <f t="shared" si="1281"/>
      </c>
      <c r="BQ170" s="1462">
        <f t="shared" si="1281"/>
      </c>
      <c r="BR170" s="1461">
        <f t="shared" si="1281"/>
      </c>
      <c r="BS170" s="1461">
        <f t="shared" si="1281"/>
      </c>
      <c r="BT170" s="1461">
        <f t="shared" si="1281"/>
      </c>
      <c r="BU170" s="1462">
        <f t="shared" si="1281"/>
      </c>
      <c r="BV170" s="1461">
        <f t="shared" si="1281"/>
      </c>
      <c r="BW170" s="1461">
        <f t="shared" si="1281"/>
      </c>
      <c r="BX170" s="1461">
        <f t="shared" si="1281"/>
      </c>
      <c r="BY170" s="1462">
        <f t="shared" si="1281"/>
      </c>
      <c r="BZ170" s="1461">
        <f t="shared" si="1281"/>
      </c>
      <c r="CA170" s="1461">
        <f t="shared" si="1281"/>
      </c>
      <c r="CB170" s="1461">
        <f t="shared" si="1281"/>
      </c>
      <c r="CC170" s="1462">
        <f t="shared" si="1281"/>
      </c>
      <c r="CD170" s="1461">
        <f t="shared" si="1281"/>
      </c>
      <c r="CE170" s="1461">
        <f t="shared" si="1281"/>
      </c>
      <c r="CF170" s="1461">
        <f t="shared" si="1281"/>
      </c>
      <c r="CG170" s="1462">
        <f t="shared" si="1281"/>
      </c>
      <c r="CH170" s="1461">
        <f t="shared" si="1281"/>
      </c>
      <c r="CI170" s="1461">
        <f t="shared" si="1281"/>
      </c>
      <c r="CJ170" s="1461">
        <f t="shared" si="1281"/>
      </c>
      <c r="CK170" s="1462">
        <f t="shared" si="1281"/>
      </c>
      <c r="CL170" s="1461"/>
      <c r="CM170" s="1461">
        <f t="shared" ref="CM170:DE170" si="1282">+CM151/CL151-1</f>
      </c>
      <c r="CN170" s="1461">
        <f t="shared" si="1282"/>
      </c>
      <c r="CO170" s="1462">
        <f t="shared" si="1282"/>
      </c>
      <c r="CP170" s="1461">
        <f t="shared" si="1282"/>
      </c>
      <c r="CQ170" s="1461">
        <f t="shared" si="1282"/>
      </c>
      <c r="CR170" s="1461">
        <f t="shared" si="1282"/>
      </c>
      <c r="CS170" s="1462">
        <f t="shared" si="1282"/>
      </c>
      <c r="CT170" s="1461">
        <f t="shared" si="1282"/>
      </c>
      <c r="CU170" s="1461">
        <f t="shared" si="1282"/>
      </c>
      <c r="CV170" s="1461">
        <f t="shared" si="1282"/>
      </c>
      <c r="CW170" s="1462">
        <f t="shared" si="1282"/>
      </c>
      <c r="CX170" s="1461">
        <f t="shared" si="1282"/>
      </c>
      <c r="CY170" s="1461">
        <f t="shared" si="1282"/>
      </c>
      <c r="CZ170" s="1461">
        <f t="shared" si="1282"/>
      </c>
      <c r="DA170" s="1462">
        <f t="shared" si="1282"/>
      </c>
      <c r="DB170" s="1461">
        <f t="shared" si="1282"/>
      </c>
      <c r="DC170" s="1461">
        <f t="shared" si="1282"/>
      </c>
      <c r="DD170" s="1461">
        <f t="shared" si="1282"/>
      </c>
      <c r="DE170" s="1673">
        <f t="shared" si="1282"/>
      </c>
      <c r="DF170" s="1461">
        <f t="shared" ref="DF170:DU170" si="1283">+DF151/DE151-1</f>
      </c>
      <c r="DG170" s="1461">
        <f t="shared" si="1283"/>
      </c>
      <c r="DH170" s="1461">
        <f t="shared" si="1283"/>
      </c>
      <c r="DI170" s="1673">
        <f t="shared" si="1283"/>
      </c>
      <c r="DJ170" s="1461">
        <f t="shared" si="1283"/>
      </c>
      <c r="DK170" s="1461">
        <f>+DK151/DJ151-1</f>
      </c>
      <c r="DL170" s="1461">
        <f t="shared" si="1283"/>
      </c>
      <c r="DM170" s="1673">
        <f t="shared" ref="DM170:DO171" si="1284">+DM151/DL151-1</f>
      </c>
      <c r="DN170" s="1461">
        <f t="shared" si="1284"/>
      </c>
      <c r="DO170" s="1461">
        <f t="shared" si="1284"/>
      </c>
      <c r="DP170" s="1461">
        <f t="shared" si="1283"/>
      </c>
      <c r="DQ170" s="1673">
        <f t="shared" ref="DQ170:DS171" si="1285">+DQ151/DP151-1</f>
      </c>
      <c r="DR170" s="1461">
        <f t="shared" si="1285"/>
      </c>
      <c r="DS170" s="1461">
        <f t="shared" si="1285"/>
      </c>
      <c r="DT170" s="1461">
        <f t="shared" si="1283"/>
      </c>
      <c r="DU170" s="1673">
        <f t="shared" si="1283"/>
      </c>
      <c r="DV170" s="1461">
        <f t="shared" ref="DV170:DV171" si="1286">+DV151/DU151-1</f>
      </c>
      <c r="DW170" s="1461">
        <f t="shared" ref="DW170:DW171" si="1287">+DW151/DV151-1</f>
      </c>
      <c r="DX170" s="1461">
        <f t="shared" ref="DX170:DX171" si="1288">+DX151/DW151-1</f>
      </c>
      <c r="DY170" s="1673">
        <f t="shared" ref="DY170:DY171" si="1289">+DY151/DX151-1</f>
      </c>
      <c r="DZ170" s="1461">
        <f t="shared" ref="DZ170:DZ171" si="1290">+DZ151/DY151-1</f>
      </c>
      <c r="EA170" s="1461">
        <f t="shared" ref="EA170:EA171" si="1291">+EA151/DZ151-1</f>
      </c>
      <c r="EB170" s="1461">
        <f t="shared" ref="EB170:EB171" si="1292">+EB151/EA151-1</f>
      </c>
      <c r="EC170" s="1673">
        <f t="shared" ref="EC170:EC171" si="1293">+EC151/EB151-1</f>
      </c>
      <c r="ED170" s="1461">
        <f t="shared" ref="ED170:ED171" si="1294">+ED151/EC151-1</f>
      </c>
      <c r="EE170" s="1461">
        <f t="shared" ref="EE170:EE171" si="1295">+EE151/ED151-1</f>
      </c>
      <c r="EF170" s="1461">
        <f t="shared" ref="EF170:EF171" si="1296">+EF151/EE151-1</f>
      </c>
      <c r="EG170" s="1673">
        <f t="shared" ref="EG170:EG171" si="1297">+EG151/EF151-1</f>
      </c>
      <c r="EH170" s="1461">
        <f t="shared" ref="EH170:EH171" si="1298">+EH151/EG151-1</f>
      </c>
      <c r="EI170" s="1461">
        <f t="shared" ref="EI170:EI171" si="1299">+EI151/EH151-1</f>
      </c>
      <c r="EJ170" s="1461">
        <f t="shared" ref="EJ170:EJ171" si="1300">+EJ151/EI151-1</f>
      </c>
      <c r="EK170" s="1673">
        <f t="shared" ref="EK170:EK171" si="1301">+EK151/EJ151-1</f>
      </c>
    </row>
    <row r="171" spans="1:214" s="1463" customFormat="1" ht="10.199999999999999">
      <c r="A171" s="1460" t="s">
        <v>86</v>
      </c>
      <c r="B171" s="1461"/>
      <c r="C171" s="1461"/>
      <c r="D171" s="1461"/>
      <c r="E171" s="1462"/>
      <c r="F171" s="1461"/>
      <c r="G171" s="1461"/>
      <c r="H171" s="1461"/>
      <c r="I171" s="1462"/>
      <c r="J171" s="1461"/>
      <c r="K171" s="1461">
        <f t="shared" ref="K171:AV171" si="1302">+K152/J152-1</f>
      </c>
      <c r="L171" s="1461">
        <f t="shared" si="1302"/>
      </c>
      <c r="M171" s="1462">
        <f t="shared" si="1302"/>
      </c>
      <c r="N171" s="1461">
        <f t="shared" si="1302"/>
      </c>
      <c r="O171" s="1461">
        <f t="shared" si="1302"/>
      </c>
      <c r="P171" s="1461">
        <f t="shared" si="1302"/>
      </c>
      <c r="Q171" s="1462">
        <f t="shared" si="1302"/>
      </c>
      <c r="R171" s="1461">
        <f t="shared" si="1302"/>
      </c>
      <c r="S171" s="1461">
        <f t="shared" si="1302"/>
      </c>
      <c r="T171" s="1461">
        <f t="shared" si="1302"/>
      </c>
      <c r="U171" s="1462">
        <f t="shared" si="1302"/>
      </c>
      <c r="V171" s="1461">
        <f t="shared" si="1302"/>
      </c>
      <c r="W171" s="1461">
        <f t="shared" si="1302"/>
      </c>
      <c r="X171" s="1461">
        <f t="shared" si="1302"/>
      </c>
      <c r="Y171" s="1462">
        <f t="shared" si="1302"/>
      </c>
      <c r="Z171" s="1461">
        <f t="shared" si="1302"/>
      </c>
      <c r="AA171" s="1461">
        <f t="shared" si="1302"/>
      </c>
      <c r="AB171" s="1461">
        <f t="shared" si="1302"/>
      </c>
      <c r="AC171" s="1462">
        <f t="shared" si="1302"/>
      </c>
      <c r="AD171" s="1461">
        <f t="shared" si="1302"/>
      </c>
      <c r="AE171" s="1461">
        <f t="shared" si="1302"/>
      </c>
      <c r="AF171" s="1461">
        <f t="shared" si="1302"/>
      </c>
      <c r="AG171" s="1462">
        <f t="shared" si="1302"/>
      </c>
      <c r="AH171" s="1461">
        <f t="shared" si="1302"/>
      </c>
      <c r="AI171" s="1461">
        <f t="shared" si="1302"/>
      </c>
      <c r="AJ171" s="1461">
        <f t="shared" si="1302"/>
      </c>
      <c r="AK171" s="1462">
        <f t="shared" si="1302"/>
      </c>
      <c r="AL171" s="1461">
        <f t="shared" si="1302"/>
      </c>
      <c r="AM171" s="1461">
        <f t="shared" si="1302"/>
      </c>
      <c r="AN171" s="1461">
        <f t="shared" si="1302"/>
      </c>
      <c r="AO171" s="1462">
        <f t="shared" si="1302"/>
      </c>
      <c r="AP171" s="1461">
        <f t="shared" si="1302"/>
      </c>
      <c r="AQ171" s="1461">
        <f t="shared" si="1302"/>
      </c>
      <c r="AR171" s="1461">
        <f t="shared" si="1302"/>
      </c>
      <c r="AS171" s="1462">
        <f t="shared" si="1302"/>
      </c>
      <c r="AT171" s="1461">
        <f t="shared" si="1302"/>
      </c>
      <c r="AU171" s="1461">
        <f t="shared" si="1302"/>
      </c>
      <c r="AV171" s="1461">
        <f t="shared" si="1302"/>
      </c>
      <c r="AW171" s="1462">
        <f t="shared" ref="AW171:CJ171" si="1303">+AW152/AV152-1</f>
      </c>
      <c r="AX171" s="1461">
        <f t="shared" si="1303"/>
      </c>
      <c r="AY171" s="1461">
        <f t="shared" si="1303"/>
      </c>
      <c r="AZ171" s="1461">
        <f t="shared" si="1303"/>
      </c>
      <c r="BA171" s="1462">
        <f t="shared" si="1303"/>
      </c>
      <c r="BB171" s="1461">
        <f t="shared" si="1303"/>
      </c>
      <c r="BC171" s="1461">
        <f t="shared" si="1303"/>
      </c>
      <c r="BD171" s="1461">
        <f t="shared" si="1303"/>
      </c>
      <c r="BE171" s="1462">
        <f t="shared" si="1303"/>
      </c>
      <c r="BF171" s="1461">
        <f t="shared" si="1303"/>
      </c>
      <c r="BG171" s="1461">
        <f t="shared" si="1303"/>
      </c>
      <c r="BH171" s="1461">
        <f t="shared" si="1303"/>
      </c>
      <c r="BI171" s="1462">
        <f t="shared" si="1303"/>
      </c>
      <c r="BJ171" s="1461">
        <f t="shared" si="1303"/>
      </c>
      <c r="BK171" s="1461">
        <f t="shared" si="1303"/>
      </c>
      <c r="BL171" s="1461">
        <f t="shared" si="1303"/>
      </c>
      <c r="BM171" s="1462">
        <f t="shared" si="1303"/>
      </c>
      <c r="BN171" s="1461">
        <f t="shared" si="1303"/>
      </c>
      <c r="BO171" s="1461">
        <f t="shared" si="1303"/>
      </c>
      <c r="BP171" s="1461">
        <f t="shared" si="1303"/>
      </c>
      <c r="BQ171" s="1462">
        <f t="shared" si="1303"/>
      </c>
      <c r="BR171" s="1461">
        <f t="shared" si="1303"/>
      </c>
      <c r="BS171" s="1461">
        <f t="shared" si="1303"/>
      </c>
      <c r="BT171" s="1461">
        <f t="shared" si="1303"/>
      </c>
      <c r="BU171" s="1462">
        <f t="shared" si="1303"/>
      </c>
      <c r="BV171" s="1461">
        <f t="shared" si="1303"/>
      </c>
      <c r="BW171" s="1461">
        <f t="shared" si="1303"/>
      </c>
      <c r="BX171" s="1461">
        <f t="shared" si="1303"/>
      </c>
      <c r="BY171" s="1462">
        <f t="shared" si="1303"/>
      </c>
      <c r="BZ171" s="1461">
        <f t="shared" si="1303"/>
      </c>
      <c r="CA171" s="1461">
        <f t="shared" si="1303"/>
      </c>
      <c r="CB171" s="1461">
        <f t="shared" si="1303"/>
      </c>
      <c r="CC171" s="1462">
        <f t="shared" si="1303"/>
      </c>
      <c r="CD171" s="1461">
        <f t="shared" si="1303"/>
      </c>
      <c r="CE171" s="1461">
        <f t="shared" si="1303"/>
      </c>
      <c r="CF171" s="1461">
        <f t="shared" si="1303"/>
      </c>
      <c r="CG171" s="1462">
        <f t="shared" si="1303"/>
      </c>
      <c r="CH171" s="1461">
        <f t="shared" si="1303"/>
      </c>
      <c r="CI171" s="1461">
        <f t="shared" si="1303"/>
      </c>
      <c r="CJ171" s="1461">
        <f t="shared" si="1303"/>
      </c>
      <c r="CK171" s="1462">
        <f>+CK152/CJ152-1</f>
      </c>
      <c r="CL171" s="1461"/>
      <c r="CM171" s="1461">
        <f t="shared" ref="CM171:DU171" si="1304">+CM152/CL152-1</f>
      </c>
      <c r="CN171" s="1461">
        <f t="shared" si="1304"/>
      </c>
      <c r="CO171" s="1462">
        <f t="shared" si="1304"/>
      </c>
      <c r="CP171" s="1461">
        <f t="shared" si="1304"/>
      </c>
      <c r="CQ171" s="1461">
        <f t="shared" si="1304"/>
      </c>
      <c r="CR171" s="1461">
        <f t="shared" si="1304"/>
      </c>
      <c r="CS171" s="1462">
        <f t="shared" si="1304"/>
      </c>
      <c r="CT171" s="1461">
        <f t="shared" si="1304"/>
      </c>
      <c r="CU171" s="1461">
        <f t="shared" si="1304"/>
      </c>
      <c r="CV171" s="1461">
        <f t="shared" si="1304"/>
      </c>
      <c r="CW171" s="1462">
        <f t="shared" si="1304"/>
      </c>
      <c r="CX171" s="1464">
        <f t="shared" si="1304"/>
      </c>
      <c r="CY171" s="1461">
        <f t="shared" si="1304"/>
      </c>
      <c r="CZ171" s="1461">
        <f t="shared" si="1304"/>
      </c>
      <c r="DA171" s="1462">
        <f t="shared" si="1304"/>
      </c>
      <c r="DB171" s="1464">
        <f t="shared" si="1304"/>
      </c>
      <c r="DC171" s="1461">
        <f t="shared" si="1304"/>
      </c>
      <c r="DD171" s="1461">
        <f t="shared" si="1304"/>
      </c>
      <c r="DE171" s="1462">
        <f t="shared" si="1304"/>
      </c>
      <c r="DF171" s="1464">
        <f t="shared" si="1304"/>
      </c>
      <c r="DG171" s="1461">
        <f t="shared" si="1304"/>
      </c>
      <c r="DH171" s="1461">
        <f t="shared" si="1304"/>
      </c>
      <c r="DI171" s="1462">
        <f t="shared" si="1304"/>
      </c>
      <c r="DJ171" s="1464">
        <f t="shared" si="1304"/>
      </c>
      <c r="DK171" s="1461">
        <f>+DK152/DJ152-1</f>
      </c>
      <c r="DL171" s="1461">
        <f t="shared" si="1304"/>
      </c>
      <c r="DM171" s="1462">
        <f t="shared" si="1284"/>
      </c>
      <c r="DN171" s="1464">
        <f t="shared" si="1284"/>
      </c>
      <c r="DO171" s="1461">
        <f t="shared" si="1284"/>
      </c>
      <c r="DP171" s="1461">
        <f t="shared" si="1304"/>
      </c>
      <c r="DQ171" s="1462">
        <f t="shared" si="1285"/>
      </c>
      <c r="DR171" s="1464">
        <f t="shared" si="1285"/>
      </c>
      <c r="DS171" s="1461">
        <f t="shared" si="1285"/>
      </c>
      <c r="DT171" s="1461">
        <f t="shared" si="1304"/>
      </c>
      <c r="DU171" s="1462">
        <f t="shared" si="1304"/>
      </c>
      <c r="DV171" s="1464">
        <f t="shared" si="1286"/>
      </c>
      <c r="DW171" s="1461">
        <f t="shared" si="1287"/>
      </c>
      <c r="DX171" s="1461">
        <f t="shared" si="1288"/>
      </c>
      <c r="DY171" s="1462">
        <f t="shared" si="1289"/>
      </c>
      <c r="DZ171" s="1464">
        <f t="shared" si="1290"/>
      </c>
      <c r="EA171" s="1461">
        <f t="shared" si="1291"/>
      </c>
      <c r="EB171" s="1461">
        <f t="shared" si="1292"/>
      </c>
      <c r="EC171" s="1462">
        <f t="shared" si="1293"/>
      </c>
      <c r="ED171" s="1464">
        <f t="shared" si="1294"/>
      </c>
      <c r="EE171" s="1461">
        <f t="shared" si="1295"/>
      </c>
      <c r="EF171" s="1461">
        <f t="shared" si="1296"/>
      </c>
      <c r="EG171" s="1462">
        <f t="shared" si="1297"/>
      </c>
      <c r="EH171" s="1464">
        <f t="shared" si="1298"/>
      </c>
      <c r="EI171" s="1461">
        <f t="shared" si="1299"/>
      </c>
      <c r="EJ171" s="1461">
        <f t="shared" si="1300"/>
      </c>
      <c r="EK171" s="1462">
        <f t="shared" si="1301"/>
      </c>
    </row>
    <row r="172" spans="1:214" s="1463" customFormat="1" ht="10.199999999999999">
      <c r="A172" s="1460" t="s">
        <v>85</v>
      </c>
      <c r="B172" s="1461"/>
      <c r="C172" s="1461"/>
      <c r="D172" s="1461"/>
      <c r="E172" s="1462"/>
      <c r="F172" s="1461"/>
      <c r="G172" s="1461"/>
      <c r="H172" s="1461"/>
      <c r="I172" s="1462"/>
      <c r="J172" s="1461"/>
      <c r="K172" s="1461"/>
      <c r="L172" s="1461"/>
      <c r="M172" s="1462"/>
      <c r="N172" s="1461"/>
      <c r="O172" s="1461"/>
      <c r="P172" s="1461"/>
      <c r="Q172" s="1462"/>
      <c r="R172" s="1461"/>
      <c r="S172" s="1461"/>
      <c r="T172" s="1461"/>
      <c r="U172" s="1462"/>
      <c r="V172" s="1461"/>
      <c r="W172" s="1461"/>
      <c r="X172" s="1461"/>
      <c r="Y172" s="1462"/>
      <c r="Z172" s="1461"/>
      <c r="AA172" s="1461"/>
      <c r="AB172" s="1461"/>
      <c r="AC172" s="1462"/>
      <c r="AD172" s="1461"/>
      <c r="AE172" s="1461"/>
      <c r="AF172" s="1461"/>
      <c r="AG172" s="1462"/>
      <c r="AH172" s="1461"/>
      <c r="AI172" s="1461"/>
      <c r="AJ172" s="1461"/>
      <c r="AK172" s="1462"/>
      <c r="AL172" s="1461"/>
      <c r="AM172" s="1461"/>
      <c r="AN172" s="1461"/>
      <c r="AO172" s="1462"/>
      <c r="AP172" s="1461"/>
      <c r="AQ172" s="1461"/>
      <c r="AR172" s="1461"/>
      <c r="AS172" s="1462"/>
      <c r="AT172" s="1461"/>
      <c r="AU172" s="1461"/>
      <c r="AV172" s="1461"/>
      <c r="AW172" s="1462"/>
      <c r="AX172" s="1461"/>
      <c r="AY172" s="1461"/>
      <c r="AZ172" s="1461"/>
      <c r="BA172" s="1462"/>
      <c r="BB172" s="1461"/>
      <c r="BC172" s="1461"/>
      <c r="BD172" s="1461"/>
      <c r="BE172" s="1462"/>
      <c r="BF172" s="1461"/>
      <c r="BG172" s="1461"/>
      <c r="BH172" s="1461"/>
      <c r="BI172" s="1462"/>
      <c r="BJ172" s="1461"/>
      <c r="BK172" s="1461"/>
      <c r="BL172" s="1461"/>
      <c r="BM172" s="1462"/>
      <c r="BN172" s="1461"/>
      <c r="BO172" s="1461"/>
      <c r="BP172" s="1461"/>
      <c r="BQ172" s="1462"/>
      <c r="BR172" s="1461"/>
      <c r="BS172" s="1461"/>
      <c r="BT172" s="1461"/>
      <c r="BU172" s="1462"/>
      <c r="BV172" s="1461"/>
      <c r="BW172" s="1461">
        <f t="shared" ref="BW172:CK172" si="1305">+BW158/BV158-1</f>
      </c>
      <c r="BX172" s="1461">
        <f t="shared" si="1305"/>
      </c>
      <c r="BY172" s="1462">
        <f t="shared" si="1305"/>
      </c>
      <c r="BZ172" s="1461">
        <f t="shared" si="1305"/>
      </c>
      <c r="CA172" s="1461">
        <f t="shared" si="1305"/>
      </c>
      <c r="CB172" s="1461">
        <f t="shared" si="1305"/>
      </c>
      <c r="CC172" s="1462">
        <f t="shared" si="1305"/>
      </c>
      <c r="CD172" s="1461">
        <f t="shared" si="1305"/>
      </c>
      <c r="CE172" s="1461">
        <f t="shared" si="1305"/>
      </c>
      <c r="CF172" s="1461">
        <f t="shared" si="1305"/>
      </c>
      <c r="CG172" s="1462">
        <f t="shared" si="1305"/>
      </c>
      <c r="CH172" s="1461">
        <f t="shared" si="1305"/>
      </c>
      <c r="CI172" s="1461">
        <f t="shared" si="1305"/>
      </c>
      <c r="CJ172" s="1461">
        <f t="shared" si="1305"/>
      </c>
      <c r="CK172" s="1462">
        <f t="shared" si="1305"/>
      </c>
      <c r="CL172" s="1461"/>
      <c r="CM172" s="1461">
        <f t="shared" ref="CM172:DD172" si="1306">+CM158/CL158-1</f>
      </c>
      <c r="CN172" s="1461">
        <f t="shared" si="1306"/>
      </c>
      <c r="CO172" s="1462">
        <f t="shared" si="1306"/>
      </c>
      <c r="CP172" s="1461">
        <f t="shared" si="1306"/>
      </c>
      <c r="CQ172" s="1461">
        <f t="shared" si="1306"/>
      </c>
      <c r="CR172" s="1461">
        <f t="shared" si="1306"/>
      </c>
      <c r="CS172" s="1462">
        <f t="shared" si="1306"/>
      </c>
      <c r="CT172" s="1461">
        <f t="shared" si="1306"/>
      </c>
      <c r="CU172" s="1461">
        <f t="shared" si="1306"/>
      </c>
      <c r="CV172" s="1461">
        <f t="shared" si="1306"/>
      </c>
      <c r="CW172" s="1462">
        <f t="shared" si="1306"/>
      </c>
      <c r="CX172" s="1461">
        <f t="shared" si="1306"/>
      </c>
      <c r="CY172" s="1461">
        <f t="shared" si="1306"/>
      </c>
      <c r="CZ172" s="1461">
        <f t="shared" si="1306"/>
      </c>
      <c r="DA172" s="1462">
        <f t="shared" si="1306"/>
      </c>
      <c r="DB172" s="1461">
        <f t="shared" si="1306"/>
      </c>
      <c r="DC172" s="1461">
        <f t="shared" si="1306"/>
      </c>
      <c r="DD172" s="1461">
        <f t="shared" si="1306"/>
      </c>
      <c r="DE172" s="1462">
        <f t="shared" ref="DE172:DU172" si="1307">+DE158/DD158-1</f>
      </c>
      <c r="DF172" s="1464">
        <f t="shared" si="1307"/>
      </c>
      <c r="DG172" s="1461">
        <f t="shared" si="1307"/>
      </c>
      <c r="DH172" s="1461">
        <f t="shared" si="1307"/>
      </c>
      <c r="DI172" s="1462">
        <f t="shared" si="1307"/>
      </c>
      <c r="DJ172" s="1464">
        <f t="shared" si="1307"/>
      </c>
      <c r="DK172" s="1461">
        <f>+DK158/DJ158-1</f>
      </c>
      <c r="DL172" s="1461">
        <f t="shared" si="1307"/>
      </c>
      <c r="DM172" s="1462">
        <f t="shared" ref="DM172:DO174" si="1308">+DM158/DL158-1</f>
      </c>
      <c r="DN172" s="1464">
        <f t="shared" si="1308"/>
      </c>
      <c r="DO172" s="1461">
        <f t="shared" si="1308"/>
      </c>
      <c r="DP172" s="1461">
        <f t="shared" si="1307"/>
      </c>
      <c r="DQ172" s="1462">
        <f t="shared" ref="DQ172:DS174" si="1309">+DQ158/DP158-1</f>
      </c>
      <c r="DR172" s="1464">
        <f t="shared" si="1309"/>
      </c>
      <c r="DS172" s="1461">
        <f t="shared" si="1309"/>
      </c>
      <c r="DT172" s="1461">
        <f t="shared" si="1307"/>
      </c>
      <c r="DU172" s="1462">
        <f t="shared" si="1307"/>
      </c>
      <c r="DV172" s="1464">
        <f t="shared" ref="DV172:DV174" si="1310">+DV158/DU158-1</f>
      </c>
      <c r="DW172" s="1461">
        <f t="shared" ref="DW172:DW174" si="1311">+DW158/DV158-1</f>
      </c>
      <c r="DX172" s="1461">
        <f t="shared" ref="DX172:DX174" si="1312">+DX158/DW158-1</f>
      </c>
      <c r="DY172" s="1462">
        <f t="shared" ref="DY172:DY174" si="1313">+DY158/DX158-1</f>
      </c>
      <c r="DZ172" s="1464">
        <f t="shared" ref="DZ172:DZ174" si="1314">+DZ158/DY158-1</f>
      </c>
      <c r="EA172" s="1461">
        <f t="shared" ref="EA172:EA174" si="1315">+EA158/DZ158-1</f>
      </c>
      <c r="EB172" s="1461">
        <f t="shared" ref="EB172:EB174" si="1316">+EB158/EA158-1</f>
      </c>
      <c r="EC172" s="1462">
        <f t="shared" ref="EC172:EC174" si="1317">+EC158/EB158-1</f>
      </c>
      <c r="ED172" s="1464">
        <f t="shared" ref="ED172:ED174" si="1318">+ED158/EC158-1</f>
      </c>
      <c r="EE172" s="1461">
        <f t="shared" ref="EE172:EE174" si="1319">+EE158/ED158-1</f>
      </c>
      <c r="EF172" s="1461">
        <f t="shared" ref="EF172:EF174" si="1320">+EF158/EE158-1</f>
      </c>
      <c r="EG172" s="1462">
        <f t="shared" ref="EG172:EG174" si="1321">+EG158/EF158-1</f>
      </c>
      <c r="EH172" s="1464">
        <f t="shared" ref="EH172:EH174" si="1322">+EH158/EG158-1</f>
      </c>
      <c r="EI172" s="1461">
        <f t="shared" ref="EI172:EI174" si="1323">+EI158/EH158-1</f>
      </c>
      <c r="EJ172" s="1461">
        <f t="shared" ref="EJ172:EJ174" si="1324">+EJ158/EI158-1</f>
      </c>
      <c r="EK172" s="1462">
        <f t="shared" ref="EK172:EK174" si="1325">+EK158/EJ158-1</f>
      </c>
    </row>
    <row r="173" spans="1:214" s="1463" customFormat="1" ht="10.199999999999999">
      <c r="A173" s="1460" t="s">
        <v>1184</v>
      </c>
      <c r="B173" s="1461"/>
      <c r="C173" s="1461"/>
      <c r="D173" s="1461"/>
      <c r="E173" s="1462"/>
      <c r="F173" s="1461"/>
      <c r="G173" s="1461"/>
      <c r="H173" s="1461"/>
      <c r="I173" s="1462"/>
      <c r="J173" s="1461"/>
      <c r="K173" s="1461"/>
      <c r="L173" s="1461"/>
      <c r="M173" s="1462"/>
      <c r="N173" s="1461"/>
      <c r="O173" s="1461"/>
      <c r="P173" s="1461"/>
      <c r="Q173" s="1462"/>
      <c r="R173" s="1461"/>
      <c r="S173" s="1461"/>
      <c r="T173" s="1461"/>
      <c r="U173" s="1462"/>
      <c r="V173" s="1461"/>
      <c r="W173" s="1461"/>
      <c r="X173" s="1461"/>
      <c r="Y173" s="1462"/>
      <c r="Z173" s="1461"/>
      <c r="AA173" s="1461"/>
      <c r="AB173" s="1461"/>
      <c r="AC173" s="1462"/>
      <c r="AD173" s="1461"/>
      <c r="AE173" s="1461"/>
      <c r="AF173" s="1461"/>
      <c r="AG173" s="1462"/>
      <c r="AH173" s="1461"/>
      <c r="AI173" s="1461"/>
      <c r="AJ173" s="1461"/>
      <c r="AK173" s="1462"/>
      <c r="AL173" s="1461"/>
      <c r="AM173" s="1461"/>
      <c r="AN173" s="1461"/>
      <c r="AO173" s="1462"/>
      <c r="AP173" s="1461"/>
      <c r="AQ173" s="1461"/>
      <c r="AR173" s="1461"/>
      <c r="AS173" s="1462"/>
      <c r="AT173" s="1461"/>
      <c r="AU173" s="1461"/>
      <c r="AV173" s="1461"/>
      <c r="AW173" s="1462"/>
      <c r="AX173" s="1461"/>
      <c r="AY173" s="1461"/>
      <c r="AZ173" s="1461"/>
      <c r="BA173" s="1462"/>
      <c r="BB173" s="1461"/>
      <c r="BC173" s="1461"/>
      <c r="BD173" s="1461"/>
      <c r="BE173" s="1462"/>
      <c r="BF173" s="1461"/>
      <c r="BG173" s="1461"/>
      <c r="BH173" s="1461"/>
      <c r="BI173" s="1462"/>
      <c r="BJ173" s="1461"/>
      <c r="BK173" s="1461"/>
      <c r="BL173" s="1461"/>
      <c r="BM173" s="1462"/>
      <c r="BN173" s="1461"/>
      <c r="BO173" s="1461"/>
      <c r="BP173" s="1461"/>
      <c r="BQ173" s="1462"/>
      <c r="BR173" s="1461"/>
      <c r="BS173" s="1461"/>
      <c r="BT173" s="1461"/>
      <c r="BU173" s="1462"/>
      <c r="BV173" s="1461"/>
      <c r="BW173" s="1461"/>
      <c r="BX173" s="1461"/>
      <c r="BY173" s="1462"/>
      <c r="BZ173" s="1461"/>
      <c r="CA173" s="1461"/>
      <c r="CB173" s="1461"/>
      <c r="CC173" s="1462">
        <f t="shared" ref="CC173:CL173" si="1326">+CC159/CB159-1</f>
      </c>
      <c r="CD173" s="1461">
        <f t="shared" si="1326"/>
      </c>
      <c r="CE173" s="1461">
        <f t="shared" si="1326"/>
      </c>
      <c r="CF173" s="1461">
        <f t="shared" si="1326"/>
      </c>
      <c r="CG173" s="1462">
        <f t="shared" si="1326"/>
      </c>
      <c r="CH173" s="1461">
        <f t="shared" si="1326"/>
      </c>
      <c r="CI173" s="1461">
        <f t="shared" si="1326"/>
      </c>
      <c r="CJ173" s="1461">
        <f t="shared" si="1326"/>
      </c>
      <c r="CK173" s="1462">
        <f t="shared" si="1326"/>
      </c>
      <c r="CL173" s="1461">
        <f t="shared" si="1326"/>
      </c>
      <c r="CM173" s="1461">
        <f t="shared" ref="CM173:DD173" si="1327">+CM159/CL159-1</f>
      </c>
      <c r="CN173" s="1461">
        <f t="shared" si="1327"/>
      </c>
      <c r="CO173" s="1462">
        <f t="shared" si="1327"/>
      </c>
      <c r="CP173" s="1461">
        <f t="shared" si="1327"/>
      </c>
      <c r="CQ173" s="1461">
        <f t="shared" si="1327"/>
      </c>
      <c r="CR173" s="1461">
        <f t="shared" si="1327"/>
      </c>
      <c r="CS173" s="1462">
        <f t="shared" si="1327"/>
      </c>
      <c r="CT173" s="1461">
        <f t="shared" si="1327"/>
      </c>
      <c r="CU173" s="1461">
        <f t="shared" si="1327"/>
      </c>
      <c r="CV173" s="1461">
        <f t="shared" si="1327"/>
      </c>
      <c r="CW173" s="1462">
        <f t="shared" si="1327"/>
      </c>
      <c r="CX173" s="1461">
        <f t="shared" si="1327"/>
      </c>
      <c r="CY173" s="1461">
        <f t="shared" si="1327"/>
      </c>
      <c r="CZ173" s="1461">
        <f t="shared" si="1327"/>
      </c>
      <c r="DA173" s="1462">
        <f t="shared" si="1327"/>
      </c>
      <c r="DB173" s="1461">
        <f t="shared" si="1327"/>
      </c>
      <c r="DC173" s="1461">
        <f t="shared" si="1327"/>
      </c>
      <c r="DD173" s="1461">
        <f t="shared" si="1327"/>
      </c>
      <c r="DE173" s="1462">
        <f t="shared" ref="DE173:DU173" si="1328">+DE159/DD159-1</f>
      </c>
      <c r="DF173" s="1461">
        <f t="shared" si="1328"/>
      </c>
      <c r="DG173" s="1461">
        <f t="shared" si="1328"/>
      </c>
      <c r="DH173" s="1461">
        <f t="shared" si="1328"/>
      </c>
      <c r="DI173" s="1462">
        <f t="shared" si="1328"/>
      </c>
      <c r="DJ173" s="1461">
        <f t="shared" si="1328"/>
      </c>
      <c r="DK173" s="1461">
        <f>+DK159/DJ159-1</f>
      </c>
      <c r="DL173" s="1461">
        <f t="shared" si="1328"/>
      </c>
      <c r="DM173" s="1462">
        <f t="shared" si="1308"/>
      </c>
      <c r="DN173" s="1461">
        <f t="shared" si="1308"/>
      </c>
      <c r="DO173" s="1461">
        <f t="shared" si="1308"/>
      </c>
      <c r="DP173" s="1461">
        <f t="shared" si="1328"/>
      </c>
      <c r="DQ173" s="1462">
        <f t="shared" si="1309"/>
      </c>
      <c r="DR173" s="1461">
        <f t="shared" si="1309"/>
      </c>
      <c r="DS173" s="1461">
        <f t="shared" si="1309"/>
      </c>
      <c r="DT173" s="1461">
        <f t="shared" si="1328"/>
      </c>
      <c r="DU173" s="1462">
        <f t="shared" si="1328"/>
      </c>
      <c r="DV173" s="1461">
        <f t="shared" si="1310"/>
      </c>
      <c r="DW173" s="1461">
        <f t="shared" si="1311"/>
      </c>
      <c r="DX173" s="1461">
        <f t="shared" si="1312"/>
      </c>
      <c r="DY173" s="1462">
        <f t="shared" si="1313"/>
      </c>
      <c r="DZ173" s="1461">
        <f t="shared" si="1314"/>
      </c>
      <c r="EA173" s="1461">
        <f t="shared" si="1315"/>
      </c>
      <c r="EB173" s="1461">
        <f t="shared" si="1316"/>
      </c>
      <c r="EC173" s="1462">
        <f t="shared" si="1317"/>
      </c>
      <c r="ED173" s="1461">
        <f t="shared" si="1318"/>
      </c>
      <c r="EE173" s="1461">
        <f t="shared" si="1319"/>
      </c>
      <c r="EF173" s="1461">
        <f t="shared" si="1320"/>
      </c>
      <c r="EG173" s="1462">
        <f t="shared" si="1321"/>
      </c>
      <c r="EH173" s="1461">
        <f t="shared" si="1322"/>
      </c>
      <c r="EI173" s="1461">
        <f t="shared" si="1323"/>
      </c>
      <c r="EJ173" s="1461">
        <f t="shared" si="1324"/>
      </c>
      <c r="EK173" s="1462">
        <f t="shared" si="1325"/>
      </c>
    </row>
    <row r="174" spans="1:214" s="1463" customFormat="1" ht="10.199999999999999">
      <c r="A174" s="1465" t="s">
        <v>1183</v>
      </c>
      <c r="B174" s="1461"/>
      <c r="C174" s="1461"/>
      <c r="D174" s="1461"/>
      <c r="E174" s="1462"/>
      <c r="F174" s="1461"/>
      <c r="G174" s="1461"/>
      <c r="H174" s="1461"/>
      <c r="I174" s="1462"/>
      <c r="J174" s="1461"/>
      <c r="K174" s="1461"/>
      <c r="L174" s="1461"/>
      <c r="M174" s="1462"/>
      <c r="N174" s="1461"/>
      <c r="O174" s="1461"/>
      <c r="P174" s="1461"/>
      <c r="Q174" s="1462"/>
      <c r="R174" s="1461"/>
      <c r="S174" s="1461"/>
      <c r="T174" s="1461"/>
      <c r="U174" s="1462"/>
      <c r="V174" s="1461"/>
      <c r="W174" s="1461"/>
      <c r="X174" s="1461"/>
      <c r="Y174" s="1462"/>
      <c r="Z174" s="1461"/>
      <c r="AA174" s="1461">
        <f t="shared" ref="AA174:BF174" si="1329">+AA160/Z160-1</f>
      </c>
      <c r="AB174" s="1461">
        <f t="shared" si="1329"/>
      </c>
      <c r="AC174" s="1462">
        <f t="shared" si="1329"/>
      </c>
      <c r="AD174" s="1461">
        <f t="shared" si="1329"/>
      </c>
      <c r="AE174" s="1461">
        <f t="shared" si="1329"/>
      </c>
      <c r="AF174" s="1461">
        <f t="shared" si="1329"/>
      </c>
      <c r="AG174" s="1462">
        <f t="shared" si="1329"/>
      </c>
      <c r="AH174" s="1461">
        <f t="shared" si="1329"/>
      </c>
      <c r="AI174" s="1461">
        <f t="shared" si="1329"/>
      </c>
      <c r="AJ174" s="1461">
        <f t="shared" si="1329"/>
      </c>
      <c r="AK174" s="1462">
        <f t="shared" si="1329"/>
      </c>
      <c r="AL174" s="1461">
        <f t="shared" si="1329"/>
      </c>
      <c r="AM174" s="1461">
        <f t="shared" si="1329"/>
      </c>
      <c r="AN174" s="1461">
        <f t="shared" si="1329"/>
      </c>
      <c r="AO174" s="1462">
        <f t="shared" si="1329"/>
      </c>
      <c r="AP174" s="1461">
        <f t="shared" si="1329"/>
      </c>
      <c r="AQ174" s="1461">
        <f t="shared" si="1329"/>
      </c>
      <c r="AR174" s="1461">
        <f t="shared" si="1329"/>
      </c>
      <c r="AS174" s="1462">
        <f t="shared" si="1329"/>
      </c>
      <c r="AT174" s="1461">
        <f t="shared" si="1329"/>
      </c>
      <c r="AU174" s="1461">
        <f t="shared" si="1329"/>
      </c>
      <c r="AV174" s="1461">
        <f t="shared" si="1329"/>
      </c>
      <c r="AW174" s="1462">
        <f t="shared" si="1329"/>
      </c>
      <c r="AX174" s="1461">
        <f t="shared" si="1329"/>
      </c>
      <c r="AY174" s="1461">
        <f t="shared" si="1329"/>
      </c>
      <c r="AZ174" s="1461">
        <f t="shared" si="1329"/>
      </c>
      <c r="BA174" s="1462">
        <f t="shared" si="1329"/>
      </c>
      <c r="BB174" s="1461">
        <f t="shared" si="1329"/>
      </c>
      <c r="BC174" s="1461">
        <f t="shared" si="1329"/>
      </c>
      <c r="BD174" s="1461">
        <f t="shared" si="1329"/>
      </c>
      <c r="BE174" s="1462">
        <f t="shared" si="1329"/>
      </c>
      <c r="BF174" s="1461">
        <f t="shared" si="1329"/>
      </c>
      <c r="BG174" s="1461">
        <f t="shared" ref="BG174:BZ174" si="1330">+BG160/BF160-1</f>
      </c>
      <c r="BH174" s="1461">
        <f t="shared" si="1330"/>
      </c>
      <c r="BI174" s="1462">
        <f t="shared" si="1330"/>
      </c>
      <c r="BJ174" s="1461">
        <f t="shared" si="1330"/>
      </c>
      <c r="BK174" s="1461">
        <f t="shared" si="1330"/>
      </c>
      <c r="BL174" s="1461">
        <f t="shared" si="1330"/>
      </c>
      <c r="BM174" s="1462">
        <f t="shared" si="1330"/>
      </c>
      <c r="BN174" s="1461">
        <f t="shared" si="1330"/>
      </c>
      <c r="BO174" s="1461">
        <f t="shared" si="1330"/>
      </c>
      <c r="BP174" s="1461">
        <f t="shared" si="1330"/>
      </c>
      <c r="BQ174" s="1462">
        <f t="shared" si="1330"/>
      </c>
      <c r="BR174" s="1461">
        <f t="shared" si="1330"/>
      </c>
      <c r="BS174" s="1461">
        <f t="shared" si="1330"/>
      </c>
      <c r="BT174" s="1461">
        <f t="shared" si="1330"/>
      </c>
      <c r="BU174" s="1462">
        <f t="shared" si="1330"/>
      </c>
      <c r="BV174" s="1461">
        <f t="shared" si="1330"/>
      </c>
      <c r="BW174" s="1461">
        <f t="shared" si="1330"/>
      </c>
      <c r="BX174" s="1461">
        <f t="shared" si="1330"/>
      </c>
      <c r="BY174" s="1462">
        <f t="shared" si="1330"/>
      </c>
      <c r="BZ174" s="1461">
        <f t="shared" si="1330"/>
      </c>
      <c r="CA174" s="1461">
        <f>IF(ISERROR(CA160/BZ160-1),"NA",CA160/BZ160-1)</f>
      </c>
      <c r="CB174" s="1461">
        <f>+CB160/CA160-1</f>
      </c>
      <c r="CC174" s="1462">
        <f t="shared" ref="CC174:CL174" si="1331">+CC160/CB160-1</f>
      </c>
      <c r="CD174" s="1461">
        <f t="shared" si="1331"/>
      </c>
      <c r="CE174" s="1461">
        <f t="shared" si="1331"/>
      </c>
      <c r="CF174" s="1461">
        <f t="shared" si="1331"/>
      </c>
      <c r="CG174" s="1462">
        <f t="shared" si="1331"/>
      </c>
      <c r="CH174" s="1461">
        <f t="shared" si="1331"/>
      </c>
      <c r="CI174" s="1461">
        <f t="shared" si="1331"/>
      </c>
      <c r="CJ174" s="1461">
        <f t="shared" si="1331"/>
      </c>
      <c r="CK174" s="1462">
        <f t="shared" si="1331"/>
      </c>
      <c r="CL174" s="1461">
        <f t="shared" si="1331"/>
      </c>
      <c r="CM174" s="1461">
        <f t="shared" ref="CM174:DD174" si="1332">+CM160/CL160-1</f>
      </c>
      <c r="CN174" s="1461">
        <f t="shared" si="1332"/>
      </c>
      <c r="CO174" s="1462">
        <f t="shared" si="1332"/>
      </c>
      <c r="CP174" s="1461">
        <f t="shared" si="1332"/>
      </c>
      <c r="CQ174" s="1461">
        <f t="shared" si="1332"/>
      </c>
      <c r="CR174" s="1461">
        <f t="shared" si="1332"/>
      </c>
      <c r="CS174" s="1462">
        <f t="shared" si="1332"/>
      </c>
      <c r="CT174" s="1461">
        <f t="shared" si="1332"/>
      </c>
      <c r="CU174" s="1461">
        <f t="shared" si="1332"/>
      </c>
      <c r="CV174" s="1461">
        <f t="shared" si="1332"/>
      </c>
      <c r="CW174" s="1462">
        <f t="shared" si="1332"/>
      </c>
      <c r="CX174" s="1461">
        <f t="shared" si="1332"/>
      </c>
      <c r="CY174" s="1461">
        <f t="shared" si="1332"/>
      </c>
      <c r="CZ174" s="1461">
        <f t="shared" si="1332"/>
      </c>
      <c r="DA174" s="1462">
        <f t="shared" si="1332"/>
      </c>
      <c r="DB174" s="1461">
        <f t="shared" si="1332"/>
      </c>
      <c r="DC174" s="1461">
        <f t="shared" si="1332"/>
      </c>
      <c r="DD174" s="1461">
        <f t="shared" si="1332"/>
      </c>
      <c r="DE174" s="1462">
        <f t="shared" ref="DE174:DU174" si="1333">+DE160/DD160-1</f>
      </c>
      <c r="DF174" s="1461">
        <f t="shared" si="1333"/>
      </c>
      <c r="DG174" s="1461">
        <f t="shared" si="1333"/>
      </c>
      <c r="DH174" s="1461">
        <f t="shared" si="1333"/>
      </c>
      <c r="DI174" s="1462">
        <f t="shared" si="1333"/>
      </c>
      <c r="DJ174" s="1461">
        <f t="shared" si="1333"/>
      </c>
      <c r="DK174" s="1461">
        <f>+DK160/DJ160-1</f>
      </c>
      <c r="DL174" s="1461">
        <f t="shared" si="1333"/>
      </c>
      <c r="DM174" s="1462">
        <f t="shared" si="1308"/>
      </c>
      <c r="DN174" s="1461">
        <f t="shared" si="1308"/>
      </c>
      <c r="DO174" s="1461">
        <f t="shared" si="1308"/>
      </c>
      <c r="DP174" s="1461">
        <f t="shared" si="1333"/>
      </c>
      <c r="DQ174" s="1462">
        <f t="shared" si="1309"/>
      </c>
      <c r="DR174" s="1461">
        <f t="shared" si="1309"/>
      </c>
      <c r="DS174" s="1461">
        <f t="shared" si="1309"/>
      </c>
      <c r="DT174" s="1461">
        <f t="shared" si="1333"/>
      </c>
      <c r="DU174" s="1462">
        <f t="shared" si="1333"/>
      </c>
      <c r="DV174" s="1461">
        <f t="shared" si="1310"/>
      </c>
      <c r="DW174" s="1461">
        <f t="shared" si="1311"/>
      </c>
      <c r="DX174" s="1461">
        <f t="shared" si="1312"/>
      </c>
      <c r="DY174" s="1462">
        <f t="shared" si="1313"/>
      </c>
      <c r="DZ174" s="1461">
        <f t="shared" si="1314"/>
      </c>
      <c r="EA174" s="1461">
        <f t="shared" si="1315"/>
      </c>
      <c r="EB174" s="1461">
        <f t="shared" si="1316"/>
      </c>
      <c r="EC174" s="1462">
        <f t="shared" si="1317"/>
      </c>
      <c r="ED174" s="1461">
        <f t="shared" si="1318"/>
      </c>
      <c r="EE174" s="1461">
        <f t="shared" si="1319"/>
      </c>
      <c r="EF174" s="1461">
        <f t="shared" si="1320"/>
      </c>
      <c r="EG174" s="1462">
        <f t="shared" si="1321"/>
      </c>
      <c r="EH174" s="1461">
        <f t="shared" si="1322"/>
      </c>
      <c r="EI174" s="1461">
        <f t="shared" si="1323"/>
      </c>
      <c r="EJ174" s="1461">
        <f t="shared" si="1324"/>
      </c>
      <c r="EK174" s="1462">
        <f t="shared" si="1325"/>
      </c>
      <c r="EL174" s="3387"/>
      <c r="FL174" s="1466"/>
      <c r="FM174" s="1466"/>
      <c r="FN174" s="1466"/>
      <c r="FO174" s="1466"/>
      <c r="FP174" s="1466"/>
      <c r="FQ174" s="1466"/>
      <c r="FR174" s="1466"/>
      <c r="FS174" s="1466"/>
      <c r="FT174" s="1466"/>
      <c r="FU174" s="1466"/>
      <c r="FW174" s="1466"/>
    </row>
    <row r="175" spans="1:214" s="16" customFormat="1" ht="10.199999999999999">
      <c r="A175" s="135"/>
      <c r="B175" s="130"/>
      <c r="C175" s="130"/>
      <c r="D175" s="130"/>
      <c r="E175" s="235"/>
      <c r="F175" s="130"/>
      <c r="G175" s="130"/>
      <c r="H175" s="130"/>
      <c r="I175" s="235"/>
      <c r="J175" s="130"/>
      <c r="K175" s="130"/>
      <c r="L175" s="130"/>
      <c r="M175" s="235"/>
      <c r="N175" s="130"/>
      <c r="O175" s="130"/>
      <c r="P175" s="130"/>
      <c r="Q175" s="235"/>
      <c r="R175" s="130"/>
      <c r="S175" s="130"/>
      <c r="T175" s="130"/>
      <c r="U175" s="235"/>
      <c r="V175" s="130"/>
      <c r="W175" s="130"/>
      <c r="X175" s="130"/>
      <c r="Y175" s="235"/>
      <c r="Z175" s="98"/>
      <c r="AA175" s="98"/>
      <c r="AB175" s="98"/>
      <c r="AC175" s="180"/>
      <c r="AD175" s="98"/>
      <c r="AE175" s="98"/>
      <c r="AF175" s="98"/>
      <c r="AG175" s="180"/>
      <c r="AH175" s="98"/>
      <c r="AI175" s="98"/>
      <c r="AJ175" s="98"/>
      <c r="AK175" s="180"/>
      <c r="AL175" s="98"/>
      <c r="AM175" s="98"/>
      <c r="AN175" s="98"/>
      <c r="AO175" s="180"/>
      <c r="AP175" s="98"/>
      <c r="AQ175" s="98"/>
      <c r="AR175" s="98"/>
      <c r="AS175" s="180"/>
      <c r="AT175" s="98"/>
      <c r="AU175" s="98"/>
      <c r="AV175" s="98"/>
      <c r="AW175" s="180"/>
      <c r="AX175" s="98"/>
      <c r="AY175" s="98"/>
      <c r="AZ175" s="98"/>
      <c r="BA175" s="180"/>
      <c r="BB175" s="98"/>
      <c r="BC175" s="98"/>
      <c r="BD175" s="98"/>
      <c r="BE175" s="180"/>
      <c r="BF175" s="98"/>
      <c r="BG175" s="98"/>
      <c r="BH175" s="98"/>
      <c r="BI175" s="180"/>
      <c r="BJ175" s="98"/>
      <c r="BK175" s="98"/>
      <c r="BL175" s="98"/>
      <c r="BM175" s="180"/>
      <c r="BN175" s="98"/>
      <c r="BO175" s="98"/>
      <c r="BP175" s="98"/>
      <c r="BQ175" s="180"/>
      <c r="BR175" s="98"/>
      <c r="BS175" s="98"/>
      <c r="BT175" s="98"/>
      <c r="BU175" s="180"/>
      <c r="BV175" s="98"/>
      <c r="BW175" s="98"/>
      <c r="BX175" s="98"/>
      <c r="BY175" s="180"/>
      <c r="BZ175" s="98"/>
      <c r="CA175" s="98"/>
      <c r="CB175" s="98"/>
      <c r="CC175" s="180"/>
      <c r="CD175" s="523"/>
      <c r="CE175" s="523"/>
      <c r="CF175" s="524"/>
      <c r="CG175" s="525"/>
      <c r="CH175" s="523"/>
      <c r="CI175" s="523"/>
      <c r="CJ175" s="523"/>
      <c r="CK175" s="525"/>
      <c r="CL175" s="523"/>
      <c r="CM175" s="523"/>
      <c r="CN175" s="523"/>
      <c r="CO175" s="525"/>
      <c r="CP175" s="320"/>
      <c r="CQ175" s="320"/>
      <c r="CR175" s="320"/>
      <c r="CS175" s="321"/>
      <c r="CT175" s="320"/>
      <c r="CU175" s="320"/>
      <c r="CV175" s="320"/>
      <c r="CW175" s="321"/>
      <c r="CX175" s="320"/>
      <c r="CY175" s="320"/>
      <c r="CZ175" s="320"/>
      <c r="DA175" s="321"/>
      <c r="DB175" s="320"/>
      <c r="DC175" s="320"/>
      <c r="DD175" s="390"/>
      <c r="DE175" s="430"/>
      <c r="DF175" s="390"/>
      <c r="DG175" s="390"/>
      <c r="DH175" s="390"/>
      <c r="DI175" s="430"/>
      <c r="DJ175" s="390"/>
      <c r="DK175" s="390"/>
      <c r="DL175" s="390"/>
      <c r="DM175" s="430"/>
      <c r="DN175" s="390"/>
      <c r="DO175" s="390"/>
      <c r="DP175" s="390"/>
      <c r="DQ175" s="430"/>
      <c r="DR175" s="390"/>
      <c r="DS175" s="390"/>
      <c r="DT175" s="390"/>
      <c r="DU175" s="430"/>
      <c r="DV175" s="390"/>
      <c r="DW175" s="390"/>
      <c r="DX175" s="390"/>
      <c r="DY175" s="430"/>
      <c r="DZ175" s="390"/>
      <c r="EA175" s="390"/>
      <c r="EB175" s="390"/>
      <c r="EC175" s="430"/>
      <c r="ED175" s="390"/>
      <c r="EE175" s="390"/>
      <c r="EF175" s="390"/>
      <c r="EG175" s="430"/>
      <c r="EH175" s="390"/>
      <c r="EI175" s="390"/>
      <c r="EJ175" s="390"/>
      <c r="EK175" s="430"/>
      <c r="EL175" s="320"/>
      <c r="EM175" s="390"/>
      <c r="EN175" s="390"/>
      <c r="EO175" s="390"/>
      <c r="EP175" s="390"/>
      <c r="EQ175" s="390"/>
      <c r="ER175" s="390"/>
      <c r="ES175" s="390"/>
      <c r="ET175" s="390"/>
      <c r="EU175" s="390"/>
      <c r="EV175" s="390"/>
      <c r="EW175" s="390"/>
      <c r="EX175" s="390"/>
      <c r="EY175" s="390"/>
      <c r="EZ175" s="390"/>
      <c r="FA175" s="390"/>
      <c r="FB175" s="390"/>
      <c r="FC175" s="390"/>
      <c r="FD175" s="390"/>
      <c r="FE175" s="390"/>
      <c r="FF175" s="390"/>
      <c r="FG175" s="390"/>
      <c r="FH175" s="390"/>
      <c r="FI175" s="390"/>
      <c r="FJ175" s="390"/>
      <c r="FK175" s="390"/>
      <c r="FL175" s="390"/>
      <c r="FM175" s="390"/>
      <c r="FN175" s="390"/>
      <c r="FO175" s="390"/>
      <c r="FP175" s="390"/>
      <c r="FQ175" s="390"/>
      <c r="FR175" s="390"/>
      <c r="FS175" s="390"/>
      <c r="FT175" s="390"/>
      <c r="FU175" s="390"/>
      <c r="FW175" s="390"/>
      <c r="FX175" s="390"/>
      <c r="FY175" s="390"/>
      <c r="FZ175" s="390"/>
      <c r="GA175" s="390"/>
      <c r="GB175" s="390"/>
      <c r="GC175" s="390"/>
      <c r="GD175" s="390"/>
      <c r="GE175" s="390"/>
      <c r="GF175" s="390"/>
      <c r="GG175" s="390"/>
      <c r="GH175" s="390"/>
      <c r="GI175" s="390"/>
      <c r="GJ175" s="390"/>
      <c r="GK175" s="390"/>
      <c r="GL175" s="390"/>
      <c r="GM175" s="390"/>
      <c r="GN175" s="390"/>
      <c r="GO175" s="390"/>
      <c r="GP175" s="390"/>
      <c r="GQ175" s="390"/>
      <c r="GR175" s="390"/>
      <c r="GS175" s="390"/>
      <c r="GT175" s="390"/>
      <c r="GU175" s="390"/>
      <c r="GV175" s="390"/>
      <c r="GW175" s="390"/>
      <c r="GX175" s="390"/>
      <c r="GY175" s="390"/>
      <c r="GZ175" s="390"/>
      <c r="HA175" s="390"/>
      <c r="HB175" s="390"/>
      <c r="HC175" s="390"/>
      <c r="HD175" s="390"/>
      <c r="HE175" s="390"/>
      <c r="HF175" s="390"/>
    </row>
    <row r="176" spans="1:214" s="16" customFormat="1" ht="10.199999999999999">
      <c r="A176" s="708" t="s">
        <v>1182</v>
      </c>
      <c r="B176" s="706" t="str">
        <f>'Revenue summary'!B$8</f>
      </c>
      <c r="C176" s="706" t="str">
        <f>'Revenue summary'!C$8</f>
      </c>
      <c r="D176" s="706" t="str">
        <f>'Revenue summary'!D$8</f>
      </c>
      <c r="E176" s="707" t="str">
        <f>'Revenue summary'!E$8</f>
      </c>
      <c r="F176" s="706" t="str">
        <f>'Revenue summary'!F$8</f>
      </c>
      <c r="G176" s="706" t="str">
        <f>'Revenue summary'!G$8</f>
      </c>
      <c r="H176" s="706" t="str">
        <f>'Revenue summary'!H$8</f>
      </c>
      <c r="I176" s="707" t="str">
        <f>'Revenue summary'!I$8</f>
      </c>
      <c r="J176" s="706" t="str">
        <f>'Revenue summary'!J$8</f>
      </c>
      <c r="K176" s="706" t="str">
        <f>'Revenue summary'!K$8</f>
      </c>
      <c r="L176" s="706" t="str">
        <f>'Revenue summary'!L$8</f>
      </c>
      <c r="M176" s="707" t="str">
        <f>'Revenue summary'!M$8</f>
      </c>
      <c r="N176" s="706" t="str">
        <f>'Revenue summary'!N$8</f>
      </c>
      <c r="O176" s="706" t="str">
        <f>'Revenue summary'!O$8</f>
      </c>
      <c r="P176" s="706" t="str">
        <f>'Revenue summary'!P$8</f>
      </c>
      <c r="Q176" s="707" t="str">
        <f>'Revenue summary'!Q$8</f>
      </c>
      <c r="R176" s="706" t="str">
        <f>'Revenue summary'!R$8</f>
      </c>
      <c r="S176" s="706" t="str">
        <f>'Revenue summary'!S$8</f>
      </c>
      <c r="T176" s="706" t="str">
        <f>'Revenue summary'!T$8</f>
      </c>
      <c r="U176" s="707" t="str">
        <f>'Revenue summary'!U$8</f>
      </c>
      <c r="V176" s="706" t="str">
        <f>'Revenue summary'!V$8</f>
      </c>
      <c r="W176" s="706" t="str">
        <f>'Revenue summary'!W$8</f>
      </c>
      <c r="X176" s="706" t="str">
        <f>'Revenue summary'!X$8</f>
      </c>
      <c r="Y176" s="707" t="str">
        <f>'Revenue summary'!Y$8</f>
      </c>
      <c r="Z176" s="706" t="str">
        <f>'Revenue summary'!Z$8</f>
      </c>
      <c r="AA176" s="706" t="str">
        <f>'Revenue summary'!AA$8</f>
      </c>
      <c r="AB176" s="706" t="str">
        <f>'Revenue summary'!AB$8</f>
      </c>
      <c r="AC176" s="707" t="str">
        <f>'Revenue summary'!AC$8</f>
      </c>
      <c r="AD176" s="706" t="str">
        <f>'Revenue summary'!AD$8</f>
      </c>
      <c r="AE176" s="706" t="str">
        <f>'Revenue summary'!AE$8</f>
      </c>
      <c r="AF176" s="706" t="str">
        <f>'Revenue summary'!AF$8</f>
      </c>
      <c r="AG176" s="707" t="str">
        <f>'Revenue summary'!AG$8</f>
      </c>
      <c r="AH176" s="706" t="str">
        <f>'Revenue summary'!AH$8</f>
      </c>
      <c r="AI176" s="706" t="str">
        <f>'Revenue summary'!AI$8</f>
      </c>
      <c r="AJ176" s="706" t="str">
        <f>'Revenue summary'!AJ$8</f>
      </c>
      <c r="AK176" s="707" t="str">
        <f>'Revenue summary'!AK$8</f>
      </c>
      <c r="AL176" s="706" t="str">
        <f>'Revenue summary'!AL$8</f>
      </c>
      <c r="AM176" s="706" t="str">
        <f>'Revenue summary'!AM$8</f>
      </c>
      <c r="AN176" s="706" t="str">
        <f>'Revenue summary'!AN$8</f>
      </c>
      <c r="AO176" s="707" t="str">
        <f>'Revenue summary'!AO$8</f>
      </c>
      <c r="AP176" s="706" t="str">
        <f>'Revenue summary'!AP$8</f>
      </c>
      <c r="AQ176" s="706" t="str">
        <f>'Revenue summary'!AQ$8</f>
      </c>
      <c r="AR176" s="706" t="str">
        <f>'Revenue summary'!AR$8</f>
      </c>
      <c r="AS176" s="707" t="str">
        <f>'Revenue summary'!AS$8</f>
      </c>
      <c r="AT176" s="706" t="str">
        <f>'Revenue summary'!AT$8</f>
      </c>
      <c r="AU176" s="706" t="str">
        <f>'Revenue summary'!AU$8</f>
      </c>
      <c r="AV176" s="706" t="str">
        <f>'Revenue summary'!AV$8</f>
      </c>
      <c r="AW176" s="707" t="str">
        <f>'Revenue summary'!AW$8</f>
      </c>
      <c r="AX176" s="706" t="str">
        <f>'Revenue summary'!AX$8</f>
      </c>
      <c r="AY176" s="706" t="str">
        <f>'Revenue summary'!AY$8</f>
      </c>
      <c r="AZ176" s="706" t="str">
        <f>'Revenue summary'!AZ$8</f>
      </c>
      <c r="BA176" s="707" t="str">
        <f>'Revenue summary'!BA$8</f>
      </c>
      <c r="BB176" s="706" t="str">
        <f>'Revenue summary'!BB$8</f>
      </c>
      <c r="BC176" s="706" t="str">
        <f>'Revenue summary'!BC$8</f>
      </c>
      <c r="BD176" s="706" t="str">
        <f>'Revenue summary'!BD$8</f>
      </c>
      <c r="BE176" s="707" t="str">
        <f>'Revenue summary'!BE$8</f>
      </c>
      <c r="BF176" s="706" t="str">
        <f>'Revenue summary'!BF$8</f>
      </c>
      <c r="BG176" s="706" t="str">
        <f>'Revenue summary'!BG$8</f>
      </c>
      <c r="BH176" s="706" t="str">
        <f>'Revenue summary'!BH$8</f>
      </c>
      <c r="BI176" s="707" t="str">
        <f>'Revenue summary'!BI$8</f>
      </c>
      <c r="BJ176" s="706" t="str">
        <f>'Revenue summary'!BJ$8</f>
      </c>
      <c r="BK176" s="706" t="str">
        <f>'Revenue summary'!BK$8</f>
      </c>
      <c r="BL176" s="706" t="str">
        <f>'Revenue summary'!BL$8</f>
      </c>
      <c r="BM176" s="707" t="str">
        <f>'Revenue summary'!BM$8</f>
      </c>
      <c r="BN176" s="706" t="str">
        <f>'Revenue summary'!BN$8</f>
      </c>
      <c r="BO176" s="706" t="str">
        <f>'Revenue summary'!BO$8</f>
      </c>
      <c r="BP176" s="706" t="str">
        <f>'Revenue summary'!BP$8</f>
      </c>
      <c r="BQ176" s="707" t="str">
        <f>'Revenue summary'!BQ$8</f>
      </c>
      <c r="BR176" s="706" t="str">
        <f>'Revenue summary'!BR$8</f>
      </c>
      <c r="BS176" s="706" t="str">
        <f>'Revenue summary'!BS$8</f>
      </c>
      <c r="BT176" s="706" t="str">
        <f>'Revenue summary'!BT$8</f>
      </c>
      <c r="BU176" s="707" t="str">
        <f>'Revenue summary'!BU$8</f>
      </c>
      <c r="BV176" s="706" t="str">
        <f>'Revenue summary'!BV$8</f>
      </c>
      <c r="BW176" s="706" t="str">
        <f>'Revenue summary'!BW$8</f>
      </c>
      <c r="BX176" s="706" t="str">
        <f>'Revenue summary'!BX$8</f>
      </c>
      <c r="BY176" s="707" t="str">
        <f>'Revenue summary'!BY$8</f>
      </c>
      <c r="BZ176" s="706" t="str">
        <f>'Revenue summary'!BZ$8</f>
      </c>
      <c r="CA176" s="706" t="str">
        <f>'Revenue summary'!CA$8</f>
      </c>
      <c r="CB176" s="706" t="str">
        <f>'Revenue summary'!CB$8</f>
      </c>
      <c r="CC176" s="707" t="str">
        <f>'Revenue summary'!CC$8</f>
      </c>
      <c r="CD176" s="706" t="str">
        <f>'Revenue summary'!CD$8</f>
      </c>
      <c r="CE176" s="706" t="str">
        <f>'Revenue summary'!CE$8</f>
      </c>
      <c r="CF176" s="706" t="str">
        <f>'Revenue summary'!CF$8</f>
      </c>
      <c r="CG176" s="707" t="str">
        <f>'Revenue summary'!CG$8</f>
      </c>
      <c r="CH176" s="706" t="str">
        <f>'Revenue summary'!CH$8</f>
      </c>
      <c r="CI176" s="706" t="str">
        <f>'Revenue summary'!CI$8</f>
      </c>
      <c r="CJ176" s="706" t="str">
        <f>'Revenue summary'!CJ$8</f>
      </c>
      <c r="CK176" s="707" t="str">
        <f>'Revenue summary'!CK$8</f>
      </c>
      <c r="CL176" s="706" t="str">
        <f>'Revenue summary'!CL$8</f>
      </c>
      <c r="CM176" s="706" t="str">
        <f>'Revenue summary'!CM$8</f>
      </c>
      <c r="CN176" s="706" t="str">
        <f>'Revenue summary'!CN$8</f>
      </c>
      <c r="CO176" s="707" t="str">
        <f>'Revenue summary'!CO$8</f>
      </c>
      <c r="CP176" s="706" t="str">
        <f>'Revenue summary'!CP$8</f>
      </c>
      <c r="CQ176" s="706" t="str">
        <f>'Revenue summary'!CQ$8</f>
      </c>
      <c r="CR176" s="706" t="str">
        <f>'Revenue summary'!CR$8</f>
      </c>
      <c r="CS176" s="707" t="str">
        <f>'Revenue summary'!CS$8</f>
      </c>
      <c r="CT176" s="706" t="str">
        <f>'Revenue summary'!CT$8</f>
      </c>
      <c r="CU176" s="706" t="str">
        <f>'Revenue summary'!CU$8</f>
      </c>
      <c r="CV176" s="706" t="str">
        <f>'Revenue summary'!CV$8</f>
      </c>
      <c r="CW176" s="707" t="str">
        <f>'Revenue summary'!CW$8</f>
      </c>
      <c r="CX176" s="706" t="str">
        <f>'Revenue summary'!CX$8</f>
      </c>
      <c r="CY176" s="706" t="str">
        <f>'Revenue summary'!CY$8</f>
      </c>
      <c r="CZ176" s="706" t="str">
        <f>'Revenue summary'!CZ$8</f>
      </c>
      <c r="DA176" s="707" t="str">
        <f>'Revenue summary'!DA$8</f>
      </c>
      <c r="DB176" s="706" t="str">
        <f>'Revenue summary'!DB$8</f>
      </c>
      <c r="DC176" s="706" t="str">
        <f>'Revenue summary'!DC$8</f>
      </c>
      <c r="DD176" s="706" t="str">
        <f>'Revenue summary'!DD$8</f>
      </c>
      <c r="DE176" s="707" t="str">
        <f>'Revenue summary'!DE$8</f>
      </c>
      <c r="DF176" s="706" t="str">
        <f>'Revenue summary'!DF$8</f>
      </c>
      <c r="DG176" s="706" t="str">
        <f>'Revenue summary'!DG$8</f>
      </c>
      <c r="DH176" s="706" t="str">
        <f>'Revenue summary'!DH$8</f>
      </c>
      <c r="DI176" s="707" t="str">
        <f>'Revenue summary'!DI$8</f>
      </c>
      <c r="DJ176" s="706" t="str">
        <f>'Revenue summary'!DJ$8</f>
      </c>
      <c r="DK176" s="706" t="str">
        <f>'Revenue summary'!DK$8</f>
      </c>
      <c r="DL176" s="706" t="str">
        <f>'Revenue summary'!DL$8</f>
      </c>
      <c r="DM176" s="707" t="str">
        <f>'Revenue summary'!DM$8</f>
      </c>
      <c r="DN176" s="706" t="str">
        <f>'Revenue summary'!DN$8</f>
      </c>
      <c r="DO176" s="706" t="str">
        <f>'Revenue summary'!DO$8</f>
      </c>
      <c r="DP176" s="706" t="str">
        <f>'Revenue summary'!DP$8</f>
      </c>
      <c r="DQ176" s="707" t="str">
        <f>'Revenue summary'!DQ$8</f>
      </c>
      <c r="DR176" s="706" t="str">
        <f>'Revenue summary'!DR$8</f>
      </c>
      <c r="DS176" s="706" t="str">
        <f>'Revenue summary'!DS$8</f>
      </c>
      <c r="DT176" s="706" t="str">
        <f>'Revenue summary'!DT$8</f>
      </c>
      <c r="DU176" s="707" t="str">
        <f>'Revenue summary'!DU$8</f>
      </c>
      <c r="DV176" s="706" t="str">
        <f>'Revenue summary'!DV$8</f>
      </c>
      <c r="DW176" s="706" t="str">
        <f>'Revenue summary'!DW$8</f>
      </c>
      <c r="DX176" s="706" t="str">
        <f>'Revenue summary'!DX$8</f>
      </c>
      <c r="DY176" s="707" t="str">
        <f>'Revenue summary'!DY$8</f>
      </c>
      <c r="DZ176" s="706" t="str">
        <f>'Revenue summary'!DZ$8</f>
      </c>
      <c r="EA176" s="706" t="str">
        <f>'Revenue summary'!EA$8</f>
      </c>
      <c r="EB176" s="706" t="str">
        <f>'Revenue summary'!EB$8</f>
      </c>
      <c r="EC176" s="707" t="str">
        <f>'Revenue summary'!EC$8</f>
      </c>
      <c r="ED176" s="706" t="str">
        <f>'Revenue summary'!ED$8</f>
      </c>
      <c r="EE176" s="706" t="str">
        <f>'Revenue summary'!EE$8</f>
      </c>
      <c r="EF176" s="706" t="str">
        <f>'Revenue summary'!EF$8</f>
      </c>
      <c r="EG176" s="707" t="str">
        <f>'Revenue summary'!EG$8</f>
      </c>
      <c r="EH176" s="706" t="str">
        <f>'Revenue summary'!EH$8</f>
      </c>
      <c r="EI176" s="706" t="str">
        <f>'Revenue summary'!EI$8</f>
      </c>
      <c r="EJ176" s="706" t="str">
        <f>'Revenue summary'!EJ$8</f>
      </c>
      <c r="EK176" s="707" t="str">
        <f>'Revenue summary'!EK$8</f>
      </c>
      <c r="EL176" s="320"/>
      <c r="EM176" s="320"/>
      <c r="EN176" s="320"/>
      <c r="EO176" s="320"/>
      <c r="EP176" s="320"/>
      <c r="EQ176" s="320"/>
      <c r="ER176" s="320"/>
      <c r="ES176" s="320"/>
      <c r="ET176" s="320"/>
      <c r="EU176" s="320"/>
      <c r="EV176" s="320"/>
      <c r="EW176" s="320"/>
      <c r="EX176" s="320"/>
      <c r="EY176" s="320"/>
      <c r="EZ176" s="320"/>
      <c r="FA176" s="320"/>
      <c r="FB176" s="320"/>
      <c r="FC176" s="320"/>
      <c r="FD176" s="320"/>
      <c r="FE176" s="320"/>
      <c r="FF176" s="320"/>
      <c r="FG176" s="320"/>
      <c r="FH176" s="320"/>
      <c r="FI176" s="320"/>
      <c r="FJ176" s="320"/>
      <c r="FK176" s="320"/>
      <c r="FL176" s="320"/>
      <c r="FM176" s="320"/>
      <c r="FN176" s="320"/>
      <c r="FO176" s="320"/>
      <c r="FP176" s="320"/>
      <c r="FQ176" s="320"/>
      <c r="FR176" s="320"/>
      <c r="FS176" s="320"/>
      <c r="FT176" s="320"/>
      <c r="FU176" s="320"/>
      <c r="FW176" s="320"/>
      <c r="FX176" s="320"/>
      <c r="FY176" s="320"/>
      <c r="FZ176" s="320"/>
      <c r="GA176" s="320"/>
      <c r="GB176" s="320"/>
      <c r="GC176" s="320"/>
      <c r="GD176" s="320"/>
      <c r="GE176" s="320"/>
      <c r="GF176" s="320"/>
      <c r="GG176" s="320"/>
      <c r="GH176" s="320"/>
      <c r="GI176" s="320"/>
      <c r="GJ176" s="320"/>
      <c r="GK176" s="320"/>
      <c r="GL176" s="320"/>
      <c r="GM176" s="320"/>
      <c r="GN176" s="320"/>
      <c r="GO176" s="320"/>
      <c r="GP176" s="320"/>
      <c r="GQ176" s="320"/>
      <c r="GR176" s="320"/>
      <c r="GS176" s="320"/>
      <c r="GT176" s="320"/>
      <c r="GU176" s="320"/>
      <c r="GV176" s="320"/>
      <c r="GW176" s="320"/>
      <c r="GX176" s="320"/>
      <c r="GY176" s="320"/>
      <c r="GZ176" s="320"/>
      <c r="HA176" s="320"/>
      <c r="HB176" s="320"/>
      <c r="HC176" s="320"/>
      <c r="HD176" s="320"/>
      <c r="HE176" s="320"/>
      <c r="HF176" s="320"/>
    </row>
    <row r="177" spans="1:214" s="82" customFormat="1" ht="10.199999999999999">
      <c r="A177" s="880" t="s">
        <v>84</v>
      </c>
      <c r="B177" s="882"/>
      <c r="C177" s="882"/>
      <c r="D177" s="882"/>
      <c r="E177" s="883"/>
      <c r="F177" s="882"/>
      <c r="G177" s="882"/>
      <c r="H177" s="882"/>
      <c r="I177" s="883"/>
      <c r="J177" s="882"/>
      <c r="K177" s="882"/>
      <c r="L177" s="882"/>
      <c r="M177" s="883"/>
      <c r="N177" s="882"/>
      <c r="O177" s="882"/>
      <c r="P177" s="882"/>
      <c r="Q177" s="883"/>
      <c r="R177" s="882"/>
      <c r="S177" s="882"/>
      <c r="T177" s="882"/>
      <c r="U177" s="883"/>
      <c r="V177" s="882"/>
      <c r="W177" s="882"/>
      <c r="X177" s="882"/>
      <c r="Y177" s="883"/>
      <c r="Z177" s="884"/>
      <c r="AA177" s="884"/>
      <c r="AB177" s="884"/>
      <c r="AC177" s="772"/>
      <c r="AD177" s="884"/>
      <c r="AE177" s="884"/>
      <c r="AF177" s="884"/>
      <c r="AG177" s="772"/>
      <c r="AH177" s="884"/>
      <c r="AI177" s="884"/>
      <c r="AJ177" s="884"/>
      <c r="AK177" s="772"/>
      <c r="AL177" s="884"/>
      <c r="AM177" s="884"/>
      <c r="AN177" s="884"/>
      <c r="AO177" s="772"/>
      <c r="AP177" s="884"/>
      <c r="AQ177" s="884"/>
      <c r="AR177" s="884"/>
      <c r="AS177" s="772"/>
      <c r="AT177" s="884"/>
      <c r="AU177" s="884"/>
      <c r="AV177" s="890"/>
      <c r="AW177" s="891"/>
      <c r="AX177" s="894">
        <f t="shared" ref="AX177:CK177" si="1334">AX151-AW151</f>
      </c>
      <c r="AY177" s="894">
        <f t="shared" si="1334"/>
      </c>
      <c r="AZ177" s="894">
        <f t="shared" si="1334"/>
      </c>
      <c r="BA177" s="895">
        <f t="shared" si="1334"/>
      </c>
      <c r="BB177" s="894">
        <f t="shared" si="1334"/>
      </c>
      <c r="BC177" s="894">
        <f t="shared" si="1334"/>
      </c>
      <c r="BD177" s="894">
        <f t="shared" si="1334"/>
      </c>
      <c r="BE177" s="895">
        <f t="shared" si="1334"/>
      </c>
      <c r="BF177" s="894">
        <f t="shared" si="1334"/>
      </c>
      <c r="BG177" s="894">
        <f t="shared" si="1334"/>
      </c>
      <c r="BH177" s="894">
        <f t="shared" si="1334"/>
      </c>
      <c r="BI177" s="895">
        <f t="shared" si="1334"/>
      </c>
      <c r="BJ177" s="894">
        <f t="shared" si="1334"/>
      </c>
      <c r="BK177" s="894">
        <f t="shared" si="1334"/>
      </c>
      <c r="BL177" s="894">
        <f t="shared" si="1334"/>
      </c>
      <c r="BM177" s="895">
        <f t="shared" si="1334"/>
      </c>
      <c r="BN177" s="894">
        <f t="shared" si="1334"/>
      </c>
      <c r="BO177" s="894">
        <f t="shared" si="1334"/>
      </c>
      <c r="BP177" s="894">
        <f t="shared" si="1334"/>
      </c>
      <c r="BQ177" s="895">
        <f t="shared" si="1334"/>
      </c>
      <c r="BR177" s="894">
        <f t="shared" si="1334"/>
      </c>
      <c r="BS177" s="894">
        <f t="shared" si="1334"/>
      </c>
      <c r="BT177" s="894">
        <f t="shared" si="1334"/>
      </c>
      <c r="BU177" s="895">
        <f t="shared" si="1334"/>
      </c>
      <c r="BV177" s="894">
        <f t="shared" si="1334"/>
      </c>
      <c r="BW177" s="894">
        <f t="shared" si="1334"/>
      </c>
      <c r="BX177" s="894">
        <f t="shared" si="1334"/>
      </c>
      <c r="BY177" s="895">
        <f t="shared" si="1334"/>
      </c>
      <c r="BZ177" s="894">
        <f t="shared" si="1334"/>
      </c>
      <c r="CA177" s="894">
        <f t="shared" si="1334"/>
      </c>
      <c r="CB177" s="894">
        <f t="shared" si="1334"/>
      </c>
      <c r="CC177" s="895">
        <f t="shared" si="1334"/>
      </c>
      <c r="CD177" s="894">
        <f t="shared" si="1334"/>
      </c>
      <c r="CE177" s="894">
        <f t="shared" si="1334"/>
      </c>
      <c r="CF177" s="894">
        <f t="shared" si="1334"/>
      </c>
      <c r="CG177" s="895">
        <f t="shared" si="1334"/>
      </c>
      <c r="CH177" s="894">
        <f t="shared" si="1334"/>
      </c>
      <c r="CI177" s="894">
        <f t="shared" si="1334"/>
      </c>
      <c r="CJ177" s="894">
        <f t="shared" si="1334"/>
      </c>
      <c r="CK177" s="895">
        <f t="shared" si="1334"/>
      </c>
      <c r="CL177" s="894"/>
      <c r="CM177" s="894">
        <f t="shared" ref="CM177:DU177" si="1335">CM151-CL151</f>
      </c>
      <c r="CN177" s="894">
        <f t="shared" si="1335"/>
      </c>
      <c r="CO177" s="895">
        <f t="shared" si="1335"/>
      </c>
      <c r="CP177" s="894">
        <f t="shared" si="1335"/>
      </c>
      <c r="CQ177" s="894">
        <f t="shared" si="1335"/>
      </c>
      <c r="CR177" s="894">
        <f t="shared" si="1335"/>
      </c>
      <c r="CS177" s="895">
        <f t="shared" si="1335"/>
      </c>
      <c r="CT177" s="894">
        <f t="shared" si="1335"/>
      </c>
      <c r="CU177" s="894">
        <f t="shared" si="1335"/>
      </c>
      <c r="CV177" s="894">
        <f t="shared" si="1335"/>
      </c>
      <c r="CW177" s="895">
        <f t="shared" si="1335"/>
      </c>
      <c r="CX177" s="894">
        <f t="shared" si="1335"/>
      </c>
      <c r="CY177" s="894">
        <f t="shared" si="1335"/>
      </c>
      <c r="CZ177" s="894">
        <f t="shared" si="1335"/>
      </c>
      <c r="DA177" s="895">
        <f t="shared" si="1335"/>
      </c>
      <c r="DB177" s="894">
        <f t="shared" si="1335"/>
      </c>
      <c r="DC177" s="894">
        <f t="shared" si="1335"/>
      </c>
      <c r="DD177" s="894">
        <f t="shared" si="1335"/>
      </c>
      <c r="DE177" s="895">
        <f t="shared" si="1335"/>
      </c>
      <c r="DF177" s="894">
        <f t="shared" si="1335"/>
      </c>
      <c r="DG177" s="894">
        <f t="shared" si="1335"/>
      </c>
      <c r="DH177" s="894">
        <f t="shared" si="1335"/>
      </c>
      <c r="DI177" s="895">
        <f t="shared" si="1335"/>
      </c>
      <c r="DJ177" s="894">
        <f t="shared" si="1335"/>
      </c>
      <c r="DK177" s="894">
        <f>DK151-DJ151</f>
      </c>
      <c r="DL177" s="894">
        <f t="shared" si="1335"/>
      </c>
      <c r="DM177" s="895">
        <f t="shared" ref="DM177:DO178" si="1336">DM151-DL151</f>
      </c>
      <c r="DN177" s="894">
        <f t="shared" si="1336"/>
      </c>
      <c r="DO177" s="894">
        <f t="shared" si="1336"/>
      </c>
      <c r="DP177" s="894">
        <f t="shared" si="1335"/>
      </c>
      <c r="DQ177" s="895">
        <f t="shared" ref="DQ177:DS178" si="1337">DQ151-DP151</f>
      </c>
      <c r="DR177" s="894">
        <f t="shared" si="1337"/>
      </c>
      <c r="DS177" s="894">
        <f t="shared" si="1337"/>
      </c>
      <c r="DT177" s="894">
        <f t="shared" si="1335"/>
      </c>
      <c r="DU177" s="895">
        <f t="shared" si="1335"/>
      </c>
      <c r="DV177" s="894">
        <f t="shared" ref="DV177:DV178" si="1338">DV151-DU151</f>
      </c>
      <c r="DW177" s="894">
        <f t="shared" ref="DW177:DW178" si="1339">DW151-DV151</f>
      </c>
      <c r="DX177" s="894">
        <f t="shared" ref="DX177:DX178" si="1340">DX151-DW151</f>
      </c>
      <c r="DY177" s="895">
        <f t="shared" ref="DY177:DY178" si="1341">DY151-DX151</f>
      </c>
      <c r="DZ177" s="894">
        <f t="shared" ref="DZ177:DZ178" si="1342">DZ151-DY151</f>
      </c>
      <c r="EA177" s="894">
        <f t="shared" ref="EA177:EA178" si="1343">EA151-DZ151</f>
      </c>
      <c r="EB177" s="894">
        <f t="shared" ref="EB177:EB178" si="1344">EB151-EA151</f>
      </c>
      <c r="EC177" s="895">
        <f t="shared" ref="EC177:EC178" si="1345">EC151-EB151</f>
      </c>
      <c r="ED177" s="894">
        <f t="shared" ref="ED177:ED178" si="1346">ED151-EC151</f>
      </c>
      <c r="EE177" s="894">
        <f t="shared" ref="EE177:EE178" si="1347">EE151-ED151</f>
      </c>
      <c r="EF177" s="894">
        <f t="shared" ref="EF177:EF178" si="1348">EF151-EE151</f>
      </c>
      <c r="EG177" s="895">
        <f t="shared" ref="EG177:EG178" si="1349">EG151-EF151</f>
      </c>
      <c r="EH177" s="894">
        <f t="shared" ref="EH177:EH178" si="1350">EH151-EG151</f>
      </c>
      <c r="EI177" s="894">
        <f t="shared" ref="EI177:EI178" si="1351">EI151-EH151</f>
      </c>
      <c r="EJ177" s="894">
        <f t="shared" ref="EJ177:EJ178" si="1352">EJ151-EI151</f>
      </c>
      <c r="EK177" s="895">
        <f t="shared" ref="EK177:EK178" si="1353">EK151-EJ151</f>
      </c>
      <c r="EM177" s="75"/>
      <c r="EN177" s="75"/>
      <c r="EO177" s="75"/>
      <c r="EP177" s="75"/>
      <c r="EQ177" s="75"/>
      <c r="ER177" s="75"/>
      <c r="ES177" s="75"/>
      <c r="ET177" s="75"/>
      <c r="EU177" s="75"/>
      <c r="EV177" s="75"/>
      <c r="EW177" s="75"/>
      <c r="EX177" s="75"/>
      <c r="EY177" s="75"/>
      <c r="EZ177" s="75"/>
      <c r="FA177" s="75"/>
      <c r="FB177" s="75"/>
      <c r="FC177" s="75"/>
      <c r="FD177" s="75"/>
      <c r="FE177" s="75"/>
      <c r="FF177" s="75"/>
      <c r="FG177" s="318"/>
      <c r="FH177" s="318"/>
      <c r="FI177" s="318"/>
      <c r="FJ177" s="318"/>
      <c r="FK177" s="318"/>
      <c r="FL177" s="318"/>
      <c r="FM177" s="318"/>
      <c r="FN177" s="318"/>
      <c r="FO177" s="318"/>
      <c r="FP177" s="318"/>
      <c r="FQ177" s="318"/>
      <c r="FR177" s="318"/>
      <c r="FS177" s="318"/>
      <c r="FT177" s="318"/>
      <c r="FU177" s="318"/>
      <c r="FW177" s="318"/>
      <c r="FY177" s="75"/>
      <c r="FZ177" s="75"/>
      <c r="GA177" s="75"/>
      <c r="GB177" s="75"/>
      <c r="GC177" s="75"/>
      <c r="GD177" s="75"/>
      <c r="GE177" s="75"/>
      <c r="GF177" s="75"/>
      <c r="GG177" s="75"/>
      <c r="GH177" s="75"/>
      <c r="GI177" s="75"/>
      <c r="GJ177" s="75"/>
      <c r="GK177" s="75"/>
      <c r="GL177" s="75"/>
      <c r="GM177" s="75"/>
      <c r="GN177" s="75"/>
      <c r="GO177" s="75"/>
      <c r="GP177" s="75"/>
      <c r="GQ177" s="75"/>
      <c r="GR177" s="75"/>
      <c r="GS177" s="75"/>
      <c r="GT177" s="75"/>
      <c r="GU177" s="75"/>
      <c r="GV177" s="75"/>
      <c r="GW177" s="75"/>
      <c r="GX177" s="75"/>
      <c r="GY177" s="75"/>
      <c r="GZ177" s="75"/>
      <c r="HA177" s="75"/>
      <c r="HB177" s="75"/>
      <c r="HC177" s="75"/>
      <c r="HD177" s="75"/>
      <c r="HE177" s="75"/>
      <c r="HF177" s="75"/>
    </row>
    <row r="178" spans="1:214" s="82" customFormat="1" ht="10.199999999999999">
      <c r="A178" s="880" t="s">
        <v>86</v>
      </c>
      <c r="B178" s="882"/>
      <c r="C178" s="882"/>
      <c r="D178" s="882"/>
      <c r="E178" s="883"/>
      <c r="F178" s="882"/>
      <c r="G178" s="882"/>
      <c r="H178" s="882"/>
      <c r="I178" s="883"/>
      <c r="J178" s="882"/>
      <c r="K178" s="882"/>
      <c r="L178" s="882"/>
      <c r="M178" s="883"/>
      <c r="N178" s="882"/>
      <c r="O178" s="882"/>
      <c r="P178" s="882"/>
      <c r="Q178" s="883"/>
      <c r="R178" s="882"/>
      <c r="S178" s="882"/>
      <c r="T178" s="882"/>
      <c r="U178" s="883"/>
      <c r="V178" s="882"/>
      <c r="W178" s="882"/>
      <c r="X178" s="882"/>
      <c r="Y178" s="883"/>
      <c r="Z178" s="884"/>
      <c r="AA178" s="884"/>
      <c r="AB178" s="884"/>
      <c r="AC178" s="772"/>
      <c r="AD178" s="884"/>
      <c r="AE178" s="884"/>
      <c r="AF178" s="884"/>
      <c r="AG178" s="772"/>
      <c r="AH178" s="884"/>
      <c r="AI178" s="884"/>
      <c r="AJ178" s="884"/>
      <c r="AK178" s="772"/>
      <c r="AL178" s="884"/>
      <c r="AM178" s="884"/>
      <c r="AN178" s="884"/>
      <c r="AO178" s="772"/>
      <c r="AP178" s="884"/>
      <c r="AQ178" s="884"/>
      <c r="AR178" s="884"/>
      <c r="AS178" s="772"/>
      <c r="AT178" s="884"/>
      <c r="AU178" s="884"/>
      <c r="AV178" s="890"/>
      <c r="AW178" s="891"/>
      <c r="AX178" s="894">
        <f t="shared" ref="AX178:CK178" si="1354">AX152-AW152</f>
      </c>
      <c r="AY178" s="894">
        <f t="shared" si="1354"/>
      </c>
      <c r="AZ178" s="894">
        <f t="shared" si="1354"/>
      </c>
      <c r="BA178" s="895">
        <f t="shared" si="1354"/>
      </c>
      <c r="BB178" s="894">
        <f t="shared" si="1354"/>
      </c>
      <c r="BC178" s="894">
        <f t="shared" si="1354"/>
      </c>
      <c r="BD178" s="894">
        <f t="shared" si="1354"/>
      </c>
      <c r="BE178" s="895">
        <f t="shared" si="1354"/>
      </c>
      <c r="BF178" s="894">
        <f t="shared" si="1354"/>
      </c>
      <c r="BG178" s="894">
        <f t="shared" si="1354"/>
      </c>
      <c r="BH178" s="894">
        <f t="shared" si="1354"/>
      </c>
      <c r="BI178" s="895">
        <f t="shared" si="1354"/>
      </c>
      <c r="BJ178" s="894">
        <f t="shared" si="1354"/>
      </c>
      <c r="BK178" s="894">
        <f t="shared" si="1354"/>
      </c>
      <c r="BL178" s="894">
        <f t="shared" si="1354"/>
      </c>
      <c r="BM178" s="895">
        <f t="shared" si="1354"/>
      </c>
      <c r="BN178" s="894">
        <f t="shared" si="1354"/>
      </c>
      <c r="BO178" s="894">
        <f t="shared" si="1354"/>
      </c>
      <c r="BP178" s="894">
        <f t="shared" si="1354"/>
      </c>
      <c r="BQ178" s="895">
        <f t="shared" si="1354"/>
      </c>
      <c r="BR178" s="894">
        <f t="shared" si="1354"/>
      </c>
      <c r="BS178" s="894">
        <f t="shared" si="1354"/>
      </c>
      <c r="BT178" s="894">
        <f t="shared" si="1354"/>
      </c>
      <c r="BU178" s="895">
        <f t="shared" si="1354"/>
      </c>
      <c r="BV178" s="894">
        <f t="shared" si="1354"/>
      </c>
      <c r="BW178" s="894">
        <f t="shared" si="1354"/>
      </c>
      <c r="BX178" s="894">
        <f t="shared" si="1354"/>
      </c>
      <c r="BY178" s="895">
        <f t="shared" si="1354"/>
      </c>
      <c r="BZ178" s="894">
        <f t="shared" si="1354"/>
      </c>
      <c r="CA178" s="894">
        <f t="shared" si="1354"/>
      </c>
      <c r="CB178" s="894">
        <f t="shared" si="1354"/>
      </c>
      <c r="CC178" s="895">
        <f t="shared" si="1354"/>
      </c>
      <c r="CD178" s="894">
        <f t="shared" si="1354"/>
      </c>
      <c r="CE178" s="894">
        <f t="shared" si="1354"/>
      </c>
      <c r="CF178" s="894">
        <f t="shared" si="1354"/>
      </c>
      <c r="CG178" s="895">
        <f t="shared" si="1354"/>
      </c>
      <c r="CH178" s="894">
        <f t="shared" si="1354"/>
      </c>
      <c r="CI178" s="894">
        <f t="shared" si="1354"/>
      </c>
      <c r="CJ178" s="894">
        <f t="shared" si="1354"/>
      </c>
      <c r="CK178" s="895">
        <f t="shared" si="1354"/>
      </c>
      <c r="CL178" s="894"/>
      <c r="CM178" s="894">
        <f t="shared" ref="CM178:DU178" si="1355">CM152-CL152</f>
      </c>
      <c r="CN178" s="894">
        <f t="shared" si="1355"/>
      </c>
      <c r="CO178" s="895">
        <f t="shared" si="1355"/>
      </c>
      <c r="CP178" s="894">
        <f t="shared" si="1355"/>
      </c>
      <c r="CQ178" s="894">
        <f t="shared" si="1355"/>
      </c>
      <c r="CR178" s="894">
        <f t="shared" si="1355"/>
      </c>
      <c r="CS178" s="895">
        <f t="shared" si="1355"/>
      </c>
      <c r="CT178" s="894">
        <f t="shared" si="1355"/>
      </c>
      <c r="CU178" s="894">
        <f t="shared" si="1355"/>
      </c>
      <c r="CV178" s="894">
        <f t="shared" si="1355"/>
      </c>
      <c r="CW178" s="895">
        <f t="shared" si="1355"/>
      </c>
      <c r="CX178" s="894">
        <f t="shared" si="1355"/>
      </c>
      <c r="CY178" s="894">
        <f t="shared" si="1355"/>
      </c>
      <c r="CZ178" s="894">
        <f t="shared" si="1355"/>
      </c>
      <c r="DA178" s="895">
        <f t="shared" si="1355"/>
      </c>
      <c r="DB178" s="894">
        <f t="shared" si="1355"/>
      </c>
      <c r="DC178" s="894">
        <f t="shared" si="1355"/>
      </c>
      <c r="DD178" s="894">
        <f t="shared" si="1355"/>
      </c>
      <c r="DE178" s="895">
        <f t="shared" si="1355"/>
      </c>
      <c r="DF178" s="894">
        <f t="shared" si="1355"/>
      </c>
      <c r="DG178" s="894">
        <f t="shared" si="1355"/>
      </c>
      <c r="DH178" s="894">
        <f t="shared" si="1355"/>
      </c>
      <c r="DI178" s="895">
        <f t="shared" si="1355"/>
      </c>
      <c r="DJ178" s="894">
        <f t="shared" si="1355"/>
      </c>
      <c r="DK178" s="894">
        <f>DK152-DJ152</f>
      </c>
      <c r="DL178" s="894">
        <f t="shared" si="1355"/>
      </c>
      <c r="DM178" s="895">
        <f t="shared" si="1336"/>
      </c>
      <c r="DN178" s="894">
        <f t="shared" si="1336"/>
      </c>
      <c r="DO178" s="894">
        <f t="shared" si="1336"/>
      </c>
      <c r="DP178" s="894">
        <f t="shared" si="1355"/>
      </c>
      <c r="DQ178" s="895">
        <f t="shared" si="1337"/>
      </c>
      <c r="DR178" s="894">
        <f t="shared" si="1337"/>
      </c>
      <c r="DS178" s="894">
        <f t="shared" si="1337"/>
      </c>
      <c r="DT178" s="894">
        <f t="shared" si="1355"/>
      </c>
      <c r="DU178" s="895">
        <f t="shared" si="1355"/>
      </c>
      <c r="DV178" s="894">
        <f t="shared" si="1338"/>
      </c>
      <c r="DW178" s="894">
        <f t="shared" si="1339"/>
      </c>
      <c r="DX178" s="894">
        <f t="shared" si="1340"/>
      </c>
      <c r="DY178" s="895">
        <f t="shared" si="1341"/>
      </c>
      <c r="DZ178" s="894">
        <f t="shared" si="1342"/>
      </c>
      <c r="EA178" s="894">
        <f t="shared" si="1343"/>
      </c>
      <c r="EB178" s="894">
        <f t="shared" si="1344"/>
      </c>
      <c r="EC178" s="895">
        <f t="shared" si="1345"/>
      </c>
      <c r="ED178" s="894">
        <f t="shared" si="1346"/>
      </c>
      <c r="EE178" s="894">
        <f t="shared" si="1347"/>
      </c>
      <c r="EF178" s="894">
        <f t="shared" si="1348"/>
      </c>
      <c r="EG178" s="895">
        <f t="shared" si="1349"/>
      </c>
      <c r="EH178" s="894">
        <f t="shared" si="1350"/>
      </c>
      <c r="EI178" s="894">
        <f t="shared" si="1351"/>
      </c>
      <c r="EJ178" s="894">
        <f t="shared" si="1352"/>
      </c>
      <c r="EK178" s="895">
        <f t="shared" si="1353"/>
      </c>
      <c r="EM178" s="75"/>
      <c r="EN178" s="75"/>
      <c r="EO178" s="75"/>
      <c r="EP178" s="75"/>
      <c r="EQ178" s="75"/>
      <c r="ER178" s="75"/>
      <c r="ES178" s="75"/>
      <c r="ET178" s="75"/>
      <c r="EU178" s="75"/>
      <c r="EV178" s="75"/>
      <c r="EW178" s="75"/>
      <c r="EX178" s="75"/>
      <c r="EY178" s="75"/>
      <c r="EZ178" s="75"/>
      <c r="FA178" s="75"/>
      <c r="FB178" s="75"/>
      <c r="FC178" s="75"/>
      <c r="FD178" s="75"/>
      <c r="FE178" s="75"/>
      <c r="FF178" s="75"/>
      <c r="FG178" s="318"/>
      <c r="FH178" s="318"/>
      <c r="FI178" s="318"/>
      <c r="FJ178" s="318"/>
      <c r="FK178" s="318"/>
      <c r="FL178" s="318"/>
      <c r="FM178" s="318"/>
      <c r="FN178" s="318"/>
      <c r="FO178" s="318"/>
      <c r="FP178" s="318"/>
      <c r="FQ178" s="318"/>
      <c r="FR178" s="318"/>
      <c r="FS178" s="318"/>
      <c r="FT178" s="318"/>
      <c r="FU178" s="318"/>
      <c r="FW178" s="318"/>
      <c r="FY178" s="75"/>
      <c r="FZ178" s="75"/>
      <c r="GA178" s="75"/>
      <c r="GB178" s="75"/>
      <c r="GC178" s="75"/>
      <c r="GD178" s="75"/>
      <c r="GE178" s="75"/>
      <c r="GF178" s="75"/>
      <c r="GG178" s="75"/>
      <c r="GH178" s="75"/>
      <c r="GI178" s="75"/>
      <c r="GJ178" s="75"/>
      <c r="GK178" s="75"/>
      <c r="GL178" s="75"/>
      <c r="GM178" s="75"/>
      <c r="GN178" s="75"/>
      <c r="GO178" s="75"/>
      <c r="GP178" s="75"/>
      <c r="GQ178" s="75"/>
      <c r="GR178" s="75"/>
      <c r="GS178" s="75"/>
      <c r="GT178" s="75"/>
      <c r="GU178" s="75"/>
      <c r="GV178" s="75"/>
      <c r="GW178" s="75"/>
      <c r="GX178" s="75"/>
      <c r="GY178" s="75"/>
      <c r="GZ178" s="75"/>
      <c r="HA178" s="75"/>
      <c r="HB178" s="75"/>
      <c r="HC178" s="75"/>
      <c r="HD178" s="75"/>
      <c r="HE178" s="75"/>
      <c r="HF178" s="75"/>
    </row>
    <row r="179" spans="1:214" s="82" customFormat="1" ht="10.199999999999999">
      <c r="A179" s="880" t="s">
        <v>85</v>
      </c>
      <c r="B179" s="882"/>
      <c r="C179" s="882"/>
      <c r="D179" s="882"/>
      <c r="E179" s="883"/>
      <c r="F179" s="882"/>
      <c r="G179" s="882"/>
      <c r="H179" s="882"/>
      <c r="I179" s="883"/>
      <c r="J179" s="882"/>
      <c r="K179" s="882"/>
      <c r="L179" s="882"/>
      <c r="M179" s="883"/>
      <c r="N179" s="882"/>
      <c r="O179" s="882"/>
      <c r="P179" s="882"/>
      <c r="Q179" s="883"/>
      <c r="R179" s="882"/>
      <c r="S179" s="882"/>
      <c r="T179" s="882"/>
      <c r="U179" s="883"/>
      <c r="V179" s="882"/>
      <c r="W179" s="882"/>
      <c r="X179" s="882"/>
      <c r="Y179" s="883"/>
      <c r="Z179" s="884"/>
      <c r="AA179" s="884"/>
      <c r="AB179" s="884"/>
      <c r="AC179" s="772"/>
      <c r="AD179" s="884"/>
      <c r="AE179" s="884"/>
      <c r="AF179" s="884"/>
      <c r="AG179" s="772"/>
      <c r="AH179" s="884"/>
      <c r="AI179" s="884"/>
      <c r="AJ179" s="884"/>
      <c r="AK179" s="772"/>
      <c r="AL179" s="884"/>
      <c r="AM179" s="884"/>
      <c r="AN179" s="884"/>
      <c r="AO179" s="772"/>
      <c r="AP179" s="884"/>
      <c r="AQ179" s="884"/>
      <c r="AR179" s="884"/>
      <c r="AS179" s="772"/>
      <c r="AT179" s="884"/>
      <c r="AU179" s="884"/>
      <c r="AV179" s="890"/>
      <c r="AW179" s="891"/>
      <c r="AX179" s="894">
        <f t="shared" ref="AX179:CK179" si="1356">AX158-AW158</f>
      </c>
      <c r="AY179" s="894">
        <f t="shared" si="1356"/>
      </c>
      <c r="AZ179" s="894">
        <f t="shared" si="1356"/>
      </c>
      <c r="BA179" s="895">
        <f t="shared" si="1356"/>
      </c>
      <c r="BB179" s="894">
        <f t="shared" si="1356"/>
      </c>
      <c r="BC179" s="894">
        <f t="shared" si="1356"/>
      </c>
      <c r="BD179" s="894">
        <f t="shared" si="1356"/>
      </c>
      <c r="BE179" s="895">
        <f t="shared" si="1356"/>
      </c>
      <c r="BF179" s="894">
        <f t="shared" si="1356"/>
      </c>
      <c r="BG179" s="894">
        <f t="shared" si="1356"/>
      </c>
      <c r="BH179" s="894">
        <f t="shared" si="1356"/>
      </c>
      <c r="BI179" s="895">
        <f t="shared" si="1356"/>
      </c>
      <c r="BJ179" s="894">
        <f t="shared" si="1356"/>
      </c>
      <c r="BK179" s="894">
        <f t="shared" si="1356"/>
      </c>
      <c r="BL179" s="894">
        <f t="shared" si="1356"/>
      </c>
      <c r="BM179" s="895">
        <f t="shared" si="1356"/>
      </c>
      <c r="BN179" s="894">
        <f t="shared" si="1356"/>
      </c>
      <c r="BO179" s="894">
        <f t="shared" si="1356"/>
      </c>
      <c r="BP179" s="894">
        <f t="shared" si="1356"/>
      </c>
      <c r="BQ179" s="895">
        <f t="shared" si="1356"/>
      </c>
      <c r="BR179" s="894">
        <f t="shared" si="1356"/>
      </c>
      <c r="BS179" s="894">
        <f t="shared" si="1356"/>
      </c>
      <c r="BT179" s="894">
        <f t="shared" si="1356"/>
      </c>
      <c r="BU179" s="895">
        <f t="shared" si="1356"/>
      </c>
      <c r="BV179" s="894">
        <f t="shared" si="1356"/>
      </c>
      <c r="BW179" s="894">
        <f t="shared" si="1356"/>
      </c>
      <c r="BX179" s="894">
        <f t="shared" si="1356"/>
      </c>
      <c r="BY179" s="895">
        <f t="shared" si="1356"/>
      </c>
      <c r="BZ179" s="894">
        <f t="shared" si="1356"/>
      </c>
      <c r="CA179" s="894">
        <f t="shared" si="1356"/>
      </c>
      <c r="CB179" s="894">
        <f t="shared" si="1356"/>
      </c>
      <c r="CC179" s="895">
        <f t="shared" si="1356"/>
      </c>
      <c r="CD179" s="894">
        <f t="shared" si="1356"/>
      </c>
      <c r="CE179" s="894">
        <f t="shared" si="1356"/>
      </c>
      <c r="CF179" s="894">
        <f t="shared" si="1356"/>
      </c>
      <c r="CG179" s="895">
        <f t="shared" si="1356"/>
      </c>
      <c r="CH179" s="894">
        <f t="shared" si="1356"/>
      </c>
      <c r="CI179" s="894">
        <f t="shared" si="1356"/>
      </c>
      <c r="CJ179" s="894">
        <f t="shared" si="1356"/>
      </c>
      <c r="CK179" s="895">
        <f t="shared" si="1356"/>
      </c>
      <c r="CL179" s="894"/>
      <c r="CM179" s="894">
        <f t="shared" ref="CM179:DU179" si="1357">CM158-CL158</f>
      </c>
      <c r="CN179" s="894">
        <f t="shared" si="1357"/>
      </c>
      <c r="CO179" s="895">
        <f t="shared" si="1357"/>
      </c>
      <c r="CP179" s="894">
        <f t="shared" si="1357"/>
      </c>
      <c r="CQ179" s="894">
        <f t="shared" si="1357"/>
      </c>
      <c r="CR179" s="894">
        <f t="shared" si="1357"/>
      </c>
      <c r="CS179" s="895">
        <f t="shared" si="1357"/>
      </c>
      <c r="CT179" s="894">
        <f t="shared" si="1357"/>
      </c>
      <c r="CU179" s="894">
        <f t="shared" si="1357"/>
      </c>
      <c r="CV179" s="894">
        <f t="shared" si="1357"/>
      </c>
      <c r="CW179" s="895">
        <f t="shared" si="1357"/>
      </c>
      <c r="CX179" s="894">
        <f t="shared" si="1357"/>
      </c>
      <c r="CY179" s="894">
        <f t="shared" si="1357"/>
      </c>
      <c r="CZ179" s="894">
        <f t="shared" si="1357"/>
      </c>
      <c r="DA179" s="895">
        <f t="shared" si="1357"/>
      </c>
      <c r="DB179" s="894">
        <f t="shared" si="1357"/>
      </c>
      <c r="DC179" s="894">
        <f t="shared" si="1357"/>
      </c>
      <c r="DD179" s="894">
        <f t="shared" si="1357"/>
      </c>
      <c r="DE179" s="895">
        <f t="shared" si="1357"/>
      </c>
      <c r="DF179" s="894">
        <f t="shared" si="1357"/>
      </c>
      <c r="DG179" s="894">
        <f t="shared" si="1357"/>
      </c>
      <c r="DH179" s="894">
        <f t="shared" si="1357"/>
      </c>
      <c r="DI179" s="895">
        <f t="shared" si="1357"/>
      </c>
      <c r="DJ179" s="894">
        <f t="shared" si="1357"/>
      </c>
      <c r="DK179" s="894">
        <f>DK158-DJ158</f>
      </c>
      <c r="DL179" s="894">
        <f t="shared" si="1357"/>
      </c>
      <c r="DM179" s="895">
        <f t="shared" ref="DM179:DO181" si="1358">DM158-DL158</f>
      </c>
      <c r="DN179" s="894">
        <f t="shared" si="1358"/>
      </c>
      <c r="DO179" s="894">
        <f t="shared" si="1358"/>
      </c>
      <c r="DP179" s="894">
        <f t="shared" si="1357"/>
      </c>
      <c r="DQ179" s="895">
        <f t="shared" ref="DQ179:DS181" si="1359">DQ158-DP158</f>
      </c>
      <c r="DR179" s="894">
        <f t="shared" si="1359"/>
      </c>
      <c r="DS179" s="894">
        <f t="shared" si="1359"/>
      </c>
      <c r="DT179" s="894">
        <f t="shared" si="1357"/>
      </c>
      <c r="DU179" s="895">
        <f t="shared" si="1357"/>
      </c>
      <c r="DV179" s="894">
        <f t="shared" ref="DV179:DV181" si="1360">DV158-DU158</f>
      </c>
      <c r="DW179" s="894">
        <f t="shared" ref="DW179:DW181" si="1361">DW158-DV158</f>
      </c>
      <c r="DX179" s="894">
        <f t="shared" ref="DX179:DX181" si="1362">DX158-DW158</f>
      </c>
      <c r="DY179" s="895">
        <f t="shared" ref="DY179:DY181" si="1363">DY158-DX158</f>
      </c>
      <c r="DZ179" s="894">
        <f t="shared" ref="DZ179:DZ181" si="1364">DZ158-DY158</f>
      </c>
      <c r="EA179" s="894">
        <f t="shared" ref="EA179:EA181" si="1365">EA158-DZ158</f>
      </c>
      <c r="EB179" s="894">
        <f t="shared" ref="EB179:EB181" si="1366">EB158-EA158</f>
      </c>
      <c r="EC179" s="895">
        <f t="shared" ref="EC179:EC181" si="1367">EC158-EB158</f>
      </c>
      <c r="ED179" s="894">
        <f t="shared" ref="ED179:ED181" si="1368">ED158-EC158</f>
      </c>
      <c r="EE179" s="894">
        <f t="shared" ref="EE179:EE181" si="1369">EE158-ED158</f>
      </c>
      <c r="EF179" s="894">
        <f t="shared" ref="EF179:EF181" si="1370">EF158-EE158</f>
      </c>
      <c r="EG179" s="895">
        <f t="shared" ref="EG179:EG181" si="1371">EG158-EF158</f>
      </c>
      <c r="EH179" s="894">
        <f t="shared" ref="EH179:EH181" si="1372">EH158-EG158</f>
      </c>
      <c r="EI179" s="894">
        <f t="shared" ref="EI179:EI181" si="1373">EI158-EH158</f>
      </c>
      <c r="EJ179" s="894">
        <f t="shared" ref="EJ179:EJ181" si="1374">EJ158-EI158</f>
      </c>
      <c r="EK179" s="895">
        <f t="shared" ref="EK179:EK181" si="1375">EK158-EJ158</f>
      </c>
      <c r="EM179" s="75"/>
      <c r="EN179" s="75"/>
      <c r="EO179" s="75"/>
      <c r="EP179" s="75"/>
      <c r="EQ179" s="75"/>
      <c r="ER179" s="75"/>
      <c r="ES179" s="75"/>
      <c r="ET179" s="75"/>
      <c r="EU179" s="75"/>
      <c r="EV179" s="75"/>
      <c r="EW179" s="75"/>
      <c r="EX179" s="75"/>
      <c r="EY179" s="75"/>
      <c r="EZ179" s="75"/>
      <c r="FA179" s="75"/>
      <c r="FB179" s="75"/>
      <c r="FC179" s="75"/>
      <c r="FD179" s="75"/>
      <c r="FE179" s="75"/>
      <c r="FF179" s="75"/>
      <c r="FG179" s="318"/>
      <c r="FH179" s="318"/>
      <c r="FI179" s="318"/>
      <c r="FJ179" s="318"/>
      <c r="FK179" s="318"/>
      <c r="FL179" s="318"/>
      <c r="FM179" s="318"/>
      <c r="FN179" s="318"/>
      <c r="FO179" s="318"/>
      <c r="FP179" s="318"/>
      <c r="FQ179" s="318"/>
      <c r="FR179" s="318"/>
      <c r="FS179" s="318"/>
      <c r="FT179" s="318"/>
      <c r="FU179" s="318"/>
      <c r="FW179" s="318"/>
      <c r="FY179" s="75"/>
      <c r="FZ179" s="75"/>
      <c r="GA179" s="75"/>
      <c r="GB179" s="75"/>
      <c r="GC179" s="75"/>
      <c r="GD179" s="75"/>
      <c r="GE179" s="75"/>
      <c r="GF179" s="75"/>
      <c r="GG179" s="75"/>
      <c r="GH179" s="75"/>
      <c r="GI179" s="75"/>
      <c r="GJ179" s="75"/>
      <c r="GK179" s="75"/>
      <c r="GL179" s="75"/>
      <c r="GM179" s="75"/>
      <c r="GN179" s="75"/>
      <c r="GO179" s="75"/>
      <c r="GP179" s="75"/>
      <c r="GQ179" s="75"/>
      <c r="GR179" s="75"/>
      <c r="GS179" s="75"/>
      <c r="GT179" s="75"/>
      <c r="GU179" s="75"/>
      <c r="GV179" s="75"/>
      <c r="GW179" s="75"/>
      <c r="GX179" s="75"/>
      <c r="GY179" s="75"/>
      <c r="GZ179" s="75"/>
      <c r="HA179" s="75"/>
      <c r="HB179" s="75"/>
      <c r="HC179" s="75"/>
      <c r="HD179" s="75"/>
      <c r="HE179" s="75"/>
      <c r="HF179" s="75"/>
    </row>
    <row r="180" spans="1:214" s="82" customFormat="1" ht="11.25" customHeight="1">
      <c r="A180" s="880" t="s">
        <v>1184</v>
      </c>
      <c r="B180" s="882"/>
      <c r="C180" s="882"/>
      <c r="D180" s="882"/>
      <c r="E180" s="883"/>
      <c r="F180" s="882"/>
      <c r="G180" s="882"/>
      <c r="H180" s="882"/>
      <c r="I180" s="883"/>
      <c r="J180" s="882"/>
      <c r="K180" s="882"/>
      <c r="L180" s="882"/>
      <c r="M180" s="883"/>
      <c r="N180" s="882"/>
      <c r="O180" s="882"/>
      <c r="P180" s="882"/>
      <c r="Q180" s="883"/>
      <c r="R180" s="882"/>
      <c r="S180" s="882"/>
      <c r="T180" s="882"/>
      <c r="U180" s="883"/>
      <c r="V180" s="882"/>
      <c r="W180" s="882"/>
      <c r="X180" s="882"/>
      <c r="Y180" s="883"/>
      <c r="Z180" s="884"/>
      <c r="AA180" s="884"/>
      <c r="AB180" s="884"/>
      <c r="AC180" s="772"/>
      <c r="AD180" s="884"/>
      <c r="AE180" s="884"/>
      <c r="AF180" s="884"/>
      <c r="AG180" s="772"/>
      <c r="AH180" s="884"/>
      <c r="AI180" s="884"/>
      <c r="AJ180" s="884"/>
      <c r="AK180" s="772"/>
      <c r="AL180" s="884"/>
      <c r="AM180" s="884"/>
      <c r="AN180" s="884"/>
      <c r="AO180" s="772"/>
      <c r="AP180" s="884"/>
      <c r="AQ180" s="884"/>
      <c r="AR180" s="884"/>
      <c r="AS180" s="772"/>
      <c r="AT180" s="884"/>
      <c r="AU180" s="884"/>
      <c r="AV180" s="890"/>
      <c r="AW180" s="891"/>
      <c r="AX180" s="894">
        <f t="shared" ref="AX180:CK180" si="1376">AX159-AW159</f>
      </c>
      <c r="AY180" s="894">
        <f t="shared" si="1376"/>
      </c>
      <c r="AZ180" s="894">
        <f t="shared" si="1376"/>
      </c>
      <c r="BA180" s="895">
        <f t="shared" si="1376"/>
      </c>
      <c r="BB180" s="894">
        <f t="shared" si="1376"/>
      </c>
      <c r="BC180" s="894">
        <f t="shared" si="1376"/>
      </c>
      <c r="BD180" s="894">
        <f t="shared" si="1376"/>
      </c>
      <c r="BE180" s="895">
        <f t="shared" si="1376"/>
      </c>
      <c r="BF180" s="894">
        <f t="shared" si="1376"/>
      </c>
      <c r="BG180" s="894">
        <f t="shared" si="1376"/>
      </c>
      <c r="BH180" s="894">
        <f t="shared" si="1376"/>
      </c>
      <c r="BI180" s="895">
        <f t="shared" si="1376"/>
      </c>
      <c r="BJ180" s="894">
        <f t="shared" si="1376"/>
      </c>
      <c r="BK180" s="894">
        <f t="shared" si="1376"/>
      </c>
      <c r="BL180" s="894">
        <f t="shared" si="1376"/>
      </c>
      <c r="BM180" s="895">
        <f t="shared" si="1376"/>
      </c>
      <c r="BN180" s="894">
        <f t="shared" si="1376"/>
      </c>
      <c r="BO180" s="894">
        <f t="shared" si="1376"/>
      </c>
      <c r="BP180" s="894">
        <f t="shared" si="1376"/>
      </c>
      <c r="BQ180" s="895">
        <f t="shared" si="1376"/>
      </c>
      <c r="BR180" s="894">
        <f t="shared" si="1376"/>
      </c>
      <c r="BS180" s="894">
        <f t="shared" si="1376"/>
      </c>
      <c r="BT180" s="894">
        <f t="shared" si="1376"/>
      </c>
      <c r="BU180" s="895">
        <f t="shared" si="1376"/>
      </c>
      <c r="BV180" s="894">
        <f t="shared" si="1376"/>
      </c>
      <c r="BW180" s="894">
        <f t="shared" si="1376"/>
      </c>
      <c r="BX180" s="894">
        <f t="shared" si="1376"/>
      </c>
      <c r="BY180" s="895">
        <f t="shared" si="1376"/>
      </c>
      <c r="BZ180" s="894">
        <f t="shared" si="1376"/>
      </c>
      <c r="CA180" s="894">
        <f t="shared" si="1376"/>
      </c>
      <c r="CB180" s="894">
        <f t="shared" si="1376"/>
      </c>
      <c r="CC180" s="895">
        <f t="shared" si="1376"/>
      </c>
      <c r="CD180" s="894">
        <f t="shared" si="1376"/>
      </c>
      <c r="CE180" s="894">
        <f t="shared" si="1376"/>
      </c>
      <c r="CF180" s="894">
        <f t="shared" si="1376"/>
      </c>
      <c r="CG180" s="895">
        <f t="shared" si="1376"/>
      </c>
      <c r="CH180" s="894">
        <f t="shared" si="1376"/>
      </c>
      <c r="CI180" s="894">
        <f t="shared" si="1376"/>
      </c>
      <c r="CJ180" s="894">
        <f t="shared" si="1376"/>
      </c>
      <c r="CK180" s="895">
        <f t="shared" si="1376"/>
      </c>
      <c r="CL180" s="894"/>
      <c r="CM180" s="894">
        <f t="shared" ref="CM180:DU180" si="1377">CM159-CL159</f>
      </c>
      <c r="CN180" s="894">
        <f t="shared" si="1377"/>
      </c>
      <c r="CO180" s="895">
        <f t="shared" si="1377"/>
      </c>
      <c r="CP180" s="894">
        <f t="shared" si="1377"/>
      </c>
      <c r="CQ180" s="894">
        <f t="shared" si="1377"/>
      </c>
      <c r="CR180" s="894">
        <f t="shared" si="1377"/>
      </c>
      <c r="CS180" s="895">
        <f t="shared" si="1377"/>
      </c>
      <c r="CT180" s="894">
        <f t="shared" si="1377"/>
      </c>
      <c r="CU180" s="894">
        <f t="shared" si="1377"/>
      </c>
      <c r="CV180" s="894">
        <f t="shared" si="1377"/>
      </c>
      <c r="CW180" s="895">
        <f t="shared" si="1377"/>
      </c>
      <c r="CX180" s="894">
        <f t="shared" si="1377"/>
      </c>
      <c r="CY180" s="894">
        <f t="shared" si="1377"/>
      </c>
      <c r="CZ180" s="894">
        <f t="shared" si="1377"/>
      </c>
      <c r="DA180" s="895">
        <f t="shared" si="1377"/>
      </c>
      <c r="DB180" s="894">
        <f t="shared" si="1377"/>
      </c>
      <c r="DC180" s="894">
        <f t="shared" si="1377"/>
      </c>
      <c r="DD180" s="894">
        <f t="shared" si="1377"/>
      </c>
      <c r="DE180" s="895">
        <f t="shared" si="1377"/>
      </c>
      <c r="DF180" s="894">
        <f t="shared" si="1377"/>
      </c>
      <c r="DG180" s="894">
        <f t="shared" si="1377"/>
      </c>
      <c r="DH180" s="894">
        <f t="shared" si="1377"/>
      </c>
      <c r="DI180" s="895">
        <f t="shared" si="1377"/>
      </c>
      <c r="DJ180" s="894">
        <f t="shared" si="1377"/>
      </c>
      <c r="DK180" s="894">
        <f>DK159-DJ159</f>
      </c>
      <c r="DL180" s="894">
        <f t="shared" si="1377"/>
      </c>
      <c r="DM180" s="895">
        <f t="shared" si="1358"/>
      </c>
      <c r="DN180" s="894">
        <f t="shared" si="1358"/>
      </c>
      <c r="DO180" s="894">
        <f t="shared" si="1358"/>
      </c>
      <c r="DP180" s="894">
        <f t="shared" si="1377"/>
      </c>
      <c r="DQ180" s="895">
        <f t="shared" si="1359"/>
      </c>
      <c r="DR180" s="894">
        <f t="shared" si="1359"/>
      </c>
      <c r="DS180" s="894">
        <f t="shared" si="1359"/>
      </c>
      <c r="DT180" s="894">
        <f t="shared" si="1377"/>
      </c>
      <c r="DU180" s="895">
        <f t="shared" si="1377"/>
      </c>
      <c r="DV180" s="894">
        <f t="shared" si="1360"/>
      </c>
      <c r="DW180" s="894">
        <f t="shared" si="1361"/>
      </c>
      <c r="DX180" s="894">
        <f t="shared" si="1362"/>
      </c>
      <c r="DY180" s="895">
        <f t="shared" si="1363"/>
      </c>
      <c r="DZ180" s="894">
        <f t="shared" si="1364"/>
      </c>
      <c r="EA180" s="894">
        <f t="shared" si="1365"/>
      </c>
      <c r="EB180" s="894">
        <f t="shared" si="1366"/>
      </c>
      <c r="EC180" s="895">
        <f t="shared" si="1367"/>
      </c>
      <c r="ED180" s="894">
        <f t="shared" si="1368"/>
      </c>
      <c r="EE180" s="894">
        <f t="shared" si="1369"/>
      </c>
      <c r="EF180" s="894">
        <f t="shared" si="1370"/>
      </c>
      <c r="EG180" s="895">
        <f t="shared" si="1371"/>
      </c>
      <c r="EH180" s="894">
        <f t="shared" si="1372"/>
      </c>
      <c r="EI180" s="894">
        <f t="shared" si="1373"/>
      </c>
      <c r="EJ180" s="894">
        <f t="shared" si="1374"/>
      </c>
      <c r="EK180" s="895">
        <f t="shared" si="1375"/>
      </c>
      <c r="EM180" s="75"/>
      <c r="EN180" s="75"/>
      <c r="EO180" s="75"/>
      <c r="EP180" s="75"/>
      <c r="EQ180" s="75"/>
      <c r="ER180" s="75"/>
      <c r="ES180" s="75"/>
      <c r="ET180" s="75"/>
      <c r="EU180" s="75"/>
      <c r="EV180" s="75"/>
      <c r="EW180" s="75"/>
      <c r="EX180" s="75"/>
      <c r="EY180" s="75"/>
      <c r="EZ180" s="75"/>
      <c r="FA180" s="75"/>
      <c r="FB180" s="75"/>
      <c r="FC180" s="75"/>
      <c r="FD180" s="75"/>
      <c r="FE180" s="75"/>
      <c r="FF180" s="75"/>
      <c r="FG180" s="318"/>
      <c r="FH180" s="318"/>
      <c r="FI180" s="318"/>
      <c r="FJ180" s="318"/>
      <c r="FK180" s="318"/>
      <c r="FL180" s="318"/>
      <c r="FM180" s="318"/>
      <c r="FN180" s="318"/>
      <c r="FO180" s="318"/>
      <c r="FP180" s="318"/>
      <c r="FQ180" s="318"/>
      <c r="FR180" s="318"/>
      <c r="FS180" s="318"/>
      <c r="FT180" s="318"/>
      <c r="FU180" s="318"/>
      <c r="FW180" s="318"/>
      <c r="FY180" s="75"/>
      <c r="FZ180" s="75"/>
      <c r="GA180" s="75"/>
      <c r="GB180" s="75"/>
      <c r="GC180" s="75"/>
      <c r="GD180" s="75"/>
      <c r="GE180" s="75"/>
      <c r="GF180" s="75"/>
      <c r="GG180" s="75"/>
      <c r="GH180" s="75"/>
      <c r="GI180" s="75"/>
      <c r="GJ180" s="75"/>
      <c r="GK180" s="75"/>
      <c r="GL180" s="75"/>
      <c r="GM180" s="75"/>
      <c r="GN180" s="75"/>
      <c r="GO180" s="75"/>
      <c r="GP180" s="75"/>
      <c r="GQ180" s="75"/>
      <c r="GR180" s="75"/>
      <c r="GS180" s="75"/>
      <c r="GT180" s="75"/>
      <c r="GU180" s="75"/>
      <c r="GV180" s="75"/>
      <c r="GW180" s="75"/>
      <c r="GX180" s="75"/>
      <c r="GY180" s="75"/>
      <c r="GZ180" s="75"/>
      <c r="HA180" s="75"/>
      <c r="HB180" s="75"/>
      <c r="HC180" s="75"/>
      <c r="HD180" s="75"/>
      <c r="HE180" s="75"/>
      <c r="HF180" s="75"/>
    </row>
    <row r="181" spans="1:214" s="82" customFormat="1" ht="10.199999999999999">
      <c r="A181" s="881" t="s">
        <v>1183</v>
      </c>
      <c r="B181" s="882"/>
      <c r="C181" s="882"/>
      <c r="D181" s="882"/>
      <c r="E181" s="883"/>
      <c r="F181" s="882"/>
      <c r="G181" s="882"/>
      <c r="H181" s="882"/>
      <c r="I181" s="883"/>
      <c r="J181" s="882"/>
      <c r="K181" s="882"/>
      <c r="L181" s="882"/>
      <c r="M181" s="883"/>
      <c r="N181" s="882"/>
      <c r="O181" s="882"/>
      <c r="P181" s="882"/>
      <c r="Q181" s="883"/>
      <c r="R181" s="882"/>
      <c r="S181" s="882"/>
      <c r="T181" s="882"/>
      <c r="U181" s="883"/>
      <c r="V181" s="882"/>
      <c r="W181" s="882"/>
      <c r="X181" s="882"/>
      <c r="Y181" s="883"/>
      <c r="Z181" s="884"/>
      <c r="AA181" s="884"/>
      <c r="AB181" s="884"/>
      <c r="AC181" s="772"/>
      <c r="AD181" s="884"/>
      <c r="AE181" s="884"/>
      <c r="AF181" s="884"/>
      <c r="AG181" s="772"/>
      <c r="AH181" s="884"/>
      <c r="AI181" s="884"/>
      <c r="AJ181" s="884"/>
      <c r="AK181" s="772"/>
      <c r="AL181" s="884"/>
      <c r="AM181" s="884"/>
      <c r="AN181" s="884"/>
      <c r="AO181" s="772"/>
      <c r="AP181" s="884"/>
      <c r="AQ181" s="884"/>
      <c r="AR181" s="884"/>
      <c r="AS181" s="772"/>
      <c r="AT181" s="884"/>
      <c r="AU181" s="884"/>
      <c r="AV181" s="890"/>
      <c r="AW181" s="891"/>
      <c r="AX181" s="894">
        <f t="shared" ref="AX181:CK181" si="1378">AX160-AW160</f>
      </c>
      <c r="AY181" s="894">
        <f t="shared" si="1378"/>
      </c>
      <c r="AZ181" s="894">
        <f t="shared" si="1378"/>
      </c>
      <c r="BA181" s="895">
        <f t="shared" si="1378"/>
      </c>
      <c r="BB181" s="894">
        <f t="shared" si="1378"/>
      </c>
      <c r="BC181" s="894">
        <f t="shared" si="1378"/>
      </c>
      <c r="BD181" s="894">
        <f t="shared" si="1378"/>
      </c>
      <c r="BE181" s="895">
        <f t="shared" si="1378"/>
      </c>
      <c r="BF181" s="894">
        <f t="shared" si="1378"/>
      </c>
      <c r="BG181" s="894">
        <f t="shared" si="1378"/>
      </c>
      <c r="BH181" s="894">
        <f t="shared" si="1378"/>
      </c>
      <c r="BI181" s="895">
        <f t="shared" si="1378"/>
      </c>
      <c r="BJ181" s="894">
        <f t="shared" si="1378"/>
      </c>
      <c r="BK181" s="894">
        <f t="shared" si="1378"/>
      </c>
      <c r="BL181" s="894">
        <f t="shared" si="1378"/>
      </c>
      <c r="BM181" s="895">
        <f t="shared" si="1378"/>
      </c>
      <c r="BN181" s="894">
        <f t="shared" si="1378"/>
      </c>
      <c r="BO181" s="894">
        <f t="shared" si="1378"/>
      </c>
      <c r="BP181" s="894">
        <f t="shared" si="1378"/>
      </c>
      <c r="BQ181" s="895">
        <f t="shared" si="1378"/>
      </c>
      <c r="BR181" s="894">
        <f t="shared" si="1378"/>
      </c>
      <c r="BS181" s="894">
        <f t="shared" si="1378"/>
      </c>
      <c r="BT181" s="894">
        <f t="shared" si="1378"/>
      </c>
      <c r="BU181" s="895">
        <f t="shared" si="1378"/>
      </c>
      <c r="BV181" s="894">
        <f t="shared" si="1378"/>
      </c>
      <c r="BW181" s="894">
        <f t="shared" si="1378"/>
      </c>
      <c r="BX181" s="894">
        <f t="shared" si="1378"/>
      </c>
      <c r="BY181" s="895">
        <f t="shared" si="1378"/>
      </c>
      <c r="BZ181" s="894">
        <f t="shared" si="1378"/>
      </c>
      <c r="CA181" s="894">
        <f t="shared" si="1378"/>
      </c>
      <c r="CB181" s="894">
        <f t="shared" si="1378"/>
      </c>
      <c r="CC181" s="895">
        <f t="shared" si="1378"/>
      </c>
      <c r="CD181" s="894">
        <f t="shared" si="1378"/>
      </c>
      <c r="CE181" s="894">
        <f t="shared" si="1378"/>
      </c>
      <c r="CF181" s="894">
        <f t="shared" si="1378"/>
      </c>
      <c r="CG181" s="895">
        <f t="shared" si="1378"/>
      </c>
      <c r="CH181" s="894">
        <f t="shared" si="1378"/>
      </c>
      <c r="CI181" s="894">
        <f t="shared" si="1378"/>
      </c>
      <c r="CJ181" s="894">
        <f t="shared" si="1378"/>
      </c>
      <c r="CK181" s="895">
        <f t="shared" si="1378"/>
      </c>
      <c r="CL181" s="894"/>
      <c r="CM181" s="894">
        <f t="shared" ref="CM181:DU181" si="1379">CM160-CL160</f>
      </c>
      <c r="CN181" s="894">
        <f t="shared" si="1379"/>
      </c>
      <c r="CO181" s="895">
        <f t="shared" si="1379"/>
      </c>
      <c r="CP181" s="894">
        <f t="shared" si="1379"/>
      </c>
      <c r="CQ181" s="894">
        <f t="shared" si="1379"/>
      </c>
      <c r="CR181" s="894">
        <f t="shared" si="1379"/>
      </c>
      <c r="CS181" s="895">
        <f t="shared" si="1379"/>
      </c>
      <c r="CT181" s="894">
        <f t="shared" si="1379"/>
      </c>
      <c r="CU181" s="894">
        <f t="shared" si="1379"/>
      </c>
      <c r="CV181" s="894">
        <f t="shared" si="1379"/>
      </c>
      <c r="CW181" s="895">
        <f t="shared" si="1379"/>
      </c>
      <c r="CX181" s="894">
        <f t="shared" si="1379"/>
      </c>
      <c r="CY181" s="894">
        <f t="shared" si="1379"/>
      </c>
      <c r="CZ181" s="894">
        <f t="shared" si="1379"/>
      </c>
      <c r="DA181" s="895">
        <f t="shared" si="1379"/>
      </c>
      <c r="DB181" s="894">
        <f t="shared" si="1379"/>
      </c>
      <c r="DC181" s="894">
        <f t="shared" si="1379"/>
      </c>
      <c r="DD181" s="894">
        <f t="shared" si="1379"/>
      </c>
      <c r="DE181" s="895">
        <f t="shared" si="1379"/>
      </c>
      <c r="DF181" s="894">
        <f t="shared" si="1379"/>
      </c>
      <c r="DG181" s="894">
        <f t="shared" si="1379"/>
      </c>
      <c r="DH181" s="894">
        <f t="shared" si="1379"/>
      </c>
      <c r="DI181" s="895">
        <f t="shared" si="1379"/>
      </c>
      <c r="DJ181" s="894">
        <f t="shared" si="1379"/>
      </c>
      <c r="DK181" s="894">
        <f>DK160-DJ160</f>
      </c>
      <c r="DL181" s="894">
        <f t="shared" si="1379"/>
      </c>
      <c r="DM181" s="895">
        <f t="shared" si="1358"/>
      </c>
      <c r="DN181" s="894">
        <f t="shared" si="1358"/>
      </c>
      <c r="DO181" s="894">
        <f t="shared" si="1358"/>
      </c>
      <c r="DP181" s="894">
        <f t="shared" si="1379"/>
      </c>
      <c r="DQ181" s="895">
        <f t="shared" si="1359"/>
      </c>
      <c r="DR181" s="894">
        <f t="shared" si="1359"/>
      </c>
      <c r="DS181" s="894">
        <f t="shared" si="1359"/>
      </c>
      <c r="DT181" s="894">
        <f t="shared" si="1379"/>
      </c>
      <c r="DU181" s="895">
        <f t="shared" si="1379"/>
      </c>
      <c r="DV181" s="894">
        <f t="shared" si="1360"/>
      </c>
      <c r="DW181" s="894">
        <f t="shared" si="1361"/>
      </c>
      <c r="DX181" s="894">
        <f t="shared" si="1362"/>
      </c>
      <c r="DY181" s="895">
        <f t="shared" si="1363"/>
      </c>
      <c r="DZ181" s="894">
        <f t="shared" si="1364"/>
      </c>
      <c r="EA181" s="894">
        <f t="shared" si="1365"/>
      </c>
      <c r="EB181" s="894">
        <f t="shared" si="1366"/>
      </c>
      <c r="EC181" s="895">
        <f t="shared" si="1367"/>
      </c>
      <c r="ED181" s="894">
        <f t="shared" si="1368"/>
      </c>
      <c r="EE181" s="894">
        <f t="shared" si="1369"/>
      </c>
      <c r="EF181" s="894">
        <f t="shared" si="1370"/>
      </c>
      <c r="EG181" s="895">
        <f t="shared" si="1371"/>
      </c>
      <c r="EH181" s="894">
        <f t="shared" si="1372"/>
      </c>
      <c r="EI181" s="894">
        <f t="shared" si="1373"/>
      </c>
      <c r="EJ181" s="894">
        <f t="shared" si="1374"/>
      </c>
      <c r="EK181" s="895">
        <f t="shared" si="1375"/>
      </c>
      <c r="EM181" s="75"/>
      <c r="EN181" s="75"/>
      <c r="EO181" s="75"/>
      <c r="EP181" s="75"/>
      <c r="EQ181" s="75"/>
      <c r="ER181" s="75"/>
      <c r="ES181" s="75"/>
      <c r="ET181" s="75"/>
      <c r="EU181" s="75"/>
      <c r="EV181" s="75"/>
      <c r="EW181" s="75"/>
      <c r="EX181" s="75"/>
      <c r="EY181" s="75"/>
      <c r="EZ181" s="75"/>
      <c r="FA181" s="75"/>
      <c r="FB181" s="75"/>
      <c r="FC181" s="75"/>
      <c r="FD181" s="75"/>
      <c r="FE181" s="75"/>
      <c r="FF181" s="75"/>
      <c r="FG181" s="318"/>
      <c r="FH181" s="318"/>
      <c r="FI181" s="318"/>
      <c r="FJ181" s="318"/>
      <c r="FK181" s="318"/>
      <c r="FL181" s="318"/>
      <c r="FM181" s="318"/>
      <c r="FN181" s="318"/>
      <c r="FO181" s="318"/>
      <c r="FP181" s="318"/>
      <c r="FQ181" s="318"/>
      <c r="FR181" s="318"/>
      <c r="FS181" s="318"/>
      <c r="FT181" s="318"/>
      <c r="FU181" s="318"/>
      <c r="FW181" s="318"/>
      <c r="FY181" s="75"/>
      <c r="FZ181" s="75"/>
      <c r="GA181" s="75"/>
      <c r="GB181" s="75"/>
      <c r="GC181" s="75"/>
      <c r="GD181" s="75"/>
      <c r="GE181" s="75"/>
      <c r="GF181" s="75"/>
      <c r="GG181" s="75"/>
      <c r="GH181" s="75"/>
      <c r="GI181" s="75"/>
      <c r="GJ181" s="75"/>
      <c r="GK181" s="75"/>
      <c r="GL181" s="75"/>
      <c r="GM181" s="75"/>
      <c r="GN181" s="75"/>
      <c r="GO181" s="75"/>
      <c r="GP181" s="75"/>
      <c r="GQ181" s="75"/>
      <c r="GR181" s="75"/>
      <c r="GS181" s="75"/>
      <c r="GT181" s="75"/>
      <c r="GU181" s="75"/>
      <c r="GV181" s="75"/>
      <c r="GW181" s="75"/>
      <c r="GX181" s="75"/>
      <c r="GY181" s="75"/>
      <c r="GZ181" s="75"/>
      <c r="HA181" s="75"/>
      <c r="HB181" s="75"/>
      <c r="HC181" s="75"/>
      <c r="HD181" s="75"/>
      <c r="HE181" s="75"/>
      <c r="HF181" s="75"/>
    </row>
    <row r="182" spans="1:214" s="16" customFormat="1" ht="10.199999999999999">
      <c r="A182" s="135"/>
      <c r="B182" s="130"/>
      <c r="C182" s="130"/>
      <c r="D182" s="130"/>
      <c r="E182" s="235"/>
      <c r="F182" s="130"/>
      <c r="G182" s="130"/>
      <c r="H182" s="130"/>
      <c r="I182" s="235"/>
      <c r="J182" s="130"/>
      <c r="K182" s="130"/>
      <c r="L182" s="130"/>
      <c r="M182" s="235"/>
      <c r="N182" s="130"/>
      <c r="O182" s="130"/>
      <c r="P182" s="130"/>
      <c r="Q182" s="235"/>
      <c r="R182" s="130"/>
      <c r="S182" s="130"/>
      <c r="T182" s="130"/>
      <c r="U182" s="235"/>
      <c r="V182" s="130"/>
      <c r="W182" s="130"/>
      <c r="X182" s="130"/>
      <c r="Y182" s="235"/>
      <c r="Z182" s="98"/>
      <c r="AA182" s="98"/>
      <c r="AB182" s="98"/>
      <c r="AC182" s="180"/>
      <c r="AD182" s="98"/>
      <c r="AE182" s="98"/>
      <c r="AF182" s="98"/>
      <c r="AG182" s="180"/>
      <c r="AH182" s="98"/>
      <c r="AI182" s="98"/>
      <c r="AJ182" s="98"/>
      <c r="AK182" s="180"/>
      <c r="AL182" s="98"/>
      <c r="AM182" s="98"/>
      <c r="AN182" s="98"/>
      <c r="AO182" s="180"/>
      <c r="AP182" s="98"/>
      <c r="AQ182" s="98"/>
      <c r="AR182" s="98"/>
      <c r="AS182" s="180"/>
      <c r="AT182" s="98"/>
      <c r="AU182" s="98"/>
      <c r="AV182" s="98"/>
      <c r="AW182" s="180"/>
      <c r="AX182" s="98"/>
      <c r="AY182" s="98"/>
      <c r="AZ182" s="98"/>
      <c r="BA182" s="180"/>
      <c r="BB182" s="98"/>
      <c r="BC182" s="98"/>
      <c r="BD182" s="98"/>
      <c r="BE182" s="180"/>
      <c r="BF182" s="98"/>
      <c r="BG182" s="98"/>
      <c r="BH182" s="98"/>
      <c r="BI182" s="180"/>
      <c r="BJ182" s="98"/>
      <c r="BK182" s="98"/>
      <c r="BL182" s="98"/>
      <c r="BM182" s="180"/>
      <c r="BN182" s="98"/>
      <c r="BO182" s="98"/>
      <c r="BP182" s="98"/>
      <c r="BQ182" s="180"/>
      <c r="BR182" s="98"/>
      <c r="BS182" s="98"/>
      <c r="BT182" s="98"/>
      <c r="BU182" s="180"/>
      <c r="BV182" s="98"/>
      <c r="BW182" s="98"/>
      <c r="BX182" s="98"/>
      <c r="BY182" s="180"/>
      <c r="BZ182" s="98"/>
      <c r="CA182" s="98"/>
      <c r="CB182" s="98"/>
      <c r="CC182" s="180"/>
      <c r="CD182" s="523"/>
      <c r="CE182" s="523"/>
      <c r="CF182" s="524"/>
      <c r="CG182" s="525"/>
      <c r="CH182" s="523"/>
      <c r="CI182" s="523"/>
      <c r="CJ182" s="523"/>
      <c r="CK182" s="525"/>
      <c r="CL182" s="523"/>
      <c r="CM182" s="523"/>
      <c r="CN182" s="523"/>
      <c r="CO182" s="525"/>
      <c r="CP182" s="320"/>
      <c r="CQ182" s="320"/>
      <c r="CR182" s="320"/>
      <c r="CS182" s="321"/>
      <c r="CT182" s="320"/>
      <c r="CU182" s="320"/>
      <c r="CV182" s="320"/>
      <c r="CW182" s="321"/>
      <c r="CX182" s="320"/>
      <c r="CY182" s="320"/>
      <c r="CZ182" s="320"/>
      <c r="DA182" s="321"/>
      <c r="DB182" s="320"/>
      <c r="DC182" s="320"/>
      <c r="DD182" s="390"/>
      <c r="DE182" s="430"/>
      <c r="DF182" s="390"/>
      <c r="DG182" s="390"/>
      <c r="DH182" s="390"/>
      <c r="DI182" s="430"/>
      <c r="DJ182" s="390"/>
      <c r="DK182" s="390"/>
      <c r="DL182" s="390"/>
      <c r="DM182" s="430"/>
      <c r="DN182" s="390"/>
      <c r="DO182" s="390"/>
      <c r="DP182" s="390"/>
      <c r="DQ182" s="430"/>
      <c r="DR182" s="390"/>
      <c r="DS182" s="390"/>
      <c r="DT182" s="390"/>
      <c r="DU182" s="430"/>
      <c r="DV182" s="390"/>
      <c r="DW182" s="390"/>
      <c r="DX182" s="390"/>
      <c r="DY182" s="430"/>
      <c r="DZ182" s="390"/>
      <c r="EA182" s="390"/>
      <c r="EB182" s="390"/>
      <c r="EC182" s="430"/>
      <c r="ED182" s="390"/>
      <c r="EE182" s="390"/>
      <c r="EF182" s="390"/>
      <c r="EG182" s="430"/>
      <c r="EH182" s="390"/>
      <c r="EI182" s="390"/>
      <c r="EJ182" s="390"/>
      <c r="EK182" s="430"/>
      <c r="EL182" s="320"/>
      <c r="EM182" s="390"/>
      <c r="EN182" s="390"/>
      <c r="EO182" s="390"/>
      <c r="EP182" s="390"/>
      <c r="EQ182" s="390"/>
      <c r="ER182" s="390"/>
      <c r="ES182" s="390"/>
      <c r="ET182" s="390"/>
      <c r="EU182" s="390"/>
      <c r="EV182" s="390"/>
      <c r="EW182" s="390"/>
      <c r="EX182" s="390"/>
      <c r="EY182" s="390"/>
      <c r="EZ182" s="390"/>
      <c r="FA182" s="390"/>
      <c r="FB182" s="390"/>
      <c r="FC182" s="390"/>
      <c r="FD182" s="390"/>
      <c r="FE182" s="390"/>
      <c r="FF182" s="390"/>
      <c r="FG182" s="390"/>
      <c r="FH182" s="390"/>
      <c r="FI182" s="390"/>
      <c r="FJ182" s="390"/>
      <c r="FK182" s="390"/>
      <c r="FL182" s="390"/>
      <c r="FM182" s="390"/>
      <c r="FN182" s="390"/>
      <c r="FO182" s="390"/>
      <c r="FP182" s="390"/>
      <c r="FQ182" s="390"/>
      <c r="FR182" s="390"/>
      <c r="FS182" s="390"/>
      <c r="FT182" s="390"/>
      <c r="FU182" s="390"/>
      <c r="FW182" s="390"/>
      <c r="FX182" s="390"/>
      <c r="FY182" s="390"/>
      <c r="FZ182" s="390"/>
      <c r="GA182" s="390"/>
      <c r="GB182" s="390"/>
      <c r="GC182" s="390"/>
      <c r="GD182" s="390"/>
      <c r="GE182" s="390"/>
      <c r="GF182" s="390"/>
      <c r="GG182" s="390"/>
      <c r="GH182" s="390"/>
      <c r="GI182" s="390"/>
      <c r="GJ182" s="390"/>
      <c r="GK182" s="390"/>
      <c r="GL182" s="390"/>
      <c r="GM182" s="390"/>
      <c r="GN182" s="390"/>
      <c r="GO182" s="390"/>
      <c r="GP182" s="390"/>
      <c r="GQ182" s="390"/>
      <c r="GR182" s="390"/>
      <c r="GS182" s="390"/>
      <c r="GT182" s="390"/>
      <c r="GU182" s="390"/>
      <c r="GV182" s="390"/>
      <c r="GW182" s="390"/>
      <c r="GX182" s="390"/>
      <c r="GY182" s="390"/>
      <c r="GZ182" s="390"/>
      <c r="HA182" s="390"/>
      <c r="HB182" s="390"/>
      <c r="HC182" s="390"/>
      <c r="HD182" s="390"/>
      <c r="HE182" s="390"/>
      <c r="HF182" s="390"/>
    </row>
    <row r="183" spans="1:214" s="16" customFormat="1" ht="10.199999999999999">
      <c r="A183" s="708" t="s">
        <v>1449</v>
      </c>
      <c r="B183" s="706" t="str">
        <f>'Revenue summary'!B$8</f>
      </c>
      <c r="C183" s="706" t="str">
        <f>'Revenue summary'!C$8</f>
      </c>
      <c r="D183" s="706" t="str">
        <f>'Revenue summary'!D$8</f>
      </c>
      <c r="E183" s="707" t="str">
        <f>'Revenue summary'!E$8</f>
      </c>
      <c r="F183" s="706" t="str">
        <f>'Revenue summary'!F$8</f>
      </c>
      <c r="G183" s="706" t="str">
        <f>'Revenue summary'!G$8</f>
      </c>
      <c r="H183" s="706" t="str">
        <f>'Revenue summary'!H$8</f>
      </c>
      <c r="I183" s="707" t="str">
        <f>'Revenue summary'!I$8</f>
      </c>
      <c r="J183" s="706" t="str">
        <f>'Revenue summary'!J$8</f>
      </c>
      <c r="K183" s="706" t="str">
        <f>'Revenue summary'!K$8</f>
      </c>
      <c r="L183" s="706" t="str">
        <f>'Revenue summary'!L$8</f>
      </c>
      <c r="M183" s="707" t="str">
        <f>'Revenue summary'!M$8</f>
      </c>
      <c r="N183" s="706" t="str">
        <f>'Revenue summary'!N$8</f>
      </c>
      <c r="O183" s="706" t="str">
        <f>'Revenue summary'!O$8</f>
      </c>
      <c r="P183" s="706" t="str">
        <f>'Revenue summary'!P$8</f>
      </c>
      <c r="Q183" s="707" t="str">
        <f>'Revenue summary'!Q$8</f>
      </c>
      <c r="R183" s="706" t="str">
        <f>'Revenue summary'!R$8</f>
      </c>
      <c r="S183" s="706" t="str">
        <f>'Revenue summary'!S$8</f>
      </c>
      <c r="T183" s="706" t="str">
        <f>'Revenue summary'!T$8</f>
      </c>
      <c r="U183" s="707" t="str">
        <f>'Revenue summary'!U$8</f>
      </c>
      <c r="V183" s="706" t="str">
        <f>'Revenue summary'!V$8</f>
      </c>
      <c r="W183" s="706" t="str">
        <f>'Revenue summary'!W$8</f>
      </c>
      <c r="X183" s="706" t="str">
        <f>'Revenue summary'!X$8</f>
      </c>
      <c r="Y183" s="707" t="str">
        <f>'Revenue summary'!Y$8</f>
      </c>
      <c r="Z183" s="706" t="str">
        <f>'Revenue summary'!Z$8</f>
      </c>
      <c r="AA183" s="706" t="str">
        <f>'Revenue summary'!AA$8</f>
      </c>
      <c r="AB183" s="706" t="str">
        <f>'Revenue summary'!AB$8</f>
      </c>
      <c r="AC183" s="707" t="str">
        <f>'Revenue summary'!AC$8</f>
      </c>
      <c r="AD183" s="706" t="str">
        <f>'Revenue summary'!AD$8</f>
      </c>
      <c r="AE183" s="706" t="str">
        <f>'Revenue summary'!AE$8</f>
      </c>
      <c r="AF183" s="706" t="str">
        <f>'Revenue summary'!AF$8</f>
      </c>
      <c r="AG183" s="707" t="str">
        <f>'Revenue summary'!AG$8</f>
      </c>
      <c r="AH183" s="706" t="str">
        <f>'Revenue summary'!AH$8</f>
      </c>
      <c r="AI183" s="706" t="str">
        <f>'Revenue summary'!AI$8</f>
      </c>
      <c r="AJ183" s="706" t="str">
        <f>'Revenue summary'!AJ$8</f>
      </c>
      <c r="AK183" s="707" t="str">
        <f>'Revenue summary'!AK$8</f>
      </c>
      <c r="AL183" s="706" t="str">
        <f>'Revenue summary'!AL$8</f>
      </c>
      <c r="AM183" s="706" t="str">
        <f>'Revenue summary'!AM$8</f>
      </c>
      <c r="AN183" s="706" t="str">
        <f>'Revenue summary'!AN$8</f>
      </c>
      <c r="AO183" s="707" t="str">
        <f>'Revenue summary'!AO$8</f>
      </c>
      <c r="AP183" s="706" t="str">
        <f>'Revenue summary'!AP$8</f>
      </c>
      <c r="AQ183" s="706" t="str">
        <f>'Revenue summary'!AQ$8</f>
      </c>
      <c r="AR183" s="706" t="str">
        <f>'Revenue summary'!AR$8</f>
      </c>
      <c r="AS183" s="707" t="str">
        <f>'Revenue summary'!AS$8</f>
      </c>
      <c r="AT183" s="706" t="str">
        <f>'Revenue summary'!AT$8</f>
      </c>
      <c r="AU183" s="706" t="str">
        <f>'Revenue summary'!AU$8</f>
      </c>
      <c r="AV183" s="706" t="str">
        <f>'Revenue summary'!AV$8</f>
      </c>
      <c r="AW183" s="707" t="str">
        <f>'Revenue summary'!AW$8</f>
      </c>
      <c r="AX183" s="706" t="str">
        <f>'Revenue summary'!AX$8</f>
      </c>
      <c r="AY183" s="706" t="str">
        <f>'Revenue summary'!AY$8</f>
      </c>
      <c r="AZ183" s="706" t="str">
        <f>'Revenue summary'!AZ$8</f>
      </c>
      <c r="BA183" s="707" t="str">
        <f>'Revenue summary'!BA$8</f>
      </c>
      <c r="BB183" s="706" t="str">
        <f>'Revenue summary'!BB$8</f>
      </c>
      <c r="BC183" s="706" t="str">
        <f>'Revenue summary'!BC$8</f>
      </c>
      <c r="BD183" s="706" t="str">
        <f>'Revenue summary'!BD$8</f>
      </c>
      <c r="BE183" s="707" t="str">
        <f>'Revenue summary'!BE$8</f>
      </c>
      <c r="BF183" s="706" t="str">
        <f>'Revenue summary'!BF$8</f>
      </c>
      <c r="BG183" s="706" t="str">
        <f>'Revenue summary'!BG$8</f>
      </c>
      <c r="BH183" s="706" t="str">
        <f>'Revenue summary'!BH$8</f>
      </c>
      <c r="BI183" s="707" t="str">
        <f>'Revenue summary'!BI$8</f>
      </c>
      <c r="BJ183" s="706" t="str">
        <f>'Revenue summary'!BJ$8</f>
      </c>
      <c r="BK183" s="706" t="str">
        <f>'Revenue summary'!BK$8</f>
      </c>
      <c r="BL183" s="706" t="str">
        <f>'Revenue summary'!BL$8</f>
      </c>
      <c r="BM183" s="707" t="str">
        <f>'Revenue summary'!BM$8</f>
      </c>
      <c r="BN183" s="706" t="str">
        <f>'Revenue summary'!BN$8</f>
      </c>
      <c r="BO183" s="706" t="str">
        <f>'Revenue summary'!BO$8</f>
      </c>
      <c r="BP183" s="706" t="str">
        <f>'Revenue summary'!BP$8</f>
      </c>
      <c r="BQ183" s="707" t="str">
        <f>'Revenue summary'!BQ$8</f>
      </c>
      <c r="BR183" s="706" t="str">
        <f>'Revenue summary'!BR$8</f>
      </c>
      <c r="BS183" s="706" t="str">
        <f>'Revenue summary'!BS$8</f>
      </c>
      <c r="BT183" s="706" t="str">
        <f>'Revenue summary'!BT$8</f>
      </c>
      <c r="BU183" s="707" t="str">
        <f>'Revenue summary'!BU$8</f>
      </c>
      <c r="BV183" s="706" t="str">
        <f>'Revenue summary'!BV$8</f>
      </c>
      <c r="BW183" s="706" t="str">
        <f>'Revenue summary'!BW$8</f>
      </c>
      <c r="BX183" s="706" t="str">
        <f>'Revenue summary'!BX$8</f>
      </c>
      <c r="BY183" s="707" t="str">
        <f>'Revenue summary'!BY$8</f>
      </c>
      <c r="BZ183" s="706" t="str">
        <f>'Revenue summary'!BZ$8</f>
      </c>
      <c r="CA183" s="706" t="str">
        <f>'Revenue summary'!CA$8</f>
      </c>
      <c r="CB183" s="706" t="str">
        <f>'Revenue summary'!CB$8</f>
      </c>
      <c r="CC183" s="707" t="str">
        <f>'Revenue summary'!CC$8</f>
      </c>
      <c r="CD183" s="706" t="str">
        <f>'Revenue summary'!CD$8</f>
      </c>
      <c r="CE183" s="706" t="str">
        <f>'Revenue summary'!CE$8</f>
      </c>
      <c r="CF183" s="706" t="str">
        <f>'Revenue summary'!CF$8</f>
      </c>
      <c r="CG183" s="707" t="str">
        <f>'Revenue summary'!CG$8</f>
      </c>
      <c r="CH183" s="706" t="str">
        <f>'Revenue summary'!CH$8</f>
      </c>
      <c r="CI183" s="706" t="str">
        <f>'Revenue summary'!CI$8</f>
      </c>
      <c r="CJ183" s="706" t="str">
        <f>'Revenue summary'!CJ$8</f>
      </c>
      <c r="CK183" s="707" t="str">
        <f>'Revenue summary'!CK$8</f>
      </c>
      <c r="CL183" s="706" t="str">
        <f>'Revenue summary'!CL$8</f>
      </c>
      <c r="CM183" s="706" t="str">
        <f>'Revenue summary'!CM$8</f>
      </c>
      <c r="CN183" s="706" t="str">
        <f>'Revenue summary'!CN$8</f>
      </c>
      <c r="CO183" s="707" t="str">
        <f>'Revenue summary'!CO$8</f>
      </c>
      <c r="CP183" s="706" t="str">
        <f>'Revenue summary'!CP$8</f>
      </c>
      <c r="CQ183" s="706" t="str">
        <f>'Revenue summary'!CQ$8</f>
      </c>
      <c r="CR183" s="706" t="str">
        <f>'Revenue summary'!CR$8</f>
      </c>
      <c r="CS183" s="707" t="str">
        <f>'Revenue summary'!CS$8</f>
      </c>
      <c r="CT183" s="706" t="str">
        <f>'Revenue summary'!CT$8</f>
      </c>
      <c r="CU183" s="706" t="str">
        <f>'Revenue summary'!CU$8</f>
      </c>
      <c r="CV183" s="706" t="str">
        <f>'Revenue summary'!CV$8</f>
      </c>
      <c r="CW183" s="707" t="str">
        <f>'Revenue summary'!CW$8</f>
      </c>
      <c r="CX183" s="706" t="str">
        <f>'Revenue summary'!CX$8</f>
      </c>
      <c r="CY183" s="706" t="str">
        <f>'Revenue summary'!CY$8</f>
      </c>
      <c r="CZ183" s="706" t="str">
        <f>'Revenue summary'!CZ$8</f>
      </c>
      <c r="DA183" s="707" t="str">
        <f>'Revenue summary'!DA$8</f>
      </c>
      <c r="DB183" s="706" t="str">
        <f>'Revenue summary'!DB$8</f>
      </c>
      <c r="DC183" s="706" t="str">
        <f>'Revenue summary'!DC$8</f>
      </c>
      <c r="DD183" s="706" t="str">
        <f>'Revenue summary'!DD$8</f>
      </c>
      <c r="DE183" s="707" t="str">
        <f>'Revenue summary'!DE$8</f>
      </c>
      <c r="DF183" s="706" t="str">
        <f>'Revenue summary'!DF$8</f>
      </c>
      <c r="DG183" s="706" t="str">
        <f>'Revenue summary'!DG$8</f>
      </c>
      <c r="DH183" s="706" t="str">
        <f>'Revenue summary'!DH$8</f>
      </c>
      <c r="DI183" s="707" t="str">
        <f>'Revenue summary'!DI$8</f>
      </c>
      <c r="DJ183" s="706" t="str">
        <f>'Revenue summary'!DJ$8</f>
      </c>
      <c r="DK183" s="706" t="str">
        <f>'Revenue summary'!DK$8</f>
      </c>
      <c r="DL183" s="706" t="str">
        <f>'Revenue summary'!DL$8</f>
      </c>
      <c r="DM183" s="707" t="str">
        <f>'Revenue summary'!DM$8</f>
      </c>
      <c r="DN183" s="706" t="str">
        <f>'Revenue summary'!DN$8</f>
      </c>
      <c r="DO183" s="706" t="str">
        <f>'Revenue summary'!DO$8</f>
      </c>
      <c r="DP183" s="706" t="str">
        <f>'Revenue summary'!DP$8</f>
      </c>
      <c r="DQ183" s="707" t="str">
        <f>'Revenue summary'!DQ$8</f>
      </c>
      <c r="DR183" s="706" t="str">
        <f>'Revenue summary'!DR$8</f>
      </c>
      <c r="DS183" s="706" t="str">
        <f>'Revenue summary'!DS$8</f>
      </c>
      <c r="DT183" s="706" t="str">
        <f>'Revenue summary'!DT$8</f>
      </c>
      <c r="DU183" s="707" t="str">
        <f>'Revenue summary'!DU$8</f>
      </c>
      <c r="DV183" s="706" t="str">
        <f>'Revenue summary'!DV$8</f>
      </c>
      <c r="DW183" s="706" t="str">
        <f>'Revenue summary'!DW$8</f>
      </c>
      <c r="DX183" s="706" t="str">
        <f>'Revenue summary'!DX$8</f>
      </c>
      <c r="DY183" s="707" t="str">
        <f>'Revenue summary'!DY$8</f>
      </c>
      <c r="DZ183" s="706" t="str">
        <f>'Revenue summary'!DZ$8</f>
      </c>
      <c r="EA183" s="706" t="str">
        <f>'Revenue summary'!EA$8</f>
      </c>
      <c r="EB183" s="706" t="str">
        <f>'Revenue summary'!EB$8</f>
      </c>
      <c r="EC183" s="707" t="str">
        <f>'Revenue summary'!EC$8</f>
      </c>
      <c r="ED183" s="706" t="str">
        <f>'Revenue summary'!ED$8</f>
      </c>
      <c r="EE183" s="706" t="str">
        <f>'Revenue summary'!EE$8</f>
      </c>
      <c r="EF183" s="706" t="str">
        <f>'Revenue summary'!EF$8</f>
      </c>
      <c r="EG183" s="707" t="str">
        <f>'Revenue summary'!EG$8</f>
      </c>
      <c r="EH183" s="706" t="str">
        <f>'Revenue summary'!EH$8</f>
      </c>
      <c r="EI183" s="706" t="str">
        <f>'Revenue summary'!EI$8</f>
      </c>
      <c r="EJ183" s="706" t="str">
        <f>'Revenue summary'!EJ$8</f>
      </c>
      <c r="EK183" s="707" t="str">
        <f>'Revenue summary'!EK$8</f>
      </c>
      <c r="EL183" s="320"/>
      <c r="EM183" s="706">
        <f>EM$9</f>
      </c>
      <c r="EN183" s="706">
        <f t="shared" ref="EN183:HC183" si="1380">EN$9</f>
      </c>
      <c r="EO183" s="706">
        <f t="shared" si="1380"/>
      </c>
      <c r="EP183" s="706">
        <f t="shared" si="1380"/>
      </c>
      <c r="EQ183" s="706">
        <f t="shared" si="1380"/>
      </c>
      <c r="ER183" s="706">
        <f t="shared" si="1380"/>
      </c>
      <c r="ES183" s="706">
        <f t="shared" si="1380"/>
      </c>
      <c r="ET183" s="706">
        <f t="shared" si="1380"/>
      </c>
      <c r="EU183" s="706">
        <f t="shared" si="1380"/>
      </c>
      <c r="EV183" s="706">
        <f t="shared" si="1380"/>
      </c>
      <c r="EW183" s="706">
        <f t="shared" si="1380"/>
      </c>
      <c r="EX183" s="706">
        <f t="shared" si="1380"/>
      </c>
      <c r="EY183" s="706">
        <f t="shared" si="1380"/>
      </c>
      <c r="EZ183" s="706">
        <f t="shared" si="1380"/>
      </c>
      <c r="FA183" s="706">
        <f t="shared" si="1380"/>
      </c>
      <c r="FB183" s="706">
        <f t="shared" si="1380"/>
      </c>
      <c r="FC183" s="706">
        <f t="shared" si="1380"/>
      </c>
      <c r="FD183" s="706">
        <f t="shared" si="1380"/>
      </c>
      <c r="FE183" s="706" t="str">
        <f t="shared" si="1380"/>
      </c>
      <c r="FF183" s="706" t="str">
        <f t="shared" si="1380"/>
      </c>
      <c r="FG183" s="706" t="str">
        <f t="shared" si="1380"/>
      </c>
      <c r="FH183" s="706" t="str">
        <f t="shared" si="1380"/>
      </c>
      <c r="FI183" s="706" t="str">
        <f t="shared" si="1380"/>
      </c>
      <c r="FJ183" s="706" t="str">
        <f t="shared" si="1380"/>
      </c>
      <c r="FK183" s="706" t="str">
        <f t="shared" si="1380"/>
      </c>
      <c r="FL183" s="706" t="str">
        <f t="shared" si="1380"/>
      </c>
      <c r="FM183" s="706" t="str">
        <f t="shared" si="1380"/>
      </c>
      <c r="FN183" s="706" t="str">
        <f t="shared" si="1380"/>
      </c>
      <c r="FO183" s="706" t="str">
        <f t="shared" si="1380"/>
      </c>
      <c r="FP183" s="706" t="str">
        <f>FP$9</f>
      </c>
      <c r="FQ183" s="706" t="str">
        <f>FQ$9</f>
      </c>
      <c r="FR183" s="706" t="str">
        <f t="shared" ref="FR183:FU183" si="1381">FR$9</f>
      </c>
      <c r="FS183" s="706" t="str">
        <f t="shared" si="1381"/>
      </c>
      <c r="FT183" s="706" t="str">
        <f t="shared" si="1381"/>
      </c>
      <c r="FU183" s="706" t="str">
        <f t="shared" si="1381"/>
      </c>
      <c r="FW183" s="706"/>
      <c r="FX183" s="706"/>
      <c r="FY183" s="706">
        <f t="shared" si="1380"/>
      </c>
      <c r="FZ183" s="706">
        <f t="shared" si="1380"/>
      </c>
      <c r="GA183" s="706">
        <f t="shared" si="1380"/>
      </c>
      <c r="GB183" s="706">
        <f t="shared" si="1380"/>
      </c>
      <c r="GC183" s="706">
        <f t="shared" si="1380"/>
      </c>
      <c r="GD183" s="706">
        <f t="shared" si="1380"/>
      </c>
      <c r="GE183" s="706">
        <f t="shared" si="1380"/>
      </c>
      <c r="GF183" s="706">
        <f t="shared" si="1380"/>
      </c>
      <c r="GG183" s="706">
        <f t="shared" si="1380"/>
      </c>
      <c r="GH183" s="706">
        <f t="shared" si="1380"/>
      </c>
      <c r="GI183" s="706">
        <f t="shared" si="1380"/>
      </c>
      <c r="GJ183" s="706">
        <f t="shared" si="1380"/>
      </c>
      <c r="GK183" s="706">
        <f t="shared" si="1380"/>
      </c>
      <c r="GL183" s="706">
        <f t="shared" si="1380"/>
      </c>
      <c r="GM183" s="706">
        <f t="shared" si="1380"/>
      </c>
      <c r="GN183" s="706">
        <f t="shared" si="1380"/>
      </c>
      <c r="GO183" s="706">
        <f t="shared" si="1380"/>
      </c>
      <c r="GP183" s="706">
        <f t="shared" si="1380"/>
      </c>
      <c r="GQ183" s="706" t="str">
        <f t="shared" si="1380"/>
      </c>
      <c r="GR183" s="706" t="str">
        <f t="shared" si="1380"/>
      </c>
      <c r="GS183" s="706" t="str">
        <f t="shared" si="1380"/>
      </c>
      <c r="GT183" s="706" t="str">
        <f t="shared" si="1380"/>
      </c>
      <c r="GU183" s="706" t="str">
        <f t="shared" si="1380"/>
      </c>
      <c r="GV183" s="706" t="str">
        <f t="shared" si="1380"/>
      </c>
      <c r="GW183" s="706" t="str">
        <f t="shared" si="1380"/>
      </c>
      <c r="GX183" s="706" t="str">
        <f t="shared" si="1380"/>
      </c>
      <c r="GY183" s="706" t="str">
        <f t="shared" si="1380"/>
      </c>
      <c r="GZ183" s="706" t="str">
        <f t="shared" si="1380"/>
      </c>
      <c r="HA183" s="706" t="str">
        <f t="shared" si="1380"/>
      </c>
      <c r="HB183" s="706" t="str">
        <f t="shared" si="1380"/>
      </c>
      <c r="HC183" s="706" t="str">
        <f t="shared" si="1380"/>
      </c>
      <c r="HD183" s="706" t="str">
        <f t="shared" ref="HD183:HF183" si="1382">HD$9</f>
      </c>
      <c r="HE183" s="706" t="str">
        <f t="shared" si="1382"/>
      </c>
      <c r="HF183" s="706" t="str">
        <f t="shared" si="1382"/>
      </c>
    </row>
    <row r="184" spans="1:214" s="1463" customFormat="1" ht="10.199999999999999">
      <c r="A184" s="1465" t="s">
        <v>1450</v>
      </c>
      <c r="B184" s="1461"/>
      <c r="C184" s="1461"/>
      <c r="D184" s="1461"/>
      <c r="E184" s="1462"/>
      <c r="F184" s="1461"/>
      <c r="G184" s="1461"/>
      <c r="H184" s="1461"/>
      <c r="I184" s="1462"/>
      <c r="J184" s="1461"/>
      <c r="K184" s="1461"/>
      <c r="L184" s="1461"/>
      <c r="M184" s="1462"/>
      <c r="N184" s="1461"/>
      <c r="O184" s="1461"/>
      <c r="P184" s="1461"/>
      <c r="Q184" s="1462"/>
      <c r="R184" s="1461"/>
      <c r="S184" s="1461"/>
      <c r="T184" s="1461"/>
      <c r="U184" s="1462"/>
      <c r="V184" s="1461"/>
      <c r="W184" s="1461"/>
      <c r="X184" s="1461"/>
      <c r="Y184" s="1462"/>
      <c r="Z184" s="1461"/>
      <c r="AA184" s="1461"/>
      <c r="AB184" s="1461"/>
      <c r="AC184" s="1462"/>
      <c r="AD184" s="1461"/>
      <c r="AE184" s="1461"/>
      <c r="AF184" s="1461"/>
      <c r="AG184" s="1462"/>
      <c r="AH184" s="1461"/>
      <c r="AI184" s="1461"/>
      <c r="AJ184" s="1461"/>
      <c r="AK184" s="1462"/>
      <c r="AL184" s="1461"/>
      <c r="AM184" s="1461"/>
      <c r="AN184" s="1461"/>
      <c r="AO184" s="1462"/>
      <c r="AP184" s="1461"/>
      <c r="AQ184" s="1461"/>
      <c r="AR184" s="1461"/>
      <c r="AS184" s="1462"/>
      <c r="AT184" s="1461"/>
      <c r="AU184" s="1461"/>
      <c r="AV184" s="1461"/>
      <c r="AW184" s="1462"/>
      <c r="AX184" s="1461"/>
      <c r="AY184" s="1461"/>
      <c r="AZ184" s="1461"/>
      <c r="BA184" s="1462"/>
      <c r="BB184" s="1461"/>
      <c r="BC184" s="1461"/>
      <c r="BD184" s="1461"/>
      <c r="BE184" s="1462"/>
      <c r="BF184" s="1461"/>
      <c r="BG184" s="1461"/>
      <c r="BH184" s="1461"/>
      <c r="BI184" s="1462"/>
      <c r="BJ184" s="1461"/>
      <c r="BK184" s="1461"/>
      <c r="BL184" s="1461"/>
      <c r="BM184" s="1462"/>
      <c r="BN184" s="1461"/>
      <c r="BO184" s="1461"/>
      <c r="BP184" s="1461"/>
      <c r="BQ184" s="1462"/>
      <c r="BR184" s="1461"/>
      <c r="BS184" s="1461"/>
      <c r="BT184" s="1461"/>
      <c r="BU184" s="1462"/>
      <c r="BV184" s="1461"/>
      <c r="BW184" s="1461"/>
      <c r="BX184" s="1461"/>
      <c r="BY184" s="1462"/>
      <c r="BZ184" s="1461"/>
      <c r="CA184" s="1461"/>
      <c r="CB184" s="1461"/>
      <c r="CC184" s="1462"/>
      <c r="CD184" s="1461"/>
      <c r="CE184" s="1461"/>
      <c r="CF184" s="1461"/>
      <c r="CG184" s="1462"/>
      <c r="CH184" s="1461">
        <f>'Revenue summary'!CH27</f>
      </c>
      <c r="CI184" s="1461">
        <f>'Revenue summary'!CI27</f>
      </c>
      <c r="CJ184" s="1461">
        <f>'Revenue summary'!CJ27</f>
      </c>
      <c r="CK184" s="1462">
        <f>'Revenue summary'!CK27</f>
      </c>
      <c r="CL184" s="1461">
        <f>'Revenue summary'!CL27</f>
      </c>
      <c r="CM184" s="1461">
        <f>'Revenue summary'!CM27</f>
      </c>
      <c r="CN184" s="1461">
        <f>'Revenue summary'!CN27</f>
      </c>
      <c r="CO184" s="1462">
        <f>'Revenue summary'!CO27</f>
      </c>
      <c r="CP184" s="1461">
        <f>'Revenue summary'!CP27</f>
      </c>
      <c r="CQ184" s="1461">
        <f>'Revenue summary'!CQ27</f>
      </c>
      <c r="CR184" s="1461">
        <f>'Revenue summary'!CR27</f>
      </c>
      <c r="CS184" s="1462">
        <f>'Revenue summary'!CS27</f>
      </c>
      <c r="CT184" s="1461">
        <f>'Revenue summary'!CT27</f>
      </c>
      <c r="CU184" s="1461">
        <f>'Revenue summary'!CU27</f>
      </c>
      <c r="CV184" s="1461">
        <f>'Revenue summary'!CV27</f>
      </c>
      <c r="CW184" s="1462">
        <f>'Revenue summary'!CW27</f>
      </c>
      <c r="CX184" s="1461">
        <f>'Revenue summary'!CX27</f>
      </c>
      <c r="CY184" s="1461">
        <f>'Revenue summary'!CY27</f>
      </c>
      <c r="CZ184" s="1461">
        <f>'Revenue summary'!CZ27</f>
      </c>
      <c r="DA184" s="1462">
        <f>'Revenue summary'!DA27</f>
      </c>
      <c r="DB184" s="1460">
        <f>('Revenue summary'!DB27*'Revenue summary'!CX17-('Segment - Services'!DB48*'Segment - Services'!CX21))/'Segment - Products'!CX19</f>
      </c>
      <c r="DC184" s="1460">
        <f>('Revenue summary'!DC27*'Revenue summary'!CY17-('Segment - Services'!DC48*'Segment - Services'!CY21))/'Segment - Products'!CY19</f>
      </c>
      <c r="DD184" s="1460">
        <f>('Revenue summary'!DD27*'Revenue summary'!CZ17-('Segment - Services'!DD48*'Segment - Services'!CZ21))/'Segment - Products'!CZ19</f>
      </c>
      <c r="DE184" s="3109">
        <f>('Revenue summary'!DE27*'Revenue summary'!DA17-('Segment - Services'!DE48*'Segment - Services'!DA21))/'Segment - Products'!DA19</f>
      </c>
      <c r="DF184" s="1460">
        <f>('Revenue summary'!DF27*'Revenue summary'!DB17-('Segment - Services'!DF48*'Segment - Services'!DB21))/'Segment - Products'!DB19</f>
      </c>
      <c r="DG184" s="1460">
        <f>('Revenue summary'!DG27*'Revenue summary'!DC17-('Segment - Services'!DG48*'Segment - Services'!DC21))/'Segment - Products'!DC19</f>
      </c>
      <c r="DH184" s="1460">
        <f>('Revenue summary'!DH27*'Revenue summary'!DD17-('Segment - Services'!DH48*'Segment - Services'!DD21))/'Segment - Products'!DD19</f>
      </c>
      <c r="DI184" s="3109">
        <f>('Revenue summary'!DI27*'Revenue summary'!DE17-('Segment - Services'!DI48*'Segment - Services'!DE21))/'Segment - Products'!DE19</f>
      </c>
      <c r="DJ184" s="1460">
        <f>('Revenue summary'!DJ27*'Revenue summary'!DF17-('Segment - Services'!DJ48*'Segment - Services'!DF21))/'Segment - Products'!DF19</f>
      </c>
      <c r="DK184" s="1460">
        <f>('Revenue summary'!DK27*'Revenue summary'!DG17-('Segment - Services'!DK48*'Segment - Services'!DG21))/'Segment - Products'!DG19</f>
      </c>
      <c r="DL184" s="1460">
        <f>('Revenue summary'!DL27*'Revenue summary'!DH17-('Segment - Services'!DL48*'Segment - Services'!DH21))/'Segment - Products'!DH19</f>
      </c>
      <c r="DM184" s="3109">
        <f>('Revenue summary'!DM27*'Revenue summary'!DI17-('Segment - Services'!DM48*'Segment - Services'!DI21))/'Segment - Products'!DI19</f>
      </c>
      <c r="DN184" s="1460">
        <f>('Revenue summary'!DN27*'Revenue summary'!DJ17-('Segment - Services'!DN48*'Segment - Services'!DJ21))/'Segment - Products'!DJ19</f>
      </c>
      <c r="DO184" s="1460">
        <f>('Revenue summary'!DO27*'Revenue summary'!DK17-('Segment - Services'!DO48*'Segment - Services'!DK21))/'Segment - Products'!DK19</f>
      </c>
      <c r="DP184" s="1460">
        <f>('Revenue summary'!DP27*'Revenue summary'!DL17-('Segment - Services'!DP48*'Segment - Services'!DL21))/'Segment - Products'!DL19</f>
      </c>
      <c r="DQ184" s="1719">
        <f>('Revenue summary'!DQ27*'Revenue summary'!DM17-('Segment - Services'!DQ48*'Segment - Services'!DM21))/'Segment - Products'!DM19</f>
      </c>
      <c r="DR184" s="1718">
        <f>'Revenue summary'!DR27</f>
      </c>
      <c r="DS184" s="1718">
        <f>'Revenue summary'!DS27</f>
      </c>
      <c r="DT184" s="1718">
        <f>'Revenue summary'!DT27</f>
      </c>
      <c r="DU184" s="1719">
        <f>'Revenue summary'!DU27</f>
      </c>
      <c r="DV184" s="1718">
        <f>'Revenue summary'!DV27</f>
      </c>
      <c r="DW184" s="1718">
        <f>'Revenue summary'!DW27</f>
      </c>
      <c r="DX184" s="1718">
        <f>'Revenue summary'!DX27</f>
      </c>
      <c r="DY184" s="1719">
        <f>'Revenue summary'!DY27</f>
      </c>
      <c r="DZ184" s="1718">
        <f>'Revenue summary'!DZ27</f>
      </c>
      <c r="EA184" s="1718">
        <f>'Revenue summary'!EA27</f>
      </c>
      <c r="EB184" s="1718">
        <f>'Revenue summary'!EB27</f>
      </c>
      <c r="EC184" s="1719">
        <f>'Revenue summary'!EC27</f>
      </c>
      <c r="ED184" s="1718">
        <f>'Revenue summary'!ED27</f>
      </c>
      <c r="EE184" s="1718">
        <f>'Revenue summary'!EE27</f>
      </c>
      <c r="EF184" s="1718">
        <f>'Revenue summary'!EF27</f>
      </c>
      <c r="EG184" s="1719">
        <f>'Revenue summary'!EG27</f>
      </c>
      <c r="EH184" s="1718">
        <f>'Revenue summary'!EH27</f>
      </c>
      <c r="EI184" s="1718">
        <f>'Revenue summary'!EI27</f>
      </c>
      <c r="EJ184" s="1718">
        <f>'Revenue summary'!EJ27</f>
      </c>
      <c r="EK184" s="1719">
        <f>'Revenue summary'!EK27</f>
      </c>
      <c r="FL184" s="1466"/>
      <c r="FM184" s="1466"/>
      <c r="FN184" s="1466"/>
      <c r="FO184" s="1466"/>
      <c r="FP184" s="1466"/>
      <c r="FQ184" s="1466"/>
      <c r="FR184" s="1466"/>
      <c r="FS184" s="1466"/>
      <c r="FT184" s="1466"/>
      <c r="FU184" s="1466"/>
      <c r="FW184" s="1466"/>
    </row>
    <row r="185" spans="1:214" s="16" customFormat="1" ht="10.199999999999999">
      <c r="A185" s="135"/>
      <c r="B185" s="130"/>
      <c r="C185" s="130"/>
      <c r="D185" s="130"/>
      <c r="E185" s="235"/>
      <c r="F185" s="130"/>
      <c r="G185" s="130"/>
      <c r="H185" s="130"/>
      <c r="I185" s="235"/>
      <c r="J185" s="130"/>
      <c r="K185" s="130"/>
      <c r="L185" s="130"/>
      <c r="M185" s="235"/>
      <c r="N185" s="130"/>
      <c r="O185" s="130"/>
      <c r="P185" s="130"/>
      <c r="Q185" s="235"/>
      <c r="R185" s="130"/>
      <c r="S185" s="130"/>
      <c r="T185" s="130"/>
      <c r="U185" s="235"/>
      <c r="V185" s="130"/>
      <c r="W185" s="130"/>
      <c r="X185" s="130"/>
      <c r="Y185" s="235"/>
      <c r="Z185" s="98"/>
      <c r="AA185" s="98"/>
      <c r="AB185" s="98"/>
      <c r="AC185" s="180"/>
      <c r="AD185" s="98"/>
      <c r="AE185" s="98"/>
      <c r="AF185" s="98"/>
      <c r="AG185" s="180"/>
      <c r="AH185" s="98"/>
      <c r="AI185" s="98"/>
      <c r="AJ185" s="98"/>
      <c r="AK185" s="180"/>
      <c r="AL185" s="98"/>
      <c r="AM185" s="98"/>
      <c r="AN185" s="98"/>
      <c r="AO185" s="180"/>
      <c r="AP185" s="98"/>
      <c r="AQ185" s="98"/>
      <c r="AR185" s="98"/>
      <c r="AS185" s="180"/>
      <c r="AT185" s="98"/>
      <c r="AU185" s="98"/>
      <c r="AV185" s="98"/>
      <c r="AW185" s="180"/>
      <c r="AX185" s="98"/>
      <c r="AY185" s="98"/>
      <c r="AZ185" s="98"/>
      <c r="BA185" s="180"/>
      <c r="BB185" s="98"/>
      <c r="BC185" s="98"/>
      <c r="BD185" s="98"/>
      <c r="BE185" s="180"/>
      <c r="BF185" s="98"/>
      <c r="BG185" s="98"/>
      <c r="BH185" s="98"/>
      <c r="BI185" s="180"/>
      <c r="BJ185" s="98"/>
      <c r="BK185" s="98"/>
      <c r="BL185" s="98"/>
      <c r="BM185" s="180"/>
      <c r="BN185" s="98"/>
      <c r="BO185" s="98"/>
      <c r="BP185" s="98"/>
      <c r="BQ185" s="180"/>
      <c r="BR185" s="98"/>
      <c r="BS185" s="98"/>
      <c r="BT185" s="98"/>
      <c r="BU185" s="180"/>
      <c r="BV185" s="98"/>
      <c r="BW185" s="98"/>
      <c r="BX185" s="98"/>
      <c r="BY185" s="180"/>
      <c r="BZ185" s="98"/>
      <c r="CA185" s="98"/>
      <c r="CB185" s="98"/>
      <c r="CC185" s="180"/>
      <c r="CD185" s="523"/>
      <c r="CE185" s="523"/>
      <c r="CF185" s="524"/>
      <c r="CG185" s="525"/>
      <c r="CH185" s="320"/>
      <c r="CI185" s="320"/>
      <c r="CJ185" s="320"/>
      <c r="CK185" s="321"/>
      <c r="CL185" s="320"/>
      <c r="CM185" s="320"/>
      <c r="CN185" s="320"/>
      <c r="CO185" s="321"/>
      <c r="CP185" s="320"/>
      <c r="CQ185" s="320"/>
      <c r="CR185" s="320"/>
      <c r="CS185" s="321"/>
      <c r="CT185" s="320"/>
      <c r="CU185" s="320"/>
      <c r="CV185" s="320"/>
      <c r="CW185" s="321"/>
      <c r="CX185" s="320"/>
      <c r="CY185" s="320"/>
      <c r="CZ185" s="320"/>
      <c r="DA185" s="321"/>
      <c r="DB185" s="320"/>
      <c r="DC185" s="320"/>
      <c r="DD185" s="390"/>
      <c r="DE185" s="430"/>
      <c r="DF185" s="390"/>
      <c r="DG185" s="390"/>
      <c r="DH185" s="390"/>
      <c r="DI185" s="430"/>
      <c r="DJ185" s="390"/>
      <c r="DK185" s="390"/>
      <c r="DL185" s="390"/>
      <c r="DM185" s="430"/>
      <c r="DN185" s="390"/>
      <c r="DO185" s="390"/>
      <c r="DP185" s="390"/>
      <c r="DQ185" s="430"/>
      <c r="DR185" s="390"/>
      <c r="DS185" s="390"/>
      <c r="DT185" s="390"/>
      <c r="DU185" s="430"/>
      <c r="DV185" s="390"/>
      <c r="DW185" s="390"/>
      <c r="DX185" s="390"/>
      <c r="DY185" s="430"/>
      <c r="DZ185" s="390"/>
      <c r="EA185" s="390"/>
      <c r="EB185" s="390"/>
      <c r="EC185" s="430"/>
      <c r="ED185" s="390"/>
      <c r="EE185" s="390"/>
      <c r="EF185" s="390"/>
      <c r="EG185" s="430"/>
      <c r="EH185" s="390"/>
      <c r="EI185" s="390"/>
      <c r="EJ185" s="390"/>
      <c r="EK185" s="430"/>
      <c r="EL185" s="320"/>
      <c r="EM185" s="390"/>
      <c r="EN185" s="390"/>
      <c r="EO185" s="390"/>
      <c r="EP185" s="390"/>
      <c r="EQ185" s="390"/>
      <c r="ER185" s="390"/>
      <c r="ES185" s="390"/>
      <c r="ET185" s="390"/>
      <c r="EU185" s="390"/>
      <c r="EV185" s="390"/>
      <c r="EW185" s="390"/>
      <c r="EX185" s="390"/>
      <c r="EY185" s="390"/>
      <c r="EZ185" s="390"/>
      <c r="FA185" s="390"/>
      <c r="FB185" s="390"/>
      <c r="FC185" s="390"/>
      <c r="FD185" s="390"/>
      <c r="FE185" s="390"/>
      <c r="FF185" s="390"/>
      <c r="FG185" s="390"/>
      <c r="FH185" s="390"/>
      <c r="FI185" s="390"/>
      <c r="FJ185" s="390"/>
      <c r="FK185" s="390"/>
      <c r="FL185" s="390"/>
      <c r="FM185" s="390"/>
      <c r="FN185" s="390"/>
      <c r="FO185" s="390"/>
      <c r="FP185" s="390"/>
      <c r="FQ185" s="390"/>
      <c r="FR185" s="390"/>
      <c r="FS185" s="390"/>
      <c r="FT185" s="390"/>
      <c r="FU185" s="390"/>
      <c r="FW185" s="390"/>
      <c r="FX185" s="390"/>
      <c r="FY185" s="390"/>
      <c r="FZ185" s="390"/>
      <c r="GA185" s="390"/>
      <c r="GB185" s="390"/>
      <c r="GC185" s="390"/>
      <c r="GD185" s="390"/>
      <c r="GE185" s="390"/>
      <c r="GF185" s="390"/>
      <c r="GG185" s="390"/>
      <c r="GH185" s="390"/>
      <c r="GI185" s="390"/>
      <c r="GJ185" s="390"/>
      <c r="GK185" s="390"/>
      <c r="GL185" s="390"/>
      <c r="GM185" s="390"/>
      <c r="GN185" s="390"/>
      <c r="GO185" s="390"/>
      <c r="GP185" s="390"/>
      <c r="GQ185" s="390"/>
      <c r="GR185" s="390"/>
      <c r="GS185" s="390"/>
      <c r="GT185" s="390"/>
      <c r="GU185" s="390"/>
      <c r="GV185" s="390"/>
      <c r="GW185" s="390"/>
      <c r="GX185" s="390"/>
      <c r="GY185" s="390"/>
      <c r="GZ185" s="390"/>
      <c r="HA185" s="390"/>
      <c r="HB185" s="390"/>
      <c r="HC185" s="390"/>
      <c r="HD185" s="390"/>
      <c r="HE185" s="390"/>
      <c r="HF185" s="390"/>
    </row>
    <row r="186" spans="1:214" s="342" customFormat="1" ht="11.25" customHeight="1">
      <c r="A186" s="708" t="s">
        <v>1452</v>
      </c>
      <c r="CH186" s="706" t="str">
        <f>'Revenue summary'!CH$8</f>
      </c>
      <c r="CI186" s="706" t="str">
        <f>'Revenue summary'!CI$8</f>
      </c>
      <c r="CJ186" s="706" t="str">
        <f>'Revenue summary'!CJ$8</f>
      </c>
      <c r="CK186" s="707" t="str">
        <f>'Revenue summary'!CK$8</f>
      </c>
      <c r="CL186" s="706" t="str">
        <f>'Revenue summary'!CL$8</f>
      </c>
      <c r="CM186" s="706" t="str">
        <f>'Revenue summary'!CM$8</f>
      </c>
      <c r="CN186" s="706" t="str">
        <f>'Revenue summary'!CN$8</f>
      </c>
      <c r="CO186" s="707" t="str">
        <f>'Revenue summary'!CO$8</f>
      </c>
      <c r="CP186" s="706" t="str">
        <f>'Revenue summary'!CP$8</f>
      </c>
      <c r="CQ186" s="706" t="str">
        <f>'Revenue summary'!CQ$8</f>
      </c>
      <c r="CR186" s="706" t="str">
        <f>'Revenue summary'!CR$8</f>
      </c>
      <c r="CS186" s="707" t="str">
        <f>'Revenue summary'!CS$8</f>
      </c>
      <c r="CT186" s="706" t="str">
        <f>'Revenue summary'!CT$8</f>
      </c>
      <c r="CU186" s="706" t="str">
        <f>'Revenue summary'!CU$8</f>
      </c>
      <c r="CV186" s="706" t="str">
        <f>'Revenue summary'!CV$8</f>
      </c>
      <c r="CW186" s="707" t="str">
        <f>'Revenue summary'!CW$8</f>
      </c>
      <c r="CX186" s="706" t="str">
        <f>'Revenue summary'!CX$8</f>
      </c>
      <c r="CY186" s="706" t="str">
        <f>'Revenue summary'!CY$8</f>
      </c>
      <c r="CZ186" s="706" t="str">
        <f>'Revenue summary'!CZ$8</f>
      </c>
      <c r="DA186" s="707" t="str">
        <f>'Revenue summary'!DA$8</f>
      </c>
      <c r="DB186" s="706" t="str">
        <f>'Revenue summary'!DB$8</f>
      </c>
      <c r="DC186" s="706" t="str">
        <f>'Revenue summary'!DC$8</f>
      </c>
      <c r="DD186" s="706" t="str">
        <f>'Revenue summary'!DD$8</f>
      </c>
      <c r="DE186" s="707" t="str">
        <f>'Revenue summary'!DE$8</f>
      </c>
      <c r="DF186" s="706" t="str">
        <f>'Revenue summary'!DF$8</f>
      </c>
      <c r="DG186" s="706" t="str">
        <f>'Revenue summary'!DG$8</f>
      </c>
      <c r="DH186" s="706" t="str">
        <f>'Revenue summary'!DH$8</f>
      </c>
      <c r="DI186" s="707" t="str">
        <f>'Revenue summary'!DI$8</f>
      </c>
      <c r="DJ186" s="706" t="str">
        <f>'Revenue summary'!DJ$8</f>
      </c>
      <c r="DK186" s="706" t="str">
        <f>'Revenue summary'!DK$8</f>
      </c>
      <c r="DL186" s="706" t="str">
        <f>'Revenue summary'!DL$8</f>
      </c>
      <c r="DM186" s="707" t="str">
        <f>'Revenue summary'!DM$8</f>
      </c>
      <c r="DN186" s="706" t="str">
        <f>'Revenue summary'!DN$8</f>
      </c>
      <c r="DO186" s="706" t="str">
        <f>'Revenue summary'!DO$8</f>
      </c>
      <c r="DP186" s="706" t="str">
        <f>'Revenue summary'!DP$8</f>
      </c>
      <c r="DQ186" s="707" t="str">
        <f>'Revenue summary'!DQ$8</f>
      </c>
      <c r="DR186" s="706" t="str">
        <f>'Revenue summary'!DR$8</f>
      </c>
      <c r="DS186" s="706" t="str">
        <f>'Revenue summary'!DS$8</f>
      </c>
      <c r="DT186" s="706" t="str">
        <f>'Revenue summary'!DT$8</f>
      </c>
      <c r="DU186" s="707" t="str">
        <f>'Revenue summary'!DU$8</f>
      </c>
      <c r="DV186" s="706" t="str">
        <f>'Revenue summary'!DV$8</f>
      </c>
      <c r="DW186" s="706" t="str">
        <f>'Revenue summary'!DW$8</f>
      </c>
      <c r="DX186" s="706" t="str">
        <f>'Revenue summary'!DX$8</f>
      </c>
      <c r="DY186" s="707" t="str">
        <f>'Revenue summary'!DY$8</f>
      </c>
      <c r="DZ186" s="706" t="str">
        <f>'Revenue summary'!DZ$8</f>
      </c>
      <c r="EA186" s="706" t="str">
        <f>'Revenue summary'!EA$8</f>
      </c>
      <c r="EB186" s="706" t="str">
        <f>'Revenue summary'!EB$8</f>
      </c>
      <c r="EC186" s="707" t="str">
        <f>'Revenue summary'!EC$8</f>
      </c>
      <c r="ED186" s="706" t="str">
        <f>'Revenue summary'!ED$8</f>
      </c>
      <c r="EE186" s="706" t="str">
        <f>'Revenue summary'!EE$8</f>
      </c>
      <c r="EF186" s="706" t="str">
        <f>'Revenue summary'!EF$8</f>
      </c>
      <c r="EG186" s="707" t="str">
        <f>'Revenue summary'!EG$8</f>
      </c>
      <c r="EH186" s="706" t="str">
        <f>'Revenue summary'!EH$8</f>
      </c>
      <c r="EI186" s="706" t="str">
        <f>'Revenue summary'!EI$8</f>
      </c>
      <c r="EJ186" s="706" t="str">
        <f>'Revenue summary'!EJ$8</f>
      </c>
      <c r="EK186" s="707" t="str">
        <f>'Revenue summary'!EK$8</f>
      </c>
    </row>
    <row r="187" spans="1:214" s="342" customFormat="1" ht="11.25" customHeight="1">
      <c r="A187" s="629" t="s">
        <v>84</v>
      </c>
      <c r="CH187" s="1112">
        <f>CH163-CH$184</f>
      </c>
      <c r="CI187" s="1112">
        <f t="shared" ref="CI187:CK187" si="1383">CI163-CI$184</f>
      </c>
      <c r="CJ187" s="1112">
        <f t="shared" si="1383"/>
      </c>
      <c r="CK187" s="1289">
        <f t="shared" si="1383"/>
      </c>
      <c r="CL187" s="1112">
        <f>CL163-CL$184</f>
      </c>
      <c r="CM187" s="1112">
        <f t="shared" ref="CM187:CO187" si="1384">CM163-CM$184</f>
      </c>
      <c r="CN187" s="1112">
        <f t="shared" si="1384"/>
      </c>
      <c r="CO187" s="1289">
        <f t="shared" si="1384"/>
      </c>
      <c r="CP187" s="1112">
        <f>CP163-CP$184</f>
      </c>
      <c r="CQ187" s="1112">
        <f t="shared" ref="CQ187:CS187" si="1385">CQ163-CQ$184</f>
      </c>
      <c r="CR187" s="1112">
        <f t="shared" si="1385"/>
      </c>
      <c r="CS187" s="1289">
        <f t="shared" si="1385"/>
      </c>
      <c r="CT187" s="1112">
        <f>CT163-CT$184</f>
      </c>
      <c r="CU187" s="1112">
        <f t="shared" ref="CU187:DU187" si="1386">CU163-CU$184</f>
      </c>
      <c r="CV187" s="1112">
        <f t="shared" si="1386"/>
      </c>
      <c r="CW187" s="1289">
        <f t="shared" si="1386"/>
      </c>
      <c r="CX187" s="1290">
        <f t="shared" si="1386"/>
      </c>
      <c r="CY187" s="1112">
        <f t="shared" si="1386"/>
      </c>
      <c r="CZ187" s="1112">
        <f t="shared" si="1386"/>
      </c>
      <c r="DA187" s="1289">
        <f t="shared" si="1386"/>
      </c>
      <c r="DB187" s="1290">
        <f t="shared" si="1386"/>
      </c>
      <c r="DC187" s="1112">
        <f t="shared" si="1386"/>
      </c>
      <c r="DD187" s="1112">
        <f t="shared" si="1386"/>
      </c>
      <c r="DE187" s="1289">
        <f t="shared" si="1386"/>
      </c>
      <c r="DF187" s="1112">
        <f t="shared" si="1386"/>
      </c>
      <c r="DG187" s="1112">
        <f t="shared" si="1386"/>
      </c>
      <c r="DH187" s="1112">
        <f t="shared" si="1386"/>
      </c>
      <c r="DI187" s="1289">
        <f t="shared" si="1386"/>
      </c>
      <c r="DJ187" s="1112">
        <f t="shared" si="1386"/>
      </c>
      <c r="DK187" s="1112">
        <f t="shared" ref="DK187:DL191" si="1387">DK163-DK$184</f>
      </c>
      <c r="DL187" s="1112">
        <f t="shared" si="1387"/>
      </c>
      <c r="DM187" s="1289">
        <f t="shared" si="1386"/>
      </c>
      <c r="DN187" s="1112">
        <f t="shared" ref="DN187:DR191" si="1388">DN163-DN$184</f>
      </c>
      <c r="DO187" s="1112">
        <f t="shared" si="1388"/>
      </c>
      <c r="DP187" s="1112">
        <f t="shared" si="1388"/>
      </c>
      <c r="DQ187" s="1289">
        <f t="shared" si="1388"/>
      </c>
      <c r="DR187" s="1112">
        <f t="shared" si="1388"/>
      </c>
      <c r="DS187" s="1112">
        <f t="shared" si="1386"/>
      </c>
      <c r="DT187" s="1112">
        <f t="shared" si="1386"/>
      </c>
      <c r="DU187" s="1289">
        <f t="shared" si="1386"/>
      </c>
      <c r="DV187" s="1112">
        <f t="shared" ref="DV187:EK187" si="1389">DV163-DV$184</f>
      </c>
      <c r="DW187" s="1112">
        <f t="shared" si="1389"/>
      </c>
      <c r="DX187" s="1112">
        <f t="shared" si="1389"/>
      </c>
      <c r="DY187" s="1289">
        <f t="shared" si="1389"/>
      </c>
      <c r="DZ187" s="1112">
        <f t="shared" si="1389"/>
      </c>
      <c r="EA187" s="1112">
        <f t="shared" si="1389"/>
      </c>
      <c r="EB187" s="1112">
        <f t="shared" si="1389"/>
      </c>
      <c r="EC187" s="1289">
        <f t="shared" si="1389"/>
      </c>
      <c r="ED187" s="1112">
        <f t="shared" si="1389"/>
      </c>
      <c r="EE187" s="1112">
        <f t="shared" si="1389"/>
      </c>
      <c r="EF187" s="1112">
        <f t="shared" si="1389"/>
      </c>
      <c r="EG187" s="1289">
        <f t="shared" si="1389"/>
      </c>
      <c r="EH187" s="1112">
        <f t="shared" si="1389"/>
      </c>
      <c r="EI187" s="1112">
        <f t="shared" si="1389"/>
      </c>
      <c r="EJ187" s="1112">
        <f t="shared" si="1389"/>
      </c>
      <c r="EK187" s="1289">
        <f t="shared" si="1389"/>
      </c>
    </row>
    <row r="188" spans="1:214" s="342" customFormat="1" ht="11.25" customHeight="1">
      <c r="A188" s="629" t="s">
        <v>86</v>
      </c>
      <c r="CH188" s="1112">
        <f t="shared" ref="CH188:CK188" si="1390">CH164-CH$184</f>
      </c>
      <c r="CI188" s="1112">
        <f t="shared" si="1390"/>
      </c>
      <c r="CJ188" s="1112">
        <f t="shared" si="1390"/>
      </c>
      <c r="CK188" s="1289">
        <f t="shared" si="1390"/>
      </c>
      <c r="CL188" s="1112">
        <f t="shared" ref="CL188:CO188" si="1391">CL164-CL$184</f>
      </c>
      <c r="CM188" s="1112">
        <f t="shared" si="1391"/>
      </c>
      <c r="CN188" s="1112">
        <f t="shared" si="1391"/>
      </c>
      <c r="CO188" s="1289">
        <f t="shared" si="1391"/>
      </c>
      <c r="CP188" s="1112">
        <f t="shared" ref="CP188:CS188" si="1392">CP164-CP$184</f>
      </c>
      <c r="CQ188" s="1112">
        <f t="shared" si="1392"/>
      </c>
      <c r="CR188" s="1112">
        <f t="shared" si="1392"/>
      </c>
      <c r="CS188" s="1289">
        <f t="shared" si="1392"/>
      </c>
      <c r="CT188" s="1112">
        <f t="shared" ref="CT188:DU188" si="1393">CT164-CT$184</f>
      </c>
      <c r="CU188" s="1112">
        <f t="shared" si="1393"/>
      </c>
      <c r="CV188" s="1112">
        <f t="shared" si="1393"/>
      </c>
      <c r="CW188" s="1289">
        <f t="shared" si="1393"/>
      </c>
      <c r="CX188" s="1290">
        <f t="shared" si="1393"/>
      </c>
      <c r="CY188" s="1112">
        <f t="shared" si="1393"/>
      </c>
      <c r="CZ188" s="1112">
        <f t="shared" si="1393"/>
      </c>
      <c r="DA188" s="1289">
        <f t="shared" si="1393"/>
      </c>
      <c r="DB188" s="1290">
        <f t="shared" si="1393"/>
      </c>
      <c r="DC188" s="1112">
        <f t="shared" si="1393"/>
      </c>
      <c r="DD188" s="1112">
        <f t="shared" si="1393"/>
      </c>
      <c r="DE188" s="1289">
        <f t="shared" si="1393"/>
      </c>
      <c r="DF188" s="1112">
        <f t="shared" si="1393"/>
      </c>
      <c r="DG188" s="1112">
        <f t="shared" si="1393"/>
      </c>
      <c r="DH188" s="1112">
        <f t="shared" si="1393"/>
      </c>
      <c r="DI188" s="1289">
        <f t="shared" si="1393"/>
      </c>
      <c r="DJ188" s="1112">
        <f t="shared" si="1393"/>
      </c>
      <c r="DK188" s="1112">
        <f t="shared" si="1387"/>
      </c>
      <c r="DL188" s="1112">
        <f t="shared" si="1387"/>
      </c>
      <c r="DM188" s="1289">
        <f t="shared" si="1393"/>
      </c>
      <c r="DN188" s="1112">
        <f t="shared" si="1388"/>
      </c>
      <c r="DO188" s="1112">
        <f t="shared" si="1388"/>
      </c>
      <c r="DP188" s="1112">
        <f t="shared" si="1388"/>
      </c>
      <c r="DQ188" s="1289">
        <f t="shared" si="1388"/>
      </c>
      <c r="DR188" s="1112">
        <f t="shared" si="1388"/>
      </c>
      <c r="DS188" s="1112">
        <f t="shared" si="1393"/>
      </c>
      <c r="DT188" s="1112">
        <f t="shared" si="1393"/>
      </c>
      <c r="DU188" s="1289">
        <f t="shared" si="1393"/>
      </c>
      <c r="DV188" s="1112">
        <f t="shared" ref="DV188:EK188" si="1394">DV164-DV$184</f>
      </c>
      <c r="DW188" s="1112">
        <f t="shared" si="1394"/>
      </c>
      <c r="DX188" s="1112">
        <f t="shared" si="1394"/>
      </c>
      <c r="DY188" s="1289">
        <f t="shared" si="1394"/>
      </c>
      <c r="DZ188" s="1112">
        <f t="shared" si="1394"/>
      </c>
      <c r="EA188" s="1112">
        <f t="shared" si="1394"/>
      </c>
      <c r="EB188" s="1112">
        <f t="shared" si="1394"/>
      </c>
      <c r="EC188" s="1289">
        <f t="shared" si="1394"/>
      </c>
      <c r="ED188" s="1112">
        <f t="shared" si="1394"/>
      </c>
      <c r="EE188" s="1112">
        <f t="shared" si="1394"/>
      </c>
      <c r="EF188" s="1112">
        <f t="shared" si="1394"/>
      </c>
      <c r="EG188" s="1289">
        <f t="shared" si="1394"/>
      </c>
      <c r="EH188" s="1112">
        <f t="shared" si="1394"/>
      </c>
      <c r="EI188" s="1112">
        <f t="shared" si="1394"/>
      </c>
      <c r="EJ188" s="1112">
        <f t="shared" si="1394"/>
      </c>
      <c r="EK188" s="1289">
        <f t="shared" si="1394"/>
      </c>
    </row>
    <row r="189" spans="1:214" s="342" customFormat="1" ht="11.25" customHeight="1">
      <c r="A189" s="629" t="s">
        <v>85</v>
      </c>
      <c r="CH189" s="1112">
        <f t="shared" ref="CH189:CK189" si="1395">CH165-CH$184</f>
      </c>
      <c r="CI189" s="1112">
        <f t="shared" si="1395"/>
      </c>
      <c r="CJ189" s="1112">
        <f t="shared" si="1395"/>
      </c>
      <c r="CK189" s="1289">
        <f t="shared" si="1395"/>
      </c>
      <c r="CL189" s="1112">
        <f t="shared" ref="CL189:CO189" si="1396">CL165-CL$184</f>
      </c>
      <c r="CM189" s="1112">
        <f t="shared" si="1396"/>
      </c>
      <c r="CN189" s="1112">
        <f t="shared" si="1396"/>
      </c>
      <c r="CO189" s="1289">
        <f t="shared" si="1396"/>
      </c>
      <c r="CP189" s="1112">
        <f t="shared" ref="CP189:CS189" si="1397">CP165-CP$184</f>
      </c>
      <c r="CQ189" s="1112">
        <f t="shared" si="1397"/>
      </c>
      <c r="CR189" s="1112">
        <f t="shared" si="1397"/>
      </c>
      <c r="CS189" s="1289">
        <f t="shared" si="1397"/>
      </c>
      <c r="CT189" s="1112">
        <f t="shared" ref="CT189:DU189" si="1398">CT165-CT$184</f>
      </c>
      <c r="CU189" s="1112">
        <f t="shared" si="1398"/>
      </c>
      <c r="CV189" s="1112">
        <f t="shared" si="1398"/>
      </c>
      <c r="CW189" s="1289">
        <f t="shared" si="1398"/>
      </c>
      <c r="CX189" s="1290">
        <f t="shared" si="1398"/>
      </c>
      <c r="CY189" s="1112">
        <f t="shared" si="1398"/>
      </c>
      <c r="CZ189" s="1112">
        <f t="shared" si="1398"/>
      </c>
      <c r="DA189" s="1289">
        <f t="shared" si="1398"/>
      </c>
      <c r="DB189" s="1290">
        <f t="shared" si="1398"/>
      </c>
      <c r="DC189" s="1112">
        <f t="shared" si="1398"/>
      </c>
      <c r="DD189" s="1112">
        <f t="shared" si="1398"/>
      </c>
      <c r="DE189" s="1289">
        <f t="shared" si="1398"/>
      </c>
      <c r="DF189" s="1112">
        <f t="shared" si="1398"/>
      </c>
      <c r="DG189" s="1112">
        <f t="shared" si="1398"/>
      </c>
      <c r="DH189" s="1112">
        <f t="shared" si="1398"/>
      </c>
      <c r="DI189" s="1289">
        <f t="shared" si="1398"/>
      </c>
      <c r="DJ189" s="1112">
        <f t="shared" si="1398"/>
      </c>
      <c r="DK189" s="1112">
        <f t="shared" si="1387"/>
      </c>
      <c r="DL189" s="1112">
        <f t="shared" si="1387"/>
      </c>
      <c r="DM189" s="1289">
        <f t="shared" si="1398"/>
      </c>
      <c r="DN189" s="1112">
        <f t="shared" si="1388"/>
      </c>
      <c r="DO189" s="1112">
        <f t="shared" si="1388"/>
      </c>
      <c r="DP189" s="1112">
        <f t="shared" si="1388"/>
      </c>
      <c r="DQ189" s="1289">
        <f t="shared" si="1388"/>
      </c>
      <c r="DR189" s="1112">
        <f t="shared" si="1388"/>
      </c>
      <c r="DS189" s="1112">
        <f t="shared" si="1398"/>
      </c>
      <c r="DT189" s="1112">
        <f t="shared" si="1398"/>
      </c>
      <c r="DU189" s="1289">
        <f t="shared" si="1398"/>
      </c>
      <c r="DV189" s="1112">
        <f t="shared" ref="DV189:EK189" si="1399">DV165-DV$184</f>
      </c>
      <c r="DW189" s="1112">
        <f t="shared" si="1399"/>
      </c>
      <c r="DX189" s="1112">
        <f t="shared" si="1399"/>
      </c>
      <c r="DY189" s="1289">
        <f t="shared" si="1399"/>
      </c>
      <c r="DZ189" s="1112">
        <f t="shared" si="1399"/>
      </c>
      <c r="EA189" s="1112">
        <f t="shared" si="1399"/>
      </c>
      <c r="EB189" s="1112">
        <f t="shared" si="1399"/>
      </c>
      <c r="EC189" s="1289">
        <f t="shared" si="1399"/>
      </c>
      <c r="ED189" s="1112">
        <f t="shared" si="1399"/>
      </c>
      <c r="EE189" s="1112">
        <f t="shared" si="1399"/>
      </c>
      <c r="EF189" s="1112">
        <f t="shared" si="1399"/>
      </c>
      <c r="EG189" s="1289">
        <f t="shared" si="1399"/>
      </c>
      <c r="EH189" s="1112">
        <f t="shared" si="1399"/>
      </c>
      <c r="EI189" s="1112">
        <f t="shared" si="1399"/>
      </c>
      <c r="EJ189" s="1112">
        <f t="shared" si="1399"/>
      </c>
      <c r="EK189" s="1289">
        <f t="shared" si="1399"/>
      </c>
    </row>
    <row r="190" spans="1:214" s="342" customFormat="1" ht="11.25" customHeight="1">
      <c r="A190" s="629" t="s">
        <v>1184</v>
      </c>
      <c r="CH190" s="1112">
        <f t="shared" ref="CH190:CK190" si="1400">CH166-CH$184</f>
      </c>
      <c r="CI190" s="1112">
        <f t="shared" si="1400"/>
      </c>
      <c r="CJ190" s="1112">
        <f t="shared" si="1400"/>
      </c>
      <c r="CK190" s="1289">
        <f t="shared" si="1400"/>
      </c>
      <c r="CL190" s="1112">
        <f t="shared" ref="CL190:CO190" si="1401">CL166-CL$184</f>
      </c>
      <c r="CM190" s="1112">
        <f t="shared" si="1401"/>
      </c>
      <c r="CN190" s="1112">
        <f t="shared" si="1401"/>
      </c>
      <c r="CO190" s="1289">
        <f t="shared" si="1401"/>
      </c>
      <c r="CP190" s="1112">
        <f t="shared" ref="CP190:CS190" si="1402">CP166-CP$184</f>
      </c>
      <c r="CQ190" s="1112">
        <f t="shared" si="1402"/>
      </c>
      <c r="CR190" s="1112">
        <f t="shared" si="1402"/>
      </c>
      <c r="CS190" s="1289">
        <f t="shared" si="1402"/>
      </c>
      <c r="CT190" s="1112">
        <f t="shared" ref="CT190:DU190" si="1403">CT166-CT$184</f>
      </c>
      <c r="CU190" s="1112">
        <f t="shared" si="1403"/>
      </c>
      <c r="CV190" s="1112">
        <f t="shared" si="1403"/>
      </c>
      <c r="CW190" s="1289">
        <f t="shared" si="1403"/>
      </c>
      <c r="CX190" s="1290">
        <f t="shared" si="1403"/>
      </c>
      <c r="CY190" s="1112">
        <f t="shared" si="1403"/>
      </c>
      <c r="CZ190" s="1112">
        <f t="shared" si="1403"/>
      </c>
      <c r="DA190" s="1289">
        <f t="shared" si="1403"/>
      </c>
      <c r="DB190" s="1290">
        <f t="shared" si="1403"/>
      </c>
      <c r="DC190" s="1112">
        <f t="shared" si="1403"/>
      </c>
      <c r="DD190" s="1112">
        <f t="shared" si="1403"/>
      </c>
      <c r="DE190" s="1289">
        <f t="shared" si="1403"/>
      </c>
      <c r="DF190" s="1112">
        <f t="shared" si="1403"/>
      </c>
      <c r="DG190" s="1112">
        <f t="shared" si="1403"/>
      </c>
      <c r="DH190" s="1112">
        <f t="shared" si="1403"/>
      </c>
      <c r="DI190" s="1289">
        <f t="shared" si="1403"/>
      </c>
      <c r="DJ190" s="1112">
        <f t="shared" si="1403"/>
      </c>
      <c r="DK190" s="1112">
        <f t="shared" si="1387"/>
      </c>
      <c r="DL190" s="1112">
        <f t="shared" si="1387"/>
      </c>
      <c r="DM190" s="1289">
        <f t="shared" si="1403"/>
      </c>
      <c r="DN190" s="1112">
        <f t="shared" si="1388"/>
      </c>
      <c r="DO190" s="1112">
        <f t="shared" si="1388"/>
      </c>
      <c r="DP190" s="1112">
        <f t="shared" si="1388"/>
      </c>
      <c r="DQ190" s="1289">
        <f t="shared" si="1388"/>
      </c>
      <c r="DR190" s="1112">
        <f t="shared" si="1388"/>
      </c>
      <c r="DS190" s="1112">
        <f t="shared" si="1403"/>
      </c>
      <c r="DT190" s="1112">
        <f t="shared" si="1403"/>
      </c>
      <c r="DU190" s="1289">
        <f t="shared" si="1403"/>
      </c>
      <c r="DV190" s="1112">
        <f t="shared" ref="DV190:EK190" si="1404">DV166-DV$184</f>
      </c>
      <c r="DW190" s="1112">
        <f t="shared" si="1404"/>
      </c>
      <c r="DX190" s="1112">
        <f t="shared" si="1404"/>
      </c>
      <c r="DY190" s="1289">
        <f t="shared" si="1404"/>
      </c>
      <c r="DZ190" s="1112">
        <f t="shared" si="1404"/>
      </c>
      <c r="EA190" s="1112">
        <f t="shared" si="1404"/>
      </c>
      <c r="EB190" s="1112">
        <f t="shared" si="1404"/>
      </c>
      <c r="EC190" s="1289">
        <f t="shared" si="1404"/>
      </c>
      <c r="ED190" s="1112">
        <f t="shared" si="1404"/>
      </c>
      <c r="EE190" s="1112">
        <f t="shared" si="1404"/>
      </c>
      <c r="EF190" s="1112">
        <f t="shared" si="1404"/>
      </c>
      <c r="EG190" s="1289">
        <f t="shared" si="1404"/>
      </c>
      <c r="EH190" s="1112">
        <f t="shared" si="1404"/>
      </c>
      <c r="EI190" s="1112">
        <f t="shared" si="1404"/>
      </c>
      <c r="EJ190" s="1112">
        <f t="shared" si="1404"/>
      </c>
      <c r="EK190" s="1289">
        <f t="shared" si="1404"/>
      </c>
    </row>
    <row r="191" spans="1:214" s="342" customFormat="1" ht="11.25" customHeight="1">
      <c r="A191" s="629" t="s">
        <v>1183</v>
      </c>
      <c r="CH191" s="1112">
        <f t="shared" ref="CH191:CK191" si="1405">CH167-CH$184</f>
      </c>
      <c r="CI191" s="1112">
        <f t="shared" si="1405"/>
      </c>
      <c r="CJ191" s="1112">
        <f t="shared" si="1405"/>
      </c>
      <c r="CK191" s="1289">
        <f t="shared" si="1405"/>
      </c>
      <c r="CL191" s="1112">
        <f t="shared" ref="CL191:CO191" si="1406">CL167-CL$184</f>
      </c>
      <c r="CM191" s="1112">
        <f t="shared" si="1406"/>
      </c>
      <c r="CN191" s="1112">
        <f t="shared" si="1406"/>
      </c>
      <c r="CO191" s="1289">
        <f t="shared" si="1406"/>
      </c>
      <c r="CP191" s="1112">
        <f t="shared" ref="CP191:CS191" si="1407">CP167-CP$184</f>
      </c>
      <c r="CQ191" s="1112">
        <f t="shared" si="1407"/>
      </c>
      <c r="CR191" s="1112">
        <f t="shared" si="1407"/>
      </c>
      <c r="CS191" s="1289">
        <f t="shared" si="1407"/>
      </c>
      <c r="CT191" s="1112">
        <f t="shared" ref="CT191:DU191" si="1408">CT167-CT$184</f>
      </c>
      <c r="CU191" s="1112">
        <f t="shared" si="1408"/>
      </c>
      <c r="CV191" s="1112">
        <f t="shared" si="1408"/>
      </c>
      <c r="CW191" s="1289">
        <f t="shared" si="1408"/>
      </c>
      <c r="CX191" s="1290">
        <f t="shared" si="1408"/>
      </c>
      <c r="CY191" s="1112">
        <f t="shared" si="1408"/>
      </c>
      <c r="CZ191" s="1112">
        <f t="shared" si="1408"/>
      </c>
      <c r="DA191" s="1289">
        <f t="shared" si="1408"/>
      </c>
      <c r="DB191" s="1290">
        <f t="shared" si="1408"/>
      </c>
      <c r="DC191" s="1112">
        <f t="shared" si="1408"/>
      </c>
      <c r="DD191" s="1112">
        <f t="shared" si="1408"/>
      </c>
      <c r="DE191" s="1289">
        <f t="shared" si="1408"/>
      </c>
      <c r="DF191" s="1112">
        <f t="shared" si="1408"/>
      </c>
      <c r="DG191" s="1112">
        <f t="shared" si="1408"/>
      </c>
      <c r="DH191" s="1112">
        <f t="shared" si="1408"/>
      </c>
      <c r="DI191" s="1289">
        <f t="shared" si="1408"/>
      </c>
      <c r="DJ191" s="1112">
        <f t="shared" si="1408"/>
      </c>
      <c r="DK191" s="1112">
        <f t="shared" si="1387"/>
      </c>
      <c r="DL191" s="1112">
        <f t="shared" si="1387"/>
      </c>
      <c r="DM191" s="1289">
        <f t="shared" si="1408"/>
      </c>
      <c r="DN191" s="1112">
        <f t="shared" si="1388"/>
      </c>
      <c r="DO191" s="1112">
        <f t="shared" si="1388"/>
      </c>
      <c r="DP191" s="1112">
        <f t="shared" si="1388"/>
      </c>
      <c r="DQ191" s="1289">
        <f t="shared" si="1388"/>
      </c>
      <c r="DR191" s="1112">
        <f t="shared" si="1388"/>
      </c>
      <c r="DS191" s="1112">
        <f t="shared" si="1408"/>
      </c>
      <c r="DT191" s="1112">
        <f t="shared" si="1408"/>
      </c>
      <c r="DU191" s="1289">
        <f t="shared" si="1408"/>
      </c>
      <c r="DV191" s="1112">
        <f t="shared" ref="DV191:EK191" si="1409">DV167-DV$184</f>
      </c>
      <c r="DW191" s="1112">
        <f t="shared" si="1409"/>
      </c>
      <c r="DX191" s="1112">
        <f t="shared" si="1409"/>
      </c>
      <c r="DY191" s="1289">
        <f t="shared" si="1409"/>
      </c>
      <c r="DZ191" s="1112">
        <f t="shared" si="1409"/>
      </c>
      <c r="EA191" s="1112">
        <f t="shared" si="1409"/>
      </c>
      <c r="EB191" s="1112">
        <f t="shared" si="1409"/>
      </c>
      <c r="EC191" s="1289">
        <f t="shared" si="1409"/>
      </c>
      <c r="ED191" s="1112">
        <f t="shared" si="1409"/>
      </c>
      <c r="EE191" s="1112">
        <f t="shared" si="1409"/>
      </c>
      <c r="EF191" s="1112">
        <f t="shared" si="1409"/>
      </c>
      <c r="EG191" s="1289">
        <f t="shared" si="1409"/>
      </c>
      <c r="EH191" s="1112">
        <f t="shared" si="1409"/>
      </c>
      <c r="EI191" s="1112">
        <f t="shared" si="1409"/>
      </c>
      <c r="EJ191" s="1112">
        <f t="shared" si="1409"/>
      </c>
      <c r="EK191" s="1289">
        <f t="shared" si="1409"/>
      </c>
    </row>
    <row r="192" spans="1:214" s="16" customFormat="1" ht="10.199999999999999">
      <c r="A192" s="135"/>
      <c r="B192" s="130"/>
      <c r="C192" s="130"/>
      <c r="D192" s="130"/>
      <c r="E192" s="235"/>
      <c r="F192" s="130"/>
      <c r="G192" s="130"/>
      <c r="H192" s="130"/>
      <c r="I192" s="235"/>
      <c r="J192" s="130"/>
      <c r="K192" s="130"/>
      <c r="L192" s="130"/>
      <c r="M192" s="235"/>
      <c r="N192" s="130"/>
      <c r="O192" s="130"/>
      <c r="P192" s="130"/>
      <c r="Q192" s="235"/>
      <c r="R192" s="130"/>
      <c r="S192" s="130"/>
      <c r="T192" s="130"/>
      <c r="U192" s="235"/>
      <c r="V192" s="130"/>
      <c r="W192" s="130"/>
      <c r="X192" s="130"/>
      <c r="Y192" s="235"/>
      <c r="Z192" s="98"/>
      <c r="AA192" s="98"/>
      <c r="AB192" s="98"/>
      <c r="AC192" s="180"/>
      <c r="AD192" s="98"/>
      <c r="AE192" s="98"/>
      <c r="AF192" s="98"/>
      <c r="AG192" s="180"/>
      <c r="AH192" s="98"/>
      <c r="AI192" s="98"/>
      <c r="AJ192" s="98"/>
      <c r="AK192" s="180"/>
      <c r="AL192" s="98"/>
      <c r="AM192" s="98"/>
      <c r="AN192" s="98"/>
      <c r="AO192" s="180"/>
      <c r="AP192" s="98"/>
      <c r="AQ192" s="98"/>
      <c r="AR192" s="98"/>
      <c r="AS192" s="180"/>
      <c r="AT192" s="98"/>
      <c r="AU192" s="98"/>
      <c r="AV192" s="98"/>
      <c r="AW192" s="180"/>
      <c r="AX192" s="98"/>
      <c r="AY192" s="98"/>
      <c r="AZ192" s="98"/>
      <c r="BA192" s="180"/>
      <c r="BB192" s="98"/>
      <c r="BC192" s="98"/>
      <c r="BD192" s="98"/>
      <c r="BE192" s="180"/>
      <c r="BF192" s="98"/>
      <c r="BG192" s="98"/>
      <c r="BH192" s="98"/>
      <c r="BI192" s="180"/>
      <c r="BJ192" s="98"/>
      <c r="BK192" s="98"/>
      <c r="BL192" s="98"/>
      <c r="BM192" s="180"/>
      <c r="BN192" s="98"/>
      <c r="BO192" s="98"/>
      <c r="BP192" s="98"/>
      <c r="BQ192" s="180"/>
      <c r="BR192" s="98"/>
      <c r="BS192" s="98"/>
      <c r="BT192" s="98"/>
      <c r="BU192" s="180"/>
      <c r="BV192" s="98"/>
      <c r="BW192" s="98"/>
      <c r="BX192" s="98"/>
      <c r="BY192" s="180"/>
      <c r="BZ192" s="98"/>
      <c r="CA192" s="98"/>
      <c r="CB192" s="98"/>
      <c r="CC192" s="180"/>
      <c r="CD192" s="523"/>
      <c r="CE192" s="523"/>
      <c r="CF192" s="524"/>
      <c r="CG192" s="525"/>
      <c r="CH192" s="523"/>
      <c r="CI192" s="523"/>
      <c r="CJ192" s="523"/>
      <c r="CK192" s="525"/>
      <c r="CL192" s="523"/>
      <c r="CM192" s="523"/>
      <c r="CN192" s="523"/>
      <c r="CO192" s="525"/>
      <c r="CP192" s="320"/>
      <c r="CQ192" s="320"/>
      <c r="CR192" s="320"/>
      <c r="CS192" s="321"/>
      <c r="CT192" s="320"/>
      <c r="CU192" s="320"/>
      <c r="CV192" s="320"/>
      <c r="CW192" s="321"/>
      <c r="CX192" s="320"/>
      <c r="CY192" s="320"/>
      <c r="CZ192" s="320"/>
      <c r="DA192" s="321"/>
      <c r="DB192" s="320"/>
      <c r="DC192" s="320"/>
      <c r="DD192" s="390"/>
      <c r="DE192" s="430"/>
      <c r="DF192" s="390"/>
      <c r="DG192" s="390"/>
      <c r="DH192" s="390"/>
      <c r="DI192" s="430"/>
      <c r="DJ192" s="390"/>
      <c r="DK192" s="390"/>
      <c r="DL192" s="390"/>
      <c r="DM192" s="430"/>
      <c r="DN192" s="390"/>
      <c r="DO192" s="390"/>
      <c r="DP192" s="390"/>
      <c r="DQ192" s="430"/>
      <c r="DR192" s="390"/>
      <c r="DS192" s="390"/>
      <c r="DT192" s="390"/>
      <c r="DU192" s="430"/>
      <c r="DV192" s="390"/>
      <c r="DW192" s="390"/>
      <c r="DX192" s="390"/>
      <c r="DY192" s="430"/>
      <c r="DZ192" s="390"/>
      <c r="EA192" s="390"/>
      <c r="EB192" s="390"/>
      <c r="EC192" s="430"/>
      <c r="ED192" s="390"/>
      <c r="EE192" s="390"/>
      <c r="EF192" s="390"/>
      <c r="EG192" s="430"/>
      <c r="EH192" s="390"/>
      <c r="EI192" s="390"/>
      <c r="EJ192" s="390"/>
      <c r="EK192" s="430"/>
      <c r="EL192" s="320"/>
      <c r="EM192" s="390"/>
      <c r="EN192" s="390"/>
      <c r="EO192" s="390"/>
      <c r="EP192" s="390"/>
      <c r="EQ192" s="390"/>
      <c r="ER192" s="390"/>
      <c r="ES192" s="390"/>
      <c r="ET192" s="390"/>
      <c r="EU192" s="390"/>
      <c r="EV192" s="390"/>
      <c r="EW192" s="390"/>
      <c r="EX192" s="390"/>
      <c r="EY192" s="390"/>
      <c r="EZ192" s="390"/>
      <c r="FA192" s="390"/>
      <c r="FB192" s="390"/>
      <c r="FC192" s="390"/>
      <c r="FD192" s="390"/>
      <c r="FE192" s="390"/>
      <c r="FF192" s="390"/>
      <c r="FG192" s="390"/>
      <c r="FH192" s="390"/>
      <c r="FI192" s="390"/>
      <c r="FJ192" s="390"/>
      <c r="FK192" s="390"/>
      <c r="FL192" s="390"/>
      <c r="FM192" s="390"/>
      <c r="FN192" s="390"/>
      <c r="FO192" s="390"/>
      <c r="FP192" s="390"/>
      <c r="FQ192" s="390"/>
      <c r="FR192" s="390"/>
      <c r="FS192" s="390"/>
      <c r="FT192" s="390"/>
      <c r="FU192" s="390"/>
      <c r="FW192" s="390"/>
      <c r="FX192" s="390"/>
      <c r="FY192" s="390"/>
      <c r="FZ192" s="390"/>
      <c r="GA192" s="390"/>
      <c r="GB192" s="390"/>
      <c r="GC192" s="390"/>
      <c r="GD192" s="390"/>
      <c r="GE192" s="390"/>
      <c r="GF192" s="390"/>
      <c r="GG192" s="390"/>
      <c r="GH192" s="390"/>
      <c r="GI192" s="390"/>
      <c r="GJ192" s="390"/>
      <c r="GK192" s="390"/>
      <c r="GL192" s="390"/>
      <c r="GM192" s="390"/>
      <c r="GN192" s="390"/>
      <c r="GO192" s="390"/>
      <c r="GP192" s="390"/>
      <c r="GQ192" s="390"/>
      <c r="GR192" s="390"/>
      <c r="GS192" s="390"/>
      <c r="GT192" s="390"/>
      <c r="GU192" s="390"/>
      <c r="GV192" s="390"/>
      <c r="GW192" s="390"/>
      <c r="GX192" s="390"/>
      <c r="GY192" s="390"/>
      <c r="GZ192" s="390"/>
      <c r="HA192" s="390"/>
      <c r="HB192" s="390"/>
      <c r="HC192" s="390"/>
      <c r="HD192" s="390"/>
      <c r="HE192" s="390"/>
      <c r="HF192" s="390"/>
    </row>
    <row r="193" spans="1:214" s="16" customFormat="1" ht="10.199999999999999" hidden="1" outlineLevel="1">
      <c r="A193" s="708" t="s">
        <v>1180</v>
      </c>
      <c r="B193" s="706" t="str">
        <f>'Revenue summary'!B$8</f>
      </c>
      <c r="C193" s="706" t="str">
        <f>'Revenue summary'!C$8</f>
      </c>
      <c r="D193" s="706" t="str">
        <f>'Revenue summary'!D$8</f>
      </c>
      <c r="E193" s="707" t="str">
        <f>'Revenue summary'!E$8</f>
      </c>
      <c r="F193" s="706" t="str">
        <f>'Revenue summary'!F$8</f>
      </c>
      <c r="G193" s="706" t="str">
        <f>'Revenue summary'!G$8</f>
      </c>
      <c r="H193" s="706" t="str">
        <f>'Revenue summary'!H$8</f>
      </c>
      <c r="I193" s="707" t="str">
        <f>'Revenue summary'!I$8</f>
      </c>
      <c r="J193" s="706" t="str">
        <f>'Revenue summary'!J$8</f>
      </c>
      <c r="K193" s="706" t="str">
        <f>'Revenue summary'!K$8</f>
      </c>
      <c r="L193" s="706" t="str">
        <f>'Revenue summary'!L$8</f>
      </c>
      <c r="M193" s="707" t="str">
        <f>'Revenue summary'!M$8</f>
      </c>
      <c r="N193" s="706" t="str">
        <f>'Revenue summary'!N$8</f>
      </c>
      <c r="O193" s="706" t="str">
        <f>'Revenue summary'!O$8</f>
      </c>
      <c r="P193" s="706" t="str">
        <f>'Revenue summary'!P$8</f>
      </c>
      <c r="Q193" s="707" t="str">
        <f>'Revenue summary'!Q$8</f>
      </c>
      <c r="R193" s="706" t="str">
        <f>'Revenue summary'!R$8</f>
      </c>
      <c r="S193" s="706" t="str">
        <f>'Revenue summary'!S$8</f>
      </c>
      <c r="T193" s="706" t="str">
        <f>'Revenue summary'!T$8</f>
      </c>
      <c r="U193" s="707" t="str">
        <f>'Revenue summary'!U$8</f>
      </c>
      <c r="V193" s="706" t="str">
        <f>'Revenue summary'!V$8</f>
      </c>
      <c r="W193" s="706" t="str">
        <f>'Revenue summary'!W$8</f>
      </c>
      <c r="X193" s="706" t="str">
        <f>'Revenue summary'!X$8</f>
      </c>
      <c r="Y193" s="707" t="str">
        <f>'Revenue summary'!Y$8</f>
      </c>
      <c r="Z193" s="706" t="str">
        <f>'Revenue summary'!Z$8</f>
      </c>
      <c r="AA193" s="706" t="str">
        <f>'Revenue summary'!AA$8</f>
      </c>
      <c r="AB193" s="706" t="str">
        <f>'Revenue summary'!AB$8</f>
      </c>
      <c r="AC193" s="707" t="str">
        <f>'Revenue summary'!AC$8</f>
      </c>
      <c r="AD193" s="706" t="str">
        <f>'Revenue summary'!AD$8</f>
      </c>
      <c r="AE193" s="706" t="str">
        <f>'Revenue summary'!AE$8</f>
      </c>
      <c r="AF193" s="706" t="str">
        <f>'Revenue summary'!AF$8</f>
      </c>
      <c r="AG193" s="707" t="str">
        <f>'Revenue summary'!AG$8</f>
      </c>
      <c r="AH193" s="706" t="str">
        <f>'Revenue summary'!AH$8</f>
      </c>
      <c r="AI193" s="706" t="str">
        <f>'Revenue summary'!AI$8</f>
      </c>
      <c r="AJ193" s="706" t="str">
        <f>'Revenue summary'!AJ$8</f>
      </c>
      <c r="AK193" s="707" t="str">
        <f>'Revenue summary'!AK$8</f>
      </c>
      <c r="AL193" s="706" t="str">
        <f>'Revenue summary'!AL$8</f>
      </c>
      <c r="AM193" s="706" t="str">
        <f>'Revenue summary'!AM$8</f>
      </c>
      <c r="AN193" s="706" t="str">
        <f>'Revenue summary'!AN$8</f>
      </c>
      <c r="AO193" s="707" t="str">
        <f>'Revenue summary'!AO$8</f>
      </c>
      <c r="AP193" s="706" t="str">
        <f>'Revenue summary'!AP$8</f>
      </c>
      <c r="AQ193" s="706" t="str">
        <f>'Revenue summary'!AQ$8</f>
      </c>
      <c r="AR193" s="706" t="str">
        <f>'Revenue summary'!AR$8</f>
      </c>
      <c r="AS193" s="707" t="str">
        <f>'Revenue summary'!AS$8</f>
      </c>
      <c r="AT193" s="706" t="str">
        <f>'Revenue summary'!AT$8</f>
      </c>
      <c r="AU193" s="706" t="str">
        <f>'Revenue summary'!AU$8</f>
      </c>
      <c r="AV193" s="706" t="str">
        <f>'Revenue summary'!AV$8</f>
      </c>
      <c r="AW193" s="707" t="str">
        <f>'Revenue summary'!AW$8</f>
      </c>
      <c r="AX193" s="706" t="str">
        <f>'Revenue summary'!AX$8</f>
      </c>
      <c r="AY193" s="706" t="str">
        <f>'Revenue summary'!AY$8</f>
      </c>
      <c r="AZ193" s="706" t="str">
        <f>'Revenue summary'!AZ$8</f>
      </c>
      <c r="BA193" s="707" t="str">
        <f>'Revenue summary'!BA$8</f>
      </c>
      <c r="BB193" s="706" t="str">
        <f>'Revenue summary'!BB$8</f>
      </c>
      <c r="BC193" s="706" t="str">
        <f>'Revenue summary'!BC$8</f>
      </c>
      <c r="BD193" s="706" t="str">
        <f>'Revenue summary'!BD$8</f>
      </c>
      <c r="BE193" s="707" t="str">
        <f>'Revenue summary'!BE$8</f>
      </c>
      <c r="BF193" s="706" t="str">
        <f>'Revenue summary'!BF$8</f>
      </c>
      <c r="BG193" s="706" t="str">
        <f>'Revenue summary'!BG$8</f>
      </c>
      <c r="BH193" s="706" t="str">
        <f>'Revenue summary'!BH$8</f>
      </c>
      <c r="BI193" s="707" t="str">
        <f>'Revenue summary'!BI$8</f>
      </c>
      <c r="BJ193" s="706" t="str">
        <f>'Revenue summary'!BJ$8</f>
      </c>
      <c r="BK193" s="706" t="str">
        <f>'Revenue summary'!BK$8</f>
      </c>
      <c r="BL193" s="706" t="str">
        <f>'Revenue summary'!BL$8</f>
      </c>
      <c r="BM193" s="707" t="str">
        <f>'Revenue summary'!BM$8</f>
      </c>
      <c r="BN193" s="706" t="str">
        <f>'Revenue summary'!BN$8</f>
      </c>
      <c r="BO193" s="706" t="str">
        <f>'Revenue summary'!BO$8</f>
      </c>
      <c r="BP193" s="706" t="str">
        <f>'Revenue summary'!BP$8</f>
      </c>
      <c r="BQ193" s="707" t="str">
        <f>'Revenue summary'!BQ$8</f>
      </c>
      <c r="BR193" s="706" t="str">
        <f>'Revenue summary'!BR$8</f>
      </c>
      <c r="BS193" s="706" t="str">
        <f>'Revenue summary'!BS$8</f>
      </c>
      <c r="BT193" s="706" t="str">
        <f>'Revenue summary'!BT$8</f>
      </c>
      <c r="BU193" s="707" t="str">
        <f>'Revenue summary'!BU$8</f>
      </c>
      <c r="BV193" s="706" t="str">
        <f>'Revenue summary'!BV$8</f>
      </c>
      <c r="BW193" s="706" t="str">
        <f>'Revenue summary'!BW$8</f>
      </c>
      <c r="BX193" s="706" t="str">
        <f>'Revenue summary'!BX$8</f>
      </c>
      <c r="BY193" s="707" t="str">
        <f>'Revenue summary'!BY$8</f>
      </c>
      <c r="BZ193" s="706" t="str">
        <f>'Revenue summary'!BZ$8</f>
      </c>
      <c r="CA193" s="706" t="str">
        <f>'Revenue summary'!CA$8</f>
      </c>
      <c r="CB193" s="706" t="str">
        <f>'Revenue summary'!CB$8</f>
      </c>
      <c r="CC193" s="707" t="str">
        <f>'Revenue summary'!CC$8</f>
      </c>
      <c r="CD193" s="706" t="str">
        <f>'Revenue summary'!CD$8</f>
      </c>
      <c r="CE193" s="706" t="str">
        <f>'Revenue summary'!CE$8</f>
      </c>
      <c r="CF193" s="706" t="str">
        <f>'Revenue summary'!CF$8</f>
      </c>
      <c r="CG193" s="707" t="str">
        <f>'Revenue summary'!CG$8</f>
      </c>
      <c r="CH193" s="706" t="str">
        <f>'Revenue summary'!CH$8</f>
      </c>
      <c r="CI193" s="706" t="str">
        <f>'Revenue summary'!CI$8</f>
      </c>
      <c r="CJ193" s="706" t="str">
        <f>'Revenue summary'!CJ$8</f>
      </c>
      <c r="CK193" s="707" t="str">
        <f>'Revenue summary'!CK$8</f>
      </c>
      <c r="CL193" s="706" t="str">
        <f>'Revenue summary'!CL$8</f>
      </c>
      <c r="CM193" s="706" t="str">
        <f>'Revenue summary'!CM$8</f>
      </c>
      <c r="CN193" s="706" t="str">
        <f>'Revenue summary'!CN$8</f>
      </c>
      <c r="CO193" s="707" t="str">
        <f>'Revenue summary'!CO$8</f>
      </c>
      <c r="CP193" s="706" t="str">
        <f>'Revenue summary'!CP$8</f>
      </c>
      <c r="CQ193" s="706" t="str">
        <f>'Revenue summary'!CQ$8</f>
      </c>
      <c r="CR193" s="706" t="str">
        <f>'Revenue summary'!CR$8</f>
      </c>
      <c r="CS193" s="707" t="str">
        <f>'Revenue summary'!CS$8</f>
      </c>
      <c r="CT193" s="706" t="str">
        <f>'Revenue summary'!CT$8</f>
      </c>
      <c r="CU193" s="706" t="str">
        <f>'Revenue summary'!CU$8</f>
      </c>
      <c r="CV193" s="706" t="str">
        <f>'Revenue summary'!CV$8</f>
      </c>
      <c r="CW193" s="707" t="str">
        <f>'Revenue summary'!CW$8</f>
      </c>
      <c r="CX193" s="706" t="str">
        <f>'Revenue summary'!CX$8</f>
      </c>
      <c r="CY193" s="706" t="str">
        <f>'Revenue summary'!CY$8</f>
      </c>
      <c r="CZ193" s="706" t="str">
        <f>'Revenue summary'!CZ$8</f>
      </c>
      <c r="DA193" s="707" t="str">
        <f>'Revenue summary'!DA$8</f>
      </c>
      <c r="DB193" s="706" t="str">
        <f>'Revenue summary'!DB$8</f>
      </c>
      <c r="DC193" s="706" t="str">
        <f>'Revenue summary'!DC$8</f>
      </c>
      <c r="DD193" s="706" t="str">
        <f>'Revenue summary'!DD$8</f>
      </c>
      <c r="DE193" s="707" t="str">
        <f>'Revenue summary'!DE$8</f>
      </c>
      <c r="DF193" s="706" t="str">
        <f>'Revenue summary'!DF$8</f>
      </c>
      <c r="DG193" s="706" t="str">
        <f>'Revenue summary'!DG$8</f>
      </c>
      <c r="DH193" s="706" t="str">
        <f>'Revenue summary'!DH$8</f>
      </c>
      <c r="DI193" s="707" t="str">
        <f>'Revenue summary'!DI$8</f>
      </c>
      <c r="DJ193" s="706" t="str">
        <f>'Revenue summary'!DJ$8</f>
      </c>
      <c r="DK193" s="706" t="str">
        <f>'Revenue summary'!DK$8</f>
      </c>
      <c r="DL193" s="706" t="str">
        <f>'Revenue summary'!DL$8</f>
      </c>
      <c r="DM193" s="707" t="str">
        <f>'Revenue summary'!DM$8</f>
      </c>
      <c r="DN193" s="706" t="str">
        <f>'Revenue summary'!DN$8</f>
      </c>
      <c r="DO193" s="706" t="str">
        <f>'Revenue summary'!DO$8</f>
      </c>
      <c r="DP193" s="706" t="str">
        <f>'Revenue summary'!DP$8</f>
      </c>
      <c r="DQ193" s="707" t="str">
        <f>'Revenue summary'!DQ$8</f>
      </c>
      <c r="DR193" s="706" t="str">
        <f>'Revenue summary'!DR$8</f>
      </c>
      <c r="DS193" s="706" t="str">
        <f>'Revenue summary'!DS$8</f>
      </c>
      <c r="DT193" s="706" t="str">
        <f>'Revenue summary'!DT$8</f>
      </c>
      <c r="DU193" s="707" t="str">
        <f>'Revenue summary'!DU$8</f>
      </c>
      <c r="DV193" s="706" t="str">
        <f>'Revenue summary'!DV$8</f>
      </c>
      <c r="DW193" s="706" t="str">
        <f>'Revenue summary'!DW$8</f>
      </c>
      <c r="DX193" s="706" t="str">
        <f>'Revenue summary'!DX$8</f>
      </c>
      <c r="DY193" s="707" t="str">
        <f>'Revenue summary'!DY$8</f>
      </c>
      <c r="DZ193" s="706" t="str">
        <f>'Revenue summary'!DZ$8</f>
      </c>
      <c r="EA193" s="706" t="str">
        <f>'Revenue summary'!EA$8</f>
      </c>
      <c r="EB193" s="706" t="str">
        <f>'Revenue summary'!EB$8</f>
      </c>
      <c r="EC193" s="707" t="str">
        <f>'Revenue summary'!EC$8</f>
      </c>
      <c r="ED193" s="706" t="str">
        <f>'Revenue summary'!ED$8</f>
      </c>
      <c r="EE193" s="706" t="str">
        <f>'Revenue summary'!EE$8</f>
      </c>
      <c r="EF193" s="706" t="str">
        <f>'Revenue summary'!EF$8</f>
      </c>
      <c r="EG193" s="707" t="str">
        <f>'Revenue summary'!EG$8</f>
      </c>
      <c r="EH193" s="706" t="str">
        <f>'Revenue summary'!EH$8</f>
      </c>
      <c r="EI193" s="706" t="str">
        <f>'Revenue summary'!EI$8</f>
      </c>
      <c r="EJ193" s="706" t="str">
        <f>'Revenue summary'!EJ$8</f>
      </c>
      <c r="EK193" s="707" t="str">
        <f>'Revenue summary'!EK$8</f>
      </c>
      <c r="EL193" s="320"/>
      <c r="EM193" s="706">
        <f>EM$9</f>
      </c>
      <c r="EN193" s="706">
        <f t="shared" ref="EN193:GZ193" si="1410">EN$9</f>
      </c>
      <c r="EO193" s="706">
        <f t="shared" si="1410"/>
      </c>
      <c r="EP193" s="706">
        <f t="shared" si="1410"/>
      </c>
      <c r="EQ193" s="706">
        <f t="shared" si="1410"/>
      </c>
      <c r="ER193" s="706">
        <f t="shared" si="1410"/>
      </c>
      <c r="ES193" s="706">
        <f t="shared" si="1410"/>
      </c>
      <c r="ET193" s="706">
        <f t="shared" si="1410"/>
      </c>
      <c r="EU193" s="706">
        <f t="shared" si="1410"/>
      </c>
      <c r="EV193" s="706">
        <f t="shared" si="1410"/>
      </c>
      <c r="EW193" s="706">
        <f t="shared" si="1410"/>
      </c>
      <c r="EX193" s="706">
        <f t="shared" si="1410"/>
      </c>
      <c r="EY193" s="706">
        <f t="shared" si="1410"/>
      </c>
      <c r="EZ193" s="706">
        <f t="shared" si="1410"/>
      </c>
      <c r="FA193" s="706">
        <f t="shared" si="1410"/>
      </c>
      <c r="FB193" s="706">
        <f t="shared" si="1410"/>
      </c>
      <c r="FC193" s="706">
        <f t="shared" si="1410"/>
      </c>
      <c r="FD193" s="706">
        <f t="shared" si="1410"/>
      </c>
      <c r="FE193" s="706" t="str">
        <f t="shared" si="1410"/>
      </c>
      <c r="FF193" s="706" t="str">
        <f t="shared" si="1410"/>
      </c>
      <c r="FG193" s="706" t="str">
        <f t="shared" si="1410"/>
      </c>
      <c r="FH193" s="706" t="str">
        <f t="shared" si="1410"/>
      </c>
      <c r="FI193" s="706" t="str">
        <f t="shared" si="1410"/>
      </c>
      <c r="FJ193" s="706" t="str">
        <f t="shared" si="1410"/>
      </c>
      <c r="FK193" s="706" t="str">
        <f t="shared" si="1410"/>
      </c>
      <c r="FL193" s="706" t="str">
        <f t="shared" si="1410"/>
      </c>
      <c r="FM193" s="706" t="str">
        <f t="shared" si="1410"/>
      </c>
      <c r="FN193" s="706" t="str">
        <f t="shared" si="1410"/>
      </c>
      <c r="FO193" s="706" t="str">
        <f t="shared" si="1410"/>
      </c>
      <c r="FP193" s="706" t="str">
        <f>FP$9</f>
      </c>
      <c r="FQ193" s="706" t="str">
        <f>FQ$9</f>
      </c>
      <c r="FR193" s="706" t="str">
        <f t="shared" ref="FR193:FU193" si="1411">FR$9</f>
      </c>
      <c r="FS193" s="706" t="str">
        <f t="shared" si="1411"/>
      </c>
      <c r="FT193" s="706" t="str">
        <f t="shared" si="1411"/>
      </c>
      <c r="FU193" s="706" t="str">
        <f t="shared" si="1411"/>
      </c>
      <c r="FW193" s="706"/>
      <c r="FX193" s="706"/>
      <c r="FY193" s="706">
        <f t="shared" si="1410"/>
      </c>
      <c r="FZ193" s="706">
        <f t="shared" si="1410"/>
      </c>
      <c r="GA193" s="706">
        <f t="shared" si="1410"/>
      </c>
      <c r="GB193" s="706">
        <f t="shared" si="1410"/>
      </c>
      <c r="GC193" s="706">
        <f t="shared" si="1410"/>
      </c>
      <c r="GD193" s="706">
        <f t="shared" si="1410"/>
      </c>
      <c r="GE193" s="706">
        <f t="shared" si="1410"/>
      </c>
      <c r="GF193" s="706">
        <f t="shared" si="1410"/>
      </c>
      <c r="GG193" s="706">
        <f t="shared" si="1410"/>
      </c>
      <c r="GH193" s="706">
        <f t="shared" si="1410"/>
      </c>
      <c r="GI193" s="706">
        <f t="shared" si="1410"/>
      </c>
      <c r="GJ193" s="706">
        <f t="shared" si="1410"/>
      </c>
      <c r="GK193" s="706">
        <f t="shared" si="1410"/>
      </c>
      <c r="GL193" s="706">
        <f t="shared" si="1410"/>
      </c>
      <c r="GM193" s="706">
        <f t="shared" si="1410"/>
      </c>
      <c r="GN193" s="706">
        <f t="shared" si="1410"/>
      </c>
      <c r="GO193" s="706">
        <f t="shared" si="1410"/>
      </c>
      <c r="GP193" s="706">
        <f t="shared" si="1410"/>
      </c>
      <c r="GQ193" s="706" t="str">
        <f t="shared" si="1410"/>
      </c>
      <c r="GR193" s="706" t="str">
        <f t="shared" si="1410"/>
      </c>
      <c r="GS193" s="706" t="str">
        <f t="shared" si="1410"/>
      </c>
      <c r="GT193" s="706" t="str">
        <f t="shared" si="1410"/>
      </c>
      <c r="GU193" s="706" t="str">
        <f t="shared" si="1410"/>
      </c>
      <c r="GV193" s="706" t="str">
        <f t="shared" si="1410"/>
      </c>
      <c r="GW193" s="706" t="str">
        <f t="shared" si="1410"/>
      </c>
      <c r="GX193" s="706" t="str">
        <f t="shared" si="1410"/>
      </c>
      <c r="GY193" s="706" t="str">
        <f t="shared" si="1410"/>
      </c>
      <c r="GZ193" s="706" t="str">
        <f t="shared" si="1410"/>
      </c>
      <c r="HA193" s="706" t="str">
        <f t="shared" ref="HA193" si="1412">HA$9</f>
      </c>
      <c r="HB193" s="706" t="str">
        <f t="shared" ref="HB193:HF193" si="1413">HB$9</f>
      </c>
      <c r="HC193" s="706" t="str">
        <f t="shared" si="1413"/>
      </c>
      <c r="HD193" s="706" t="str">
        <f t="shared" si="1413"/>
      </c>
      <c r="HE193" s="706" t="str">
        <f t="shared" si="1413"/>
      </c>
      <c r="HF193" s="706" t="str">
        <f t="shared" si="1413"/>
      </c>
    </row>
    <row r="194" spans="1:214" s="11" customFormat="1" ht="10.199999999999999" hidden="1" outlineLevel="1">
      <c r="A194" s="880" t="s">
        <v>1037</v>
      </c>
      <c r="B194" s="896"/>
      <c r="C194" s="896"/>
      <c r="D194" s="896"/>
      <c r="E194" s="897"/>
      <c r="F194" s="896"/>
      <c r="G194" s="896"/>
      <c r="H194" s="896"/>
      <c r="I194" s="897"/>
      <c r="J194" s="896"/>
      <c r="K194" s="896"/>
      <c r="L194" s="896"/>
      <c r="M194" s="897"/>
      <c r="N194" s="896"/>
      <c r="O194" s="896"/>
      <c r="P194" s="896"/>
      <c r="Q194" s="897"/>
      <c r="R194" s="896"/>
      <c r="S194" s="896"/>
      <c r="T194" s="896"/>
      <c r="U194" s="897"/>
      <c r="V194" s="896"/>
      <c r="W194" s="896"/>
      <c r="X194" s="896"/>
      <c r="Y194" s="897"/>
      <c r="Z194" s="898"/>
      <c r="AA194" s="898"/>
      <c r="AB194" s="898"/>
      <c r="AC194" s="773"/>
      <c r="AD194" s="898"/>
      <c r="AE194" s="898"/>
      <c r="AF194" s="898"/>
      <c r="AG194" s="773"/>
      <c r="AH194" s="898"/>
      <c r="AI194" s="898"/>
      <c r="AJ194" s="898"/>
      <c r="AK194" s="773"/>
      <c r="AL194" s="898"/>
      <c r="AM194" s="898"/>
      <c r="AN194" s="898"/>
      <c r="AO194" s="773"/>
      <c r="AP194" s="898"/>
      <c r="AQ194" s="898"/>
      <c r="AR194" s="898"/>
      <c r="AS194" s="773"/>
      <c r="AT194" s="898"/>
      <c r="AU194" s="898"/>
      <c r="AV194" s="898">
        <v>5</v>
      </c>
      <c r="AW194" s="773">
        <v>480.39931506849308</v>
      </c>
      <c r="AX194" s="898">
        <v>872.58058219178088</v>
      </c>
      <c r="AY194" s="898">
        <v>673.67785273972606</v>
      </c>
      <c r="AZ194" s="898">
        <v>419</v>
      </c>
      <c r="BA194" s="773">
        <v>4133.9867123287668</v>
      </c>
      <c r="BB194" s="898">
        <v>2940</v>
      </c>
      <c r="BC194" s="898">
        <v>2427</v>
      </c>
      <c r="BD194" s="898">
        <v>3060</v>
      </c>
      <c r="BE194" s="773">
        <f>13033-BD194-BC194-BB194</f>
      </c>
      <c r="BF194" s="898">
        <v>5578</v>
      </c>
      <c r="BG194" s="898">
        <v>5445</v>
      </c>
      <c r="BH194" s="898">
        <v>5334</v>
      </c>
      <c r="BI194" s="773">
        <f>25179-BH194-BG194-BF194</f>
      </c>
      <c r="BJ194" s="898">
        <v>10239</v>
      </c>
      <c r="BK194" s="898">
        <v>12053</v>
      </c>
      <c r="BL194" s="898">
        <v>13102</v>
      </c>
      <c r="BM194" s="773">
        <v>10604</v>
      </c>
      <c r="BN194" s="898">
        <v>23950</v>
      </c>
      <c r="BO194" s="898">
        <v>22276</v>
      </c>
      <c r="BP194" s="898">
        <v>15821</v>
      </c>
      <c r="BQ194" s="773">
        <v>16645</v>
      </c>
      <c r="BR194" s="898">
        <v>30660</v>
      </c>
      <c r="BS194" s="898">
        <v>22955</v>
      </c>
      <c r="BT194" s="898">
        <v>18154</v>
      </c>
      <c r="BU194" s="773">
        <v>19510</v>
      </c>
      <c r="BV194" s="898">
        <v>32498</v>
      </c>
      <c r="BW194" s="898">
        <v>26064</v>
      </c>
      <c r="BX194" s="898">
        <v>19751</v>
      </c>
      <c r="BY194" s="773">
        <v>23678</v>
      </c>
      <c r="BZ194" s="898">
        <v>51182</v>
      </c>
      <c r="CA194" s="898">
        <v>40282</v>
      </c>
      <c r="CB194" s="898">
        <v>31368</v>
      </c>
      <c r="CC194" s="773">
        <v>32209</v>
      </c>
      <c r="CD194" s="832">
        <v>51635</v>
      </c>
      <c r="CE194" s="832">
        <v>32857</v>
      </c>
      <c r="CF194" s="832">
        <v>24048</v>
      </c>
      <c r="CG194" s="833">
        <v>28160</v>
      </c>
      <c r="CH194" s="832">
        <v>54378</v>
      </c>
      <c r="CI194" s="832">
        <v>33249</v>
      </c>
      <c r="CJ194" s="832">
        <v>24846</v>
      </c>
      <c r="CK194" s="833">
        <v>28846</v>
      </c>
      <c r="CL194" s="832">
        <v>61576</v>
      </c>
      <c r="CM194" s="832">
        <v>38032</v>
      </c>
      <c r="CN194" s="832">
        <v>29906</v>
      </c>
      <c r="CO194" s="833">
        <v>37185</v>
      </c>
      <c r="CP194" s="813"/>
      <c r="CQ194" s="813"/>
      <c r="CR194" s="813"/>
      <c r="CS194" s="778"/>
      <c r="CT194" s="813"/>
      <c r="CU194" s="813"/>
      <c r="CV194" s="813"/>
      <c r="CW194" s="778"/>
      <c r="CX194" s="813"/>
      <c r="CY194" s="813"/>
      <c r="CZ194" s="813"/>
      <c r="DA194" s="778"/>
      <c r="DB194" s="813"/>
      <c r="DC194" s="813"/>
      <c r="DD194" s="813"/>
      <c r="DE194" s="778"/>
      <c r="DF194" s="813"/>
      <c r="DG194" s="813"/>
      <c r="DH194" s="813"/>
      <c r="DI194" s="778"/>
      <c r="DJ194" s="813"/>
      <c r="DK194" s="813"/>
      <c r="DL194" s="813"/>
      <c r="DM194" s="778"/>
      <c r="DN194" s="813"/>
      <c r="DO194" s="813"/>
      <c r="DP194" s="813"/>
      <c r="DQ194" s="778"/>
      <c r="DR194" s="813"/>
      <c r="DS194" s="813"/>
      <c r="DT194" s="813"/>
      <c r="DU194" s="778"/>
      <c r="DV194" s="813"/>
      <c r="DW194" s="813"/>
      <c r="DX194" s="813"/>
      <c r="DY194" s="778"/>
      <c r="DZ194" s="813"/>
      <c r="EA194" s="813"/>
      <c r="EB194" s="813"/>
      <c r="EC194" s="778"/>
      <c r="ED194" s="813"/>
      <c r="EE194" s="813"/>
      <c r="EF194" s="813"/>
      <c r="EG194" s="778"/>
      <c r="EH194" s="813"/>
      <c r="EI194" s="813"/>
      <c r="EJ194" s="813"/>
      <c r="EK194" s="778"/>
      <c r="EL194" s="345"/>
      <c r="EM194" s="813">
        <f>SUM(B194:E194)</f>
      </c>
      <c r="EN194" s="813">
        <f>SUM(F194:I194)</f>
      </c>
      <c r="EO194" s="813">
        <f>SUM(J194:M194)</f>
      </c>
      <c r="EP194" s="813">
        <f>SUM(N194:Q194)</f>
      </c>
      <c r="EQ194" s="813">
        <f>SUM(R194:U194)</f>
      </c>
      <c r="ER194" s="813">
        <f>SUM(V194:Y194)</f>
      </c>
      <c r="ES194" s="813">
        <f>SUM(Z194:AC194)</f>
      </c>
      <c r="ET194" s="813">
        <f>SUM(AD194:AG194)</f>
      </c>
      <c r="EU194" s="813">
        <f>SUM(AH194:AK194)</f>
      </c>
      <c r="EV194" s="813">
        <f>SUM(AL194:AO194)</f>
      </c>
      <c r="EW194" s="813">
        <f>SUM(AP194:AS194)</f>
      </c>
      <c r="EX194" s="813">
        <f>SUM(AT194:AW194)</f>
      </c>
      <c r="EY194" s="813">
        <f>SUM(AX194:BA194)</f>
      </c>
      <c r="EZ194" s="813">
        <f>SUM(BB194:BE194)</f>
      </c>
      <c r="FA194" s="813">
        <f>SUM(BF194:BI194)</f>
      </c>
      <c r="FB194" s="813">
        <f>SUM(BJ194:BM194)</f>
      </c>
      <c r="FC194" s="813">
        <f>SUM(BN194:BQ194)</f>
      </c>
      <c r="FD194" s="813">
        <f>SUM(BR194:BU194)</f>
      </c>
      <c r="FE194" s="813">
        <f>SUM(BV194:BY194)</f>
      </c>
      <c r="FF194" s="813">
        <f>SUM(BZ194:CC194)</f>
      </c>
      <c r="FG194" s="813">
        <f>SUM(CD194:CG194)</f>
      </c>
      <c r="FH194" s="813">
        <f>SUM(CH194:CK194)</f>
      </c>
      <c r="FI194" s="813">
        <f>SUM(CL194:CO194)</f>
      </c>
      <c r="FJ194" s="813"/>
      <c r="FK194" s="813"/>
      <c r="FL194" s="813"/>
      <c r="FM194" s="813"/>
      <c r="FN194" s="813"/>
      <c r="FO194" s="813"/>
      <c r="FP194" s="813"/>
      <c r="FQ194" s="813"/>
      <c r="FR194" s="813"/>
      <c r="FS194" s="813"/>
      <c r="FT194" s="813"/>
      <c r="FU194" s="813"/>
      <c r="FW194" s="813"/>
      <c r="FX194" s="813"/>
      <c r="FY194" s="813">
        <f>SUM(C194:F194)</f>
      </c>
      <c r="FZ194" s="813">
        <f>SUM(G194:J194)</f>
      </c>
      <c r="GA194" s="813">
        <f>SUM(K194:N194)</f>
      </c>
      <c r="GB194" s="813">
        <f>SUM(O194:R194)</f>
      </c>
      <c r="GC194" s="813">
        <f>SUM(S194:V194)</f>
      </c>
      <c r="GD194" s="813">
        <f>SUM(W194:Z194)</f>
      </c>
      <c r="GE194" s="813">
        <f>SUM(AA194:AD194)</f>
      </c>
      <c r="GF194" s="813">
        <f>SUM(AE194:AH194)</f>
      </c>
      <c r="GG194" s="813">
        <f>SUM(AI194:AL194)</f>
      </c>
      <c r="GH194" s="813">
        <f>SUM(AM194:AP194)</f>
      </c>
      <c r="GI194" s="813">
        <f>SUM(AQ194:AT194)</f>
      </c>
      <c r="GJ194" s="813">
        <f>SUM(AU194:AX194)</f>
      </c>
      <c r="GK194" s="813">
        <f>SUM(AY194:BB194)</f>
      </c>
      <c r="GL194" s="813">
        <f>SUM(BC194:BF194)</f>
      </c>
      <c r="GM194" s="813">
        <f>SUM(BG194:BJ194)</f>
      </c>
      <c r="GN194" s="813">
        <f>SUM(BK194:BN194)</f>
      </c>
      <c r="GO194" s="813">
        <f>SUM(BO194:BR194)</f>
      </c>
      <c r="GP194" s="813">
        <f>SUM(BS194:BV194)</f>
      </c>
      <c r="GQ194" s="813">
        <f>SUM(BW194:BZ194)</f>
      </c>
      <c r="GR194" s="813">
        <f>SUM(CA194:CD194)</f>
      </c>
      <c r="GS194" s="813">
        <f>SUM(CE194:CH194)</f>
      </c>
      <c r="GT194" s="813">
        <f>SUM(CI194:CL194)</f>
      </c>
      <c r="GU194" s="813">
        <f>SUM(CM194:CP194)</f>
      </c>
      <c r="GV194" s="813"/>
      <c r="GW194" s="813"/>
      <c r="GX194" s="813"/>
      <c r="GY194" s="813"/>
      <c r="GZ194" s="813"/>
      <c r="HA194" s="813"/>
      <c r="HB194" s="813"/>
      <c r="HC194" s="813"/>
      <c r="HD194" s="813"/>
      <c r="HE194" s="813"/>
      <c r="HF194" s="813"/>
    </row>
    <row r="195" spans="1:214" s="11" customFormat="1" ht="10.199999999999999" hidden="1" outlineLevel="1">
      <c r="A195" s="880" t="s">
        <v>1038</v>
      </c>
      <c r="B195" s="896"/>
      <c r="C195" s="896"/>
      <c r="D195" s="896"/>
      <c r="E195" s="897"/>
      <c r="F195" s="896"/>
      <c r="G195" s="896"/>
      <c r="H195" s="896"/>
      <c r="I195" s="897"/>
      <c r="J195" s="896"/>
      <c r="K195" s="896"/>
      <c r="L195" s="896"/>
      <c r="M195" s="897"/>
      <c r="N195" s="896"/>
      <c r="O195" s="896"/>
      <c r="P195" s="896"/>
      <c r="Q195" s="897"/>
      <c r="R195" s="896"/>
      <c r="S195" s="896"/>
      <c r="T195" s="896"/>
      <c r="U195" s="897"/>
      <c r="V195" s="896"/>
      <c r="W195" s="896"/>
      <c r="X195" s="896"/>
      <c r="Y195" s="897"/>
      <c r="Z195" s="898"/>
      <c r="AA195" s="898"/>
      <c r="AB195" s="898"/>
      <c r="AC195" s="773"/>
      <c r="AD195" s="898"/>
      <c r="AE195" s="898"/>
      <c r="AF195" s="898"/>
      <c r="AG195" s="773"/>
      <c r="AH195" s="898"/>
      <c r="AI195" s="898"/>
      <c r="AJ195" s="898"/>
      <c r="AK195" s="773"/>
      <c r="AL195" s="898"/>
      <c r="AM195" s="898"/>
      <c r="AN195" s="898"/>
      <c r="AO195" s="773"/>
      <c r="AP195" s="898"/>
      <c r="AQ195" s="898"/>
      <c r="AR195" s="898"/>
      <c r="AS195" s="773"/>
      <c r="AT195" s="898"/>
      <c r="AU195" s="898"/>
      <c r="AV195" s="898"/>
      <c r="AW195" s="773"/>
      <c r="AX195" s="898"/>
      <c r="AY195" s="898"/>
      <c r="AZ195" s="898"/>
      <c r="BA195" s="773"/>
      <c r="BB195" s="898"/>
      <c r="BC195" s="898"/>
      <c r="BD195" s="898"/>
      <c r="BE195" s="773"/>
      <c r="BF195" s="898"/>
      <c r="BG195" s="898"/>
      <c r="BH195" s="898">
        <v>2166</v>
      </c>
      <c r="BI195" s="773">
        <f>4958-BH195</f>
      </c>
      <c r="BJ195" s="898">
        <v>4343.6251780821922</v>
      </c>
      <c r="BK195" s="898">
        <v>2633</v>
      </c>
      <c r="BL195" s="898">
        <v>5603</v>
      </c>
      <c r="BM195" s="773">
        <v>6562</v>
      </c>
      <c r="BN195" s="898">
        <v>8769</v>
      </c>
      <c r="BO195" s="898">
        <v>6264</v>
      </c>
      <c r="BP195" s="898">
        <v>8779</v>
      </c>
      <c r="BQ195" s="773">
        <v>7133</v>
      </c>
      <c r="BR195" s="898">
        <v>10674</v>
      </c>
      <c r="BS195" s="898">
        <v>8746</v>
      </c>
      <c r="BT195" s="898">
        <v>6374</v>
      </c>
      <c r="BU195" s="773">
        <v>6186</v>
      </c>
      <c r="BV195" s="898">
        <v>11468</v>
      </c>
      <c r="BW195" s="898">
        <v>7610</v>
      </c>
      <c r="BX195" s="898">
        <v>5889</v>
      </c>
      <c r="BY195" s="773">
        <v>5316</v>
      </c>
      <c r="BZ195" s="898">
        <v>8985</v>
      </c>
      <c r="CA195" s="898">
        <v>5428</v>
      </c>
      <c r="CB195" s="898">
        <v>4538</v>
      </c>
      <c r="CC195" s="773">
        <v>4276</v>
      </c>
      <c r="CD195" s="832">
        <v>7084</v>
      </c>
      <c r="CE195" s="832">
        <v>4413</v>
      </c>
      <c r="CF195" s="832">
        <v>4876</v>
      </c>
      <c r="CG195" s="833">
        <v>4255</v>
      </c>
      <c r="CH195" s="832">
        <v>5533</v>
      </c>
      <c r="CI195" s="832">
        <v>3889</v>
      </c>
      <c r="CJ195" s="832">
        <v>4969</v>
      </c>
      <c r="CK195" s="833">
        <v>4831</v>
      </c>
      <c r="CL195" s="832">
        <v>5862</v>
      </c>
      <c r="CM195" s="832">
        <v>4113</v>
      </c>
      <c r="CN195" s="832">
        <v>4741</v>
      </c>
      <c r="CO195" s="833">
        <v>4089</v>
      </c>
      <c r="CP195" s="813"/>
      <c r="CQ195" s="813"/>
      <c r="CR195" s="813"/>
      <c r="CS195" s="778"/>
      <c r="CT195" s="813"/>
      <c r="CU195" s="813"/>
      <c r="CV195" s="813"/>
      <c r="CW195" s="778"/>
      <c r="CX195" s="813"/>
      <c r="CY195" s="813"/>
      <c r="CZ195" s="813"/>
      <c r="DA195" s="778"/>
      <c r="DB195" s="813"/>
      <c r="DC195" s="813"/>
      <c r="DD195" s="813"/>
      <c r="DE195" s="778"/>
      <c r="DF195" s="813"/>
      <c r="DG195" s="813"/>
      <c r="DH195" s="813"/>
      <c r="DI195" s="778"/>
      <c r="DJ195" s="813"/>
      <c r="DK195" s="813"/>
      <c r="DL195" s="813"/>
      <c r="DM195" s="778"/>
      <c r="DN195" s="813"/>
      <c r="DO195" s="813"/>
      <c r="DP195" s="813"/>
      <c r="DQ195" s="778"/>
      <c r="DR195" s="813"/>
      <c r="DS195" s="813"/>
      <c r="DT195" s="813"/>
      <c r="DU195" s="778"/>
      <c r="DV195" s="813"/>
      <c r="DW195" s="813"/>
      <c r="DX195" s="813"/>
      <c r="DY195" s="778"/>
      <c r="DZ195" s="813"/>
      <c r="EA195" s="813"/>
      <c r="EB195" s="813"/>
      <c r="EC195" s="778"/>
      <c r="ED195" s="813"/>
      <c r="EE195" s="813"/>
      <c r="EF195" s="813"/>
      <c r="EG195" s="778"/>
      <c r="EH195" s="813"/>
      <c r="EI195" s="813"/>
      <c r="EJ195" s="813"/>
      <c r="EK195" s="778"/>
      <c r="EL195" s="345"/>
      <c r="EM195" s="813">
        <f>SUM(B195:E195)</f>
      </c>
      <c r="EN195" s="813">
        <f>SUM(F195:I195)</f>
      </c>
      <c r="EO195" s="813">
        <f>SUM(J195:M195)</f>
      </c>
      <c r="EP195" s="813">
        <f>SUM(N195:Q195)</f>
      </c>
      <c r="EQ195" s="813">
        <f>SUM(R195:U195)</f>
      </c>
      <c r="ER195" s="813">
        <f>SUM(V195:Y195)</f>
      </c>
      <c r="ES195" s="813">
        <f>SUM(Z195:AC195)</f>
      </c>
      <c r="ET195" s="813">
        <f>SUM(AD195:AG195)</f>
      </c>
      <c r="EU195" s="813">
        <f>SUM(AH195:AK195)</f>
      </c>
      <c r="EV195" s="813">
        <f>SUM(AL195:AO195)</f>
      </c>
      <c r="EW195" s="813">
        <f>SUM(AP195:AS195)</f>
      </c>
      <c r="EX195" s="813">
        <f>SUM(AT195:AW195)</f>
      </c>
      <c r="EY195" s="813">
        <f>SUM(AX195:BA195)</f>
      </c>
      <c r="EZ195" s="813">
        <f>SUM(BB195:BE195)</f>
      </c>
      <c r="FA195" s="813">
        <f>SUM(BF195:BI195)</f>
      </c>
      <c r="FB195" s="813">
        <f>SUM(BJ195:BM195)</f>
      </c>
      <c r="FC195" s="813">
        <f>SUM(BN195:BQ195)</f>
      </c>
      <c r="FD195" s="813">
        <f>SUM(BR195:BU195)</f>
      </c>
      <c r="FE195" s="813">
        <f>SUM(BV195:BY195)</f>
      </c>
      <c r="FF195" s="813">
        <f>SUM(BZ195:CC195)</f>
      </c>
      <c r="FG195" s="813">
        <f>SUM(CD195:CG195)</f>
      </c>
      <c r="FH195" s="813">
        <f>SUM(CH195:CK195)</f>
      </c>
      <c r="FI195" s="813">
        <f>SUM(CL195:CO195)</f>
      </c>
      <c r="FJ195" s="813">
        <f>SUM(CP195:CS195)</f>
      </c>
      <c r="FK195" s="813">
        <f>SUM(CT195:CW195)</f>
      </c>
      <c r="FL195" s="813">
        <f>SUM(CX195:DA195)</f>
      </c>
      <c r="FM195" s="813">
        <f>SUM(DB195:DE195)</f>
      </c>
      <c r="FN195" s="813">
        <f>SUM(DF195:DI195)</f>
      </c>
      <c r="FO195" s="813">
        <f>SUM(DJ195:DM195)</f>
      </c>
      <c r="FP195" s="813">
        <f>SUM(DN195:DQ195)</f>
      </c>
      <c r="FQ195" s="813">
        <f>SUM(DR195:DU195)</f>
      </c>
      <c r="FR195" s="813">
        <f>SUM(DV195:DY195)</f>
      </c>
      <c r="FS195" s="813">
        <f>SUM(DZ195:EC195)</f>
      </c>
      <c r="FT195" s="813">
        <f>SUM(ED195:EG195)</f>
      </c>
      <c r="FU195" s="813">
        <f>SUM(EH195:EK195)</f>
      </c>
      <c r="FW195" s="813"/>
      <c r="FX195" s="813"/>
      <c r="FY195" s="813">
        <f>SUM(C195:F195)</f>
      </c>
      <c r="FZ195" s="813">
        <f>SUM(G195:J195)</f>
      </c>
      <c r="GA195" s="813">
        <f>SUM(K195:N195)</f>
      </c>
      <c r="GB195" s="813">
        <f>SUM(O195:R195)</f>
      </c>
      <c r="GC195" s="813">
        <f>SUM(S195:V195)</f>
      </c>
      <c r="GD195" s="813">
        <f>SUM(W195:Z195)</f>
      </c>
      <c r="GE195" s="813">
        <f>SUM(AA195:AD195)</f>
      </c>
      <c r="GF195" s="813">
        <f>SUM(AE195:AH195)</f>
      </c>
      <c r="GG195" s="813">
        <f>SUM(AI195:AL195)</f>
      </c>
      <c r="GH195" s="813">
        <f>SUM(AM195:AP195)</f>
      </c>
      <c r="GI195" s="813">
        <f>SUM(AQ195:AT195)</f>
      </c>
      <c r="GJ195" s="813">
        <f>SUM(AU195:AX195)</f>
      </c>
      <c r="GK195" s="813">
        <f>SUM(AY195:BB195)</f>
      </c>
      <c r="GL195" s="813">
        <f>SUM(BC195:BF195)</f>
      </c>
      <c r="GM195" s="813">
        <f>SUM(BG195:BJ195)</f>
      </c>
      <c r="GN195" s="813">
        <f>SUM(BK195:BN195)</f>
      </c>
      <c r="GO195" s="813">
        <f>SUM(BO195:BR195)</f>
      </c>
      <c r="GP195" s="813">
        <f>SUM(BS195:BV195)</f>
      </c>
      <c r="GQ195" s="813">
        <f>SUM(BW195:BZ195)</f>
      </c>
      <c r="GR195" s="813">
        <f>SUM(CA195:CD195)</f>
      </c>
      <c r="GS195" s="813">
        <f>SUM(CE195:CH195)</f>
      </c>
      <c r="GT195" s="813">
        <f>SUM(CI195:CL195)</f>
      </c>
      <c r="GU195" s="813">
        <f>SUM(CM195:CP195)</f>
      </c>
      <c r="GV195" s="813"/>
      <c r="GW195" s="813"/>
      <c r="GX195" s="813"/>
      <c r="GY195" s="813"/>
      <c r="GZ195" s="813"/>
      <c r="HA195" s="813"/>
      <c r="HB195" s="813"/>
      <c r="HC195" s="813"/>
      <c r="HD195" s="813"/>
      <c r="HE195" s="813"/>
      <c r="HF195" s="813"/>
    </row>
    <row r="196" spans="1:214" s="11" customFormat="1" ht="10.199999999999999" hidden="1" outlineLevel="1">
      <c r="A196" s="880" t="s">
        <v>1039</v>
      </c>
      <c r="B196" s="896"/>
      <c r="C196" s="896"/>
      <c r="D196" s="896"/>
      <c r="E196" s="897"/>
      <c r="F196" s="896"/>
      <c r="G196" s="896"/>
      <c r="H196" s="896"/>
      <c r="I196" s="897"/>
      <c r="J196" s="898">
        <v>1168.5346049151713</v>
      </c>
      <c r="K196" s="898">
        <v>1278.5144701783101</v>
      </c>
      <c r="L196" s="898">
        <v>1296.2476369943693</v>
      </c>
      <c r="M196" s="773">
        <v>1118.7032879121493</v>
      </c>
      <c r="N196" s="898">
        <v>1442</v>
      </c>
      <c r="O196" s="898">
        <v>1234</v>
      </c>
      <c r="P196" s="898">
        <v>1294</v>
      </c>
      <c r="Q196" s="773">
        <v>1112</v>
      </c>
      <c r="R196" s="898">
        <v>2065</v>
      </c>
      <c r="S196" s="898">
        <v>1652</v>
      </c>
      <c r="T196" s="898">
        <v>1545</v>
      </c>
      <c r="U196" s="773">
        <v>1604</v>
      </c>
      <c r="V196" s="898">
        <v>776</v>
      </c>
      <c r="W196" s="898">
        <v>1200</v>
      </c>
      <c r="X196" s="898">
        <v>1225</v>
      </c>
      <c r="Y196" s="773">
        <v>1202</v>
      </c>
      <c r="Z196" s="898">
        <v>1071</v>
      </c>
      <c r="AA196" s="898">
        <v>1209</v>
      </c>
      <c r="AB196" s="898">
        <v>1160</v>
      </c>
      <c r="AC196" s="773">
        <v>1094</v>
      </c>
      <c r="AD196" s="898">
        <v>1099</v>
      </c>
      <c r="AE196" s="898">
        <v>1099</v>
      </c>
      <c r="AF196" s="898">
        <v>1094</v>
      </c>
      <c r="AG196" s="773">
        <v>1200</v>
      </c>
      <c r="AH196" s="898">
        <v>1269</v>
      </c>
      <c r="AI196" s="898">
        <v>1160</v>
      </c>
      <c r="AJ196" s="898">
        <v>1263</v>
      </c>
      <c r="AK196" s="773">
        <v>1231</v>
      </c>
      <c r="AL196" s="898">
        <v>1605</v>
      </c>
      <c r="AM196" s="898">
        <v>1494</v>
      </c>
      <c r="AN196" s="898">
        <v>1565</v>
      </c>
      <c r="AO196" s="773">
        <v>1611</v>
      </c>
      <c r="AP196" s="898">
        <v>1724</v>
      </c>
      <c r="AQ196" s="898">
        <v>1572</v>
      </c>
      <c r="AR196" s="898">
        <v>1866</v>
      </c>
      <c r="AS196" s="773">
        <v>2213</v>
      </c>
      <c r="AT196" s="898">
        <v>2417</v>
      </c>
      <c r="AU196" s="898">
        <v>2271</v>
      </c>
      <c r="AV196" s="898">
        <v>2533</v>
      </c>
      <c r="AW196" s="773">
        <v>3115</v>
      </c>
      <c r="AX196" s="898">
        <v>3570</v>
      </c>
      <c r="AY196" s="898">
        <v>3511</v>
      </c>
      <c r="AZ196" s="898">
        <v>3634</v>
      </c>
      <c r="BA196" s="773">
        <v>3639</v>
      </c>
      <c r="BB196" s="898">
        <v>3565</v>
      </c>
      <c r="BC196" s="898">
        <v>2960</v>
      </c>
      <c r="BD196" s="898">
        <v>3354</v>
      </c>
      <c r="BE196" s="773">
        <v>3980</v>
      </c>
      <c r="BF196" s="898">
        <v>4450</v>
      </c>
      <c r="BG196" s="898">
        <v>3760</v>
      </c>
      <c r="BH196" s="898">
        <v>4399</v>
      </c>
      <c r="BI196" s="773">
        <v>4870</v>
      </c>
      <c r="BJ196" s="898">
        <v>5430</v>
      </c>
      <c r="BK196" s="898">
        <v>4976</v>
      </c>
      <c r="BL196" s="898">
        <v>5105</v>
      </c>
      <c r="BM196" s="773">
        <v>6272</v>
      </c>
      <c r="BN196" s="898">
        <v>6598</v>
      </c>
      <c r="BO196" s="898">
        <v>5073</v>
      </c>
      <c r="BP196" s="898">
        <v>4933</v>
      </c>
      <c r="BQ196" s="773">
        <v>6617</v>
      </c>
      <c r="BR196" s="898">
        <v>5519</v>
      </c>
      <c r="BS196" s="898">
        <v>5447</v>
      </c>
      <c r="BT196" s="898">
        <v>4893</v>
      </c>
      <c r="BU196" s="773">
        <v>5624</v>
      </c>
      <c r="BV196" s="898">
        <v>6395</v>
      </c>
      <c r="BW196" s="898">
        <v>5519</v>
      </c>
      <c r="BX196" s="898">
        <v>5540</v>
      </c>
      <c r="BY196" s="773">
        <v>6625</v>
      </c>
      <c r="BZ196" s="898">
        <v>6944</v>
      </c>
      <c r="CA196" s="898">
        <v>5615</v>
      </c>
      <c r="CB196" s="898">
        <v>6030</v>
      </c>
      <c r="CC196" s="773">
        <v>6882</v>
      </c>
      <c r="CD196" s="832">
        <v>6746</v>
      </c>
      <c r="CE196" s="832">
        <v>5107</v>
      </c>
      <c r="CF196" s="832">
        <v>5239</v>
      </c>
      <c r="CG196" s="833">
        <v>5739</v>
      </c>
      <c r="CH196" s="832">
        <v>7244</v>
      </c>
      <c r="CI196" s="832">
        <v>5844</v>
      </c>
      <c r="CJ196" s="832">
        <v>5592</v>
      </c>
      <c r="CK196" s="833">
        <v>7170</v>
      </c>
      <c r="CL196" s="832">
        <v>6895</v>
      </c>
      <c r="CM196" s="832">
        <v>5848</v>
      </c>
      <c r="CN196" s="832">
        <v>5330</v>
      </c>
      <c r="CO196" s="833">
        <v>7411</v>
      </c>
      <c r="CP196" s="813"/>
      <c r="CQ196" s="813"/>
      <c r="CR196" s="813"/>
      <c r="CS196" s="778"/>
      <c r="CT196" s="813"/>
      <c r="CU196" s="813"/>
      <c r="CV196" s="813"/>
      <c r="CW196" s="778"/>
      <c r="CX196" s="813"/>
      <c r="CY196" s="813"/>
      <c r="CZ196" s="813"/>
      <c r="DA196" s="778"/>
      <c r="DB196" s="813"/>
      <c r="DC196" s="813"/>
      <c r="DD196" s="813"/>
      <c r="DE196" s="778"/>
      <c r="DF196" s="813"/>
      <c r="DG196" s="813"/>
      <c r="DH196" s="813"/>
      <c r="DI196" s="778"/>
      <c r="DJ196" s="813"/>
      <c r="DK196" s="813"/>
      <c r="DL196" s="813"/>
      <c r="DM196" s="778"/>
      <c r="DN196" s="813"/>
      <c r="DO196" s="813"/>
      <c r="DP196" s="813"/>
      <c r="DQ196" s="778"/>
      <c r="DR196" s="813"/>
      <c r="DS196" s="813"/>
      <c r="DT196" s="813"/>
      <c r="DU196" s="778"/>
      <c r="DV196" s="813"/>
      <c r="DW196" s="813"/>
      <c r="DX196" s="813"/>
      <c r="DY196" s="778"/>
      <c r="DZ196" s="813"/>
      <c r="EA196" s="813"/>
      <c r="EB196" s="813"/>
      <c r="EC196" s="778"/>
      <c r="ED196" s="813"/>
      <c r="EE196" s="813"/>
      <c r="EF196" s="813"/>
      <c r="EG196" s="778"/>
      <c r="EH196" s="813"/>
      <c r="EI196" s="813"/>
      <c r="EJ196" s="813"/>
      <c r="EK196" s="778"/>
      <c r="EL196" s="345"/>
      <c r="EM196" s="813">
        <f>SUM(B196:E196)</f>
      </c>
      <c r="EN196" s="813">
        <f>SUM(F196:I196)</f>
      </c>
      <c r="EO196" s="813">
        <f>SUM(J196:M196)</f>
      </c>
      <c r="EP196" s="813">
        <f>SUM(N196:Q196)</f>
      </c>
      <c r="EQ196" s="813">
        <f>SUM(R196:U196)</f>
      </c>
      <c r="ER196" s="813">
        <f>SUM(V196:Y196)</f>
      </c>
      <c r="ES196" s="813">
        <f>SUM(Z196:AC196)</f>
      </c>
      <c r="ET196" s="813">
        <f>SUM(AD196:AG196)</f>
      </c>
      <c r="EU196" s="813">
        <f>SUM(AH196:AK196)</f>
      </c>
      <c r="EV196" s="813">
        <f>SUM(AL196:AO196)</f>
      </c>
      <c r="EW196" s="813">
        <f>SUM(AP196:AS196)</f>
      </c>
      <c r="EX196" s="813">
        <f>SUM(AT196:AW196)</f>
      </c>
      <c r="EY196" s="813">
        <f>SUM(AX196:BA196)</f>
      </c>
      <c r="EZ196" s="813">
        <f>SUM(BB196:BE196)</f>
      </c>
      <c r="FA196" s="813">
        <f>SUM(BF196:BI196)</f>
      </c>
      <c r="FB196" s="813">
        <f>SUM(BJ196:BM196)</f>
      </c>
      <c r="FC196" s="813">
        <f>SUM(BN196:BQ196)</f>
      </c>
      <c r="FD196" s="813">
        <f>SUM(BR196:BU196)</f>
      </c>
      <c r="FE196" s="813">
        <f>SUM(BV196:BY196)</f>
      </c>
      <c r="FF196" s="813">
        <f>SUM(BZ196:CC196)</f>
      </c>
      <c r="FG196" s="813">
        <f>SUM(CD196:CG196)</f>
      </c>
      <c r="FH196" s="813">
        <f>SUM(CH196:CK196)</f>
      </c>
      <c r="FI196" s="813">
        <f>SUM(CL196:CO196)</f>
      </c>
      <c r="FJ196" s="813">
        <f>SUM(CP196:CS196)</f>
      </c>
      <c r="FK196" s="813">
        <f>SUM(CT196:CW196)</f>
      </c>
      <c r="FL196" s="813">
        <f>SUM(CX196:DA196)</f>
      </c>
      <c r="FM196" s="813">
        <f>SUM(DB196:DE196)</f>
      </c>
      <c r="FN196" s="813">
        <f>SUM(DF196:DI196)</f>
      </c>
      <c r="FO196" s="813">
        <f>SUM(DJ196:DM196)</f>
      </c>
      <c r="FP196" s="813">
        <f>SUM(DN196:DQ196)</f>
      </c>
      <c r="FQ196" s="813">
        <f>SUM(DR196:DU196)</f>
      </c>
      <c r="FR196" s="813">
        <f>SUM(DV196:DY196)</f>
      </c>
      <c r="FS196" s="813">
        <f>SUM(DZ196:EC196)</f>
      </c>
      <c r="FT196" s="813">
        <f>SUM(ED196:EG196)</f>
      </c>
      <c r="FU196" s="813">
        <f>SUM(EH196:EK196)</f>
      </c>
      <c r="FW196" s="813"/>
      <c r="FX196" s="813"/>
      <c r="FY196" s="813">
        <f>SUM(C196:F196)</f>
      </c>
      <c r="FZ196" s="813">
        <f>SUM(G196:J196)</f>
      </c>
      <c r="GA196" s="813">
        <f>SUM(K196:N196)</f>
      </c>
      <c r="GB196" s="813">
        <f>SUM(O196:R196)</f>
      </c>
      <c r="GC196" s="813">
        <f>SUM(S196:V196)</f>
      </c>
      <c r="GD196" s="813">
        <f>SUM(W196:Z196)</f>
      </c>
      <c r="GE196" s="813">
        <f>SUM(AA196:AD196)</f>
      </c>
      <c r="GF196" s="813">
        <f>SUM(AE196:AH196)</f>
      </c>
      <c r="GG196" s="813">
        <f>SUM(AI196:AL196)</f>
      </c>
      <c r="GH196" s="813">
        <f>SUM(AM196:AP196)</f>
      </c>
      <c r="GI196" s="813">
        <f>SUM(AQ196:AT196)</f>
      </c>
      <c r="GJ196" s="813">
        <f>SUM(AU196:AX196)</f>
      </c>
      <c r="GK196" s="813">
        <f>SUM(AY196:BB196)</f>
      </c>
      <c r="GL196" s="813">
        <f>SUM(BC196:BF196)</f>
      </c>
      <c r="GM196" s="813">
        <f>SUM(BG196:BJ196)</f>
      </c>
      <c r="GN196" s="813">
        <f>SUM(BK196:BN196)</f>
      </c>
      <c r="GO196" s="813">
        <f>SUM(BO196:BR196)</f>
      </c>
      <c r="GP196" s="813">
        <f>SUM(BS196:BV196)</f>
      </c>
      <c r="GQ196" s="813">
        <f>SUM(BW196:BZ196)</f>
      </c>
      <c r="GR196" s="813">
        <f>SUM(CA196:CD196)</f>
      </c>
      <c r="GS196" s="813">
        <f>SUM(CE196:CH196)</f>
      </c>
      <c r="GT196" s="813">
        <f>SUM(CI196:CL196)</f>
      </c>
      <c r="GU196" s="813">
        <f>SUM(CM196:CP196)</f>
      </c>
      <c r="GV196" s="813"/>
      <c r="GW196" s="813"/>
      <c r="GX196" s="813"/>
      <c r="GY196" s="813"/>
      <c r="GZ196" s="813"/>
      <c r="HA196" s="813"/>
      <c r="HB196" s="813"/>
      <c r="HC196" s="813"/>
      <c r="HD196" s="813"/>
      <c r="HE196" s="813"/>
      <c r="HF196" s="813"/>
    </row>
    <row r="197" spans="1:214" s="345" customFormat="1" ht="10.199999999999999" hidden="1" outlineLevel="1">
      <c r="A197" s="834" t="s">
        <v>1040</v>
      </c>
      <c r="B197" s="832"/>
      <c r="C197" s="832"/>
      <c r="D197" s="832"/>
      <c r="E197" s="833"/>
      <c r="F197" s="832"/>
      <c r="G197" s="832"/>
      <c r="H197" s="832"/>
      <c r="I197" s="833"/>
      <c r="J197" s="832"/>
      <c r="K197" s="832"/>
      <c r="L197" s="832"/>
      <c r="M197" s="833"/>
      <c r="N197" s="832"/>
      <c r="O197" s="832"/>
      <c r="P197" s="832"/>
      <c r="Q197" s="833"/>
      <c r="R197" s="832"/>
      <c r="S197" s="832"/>
      <c r="T197" s="832"/>
      <c r="U197" s="833"/>
      <c r="V197" s="832"/>
      <c r="W197" s="832"/>
      <c r="X197" s="832"/>
      <c r="Y197" s="833"/>
      <c r="Z197" s="832">
        <v>46.625</v>
      </c>
      <c r="AA197" s="832">
        <v>21.375</v>
      </c>
      <c r="AB197" s="832">
        <v>22</v>
      </c>
      <c r="AC197" s="833">
        <v>53</v>
      </c>
      <c r="AD197" s="832">
        <v>81</v>
      </c>
      <c r="AE197" s="832">
        <v>32</v>
      </c>
      <c r="AF197" s="832">
        <v>111</v>
      </c>
      <c r="AG197" s="833">
        <v>121</v>
      </c>
      <c r="AH197" s="832">
        <v>256</v>
      </c>
      <c r="AI197" s="832">
        <v>264</v>
      </c>
      <c r="AJ197" s="832">
        <v>249</v>
      </c>
      <c r="AK197" s="833">
        <v>537</v>
      </c>
      <c r="AL197" s="832">
        <v>1211</v>
      </c>
      <c r="AM197" s="832">
        <v>1014</v>
      </c>
      <c r="AN197" s="832">
        <v>1103</v>
      </c>
      <c r="AO197" s="833">
        <v>1212</v>
      </c>
      <c r="AP197" s="832">
        <v>2906</v>
      </c>
      <c r="AQ197" s="832">
        <v>1714</v>
      </c>
      <c r="AR197" s="832">
        <v>1497</v>
      </c>
      <c r="AS197" s="833">
        <v>1559</v>
      </c>
      <c r="AT197" s="832">
        <v>3427</v>
      </c>
      <c r="AU197" s="832">
        <v>1689</v>
      </c>
      <c r="AV197" s="832">
        <v>1570</v>
      </c>
      <c r="AW197" s="833">
        <v>1619</v>
      </c>
      <c r="AX197" s="832">
        <v>3997</v>
      </c>
      <c r="AY197" s="832">
        <v>1818</v>
      </c>
      <c r="AZ197" s="832">
        <v>1678</v>
      </c>
      <c r="BA197" s="833">
        <v>1660</v>
      </c>
      <c r="BB197" s="832">
        <f t="shared" ref="BB197:BI197" si="1414">BB18+BB16</f>
      </c>
      <c r="BC197" s="832">
        <f t="shared" si="1414"/>
      </c>
      <c r="BD197" s="832">
        <f t="shared" si="1414"/>
      </c>
      <c r="BE197" s="832">
        <f t="shared" si="1414"/>
      </c>
      <c r="BF197" s="832">
        <f t="shared" si="1414"/>
      </c>
      <c r="BG197" s="832">
        <f t="shared" si="1414"/>
      </c>
      <c r="BH197" s="832">
        <f t="shared" si="1414"/>
      </c>
      <c r="BI197" s="832">
        <f t="shared" si="1414"/>
      </c>
      <c r="BJ197" s="832">
        <v>4555</v>
      </c>
      <c r="BK197" s="832">
        <v>2621</v>
      </c>
      <c r="BL197" s="832">
        <v>2423</v>
      </c>
      <c r="BM197" s="833">
        <v>2328</v>
      </c>
      <c r="BN197" s="832">
        <v>3996</v>
      </c>
      <c r="BO197" s="832">
        <v>2402</v>
      </c>
      <c r="BP197" s="832">
        <v>2287</v>
      </c>
      <c r="BQ197" s="833">
        <v>2075</v>
      </c>
      <c r="BR197" s="832">
        <v>3972</v>
      </c>
      <c r="BS197" s="832">
        <v>2341</v>
      </c>
      <c r="BT197" s="832">
        <v>1912</v>
      </c>
      <c r="BU197" s="833">
        <v>1892</v>
      </c>
      <c r="BV197" s="832">
        <v>2836</v>
      </c>
      <c r="BW197" s="832">
        <v>1880</v>
      </c>
      <c r="BX197" s="832">
        <v>1767</v>
      </c>
      <c r="BY197" s="833">
        <v>1896</v>
      </c>
      <c r="BZ197" s="832">
        <v>2689</v>
      </c>
      <c r="CA197" s="832">
        <v>1689</v>
      </c>
      <c r="CB197" s="832">
        <v>2641</v>
      </c>
      <c r="CC197" s="833">
        <v>3048</v>
      </c>
      <c r="CD197" s="832">
        <v>4351</v>
      </c>
      <c r="CE197" s="832">
        <v>2189</v>
      </c>
      <c r="CF197" s="832">
        <v>2219</v>
      </c>
      <c r="CG197" s="833">
        <v>2373</v>
      </c>
      <c r="CH197" s="832">
        <v>4024</v>
      </c>
      <c r="CI197" s="832">
        <v>2873</v>
      </c>
      <c r="CJ197" s="832">
        <v>2735</v>
      </c>
      <c r="CK197" s="833">
        <v>3231</v>
      </c>
      <c r="CL197" s="832">
        <v>5489</v>
      </c>
      <c r="CM197" s="832">
        <v>3954</v>
      </c>
      <c r="CN197" s="832">
        <v>3740</v>
      </c>
      <c r="CO197" s="833">
        <v>4234</v>
      </c>
      <c r="CP197" s="813"/>
      <c r="CQ197" s="813"/>
      <c r="CR197" s="813"/>
      <c r="CS197" s="778"/>
      <c r="CT197" s="813"/>
      <c r="CU197" s="813"/>
      <c r="CV197" s="813"/>
      <c r="CW197" s="778"/>
      <c r="CX197" s="813"/>
      <c r="CY197" s="813"/>
      <c r="CZ197" s="813"/>
      <c r="DA197" s="778"/>
      <c r="DB197" s="813"/>
      <c r="DC197" s="813"/>
      <c r="DD197" s="813"/>
      <c r="DE197" s="778"/>
      <c r="DF197" s="813"/>
      <c r="DG197" s="813"/>
      <c r="DH197" s="813"/>
      <c r="DI197" s="778"/>
      <c r="DJ197" s="813"/>
      <c r="DK197" s="813"/>
      <c r="DL197" s="813"/>
      <c r="DM197" s="778"/>
      <c r="DN197" s="813"/>
      <c r="DO197" s="813"/>
      <c r="DP197" s="813"/>
      <c r="DQ197" s="778"/>
      <c r="DR197" s="813"/>
      <c r="DS197" s="813"/>
      <c r="DT197" s="813"/>
      <c r="DU197" s="778"/>
      <c r="DV197" s="813"/>
      <c r="DW197" s="813"/>
      <c r="DX197" s="813"/>
      <c r="DY197" s="778"/>
      <c r="DZ197" s="813"/>
      <c r="EA197" s="813"/>
      <c r="EB197" s="813"/>
      <c r="EC197" s="778"/>
      <c r="ED197" s="813"/>
      <c r="EE197" s="813"/>
      <c r="EF197" s="813"/>
      <c r="EG197" s="778"/>
      <c r="EH197" s="813"/>
      <c r="EI197" s="813"/>
      <c r="EJ197" s="813"/>
      <c r="EK197" s="778"/>
      <c r="EM197" s="813"/>
      <c r="EN197" s="813"/>
      <c r="EO197" s="813"/>
      <c r="EP197" s="813"/>
      <c r="EQ197" s="813"/>
      <c r="ER197" s="813"/>
      <c r="ES197" s="813">
        <f>SUM(Z197:AC197)</f>
      </c>
      <c r="ET197" s="813">
        <f>SUM(AD197:AG197)</f>
      </c>
      <c r="EU197" s="813">
        <f>SUM(AH197:AK197)</f>
      </c>
      <c r="EV197" s="813">
        <f>SUM(AL197:AO197)</f>
      </c>
      <c r="EW197" s="813">
        <f>SUM(AP197:AS197)</f>
      </c>
      <c r="EX197" s="813">
        <f>SUM(AT197:AW197)</f>
      </c>
      <c r="EY197" s="813">
        <f>SUM(AX197:BA197)</f>
      </c>
      <c r="EZ197" s="813">
        <f>SUM(BB197:BE197)</f>
      </c>
      <c r="FA197" s="813">
        <f>SUM(BF197:BI197)</f>
      </c>
      <c r="FB197" s="813">
        <f>SUM(BJ197:BM197)</f>
      </c>
      <c r="FC197" s="813">
        <f>SUM(BN197:BQ197)</f>
      </c>
      <c r="FD197" s="813">
        <f>SUM(BR197:BU197)</f>
      </c>
      <c r="FE197" s="813">
        <f>SUM(BV197:BY197)</f>
      </c>
      <c r="FF197" s="813">
        <f>SUM(BZ197:CC197)</f>
      </c>
      <c r="FG197" s="813">
        <f>SUM(CD197:CG197)</f>
      </c>
      <c r="FH197" s="813">
        <f>SUM(CH197:CK197)</f>
      </c>
      <c r="FI197" s="813">
        <f>SUM(CL197:CO197)</f>
      </c>
      <c r="FJ197" s="813">
        <f>SUM(CP197:CS197)</f>
      </c>
      <c r="FK197" s="813">
        <f>SUM(CT197:CW197)</f>
      </c>
      <c r="FL197" s="813">
        <f>SUM(CX197:DA197)</f>
      </c>
      <c r="FM197" s="813">
        <f>SUM(DB197:DE197)</f>
      </c>
      <c r="FN197" s="813">
        <f>SUM(DF197:DI197)</f>
      </c>
      <c r="FO197" s="813">
        <f>SUM(DJ197:DM197)</f>
      </c>
      <c r="FP197" s="813">
        <f>SUM(DN197:DQ197)</f>
      </c>
      <c r="FQ197" s="813">
        <f>SUM(DR197:DU197)</f>
      </c>
      <c r="FR197" s="813">
        <f>SUM(DV197:DY197)</f>
      </c>
      <c r="FS197" s="813">
        <f>SUM(DZ197:EC197)</f>
      </c>
      <c r="FT197" s="813">
        <f>SUM(ED197:EG197)</f>
      </c>
      <c r="FU197" s="813">
        <f>SUM(EH197:EK197)</f>
      </c>
      <c r="FW197" s="813"/>
      <c r="FX197" s="813"/>
      <c r="FY197" s="813">
        <f>SUM(C197:F197)</f>
      </c>
      <c r="FZ197" s="813">
        <f>SUM(G197:J197)</f>
      </c>
      <c r="GA197" s="813">
        <f>SUM(K197:N197)</f>
      </c>
      <c r="GB197" s="813">
        <f>SUM(O197:R197)</f>
      </c>
      <c r="GC197" s="813">
        <f>SUM(S197:V197)</f>
      </c>
      <c r="GD197" s="813">
        <f>SUM(W197:Z197)</f>
      </c>
      <c r="GE197" s="813">
        <f>SUM(AA197:AD197)</f>
      </c>
      <c r="GF197" s="813">
        <f>SUM(AE197:AH197)</f>
      </c>
      <c r="GG197" s="813">
        <f>SUM(AI197:AL197)</f>
      </c>
      <c r="GH197" s="813">
        <f>SUM(AM197:AP197)</f>
      </c>
      <c r="GI197" s="813">
        <f>SUM(AQ197:AT197)</f>
      </c>
      <c r="GJ197" s="813">
        <f>SUM(AU197:AX197)</f>
      </c>
      <c r="GK197" s="813">
        <f>SUM(AY197:BB197)</f>
      </c>
      <c r="GL197" s="813">
        <f>SUM(BC197:BF197)</f>
      </c>
      <c r="GM197" s="813">
        <f>SUM(BG197:BJ197)</f>
      </c>
      <c r="GN197" s="813">
        <f>SUM(BK197:BN197)</f>
      </c>
      <c r="GO197" s="813">
        <f>SUM(BO197:BR197)</f>
      </c>
      <c r="GP197" s="813">
        <f>SUM(BS197:BV197)</f>
      </c>
      <c r="GQ197" s="813">
        <f>SUM(BW197:BZ197)</f>
      </c>
      <c r="GR197" s="813">
        <f>SUM(CA197:CD197)</f>
      </c>
      <c r="GS197" s="813">
        <f>SUM(CE197:CH197)</f>
      </c>
      <c r="GT197" s="813">
        <f>SUM(CI197:CL197)</f>
      </c>
      <c r="GU197" s="813">
        <f>SUM(CM197:CP197)</f>
      </c>
      <c r="GV197" s="813"/>
      <c r="GW197" s="813"/>
      <c r="GX197" s="813"/>
      <c r="GY197" s="813"/>
      <c r="GZ197" s="813"/>
      <c r="HA197" s="813"/>
      <c r="HB197" s="813"/>
      <c r="HC197" s="813"/>
      <c r="HD197" s="813"/>
      <c r="HE197" s="813"/>
      <c r="HF197" s="813"/>
    </row>
    <row r="198" spans="1:214" s="16" customFormat="1" ht="10.199999999999999" hidden="1" outlineLevel="1">
      <c r="A198" s="135"/>
      <c r="B198" s="130"/>
      <c r="C198" s="130"/>
      <c r="D198" s="130"/>
      <c r="E198" s="235"/>
      <c r="F198" s="130"/>
      <c r="G198" s="130"/>
      <c r="H198" s="130"/>
      <c r="I198" s="235"/>
      <c r="J198" s="130"/>
      <c r="K198" s="130"/>
      <c r="L198" s="130"/>
      <c r="M198" s="235"/>
      <c r="N198" s="130"/>
      <c r="O198" s="130"/>
      <c r="P198" s="130"/>
      <c r="Q198" s="235"/>
      <c r="R198" s="130"/>
      <c r="S198" s="130"/>
      <c r="T198" s="130"/>
      <c r="U198" s="235"/>
      <c r="V198" s="130"/>
      <c r="W198" s="130"/>
      <c r="X198" s="130"/>
      <c r="Y198" s="235"/>
      <c r="Z198" s="98"/>
      <c r="AA198" s="98"/>
      <c r="AB198" s="98"/>
      <c r="AC198" s="180"/>
      <c r="AD198" s="98"/>
      <c r="AE198" s="98"/>
      <c r="AF198" s="98"/>
      <c r="AG198" s="180"/>
      <c r="AH198" s="98"/>
      <c r="AI198" s="98"/>
      <c r="AJ198" s="98"/>
      <c r="AK198" s="180"/>
      <c r="AL198" s="98"/>
      <c r="AM198" s="98"/>
      <c r="AN198" s="98"/>
      <c r="AO198" s="180"/>
      <c r="AP198" s="98"/>
      <c r="AQ198" s="98"/>
      <c r="AR198" s="98"/>
      <c r="AS198" s="180"/>
      <c r="AT198" s="98"/>
      <c r="AU198" s="98"/>
      <c r="AV198" s="98"/>
      <c r="AW198" s="180"/>
      <c r="AX198" s="98"/>
      <c r="AY198" s="98"/>
      <c r="AZ198" s="98"/>
      <c r="BA198" s="180"/>
      <c r="BB198" s="98"/>
      <c r="BC198" s="98"/>
      <c r="BD198" s="98"/>
      <c r="BE198" s="180"/>
      <c r="BF198" s="98"/>
      <c r="BG198" s="98"/>
      <c r="BH198" s="98"/>
      <c r="BI198" s="180"/>
      <c r="BJ198" s="98"/>
      <c r="BK198" s="98"/>
      <c r="BL198" s="98"/>
      <c r="BM198" s="180"/>
      <c r="BN198" s="98"/>
      <c r="BO198" s="98"/>
      <c r="BP198" s="98"/>
      <c r="BQ198" s="180"/>
      <c r="BR198" s="98"/>
      <c r="BS198" s="98"/>
      <c r="BT198" s="98"/>
      <c r="BU198" s="180"/>
      <c r="BV198" s="98"/>
      <c r="BW198" s="98"/>
      <c r="BX198" s="98"/>
      <c r="BY198" s="180"/>
      <c r="BZ198" s="98"/>
      <c r="CA198" s="98"/>
      <c r="CB198" s="98"/>
      <c r="CC198" s="180"/>
      <c r="CD198" s="523"/>
      <c r="CE198" s="523"/>
      <c r="CF198" s="524"/>
      <c r="CG198" s="525"/>
      <c r="CH198" s="523"/>
      <c r="CI198" s="523"/>
      <c r="CJ198" s="523"/>
      <c r="CK198" s="525"/>
      <c r="CL198" s="523"/>
      <c r="CM198" s="523"/>
      <c r="CN198" s="523"/>
      <c r="CO198" s="525"/>
      <c r="CP198" s="320"/>
      <c r="CQ198" s="320"/>
      <c r="CR198" s="320"/>
      <c r="CS198" s="321"/>
      <c r="CT198" s="320"/>
      <c r="CU198" s="320"/>
      <c r="CV198" s="320"/>
      <c r="CW198" s="321"/>
      <c r="CX198" s="320"/>
      <c r="CY198" s="320"/>
      <c r="CZ198" s="320"/>
      <c r="DA198" s="321"/>
      <c r="DB198" s="320"/>
      <c r="DC198" s="320"/>
      <c r="DD198" s="390"/>
      <c r="DE198" s="430"/>
      <c r="DF198" s="390"/>
      <c r="DG198" s="390"/>
      <c r="DH198" s="390"/>
      <c r="DI198" s="430"/>
      <c r="DJ198" s="390"/>
      <c r="DK198" s="390"/>
      <c r="DL198" s="390"/>
      <c r="DM198" s="430"/>
      <c r="DN198" s="390"/>
      <c r="DO198" s="390"/>
      <c r="DP198" s="390"/>
      <c r="DQ198" s="430"/>
      <c r="DR198" s="390"/>
      <c r="DS198" s="390"/>
      <c r="DT198" s="390"/>
      <c r="DU198" s="430"/>
      <c r="DV198" s="390"/>
      <c r="DW198" s="390"/>
      <c r="DX198" s="390"/>
      <c r="DY198" s="430"/>
      <c r="DZ198" s="390"/>
      <c r="EA198" s="390"/>
      <c r="EB198" s="390"/>
      <c r="EC198" s="430"/>
      <c r="ED198" s="390"/>
      <c r="EE198" s="390"/>
      <c r="EF198" s="390"/>
      <c r="EG198" s="430"/>
      <c r="EH198" s="390"/>
      <c r="EI198" s="390"/>
      <c r="EJ198" s="390"/>
      <c r="EK198" s="430"/>
      <c r="EL198" s="320"/>
      <c r="EM198" s="390"/>
      <c r="EN198" s="390"/>
      <c r="EO198" s="390"/>
      <c r="EP198" s="390"/>
      <c r="EQ198" s="390"/>
      <c r="ER198" s="390"/>
      <c r="ES198" s="390"/>
      <c r="ET198" s="390"/>
      <c r="EU198" s="390"/>
      <c r="EV198" s="390"/>
      <c r="EW198" s="390"/>
      <c r="EX198" s="390"/>
      <c r="EY198" s="390"/>
      <c r="EZ198" s="390"/>
      <c r="FA198" s="390"/>
      <c r="FB198" s="390"/>
      <c r="FC198" s="390"/>
      <c r="FD198" s="390"/>
      <c r="FE198" s="390"/>
      <c r="FF198" s="390"/>
      <c r="FG198" s="390"/>
      <c r="FH198" s="390"/>
      <c r="FI198" s="390"/>
      <c r="FJ198" s="390"/>
      <c r="FK198" s="390"/>
      <c r="FL198" s="390"/>
      <c r="FM198" s="390"/>
      <c r="FN198" s="390"/>
      <c r="FO198" s="390"/>
      <c r="FP198" s="390"/>
      <c r="FQ198" s="390"/>
      <c r="FR198" s="390"/>
      <c r="FS198" s="390"/>
      <c r="FT198" s="390"/>
      <c r="FU198" s="390"/>
      <c r="FW198" s="390"/>
      <c r="FX198" s="390"/>
      <c r="FY198" s="390"/>
      <c r="FZ198" s="390"/>
      <c r="GA198" s="390"/>
      <c r="GB198" s="390"/>
      <c r="GC198" s="390"/>
      <c r="GD198" s="390"/>
      <c r="GE198" s="390"/>
      <c r="GF198" s="390"/>
      <c r="GG198" s="390"/>
      <c r="GH198" s="390"/>
      <c r="GI198" s="390"/>
      <c r="GJ198" s="390"/>
      <c r="GK198" s="390"/>
      <c r="GL198" s="390"/>
      <c r="GM198" s="390"/>
      <c r="GN198" s="390"/>
      <c r="GO198" s="390"/>
      <c r="GP198" s="390"/>
      <c r="GQ198" s="390"/>
      <c r="GR198" s="390"/>
      <c r="GS198" s="390"/>
      <c r="GT198" s="390"/>
      <c r="GU198" s="390"/>
      <c r="GV198" s="390"/>
      <c r="GW198" s="390"/>
      <c r="GX198" s="390"/>
      <c r="GY198" s="390"/>
      <c r="GZ198" s="390"/>
      <c r="HA198" s="390"/>
      <c r="HB198" s="390"/>
      <c r="HC198" s="390"/>
      <c r="HD198" s="390"/>
      <c r="HE198" s="390"/>
      <c r="HF198" s="390"/>
    </row>
    <row r="199" spans="1:214" s="140" customFormat="1" ht="10.199999999999999" collapsed="1">
      <c r="A199" s="152"/>
      <c r="B199" s="2010"/>
      <c r="C199" s="2010"/>
      <c r="D199" s="2010"/>
      <c r="E199" s="2011"/>
      <c r="F199" s="2010"/>
      <c r="G199" s="2010"/>
      <c r="H199" s="2010"/>
      <c r="I199" s="2011"/>
      <c r="J199" s="2010"/>
      <c r="K199" s="2010"/>
      <c r="L199" s="2010"/>
      <c r="M199" s="2011"/>
      <c r="N199" s="2010"/>
      <c r="O199" s="2010"/>
      <c r="P199" s="2010"/>
      <c r="Q199" s="2011"/>
      <c r="R199" s="2010"/>
      <c r="S199" s="2010"/>
      <c r="T199" s="2010"/>
      <c r="U199" s="2011"/>
      <c r="V199" s="2010"/>
      <c r="W199" s="2010"/>
      <c r="X199" s="2010"/>
      <c r="Y199" s="2011"/>
      <c r="Z199" s="291"/>
      <c r="AA199" s="291"/>
      <c r="AB199" s="291"/>
      <c r="AC199" s="2012"/>
      <c r="AD199" s="291"/>
      <c r="AE199" s="291"/>
      <c r="AF199" s="291"/>
      <c r="AG199" s="2012"/>
      <c r="AH199" s="291"/>
      <c r="AI199" s="291"/>
      <c r="AJ199" s="291"/>
      <c r="AK199" s="2012"/>
      <c r="AL199" s="291"/>
      <c r="AM199" s="291"/>
      <c r="AN199" s="291"/>
      <c r="AO199" s="2012"/>
      <c r="AP199" s="291"/>
      <c r="AQ199" s="291"/>
      <c r="AR199" s="291"/>
      <c r="AS199" s="2012"/>
      <c r="AT199" s="291"/>
      <c r="AU199" s="291"/>
      <c r="AV199" s="2013"/>
      <c r="AW199" s="2014"/>
      <c r="AX199" s="319"/>
      <c r="AY199" s="319"/>
      <c r="AZ199" s="319"/>
      <c r="BA199" s="424"/>
      <c r="BB199" s="319"/>
      <c r="BC199" s="319"/>
      <c r="BD199" s="319"/>
      <c r="BE199" s="424"/>
      <c r="BF199" s="319"/>
      <c r="BG199" s="319"/>
      <c r="BH199" s="319"/>
      <c r="BI199" s="424"/>
      <c r="BJ199" s="319"/>
      <c r="BK199" s="319"/>
      <c r="BL199" s="319"/>
      <c r="BM199" s="424"/>
      <c r="BN199" s="319"/>
      <c r="BO199" s="319"/>
      <c r="BP199" s="319"/>
      <c r="BQ199" s="424"/>
      <c r="BR199" s="319"/>
      <c r="BS199" s="319"/>
      <c r="BT199" s="319"/>
      <c r="BU199" s="424"/>
      <c r="BV199" s="319"/>
      <c r="BW199" s="319"/>
      <c r="BX199" s="319"/>
      <c r="BY199" s="424"/>
      <c r="BZ199" s="319"/>
      <c r="CA199" s="319"/>
      <c r="CB199" s="319"/>
      <c r="CC199" s="424"/>
      <c r="CD199" s="319"/>
      <c r="CE199" s="319"/>
      <c r="CF199" s="319"/>
      <c r="CG199" s="424"/>
      <c r="CH199" s="319"/>
      <c r="CI199" s="319"/>
      <c r="CJ199" s="319"/>
      <c r="CK199" s="424"/>
      <c r="CL199" s="319"/>
      <c r="CM199" s="319"/>
      <c r="CN199" s="319"/>
      <c r="CO199" s="424"/>
      <c r="CP199" s="319"/>
      <c r="CQ199" s="319"/>
      <c r="CR199" s="319"/>
      <c r="CS199" s="424"/>
      <c r="CT199" s="319"/>
      <c r="CU199" s="319"/>
      <c r="CV199" s="319"/>
      <c r="CW199" s="424"/>
      <c r="CX199" s="319"/>
      <c r="CY199" s="319"/>
      <c r="CZ199" s="319"/>
      <c r="DA199" s="424"/>
      <c r="DB199" s="319"/>
      <c r="DC199" s="319"/>
      <c r="DD199" s="319"/>
      <c r="DE199" s="424"/>
      <c r="DF199" s="319"/>
      <c r="DG199" s="319"/>
      <c r="DH199" s="319"/>
      <c r="DI199" s="424"/>
      <c r="DJ199" s="319"/>
      <c r="DK199" s="319"/>
      <c r="DL199" s="319"/>
      <c r="DM199" s="424"/>
      <c r="DN199" s="319"/>
      <c r="DO199" s="319"/>
      <c r="DP199" s="319"/>
      <c r="DQ199" s="424"/>
      <c r="DR199" s="319"/>
      <c r="DS199" s="319"/>
      <c r="DT199" s="319"/>
      <c r="DU199" s="424"/>
      <c r="DV199" s="319"/>
      <c r="DW199" s="319"/>
      <c r="DX199" s="319"/>
      <c r="DY199" s="424"/>
      <c r="DZ199" s="319"/>
      <c r="EA199" s="319"/>
      <c r="EB199" s="319"/>
      <c r="EC199" s="424"/>
      <c r="ED199" s="319"/>
      <c r="EE199" s="319"/>
      <c r="EF199" s="319"/>
      <c r="EG199" s="424"/>
      <c r="EH199" s="319"/>
      <c r="EI199" s="319"/>
      <c r="EJ199" s="319"/>
      <c r="EK199" s="424"/>
      <c r="EM199" s="157"/>
      <c r="EN199" s="157"/>
      <c r="EO199" s="157"/>
      <c r="EP199" s="157"/>
      <c r="EQ199" s="157"/>
      <c r="ER199" s="157"/>
      <c r="ES199" s="157"/>
      <c r="ET199" s="157"/>
      <c r="EU199" s="157"/>
      <c r="EV199" s="157"/>
      <c r="EW199" s="157"/>
      <c r="EX199" s="157"/>
      <c r="EY199" s="157"/>
      <c r="EZ199" s="157"/>
      <c r="FA199" s="157"/>
      <c r="FB199" s="157"/>
      <c r="FC199" s="157"/>
      <c r="FD199" s="157"/>
      <c r="FE199" s="157"/>
      <c r="FF199" s="157"/>
      <c r="FG199" s="2015"/>
      <c r="FH199" s="2015"/>
      <c r="FI199" s="2015"/>
      <c r="FJ199" s="2015"/>
      <c r="FK199" s="2015"/>
      <c r="FL199" s="2015"/>
      <c r="FM199" s="2015"/>
      <c r="FN199" s="2015"/>
      <c r="FO199" s="2015"/>
      <c r="FP199" s="2015"/>
      <c r="FQ199" s="2015"/>
      <c r="FR199" s="2015"/>
      <c r="FS199" s="2015"/>
      <c r="FT199" s="2015"/>
      <c r="FU199" s="2015"/>
      <c r="FW199" s="2015"/>
      <c r="FY199" s="157"/>
      <c r="FZ199" s="157"/>
      <c r="GA199" s="157"/>
      <c r="GB199" s="157"/>
      <c r="GC199" s="157"/>
      <c r="GD199" s="157"/>
      <c r="GE199" s="157"/>
      <c r="GF199" s="157"/>
      <c r="GG199" s="157"/>
      <c r="GH199" s="157"/>
      <c r="GI199" s="157"/>
      <c r="GJ199" s="157"/>
      <c r="GK199" s="157"/>
      <c r="GL199" s="157"/>
      <c r="GM199" s="157"/>
      <c r="GN199" s="157"/>
      <c r="GO199" s="157"/>
      <c r="GP199" s="157"/>
      <c r="GQ199" s="157"/>
      <c r="GR199" s="157"/>
      <c r="GS199" s="157"/>
      <c r="GT199" s="157"/>
      <c r="GU199" s="157"/>
      <c r="GV199" s="157"/>
      <c r="GW199" s="157"/>
      <c r="GX199" s="157"/>
      <c r="GY199" s="157"/>
      <c r="GZ199" s="157"/>
      <c r="HA199" s="157"/>
      <c r="HB199" s="157"/>
      <c r="HC199" s="157"/>
      <c r="HD199" s="157"/>
      <c r="HE199" s="157"/>
      <c r="HF199" s="157"/>
    </row>
    <row r="200" spans="1:214" s="342" customFormat="1" ht="11.25" customHeight="1" collapsed="1">
      <c r="A200" s="708" t="s">
        <v>1483</v>
      </c>
      <c r="BR200" s="706" t="str">
        <f>'Revenue summary'!BR$8</f>
      </c>
      <c r="BS200" s="706" t="str">
        <f>'Revenue summary'!BS$8</f>
      </c>
      <c r="BT200" s="706" t="str">
        <f>'Revenue summary'!BT$8</f>
      </c>
      <c r="BU200" s="707" t="str">
        <f>'Revenue summary'!BU$8</f>
      </c>
      <c r="BV200" s="706" t="str">
        <f>'Revenue summary'!BV$8</f>
      </c>
      <c r="BW200" s="706" t="str">
        <f>'Revenue summary'!BW$8</f>
      </c>
      <c r="BX200" s="706" t="str">
        <f>'Revenue summary'!BX$8</f>
      </c>
      <c r="BY200" s="707" t="str">
        <f>'Revenue summary'!BY$8</f>
      </c>
      <c r="BZ200" s="706" t="str">
        <f>'Revenue summary'!BZ$8</f>
      </c>
      <c r="CA200" s="706" t="str">
        <f>'Revenue summary'!CA$8</f>
      </c>
      <c r="CB200" s="706" t="str">
        <f>'Revenue summary'!CB$8</f>
      </c>
      <c r="CC200" s="707" t="str">
        <f>'Revenue summary'!CC$8</f>
      </c>
      <c r="CD200" s="706" t="str">
        <f>'Revenue summary'!CD$8</f>
      </c>
      <c r="CE200" s="706" t="str">
        <f>'Revenue summary'!CE$8</f>
      </c>
      <c r="CF200" s="706" t="str">
        <f>'Revenue summary'!CF$8</f>
      </c>
      <c r="CG200" s="707" t="str">
        <f>'Revenue summary'!CG$8</f>
      </c>
      <c r="CH200" s="706" t="str">
        <f>'Revenue summary'!CH$8</f>
      </c>
      <c r="CI200" s="706" t="str">
        <f>'Revenue summary'!CI$8</f>
      </c>
      <c r="CJ200" s="706" t="str">
        <f>'Revenue summary'!CJ$8</f>
      </c>
      <c r="CK200" s="707" t="str">
        <f>'Revenue summary'!CK$8</f>
      </c>
      <c r="CL200" s="706" t="str">
        <f>'Revenue summary'!CL$8</f>
      </c>
      <c r="CM200" s="706" t="str">
        <f>'Revenue summary'!CM$8</f>
      </c>
      <c r="CN200" s="706" t="str">
        <f>'Revenue summary'!CN$8</f>
      </c>
      <c r="CO200" s="707" t="str">
        <f>'Revenue summary'!CO$8</f>
      </c>
      <c r="CP200" s="706" t="str">
        <f>'Revenue summary'!CP$8</f>
      </c>
      <c r="CQ200" s="706" t="str">
        <f>'Revenue summary'!CQ$8</f>
      </c>
      <c r="CR200" s="706" t="str">
        <f>'Revenue summary'!CR$8</f>
      </c>
      <c r="CS200" s="707" t="str">
        <f>'Revenue summary'!CS$8</f>
      </c>
      <c r="CT200" s="706" t="str">
        <f>'Revenue summary'!CT$8</f>
      </c>
      <c r="CU200" s="706" t="str">
        <f>'Revenue summary'!CU$8</f>
      </c>
      <c r="CV200" s="706" t="str">
        <f>'Revenue summary'!CV$8</f>
      </c>
      <c r="CW200" s="707" t="str">
        <f>'Revenue summary'!CW$8</f>
      </c>
      <c r="CX200" s="706" t="str">
        <f>'Revenue summary'!CX$8</f>
      </c>
      <c r="CY200" s="706" t="str">
        <f>'Revenue summary'!CY$8</f>
      </c>
      <c r="CZ200" s="706" t="str">
        <f>'Revenue summary'!CZ$8</f>
      </c>
      <c r="DA200" s="707" t="str">
        <f>'Revenue summary'!DA$8</f>
      </c>
      <c r="DB200" s="706" t="str">
        <f>'Revenue summary'!DB$8</f>
      </c>
      <c r="DC200" s="706" t="str">
        <f>'Revenue summary'!DC$8</f>
      </c>
      <c r="DD200" s="706" t="str">
        <f>'Revenue summary'!DD$8</f>
      </c>
      <c r="DE200" s="707" t="str">
        <f>'Revenue summary'!DE$8</f>
      </c>
      <c r="DF200" s="706" t="str">
        <f>'Revenue summary'!DF$8</f>
      </c>
      <c r="DG200" s="706" t="str">
        <f>'Revenue summary'!DG$8</f>
      </c>
      <c r="DH200" s="706" t="str">
        <f>'Revenue summary'!DH$8</f>
      </c>
      <c r="DI200" s="707" t="str">
        <f>'Revenue summary'!DI$8</f>
      </c>
      <c r="DJ200" s="706" t="str">
        <f>'Revenue summary'!DJ$8</f>
      </c>
      <c r="DK200" s="706" t="str">
        <f>'Revenue summary'!DK$8</f>
      </c>
      <c r="DL200" s="706" t="str">
        <f>'Revenue summary'!DL$8</f>
      </c>
      <c r="DM200" s="707" t="str">
        <f>'Revenue summary'!DM$8</f>
      </c>
      <c r="DN200" s="706" t="str">
        <f>'Revenue summary'!DN$8</f>
      </c>
      <c r="DO200" s="706" t="str">
        <f>'Revenue summary'!DO$8</f>
      </c>
      <c r="DP200" s="706" t="str">
        <f>'Revenue summary'!DP$8</f>
      </c>
      <c r="DQ200" s="707" t="str">
        <f>'Revenue summary'!DQ$8</f>
      </c>
      <c r="DR200" s="706" t="str">
        <f>'Revenue summary'!DR$8</f>
      </c>
      <c r="DS200" s="706" t="str">
        <f>'Revenue summary'!DS$8</f>
      </c>
      <c r="DT200" s="706" t="str">
        <f>'Revenue summary'!DT$8</f>
      </c>
      <c r="DU200" s="707" t="str">
        <f>'Revenue summary'!DU$8</f>
      </c>
      <c r="DV200" s="706" t="str">
        <f>'Revenue summary'!DV$8</f>
      </c>
      <c r="DW200" s="706" t="str">
        <f>'Revenue summary'!DW$8</f>
      </c>
      <c r="DX200" s="706" t="str">
        <f>'Revenue summary'!DX$8</f>
      </c>
      <c r="DY200" s="707" t="str">
        <f>'Revenue summary'!DY$8</f>
      </c>
      <c r="DZ200" s="706" t="str">
        <f>'Revenue summary'!DZ$8</f>
      </c>
      <c r="EA200" s="706" t="str">
        <f>'Revenue summary'!EA$8</f>
      </c>
      <c r="EB200" s="706" t="str">
        <f>'Revenue summary'!EB$8</f>
      </c>
      <c r="EC200" s="707" t="str">
        <f>'Revenue summary'!EC$8</f>
      </c>
      <c r="ED200" s="706" t="str">
        <f>'Revenue summary'!ED$8</f>
      </c>
      <c r="EE200" s="706" t="str">
        <f>'Revenue summary'!EE$8</f>
      </c>
      <c r="EF200" s="706" t="str">
        <f>'Revenue summary'!EF$8</f>
      </c>
      <c r="EG200" s="707" t="str">
        <f>'Revenue summary'!EG$8</f>
      </c>
      <c r="EH200" s="706" t="str">
        <f>'Revenue summary'!EH$8</f>
      </c>
      <c r="EI200" s="706" t="str">
        <f>'Revenue summary'!EI$8</f>
      </c>
      <c r="EJ200" s="706" t="str">
        <f>'Revenue summary'!EJ$8</f>
      </c>
      <c r="EK200" s="707" t="str">
        <f>'Revenue summary'!EK$8</f>
      </c>
      <c r="FD200" s="706">
        <f t="shared" ref="FD200:FF200" si="1415">FD$9</f>
      </c>
      <c r="FE200" s="706" t="str">
        <f t="shared" si="1415"/>
      </c>
      <c r="FF200" s="706" t="str">
        <f t="shared" si="1415"/>
      </c>
      <c r="FG200" s="706" t="str">
        <f t="shared" ref="FG200:FH200" si="1416">FG$9</f>
      </c>
      <c r="FH200" s="706" t="str">
        <f t="shared" si="1416"/>
      </c>
      <c r="FI200" s="706" t="str">
        <f>FI$9</f>
      </c>
      <c r="FJ200" s="706" t="str">
        <f t="shared" ref="FJ200:FU200" si="1417">FJ$9</f>
      </c>
      <c r="FK200" s="706" t="str">
        <f t="shared" si="1417"/>
      </c>
      <c r="FL200" s="706" t="str">
        <f t="shared" si="1417"/>
      </c>
      <c r="FM200" s="706" t="str">
        <f t="shared" si="1417"/>
      </c>
      <c r="FN200" s="706" t="str">
        <f t="shared" si="1417"/>
      </c>
      <c r="FO200" s="706" t="str">
        <f t="shared" si="1417"/>
      </c>
      <c r="FP200" s="706" t="str">
        <f t="shared" si="1417"/>
      </c>
      <c r="FQ200" s="706" t="str">
        <f t="shared" si="1417"/>
      </c>
      <c r="FR200" s="706" t="str">
        <f t="shared" si="1417"/>
      </c>
      <c r="FS200" s="706" t="str">
        <f t="shared" si="1417"/>
      </c>
      <c r="FT200" s="706" t="str">
        <f t="shared" si="1417"/>
      </c>
      <c r="FU200" s="706" t="str">
        <f t="shared" si="1417"/>
      </c>
    </row>
    <row r="201" spans="1:214" s="970" customFormat="1" ht="10.199999999999999">
      <c r="A201" s="972" t="s">
        <v>1476</v>
      </c>
      <c r="B201" s="967"/>
      <c r="C201" s="967"/>
      <c r="D201" s="967"/>
      <c r="E201" s="966"/>
      <c r="F201" s="967"/>
      <c r="G201" s="967"/>
      <c r="H201" s="967"/>
      <c r="I201" s="966"/>
      <c r="J201" s="967"/>
      <c r="K201" s="967"/>
      <c r="L201" s="967"/>
      <c r="M201" s="966"/>
      <c r="N201" s="967"/>
      <c r="O201" s="967"/>
      <c r="P201" s="967"/>
      <c r="Q201" s="966"/>
      <c r="R201" s="967"/>
      <c r="S201" s="967"/>
      <c r="T201" s="967"/>
      <c r="U201" s="966"/>
      <c r="V201" s="967"/>
      <c r="W201" s="967"/>
      <c r="X201" s="967"/>
      <c r="Y201" s="966"/>
      <c r="Z201" s="967"/>
      <c r="AA201" s="967"/>
      <c r="AB201" s="967"/>
      <c r="AC201" s="966"/>
      <c r="AD201" s="967"/>
      <c r="AE201" s="967"/>
      <c r="AF201" s="967"/>
      <c r="AG201" s="966"/>
      <c r="AH201" s="967"/>
      <c r="AI201" s="967"/>
      <c r="AJ201" s="967"/>
      <c r="AK201" s="966"/>
      <c r="AL201" s="967"/>
      <c r="AM201" s="967"/>
      <c r="AN201" s="967"/>
      <c r="AO201" s="966"/>
      <c r="AP201" s="967"/>
      <c r="AQ201" s="967"/>
      <c r="AR201" s="967"/>
      <c r="AS201" s="966"/>
      <c r="AT201" s="967"/>
      <c r="AU201" s="967"/>
      <c r="AV201" s="967"/>
      <c r="AW201" s="966"/>
      <c r="AX201" s="972"/>
      <c r="AY201" s="972"/>
      <c r="AZ201" s="972"/>
      <c r="BA201" s="1166"/>
      <c r="BB201" s="972"/>
      <c r="BC201" s="972"/>
      <c r="BD201" s="972"/>
      <c r="BE201" s="1166"/>
      <c r="BF201" s="972"/>
      <c r="BG201" s="972"/>
      <c r="BH201" s="972"/>
      <c r="BI201" s="1166"/>
      <c r="BJ201" s="972"/>
      <c r="BK201" s="972"/>
      <c r="BL201" s="972"/>
      <c r="BM201" s="1166"/>
      <c r="BN201" s="972"/>
      <c r="BO201" s="972"/>
      <c r="BP201" s="972"/>
      <c r="BQ201" s="1166"/>
      <c r="BR201" s="972">
        <f t="shared" ref="BR201:CW201" si="1418">BR92</f>
      </c>
      <c r="BS201" s="972">
        <f t="shared" si="1418"/>
      </c>
      <c r="BT201" s="972">
        <f t="shared" si="1418"/>
      </c>
      <c r="BU201" s="1166">
        <f t="shared" si="1418"/>
      </c>
      <c r="BV201" s="972">
        <f t="shared" si="1418"/>
      </c>
      <c r="BW201" s="972">
        <f t="shared" si="1418"/>
      </c>
      <c r="BX201" s="972">
        <f t="shared" si="1418"/>
      </c>
      <c r="BY201" s="1166">
        <f t="shared" si="1418"/>
      </c>
      <c r="BZ201" s="972">
        <f t="shared" si="1418"/>
      </c>
      <c r="CA201" s="972">
        <f t="shared" si="1418"/>
      </c>
      <c r="CB201" s="972">
        <f t="shared" si="1418"/>
      </c>
      <c r="CC201" s="1166">
        <f t="shared" si="1418"/>
      </c>
      <c r="CD201" s="972">
        <f t="shared" si="1418"/>
      </c>
      <c r="CE201" s="972">
        <f t="shared" si="1418"/>
      </c>
      <c r="CF201" s="972">
        <f t="shared" si="1418"/>
      </c>
      <c r="CG201" s="1166">
        <f t="shared" si="1418"/>
      </c>
      <c r="CH201" s="972">
        <f t="shared" si="1418"/>
      </c>
      <c r="CI201" s="972">
        <f t="shared" si="1418"/>
      </c>
      <c r="CJ201" s="972">
        <f t="shared" si="1418"/>
      </c>
      <c r="CK201" s="1166">
        <f t="shared" si="1418"/>
      </c>
      <c r="CL201" s="972">
        <f t="shared" si="1418"/>
      </c>
      <c r="CM201" s="972">
        <f t="shared" si="1418"/>
      </c>
      <c r="CN201" s="972">
        <f t="shared" si="1418"/>
      </c>
      <c r="CO201" s="1166">
        <f t="shared" si="1418"/>
      </c>
      <c r="CP201" s="972">
        <f t="shared" si="1418"/>
      </c>
      <c r="CQ201" s="972">
        <f t="shared" si="1418"/>
      </c>
      <c r="CR201" s="972">
        <f t="shared" si="1418"/>
      </c>
      <c r="CS201" s="1166">
        <f t="shared" si="1418"/>
      </c>
      <c r="CT201" s="972">
        <f t="shared" si="1418"/>
      </c>
      <c r="CU201" s="972">
        <f t="shared" si="1418"/>
      </c>
      <c r="CV201" s="972">
        <f t="shared" si="1418"/>
      </c>
      <c r="CW201" s="1166">
        <f t="shared" si="1418"/>
      </c>
      <c r="CX201" s="972">
        <f t="shared" ref="CX201:DU201" si="1419">CX92</f>
      </c>
      <c r="CY201" s="972">
        <f t="shared" si="1419"/>
      </c>
      <c r="CZ201" s="972">
        <f t="shared" si="1419"/>
      </c>
      <c r="DA201" s="1166">
        <f t="shared" si="1419"/>
      </c>
      <c r="DB201" s="972">
        <f t="shared" si="1419"/>
      </c>
      <c r="DC201" s="972">
        <f t="shared" si="1419"/>
      </c>
      <c r="DD201" s="972">
        <f t="shared" si="1419"/>
      </c>
      <c r="DE201" s="1166">
        <f t="shared" si="1419"/>
      </c>
      <c r="DF201" s="972">
        <f t="shared" si="1419"/>
      </c>
      <c r="DG201" s="972">
        <f t="shared" si="1419"/>
      </c>
      <c r="DH201" s="972">
        <f t="shared" si="1419"/>
      </c>
      <c r="DI201" s="1166">
        <f t="shared" si="1419"/>
      </c>
      <c r="DJ201" s="972">
        <f t="shared" si="1419"/>
      </c>
      <c r="DK201" s="972">
        <f t="shared" si="1419"/>
      </c>
      <c r="DL201" s="972">
        <f t="shared" si="1419"/>
      </c>
      <c r="DM201" s="1166">
        <f t="shared" si="1419"/>
      </c>
      <c r="DN201" s="972">
        <f>DN92</f>
      </c>
      <c r="DO201" s="972">
        <f>DO92</f>
      </c>
      <c r="DP201" s="972">
        <f>DP92</f>
      </c>
      <c r="DQ201" s="1166">
        <f>DQ92</f>
      </c>
      <c r="DR201" s="972">
        <f>DR92</f>
      </c>
      <c r="DS201" s="972">
        <f t="shared" si="1419"/>
      </c>
      <c r="DT201" s="972">
        <f t="shared" si="1419"/>
      </c>
      <c r="DU201" s="1166">
        <f t="shared" si="1419"/>
      </c>
      <c r="DV201" s="972">
        <f t="shared" ref="DV201:EK201" si="1420">DV92</f>
      </c>
      <c r="DW201" s="972">
        <f t="shared" si="1420"/>
      </c>
      <c r="DX201" s="972">
        <f t="shared" si="1420"/>
      </c>
      <c r="DY201" s="1166">
        <f t="shared" si="1420"/>
      </c>
      <c r="DZ201" s="972">
        <f t="shared" si="1420"/>
      </c>
      <c r="EA201" s="972">
        <f t="shared" si="1420"/>
      </c>
      <c r="EB201" s="972">
        <f t="shared" si="1420"/>
      </c>
      <c r="EC201" s="1166">
        <f t="shared" si="1420"/>
      </c>
      <c r="ED201" s="972">
        <f t="shared" si="1420"/>
      </c>
      <c r="EE201" s="972">
        <f t="shared" si="1420"/>
      </c>
      <c r="EF201" s="972">
        <f t="shared" si="1420"/>
      </c>
      <c r="EG201" s="1166">
        <f t="shared" si="1420"/>
      </c>
      <c r="EH201" s="972">
        <f t="shared" si="1420"/>
      </c>
      <c r="EI201" s="972">
        <f t="shared" si="1420"/>
      </c>
      <c r="EJ201" s="972">
        <f t="shared" si="1420"/>
      </c>
      <c r="EK201" s="1166">
        <f t="shared" si="1420"/>
      </c>
      <c r="FA201" s="70"/>
      <c r="FB201" s="70"/>
      <c r="FC201" s="70"/>
      <c r="FD201" s="70">
        <f>SUM(BR201:BU201)</f>
      </c>
      <c r="FE201" s="70">
        <f>SUM(BV201:BY201)</f>
      </c>
      <c r="FF201" s="70">
        <f>SUM(BZ201:CC201)</f>
      </c>
      <c r="FG201" s="70">
        <f>SUM(CD201:CG201)</f>
      </c>
      <c r="FH201" s="70">
        <f>SUM(CH201:CK201)</f>
      </c>
      <c r="FI201" s="70">
        <f>SUM(CL201:CO201)</f>
      </c>
      <c r="FJ201" s="70">
        <f>SUM(CP201:CS201)</f>
      </c>
      <c r="FK201" s="70">
        <f>SUM(CT201:CW201)</f>
      </c>
      <c r="FL201" s="70">
        <f>SUM(CX201:DA201)</f>
      </c>
      <c r="FM201" s="70">
        <f>SUM(DB201:DE201)</f>
      </c>
      <c r="FN201" s="70">
        <f>SUM(DF201:DI201)</f>
      </c>
      <c r="FO201" s="70">
        <f>SUM(DJ201:DM201)</f>
      </c>
      <c r="FP201" s="70">
        <f>SUM(DN201:DQ201)</f>
      </c>
      <c r="FQ201" s="70">
        <f>SUM(DR201:DU201)</f>
      </c>
      <c r="FR201" s="70">
        <f>SUM(DV201:DY201)</f>
      </c>
      <c r="FS201" s="70">
        <f>SUM(DZ201:EC201)</f>
      </c>
      <c r="FT201" s="70">
        <f>SUM(ED201:EG201)</f>
      </c>
      <c r="FU201" s="70">
        <f>SUM(EH201:EK201)</f>
      </c>
      <c r="FW201" s="1056"/>
    </row>
    <row r="202" spans="1:214" s="970" customFormat="1" ht="10.199999999999999">
      <c r="A202" s="972" t="s">
        <v>1477</v>
      </c>
      <c r="B202" s="967"/>
      <c r="C202" s="967"/>
      <c r="D202" s="967"/>
      <c r="E202" s="966"/>
      <c r="F202" s="967"/>
      <c r="G202" s="967"/>
      <c r="H202" s="967"/>
      <c r="I202" s="966"/>
      <c r="J202" s="967"/>
      <c r="K202" s="967"/>
      <c r="L202" s="967"/>
      <c r="M202" s="966"/>
      <c r="N202" s="967"/>
      <c r="O202" s="967"/>
      <c r="P202" s="967"/>
      <c r="Q202" s="966"/>
      <c r="R202" s="967"/>
      <c r="S202" s="967"/>
      <c r="T202" s="967"/>
      <c r="U202" s="966"/>
      <c r="V202" s="967"/>
      <c r="W202" s="967"/>
      <c r="X202" s="967"/>
      <c r="Y202" s="966"/>
      <c r="Z202" s="967"/>
      <c r="AA202" s="967"/>
      <c r="AB202" s="967"/>
      <c r="AC202" s="966"/>
      <c r="AD202" s="967"/>
      <c r="AE202" s="967"/>
      <c r="AF202" s="967"/>
      <c r="AG202" s="966"/>
      <c r="AH202" s="967"/>
      <c r="AI202" s="967"/>
      <c r="AJ202" s="967"/>
      <c r="AK202" s="966"/>
      <c r="AL202" s="967"/>
      <c r="AM202" s="967"/>
      <c r="AN202" s="967"/>
      <c r="AO202" s="966"/>
      <c r="AP202" s="967"/>
      <c r="AQ202" s="967"/>
      <c r="AR202" s="967"/>
      <c r="AS202" s="966"/>
      <c r="AT202" s="967"/>
      <c r="AU202" s="967"/>
      <c r="AV202" s="967"/>
      <c r="AW202" s="966"/>
      <c r="AX202" s="972"/>
      <c r="AY202" s="972"/>
      <c r="AZ202" s="972"/>
      <c r="BA202" s="1166"/>
      <c r="BB202" s="972"/>
      <c r="BC202" s="972"/>
      <c r="BD202" s="972"/>
      <c r="BE202" s="1166"/>
      <c r="BF202" s="972"/>
      <c r="BG202" s="972"/>
      <c r="BH202" s="972"/>
      <c r="BI202" s="1166"/>
      <c r="BJ202" s="972"/>
      <c r="BK202" s="972"/>
      <c r="BL202" s="972"/>
      <c r="BM202" s="1166"/>
      <c r="BN202" s="972"/>
      <c r="BO202" s="972"/>
      <c r="BP202" s="972"/>
      <c r="BQ202" s="1166"/>
      <c r="BR202" s="2039">
        <f>BR201-BR203</f>
      </c>
      <c r="BS202" s="2039">
        <f t="shared" ref="BS202" si="1421">BS201-BS203</f>
      </c>
      <c r="BT202" s="2039">
        <f t="shared" ref="BT202" si="1422">BT201-BT203</f>
      </c>
      <c r="BU202" s="2040">
        <f t="shared" ref="BU202" si="1423">BU201-BU203</f>
      </c>
      <c r="BV202" s="2039">
        <f>BV201-BV203</f>
      </c>
      <c r="BW202" s="2039">
        <f t="shared" ref="BW202" si="1424">BW201-BW203</f>
      </c>
      <c r="BX202" s="2039">
        <f t="shared" ref="BX202" si="1425">BX201-BX203</f>
      </c>
      <c r="BY202" s="2040">
        <f t="shared" ref="BY202" si="1426">BY201-BY203</f>
      </c>
      <c r="BZ202" s="2039">
        <f>BZ201-BZ203</f>
      </c>
      <c r="CA202" s="2039">
        <f t="shared" ref="CA202" si="1427">CA201-CA203</f>
      </c>
      <c r="CB202" s="2039">
        <f t="shared" ref="CB202" si="1428">CB201-CB203</f>
      </c>
      <c r="CC202" s="2040">
        <f t="shared" ref="CC202" si="1429">CC201-CC203</f>
      </c>
      <c r="CD202" s="972">
        <f>CD215</f>
      </c>
      <c r="CE202" s="972">
        <f t="shared" ref="CE202:CO202" si="1430">CE215</f>
      </c>
      <c r="CF202" s="972">
        <f t="shared" si="1430"/>
      </c>
      <c r="CG202" s="1166">
        <f t="shared" si="1430"/>
      </c>
      <c r="CH202" s="972">
        <f t="shared" si="1430"/>
      </c>
      <c r="CI202" s="972">
        <f t="shared" si="1430"/>
      </c>
      <c r="CJ202" s="972">
        <f t="shared" si="1430"/>
      </c>
      <c r="CK202" s="1166">
        <f t="shared" si="1430"/>
      </c>
      <c r="CL202" s="972">
        <f t="shared" si="1430"/>
      </c>
      <c r="CM202" s="972">
        <f t="shared" si="1430"/>
      </c>
      <c r="CN202" s="972">
        <f t="shared" si="1430"/>
      </c>
      <c r="CO202" s="1166">
        <f t="shared" si="1430"/>
      </c>
      <c r="CP202" s="2039">
        <f t="shared" ref="CP202:DD202" si="1431">CP201-CP203</f>
      </c>
      <c r="CQ202" s="2039">
        <f t="shared" si="1431"/>
      </c>
      <c r="CR202" s="2039">
        <f t="shared" si="1431"/>
      </c>
      <c r="CS202" s="2040">
        <f t="shared" si="1431"/>
      </c>
      <c r="CT202" s="2039">
        <f t="shared" si="1431"/>
      </c>
      <c r="CU202" s="2039">
        <f t="shared" si="1431"/>
      </c>
      <c r="CV202" s="2039">
        <f t="shared" si="1431"/>
      </c>
      <c r="CW202" s="2040">
        <f t="shared" si="1431"/>
      </c>
      <c r="CX202" s="2039">
        <f t="shared" si="1431"/>
      </c>
      <c r="CY202" s="2039">
        <f t="shared" si="1431"/>
      </c>
      <c r="CZ202" s="2039">
        <f t="shared" si="1431"/>
      </c>
      <c r="DA202" s="2040">
        <f t="shared" si="1431"/>
      </c>
      <c r="DB202" s="2039">
        <f t="shared" si="1431"/>
      </c>
      <c r="DC202" s="2039">
        <f t="shared" si="1431"/>
      </c>
      <c r="DD202" s="2039">
        <f t="shared" si="1431"/>
      </c>
      <c r="DE202" s="1166">
        <f t="shared" ref="DE202:DM202" si="1432">DA202*(1+DE209)</f>
      </c>
      <c r="DF202" s="972">
        <f t="shared" si="1432"/>
      </c>
      <c r="DG202" s="972">
        <f t="shared" si="1432"/>
      </c>
      <c r="DH202" s="972">
        <f t="shared" si="1432"/>
      </c>
      <c r="DI202" s="1166">
        <f t="shared" si="1432"/>
      </c>
      <c r="DJ202" s="972">
        <f t="shared" si="1432"/>
      </c>
      <c r="DK202" s="972">
        <f>DG202*(1+DK209)</f>
      </c>
      <c r="DL202" s="972">
        <f>DH202*(1+DL209)</f>
      </c>
      <c r="DM202" s="1166">
        <f t="shared" si="1432"/>
      </c>
      <c r="DN202" s="972">
        <f t="shared" ref="DN202:DV202" si="1433">DJ202*(1+DN209)</f>
      </c>
      <c r="DO202" s="972">
        <f t="shared" si="1433"/>
      </c>
      <c r="DP202" s="972">
        <f t="shared" si="1433"/>
      </c>
      <c r="DQ202" s="1166">
        <f t="shared" si="1433"/>
      </c>
      <c r="DR202" s="972">
        <f t="shared" si="1433"/>
      </c>
      <c r="DS202" s="972">
        <f t="shared" si="1433"/>
      </c>
      <c r="DT202" s="972">
        <f t="shared" si="1433"/>
      </c>
      <c r="DU202" s="1166">
        <f t="shared" si="1433"/>
      </c>
      <c r="DV202" s="972">
        <f t="shared" si="1433"/>
      </c>
      <c r="DW202" s="972">
        <f t="shared" ref="DW202" si="1434">DS202*(1+DW209)</f>
      </c>
      <c r="DX202" s="972">
        <f t="shared" ref="DX202" si="1435">DT202*(1+DX209)</f>
      </c>
      <c r="DY202" s="1166">
        <f t="shared" ref="DY202" si="1436">DU202*(1+DY209)</f>
      </c>
      <c r="DZ202" s="972">
        <f t="shared" ref="DZ202" si="1437">DV202*(1+DZ209)</f>
      </c>
      <c r="EA202" s="972">
        <f t="shared" ref="EA202" si="1438">DW202*(1+EA209)</f>
      </c>
      <c r="EB202" s="972">
        <f t="shared" ref="EB202" si="1439">DX202*(1+EB209)</f>
      </c>
      <c r="EC202" s="1166">
        <f t="shared" ref="EC202" si="1440">DY202*(1+EC209)</f>
      </c>
      <c r="ED202" s="972">
        <f t="shared" ref="ED202" si="1441">DZ202*(1+ED209)</f>
      </c>
      <c r="EE202" s="972">
        <f t="shared" ref="EE202" si="1442">EA202*(1+EE209)</f>
      </c>
      <c r="EF202" s="972">
        <f t="shared" ref="EF202" si="1443">EB202*(1+EF209)</f>
      </c>
      <c r="EG202" s="1166">
        <f t="shared" ref="EG202" si="1444">EC202*(1+EG209)</f>
      </c>
      <c r="EH202" s="972">
        <f t="shared" ref="EH202" si="1445">ED202*(1+EH209)</f>
      </c>
      <c r="EI202" s="972">
        <f t="shared" ref="EI202" si="1446">EE202*(1+EI209)</f>
      </c>
      <c r="EJ202" s="972">
        <f t="shared" ref="EJ202" si="1447">EF202*(1+EJ209)</f>
      </c>
      <c r="EK202" s="1166">
        <f t="shared" ref="EK202" si="1448">EG202*(1+EK209)</f>
      </c>
      <c r="FA202" s="70"/>
      <c r="FB202" s="70"/>
      <c r="FC202" s="70"/>
      <c r="FD202" s="70">
        <f>SUM(BR202:BU202)</f>
      </c>
      <c r="FE202" s="70">
        <f>SUM(BV202:BY202)</f>
      </c>
      <c r="FF202" s="70">
        <f>SUM(BZ202:CC202)</f>
      </c>
      <c r="FG202" s="70">
        <f>SUM(CD202:CG202)</f>
      </c>
      <c r="FH202" s="70">
        <f>SUM(CH202:CK202)</f>
      </c>
      <c r="FI202" s="70">
        <f>SUM(CL202:CO202)</f>
      </c>
      <c r="FJ202" s="70">
        <f>SUM(CP202:CS202)</f>
      </c>
      <c r="FK202" s="70">
        <f>SUM(CT202:CW202)</f>
      </c>
      <c r="FL202" s="70">
        <f>SUM(CX202:DA202)</f>
      </c>
      <c r="FM202" s="70">
        <f>SUM(DB202:DE202)</f>
      </c>
      <c r="FN202" s="70">
        <f>SUM(DF202:DI202)</f>
      </c>
      <c r="FO202" s="70">
        <f>SUM(DJ202:DM202)</f>
      </c>
      <c r="FP202" s="70">
        <f>SUM(DN202:DQ202)</f>
      </c>
      <c r="FQ202" s="70">
        <f>SUM(DR202:DU202)</f>
      </c>
      <c r="FR202" s="70">
        <f>SUM(DV202:DY202)</f>
      </c>
      <c r="FS202" s="70">
        <f>SUM(DZ202:EC202)</f>
      </c>
      <c r="FT202" s="70">
        <f>SUM(ED202:EG202)</f>
      </c>
      <c r="FU202" s="70">
        <f>SUM(EH202:EK202)</f>
      </c>
      <c r="FW202" s="1056"/>
    </row>
    <row r="203" spans="1:214" s="89" customFormat="1" ht="10.199999999999999">
      <c r="A203" s="152" t="s">
        <v>1114</v>
      </c>
      <c r="E203" s="260"/>
      <c r="I203" s="260"/>
      <c r="M203" s="260"/>
      <c r="Q203" s="260"/>
      <c r="U203" s="260"/>
      <c r="Y203" s="260"/>
      <c r="Z203" s="62"/>
      <c r="AA203" s="62"/>
      <c r="AB203" s="62"/>
      <c r="AC203" s="226"/>
      <c r="AD203" s="62"/>
      <c r="AE203" s="62"/>
      <c r="AF203" s="62"/>
      <c r="AG203" s="226"/>
      <c r="AH203" s="62"/>
      <c r="AI203" s="62"/>
      <c r="AJ203" s="62"/>
      <c r="AK203" s="226"/>
      <c r="AL203" s="62"/>
      <c r="AM203" s="62"/>
      <c r="AN203" s="62"/>
      <c r="AO203" s="226"/>
      <c r="AP203" s="62"/>
      <c r="AQ203" s="62"/>
      <c r="AR203" s="62"/>
      <c r="AS203" s="226"/>
      <c r="AT203" s="62"/>
      <c r="AU203" s="62"/>
      <c r="AV203" s="62"/>
      <c r="AW203" s="227"/>
      <c r="AX203" s="72"/>
      <c r="AY203" s="72"/>
      <c r="AZ203" s="72"/>
      <c r="BA203" s="227"/>
      <c r="BB203" s="72"/>
      <c r="BC203" s="72"/>
      <c r="BD203" s="72"/>
      <c r="BE203" s="227"/>
      <c r="BF203" s="72"/>
      <c r="BG203" s="72"/>
      <c r="BH203" s="72"/>
      <c r="BI203" s="227"/>
      <c r="BJ203" s="72"/>
      <c r="BK203" s="72"/>
      <c r="BL203" s="72"/>
      <c r="BM203" s="227"/>
      <c r="BN203" s="72"/>
      <c r="BO203" s="72"/>
      <c r="BP203" s="72"/>
      <c r="BQ203" s="227"/>
      <c r="BR203" s="425">
        <v>1.5</v>
      </c>
      <c r="BS203" s="425">
        <v>1</v>
      </c>
      <c r="BT203" s="425">
        <v>-0.6</v>
      </c>
      <c r="BU203" s="331">
        <v>3.3</v>
      </c>
      <c r="BV203" s="425">
        <v>1</v>
      </c>
      <c r="BW203" s="425">
        <v>0.1</v>
      </c>
      <c r="BX203" s="425">
        <v>-0.15</v>
      </c>
      <c r="BY203" s="331">
        <v>1</v>
      </c>
      <c r="BZ203" s="425">
        <v>-0.2</v>
      </c>
      <c r="CA203" s="425">
        <v>1</v>
      </c>
      <c r="CB203" s="425">
        <v>-0.6</v>
      </c>
      <c r="CC203" s="331">
        <v>1.9</v>
      </c>
      <c r="CD203" s="2009">
        <f>CD201-CD202</f>
      </c>
      <c r="CE203" s="2009">
        <f t="shared" ref="CE203:CO203" si="1449">CE201-CE202</f>
      </c>
      <c r="CF203" s="2009">
        <f t="shared" si="1449"/>
      </c>
      <c r="CG203" s="2024">
        <f t="shared" si="1449"/>
      </c>
      <c r="CH203" s="2009">
        <f t="shared" si="1449"/>
      </c>
      <c r="CI203" s="2009">
        <f t="shared" si="1449"/>
      </c>
      <c r="CJ203" s="2009">
        <f t="shared" si="1449"/>
      </c>
      <c r="CK203" s="2024">
        <f t="shared" si="1449"/>
      </c>
      <c r="CL203" s="2009">
        <f t="shared" si="1449"/>
      </c>
      <c r="CM203" s="2009">
        <f t="shared" si="1449"/>
      </c>
      <c r="CN203" s="2009">
        <f t="shared" si="1449"/>
      </c>
      <c r="CO203" s="2024">
        <f t="shared" si="1449"/>
      </c>
      <c r="CP203" s="777">
        <v>1.5</v>
      </c>
      <c r="CQ203" s="777">
        <f>CM203</f>
      </c>
      <c r="CR203" s="777">
        <v>-2</v>
      </c>
      <c r="CS203" s="776">
        <f>CO203</f>
      </c>
      <c r="CT203" s="777">
        <v>2</v>
      </c>
      <c r="CU203" s="777">
        <v>-3</v>
      </c>
      <c r="CV203" s="777">
        <v>-3</v>
      </c>
      <c r="CW203" s="776">
        <v>2.5</v>
      </c>
      <c r="CX203" s="777">
        <v>3.2</v>
      </c>
      <c r="CY203" s="777">
        <v>-4</v>
      </c>
      <c r="CZ203" s="777">
        <v>-3.5</v>
      </c>
      <c r="DA203" s="776">
        <v>-2</v>
      </c>
      <c r="DB203" s="777">
        <v>-1</v>
      </c>
      <c r="DC203" s="777">
        <v>0</v>
      </c>
      <c r="DD203" s="777">
        <v>0</v>
      </c>
      <c r="DE203" s="2024">
        <f>DE201-DE202</f>
      </c>
      <c r="DF203" s="2009">
        <f t="shared" ref="DF203:DU203" si="1450">DF201-DF202</f>
      </c>
      <c r="DG203" s="2009">
        <f t="shared" si="1450"/>
      </c>
      <c r="DH203" s="2009">
        <f t="shared" si="1450"/>
      </c>
      <c r="DI203" s="2024">
        <f t="shared" si="1450"/>
      </c>
      <c r="DJ203" s="2009">
        <f t="shared" si="1450"/>
      </c>
      <c r="DK203" s="2009">
        <f t="shared" si="1450"/>
      </c>
      <c r="DL203" s="2009">
        <f t="shared" si="1450"/>
      </c>
      <c r="DM203" s="2024">
        <f t="shared" si="1450"/>
      </c>
      <c r="DN203" s="2009">
        <f t="shared" si="1450"/>
      </c>
      <c r="DO203" s="2009">
        <f t="shared" si="1450"/>
      </c>
      <c r="DP203" s="2009">
        <f t="shared" si="1450"/>
      </c>
      <c r="DQ203" s="2024">
        <f t="shared" si="1450"/>
      </c>
      <c r="DR203" s="2009">
        <f t="shared" si="1450"/>
      </c>
      <c r="DS203" s="2009">
        <f t="shared" si="1450"/>
      </c>
      <c r="DT203" s="2009">
        <f t="shared" si="1450"/>
      </c>
      <c r="DU203" s="2024">
        <f t="shared" si="1450"/>
      </c>
      <c r="DV203" s="2009">
        <f t="shared" ref="DV203:EK203" si="1451">DV201-DV202</f>
      </c>
      <c r="DW203" s="2009">
        <f t="shared" si="1451"/>
      </c>
      <c r="DX203" s="2009">
        <f t="shared" si="1451"/>
      </c>
      <c r="DY203" s="2024">
        <f t="shared" si="1451"/>
      </c>
      <c r="DZ203" s="2009">
        <f t="shared" si="1451"/>
      </c>
      <c r="EA203" s="2009">
        <f t="shared" si="1451"/>
      </c>
      <c r="EB203" s="2009">
        <f t="shared" si="1451"/>
      </c>
      <c r="EC203" s="2024">
        <f t="shared" si="1451"/>
      </c>
      <c r="ED203" s="2009">
        <f t="shared" si="1451"/>
      </c>
      <c r="EE203" s="2009">
        <f t="shared" si="1451"/>
      </c>
      <c r="EF203" s="2009">
        <f t="shared" si="1451"/>
      </c>
      <c r="EG203" s="2024">
        <f t="shared" si="1451"/>
      </c>
      <c r="EH203" s="2009">
        <f t="shared" si="1451"/>
      </c>
      <c r="EI203" s="2009">
        <f t="shared" si="1451"/>
      </c>
      <c r="EJ203" s="2009">
        <f t="shared" si="1451"/>
      </c>
      <c r="EK203" s="2024">
        <f t="shared" si="1451"/>
      </c>
      <c r="FD203" s="70">
        <f t="shared" ref="FD203:FF203" si="1452">FD201-FD202</f>
      </c>
      <c r="FE203" s="70">
        <f t="shared" si="1452"/>
      </c>
      <c r="FF203" s="70">
        <f t="shared" si="1452"/>
      </c>
      <c r="FG203" s="70">
        <f t="shared" ref="FG203:FQ203" si="1453">FG201-FG202</f>
      </c>
      <c r="FH203" s="70">
        <f t="shared" si="1453"/>
      </c>
      <c r="FI203" s="70">
        <f t="shared" si="1453"/>
      </c>
      <c r="FJ203" s="70">
        <f t="shared" si="1453"/>
      </c>
      <c r="FK203" s="70">
        <f t="shared" si="1453"/>
      </c>
      <c r="FL203" s="70">
        <f t="shared" si="1453"/>
      </c>
      <c r="FM203" s="70">
        <f t="shared" si="1453"/>
      </c>
      <c r="FN203" s="70">
        <f t="shared" si="1453"/>
      </c>
      <c r="FO203" s="70">
        <f t="shared" si="1453"/>
      </c>
      <c r="FP203" s="70">
        <f t="shared" si="1453"/>
      </c>
      <c r="FQ203" s="70">
        <f t="shared" si="1453"/>
      </c>
      <c r="FR203" s="70">
        <f t="shared" ref="FR203:FU203" si="1454">FR201-FR202</f>
      </c>
      <c r="FS203" s="70">
        <f t="shared" si="1454"/>
      </c>
      <c r="FT203" s="70">
        <f t="shared" si="1454"/>
      </c>
      <c r="FU203" s="70">
        <f t="shared" si="1454"/>
      </c>
    </row>
    <row r="204" spans="1:214" s="89" customFormat="1" ht="10.199999999999999">
      <c r="A204" s="152" t="s">
        <v>1115</v>
      </c>
      <c r="E204" s="260"/>
      <c r="I204" s="260"/>
      <c r="M204" s="260"/>
      <c r="Q204" s="260"/>
      <c r="U204" s="260"/>
      <c r="Y204" s="260"/>
      <c r="Z204" s="62"/>
      <c r="AA204" s="62"/>
      <c r="AB204" s="62"/>
      <c r="AC204" s="226"/>
      <c r="AD204" s="62"/>
      <c r="AE204" s="62"/>
      <c r="AF204" s="62"/>
      <c r="AG204" s="226"/>
      <c r="AH204" s="62"/>
      <c r="AI204" s="62"/>
      <c r="AJ204" s="62"/>
      <c r="AK204" s="226"/>
      <c r="AL204" s="62"/>
      <c r="AM204" s="62"/>
      <c r="AN204" s="62"/>
      <c r="AO204" s="226"/>
      <c r="AP204" s="62"/>
      <c r="AQ204" s="62"/>
      <c r="AR204" s="62"/>
      <c r="AS204" s="226"/>
      <c r="AT204" s="62"/>
      <c r="AU204" s="62"/>
      <c r="AV204" s="62"/>
      <c r="AW204" s="227"/>
      <c r="AX204" s="72"/>
      <c r="AY204" s="72"/>
      <c r="AZ204" s="72"/>
      <c r="BA204" s="227"/>
      <c r="BB204" s="72"/>
      <c r="BC204" s="72"/>
      <c r="BD204" s="72"/>
      <c r="BE204" s="227"/>
      <c r="BF204" s="72"/>
      <c r="BG204" s="72"/>
      <c r="BH204" s="72"/>
      <c r="BI204" s="227"/>
      <c r="BJ204" s="72"/>
      <c r="BK204" s="72"/>
      <c r="BL204" s="72"/>
      <c r="BM204" s="227"/>
      <c r="BN204" s="72"/>
      <c r="BO204" s="72"/>
      <c r="BP204" s="72"/>
      <c r="BQ204" s="227"/>
      <c r="BR204" s="425">
        <v>10.6</v>
      </c>
      <c r="BS204" s="426">
        <f t="shared" ref="BS204:CX204" si="1455">BR204+BS203</f>
      </c>
      <c r="BT204" s="426">
        <f t="shared" si="1455"/>
      </c>
      <c r="BU204" s="427">
        <f t="shared" si="1455"/>
      </c>
      <c r="BV204" s="426">
        <f t="shared" si="1455"/>
      </c>
      <c r="BW204" s="426">
        <f t="shared" si="1455"/>
      </c>
      <c r="BX204" s="426">
        <f t="shared" si="1455"/>
      </c>
      <c r="BY204" s="427">
        <f t="shared" si="1455"/>
      </c>
      <c r="BZ204" s="426">
        <f t="shared" si="1455"/>
      </c>
      <c r="CA204" s="426">
        <f t="shared" si="1455"/>
      </c>
      <c r="CB204" s="426">
        <f t="shared" si="1455"/>
      </c>
      <c r="CC204" s="427">
        <f t="shared" si="1455"/>
      </c>
      <c r="CD204" s="426">
        <f t="shared" si="1455"/>
      </c>
      <c r="CE204" s="426">
        <f t="shared" si="1455"/>
      </c>
      <c r="CF204" s="426">
        <f t="shared" si="1455"/>
      </c>
      <c r="CG204" s="427">
        <f t="shared" si="1455"/>
      </c>
      <c r="CH204" s="426">
        <f t="shared" si="1455"/>
      </c>
      <c r="CI204" s="426">
        <f t="shared" si="1455"/>
      </c>
      <c r="CJ204" s="426">
        <f t="shared" si="1455"/>
      </c>
      <c r="CK204" s="427">
        <f t="shared" si="1455"/>
      </c>
      <c r="CL204" s="426">
        <f t="shared" si="1455"/>
      </c>
      <c r="CM204" s="426">
        <f t="shared" si="1455"/>
      </c>
      <c r="CN204" s="426">
        <f t="shared" si="1455"/>
      </c>
      <c r="CO204" s="427">
        <f t="shared" si="1455"/>
      </c>
      <c r="CP204" s="426">
        <f t="shared" si="1455"/>
      </c>
      <c r="CQ204" s="426">
        <f t="shared" si="1455"/>
      </c>
      <c r="CR204" s="426">
        <f t="shared" si="1455"/>
      </c>
      <c r="CS204" s="427">
        <f t="shared" si="1455"/>
      </c>
      <c r="CT204" s="426">
        <f t="shared" si="1455"/>
      </c>
      <c r="CU204" s="426">
        <f t="shared" si="1455"/>
      </c>
      <c r="CV204" s="426">
        <f t="shared" si="1455"/>
      </c>
      <c r="CW204" s="427">
        <f t="shared" si="1455"/>
      </c>
      <c r="CX204" s="426">
        <f t="shared" si="1455"/>
      </c>
      <c r="CY204" s="426">
        <f t="shared" ref="CY204:DU204" si="1456">CX204+CY203</f>
      </c>
      <c r="CZ204" s="426">
        <f t="shared" si="1456"/>
      </c>
      <c r="DA204" s="427">
        <f t="shared" si="1456"/>
      </c>
      <c r="DB204" s="426">
        <f t="shared" si="1456"/>
      </c>
      <c r="DC204" s="426">
        <f t="shared" si="1456"/>
      </c>
      <c r="DD204" s="426">
        <f t="shared" si="1456"/>
      </c>
      <c r="DE204" s="427">
        <f t="shared" si="1456"/>
      </c>
      <c r="DF204" s="426">
        <f t="shared" si="1456"/>
      </c>
      <c r="DG204" s="426">
        <f t="shared" si="1456"/>
      </c>
      <c r="DH204" s="426">
        <f t="shared" si="1456"/>
      </c>
      <c r="DI204" s="427">
        <f t="shared" si="1456"/>
      </c>
      <c r="DJ204" s="426">
        <f t="shared" si="1456"/>
      </c>
      <c r="DK204" s="426">
        <f>DJ204+DK203</f>
      </c>
      <c r="DL204" s="426">
        <f t="shared" si="1456"/>
      </c>
      <c r="DM204" s="427">
        <f>DL204+DM203</f>
      </c>
      <c r="DN204" s="426">
        <f>DM204+DN203</f>
      </c>
      <c r="DO204" s="426">
        <f>DN204+DO203</f>
      </c>
      <c r="DP204" s="426">
        <f t="shared" si="1456"/>
      </c>
      <c r="DQ204" s="427">
        <f>DP204+DQ203</f>
      </c>
      <c r="DR204" s="426">
        <f>DQ204+DR203</f>
      </c>
      <c r="DS204" s="426">
        <f>DR204+DS203</f>
      </c>
      <c r="DT204" s="426">
        <f t="shared" si="1456"/>
      </c>
      <c r="DU204" s="427">
        <f t="shared" si="1456"/>
      </c>
      <c r="DV204" s="426">
        <f t="shared" ref="DV204" si="1457">DU204+DV203</f>
      </c>
      <c r="DW204" s="426">
        <f t="shared" ref="DW204" si="1458">DV204+DW203</f>
      </c>
      <c r="DX204" s="426">
        <f t="shared" ref="DX204" si="1459">DW204+DX203</f>
      </c>
      <c r="DY204" s="427">
        <f t="shared" ref="DY204" si="1460">DX204+DY203</f>
      </c>
      <c r="DZ204" s="426">
        <f t="shared" ref="DZ204" si="1461">DY204+DZ203</f>
      </c>
      <c r="EA204" s="426">
        <f t="shared" ref="EA204" si="1462">DZ204+EA203</f>
      </c>
      <c r="EB204" s="426">
        <f t="shared" ref="EB204" si="1463">EA204+EB203</f>
      </c>
      <c r="EC204" s="427">
        <f t="shared" ref="EC204" si="1464">EB204+EC203</f>
      </c>
      <c r="ED204" s="426">
        <f t="shared" ref="ED204" si="1465">EC204+ED203</f>
      </c>
      <c r="EE204" s="426">
        <f t="shared" ref="EE204" si="1466">ED204+EE203</f>
      </c>
      <c r="EF204" s="426">
        <f t="shared" ref="EF204" si="1467">EE204+EF203</f>
      </c>
      <c r="EG204" s="427">
        <f t="shared" ref="EG204" si="1468">EF204+EG203</f>
      </c>
      <c r="EH204" s="426">
        <f t="shared" ref="EH204" si="1469">EG204+EH203</f>
      </c>
      <c r="EI204" s="426">
        <f t="shared" ref="EI204" si="1470">EH204+EI203</f>
      </c>
      <c r="EJ204" s="426">
        <f t="shared" ref="EJ204" si="1471">EI204+EJ203</f>
      </c>
      <c r="EK204" s="427">
        <f t="shared" ref="EK204" si="1472">EJ204+EK203</f>
      </c>
      <c r="FD204" s="2025">
        <f>BU204</f>
      </c>
      <c r="FE204" s="2025">
        <f t="shared" ref="FE204:FH204" si="1473">FD204+FE203</f>
      </c>
      <c r="FF204" s="2025">
        <f t="shared" si="1473"/>
      </c>
      <c r="FG204" s="2025">
        <f t="shared" si="1473"/>
      </c>
      <c r="FH204" s="2025">
        <f t="shared" si="1473"/>
      </c>
      <c r="FI204" s="2025">
        <f t="shared" ref="FI204" si="1474">FH204+FI203</f>
      </c>
      <c r="FJ204" s="2025">
        <f t="shared" ref="FJ204" si="1475">FI204+FJ203</f>
      </c>
      <c r="FK204" s="2025">
        <f t="shared" ref="FK204" si="1476">FJ204+FK203</f>
      </c>
      <c r="FL204" s="2025">
        <f t="shared" ref="FL204" si="1477">FK204+FL203</f>
      </c>
      <c r="FM204" s="2025">
        <f t="shared" ref="FM204" si="1478">FL204+FM203</f>
      </c>
      <c r="FN204" s="2025">
        <f t="shared" ref="FN204" si="1479">FM204+FN203</f>
      </c>
      <c r="FO204" s="2025">
        <f t="shared" ref="FO204" si="1480">FN204+FO203</f>
      </c>
      <c r="FP204" s="2025">
        <f t="shared" ref="FP204" si="1481">FO204+FP203</f>
      </c>
      <c r="FQ204" s="2025">
        <f t="shared" ref="FQ204" si="1482">FP204+FQ203</f>
      </c>
      <c r="FR204" s="2025">
        <f t="shared" ref="FR204" si="1483">FQ204+FR203</f>
      </c>
      <c r="FS204" s="2025">
        <f t="shared" ref="FS204" si="1484">FR204+FS203</f>
      </c>
      <c r="FT204" s="2025">
        <f t="shared" ref="FT204" si="1485">FS204+FT203</f>
      </c>
      <c r="FU204" s="2025">
        <f t="shared" ref="FU204" si="1486">FT204+FU203</f>
      </c>
    </row>
    <row r="205" spans="1:214" s="970" customFormat="1" ht="10.199999999999999">
      <c r="A205" s="972" t="s">
        <v>1112</v>
      </c>
      <c r="E205" s="971"/>
      <c r="I205" s="971"/>
      <c r="M205" s="971"/>
      <c r="Q205" s="971"/>
      <c r="U205" s="971"/>
      <c r="Y205" s="971"/>
      <c r="AC205" s="971"/>
      <c r="AG205" s="971"/>
      <c r="AK205" s="971"/>
      <c r="AO205" s="971"/>
      <c r="AS205" s="971"/>
      <c r="AW205" s="971"/>
      <c r="BA205" s="971"/>
      <c r="BE205" s="971"/>
      <c r="BI205" s="971"/>
      <c r="BM205" s="971"/>
      <c r="BQ205" s="971"/>
      <c r="BR205" s="2272">
        <f>BR204/(BS202/BR6)</f>
      </c>
      <c r="BS205" s="2272">
        <f t="shared" ref="BS205:DU205" si="1487">BS204/(BT202/BS6)</f>
      </c>
      <c r="BT205" s="2272">
        <f t="shared" si="1487"/>
      </c>
      <c r="BU205" s="2273">
        <f t="shared" si="1487"/>
      </c>
      <c r="BV205" s="2272">
        <f t="shared" si="1487"/>
      </c>
      <c r="BW205" s="2272">
        <f t="shared" si="1487"/>
      </c>
      <c r="BX205" s="2272">
        <f t="shared" si="1487"/>
      </c>
      <c r="BY205" s="2273">
        <f t="shared" si="1487"/>
      </c>
      <c r="BZ205" s="2272">
        <f t="shared" si="1487"/>
      </c>
      <c r="CA205" s="2272">
        <f t="shared" si="1487"/>
      </c>
      <c r="CB205" s="2272">
        <f t="shared" si="1487"/>
      </c>
      <c r="CC205" s="2273">
        <f t="shared" si="1487"/>
      </c>
      <c r="CD205" s="2272">
        <f t="shared" si="1487"/>
      </c>
      <c r="CE205" s="2272">
        <f t="shared" si="1487"/>
      </c>
      <c r="CF205" s="2272">
        <f t="shared" si="1487"/>
      </c>
      <c r="CG205" s="2273">
        <f t="shared" si="1487"/>
      </c>
      <c r="CH205" s="2274">
        <f t="shared" si="1487"/>
      </c>
      <c r="CI205" s="2274">
        <f t="shared" si="1487"/>
      </c>
      <c r="CJ205" s="2274">
        <f t="shared" si="1487"/>
      </c>
      <c r="CK205" s="2275">
        <f t="shared" si="1487"/>
      </c>
      <c r="CL205" s="2274">
        <f t="shared" si="1487"/>
      </c>
      <c r="CM205" s="2274">
        <f t="shared" si="1487"/>
      </c>
      <c r="CN205" s="2274">
        <f t="shared" si="1487"/>
      </c>
      <c r="CO205" s="2275">
        <f t="shared" si="1487"/>
      </c>
      <c r="CP205" s="2274">
        <f t="shared" si="1487"/>
      </c>
      <c r="CQ205" s="2274">
        <f t="shared" si="1487"/>
      </c>
      <c r="CR205" s="2274">
        <f t="shared" si="1487"/>
      </c>
      <c r="CS205" s="2275">
        <f t="shared" si="1487"/>
      </c>
      <c r="CT205" s="2274">
        <f t="shared" si="1487"/>
      </c>
      <c r="CU205" s="2274">
        <f t="shared" si="1487"/>
      </c>
      <c r="CV205" s="2274">
        <f t="shared" si="1487"/>
      </c>
      <c r="CW205" s="2275">
        <f t="shared" si="1487"/>
      </c>
      <c r="CX205" s="2274">
        <f t="shared" si="1487"/>
      </c>
      <c r="CY205" s="2274">
        <f t="shared" si="1487"/>
      </c>
      <c r="CZ205" s="2274">
        <f t="shared" si="1487"/>
      </c>
      <c r="DA205" s="2275">
        <f t="shared" si="1487"/>
      </c>
      <c r="DB205" s="2274">
        <f t="shared" si="1487"/>
      </c>
      <c r="DC205" s="2274">
        <f t="shared" si="1487"/>
      </c>
      <c r="DD205" s="2274">
        <f t="shared" si="1487"/>
      </c>
      <c r="DE205" s="2275">
        <f t="shared" si="1487"/>
      </c>
      <c r="DF205" s="2274">
        <f t="shared" si="1487"/>
      </c>
      <c r="DG205" s="2274">
        <f t="shared" si="1487"/>
      </c>
      <c r="DH205" s="2274">
        <f t="shared" si="1487"/>
      </c>
      <c r="DI205" s="2275">
        <f t="shared" si="1487"/>
      </c>
      <c r="DJ205" s="2274">
        <f t="shared" ref="DJ205:DR205" si="1488">DJ204/(DK202/DJ6)</f>
      </c>
      <c r="DK205" s="2274">
        <f t="shared" si="1488"/>
      </c>
      <c r="DL205" s="2274">
        <f t="shared" si="1488"/>
      </c>
      <c r="DM205" s="2275">
        <f t="shared" si="1488"/>
      </c>
      <c r="DN205" s="2274">
        <f t="shared" si="1488"/>
      </c>
      <c r="DO205" s="2274">
        <f t="shared" si="1488"/>
      </c>
      <c r="DP205" s="2274">
        <f t="shared" si="1488"/>
      </c>
      <c r="DQ205" s="2275">
        <f t="shared" si="1488"/>
      </c>
      <c r="DR205" s="2274">
        <f t="shared" si="1488"/>
      </c>
      <c r="DS205" s="2274">
        <f t="shared" si="1487"/>
      </c>
      <c r="DT205" s="2274">
        <f t="shared" si="1487"/>
      </c>
      <c r="DU205" s="2275">
        <f t="shared" si="1487"/>
      </c>
      <c r="DV205" s="2274">
        <f t="shared" ref="DV205" si="1489">DV204/(DW202/DV6)</f>
      </c>
      <c r="DW205" s="2274">
        <f t="shared" ref="DW205" si="1490">DW204/(DX202/DW6)</f>
      </c>
      <c r="DX205" s="2274">
        <f t="shared" ref="DX205:DY205" si="1491">DX204/(DY202/DX6)</f>
      </c>
      <c r="DY205" s="2275">
        <f t="shared" si="1491"/>
      </c>
      <c r="DZ205" s="2274">
        <f t="shared" ref="DZ205" si="1492">DZ204/(EA202/DZ6)</f>
      </c>
      <c r="EA205" s="2274">
        <f t="shared" ref="EA205" si="1493">EA204/(EB202/EA6)</f>
      </c>
      <c r="EB205" s="2274">
        <f t="shared" ref="EB205:EC205" si="1494">EB204/(EC202/EB6)</f>
      </c>
      <c r="EC205" s="2275">
        <f t="shared" si="1494"/>
      </c>
      <c r="ED205" s="2274">
        <f t="shared" ref="ED205" si="1495">ED204/(EE202/ED6)</f>
      </c>
      <c r="EE205" s="2274">
        <f t="shared" ref="EE205" si="1496">EE204/(EF202/EE6)</f>
      </c>
      <c r="EF205" s="2274">
        <f t="shared" ref="EF205:EG205" si="1497">EF204/(EG202/EF6)</f>
      </c>
      <c r="EG205" s="2275">
        <f t="shared" si="1497"/>
      </c>
      <c r="EH205" s="2274">
        <f t="shared" ref="EH205" si="1498">EH204/(EI202/EH6)</f>
      </c>
      <c r="EI205" s="2274">
        <f t="shared" ref="EI205" si="1499">EI204/(EJ202/EI6)</f>
      </c>
      <c r="EJ205" s="2274">
        <f t="shared" ref="EJ205:EK205" si="1500">EJ204/(EK202/EJ6)</f>
      </c>
      <c r="EK205" s="2275" t="e">
        <f t="shared" si="1500"/>
      </c>
      <c r="EL205" s="2276"/>
      <c r="EM205" s="2276"/>
      <c r="EN205" s="2276"/>
      <c r="EO205" s="2276"/>
      <c r="EP205" s="2276"/>
      <c r="EQ205" s="2276"/>
      <c r="ER205" s="2276"/>
      <c r="ES205" s="2276"/>
      <c r="ET205" s="2276"/>
      <c r="EU205" s="2276"/>
      <c r="EV205" s="2276"/>
      <c r="EW205" s="2276"/>
      <c r="EX205" s="2276"/>
      <c r="EY205" s="2276"/>
      <c r="EZ205" s="2276"/>
      <c r="FA205" s="2276"/>
      <c r="FB205" s="2276"/>
      <c r="FC205" s="2276"/>
      <c r="FD205" s="2276"/>
      <c r="FE205" s="2276"/>
      <c r="FF205" s="2276"/>
      <c r="FG205" s="2276"/>
      <c r="FH205" s="2277">
        <f>CK205</f>
      </c>
      <c r="FI205" s="2277">
        <f>CO205</f>
      </c>
      <c r="FJ205" s="2277">
        <f>CS205</f>
      </c>
      <c r="FK205" s="2277">
        <f>CW205</f>
      </c>
      <c r="FL205" s="2277">
        <f>DA205</f>
      </c>
      <c r="FM205" s="2277">
        <f>DE205</f>
      </c>
      <c r="FN205" s="2277">
        <f>DI205</f>
      </c>
      <c r="FO205" s="2277">
        <f>DM205</f>
      </c>
      <c r="FP205" s="2277">
        <f>DQ205</f>
      </c>
      <c r="FQ205" s="2277">
        <f>DU205</f>
      </c>
      <c r="FR205" s="2277">
        <f>DY205</f>
      </c>
      <c r="FS205" s="2277">
        <f>EC205</f>
      </c>
      <c r="FT205" s="2277">
        <f>EG205</f>
      </c>
      <c r="FU205" s="2277" t="e">
        <f>EK205</f>
      </c>
    </row>
    <row r="206" spans="1:214" s="89" customFormat="1" ht="10.199999999999999">
      <c r="A206" s="152"/>
      <c r="Z206" s="62"/>
      <c r="AA206" s="62"/>
      <c r="AB206" s="62"/>
      <c r="AC206" s="62"/>
      <c r="AD206" s="62"/>
      <c r="AE206" s="62"/>
      <c r="AF206" s="62"/>
      <c r="AG206" s="62"/>
      <c r="AH206" s="62"/>
      <c r="AI206" s="62"/>
      <c r="AJ206" s="62"/>
      <c r="AK206" s="62"/>
      <c r="AL206" s="62"/>
      <c r="AM206" s="62"/>
      <c r="AN206" s="62"/>
      <c r="AO206" s="62"/>
      <c r="AP206" s="62"/>
      <c r="AQ206" s="62"/>
      <c r="AR206" s="62"/>
      <c r="AS206" s="62"/>
      <c r="AT206" s="62"/>
      <c r="AU206" s="62"/>
      <c r="AV206" s="62"/>
      <c r="AW206" s="72"/>
      <c r="AX206" s="72"/>
      <c r="AY206" s="72"/>
      <c r="AZ206" s="72"/>
      <c r="BA206" s="72"/>
      <c r="BB206" s="72"/>
      <c r="BC206" s="72"/>
      <c r="BD206" s="72"/>
      <c r="BE206" s="72"/>
      <c r="BF206" s="72"/>
      <c r="BG206" s="72"/>
      <c r="BH206" s="72"/>
      <c r="BI206" s="72"/>
      <c r="BJ206" s="72"/>
      <c r="BK206" s="72"/>
      <c r="BL206" s="72"/>
      <c r="BM206" s="72"/>
      <c r="BN206" s="72"/>
      <c r="BO206" s="72"/>
      <c r="BP206" s="72"/>
      <c r="BQ206" s="72"/>
      <c r="BR206" s="2009"/>
      <c r="BS206" s="426"/>
      <c r="BT206" s="426"/>
      <c r="BU206" s="2025"/>
      <c r="BV206" s="426"/>
      <c r="BW206" s="426"/>
      <c r="BX206" s="426"/>
      <c r="BY206" s="2025"/>
      <c r="BZ206" s="426"/>
      <c r="CA206" s="426"/>
      <c r="CB206" s="426"/>
      <c r="CC206" s="2025"/>
      <c r="CD206" s="426"/>
      <c r="CE206" s="426"/>
      <c r="CF206" s="426"/>
      <c r="CG206" s="427"/>
      <c r="CH206" s="426"/>
      <c r="CI206" s="426"/>
      <c r="CJ206" s="426"/>
      <c r="CK206" s="427"/>
      <c r="CL206" s="426"/>
      <c r="CM206" s="426"/>
      <c r="CN206" s="426"/>
      <c r="CO206" s="427"/>
      <c r="CP206" s="426"/>
      <c r="CQ206" s="426"/>
      <c r="CR206" s="426"/>
      <c r="CS206" s="427"/>
      <c r="CT206" s="426"/>
      <c r="CU206" s="426"/>
      <c r="CV206" s="426"/>
      <c r="CW206" s="427"/>
      <c r="CX206" s="426"/>
      <c r="CY206" s="426"/>
      <c r="CZ206" s="426"/>
      <c r="DA206" s="427"/>
      <c r="DB206" s="426"/>
      <c r="DC206" s="426"/>
      <c r="DD206" s="426"/>
      <c r="DE206" s="427"/>
      <c r="DF206" s="426"/>
      <c r="DG206" s="426"/>
      <c r="DH206" s="426"/>
      <c r="DI206" s="427"/>
      <c r="DJ206" s="426"/>
      <c r="DK206" s="426"/>
      <c r="DL206" s="426"/>
      <c r="DM206" s="427"/>
      <c r="DN206" s="426"/>
      <c r="DO206" s="426"/>
      <c r="DP206" s="426"/>
      <c r="DQ206" s="427"/>
      <c r="DR206" s="426"/>
      <c r="DS206" s="426"/>
      <c r="DT206" s="426"/>
      <c r="DU206" s="427"/>
      <c r="DV206" s="426"/>
      <c r="DW206" s="426"/>
      <c r="DX206" s="426"/>
      <c r="DY206" s="427"/>
      <c r="DZ206" s="426"/>
      <c r="EA206" s="426"/>
      <c r="EB206" s="426"/>
      <c r="EC206" s="427"/>
      <c r="ED206" s="426"/>
      <c r="EE206" s="426"/>
      <c r="EF206" s="426"/>
      <c r="EG206" s="427"/>
      <c r="EH206" s="426"/>
      <c r="EI206" s="426"/>
      <c r="EJ206" s="426"/>
      <c r="EK206" s="427"/>
      <c r="FF206" s="141"/>
      <c r="FG206" s="141"/>
      <c r="FH206" s="141"/>
    </row>
    <row r="207" spans="1:214" s="342" customFormat="1" ht="11.25" customHeight="1" collapsed="1">
      <c r="A207" s="708" t="s">
        <v>1484</v>
      </c>
      <c r="BR207" s="706" t="str">
        <f>'Revenue summary'!BR$8</f>
      </c>
      <c r="BS207" s="706" t="str">
        <f>'Revenue summary'!BS$8</f>
      </c>
      <c r="BT207" s="706" t="str">
        <f>'Revenue summary'!BT$8</f>
      </c>
      <c r="BU207" s="707" t="str">
        <f>'Revenue summary'!BU$8</f>
      </c>
      <c r="BV207" s="706" t="str">
        <f>'Revenue summary'!BV$8</f>
      </c>
      <c r="BW207" s="706" t="str">
        <f>'Revenue summary'!BW$8</f>
      </c>
      <c r="BX207" s="706" t="str">
        <f>'Revenue summary'!BX$8</f>
      </c>
      <c r="BY207" s="707" t="str">
        <f>'Revenue summary'!BY$8</f>
      </c>
      <c r="BZ207" s="706" t="str">
        <f>'Revenue summary'!BZ$8</f>
      </c>
      <c r="CA207" s="706" t="str">
        <f>'Revenue summary'!CA$8</f>
      </c>
      <c r="CB207" s="706" t="str">
        <f>'Revenue summary'!CB$8</f>
      </c>
      <c r="CC207" s="707" t="str">
        <f>'Revenue summary'!CC$8</f>
      </c>
      <c r="CD207" s="706" t="str">
        <f>'Revenue summary'!CD$8</f>
      </c>
      <c r="CE207" s="706" t="str">
        <f>'Revenue summary'!CE$8</f>
      </c>
      <c r="CF207" s="706" t="str">
        <f>'Revenue summary'!CF$8</f>
      </c>
      <c r="CG207" s="707" t="str">
        <f>'Revenue summary'!CG$8</f>
      </c>
      <c r="CH207" s="706" t="str">
        <f>'Revenue summary'!CH$8</f>
      </c>
      <c r="CI207" s="706" t="str">
        <f>'Revenue summary'!CI$8</f>
      </c>
      <c r="CJ207" s="706" t="str">
        <f>'Revenue summary'!CJ$8</f>
      </c>
      <c r="CK207" s="707" t="str">
        <f>'Revenue summary'!CK$8</f>
      </c>
      <c r="CL207" s="706" t="str">
        <f>'Revenue summary'!CL$8</f>
      </c>
      <c r="CM207" s="706" t="str">
        <f>'Revenue summary'!CM$8</f>
      </c>
      <c r="CN207" s="706" t="str">
        <f>'Revenue summary'!CN$8</f>
      </c>
      <c r="CO207" s="707" t="str">
        <f>'Revenue summary'!CO$8</f>
      </c>
      <c r="CP207" s="706" t="str">
        <f>'Revenue summary'!CP$8</f>
      </c>
      <c r="CQ207" s="706" t="str">
        <f>'Revenue summary'!CQ$8</f>
      </c>
      <c r="CR207" s="706" t="str">
        <f>'Revenue summary'!CR$8</f>
      </c>
      <c r="CS207" s="707" t="str">
        <f>'Revenue summary'!CS$8</f>
      </c>
      <c r="CT207" s="706" t="str">
        <f>'Revenue summary'!CT$8</f>
      </c>
      <c r="CU207" s="706" t="str">
        <f>'Revenue summary'!CU$8</f>
      </c>
      <c r="CV207" s="706" t="str">
        <f>'Revenue summary'!CV$8</f>
      </c>
      <c r="CW207" s="707" t="str">
        <f>'Revenue summary'!CW$8</f>
      </c>
      <c r="CX207" s="706" t="str">
        <f>'Revenue summary'!CX$8</f>
      </c>
      <c r="CY207" s="706" t="str">
        <f>'Revenue summary'!CY$8</f>
      </c>
      <c r="CZ207" s="706" t="str">
        <f>'Revenue summary'!CZ$8</f>
      </c>
      <c r="DA207" s="707" t="str">
        <f>'Revenue summary'!DA$8</f>
      </c>
      <c r="DB207" s="706" t="str">
        <f>'Revenue summary'!DB$8</f>
      </c>
      <c r="DC207" s="706" t="str">
        <f>'Revenue summary'!DC$8</f>
      </c>
      <c r="DD207" s="706" t="str">
        <f>'Revenue summary'!DD$8</f>
      </c>
      <c r="DE207" s="707" t="str">
        <f>'Revenue summary'!DE$8</f>
      </c>
      <c r="DF207" s="706" t="str">
        <f>'Revenue summary'!DF$8</f>
      </c>
      <c r="DG207" s="706" t="str">
        <f>'Revenue summary'!DG$8</f>
      </c>
      <c r="DH207" s="706" t="str">
        <f>'Revenue summary'!DH$8</f>
      </c>
      <c r="DI207" s="707" t="str">
        <f>'Revenue summary'!DI$8</f>
      </c>
      <c r="DJ207" s="706" t="str">
        <f>'Revenue summary'!DJ$8</f>
      </c>
      <c r="DK207" s="706" t="str">
        <f>'Revenue summary'!DK$8</f>
      </c>
      <c r="DL207" s="706" t="str">
        <f>'Revenue summary'!DL$8</f>
      </c>
      <c r="DM207" s="707" t="str">
        <f>'Revenue summary'!DM$8</f>
      </c>
      <c r="DN207" s="706" t="str">
        <f>'Revenue summary'!DN$8</f>
      </c>
      <c r="DO207" s="706" t="str">
        <f>'Revenue summary'!DO$8</f>
      </c>
      <c r="DP207" s="706" t="str">
        <f>'Revenue summary'!DP$8</f>
      </c>
      <c r="DQ207" s="707" t="str">
        <f>'Revenue summary'!DQ$8</f>
      </c>
      <c r="DR207" s="706" t="str">
        <f>'Revenue summary'!DR$8</f>
      </c>
      <c r="DS207" s="706" t="str">
        <f>'Revenue summary'!DS$8</f>
      </c>
      <c r="DT207" s="706" t="str">
        <f>'Revenue summary'!DT$8</f>
      </c>
      <c r="DU207" s="707" t="str">
        <f>'Revenue summary'!DU$8</f>
      </c>
      <c r="DV207" s="706" t="str">
        <f>'Revenue summary'!DV$8</f>
      </c>
      <c r="DW207" s="706" t="str">
        <f>'Revenue summary'!DW$8</f>
      </c>
      <c r="DX207" s="706" t="str">
        <f>'Revenue summary'!DX$8</f>
      </c>
      <c r="DY207" s="707" t="str">
        <f>'Revenue summary'!DY$8</f>
      </c>
      <c r="DZ207" s="706" t="str">
        <f>'Revenue summary'!DZ$8</f>
      </c>
      <c r="EA207" s="706" t="str">
        <f>'Revenue summary'!EA$8</f>
      </c>
      <c r="EB207" s="706" t="str">
        <f>'Revenue summary'!EB$8</f>
      </c>
      <c r="EC207" s="707" t="str">
        <f>'Revenue summary'!EC$8</f>
      </c>
      <c r="ED207" s="706" t="str">
        <f>'Revenue summary'!ED$8</f>
      </c>
      <c r="EE207" s="706" t="str">
        <f>'Revenue summary'!EE$8</f>
      </c>
      <c r="EF207" s="706" t="str">
        <f>'Revenue summary'!EF$8</f>
      </c>
      <c r="EG207" s="707" t="str">
        <f>'Revenue summary'!EG$8</f>
      </c>
      <c r="EH207" s="706" t="str">
        <f>'Revenue summary'!EH$8</f>
      </c>
      <c r="EI207" s="706" t="str">
        <f>'Revenue summary'!EI$8</f>
      </c>
      <c r="EJ207" s="706" t="str">
        <f>'Revenue summary'!EJ$8</f>
      </c>
      <c r="EK207" s="707" t="str">
        <f>'Revenue summary'!EK$8</f>
      </c>
      <c r="FG207" s="706" t="str">
        <f t="shared" ref="FG207:FH207" si="1501">FG$9</f>
      </c>
      <c r="FH207" s="706" t="str">
        <f t="shared" si="1501"/>
      </c>
      <c r="FI207" s="706" t="str">
        <f>FI$9</f>
      </c>
      <c r="FJ207" s="706" t="str">
        <f t="shared" ref="FJ207:FU207" si="1502">FJ$9</f>
      </c>
      <c r="FK207" s="706" t="str">
        <f t="shared" si="1502"/>
      </c>
      <c r="FL207" s="706" t="str">
        <f t="shared" si="1502"/>
      </c>
      <c r="FM207" s="706" t="str">
        <f t="shared" si="1502"/>
      </c>
      <c r="FN207" s="706" t="str">
        <f t="shared" si="1502"/>
      </c>
      <c r="FO207" s="706" t="str">
        <f t="shared" si="1502"/>
      </c>
      <c r="FP207" s="706" t="str">
        <f t="shared" si="1502"/>
      </c>
      <c r="FQ207" s="706" t="str">
        <f t="shared" si="1502"/>
      </c>
      <c r="FR207" s="706" t="str">
        <f t="shared" si="1502"/>
      </c>
      <c r="FS207" s="706" t="str">
        <f t="shared" si="1502"/>
      </c>
      <c r="FT207" s="706" t="str">
        <f t="shared" si="1502"/>
      </c>
      <c r="FU207" s="706" t="str">
        <f t="shared" si="1502"/>
      </c>
    </row>
    <row r="208" spans="1:214" s="82" customFormat="1" ht="10.199999999999999">
      <c r="A208" s="880" t="s">
        <v>1474</v>
      </c>
      <c r="B208" s="882"/>
      <c r="C208" s="882"/>
      <c r="D208" s="882"/>
      <c r="E208" s="883"/>
      <c r="F208" s="882"/>
      <c r="G208" s="882"/>
      <c r="H208" s="882"/>
      <c r="I208" s="883"/>
      <c r="J208" s="882"/>
      <c r="K208" s="882"/>
      <c r="L208" s="882"/>
      <c r="M208" s="883"/>
      <c r="N208" s="882"/>
      <c r="O208" s="882"/>
      <c r="P208" s="882"/>
      <c r="Q208" s="883"/>
      <c r="R208" s="882"/>
      <c r="S208" s="882"/>
      <c r="T208" s="882"/>
      <c r="U208" s="883"/>
      <c r="V208" s="882"/>
      <c r="W208" s="882"/>
      <c r="X208" s="882"/>
      <c r="Y208" s="883"/>
      <c r="Z208" s="884"/>
      <c r="AA208" s="884"/>
      <c r="AB208" s="884"/>
      <c r="AC208" s="772"/>
      <c r="AD208" s="884"/>
      <c r="AE208" s="884"/>
      <c r="AF208" s="884"/>
      <c r="AG208" s="772"/>
      <c r="AH208" s="884"/>
      <c r="AI208" s="884"/>
      <c r="AJ208" s="884"/>
      <c r="AK208" s="772"/>
      <c r="AL208" s="884"/>
      <c r="AM208" s="884"/>
      <c r="AN208" s="884"/>
      <c r="AO208" s="772"/>
      <c r="AP208" s="884"/>
      <c r="AQ208" s="884"/>
      <c r="AR208" s="884"/>
      <c r="AS208" s="772"/>
      <c r="AT208" s="884"/>
      <c r="AU208" s="884"/>
      <c r="AV208" s="890"/>
      <c r="AW208" s="891"/>
      <c r="AX208" s="892"/>
      <c r="AY208" s="892"/>
      <c r="AZ208" s="892"/>
      <c r="BA208" s="893"/>
      <c r="BB208" s="892"/>
      <c r="BC208" s="892"/>
      <c r="BD208" s="892"/>
      <c r="BE208" s="893"/>
      <c r="BF208" s="892"/>
      <c r="BG208" s="892"/>
      <c r="BH208" s="892"/>
      <c r="BI208" s="893"/>
      <c r="BJ208" s="892"/>
      <c r="BK208" s="892"/>
      <c r="BL208" s="892"/>
      <c r="BM208" s="893"/>
      <c r="BN208" s="892"/>
      <c r="BO208" s="892"/>
      <c r="BP208" s="892"/>
      <c r="BQ208" s="893"/>
      <c r="BR208" s="892">
        <f t="shared" ref="BR208:CW208" si="1503">BR104</f>
      </c>
      <c r="BS208" s="892">
        <f t="shared" si="1503"/>
      </c>
      <c r="BT208" s="892">
        <f t="shared" si="1503"/>
      </c>
      <c r="BU208" s="893">
        <f t="shared" si="1503"/>
      </c>
      <c r="BV208" s="892">
        <f t="shared" si="1503"/>
      </c>
      <c r="BW208" s="892">
        <f t="shared" si="1503"/>
      </c>
      <c r="BX208" s="892">
        <f t="shared" si="1503"/>
      </c>
      <c r="BY208" s="893">
        <f t="shared" si="1503"/>
      </c>
      <c r="BZ208" s="892">
        <f t="shared" si="1503"/>
      </c>
      <c r="CA208" s="892">
        <f t="shared" si="1503"/>
      </c>
      <c r="CB208" s="892">
        <f t="shared" si="1503"/>
      </c>
      <c r="CC208" s="893">
        <f t="shared" si="1503"/>
      </c>
      <c r="CD208" s="892">
        <f t="shared" si="1503"/>
      </c>
      <c r="CE208" s="892">
        <f t="shared" si="1503"/>
      </c>
      <c r="CF208" s="892">
        <f t="shared" si="1503"/>
      </c>
      <c r="CG208" s="893">
        <f t="shared" si="1503"/>
      </c>
      <c r="CH208" s="892">
        <f t="shared" si="1503"/>
      </c>
      <c r="CI208" s="892">
        <f t="shared" si="1503"/>
      </c>
      <c r="CJ208" s="892">
        <f t="shared" si="1503"/>
      </c>
      <c r="CK208" s="893">
        <f t="shared" si="1503"/>
      </c>
      <c r="CL208" s="892">
        <f t="shared" si="1503"/>
      </c>
      <c r="CM208" s="892">
        <f t="shared" si="1503"/>
      </c>
      <c r="CN208" s="892">
        <f t="shared" si="1503"/>
      </c>
      <c r="CO208" s="893">
        <f t="shared" si="1503"/>
      </c>
      <c r="CP208" s="892">
        <f t="shared" si="1503"/>
      </c>
      <c r="CQ208" s="892">
        <f t="shared" si="1503"/>
      </c>
      <c r="CR208" s="892">
        <f t="shared" si="1503"/>
      </c>
      <c r="CS208" s="893">
        <f t="shared" si="1503"/>
      </c>
      <c r="CT208" s="892">
        <f t="shared" si="1503"/>
      </c>
      <c r="CU208" s="892">
        <f t="shared" si="1503"/>
      </c>
      <c r="CV208" s="892">
        <f t="shared" si="1503"/>
      </c>
      <c r="CW208" s="893">
        <f t="shared" si="1503"/>
      </c>
      <c r="CX208" s="892">
        <f t="shared" ref="CX208:DU208" si="1504">CX104</f>
      </c>
      <c r="CY208" s="892">
        <f t="shared" si="1504"/>
      </c>
      <c r="CZ208" s="892">
        <f t="shared" si="1504"/>
      </c>
      <c r="DA208" s="893">
        <f t="shared" si="1504"/>
      </c>
      <c r="DB208" s="892">
        <f t="shared" si="1504"/>
      </c>
      <c r="DC208" s="892">
        <f t="shared" si="1504"/>
      </c>
      <c r="DD208" s="892">
        <f t="shared" si="1504"/>
      </c>
      <c r="DE208" s="893">
        <f t="shared" si="1504"/>
      </c>
      <c r="DF208" s="892">
        <f t="shared" si="1504"/>
      </c>
      <c r="DG208" s="892">
        <f t="shared" si="1504"/>
      </c>
      <c r="DH208" s="892">
        <f t="shared" si="1504"/>
      </c>
      <c r="DI208" s="893">
        <f t="shared" si="1504"/>
      </c>
      <c r="DJ208" s="892">
        <f t="shared" si="1504"/>
      </c>
      <c r="DK208" s="892">
        <f t="shared" si="1504"/>
      </c>
      <c r="DL208" s="892">
        <f t="shared" si="1504"/>
      </c>
      <c r="DM208" s="893">
        <f t="shared" si="1504"/>
      </c>
      <c r="DN208" s="892">
        <f t="shared" si="1504"/>
      </c>
      <c r="DO208" s="892">
        <f t="shared" si="1504"/>
      </c>
      <c r="DP208" s="892">
        <f t="shared" si="1504"/>
      </c>
      <c r="DQ208" s="893">
        <f t="shared" si="1504"/>
      </c>
      <c r="DR208" s="892">
        <f t="shared" si="1504"/>
      </c>
      <c r="DS208" s="892">
        <f t="shared" si="1504"/>
      </c>
      <c r="DT208" s="892">
        <f t="shared" si="1504"/>
      </c>
      <c r="DU208" s="893">
        <f t="shared" si="1504"/>
      </c>
      <c r="DV208" s="892">
        <f t="shared" ref="DV208:EJ208" si="1505">DV104</f>
      </c>
      <c r="DW208" s="892">
        <f t="shared" si="1505"/>
      </c>
      <c r="DX208" s="892">
        <f t="shared" si="1505"/>
      </c>
      <c r="DY208" s="893">
        <f t="shared" si="1505"/>
      </c>
      <c r="DZ208" s="892">
        <f t="shared" si="1505"/>
      </c>
      <c r="EA208" s="892">
        <f t="shared" si="1505"/>
      </c>
      <c r="EB208" s="892">
        <f t="shared" si="1505"/>
      </c>
      <c r="EC208" s="893">
        <f t="shared" si="1505"/>
      </c>
      <c r="ED208" s="892">
        <f t="shared" si="1505"/>
      </c>
      <c r="EE208" s="892">
        <f t="shared" si="1505"/>
      </c>
      <c r="EF208" s="892">
        <f t="shared" si="1505"/>
      </c>
      <c r="EG208" s="893">
        <f t="shared" si="1505"/>
      </c>
      <c r="EH208" s="892">
        <f t="shared" si="1505"/>
      </c>
      <c r="EI208" s="892">
        <f t="shared" si="1505"/>
      </c>
      <c r="EJ208" s="892">
        <f t="shared" si="1505"/>
      </c>
      <c r="EK208" s="893">
        <f>EK104</f>
      </c>
      <c r="EL208" s="2287"/>
      <c r="EM208" s="75"/>
      <c r="EN208" s="75"/>
      <c r="EO208" s="75"/>
      <c r="EP208" s="75"/>
      <c r="EQ208" s="75"/>
      <c r="ER208" s="75"/>
      <c r="ES208" s="75"/>
      <c r="ET208" s="75"/>
      <c r="EU208" s="75"/>
      <c r="EV208" s="75"/>
      <c r="EW208" s="75"/>
      <c r="EX208" s="75"/>
      <c r="EY208" s="75"/>
      <c r="EZ208" s="75"/>
      <c r="FA208" s="75"/>
      <c r="FB208" s="75"/>
      <c r="FC208" s="75"/>
      <c r="FD208" s="75"/>
      <c r="FE208" s="75"/>
      <c r="FF208" s="75"/>
      <c r="FG208" s="892">
        <f t="shared" ref="FG208" si="1506">FG104</f>
      </c>
      <c r="FH208" s="892">
        <f t="shared" ref="FH208:FP208" si="1507">FH201/FG201-1</f>
      </c>
      <c r="FI208" s="892">
        <f t="shared" si="1507"/>
      </c>
      <c r="FJ208" s="892">
        <f t="shared" si="1507"/>
      </c>
      <c r="FK208" s="892">
        <f t="shared" si="1507"/>
      </c>
      <c r="FL208" s="892">
        <f t="shared" si="1507"/>
      </c>
      <c r="FM208" s="892">
        <f t="shared" si="1507"/>
      </c>
      <c r="FN208" s="892">
        <f t="shared" si="1507"/>
      </c>
      <c r="FO208" s="892">
        <f t="shared" si="1507"/>
      </c>
      <c r="FP208" s="892">
        <f t="shared" si="1507"/>
      </c>
      <c r="FQ208" s="892">
        <f>FQ201/FP201-1</f>
      </c>
      <c r="FR208" s="892">
        <f t="shared" ref="FR208:FU208" si="1508">FR201/FQ201-1</f>
      </c>
      <c r="FS208" s="892">
        <f t="shared" si="1508"/>
      </c>
      <c r="FT208" s="892">
        <f t="shared" si="1508"/>
      </c>
      <c r="FU208" s="892">
        <f t="shared" si="1508"/>
      </c>
      <c r="FW208" s="318"/>
      <c r="FY208" s="75"/>
      <c r="FZ208" s="75"/>
      <c r="GA208" s="75"/>
      <c r="GB208" s="75"/>
      <c r="GC208" s="75"/>
      <c r="GD208" s="75"/>
      <c r="GE208" s="75"/>
      <c r="GF208" s="75"/>
      <c r="GG208" s="75"/>
      <c r="GH208" s="75"/>
      <c r="GI208" s="75"/>
      <c r="GJ208" s="75"/>
      <c r="GK208" s="75"/>
      <c r="GL208" s="75"/>
      <c r="GM208" s="75"/>
      <c r="GN208" s="75"/>
      <c r="GO208" s="75"/>
      <c r="GP208" s="75"/>
      <c r="GQ208" s="75"/>
      <c r="GR208" s="75"/>
      <c r="GS208" s="75"/>
      <c r="GT208" s="75"/>
      <c r="GU208" s="892">
        <f t="shared" ref="GU208:HB208" si="1509">GU104</f>
      </c>
      <c r="GV208" s="892">
        <f t="shared" si="1509"/>
      </c>
      <c r="GW208" s="892">
        <f t="shared" si="1509"/>
      </c>
      <c r="GX208" s="892">
        <f t="shared" si="1509"/>
      </c>
      <c r="GY208" s="892">
        <f t="shared" si="1509"/>
      </c>
      <c r="GZ208" s="892">
        <f t="shared" si="1509"/>
      </c>
      <c r="HA208" s="892">
        <f t="shared" si="1509"/>
      </c>
      <c r="HB208" s="892">
        <f t="shared" si="1509"/>
      </c>
      <c r="HC208" s="892">
        <f t="shared" ref="HC208:HF208" si="1510">HC104</f>
      </c>
      <c r="HD208" s="892">
        <f t="shared" si="1510"/>
      </c>
      <c r="HE208" s="892">
        <f t="shared" si="1510"/>
      </c>
      <c r="HF208" s="892">
        <f t="shared" si="1510"/>
      </c>
    </row>
    <row r="209" spans="1:214" s="82" customFormat="1" ht="10.199999999999999">
      <c r="A209" s="880" t="s">
        <v>1475</v>
      </c>
      <c r="B209" s="882"/>
      <c r="C209" s="882"/>
      <c r="D209" s="882"/>
      <c r="E209" s="883"/>
      <c r="F209" s="882"/>
      <c r="G209" s="882"/>
      <c r="H209" s="882"/>
      <c r="I209" s="883"/>
      <c r="J209" s="882"/>
      <c r="K209" s="882"/>
      <c r="L209" s="882"/>
      <c r="M209" s="883"/>
      <c r="N209" s="882"/>
      <c r="O209" s="882"/>
      <c r="P209" s="882"/>
      <c r="Q209" s="883"/>
      <c r="R209" s="882"/>
      <c r="S209" s="882"/>
      <c r="T209" s="882"/>
      <c r="U209" s="883"/>
      <c r="V209" s="882"/>
      <c r="W209" s="882"/>
      <c r="X209" s="882"/>
      <c r="Y209" s="883"/>
      <c r="Z209" s="884"/>
      <c r="AA209" s="884"/>
      <c r="AB209" s="884"/>
      <c r="AC209" s="772"/>
      <c r="AD209" s="884"/>
      <c r="AE209" s="884"/>
      <c r="AF209" s="884"/>
      <c r="AG209" s="772"/>
      <c r="AH209" s="884"/>
      <c r="AI209" s="884"/>
      <c r="AJ209" s="884"/>
      <c r="AK209" s="772"/>
      <c r="AL209" s="884"/>
      <c r="AM209" s="884"/>
      <c r="AN209" s="884"/>
      <c r="AO209" s="772"/>
      <c r="AP209" s="884"/>
      <c r="AQ209" s="884"/>
      <c r="AR209" s="884"/>
      <c r="AS209" s="772"/>
      <c r="AT209" s="884"/>
      <c r="AU209" s="884"/>
      <c r="AV209" s="890"/>
      <c r="AW209" s="891"/>
      <c r="AX209" s="892"/>
      <c r="AY209" s="892"/>
      <c r="AZ209" s="892"/>
      <c r="BA209" s="893"/>
      <c r="BB209" s="892"/>
      <c r="BC209" s="892"/>
      <c r="BD209" s="892"/>
      <c r="BE209" s="893"/>
      <c r="BF209" s="892"/>
      <c r="BG209" s="892"/>
      <c r="BH209" s="892"/>
      <c r="BI209" s="893"/>
      <c r="BJ209" s="892"/>
      <c r="BK209" s="892"/>
      <c r="BL209" s="892"/>
      <c r="BM209" s="893"/>
      <c r="BN209" s="892"/>
      <c r="BO209" s="892"/>
      <c r="BP209" s="892"/>
      <c r="BQ209" s="893"/>
      <c r="BR209" s="892"/>
      <c r="BS209" s="892"/>
      <c r="BT209" s="892"/>
      <c r="BU209" s="893"/>
      <c r="BV209" s="892">
        <f t="shared" ref="BV209:CB209" si="1511">BV202/BR202-1</f>
      </c>
      <c r="BW209" s="892">
        <f t="shared" si="1511"/>
      </c>
      <c r="BX209" s="892">
        <f t="shared" si="1511"/>
      </c>
      <c r="BY209" s="893">
        <f t="shared" si="1511"/>
      </c>
      <c r="BZ209" s="892">
        <f t="shared" si="1511"/>
      </c>
      <c r="CA209" s="892">
        <f t="shared" si="1511"/>
      </c>
      <c r="CB209" s="892">
        <f t="shared" si="1511"/>
      </c>
      <c r="CC209" s="893">
        <f>CC202/BY202-1</f>
      </c>
      <c r="CD209" s="2005">
        <v>-0.04</v>
      </c>
      <c r="CE209" s="2005">
        <v>-0.14000000000000001</v>
      </c>
      <c r="CF209" s="2005">
        <v>-0.08</v>
      </c>
      <c r="CG209" s="2006">
        <v>-7.0000000000000007E-2</v>
      </c>
      <c r="CH209" s="2005">
        <v>0.08</v>
      </c>
      <c r="CI209" s="2005">
        <v>0.01</v>
      </c>
      <c r="CJ209" s="2005">
        <v>0</v>
      </c>
      <c r="CK209" s="2006">
        <v>0.05</v>
      </c>
      <c r="CL209" s="2005">
        <v>-0.05</v>
      </c>
      <c r="CM209" s="2005">
        <v>0.04</v>
      </c>
      <c r="CN209" s="2005">
        <v>0.01</v>
      </c>
      <c r="CO209" s="2006">
        <v>0</v>
      </c>
      <c r="CP209" s="892">
        <f t="shared" ref="CP209:DD209" si="1512">CP202/CL202-1</f>
      </c>
      <c r="CQ209" s="892">
        <f t="shared" si="1512"/>
      </c>
      <c r="CR209" s="892">
        <f t="shared" si="1512"/>
      </c>
      <c r="CS209" s="893">
        <f t="shared" si="1512"/>
      </c>
      <c r="CT209" s="892">
        <f t="shared" si="1512"/>
      </c>
      <c r="CU209" s="892">
        <f t="shared" si="1512"/>
      </c>
      <c r="CV209" s="892">
        <f t="shared" si="1512"/>
      </c>
      <c r="CW209" s="893">
        <f t="shared" si="1512"/>
      </c>
      <c r="CX209" s="892">
        <f t="shared" si="1512"/>
      </c>
      <c r="CY209" s="892">
        <f t="shared" si="1512"/>
      </c>
      <c r="CZ209" s="892">
        <f t="shared" si="1512"/>
      </c>
      <c r="DA209" s="893">
        <f t="shared" si="1512"/>
      </c>
      <c r="DB209" s="892">
        <f t="shared" si="1512"/>
      </c>
      <c r="DC209" s="892">
        <f t="shared" si="1512"/>
      </c>
      <c r="DD209" s="892">
        <f t="shared" si="1512"/>
      </c>
      <c r="DE209" s="2022">
        <v>-0.05</v>
      </c>
      <c r="DF209" s="2023">
        <f>DF208+8%</f>
      </c>
      <c r="DG209" s="2023">
        <f>DG208-12%</f>
      </c>
      <c r="DH209" s="2023">
        <v>-0.02</v>
      </c>
      <c r="DI209" s="2022">
        <v>-0.09</v>
      </c>
      <c r="DJ209" s="2023">
        <v>0.1</v>
      </c>
      <c r="DK209" s="2023">
        <v>0.1</v>
      </c>
      <c r="DL209" s="2023">
        <v>-0.01</v>
      </c>
      <c r="DM209" s="2022">
        <v>0.01</v>
      </c>
      <c r="DN209" s="3219">
        <f>DN208+2%</f>
      </c>
      <c r="DO209" s="2023">
        <f t="shared" ref="DO209:EK209" si="1513">DO208</f>
      </c>
      <c r="DP209" s="2023">
        <v>7.0000000000000007E-2</v>
      </c>
      <c r="DQ209" s="2022">
        <f t="shared" si="1513"/>
      </c>
      <c r="DR209" s="3219">
        <f t="shared" si="1513"/>
      </c>
      <c r="DS209" s="2023">
        <f t="shared" si="1513"/>
      </c>
      <c r="DT209" s="2023">
        <f t="shared" si="1513"/>
      </c>
      <c r="DU209" s="2022">
        <f t="shared" si="1513"/>
      </c>
      <c r="DV209" s="3219">
        <f t="shared" si="1513"/>
      </c>
      <c r="DW209" s="2023">
        <f t="shared" si="1513"/>
      </c>
      <c r="DX209" s="2023">
        <f t="shared" si="1513"/>
      </c>
      <c r="DY209" s="2022">
        <f t="shared" si="1513"/>
      </c>
      <c r="DZ209" s="3219">
        <f t="shared" si="1513"/>
      </c>
      <c r="EA209" s="2023">
        <f t="shared" si="1513"/>
      </c>
      <c r="EB209" s="2023">
        <f t="shared" si="1513"/>
      </c>
      <c r="EC209" s="2022">
        <f t="shared" si="1513"/>
      </c>
      <c r="ED209" s="3219">
        <f t="shared" si="1513"/>
      </c>
      <c r="EE209" s="2023">
        <f t="shared" si="1513"/>
      </c>
      <c r="EF209" s="2023">
        <f t="shared" si="1513"/>
      </c>
      <c r="EG209" s="2022">
        <f t="shared" si="1513"/>
      </c>
      <c r="EH209" s="3219">
        <f t="shared" si="1513"/>
      </c>
      <c r="EI209" s="2023">
        <f t="shared" si="1513"/>
      </c>
      <c r="EJ209" s="2023">
        <f t="shared" si="1513"/>
      </c>
      <c r="EK209" s="2022">
        <f t="shared" si="1513"/>
      </c>
      <c r="EL209" s="2287"/>
      <c r="EM209" s="75"/>
      <c r="EN209" s="75"/>
      <c r="EO209" s="75"/>
      <c r="EP209" s="75"/>
      <c r="EQ209" s="75"/>
      <c r="ER209" s="75"/>
      <c r="ES209" s="75"/>
      <c r="ET209" s="75"/>
      <c r="EU209" s="75"/>
      <c r="EV209" s="75"/>
      <c r="EW209" s="75"/>
      <c r="EX209" s="75"/>
      <c r="EY209" s="75"/>
      <c r="EZ209" s="75"/>
      <c r="FA209" s="75"/>
      <c r="FB209" s="75"/>
      <c r="FC209" s="75"/>
      <c r="FD209" s="75"/>
      <c r="FE209" s="75"/>
      <c r="FF209" s="75"/>
      <c r="FG209" s="318"/>
      <c r="FH209" s="892">
        <f t="shared" ref="FH209:FP209" si="1514">FH202/FG202-1</f>
      </c>
      <c r="FI209" s="892">
        <f t="shared" si="1514"/>
      </c>
      <c r="FJ209" s="892">
        <f t="shared" si="1514"/>
      </c>
      <c r="FK209" s="892">
        <f t="shared" si="1514"/>
      </c>
      <c r="FL209" s="892">
        <f t="shared" si="1514"/>
      </c>
      <c r="FM209" s="892">
        <f t="shared" si="1514"/>
      </c>
      <c r="FN209" s="892">
        <f t="shared" si="1514"/>
      </c>
      <c r="FO209" s="892">
        <f t="shared" si="1514"/>
      </c>
      <c r="FP209" s="892">
        <f t="shared" si="1514"/>
      </c>
      <c r="FQ209" s="892">
        <f>FQ202/FP202-1</f>
      </c>
      <c r="FR209" s="892">
        <f t="shared" ref="FR209:FU209" si="1515">FR202/FQ202-1</f>
      </c>
      <c r="FS209" s="892">
        <f t="shared" si="1515"/>
      </c>
      <c r="FT209" s="892">
        <f t="shared" si="1515"/>
      </c>
      <c r="FU209" s="892">
        <f t="shared" si="1515"/>
      </c>
      <c r="FW209" s="318"/>
      <c r="FY209" s="75"/>
      <c r="FZ209" s="75"/>
      <c r="GA209" s="75"/>
      <c r="GB209" s="75"/>
      <c r="GC209" s="75"/>
      <c r="GD209" s="75"/>
      <c r="GE209" s="75"/>
      <c r="GF209" s="75"/>
      <c r="GG209" s="75"/>
      <c r="GH209" s="75"/>
      <c r="GI209" s="75"/>
      <c r="GJ209" s="75"/>
      <c r="GK209" s="75"/>
      <c r="GL209" s="75"/>
      <c r="GM209" s="75"/>
      <c r="GN209" s="75"/>
      <c r="GO209" s="75"/>
      <c r="GP209" s="75"/>
      <c r="GQ209" s="75"/>
      <c r="GR209" s="75"/>
      <c r="GS209" s="75"/>
      <c r="GT209" s="75"/>
      <c r="GU209" s="75"/>
      <c r="GV209" s="75"/>
      <c r="GW209" s="75"/>
      <c r="GX209" s="75"/>
      <c r="GY209" s="75"/>
      <c r="GZ209" s="75"/>
      <c r="HA209" s="75"/>
      <c r="HB209" s="75"/>
      <c r="HC209" s="75"/>
      <c r="HD209" s="75"/>
      <c r="HE209" s="75"/>
      <c r="HF209" s="75"/>
    </row>
    <row r="210" spans="1:214" s="140" customFormat="1" ht="10.199999999999999">
      <c r="A210" s="152"/>
      <c r="B210" s="2010"/>
      <c r="C210" s="2010"/>
      <c r="D210" s="2010"/>
      <c r="E210" s="2011"/>
      <c r="F210" s="2010"/>
      <c r="G210" s="2010"/>
      <c r="H210" s="2010"/>
      <c r="I210" s="2011"/>
      <c r="J210" s="2010"/>
      <c r="K210" s="2010"/>
      <c r="L210" s="2010"/>
      <c r="M210" s="2011"/>
      <c r="N210" s="2010"/>
      <c r="O210" s="2010"/>
      <c r="P210" s="2010"/>
      <c r="Q210" s="2011"/>
      <c r="R210" s="2010"/>
      <c r="S210" s="2010"/>
      <c r="T210" s="2010"/>
      <c r="U210" s="2011"/>
      <c r="V210" s="2010"/>
      <c r="W210" s="2010"/>
      <c r="X210" s="2010"/>
      <c r="Y210" s="2011"/>
      <c r="Z210" s="291"/>
      <c r="AA210" s="291"/>
      <c r="AB210" s="291"/>
      <c r="AC210" s="2012"/>
      <c r="AD210" s="291"/>
      <c r="AE210" s="291"/>
      <c r="AF210" s="291"/>
      <c r="AG210" s="2012"/>
      <c r="AH210" s="291"/>
      <c r="AI210" s="291"/>
      <c r="AJ210" s="291"/>
      <c r="AK210" s="2012"/>
      <c r="AL210" s="291"/>
      <c r="AM210" s="291"/>
      <c r="AN210" s="291"/>
      <c r="AO210" s="2012"/>
      <c r="AP210" s="291"/>
      <c r="AQ210" s="291"/>
      <c r="AR210" s="291"/>
      <c r="AS210" s="2012"/>
      <c r="AT210" s="291"/>
      <c r="AU210" s="291"/>
      <c r="AV210" s="2013"/>
      <c r="AW210" s="2014"/>
      <c r="AX210" s="319"/>
      <c r="AY210" s="319"/>
      <c r="AZ210" s="319"/>
      <c r="BA210" s="424"/>
      <c r="BB210" s="319"/>
      <c r="BC210" s="319"/>
      <c r="BD210" s="319"/>
      <c r="BE210" s="424"/>
      <c r="BF210" s="319"/>
      <c r="BG210" s="319"/>
      <c r="BH210" s="319"/>
      <c r="BI210" s="424"/>
      <c r="BJ210" s="319"/>
      <c r="BK210" s="319"/>
      <c r="BL210" s="319"/>
      <c r="BM210" s="424"/>
      <c r="BN210" s="319"/>
      <c r="BO210" s="319"/>
      <c r="BP210" s="319"/>
      <c r="BQ210" s="424"/>
      <c r="BR210" s="319"/>
      <c r="BS210" s="319"/>
      <c r="BT210" s="319"/>
      <c r="BU210" s="424"/>
      <c r="BV210" s="319"/>
      <c r="BW210" s="319"/>
      <c r="BX210" s="319"/>
      <c r="BY210" s="424"/>
      <c r="BZ210" s="319"/>
      <c r="CA210" s="319"/>
      <c r="CB210" s="319"/>
      <c r="CC210" s="424"/>
      <c r="CD210" s="319"/>
      <c r="CE210" s="319"/>
      <c r="CF210" s="319"/>
      <c r="CG210" s="424"/>
      <c r="CH210" s="319"/>
      <c r="CI210" s="319"/>
      <c r="CJ210" s="319"/>
      <c r="CK210" s="424"/>
      <c r="CL210" s="319"/>
      <c r="CM210" s="319"/>
      <c r="CN210" s="319"/>
      <c r="CO210" s="424"/>
      <c r="CP210" s="319"/>
      <c r="CQ210" s="319"/>
      <c r="CR210" s="319"/>
      <c r="CS210" s="424"/>
      <c r="CT210" s="319"/>
      <c r="CU210" s="319"/>
      <c r="CV210" s="319"/>
      <c r="CW210" s="424"/>
      <c r="CX210" s="319"/>
      <c r="CY210" s="319"/>
      <c r="CZ210" s="319"/>
      <c r="DA210" s="424"/>
      <c r="DB210" s="319"/>
      <c r="DC210" s="319"/>
      <c r="DD210" s="319"/>
      <c r="DE210" s="424"/>
      <c r="DF210" s="319"/>
      <c r="DG210" s="319"/>
      <c r="DH210" s="319"/>
      <c r="DI210" s="424"/>
      <c r="DJ210" s="319"/>
      <c r="DK210" s="319"/>
      <c r="DL210" s="319"/>
      <c r="DM210" s="424"/>
      <c r="DN210" s="319"/>
      <c r="DO210" s="319"/>
      <c r="DP210" s="319"/>
      <c r="DQ210" s="424"/>
      <c r="DR210" s="319"/>
      <c r="DS210" s="319"/>
      <c r="DT210" s="319"/>
      <c r="DU210" s="424"/>
      <c r="DV210" s="319"/>
      <c r="DW210" s="319"/>
      <c r="DX210" s="319"/>
      <c r="DY210" s="424"/>
      <c r="DZ210" s="319"/>
      <c r="EA210" s="319"/>
      <c r="EB210" s="319"/>
      <c r="EC210" s="424"/>
      <c r="ED210" s="319"/>
      <c r="EE210" s="319"/>
      <c r="EF210" s="319"/>
      <c r="EG210" s="424"/>
      <c r="EH210" s="319"/>
      <c r="EI210" s="319"/>
      <c r="EJ210" s="319"/>
      <c r="EK210" s="424"/>
      <c r="EM210" s="157"/>
      <c r="EN210" s="157"/>
      <c r="EO210" s="157"/>
      <c r="EP210" s="157"/>
      <c r="EQ210" s="157"/>
      <c r="ER210" s="157"/>
      <c r="ES210" s="157"/>
      <c r="ET210" s="157"/>
      <c r="EU210" s="157"/>
      <c r="EV210" s="157"/>
      <c r="EW210" s="157"/>
      <c r="EX210" s="157"/>
      <c r="EY210" s="157"/>
      <c r="EZ210" s="157"/>
      <c r="FA210" s="157"/>
      <c r="FB210" s="157"/>
      <c r="FC210" s="157"/>
      <c r="FD210" s="157"/>
      <c r="FE210" s="157"/>
      <c r="FF210" s="157"/>
      <c r="FG210" s="2015"/>
      <c r="FH210" s="2015"/>
      <c r="FI210" s="2015"/>
      <c r="FJ210" s="2015"/>
      <c r="FK210" s="2015"/>
      <c r="FL210" s="2015"/>
      <c r="FM210" s="2015"/>
      <c r="FN210" s="2015"/>
      <c r="FO210" s="2015"/>
      <c r="FP210" s="2015"/>
      <c r="FQ210" s="2015"/>
      <c r="FR210" s="2015"/>
      <c r="FS210" s="2015"/>
      <c r="FT210" s="2015"/>
      <c r="FU210" s="2015"/>
      <c r="FW210" s="2015"/>
      <c r="FY210" s="157"/>
      <c r="FZ210" s="157"/>
      <c r="GA210" s="157"/>
      <c r="GB210" s="157"/>
      <c r="GC210" s="157"/>
      <c r="GD210" s="157"/>
      <c r="GE210" s="157"/>
      <c r="GF210" s="157"/>
      <c r="GG210" s="157"/>
      <c r="GH210" s="157"/>
      <c r="GI210" s="157"/>
      <c r="GJ210" s="157"/>
      <c r="GK210" s="157"/>
      <c r="GL210" s="157"/>
      <c r="GM210" s="157"/>
      <c r="GN210" s="157"/>
      <c r="GO210" s="157"/>
      <c r="GP210" s="157"/>
      <c r="GQ210" s="157"/>
      <c r="GR210" s="157"/>
      <c r="GS210" s="157"/>
      <c r="GT210" s="157"/>
      <c r="GU210" s="157"/>
      <c r="GV210" s="157"/>
      <c r="GW210" s="157"/>
      <c r="GX210" s="157"/>
      <c r="GY210" s="157"/>
      <c r="GZ210" s="157"/>
      <c r="HA210" s="157"/>
      <c r="HB210" s="157"/>
      <c r="HC210" s="157"/>
      <c r="HD210" s="157"/>
      <c r="HE210" s="157"/>
      <c r="HF210" s="157"/>
    </row>
    <row r="211" spans="1:214" s="342" customFormat="1" ht="11.25" customHeight="1" collapsed="1">
      <c r="A211" s="708" t="s">
        <v>1485</v>
      </c>
      <c r="BR211" s="706" t="str">
        <f>'Revenue summary'!BR$8</f>
      </c>
      <c r="BS211" s="706" t="str">
        <f>'Revenue summary'!BS$8</f>
      </c>
      <c r="BT211" s="706" t="str">
        <f>'Revenue summary'!BT$8</f>
      </c>
      <c r="BU211" s="707" t="str">
        <f>'Revenue summary'!BU$8</f>
      </c>
      <c r="BV211" s="706" t="str">
        <f>'Revenue summary'!BV$8</f>
      </c>
      <c r="BW211" s="706" t="str">
        <f>'Revenue summary'!BW$8</f>
      </c>
      <c r="BX211" s="706" t="str">
        <f>'Revenue summary'!BX$8</f>
      </c>
      <c r="BY211" s="707" t="str">
        <f>'Revenue summary'!BY$8</f>
      </c>
      <c r="BZ211" s="706" t="str">
        <f>'Revenue summary'!BZ$8</f>
      </c>
      <c r="CA211" s="706" t="str">
        <f>'Revenue summary'!CA$8</f>
      </c>
      <c r="CB211" s="706" t="str">
        <f>'Revenue summary'!CB$8</f>
      </c>
      <c r="CC211" s="707" t="str">
        <f>'Revenue summary'!CC$8</f>
      </c>
      <c r="CD211" s="706" t="str">
        <f>'Revenue summary'!CD$8</f>
      </c>
      <c r="CE211" s="706" t="str">
        <f>'Revenue summary'!CE$8</f>
      </c>
      <c r="CF211" s="706" t="str">
        <f>'Revenue summary'!CF$8</f>
      </c>
      <c r="CG211" s="707" t="str">
        <f>'Revenue summary'!CG$8</f>
      </c>
      <c r="CH211" s="706" t="str">
        <f>'Revenue summary'!CH$8</f>
      </c>
      <c r="CI211" s="706" t="str">
        <f>'Revenue summary'!CI$8</f>
      </c>
      <c r="CJ211" s="706" t="str">
        <f>'Revenue summary'!CJ$8</f>
      </c>
      <c r="CK211" s="707" t="str">
        <f>'Revenue summary'!CK$8</f>
      </c>
      <c r="CL211" s="706" t="str">
        <f>'Revenue summary'!CL$8</f>
      </c>
      <c r="CM211" s="706" t="str">
        <f>'Revenue summary'!CM$8</f>
      </c>
      <c r="CN211" s="706" t="str">
        <f>'Revenue summary'!CN$8</f>
      </c>
      <c r="CO211" s="707" t="str">
        <f>'Revenue summary'!CO$8</f>
      </c>
      <c r="CP211" s="706" t="str">
        <f>'Revenue summary'!CP$8</f>
      </c>
      <c r="CQ211" s="706" t="str">
        <f>'Revenue summary'!CQ$8</f>
      </c>
      <c r="CR211" s="706" t="str">
        <f>'Revenue summary'!CR$8</f>
      </c>
      <c r="CS211" s="707" t="str">
        <f>'Revenue summary'!CS$8</f>
      </c>
      <c r="CT211" s="706" t="str">
        <f>'Revenue summary'!CT$8</f>
      </c>
      <c r="CU211" s="706" t="str">
        <f>'Revenue summary'!CU$8</f>
      </c>
      <c r="CV211" s="706" t="str">
        <f>'Revenue summary'!CV$8</f>
      </c>
      <c r="CW211" s="707" t="str">
        <f>'Revenue summary'!CW$8</f>
      </c>
      <c r="CX211" s="706" t="str">
        <f>'Revenue summary'!CX$8</f>
      </c>
      <c r="CY211" s="706" t="str">
        <f>'Revenue summary'!CY$8</f>
      </c>
      <c r="CZ211" s="706" t="str">
        <f>'Revenue summary'!CZ$8</f>
      </c>
      <c r="DA211" s="707" t="str">
        <f>'Revenue summary'!DA$8</f>
      </c>
      <c r="DB211" s="706" t="str">
        <f>'Revenue summary'!DB$8</f>
      </c>
      <c r="DC211" s="706" t="str">
        <f>'Revenue summary'!DC$8</f>
      </c>
      <c r="DD211" s="706" t="str">
        <f>'Revenue summary'!DD$8</f>
      </c>
      <c r="DE211" s="707" t="str">
        <f>'Revenue summary'!DE$8</f>
      </c>
      <c r="DF211" s="706" t="str">
        <f>'Revenue summary'!DF$8</f>
      </c>
      <c r="DG211" s="706" t="str">
        <f>'Revenue summary'!DG$8</f>
      </c>
      <c r="DH211" s="706" t="str">
        <f>'Revenue summary'!DH$8</f>
      </c>
      <c r="DI211" s="707" t="str">
        <f>'Revenue summary'!DI$8</f>
      </c>
      <c r="DJ211" s="706" t="str">
        <f>'Revenue summary'!DJ$8</f>
      </c>
      <c r="DK211" s="706" t="str">
        <f>'Revenue summary'!DK$8</f>
      </c>
      <c r="DL211" s="706" t="str">
        <f>'Revenue summary'!DL$8</f>
      </c>
      <c r="DM211" s="707" t="str">
        <f>'Revenue summary'!DM$8</f>
      </c>
      <c r="DN211" s="706" t="str">
        <f>'Revenue summary'!DN$8</f>
      </c>
      <c r="DO211" s="706" t="str">
        <f>'Revenue summary'!DO$8</f>
      </c>
      <c r="DP211" s="706" t="str">
        <f>'Revenue summary'!DP$8</f>
      </c>
      <c r="DQ211" s="707" t="str">
        <f>'Revenue summary'!DQ$8</f>
      </c>
      <c r="DR211" s="706" t="str">
        <f>'Revenue summary'!DR$8</f>
      </c>
      <c r="DS211" s="706" t="str">
        <f>'Revenue summary'!DS$8</f>
      </c>
      <c r="DT211" s="706" t="str">
        <f>'Revenue summary'!DT$8</f>
      </c>
      <c r="DU211" s="707" t="str">
        <f>'Revenue summary'!DU$8</f>
      </c>
      <c r="DV211" s="706" t="str">
        <f>'Revenue summary'!DV$8</f>
      </c>
      <c r="DW211" s="706" t="str">
        <f>'Revenue summary'!DW$8</f>
      </c>
      <c r="DX211" s="706" t="str">
        <f>'Revenue summary'!DX$8</f>
      </c>
      <c r="DY211" s="707" t="str">
        <f>'Revenue summary'!DY$8</f>
      </c>
      <c r="DZ211" s="706" t="str">
        <f>'Revenue summary'!DZ$8</f>
      </c>
      <c r="EA211" s="706" t="str">
        <f>'Revenue summary'!EA$8</f>
      </c>
      <c r="EB211" s="706" t="str">
        <f>'Revenue summary'!EB$8</f>
      </c>
      <c r="EC211" s="707" t="str">
        <f>'Revenue summary'!EC$8</f>
      </c>
      <c r="ED211" s="706" t="str">
        <f>'Revenue summary'!ED$8</f>
      </c>
      <c r="EE211" s="706" t="str">
        <f>'Revenue summary'!EE$8</f>
      </c>
      <c r="EF211" s="706" t="str">
        <f>'Revenue summary'!EF$8</f>
      </c>
      <c r="EG211" s="707" t="str">
        <f>'Revenue summary'!EG$8</f>
      </c>
      <c r="EH211" s="706" t="str">
        <f>'Revenue summary'!EH$8</f>
      </c>
      <c r="EI211" s="706" t="str">
        <f>'Revenue summary'!EI$8</f>
      </c>
      <c r="EJ211" s="706" t="str">
        <f>'Revenue summary'!EJ$8</f>
      </c>
      <c r="EK211" s="707" t="str">
        <f>'Revenue summary'!EK$8</f>
      </c>
      <c r="FE211" s="706" t="str">
        <f t="shared" ref="FE211:FH211" si="1516">FE$9</f>
      </c>
      <c r="FF211" s="706" t="str">
        <f t="shared" si="1516"/>
      </c>
      <c r="FG211" s="706" t="str">
        <f t="shared" si="1516"/>
      </c>
      <c r="FH211" s="706" t="str">
        <f t="shared" si="1516"/>
      </c>
      <c r="FI211" s="706" t="str">
        <f>FI$9</f>
      </c>
      <c r="FJ211" s="706" t="str">
        <f t="shared" ref="FJ211:FU211" si="1517">FJ$9</f>
      </c>
      <c r="FK211" s="706" t="str">
        <f t="shared" si="1517"/>
      </c>
      <c r="FL211" s="706" t="str">
        <f t="shared" si="1517"/>
      </c>
      <c r="FM211" s="706" t="str">
        <f t="shared" si="1517"/>
      </c>
      <c r="FN211" s="706" t="str">
        <f t="shared" si="1517"/>
      </c>
      <c r="FO211" s="706" t="str">
        <f t="shared" si="1517"/>
      </c>
      <c r="FP211" s="706" t="str">
        <f t="shared" si="1517"/>
      </c>
      <c r="FQ211" s="706" t="str">
        <f t="shared" si="1517"/>
      </c>
      <c r="FR211" s="706" t="str">
        <f t="shared" si="1517"/>
      </c>
      <c r="FS211" s="706" t="str">
        <f t="shared" si="1517"/>
      </c>
      <c r="FT211" s="706" t="str">
        <f t="shared" si="1517"/>
      </c>
      <c r="FU211" s="706" t="str">
        <f t="shared" si="1517"/>
      </c>
    </row>
    <row r="212" spans="1:214" s="970" customFormat="1" ht="10.199999999999999">
      <c r="A212" s="972" t="s">
        <v>1479</v>
      </c>
      <c r="B212" s="967"/>
      <c r="C212" s="967"/>
      <c r="D212" s="967"/>
      <c r="E212" s="966"/>
      <c r="F212" s="967"/>
      <c r="G212" s="967"/>
      <c r="H212" s="967"/>
      <c r="I212" s="966"/>
      <c r="J212" s="967"/>
      <c r="K212" s="967"/>
      <c r="L212" s="967"/>
      <c r="M212" s="966"/>
      <c r="N212" s="967"/>
      <c r="O212" s="967"/>
      <c r="P212" s="967"/>
      <c r="Q212" s="966"/>
      <c r="R212" s="967"/>
      <c r="S212" s="967"/>
      <c r="T212" s="967"/>
      <c r="U212" s="966"/>
      <c r="V212" s="967"/>
      <c r="W212" s="967"/>
      <c r="X212" s="967"/>
      <c r="Y212" s="966"/>
      <c r="Z212" s="967"/>
      <c r="AA212" s="967"/>
      <c r="AB212" s="967"/>
      <c r="AC212" s="966"/>
      <c r="AD212" s="967"/>
      <c r="AE212" s="967"/>
      <c r="AF212" s="967"/>
      <c r="AG212" s="966"/>
      <c r="AH212" s="967"/>
      <c r="AI212" s="967"/>
      <c r="AJ212" s="967"/>
      <c r="AK212" s="966"/>
      <c r="AL212" s="967"/>
      <c r="AM212" s="967"/>
      <c r="AN212" s="967"/>
      <c r="AO212" s="966"/>
      <c r="AP212" s="967"/>
      <c r="AQ212" s="967"/>
      <c r="AR212" s="967"/>
      <c r="AS212" s="966"/>
      <c r="AT212" s="967"/>
      <c r="AU212" s="967"/>
      <c r="AV212" s="967"/>
      <c r="AW212" s="966"/>
      <c r="AX212" s="972"/>
      <c r="AY212" s="972"/>
      <c r="AZ212" s="972"/>
      <c r="BA212" s="1166"/>
      <c r="BB212" s="972"/>
      <c r="BC212" s="972"/>
      <c r="BD212" s="972"/>
      <c r="BE212" s="1166"/>
      <c r="BF212" s="972"/>
      <c r="BG212" s="972"/>
      <c r="BH212" s="972"/>
      <c r="BI212" s="1166"/>
      <c r="BJ212" s="972"/>
      <c r="BK212" s="972"/>
      <c r="BL212" s="972"/>
      <c r="BM212" s="1166"/>
      <c r="BN212" s="972"/>
      <c r="BO212" s="972"/>
      <c r="BP212" s="972"/>
      <c r="BQ212" s="1166"/>
      <c r="BR212" s="972"/>
      <c r="BS212" s="972"/>
      <c r="BT212" s="972"/>
      <c r="BU212" s="1166"/>
      <c r="BV212" s="972"/>
      <c r="BW212" s="972"/>
      <c r="BX212" s="972"/>
      <c r="BY212" s="1166"/>
      <c r="BZ212" s="972"/>
      <c r="CA212" s="972"/>
      <c r="CB212" s="972"/>
      <c r="CC212" s="1166"/>
      <c r="CD212" s="967">
        <v>42.2</v>
      </c>
      <c r="CE212" s="967">
        <v>28.4</v>
      </c>
      <c r="CF212" s="967">
        <v>23.6</v>
      </c>
      <c r="CG212" s="966">
        <v>24.2</v>
      </c>
      <c r="CH212" s="967">
        <v>48.2</v>
      </c>
      <c r="CI212" s="967">
        <v>29.6</v>
      </c>
      <c r="CJ212" s="967">
        <v>25.3</v>
      </c>
      <c r="CK212" s="966">
        <v>25.1</v>
      </c>
      <c r="CL212" s="967">
        <v>47.8</v>
      </c>
      <c r="CM212" s="967">
        <v>34.4</v>
      </c>
      <c r="CN212" s="967">
        <v>28.3</v>
      </c>
      <c r="CO212" s="966">
        <v>28.6</v>
      </c>
      <c r="CP212" s="972">
        <f>CP$215*CP218</f>
      </c>
      <c r="CQ212" s="972">
        <f t="shared" ref="CQ212:DU212" si="1518">CQ$215*CQ218</f>
      </c>
      <c r="CR212" s="972">
        <f t="shared" si="1518"/>
      </c>
      <c r="CS212" s="1166">
        <f t="shared" si="1518"/>
      </c>
      <c r="CT212" s="972">
        <f t="shared" si="1518"/>
      </c>
      <c r="CU212" s="972">
        <f t="shared" si="1518"/>
      </c>
      <c r="CV212" s="972">
        <f t="shared" si="1518"/>
      </c>
      <c r="CW212" s="1166">
        <f t="shared" si="1518"/>
      </c>
      <c r="CX212" s="972">
        <f t="shared" si="1518"/>
      </c>
      <c r="CY212" s="972">
        <f t="shared" si="1518"/>
      </c>
      <c r="CZ212" s="972">
        <f t="shared" si="1518"/>
      </c>
      <c r="DA212" s="1166">
        <f t="shared" si="1518"/>
      </c>
      <c r="DB212" s="972">
        <f t="shared" si="1518"/>
      </c>
      <c r="DC212" s="972">
        <f t="shared" si="1518"/>
      </c>
      <c r="DD212" s="972">
        <f t="shared" si="1518"/>
      </c>
      <c r="DE212" s="1166">
        <f t="shared" si="1518"/>
      </c>
      <c r="DF212" s="972">
        <f t="shared" si="1518"/>
      </c>
      <c r="DG212" s="972">
        <f t="shared" si="1518"/>
      </c>
      <c r="DH212" s="972">
        <f t="shared" si="1518"/>
      </c>
      <c r="DI212" s="1166">
        <f t="shared" si="1518"/>
      </c>
      <c r="DJ212" s="972">
        <f t="shared" si="1518"/>
      </c>
      <c r="DK212" s="972">
        <f t="shared" ref="DK212:DL214" si="1519">DK$215*DK218</f>
      </c>
      <c r="DL212" s="972">
        <f t="shared" si="1519"/>
      </c>
      <c r="DM212" s="1166">
        <f t="shared" si="1518"/>
      </c>
      <c r="DN212" s="972">
        <f t="shared" ref="DN212:DR214" si="1520">DN$215*DN218</f>
      </c>
      <c r="DO212" s="972">
        <f t="shared" si="1520"/>
      </c>
      <c r="DP212" s="972">
        <f t="shared" si="1520"/>
      </c>
      <c r="DQ212" s="1166">
        <f t="shared" si="1520"/>
      </c>
      <c r="DR212" s="972">
        <f t="shared" si="1520"/>
      </c>
      <c r="DS212" s="972">
        <f t="shared" si="1518"/>
      </c>
      <c r="DT212" s="972">
        <f t="shared" si="1518"/>
      </c>
      <c r="DU212" s="1166">
        <f t="shared" si="1518"/>
      </c>
      <c r="DV212" s="972">
        <f t="shared" ref="DV212:EK212" si="1521">DV$215*DV218</f>
      </c>
      <c r="DW212" s="972">
        <f t="shared" si="1521"/>
      </c>
      <c r="DX212" s="972">
        <f t="shared" si="1521"/>
      </c>
      <c r="DY212" s="1166">
        <f t="shared" si="1521"/>
      </c>
      <c r="DZ212" s="972">
        <f t="shared" si="1521"/>
      </c>
      <c r="EA212" s="972">
        <f t="shared" si="1521"/>
      </c>
      <c r="EB212" s="972">
        <f t="shared" si="1521"/>
      </c>
      <c r="EC212" s="1166">
        <f t="shared" si="1521"/>
      </c>
      <c r="ED212" s="972">
        <f t="shared" si="1521"/>
      </c>
      <c r="EE212" s="972">
        <f t="shared" si="1521"/>
      </c>
      <c r="EF212" s="972">
        <f t="shared" si="1521"/>
      </c>
      <c r="EG212" s="1166">
        <f t="shared" si="1521"/>
      </c>
      <c r="EH212" s="972">
        <f t="shared" si="1521"/>
      </c>
      <c r="EI212" s="972">
        <f t="shared" si="1521"/>
      </c>
      <c r="EJ212" s="972">
        <f t="shared" si="1521"/>
      </c>
      <c r="EK212" s="1166">
        <f t="shared" si="1521"/>
      </c>
      <c r="FE212" s="967">
        <v>83.5</v>
      </c>
      <c r="FF212" s="967">
        <v>131.80000000000001</v>
      </c>
      <c r="FG212" s="70">
        <f>SUM(CD212:CG212)</f>
      </c>
      <c r="FH212" s="70">
        <f>SUM(CH212:CK212)</f>
      </c>
      <c r="FI212" s="70">
        <f t="shared" ref="FI212:FI215" si="1522">SUM(CL212:CO212)</f>
      </c>
      <c r="FJ212" s="70">
        <f>SUM(CP212:CS212)</f>
      </c>
      <c r="FK212" s="70">
        <f>SUM(CT212:CW212)</f>
      </c>
      <c r="FL212" s="70">
        <f>SUM(CX212:DA212)</f>
      </c>
      <c r="FM212" s="70">
        <f>SUM(DB212:DE212)</f>
      </c>
      <c r="FN212" s="70">
        <f>SUM(DF212:DI212)</f>
      </c>
      <c r="FO212" s="70">
        <f>SUM(DJ212:DM212)</f>
      </c>
      <c r="FP212" s="70">
        <f>SUM(DN212:DQ212)</f>
      </c>
      <c r="FQ212" s="70">
        <f>SUM(DR212:DU212)</f>
      </c>
      <c r="FR212" s="70">
        <f>SUM(DV212:DY212)</f>
      </c>
      <c r="FS212" s="70">
        <f>SUM(DZ212:EC212)</f>
      </c>
      <c r="FT212" s="70">
        <f>SUM(ED212:EG212)</f>
      </c>
      <c r="FU212" s="70">
        <f>SUM(EH212:EK212)</f>
      </c>
      <c r="FW212" s="1056"/>
    </row>
    <row r="213" spans="1:214" s="970" customFormat="1" ht="10.199999999999999">
      <c r="A213" s="972" t="s">
        <v>1480</v>
      </c>
      <c r="B213" s="967"/>
      <c r="C213" s="967"/>
      <c r="D213" s="967"/>
      <c r="E213" s="966"/>
      <c r="F213" s="967"/>
      <c r="G213" s="967"/>
      <c r="H213" s="967"/>
      <c r="I213" s="966"/>
      <c r="J213" s="967"/>
      <c r="K213" s="967"/>
      <c r="L213" s="967"/>
      <c r="M213" s="966"/>
      <c r="N213" s="967"/>
      <c r="O213" s="967"/>
      <c r="P213" s="967"/>
      <c r="Q213" s="966"/>
      <c r="R213" s="967"/>
      <c r="S213" s="967"/>
      <c r="T213" s="967"/>
      <c r="U213" s="966"/>
      <c r="V213" s="967"/>
      <c r="W213" s="967"/>
      <c r="X213" s="967"/>
      <c r="Y213" s="966"/>
      <c r="Z213" s="967"/>
      <c r="AA213" s="967"/>
      <c r="AB213" s="967"/>
      <c r="AC213" s="966"/>
      <c r="AD213" s="967"/>
      <c r="AE213" s="967"/>
      <c r="AF213" s="967"/>
      <c r="AG213" s="966"/>
      <c r="AH213" s="967"/>
      <c r="AI213" s="967"/>
      <c r="AJ213" s="967"/>
      <c r="AK213" s="966"/>
      <c r="AL213" s="967"/>
      <c r="AM213" s="967"/>
      <c r="AN213" s="967"/>
      <c r="AO213" s="966"/>
      <c r="AP213" s="967"/>
      <c r="AQ213" s="967"/>
      <c r="AR213" s="967"/>
      <c r="AS213" s="966"/>
      <c r="AT213" s="967"/>
      <c r="AU213" s="967"/>
      <c r="AV213" s="967"/>
      <c r="AW213" s="966"/>
      <c r="AX213" s="972"/>
      <c r="AY213" s="972"/>
      <c r="AZ213" s="972"/>
      <c r="BA213" s="1166"/>
      <c r="BB213" s="972"/>
      <c r="BC213" s="972"/>
      <c r="BD213" s="972"/>
      <c r="BE213" s="1166"/>
      <c r="BF213" s="972"/>
      <c r="BG213" s="972"/>
      <c r="BH213" s="972"/>
      <c r="BI213" s="1166"/>
      <c r="BJ213" s="972"/>
      <c r="BK213" s="972"/>
      <c r="BL213" s="972"/>
      <c r="BM213" s="1166"/>
      <c r="BN213" s="972"/>
      <c r="BO213" s="972"/>
      <c r="BP213" s="972"/>
      <c r="BQ213" s="1166"/>
      <c r="BR213" s="972"/>
      <c r="BS213" s="972"/>
      <c r="BT213" s="972"/>
      <c r="BU213" s="1166"/>
      <c r="BV213" s="972"/>
      <c r="BW213" s="972"/>
      <c r="BX213" s="972"/>
      <c r="BY213" s="1166"/>
      <c r="BZ213" s="972"/>
      <c r="CA213" s="972"/>
      <c r="CB213" s="972"/>
      <c r="CC213" s="1166"/>
      <c r="CD213" s="967">
        <v>22.7</v>
      </c>
      <c r="CE213" s="967">
        <v>19</v>
      </c>
      <c r="CF213" s="967">
        <v>16.7</v>
      </c>
      <c r="CG213" s="966">
        <v>14.8</v>
      </c>
      <c r="CH213" s="967">
        <v>23.2</v>
      </c>
      <c r="CI213" s="967">
        <v>16.899999999999999</v>
      </c>
      <c r="CJ213" s="967">
        <v>15.5</v>
      </c>
      <c r="CK213" s="966">
        <v>15.8</v>
      </c>
      <c r="CL213" s="967">
        <v>18.7</v>
      </c>
      <c r="CM213" s="967">
        <v>16.100000000000001</v>
      </c>
      <c r="CN213" s="967">
        <v>13.1</v>
      </c>
      <c r="CO213" s="966">
        <v>12.8</v>
      </c>
      <c r="CP213" s="972">
        <f t="shared" ref="CP213:DU213" si="1523">CP$215*CP219</f>
      </c>
      <c r="CQ213" s="972">
        <f t="shared" si="1523"/>
      </c>
      <c r="CR213" s="972">
        <f t="shared" si="1523"/>
      </c>
      <c r="CS213" s="1166">
        <f t="shared" si="1523"/>
      </c>
      <c r="CT213" s="972">
        <f t="shared" si="1523"/>
      </c>
      <c r="CU213" s="972">
        <f t="shared" si="1523"/>
      </c>
      <c r="CV213" s="972">
        <f t="shared" si="1523"/>
      </c>
      <c r="CW213" s="1166">
        <f t="shared" si="1523"/>
      </c>
      <c r="CX213" s="972">
        <f t="shared" si="1523"/>
      </c>
      <c r="CY213" s="972">
        <f t="shared" si="1523"/>
      </c>
      <c r="CZ213" s="972">
        <f t="shared" si="1523"/>
      </c>
      <c r="DA213" s="1166">
        <f t="shared" si="1523"/>
      </c>
      <c r="DB213" s="972">
        <f t="shared" si="1523"/>
      </c>
      <c r="DC213" s="972">
        <f t="shared" si="1523"/>
      </c>
      <c r="DD213" s="972">
        <f t="shared" si="1523"/>
      </c>
      <c r="DE213" s="1166">
        <f t="shared" si="1523"/>
      </c>
      <c r="DF213" s="972">
        <f t="shared" si="1523"/>
      </c>
      <c r="DG213" s="972">
        <f t="shared" si="1523"/>
      </c>
      <c r="DH213" s="972">
        <f t="shared" si="1523"/>
      </c>
      <c r="DI213" s="1166">
        <f t="shared" si="1523"/>
      </c>
      <c r="DJ213" s="972">
        <f t="shared" si="1523"/>
      </c>
      <c r="DK213" s="972">
        <f t="shared" si="1519"/>
      </c>
      <c r="DL213" s="972">
        <f t="shared" si="1519"/>
      </c>
      <c r="DM213" s="1166">
        <f t="shared" si="1523"/>
      </c>
      <c r="DN213" s="972">
        <f t="shared" si="1520"/>
      </c>
      <c r="DO213" s="972">
        <f t="shared" si="1520"/>
      </c>
      <c r="DP213" s="972">
        <f t="shared" si="1520"/>
      </c>
      <c r="DQ213" s="1166">
        <f t="shared" si="1520"/>
      </c>
      <c r="DR213" s="972">
        <f t="shared" si="1520"/>
      </c>
      <c r="DS213" s="972">
        <f t="shared" si="1523"/>
      </c>
      <c r="DT213" s="972">
        <f t="shared" si="1523"/>
      </c>
      <c r="DU213" s="1166">
        <f t="shared" si="1523"/>
      </c>
      <c r="DV213" s="972">
        <f t="shared" ref="DV213:EK213" si="1524">DV$215*DV219</f>
      </c>
      <c r="DW213" s="972">
        <f t="shared" si="1524"/>
      </c>
      <c r="DX213" s="972">
        <f t="shared" si="1524"/>
      </c>
      <c r="DY213" s="1166">
        <f t="shared" si="1524"/>
      </c>
      <c r="DZ213" s="972">
        <f t="shared" si="1524"/>
      </c>
      <c r="EA213" s="972">
        <f t="shared" si="1524"/>
      </c>
      <c r="EB213" s="972">
        <f t="shared" si="1524"/>
      </c>
      <c r="EC213" s="1166">
        <f t="shared" si="1524"/>
      </c>
      <c r="ED213" s="972">
        <f t="shared" si="1524"/>
      </c>
      <c r="EE213" s="972">
        <f t="shared" si="1524"/>
      </c>
      <c r="EF213" s="972">
        <f t="shared" si="1524"/>
      </c>
      <c r="EG213" s="1166">
        <f t="shared" si="1524"/>
      </c>
      <c r="EH213" s="972">
        <f t="shared" si="1524"/>
      </c>
      <c r="EI213" s="972">
        <f t="shared" si="1524"/>
      </c>
      <c r="EJ213" s="972">
        <f t="shared" si="1524"/>
      </c>
      <c r="EK213" s="1166">
        <f t="shared" si="1524"/>
      </c>
      <c r="FE213" s="967">
        <v>55.7</v>
      </c>
      <c r="FF213" s="967">
        <v>72.7</v>
      </c>
      <c r="FG213" s="70">
        <f>SUM(CD213:CG213)</f>
      </c>
      <c r="FH213" s="70">
        <f>SUM(CH213:CK213)</f>
      </c>
      <c r="FI213" s="70">
        <f t="shared" si="1522"/>
      </c>
      <c r="FJ213" s="70">
        <f>SUM(CP213:CS213)</f>
      </c>
      <c r="FK213" s="70">
        <f>SUM(CT213:CW213)</f>
      </c>
      <c r="FL213" s="70">
        <f>SUM(CX213:DA213)</f>
      </c>
      <c r="FM213" s="70">
        <f>SUM(DB213:DE213)</f>
      </c>
      <c r="FN213" s="70">
        <f>SUM(DF213:DI213)</f>
      </c>
      <c r="FO213" s="70">
        <f>SUM(DJ213:DM213)</f>
      </c>
      <c r="FP213" s="70">
        <f>SUM(DN213:DQ213)</f>
      </c>
      <c r="FQ213" s="70">
        <f>SUM(DR213:DU213)</f>
      </c>
      <c r="FR213" s="70">
        <f>SUM(DV213:DY213)</f>
      </c>
      <c r="FS213" s="70">
        <f>SUM(DZ213:EC213)</f>
      </c>
      <c r="FT213" s="70">
        <f>SUM(ED213:EG213)</f>
      </c>
      <c r="FU213" s="70">
        <f>SUM(EH213:EK213)</f>
      </c>
      <c r="FW213" s="1056"/>
    </row>
    <row r="214" spans="1:214" s="970" customFormat="1" ht="10.199999999999999">
      <c r="A214" s="972" t="s">
        <v>1481</v>
      </c>
      <c r="B214" s="967"/>
      <c r="C214" s="967"/>
      <c r="D214" s="967"/>
      <c r="E214" s="966"/>
      <c r="F214" s="967"/>
      <c r="G214" s="967"/>
      <c r="H214" s="967"/>
      <c r="I214" s="966"/>
      <c r="J214" s="967"/>
      <c r="K214" s="967"/>
      <c r="L214" s="967"/>
      <c r="M214" s="966"/>
      <c r="N214" s="967"/>
      <c r="O214" s="967"/>
      <c r="P214" s="967"/>
      <c r="Q214" s="966"/>
      <c r="R214" s="967"/>
      <c r="S214" s="967"/>
      <c r="T214" s="967"/>
      <c r="U214" s="966"/>
      <c r="V214" s="967"/>
      <c r="W214" s="967"/>
      <c r="X214" s="967"/>
      <c r="Y214" s="966"/>
      <c r="Z214" s="967"/>
      <c r="AA214" s="967"/>
      <c r="AB214" s="967"/>
      <c r="AC214" s="966"/>
      <c r="AD214" s="967"/>
      <c r="AE214" s="967"/>
      <c r="AF214" s="967"/>
      <c r="AG214" s="966"/>
      <c r="AH214" s="967"/>
      <c r="AI214" s="967"/>
      <c r="AJ214" s="967"/>
      <c r="AK214" s="966"/>
      <c r="AL214" s="967"/>
      <c r="AM214" s="967"/>
      <c r="AN214" s="967"/>
      <c r="AO214" s="966"/>
      <c r="AP214" s="967"/>
      <c r="AQ214" s="967"/>
      <c r="AR214" s="967"/>
      <c r="AS214" s="966"/>
      <c r="AT214" s="967"/>
      <c r="AU214" s="967"/>
      <c r="AV214" s="967"/>
      <c r="AW214" s="966"/>
      <c r="AX214" s="972"/>
      <c r="AY214" s="972"/>
      <c r="AZ214" s="972"/>
      <c r="BA214" s="1166"/>
      <c r="BB214" s="972"/>
      <c r="BC214" s="972"/>
      <c r="BD214" s="972"/>
      <c r="BE214" s="1166"/>
      <c r="BF214" s="972"/>
      <c r="BG214" s="972"/>
      <c r="BH214" s="972"/>
      <c r="BI214" s="1166"/>
      <c r="BJ214" s="972"/>
      <c r="BK214" s="972"/>
      <c r="BL214" s="972"/>
      <c r="BM214" s="1166"/>
      <c r="BN214" s="972"/>
      <c r="BO214" s="972"/>
      <c r="BP214" s="972"/>
      <c r="BQ214" s="1166"/>
      <c r="BR214" s="972"/>
      <c r="BS214" s="972"/>
      <c r="BT214" s="972"/>
      <c r="BU214" s="1166"/>
      <c r="BV214" s="972"/>
      <c r="BW214" s="972"/>
      <c r="BX214" s="972"/>
      <c r="BY214" s="1166"/>
      <c r="BZ214" s="972"/>
      <c r="CA214" s="972"/>
      <c r="CB214" s="972"/>
      <c r="CC214" s="1166"/>
      <c r="CD214" s="967">
        <v>5.3</v>
      </c>
      <c r="CE214" s="967">
        <v>4.5999999999999996</v>
      </c>
      <c r="CF214" s="967">
        <v>4.2</v>
      </c>
      <c r="CG214" s="966">
        <v>3.6</v>
      </c>
      <c r="CH214" s="967">
        <v>5.5</v>
      </c>
      <c r="CI214" s="967">
        <v>4.4000000000000004</v>
      </c>
      <c r="CJ214" s="967">
        <v>3.7</v>
      </c>
      <c r="CK214" s="966">
        <v>3.4</v>
      </c>
      <c r="CL214" s="967">
        <v>5.0999999999999996</v>
      </c>
      <c r="CM214" s="967">
        <v>4.4000000000000004</v>
      </c>
      <c r="CN214" s="967">
        <v>3.8</v>
      </c>
      <c r="CO214" s="966">
        <v>3.4</v>
      </c>
      <c r="CP214" s="972">
        <f t="shared" ref="CP214:DU214" si="1525">CP$215*CP220</f>
      </c>
      <c r="CQ214" s="972">
        <f t="shared" si="1525"/>
      </c>
      <c r="CR214" s="972">
        <f t="shared" si="1525"/>
      </c>
      <c r="CS214" s="1166">
        <f t="shared" si="1525"/>
      </c>
      <c r="CT214" s="972">
        <f t="shared" si="1525"/>
      </c>
      <c r="CU214" s="972">
        <f t="shared" si="1525"/>
      </c>
      <c r="CV214" s="972">
        <f t="shared" si="1525"/>
      </c>
      <c r="CW214" s="1166">
        <f t="shared" si="1525"/>
      </c>
      <c r="CX214" s="972">
        <f t="shared" si="1525"/>
      </c>
      <c r="CY214" s="972">
        <f t="shared" si="1525"/>
      </c>
      <c r="CZ214" s="972">
        <f t="shared" si="1525"/>
      </c>
      <c r="DA214" s="1166">
        <f t="shared" si="1525"/>
      </c>
      <c r="DB214" s="972">
        <f t="shared" si="1525"/>
      </c>
      <c r="DC214" s="972">
        <f t="shared" si="1525"/>
      </c>
      <c r="DD214" s="972">
        <f t="shared" si="1525"/>
      </c>
      <c r="DE214" s="1166">
        <f t="shared" si="1525"/>
      </c>
      <c r="DF214" s="972">
        <f t="shared" si="1525"/>
      </c>
      <c r="DG214" s="972">
        <f t="shared" si="1525"/>
      </c>
      <c r="DH214" s="972">
        <f t="shared" si="1525"/>
      </c>
      <c r="DI214" s="1166">
        <f t="shared" si="1525"/>
      </c>
      <c r="DJ214" s="972">
        <f t="shared" si="1525"/>
      </c>
      <c r="DK214" s="972">
        <f t="shared" si="1519"/>
      </c>
      <c r="DL214" s="972">
        <f t="shared" si="1519"/>
      </c>
      <c r="DM214" s="1166">
        <f t="shared" si="1525"/>
      </c>
      <c r="DN214" s="972">
        <f t="shared" si="1520"/>
      </c>
      <c r="DO214" s="972">
        <f t="shared" si="1520"/>
      </c>
      <c r="DP214" s="972">
        <f t="shared" si="1520"/>
      </c>
      <c r="DQ214" s="1166">
        <f t="shared" si="1520"/>
      </c>
      <c r="DR214" s="972">
        <f t="shared" si="1520"/>
      </c>
      <c r="DS214" s="972">
        <f t="shared" si="1525"/>
      </c>
      <c r="DT214" s="972">
        <f t="shared" si="1525"/>
      </c>
      <c r="DU214" s="1166">
        <f t="shared" si="1525"/>
      </c>
      <c r="DV214" s="972">
        <f t="shared" ref="DV214:EK214" si="1526">DV$215*DV220</f>
      </c>
      <c r="DW214" s="972">
        <f t="shared" si="1526"/>
      </c>
      <c r="DX214" s="972">
        <f t="shared" si="1526"/>
      </c>
      <c r="DY214" s="1166">
        <f t="shared" si="1526"/>
      </c>
      <c r="DZ214" s="972">
        <f t="shared" si="1526"/>
      </c>
      <c r="EA214" s="972">
        <f t="shared" si="1526"/>
      </c>
      <c r="EB214" s="972">
        <f t="shared" si="1526"/>
      </c>
      <c r="EC214" s="1166">
        <f t="shared" si="1526"/>
      </c>
      <c r="ED214" s="972">
        <f t="shared" si="1526"/>
      </c>
      <c r="EE214" s="972">
        <f t="shared" si="1526"/>
      </c>
      <c r="EF214" s="972">
        <f t="shared" si="1526"/>
      </c>
      <c r="EG214" s="1166">
        <f t="shared" si="1526"/>
      </c>
      <c r="EH214" s="972">
        <f t="shared" si="1526"/>
      </c>
      <c r="EI214" s="972">
        <f t="shared" si="1526"/>
      </c>
      <c r="EJ214" s="972">
        <f t="shared" si="1526"/>
      </c>
      <c r="EK214" s="1166">
        <f t="shared" si="1526"/>
      </c>
      <c r="FE214" s="967">
        <v>24.1</v>
      </c>
      <c r="FF214" s="967">
        <v>22.2</v>
      </c>
      <c r="FG214" s="70">
        <f>SUM(CD214:CG214)</f>
      </c>
      <c r="FH214" s="70">
        <f>SUM(CH214:CK214)</f>
      </c>
      <c r="FI214" s="70">
        <f t="shared" si="1522"/>
      </c>
      <c r="FJ214" s="70">
        <f t="shared" ref="FJ214:FJ215" si="1527">SUM(CP214:CS214)</f>
      </c>
      <c r="FK214" s="70">
        <f t="shared" ref="FK214:FK215" si="1528">SUM(CT214:CW214)</f>
      </c>
      <c r="FL214" s="70">
        <f t="shared" ref="FL214:FL215" si="1529">SUM(CX214:DA214)</f>
      </c>
      <c r="FM214" s="70">
        <f t="shared" ref="FM214:FM215" si="1530">SUM(DB214:DE214)</f>
      </c>
      <c r="FN214" s="70">
        <f t="shared" ref="FN214:FN215" si="1531">SUM(DF214:DI214)</f>
      </c>
      <c r="FO214" s="70">
        <f t="shared" ref="FO214:FO215" si="1532">SUM(DJ214:DM214)</f>
      </c>
      <c r="FP214" s="70">
        <f>SUM(DN214:DQ214)</f>
      </c>
      <c r="FQ214" s="70">
        <f t="shared" ref="FQ214:FQ215" si="1533">SUM(DR214:DU214)</f>
      </c>
      <c r="FR214" s="70">
        <f>SUM(DV214:DY214)</f>
      </c>
      <c r="FS214" s="70">
        <f>SUM(DZ214:EC214)</f>
      </c>
      <c r="FT214" s="70">
        <f>SUM(ED214:EG214)</f>
      </c>
      <c r="FU214" s="70">
        <f>SUM(EH214:EK214)</f>
      </c>
      <c r="FW214" s="1056"/>
    </row>
    <row r="215" spans="1:214" s="1056" customFormat="1" ht="10.199999999999999">
      <c r="A215" s="2041" t="s">
        <v>1482</v>
      </c>
      <c r="B215" s="2042"/>
      <c r="C215" s="2042"/>
      <c r="D215" s="2042"/>
      <c r="E215" s="2043"/>
      <c r="F215" s="2042"/>
      <c r="G215" s="2042"/>
      <c r="H215" s="2042"/>
      <c r="I215" s="2043"/>
      <c r="J215" s="2042"/>
      <c r="K215" s="2042"/>
      <c r="L215" s="2042"/>
      <c r="M215" s="2043"/>
      <c r="N215" s="2042"/>
      <c r="O215" s="2042"/>
      <c r="P215" s="2042"/>
      <c r="Q215" s="2043"/>
      <c r="R215" s="2042"/>
      <c r="S215" s="2042"/>
      <c r="T215" s="2042"/>
      <c r="U215" s="2043"/>
      <c r="V215" s="2042"/>
      <c r="W215" s="2042"/>
      <c r="X215" s="2042"/>
      <c r="Y215" s="2043"/>
      <c r="Z215" s="2042"/>
      <c r="AA215" s="2042"/>
      <c r="AB215" s="2042"/>
      <c r="AC215" s="2043"/>
      <c r="AD215" s="2042"/>
      <c r="AE215" s="2042"/>
      <c r="AF215" s="2042"/>
      <c r="AG215" s="2043"/>
      <c r="AH215" s="2042"/>
      <c r="AI215" s="2042"/>
      <c r="AJ215" s="2042"/>
      <c r="AK215" s="2043"/>
      <c r="AL215" s="2042"/>
      <c r="AM215" s="2042"/>
      <c r="AN215" s="2042"/>
      <c r="AO215" s="2043"/>
      <c r="AP215" s="2042"/>
      <c r="AQ215" s="2042"/>
      <c r="AR215" s="2042"/>
      <c r="AS215" s="2043"/>
      <c r="AT215" s="2042"/>
      <c r="AU215" s="2042"/>
      <c r="AV215" s="2042"/>
      <c r="AW215" s="2043"/>
      <c r="AX215" s="2041"/>
      <c r="AY215" s="2041"/>
      <c r="AZ215" s="2041"/>
      <c r="BA215" s="2044"/>
      <c r="BB215" s="2041"/>
      <c r="BC215" s="2041"/>
      <c r="BD215" s="2041"/>
      <c r="BE215" s="2044"/>
      <c r="BF215" s="2041"/>
      <c r="BG215" s="2041"/>
      <c r="BH215" s="2041"/>
      <c r="BI215" s="2044"/>
      <c r="BJ215" s="2041"/>
      <c r="BK215" s="2041"/>
      <c r="BL215" s="2041"/>
      <c r="BM215" s="2044"/>
      <c r="BN215" s="2041"/>
      <c r="BO215" s="2041"/>
      <c r="BP215" s="2041"/>
      <c r="BQ215" s="2044"/>
      <c r="BR215" s="2041"/>
      <c r="BS215" s="2041"/>
      <c r="BT215" s="2041"/>
      <c r="BU215" s="2044"/>
      <c r="BV215" s="2041"/>
      <c r="BW215" s="2041"/>
      <c r="BX215" s="2041"/>
      <c r="BY215" s="2044"/>
      <c r="BZ215" s="2041"/>
      <c r="CA215" s="2041"/>
      <c r="CB215" s="2041"/>
      <c r="CC215" s="2044"/>
      <c r="CD215" s="2041">
        <f>SUM(CD212:CD214)</f>
      </c>
      <c r="CE215" s="2041">
        <f t="shared" ref="CE215:CO215" si="1534">SUM(CE212:CE214)</f>
      </c>
      <c r="CF215" s="2041">
        <f t="shared" si="1534"/>
      </c>
      <c r="CG215" s="2044">
        <f t="shared" si="1534"/>
      </c>
      <c r="CH215" s="2041">
        <f t="shared" si="1534"/>
      </c>
      <c r="CI215" s="2041">
        <f t="shared" si="1534"/>
      </c>
      <c r="CJ215" s="2041">
        <f t="shared" si="1534"/>
      </c>
      <c r="CK215" s="2044">
        <f t="shared" si="1534"/>
      </c>
      <c r="CL215" s="2041">
        <f t="shared" si="1534"/>
      </c>
      <c r="CM215" s="2041">
        <f t="shared" si="1534"/>
      </c>
      <c r="CN215" s="2041">
        <f t="shared" si="1534"/>
      </c>
      <c r="CO215" s="2044">
        <f t="shared" si="1534"/>
      </c>
      <c r="CP215" s="2041">
        <f>CP202</f>
      </c>
      <c r="CQ215" s="2041">
        <f t="shared" ref="CQ215:DU215" si="1535">CQ202</f>
      </c>
      <c r="CR215" s="2041">
        <f t="shared" si="1535"/>
      </c>
      <c r="CS215" s="2044">
        <f t="shared" si="1535"/>
      </c>
      <c r="CT215" s="2041">
        <f t="shared" si="1535"/>
      </c>
      <c r="CU215" s="2041">
        <f t="shared" si="1535"/>
      </c>
      <c r="CV215" s="2041">
        <f t="shared" si="1535"/>
      </c>
      <c r="CW215" s="2044">
        <f t="shared" si="1535"/>
      </c>
      <c r="CX215" s="2041">
        <f t="shared" si="1535"/>
      </c>
      <c r="CY215" s="2041">
        <f t="shared" si="1535"/>
      </c>
      <c r="CZ215" s="2041">
        <f t="shared" si="1535"/>
      </c>
      <c r="DA215" s="2044">
        <f t="shared" si="1535"/>
      </c>
      <c r="DB215" s="2041">
        <f t="shared" si="1535"/>
      </c>
      <c r="DC215" s="2041">
        <f t="shared" si="1535"/>
      </c>
      <c r="DD215" s="2041">
        <f t="shared" si="1535"/>
      </c>
      <c r="DE215" s="2044">
        <f t="shared" si="1535"/>
      </c>
      <c r="DF215" s="2041">
        <f t="shared" si="1535"/>
      </c>
      <c r="DG215" s="2041">
        <f t="shared" si="1535"/>
      </c>
      <c r="DH215" s="2041">
        <f t="shared" si="1535"/>
      </c>
      <c r="DI215" s="2044">
        <f t="shared" si="1535"/>
      </c>
      <c r="DJ215" s="2041">
        <f t="shared" si="1535"/>
      </c>
      <c r="DK215" s="2041">
        <f t="shared" si="1535"/>
      </c>
      <c r="DL215" s="2041">
        <f t="shared" si="1535"/>
      </c>
      <c r="DM215" s="2044">
        <f t="shared" si="1535"/>
      </c>
      <c r="DN215" s="2041">
        <f t="shared" si="1535"/>
      </c>
      <c r="DO215" s="2041">
        <f t="shared" si="1535"/>
      </c>
      <c r="DP215" s="2041">
        <f t="shared" si="1535"/>
      </c>
      <c r="DQ215" s="2044">
        <f t="shared" si="1535"/>
      </c>
      <c r="DR215" s="2041">
        <f t="shared" si="1535"/>
      </c>
      <c r="DS215" s="2041">
        <f t="shared" si="1535"/>
      </c>
      <c r="DT215" s="2041">
        <f t="shared" si="1535"/>
      </c>
      <c r="DU215" s="2044">
        <f t="shared" si="1535"/>
      </c>
      <c r="DV215" s="2041">
        <f t="shared" ref="DV215:EK215" si="1536">DV202</f>
      </c>
      <c r="DW215" s="2041">
        <f t="shared" si="1536"/>
      </c>
      <c r="DX215" s="2041">
        <f t="shared" si="1536"/>
      </c>
      <c r="DY215" s="2044">
        <f t="shared" si="1536"/>
      </c>
      <c r="DZ215" s="2041">
        <f t="shared" si="1536"/>
      </c>
      <c r="EA215" s="2041">
        <f t="shared" si="1536"/>
      </c>
      <c r="EB215" s="2041">
        <f t="shared" si="1536"/>
      </c>
      <c r="EC215" s="2044">
        <f t="shared" si="1536"/>
      </c>
      <c r="ED215" s="2041">
        <f t="shared" si="1536"/>
      </c>
      <c r="EE215" s="2041">
        <f t="shared" si="1536"/>
      </c>
      <c r="EF215" s="2041">
        <f t="shared" si="1536"/>
      </c>
      <c r="EG215" s="2044">
        <f t="shared" si="1536"/>
      </c>
      <c r="EH215" s="2041">
        <f t="shared" si="1536"/>
      </c>
      <c r="EI215" s="2041">
        <f t="shared" si="1536"/>
      </c>
      <c r="EJ215" s="2041">
        <f t="shared" si="1536"/>
      </c>
      <c r="EK215" s="2044">
        <f t="shared" si="1536"/>
      </c>
      <c r="FE215" s="2181">
        <f>SUM(FE212:FE214)</f>
      </c>
      <c r="FF215" s="2181">
        <f>SUM(FF212:FF214)</f>
      </c>
      <c r="FG215" s="2181">
        <f>SUM(CD215:CG215)</f>
      </c>
      <c r="FH215" s="2181">
        <f>SUM(CH215:CK215)</f>
      </c>
      <c r="FI215" s="2181">
        <f t="shared" si="1522"/>
      </c>
      <c r="FJ215" s="2181">
        <f t="shared" si="1527"/>
      </c>
      <c r="FK215" s="2181">
        <f t="shared" si="1528"/>
      </c>
      <c r="FL215" s="2181">
        <f t="shared" si="1529"/>
      </c>
      <c r="FM215" s="2181">
        <f t="shared" si="1530"/>
      </c>
      <c r="FN215" s="2181">
        <f t="shared" si="1531"/>
      </c>
      <c r="FO215" s="2181">
        <f t="shared" si="1532"/>
      </c>
      <c r="FP215" s="2181">
        <f>SUM(DN215:DQ215)</f>
      </c>
      <c r="FQ215" s="2181">
        <f t="shared" si="1533"/>
      </c>
      <c r="FR215" s="2181">
        <f>SUM(DV215:DY215)</f>
      </c>
      <c r="FS215" s="2181">
        <f>SUM(DZ215:EC215)</f>
      </c>
      <c r="FT215" s="2181">
        <f>SUM(ED215:EG215)</f>
      </c>
      <c r="FU215" s="2181">
        <f>SUM(EH215:EK215)</f>
      </c>
    </row>
    <row r="216" spans="1:214" s="2020" customFormat="1" ht="10.199999999999999">
      <c r="A216" s="972"/>
      <c r="B216" s="2016"/>
      <c r="C216" s="2016"/>
      <c r="D216" s="2016"/>
      <c r="E216" s="2017"/>
      <c r="F216" s="2016"/>
      <c r="G216" s="2016"/>
      <c r="H216" s="2016"/>
      <c r="I216" s="2017"/>
      <c r="J216" s="2016"/>
      <c r="K216" s="2016"/>
      <c r="L216" s="2016"/>
      <c r="M216" s="2017"/>
      <c r="N216" s="2016"/>
      <c r="O216" s="2016"/>
      <c r="P216" s="2016"/>
      <c r="Q216" s="2017"/>
      <c r="R216" s="2016"/>
      <c r="S216" s="2016"/>
      <c r="T216" s="2016"/>
      <c r="U216" s="2017"/>
      <c r="V216" s="2016"/>
      <c r="W216" s="2016"/>
      <c r="X216" s="2016"/>
      <c r="Y216" s="2017"/>
      <c r="Z216" s="2016"/>
      <c r="AA216" s="2016"/>
      <c r="AB216" s="2016"/>
      <c r="AC216" s="2017"/>
      <c r="AD216" s="2016"/>
      <c r="AE216" s="2016"/>
      <c r="AF216" s="2016"/>
      <c r="AG216" s="2017"/>
      <c r="AH216" s="2016"/>
      <c r="AI216" s="2016"/>
      <c r="AJ216" s="2016"/>
      <c r="AK216" s="2017"/>
      <c r="AL216" s="2016"/>
      <c r="AM216" s="2016"/>
      <c r="AN216" s="2016"/>
      <c r="AO216" s="2017"/>
      <c r="AP216" s="2016"/>
      <c r="AQ216" s="2016"/>
      <c r="AR216" s="2016"/>
      <c r="AS216" s="2017"/>
      <c r="AT216" s="2016"/>
      <c r="AU216" s="2016"/>
      <c r="AV216" s="2016"/>
      <c r="AW216" s="2017"/>
      <c r="AX216" s="2018"/>
      <c r="AY216" s="2018"/>
      <c r="AZ216" s="2018"/>
      <c r="BA216" s="2019"/>
      <c r="BB216" s="2018"/>
      <c r="BC216" s="2018"/>
      <c r="BD216" s="2018"/>
      <c r="BE216" s="2019"/>
      <c r="BF216" s="2018"/>
      <c r="BG216" s="2018"/>
      <c r="BH216" s="2018"/>
      <c r="BI216" s="2019"/>
      <c r="BJ216" s="2018"/>
      <c r="BK216" s="2018"/>
      <c r="BL216" s="2018"/>
      <c r="BM216" s="2019"/>
      <c r="BN216" s="2018"/>
      <c r="BO216" s="2018"/>
      <c r="BP216" s="2018"/>
      <c r="BQ216" s="2019"/>
      <c r="BR216" s="2018"/>
      <c r="BS216" s="2018"/>
      <c r="BT216" s="2018"/>
      <c r="BU216" s="2019"/>
      <c r="BV216" s="2018"/>
      <c r="BW216" s="2018"/>
      <c r="BX216" s="2018"/>
      <c r="BY216" s="2019"/>
      <c r="BZ216" s="2018"/>
      <c r="CA216" s="2018"/>
      <c r="CB216" s="2018"/>
      <c r="CC216" s="2019"/>
      <c r="CD216" s="2018"/>
      <c r="CE216" s="2018"/>
      <c r="CF216" s="2018"/>
      <c r="CG216" s="2019"/>
      <c r="CH216" s="2018"/>
      <c r="CI216" s="2018"/>
      <c r="CJ216" s="2018"/>
      <c r="CK216" s="2019"/>
      <c r="CL216" s="2018"/>
      <c r="CM216" s="2018"/>
      <c r="CN216" s="2018"/>
      <c r="CO216" s="2019"/>
      <c r="CP216" s="2018"/>
      <c r="CQ216" s="2018"/>
      <c r="CR216" s="2018"/>
      <c r="CS216" s="2019"/>
      <c r="CT216" s="2018"/>
      <c r="CU216" s="2018"/>
      <c r="CV216" s="2018"/>
      <c r="CW216" s="2019"/>
      <c r="CX216" s="2018"/>
      <c r="CY216" s="2018"/>
      <c r="CZ216" s="2018"/>
      <c r="DA216" s="2019"/>
      <c r="DB216" s="2018"/>
      <c r="DC216" s="2018"/>
      <c r="DD216" s="2018"/>
      <c r="DE216" s="2019"/>
      <c r="DF216" s="2018"/>
      <c r="DG216" s="2018"/>
      <c r="DH216" s="2018"/>
      <c r="DI216" s="2019"/>
      <c r="DJ216" s="2018"/>
      <c r="DK216" s="2018"/>
      <c r="DL216" s="2018"/>
      <c r="DM216" s="2019"/>
      <c r="DN216" s="2018"/>
      <c r="DO216" s="2018"/>
      <c r="DP216" s="2018"/>
      <c r="DQ216" s="2019"/>
      <c r="DR216" s="2018"/>
      <c r="DS216" s="2018"/>
      <c r="DT216" s="2018"/>
      <c r="DU216" s="2019"/>
      <c r="DV216" s="2018"/>
      <c r="DW216" s="2018"/>
      <c r="DX216" s="2018"/>
      <c r="DY216" s="2019"/>
      <c r="DZ216" s="2018"/>
      <c r="EA216" s="2018"/>
      <c r="EB216" s="2018"/>
      <c r="EC216" s="2019"/>
      <c r="ED216" s="2018"/>
      <c r="EE216" s="2018"/>
      <c r="EF216" s="2018"/>
      <c r="EG216" s="2019"/>
      <c r="EH216" s="2018"/>
      <c r="EI216" s="2018"/>
      <c r="EJ216" s="2018"/>
      <c r="EK216" s="2019"/>
      <c r="FG216" s="2021"/>
      <c r="FH216" s="2021"/>
      <c r="FI216" s="2021"/>
      <c r="FJ216" s="2021"/>
      <c r="FK216" s="2021"/>
      <c r="FL216" s="2021"/>
      <c r="FM216" s="2021"/>
      <c r="FN216" s="2021"/>
      <c r="FO216" s="2021"/>
      <c r="FP216" s="2021"/>
      <c r="FQ216" s="2021"/>
      <c r="FR216" s="2021"/>
      <c r="FS216" s="2021"/>
      <c r="FT216" s="2021"/>
      <c r="FU216" s="2021"/>
      <c r="FW216" s="2021"/>
    </row>
    <row r="217" spans="1:214" s="342" customFormat="1" ht="11.25" customHeight="1" collapsed="1">
      <c r="A217" s="708" t="s">
        <v>1486</v>
      </c>
      <c r="BR217" s="706" t="str">
        <f>'Revenue summary'!BR$8</f>
      </c>
      <c r="BS217" s="706" t="str">
        <f>'Revenue summary'!BS$8</f>
      </c>
      <c r="BT217" s="706" t="str">
        <f>'Revenue summary'!BT$8</f>
      </c>
      <c r="BU217" s="707" t="str">
        <f>'Revenue summary'!BU$8</f>
      </c>
      <c r="BV217" s="706" t="str">
        <f>'Revenue summary'!BV$8</f>
      </c>
      <c r="BW217" s="706" t="str">
        <f>'Revenue summary'!BW$8</f>
      </c>
      <c r="BX217" s="706" t="str">
        <f>'Revenue summary'!BX$8</f>
      </c>
      <c r="BY217" s="707" t="str">
        <f>'Revenue summary'!BY$8</f>
      </c>
      <c r="BZ217" s="706" t="str">
        <f>'Revenue summary'!BZ$8</f>
      </c>
      <c r="CA217" s="706" t="str">
        <f>'Revenue summary'!CA$8</f>
      </c>
      <c r="CB217" s="706" t="str">
        <f>'Revenue summary'!CB$8</f>
      </c>
      <c r="CC217" s="707" t="str">
        <f>'Revenue summary'!CC$8</f>
      </c>
      <c r="CD217" s="706" t="str">
        <f>'Revenue summary'!CD$8</f>
      </c>
      <c r="CE217" s="706" t="str">
        <f>'Revenue summary'!CE$8</f>
      </c>
      <c r="CF217" s="706" t="str">
        <f>'Revenue summary'!CF$8</f>
      </c>
      <c r="CG217" s="707" t="str">
        <f>'Revenue summary'!CG$8</f>
      </c>
      <c r="CH217" s="706" t="str">
        <f>'Revenue summary'!CH$8</f>
      </c>
      <c r="CI217" s="706" t="str">
        <f>'Revenue summary'!CI$8</f>
      </c>
      <c r="CJ217" s="706" t="str">
        <f>'Revenue summary'!CJ$8</f>
      </c>
      <c r="CK217" s="707" t="str">
        <f>'Revenue summary'!CK$8</f>
      </c>
      <c r="CL217" s="706" t="str">
        <f>'Revenue summary'!CL$8</f>
      </c>
      <c r="CM217" s="706" t="str">
        <f>'Revenue summary'!CM$8</f>
      </c>
      <c r="CN217" s="706" t="str">
        <f>'Revenue summary'!CN$8</f>
      </c>
      <c r="CO217" s="707" t="str">
        <f>'Revenue summary'!CO$8</f>
      </c>
      <c r="CP217" s="706" t="str">
        <f>'Revenue summary'!CP$8</f>
      </c>
      <c r="CQ217" s="706" t="str">
        <f>'Revenue summary'!CQ$8</f>
      </c>
      <c r="CR217" s="706" t="str">
        <f>'Revenue summary'!CR$8</f>
      </c>
      <c r="CS217" s="707" t="str">
        <f>'Revenue summary'!CS$8</f>
      </c>
      <c r="CT217" s="706" t="str">
        <f>'Revenue summary'!CT$8</f>
      </c>
      <c r="CU217" s="706" t="str">
        <f>'Revenue summary'!CU$8</f>
      </c>
      <c r="CV217" s="706" t="str">
        <f>'Revenue summary'!CV$8</f>
      </c>
      <c r="CW217" s="707" t="str">
        <f>'Revenue summary'!CW$8</f>
      </c>
      <c r="CX217" s="706" t="str">
        <f>'Revenue summary'!CX$8</f>
      </c>
      <c r="CY217" s="706" t="str">
        <f>'Revenue summary'!CY$8</f>
      </c>
      <c r="CZ217" s="706" t="str">
        <f>'Revenue summary'!CZ$8</f>
      </c>
      <c r="DA217" s="707" t="str">
        <f>'Revenue summary'!DA$8</f>
      </c>
      <c r="DB217" s="706" t="str">
        <f>'Revenue summary'!DB$8</f>
      </c>
      <c r="DC217" s="706" t="str">
        <f>'Revenue summary'!DC$8</f>
      </c>
      <c r="DD217" s="706" t="str">
        <f>'Revenue summary'!DD$8</f>
      </c>
      <c r="DE217" s="707" t="str">
        <f>'Revenue summary'!DE$8</f>
      </c>
      <c r="DF217" s="706" t="str">
        <f>'Revenue summary'!DF$8</f>
      </c>
      <c r="DG217" s="706" t="str">
        <f>'Revenue summary'!DG$8</f>
      </c>
      <c r="DH217" s="706" t="str">
        <f>'Revenue summary'!DH$8</f>
      </c>
      <c r="DI217" s="707" t="str">
        <f>'Revenue summary'!DI$8</f>
      </c>
      <c r="DJ217" s="706" t="str">
        <f>'Revenue summary'!DJ$8</f>
      </c>
      <c r="DK217" s="706" t="str">
        <f>'Revenue summary'!DK$8</f>
      </c>
      <c r="DL217" s="706" t="str">
        <f>'Revenue summary'!DL$8</f>
      </c>
      <c r="DM217" s="707" t="str">
        <f>'Revenue summary'!DM$8</f>
      </c>
      <c r="DN217" s="706" t="str">
        <f>'Revenue summary'!DN$8</f>
      </c>
      <c r="DO217" s="706" t="str">
        <f>'Revenue summary'!DO$8</f>
      </c>
      <c r="DP217" s="706" t="str">
        <f>'Revenue summary'!DP$8</f>
      </c>
      <c r="DQ217" s="707" t="str">
        <f>'Revenue summary'!DQ$8</f>
      </c>
      <c r="DR217" s="706" t="str">
        <f>'Revenue summary'!DR$8</f>
      </c>
      <c r="DS217" s="706" t="str">
        <f>'Revenue summary'!DS$8</f>
      </c>
      <c r="DT217" s="706" t="str">
        <f>'Revenue summary'!DT$8</f>
      </c>
      <c r="DU217" s="707" t="str">
        <f>'Revenue summary'!DU$8</f>
      </c>
      <c r="DV217" s="706" t="str">
        <f>'Revenue summary'!DV$8</f>
      </c>
      <c r="DW217" s="706" t="str">
        <f>'Revenue summary'!DW$8</f>
      </c>
      <c r="DX217" s="706" t="str">
        <f>'Revenue summary'!DX$8</f>
      </c>
      <c r="DY217" s="707" t="str">
        <f>'Revenue summary'!DY$8</f>
      </c>
      <c r="DZ217" s="706" t="str">
        <f>'Revenue summary'!DZ$8</f>
      </c>
      <c r="EA217" s="706" t="str">
        <f>'Revenue summary'!EA$8</f>
      </c>
      <c r="EB217" s="706" t="str">
        <f>'Revenue summary'!EB$8</f>
      </c>
      <c r="EC217" s="707" t="str">
        <f>'Revenue summary'!EC$8</f>
      </c>
      <c r="ED217" s="706" t="str">
        <f>'Revenue summary'!ED$8</f>
      </c>
      <c r="EE217" s="706" t="str">
        <f>'Revenue summary'!EE$8</f>
      </c>
      <c r="EF217" s="706" t="str">
        <f>'Revenue summary'!EF$8</f>
      </c>
      <c r="EG217" s="707" t="str">
        <f>'Revenue summary'!EG$8</f>
      </c>
      <c r="EH217" s="706" t="str">
        <f>'Revenue summary'!EH$8</f>
      </c>
      <c r="EI217" s="706" t="str">
        <f>'Revenue summary'!EI$8</f>
      </c>
      <c r="EJ217" s="706" t="str">
        <f>'Revenue summary'!EJ$8</f>
      </c>
      <c r="EK217" s="707" t="str">
        <f>'Revenue summary'!EK$8</f>
      </c>
      <c r="FF217" s="706" t="str">
        <f t="shared" ref="FF217:FH217" si="1537">FF$9</f>
      </c>
      <c r="FG217" s="706" t="str">
        <f t="shared" si="1537"/>
      </c>
      <c r="FH217" s="706" t="str">
        <f t="shared" si="1537"/>
      </c>
      <c r="FI217" s="706" t="str">
        <f>FI$9</f>
      </c>
      <c r="FJ217" s="706" t="str">
        <f t="shared" ref="FJ217:FU217" si="1538">FJ$9</f>
      </c>
      <c r="FK217" s="706" t="str">
        <f t="shared" si="1538"/>
      </c>
      <c r="FL217" s="706" t="str">
        <f t="shared" si="1538"/>
      </c>
      <c r="FM217" s="706" t="str">
        <f t="shared" si="1538"/>
      </c>
      <c r="FN217" s="706" t="str">
        <f t="shared" si="1538"/>
      </c>
      <c r="FO217" s="706" t="str">
        <f t="shared" si="1538"/>
      </c>
      <c r="FP217" s="706" t="str">
        <f t="shared" si="1538"/>
      </c>
      <c r="FQ217" s="706" t="str">
        <f t="shared" si="1538"/>
      </c>
      <c r="FR217" s="706" t="str">
        <f t="shared" si="1538"/>
      </c>
      <c r="FS217" s="706" t="str">
        <f t="shared" si="1538"/>
      </c>
      <c r="FT217" s="706" t="str">
        <f t="shared" si="1538"/>
      </c>
      <c r="FU217" s="706" t="str">
        <f t="shared" si="1538"/>
      </c>
    </row>
    <row r="218" spans="1:214" s="2053" customFormat="1" ht="10.199999999999999">
      <c r="A218" s="1460" t="s">
        <v>1479</v>
      </c>
      <c r="B218" s="2047"/>
      <c r="C218" s="2047"/>
      <c r="D218" s="2047"/>
      <c r="E218" s="2048"/>
      <c r="F218" s="2047"/>
      <c r="G218" s="2047"/>
      <c r="H218" s="2047"/>
      <c r="I218" s="2048"/>
      <c r="J218" s="2047"/>
      <c r="K218" s="2047"/>
      <c r="L218" s="2047"/>
      <c r="M218" s="2048"/>
      <c r="N218" s="2047"/>
      <c r="O218" s="2047"/>
      <c r="P218" s="2047"/>
      <c r="Q218" s="2048"/>
      <c r="R218" s="2047"/>
      <c r="S218" s="2047"/>
      <c r="T218" s="2047"/>
      <c r="U218" s="2048"/>
      <c r="V218" s="2047"/>
      <c r="W218" s="2047"/>
      <c r="X218" s="2047"/>
      <c r="Y218" s="2048"/>
      <c r="Z218" s="2047"/>
      <c r="AA218" s="2047"/>
      <c r="AB218" s="2047"/>
      <c r="AC218" s="2048"/>
      <c r="AD218" s="2047"/>
      <c r="AE218" s="2047"/>
      <c r="AF218" s="2047"/>
      <c r="AG218" s="2048"/>
      <c r="AH218" s="2047"/>
      <c r="AI218" s="2047"/>
      <c r="AJ218" s="2047"/>
      <c r="AK218" s="2048"/>
      <c r="AL218" s="2047"/>
      <c r="AM218" s="2047"/>
      <c r="AN218" s="2047"/>
      <c r="AO218" s="2048"/>
      <c r="AP218" s="2047"/>
      <c r="AQ218" s="2047"/>
      <c r="AR218" s="2047"/>
      <c r="AS218" s="2048"/>
      <c r="AT218" s="2047"/>
      <c r="AU218" s="2047"/>
      <c r="AV218" s="2047"/>
      <c r="AW218" s="2048"/>
      <c r="AX218" s="2049"/>
      <c r="AY218" s="2049"/>
      <c r="AZ218" s="2049"/>
      <c r="BA218" s="2050"/>
      <c r="BB218" s="2049"/>
      <c r="BC218" s="2049"/>
      <c r="BD218" s="2049"/>
      <c r="BE218" s="2050"/>
      <c r="BF218" s="2049"/>
      <c r="BG218" s="2049"/>
      <c r="BH218" s="2049"/>
      <c r="BI218" s="2050"/>
      <c r="BJ218" s="2049"/>
      <c r="BK218" s="2049"/>
      <c r="BL218" s="2049"/>
      <c r="BM218" s="2050"/>
      <c r="BN218" s="2049"/>
      <c r="BO218" s="2049"/>
      <c r="BP218" s="2049"/>
      <c r="BQ218" s="2050"/>
      <c r="BR218" s="2049"/>
      <c r="BS218" s="2049"/>
      <c r="BT218" s="2049"/>
      <c r="BU218" s="2050"/>
      <c r="BV218" s="2049"/>
      <c r="BW218" s="2049"/>
      <c r="BX218" s="2049"/>
      <c r="BY218" s="2050"/>
      <c r="BZ218" s="2049"/>
      <c r="CA218" s="2049"/>
      <c r="CB218" s="2049"/>
      <c r="CC218" s="2050"/>
      <c r="CD218" s="2049">
        <f>CD212/CD$215</f>
      </c>
      <c r="CE218" s="2049">
        <f t="shared" ref="CE218:CO218" si="1539">CE212/CE$215</f>
      </c>
      <c r="CF218" s="2049">
        <f t="shared" si="1539"/>
      </c>
      <c r="CG218" s="2050">
        <f t="shared" si="1539"/>
      </c>
      <c r="CH218" s="2049">
        <f t="shared" si="1539"/>
      </c>
      <c r="CI218" s="2049">
        <f t="shared" si="1539"/>
      </c>
      <c r="CJ218" s="2049">
        <f t="shared" si="1539"/>
      </c>
      <c r="CK218" s="2050">
        <f t="shared" si="1539"/>
      </c>
      <c r="CL218" s="2049">
        <f t="shared" si="1539"/>
      </c>
      <c r="CM218" s="2049">
        <f t="shared" si="1539"/>
      </c>
      <c r="CN218" s="2049">
        <f t="shared" si="1539"/>
      </c>
      <c r="CO218" s="2050">
        <f t="shared" si="1539"/>
      </c>
      <c r="CP218" s="2051">
        <v>0.65</v>
      </c>
      <c r="CQ218" s="2051">
        <f t="shared" ref="CQ218:CS218" si="1540">CM218+1%</f>
      </c>
      <c r="CR218" s="2051">
        <f t="shared" si="1540"/>
      </c>
      <c r="CS218" s="2052">
        <f t="shared" si="1540"/>
      </c>
      <c r="CT218" s="2051">
        <v>0.65</v>
      </c>
      <c r="CU218" s="2051">
        <f t="shared" ref="CU218:DE218" si="1541">CQ218+0.25%</f>
      </c>
      <c r="CV218" s="2051">
        <f t="shared" si="1541"/>
      </c>
      <c r="CW218" s="2052">
        <f t="shared" si="1541"/>
      </c>
      <c r="CX218" s="2051">
        <v>0.68</v>
      </c>
      <c r="CY218" s="2051">
        <f t="shared" si="1541"/>
      </c>
      <c r="CZ218" s="2051">
        <f t="shared" si="1541"/>
      </c>
      <c r="DA218" s="2052">
        <f t="shared" si="1541"/>
      </c>
      <c r="DB218" s="2051">
        <v>0.63</v>
      </c>
      <c r="DC218" s="2051">
        <f t="shared" si="1541"/>
      </c>
      <c r="DD218" s="2051">
        <f t="shared" si="1541"/>
      </c>
      <c r="DE218" s="2052">
        <f t="shared" si="1541"/>
      </c>
      <c r="DF218" s="2051">
        <v>0.68</v>
      </c>
      <c r="DG218" s="2051">
        <f t="shared" ref="DG218:DM218" si="1542">DC218+0.5%</f>
      </c>
      <c r="DH218" s="2051">
        <v>0.5</v>
      </c>
      <c r="DI218" s="2052">
        <v>0.6</v>
      </c>
      <c r="DJ218" s="2051">
        <v>0.72</v>
      </c>
      <c r="DK218" s="2051">
        <f>DG218+0.5%</f>
      </c>
      <c r="DL218" s="2051">
        <f>DH218+0.5%</f>
      </c>
      <c r="DM218" s="2052">
        <f t="shared" si="1542"/>
      </c>
      <c r="DN218" s="2051">
        <f>DJ218+4%</f>
      </c>
      <c r="DO218" s="2051">
        <f>DK218+4%</f>
      </c>
      <c r="DP218" s="2051">
        <f>DL218+4%</f>
      </c>
      <c r="DQ218" s="2052">
        <f>DM218+4%</f>
      </c>
      <c r="DR218" s="2051">
        <f t="shared" ref="DR218:DV218" si="1543">DN218+2%</f>
      </c>
      <c r="DS218" s="2051">
        <f t="shared" si="1543"/>
      </c>
      <c r="DT218" s="2051">
        <f t="shared" si="1543"/>
      </c>
      <c r="DU218" s="2052">
        <f t="shared" si="1543"/>
      </c>
      <c r="DV218" s="2051">
        <f t="shared" si="1543"/>
      </c>
      <c r="DW218" s="2051">
        <f t="shared" ref="DW218:EK218" si="1544">DS218+2%</f>
      </c>
      <c r="DX218" s="2051">
        <f t="shared" si="1544"/>
      </c>
      <c r="DY218" s="2052">
        <f t="shared" si="1544"/>
      </c>
      <c r="DZ218" s="2051">
        <f t="shared" si="1544"/>
      </c>
      <c r="EA218" s="2051">
        <f t="shared" si="1544"/>
      </c>
      <c r="EB218" s="2051">
        <f t="shared" si="1544"/>
      </c>
      <c r="EC218" s="2052">
        <f t="shared" si="1544"/>
      </c>
      <c r="ED218" s="2051">
        <f t="shared" si="1544"/>
      </c>
      <c r="EE218" s="2051">
        <f t="shared" si="1544"/>
      </c>
      <c r="EF218" s="2051">
        <f t="shared" si="1544"/>
      </c>
      <c r="EG218" s="2052">
        <f t="shared" si="1544"/>
      </c>
      <c r="EH218" s="2051">
        <f t="shared" si="1544"/>
      </c>
      <c r="EI218" s="2051">
        <f t="shared" si="1544"/>
      </c>
      <c r="EJ218" s="2051">
        <f t="shared" si="1544"/>
      </c>
      <c r="EK218" s="2052">
        <f t="shared" si="1544"/>
      </c>
      <c r="FF218" s="2053">
        <f>FF212/FF$215</f>
      </c>
      <c r="FG218" s="2053">
        <f>FG212/FG$215</f>
      </c>
      <c r="FH218" s="2053">
        <f>FH212/FH$215</f>
      </c>
      <c r="FI218" s="2053">
        <f>FI212/FI$215</f>
      </c>
      <c r="FJ218" s="2053">
        <f t="shared" ref="FJ218:FQ218" si="1545">FJ212/FJ$215</f>
      </c>
      <c r="FK218" s="2053">
        <f t="shared" si="1545"/>
      </c>
      <c r="FL218" s="2053">
        <f t="shared" si="1545"/>
      </c>
      <c r="FM218" s="2053">
        <f t="shared" si="1545"/>
      </c>
      <c r="FN218" s="2053">
        <f t="shared" si="1545"/>
      </c>
      <c r="FO218" s="2053">
        <f t="shared" si="1545"/>
      </c>
      <c r="FP218" s="2053">
        <f t="shared" si="1545"/>
      </c>
      <c r="FQ218" s="2053">
        <f t="shared" si="1545"/>
      </c>
      <c r="FR218" s="2053">
        <f t="shared" ref="FR218:FU218" si="1546">FR212/FR$215</f>
      </c>
      <c r="FS218" s="2053">
        <f t="shared" si="1546"/>
      </c>
      <c r="FT218" s="2053">
        <f t="shared" si="1546"/>
      </c>
      <c r="FU218" s="2053">
        <f t="shared" si="1546"/>
      </c>
      <c r="FW218" s="2054"/>
    </row>
    <row r="219" spans="1:214" s="2053" customFormat="1" ht="11.25" customHeight="1">
      <c r="A219" s="1460" t="s">
        <v>1480</v>
      </c>
      <c r="B219" s="2047"/>
      <c r="C219" s="2047"/>
      <c r="D219" s="2047"/>
      <c r="E219" s="2048"/>
      <c r="F219" s="2047"/>
      <c r="G219" s="2047"/>
      <c r="H219" s="2047"/>
      <c r="I219" s="2048"/>
      <c r="J219" s="2047"/>
      <c r="K219" s="2047"/>
      <c r="L219" s="2047"/>
      <c r="M219" s="2048"/>
      <c r="N219" s="2047"/>
      <c r="O219" s="2047"/>
      <c r="P219" s="2047"/>
      <c r="Q219" s="2048"/>
      <c r="R219" s="2047"/>
      <c r="S219" s="2047"/>
      <c r="T219" s="2047"/>
      <c r="U219" s="2048"/>
      <c r="V219" s="2047"/>
      <c r="W219" s="2047"/>
      <c r="X219" s="2047"/>
      <c r="Y219" s="2048"/>
      <c r="Z219" s="2047"/>
      <c r="AA219" s="2047"/>
      <c r="AB219" s="2047"/>
      <c r="AC219" s="2048"/>
      <c r="AD219" s="2047"/>
      <c r="AE219" s="2047"/>
      <c r="AF219" s="2047"/>
      <c r="AG219" s="2048"/>
      <c r="AH219" s="2047"/>
      <c r="AI219" s="2047"/>
      <c r="AJ219" s="2047"/>
      <c r="AK219" s="2048"/>
      <c r="AL219" s="2047"/>
      <c r="AM219" s="2047"/>
      <c r="AN219" s="2047"/>
      <c r="AO219" s="2048"/>
      <c r="AP219" s="2047"/>
      <c r="AQ219" s="2047"/>
      <c r="AR219" s="2047"/>
      <c r="AS219" s="2048"/>
      <c r="AT219" s="2047"/>
      <c r="AU219" s="2047"/>
      <c r="AV219" s="2047"/>
      <c r="AW219" s="2048"/>
      <c r="AX219" s="2049"/>
      <c r="AY219" s="2049"/>
      <c r="AZ219" s="2049"/>
      <c r="BA219" s="2050"/>
      <c r="BB219" s="2049"/>
      <c r="BC219" s="2049"/>
      <c r="BD219" s="2049"/>
      <c r="BE219" s="2050"/>
      <c r="BF219" s="2049"/>
      <c r="BG219" s="2049"/>
      <c r="BH219" s="2049"/>
      <c r="BI219" s="2050"/>
      <c r="BJ219" s="2049"/>
      <c r="BK219" s="2049"/>
      <c r="BL219" s="2049"/>
      <c r="BM219" s="2050"/>
      <c r="BN219" s="2049"/>
      <c r="BO219" s="2049"/>
      <c r="BP219" s="2049"/>
      <c r="BQ219" s="2050"/>
      <c r="BR219" s="2049"/>
      <c r="BS219" s="2049"/>
      <c r="BT219" s="2049"/>
      <c r="BU219" s="2050"/>
      <c r="BV219" s="2049"/>
      <c r="BW219" s="2049"/>
      <c r="BX219" s="2049"/>
      <c r="BY219" s="2050"/>
      <c r="BZ219" s="2049"/>
      <c r="CA219" s="2049"/>
      <c r="CB219" s="2049"/>
      <c r="CC219" s="2050"/>
      <c r="CD219" s="2049">
        <f t="shared" ref="CD219:CO219" si="1547">CD213/CD$215</f>
      </c>
      <c r="CE219" s="2049">
        <f t="shared" si="1547"/>
      </c>
      <c r="CF219" s="2049">
        <f t="shared" si="1547"/>
      </c>
      <c r="CG219" s="2050">
        <f t="shared" si="1547"/>
      </c>
      <c r="CH219" s="2049">
        <f t="shared" si="1547"/>
      </c>
      <c r="CI219" s="2049">
        <f t="shared" si="1547"/>
      </c>
      <c r="CJ219" s="2049">
        <f t="shared" si="1547"/>
      </c>
      <c r="CK219" s="2050">
        <f t="shared" si="1547"/>
      </c>
      <c r="CL219" s="2049">
        <f t="shared" si="1547"/>
      </c>
      <c r="CM219" s="2049">
        <f t="shared" si="1547"/>
      </c>
      <c r="CN219" s="2049">
        <f t="shared" si="1547"/>
      </c>
      <c r="CO219" s="2050">
        <f t="shared" si="1547"/>
      </c>
      <c r="CP219" s="2051">
        <f>CL219-1%</f>
      </c>
      <c r="CQ219" s="2051">
        <f t="shared" ref="CQ219:CS219" si="1548">CM219-1%</f>
      </c>
      <c r="CR219" s="2051">
        <f t="shared" si="1548"/>
      </c>
      <c r="CS219" s="2052">
        <f t="shared" si="1548"/>
      </c>
      <c r="CT219" s="2051">
        <f>CP219-0.25%</f>
      </c>
      <c r="CU219" s="2051">
        <f t="shared" ref="CU219:DE219" si="1549">CQ219-0.25%</f>
      </c>
      <c r="CV219" s="2051">
        <f t="shared" si="1549"/>
      </c>
      <c r="CW219" s="2052">
        <f t="shared" si="1549"/>
      </c>
      <c r="CX219" s="2051">
        <v>0.2</v>
      </c>
      <c r="CY219" s="2051">
        <f t="shared" si="1549"/>
      </c>
      <c r="CZ219" s="2051">
        <f t="shared" si="1549"/>
      </c>
      <c r="DA219" s="2052">
        <f t="shared" si="1549"/>
      </c>
      <c r="DB219" s="2051">
        <v>0.22</v>
      </c>
      <c r="DC219" s="2051">
        <f t="shared" si="1549"/>
      </c>
      <c r="DD219" s="2051">
        <f t="shared" si="1549"/>
      </c>
      <c r="DE219" s="2052">
        <f t="shared" si="1549"/>
      </c>
      <c r="DF219" s="2051">
        <v>0.23</v>
      </c>
      <c r="DG219" s="2051">
        <v>0.3</v>
      </c>
      <c r="DH219" s="2051">
        <v>0.45</v>
      </c>
      <c r="DI219" s="2052">
        <v>0.35</v>
      </c>
      <c r="DJ219" s="2051">
        <v>0.25</v>
      </c>
      <c r="DK219" s="2051">
        <f>DG219+0.25%</f>
      </c>
      <c r="DL219" s="2051">
        <f>DH219+0.25%</f>
      </c>
      <c r="DM219" s="2052">
        <f t="shared" ref="DM219" si="1550">DI219+0.25%</f>
      </c>
      <c r="DN219" s="3236">
        <f t="shared" ref="DN219:DV219" si="1551">DJ219-2%</f>
      </c>
      <c r="DO219" s="2051">
        <f t="shared" si="1551"/>
      </c>
      <c r="DP219" s="2051">
        <f t="shared" si="1551"/>
      </c>
      <c r="DQ219" s="2052">
        <f t="shared" si="1551"/>
      </c>
      <c r="DR219" s="2051">
        <f t="shared" si="1551"/>
      </c>
      <c r="DS219" s="2051">
        <f t="shared" si="1551"/>
      </c>
      <c r="DT219" s="2051">
        <f t="shared" si="1551"/>
      </c>
      <c r="DU219" s="2052">
        <f t="shared" si="1551"/>
      </c>
      <c r="DV219" s="2051">
        <f t="shared" si="1551"/>
      </c>
      <c r="DW219" s="2051">
        <f t="shared" ref="DW219:EK219" si="1552">DS219-2%</f>
      </c>
      <c r="DX219" s="2051">
        <f t="shared" si="1552"/>
      </c>
      <c r="DY219" s="2052">
        <f t="shared" si="1552"/>
      </c>
      <c r="DZ219" s="2051">
        <f t="shared" si="1552"/>
      </c>
      <c r="EA219" s="2051">
        <f t="shared" si="1552"/>
      </c>
      <c r="EB219" s="2051">
        <f t="shared" si="1552"/>
      </c>
      <c r="EC219" s="2052">
        <f t="shared" si="1552"/>
      </c>
      <c r="ED219" s="2051">
        <f t="shared" si="1552"/>
      </c>
      <c r="EE219" s="2051">
        <f t="shared" si="1552"/>
      </c>
      <c r="EF219" s="2051">
        <f t="shared" si="1552"/>
      </c>
      <c r="EG219" s="2052">
        <f t="shared" si="1552"/>
      </c>
      <c r="EH219" s="2051">
        <f t="shared" si="1552"/>
      </c>
      <c r="EI219" s="2051">
        <f t="shared" si="1552"/>
      </c>
      <c r="EJ219" s="2051">
        <f t="shared" si="1552"/>
      </c>
      <c r="EK219" s="2052">
        <f t="shared" si="1552"/>
      </c>
      <c r="FF219" s="2053">
        <f t="shared" ref="FF219" si="1553">FF213/FF$215</f>
      </c>
      <c r="FG219" s="2053">
        <f t="shared" ref="FG219:FH219" si="1554">FG213/FG$215</f>
      </c>
      <c r="FH219" s="2053">
        <f t="shared" si="1554"/>
      </c>
      <c r="FI219" s="2053">
        <f t="shared" ref="FI219:FQ219" si="1555">FI213/FI$215</f>
      </c>
      <c r="FJ219" s="2053">
        <f t="shared" si="1555"/>
      </c>
      <c r="FK219" s="2053">
        <f t="shared" si="1555"/>
      </c>
      <c r="FL219" s="2053">
        <f t="shared" si="1555"/>
      </c>
      <c r="FM219" s="2053">
        <f t="shared" si="1555"/>
      </c>
      <c r="FN219" s="2053">
        <f t="shared" si="1555"/>
      </c>
      <c r="FO219" s="2053">
        <f t="shared" si="1555"/>
      </c>
      <c r="FP219" s="2053">
        <f t="shared" si="1555"/>
      </c>
      <c r="FQ219" s="2053">
        <f t="shared" si="1555"/>
      </c>
      <c r="FR219" s="2053">
        <f t="shared" ref="FR219:FU219" si="1556">FR213/FR$215</f>
      </c>
      <c r="FS219" s="2053">
        <f t="shared" si="1556"/>
      </c>
      <c r="FT219" s="2053">
        <f t="shared" si="1556"/>
      </c>
      <c r="FU219" s="2053">
        <f t="shared" si="1556"/>
      </c>
      <c r="FW219" s="2054"/>
    </row>
    <row r="220" spans="1:214" s="2053" customFormat="1" ht="10.199999999999999">
      <c r="A220" s="1460" t="s">
        <v>1481</v>
      </c>
      <c r="B220" s="2047"/>
      <c r="C220" s="2047"/>
      <c r="D220" s="2047"/>
      <c r="E220" s="2048"/>
      <c r="F220" s="2047"/>
      <c r="G220" s="2047"/>
      <c r="H220" s="2047"/>
      <c r="I220" s="2048"/>
      <c r="J220" s="2047"/>
      <c r="K220" s="2047"/>
      <c r="L220" s="2047"/>
      <c r="M220" s="2048"/>
      <c r="N220" s="2047"/>
      <c r="O220" s="2047"/>
      <c r="P220" s="2047"/>
      <c r="Q220" s="2048"/>
      <c r="R220" s="2047"/>
      <c r="S220" s="2047"/>
      <c r="T220" s="2047"/>
      <c r="U220" s="2048"/>
      <c r="V220" s="2047"/>
      <c r="W220" s="2047"/>
      <c r="X220" s="2047"/>
      <c r="Y220" s="2048"/>
      <c r="Z220" s="2047"/>
      <c r="AA220" s="2047"/>
      <c r="AB220" s="2047"/>
      <c r="AC220" s="2048"/>
      <c r="AD220" s="2047"/>
      <c r="AE220" s="2047"/>
      <c r="AF220" s="2047"/>
      <c r="AG220" s="2048"/>
      <c r="AH220" s="2047"/>
      <c r="AI220" s="2047"/>
      <c r="AJ220" s="2047"/>
      <c r="AK220" s="2048"/>
      <c r="AL220" s="2047"/>
      <c r="AM220" s="2047"/>
      <c r="AN220" s="2047"/>
      <c r="AO220" s="2048"/>
      <c r="AP220" s="2047"/>
      <c r="AQ220" s="2047"/>
      <c r="AR220" s="2047"/>
      <c r="AS220" s="2048"/>
      <c r="AT220" s="2047"/>
      <c r="AU220" s="2047"/>
      <c r="AV220" s="2047"/>
      <c r="AW220" s="2048"/>
      <c r="AX220" s="2049"/>
      <c r="AY220" s="2049"/>
      <c r="AZ220" s="2049"/>
      <c r="BA220" s="2050"/>
      <c r="BB220" s="2049"/>
      <c r="BC220" s="2049"/>
      <c r="BD220" s="2049"/>
      <c r="BE220" s="2050"/>
      <c r="BF220" s="2049"/>
      <c r="BG220" s="2049"/>
      <c r="BH220" s="2049"/>
      <c r="BI220" s="2050"/>
      <c r="BJ220" s="2049"/>
      <c r="BK220" s="2049"/>
      <c r="BL220" s="2049"/>
      <c r="BM220" s="2050"/>
      <c r="BN220" s="2049"/>
      <c r="BO220" s="2049"/>
      <c r="BP220" s="2049"/>
      <c r="BQ220" s="2050"/>
      <c r="BR220" s="2049"/>
      <c r="BS220" s="2049"/>
      <c r="BT220" s="2049"/>
      <c r="BU220" s="2050"/>
      <c r="BV220" s="2049"/>
      <c r="BW220" s="2049"/>
      <c r="BX220" s="2049"/>
      <c r="BY220" s="2050"/>
      <c r="BZ220" s="2049"/>
      <c r="CA220" s="2049"/>
      <c r="CB220" s="2049"/>
      <c r="CC220" s="2050"/>
      <c r="CD220" s="2049">
        <f t="shared" ref="CD220:CN220" si="1557">CD214/CD$215</f>
      </c>
      <c r="CE220" s="2049">
        <f t="shared" si="1557"/>
      </c>
      <c r="CF220" s="2049">
        <f t="shared" si="1557"/>
      </c>
      <c r="CG220" s="2050">
        <f t="shared" si="1557"/>
      </c>
      <c r="CH220" s="2049">
        <f t="shared" si="1557"/>
      </c>
      <c r="CI220" s="2049">
        <f t="shared" si="1557"/>
      </c>
      <c r="CJ220" s="2049">
        <f t="shared" si="1557"/>
      </c>
      <c r="CK220" s="2050">
        <f t="shared" si="1557"/>
      </c>
      <c r="CL220" s="2049">
        <f t="shared" si="1557"/>
      </c>
      <c r="CM220" s="2049">
        <f t="shared" si="1557"/>
      </c>
      <c r="CN220" s="2049">
        <f t="shared" si="1557"/>
      </c>
      <c r="CO220" s="2050">
        <f>CO214/CO$215</f>
      </c>
      <c r="CP220" s="2055">
        <f>CP221-CP219-CP218</f>
      </c>
      <c r="CQ220" s="2049">
        <f t="shared" ref="CQ220:CS220" si="1558">CQ221-CQ219-CQ218</f>
      </c>
      <c r="CR220" s="2049">
        <f t="shared" si="1558"/>
      </c>
      <c r="CS220" s="2050">
        <f t="shared" si="1558"/>
      </c>
      <c r="CT220" s="2055">
        <f>CT221-CT219-CT218</f>
      </c>
      <c r="CU220" s="2049">
        <f t="shared" ref="CU220" si="1559">CU221-CU219-CU218</f>
      </c>
      <c r="CV220" s="2049">
        <f t="shared" ref="CV220" si="1560">CV221-CV219-CV218</f>
      </c>
      <c r="CW220" s="2050">
        <f t="shared" ref="CW220" si="1561">CW221-CW219-CW218</f>
      </c>
      <c r="CX220" s="2055">
        <f>CX221-CX219-CX218</f>
      </c>
      <c r="CY220" s="2049">
        <f t="shared" ref="CY220" si="1562">CY221-CY219-CY218</f>
      </c>
      <c r="CZ220" s="2049">
        <f t="shared" ref="CZ220" si="1563">CZ221-CZ219-CZ218</f>
      </c>
      <c r="DA220" s="2050">
        <f t="shared" ref="DA220" si="1564">DA221-DA219-DA218</f>
      </c>
      <c r="DB220" s="2055">
        <f>DB221-DB219-DB218</f>
      </c>
      <c r="DC220" s="2049">
        <f t="shared" ref="DC220" si="1565">DC221-DC219-DC218</f>
      </c>
      <c r="DD220" s="2049">
        <f t="shared" ref="DD220" si="1566">DD221-DD219-DD218</f>
      </c>
      <c r="DE220" s="2050">
        <f t="shared" ref="DE220" si="1567">DE221-DE219-DE218</f>
      </c>
      <c r="DF220" s="2055">
        <f>DF221-DF219-DF218</f>
      </c>
      <c r="DG220" s="2049">
        <f t="shared" ref="DG220" si="1568">DG221-DG219-DG218</f>
      </c>
      <c r="DH220" s="2049">
        <f t="shared" ref="DH220" si="1569">DH221-DH219-DH218</f>
      </c>
      <c r="DI220" s="2050">
        <f t="shared" ref="DI220" si="1570">DI221-DI219-DI218</f>
      </c>
      <c r="DJ220" s="2055">
        <f>DJ221-DJ219-DJ218</f>
      </c>
      <c r="DK220" s="2049">
        <f t="shared" ref="DK220" si="1571">DK221-DK219-DK218</f>
      </c>
      <c r="DL220" s="2049">
        <f t="shared" ref="DL220" si="1572">DL221-DL219-DL218</f>
      </c>
      <c r="DM220" s="2050">
        <f t="shared" ref="DM220" si="1573">DM221-DM219-DM218</f>
      </c>
      <c r="DN220" s="2055">
        <f>DN221-DN219-DN218</f>
      </c>
      <c r="DO220" s="2049">
        <f t="shared" ref="DO220" si="1574">DO221-DO219-DO218</f>
      </c>
      <c r="DP220" s="2049">
        <f t="shared" ref="DP220" si="1575">DP221-DP219-DP218</f>
      </c>
      <c r="DQ220" s="2050">
        <f t="shared" ref="DQ220" si="1576">DQ221-DQ219-DQ218</f>
      </c>
      <c r="DR220" s="2055">
        <f>DR221-DR219-DR218</f>
      </c>
      <c r="DS220" s="2049">
        <f t="shared" ref="DS220" si="1577">DS221-DS219-DS218</f>
      </c>
      <c r="DT220" s="2049">
        <f t="shared" ref="DT220" si="1578">DT221-DT219-DT218</f>
      </c>
      <c r="DU220" s="2050">
        <f t="shared" ref="DU220" si="1579">DU221-DU219-DU218</f>
      </c>
      <c r="DV220" s="2055">
        <f>DV221-DV219-DV218</f>
      </c>
      <c r="DW220" s="2049">
        <f t="shared" ref="DW220:DY220" si="1580">DW221-DW219-DW218</f>
      </c>
      <c r="DX220" s="2049">
        <f t="shared" si="1580"/>
      </c>
      <c r="DY220" s="2050">
        <f t="shared" si="1580"/>
      </c>
      <c r="DZ220" s="2055">
        <f>DZ221-DZ219-DZ218</f>
      </c>
      <c r="EA220" s="2049">
        <f t="shared" ref="EA220:EC220" si="1581">EA221-EA219-EA218</f>
      </c>
      <c r="EB220" s="2049">
        <f t="shared" si="1581"/>
      </c>
      <c r="EC220" s="2050">
        <f t="shared" si="1581"/>
      </c>
      <c r="ED220" s="2055">
        <f>ED221-ED219-ED218</f>
      </c>
      <c r="EE220" s="2049">
        <f t="shared" ref="EE220:EG220" si="1582">EE221-EE219-EE218</f>
      </c>
      <c r="EF220" s="2049">
        <f t="shared" si="1582"/>
      </c>
      <c r="EG220" s="2050">
        <f t="shared" si="1582"/>
      </c>
      <c r="EH220" s="2055">
        <f>EH221-EH219-EH218</f>
      </c>
      <c r="EI220" s="2049">
        <f t="shared" ref="EI220:EK220" si="1583">EI221-EI219-EI218</f>
      </c>
      <c r="EJ220" s="2049">
        <f t="shared" si="1583"/>
      </c>
      <c r="EK220" s="2050">
        <f t="shared" si="1583"/>
      </c>
      <c r="FF220" s="2053">
        <f t="shared" ref="FF220" si="1584">FF214/FF$215</f>
      </c>
      <c r="FG220" s="2053">
        <f t="shared" ref="FG220:FH220" si="1585">FG214/FG$215</f>
      </c>
      <c r="FH220" s="2053">
        <f t="shared" si="1585"/>
      </c>
      <c r="FI220" s="2053">
        <f t="shared" ref="FI220:FQ220" si="1586">FI214/FI$215</f>
      </c>
      <c r="FJ220" s="2053">
        <f t="shared" si="1586"/>
      </c>
      <c r="FK220" s="2053">
        <f t="shared" si="1586"/>
      </c>
      <c r="FL220" s="2053">
        <f t="shared" si="1586"/>
      </c>
      <c r="FM220" s="2053">
        <f t="shared" si="1586"/>
      </c>
      <c r="FN220" s="2053">
        <f t="shared" si="1586"/>
      </c>
      <c r="FO220" s="2053">
        <f t="shared" si="1586"/>
      </c>
      <c r="FP220" s="2053">
        <f t="shared" si="1586"/>
      </c>
      <c r="FQ220" s="2053">
        <f t="shared" si="1586"/>
      </c>
      <c r="FR220" s="2053">
        <f t="shared" ref="FR220:FU220" si="1587">FR214/FR$215</f>
      </c>
      <c r="FS220" s="2053">
        <f t="shared" si="1587"/>
      </c>
      <c r="FT220" s="2053">
        <f t="shared" si="1587"/>
      </c>
      <c r="FU220" s="2053">
        <f t="shared" si="1587"/>
      </c>
      <c r="FW220" s="2054"/>
    </row>
    <row r="221" spans="1:214" s="2053" customFormat="1" ht="10.199999999999999">
      <c r="A221" s="2056" t="s">
        <v>1482</v>
      </c>
      <c r="B221" s="2057"/>
      <c r="C221" s="2057"/>
      <c r="D221" s="2057"/>
      <c r="E221" s="2058"/>
      <c r="F221" s="2057"/>
      <c r="G221" s="2057"/>
      <c r="H221" s="2057"/>
      <c r="I221" s="2058"/>
      <c r="J221" s="2057"/>
      <c r="K221" s="2057"/>
      <c r="L221" s="2057"/>
      <c r="M221" s="2058"/>
      <c r="N221" s="2057"/>
      <c r="O221" s="2057"/>
      <c r="P221" s="2057"/>
      <c r="Q221" s="2058"/>
      <c r="R221" s="2057"/>
      <c r="S221" s="2057"/>
      <c r="T221" s="2057"/>
      <c r="U221" s="2058"/>
      <c r="V221" s="2057"/>
      <c r="W221" s="2057"/>
      <c r="X221" s="2057"/>
      <c r="Y221" s="2058"/>
      <c r="Z221" s="2057"/>
      <c r="AA221" s="2057"/>
      <c r="AB221" s="2057"/>
      <c r="AC221" s="2058"/>
      <c r="AD221" s="2057"/>
      <c r="AE221" s="2057"/>
      <c r="AF221" s="2057"/>
      <c r="AG221" s="2058"/>
      <c r="AH221" s="2057"/>
      <c r="AI221" s="2057"/>
      <c r="AJ221" s="2057"/>
      <c r="AK221" s="2058"/>
      <c r="AL221" s="2057"/>
      <c r="AM221" s="2057"/>
      <c r="AN221" s="2057"/>
      <c r="AO221" s="2058"/>
      <c r="AP221" s="2057"/>
      <c r="AQ221" s="2057"/>
      <c r="AR221" s="2057"/>
      <c r="AS221" s="2058"/>
      <c r="AT221" s="2057"/>
      <c r="AU221" s="2057"/>
      <c r="AV221" s="2057"/>
      <c r="AW221" s="2058"/>
      <c r="AX221" s="2059"/>
      <c r="AY221" s="2059"/>
      <c r="AZ221" s="2059"/>
      <c r="BA221" s="2060"/>
      <c r="BB221" s="2059"/>
      <c r="BC221" s="2059"/>
      <c r="BD221" s="2059"/>
      <c r="BE221" s="2060"/>
      <c r="BF221" s="2059"/>
      <c r="BG221" s="2059"/>
      <c r="BH221" s="2059"/>
      <c r="BI221" s="2060"/>
      <c r="BJ221" s="2059"/>
      <c r="BK221" s="2059"/>
      <c r="BL221" s="2059"/>
      <c r="BM221" s="2060"/>
      <c r="BN221" s="2059"/>
      <c r="BO221" s="2059"/>
      <c r="BP221" s="2059"/>
      <c r="BQ221" s="2060"/>
      <c r="BR221" s="2059"/>
      <c r="BS221" s="2059"/>
      <c r="BT221" s="2059"/>
      <c r="BU221" s="2060"/>
      <c r="BV221" s="2059"/>
      <c r="BW221" s="2059"/>
      <c r="BX221" s="2059"/>
      <c r="BY221" s="2060"/>
      <c r="BZ221" s="2059"/>
      <c r="CA221" s="2059"/>
      <c r="CB221" s="2059"/>
      <c r="CC221" s="2060"/>
      <c r="CD221" s="2059">
        <f t="shared" ref="CD221:CO221" si="1588">CD215/CD$215</f>
      </c>
      <c r="CE221" s="2059">
        <f t="shared" si="1588"/>
      </c>
      <c r="CF221" s="2059">
        <f t="shared" si="1588"/>
      </c>
      <c r="CG221" s="2060">
        <f t="shared" si="1588"/>
      </c>
      <c r="CH221" s="2059">
        <f t="shared" si="1588"/>
      </c>
      <c r="CI221" s="2059">
        <f t="shared" si="1588"/>
      </c>
      <c r="CJ221" s="2059">
        <f t="shared" si="1588"/>
      </c>
      <c r="CK221" s="2060">
        <f t="shared" si="1588"/>
      </c>
      <c r="CL221" s="2059">
        <f t="shared" si="1588"/>
      </c>
      <c r="CM221" s="2059">
        <f t="shared" si="1588"/>
      </c>
      <c r="CN221" s="2059">
        <f t="shared" si="1588"/>
      </c>
      <c r="CO221" s="2060">
        <f t="shared" si="1588"/>
      </c>
      <c r="CP221" s="2057">
        <v>1</v>
      </c>
      <c r="CQ221" s="2057">
        <v>1</v>
      </c>
      <c r="CR221" s="2057">
        <v>1</v>
      </c>
      <c r="CS221" s="2058">
        <v>1</v>
      </c>
      <c r="CT221" s="2057">
        <v>1</v>
      </c>
      <c r="CU221" s="2057">
        <v>1</v>
      </c>
      <c r="CV221" s="2057">
        <v>1</v>
      </c>
      <c r="CW221" s="2058">
        <v>1</v>
      </c>
      <c r="CX221" s="2057">
        <v>1</v>
      </c>
      <c r="CY221" s="2057">
        <v>1</v>
      </c>
      <c r="CZ221" s="2057">
        <v>1</v>
      </c>
      <c r="DA221" s="2058">
        <v>1</v>
      </c>
      <c r="DB221" s="2057">
        <v>1</v>
      </c>
      <c r="DC221" s="2057">
        <v>1</v>
      </c>
      <c r="DD221" s="2057">
        <v>1</v>
      </c>
      <c r="DE221" s="2058">
        <v>1</v>
      </c>
      <c r="DF221" s="2057">
        <v>1</v>
      </c>
      <c r="DG221" s="2057">
        <v>1</v>
      </c>
      <c r="DH221" s="2057">
        <v>1</v>
      </c>
      <c r="DI221" s="2058">
        <v>1</v>
      </c>
      <c r="DJ221" s="2057">
        <v>1</v>
      </c>
      <c r="DK221" s="2057">
        <v>1</v>
      </c>
      <c r="DL221" s="2057">
        <v>1</v>
      </c>
      <c r="DM221" s="2058">
        <v>1</v>
      </c>
      <c r="DN221" s="2057">
        <v>1</v>
      </c>
      <c r="DO221" s="2057">
        <v>1</v>
      </c>
      <c r="DP221" s="2057">
        <v>1</v>
      </c>
      <c r="DQ221" s="2058">
        <v>1</v>
      </c>
      <c r="DR221" s="2057">
        <v>1</v>
      </c>
      <c r="DS221" s="2057">
        <v>1</v>
      </c>
      <c r="DT221" s="2057">
        <v>1</v>
      </c>
      <c r="DU221" s="2058">
        <v>1</v>
      </c>
      <c r="DV221" s="2057">
        <v>1</v>
      </c>
      <c r="DW221" s="2057">
        <v>1</v>
      </c>
      <c r="DX221" s="2057">
        <v>1</v>
      </c>
      <c r="DY221" s="2058">
        <v>1</v>
      </c>
      <c r="DZ221" s="2057">
        <v>1</v>
      </c>
      <c r="EA221" s="2057">
        <v>1</v>
      </c>
      <c r="EB221" s="2057">
        <v>1</v>
      </c>
      <c r="EC221" s="2058">
        <v>1</v>
      </c>
      <c r="ED221" s="2057">
        <v>1</v>
      </c>
      <c r="EE221" s="2057">
        <v>1</v>
      </c>
      <c r="EF221" s="2057">
        <v>1</v>
      </c>
      <c r="EG221" s="2058">
        <v>1</v>
      </c>
      <c r="EH221" s="2057">
        <v>1</v>
      </c>
      <c r="EI221" s="2057">
        <v>1</v>
      </c>
      <c r="EJ221" s="2057">
        <v>1</v>
      </c>
      <c r="EK221" s="2058">
        <v>1</v>
      </c>
      <c r="FF221" s="2182">
        <f t="shared" ref="FF221" si="1589">FF215/FF$215</f>
      </c>
      <c r="FG221" s="2182">
        <f t="shared" ref="FG221:FH221" si="1590">FG215/FG$215</f>
      </c>
      <c r="FH221" s="2182">
        <f t="shared" si="1590"/>
      </c>
      <c r="FI221" s="2182">
        <f t="shared" ref="FI221:FQ221" si="1591">FI215/FI$215</f>
      </c>
      <c r="FJ221" s="2182">
        <f t="shared" si="1591"/>
      </c>
      <c r="FK221" s="2182">
        <f t="shared" si="1591"/>
      </c>
      <c r="FL221" s="2182">
        <f t="shared" si="1591"/>
      </c>
      <c r="FM221" s="2182">
        <f t="shared" si="1591"/>
      </c>
      <c r="FN221" s="2182">
        <f t="shared" si="1591"/>
      </c>
      <c r="FO221" s="2182">
        <f t="shared" si="1591"/>
      </c>
      <c r="FP221" s="2182">
        <f t="shared" si="1591"/>
      </c>
      <c r="FQ221" s="2182">
        <f t="shared" si="1591"/>
      </c>
      <c r="FR221" s="2182">
        <f t="shared" ref="FR221:FU221" si="1592">FR215/FR$215</f>
      </c>
      <c r="FS221" s="2182">
        <f t="shared" si="1592"/>
      </c>
      <c r="FT221" s="2182">
        <f t="shared" si="1592"/>
      </c>
      <c r="FU221" s="2182">
        <f t="shared" si="1592"/>
      </c>
      <c r="FW221" s="2054"/>
    </row>
    <row r="222" spans="1:214" s="2020" customFormat="1" ht="10.199999999999999">
      <c r="A222" s="972"/>
      <c r="B222" s="2016"/>
      <c r="C222" s="2016"/>
      <c r="D222" s="2016"/>
      <c r="E222" s="2017"/>
      <c r="F222" s="2016"/>
      <c r="G222" s="2016"/>
      <c r="H222" s="2016"/>
      <c r="I222" s="2017"/>
      <c r="J222" s="2016"/>
      <c r="K222" s="2016"/>
      <c r="L222" s="2016"/>
      <c r="M222" s="2017"/>
      <c r="N222" s="2016"/>
      <c r="O222" s="2016"/>
      <c r="P222" s="2016"/>
      <c r="Q222" s="2017"/>
      <c r="R222" s="2016"/>
      <c r="S222" s="2016"/>
      <c r="T222" s="2016"/>
      <c r="U222" s="2017"/>
      <c r="V222" s="2016"/>
      <c r="W222" s="2016"/>
      <c r="X222" s="2016"/>
      <c r="Y222" s="2017"/>
      <c r="Z222" s="2016"/>
      <c r="AA222" s="2016"/>
      <c r="AB222" s="2016"/>
      <c r="AC222" s="2017"/>
      <c r="AD222" s="2016"/>
      <c r="AE222" s="2016"/>
      <c r="AF222" s="2016"/>
      <c r="AG222" s="2017"/>
      <c r="AH222" s="2016"/>
      <c r="AI222" s="2016"/>
      <c r="AJ222" s="2016"/>
      <c r="AK222" s="2017"/>
      <c r="AL222" s="2016"/>
      <c r="AM222" s="2016"/>
      <c r="AN222" s="2016"/>
      <c r="AO222" s="2017"/>
      <c r="AP222" s="2016"/>
      <c r="AQ222" s="2016"/>
      <c r="AR222" s="2016"/>
      <c r="AS222" s="2017"/>
      <c r="AT222" s="2016"/>
      <c r="AU222" s="2016"/>
      <c r="AV222" s="2016"/>
      <c r="AW222" s="2017"/>
      <c r="AX222" s="2018"/>
      <c r="AY222" s="2018"/>
      <c r="AZ222" s="2018"/>
      <c r="BA222" s="2019"/>
      <c r="BB222" s="2018"/>
      <c r="BC222" s="2018"/>
      <c r="BD222" s="2018"/>
      <c r="BE222" s="2019"/>
      <c r="BF222" s="2018"/>
      <c r="BG222" s="2018"/>
      <c r="BH222" s="2018"/>
      <c r="BI222" s="2019"/>
      <c r="BJ222" s="2018"/>
      <c r="BK222" s="2018"/>
      <c r="BL222" s="2018"/>
      <c r="BM222" s="2019"/>
      <c r="BN222" s="2018"/>
      <c r="BO222" s="2018"/>
      <c r="BP222" s="2018"/>
      <c r="BQ222" s="2019"/>
      <c r="BR222" s="2018"/>
      <c r="BS222" s="2018"/>
      <c r="BT222" s="2018"/>
      <c r="BU222" s="2019"/>
      <c r="BV222" s="2018"/>
      <c r="BW222" s="2018"/>
      <c r="BX222" s="2018"/>
      <c r="BY222" s="2019"/>
      <c r="BZ222" s="2018"/>
      <c r="CA222" s="2018"/>
      <c r="CB222" s="2018"/>
      <c r="CC222" s="2019"/>
      <c r="CD222" s="2018"/>
      <c r="CE222" s="2018"/>
      <c r="CF222" s="2018"/>
      <c r="CG222" s="2019"/>
      <c r="CH222" s="2018"/>
      <c r="CI222" s="2018"/>
      <c r="CJ222" s="2018"/>
      <c r="CK222" s="2019"/>
      <c r="CL222" s="2018"/>
      <c r="CM222" s="2018"/>
      <c r="CN222" s="2018"/>
      <c r="CO222" s="2019"/>
      <c r="CP222" s="2018"/>
      <c r="CQ222" s="2018"/>
      <c r="CR222" s="2018"/>
      <c r="CS222" s="2019"/>
      <c r="CT222" s="2018"/>
      <c r="CU222" s="2018"/>
      <c r="CV222" s="2018"/>
      <c r="CW222" s="2019"/>
      <c r="CX222" s="2018"/>
      <c r="CY222" s="2018"/>
      <c r="CZ222" s="2018"/>
      <c r="DA222" s="2019"/>
      <c r="DB222" s="2018"/>
      <c r="DC222" s="2018"/>
      <c r="DD222" s="2018"/>
      <c r="DE222" s="2019"/>
      <c r="DF222" s="2018"/>
      <c r="DG222" s="2018"/>
      <c r="DH222" s="2018"/>
      <c r="DI222" s="2019"/>
      <c r="DJ222" s="2018"/>
      <c r="DK222" s="2018"/>
      <c r="DL222" s="2018"/>
      <c r="DM222" s="2019"/>
      <c r="DN222" s="2018"/>
      <c r="DO222" s="2018"/>
      <c r="DP222" s="2018"/>
      <c r="DQ222" s="2019"/>
      <c r="DR222" s="2018"/>
      <c r="DS222" s="2018"/>
      <c r="DT222" s="2018"/>
      <c r="DU222" s="2019"/>
      <c r="DV222" s="2018"/>
      <c r="DW222" s="2018"/>
      <c r="DX222" s="2018"/>
      <c r="DY222" s="2019"/>
      <c r="DZ222" s="2018"/>
      <c r="EA222" s="2018"/>
      <c r="EB222" s="2018"/>
      <c r="EC222" s="2019"/>
      <c r="ED222" s="2018"/>
      <c r="EE222" s="2018"/>
      <c r="EF222" s="2018"/>
      <c r="EG222" s="2019"/>
      <c r="EH222" s="2018"/>
      <c r="EI222" s="2018"/>
      <c r="EJ222" s="2018"/>
      <c r="EK222" s="2019"/>
      <c r="FG222" s="2021"/>
      <c r="FH222" s="2021"/>
      <c r="FI222" s="2021"/>
      <c r="FJ222" s="2021"/>
      <c r="FK222" s="2021"/>
      <c r="FL222" s="2021"/>
      <c r="FM222" s="2021"/>
      <c r="FN222" s="2021"/>
      <c r="FO222" s="2021"/>
      <c r="FP222" s="2021"/>
      <c r="FQ222" s="2021"/>
      <c r="FR222" s="2021"/>
      <c r="FS222" s="2021"/>
      <c r="FT222" s="2021"/>
      <c r="FU222" s="2021"/>
      <c r="FW222" s="2021"/>
    </row>
    <row r="223" spans="1:214" s="342" customFormat="1" ht="11.25" customHeight="1" collapsed="1">
      <c r="A223" s="708" t="s">
        <v>1487</v>
      </c>
      <c r="BR223" s="706" t="str">
        <f>'Revenue summary'!BR$8</f>
      </c>
      <c r="BS223" s="706" t="str">
        <f>'Revenue summary'!BS$8</f>
      </c>
      <c r="BT223" s="706" t="str">
        <f>'Revenue summary'!BT$8</f>
      </c>
      <c r="BU223" s="707" t="str">
        <f>'Revenue summary'!BU$8</f>
      </c>
      <c r="BV223" s="706" t="str">
        <f>'Revenue summary'!BV$8</f>
      </c>
      <c r="BW223" s="706" t="str">
        <f>'Revenue summary'!BW$8</f>
      </c>
      <c r="BX223" s="706" t="str">
        <f>'Revenue summary'!BX$8</f>
      </c>
      <c r="BY223" s="707" t="str">
        <f>'Revenue summary'!BY$8</f>
      </c>
      <c r="BZ223" s="706" t="str">
        <f>'Revenue summary'!BZ$8</f>
      </c>
      <c r="CA223" s="706" t="str">
        <f>'Revenue summary'!CA$8</f>
      </c>
      <c r="CB223" s="706" t="str">
        <f>'Revenue summary'!CB$8</f>
      </c>
      <c r="CC223" s="707" t="str">
        <f>'Revenue summary'!CC$8</f>
      </c>
      <c r="CD223" s="706" t="str">
        <f>'Revenue summary'!CD$8</f>
      </c>
      <c r="CE223" s="706" t="str">
        <f>'Revenue summary'!CE$8</f>
      </c>
      <c r="CF223" s="706" t="str">
        <f>'Revenue summary'!CF$8</f>
      </c>
      <c r="CG223" s="707" t="str">
        <f>'Revenue summary'!CG$8</f>
      </c>
      <c r="CH223" s="706" t="str">
        <f>'Revenue summary'!CH$8</f>
      </c>
      <c r="CI223" s="706" t="str">
        <f>'Revenue summary'!CI$8</f>
      </c>
      <c r="CJ223" s="706" t="str">
        <f>'Revenue summary'!CJ$8</f>
      </c>
      <c r="CK223" s="707" t="str">
        <f>'Revenue summary'!CK$8</f>
      </c>
      <c r="CL223" s="706" t="str">
        <f>'Revenue summary'!CL$8</f>
      </c>
      <c r="CM223" s="706" t="str">
        <f>'Revenue summary'!CM$8</f>
      </c>
      <c r="CN223" s="706" t="str">
        <f>'Revenue summary'!CN$8</f>
      </c>
      <c r="CO223" s="707" t="str">
        <f>'Revenue summary'!CO$8</f>
      </c>
      <c r="CP223" s="706" t="str">
        <f>'Revenue summary'!CP$8</f>
      </c>
      <c r="CQ223" s="706" t="str">
        <f>'Revenue summary'!CQ$8</f>
      </c>
      <c r="CR223" s="706" t="str">
        <f>'Revenue summary'!CR$8</f>
      </c>
      <c r="CS223" s="707" t="str">
        <f>'Revenue summary'!CS$8</f>
      </c>
      <c r="CT223" s="706" t="str">
        <f>'Revenue summary'!CT$8</f>
      </c>
      <c r="CU223" s="706" t="str">
        <f>'Revenue summary'!CU$8</f>
      </c>
      <c r="CV223" s="706" t="str">
        <f>'Revenue summary'!CV$8</f>
      </c>
      <c r="CW223" s="707" t="str">
        <f>'Revenue summary'!CW$8</f>
      </c>
      <c r="CX223" s="706" t="str">
        <f>'Revenue summary'!CX$8</f>
      </c>
      <c r="CY223" s="706" t="str">
        <f>'Revenue summary'!CY$8</f>
      </c>
      <c r="CZ223" s="706" t="str">
        <f>'Revenue summary'!CZ$8</f>
      </c>
      <c r="DA223" s="707" t="str">
        <f>'Revenue summary'!DA$8</f>
      </c>
      <c r="DB223" s="706" t="str">
        <f>'Revenue summary'!DB$8</f>
      </c>
      <c r="DC223" s="706" t="str">
        <f>'Revenue summary'!DC$8</f>
      </c>
      <c r="DD223" s="706" t="str">
        <f>'Revenue summary'!DD$8</f>
      </c>
      <c r="DE223" s="707" t="str">
        <f>'Revenue summary'!DE$8</f>
      </c>
      <c r="DF223" s="706" t="str">
        <f>'Revenue summary'!DF$8</f>
      </c>
      <c r="DG223" s="706" t="str">
        <f>'Revenue summary'!DG$8</f>
      </c>
      <c r="DH223" s="706" t="str">
        <f>'Revenue summary'!DH$8</f>
      </c>
      <c r="DI223" s="707" t="str">
        <f>'Revenue summary'!DI$8</f>
      </c>
      <c r="DJ223" s="706" t="str">
        <f>'Revenue summary'!DJ$8</f>
      </c>
      <c r="DK223" s="706" t="str">
        <f>'Revenue summary'!DK$8</f>
      </c>
      <c r="DL223" s="706" t="str">
        <f>'Revenue summary'!DL$8</f>
      </c>
      <c r="DM223" s="707" t="str">
        <f>'Revenue summary'!DM$8</f>
      </c>
      <c r="DN223" s="706" t="str">
        <f>'Revenue summary'!DN$8</f>
      </c>
      <c r="DO223" s="706" t="str">
        <f>'Revenue summary'!DO$8</f>
      </c>
      <c r="DP223" s="706" t="str">
        <f>'Revenue summary'!DP$8</f>
      </c>
      <c r="DQ223" s="707" t="str">
        <f>'Revenue summary'!DQ$8</f>
      </c>
      <c r="DR223" s="706" t="str">
        <f>'Revenue summary'!DR$8</f>
      </c>
      <c r="DS223" s="706" t="str">
        <f>'Revenue summary'!DS$8</f>
      </c>
      <c r="DT223" s="706" t="str">
        <f>'Revenue summary'!DT$8</f>
      </c>
      <c r="DU223" s="707" t="str">
        <f>'Revenue summary'!DU$8</f>
      </c>
      <c r="DV223" s="706" t="str">
        <f>'Revenue summary'!DV$8</f>
      </c>
      <c r="DW223" s="706" t="str">
        <f>'Revenue summary'!DW$8</f>
      </c>
      <c r="DX223" s="706" t="str">
        <f>'Revenue summary'!DX$8</f>
      </c>
      <c r="DY223" s="707" t="str">
        <f>'Revenue summary'!DY$8</f>
      </c>
      <c r="DZ223" s="706" t="str">
        <f>'Revenue summary'!DZ$8</f>
      </c>
      <c r="EA223" s="706" t="str">
        <f>'Revenue summary'!EA$8</f>
      </c>
      <c r="EB223" s="706" t="str">
        <f>'Revenue summary'!EB$8</f>
      </c>
      <c r="EC223" s="707" t="str">
        <f>'Revenue summary'!EC$8</f>
      </c>
      <c r="ED223" s="706" t="str">
        <f>'Revenue summary'!ED$8</f>
      </c>
      <c r="EE223" s="706" t="str">
        <f>'Revenue summary'!EE$8</f>
      </c>
      <c r="EF223" s="706" t="str">
        <f>'Revenue summary'!EF$8</f>
      </c>
      <c r="EG223" s="707" t="str">
        <f>'Revenue summary'!EG$8</f>
      </c>
      <c r="EH223" s="706" t="str">
        <f>'Revenue summary'!EH$8</f>
      </c>
      <c r="EI223" s="706" t="str">
        <f>'Revenue summary'!EI$8</f>
      </c>
      <c r="EJ223" s="706" t="str">
        <f>'Revenue summary'!EJ$8</f>
      </c>
      <c r="EK223" s="707" t="str">
        <f>'Revenue summary'!EK$8</f>
      </c>
      <c r="FF223" s="706" t="str">
        <f t="shared" ref="FF223:FH223" si="1593">FF$9</f>
      </c>
      <c r="FG223" s="706" t="str">
        <f t="shared" si="1593"/>
      </c>
      <c r="FH223" s="706" t="str">
        <f t="shared" si="1593"/>
      </c>
      <c r="FI223" s="706" t="str">
        <f>FI$9</f>
      </c>
      <c r="FJ223" s="706" t="str">
        <f t="shared" ref="FJ223:FU223" si="1594">FJ$9</f>
      </c>
      <c r="FK223" s="706" t="str">
        <f t="shared" si="1594"/>
      </c>
      <c r="FL223" s="706" t="str">
        <f t="shared" si="1594"/>
      </c>
      <c r="FM223" s="706" t="str">
        <f t="shared" si="1594"/>
      </c>
      <c r="FN223" s="706" t="str">
        <f t="shared" si="1594"/>
      </c>
      <c r="FO223" s="706" t="str">
        <f t="shared" si="1594"/>
      </c>
      <c r="FP223" s="706" t="str">
        <f t="shared" si="1594"/>
      </c>
      <c r="FQ223" s="706" t="str">
        <f t="shared" si="1594"/>
      </c>
      <c r="FR223" s="706" t="str">
        <f t="shared" si="1594"/>
      </c>
      <c r="FS223" s="706" t="str">
        <f t="shared" si="1594"/>
      </c>
      <c r="FT223" s="706" t="str">
        <f t="shared" si="1594"/>
      </c>
      <c r="FU223" s="706" t="str">
        <f t="shared" si="1594"/>
      </c>
    </row>
    <row r="224" spans="1:214" s="2053" customFormat="1" ht="10.199999999999999">
      <c r="A224" s="1460" t="s">
        <v>1479</v>
      </c>
      <c r="B224" s="2047"/>
      <c r="C224" s="2047"/>
      <c r="D224" s="2047"/>
      <c r="E224" s="2048"/>
      <c r="F224" s="2047"/>
      <c r="G224" s="2047"/>
      <c r="H224" s="2047"/>
      <c r="I224" s="2048"/>
      <c r="J224" s="2047"/>
      <c r="K224" s="2047"/>
      <c r="L224" s="2047"/>
      <c r="M224" s="2048"/>
      <c r="N224" s="2047"/>
      <c r="O224" s="2047"/>
      <c r="P224" s="2047"/>
      <c r="Q224" s="2048"/>
      <c r="R224" s="2047"/>
      <c r="S224" s="2047"/>
      <c r="T224" s="2047"/>
      <c r="U224" s="2048"/>
      <c r="V224" s="2047"/>
      <c r="W224" s="2047"/>
      <c r="X224" s="2047"/>
      <c r="Y224" s="2048"/>
      <c r="Z224" s="2047"/>
      <c r="AA224" s="2047"/>
      <c r="AB224" s="2047"/>
      <c r="AC224" s="2048"/>
      <c r="AD224" s="2047"/>
      <c r="AE224" s="2047"/>
      <c r="AF224" s="2047"/>
      <c r="AG224" s="2048"/>
      <c r="AH224" s="2047"/>
      <c r="AI224" s="2047"/>
      <c r="AJ224" s="2047"/>
      <c r="AK224" s="2048"/>
      <c r="AL224" s="2047"/>
      <c r="AM224" s="2047"/>
      <c r="AN224" s="2047"/>
      <c r="AO224" s="2048"/>
      <c r="AP224" s="2047"/>
      <c r="AQ224" s="2047"/>
      <c r="AR224" s="2047"/>
      <c r="AS224" s="2048"/>
      <c r="AT224" s="2047"/>
      <c r="AU224" s="2047"/>
      <c r="AV224" s="2047"/>
      <c r="AW224" s="2048"/>
      <c r="AX224" s="2049"/>
      <c r="AY224" s="2049"/>
      <c r="AZ224" s="2049"/>
      <c r="BA224" s="2050"/>
      <c r="BB224" s="2049"/>
      <c r="BC224" s="2049"/>
      <c r="BD224" s="2049"/>
      <c r="BE224" s="2050"/>
      <c r="BF224" s="2049"/>
      <c r="BG224" s="2049"/>
      <c r="BH224" s="2049"/>
      <c r="BI224" s="2050"/>
      <c r="BJ224" s="2049"/>
      <c r="BK224" s="2049"/>
      <c r="BL224" s="2049"/>
      <c r="BM224" s="2050"/>
      <c r="BN224" s="2049"/>
      <c r="BO224" s="2049"/>
      <c r="BP224" s="2049"/>
      <c r="BQ224" s="2050"/>
      <c r="BR224" s="2049"/>
      <c r="BS224" s="2049"/>
      <c r="BT224" s="2049"/>
      <c r="BU224" s="2050"/>
      <c r="BV224" s="2049"/>
      <c r="BW224" s="2049"/>
      <c r="BX224" s="2049"/>
      <c r="BY224" s="2050"/>
      <c r="BZ224" s="2049"/>
      <c r="CA224" s="2049"/>
      <c r="CB224" s="2049"/>
      <c r="CC224" s="2050"/>
      <c r="CD224" s="2049"/>
      <c r="CE224" s="2049"/>
      <c r="CF224" s="2049"/>
      <c r="CG224" s="2050"/>
      <c r="CH224" s="2049">
        <f t="shared" ref="CH224:DM224" si="1595">CH212/CD212-1</f>
      </c>
      <c r="CI224" s="2049">
        <f t="shared" si="1595"/>
      </c>
      <c r="CJ224" s="2049">
        <f t="shared" si="1595"/>
      </c>
      <c r="CK224" s="2050">
        <f t="shared" si="1595"/>
      </c>
      <c r="CL224" s="2049">
        <f t="shared" si="1595"/>
      </c>
      <c r="CM224" s="2049">
        <f t="shared" si="1595"/>
      </c>
      <c r="CN224" s="2049">
        <f t="shared" si="1595"/>
      </c>
      <c r="CO224" s="2050">
        <f t="shared" si="1595"/>
      </c>
      <c r="CP224" s="2049">
        <f t="shared" si="1595"/>
      </c>
      <c r="CQ224" s="2049">
        <f t="shared" si="1595"/>
      </c>
      <c r="CR224" s="2049">
        <f t="shared" si="1595"/>
      </c>
      <c r="CS224" s="2050">
        <f t="shared" si="1595"/>
      </c>
      <c r="CT224" s="2049">
        <f t="shared" si="1595"/>
      </c>
      <c r="CU224" s="2049">
        <f t="shared" si="1595"/>
      </c>
      <c r="CV224" s="2049">
        <f t="shared" si="1595"/>
      </c>
      <c r="CW224" s="2050">
        <f t="shared" si="1595"/>
      </c>
      <c r="CX224" s="2049">
        <f t="shared" si="1595"/>
      </c>
      <c r="CY224" s="2049">
        <f t="shared" si="1595"/>
      </c>
      <c r="CZ224" s="2049">
        <f t="shared" si="1595"/>
      </c>
      <c r="DA224" s="2050">
        <f t="shared" si="1595"/>
      </c>
      <c r="DB224" s="2049">
        <f t="shared" si="1595"/>
      </c>
      <c r="DC224" s="2049">
        <f t="shared" si="1595"/>
      </c>
      <c r="DD224" s="2049">
        <f t="shared" si="1595"/>
      </c>
      <c r="DE224" s="2050">
        <f t="shared" si="1595"/>
      </c>
      <c r="DF224" s="2049">
        <f t="shared" si="1595"/>
      </c>
      <c r="DG224" s="2049">
        <f t="shared" si="1595"/>
      </c>
      <c r="DH224" s="2049">
        <f t="shared" si="1595"/>
      </c>
      <c r="DI224" s="2050">
        <f t="shared" si="1595"/>
      </c>
      <c r="DJ224" s="2049">
        <f t="shared" si="1595"/>
      </c>
      <c r="DK224" s="2049">
        <f t="shared" ref="DK224:DL227" si="1596">DK212/DG212-1</f>
      </c>
      <c r="DL224" s="2049">
        <f t="shared" si="1596"/>
      </c>
      <c r="DM224" s="2050">
        <f t="shared" si="1595"/>
      </c>
      <c r="DN224" s="2049">
        <f t="shared" ref="DN224:DV227" si="1597">DN212/DJ212-1</f>
      </c>
      <c r="DO224" s="2049">
        <f t="shared" si="1597"/>
      </c>
      <c r="DP224" s="2049">
        <f t="shared" si="1597"/>
      </c>
      <c r="DQ224" s="2050">
        <f t="shared" si="1597"/>
      </c>
      <c r="DR224" s="2049">
        <f t="shared" si="1597"/>
      </c>
      <c r="DS224" s="2049">
        <f t="shared" si="1597"/>
      </c>
      <c r="DT224" s="2049">
        <f t="shared" si="1597"/>
      </c>
      <c r="DU224" s="2050">
        <f t="shared" si="1597"/>
      </c>
      <c r="DV224" s="2049">
        <f t="shared" si="1597"/>
      </c>
      <c r="DW224" s="2049">
        <f t="shared" ref="DW224:DW227" si="1598">DW212/DS212-1</f>
      </c>
      <c r="DX224" s="2049">
        <f t="shared" ref="DX224:DX227" si="1599">DX212/DT212-1</f>
      </c>
      <c r="DY224" s="2050">
        <f>DY212/DU212-1</f>
      </c>
      <c r="DZ224" s="2049">
        <f t="shared" ref="DZ224:DZ227" si="1600">DZ212/DV212-1</f>
      </c>
      <c r="EA224" s="2049">
        <f t="shared" ref="EA224:EA227" si="1601">EA212/DW212-1</f>
      </c>
      <c r="EB224" s="2049">
        <f t="shared" ref="EB224:EB227" si="1602">EB212/DX212-1</f>
      </c>
      <c r="EC224" s="2050">
        <f>EC212/DY212-1</f>
      </c>
      <c r="ED224" s="2049">
        <f t="shared" ref="ED224:ED227" si="1603">ED212/DZ212-1</f>
      </c>
      <c r="EE224" s="2049">
        <f t="shared" ref="EE224:EE227" si="1604">EE212/EA212-1</f>
      </c>
      <c r="EF224" s="2049">
        <f t="shared" ref="EF224:EF227" si="1605">EF212/EB212-1</f>
      </c>
      <c r="EG224" s="2050">
        <f>EG212/EC212-1</f>
      </c>
      <c r="EH224" s="2049">
        <f t="shared" ref="EH224:EH227" si="1606">EH212/ED212-1</f>
      </c>
      <c r="EI224" s="2049">
        <f t="shared" ref="EI224:EI227" si="1607">EI212/EE212-1</f>
      </c>
      <c r="EJ224" s="2049">
        <f t="shared" ref="EJ224:EJ227" si="1608">EJ212/EF212-1</f>
      </c>
      <c r="EK224" s="2050">
        <f>EK212/EG212-1</f>
      </c>
      <c r="FF224" s="2053">
        <f t="shared" ref="FF224" si="1609">FF212/FE212-1</f>
      </c>
      <c r="FG224" s="2053">
        <f t="shared" ref="FG224" si="1610">FG212/FF212-1</f>
      </c>
      <c r="FH224" s="2053">
        <f t="shared" ref="FH224:FP224" si="1611">FH212/FG212-1</f>
      </c>
      <c r="FI224" s="2053">
        <f t="shared" si="1611"/>
      </c>
      <c r="FJ224" s="2053">
        <f t="shared" si="1611"/>
      </c>
      <c r="FK224" s="2053">
        <f t="shared" si="1611"/>
      </c>
      <c r="FL224" s="2053">
        <f t="shared" si="1611"/>
      </c>
      <c r="FM224" s="2053">
        <f t="shared" si="1611"/>
      </c>
      <c r="FN224" s="2053">
        <f t="shared" si="1611"/>
      </c>
      <c r="FO224" s="2053">
        <f t="shared" si="1611"/>
      </c>
      <c r="FP224" s="2053">
        <f t="shared" si="1611"/>
      </c>
      <c r="FQ224" s="2053">
        <f>FQ212/FP212-1</f>
      </c>
      <c r="FR224" s="2053">
        <f t="shared" ref="FR224:FU227" si="1612">FR212/FQ212-1</f>
      </c>
      <c r="FS224" s="2053">
        <f t="shared" si="1612"/>
      </c>
      <c r="FT224" s="2053">
        <f t="shared" si="1612"/>
      </c>
      <c r="FU224" s="2053">
        <f t="shared" si="1612"/>
      </c>
      <c r="FW224" s="2054"/>
    </row>
    <row r="225" spans="1:208" s="2053" customFormat="1" ht="10.199999999999999">
      <c r="A225" s="1460" t="s">
        <v>1480</v>
      </c>
      <c r="B225" s="2047"/>
      <c r="C225" s="2047"/>
      <c r="D225" s="2047"/>
      <c r="E225" s="2048"/>
      <c r="F225" s="2047"/>
      <c r="G225" s="2047"/>
      <c r="H225" s="2047"/>
      <c r="I225" s="2048"/>
      <c r="J225" s="2047"/>
      <c r="K225" s="2047"/>
      <c r="L225" s="2047"/>
      <c r="M225" s="2048"/>
      <c r="N225" s="2047"/>
      <c r="O225" s="2047"/>
      <c r="P225" s="2047"/>
      <c r="Q225" s="2048"/>
      <c r="R225" s="2047"/>
      <c r="S225" s="2047"/>
      <c r="T225" s="2047"/>
      <c r="U225" s="2048"/>
      <c r="V225" s="2047"/>
      <c r="W225" s="2047"/>
      <c r="X225" s="2047"/>
      <c r="Y225" s="2048"/>
      <c r="Z225" s="2047"/>
      <c r="AA225" s="2047"/>
      <c r="AB225" s="2047"/>
      <c r="AC225" s="2048"/>
      <c r="AD225" s="2047"/>
      <c r="AE225" s="2047"/>
      <c r="AF225" s="2047"/>
      <c r="AG225" s="2048"/>
      <c r="AH225" s="2047"/>
      <c r="AI225" s="2047"/>
      <c r="AJ225" s="2047"/>
      <c r="AK225" s="2048"/>
      <c r="AL225" s="2047"/>
      <c r="AM225" s="2047"/>
      <c r="AN225" s="2047"/>
      <c r="AO225" s="2048"/>
      <c r="AP225" s="2047"/>
      <c r="AQ225" s="2047"/>
      <c r="AR225" s="2047"/>
      <c r="AS225" s="2048"/>
      <c r="AT225" s="2047"/>
      <c r="AU225" s="2047"/>
      <c r="AV225" s="2047"/>
      <c r="AW225" s="2048"/>
      <c r="AX225" s="2049"/>
      <c r="AY225" s="2049"/>
      <c r="AZ225" s="2049"/>
      <c r="BA225" s="2050"/>
      <c r="BB225" s="2049"/>
      <c r="BC225" s="2049"/>
      <c r="BD225" s="2049"/>
      <c r="BE225" s="2050"/>
      <c r="BF225" s="2049"/>
      <c r="BG225" s="2049"/>
      <c r="BH225" s="2049"/>
      <c r="BI225" s="2050"/>
      <c r="BJ225" s="2049"/>
      <c r="BK225" s="2049"/>
      <c r="BL225" s="2049"/>
      <c r="BM225" s="2050"/>
      <c r="BN225" s="2049"/>
      <c r="BO225" s="2049"/>
      <c r="BP225" s="2049"/>
      <c r="BQ225" s="2050"/>
      <c r="BR225" s="2049"/>
      <c r="BS225" s="2049"/>
      <c r="BT225" s="2049"/>
      <c r="BU225" s="2050"/>
      <c r="BV225" s="2049"/>
      <c r="BW225" s="2049"/>
      <c r="BX225" s="2049"/>
      <c r="BY225" s="2050"/>
      <c r="BZ225" s="2049"/>
      <c r="CA225" s="2049"/>
      <c r="CB225" s="2049"/>
      <c r="CC225" s="2050"/>
      <c r="CD225" s="2049"/>
      <c r="CE225" s="2049"/>
      <c r="CF225" s="2049"/>
      <c r="CG225" s="2050"/>
      <c r="CH225" s="2049">
        <f t="shared" ref="CH225:DM225" si="1613">CH213/CD213-1</f>
      </c>
      <c r="CI225" s="2049">
        <f t="shared" si="1613"/>
      </c>
      <c r="CJ225" s="2049">
        <f t="shared" si="1613"/>
      </c>
      <c r="CK225" s="2050">
        <f t="shared" si="1613"/>
      </c>
      <c r="CL225" s="2049">
        <f t="shared" si="1613"/>
      </c>
      <c r="CM225" s="2049">
        <f t="shared" si="1613"/>
      </c>
      <c r="CN225" s="2049">
        <f t="shared" si="1613"/>
      </c>
      <c r="CO225" s="2050">
        <f t="shared" si="1613"/>
      </c>
      <c r="CP225" s="2049">
        <f t="shared" si="1613"/>
      </c>
      <c r="CQ225" s="2049">
        <f t="shared" si="1613"/>
      </c>
      <c r="CR225" s="2049">
        <f t="shared" si="1613"/>
      </c>
      <c r="CS225" s="2050">
        <f t="shared" si="1613"/>
      </c>
      <c r="CT225" s="2049">
        <f t="shared" si="1613"/>
      </c>
      <c r="CU225" s="2049">
        <f t="shared" si="1613"/>
      </c>
      <c r="CV225" s="2049">
        <f t="shared" si="1613"/>
      </c>
      <c r="CW225" s="2050">
        <f t="shared" si="1613"/>
      </c>
      <c r="CX225" s="2049">
        <f t="shared" si="1613"/>
      </c>
      <c r="CY225" s="2049">
        <f t="shared" si="1613"/>
      </c>
      <c r="CZ225" s="2049">
        <f t="shared" si="1613"/>
      </c>
      <c r="DA225" s="2050">
        <f t="shared" si="1613"/>
      </c>
      <c r="DB225" s="2049">
        <f t="shared" si="1613"/>
      </c>
      <c r="DC225" s="2049">
        <f t="shared" si="1613"/>
      </c>
      <c r="DD225" s="2049">
        <f t="shared" si="1613"/>
      </c>
      <c r="DE225" s="2050">
        <f t="shared" si="1613"/>
      </c>
      <c r="DF225" s="2049">
        <f t="shared" si="1613"/>
      </c>
      <c r="DG225" s="2049">
        <f t="shared" si="1613"/>
      </c>
      <c r="DH225" s="2049">
        <f t="shared" si="1613"/>
      </c>
      <c r="DI225" s="2050">
        <f t="shared" si="1613"/>
      </c>
      <c r="DJ225" s="2049">
        <f t="shared" si="1613"/>
      </c>
      <c r="DK225" s="2049">
        <f t="shared" si="1596"/>
      </c>
      <c r="DL225" s="2049">
        <f t="shared" si="1596"/>
      </c>
      <c r="DM225" s="2050">
        <f t="shared" si="1613"/>
      </c>
      <c r="DN225" s="2049">
        <f t="shared" si="1597"/>
      </c>
      <c r="DO225" s="2049">
        <f t="shared" si="1597"/>
      </c>
      <c r="DP225" s="2049">
        <f t="shared" si="1597"/>
      </c>
      <c r="DQ225" s="2050">
        <f t="shared" si="1597"/>
      </c>
      <c r="DR225" s="2049">
        <f t="shared" si="1597"/>
      </c>
      <c r="DS225" s="2049">
        <f t="shared" si="1597"/>
      </c>
      <c r="DT225" s="2049">
        <f t="shared" si="1597"/>
      </c>
      <c r="DU225" s="2050">
        <f t="shared" si="1597"/>
      </c>
      <c r="DV225" s="2049">
        <f t="shared" si="1597"/>
      </c>
      <c r="DW225" s="2049">
        <f t="shared" si="1598"/>
      </c>
      <c r="DX225" s="2049">
        <f t="shared" si="1599"/>
      </c>
      <c r="DY225" s="2050">
        <f t="shared" ref="DY225:DY227" si="1614">DY213/DU213-1</f>
      </c>
      <c r="DZ225" s="2049">
        <f t="shared" si="1600"/>
      </c>
      <c r="EA225" s="2049">
        <f t="shared" si="1601"/>
      </c>
      <c r="EB225" s="2049">
        <f t="shared" si="1602"/>
      </c>
      <c r="EC225" s="2050">
        <f t="shared" ref="EC225:EC227" si="1615">EC213/DY213-1</f>
      </c>
      <c r="ED225" s="2049">
        <f t="shared" si="1603"/>
      </c>
      <c r="EE225" s="2049">
        <f t="shared" si="1604"/>
      </c>
      <c r="EF225" s="2049">
        <f t="shared" si="1605"/>
      </c>
      <c r="EG225" s="2050">
        <f t="shared" ref="EG225:EG227" si="1616">EG213/EC213-1</f>
      </c>
      <c r="EH225" s="2049">
        <f t="shared" si="1606"/>
      </c>
      <c r="EI225" s="2049">
        <f t="shared" si="1607"/>
      </c>
      <c r="EJ225" s="2049">
        <f t="shared" si="1608"/>
      </c>
      <c r="EK225" s="2050">
        <f t="shared" ref="EK225:EK227" si="1617">EK213/EG213-1</f>
      </c>
      <c r="FF225" s="2053">
        <f t="shared" ref="FF225" si="1618">FF213/FE213-1</f>
      </c>
      <c r="FG225" s="2053">
        <f t="shared" ref="FG225" si="1619">FG213/FF213-1</f>
      </c>
      <c r="FH225" s="2053">
        <f t="shared" ref="FH225:FQ225" si="1620">FH213/FG213-1</f>
      </c>
      <c r="FI225" s="2053">
        <f t="shared" si="1620"/>
      </c>
      <c r="FJ225" s="2053">
        <f t="shared" si="1620"/>
      </c>
      <c r="FK225" s="2053">
        <f t="shared" si="1620"/>
      </c>
      <c r="FL225" s="2053">
        <f t="shared" si="1620"/>
      </c>
      <c r="FM225" s="2053">
        <f t="shared" si="1620"/>
      </c>
      <c r="FN225" s="2053">
        <f t="shared" si="1620"/>
      </c>
      <c r="FO225" s="2053">
        <f t="shared" si="1620"/>
      </c>
      <c r="FP225" s="2053">
        <f t="shared" si="1620"/>
      </c>
      <c r="FQ225" s="2053">
        <f t="shared" si="1620"/>
      </c>
      <c r="FR225" s="2053">
        <f t="shared" si="1612"/>
      </c>
      <c r="FS225" s="2053">
        <f t="shared" si="1612"/>
      </c>
      <c r="FT225" s="2053">
        <f t="shared" si="1612"/>
      </c>
      <c r="FU225" s="2053">
        <f t="shared" si="1612"/>
      </c>
      <c r="FW225" s="2054"/>
    </row>
    <row r="226" spans="1:208" s="2053" customFormat="1" ht="10.199999999999999">
      <c r="A226" s="1460" t="s">
        <v>1481</v>
      </c>
      <c r="B226" s="2047"/>
      <c r="C226" s="2047"/>
      <c r="D226" s="2047"/>
      <c r="E226" s="2048"/>
      <c r="F226" s="2047"/>
      <c r="G226" s="2047"/>
      <c r="H226" s="2047"/>
      <c r="I226" s="2048"/>
      <c r="J226" s="2047"/>
      <c r="K226" s="2047"/>
      <c r="L226" s="2047"/>
      <c r="M226" s="2048"/>
      <c r="N226" s="2047"/>
      <c r="O226" s="2047"/>
      <c r="P226" s="2047"/>
      <c r="Q226" s="2048"/>
      <c r="R226" s="2047"/>
      <c r="S226" s="2047"/>
      <c r="T226" s="2047"/>
      <c r="U226" s="2048"/>
      <c r="V226" s="2047"/>
      <c r="W226" s="2047"/>
      <c r="X226" s="2047"/>
      <c r="Y226" s="2048"/>
      <c r="Z226" s="2047"/>
      <c r="AA226" s="2047"/>
      <c r="AB226" s="2047"/>
      <c r="AC226" s="2048"/>
      <c r="AD226" s="2047"/>
      <c r="AE226" s="2047"/>
      <c r="AF226" s="2047"/>
      <c r="AG226" s="2048"/>
      <c r="AH226" s="2047"/>
      <c r="AI226" s="2047"/>
      <c r="AJ226" s="2047"/>
      <c r="AK226" s="2048"/>
      <c r="AL226" s="2047"/>
      <c r="AM226" s="2047"/>
      <c r="AN226" s="2047"/>
      <c r="AO226" s="2048"/>
      <c r="AP226" s="2047"/>
      <c r="AQ226" s="2047"/>
      <c r="AR226" s="2047"/>
      <c r="AS226" s="2048"/>
      <c r="AT226" s="2047"/>
      <c r="AU226" s="2047"/>
      <c r="AV226" s="2047"/>
      <c r="AW226" s="2048"/>
      <c r="AX226" s="2049"/>
      <c r="AY226" s="2049"/>
      <c r="AZ226" s="2049"/>
      <c r="BA226" s="2050"/>
      <c r="BB226" s="2049"/>
      <c r="BC226" s="2049"/>
      <c r="BD226" s="2049"/>
      <c r="BE226" s="2050"/>
      <c r="BF226" s="2049"/>
      <c r="BG226" s="2049"/>
      <c r="BH226" s="2049"/>
      <c r="BI226" s="2050"/>
      <c r="BJ226" s="2049"/>
      <c r="BK226" s="2049"/>
      <c r="BL226" s="2049"/>
      <c r="BM226" s="2050"/>
      <c r="BN226" s="2049"/>
      <c r="BO226" s="2049"/>
      <c r="BP226" s="2049"/>
      <c r="BQ226" s="2050"/>
      <c r="BR226" s="2049"/>
      <c r="BS226" s="2049"/>
      <c r="BT226" s="2049"/>
      <c r="BU226" s="2050"/>
      <c r="BV226" s="2049"/>
      <c r="BW226" s="2049"/>
      <c r="BX226" s="2049"/>
      <c r="BY226" s="2050"/>
      <c r="BZ226" s="2049"/>
      <c r="CA226" s="2049"/>
      <c r="CB226" s="2049"/>
      <c r="CC226" s="2050"/>
      <c r="CD226" s="2049"/>
      <c r="CE226" s="2049"/>
      <c r="CF226" s="2049"/>
      <c r="CG226" s="2050"/>
      <c r="CH226" s="2049">
        <f t="shared" ref="CH226:DM226" si="1621">CH214/CD214-1</f>
      </c>
      <c r="CI226" s="2049">
        <f t="shared" si="1621"/>
      </c>
      <c r="CJ226" s="2049">
        <f t="shared" si="1621"/>
      </c>
      <c r="CK226" s="2050">
        <f t="shared" si="1621"/>
      </c>
      <c r="CL226" s="2049">
        <f t="shared" si="1621"/>
      </c>
      <c r="CM226" s="2049">
        <f t="shared" si="1621"/>
      </c>
      <c r="CN226" s="2049">
        <f t="shared" si="1621"/>
      </c>
      <c r="CO226" s="2050">
        <f t="shared" si="1621"/>
      </c>
      <c r="CP226" s="2055">
        <f t="shared" si="1621"/>
      </c>
      <c r="CQ226" s="2049">
        <f t="shared" si="1621"/>
      </c>
      <c r="CR226" s="2049">
        <f t="shared" si="1621"/>
      </c>
      <c r="CS226" s="2050">
        <f t="shared" si="1621"/>
      </c>
      <c r="CT226" s="2055">
        <f t="shared" si="1621"/>
      </c>
      <c r="CU226" s="2049">
        <f t="shared" si="1621"/>
      </c>
      <c r="CV226" s="2049">
        <f t="shared" si="1621"/>
      </c>
      <c r="CW226" s="2050">
        <f t="shared" si="1621"/>
      </c>
      <c r="CX226" s="2055">
        <f t="shared" si="1621"/>
      </c>
      <c r="CY226" s="2049">
        <f t="shared" si="1621"/>
      </c>
      <c r="CZ226" s="2049">
        <f t="shared" si="1621"/>
      </c>
      <c r="DA226" s="2050">
        <f t="shared" si="1621"/>
      </c>
      <c r="DB226" s="2055">
        <f t="shared" si="1621"/>
      </c>
      <c r="DC226" s="2049">
        <f t="shared" si="1621"/>
      </c>
      <c r="DD226" s="2049">
        <f t="shared" si="1621"/>
      </c>
      <c r="DE226" s="2050">
        <f t="shared" si="1621"/>
      </c>
      <c r="DF226" s="2055">
        <f t="shared" si="1621"/>
      </c>
      <c r="DG226" s="2049">
        <f t="shared" si="1621"/>
      </c>
      <c r="DH226" s="2049">
        <f t="shared" si="1621"/>
      </c>
      <c r="DI226" s="2050">
        <f t="shared" si="1621"/>
      </c>
      <c r="DJ226" s="2055">
        <f t="shared" si="1621"/>
      </c>
      <c r="DK226" s="2049">
        <f t="shared" si="1596"/>
      </c>
      <c r="DL226" s="2049">
        <f t="shared" si="1596"/>
      </c>
      <c r="DM226" s="2050">
        <f t="shared" si="1621"/>
      </c>
      <c r="DN226" s="2055">
        <f t="shared" si="1597"/>
      </c>
      <c r="DO226" s="2049">
        <f t="shared" si="1597"/>
      </c>
      <c r="DP226" s="2049">
        <f t="shared" si="1597"/>
      </c>
      <c r="DQ226" s="2050">
        <f t="shared" si="1597"/>
      </c>
      <c r="DR226" s="2055">
        <f t="shared" si="1597"/>
      </c>
      <c r="DS226" s="2049">
        <f t="shared" si="1597"/>
      </c>
      <c r="DT226" s="2049">
        <f t="shared" si="1597"/>
      </c>
      <c r="DU226" s="2050">
        <f t="shared" si="1597"/>
      </c>
      <c r="DV226" s="2055">
        <f t="shared" si="1597"/>
      </c>
      <c r="DW226" s="2049">
        <f t="shared" si="1598"/>
      </c>
      <c r="DX226" s="2049">
        <f t="shared" si="1599"/>
      </c>
      <c r="DY226" s="2050">
        <f t="shared" si="1614"/>
      </c>
      <c r="DZ226" s="2055">
        <f t="shared" si="1600"/>
      </c>
      <c r="EA226" s="2049">
        <f t="shared" si="1601"/>
      </c>
      <c r="EB226" s="2049">
        <f t="shared" si="1602"/>
      </c>
      <c r="EC226" s="2050">
        <f t="shared" si="1615"/>
      </c>
      <c r="ED226" s="2055">
        <f t="shared" si="1603"/>
      </c>
      <c r="EE226" s="2049">
        <f t="shared" si="1604"/>
      </c>
      <c r="EF226" s="2049">
        <f t="shared" si="1605"/>
      </c>
      <c r="EG226" s="2050">
        <f t="shared" si="1616"/>
      </c>
      <c r="EH226" s="2055">
        <f t="shared" si="1606"/>
      </c>
      <c r="EI226" s="2049">
        <f t="shared" si="1607"/>
      </c>
      <c r="EJ226" s="2049">
        <f t="shared" si="1608"/>
      </c>
      <c r="EK226" s="2050">
        <f t="shared" si="1617"/>
      </c>
      <c r="FF226" s="2053">
        <f t="shared" ref="FF226" si="1622">FF214/FE214-1</f>
      </c>
      <c r="FG226" s="2053">
        <f t="shared" ref="FG226" si="1623">FG214/FF214-1</f>
      </c>
      <c r="FH226" s="2053">
        <f t="shared" ref="FH226:FQ226" si="1624">FH214/FG214-1</f>
      </c>
      <c r="FI226" s="2053">
        <f t="shared" si="1624"/>
      </c>
      <c r="FJ226" s="2053">
        <f t="shared" si="1624"/>
      </c>
      <c r="FK226" s="2053">
        <f t="shared" si="1624"/>
      </c>
      <c r="FL226" s="2053">
        <f t="shared" si="1624"/>
      </c>
      <c r="FM226" s="2053">
        <f t="shared" si="1624"/>
      </c>
      <c r="FN226" s="2053">
        <f t="shared" si="1624"/>
      </c>
      <c r="FO226" s="2053">
        <f t="shared" si="1624"/>
      </c>
      <c r="FP226" s="2053">
        <f t="shared" si="1624"/>
      </c>
      <c r="FQ226" s="2053">
        <f t="shared" si="1624"/>
      </c>
      <c r="FR226" s="2053">
        <f t="shared" si="1612"/>
      </c>
      <c r="FS226" s="2053">
        <f t="shared" si="1612"/>
      </c>
      <c r="FT226" s="2053">
        <f t="shared" si="1612"/>
      </c>
      <c r="FU226" s="2053">
        <f t="shared" si="1612"/>
      </c>
      <c r="FW226" s="2054"/>
    </row>
    <row r="227" spans="1:208" s="2053" customFormat="1" ht="10.199999999999999">
      <c r="A227" s="2056" t="s">
        <v>1482</v>
      </c>
      <c r="B227" s="2057"/>
      <c r="C227" s="2057"/>
      <c r="D227" s="2057"/>
      <c r="E227" s="2058"/>
      <c r="F227" s="2057"/>
      <c r="G227" s="2057"/>
      <c r="H227" s="2057"/>
      <c r="I227" s="2058"/>
      <c r="J227" s="2057"/>
      <c r="K227" s="2057"/>
      <c r="L227" s="2057"/>
      <c r="M227" s="2058"/>
      <c r="N227" s="2057"/>
      <c r="O227" s="2057"/>
      <c r="P227" s="2057"/>
      <c r="Q227" s="2058"/>
      <c r="R227" s="2057"/>
      <c r="S227" s="2057"/>
      <c r="T227" s="2057"/>
      <c r="U227" s="2058"/>
      <c r="V227" s="2057"/>
      <c r="W227" s="2057"/>
      <c r="X227" s="2057"/>
      <c r="Y227" s="2058"/>
      <c r="Z227" s="2057"/>
      <c r="AA227" s="2057"/>
      <c r="AB227" s="2057"/>
      <c r="AC227" s="2058"/>
      <c r="AD227" s="2057"/>
      <c r="AE227" s="2057"/>
      <c r="AF227" s="2057"/>
      <c r="AG227" s="2058"/>
      <c r="AH227" s="2057"/>
      <c r="AI227" s="2057"/>
      <c r="AJ227" s="2057"/>
      <c r="AK227" s="2058"/>
      <c r="AL227" s="2057"/>
      <c r="AM227" s="2057"/>
      <c r="AN227" s="2057"/>
      <c r="AO227" s="2058"/>
      <c r="AP227" s="2057"/>
      <c r="AQ227" s="2057"/>
      <c r="AR227" s="2057"/>
      <c r="AS227" s="2058"/>
      <c r="AT227" s="2057"/>
      <c r="AU227" s="2057"/>
      <c r="AV227" s="2057"/>
      <c r="AW227" s="2058"/>
      <c r="AX227" s="2059"/>
      <c r="AY227" s="2059"/>
      <c r="AZ227" s="2059"/>
      <c r="BA227" s="2060"/>
      <c r="BB227" s="2059"/>
      <c r="BC227" s="2059"/>
      <c r="BD227" s="2059"/>
      <c r="BE227" s="2060"/>
      <c r="BF227" s="2059"/>
      <c r="BG227" s="2059"/>
      <c r="BH227" s="2059"/>
      <c r="BI227" s="2060"/>
      <c r="BJ227" s="2059"/>
      <c r="BK227" s="2059"/>
      <c r="BL227" s="2059"/>
      <c r="BM227" s="2060"/>
      <c r="BN227" s="2059"/>
      <c r="BO227" s="2059"/>
      <c r="BP227" s="2059"/>
      <c r="BQ227" s="2060"/>
      <c r="BR227" s="2059"/>
      <c r="BS227" s="2059"/>
      <c r="BT227" s="2059"/>
      <c r="BU227" s="2060"/>
      <c r="BV227" s="2059"/>
      <c r="BW227" s="2059"/>
      <c r="BX227" s="2059"/>
      <c r="BY227" s="2060"/>
      <c r="BZ227" s="2059"/>
      <c r="CA227" s="2059"/>
      <c r="CB227" s="2059"/>
      <c r="CC227" s="2060"/>
      <c r="CD227" s="2059"/>
      <c r="CE227" s="2059"/>
      <c r="CF227" s="2059"/>
      <c r="CG227" s="2060"/>
      <c r="CH227" s="2059">
        <f t="shared" ref="CH227:DM227" si="1625">CH215/CD215-1</f>
      </c>
      <c r="CI227" s="2059">
        <f t="shared" si="1625"/>
      </c>
      <c r="CJ227" s="2059">
        <f t="shared" si="1625"/>
      </c>
      <c r="CK227" s="2060">
        <f t="shared" si="1625"/>
      </c>
      <c r="CL227" s="2059">
        <f t="shared" si="1625"/>
      </c>
      <c r="CM227" s="2059">
        <f t="shared" si="1625"/>
      </c>
      <c r="CN227" s="2059">
        <f t="shared" si="1625"/>
      </c>
      <c r="CO227" s="2060">
        <f t="shared" si="1625"/>
      </c>
      <c r="CP227" s="2059">
        <f t="shared" si="1625"/>
      </c>
      <c r="CQ227" s="2059">
        <f t="shared" si="1625"/>
      </c>
      <c r="CR227" s="2059">
        <f t="shared" si="1625"/>
      </c>
      <c r="CS227" s="2060">
        <f t="shared" si="1625"/>
      </c>
      <c r="CT227" s="2059">
        <f t="shared" si="1625"/>
      </c>
      <c r="CU227" s="2059">
        <f t="shared" si="1625"/>
      </c>
      <c r="CV227" s="2059">
        <f t="shared" si="1625"/>
      </c>
      <c r="CW227" s="2060">
        <f t="shared" si="1625"/>
      </c>
      <c r="CX227" s="2059">
        <f t="shared" si="1625"/>
      </c>
      <c r="CY227" s="2059">
        <f t="shared" si="1625"/>
      </c>
      <c r="CZ227" s="2059">
        <f t="shared" si="1625"/>
      </c>
      <c r="DA227" s="2060">
        <f t="shared" si="1625"/>
      </c>
      <c r="DB227" s="2059">
        <f t="shared" si="1625"/>
      </c>
      <c r="DC227" s="2059">
        <f t="shared" si="1625"/>
      </c>
      <c r="DD227" s="2059">
        <f t="shared" si="1625"/>
      </c>
      <c r="DE227" s="2060">
        <f t="shared" si="1625"/>
      </c>
      <c r="DF227" s="2059">
        <f t="shared" si="1625"/>
      </c>
      <c r="DG227" s="2059">
        <f t="shared" si="1625"/>
      </c>
      <c r="DH227" s="2059">
        <f t="shared" si="1625"/>
      </c>
      <c r="DI227" s="2060">
        <f t="shared" si="1625"/>
      </c>
      <c r="DJ227" s="2059">
        <f t="shared" si="1625"/>
      </c>
      <c r="DK227" s="2059">
        <f t="shared" si="1596"/>
      </c>
      <c r="DL227" s="2059">
        <f t="shared" si="1596"/>
      </c>
      <c r="DM227" s="2060">
        <f t="shared" si="1625"/>
      </c>
      <c r="DN227" s="2059">
        <f t="shared" si="1597"/>
      </c>
      <c r="DO227" s="2059">
        <f t="shared" si="1597"/>
      </c>
      <c r="DP227" s="2059">
        <f t="shared" si="1597"/>
      </c>
      <c r="DQ227" s="2060">
        <f t="shared" si="1597"/>
      </c>
      <c r="DR227" s="2059">
        <f t="shared" si="1597"/>
      </c>
      <c r="DS227" s="2059">
        <f t="shared" si="1597"/>
      </c>
      <c r="DT227" s="2059">
        <f t="shared" si="1597"/>
      </c>
      <c r="DU227" s="2060">
        <f t="shared" si="1597"/>
      </c>
      <c r="DV227" s="2059">
        <f t="shared" si="1597"/>
      </c>
      <c r="DW227" s="2059">
        <f t="shared" si="1598"/>
      </c>
      <c r="DX227" s="2059">
        <f t="shared" si="1599"/>
      </c>
      <c r="DY227" s="2060">
        <f t="shared" si="1614"/>
      </c>
      <c r="DZ227" s="2059">
        <f t="shared" si="1600"/>
      </c>
      <c r="EA227" s="2059">
        <f t="shared" si="1601"/>
      </c>
      <c r="EB227" s="2059">
        <f t="shared" si="1602"/>
      </c>
      <c r="EC227" s="2060">
        <f t="shared" si="1615"/>
      </c>
      <c r="ED227" s="2059">
        <f t="shared" si="1603"/>
      </c>
      <c r="EE227" s="2059">
        <f t="shared" si="1604"/>
      </c>
      <c r="EF227" s="2059">
        <f t="shared" si="1605"/>
      </c>
      <c r="EG227" s="2060">
        <f t="shared" si="1616"/>
      </c>
      <c r="EH227" s="2059">
        <f t="shared" si="1606"/>
      </c>
      <c r="EI227" s="2059">
        <f t="shared" si="1607"/>
      </c>
      <c r="EJ227" s="2059">
        <f t="shared" si="1608"/>
      </c>
      <c r="EK227" s="2060">
        <f t="shared" si="1617"/>
      </c>
      <c r="FF227" s="2182">
        <f t="shared" ref="FF227" si="1626">FF215/FE215-1</f>
      </c>
      <c r="FG227" s="2182">
        <f t="shared" ref="FG227" si="1627">FG215/FF215-1</f>
      </c>
      <c r="FH227" s="2182">
        <f t="shared" ref="FH227:FQ227" si="1628">FH215/FG215-1</f>
      </c>
      <c r="FI227" s="2182">
        <f t="shared" si="1628"/>
      </c>
      <c r="FJ227" s="2182">
        <f t="shared" si="1628"/>
      </c>
      <c r="FK227" s="2182">
        <f t="shared" si="1628"/>
      </c>
      <c r="FL227" s="2182">
        <f t="shared" si="1628"/>
      </c>
      <c r="FM227" s="2182">
        <f t="shared" si="1628"/>
      </c>
      <c r="FN227" s="2182">
        <f t="shared" si="1628"/>
      </c>
      <c r="FO227" s="2182">
        <f t="shared" si="1628"/>
      </c>
      <c r="FP227" s="2182">
        <f t="shared" si="1628"/>
      </c>
      <c r="FQ227" s="2182">
        <f t="shared" si="1628"/>
      </c>
      <c r="FR227" s="2182">
        <f t="shared" si="1612"/>
      </c>
      <c r="FS227" s="2182">
        <f t="shared" si="1612"/>
      </c>
      <c r="FT227" s="2182">
        <f t="shared" si="1612"/>
      </c>
      <c r="FU227" s="2182">
        <f t="shared" si="1612"/>
      </c>
      <c r="FW227" s="2054"/>
    </row>
    <row r="228" spans="1:208" s="2020" customFormat="1" ht="10.199999999999999">
      <c r="A228" s="972"/>
      <c r="B228" s="2016"/>
      <c r="C228" s="2016"/>
      <c r="D228" s="2016"/>
      <c r="E228" s="2017"/>
      <c r="F228" s="2016"/>
      <c r="G228" s="2016"/>
      <c r="H228" s="2016"/>
      <c r="I228" s="2017"/>
      <c r="J228" s="2016"/>
      <c r="K228" s="2016"/>
      <c r="L228" s="2016"/>
      <c r="M228" s="2017"/>
      <c r="N228" s="2016"/>
      <c r="O228" s="2016"/>
      <c r="P228" s="2016"/>
      <c r="Q228" s="2017"/>
      <c r="R228" s="2016"/>
      <c r="S228" s="2016"/>
      <c r="T228" s="2016"/>
      <c r="U228" s="2017"/>
      <c r="V228" s="2016"/>
      <c r="W228" s="2016"/>
      <c r="X228" s="2016"/>
      <c r="Y228" s="2017"/>
      <c r="Z228" s="2016"/>
      <c r="AA228" s="2016"/>
      <c r="AB228" s="2016"/>
      <c r="AC228" s="2017"/>
      <c r="AD228" s="2016"/>
      <c r="AE228" s="2016"/>
      <c r="AF228" s="2016"/>
      <c r="AG228" s="2017"/>
      <c r="AH228" s="2016"/>
      <c r="AI228" s="2016"/>
      <c r="AJ228" s="2016"/>
      <c r="AK228" s="2017"/>
      <c r="AL228" s="2016"/>
      <c r="AM228" s="2016"/>
      <c r="AN228" s="2016"/>
      <c r="AO228" s="2017"/>
      <c r="AP228" s="2016"/>
      <c r="AQ228" s="2016"/>
      <c r="AR228" s="2016"/>
      <c r="AS228" s="2017"/>
      <c r="AT228" s="2016"/>
      <c r="AU228" s="2016"/>
      <c r="AV228" s="2016"/>
      <c r="AW228" s="2017"/>
      <c r="AX228" s="2018"/>
      <c r="AY228" s="2018"/>
      <c r="AZ228" s="2018"/>
      <c r="BA228" s="2019"/>
      <c r="BB228" s="2018"/>
      <c r="BC228" s="2018"/>
      <c r="BD228" s="2018"/>
      <c r="BE228" s="2019"/>
      <c r="BF228" s="2018"/>
      <c r="BG228" s="2018"/>
      <c r="BH228" s="2018"/>
      <c r="BI228" s="2019"/>
      <c r="BJ228" s="2018"/>
      <c r="BK228" s="2018"/>
      <c r="BL228" s="2018"/>
      <c r="BM228" s="2019"/>
      <c r="BN228" s="2018"/>
      <c r="BO228" s="2018"/>
      <c r="BP228" s="2018"/>
      <c r="BQ228" s="2019"/>
      <c r="BR228" s="2018"/>
      <c r="BS228" s="2018"/>
      <c r="BT228" s="2018"/>
      <c r="BU228" s="2019"/>
      <c r="BV228" s="2018"/>
      <c r="BW228" s="2018"/>
      <c r="BX228" s="2018"/>
      <c r="BY228" s="2019"/>
      <c r="BZ228" s="2018"/>
      <c r="CA228" s="2018"/>
      <c r="CB228" s="2018"/>
      <c r="CC228" s="2019"/>
      <c r="CD228" s="2018"/>
      <c r="CE228" s="2018"/>
      <c r="CF228" s="2018"/>
      <c r="CG228" s="2019"/>
      <c r="CH228" s="2018"/>
      <c r="CI228" s="2018"/>
      <c r="CJ228" s="2018"/>
      <c r="CK228" s="2019"/>
      <c r="CL228" s="2018"/>
      <c r="CM228" s="2018"/>
      <c r="CN228" s="2018"/>
      <c r="CO228" s="2019"/>
      <c r="CP228" s="2018"/>
      <c r="CQ228" s="2018"/>
      <c r="CR228" s="2018"/>
      <c r="CS228" s="2019"/>
      <c r="CT228" s="2018"/>
      <c r="CU228" s="2018"/>
      <c r="CV228" s="2018"/>
      <c r="CW228" s="2019"/>
      <c r="CX228" s="2018"/>
      <c r="CY228" s="2018"/>
      <c r="CZ228" s="2018"/>
      <c r="DA228" s="2019"/>
      <c r="DB228" s="2018"/>
      <c r="DC228" s="2018"/>
      <c r="DD228" s="2018"/>
      <c r="DE228" s="2019"/>
      <c r="DF228" s="2018"/>
      <c r="DG228" s="2018"/>
      <c r="DH228" s="2018"/>
      <c r="DI228" s="2019"/>
      <c r="DJ228" s="2018"/>
      <c r="DK228" s="2018"/>
      <c r="DL228" s="2018"/>
      <c r="DM228" s="2019"/>
      <c r="DN228" s="2018"/>
      <c r="DO228" s="2018"/>
      <c r="DP228" s="2018"/>
      <c r="DQ228" s="2019"/>
      <c r="DR228" s="2018"/>
      <c r="DS228" s="2018"/>
      <c r="DT228" s="2018"/>
      <c r="DU228" s="2019"/>
      <c r="DV228" s="2018"/>
      <c r="DW228" s="2018"/>
      <c r="DX228" s="2018"/>
      <c r="DY228" s="2019"/>
      <c r="DZ228" s="2018"/>
      <c r="EA228" s="2018"/>
      <c r="EB228" s="2018"/>
      <c r="EC228" s="2019"/>
      <c r="ED228" s="2018"/>
      <c r="EE228" s="2018"/>
      <c r="EF228" s="2018"/>
      <c r="EG228" s="2019"/>
      <c r="EH228" s="2018"/>
      <c r="EI228" s="2018"/>
      <c r="EJ228" s="2018"/>
      <c r="EK228" s="2019"/>
      <c r="FG228" s="2021"/>
      <c r="FH228" s="2021"/>
      <c r="FI228" s="2021"/>
      <c r="FJ228" s="2021"/>
      <c r="FK228" s="2021"/>
      <c r="FL228" s="2021"/>
      <c r="FM228" s="2021"/>
      <c r="FN228" s="2021"/>
      <c r="FO228" s="2021"/>
      <c r="FP228" s="2021"/>
      <c r="FQ228" s="2021"/>
      <c r="FR228" s="2021"/>
      <c r="FS228" s="2021"/>
      <c r="FT228" s="2021"/>
      <c r="FU228" s="2021"/>
      <c r="FW228" s="2021"/>
    </row>
    <row r="229" spans="1:208" s="342" customFormat="1" ht="11.25" customHeight="1" collapsed="1">
      <c r="A229" s="708" t="s">
        <v>1534</v>
      </c>
      <c r="AT229" s="706" t="str">
        <f>'Revenue summary'!AT$8</f>
      </c>
      <c r="AU229" s="706" t="str">
        <f>'Revenue summary'!AU$8</f>
      </c>
      <c r="AV229" s="706" t="str">
        <f>'Revenue summary'!AV$8</f>
      </c>
      <c r="AW229" s="707" t="str">
        <f>'Revenue summary'!AW$8</f>
      </c>
      <c r="AX229" s="706" t="str">
        <f>'Revenue summary'!AX$8</f>
      </c>
      <c r="AY229" s="706" t="str">
        <f>'Revenue summary'!AY$8</f>
      </c>
      <c r="AZ229" s="706" t="str">
        <f>'Revenue summary'!AZ$8</f>
      </c>
      <c r="BA229" s="707" t="str">
        <f>'Revenue summary'!BA$8</f>
      </c>
      <c r="BB229" s="706" t="str">
        <f>'Revenue summary'!BB$8</f>
      </c>
      <c r="BC229" s="706" t="str">
        <f>'Revenue summary'!BC$8</f>
      </c>
      <c r="BD229" s="706" t="str">
        <f>'Revenue summary'!BD$8</f>
      </c>
      <c r="BE229" s="707" t="str">
        <f>'Revenue summary'!BE$8</f>
      </c>
      <c r="BF229" s="706" t="str">
        <f>'Revenue summary'!BF$8</f>
      </c>
      <c r="BG229" s="706" t="str">
        <f>'Revenue summary'!BG$8</f>
      </c>
      <c r="BH229" s="706" t="str">
        <f>'Revenue summary'!BH$8</f>
      </c>
      <c r="BI229" s="707" t="str">
        <f>'Revenue summary'!BI$8</f>
      </c>
      <c r="BJ229" s="706" t="str">
        <f>'Revenue summary'!BJ$8</f>
      </c>
      <c r="BK229" s="706" t="str">
        <f>'Revenue summary'!BK$8</f>
      </c>
      <c r="BL229" s="706" t="str">
        <f>'Revenue summary'!BL$8</f>
      </c>
      <c r="BM229" s="707" t="str">
        <f>'Revenue summary'!BM$8</f>
      </c>
      <c r="BN229" s="706" t="str">
        <f>'Revenue summary'!BN$8</f>
      </c>
      <c r="BO229" s="706" t="str">
        <f>'Revenue summary'!BO$8</f>
      </c>
      <c r="BP229" s="706" t="str">
        <f>'Revenue summary'!BP$8</f>
      </c>
      <c r="BQ229" s="707" t="str">
        <f>'Revenue summary'!BQ$8</f>
      </c>
      <c r="BR229" s="706" t="str">
        <f>'Revenue summary'!BR$8</f>
      </c>
      <c r="BS229" s="706" t="str">
        <f>'Revenue summary'!BS$8</f>
      </c>
      <c r="BT229" s="706" t="str">
        <f>'Revenue summary'!BT$8</f>
      </c>
      <c r="BU229" s="707" t="str">
        <f>'Revenue summary'!BU$8</f>
      </c>
      <c r="BV229" s="706" t="str">
        <f>'Revenue summary'!BV$8</f>
      </c>
      <c r="BW229" s="706" t="str">
        <f>'Revenue summary'!BW$8</f>
      </c>
      <c r="BX229" s="706" t="str">
        <f>'Revenue summary'!BX$8</f>
      </c>
      <c r="BY229" s="707" t="str">
        <f>'Revenue summary'!BY$8</f>
      </c>
      <c r="BZ229" s="706" t="str">
        <f>'Revenue summary'!BZ$8</f>
      </c>
      <c r="CA229" s="706" t="str">
        <f>'Revenue summary'!CA$8</f>
      </c>
      <c r="CB229" s="706" t="str">
        <f>'Revenue summary'!CB$8</f>
      </c>
      <c r="CC229" s="707" t="str">
        <f>'Revenue summary'!CC$8</f>
      </c>
      <c r="CD229" s="706" t="str">
        <f>'Revenue summary'!CD$8</f>
      </c>
      <c r="CE229" s="706" t="str">
        <f>'Revenue summary'!CE$8</f>
      </c>
      <c r="CF229" s="706" t="str">
        <f>'Revenue summary'!CF$8</f>
      </c>
      <c r="CG229" s="707" t="str">
        <f>'Revenue summary'!CG$8</f>
      </c>
      <c r="CH229" s="706" t="str">
        <f>'Revenue summary'!CH$8</f>
      </c>
      <c r="CI229" s="706" t="str">
        <f>'Revenue summary'!CI$8</f>
      </c>
      <c r="CJ229" s="706" t="str">
        <f>'Revenue summary'!CJ$8</f>
      </c>
      <c r="CK229" s="707" t="str">
        <f>'Revenue summary'!CK$8</f>
      </c>
      <c r="CL229" s="706" t="str">
        <f>'Revenue summary'!CL$8</f>
      </c>
      <c r="CM229" s="706" t="str">
        <f>'Revenue summary'!CM$8</f>
      </c>
      <c r="CN229" s="706" t="str">
        <f>'Revenue summary'!CN$8</f>
      </c>
      <c r="CO229" s="707" t="str">
        <f>'Revenue summary'!CO$8</f>
      </c>
      <c r="CP229" s="706" t="str">
        <f>'Revenue summary'!CP$8</f>
      </c>
      <c r="CQ229" s="706" t="str">
        <f>'Revenue summary'!CQ$8</f>
      </c>
      <c r="CR229" s="706" t="str">
        <f>'Revenue summary'!CR$8</f>
      </c>
      <c r="CS229" s="707" t="str">
        <f>'Revenue summary'!CS$8</f>
      </c>
      <c r="CT229" s="706" t="str">
        <f>'Revenue summary'!CT$8</f>
      </c>
      <c r="CU229" s="706" t="str">
        <f>'Revenue summary'!CU$8</f>
      </c>
      <c r="CV229" s="706" t="str">
        <f>'Revenue summary'!CV$8</f>
      </c>
      <c r="CW229" s="707" t="str">
        <f>'Revenue summary'!CW$8</f>
      </c>
      <c r="CX229" s="706" t="str">
        <f>'Revenue summary'!CX$8</f>
      </c>
      <c r="CY229" s="706" t="str">
        <f>'Revenue summary'!CY$8</f>
      </c>
      <c r="CZ229" s="706" t="str">
        <f>'Revenue summary'!CZ$8</f>
      </c>
      <c r="DA229" s="707" t="str">
        <f>'Revenue summary'!DA$8</f>
      </c>
      <c r="DB229" s="706" t="str">
        <f>'Revenue summary'!DB$8</f>
      </c>
      <c r="DC229" s="706" t="str">
        <f>'Revenue summary'!DC$8</f>
      </c>
      <c r="DD229" s="706" t="str">
        <f>'Revenue summary'!DD$8</f>
      </c>
      <c r="DE229" s="707" t="str">
        <f>'Revenue summary'!DE$8</f>
      </c>
      <c r="DF229" s="706" t="str">
        <f>'Revenue summary'!DF$8</f>
      </c>
      <c r="DG229" s="706" t="str">
        <f>'Revenue summary'!DG$8</f>
      </c>
      <c r="DH229" s="706" t="str">
        <f>'Revenue summary'!DH$8</f>
      </c>
      <c r="DI229" s="707" t="str">
        <f>'Revenue summary'!DI$8</f>
      </c>
      <c r="DJ229" s="706" t="str">
        <f>'Revenue summary'!DJ$8</f>
      </c>
      <c r="DK229" s="706" t="str">
        <f>'Revenue summary'!DK$8</f>
      </c>
      <c r="DL229" s="706" t="str">
        <f>'Revenue summary'!DL$8</f>
      </c>
      <c r="DM229" s="707" t="str">
        <f>'Revenue summary'!DM$8</f>
      </c>
      <c r="DN229" s="706" t="str">
        <f>'Revenue summary'!DN$8</f>
      </c>
      <c r="DO229" s="706" t="str">
        <f>'Revenue summary'!DO$8</f>
      </c>
      <c r="DP229" s="706" t="str">
        <f>'Revenue summary'!DP$8</f>
      </c>
      <c r="DQ229" s="707" t="str">
        <f>'Revenue summary'!DQ$8</f>
      </c>
      <c r="DR229" s="706" t="str">
        <f>'Revenue summary'!DR$8</f>
      </c>
      <c r="DS229" s="706" t="str">
        <f>'Revenue summary'!DS$8</f>
      </c>
      <c r="DT229" s="706" t="str">
        <f>'Revenue summary'!DT$8</f>
      </c>
      <c r="DU229" s="707" t="str">
        <f>'Revenue summary'!DU$8</f>
      </c>
      <c r="DV229" s="706" t="str">
        <f>'Revenue summary'!DV$8</f>
      </c>
      <c r="DW229" s="706" t="str">
        <f>'Revenue summary'!DW$8</f>
      </c>
      <c r="DX229" s="706" t="str">
        <f>'Revenue summary'!DX$8</f>
      </c>
      <c r="DY229" s="707" t="str">
        <f>'Revenue summary'!DY$8</f>
      </c>
      <c r="DZ229" s="706" t="str">
        <f>'Revenue summary'!DZ$8</f>
      </c>
      <c r="EA229" s="706" t="str">
        <f>'Revenue summary'!EA$8</f>
      </c>
      <c r="EB229" s="706" t="str">
        <f>'Revenue summary'!EB$8</f>
      </c>
      <c r="EC229" s="707" t="str">
        <f>'Revenue summary'!EC$8</f>
      </c>
      <c r="ED229" s="706" t="str">
        <f>'Revenue summary'!ED$8</f>
      </c>
      <c r="EE229" s="706" t="str">
        <f>'Revenue summary'!EE$8</f>
      </c>
      <c r="EF229" s="706" t="str">
        <f>'Revenue summary'!EF$8</f>
      </c>
      <c r="EG229" s="707" t="str">
        <f>'Revenue summary'!EG$8</f>
      </c>
      <c r="EH229" s="706" t="str">
        <f>'Revenue summary'!EH$8</f>
      </c>
      <c r="EI229" s="706" t="str">
        <f>'Revenue summary'!EI$8</f>
      </c>
      <c r="EJ229" s="706" t="str">
        <f>'Revenue summary'!EJ$8</f>
      </c>
      <c r="EK229" s="707" t="str">
        <f>'Revenue summary'!EK$8</f>
      </c>
      <c r="FA229" s="706">
        <f t="shared" ref="FA229:FH229" si="1629">FA$9</f>
      </c>
      <c r="FB229" s="706">
        <f t="shared" si="1629"/>
      </c>
      <c r="FC229" s="706">
        <f t="shared" si="1629"/>
      </c>
      <c r="FD229" s="706">
        <f t="shared" si="1629"/>
      </c>
      <c r="FE229" s="706" t="str">
        <f t="shared" si="1629"/>
      </c>
      <c r="FF229" s="706" t="str">
        <f t="shared" si="1629"/>
      </c>
      <c r="FG229" s="706" t="str">
        <f t="shared" si="1629"/>
      </c>
      <c r="FH229" s="706" t="str">
        <f t="shared" si="1629"/>
      </c>
      <c r="FI229" s="706" t="str">
        <f>FI$9</f>
      </c>
      <c r="FJ229" s="706" t="str">
        <f t="shared" ref="FJ229:FU229" si="1630">FJ$9</f>
      </c>
      <c r="FK229" s="706" t="str">
        <f t="shared" si="1630"/>
      </c>
      <c r="FL229" s="706" t="str">
        <f t="shared" si="1630"/>
      </c>
      <c r="FM229" s="706" t="str">
        <f t="shared" si="1630"/>
      </c>
      <c r="FN229" s="706" t="str">
        <f t="shared" si="1630"/>
      </c>
      <c r="FO229" s="706" t="str">
        <f t="shared" si="1630"/>
      </c>
      <c r="FP229" s="706" t="str">
        <f t="shared" si="1630"/>
      </c>
      <c r="FQ229" s="706" t="str">
        <f t="shared" si="1630"/>
      </c>
      <c r="FR229" s="706" t="str">
        <f t="shared" si="1630"/>
      </c>
      <c r="FS229" s="706" t="str">
        <f t="shared" si="1630"/>
      </c>
      <c r="FT229" s="706" t="str">
        <f t="shared" si="1630"/>
      </c>
      <c r="FU229" s="706" t="str">
        <f t="shared" si="1630"/>
      </c>
    </row>
    <row r="230" spans="1:208" s="89" customFormat="1" ht="10.199999999999999">
      <c r="A230" s="907" t="s">
        <v>1490</v>
      </c>
      <c r="E230" s="260"/>
      <c r="I230" s="260"/>
      <c r="M230" s="260"/>
      <c r="Q230" s="260"/>
      <c r="U230" s="260"/>
      <c r="Y230" s="260"/>
      <c r="AC230" s="260"/>
      <c r="AG230" s="260"/>
      <c r="AK230" s="260"/>
      <c r="AO230" s="260"/>
      <c r="AS230" s="260"/>
      <c r="AV230" s="363">
        <f>AV92</f>
      </c>
      <c r="AW230" s="2083">
        <f>AW92+AV230</f>
      </c>
      <c r="AX230" s="363">
        <f t="shared" ref="AX230:BB230" si="1631">AX92+AW230</f>
      </c>
      <c r="AY230" s="363">
        <f t="shared" si="1631"/>
      </c>
      <c r="AZ230" s="363">
        <f t="shared" si="1631"/>
      </c>
      <c r="BA230" s="362">
        <f t="shared" si="1631"/>
      </c>
      <c r="BB230" s="363">
        <f t="shared" si="1631"/>
      </c>
      <c r="BC230" s="363">
        <f>0.6*BC92+BB230</f>
      </c>
      <c r="BD230" s="363">
        <f>0.7*BD92+BC230</f>
      </c>
      <c r="BE230" s="362">
        <f t="shared" ref="BE230:BM230" si="1632">0.7*BE92+BD230</f>
      </c>
      <c r="BF230" s="363">
        <f t="shared" si="1632"/>
      </c>
      <c r="BG230" s="363">
        <f t="shared" si="1632"/>
      </c>
      <c r="BH230" s="363">
        <f t="shared" si="1632"/>
      </c>
      <c r="BI230" s="362">
        <f t="shared" si="1632"/>
      </c>
      <c r="BJ230" s="363">
        <f t="shared" si="1632"/>
      </c>
      <c r="BK230" s="363">
        <f t="shared" si="1632"/>
      </c>
      <c r="BL230" s="363">
        <f t="shared" si="1632"/>
      </c>
      <c r="BM230" s="362">
        <f t="shared" si="1632"/>
      </c>
      <c r="BN230" s="363">
        <f t="shared" ref="BN230:BP230" si="1633">0.55*BN92+BM230</f>
      </c>
      <c r="BO230" s="363">
        <f t="shared" si="1633"/>
      </c>
      <c r="BP230" s="363">
        <f t="shared" si="1633"/>
      </c>
      <c r="BQ230" s="362">
        <f>0.55*BQ92+BP230</f>
      </c>
      <c r="BR230" s="363">
        <f t="shared" ref="BR230:BT230" si="1634">0.5*BR92+BQ230</f>
      </c>
      <c r="BS230" s="363">
        <f t="shared" si="1634"/>
      </c>
      <c r="BT230" s="363">
        <f t="shared" si="1634"/>
      </c>
      <c r="BU230" s="362">
        <f>0.5*BU92+BT230</f>
      </c>
      <c r="BV230" s="363">
        <f t="shared" ref="BV230:BX230" si="1635">0.45*BV92+BU230</f>
      </c>
      <c r="BW230" s="363">
        <f t="shared" si="1635"/>
      </c>
      <c r="BX230" s="363">
        <f t="shared" si="1635"/>
      </c>
      <c r="BY230" s="362">
        <f>0.45*BY92+BX230</f>
      </c>
      <c r="BZ230" s="363">
        <f t="shared" ref="BZ230:CB230" si="1636">0.4*BZ92+BY230</f>
      </c>
      <c r="CA230" s="363">
        <f t="shared" si="1636"/>
      </c>
      <c r="CB230" s="363">
        <f t="shared" si="1636"/>
      </c>
      <c r="CC230" s="362">
        <f>0.4*CC92+CB230</f>
      </c>
      <c r="CD230" s="2078">
        <f>CC230*0.99+CD213+CD214</f>
      </c>
      <c r="CE230" s="2078">
        <f t="shared" ref="CE230:DE230" si="1637">CD230*0.99+CE213+CE214</f>
      </c>
      <c r="CF230" s="2078">
        <f t="shared" si="1637"/>
      </c>
      <c r="CG230" s="2079">
        <f t="shared" si="1637"/>
      </c>
      <c r="CH230" s="2078">
        <f t="shared" si="1637"/>
      </c>
      <c r="CI230" s="2080">
        <f t="shared" si="1637"/>
      </c>
      <c r="CJ230" s="2078">
        <f t="shared" si="1637"/>
      </c>
      <c r="CK230" s="2079">
        <f t="shared" si="1637"/>
      </c>
      <c r="CL230" s="2078">
        <f t="shared" si="1637"/>
      </c>
      <c r="CM230" s="2078">
        <f t="shared" si="1637"/>
      </c>
      <c r="CN230" s="2078">
        <f t="shared" si="1637"/>
      </c>
      <c r="CO230" s="2079">
        <f t="shared" si="1637"/>
      </c>
      <c r="CP230" s="2078">
        <f t="shared" si="1637"/>
      </c>
      <c r="CQ230" s="2078">
        <f t="shared" si="1637"/>
      </c>
      <c r="CR230" s="2078">
        <f t="shared" si="1637"/>
      </c>
      <c r="CS230" s="2079">
        <f t="shared" si="1637"/>
      </c>
      <c r="CT230" s="363">
        <f t="shared" si="1637"/>
      </c>
      <c r="CU230" s="363">
        <f t="shared" si="1637"/>
      </c>
      <c r="CV230" s="363">
        <f t="shared" si="1637"/>
      </c>
      <c r="CW230" s="362">
        <f t="shared" si="1637"/>
      </c>
      <c r="CX230" s="363">
        <f t="shared" si="1637"/>
      </c>
      <c r="CY230" s="363">
        <f t="shared" si="1637"/>
      </c>
      <c r="CZ230" s="363">
        <f t="shared" si="1637"/>
      </c>
      <c r="DA230" s="362">
        <f t="shared" si="1637"/>
      </c>
      <c r="DB230" s="363">
        <f t="shared" si="1637"/>
      </c>
      <c r="DC230" s="363">
        <f t="shared" si="1637"/>
      </c>
      <c r="DD230" s="363">
        <f t="shared" si="1637"/>
      </c>
      <c r="DE230" s="362">
        <f t="shared" si="1637"/>
      </c>
      <c r="DF230" s="1234">
        <f>DE230*0.985+DF213+DF214</f>
      </c>
      <c r="DG230" s="1234">
        <f t="shared" ref="DG230:EK230" si="1638">DF230*0.985+DG213+DG214</f>
      </c>
      <c r="DH230" s="1234">
        <f t="shared" si="1638"/>
      </c>
      <c r="DI230" s="1233">
        <f t="shared" si="1638"/>
      </c>
      <c r="DJ230" s="1234">
        <f t="shared" si="1638"/>
      </c>
      <c r="DK230" s="1234">
        <f>DJ230*0.985+DK213+DK214</f>
      </c>
      <c r="DL230" s="1234">
        <f t="shared" si="1638"/>
      </c>
      <c r="DM230" s="1233">
        <f>DL230*0.985+DM213+DM214</f>
      </c>
      <c r="DN230" s="1234">
        <f>DM230*0.985+DN213+DN214</f>
      </c>
      <c r="DO230" s="1234">
        <f>DN230*0.985+DO213+DO214</f>
      </c>
      <c r="DP230" s="1234">
        <f t="shared" si="1638"/>
      </c>
      <c r="DQ230" s="1233">
        <f>DP230*0.985+DQ213+DQ214</f>
      </c>
      <c r="DR230" s="1234">
        <f>DQ230*0.985+DR213+DR214</f>
      </c>
      <c r="DS230" s="1234">
        <f>DR230*0.985+DS213+DS214</f>
      </c>
      <c r="DT230" s="1234">
        <f t="shared" si="1638"/>
      </c>
      <c r="DU230" s="1233">
        <f t="shared" si="1638"/>
      </c>
      <c r="DV230" s="1234">
        <f t="shared" si="1638"/>
      </c>
      <c r="DW230" s="1234">
        <f t="shared" si="1638"/>
      </c>
      <c r="DX230" s="1234">
        <f t="shared" si="1638"/>
      </c>
      <c r="DY230" s="1233">
        <f t="shared" si="1638"/>
      </c>
      <c r="DZ230" s="1234">
        <f t="shared" si="1638"/>
      </c>
      <c r="EA230" s="1234">
        <f t="shared" si="1638"/>
      </c>
      <c r="EB230" s="1234">
        <f t="shared" si="1638"/>
      </c>
      <c r="EC230" s="1233">
        <f t="shared" si="1638"/>
      </c>
      <c r="ED230" s="1234">
        <f t="shared" si="1638"/>
      </c>
      <c r="EE230" s="1234">
        <f t="shared" si="1638"/>
      </c>
      <c r="EF230" s="1234">
        <f t="shared" si="1638"/>
      </c>
      <c r="EG230" s="1233">
        <f t="shared" si="1638"/>
      </c>
      <c r="EH230" s="1234">
        <f t="shared" si="1638"/>
      </c>
      <c r="EI230" s="1234">
        <f t="shared" si="1638"/>
      </c>
      <c r="EJ230" s="1234">
        <f t="shared" si="1638"/>
      </c>
      <c r="EK230" s="1233">
        <f t="shared" si="1638"/>
      </c>
      <c r="EY230" s="72"/>
      <c r="EZ230" s="72"/>
      <c r="FA230" s="2081">
        <f>BI230</f>
      </c>
      <c r="FB230" s="2081">
        <f>BM230</f>
      </c>
      <c r="FC230" s="2081">
        <f>BQ230</f>
      </c>
      <c r="FD230" s="2081">
        <f>BU230</f>
      </c>
      <c r="FE230" s="2081">
        <f>BY230</f>
      </c>
      <c r="FF230" s="2081">
        <f>CC230</f>
      </c>
      <c r="FG230" s="2081">
        <f>CG230</f>
      </c>
      <c r="FH230" s="2082">
        <f>CK230</f>
      </c>
      <c r="FI230" s="2082">
        <f>CO230</f>
      </c>
      <c r="FJ230" s="2082">
        <f>CS230</f>
      </c>
      <c r="FK230" s="2082">
        <f>CW230</f>
      </c>
      <c r="FL230" s="2082">
        <f>DA230</f>
      </c>
      <c r="FM230" s="2082">
        <f>DE230</f>
      </c>
      <c r="FN230" s="2082">
        <f>DI230</f>
      </c>
      <c r="FO230" s="2082">
        <f>DM230</f>
      </c>
      <c r="FP230" s="2081">
        <f>DQ230</f>
      </c>
      <c r="FQ230" s="2081">
        <f>DU230</f>
      </c>
      <c r="FR230" s="2081">
        <f>DY230</f>
      </c>
      <c r="FS230" s="2081">
        <f>EC230</f>
      </c>
      <c r="FT230" s="2081">
        <f>EG230</f>
      </c>
      <c r="FU230" s="2081">
        <f>EK230</f>
      </c>
      <c r="FV230" s="153"/>
      <c r="FW230" s="153"/>
      <c r="FX230" s="153"/>
      <c r="FY230" s="153"/>
      <c r="FZ230" s="153"/>
      <c r="GA230" s="153"/>
      <c r="GB230" s="153"/>
      <c r="GC230" s="153"/>
      <c r="GD230" s="153"/>
      <c r="GE230" s="153"/>
      <c r="GF230" s="153"/>
      <c r="GG230" s="153"/>
      <c r="GH230" s="494"/>
      <c r="GI230" s="494"/>
      <c r="GJ230" s="494"/>
      <c r="GK230" s="494"/>
      <c r="GL230" s="494"/>
      <c r="GM230" s="494"/>
      <c r="GN230" s="2081"/>
      <c r="GO230" s="2081"/>
      <c r="GP230" s="2081"/>
      <c r="GQ230" s="2081"/>
      <c r="GR230" s="2081"/>
      <c r="GS230" s="2081"/>
      <c r="GT230" s="2081"/>
      <c r="GU230" s="2082"/>
      <c r="GV230" s="2082"/>
      <c r="GW230" s="2082"/>
      <c r="GX230" s="2082"/>
      <c r="GY230" s="2082"/>
      <c r="GZ230" s="2082"/>
    </row>
    <row r="231" spans="1:208" s="89" customFormat="1" ht="10.199999999999999">
      <c r="A231" s="907" t="s">
        <v>1491</v>
      </c>
      <c r="E231" s="260"/>
      <c r="I231" s="260"/>
      <c r="M231" s="260"/>
      <c r="Q231" s="260"/>
      <c r="U231" s="260"/>
      <c r="Y231" s="260"/>
      <c r="AC231" s="260"/>
      <c r="AG231" s="260"/>
      <c r="AK231" s="260"/>
      <c r="AO231" s="260"/>
      <c r="AS231" s="260"/>
      <c r="AV231" s="363">
        <f>AV230</f>
      </c>
      <c r="AW231" s="2083">
        <f t="shared" ref="AW231:BC231" si="1639">AW230</f>
      </c>
      <c r="AX231" s="363">
        <f t="shared" si="1639"/>
      </c>
      <c r="AY231" s="363">
        <f t="shared" si="1639"/>
      </c>
      <c r="AZ231" s="363">
        <f t="shared" si="1639"/>
      </c>
      <c r="BA231" s="362">
        <f t="shared" si="1639"/>
      </c>
      <c r="BB231" s="363">
        <f t="shared" si="1639"/>
      </c>
      <c r="BC231" s="363">
        <f t="shared" si="1639"/>
      </c>
      <c r="BD231" s="363">
        <f>BC231+(SUM(AW92:AZ92)*0.3*0.05)+BD92*0.7</f>
      </c>
      <c r="BE231" s="362">
        <f>BD231+(SUM(AX92:BA92)*0.3*0.05)+BE92*0.7</f>
      </c>
      <c r="BF231" s="363">
        <f>BE231+(SUM(AY92:BB92)*0.3*0.05)+BF92*0.7</f>
      </c>
      <c r="BG231" s="363">
        <f>BF231+(SUM(AZ92:BC92)*0.3*0.05)+BG92*0.7</f>
      </c>
      <c r="BH231" s="363">
        <f>BG231+(SUM(BA92:BD92)*0.3*0.05)+BH92*0.7</f>
      </c>
      <c r="BI231" s="362">
        <f>BH231+(SUM(BB92:BE92)*0.3*0.1)+BI92*0.7</f>
      </c>
      <c r="BJ231" s="363">
        <f>BI231+(SUM(BC92:BF92)*0.3*0.1)+BJ92*0.7</f>
      </c>
      <c r="BK231" s="363">
        <f>BJ231+(SUM(BD92:BG92)*0.3*0.1)+BK92*0.7</f>
      </c>
      <c r="BL231" s="363">
        <f>BK231+(SUM(BE92:BH92)*0.3*0.1)+BL92*0.7</f>
      </c>
      <c r="BM231" s="362">
        <f>BL231+(SUM(BF92:BI92)*0.3*0.1)+BM92*0.7</f>
      </c>
      <c r="BN231" s="363">
        <f>BM231+(SUM(BG92:BJ92)*0.45*0.25)+BN92*0.55</f>
      </c>
      <c r="BO231" s="363">
        <f>BN231+(SUM(BH92:BK92)*0.45*0.25)+BO92*0.55</f>
      </c>
      <c r="BP231" s="363">
        <f>BO231+(SUM(BI92:BL92)*0.45*0.25)+BP92*0.55</f>
      </c>
      <c r="BQ231" s="362">
        <f>BP231+(SUM(BJ92:BM92)*0.45*0.25)+BQ92*0.55</f>
      </c>
      <c r="BR231" s="363">
        <f>BQ231*0.99+(SUM(BK92:BN92)*0.5*0.25)+BR92*0.5</f>
      </c>
      <c r="BS231" s="363">
        <f>BR231*0.99+(SUM(BL92:BO92)*0.5*0.25)+BS92*0.5</f>
      </c>
      <c r="BT231" s="363">
        <f>BS231*0.99+(SUM(BM92:BP92)*0.5*0.25)+BT92*0.5</f>
      </c>
      <c r="BU231" s="362">
        <f>BT231*0.99+(SUM(BN92:BQ92)*0.5*0.25)+BU92*0.5</f>
      </c>
      <c r="BV231" s="363">
        <f>BU231*0.98+(SUM(BO92:BR92)*0.35*0.2)+BV92*0.45</f>
      </c>
      <c r="BW231" s="363">
        <f t="shared" ref="BW231:BY231" si="1640">BV231*0.98+(SUM(BP92:BS92)*0.35*0.2)+BW92*0.45</f>
      </c>
      <c r="BX231" s="363">
        <f t="shared" si="1640"/>
      </c>
      <c r="BY231" s="362">
        <f t="shared" si="1640"/>
      </c>
      <c r="BZ231" s="2084">
        <f>BY231*0.98+(SUM(BS92:BV92)*0.6*0.2)+BZ92*0.4</f>
      </c>
      <c r="CA231" s="363">
        <f t="shared" ref="CA231:CC231" si="1641">BZ231*0.98+(SUM(BT92:BW92)*0.6*0.2)+CA92*0.4</f>
      </c>
      <c r="CB231" s="363">
        <f t="shared" si="1641"/>
      </c>
      <c r="CC231" s="362">
        <f t="shared" si="1641"/>
      </c>
      <c r="CD231" s="2078">
        <f>CC231*0.98+(SUM(BW92:BZ92)*CD218*0.2)+CD213+CD214</f>
      </c>
      <c r="CE231" s="2078">
        <f t="shared" ref="CE231:CG231" si="1642">CD231*0.98+(SUM(BX92:CA92)*CE218*0.2)+CE213+CE214</f>
      </c>
      <c r="CF231" s="2078">
        <f t="shared" si="1642"/>
      </c>
      <c r="CG231" s="2079">
        <f t="shared" si="1642"/>
      </c>
      <c r="CH231" s="2078">
        <f t="shared" ref="CH231:CK231" si="1643">CG231*0.98+(SUM(CA92:CD92)*CH218*0.15)+CH213+CH214</f>
      </c>
      <c r="CI231" s="2080">
        <f>CH231*0.98+(SUM(CB92:CE92)*CI218*0.15)+CI213+CI214</f>
      </c>
      <c r="CJ231" s="2078">
        <f t="shared" si="1643"/>
      </c>
      <c r="CK231" s="2079">
        <f t="shared" si="1643"/>
      </c>
      <c r="CL231" s="2078">
        <f>CK231*0.98+(SUM(CE92:CH92)*CL218*0.15)+CL213+CL214</f>
      </c>
      <c r="CM231" s="2078">
        <f t="shared" ref="CM231:CO231" si="1644">CL231*0.98+(SUM(CF92:CI92)*CM218*0.15)+CM213+CM214</f>
      </c>
      <c r="CN231" s="2078">
        <f t="shared" si="1644"/>
      </c>
      <c r="CO231" s="2079">
        <f t="shared" si="1644"/>
      </c>
      <c r="CP231" s="2078">
        <f t="shared" ref="CP231" si="1645">CO231*0.98+(SUM(CI92:CL92)*CP218*0.15)+CP213+CP214</f>
      </c>
      <c r="CQ231" s="2078">
        <f>CP231*0.98+(SUM(CJ92:CM92)*CQ218*0.14)+CQ213+CQ214</f>
      </c>
      <c r="CR231" s="2078">
        <f t="shared" ref="CR231:CS231" si="1646">CQ231*0.98+(SUM(CK92:CN92)*CR218*0.14)+CR213+CR214</f>
      </c>
      <c r="CS231" s="2079">
        <f t="shared" si="1646"/>
      </c>
      <c r="CT231" s="363">
        <f>CS231*0.98+(SUM(CM92:CP92)*CT218*0.1)+CT213+CT214</f>
      </c>
      <c r="CU231" s="363">
        <f t="shared" ref="CU231:CW231" si="1647">CT231*0.98+(SUM(CN92:CQ92)*CU218*0.1)+CU213+CU214</f>
      </c>
      <c r="CV231" s="363">
        <f t="shared" si="1647"/>
      </c>
      <c r="CW231" s="362">
        <f t="shared" si="1647"/>
      </c>
      <c r="CX231" s="363">
        <f t="shared" ref="CX231" si="1648">CW231*0.98+(SUM(CQ92:CT92)*CX218*0.1)+CX213+CX214</f>
      </c>
      <c r="CY231" s="363">
        <f t="shared" ref="CY231" si="1649">CX231*0.98+(SUM(CR92:CU92)*CY218*0.1)+CY213+CY214</f>
      </c>
      <c r="CZ231" s="363">
        <f t="shared" ref="CZ231" si="1650">CY231*0.98+(SUM(CS92:CV92)*CZ218*0.1)+CZ213+CZ214</f>
      </c>
      <c r="DA231" s="362">
        <f t="shared" ref="DA231" si="1651">CZ231*0.98+(SUM(CT92:CW92)*DA218*0.1)+DA213+DA214</f>
      </c>
      <c r="DB231" s="363">
        <f t="shared" ref="DB231" si="1652">DA231*0.98+(SUM(CU92:CX92)*DB218*0.1)+DB213+DB214</f>
      </c>
      <c r="DC231" s="363">
        <f t="shared" ref="DC231" si="1653">DB231*0.98+(SUM(CV92:CY92)*DC218*0.1)+DC213+DC214</f>
      </c>
      <c r="DD231" s="363">
        <f t="shared" ref="DD231" si="1654">DC231*0.98+(SUM(CW92:CZ92)*DD218*0.1)+DD213+DD214</f>
      </c>
      <c r="DE231" s="362">
        <f t="shared" ref="DE231" si="1655">DD231*0.98+(SUM(CX92:DA92)*DE218*0.1)+DE213+DE214</f>
      </c>
      <c r="DF231" s="1234">
        <f>DE231*0.98+(SUM(CY92:DB92)*DF218*0.1)+DF213+DF214</f>
      </c>
      <c r="DG231" s="1234">
        <f t="shared" ref="DG231" si="1656">DF231*0.98+(SUM(CZ92:DC92)*DG218*0.1)+DG213+DG214</f>
      </c>
      <c r="DH231" s="1234">
        <f t="shared" ref="DH231" si="1657">DG231*0.98+(SUM(DA92:DD92)*DH218*0.1)+DH213+DH214</f>
      </c>
      <c r="DI231" s="1233">
        <f t="shared" ref="DI231" si="1658">DH231*0.98+(SUM(DB92:DE92)*DI218*0.1)+DI213+DI214</f>
      </c>
      <c r="DJ231" s="1234">
        <f t="shared" ref="DJ231" si="1659">DI231*0.98+(SUM(DC92:DF92)*DJ218*0.1)+DJ213+DJ214</f>
      </c>
      <c r="DK231" s="1234">
        <f t="shared" ref="DK231:DM231" si="1660">DJ231*0.98+(SUM(DD92:DG92)*DK218*0.1)+DK213+DK214</f>
      </c>
      <c r="DL231" s="1234">
        <f t="shared" si="1660"/>
      </c>
      <c r="DM231" s="1233">
        <f t="shared" si="1660"/>
      </c>
      <c r="DN231" s="1234">
        <f t="shared" ref="DN231" si="1661">DM231*0.98+(SUM(DG92:DJ92)*DN218*0.1)+DN213+DN214</f>
      </c>
      <c r="DO231" s="1234">
        <f t="shared" ref="DO231" si="1662">DN231*0.98+(SUM(DH92:DK92)*DO218*0.1)+DO213+DO214</f>
      </c>
      <c r="DP231" s="1234">
        <f t="shared" ref="DP231" si="1663">DO231*0.98+(SUM(DI92:DL92)*DP218*0.1)+DP213+DP214</f>
      </c>
      <c r="DQ231" s="1233">
        <f t="shared" ref="DQ231" si="1664">DP231*0.98+(SUM(DJ92:DM92)*DQ218*0.1)+DQ213+DQ214</f>
      </c>
      <c r="DR231" s="1234">
        <f t="shared" ref="DR231" si="1665">DQ231*0.98+(SUM(DK92:DN92)*DR218*0.1)+DR213+DR214</f>
      </c>
      <c r="DS231" s="1234">
        <f t="shared" ref="DS231" si="1666">DR231*0.98+(SUM(DL92:DO92)*DS218*0.1)+DS213+DS214</f>
      </c>
      <c r="DT231" s="1234">
        <f t="shared" ref="DT231" si="1667">DS231*0.98+(SUM(DM92:DP92)*DT218*0.1)+DT213+DT214</f>
      </c>
      <c r="DU231" s="1233">
        <f t="shared" ref="DU231" si="1668">DT231*0.98+(SUM(DN92:DQ92)*DU218*0.1)+DU213+DU214</f>
      </c>
      <c r="DV231" s="1234">
        <f t="shared" ref="DV231" si="1669">DU231*0.98+(SUM(DO92:DR92)*DV218*0.1)+DV213+DV214</f>
      </c>
      <c r="DW231" s="1234">
        <f t="shared" ref="DW231" si="1670">DV231*0.98+(SUM(DP92:DS92)*DW218*0.1)+DW213+DW214</f>
      </c>
      <c r="DX231" s="1234">
        <f t="shared" ref="DX231" si="1671">DW231*0.98+(SUM(DQ92:DT92)*DX218*0.1)+DX213+DX214</f>
      </c>
      <c r="DY231" s="1233">
        <f t="shared" ref="DY231" si="1672">DX231*0.98+(SUM(DR92:DU92)*DY218*0.1)+DY213+DY214</f>
      </c>
      <c r="DZ231" s="1234">
        <f t="shared" ref="DZ231" si="1673">DY231*0.98+(SUM(DS92:DV92)*DZ218*0.1)+DZ213+DZ214</f>
      </c>
      <c r="EA231" s="1234">
        <f t="shared" ref="EA231" si="1674">DZ231*0.98+(SUM(DT92:DW92)*EA218*0.1)+EA213+EA214</f>
      </c>
      <c r="EB231" s="1234">
        <f t="shared" ref="EB231" si="1675">EA231*0.98+(SUM(DU92:DX92)*EB218*0.1)+EB213+EB214</f>
      </c>
      <c r="EC231" s="1233">
        <f t="shared" ref="EC231" si="1676">EB231*0.98+(SUM(DV92:DY92)*EC218*0.1)+EC213+EC214</f>
      </c>
      <c r="ED231" s="1234">
        <f t="shared" ref="ED231" si="1677">EC231*0.98+(SUM(DW92:DZ92)*ED218*0.1)+ED213+ED214</f>
      </c>
      <c r="EE231" s="1234">
        <f t="shared" ref="EE231" si="1678">ED231*0.98+(SUM(DX92:EA92)*EE218*0.1)+EE213+EE214</f>
      </c>
      <c r="EF231" s="1234">
        <f t="shared" ref="EF231" si="1679">EE231*0.98+(SUM(DY92:EB92)*EF218*0.1)+EF213+EF214</f>
      </c>
      <c r="EG231" s="1233">
        <f t="shared" ref="EG231" si="1680">EF231*0.98+(SUM(DZ92:EC92)*EG218*0.1)+EG213+EG214</f>
      </c>
      <c r="EH231" s="1234">
        <f t="shared" ref="EH231" si="1681">EG231*0.98+(SUM(EA92:ED92)*EH218*0.1)+EH213+EH214</f>
      </c>
      <c r="EI231" s="1234">
        <f t="shared" ref="EI231" si="1682">EH231*0.98+(SUM(EB92:EE92)*EI218*0.1)+EI213+EI214</f>
      </c>
      <c r="EJ231" s="1234">
        <f t="shared" ref="EJ231" si="1683">EI231*0.98+(SUM(EC92:EF92)*EJ218*0.1)+EJ213+EJ214</f>
      </c>
      <c r="EK231" s="1233">
        <f t="shared" ref="EK231" si="1684">EJ231*0.98+(SUM(ED92:EG92)*EK218*0.1)+EK213+EK214</f>
      </c>
      <c r="EL231" s="537"/>
      <c r="EY231" s="72"/>
      <c r="EZ231" s="72"/>
      <c r="FA231" s="2081">
        <f>BI231</f>
      </c>
      <c r="FB231" s="2081">
        <f>BM231</f>
      </c>
      <c r="FC231" s="2081">
        <f>BQ231</f>
      </c>
      <c r="FD231" s="2081">
        <f>BU231</f>
      </c>
      <c r="FE231" s="2081">
        <f>BY231</f>
      </c>
      <c r="FF231" s="2081">
        <f>CC231</f>
      </c>
      <c r="FG231" s="2081">
        <f>CG231</f>
      </c>
      <c r="FH231" s="2082">
        <f>CK231</f>
      </c>
      <c r="FI231" s="2082">
        <f>CO231</f>
      </c>
      <c r="FJ231" s="2082">
        <f>CS231</f>
      </c>
      <c r="FK231" s="2082">
        <f>CW231</f>
      </c>
      <c r="FL231" s="2082">
        <f>DA231</f>
      </c>
      <c r="FM231" s="2082">
        <f>DE231</f>
      </c>
      <c r="FN231" s="2082">
        <f>DI231</f>
      </c>
      <c r="FO231" s="2082">
        <f>DM231</f>
      </c>
      <c r="FP231" s="2081">
        <f>DQ231</f>
      </c>
      <c r="FQ231" s="2081">
        <f>DU231</f>
      </c>
      <c r="FR231" s="2081">
        <f>DY231</f>
      </c>
      <c r="FS231" s="2081">
        <f>EC231</f>
      </c>
      <c r="FT231" s="2081">
        <f>EG231</f>
      </c>
      <c r="FU231" s="2081">
        <f>EK231</f>
      </c>
      <c r="FV231" s="2289"/>
      <c r="FW231" s="153"/>
      <c r="FX231" s="153"/>
      <c r="FY231" s="153"/>
      <c r="FZ231" s="153"/>
      <c r="GA231" s="153"/>
      <c r="GB231" s="153"/>
      <c r="GC231" s="153"/>
      <c r="GD231" s="153"/>
      <c r="GE231" s="153"/>
      <c r="GF231" s="153"/>
      <c r="GG231" s="153"/>
      <c r="GH231" s="494"/>
      <c r="GI231" s="494"/>
      <c r="GJ231" s="494"/>
      <c r="GK231" s="494"/>
      <c r="GL231" s="494"/>
      <c r="GM231" s="494"/>
      <c r="GN231" s="2081"/>
      <c r="GO231" s="2081"/>
      <c r="GP231" s="2081"/>
      <c r="GQ231" s="2081"/>
      <c r="GR231" s="2081"/>
      <c r="GS231" s="2081"/>
      <c r="GT231" s="2081"/>
      <c r="GU231" s="2082"/>
      <c r="GV231" s="2082"/>
      <c r="GW231" s="2082"/>
      <c r="GX231" s="2082"/>
      <c r="GY231" s="2082"/>
      <c r="GZ231" s="2082"/>
    </row>
    <row r="232" spans="1:208" s="658" customFormat="1" ht="10.199999999999999">
      <c r="A232" s="2026" t="s">
        <v>1478</v>
      </c>
      <c r="E232" s="2027"/>
      <c r="I232" s="2027"/>
      <c r="M232" s="2027"/>
      <c r="Q232" s="2027"/>
      <c r="U232" s="2027"/>
      <c r="Y232" s="2027"/>
      <c r="AC232" s="2027"/>
      <c r="AG232" s="2027"/>
      <c r="AK232" s="2027"/>
      <c r="AO232" s="2027"/>
      <c r="AS232" s="2027"/>
      <c r="AV232" s="2028"/>
      <c r="AW232" s="2029"/>
      <c r="AX232" s="2028"/>
      <c r="AY232" s="2028"/>
      <c r="AZ232" s="2028"/>
      <c r="BA232" s="2029"/>
      <c r="BB232" s="2028"/>
      <c r="BC232" s="2028"/>
      <c r="BD232" s="2028"/>
      <c r="BE232" s="2029"/>
      <c r="BF232" s="2028"/>
      <c r="BG232" s="2028"/>
      <c r="BH232" s="2028"/>
      <c r="BI232" s="2029"/>
      <c r="BJ232" s="2028"/>
      <c r="BK232" s="2028"/>
      <c r="BL232" s="2028"/>
      <c r="BM232" s="2029"/>
      <c r="BN232" s="2028"/>
      <c r="BO232" s="2028"/>
      <c r="BP232" s="2028"/>
      <c r="BQ232" s="2029"/>
      <c r="BR232" s="2028"/>
      <c r="BS232" s="2028"/>
      <c r="BT232" s="2028"/>
      <c r="BU232" s="2029"/>
      <c r="BV232" s="2028"/>
      <c r="BW232" s="2028"/>
      <c r="BX232" s="2028"/>
      <c r="BY232" s="2029"/>
      <c r="BZ232" s="2028"/>
      <c r="CA232" s="2028"/>
      <c r="CB232" s="2028"/>
      <c r="CC232" s="2029"/>
      <c r="CD232" s="2030"/>
      <c r="CE232" s="2030"/>
      <c r="CF232" s="2030"/>
      <c r="CG232" s="2031"/>
      <c r="CH232" s="2154">
        <f>CI232-20</f>
      </c>
      <c r="CI232" s="2035">
        <v>1181</v>
      </c>
      <c r="CJ232" s="2034">
        <v>1201</v>
      </c>
      <c r="CK232" s="2036">
        <v>1232</v>
      </c>
      <c r="CL232" s="2034">
        <v>1289</v>
      </c>
      <c r="CM232" s="2034">
        <v>1321</v>
      </c>
      <c r="CN232" s="2045">
        <v>1337</v>
      </c>
      <c r="CO232" s="2046">
        <v>1357</v>
      </c>
      <c r="CP232" s="2045">
        <f>CL232+112</f>
      </c>
      <c r="CQ232" s="2037">
        <f>CP232+25</f>
      </c>
      <c r="CR232" s="2037">
        <f>CQ232+25</f>
      </c>
      <c r="CS232" s="2077">
        <f>CR232+25</f>
      </c>
      <c r="CT232" s="2073">
        <v>1500</v>
      </c>
      <c r="CU232" s="2074">
        <f>CT232+40</f>
      </c>
      <c r="CV232" s="2074">
        <f>CU232+40</f>
      </c>
      <c r="CW232" s="2075">
        <f>CV232+40</f>
      </c>
      <c r="CX232" s="2073">
        <v>1650</v>
      </c>
      <c r="CY232" s="2074">
        <f>CX232+40</f>
      </c>
      <c r="CZ232" s="2074">
        <f>CY232+40</f>
      </c>
      <c r="DA232" s="2075">
        <f>CZ232+40</f>
      </c>
      <c r="DB232" s="2038">
        <v>1855</v>
      </c>
      <c r="DC232" s="2074">
        <f>DB232+(DC231-DB231)+(DC93+DC99+DC100+DC101)*0.5</f>
      </c>
      <c r="DD232" s="2074">
        <f t="shared" ref="DD232:DI232" si="1685">DC232+(DD231-DC231)+(DD93+DD99+DD100+DD101)*0.5</f>
      </c>
      <c r="DE232" s="2075">
        <f t="shared" si="1685"/>
      </c>
      <c r="DF232" s="2689">
        <v>2050</v>
      </c>
      <c r="DG232" s="2074">
        <f t="shared" si="1685"/>
      </c>
      <c r="DH232" s="2074">
        <f t="shared" si="1685"/>
      </c>
      <c r="DI232" s="2075">
        <f t="shared" si="1685"/>
      </c>
      <c r="DJ232" s="2689">
        <v>2200</v>
      </c>
      <c r="DK232" s="2074">
        <f>DJ232+(DK231-DJ231)+(DK93+DK99+DK100+DK101)*0.49</f>
      </c>
      <c r="DL232" s="2074">
        <f t="shared" ref="DL232" si="1686">DK232+(DL231-DK231)+(DL93+DL99+DL100+DL101)*0.49</f>
      </c>
      <c r="DM232" s="2075">
        <f>DL232+(DM231-DL231)+(DM93+DM99+DM100+DM101)*0.49</f>
      </c>
      <c r="DN232" s="3319">
        <v>2350</v>
      </c>
      <c r="DO232" s="2074">
        <f>DN232+(DO231-DN231)+(DO93+DO99+DO100+DO101)*0.48</f>
      </c>
      <c r="DP232" s="2074">
        <f t="shared" ref="DP232" si="1687">DO232+(DP231-DO231)+(DP93+DP99+DP100+DP101)*0.48</f>
      </c>
      <c r="DQ232" s="2075">
        <f>DP232+(DQ231-DP231)+(DQ93+DQ99+DQ100+DQ101)*0.48</f>
      </c>
      <c r="DR232" s="2085">
        <f>DQ232+(DR231-DQ231)+(DR93+DR99+DR100+DR101)*0.47</f>
      </c>
      <c r="DS232" s="2074">
        <f>DR232+(DS231-DR231)+(DS93+DS99+DS100+DS101)*0.47</f>
      </c>
      <c r="DT232" s="2074">
        <f t="shared" ref="DT232:DU232" si="1688">DS232+(DT231-DS231)+(DT93+DT99+DT100+DT101)*0.47</f>
      </c>
      <c r="DU232" s="2075">
        <f t="shared" si="1688"/>
      </c>
      <c r="DV232" s="2085">
        <f>DU232+(DV231-DU231)+(DV93+DV99+DV100+DV101)*0.46</f>
      </c>
      <c r="DW232" s="2074">
        <f t="shared" ref="DW232:EK232" si="1689">DV232+(DW231-DV231)+(DW93+DW99+DW100+DW101)*0.46</f>
      </c>
      <c r="DX232" s="2074">
        <f t="shared" si="1689"/>
      </c>
      <c r="DY232" s="2075">
        <f t="shared" si="1689"/>
      </c>
      <c r="DZ232" s="2085">
        <f t="shared" si="1689"/>
      </c>
      <c r="EA232" s="2074">
        <f t="shared" si="1689"/>
      </c>
      <c r="EB232" s="2074">
        <f t="shared" si="1689"/>
      </c>
      <c r="EC232" s="2075">
        <f t="shared" si="1689"/>
      </c>
      <c r="ED232" s="2085">
        <f t="shared" si="1689"/>
      </c>
      <c r="EE232" s="2074">
        <f t="shared" si="1689"/>
      </c>
      <c r="EF232" s="2074">
        <f t="shared" si="1689"/>
      </c>
      <c r="EG232" s="2075">
        <f t="shared" si="1689"/>
      </c>
      <c r="EH232" s="2085">
        <f t="shared" si="1689"/>
      </c>
      <c r="EI232" s="2074">
        <f t="shared" si="1689"/>
      </c>
      <c r="EJ232" s="2074">
        <f t="shared" si="1689"/>
      </c>
      <c r="EK232" s="2075">
        <f t="shared" si="1689"/>
      </c>
      <c r="EL232" s="537"/>
      <c r="FF232" s="2690">
        <f>2000/2</f>
      </c>
      <c r="FG232" s="2691">
        <v>1100</v>
      </c>
      <c r="FH232" s="2082">
        <f>CK232</f>
      </c>
      <c r="FI232" s="2082">
        <f>CO232</f>
      </c>
      <c r="FJ232" s="2082">
        <f>CS232</f>
      </c>
      <c r="FK232" s="2082">
        <f>CW232</f>
      </c>
      <c r="FL232" s="2082">
        <f>DA232</f>
      </c>
      <c r="FM232" s="2082">
        <f>DE232</f>
      </c>
      <c r="FN232" s="2082">
        <f>DI232</f>
      </c>
      <c r="FO232" s="2082">
        <f>DM232</f>
      </c>
      <c r="FP232" s="2081">
        <f>DQ232</f>
      </c>
      <c r="FQ232" s="2081">
        <f>DU232</f>
      </c>
      <c r="FR232" s="2081">
        <f>DY232</f>
      </c>
      <c r="FS232" s="2081">
        <f>EC232</f>
      </c>
      <c r="FT232" s="2081">
        <f>EG232</f>
      </c>
      <c r="FU232" s="2081">
        <f>EK232</f>
      </c>
      <c r="FV232" s="2289"/>
      <c r="FW232" s="2033"/>
      <c r="FX232" s="2033"/>
      <c r="FY232" s="2033"/>
      <c r="FZ232" s="2033"/>
      <c r="GA232" s="2033"/>
      <c r="GB232" s="2033"/>
      <c r="GC232" s="2033"/>
      <c r="GD232" s="2033"/>
      <c r="GE232" s="2033"/>
      <c r="GF232" s="2033"/>
      <c r="GG232" s="2033"/>
      <c r="GH232" s="2032"/>
      <c r="GI232" s="2032"/>
      <c r="GJ232" s="2032"/>
      <c r="GK232" s="2032"/>
      <c r="GL232" s="2032"/>
      <c r="GM232" s="2032"/>
      <c r="GN232" s="2032"/>
      <c r="GO232" s="2032"/>
      <c r="GP232" s="2032"/>
      <c r="GQ232" s="2032"/>
      <c r="GR232" s="2032"/>
      <c r="GS232" s="2032"/>
      <c r="GT232" s="2032"/>
      <c r="GU232" s="2032"/>
      <c r="GV232" s="2032"/>
      <c r="GW232" s="2032"/>
      <c r="GX232" s="2032"/>
      <c r="GY232" s="2032"/>
      <c r="GZ232" s="2032"/>
    </row>
    <row r="233" spans="1:208" s="2020" customFormat="1" ht="10.199999999999999">
      <c r="A233" s="972"/>
      <c r="B233" s="2016"/>
      <c r="C233" s="2016"/>
      <c r="D233" s="2016"/>
      <c r="E233" s="2017"/>
      <c r="F233" s="2016"/>
      <c r="G233" s="2016"/>
      <c r="H233" s="2016"/>
      <c r="I233" s="2017"/>
      <c r="J233" s="2016"/>
      <c r="K233" s="2016"/>
      <c r="L233" s="2016"/>
      <c r="M233" s="2017"/>
      <c r="N233" s="2016"/>
      <c r="O233" s="2016"/>
      <c r="P233" s="2016"/>
      <c r="Q233" s="2017"/>
      <c r="R233" s="2016"/>
      <c r="S233" s="2016"/>
      <c r="T233" s="2016"/>
      <c r="U233" s="2017"/>
      <c r="V233" s="2016"/>
      <c r="W233" s="2016"/>
      <c r="X233" s="2016"/>
      <c r="Y233" s="2017"/>
      <c r="Z233" s="2016"/>
      <c r="AA233" s="2016"/>
      <c r="AB233" s="2016"/>
      <c r="AC233" s="2017"/>
      <c r="AD233" s="2016"/>
      <c r="AE233" s="2016"/>
      <c r="AF233" s="2016"/>
      <c r="AG233" s="2017"/>
      <c r="AH233" s="2016"/>
      <c r="AI233" s="2016"/>
      <c r="AJ233" s="2016"/>
      <c r="AK233" s="2017"/>
      <c r="AL233" s="2016"/>
      <c r="AM233" s="2016"/>
      <c r="AN233" s="2016"/>
      <c r="AO233" s="2017"/>
      <c r="AP233" s="2016"/>
      <c r="AQ233" s="2016"/>
      <c r="AR233" s="2016"/>
      <c r="AS233" s="2017"/>
      <c r="AT233" s="2016"/>
      <c r="AU233" s="2016"/>
      <c r="AV233" s="2016"/>
      <c r="AW233" s="2017"/>
      <c r="AX233" s="2018"/>
      <c r="AY233" s="2018"/>
      <c r="AZ233" s="2018"/>
      <c r="BA233" s="2019"/>
      <c r="BB233" s="2018"/>
      <c r="BC233" s="2018"/>
      <c r="BD233" s="2018"/>
      <c r="BE233" s="2019"/>
      <c r="BF233" s="2018"/>
      <c r="BG233" s="2018"/>
      <c r="BH233" s="2018"/>
      <c r="BI233" s="2019"/>
      <c r="BJ233" s="2018"/>
      <c r="BK233" s="2018"/>
      <c r="BL233" s="2018"/>
      <c r="BM233" s="2019"/>
      <c r="BN233" s="2018"/>
      <c r="BO233" s="2018"/>
      <c r="BP233" s="2018"/>
      <c r="BQ233" s="2019"/>
      <c r="BR233" s="2018"/>
      <c r="BS233" s="2018"/>
      <c r="BT233" s="2018"/>
      <c r="BU233" s="2019"/>
      <c r="BV233" s="2018"/>
      <c r="BW233" s="2018"/>
      <c r="BX233" s="2018"/>
      <c r="BY233" s="2019"/>
      <c r="BZ233" s="2018"/>
      <c r="CA233" s="2018"/>
      <c r="CB233" s="2018"/>
      <c r="CC233" s="2019"/>
      <c r="CD233" s="2018"/>
      <c r="CE233" s="2018"/>
      <c r="CF233" s="2018"/>
      <c r="CG233" s="2019"/>
      <c r="CH233" s="2018"/>
      <c r="CI233" s="2018"/>
      <c r="CJ233" s="2018"/>
      <c r="CK233" s="2019"/>
      <c r="CL233" s="2018"/>
      <c r="CM233" s="2018"/>
      <c r="CN233" s="2018"/>
      <c r="CO233" s="2395"/>
      <c r="CP233" s="2018"/>
      <c r="CQ233" s="2018"/>
      <c r="CR233" s="2018"/>
      <c r="CS233" s="2019"/>
      <c r="CT233" s="2018"/>
      <c r="CU233" s="2018"/>
      <c r="CV233" s="2018"/>
      <c r="CW233" s="2019"/>
      <c r="CX233" s="2860"/>
      <c r="CY233" s="2018"/>
      <c r="CZ233" s="2018"/>
      <c r="DA233" s="2019"/>
      <c r="DB233" s="319"/>
      <c r="DC233" s="2018"/>
      <c r="DD233" s="2018"/>
      <c r="DE233" s="2019"/>
      <c r="DF233" s="2860"/>
      <c r="DG233" s="2018"/>
      <c r="DH233" s="2018"/>
      <c r="DI233" s="2019"/>
      <c r="DJ233" s="2018"/>
      <c r="DK233" s="2018"/>
      <c r="DL233" s="2018"/>
      <c r="DM233" s="2019"/>
      <c r="DN233" s="2018"/>
      <c r="DO233" s="2018"/>
      <c r="DP233" s="2018"/>
      <c r="DQ233" s="2019"/>
      <c r="DR233" s="2018"/>
      <c r="DS233" s="2018"/>
      <c r="DT233" s="2018"/>
      <c r="DU233" s="2019"/>
      <c r="DV233" s="2018"/>
      <c r="DW233" s="2018"/>
      <c r="DX233" s="2018"/>
      <c r="DY233" s="2019"/>
      <c r="DZ233" s="2018"/>
      <c r="EA233" s="2018"/>
      <c r="EB233" s="2018"/>
      <c r="EC233" s="2019"/>
      <c r="ED233" s="2018"/>
      <c r="EE233" s="2018"/>
      <c r="EF233" s="2018"/>
      <c r="EG233" s="2019"/>
      <c r="EH233" s="2018"/>
      <c r="EI233" s="2018"/>
      <c r="EJ233" s="2018"/>
      <c r="EK233" s="2019"/>
      <c r="FG233" s="2021"/>
      <c r="FH233" s="2021"/>
      <c r="FI233" s="2021"/>
      <c r="FJ233" s="2021"/>
      <c r="FK233" s="2021"/>
      <c r="FL233" s="2021"/>
      <c r="FM233" s="2021"/>
      <c r="FN233" s="2021"/>
      <c r="FO233" s="2021"/>
      <c r="FP233" s="2021"/>
      <c r="FQ233" s="2021"/>
      <c r="FR233" s="2021"/>
      <c r="FS233" s="2021"/>
      <c r="FT233" s="2021"/>
      <c r="FU233" s="2021"/>
      <c r="FW233" s="2021"/>
    </row>
    <row r="234" spans="1:208" s="342" customFormat="1">
      <c r="A234" s="708" t="s">
        <v>1533</v>
      </c>
      <c r="AT234" s="706" t="str">
        <f>'Revenue summary'!AT$8</f>
      </c>
      <c r="AU234" s="706" t="str">
        <f>'Revenue summary'!AU$8</f>
      </c>
      <c r="AV234" s="706" t="str">
        <f>'Revenue summary'!AV$8</f>
      </c>
      <c r="AW234" s="707" t="str">
        <f>'Revenue summary'!AW$8</f>
      </c>
      <c r="AX234" s="706" t="str">
        <f>'Revenue summary'!AX$8</f>
      </c>
      <c r="AY234" s="706" t="str">
        <f>'Revenue summary'!AY$8</f>
      </c>
      <c r="AZ234" s="706" t="str">
        <f>'Revenue summary'!AZ$8</f>
      </c>
      <c r="BA234" s="707" t="str">
        <f>'Revenue summary'!BA$8</f>
      </c>
      <c r="BB234" s="706" t="str">
        <f>'Revenue summary'!BB$8</f>
      </c>
      <c r="BC234" s="706" t="str">
        <f>'Revenue summary'!BC$8</f>
      </c>
      <c r="BD234" s="706" t="str">
        <f>'Revenue summary'!BD$8</f>
      </c>
      <c r="BE234" s="707" t="str">
        <f>'Revenue summary'!BE$8</f>
      </c>
      <c r="BF234" s="706" t="str">
        <f>'Revenue summary'!BF$8</f>
      </c>
      <c r="BG234" s="706" t="str">
        <f>'Revenue summary'!BG$8</f>
      </c>
      <c r="BH234" s="706" t="str">
        <f>'Revenue summary'!BH$8</f>
      </c>
      <c r="BI234" s="707" t="str">
        <f>'Revenue summary'!BI$8</f>
      </c>
      <c r="BJ234" s="706" t="str">
        <f>'Revenue summary'!BJ$8</f>
      </c>
      <c r="BK234" s="706" t="str">
        <f>'Revenue summary'!BK$8</f>
      </c>
      <c r="BL234" s="706" t="str">
        <f>'Revenue summary'!BL$8</f>
      </c>
      <c r="BM234" s="707" t="str">
        <f>'Revenue summary'!BM$8</f>
      </c>
      <c r="BN234" s="706" t="str">
        <f>'Revenue summary'!BN$8</f>
      </c>
      <c r="BO234" s="706" t="str">
        <f>'Revenue summary'!BO$8</f>
      </c>
      <c r="BP234" s="706" t="str">
        <f>'Revenue summary'!BP$8</f>
      </c>
      <c r="BQ234" s="707" t="str">
        <f>'Revenue summary'!BQ$8</f>
      </c>
      <c r="BR234" s="706" t="str">
        <f>'Revenue summary'!BR$8</f>
      </c>
      <c r="BS234" s="706" t="str">
        <f>'Revenue summary'!BS$8</f>
      </c>
      <c r="BT234" s="706" t="str">
        <f>'Revenue summary'!BT$8</f>
      </c>
      <c r="BU234" s="707" t="str">
        <f>'Revenue summary'!BU$8</f>
      </c>
      <c r="BV234" s="706" t="str">
        <f>'Revenue summary'!BV$8</f>
      </c>
      <c r="BW234" s="706" t="str">
        <f>'Revenue summary'!BW$8</f>
      </c>
      <c r="BX234" s="706" t="str">
        <f>'Revenue summary'!BX$8</f>
      </c>
      <c r="BY234" s="707" t="str">
        <f>'Revenue summary'!BY$8</f>
      </c>
      <c r="BZ234" s="706" t="str">
        <f>'Revenue summary'!BZ$8</f>
      </c>
      <c r="CA234" s="706" t="str">
        <f>'Revenue summary'!CA$8</f>
      </c>
      <c r="CB234" s="706" t="str">
        <f>'Revenue summary'!CB$8</f>
      </c>
      <c r="CC234" s="707" t="str">
        <f>'Revenue summary'!CC$8</f>
      </c>
      <c r="CD234" s="706" t="str">
        <f>'Revenue summary'!CD$8</f>
      </c>
      <c r="CE234" s="706" t="str">
        <f>'Revenue summary'!CE$8</f>
      </c>
      <c r="CF234" s="706" t="str">
        <f>'Revenue summary'!CF$8</f>
      </c>
      <c r="CG234" s="707" t="str">
        <f>'Revenue summary'!CG$8</f>
      </c>
      <c r="CH234" s="706" t="str">
        <f>'Revenue summary'!CH$8</f>
      </c>
      <c r="CI234" s="706" t="str">
        <f>'Revenue summary'!CI$8</f>
      </c>
      <c r="CJ234" s="706" t="str">
        <f>'Revenue summary'!CJ$8</f>
      </c>
      <c r="CK234" s="707" t="str">
        <f>'Revenue summary'!CK$8</f>
      </c>
      <c r="CL234" s="706" t="str">
        <f>'Revenue summary'!CL$8</f>
      </c>
      <c r="CM234" s="706" t="str">
        <f>'Revenue summary'!CM$8</f>
      </c>
      <c r="CN234" s="706" t="str">
        <f>'Revenue summary'!CN$8</f>
      </c>
      <c r="CO234" s="707" t="str">
        <f>'Revenue summary'!CO$8</f>
      </c>
      <c r="CP234" s="706" t="str">
        <f>'Revenue summary'!CP$8</f>
      </c>
      <c r="CQ234" s="706" t="str">
        <f>'Revenue summary'!CQ$8</f>
      </c>
      <c r="CR234" s="706" t="str">
        <f>'Revenue summary'!CR$8</f>
      </c>
      <c r="CS234" s="707" t="str">
        <f>'Revenue summary'!CS$8</f>
      </c>
      <c r="CT234" s="706" t="str">
        <f>'Revenue summary'!CT$8</f>
      </c>
      <c r="CU234" s="706" t="str">
        <f>'Revenue summary'!CU$8</f>
      </c>
      <c r="CV234" s="706" t="str">
        <f>'Revenue summary'!CV$8</f>
      </c>
      <c r="CW234" s="707" t="str">
        <f>'Revenue summary'!CW$8</f>
      </c>
      <c r="CX234" s="706" t="str">
        <f>'Revenue summary'!CX$8</f>
      </c>
      <c r="CY234" s="706" t="str">
        <f>'Revenue summary'!CY$8</f>
      </c>
      <c r="CZ234" s="706" t="str">
        <f>'Revenue summary'!CZ$8</f>
      </c>
      <c r="DA234" s="707" t="str">
        <f>'Revenue summary'!DA$8</f>
      </c>
      <c r="DB234" s="706" t="str">
        <f>'Revenue summary'!DB$8</f>
      </c>
      <c r="DC234" s="706" t="str">
        <f>'Revenue summary'!DC$8</f>
      </c>
      <c r="DD234" s="706" t="str">
        <f>'Revenue summary'!DD$8</f>
      </c>
      <c r="DE234" s="707" t="str">
        <f>'Revenue summary'!DE$8</f>
      </c>
      <c r="DF234" s="706" t="str">
        <f>'Revenue summary'!DF$8</f>
      </c>
      <c r="DG234" s="706" t="str">
        <f>'Revenue summary'!DG$8</f>
      </c>
      <c r="DH234" s="706" t="str">
        <f>'Revenue summary'!DH$8</f>
      </c>
      <c r="DI234" s="707" t="str">
        <f>'Revenue summary'!DI$8</f>
      </c>
      <c r="DJ234" s="706" t="str">
        <f>'Revenue summary'!DJ$8</f>
      </c>
      <c r="DK234" s="706" t="str">
        <f>'Revenue summary'!DK$8</f>
      </c>
      <c r="DL234" s="706" t="str">
        <f>'Revenue summary'!DL$8</f>
      </c>
      <c r="DM234" s="707" t="str">
        <f>'Revenue summary'!DM$8</f>
      </c>
      <c r="DN234" s="706" t="str">
        <f>'Revenue summary'!DN$8</f>
      </c>
      <c r="DO234" s="706" t="str">
        <f>'Revenue summary'!DO$8</f>
      </c>
      <c r="DP234" s="706" t="str">
        <f>'Revenue summary'!DP$8</f>
      </c>
      <c r="DQ234" s="707" t="str">
        <f>'Revenue summary'!DQ$8</f>
      </c>
      <c r="DR234" s="706" t="str">
        <f>'Revenue summary'!DR$8</f>
      </c>
      <c r="DS234" s="706" t="str">
        <f>'Revenue summary'!DS$8</f>
      </c>
      <c r="DT234" s="706" t="str">
        <f>'Revenue summary'!DT$8</f>
      </c>
      <c r="DU234" s="707" t="str">
        <f>'Revenue summary'!DU$8</f>
      </c>
      <c r="DV234" s="706" t="str">
        <f>'Revenue summary'!DV$8</f>
      </c>
      <c r="DW234" s="706" t="str">
        <f>'Revenue summary'!DW$8</f>
      </c>
      <c r="DX234" s="706" t="str">
        <f>'Revenue summary'!DX$8</f>
      </c>
      <c r="DY234" s="707" t="str">
        <f>'Revenue summary'!DY$8</f>
      </c>
      <c r="DZ234" s="706" t="str">
        <f>'Revenue summary'!DZ$8</f>
      </c>
      <c r="EA234" s="706" t="str">
        <f>'Revenue summary'!EA$8</f>
      </c>
      <c r="EB234" s="706" t="str">
        <f>'Revenue summary'!EB$8</f>
      </c>
      <c r="EC234" s="707" t="str">
        <f>'Revenue summary'!EC$8</f>
      </c>
      <c r="ED234" s="706" t="str">
        <f>'Revenue summary'!ED$8</f>
      </c>
      <c r="EE234" s="706" t="str">
        <f>'Revenue summary'!EE$8</f>
      </c>
      <c r="EF234" s="706" t="str">
        <f>'Revenue summary'!EF$8</f>
      </c>
      <c r="EG234" s="707" t="str">
        <f>'Revenue summary'!EG$8</f>
      </c>
      <c r="EH234" s="706" t="str">
        <f>'Revenue summary'!EH$8</f>
      </c>
      <c r="EI234" s="706" t="str">
        <f>'Revenue summary'!EI$8</f>
      </c>
      <c r="EJ234" s="706" t="str">
        <f>'Revenue summary'!EJ$8</f>
      </c>
      <c r="EK234" s="707" t="str">
        <f>'Revenue summary'!EK$8</f>
      </c>
      <c r="FF234" s="706" t="str">
        <f t="shared" ref="FF234:FH234" si="1690">FF$9</f>
      </c>
      <c r="FG234" s="706" t="str">
        <f t="shared" si="1690"/>
      </c>
      <c r="FH234" s="706" t="str">
        <f t="shared" si="1690"/>
      </c>
      <c r="FI234" s="706" t="str">
        <f>FI$9</f>
      </c>
      <c r="FJ234" s="706" t="str">
        <f t="shared" ref="FJ234:FU234" si="1691">FJ$9</f>
      </c>
      <c r="FK234" s="706" t="str">
        <f t="shared" si="1691"/>
      </c>
      <c r="FL234" s="706" t="str">
        <f t="shared" si="1691"/>
      </c>
      <c r="FM234" s="706" t="str">
        <f t="shared" si="1691"/>
      </c>
      <c r="FN234" s="706" t="str">
        <f t="shared" si="1691"/>
      </c>
      <c r="FO234" s="706" t="str">
        <f t="shared" si="1691"/>
      </c>
      <c r="FP234" s="706" t="str">
        <f t="shared" si="1691"/>
      </c>
      <c r="FQ234" s="706" t="str">
        <f t="shared" si="1691"/>
      </c>
      <c r="FR234" s="706" t="str">
        <f t="shared" si="1691"/>
      </c>
      <c r="FS234" s="706" t="str">
        <f t="shared" si="1691"/>
      </c>
      <c r="FT234" s="706" t="str">
        <f t="shared" si="1691"/>
      </c>
      <c r="FU234" s="706" t="str">
        <f t="shared" si="1691"/>
      </c>
    </row>
    <row r="235" spans="1:208" s="342" customFormat="1">
      <c r="A235" s="1460" t="s">
        <v>1490</v>
      </c>
      <c r="B235" s="2047"/>
      <c r="C235" s="2047"/>
      <c r="D235" s="2047"/>
      <c r="E235" s="2048"/>
      <c r="F235" s="2047"/>
      <c r="G235" s="2047"/>
      <c r="H235" s="2047"/>
      <c r="I235" s="2048"/>
      <c r="J235" s="2047"/>
      <c r="K235" s="2047"/>
      <c r="L235" s="2047"/>
      <c r="M235" s="2048"/>
      <c r="N235" s="2047"/>
      <c r="O235" s="2047"/>
      <c r="P235" s="2047"/>
      <c r="Q235" s="2048"/>
      <c r="R235" s="2047"/>
      <c r="S235" s="2047"/>
      <c r="T235" s="2047"/>
      <c r="U235" s="2048"/>
      <c r="V235" s="2047"/>
      <c r="W235" s="2047"/>
      <c r="X235" s="2047"/>
      <c r="Y235" s="2048"/>
      <c r="Z235" s="2047"/>
      <c r="AA235" s="2047"/>
      <c r="AB235" s="2047"/>
      <c r="AC235" s="2048"/>
      <c r="AD235" s="2047"/>
      <c r="AE235" s="2047"/>
      <c r="AF235" s="2047"/>
      <c r="AG235" s="2048"/>
      <c r="AH235" s="2047"/>
      <c r="AI235" s="2047"/>
      <c r="AJ235" s="2047"/>
      <c r="AK235" s="2048"/>
      <c r="AL235" s="2047"/>
      <c r="AM235" s="2047"/>
      <c r="AN235" s="2047"/>
      <c r="AO235" s="2048"/>
      <c r="AP235" s="2047"/>
      <c r="AQ235" s="2047"/>
      <c r="AR235" s="2047"/>
      <c r="AS235" s="2048"/>
      <c r="AT235" s="2047"/>
      <c r="AU235" s="2047"/>
      <c r="AV235" s="2047"/>
      <c r="AW235" s="2048"/>
      <c r="AX235" s="2049"/>
      <c r="AY235" s="2049"/>
      <c r="AZ235" s="2049"/>
      <c r="BA235" s="2050"/>
      <c r="BB235" s="2049">
        <f t="shared" ref="BB235:BB236" si="1692">BB230/AX230-1</f>
      </c>
      <c r="BC235" s="2049">
        <f t="shared" ref="BC235:BC236" si="1693">BC230/AY230-1</f>
      </c>
      <c r="BD235" s="2049">
        <f t="shared" ref="BD235:BD236" si="1694">BD230/AZ230-1</f>
      </c>
      <c r="BE235" s="2050">
        <f t="shared" ref="BE235:BE236" si="1695">BE230/BA230-1</f>
      </c>
      <c r="BF235" s="2049">
        <f t="shared" ref="BF235:BF236" si="1696">BF230/BB230-1</f>
      </c>
      <c r="BG235" s="2049">
        <f t="shared" ref="BG235:BG236" si="1697">BG230/BC230-1</f>
      </c>
      <c r="BH235" s="2049">
        <f t="shared" ref="BH235:BH236" si="1698">BH230/BD230-1</f>
      </c>
      <c r="BI235" s="2050">
        <f t="shared" ref="BI235:BI236" si="1699">BI230/BE230-1</f>
      </c>
      <c r="BJ235" s="2049">
        <f t="shared" ref="BJ235:BJ236" si="1700">BJ230/BF230-1</f>
      </c>
      <c r="BK235" s="2049">
        <f t="shared" ref="BK235:BK236" si="1701">BK230/BG230-1</f>
      </c>
      <c r="BL235" s="2049">
        <f t="shared" ref="BL235:BL236" si="1702">BL230/BH230-1</f>
      </c>
      <c r="BM235" s="2050">
        <f t="shared" ref="BM235:BM236" si="1703">BM230/BI230-1</f>
      </c>
      <c r="BN235" s="2049">
        <f t="shared" ref="BN235:BN236" si="1704">BN230/BJ230-1</f>
      </c>
      <c r="BO235" s="2049">
        <f t="shared" ref="BO235:BO236" si="1705">BO230/BK230-1</f>
      </c>
      <c r="BP235" s="2049">
        <f t="shared" ref="BP235:BP236" si="1706">BP230/BL230-1</f>
      </c>
      <c r="BQ235" s="2050">
        <f t="shared" ref="BQ235:BQ236" si="1707">BQ230/BM230-1</f>
      </c>
      <c r="BR235" s="2049">
        <f t="shared" ref="BR235:BR236" si="1708">BR230/BN230-1</f>
      </c>
      <c r="BS235" s="2049">
        <f t="shared" ref="BS235:BS236" si="1709">BS230/BO230-1</f>
      </c>
      <c r="BT235" s="2049">
        <f t="shared" ref="BT235:BT236" si="1710">BT230/BP230-1</f>
      </c>
      <c r="BU235" s="2050">
        <f t="shared" ref="BU235:BU236" si="1711">BU230/BQ230-1</f>
      </c>
      <c r="BV235" s="2049">
        <f t="shared" ref="BV235:BV236" si="1712">BV230/BR230-1</f>
      </c>
      <c r="BW235" s="2049">
        <f t="shared" ref="BW235:BW236" si="1713">BW230/BS230-1</f>
      </c>
      <c r="BX235" s="2049">
        <f t="shared" ref="BX235:BX236" si="1714">BX230/BT230-1</f>
      </c>
      <c r="BY235" s="2050">
        <f t="shared" ref="BY235:BY236" si="1715">BY230/BU230-1</f>
      </c>
      <c r="BZ235" s="2049">
        <f t="shared" ref="BZ235:BZ236" si="1716">BZ230/BV230-1</f>
      </c>
      <c r="CA235" s="2049">
        <f t="shared" ref="CA235:CA236" si="1717">CA230/BW230-1</f>
      </c>
      <c r="CB235" s="2049">
        <f t="shared" ref="CB235:CB236" si="1718">CB230/BX230-1</f>
      </c>
      <c r="CC235" s="2050">
        <f t="shared" ref="CC235:CC236" si="1719">CC230/BY230-1</f>
      </c>
      <c r="CD235" s="2049">
        <f t="shared" ref="CD235:CD236" si="1720">CD230/BZ230-1</f>
      </c>
      <c r="CE235" s="2049">
        <f t="shared" ref="CE235:CE236" si="1721">CE230/CA230-1</f>
      </c>
      <c r="CF235" s="2049">
        <f t="shared" ref="CF235:CF236" si="1722">CF230/CB230-1</f>
      </c>
      <c r="CG235" s="2050">
        <f t="shared" ref="CG235:CG236" si="1723">CG230/CC230-1</f>
      </c>
      <c r="CH235" s="2049">
        <f t="shared" ref="CH235:CH236" si="1724">CH230/CD230-1</f>
      </c>
      <c r="CI235" s="2049">
        <f t="shared" ref="CI235:CI236" si="1725">CI230/CE230-1</f>
      </c>
      <c r="CJ235" s="2049">
        <f t="shared" ref="CJ235:CJ236" si="1726">CJ230/CF230-1</f>
      </c>
      <c r="CK235" s="2050">
        <f t="shared" ref="CK235:CK236" si="1727">CK230/CG230-1</f>
      </c>
      <c r="CL235" s="2049">
        <f t="shared" ref="CL235:CL237" si="1728">CL230/CH230-1</f>
      </c>
      <c r="CM235" s="2049">
        <f t="shared" ref="CM235:CM237" si="1729">CM230/CI230-1</f>
      </c>
      <c r="CN235" s="2049">
        <f t="shared" ref="CN235:CN237" si="1730">CN230/CJ230-1</f>
      </c>
      <c r="CO235" s="2050">
        <f t="shared" ref="CO235:CO237" si="1731">CO230/CK230-1</f>
      </c>
      <c r="CP235" s="2049">
        <f t="shared" ref="CP235:EJ235" si="1732">CP230/CL230-1</f>
      </c>
      <c r="CQ235" s="2049">
        <f t="shared" si="1732"/>
      </c>
      <c r="CR235" s="2049">
        <f t="shared" si="1732"/>
      </c>
      <c r="CS235" s="2050">
        <f t="shared" si="1732"/>
      </c>
      <c r="CT235" s="2049">
        <f t="shared" si="1732"/>
      </c>
      <c r="CU235" s="2049">
        <f t="shared" si="1732"/>
      </c>
      <c r="CV235" s="2049">
        <f t="shared" si="1732"/>
      </c>
      <c r="CW235" s="2050">
        <f t="shared" si="1732"/>
      </c>
      <c r="CX235" s="2049">
        <f t="shared" si="1732"/>
      </c>
      <c r="CY235" s="2049">
        <f t="shared" si="1732"/>
      </c>
      <c r="CZ235" s="2049">
        <f t="shared" si="1732"/>
      </c>
      <c r="DA235" s="2050">
        <f t="shared" si="1732"/>
      </c>
      <c r="DB235" s="2049">
        <f t="shared" si="1732"/>
      </c>
      <c r="DC235" s="2049">
        <f t="shared" si="1732"/>
      </c>
      <c r="DD235" s="2049">
        <f t="shared" si="1732"/>
      </c>
      <c r="DE235" s="2050">
        <f t="shared" si="1732"/>
      </c>
      <c r="DF235" s="2049">
        <f t="shared" si="1732"/>
      </c>
      <c r="DG235" s="2049">
        <f t="shared" si="1732"/>
      </c>
      <c r="DH235" s="2049">
        <f t="shared" si="1732"/>
      </c>
      <c r="DI235" s="2050">
        <f t="shared" si="1732"/>
      </c>
      <c r="DJ235" s="2049">
        <f t="shared" si="1732"/>
      </c>
      <c r="DK235" s="2049">
        <f t="shared" ref="DK235:DL237" si="1733">DK230/DG230-1</f>
      </c>
      <c r="DL235" s="2049">
        <f t="shared" si="1733"/>
      </c>
      <c r="DM235" s="2050">
        <f t="shared" si="1732"/>
      </c>
      <c r="DN235" s="2049">
        <f t="shared" ref="DN235:DV237" si="1734">DN230/DJ230-1</f>
      </c>
      <c r="DO235" s="2049">
        <f t="shared" si="1734"/>
      </c>
      <c r="DP235" s="2049">
        <f t="shared" si="1734"/>
      </c>
      <c r="DQ235" s="2050">
        <f t="shared" si="1734"/>
      </c>
      <c r="DR235" s="2049">
        <f t="shared" si="1734"/>
      </c>
      <c r="DS235" s="2049">
        <f t="shared" si="1734"/>
      </c>
      <c r="DT235" s="2049">
        <f t="shared" si="1734"/>
      </c>
      <c r="DU235" s="2050">
        <f t="shared" si="1734"/>
      </c>
      <c r="DV235" s="2049">
        <f t="shared" si="1734"/>
      </c>
      <c r="DW235" s="2049">
        <f t="shared" si="1732"/>
      </c>
      <c r="DX235" s="2049">
        <f t="shared" si="1732"/>
      </c>
      <c r="DY235" s="2050">
        <f t="shared" si="1732"/>
      </c>
      <c r="DZ235" s="2049">
        <f t="shared" si="1732"/>
      </c>
      <c r="EA235" s="2049">
        <f t="shared" si="1732"/>
      </c>
      <c r="EB235" s="2049">
        <f t="shared" si="1732"/>
      </c>
      <c r="EC235" s="2050">
        <f t="shared" si="1732"/>
      </c>
      <c r="ED235" s="2049">
        <f t="shared" si="1732"/>
      </c>
      <c r="EE235" s="2049">
        <f t="shared" si="1732"/>
      </c>
      <c r="EF235" s="2049">
        <f t="shared" si="1732"/>
      </c>
      <c r="EG235" s="2050">
        <f t="shared" si="1732"/>
      </c>
      <c r="EH235" s="2049">
        <f t="shared" si="1732"/>
      </c>
      <c r="EI235" s="2049">
        <f t="shared" si="1732"/>
      </c>
      <c r="EJ235" s="2049">
        <f t="shared" si="1732"/>
      </c>
      <c r="EK235" s="2050">
        <f>EK230/EG230-1</f>
      </c>
      <c r="EL235" s="2053"/>
      <c r="EM235" s="2053"/>
      <c r="EN235" s="2053"/>
      <c r="EO235" s="2053"/>
      <c r="EP235" s="2053"/>
      <c r="EQ235" s="2053"/>
      <c r="ER235" s="2053"/>
      <c r="ES235" s="2053"/>
      <c r="ET235" s="2053"/>
      <c r="EU235" s="2053"/>
      <c r="EV235" s="2053"/>
      <c r="EW235" s="2053"/>
      <c r="EX235" s="2053"/>
      <c r="EY235" s="2053"/>
      <c r="EZ235" s="2053"/>
      <c r="FA235" s="2053"/>
      <c r="FB235" s="2053"/>
      <c r="FC235" s="2053"/>
      <c r="FD235" s="2053"/>
      <c r="FE235" s="2053"/>
      <c r="FF235" s="2049"/>
      <c r="FG235" s="2049"/>
      <c r="FH235" s="2049">
        <f t="shared" ref="FH235" si="1735">FH230/FG230-1</f>
      </c>
      <c r="FI235" s="2049">
        <f t="shared" ref="FI235:FT235" si="1736">FI230/FH230-1</f>
      </c>
      <c r="FJ235" s="2049">
        <f t="shared" si="1736"/>
      </c>
      <c r="FK235" s="2049">
        <f t="shared" si="1736"/>
      </c>
      <c r="FL235" s="2049">
        <f t="shared" si="1736"/>
      </c>
      <c r="FM235" s="2049">
        <f t="shared" si="1736"/>
      </c>
      <c r="FN235" s="2049">
        <f t="shared" si="1736"/>
      </c>
      <c r="FO235" s="2049">
        <f t="shared" si="1736"/>
      </c>
      <c r="FP235" s="2049">
        <f t="shared" si="1736"/>
      </c>
      <c r="FQ235" s="2049">
        <f t="shared" si="1736"/>
      </c>
      <c r="FR235" s="2049">
        <f t="shared" si="1736"/>
      </c>
      <c r="FS235" s="2049">
        <f t="shared" si="1736"/>
      </c>
      <c r="FT235" s="2049">
        <f t="shared" si="1736"/>
      </c>
      <c r="FU235" s="2049">
        <f>FU230/FT230-1</f>
      </c>
    </row>
    <row r="236" spans="1:208" s="342" customFormat="1">
      <c r="A236" s="1460" t="s">
        <v>1491</v>
      </c>
      <c r="B236" s="2047"/>
      <c r="C236" s="2047"/>
      <c r="D236" s="2047"/>
      <c r="E236" s="2048"/>
      <c r="F236" s="2047"/>
      <c r="G236" s="2047"/>
      <c r="H236" s="2047"/>
      <c r="I236" s="2048"/>
      <c r="J236" s="2047"/>
      <c r="K236" s="2047"/>
      <c r="L236" s="2047"/>
      <c r="M236" s="2048"/>
      <c r="N236" s="2047"/>
      <c r="O236" s="2047"/>
      <c r="P236" s="2047"/>
      <c r="Q236" s="2048"/>
      <c r="R236" s="2047"/>
      <c r="S236" s="2047"/>
      <c r="T236" s="2047"/>
      <c r="U236" s="2048"/>
      <c r="V236" s="2047"/>
      <c r="W236" s="2047"/>
      <c r="X236" s="2047"/>
      <c r="Y236" s="2048"/>
      <c r="Z236" s="2047"/>
      <c r="AA236" s="2047"/>
      <c r="AB236" s="2047"/>
      <c r="AC236" s="2048"/>
      <c r="AD236" s="2047"/>
      <c r="AE236" s="2047"/>
      <c r="AF236" s="2047"/>
      <c r="AG236" s="2048"/>
      <c r="AH236" s="2047"/>
      <c r="AI236" s="2047"/>
      <c r="AJ236" s="2047"/>
      <c r="AK236" s="2048"/>
      <c r="AL236" s="2047"/>
      <c r="AM236" s="2047"/>
      <c r="AN236" s="2047"/>
      <c r="AO236" s="2048"/>
      <c r="AP236" s="2047"/>
      <c r="AQ236" s="2047"/>
      <c r="AR236" s="2047"/>
      <c r="AS236" s="2048"/>
      <c r="AT236" s="2047"/>
      <c r="AU236" s="2047"/>
      <c r="AV236" s="2047"/>
      <c r="AW236" s="2048"/>
      <c r="AX236" s="2049"/>
      <c r="AY236" s="2049"/>
      <c r="AZ236" s="2049"/>
      <c r="BA236" s="2050"/>
      <c r="BB236" s="2049">
        <f t="shared" si="1692"/>
      </c>
      <c r="BC236" s="2049">
        <f t="shared" si="1693"/>
      </c>
      <c r="BD236" s="2049">
        <f t="shared" si="1694"/>
      </c>
      <c r="BE236" s="2050">
        <f t="shared" si="1695"/>
      </c>
      <c r="BF236" s="2049">
        <f t="shared" si="1696"/>
      </c>
      <c r="BG236" s="2049">
        <f t="shared" si="1697"/>
      </c>
      <c r="BH236" s="2049">
        <f t="shared" si="1698"/>
      </c>
      <c r="BI236" s="2050">
        <f t="shared" si="1699"/>
      </c>
      <c r="BJ236" s="2049">
        <f t="shared" si="1700"/>
      </c>
      <c r="BK236" s="2049">
        <f t="shared" si="1701"/>
      </c>
      <c r="BL236" s="2049">
        <f t="shared" si="1702"/>
      </c>
      <c r="BM236" s="2050">
        <f t="shared" si="1703"/>
      </c>
      <c r="BN236" s="2049">
        <f t="shared" si="1704"/>
      </c>
      <c r="BO236" s="2049">
        <f t="shared" si="1705"/>
      </c>
      <c r="BP236" s="2049">
        <f t="shared" si="1706"/>
      </c>
      <c r="BQ236" s="2050">
        <f t="shared" si="1707"/>
      </c>
      <c r="BR236" s="2049">
        <f t="shared" si="1708"/>
      </c>
      <c r="BS236" s="2049">
        <f t="shared" si="1709"/>
      </c>
      <c r="BT236" s="2049">
        <f t="shared" si="1710"/>
      </c>
      <c r="BU236" s="2050">
        <f t="shared" si="1711"/>
      </c>
      <c r="BV236" s="2049">
        <f t="shared" si="1712"/>
      </c>
      <c r="BW236" s="2049">
        <f t="shared" si="1713"/>
      </c>
      <c r="BX236" s="2049">
        <f t="shared" si="1714"/>
      </c>
      <c r="BY236" s="2050">
        <f t="shared" si="1715"/>
      </c>
      <c r="BZ236" s="2049">
        <f t="shared" si="1716"/>
      </c>
      <c r="CA236" s="2049">
        <f t="shared" si="1717"/>
      </c>
      <c r="CB236" s="2049">
        <f t="shared" si="1718"/>
      </c>
      <c r="CC236" s="2050">
        <f t="shared" si="1719"/>
      </c>
      <c r="CD236" s="2049">
        <f t="shared" si="1720"/>
      </c>
      <c r="CE236" s="2049">
        <f t="shared" si="1721"/>
      </c>
      <c r="CF236" s="2049">
        <f t="shared" si="1722"/>
      </c>
      <c r="CG236" s="2050">
        <f t="shared" si="1723"/>
      </c>
      <c r="CH236" s="2049">
        <f t="shared" si="1724"/>
      </c>
      <c r="CI236" s="2049">
        <f t="shared" si="1725"/>
      </c>
      <c r="CJ236" s="2049">
        <f t="shared" si="1726"/>
      </c>
      <c r="CK236" s="2050">
        <f t="shared" si="1727"/>
      </c>
      <c r="CL236" s="2049">
        <f t="shared" si="1728"/>
      </c>
      <c r="CM236" s="2049">
        <f t="shared" si="1729"/>
      </c>
      <c r="CN236" s="2049">
        <f t="shared" si="1730"/>
      </c>
      <c r="CO236" s="2050">
        <f t="shared" si="1731"/>
      </c>
      <c r="CP236" s="2049">
        <f t="shared" ref="CP236:EK236" si="1737">CP231/CL231-1</f>
      </c>
      <c r="CQ236" s="2049">
        <f t="shared" si="1737"/>
      </c>
      <c r="CR236" s="2049">
        <f t="shared" si="1737"/>
      </c>
      <c r="CS236" s="2050">
        <f t="shared" si="1737"/>
      </c>
      <c r="CT236" s="2049">
        <f t="shared" si="1737"/>
      </c>
      <c r="CU236" s="2049">
        <f t="shared" si="1737"/>
      </c>
      <c r="CV236" s="2049">
        <f t="shared" si="1737"/>
      </c>
      <c r="CW236" s="2050">
        <f t="shared" si="1737"/>
      </c>
      <c r="CX236" s="2049">
        <f t="shared" si="1737"/>
      </c>
      <c r="CY236" s="2049">
        <f t="shared" si="1737"/>
      </c>
      <c r="CZ236" s="2049">
        <f t="shared" si="1737"/>
      </c>
      <c r="DA236" s="2050">
        <f t="shared" si="1737"/>
      </c>
      <c r="DB236" s="2049">
        <f t="shared" si="1737"/>
      </c>
      <c r="DC236" s="2049">
        <f t="shared" si="1737"/>
      </c>
      <c r="DD236" s="2049">
        <f t="shared" si="1737"/>
      </c>
      <c r="DE236" s="2050">
        <f t="shared" si="1737"/>
      </c>
      <c r="DF236" s="2049">
        <f t="shared" si="1737"/>
      </c>
      <c r="DG236" s="2049">
        <f t="shared" si="1737"/>
      </c>
      <c r="DH236" s="2049">
        <f t="shared" si="1737"/>
      </c>
      <c r="DI236" s="2050">
        <f t="shared" si="1737"/>
      </c>
      <c r="DJ236" s="2049">
        <f t="shared" si="1737"/>
      </c>
      <c r="DK236" s="2049">
        <f t="shared" si="1733"/>
      </c>
      <c r="DL236" s="2049">
        <f t="shared" si="1733"/>
      </c>
      <c r="DM236" s="2050">
        <f t="shared" si="1737"/>
      </c>
      <c r="DN236" s="2049">
        <f t="shared" si="1734"/>
      </c>
      <c r="DO236" s="2049">
        <f t="shared" si="1734"/>
      </c>
      <c r="DP236" s="2049">
        <f t="shared" si="1734"/>
      </c>
      <c r="DQ236" s="2050">
        <f t="shared" si="1734"/>
      </c>
      <c r="DR236" s="2049">
        <f t="shared" si="1734"/>
      </c>
      <c r="DS236" s="2049">
        <f t="shared" si="1734"/>
      </c>
      <c r="DT236" s="2049">
        <f t="shared" si="1734"/>
      </c>
      <c r="DU236" s="2050">
        <f t="shared" si="1734"/>
      </c>
      <c r="DV236" s="2049">
        <f t="shared" si="1734"/>
      </c>
      <c r="DW236" s="2049">
        <f t="shared" si="1737"/>
      </c>
      <c r="DX236" s="2049">
        <f t="shared" si="1737"/>
      </c>
      <c r="DY236" s="2050">
        <f t="shared" si="1737"/>
      </c>
      <c r="DZ236" s="2049">
        <f t="shared" si="1737"/>
      </c>
      <c r="EA236" s="2049">
        <f t="shared" si="1737"/>
      </c>
      <c r="EB236" s="2049">
        <f t="shared" si="1737"/>
      </c>
      <c r="EC236" s="2050">
        <f t="shared" si="1737"/>
      </c>
      <c r="ED236" s="2049">
        <f t="shared" si="1737"/>
      </c>
      <c r="EE236" s="2049">
        <f t="shared" si="1737"/>
      </c>
      <c r="EF236" s="2049">
        <f t="shared" si="1737"/>
      </c>
      <c r="EG236" s="2050">
        <f t="shared" si="1737"/>
      </c>
      <c r="EH236" s="2049">
        <f t="shared" si="1737"/>
      </c>
      <c r="EI236" s="2049">
        <f t="shared" si="1737"/>
      </c>
      <c r="EJ236" s="2049">
        <f t="shared" si="1737"/>
      </c>
      <c r="EK236" s="2050">
        <f t="shared" si="1737"/>
      </c>
      <c r="EL236" s="2053"/>
      <c r="EM236" s="2053"/>
      <c r="EN236" s="2053"/>
      <c r="EO236" s="2053"/>
      <c r="EP236" s="2053"/>
      <c r="EQ236" s="2053"/>
      <c r="ER236" s="2053"/>
      <c r="ES236" s="2053"/>
      <c r="ET236" s="2053"/>
      <c r="EU236" s="2053"/>
      <c r="EV236" s="2053"/>
      <c r="EW236" s="2053"/>
      <c r="EX236" s="2053"/>
      <c r="EY236" s="2053"/>
      <c r="EZ236" s="2053"/>
      <c r="FA236" s="2053"/>
      <c r="FB236" s="2053"/>
      <c r="FC236" s="2053"/>
      <c r="FD236" s="2053"/>
      <c r="FE236" s="2053"/>
      <c r="FF236" s="2049"/>
      <c r="FG236" s="2049"/>
      <c r="FH236" s="2049">
        <f t="shared" ref="FH236" si="1738">FH231/FG231-1</f>
      </c>
      <c r="FI236" s="2049">
        <f t="shared" ref="FI236:FU236" si="1739">FI231/FH231-1</f>
      </c>
      <c r="FJ236" s="2049">
        <f t="shared" si="1739"/>
      </c>
      <c r="FK236" s="2049">
        <f t="shared" si="1739"/>
      </c>
      <c r="FL236" s="2049">
        <f t="shared" si="1739"/>
      </c>
      <c r="FM236" s="2049">
        <f t="shared" si="1739"/>
      </c>
      <c r="FN236" s="2049">
        <f t="shared" si="1739"/>
      </c>
      <c r="FO236" s="2049">
        <f t="shared" si="1739"/>
      </c>
      <c r="FP236" s="2049">
        <f t="shared" si="1739"/>
      </c>
      <c r="FQ236" s="2049">
        <f t="shared" si="1739"/>
      </c>
      <c r="FR236" s="2049">
        <f t="shared" si="1739"/>
      </c>
      <c r="FS236" s="2049">
        <f t="shared" si="1739"/>
      </c>
      <c r="FT236" s="2049">
        <f t="shared" si="1739"/>
      </c>
      <c r="FU236" s="2049">
        <f t="shared" si="1739"/>
      </c>
    </row>
    <row r="237" spans="1:208" s="342" customFormat="1">
      <c r="A237" s="1460" t="s">
        <v>1478</v>
      </c>
      <c r="B237" s="2047"/>
      <c r="C237" s="2047"/>
      <c r="D237" s="2047"/>
      <c r="E237" s="2048"/>
      <c r="F237" s="2047"/>
      <c r="G237" s="2047"/>
      <c r="H237" s="2047"/>
      <c r="I237" s="2048"/>
      <c r="J237" s="2047"/>
      <c r="K237" s="2047"/>
      <c r="L237" s="2047"/>
      <c r="M237" s="2048"/>
      <c r="N237" s="2047"/>
      <c r="O237" s="2047"/>
      <c r="P237" s="2047"/>
      <c r="Q237" s="2048"/>
      <c r="R237" s="2047"/>
      <c r="S237" s="2047"/>
      <c r="T237" s="2047"/>
      <c r="U237" s="2048"/>
      <c r="V237" s="2047"/>
      <c r="W237" s="2047"/>
      <c r="X237" s="2047"/>
      <c r="Y237" s="2048"/>
      <c r="Z237" s="2047"/>
      <c r="AA237" s="2047"/>
      <c r="AB237" s="2047"/>
      <c r="AC237" s="2048"/>
      <c r="AD237" s="2047"/>
      <c r="AE237" s="2047"/>
      <c r="AF237" s="2047"/>
      <c r="AG237" s="2048"/>
      <c r="AH237" s="2047"/>
      <c r="AI237" s="2047"/>
      <c r="AJ237" s="2047"/>
      <c r="AK237" s="2048"/>
      <c r="AL237" s="2047"/>
      <c r="AM237" s="2047"/>
      <c r="AN237" s="2047"/>
      <c r="AO237" s="2048"/>
      <c r="AP237" s="2047"/>
      <c r="AQ237" s="2047"/>
      <c r="AR237" s="2047"/>
      <c r="AS237" s="2048"/>
      <c r="AT237" s="2047"/>
      <c r="AU237" s="2047"/>
      <c r="AV237" s="2047"/>
      <c r="AW237" s="2048"/>
      <c r="AX237" s="2049"/>
      <c r="AY237" s="2049"/>
      <c r="AZ237" s="2049"/>
      <c r="BA237" s="2050"/>
      <c r="BB237" s="2049"/>
      <c r="BC237" s="2049"/>
      <c r="BD237" s="2049"/>
      <c r="BE237" s="2050"/>
      <c r="BF237" s="2049"/>
      <c r="BG237" s="2049"/>
      <c r="BH237" s="2049"/>
      <c r="BI237" s="2050"/>
      <c r="BJ237" s="2049"/>
      <c r="BK237" s="2049"/>
      <c r="BL237" s="2049"/>
      <c r="BM237" s="2050"/>
      <c r="BN237" s="2049"/>
      <c r="BO237" s="2049"/>
      <c r="BP237" s="2049"/>
      <c r="BQ237" s="2050"/>
      <c r="BR237" s="2049"/>
      <c r="BS237" s="2049"/>
      <c r="BT237" s="2049"/>
      <c r="BU237" s="2050"/>
      <c r="BV237" s="2049"/>
      <c r="BW237" s="2049"/>
      <c r="BX237" s="2049"/>
      <c r="BY237" s="2050"/>
      <c r="BZ237" s="2049"/>
      <c r="CA237" s="2049"/>
      <c r="CB237" s="2049"/>
      <c r="CC237" s="2050"/>
      <c r="CD237" s="2049"/>
      <c r="CE237" s="2049"/>
      <c r="CF237" s="2049"/>
      <c r="CG237" s="2050"/>
      <c r="CH237" s="2049"/>
      <c r="CI237" s="2049"/>
      <c r="CJ237" s="2049"/>
      <c r="CK237" s="2050"/>
      <c r="CL237" s="2049">
        <f t="shared" si="1728"/>
      </c>
      <c r="CM237" s="2049">
        <f t="shared" si="1729"/>
      </c>
      <c r="CN237" s="2049">
        <f t="shared" si="1730"/>
      </c>
      <c r="CO237" s="2050">
        <f t="shared" si="1731"/>
      </c>
      <c r="CP237" s="2055">
        <f t="shared" ref="CP237:EK237" si="1740">CP232/CL232-1</f>
      </c>
      <c r="CQ237" s="2049">
        <f t="shared" si="1740"/>
      </c>
      <c r="CR237" s="2049">
        <f t="shared" si="1740"/>
      </c>
      <c r="CS237" s="2050">
        <f t="shared" si="1740"/>
      </c>
      <c r="CT237" s="2055">
        <f t="shared" si="1740"/>
      </c>
      <c r="CU237" s="2049">
        <f t="shared" si="1740"/>
      </c>
      <c r="CV237" s="2049">
        <f t="shared" si="1740"/>
      </c>
      <c r="CW237" s="2050">
        <f t="shared" si="1740"/>
      </c>
      <c r="CX237" s="2055">
        <f t="shared" si="1740"/>
      </c>
      <c r="CY237" s="2049">
        <f t="shared" si="1740"/>
      </c>
      <c r="CZ237" s="2049">
        <f t="shared" si="1740"/>
      </c>
      <c r="DA237" s="2050">
        <f t="shared" si="1740"/>
      </c>
      <c r="DB237" s="2055">
        <f t="shared" si="1740"/>
      </c>
      <c r="DC237" s="2049">
        <f t="shared" si="1740"/>
      </c>
      <c r="DD237" s="2049">
        <f t="shared" si="1740"/>
      </c>
      <c r="DE237" s="2050">
        <f t="shared" si="1740"/>
      </c>
      <c r="DF237" s="2055">
        <f t="shared" si="1740"/>
      </c>
      <c r="DG237" s="2049">
        <f t="shared" si="1740"/>
      </c>
      <c r="DH237" s="2049">
        <f t="shared" si="1740"/>
      </c>
      <c r="DI237" s="2050">
        <f t="shared" si="1740"/>
      </c>
      <c r="DJ237" s="2055">
        <f t="shared" si="1740"/>
      </c>
      <c r="DK237" s="2049">
        <f t="shared" si="1733"/>
      </c>
      <c r="DL237" s="2049">
        <f t="shared" si="1733"/>
      </c>
      <c r="DM237" s="2050">
        <f t="shared" si="1740"/>
      </c>
      <c r="DN237" s="2055">
        <f t="shared" si="1734"/>
      </c>
      <c r="DO237" s="2049">
        <f t="shared" si="1734"/>
      </c>
      <c r="DP237" s="2049">
        <f t="shared" si="1734"/>
      </c>
      <c r="DQ237" s="2050">
        <f t="shared" si="1734"/>
      </c>
      <c r="DR237" s="2055">
        <f t="shared" si="1734"/>
      </c>
      <c r="DS237" s="2049">
        <f t="shared" si="1734"/>
      </c>
      <c r="DT237" s="2049">
        <f t="shared" si="1734"/>
      </c>
      <c r="DU237" s="2050">
        <f t="shared" si="1734"/>
      </c>
      <c r="DV237" s="2055">
        <f t="shared" si="1734"/>
      </c>
      <c r="DW237" s="2049">
        <f t="shared" si="1740"/>
      </c>
      <c r="DX237" s="2049">
        <f t="shared" si="1740"/>
      </c>
      <c r="DY237" s="2050">
        <f t="shared" si="1740"/>
      </c>
      <c r="DZ237" s="2055">
        <f t="shared" si="1740"/>
      </c>
      <c r="EA237" s="2049">
        <f t="shared" si="1740"/>
      </c>
      <c r="EB237" s="2049">
        <f t="shared" si="1740"/>
      </c>
      <c r="EC237" s="2050">
        <f t="shared" si="1740"/>
      </c>
      <c r="ED237" s="2055">
        <f t="shared" si="1740"/>
      </c>
      <c r="EE237" s="2049">
        <f t="shared" si="1740"/>
      </c>
      <c r="EF237" s="2049">
        <f t="shared" si="1740"/>
      </c>
      <c r="EG237" s="2050">
        <f t="shared" si="1740"/>
      </c>
      <c r="EH237" s="2055">
        <f t="shared" si="1740"/>
      </c>
      <c r="EI237" s="2049">
        <f t="shared" si="1740"/>
      </c>
      <c r="EJ237" s="2049">
        <f t="shared" si="1740"/>
      </c>
      <c r="EK237" s="2050">
        <f t="shared" si="1740"/>
      </c>
      <c r="EL237" s="2053"/>
      <c r="EM237" s="2053"/>
      <c r="EN237" s="2053"/>
      <c r="EO237" s="2053"/>
      <c r="EP237" s="2053"/>
      <c r="EQ237" s="2053"/>
      <c r="ER237" s="2053"/>
      <c r="ES237" s="2053"/>
      <c r="ET237" s="2053"/>
      <c r="EU237" s="2053"/>
      <c r="EV237" s="2053"/>
      <c r="EW237" s="2053"/>
      <c r="EX237" s="2053"/>
      <c r="EY237" s="2053"/>
      <c r="EZ237" s="2053"/>
      <c r="FA237" s="2053"/>
      <c r="FB237" s="2053"/>
      <c r="FC237" s="2053"/>
      <c r="FD237" s="2053"/>
      <c r="FE237" s="2053"/>
      <c r="FF237" s="2049"/>
      <c r="FG237" s="2049"/>
      <c r="FH237" s="2049"/>
      <c r="FI237" s="2049">
        <f t="shared" ref="FI237:FU237" si="1741">FI232/FH232-1</f>
      </c>
      <c r="FJ237" s="2049">
        <f t="shared" si="1741"/>
      </c>
      <c r="FK237" s="2049">
        <f t="shared" si="1741"/>
      </c>
      <c r="FL237" s="2049">
        <f t="shared" si="1741"/>
      </c>
      <c r="FM237" s="2049">
        <f t="shared" si="1741"/>
      </c>
      <c r="FN237" s="2049">
        <f t="shared" si="1741"/>
      </c>
      <c r="FO237" s="2049">
        <f t="shared" si="1741"/>
      </c>
      <c r="FP237" s="2049">
        <f t="shared" si="1741"/>
      </c>
      <c r="FQ237" s="2049">
        <f t="shared" si="1741"/>
      </c>
      <c r="FR237" s="2049">
        <f t="shared" si="1741"/>
      </c>
      <c r="FS237" s="2049">
        <f t="shared" si="1741"/>
      </c>
      <c r="FT237" s="2049">
        <f t="shared" si="1741"/>
      </c>
      <c r="FU237" s="2049">
        <f t="shared" si="1741"/>
      </c>
    </row>
    <row r="238" spans="1:208" s="342" customFormat="1"/>
    <row r="239" spans="1:208" s="342" customFormat="1">
      <c r="A239" s="708" t="s">
        <v>1537</v>
      </c>
      <c r="AT239" s="706" t="str">
        <f>'Revenue summary'!AT$8</f>
      </c>
      <c r="AU239" s="706" t="str">
        <f>'Revenue summary'!AU$8</f>
      </c>
      <c r="AV239" s="706" t="str">
        <f>'Revenue summary'!AV$8</f>
      </c>
      <c r="AW239" s="707" t="str">
        <f>'Revenue summary'!AW$8</f>
      </c>
      <c r="AX239" s="706" t="str">
        <f>'Revenue summary'!AX$8</f>
      </c>
      <c r="AY239" s="706" t="str">
        <f>'Revenue summary'!AY$8</f>
      </c>
      <c r="AZ239" s="706" t="str">
        <f>'Revenue summary'!AZ$8</f>
      </c>
      <c r="BA239" s="707" t="str">
        <f>'Revenue summary'!BA$8</f>
      </c>
      <c r="BB239" s="706" t="str">
        <f>'Revenue summary'!BB$8</f>
      </c>
      <c r="BC239" s="706" t="str">
        <f>'Revenue summary'!BC$8</f>
      </c>
      <c r="BD239" s="706" t="str">
        <f>'Revenue summary'!BD$8</f>
      </c>
      <c r="BE239" s="707" t="str">
        <f>'Revenue summary'!BE$8</f>
      </c>
      <c r="BF239" s="706" t="str">
        <f>'Revenue summary'!BF$8</f>
      </c>
      <c r="BG239" s="706" t="str">
        <f>'Revenue summary'!BG$8</f>
      </c>
      <c r="BH239" s="706" t="str">
        <f>'Revenue summary'!BH$8</f>
      </c>
      <c r="BI239" s="707" t="str">
        <f>'Revenue summary'!BI$8</f>
      </c>
      <c r="BJ239" s="706" t="str">
        <f>'Revenue summary'!BJ$8</f>
      </c>
      <c r="BK239" s="706" t="str">
        <f>'Revenue summary'!BK$8</f>
      </c>
      <c r="BL239" s="706" t="str">
        <f>'Revenue summary'!BL$8</f>
      </c>
      <c r="BM239" s="707" t="str">
        <f>'Revenue summary'!BM$8</f>
      </c>
      <c r="BN239" s="706" t="str">
        <f>'Revenue summary'!BN$8</f>
      </c>
      <c r="BO239" s="706" t="str">
        <f>'Revenue summary'!BO$8</f>
      </c>
      <c r="BP239" s="706" t="str">
        <f>'Revenue summary'!BP$8</f>
      </c>
      <c r="BQ239" s="707" t="str">
        <f>'Revenue summary'!BQ$8</f>
      </c>
      <c r="BR239" s="706" t="str">
        <f>'Revenue summary'!BR$8</f>
      </c>
      <c r="BS239" s="706" t="str">
        <f>'Revenue summary'!BS$8</f>
      </c>
      <c r="BT239" s="706" t="str">
        <f>'Revenue summary'!BT$8</f>
      </c>
      <c r="BU239" s="707" t="str">
        <f>'Revenue summary'!BU$8</f>
      </c>
      <c r="BV239" s="706" t="str">
        <f>'Revenue summary'!BV$8</f>
      </c>
      <c r="BW239" s="706" t="str">
        <f>'Revenue summary'!BW$8</f>
      </c>
      <c r="BX239" s="706" t="str">
        <f>'Revenue summary'!BX$8</f>
      </c>
      <c r="BY239" s="707" t="str">
        <f>'Revenue summary'!BY$8</f>
      </c>
      <c r="BZ239" s="706" t="str">
        <f>'Revenue summary'!BZ$8</f>
      </c>
      <c r="CA239" s="706" t="str">
        <f>'Revenue summary'!CA$8</f>
      </c>
      <c r="CB239" s="706" t="str">
        <f>'Revenue summary'!CB$8</f>
      </c>
      <c r="CC239" s="707" t="str">
        <f>'Revenue summary'!CC$8</f>
      </c>
      <c r="CD239" s="706" t="str">
        <f>'Revenue summary'!CD$8</f>
      </c>
      <c r="CE239" s="706" t="str">
        <f>'Revenue summary'!CE$8</f>
      </c>
      <c r="CF239" s="706" t="str">
        <f>'Revenue summary'!CF$8</f>
      </c>
      <c r="CG239" s="707" t="str">
        <f>'Revenue summary'!CG$8</f>
      </c>
      <c r="CH239" s="706" t="str">
        <f>'Revenue summary'!CH$8</f>
      </c>
      <c r="CI239" s="706" t="str">
        <f>'Revenue summary'!CI$8</f>
      </c>
      <c r="CJ239" s="706" t="str">
        <f>'Revenue summary'!CJ$8</f>
      </c>
      <c r="CK239" s="707" t="str">
        <f>'Revenue summary'!CK$8</f>
      </c>
      <c r="CL239" s="706" t="str">
        <f>'Revenue summary'!CL$8</f>
      </c>
      <c r="CM239" s="706" t="str">
        <f>'Revenue summary'!CM$8</f>
      </c>
      <c r="CN239" s="706" t="str">
        <f>'Revenue summary'!CN$8</f>
      </c>
      <c r="CO239" s="707" t="str">
        <f>'Revenue summary'!CO$8</f>
      </c>
      <c r="CP239" s="706" t="str">
        <f>'Revenue summary'!CP$8</f>
      </c>
      <c r="CQ239" s="706" t="str">
        <f>'Revenue summary'!CQ$8</f>
      </c>
      <c r="CR239" s="706" t="str">
        <f>'Revenue summary'!CR$8</f>
      </c>
      <c r="CS239" s="707" t="str">
        <f>'Revenue summary'!CS$8</f>
      </c>
      <c r="CT239" s="706" t="str">
        <f>'Revenue summary'!CT$8</f>
      </c>
      <c r="CU239" s="706" t="str">
        <f>'Revenue summary'!CU$8</f>
      </c>
      <c r="CV239" s="706" t="str">
        <f>'Revenue summary'!CV$8</f>
      </c>
      <c r="CW239" s="707" t="str">
        <f>'Revenue summary'!CW$8</f>
      </c>
      <c r="CX239" s="706" t="str">
        <f>'Revenue summary'!CX$8</f>
      </c>
      <c r="CY239" s="706" t="str">
        <f>'Revenue summary'!CY$8</f>
      </c>
      <c r="CZ239" s="706" t="str">
        <f>'Revenue summary'!CZ$8</f>
      </c>
      <c r="DA239" s="707" t="str">
        <f>'Revenue summary'!DA$8</f>
      </c>
      <c r="DB239" s="706" t="str">
        <f>'Revenue summary'!DB$8</f>
      </c>
      <c r="DC239" s="706" t="str">
        <f>'Revenue summary'!DC$8</f>
      </c>
      <c r="DD239" s="706" t="str">
        <f>'Revenue summary'!DD$8</f>
      </c>
      <c r="DE239" s="707" t="str">
        <f>'Revenue summary'!DE$8</f>
      </c>
      <c r="DF239" s="706" t="str">
        <f>'Revenue summary'!DF$8</f>
      </c>
      <c r="DG239" s="706" t="str">
        <f>'Revenue summary'!DG$8</f>
      </c>
      <c r="DH239" s="706" t="str">
        <f>'Revenue summary'!DH$8</f>
      </c>
      <c r="DI239" s="707" t="str">
        <f>'Revenue summary'!DI$8</f>
      </c>
      <c r="DJ239" s="706" t="str">
        <f>'Revenue summary'!DJ$8</f>
      </c>
      <c r="DK239" s="706" t="str">
        <f>'Revenue summary'!DK$8</f>
      </c>
      <c r="DL239" s="706" t="str">
        <f>'Revenue summary'!DL$8</f>
      </c>
      <c r="DM239" s="707" t="str">
        <f>'Revenue summary'!DM$8</f>
      </c>
      <c r="DN239" s="706" t="str">
        <f>'Revenue summary'!DN$8</f>
      </c>
      <c r="DO239" s="706" t="str">
        <f>'Revenue summary'!DO$8</f>
      </c>
      <c r="DP239" s="706" t="str">
        <f>'Revenue summary'!DP$8</f>
      </c>
      <c r="DQ239" s="707" t="str">
        <f>'Revenue summary'!DQ$8</f>
      </c>
      <c r="DR239" s="706" t="str">
        <f>'Revenue summary'!DR$8</f>
      </c>
      <c r="DS239" s="706" t="str">
        <f>'Revenue summary'!DS$8</f>
      </c>
      <c r="DT239" s="706" t="str">
        <f>'Revenue summary'!DT$8</f>
      </c>
      <c r="DU239" s="707" t="str">
        <f>'Revenue summary'!DU$8</f>
      </c>
      <c r="DV239" s="706" t="str">
        <f>'Revenue summary'!DV$8</f>
      </c>
      <c r="DW239" s="706" t="str">
        <f>'Revenue summary'!DW$8</f>
      </c>
      <c r="DX239" s="706" t="str">
        <f>'Revenue summary'!DX$8</f>
      </c>
      <c r="DY239" s="707" t="str">
        <f>'Revenue summary'!DY$8</f>
      </c>
      <c r="DZ239" s="706" t="str">
        <f>'Revenue summary'!DZ$8</f>
      </c>
      <c r="EA239" s="706" t="str">
        <f>'Revenue summary'!EA$8</f>
      </c>
      <c r="EB239" s="706" t="str">
        <f>'Revenue summary'!EB$8</f>
      </c>
      <c r="EC239" s="707" t="str">
        <f>'Revenue summary'!EC$8</f>
      </c>
      <c r="ED239" s="706" t="str">
        <f>'Revenue summary'!ED$8</f>
      </c>
      <c r="EE239" s="706" t="str">
        <f>'Revenue summary'!EE$8</f>
      </c>
      <c r="EF239" s="706" t="str">
        <f>'Revenue summary'!EF$8</f>
      </c>
      <c r="EG239" s="707" t="str">
        <f>'Revenue summary'!EG$8</f>
      </c>
      <c r="EH239" s="706" t="str">
        <f>'Revenue summary'!EH$8</f>
      </c>
      <c r="EI239" s="706" t="str">
        <f>'Revenue summary'!EI$8</f>
      </c>
      <c r="EJ239" s="706" t="str">
        <f>'Revenue summary'!EJ$8</f>
      </c>
      <c r="EK239" s="707" t="str">
        <f>'Revenue summary'!EK$8</f>
      </c>
      <c r="FF239" s="706" t="str">
        <f t="shared" ref="FF239:FH239" si="1742">FF$9</f>
      </c>
      <c r="FG239" s="706" t="str">
        <f t="shared" si="1742"/>
      </c>
      <c r="FH239" s="706" t="str">
        <f t="shared" si="1742"/>
      </c>
      <c r="FI239" s="706" t="str">
        <f>FI$9</f>
      </c>
      <c r="FJ239" s="706" t="str">
        <f t="shared" ref="FJ239:FU239" si="1743">FJ$9</f>
      </c>
      <c r="FK239" s="706" t="str">
        <f t="shared" si="1743"/>
      </c>
      <c r="FL239" s="706" t="str">
        <f t="shared" si="1743"/>
      </c>
      <c r="FM239" s="706" t="str">
        <f t="shared" si="1743"/>
      </c>
      <c r="FN239" s="706" t="str">
        <f t="shared" si="1743"/>
      </c>
      <c r="FO239" s="706" t="str">
        <f t="shared" si="1743"/>
      </c>
      <c r="FP239" s="706" t="str">
        <f t="shared" si="1743"/>
      </c>
      <c r="FQ239" s="706" t="str">
        <f t="shared" si="1743"/>
      </c>
      <c r="FR239" s="706" t="str">
        <f t="shared" si="1743"/>
      </c>
      <c r="FS239" s="706" t="str">
        <f t="shared" si="1743"/>
      </c>
      <c r="FT239" s="706" t="str">
        <f t="shared" si="1743"/>
      </c>
      <c r="FU239" s="706" t="str">
        <f t="shared" si="1743"/>
      </c>
    </row>
    <row r="240" spans="1:208" s="342" customFormat="1">
      <c r="A240" s="1460" t="s">
        <v>1536</v>
      </c>
      <c r="B240" s="2047"/>
      <c r="C240" s="2047"/>
      <c r="D240" s="2047"/>
      <c r="E240" s="2048"/>
      <c r="F240" s="2047"/>
      <c r="G240" s="2047"/>
      <c r="H240" s="2047"/>
      <c r="I240" s="2048"/>
      <c r="J240" s="2047"/>
      <c r="K240" s="2047"/>
      <c r="L240" s="2047"/>
      <c r="M240" s="2048"/>
      <c r="N240" s="2047"/>
      <c r="O240" s="2047"/>
      <c r="P240" s="2047"/>
      <c r="Q240" s="2048"/>
      <c r="R240" s="2047"/>
      <c r="S240" s="2047"/>
      <c r="T240" s="2047"/>
      <c r="U240" s="2048"/>
      <c r="V240" s="2047"/>
      <c r="W240" s="2047"/>
      <c r="X240" s="2047"/>
      <c r="Y240" s="2048"/>
      <c r="Z240" s="2047"/>
      <c r="AA240" s="2047"/>
      <c r="AB240" s="2047"/>
      <c r="AC240" s="2048"/>
      <c r="AD240" s="2047"/>
      <c r="AE240" s="2047"/>
      <c r="AF240" s="2047"/>
      <c r="AG240" s="2048"/>
      <c r="AH240" s="2047"/>
      <c r="AI240" s="2047"/>
      <c r="AJ240" s="2047"/>
      <c r="AK240" s="2048"/>
      <c r="AL240" s="2047"/>
      <c r="AM240" s="2047"/>
      <c r="AN240" s="2047"/>
      <c r="AO240" s="2048"/>
      <c r="AP240" s="2047"/>
      <c r="AQ240" s="2047"/>
      <c r="AR240" s="2047"/>
      <c r="AS240" s="2048"/>
      <c r="AT240" s="2047"/>
      <c r="AU240" s="2047"/>
      <c r="AV240" s="2047"/>
      <c r="AW240" s="2048"/>
      <c r="AX240" s="2049"/>
      <c r="AY240" s="2049"/>
      <c r="AZ240" s="2049"/>
      <c r="BA240" s="2050"/>
      <c r="BB240" s="2049"/>
      <c r="BC240" s="2049"/>
      <c r="BD240" s="2049"/>
      <c r="BE240" s="2050"/>
      <c r="BF240" s="2049"/>
      <c r="BG240" s="2049"/>
      <c r="BH240" s="2049"/>
      <c r="BI240" s="2050"/>
      <c r="BJ240" s="2049"/>
      <c r="BK240" s="2049"/>
      <c r="BL240" s="2049"/>
      <c r="BM240" s="2050"/>
      <c r="BN240" s="2049"/>
      <c r="BO240" s="2049"/>
      <c r="BP240" s="2049"/>
      <c r="BQ240" s="2050"/>
      <c r="BR240" s="2049"/>
      <c r="BS240" s="2049"/>
      <c r="BT240" s="2049"/>
      <c r="BU240" s="2050"/>
      <c r="BV240" s="2049"/>
      <c r="BW240" s="2049"/>
      <c r="BX240" s="2049"/>
      <c r="BY240" s="2050"/>
      <c r="BZ240" s="2049"/>
      <c r="CA240" s="2049"/>
      <c r="CB240" s="2049"/>
      <c r="CC240" s="2050"/>
      <c r="CD240" s="2049"/>
      <c r="CE240" s="2049"/>
      <c r="CF240" s="2049"/>
      <c r="CG240" s="2050">
        <f>SUM(CD212:CG212)/CC230</f>
      </c>
      <c r="CH240" s="2049">
        <f>SUM(CE212:CH212)/CD230</f>
      </c>
      <c r="CI240" s="2049">
        <f t="shared" ref="CI240:EK240" si="1744">SUM(CF212:CI212)/CE230</f>
      </c>
      <c r="CJ240" s="2049">
        <f t="shared" si="1744"/>
      </c>
      <c r="CK240" s="2050">
        <f t="shared" si="1744"/>
      </c>
      <c r="CL240" s="2049">
        <f t="shared" si="1744"/>
      </c>
      <c r="CM240" s="2049">
        <f t="shared" si="1744"/>
      </c>
      <c r="CN240" s="2049">
        <f t="shared" si="1744"/>
      </c>
      <c r="CO240" s="2050">
        <f t="shared" si="1744"/>
      </c>
      <c r="CP240" s="2049">
        <f t="shared" si="1744"/>
      </c>
      <c r="CQ240" s="2049">
        <f t="shared" si="1744"/>
      </c>
      <c r="CR240" s="2049">
        <f t="shared" si="1744"/>
      </c>
      <c r="CS240" s="2050">
        <f t="shared" si="1744"/>
      </c>
      <c r="CT240" s="2049">
        <f t="shared" si="1744"/>
      </c>
      <c r="CU240" s="2049">
        <f t="shared" si="1744"/>
      </c>
      <c r="CV240" s="2049">
        <f t="shared" si="1744"/>
      </c>
      <c r="CW240" s="2050">
        <f t="shared" si="1744"/>
      </c>
      <c r="CX240" s="2049">
        <f t="shared" si="1744"/>
      </c>
      <c r="CY240" s="2049">
        <f t="shared" si="1744"/>
      </c>
      <c r="CZ240" s="2049">
        <f t="shared" si="1744"/>
      </c>
      <c r="DA240" s="2050">
        <f t="shared" si="1744"/>
      </c>
      <c r="DB240" s="2049">
        <f t="shared" si="1744"/>
      </c>
      <c r="DC240" s="2049">
        <f t="shared" si="1744"/>
      </c>
      <c r="DD240" s="2049">
        <f t="shared" si="1744"/>
      </c>
      <c r="DE240" s="2050">
        <f t="shared" si="1744"/>
      </c>
      <c r="DF240" s="2049">
        <f t="shared" si="1744"/>
      </c>
      <c r="DG240" s="2049">
        <f t="shared" si="1744"/>
      </c>
      <c r="DH240" s="2049">
        <f t="shared" si="1744"/>
      </c>
      <c r="DI240" s="2050">
        <f t="shared" si="1744"/>
      </c>
      <c r="DJ240" s="2049">
        <f t="shared" si="1744"/>
      </c>
      <c r="DK240" s="2049">
        <f>SUM(DH212:DK212)/DG230</f>
      </c>
      <c r="DL240" s="2049">
        <f>SUM(DI212:DL212)/DH230</f>
      </c>
      <c r="DM240" s="2050">
        <f t="shared" si="1744"/>
      </c>
      <c r="DN240" s="2049">
        <f t="shared" ref="DN240:DV240" si="1745">SUM(DK212:DN212)/DJ230</f>
      </c>
      <c r="DO240" s="2049">
        <f t="shared" si="1745"/>
      </c>
      <c r="DP240" s="2049">
        <f t="shared" si="1745"/>
      </c>
      <c r="DQ240" s="2050">
        <f t="shared" si="1745"/>
      </c>
      <c r="DR240" s="2049">
        <f t="shared" si="1745"/>
      </c>
      <c r="DS240" s="2049">
        <f t="shared" si="1745"/>
      </c>
      <c r="DT240" s="2049">
        <f t="shared" si="1745"/>
      </c>
      <c r="DU240" s="2050">
        <f t="shared" si="1745"/>
      </c>
      <c r="DV240" s="2049">
        <f t="shared" si="1745"/>
      </c>
      <c r="DW240" s="2049">
        <f t="shared" si="1744"/>
      </c>
      <c r="DX240" s="2049">
        <f t="shared" si="1744"/>
      </c>
      <c r="DY240" s="2050">
        <f t="shared" si="1744"/>
      </c>
      <c r="DZ240" s="2049">
        <f t="shared" si="1744"/>
      </c>
      <c r="EA240" s="2049">
        <f t="shared" si="1744"/>
      </c>
      <c r="EB240" s="2049">
        <f t="shared" si="1744"/>
      </c>
      <c r="EC240" s="2050">
        <f t="shared" si="1744"/>
      </c>
      <c r="ED240" s="2049">
        <f t="shared" si="1744"/>
      </c>
      <c r="EE240" s="2049">
        <f t="shared" si="1744"/>
      </c>
      <c r="EF240" s="2049">
        <f t="shared" si="1744"/>
      </c>
      <c r="EG240" s="2050">
        <f t="shared" si="1744"/>
      </c>
      <c r="EH240" s="2049">
        <f t="shared" si="1744"/>
      </c>
      <c r="EI240" s="2049">
        <f t="shared" si="1744"/>
      </c>
      <c r="EJ240" s="2049">
        <f t="shared" si="1744"/>
      </c>
      <c r="EK240" s="2050">
        <f t="shared" si="1744"/>
      </c>
      <c r="EL240" s="2053"/>
      <c r="EM240" s="2053"/>
      <c r="EN240" s="2053"/>
      <c r="EO240" s="2053"/>
      <c r="EP240" s="2053"/>
      <c r="EQ240" s="2053"/>
      <c r="ER240" s="2053"/>
      <c r="ES240" s="2053"/>
      <c r="ET240" s="2053"/>
      <c r="EU240" s="2053"/>
      <c r="EV240" s="2053"/>
      <c r="EW240" s="2053"/>
      <c r="EX240" s="2053"/>
      <c r="EY240" s="2053"/>
      <c r="EZ240" s="2053"/>
      <c r="FA240" s="2053"/>
      <c r="FB240" s="2053"/>
      <c r="FC240" s="2053"/>
      <c r="FD240" s="2053"/>
      <c r="FE240" s="2053"/>
      <c r="FF240" s="2049"/>
      <c r="FG240" s="2049"/>
      <c r="FH240" s="2049">
        <f>FH212/FG230</f>
      </c>
      <c r="FI240" s="2049">
        <f t="shared" ref="FI240:FU240" si="1746">FI212/FH230</f>
      </c>
      <c r="FJ240" s="2049">
        <f t="shared" si="1746"/>
      </c>
      <c r="FK240" s="2049">
        <f t="shared" si="1746"/>
      </c>
      <c r="FL240" s="2049">
        <f t="shared" si="1746"/>
      </c>
      <c r="FM240" s="2049">
        <f t="shared" si="1746"/>
      </c>
      <c r="FN240" s="2049">
        <f t="shared" si="1746"/>
      </c>
      <c r="FO240" s="2049">
        <f t="shared" si="1746"/>
      </c>
      <c r="FP240" s="2049">
        <f t="shared" si="1746"/>
      </c>
      <c r="FQ240" s="2049">
        <f t="shared" si="1746"/>
      </c>
      <c r="FR240" s="2049">
        <f t="shared" si="1746"/>
      </c>
      <c r="FS240" s="2049">
        <f t="shared" si="1746"/>
      </c>
      <c r="FT240" s="2049">
        <f t="shared" si="1746"/>
      </c>
      <c r="FU240" s="2049">
        <f t="shared" si="1746"/>
      </c>
    </row>
    <row r="241" spans="1:208" s="2387" customFormat="1">
      <c r="A241" s="2381" t="s">
        <v>1535</v>
      </c>
      <c r="B241" s="2382"/>
      <c r="C241" s="2382"/>
      <c r="D241" s="2382"/>
      <c r="E241" s="2383"/>
      <c r="F241" s="2382"/>
      <c r="G241" s="2382"/>
      <c r="H241" s="2382"/>
      <c r="I241" s="2383"/>
      <c r="J241" s="2382"/>
      <c r="K241" s="2382"/>
      <c r="L241" s="2382"/>
      <c r="M241" s="2383"/>
      <c r="N241" s="2382"/>
      <c r="O241" s="2382"/>
      <c r="P241" s="2382"/>
      <c r="Q241" s="2383"/>
      <c r="R241" s="2382"/>
      <c r="S241" s="2382"/>
      <c r="T241" s="2382"/>
      <c r="U241" s="2383"/>
      <c r="V241" s="2382"/>
      <c r="W241" s="2382"/>
      <c r="X241" s="2382"/>
      <c r="Y241" s="2383"/>
      <c r="Z241" s="2382"/>
      <c r="AA241" s="2382"/>
      <c r="AB241" s="2382"/>
      <c r="AC241" s="2383"/>
      <c r="AD241" s="2382"/>
      <c r="AE241" s="2382"/>
      <c r="AF241" s="2382"/>
      <c r="AG241" s="2383"/>
      <c r="AH241" s="2382"/>
      <c r="AI241" s="2382"/>
      <c r="AJ241" s="2382"/>
      <c r="AK241" s="2383"/>
      <c r="AL241" s="2382"/>
      <c r="AM241" s="2382"/>
      <c r="AN241" s="2382"/>
      <c r="AO241" s="2383"/>
      <c r="AP241" s="2382"/>
      <c r="AQ241" s="2382"/>
      <c r="AR241" s="2382"/>
      <c r="AS241" s="2383"/>
      <c r="AT241" s="2382"/>
      <c r="AU241" s="2382"/>
      <c r="AV241" s="2382"/>
      <c r="AW241" s="2383"/>
      <c r="AX241" s="2384"/>
      <c r="AY241" s="2384"/>
      <c r="AZ241" s="2384"/>
      <c r="BA241" s="2385"/>
      <c r="BB241" s="2384"/>
      <c r="BC241" s="2384"/>
      <c r="BD241" s="2384"/>
      <c r="BE241" s="2385"/>
      <c r="BF241" s="2384"/>
      <c r="BG241" s="2384"/>
      <c r="BH241" s="2384"/>
      <c r="BI241" s="2385"/>
      <c r="BJ241" s="2384"/>
      <c r="BK241" s="2384"/>
      <c r="BL241" s="2384"/>
      <c r="BM241" s="2385"/>
      <c r="BN241" s="2384"/>
      <c r="BO241" s="2384"/>
      <c r="BP241" s="2384"/>
      <c r="BQ241" s="2385"/>
      <c r="BR241" s="2384"/>
      <c r="BS241" s="2384"/>
      <c r="BT241" s="2384"/>
      <c r="BU241" s="2385"/>
      <c r="BV241" s="2384"/>
      <c r="BW241" s="2384"/>
      <c r="BX241" s="2384"/>
      <c r="BY241" s="2385"/>
      <c r="BZ241" s="2384"/>
      <c r="CA241" s="2384"/>
      <c r="CB241" s="2384"/>
      <c r="CC241" s="2385"/>
      <c r="CD241" s="2384"/>
      <c r="CE241" s="2384"/>
      <c r="CF241" s="2384"/>
      <c r="CG241" s="2385">
        <f t="shared" ref="CG241:CO241" si="1747">1/CG240</f>
      </c>
      <c r="CH241" s="2384">
        <f t="shared" si="1747"/>
      </c>
      <c r="CI241" s="2384">
        <f t="shared" si="1747"/>
      </c>
      <c r="CJ241" s="2384">
        <f t="shared" si="1747"/>
      </c>
      <c r="CK241" s="2385">
        <f t="shared" si="1747"/>
      </c>
      <c r="CL241" s="2384">
        <f t="shared" si="1747"/>
      </c>
      <c r="CM241" s="2384">
        <f t="shared" si="1747"/>
      </c>
      <c r="CN241" s="2384">
        <f t="shared" si="1747"/>
      </c>
      <c r="CO241" s="2385">
        <f t="shared" si="1747"/>
      </c>
      <c r="CP241" s="2386">
        <f t="shared" ref="CP241:EJ241" si="1748">1/CP240</f>
      </c>
      <c r="CQ241" s="2384">
        <f t="shared" si="1748"/>
      </c>
      <c r="CR241" s="2384">
        <f t="shared" si="1748"/>
      </c>
      <c r="CS241" s="2385">
        <f t="shared" si="1748"/>
      </c>
      <c r="CT241" s="2386">
        <f t="shared" si="1748"/>
      </c>
      <c r="CU241" s="2384">
        <f t="shared" si="1748"/>
      </c>
      <c r="CV241" s="2384">
        <f t="shared" si="1748"/>
      </c>
      <c r="CW241" s="2385">
        <f t="shared" si="1748"/>
      </c>
      <c r="CX241" s="2386">
        <f t="shared" si="1748"/>
      </c>
      <c r="CY241" s="2384">
        <f t="shared" si="1748"/>
      </c>
      <c r="CZ241" s="2384">
        <f t="shared" si="1748"/>
      </c>
      <c r="DA241" s="2385">
        <f t="shared" si="1748"/>
      </c>
      <c r="DB241" s="2386">
        <f t="shared" si="1748"/>
      </c>
      <c r="DC241" s="2384">
        <f t="shared" si="1748"/>
      </c>
      <c r="DD241" s="2384">
        <f t="shared" si="1748"/>
      </c>
      <c r="DE241" s="2385">
        <f t="shared" si="1748"/>
      </c>
      <c r="DF241" s="2386">
        <f t="shared" si="1748"/>
      </c>
      <c r="DG241" s="2384">
        <f t="shared" si="1748"/>
      </c>
      <c r="DH241" s="2384">
        <f t="shared" si="1748"/>
      </c>
      <c r="DI241" s="2385">
        <f t="shared" si="1748"/>
      </c>
      <c r="DJ241" s="2386">
        <f t="shared" si="1748"/>
      </c>
      <c r="DK241" s="2384">
        <f t="shared" si="1748"/>
      </c>
      <c r="DL241" s="2384">
        <f t="shared" si="1748"/>
      </c>
      <c r="DM241" s="2385">
        <f t="shared" si="1748"/>
      </c>
      <c r="DN241" s="2386">
        <f t="shared" si="1748"/>
      </c>
      <c r="DO241" s="2384">
        <f t="shared" si="1748"/>
      </c>
      <c r="DP241" s="2384">
        <f t="shared" si="1748"/>
      </c>
      <c r="DQ241" s="2385">
        <f t="shared" si="1748"/>
      </c>
      <c r="DR241" s="2386">
        <f t="shared" si="1748"/>
      </c>
      <c r="DS241" s="2384">
        <f t="shared" si="1748"/>
      </c>
      <c r="DT241" s="2384">
        <f t="shared" si="1748"/>
      </c>
      <c r="DU241" s="2385">
        <f t="shared" si="1748"/>
      </c>
      <c r="DV241" s="2386">
        <f t="shared" si="1748"/>
      </c>
      <c r="DW241" s="2384">
        <f t="shared" si="1748"/>
      </c>
      <c r="DX241" s="2384">
        <f t="shared" si="1748"/>
      </c>
      <c r="DY241" s="2385">
        <f t="shared" si="1748"/>
      </c>
      <c r="DZ241" s="2386">
        <f t="shared" si="1748"/>
      </c>
      <c r="EA241" s="2384">
        <f t="shared" si="1748"/>
      </c>
      <c r="EB241" s="2384">
        <f t="shared" si="1748"/>
      </c>
      <c r="EC241" s="2385">
        <f t="shared" si="1748"/>
      </c>
      <c r="ED241" s="2386">
        <f t="shared" si="1748"/>
      </c>
      <c r="EE241" s="2384">
        <f t="shared" si="1748"/>
      </c>
      <c r="EF241" s="2384">
        <f t="shared" si="1748"/>
      </c>
      <c r="EG241" s="2385">
        <f t="shared" si="1748"/>
      </c>
      <c r="EH241" s="2386">
        <f t="shared" si="1748"/>
      </c>
      <c r="EI241" s="2384">
        <f t="shared" si="1748"/>
      </c>
      <c r="EJ241" s="2384">
        <f t="shared" si="1748"/>
      </c>
      <c r="EK241" s="2385">
        <f t="shared" ref="EK241" si="1749">1/EK240</f>
      </c>
      <c r="EL241" s="2020"/>
      <c r="EM241" s="2020"/>
      <c r="EN241" s="2020"/>
      <c r="EO241" s="2020"/>
      <c r="EP241" s="2020"/>
      <c r="EQ241" s="2020"/>
      <c r="ER241" s="2020"/>
      <c r="ES241" s="2020"/>
      <c r="ET241" s="2020"/>
      <c r="EU241" s="2020"/>
      <c r="EV241" s="2020"/>
      <c r="EW241" s="2020"/>
      <c r="EX241" s="2020"/>
      <c r="EY241" s="2020"/>
      <c r="EZ241" s="2020"/>
      <c r="FA241" s="2020"/>
      <c r="FB241" s="2020"/>
      <c r="FC241" s="2020"/>
      <c r="FD241" s="2020"/>
      <c r="FE241" s="2020"/>
      <c r="FF241" s="2384"/>
      <c r="FG241" s="2384"/>
      <c r="FH241" s="2384">
        <f>1/FH240</f>
      </c>
      <c r="FI241" s="2384">
        <f>1/FI240</f>
      </c>
      <c r="FJ241" s="2384">
        <f t="shared" ref="FJ241:FU241" si="1750">1/FJ240</f>
      </c>
      <c r="FK241" s="2384">
        <f t="shared" si="1750"/>
      </c>
      <c r="FL241" s="2384">
        <f t="shared" si="1750"/>
      </c>
      <c r="FM241" s="2384">
        <f t="shared" si="1750"/>
      </c>
      <c r="FN241" s="2384">
        <f t="shared" si="1750"/>
      </c>
      <c r="FO241" s="2384">
        <f t="shared" si="1750"/>
      </c>
      <c r="FP241" s="2384">
        <f t="shared" si="1750"/>
      </c>
      <c r="FQ241" s="2384">
        <f t="shared" si="1750"/>
      </c>
      <c r="FR241" s="2384">
        <f t="shared" si="1750"/>
      </c>
      <c r="FS241" s="2384">
        <f t="shared" si="1750"/>
      </c>
      <c r="FT241" s="2384">
        <f t="shared" si="1750"/>
      </c>
      <c r="FU241" s="2384">
        <f t="shared" si="1750"/>
      </c>
    </row>
    <row r="242" spans="1:208" s="2387" customFormat="1">
      <c r="A242" s="2381" t="s">
        <v>1538</v>
      </c>
      <c r="B242" s="2382"/>
      <c r="C242" s="2382"/>
      <c r="D242" s="2382"/>
      <c r="E242" s="2383"/>
      <c r="F242" s="2382"/>
      <c r="G242" s="2382"/>
      <c r="H242" s="2382"/>
      <c r="I242" s="2383"/>
      <c r="J242" s="2382"/>
      <c r="K242" s="2382"/>
      <c r="L242" s="2382"/>
      <c r="M242" s="2383"/>
      <c r="N242" s="2382"/>
      <c r="O242" s="2382"/>
      <c r="P242" s="2382"/>
      <c r="Q242" s="2383"/>
      <c r="R242" s="2382"/>
      <c r="S242" s="2382"/>
      <c r="T242" s="2382"/>
      <c r="U242" s="2383"/>
      <c r="V242" s="2382"/>
      <c r="W242" s="2382"/>
      <c r="X242" s="2382"/>
      <c r="Y242" s="2383"/>
      <c r="Z242" s="2382"/>
      <c r="AA242" s="2382"/>
      <c r="AB242" s="2382"/>
      <c r="AC242" s="2383"/>
      <c r="AD242" s="2382"/>
      <c r="AE242" s="2382"/>
      <c r="AF242" s="2382"/>
      <c r="AG242" s="2383"/>
      <c r="AH242" s="2382"/>
      <c r="AI242" s="2382"/>
      <c r="AJ242" s="2382"/>
      <c r="AK242" s="2383"/>
      <c r="AL242" s="2382"/>
      <c r="AM242" s="2382"/>
      <c r="AN242" s="2382"/>
      <c r="AO242" s="2383"/>
      <c r="AP242" s="2382"/>
      <c r="AQ242" s="2382"/>
      <c r="AR242" s="2382"/>
      <c r="AS242" s="2383"/>
      <c r="AT242" s="2382"/>
      <c r="AU242" s="2382"/>
      <c r="AV242" s="2382"/>
      <c r="AW242" s="2383"/>
      <c r="AX242" s="2384"/>
      <c r="AY242" s="2384"/>
      <c r="AZ242" s="2384"/>
      <c r="BA242" s="2385"/>
      <c r="BB242" s="2384"/>
      <c r="BC242" s="2384"/>
      <c r="BD242" s="2384"/>
      <c r="BE242" s="2385"/>
      <c r="BF242" s="2384"/>
      <c r="BG242" s="2384"/>
      <c r="BH242" s="2384"/>
      <c r="BI242" s="2385"/>
      <c r="BJ242" s="2384"/>
      <c r="BK242" s="2384"/>
      <c r="BL242" s="2384"/>
      <c r="BM242" s="2385"/>
      <c r="BN242" s="2384"/>
      <c r="BO242" s="2384"/>
      <c r="BP242" s="2384"/>
      <c r="BQ242" s="2385"/>
      <c r="BR242" s="2384"/>
      <c r="BS242" s="2384"/>
      <c r="BT242" s="2384"/>
      <c r="BU242" s="2385"/>
      <c r="BV242" s="2384"/>
      <c r="BW242" s="2384"/>
      <c r="BX242" s="2384"/>
      <c r="BY242" s="2385"/>
      <c r="BZ242" s="2384"/>
      <c r="CA242" s="2384"/>
      <c r="CB242" s="2384"/>
      <c r="CC242" s="2385"/>
      <c r="CD242" s="2384"/>
      <c r="CE242" s="2384"/>
      <c r="CF242" s="2384"/>
      <c r="CG242" s="2385"/>
      <c r="CH242" s="2384">
        <f>CH232/CH231</f>
      </c>
      <c r="CI242" s="2384">
        <f t="shared" ref="CI242:EK242" si="1751">CI232/CI231</f>
      </c>
      <c r="CJ242" s="2384">
        <f t="shared" si="1751"/>
      </c>
      <c r="CK242" s="2385">
        <f t="shared" si="1751"/>
      </c>
      <c r="CL242" s="2384">
        <f t="shared" si="1751"/>
      </c>
      <c r="CM242" s="2384">
        <f t="shared" si="1751"/>
      </c>
      <c r="CN242" s="2384">
        <f t="shared" si="1751"/>
      </c>
      <c r="CO242" s="2385">
        <f t="shared" si="1751"/>
      </c>
      <c r="CP242" s="2386">
        <f t="shared" si="1751"/>
      </c>
      <c r="CQ242" s="2384">
        <f t="shared" si="1751"/>
      </c>
      <c r="CR242" s="2384">
        <f t="shared" si="1751"/>
      </c>
      <c r="CS242" s="2385">
        <f t="shared" si="1751"/>
      </c>
      <c r="CT242" s="2386">
        <f t="shared" si="1751"/>
      </c>
      <c r="CU242" s="2384">
        <f t="shared" si="1751"/>
      </c>
      <c r="CV242" s="2384">
        <f t="shared" si="1751"/>
      </c>
      <c r="CW242" s="2385">
        <f t="shared" si="1751"/>
      </c>
      <c r="CX242" s="2386">
        <f t="shared" si="1751"/>
      </c>
      <c r="CY242" s="2384">
        <f t="shared" si="1751"/>
      </c>
      <c r="CZ242" s="2384">
        <f t="shared" si="1751"/>
      </c>
      <c r="DA242" s="2385">
        <f t="shared" si="1751"/>
      </c>
      <c r="DB242" s="2386">
        <f t="shared" si="1751"/>
      </c>
      <c r="DC242" s="2384">
        <f t="shared" si="1751"/>
      </c>
      <c r="DD242" s="2384">
        <f t="shared" si="1751"/>
      </c>
      <c r="DE242" s="2385">
        <f t="shared" si="1751"/>
      </c>
      <c r="DF242" s="2386">
        <f t="shared" si="1751"/>
      </c>
      <c r="DG242" s="2384">
        <f t="shared" si="1751"/>
      </c>
      <c r="DH242" s="2384">
        <f t="shared" si="1751"/>
      </c>
      <c r="DI242" s="2385">
        <f t="shared" si="1751"/>
      </c>
      <c r="DJ242" s="2386">
        <f t="shared" si="1751"/>
      </c>
      <c r="DK242" s="2384">
        <f t="shared" si="1751"/>
      </c>
      <c r="DL242" s="2384">
        <f t="shared" si="1751"/>
      </c>
      <c r="DM242" s="2385">
        <f t="shared" si="1751"/>
      </c>
      <c r="DN242" s="2386">
        <f t="shared" si="1751"/>
      </c>
      <c r="DO242" s="2384">
        <f t="shared" si="1751"/>
      </c>
      <c r="DP242" s="2384">
        <f t="shared" si="1751"/>
      </c>
      <c r="DQ242" s="2385">
        <f t="shared" si="1751"/>
      </c>
      <c r="DR242" s="2386">
        <f t="shared" si="1751"/>
      </c>
      <c r="DS242" s="2384">
        <f t="shared" si="1751"/>
      </c>
      <c r="DT242" s="2384">
        <f t="shared" si="1751"/>
      </c>
      <c r="DU242" s="2385">
        <f t="shared" si="1751"/>
      </c>
      <c r="DV242" s="2386">
        <f t="shared" si="1751"/>
      </c>
      <c r="DW242" s="2384">
        <f t="shared" si="1751"/>
      </c>
      <c r="DX242" s="2384">
        <f t="shared" si="1751"/>
      </c>
      <c r="DY242" s="2385">
        <f t="shared" si="1751"/>
      </c>
      <c r="DZ242" s="2386">
        <f t="shared" si="1751"/>
      </c>
      <c r="EA242" s="2384">
        <f t="shared" si="1751"/>
      </c>
      <c r="EB242" s="2384">
        <f t="shared" si="1751"/>
      </c>
      <c r="EC242" s="2385">
        <f t="shared" si="1751"/>
      </c>
      <c r="ED242" s="2386">
        <f t="shared" si="1751"/>
      </c>
      <c r="EE242" s="2384">
        <f t="shared" si="1751"/>
      </c>
      <c r="EF242" s="2384">
        <f t="shared" si="1751"/>
      </c>
      <c r="EG242" s="2385">
        <f t="shared" si="1751"/>
      </c>
      <c r="EH242" s="2386">
        <f t="shared" si="1751"/>
      </c>
      <c r="EI242" s="2384">
        <f t="shared" si="1751"/>
      </c>
      <c r="EJ242" s="2384">
        <f t="shared" si="1751"/>
      </c>
      <c r="EK242" s="2385">
        <f t="shared" si="1751"/>
      </c>
      <c r="EL242" s="2020"/>
      <c r="EM242" s="2020"/>
      <c r="EN242" s="2020"/>
      <c r="EO242" s="2020"/>
      <c r="EP242" s="2020"/>
      <c r="EQ242" s="2020"/>
      <c r="ER242" s="2020"/>
      <c r="ES242" s="2020"/>
      <c r="ET242" s="2020"/>
      <c r="EU242" s="2020"/>
      <c r="EV242" s="2020"/>
      <c r="EW242" s="2020"/>
      <c r="EX242" s="2020"/>
      <c r="EY242" s="2020"/>
      <c r="EZ242" s="2020"/>
      <c r="FA242" s="2020"/>
      <c r="FB242" s="2020"/>
      <c r="FC242" s="2020"/>
      <c r="FD242" s="2020"/>
      <c r="FE242" s="2020"/>
      <c r="FF242" s="2384"/>
      <c r="FG242" s="2384"/>
      <c r="FH242" s="2384">
        <f t="shared" ref="FH242:FU242" si="1752">FH232/FH231</f>
      </c>
      <c r="FI242" s="2384">
        <f t="shared" si="1752"/>
      </c>
      <c r="FJ242" s="2384">
        <f t="shared" si="1752"/>
      </c>
      <c r="FK242" s="2384">
        <f t="shared" si="1752"/>
      </c>
      <c r="FL242" s="2384">
        <f t="shared" si="1752"/>
      </c>
      <c r="FM242" s="2384">
        <f t="shared" si="1752"/>
      </c>
      <c r="FN242" s="2384">
        <f t="shared" si="1752"/>
      </c>
      <c r="FO242" s="2384">
        <f t="shared" si="1752"/>
      </c>
      <c r="FP242" s="2384">
        <f t="shared" si="1752"/>
      </c>
      <c r="FQ242" s="2384">
        <f t="shared" si="1752"/>
      </c>
      <c r="FR242" s="2384">
        <f t="shared" si="1752"/>
      </c>
      <c r="FS242" s="2384">
        <f t="shared" si="1752"/>
      </c>
      <c r="FT242" s="2384">
        <f t="shared" si="1752"/>
      </c>
      <c r="FU242" s="2384">
        <f t="shared" si="1752"/>
      </c>
    </row>
    <row r="243" spans="1:208" s="89" customFormat="1" ht="10.199999999999999">
      <c r="A243" s="907"/>
      <c r="E243" s="260"/>
      <c r="I243" s="260"/>
      <c r="M243" s="260"/>
      <c r="Q243" s="260"/>
      <c r="U243" s="260"/>
      <c r="Y243" s="260"/>
      <c r="AC243" s="260"/>
      <c r="AG243" s="260"/>
      <c r="AK243" s="260"/>
      <c r="AO243" s="260"/>
      <c r="AS243" s="260"/>
      <c r="AV243" s="363"/>
      <c r="AW243" s="2083"/>
      <c r="AX243" s="363"/>
      <c r="AY243" s="363"/>
      <c r="AZ243" s="363"/>
      <c r="BA243" s="362"/>
      <c r="BB243" s="363"/>
      <c r="BC243" s="363"/>
      <c r="BD243" s="363"/>
      <c r="BE243" s="362"/>
      <c r="BF243" s="363"/>
      <c r="BG243" s="363"/>
      <c r="BH243" s="363"/>
      <c r="BI243" s="362"/>
      <c r="BJ243" s="363"/>
      <c r="BK243" s="363"/>
      <c r="BL243" s="363"/>
      <c r="BM243" s="362"/>
      <c r="BN243" s="363"/>
      <c r="BO243" s="363"/>
      <c r="BP243" s="363"/>
      <c r="BQ243" s="362"/>
      <c r="BR243" s="363"/>
      <c r="BS243" s="363"/>
      <c r="BT243" s="363"/>
      <c r="BU243" s="362"/>
      <c r="BV243" s="363"/>
      <c r="BW243" s="363"/>
      <c r="BX243" s="363"/>
      <c r="BY243" s="362"/>
      <c r="BZ243" s="2084"/>
      <c r="CA243" s="363"/>
      <c r="CB243" s="363"/>
      <c r="CC243" s="362"/>
      <c r="CD243" s="2078"/>
      <c r="CE243" s="2078"/>
      <c r="CF243" s="2078"/>
      <c r="CG243" s="2079"/>
      <c r="CH243" s="2078"/>
      <c r="CI243" s="2080"/>
      <c r="CJ243" s="2078"/>
      <c r="CK243" s="2079"/>
      <c r="CL243" s="2078"/>
      <c r="CM243" s="2078"/>
      <c r="CN243" s="2078"/>
      <c r="CO243" s="2079"/>
      <c r="CP243" s="2078"/>
      <c r="CQ243" s="2078"/>
      <c r="CR243" s="2078"/>
      <c r="CS243" s="2079"/>
      <c r="CT243" s="363"/>
      <c r="CU243" s="363"/>
      <c r="CV243" s="363"/>
      <c r="CW243" s="362"/>
      <c r="CX243" s="363"/>
      <c r="CY243" s="363"/>
      <c r="CZ243" s="363"/>
      <c r="DA243" s="362"/>
      <c r="DB243" s="363"/>
      <c r="DC243" s="363"/>
      <c r="DD243" s="363"/>
      <c r="DE243" s="362"/>
      <c r="DF243" s="357"/>
      <c r="DG243" s="357"/>
      <c r="DH243" s="357"/>
      <c r="DI243" s="461"/>
      <c r="DJ243" s="357"/>
      <c r="DK243" s="357"/>
      <c r="DL243" s="357"/>
      <c r="DM243" s="461"/>
      <c r="DN243" s="357"/>
      <c r="DO243" s="357"/>
      <c r="DP243" s="357"/>
      <c r="DQ243" s="461"/>
      <c r="DR243" s="357"/>
      <c r="DS243" s="357"/>
      <c r="DT243" s="357"/>
      <c r="DU243" s="461"/>
      <c r="DV243" s="357"/>
      <c r="DW243" s="357"/>
      <c r="DX243" s="357"/>
      <c r="DY243" s="461"/>
      <c r="DZ243" s="357"/>
      <c r="EA243" s="357"/>
      <c r="EB243" s="357"/>
      <c r="EC243" s="461"/>
      <c r="ED243" s="357"/>
      <c r="EE243" s="357"/>
      <c r="EF243" s="357"/>
      <c r="EG243" s="461"/>
      <c r="EH243" s="357"/>
      <c r="EI243" s="357"/>
      <c r="EJ243" s="357"/>
      <c r="EK243" s="461"/>
      <c r="EL243" s="537"/>
      <c r="EY243" s="72"/>
      <c r="EZ243" s="72"/>
      <c r="FA243" s="2081"/>
      <c r="FB243" s="2081"/>
      <c r="FC243" s="2081"/>
      <c r="FD243" s="2081"/>
      <c r="FE243" s="2081"/>
      <c r="FF243" s="2081"/>
      <c r="FG243" s="2081"/>
      <c r="FH243" s="2082"/>
      <c r="FI243" s="2082"/>
      <c r="FJ243" s="2082"/>
      <c r="FK243" s="2082"/>
      <c r="FL243" s="2082"/>
      <c r="FM243" s="2082"/>
      <c r="FN243" s="2082"/>
      <c r="FO243" s="2082"/>
      <c r="FP243" s="2081"/>
      <c r="FQ243" s="2081"/>
      <c r="FR243" s="2081"/>
      <c r="FS243" s="2081"/>
      <c r="FT243" s="2081"/>
      <c r="FU243" s="2081"/>
      <c r="FV243" s="2289"/>
      <c r="FW243" s="153"/>
      <c r="FX243" s="153"/>
      <c r="FY243" s="153"/>
      <c r="FZ243" s="153"/>
      <c r="GA243" s="153"/>
      <c r="GB243" s="153"/>
      <c r="GC243" s="153"/>
      <c r="GD243" s="153"/>
      <c r="GE243" s="153"/>
      <c r="GF243" s="153"/>
      <c r="GG243" s="153"/>
      <c r="GH243" s="494"/>
      <c r="GI243" s="494"/>
      <c r="GJ243" s="494"/>
      <c r="GK243" s="494"/>
      <c r="GL243" s="494"/>
      <c r="GM243" s="494"/>
      <c r="GN243" s="2081"/>
      <c r="GO243" s="2081"/>
      <c r="GP243" s="2081"/>
      <c r="GQ243" s="2081"/>
      <c r="GR243" s="2081"/>
      <c r="GS243" s="2081"/>
      <c r="GT243" s="2081"/>
      <c r="GU243" s="2082"/>
      <c r="GV243" s="2082"/>
      <c r="GW243" s="2082"/>
      <c r="GX243" s="2082"/>
      <c r="GY243" s="2082"/>
      <c r="GZ243" s="2082"/>
    </row>
    <row r="244" spans="1:208" s="152" customFormat="1" ht="10.199999999999999">
      <c r="A244" s="907" t="s">
        <v>2185</v>
      </c>
      <c r="E244" s="275"/>
      <c r="I244" s="275"/>
      <c r="M244" s="275"/>
      <c r="Q244" s="275"/>
      <c r="U244" s="275"/>
      <c r="Y244" s="275"/>
      <c r="AC244" s="275"/>
      <c r="AG244" s="275"/>
      <c r="AK244" s="275"/>
      <c r="AO244" s="275"/>
      <c r="AS244" s="275"/>
      <c r="AV244" s="363">
        <f>AV231-AV230</f>
      </c>
      <c r="AW244" s="2083">
        <f t="shared" ref="AW244:DH244" si="1753">AW231-AW230</f>
      </c>
      <c r="AX244" s="363">
        <f t="shared" si="1753"/>
      </c>
      <c r="AY244" s="363">
        <f t="shared" si="1753"/>
      </c>
      <c r="AZ244" s="363">
        <f t="shared" si="1753"/>
      </c>
      <c r="BA244" s="362">
        <f t="shared" si="1753"/>
      </c>
      <c r="BB244" s="363">
        <f t="shared" si="1753"/>
      </c>
      <c r="BC244" s="363">
        <f t="shared" si="1753"/>
      </c>
      <c r="BD244" s="363">
        <f t="shared" si="1753"/>
      </c>
      <c r="BE244" s="362">
        <f t="shared" si="1753"/>
      </c>
      <c r="BF244" s="363">
        <f t="shared" si="1753"/>
      </c>
      <c r="BG244" s="363">
        <f t="shared" si="1753"/>
      </c>
      <c r="BH244" s="363">
        <f t="shared" si="1753"/>
      </c>
      <c r="BI244" s="362">
        <f t="shared" si="1753"/>
      </c>
      <c r="BJ244" s="363">
        <f t="shared" si="1753"/>
      </c>
      <c r="BK244" s="363">
        <f t="shared" si="1753"/>
      </c>
      <c r="BL244" s="363">
        <f t="shared" si="1753"/>
      </c>
      <c r="BM244" s="362">
        <f t="shared" si="1753"/>
      </c>
      <c r="BN244" s="363">
        <f t="shared" si="1753"/>
      </c>
      <c r="BO244" s="363">
        <f t="shared" si="1753"/>
      </c>
      <c r="BP244" s="363">
        <f t="shared" si="1753"/>
      </c>
      <c r="BQ244" s="362">
        <f t="shared" si="1753"/>
      </c>
      <c r="BR244" s="363">
        <f t="shared" si="1753"/>
      </c>
      <c r="BS244" s="363">
        <f t="shared" si="1753"/>
      </c>
      <c r="BT244" s="363">
        <f t="shared" si="1753"/>
      </c>
      <c r="BU244" s="362">
        <f t="shared" si="1753"/>
      </c>
      <c r="BV244" s="363">
        <f t="shared" si="1753"/>
      </c>
      <c r="BW244" s="363">
        <f t="shared" si="1753"/>
      </c>
      <c r="BX244" s="363">
        <f t="shared" si="1753"/>
      </c>
      <c r="BY244" s="362">
        <f t="shared" si="1753"/>
      </c>
      <c r="BZ244" s="2084">
        <f t="shared" si="1753"/>
      </c>
      <c r="CA244" s="363">
        <f t="shared" si="1753"/>
      </c>
      <c r="CB244" s="363">
        <f t="shared" si="1753"/>
      </c>
      <c r="CC244" s="362">
        <f t="shared" si="1753"/>
      </c>
      <c r="CD244" s="2078">
        <f t="shared" si="1753"/>
      </c>
      <c r="CE244" s="2078">
        <f t="shared" si="1753"/>
      </c>
      <c r="CF244" s="2078">
        <f t="shared" si="1753"/>
      </c>
      <c r="CG244" s="2079">
        <f t="shared" si="1753"/>
      </c>
      <c r="CH244" s="2078">
        <f t="shared" si="1753"/>
      </c>
      <c r="CI244" s="2080">
        <f t="shared" si="1753"/>
      </c>
      <c r="CJ244" s="2078">
        <f t="shared" si="1753"/>
      </c>
      <c r="CK244" s="2079">
        <f t="shared" si="1753"/>
      </c>
      <c r="CL244" s="2078">
        <f t="shared" si="1753"/>
      </c>
      <c r="CM244" s="2078">
        <f t="shared" si="1753"/>
      </c>
      <c r="CN244" s="2078">
        <f t="shared" si="1753"/>
      </c>
      <c r="CO244" s="2079">
        <f t="shared" si="1753"/>
      </c>
      <c r="CP244" s="2078">
        <f t="shared" si="1753"/>
      </c>
      <c r="CQ244" s="2078">
        <f t="shared" si="1753"/>
      </c>
      <c r="CR244" s="2078">
        <f t="shared" si="1753"/>
      </c>
      <c r="CS244" s="2079">
        <f t="shared" si="1753"/>
      </c>
      <c r="CT244" s="363">
        <f t="shared" si="1753"/>
      </c>
      <c r="CU244" s="363">
        <f t="shared" si="1753"/>
      </c>
      <c r="CV244" s="363">
        <f t="shared" si="1753"/>
      </c>
      <c r="CW244" s="362">
        <f t="shared" si="1753"/>
      </c>
      <c r="CX244" s="363">
        <f t="shared" si="1753"/>
      </c>
      <c r="CY244" s="363">
        <f t="shared" si="1753"/>
      </c>
      <c r="CZ244" s="363">
        <f t="shared" si="1753"/>
      </c>
      <c r="DA244" s="362">
        <f t="shared" si="1753"/>
      </c>
      <c r="DB244" s="363">
        <f t="shared" si="1753"/>
      </c>
      <c r="DC244" s="363">
        <f t="shared" si="1753"/>
      </c>
      <c r="DD244" s="363">
        <f t="shared" si="1753"/>
      </c>
      <c r="DE244" s="362">
        <f t="shared" si="1753"/>
      </c>
      <c r="DF244" s="363">
        <f t="shared" si="1753"/>
      </c>
      <c r="DG244" s="363">
        <f t="shared" si="1753"/>
      </c>
      <c r="DH244" s="363">
        <f t="shared" si="1753"/>
      </c>
      <c r="DI244" s="362">
        <f t="shared" ref="DI244:EK244" si="1754">DI231-DI230</f>
      </c>
      <c r="DJ244" s="363">
        <f t="shared" si="1754"/>
      </c>
      <c r="DK244" s="363">
        <f t="shared" si="1754"/>
      </c>
      <c r="DL244" s="363">
        <f t="shared" si="1754"/>
      </c>
      <c r="DM244" s="362">
        <f t="shared" si="1754"/>
      </c>
      <c r="DN244" s="363">
        <f t="shared" si="1754"/>
      </c>
      <c r="DO244" s="363">
        <f t="shared" si="1754"/>
      </c>
      <c r="DP244" s="363">
        <f t="shared" si="1754"/>
      </c>
      <c r="DQ244" s="362">
        <f t="shared" si="1754"/>
      </c>
      <c r="DR244" s="363">
        <f t="shared" si="1754"/>
      </c>
      <c r="DS244" s="363">
        <f t="shared" si="1754"/>
      </c>
      <c r="DT244" s="363">
        <f t="shared" si="1754"/>
      </c>
      <c r="DU244" s="362">
        <f t="shared" si="1754"/>
      </c>
      <c r="DV244" s="363">
        <f t="shared" si="1754"/>
      </c>
      <c r="DW244" s="363">
        <f t="shared" si="1754"/>
      </c>
      <c r="DX244" s="363">
        <f t="shared" si="1754"/>
      </c>
      <c r="DY244" s="362">
        <f t="shared" si="1754"/>
      </c>
      <c r="DZ244" s="363">
        <f t="shared" si="1754"/>
      </c>
      <c r="EA244" s="363">
        <f t="shared" si="1754"/>
      </c>
      <c r="EB244" s="363">
        <f t="shared" si="1754"/>
      </c>
      <c r="EC244" s="362">
        <f t="shared" si="1754"/>
      </c>
      <c r="ED244" s="363">
        <f t="shared" si="1754"/>
      </c>
      <c r="EE244" s="363">
        <f t="shared" si="1754"/>
      </c>
      <c r="EF244" s="363">
        <f t="shared" si="1754"/>
      </c>
      <c r="EG244" s="362">
        <f t="shared" si="1754"/>
      </c>
      <c r="EH244" s="363">
        <f t="shared" si="1754"/>
      </c>
      <c r="EI244" s="363">
        <f t="shared" si="1754"/>
      </c>
      <c r="EJ244" s="363">
        <f t="shared" si="1754"/>
      </c>
      <c r="EK244" s="362">
        <f t="shared" si="1754"/>
      </c>
      <c r="EL244" s="2678"/>
      <c r="EY244" s="87"/>
      <c r="EZ244" s="87"/>
      <c r="FA244" s="2081">
        <f>BI244</f>
      </c>
      <c r="FB244" s="2081">
        <f>BM244</f>
      </c>
      <c r="FC244" s="2081">
        <f>BQ244</f>
      </c>
      <c r="FD244" s="2081">
        <f>BU244</f>
      </c>
      <c r="FE244" s="2081">
        <f>BY244</f>
      </c>
      <c r="FF244" s="2081">
        <f>CC244</f>
      </c>
      <c r="FG244" s="2081">
        <f>CG244</f>
      </c>
      <c r="FH244" s="2082">
        <f>CK244</f>
      </c>
      <c r="FI244" s="2082">
        <f>CO244</f>
      </c>
      <c r="FJ244" s="2082">
        <f>CS244</f>
      </c>
      <c r="FK244" s="2082">
        <f>CW244</f>
      </c>
      <c r="FL244" s="2082">
        <f>DA244</f>
      </c>
      <c r="FM244" s="2082">
        <f>DE244</f>
      </c>
      <c r="FN244" s="2082">
        <f>DI244</f>
      </c>
      <c r="FO244" s="2082">
        <f>DM244</f>
      </c>
      <c r="FP244" s="2081">
        <f>DQ244</f>
      </c>
      <c r="FQ244" s="2081">
        <f>DU244</f>
      </c>
      <c r="FR244" s="2081">
        <f>DY244</f>
      </c>
      <c r="FS244" s="2081">
        <f>EC244</f>
      </c>
      <c r="FT244" s="2081">
        <f>EG244</f>
      </c>
      <c r="FU244" s="2081">
        <f>EK244</f>
      </c>
      <c r="FV244" s="2289"/>
      <c r="FW244" s="153"/>
      <c r="FX244" s="153"/>
      <c r="FY244" s="153"/>
      <c r="FZ244" s="153"/>
      <c r="GA244" s="153"/>
      <c r="GB244" s="153"/>
      <c r="GC244" s="153"/>
      <c r="GD244" s="153"/>
      <c r="GE244" s="153"/>
      <c r="GF244" s="153"/>
      <c r="GG244" s="153"/>
      <c r="GH244" s="494"/>
      <c r="GI244" s="494"/>
      <c r="GJ244" s="494"/>
      <c r="GK244" s="494"/>
      <c r="GL244" s="494"/>
      <c r="GM244" s="494"/>
      <c r="GN244" s="2081"/>
      <c r="GO244" s="2081"/>
      <c r="GP244" s="2081"/>
      <c r="GQ244" s="2081"/>
      <c r="GR244" s="2081"/>
      <c r="GS244" s="2081"/>
      <c r="GT244" s="2081"/>
      <c r="GU244" s="2082"/>
      <c r="GV244" s="2082"/>
      <c r="GW244" s="2082"/>
      <c r="GX244" s="2082"/>
      <c r="GY244" s="2082"/>
      <c r="GZ244" s="2082"/>
    </row>
    <row r="245" spans="1:208" s="89" customFormat="1" ht="10.199999999999999">
      <c r="A245" s="907" t="s">
        <v>2186</v>
      </c>
      <c r="E245" s="260"/>
      <c r="I245" s="260"/>
      <c r="M245" s="260"/>
      <c r="Q245" s="260"/>
      <c r="U245" s="260"/>
      <c r="Y245" s="260"/>
      <c r="AC245" s="260"/>
      <c r="AG245" s="260"/>
      <c r="AK245" s="260"/>
      <c r="AO245" s="260"/>
      <c r="AS245" s="260"/>
      <c r="AV245" s="363">
        <f t="shared" ref="AV245:DG245" si="1755">AV244-AU244</f>
      </c>
      <c r="AW245" s="2083">
        <f t="shared" si="1755"/>
      </c>
      <c r="AX245" s="363">
        <f t="shared" si="1755"/>
      </c>
      <c r="AY245" s="363">
        <f t="shared" si="1755"/>
      </c>
      <c r="AZ245" s="363">
        <f t="shared" si="1755"/>
      </c>
      <c r="BA245" s="362">
        <f t="shared" si="1755"/>
      </c>
      <c r="BB245" s="363">
        <f t="shared" si="1755"/>
      </c>
      <c r="BC245" s="363">
        <f t="shared" si="1755"/>
      </c>
      <c r="BD245" s="363">
        <f t="shared" si="1755"/>
      </c>
      <c r="BE245" s="362">
        <f t="shared" si="1755"/>
      </c>
      <c r="BF245" s="363">
        <f t="shared" si="1755"/>
      </c>
      <c r="BG245" s="363">
        <f t="shared" si="1755"/>
      </c>
      <c r="BH245" s="363">
        <f t="shared" si="1755"/>
      </c>
      <c r="BI245" s="362">
        <f t="shared" si="1755"/>
      </c>
      <c r="BJ245" s="363">
        <f t="shared" si="1755"/>
      </c>
      <c r="BK245" s="363">
        <f t="shared" si="1755"/>
      </c>
      <c r="BL245" s="363">
        <f t="shared" si="1755"/>
      </c>
      <c r="BM245" s="362">
        <f t="shared" si="1755"/>
      </c>
      <c r="BN245" s="363">
        <f t="shared" si="1755"/>
      </c>
      <c r="BO245" s="363">
        <f t="shared" si="1755"/>
      </c>
      <c r="BP245" s="363">
        <f t="shared" si="1755"/>
      </c>
      <c r="BQ245" s="362">
        <f t="shared" si="1755"/>
      </c>
      <c r="BR245" s="363">
        <f t="shared" si="1755"/>
      </c>
      <c r="BS245" s="363">
        <f t="shared" si="1755"/>
      </c>
      <c r="BT245" s="363">
        <f t="shared" si="1755"/>
      </c>
      <c r="BU245" s="362">
        <f t="shared" si="1755"/>
      </c>
      <c r="BV245" s="363">
        <f t="shared" si="1755"/>
      </c>
      <c r="BW245" s="363">
        <f t="shared" si="1755"/>
      </c>
      <c r="BX245" s="363">
        <f t="shared" si="1755"/>
      </c>
      <c r="BY245" s="362">
        <f t="shared" si="1755"/>
      </c>
      <c r="BZ245" s="2084">
        <f t="shared" si="1755"/>
      </c>
      <c r="CA245" s="363">
        <f t="shared" si="1755"/>
      </c>
      <c r="CB245" s="363">
        <f t="shared" si="1755"/>
      </c>
      <c r="CC245" s="362">
        <f t="shared" si="1755"/>
      </c>
      <c r="CD245" s="2078">
        <f t="shared" si="1755"/>
      </c>
      <c r="CE245" s="2078">
        <f t="shared" si="1755"/>
      </c>
      <c r="CF245" s="2078">
        <f t="shared" si="1755"/>
      </c>
      <c r="CG245" s="2079">
        <f t="shared" si="1755"/>
      </c>
      <c r="CH245" s="2078">
        <f t="shared" si="1755"/>
      </c>
      <c r="CI245" s="2080">
        <f t="shared" si="1755"/>
      </c>
      <c r="CJ245" s="2078">
        <f t="shared" si="1755"/>
      </c>
      <c r="CK245" s="2079">
        <f t="shared" si="1755"/>
      </c>
      <c r="CL245" s="2078">
        <f t="shared" si="1755"/>
      </c>
      <c r="CM245" s="2078">
        <f t="shared" si="1755"/>
      </c>
      <c r="CN245" s="2078">
        <f t="shared" si="1755"/>
      </c>
      <c r="CO245" s="2079">
        <f t="shared" si="1755"/>
      </c>
      <c r="CP245" s="2078">
        <f t="shared" si="1755"/>
      </c>
      <c r="CQ245" s="2078">
        <f t="shared" si="1755"/>
      </c>
      <c r="CR245" s="2078">
        <f t="shared" si="1755"/>
      </c>
      <c r="CS245" s="2079">
        <f t="shared" si="1755"/>
      </c>
      <c r="CT245" s="363">
        <f t="shared" si="1755"/>
      </c>
      <c r="CU245" s="363">
        <f t="shared" si="1755"/>
      </c>
      <c r="CV245" s="363">
        <f t="shared" si="1755"/>
      </c>
      <c r="CW245" s="362">
        <f t="shared" si="1755"/>
      </c>
      <c r="CX245" s="363">
        <f t="shared" si="1755"/>
      </c>
      <c r="CY245" s="363">
        <f t="shared" si="1755"/>
      </c>
      <c r="CZ245" s="363">
        <f t="shared" si="1755"/>
      </c>
      <c r="DA245" s="362">
        <f t="shared" si="1755"/>
      </c>
      <c r="DB245" s="363">
        <f t="shared" si="1755"/>
      </c>
      <c r="DC245" s="363">
        <f t="shared" si="1755"/>
      </c>
      <c r="DD245" s="363">
        <f t="shared" si="1755"/>
      </c>
      <c r="DE245" s="362">
        <f t="shared" si="1755"/>
      </c>
      <c r="DF245" s="363">
        <f t="shared" si="1755"/>
      </c>
      <c r="DG245" s="363">
        <f t="shared" si="1755"/>
      </c>
      <c r="DH245" s="363">
        <f t="shared" ref="DH245:EJ245" si="1756">DH244-DG244</f>
      </c>
      <c r="DI245" s="362">
        <f t="shared" si="1756"/>
      </c>
      <c r="DJ245" s="363">
        <f t="shared" si="1756"/>
      </c>
      <c r="DK245" s="363">
        <f>DK244-DJ244</f>
      </c>
      <c r="DL245" s="363">
        <f t="shared" si="1756"/>
      </c>
      <c r="DM245" s="362">
        <f>DM244-DL244</f>
      </c>
      <c r="DN245" s="363">
        <f>DN244-DM244</f>
      </c>
      <c r="DO245" s="363">
        <f>DO244-DN244</f>
      </c>
      <c r="DP245" s="363">
        <f t="shared" si="1756"/>
      </c>
      <c r="DQ245" s="362">
        <f>DQ244-DP244</f>
      </c>
      <c r="DR245" s="363">
        <f>DR244-DQ244</f>
      </c>
      <c r="DS245" s="363">
        <f>DS244-DR244</f>
      </c>
      <c r="DT245" s="363">
        <f t="shared" si="1756"/>
      </c>
      <c r="DU245" s="362">
        <f t="shared" si="1756"/>
      </c>
      <c r="DV245" s="363">
        <f t="shared" si="1756"/>
      </c>
      <c r="DW245" s="363">
        <f t="shared" si="1756"/>
      </c>
      <c r="DX245" s="363">
        <f t="shared" si="1756"/>
      </c>
      <c r="DY245" s="362">
        <f t="shared" si="1756"/>
      </c>
      <c r="DZ245" s="363">
        <f t="shared" si="1756"/>
      </c>
      <c r="EA245" s="363">
        <f t="shared" si="1756"/>
      </c>
      <c r="EB245" s="363">
        <f t="shared" si="1756"/>
      </c>
      <c r="EC245" s="362">
        <f t="shared" si="1756"/>
      </c>
      <c r="ED245" s="363">
        <f t="shared" si="1756"/>
      </c>
      <c r="EE245" s="363">
        <f t="shared" si="1756"/>
      </c>
      <c r="EF245" s="363">
        <f t="shared" si="1756"/>
      </c>
      <c r="EG245" s="362">
        <f t="shared" si="1756"/>
      </c>
      <c r="EH245" s="363">
        <f t="shared" si="1756"/>
      </c>
      <c r="EI245" s="363">
        <f t="shared" si="1756"/>
      </c>
      <c r="EJ245" s="363">
        <f t="shared" si="1756"/>
      </c>
      <c r="EK245" s="362">
        <f>EK244-EJ244</f>
      </c>
      <c r="EL245" s="537"/>
      <c r="EY245" s="72"/>
      <c r="EZ245" s="72"/>
      <c r="FA245" s="2081">
        <f t="shared" ref="FA245:FT245" si="1757">FA244-EZ244</f>
      </c>
      <c r="FB245" s="2081">
        <f t="shared" si="1757"/>
      </c>
      <c r="FC245" s="2081">
        <f t="shared" si="1757"/>
      </c>
      <c r="FD245" s="2081">
        <f t="shared" si="1757"/>
      </c>
      <c r="FE245" s="2081">
        <f t="shared" si="1757"/>
      </c>
      <c r="FF245" s="2081">
        <f t="shared" si="1757"/>
      </c>
      <c r="FG245" s="2081">
        <f t="shared" si="1757"/>
      </c>
      <c r="FH245" s="2081">
        <f t="shared" si="1757"/>
      </c>
      <c r="FI245" s="2081">
        <f t="shared" si="1757"/>
      </c>
      <c r="FJ245" s="2081">
        <f t="shared" si="1757"/>
      </c>
      <c r="FK245" s="2081">
        <f t="shared" si="1757"/>
      </c>
      <c r="FL245" s="2081">
        <f t="shared" si="1757"/>
      </c>
      <c r="FM245" s="2081">
        <f t="shared" si="1757"/>
      </c>
      <c r="FN245" s="2081">
        <f t="shared" si="1757"/>
      </c>
      <c r="FO245" s="2081">
        <f t="shared" si="1757"/>
      </c>
      <c r="FP245" s="2081">
        <f t="shared" si="1757"/>
      </c>
      <c r="FQ245" s="2081">
        <f t="shared" si="1757"/>
      </c>
      <c r="FR245" s="2081">
        <f t="shared" si="1757"/>
      </c>
      <c r="FS245" s="2081">
        <f t="shared" si="1757"/>
      </c>
      <c r="FT245" s="2081">
        <f t="shared" si="1757"/>
      </c>
      <c r="FU245" s="2081">
        <f>FU244-FT244</f>
      </c>
      <c r="FV245" s="2289"/>
      <c r="FW245" s="153"/>
      <c r="FX245" s="153"/>
      <c r="FY245" s="153"/>
      <c r="FZ245" s="153"/>
      <c r="GA245" s="153"/>
      <c r="GB245" s="153"/>
      <c r="GC245" s="153"/>
      <c r="GD245" s="153"/>
      <c r="GE245" s="153"/>
      <c r="GF245" s="153"/>
      <c r="GG245" s="153"/>
      <c r="GH245" s="494"/>
      <c r="GI245" s="494"/>
      <c r="GJ245" s="494"/>
      <c r="GK245" s="494"/>
      <c r="GL245" s="494"/>
      <c r="GM245" s="494"/>
      <c r="GN245" s="2081"/>
      <c r="GO245" s="2081"/>
      <c r="GP245" s="2081"/>
      <c r="GQ245" s="2081"/>
      <c r="GR245" s="2081"/>
      <c r="GS245" s="2081"/>
      <c r="GT245" s="2081"/>
      <c r="GU245" s="2082"/>
      <c r="GV245" s="2082"/>
      <c r="GW245" s="2082"/>
      <c r="GX245" s="2082"/>
      <c r="GY245" s="2082"/>
      <c r="GZ245" s="2082"/>
    </row>
    <row r="246" spans="1:208" s="342" customFormat="1"/>
    <row r="247" spans="1:208" s="342" customFormat="1">
      <c r="DF247" s="2824"/>
    </row>
    <row r="248" spans="1:208" s="342" customFormat="1">
      <c r="DK248" s="3237"/>
    </row>
    <row r="249" spans="1:208" s="342" customFormat="1"/>
    <row r="250" spans="1:208" s="342" customFormat="1"/>
    <row r="251" spans="1:208" s="342" customFormat="1"/>
    <row r="252" spans="1:208" s="342" customFormat="1"/>
    <row r="253" spans="1:208" s="342" customFormat="1"/>
    <row r="254" spans="1:208" s="342" customFormat="1"/>
    <row r="255" spans="1:208" s="342" customFormat="1"/>
    <row r="256" spans="1:208" s="342" customFormat="1"/>
    <row r="257" s="342" customFormat="1"/>
    <row r="258" s="342" customFormat="1"/>
    <row r="259" s="342" customFormat="1"/>
    <row r="260" s="342" customFormat="1"/>
    <row r="261" s="342" customFormat="1"/>
    <row r="262" s="342" customFormat="1"/>
    <row r="263" s="342" customFormat="1"/>
    <row r="264" s="342" customFormat="1"/>
    <row r="265" s="342" customFormat="1"/>
    <row r="266" s="342" customFormat="1"/>
    <row r="267" s="342" customFormat="1"/>
    <row r="268" s="342" customFormat="1"/>
    <row r="269" s="342" customFormat="1"/>
    <row r="270" s="342" customFormat="1"/>
    <row r="271" s="342" customFormat="1"/>
    <row r="272" s="342" customFormat="1"/>
    <row r="273" s="342" customFormat="1"/>
    <row r="274" s="342" customFormat="1"/>
    <row r="275" s="342" customFormat="1"/>
    <row r="276" s="342" customFormat="1"/>
    <row r="277" s="342" customFormat="1"/>
    <row r="278" s="342" customFormat="1"/>
    <row r="279" s="342" customFormat="1"/>
    <row r="280" s="342" customFormat="1"/>
    <row r="281" s="342" customFormat="1"/>
    <row r="282" s="342" customFormat="1"/>
    <row r="283" s="342" customFormat="1"/>
    <row r="284" s="342" customFormat="1"/>
    <row r="285" s="342" customFormat="1"/>
    <row r="286" s="342" customFormat="1"/>
    <row r="287" s="342" customFormat="1"/>
    <row r="288" s="342" customFormat="1"/>
    <row r="289" s="342" customFormat="1"/>
    <row r="290" s="342" customFormat="1"/>
    <row r="291" s="342" customFormat="1"/>
    <row r="292" s="342" customFormat="1"/>
    <row r="293" s="342" customFormat="1"/>
    <row r="294" s="342" customFormat="1"/>
    <row r="295" s="342" customFormat="1"/>
    <row r="296" s="342" customFormat="1"/>
    <row r="297" s="342" customFormat="1"/>
    <row r="298" s="342" customFormat="1"/>
    <row r="299" s="342" customFormat="1"/>
    <row r="300" s="342" customFormat="1"/>
    <row r="301" s="342" customFormat="1"/>
    <row r="302" s="342" customFormat="1"/>
    <row r="303" s="342" customFormat="1"/>
    <row r="304" s="342" customFormat="1"/>
    <row r="305" s="342" customFormat="1"/>
    <row r="306" s="342" customFormat="1"/>
    <row r="307" s="342" customFormat="1"/>
    <row r="308" s="342" customFormat="1"/>
    <row r="309" s="342" customFormat="1"/>
    <row r="310" s="342" customFormat="1"/>
    <row r="311" s="342" customFormat="1"/>
    <row r="312" s="342" customFormat="1"/>
    <row r="313" s="342" customFormat="1"/>
    <row r="314" s="342" customFormat="1"/>
    <row r="315" s="342" customFormat="1"/>
    <row r="316" s="342" customFormat="1"/>
    <row r="317" s="342" customFormat="1"/>
    <row r="318" s="342" customFormat="1"/>
    <row r="319" s="342" customFormat="1"/>
    <row r="320" s="342" customFormat="1"/>
    <row r="321" s="342" customFormat="1"/>
    <row r="322" s="342" customFormat="1"/>
    <row r="323" s="342" customFormat="1"/>
    <row r="324" s="342" customFormat="1"/>
    <row r="325" s="342" customFormat="1"/>
    <row r="326" s="342" customFormat="1"/>
    <row r="327" s="342" customFormat="1"/>
    <row r="328" s="342" customFormat="1"/>
    <row r="329" s="342" customFormat="1"/>
    <row r="330" s="342" customFormat="1"/>
    <row r="331" s="342" customFormat="1"/>
    <row r="332" s="342" customFormat="1"/>
    <row r="333" s="342" customFormat="1"/>
    <row r="334" s="342" customFormat="1"/>
    <row r="335" s="342" customFormat="1"/>
    <row r="336" s="342" customFormat="1"/>
    <row r="337" s="342" customFormat="1"/>
    <row r="338" s="342" customFormat="1"/>
    <row r="339" s="342" customFormat="1"/>
    <row r="340" s="342" customFormat="1"/>
    <row r="341" s="342" customFormat="1"/>
    <row r="342" s="342" customFormat="1"/>
    <row r="343" s="342" customFormat="1"/>
    <row r="344" s="342" customFormat="1"/>
    <row r="345" s="342" customFormat="1"/>
    <row r="346" s="342" customFormat="1"/>
    <row r="347" s="342" customFormat="1"/>
    <row r="348" s="342" customFormat="1"/>
    <row r="349" s="342" customFormat="1"/>
    <row r="350" s="342" customFormat="1"/>
    <row r="351" s="342" customFormat="1"/>
    <row r="352" s="342" customFormat="1"/>
    <row r="353" s="342" customFormat="1"/>
    <row r="354" s="342" customFormat="1"/>
    <row r="355" s="342" customFormat="1"/>
    <row r="356" s="342" customFormat="1"/>
    <row r="357" s="342" customFormat="1"/>
    <row r="358" s="342" customFormat="1"/>
    <row r="359" s="342" customFormat="1"/>
    <row r="360" s="342" customFormat="1"/>
    <row r="361" s="342" customFormat="1"/>
    <row r="362" s="342" customFormat="1"/>
    <row r="363" s="342" customFormat="1"/>
    <row r="364" s="342" customFormat="1"/>
    <row r="365" s="342" customFormat="1"/>
    <row r="366" s="342" customFormat="1"/>
    <row r="367" s="342" customFormat="1"/>
    <row r="368" s="342" customFormat="1"/>
    <row r="369" s="342" customFormat="1"/>
    <row r="370" s="342" customFormat="1"/>
    <row r="371" s="342" customFormat="1"/>
    <row r="372" s="342" customFormat="1"/>
    <row r="373" s="342" customFormat="1"/>
    <row r="374" s="342" customFormat="1"/>
    <row r="375" s="342" customFormat="1"/>
    <row r="376" s="342" customFormat="1"/>
    <row r="377" s="342" customFormat="1"/>
    <row r="378" s="342" customFormat="1"/>
    <row r="379" s="342" customFormat="1"/>
    <row r="380" s="342" customFormat="1"/>
    <row r="381" s="342" customFormat="1"/>
    <row r="382" s="342" customFormat="1"/>
    <row r="383" s="342" customFormat="1"/>
    <row r="384" s="342" customFormat="1"/>
    <row r="385" s="342" customFormat="1"/>
    <row r="386" s="342" customFormat="1"/>
    <row r="387" s="342" customFormat="1"/>
    <row r="388" s="342" customFormat="1"/>
    <row r="389" s="342" customFormat="1"/>
    <row r="390" s="342" customFormat="1"/>
    <row r="391" s="342" customFormat="1"/>
    <row r="392" s="342" customFormat="1"/>
    <row r="393" s="342" customFormat="1"/>
    <row r="394" s="342" customFormat="1"/>
    <row r="395" s="342" customFormat="1"/>
    <row r="396" s="342" customFormat="1"/>
    <row r="397" s="342" customFormat="1"/>
    <row r="398" s="342" customFormat="1"/>
    <row r="399" s="342" customFormat="1"/>
    <row r="400" s="342" customFormat="1"/>
    <row r="401" s="342" customFormat="1"/>
    <row r="402" s="342" customFormat="1"/>
    <row r="403" s="342" customFormat="1"/>
    <row r="404" s="342" customFormat="1"/>
    <row r="405" s="342" customFormat="1"/>
    <row r="406" s="342" customFormat="1"/>
    <row r="407" s="342" customFormat="1"/>
    <row r="408" s="342" customFormat="1"/>
    <row r="409" s="342" customFormat="1"/>
    <row r="410" s="342" customFormat="1"/>
    <row r="411" s="342" customFormat="1"/>
    <row r="412" s="342" customFormat="1"/>
    <row r="413" s="342" customFormat="1"/>
    <row r="414" s="342" customFormat="1"/>
    <row r="415" s="342" customFormat="1"/>
    <row r="416" s="342" customFormat="1"/>
    <row r="417" s="342" customFormat="1"/>
    <row r="418" s="342" customFormat="1"/>
    <row r="419" s="342" customFormat="1"/>
    <row r="420" s="342" customFormat="1"/>
    <row r="421" s="342" customFormat="1"/>
    <row r="422" s="342" customFormat="1"/>
    <row r="423" s="342" customFormat="1"/>
    <row r="424" s="342" customFormat="1"/>
    <row r="425" s="342" customFormat="1"/>
    <row r="426" s="342" customFormat="1"/>
    <row r="427" s="342" customFormat="1"/>
    <row r="428" s="342" customFormat="1"/>
    <row r="429" s="342" customFormat="1"/>
    <row r="430" s="342" customFormat="1"/>
    <row r="431" s="342" customFormat="1"/>
    <row r="432" s="342" customFormat="1"/>
    <row r="433" s="342" customFormat="1"/>
    <row r="434" s="342" customFormat="1"/>
    <row r="435" s="342" customFormat="1"/>
    <row r="436" s="342" customFormat="1"/>
    <row r="437" s="342" customFormat="1"/>
    <row r="438" s="342" customFormat="1"/>
    <row r="439" s="342" customFormat="1"/>
    <row r="440" s="342" customFormat="1"/>
    <row r="441" s="342" customFormat="1"/>
    <row r="442" s="342" customFormat="1"/>
    <row r="443" s="342" customFormat="1"/>
    <row r="444" s="342" customFormat="1"/>
    <row r="445" s="342" customFormat="1"/>
    <row r="446" s="342" customFormat="1"/>
    <row r="447" s="342" customFormat="1"/>
    <row r="448" s="342" customFormat="1"/>
    <row r="449" s="342" customFormat="1"/>
    <row r="450" s="342" customFormat="1"/>
    <row r="451" s="342" customFormat="1"/>
    <row r="452" s="342" customFormat="1"/>
    <row r="453" s="342" customFormat="1"/>
    <row r="454" s="342" customFormat="1"/>
    <row r="455" s="342" customFormat="1"/>
    <row r="456" s="342" customFormat="1"/>
    <row r="457" s="342" customFormat="1"/>
    <row r="458" s="342" customFormat="1"/>
    <row r="459" s="342" customFormat="1"/>
    <row r="460" s="342" customFormat="1"/>
    <row r="461" s="342" customFormat="1"/>
    <row r="462" s="342" customFormat="1"/>
    <row r="463" s="342" customFormat="1"/>
    <row r="464" s="342" customFormat="1"/>
    <row r="465" s="342" customFormat="1"/>
    <row r="466" s="342" customFormat="1"/>
    <row r="467" s="342" customFormat="1"/>
    <row r="468" s="342" customFormat="1"/>
    <row r="469" s="342" customFormat="1"/>
    <row r="470" s="342" customFormat="1"/>
    <row r="471" s="342" customFormat="1"/>
    <row r="472" s="342" customFormat="1"/>
    <row r="473" s="342" customFormat="1"/>
    <row r="474" s="342" customFormat="1"/>
    <row r="475" s="342" customFormat="1"/>
    <row r="476" s="342" customFormat="1"/>
    <row r="477" s="342" customFormat="1"/>
    <row r="478" s="342" customFormat="1"/>
    <row r="479" s="342" customFormat="1"/>
    <row r="480" s="342" customFormat="1"/>
    <row r="481" s="342" customFormat="1"/>
    <row r="482" s="342" customFormat="1"/>
    <row r="483" s="342" customFormat="1"/>
    <row r="484" s="342" customFormat="1"/>
    <row r="485" s="342" customFormat="1"/>
    <row r="486" s="342" customFormat="1"/>
    <row r="487" s="342" customFormat="1"/>
    <row r="488" s="342" customFormat="1"/>
    <row r="489" s="342" customFormat="1"/>
    <row r="490" s="342" customFormat="1"/>
    <row r="491" s="342" customFormat="1"/>
    <row r="492" s="342" customFormat="1"/>
    <row r="493" s="342" customFormat="1"/>
    <row r="494" s="342" customFormat="1"/>
    <row r="495" s="342" customFormat="1"/>
    <row r="496" s="342" customFormat="1"/>
    <row r="497" s="342" customFormat="1"/>
    <row r="498" s="342" customFormat="1"/>
    <row r="499" s="342" customFormat="1"/>
    <row r="500" s="342" customFormat="1"/>
    <row r="501" s="342" customFormat="1"/>
    <row r="502" s="342" customFormat="1"/>
    <row r="503" s="342" customFormat="1"/>
    <row r="504" s="342" customFormat="1"/>
    <row r="505" s="342" customFormat="1"/>
    <row r="506" s="342" customFormat="1"/>
    <row r="507" s="342" customFormat="1"/>
    <row r="508" s="342" customFormat="1"/>
    <row r="509" s="342" customFormat="1"/>
    <row r="510" s="342" customFormat="1"/>
    <row r="511" s="342" customFormat="1"/>
    <row r="512" s="342" customFormat="1"/>
    <row r="513" s="342" customFormat="1"/>
    <row r="514" s="342" customFormat="1"/>
    <row r="515" s="342" customFormat="1"/>
    <row r="516" s="342" customFormat="1"/>
    <row r="517" s="342" customFormat="1"/>
    <row r="518" s="342" customFormat="1"/>
    <row r="519" s="342" customFormat="1"/>
    <row r="520" s="342" customFormat="1"/>
    <row r="521" s="342" customFormat="1"/>
    <row r="522" s="342" customFormat="1"/>
    <row r="523" s="342" customFormat="1"/>
    <row r="524" s="342" customFormat="1"/>
    <row r="525" s="342" customFormat="1"/>
    <row r="526" s="342" customFormat="1"/>
    <row r="527" s="342" customFormat="1"/>
    <row r="528" s="342" customFormat="1"/>
    <row r="529" s="342" customFormat="1"/>
    <row r="530" s="342" customFormat="1"/>
    <row r="531" s="342" customFormat="1"/>
    <row r="532" s="342" customFormat="1"/>
    <row r="533" s="342" customFormat="1"/>
    <row r="534" s="342" customFormat="1"/>
    <row r="535" s="342" customFormat="1"/>
    <row r="536" s="342" customFormat="1"/>
    <row r="537" s="342" customFormat="1"/>
    <row r="538" s="342" customFormat="1"/>
    <row r="539" s="342" customFormat="1"/>
    <row r="540" s="342" customFormat="1"/>
    <row r="541" s="342" customFormat="1"/>
    <row r="542" s="342" customFormat="1"/>
    <row r="543" s="342" customFormat="1"/>
    <row r="544" s="342" customFormat="1"/>
    <row r="545" s="342" customFormat="1"/>
    <row r="546" s="342" customFormat="1"/>
    <row r="547" s="342" customFormat="1"/>
    <row r="548" s="342" customFormat="1"/>
    <row r="549" s="342" customFormat="1"/>
    <row r="550" s="342" customFormat="1"/>
    <row r="551" s="342" customFormat="1"/>
    <row r="552" s="342" customFormat="1"/>
    <row r="553" s="342" customFormat="1"/>
    <row r="554" s="342" customFormat="1"/>
    <row r="555" s="342" customFormat="1"/>
    <row r="556" s="342" customFormat="1"/>
    <row r="557" s="342" customFormat="1"/>
    <row r="558" s="342" customFormat="1"/>
    <row r="559" s="342" customFormat="1"/>
    <row r="560" s="342" customFormat="1"/>
    <row r="561" s="342" customFormat="1"/>
    <row r="562" s="342" customFormat="1"/>
    <row r="563" s="342" customFormat="1"/>
    <row r="564" s="342" customFormat="1"/>
    <row r="565" s="342" customFormat="1"/>
    <row r="566" s="342" customFormat="1"/>
    <row r="567" s="342" customFormat="1"/>
    <row r="568" s="342" customFormat="1"/>
    <row r="569" s="342" customFormat="1"/>
    <row r="570" s="342" customFormat="1"/>
    <row r="571" s="342" customFormat="1"/>
    <row r="572" s="342" customFormat="1"/>
    <row r="573" s="342" customFormat="1"/>
    <row r="574" s="342" customFormat="1"/>
    <row r="575" s="342" customFormat="1"/>
    <row r="576" s="342" customFormat="1"/>
    <row r="577" s="342" customFormat="1"/>
    <row r="578" s="342" customFormat="1"/>
    <row r="579" s="342" customFormat="1"/>
    <row r="580" s="342" customFormat="1"/>
    <row r="581" s="342" customFormat="1"/>
    <row r="582" s="342" customFormat="1"/>
    <row r="583" s="342" customFormat="1"/>
    <row r="584" s="342" customFormat="1"/>
    <row r="585" s="342" customFormat="1"/>
    <row r="586" s="342" customFormat="1"/>
    <row r="587" s="342" customFormat="1"/>
    <row r="588" s="342" customFormat="1"/>
    <row r="589" s="342" customFormat="1"/>
    <row r="590" s="342" customFormat="1"/>
    <row r="591" s="342" customFormat="1"/>
    <row r="592" s="342" customFormat="1"/>
    <row r="593" s="342" customFormat="1"/>
    <row r="594" s="342" customFormat="1"/>
    <row r="595" s="342" customFormat="1"/>
    <row r="596" s="342" customFormat="1"/>
    <row r="597" s="342" customFormat="1"/>
    <row r="598" s="342" customFormat="1"/>
    <row r="599" s="342" customFormat="1"/>
    <row r="600" s="342" customFormat="1"/>
    <row r="601" s="342" customFormat="1"/>
    <row r="602" s="342" customFormat="1"/>
    <row r="603" s="342" customFormat="1"/>
    <row r="604" s="342" customFormat="1"/>
    <row r="605" s="342" customFormat="1"/>
    <row r="606" s="342" customFormat="1"/>
    <row r="607" s="342" customFormat="1"/>
    <row r="608" s="342" customFormat="1"/>
    <row r="609" s="342" customFormat="1"/>
    <row r="610" s="342" customFormat="1"/>
    <row r="611" s="342" customFormat="1"/>
    <row r="612" s="342" customFormat="1"/>
    <row r="613" s="342" customFormat="1"/>
    <row r="614" s="342" customFormat="1"/>
    <row r="615" s="342" customFormat="1"/>
    <row r="616" s="342" customFormat="1"/>
    <row r="617" s="342" customFormat="1"/>
    <row r="618" s="342" customFormat="1"/>
    <row r="619" s="342" customFormat="1"/>
    <row r="620" s="342" customFormat="1"/>
    <row r="621" s="342" customFormat="1"/>
    <row r="622" s="342" customFormat="1"/>
    <row r="623" s="342" customFormat="1"/>
    <row r="624" s="342" customFormat="1"/>
    <row r="625" s="342" customFormat="1"/>
    <row r="626" s="342" customFormat="1"/>
    <row r="627" s="342" customFormat="1"/>
    <row r="628" s="342" customFormat="1"/>
    <row r="629" s="342" customFormat="1"/>
    <row r="630" s="342" customFormat="1"/>
    <row r="631" s="342" customFormat="1"/>
    <row r="632" s="342" customFormat="1"/>
    <row r="633" s="342" customFormat="1"/>
    <row r="634" s="342" customFormat="1"/>
    <row r="635" s="342" customFormat="1"/>
    <row r="636" s="342" customFormat="1"/>
    <row r="637" s="342" customFormat="1"/>
    <row r="638" s="342" customFormat="1"/>
    <row r="639" s="342" customFormat="1"/>
    <row r="640" s="342" customFormat="1"/>
    <row r="641" s="342" customFormat="1"/>
    <row r="642" s="342" customFormat="1"/>
    <row r="643" s="342" customFormat="1"/>
    <row r="644" s="342" customFormat="1"/>
    <row r="645" s="342" customFormat="1"/>
    <row r="646" s="342" customFormat="1"/>
    <row r="647" s="342" customFormat="1"/>
    <row r="648" s="342" customFormat="1"/>
    <row r="649" s="342" customFormat="1"/>
    <row r="650" s="342" customFormat="1"/>
    <row r="651" s="342" customFormat="1"/>
    <row r="652" s="342" customFormat="1"/>
    <row r="653" s="342" customFormat="1"/>
    <row r="654" s="342" customFormat="1"/>
    <row r="655" s="342" customFormat="1"/>
    <row r="656" s="342" customFormat="1"/>
    <row r="657" s="342" customFormat="1"/>
    <row r="658" s="342" customFormat="1"/>
    <row r="659" s="342" customFormat="1"/>
    <row r="660" s="342" customFormat="1"/>
    <row r="661" s="342" customFormat="1"/>
    <row r="662" s="342" customFormat="1"/>
    <row r="663" s="342" customFormat="1"/>
    <row r="664" s="342" customFormat="1"/>
    <row r="665" s="342" customFormat="1"/>
    <row r="666" s="342" customFormat="1"/>
    <row r="667" s="342" customFormat="1"/>
    <row r="668" s="342" customFormat="1"/>
    <row r="669" s="342" customFormat="1"/>
    <row r="670" s="342" customFormat="1"/>
    <row r="671" s="342" customFormat="1"/>
    <row r="672" s="342" customFormat="1"/>
    <row r="673" s="342" customFormat="1"/>
    <row r="674" s="342" customFormat="1"/>
    <row r="675" s="342" customFormat="1"/>
    <row r="676" s="342" customFormat="1"/>
    <row r="677" s="342" customFormat="1"/>
    <row r="678" s="342" customFormat="1"/>
    <row r="679" s="342" customFormat="1"/>
    <row r="680" s="342" customFormat="1"/>
    <row r="681" s="342" customFormat="1"/>
    <row r="682" s="342" customFormat="1"/>
    <row r="683" s="342" customFormat="1"/>
    <row r="684" s="342" customFormat="1"/>
    <row r="685" s="342" customFormat="1"/>
    <row r="686" s="342" customFormat="1"/>
    <row r="687" s="342" customFormat="1"/>
    <row r="688" s="342" customFormat="1"/>
    <row r="689" s="342" customFormat="1"/>
    <row r="690" s="342" customFormat="1"/>
    <row r="691" s="342" customFormat="1"/>
    <row r="692" s="342" customFormat="1"/>
    <row r="693" s="342" customFormat="1"/>
    <row r="694" s="342" customFormat="1"/>
    <row r="695" s="342" customFormat="1"/>
    <row r="696" s="342" customFormat="1"/>
    <row r="697" s="342" customFormat="1"/>
    <row r="698" s="342" customFormat="1"/>
    <row r="699" s="342" customFormat="1"/>
    <row r="700" s="342" customFormat="1"/>
    <row r="701" s="342" customFormat="1"/>
    <row r="702" s="342" customFormat="1"/>
    <row r="703" s="342" customFormat="1"/>
    <row r="704" s="342" customFormat="1"/>
    <row r="705" s="342" customFormat="1"/>
    <row r="706" s="342" customFormat="1"/>
    <row r="707" s="342" customFormat="1"/>
    <row r="708" s="342" customFormat="1"/>
    <row r="709" s="342" customFormat="1"/>
    <row r="710" s="342" customFormat="1"/>
    <row r="711" s="342" customFormat="1"/>
    <row r="712" s="342" customFormat="1"/>
    <row r="713" s="342" customFormat="1"/>
    <row r="714" s="342" customFormat="1"/>
    <row r="715" s="342" customFormat="1"/>
    <row r="716" s="342" customFormat="1"/>
    <row r="717" s="342" customFormat="1"/>
    <row r="718" s="342" customFormat="1"/>
    <row r="719" s="342" customFormat="1"/>
    <row r="720" s="342" customFormat="1"/>
    <row r="721" s="342" customFormat="1"/>
    <row r="722" s="342" customFormat="1"/>
    <row r="723" s="342" customFormat="1"/>
    <row r="724" s="342" customFormat="1"/>
    <row r="725" s="342" customFormat="1"/>
    <row r="726" s="342" customFormat="1"/>
    <row r="727" s="342" customFormat="1"/>
    <row r="728" s="342" customFormat="1"/>
    <row r="729" s="342" customFormat="1"/>
    <row r="730" s="342" customFormat="1"/>
    <row r="731" s="342" customFormat="1"/>
    <row r="732" s="342" customFormat="1"/>
    <row r="733" s="342" customFormat="1"/>
    <row r="734" s="342" customFormat="1"/>
    <row r="735" s="342" customFormat="1"/>
    <row r="736" s="342" customFormat="1"/>
    <row r="737" s="342" customFormat="1"/>
    <row r="738" s="342" customFormat="1"/>
    <row r="739" s="342" customFormat="1"/>
    <row r="740" s="342" customFormat="1"/>
    <row r="741" s="342" customFormat="1"/>
    <row r="742" s="342" customFormat="1"/>
    <row r="743" s="342" customFormat="1"/>
    <row r="744" s="342" customFormat="1"/>
    <row r="745" s="342" customFormat="1"/>
    <row r="746" s="342" customFormat="1"/>
    <row r="747" s="342" customFormat="1"/>
    <row r="748" s="342" customFormat="1"/>
    <row r="749" s="342" customFormat="1"/>
    <row r="750" s="342" customFormat="1"/>
    <row r="751" s="342" customFormat="1"/>
    <row r="752" s="342" customFormat="1"/>
    <row r="753" s="342" customFormat="1"/>
    <row r="754" s="342" customFormat="1"/>
    <row r="755" s="342" customFormat="1"/>
    <row r="756" s="342" customFormat="1"/>
    <row r="757" s="342" customFormat="1"/>
    <row r="758" s="342" customFormat="1"/>
    <row r="759" s="342" customFormat="1"/>
    <row r="760" s="342" customFormat="1"/>
    <row r="761" s="342" customFormat="1"/>
    <row r="762" s="342" customFormat="1"/>
    <row r="763" s="342" customFormat="1"/>
    <row r="764" s="342" customFormat="1"/>
    <row r="765" s="342" customFormat="1"/>
    <row r="766" s="342" customFormat="1"/>
    <row r="767" s="342" customFormat="1"/>
    <row r="768" s="342" customFormat="1"/>
    <row r="769" s="342" customFormat="1"/>
    <row r="770" s="342" customFormat="1"/>
    <row r="771" s="342" customFormat="1"/>
    <row r="772" s="342" customFormat="1"/>
    <row r="773" s="342" customFormat="1"/>
    <row r="774" s="342" customFormat="1"/>
    <row r="775" s="342" customFormat="1"/>
    <row r="776" s="342" customFormat="1"/>
    <row r="777" s="342" customFormat="1"/>
    <row r="778" s="342" customFormat="1"/>
    <row r="779" s="342" customFormat="1"/>
    <row r="780" s="342" customFormat="1"/>
    <row r="781" s="342" customFormat="1"/>
    <row r="782" s="342" customFormat="1"/>
    <row r="783" s="342" customFormat="1"/>
    <row r="784" s="342" customFormat="1"/>
    <row r="785" s="342" customFormat="1"/>
    <row r="786" s="342" customFormat="1"/>
    <row r="787" s="342" customFormat="1"/>
    <row r="788" s="342" customFormat="1"/>
    <row r="789" s="342" customFormat="1"/>
    <row r="790" s="342" customFormat="1"/>
    <row r="791" s="342" customFormat="1"/>
    <row r="792" s="342" customFormat="1"/>
    <row r="793" s="342" customFormat="1"/>
    <row r="794" s="342" customFormat="1"/>
    <row r="795" s="342" customFormat="1"/>
    <row r="796" s="342" customFormat="1"/>
    <row r="797" s="342" customFormat="1"/>
    <row r="798" s="342" customFormat="1"/>
    <row r="799" s="342" customFormat="1"/>
    <row r="800" s="342" customFormat="1"/>
    <row r="801" s="342" customFormat="1"/>
    <row r="802" s="342" customFormat="1"/>
    <row r="803" s="342" customFormat="1"/>
    <row r="804" s="342" customFormat="1"/>
    <row r="805" s="342" customFormat="1"/>
    <row r="806" s="342" customFormat="1"/>
    <row r="807" s="342" customFormat="1"/>
    <row r="808" s="342" customFormat="1"/>
    <row r="809" s="342" customFormat="1"/>
    <row r="810" s="342" customFormat="1"/>
    <row r="811" s="342" customFormat="1"/>
    <row r="812" s="342" customFormat="1"/>
  </sheetData>
  <pageMargins left="0.7" right="0.7" top="0.75" bottom="0.75" header="0.3" footer="0.3"/>
  <pageSetup scale="10" fitToHeight="10" orientation="landscape" r:id="rId1"/>
  <headerFooter>
    <oddFooter>&amp;L&amp;P/&amp;N&amp;R&amp;F
&amp;A
&amp;D</oddFooter>
  </headerFooter>
  <rowBreaks count="3" manualBreakCount="3">
    <brk id="71" max="176" man="1"/>
    <brk id="130" max="176" man="1"/>
    <brk id="182" max="176" man="1"/>
  </rowBreaks>
  <customProperties>
    <customPr name="Qube.Worksheet.Visibility" r:id="rId2"/>
  </customProperties>
  <drawing r:id="rId3"/>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A3A2D-134D-4A1C-9044-0BEDA1297163}">
  <sheetPr>
    <pageSetUpPr autoPageBreaks="0"/>
  </sheetPr>
  <dimension ref="A1:HF204"/>
  <sheetViews>
    <sheetView zoomScaleNormal="100" zoomScaleSheetLayoutView="85" workbookViewId="0">
      <pane xSplit="1" ySplit="9" topLeftCell="DF10" activePane="bottomRight" state="frozen"/>
      <selection pane="topRight"/>
      <selection pane="bottomLeft"/>
      <selection pane="bottomRight"/>
    </sheetView>
  </sheetViews>
  <sheetFormatPr defaultRowHeight="13.8" outlineLevelRow="1" outlineLevelCol="1"/>
  <cols>
    <col min="1" max="1" width="48.19921875" customWidth="1"/>
    <col min="2" max="84" width="9" hidden="1" customWidth="1" outlineLevel="1"/>
    <col min="85" max="85" width="9.5" hidden="1" customWidth="1" outlineLevel="1"/>
    <col min="86" max="89" width="9" hidden="1" customWidth="1" outlineLevel="1"/>
    <col min="90" max="90" width="9" hidden="1" customWidth="1" outlineLevel="1" collapsed="1"/>
    <col min="91" max="93" width="9" hidden="1" customWidth="1" outlineLevel="1"/>
    <col min="94" max="94" width="7.09765625" hidden="1" customWidth="1" outlineLevel="1" collapsed="1"/>
    <col min="95" max="101" width="7.09765625" hidden="1" customWidth="1" outlineLevel="1"/>
    <col min="102" max="102" width="7.09765625" hidden="1" customWidth="1" outlineLevel="1" collapsed="1"/>
    <col min="103" max="105" width="7.09765625" hidden="1" customWidth="1" outlineLevel="1"/>
    <col min="106" max="106" width="7.09765625" hidden="1" customWidth="1" outlineLevel="1" collapsed="1"/>
    <col min="107" max="109" width="7.09765625" hidden="1" customWidth="1" outlineLevel="1"/>
    <col min="110" max="110" width="7.09765625" customWidth="1" collapsed="1"/>
    <col min="111" max="113" width="7.09765625" customWidth="1"/>
    <col min="114" max="114" width="8.09765625" bestFit="1" customWidth="1"/>
    <col min="115" max="125" width="7.09765625" customWidth="1"/>
    <col min="126" max="141" width="7.09765625" hidden="1" customWidth="1" outlineLevel="1"/>
    <col min="142" max="142" width="9" collapsed="1"/>
    <col min="143" max="164" width="9" hidden="1" customWidth="1" outlineLevel="1"/>
    <col min="165" max="165" width="9" hidden="1" customWidth="1" outlineLevel="1" collapsed="1"/>
    <col min="166" max="168" width="9" hidden="1" customWidth="1" outlineLevel="1"/>
    <col min="169" max="169" width="9" collapsed="1"/>
    <col min="175" max="177" width="9" hidden="1" customWidth="1" outlineLevel="1"/>
    <col min="178" max="178" width="9" collapsed="1"/>
    <col min="179" max="200" width="9" hidden="1" customWidth="1" outlineLevel="1"/>
    <col min="201" max="201" width="9" collapsed="1"/>
  </cols>
  <sheetData>
    <row r="1" spans="1:212" s="905" customFormat="1" ht="10.199999999999999">
      <c r="A1" s="1057"/>
      <c r="E1" s="1058"/>
      <c r="I1" s="1058"/>
      <c r="M1" s="1058"/>
      <c r="Q1" s="1058"/>
      <c r="U1" s="1058"/>
      <c r="Y1" s="1058"/>
      <c r="AC1" s="1058"/>
      <c r="AG1" s="1058"/>
      <c r="AK1" s="1058"/>
      <c r="AO1" s="1058"/>
      <c r="AS1" s="1058"/>
      <c r="AW1" s="1058"/>
      <c r="BA1" s="1058"/>
      <c r="BE1" s="1058"/>
      <c r="BI1" s="1058"/>
      <c r="BM1" s="1058"/>
      <c r="BQ1" s="1058"/>
      <c r="BU1" s="1058"/>
      <c r="BY1" s="1058"/>
      <c r="CC1" s="1058"/>
      <c r="CG1" s="1058"/>
      <c r="CK1" s="1058"/>
      <c r="CO1" s="1058"/>
      <c r="CS1" s="1058"/>
      <c r="CW1" s="1058"/>
      <c r="DA1" s="780"/>
      <c r="DE1" s="1084"/>
      <c r="DF1" s="88"/>
      <c r="DI1" s="923"/>
      <c r="DJ1" s="2714"/>
      <c r="DK1" s="88"/>
      <c r="DM1" s="1058"/>
      <c r="DQ1" s="1058"/>
      <c r="DU1" s="1058"/>
      <c r="DY1" s="1058"/>
      <c r="EC1" s="1058"/>
      <c r="EG1" s="1058"/>
      <c r="EK1" s="1058"/>
      <c r="FM1" s="970"/>
    </row>
    <row r="2" spans="1:212" s="89" customFormat="1" ht="10.199999999999999">
      <c r="A2" s="152"/>
      <c r="E2" s="260"/>
      <c r="I2" s="260"/>
      <c r="M2" s="260"/>
      <c r="Q2" s="260"/>
      <c r="U2" s="260"/>
      <c r="Y2" s="260"/>
      <c r="AC2" s="260"/>
      <c r="AG2" s="260"/>
      <c r="AK2" s="260"/>
      <c r="AO2" s="260"/>
      <c r="AS2" s="260"/>
      <c r="AW2" s="260"/>
      <c r="BA2" s="260"/>
      <c r="BE2" s="260"/>
      <c r="BI2" s="260"/>
      <c r="BM2" s="260"/>
      <c r="BQ2" s="260"/>
      <c r="BU2" s="260"/>
      <c r="BY2" s="260"/>
      <c r="CB2" s="142"/>
      <c r="CC2" s="260"/>
      <c r="CF2" s="1142"/>
      <c r="CG2" s="861"/>
      <c r="CH2" s="88"/>
      <c r="CI2" s="149"/>
      <c r="CJ2" s="149"/>
      <c r="CK2" s="861"/>
      <c r="CL2" s="198"/>
      <c r="CM2" s="198"/>
      <c r="CN2" s="198"/>
      <c r="CO2" s="1072"/>
      <c r="CP2" s="198"/>
      <c r="CQ2" s="143"/>
      <c r="CR2" s="198"/>
      <c r="CS2" s="276"/>
      <c r="CT2" s="454"/>
      <c r="CU2" s="454"/>
      <c r="CV2" s="454"/>
      <c r="CW2" s="455"/>
      <c r="CX2" s="454"/>
      <c r="CY2" s="454"/>
      <c r="CZ2" s="454"/>
      <c r="DA2" s="862"/>
      <c r="DB2" s="454"/>
      <c r="DC2" s="454"/>
      <c r="DD2" s="520"/>
      <c r="DE2" s="455"/>
      <c r="DF2" s="454"/>
      <c r="DG2" s="3206"/>
      <c r="DH2" s="454"/>
      <c r="DI2" s="455"/>
      <c r="DJ2" s="3170"/>
      <c r="DK2" s="3206"/>
      <c r="DL2" s="454"/>
      <c r="DM2" s="455"/>
      <c r="DN2" s="454"/>
      <c r="DO2" s="454"/>
      <c r="DP2" s="454"/>
      <c r="DQ2" s="455"/>
      <c r="DR2" s="454"/>
      <c r="DS2" s="454"/>
      <c r="DT2" s="454"/>
      <c r="DU2" s="455"/>
      <c r="DV2" s="454"/>
      <c r="DW2" s="454"/>
      <c r="DX2" s="454"/>
      <c r="DY2" s="455"/>
      <c r="DZ2" s="454"/>
      <c r="EA2" s="454"/>
      <c r="EB2" s="454"/>
      <c r="EC2" s="455"/>
      <c r="ED2" s="454"/>
      <c r="EE2" s="454"/>
      <c r="EF2" s="454"/>
      <c r="EG2" s="455"/>
      <c r="EH2" s="454"/>
      <c r="EI2" s="454"/>
      <c r="EJ2" s="454"/>
      <c r="EK2" s="455"/>
      <c r="FI2" s="372"/>
      <c r="FJ2" s="372"/>
      <c r="FK2" s="372"/>
      <c r="FL2" s="372"/>
      <c r="FM2" s="372"/>
      <c r="FN2" s="372"/>
      <c r="FO2" s="372"/>
      <c r="FQ2" s="370"/>
      <c r="GS2" s="198"/>
    </row>
    <row r="3" spans="1:212" s="89" customFormat="1" ht="22.8">
      <c r="A3" s="863" t="s">
        <v>0</v>
      </c>
      <c r="B3" s="152"/>
      <c r="E3" s="260"/>
      <c r="I3" s="260"/>
      <c r="M3" s="260"/>
      <c r="Q3" s="260"/>
      <c r="U3" s="260"/>
      <c r="Y3" s="260"/>
      <c r="AC3" s="260"/>
      <c r="AG3" s="260"/>
      <c r="AK3" s="260"/>
      <c r="AO3" s="260"/>
      <c r="AS3" s="260"/>
      <c r="AW3" s="260"/>
      <c r="BA3" s="260"/>
      <c r="BE3" s="260"/>
      <c r="BI3" s="260"/>
      <c r="BM3" s="260"/>
      <c r="BQ3" s="260"/>
      <c r="BU3" s="260"/>
      <c r="BV3" s="863"/>
      <c r="BW3" s="863"/>
      <c r="BY3" s="260"/>
      <c r="BZ3" s="863"/>
      <c r="CB3" s="62"/>
      <c r="CC3" s="260"/>
      <c r="CD3" s="863"/>
      <c r="CG3" s="864"/>
      <c r="CH3" s="865"/>
      <c r="CI3" s="865"/>
      <c r="CJ3" s="865"/>
      <c r="CK3" s="866"/>
      <c r="CL3" s="865"/>
      <c r="CM3" s="865"/>
      <c r="CN3" s="865"/>
      <c r="CO3" s="866"/>
      <c r="CP3" s="865"/>
      <c r="CQ3" s="1070"/>
      <c r="CR3" s="865"/>
      <c r="CS3" s="866"/>
      <c r="CT3" s="428"/>
      <c r="CU3" s="428"/>
      <c r="CV3" s="428"/>
      <c r="CW3" s="429"/>
      <c r="CX3" s="428"/>
      <c r="CY3" s="428"/>
      <c r="CZ3" s="428"/>
      <c r="DA3" s="862"/>
      <c r="DB3" s="428"/>
      <c r="DC3" s="428"/>
      <c r="DD3" s="2389"/>
      <c r="DE3" s="2183"/>
      <c r="DF3" s="428"/>
      <c r="DG3" s="143"/>
      <c r="DH3" s="1086"/>
      <c r="DI3" s="429"/>
      <c r="DJ3" s="3002"/>
      <c r="DK3" s="1086"/>
      <c r="DL3" s="1086"/>
      <c r="DM3" s="3249"/>
      <c r="DN3" s="1086"/>
      <c r="DO3" s="1086"/>
      <c r="DP3" s="1086"/>
      <c r="DQ3" s="1085"/>
      <c r="DR3" s="1086"/>
      <c r="DS3" s="1086"/>
      <c r="DT3" s="1086"/>
      <c r="DU3" s="1085"/>
      <c r="DV3" s="1086"/>
      <c r="DW3" s="1086"/>
      <c r="DX3" s="1086"/>
      <c r="DY3" s="1085"/>
      <c r="DZ3" s="1086"/>
      <c r="EA3" s="1086"/>
      <c r="EB3" s="1086"/>
      <c r="EC3" s="1085"/>
      <c r="ED3" s="1086"/>
      <c r="EE3" s="1086"/>
      <c r="EF3" s="1086"/>
      <c r="EG3" s="1085"/>
      <c r="EH3" s="1086"/>
      <c r="EI3" s="1086"/>
      <c r="EJ3" s="1086"/>
      <c r="EK3" s="1085"/>
      <c r="EL3" s="322"/>
      <c r="FL3" s="88"/>
      <c r="FM3" s="372"/>
      <c r="FO3" s="141"/>
      <c r="FP3" s="370"/>
      <c r="FQ3" s="370"/>
      <c r="FR3" s="370"/>
      <c r="FS3" s="370"/>
      <c r="FT3" s="370"/>
      <c r="FU3" s="370"/>
    </row>
    <row r="4" spans="1:212" s="89" customFormat="1" ht="15.6">
      <c r="A4" s="867" t="s">
        <v>81</v>
      </c>
      <c r="B4" s="868"/>
      <c r="C4" s="869"/>
      <c r="D4" s="869"/>
      <c r="E4" s="261"/>
      <c r="F4" s="869"/>
      <c r="G4" s="869"/>
      <c r="H4" s="869"/>
      <c r="I4" s="261"/>
      <c r="J4" s="869"/>
      <c r="K4" s="869"/>
      <c r="L4" s="869"/>
      <c r="M4" s="261"/>
      <c r="N4" s="869"/>
      <c r="O4" s="869"/>
      <c r="P4" s="869"/>
      <c r="Q4" s="261"/>
      <c r="R4" s="869"/>
      <c r="S4" s="869"/>
      <c r="T4" s="869"/>
      <c r="U4" s="261"/>
      <c r="V4" s="869"/>
      <c r="W4" s="869"/>
      <c r="X4" s="869"/>
      <c r="Y4" s="261"/>
      <c r="Z4" s="869"/>
      <c r="AA4" s="869"/>
      <c r="AB4" s="869"/>
      <c r="AC4" s="261"/>
      <c r="AD4" s="869"/>
      <c r="AE4" s="869"/>
      <c r="AF4" s="869"/>
      <c r="AG4" s="261"/>
      <c r="AH4" s="869"/>
      <c r="AI4" s="869"/>
      <c r="AJ4" s="869"/>
      <c r="AK4" s="261"/>
      <c r="AL4" s="869"/>
      <c r="AM4" s="869"/>
      <c r="AN4" s="869"/>
      <c r="AO4" s="261"/>
      <c r="AP4" s="869"/>
      <c r="AQ4" s="869"/>
      <c r="AR4" s="869"/>
      <c r="AS4" s="261"/>
      <c r="AT4" s="869"/>
      <c r="AU4" s="869"/>
      <c r="AV4" s="869"/>
      <c r="AW4" s="261"/>
      <c r="AX4" s="869"/>
      <c r="AY4" s="869"/>
      <c r="AZ4" s="869"/>
      <c r="BA4" s="261"/>
      <c r="BB4" s="869"/>
      <c r="BC4" s="869"/>
      <c r="BD4" s="869"/>
      <c r="BE4" s="261"/>
      <c r="BF4" s="869"/>
      <c r="BG4" s="869"/>
      <c r="BH4" s="869"/>
      <c r="BI4" s="261"/>
      <c r="BJ4" s="869"/>
      <c r="BK4" s="869"/>
      <c r="BL4" s="869"/>
      <c r="BM4" s="261"/>
      <c r="BN4" s="869"/>
      <c r="BO4" s="869"/>
      <c r="BP4" s="869"/>
      <c r="BQ4" s="261"/>
      <c r="BR4" s="869"/>
      <c r="BS4" s="869"/>
      <c r="BT4" s="869"/>
      <c r="BU4" s="261"/>
      <c r="BV4" s="870"/>
      <c r="BW4" s="870"/>
      <c r="BX4" s="869"/>
      <c r="BY4" s="261"/>
      <c r="BZ4" s="870"/>
      <c r="CA4" s="869"/>
      <c r="CB4" s="869"/>
      <c r="CC4" s="261"/>
      <c r="CD4" s="867"/>
      <c r="CE4" s="869"/>
      <c r="CF4" s="869"/>
      <c r="CG4" s="261"/>
      <c r="CH4" s="869"/>
      <c r="CI4" s="869"/>
      <c r="CJ4" s="869"/>
      <c r="CK4" s="261"/>
      <c r="CL4" s="869"/>
      <c r="CM4" s="869"/>
      <c r="CN4" s="869"/>
      <c r="CO4" s="261"/>
      <c r="CP4" s="871"/>
      <c r="CQ4" s="1071"/>
      <c r="CR4" s="871"/>
      <c r="CS4" s="261"/>
      <c r="CT4" s="144"/>
      <c r="CU4" s="144"/>
      <c r="CV4" s="144"/>
      <c r="CW4" s="261"/>
      <c r="CX4" s="144"/>
      <c r="CY4" s="144"/>
      <c r="CZ4" s="144"/>
      <c r="DA4" s="872"/>
      <c r="DB4" s="144"/>
      <c r="DC4" s="144"/>
      <c r="DD4" s="531"/>
      <c r="DE4" s="2388"/>
      <c r="DF4" s="144"/>
      <c r="DG4" s="532"/>
      <c r="DH4" s="145"/>
      <c r="DI4" s="533"/>
      <c r="DJ4" s="144"/>
      <c r="DK4" s="3195"/>
      <c r="DL4" s="1051"/>
      <c r="DM4" s="261"/>
      <c r="DN4" s="144"/>
      <c r="DO4" s="144"/>
      <c r="DP4" s="144"/>
      <c r="DQ4" s="261"/>
      <c r="DR4" s="144"/>
      <c r="DS4" s="144"/>
      <c r="DT4" s="144"/>
      <c r="DU4" s="261"/>
      <c r="DV4" s="144"/>
      <c r="DW4" s="144"/>
      <c r="DX4" s="144"/>
      <c r="DY4" s="261"/>
      <c r="DZ4" s="144"/>
      <c r="EA4" s="144"/>
      <c r="EB4" s="144"/>
      <c r="EC4" s="261"/>
      <c r="ED4" s="144"/>
      <c r="EE4" s="144"/>
      <c r="EF4" s="144"/>
      <c r="EG4" s="261"/>
      <c r="EH4" s="144"/>
      <c r="EI4" s="144"/>
      <c r="EJ4" s="144"/>
      <c r="EK4" s="261"/>
      <c r="EL4" s="869"/>
      <c r="EM4" s="869"/>
      <c r="EN4" s="869"/>
      <c r="EO4" s="869"/>
      <c r="EP4" s="869"/>
      <c r="EQ4" s="869"/>
      <c r="ER4" s="869"/>
      <c r="ES4" s="869"/>
      <c r="ET4" s="869"/>
      <c r="EU4" s="869"/>
      <c r="EV4" s="869"/>
      <c r="EW4" s="869"/>
      <c r="EX4" s="869"/>
      <c r="EY4" s="869"/>
      <c r="EZ4" s="869"/>
      <c r="FA4" s="869"/>
      <c r="FB4" s="869"/>
      <c r="FC4" s="869"/>
      <c r="FD4" s="869"/>
      <c r="FE4" s="869"/>
      <c r="FF4" s="869"/>
      <c r="FG4" s="869"/>
      <c r="FH4" s="869"/>
      <c r="FI4" s="869"/>
      <c r="FJ4" s="871"/>
      <c r="FK4" s="871"/>
      <c r="FL4" s="871"/>
      <c r="FM4" s="871"/>
      <c r="FN4" s="871"/>
      <c r="FO4" s="871"/>
      <c r="FP4" s="871"/>
      <c r="FQ4" s="871"/>
      <c r="FR4" s="3370"/>
      <c r="FS4" s="3370"/>
      <c r="FT4" s="3370"/>
      <c r="FU4" s="3370"/>
      <c r="FV4" s="869"/>
      <c r="FW4" s="869"/>
      <c r="FX4" s="869"/>
      <c r="FY4" s="869"/>
      <c r="FZ4" s="869"/>
      <c r="GA4" s="869"/>
      <c r="GB4" s="869"/>
      <c r="GC4" s="869"/>
      <c r="GD4" s="869"/>
      <c r="GE4" s="869"/>
      <c r="GF4" s="869"/>
      <c r="GG4" s="869"/>
      <c r="GH4" s="869"/>
      <c r="GI4" s="869"/>
      <c r="GJ4" s="869"/>
      <c r="GK4" s="869"/>
      <c r="GL4" s="869"/>
      <c r="GM4" s="869"/>
      <c r="GN4" s="869"/>
      <c r="GO4" s="869"/>
      <c r="GP4" s="869"/>
      <c r="GQ4" s="869"/>
      <c r="GR4" s="873"/>
      <c r="GS4" s="873"/>
      <c r="GT4" s="873"/>
      <c r="GU4" s="873"/>
      <c r="GV4" s="873"/>
      <c r="GW4" s="873"/>
      <c r="GX4" s="873"/>
      <c r="GY4" s="873"/>
      <c r="GZ4" s="873"/>
      <c r="HA4" s="873"/>
      <c r="HB4" s="873"/>
      <c r="HC4" s="873"/>
      <c r="HD4" s="873"/>
    </row>
    <row r="5" spans="1:212" s="89" customFormat="1" ht="10.199999999999999">
      <c r="A5" s="874"/>
      <c r="E5" s="260"/>
      <c r="I5" s="260"/>
      <c r="M5" s="260"/>
      <c r="Q5" s="260"/>
      <c r="U5" s="260"/>
      <c r="Y5" s="260"/>
      <c r="AC5" s="260"/>
      <c r="AG5" s="260"/>
      <c r="AK5" s="260"/>
      <c r="AO5" s="260"/>
      <c r="AS5" s="260"/>
      <c r="AW5" s="260"/>
      <c r="BA5" s="260"/>
      <c r="BE5" s="260"/>
      <c r="BI5" s="260"/>
      <c r="BM5" s="260"/>
      <c r="BQ5" s="260"/>
      <c r="BU5" s="260"/>
      <c r="BY5" s="260"/>
      <c r="CC5" s="260"/>
      <c r="CG5" s="260"/>
      <c r="CK5" s="260"/>
      <c r="CO5" s="260"/>
      <c r="CQ5" s="141"/>
      <c r="CS5" s="260"/>
      <c r="CW5" s="260"/>
      <c r="DA5" s="260"/>
      <c r="DE5" s="260"/>
      <c r="DI5" s="260"/>
      <c r="DM5" s="260"/>
      <c r="DQ5" s="260"/>
      <c r="DU5" s="260"/>
      <c r="DY5" s="260"/>
      <c r="EC5" s="260"/>
      <c r="EG5" s="260"/>
      <c r="EK5" s="260"/>
      <c r="FR5" s="143"/>
    </row>
    <row r="6" spans="1:212" s="89" customFormat="1" ht="10.199999999999999">
      <c r="A6" s="152" t="s">
        <v>874</v>
      </c>
      <c r="AK6" s="260"/>
      <c r="AO6" s="260"/>
      <c r="AS6" s="260"/>
      <c r="AW6" s="260"/>
      <c r="BA6" s="260"/>
      <c r="BM6" s="260"/>
      <c r="BQ6" s="260"/>
      <c r="BU6" s="260"/>
      <c r="BV6" s="88"/>
      <c r="BW6" s="142">
        <f t="shared" ref="BW6:DU6" si="0">(BW7-BV7)/7</f>
      </c>
      <c r="BX6" s="142">
        <f t="shared" si="0"/>
      </c>
      <c r="BY6" s="268">
        <f t="shared" si="0"/>
      </c>
      <c r="BZ6" s="142">
        <f t="shared" si="0"/>
      </c>
      <c r="CA6" s="142">
        <f t="shared" si="0"/>
      </c>
      <c r="CB6" s="142">
        <f t="shared" si="0"/>
      </c>
      <c r="CC6" s="268">
        <f t="shared" si="0"/>
      </c>
      <c r="CD6" s="142">
        <f t="shared" si="0"/>
      </c>
      <c r="CE6" s="142">
        <f t="shared" si="0"/>
      </c>
      <c r="CF6" s="142">
        <f t="shared" si="0"/>
      </c>
      <c r="CG6" s="268">
        <f t="shared" si="0"/>
      </c>
      <c r="CH6" s="142">
        <f t="shared" si="0"/>
      </c>
      <c r="CI6" s="142">
        <f t="shared" si="0"/>
      </c>
      <c r="CJ6" s="142">
        <f t="shared" si="0"/>
      </c>
      <c r="CK6" s="268">
        <f t="shared" si="0"/>
      </c>
      <c r="CL6" s="142">
        <f t="shared" si="0"/>
      </c>
      <c r="CM6" s="142">
        <f t="shared" si="0"/>
      </c>
      <c r="CN6" s="142">
        <f t="shared" si="0"/>
      </c>
      <c r="CO6" s="268">
        <f t="shared" si="0"/>
      </c>
      <c r="CP6" s="142">
        <f t="shared" si="0"/>
      </c>
      <c r="CQ6" s="142">
        <f t="shared" si="0"/>
      </c>
      <c r="CR6" s="142">
        <f t="shared" si="0"/>
      </c>
      <c r="CS6" s="268">
        <f t="shared" si="0"/>
      </c>
      <c r="CT6" s="142">
        <f t="shared" si="0"/>
      </c>
      <c r="CU6" s="142">
        <f t="shared" si="0"/>
      </c>
      <c r="CV6" s="142">
        <f t="shared" si="0"/>
      </c>
      <c r="CW6" s="268">
        <f t="shared" si="0"/>
      </c>
      <c r="CX6" s="142">
        <f t="shared" si="0"/>
      </c>
      <c r="CY6" s="142">
        <f t="shared" si="0"/>
      </c>
      <c r="CZ6" s="142">
        <f t="shared" si="0"/>
      </c>
      <c r="DA6" s="268">
        <f t="shared" si="0"/>
      </c>
      <c r="DB6" s="142">
        <f t="shared" si="0"/>
      </c>
      <c r="DC6" s="142">
        <f t="shared" si="0"/>
      </c>
      <c r="DD6" s="142">
        <f t="shared" si="0"/>
      </c>
      <c r="DE6" s="268">
        <f t="shared" si="0"/>
      </c>
      <c r="DF6" s="142">
        <f t="shared" si="0"/>
      </c>
      <c r="DG6" s="142">
        <f t="shared" si="0"/>
      </c>
      <c r="DH6" s="142">
        <f t="shared" si="0"/>
      </c>
      <c r="DI6" s="268">
        <f t="shared" si="0"/>
      </c>
      <c r="DJ6" s="142">
        <f t="shared" si="0"/>
      </c>
      <c r="DK6" s="142">
        <f t="shared" si="0"/>
      </c>
      <c r="DL6" s="142">
        <f t="shared" si="0"/>
      </c>
      <c r="DM6" s="268">
        <f t="shared" si="0"/>
      </c>
      <c r="DN6" s="142">
        <f t="shared" si="0"/>
      </c>
      <c r="DO6" s="142">
        <f t="shared" si="0"/>
      </c>
      <c r="DP6" s="142">
        <f t="shared" si="0"/>
      </c>
      <c r="DQ6" s="268">
        <f t="shared" si="0"/>
      </c>
      <c r="DR6" s="142">
        <f t="shared" si="0"/>
      </c>
      <c r="DS6" s="142">
        <f t="shared" si="0"/>
      </c>
      <c r="DT6" s="142">
        <f t="shared" si="0"/>
      </c>
      <c r="DU6" s="268">
        <f t="shared" si="0"/>
      </c>
      <c r="DV6" s="142">
        <f t="shared" ref="DV6" si="1">(DV7-DU7)/7</f>
      </c>
      <c r="DW6" s="142">
        <f t="shared" ref="DW6" si="2">(DW7-DV7)/7</f>
      </c>
      <c r="DX6" s="142">
        <f t="shared" ref="DX6" si="3">(DX7-DW7)/7</f>
      </c>
      <c r="DY6" s="268">
        <f t="shared" ref="DY6" si="4">(DY7-DX7)/7</f>
      </c>
      <c r="DZ6" s="142">
        <f t="shared" ref="DZ6" si="5">(DZ7-DY7)/7</f>
      </c>
      <c r="EA6" s="142">
        <f t="shared" ref="EA6" si="6">(EA7-DZ7)/7</f>
      </c>
      <c r="EB6" s="142">
        <f t="shared" ref="EB6" si="7">(EB7-EA7)/7</f>
      </c>
      <c r="EC6" s="268">
        <f t="shared" ref="EC6" si="8">(EC7-EB7)/7</f>
      </c>
      <c r="ED6" s="142">
        <f t="shared" ref="ED6" si="9">(ED7-EC7)/7</f>
      </c>
      <c r="EE6" s="142">
        <f t="shared" ref="EE6" si="10">(EE7-ED7)/7</f>
      </c>
      <c r="EF6" s="142">
        <f t="shared" ref="EF6" si="11">(EF7-EE7)/7</f>
      </c>
      <c r="EG6" s="268">
        <f t="shared" ref="EG6" si="12">(EG7-EF7)/7</f>
      </c>
      <c r="EH6" s="142">
        <f t="shared" ref="EH6" si="13">(EH7-EG7)/7</f>
      </c>
      <c r="EI6" s="142">
        <f t="shared" ref="EI6" si="14">(EI7-EH7)/7</f>
      </c>
      <c r="EJ6" s="142">
        <f t="shared" ref="EJ6" si="15">(EJ7-EI7)/7</f>
      </c>
      <c r="EK6" s="268">
        <f t="shared" ref="EK6" si="16">(EK7-EJ7)/7</f>
      </c>
      <c r="FH6" s="875"/>
    </row>
    <row r="7" spans="1:212" s="89" customFormat="1" ht="10.199999999999999">
      <c r="A7" s="874" t="s">
        <v>873</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2"/>
      <c r="AB7" s="152"/>
      <c r="AC7" s="152"/>
      <c r="AD7" s="152"/>
      <c r="AE7" s="152"/>
      <c r="AF7" s="152"/>
      <c r="AG7" s="152"/>
      <c r="AH7" s="152"/>
      <c r="AI7" s="152"/>
      <c r="AJ7" s="152"/>
      <c r="AK7" s="260"/>
      <c r="AL7" s="152"/>
      <c r="AM7" s="152"/>
      <c r="AN7" s="152"/>
      <c r="AO7" s="260"/>
      <c r="AP7" s="152"/>
      <c r="AQ7" s="152"/>
      <c r="AR7" s="152"/>
      <c r="AS7" s="260"/>
      <c r="AT7" s="152"/>
      <c r="AU7" s="152"/>
      <c r="AV7" s="152"/>
      <c r="AW7" s="260"/>
      <c r="AX7" s="152"/>
      <c r="AY7" s="152"/>
      <c r="AZ7" s="152"/>
      <c r="BA7" s="260"/>
      <c r="BB7" s="152"/>
      <c r="BC7" s="152"/>
      <c r="BD7" s="152"/>
      <c r="BE7" s="152"/>
      <c r="BF7" s="152"/>
      <c r="BG7" s="152"/>
      <c r="BH7" s="152"/>
      <c r="BI7" s="152"/>
      <c r="BJ7" s="152"/>
      <c r="BK7" s="152"/>
      <c r="BL7" s="152"/>
      <c r="BM7" s="275"/>
      <c r="BN7" s="152"/>
      <c r="BO7" s="152"/>
      <c r="BP7" s="152"/>
      <c r="BQ7" s="275"/>
      <c r="BR7" s="152"/>
      <c r="BS7" s="152"/>
      <c r="BT7" s="152"/>
      <c r="BU7" s="275"/>
      <c r="BV7" s="413">
        <v>41636</v>
      </c>
      <c r="BW7" s="413">
        <v>41727</v>
      </c>
      <c r="BX7" s="413">
        <v>41818</v>
      </c>
      <c r="BY7" s="414">
        <v>41909</v>
      </c>
      <c r="BZ7" s="413">
        <v>42000</v>
      </c>
      <c r="CA7" s="413">
        <v>42091</v>
      </c>
      <c r="CB7" s="413">
        <v>42182</v>
      </c>
      <c r="CC7" s="414">
        <v>42273</v>
      </c>
      <c r="CD7" s="413">
        <f>'Income Statement'!CD6</f>
      </c>
      <c r="CE7" s="413">
        <f>'Income Statement'!CE6</f>
      </c>
      <c r="CF7" s="413">
        <f>'Income Statement'!CF6</f>
      </c>
      <c r="CG7" s="414">
        <f>'Income Statement'!CG6</f>
      </c>
      <c r="CH7" s="413">
        <f>'Income Statement'!CH6</f>
      </c>
      <c r="CI7" s="413">
        <f>'Income Statement'!CI6</f>
      </c>
      <c r="CJ7" s="413">
        <f>'Income Statement'!CJ6</f>
      </c>
      <c r="CK7" s="414">
        <f>'Income Statement'!CK6</f>
      </c>
      <c r="CL7" s="413">
        <f>'Income Statement'!CL6</f>
      </c>
      <c r="CM7" s="413">
        <f>'Income Statement'!CM6</f>
      </c>
      <c r="CN7" s="413">
        <f>'Income Statement'!CN6</f>
      </c>
      <c r="CO7" s="414">
        <f>'Income Statement'!CO6</f>
      </c>
      <c r="CP7" s="413">
        <f>'Income Statement'!CP6</f>
      </c>
      <c r="CQ7" s="413">
        <f>'Income Statement'!CQ6</f>
      </c>
      <c r="CR7" s="413">
        <f>'Income Statement'!CR6</f>
      </c>
      <c r="CS7" s="414">
        <f>'Income Statement'!CS6</f>
      </c>
      <c r="CT7" s="413">
        <f>'Income Statement'!CT6</f>
      </c>
      <c r="CU7" s="413">
        <f>'Income Statement'!CU6</f>
      </c>
      <c r="CV7" s="413">
        <f>'Income Statement'!CV6</f>
      </c>
      <c r="CW7" s="414">
        <f>'Income Statement'!CW6</f>
      </c>
      <c r="CX7" s="413">
        <f>'Income Statement'!CX6</f>
      </c>
      <c r="CY7" s="413">
        <f>'Income Statement'!CY6</f>
      </c>
      <c r="CZ7" s="413">
        <f>'Income Statement'!CZ6</f>
      </c>
      <c r="DA7" s="414">
        <f>'Income Statement'!DA6</f>
      </c>
      <c r="DB7" s="413">
        <f>'Income Statement'!DB6</f>
      </c>
      <c r="DC7" s="413">
        <f>'Income Statement'!DC6</f>
      </c>
      <c r="DD7" s="413">
        <f>'Income Statement'!DD6</f>
      </c>
      <c r="DE7" s="414">
        <f>'Income Statement'!DE6</f>
      </c>
      <c r="DF7" s="413">
        <f>'Income Statement'!DF6</f>
      </c>
      <c r="DG7" s="413">
        <f>'Income Statement'!DG6</f>
      </c>
      <c r="DH7" s="413">
        <f>'Income Statement'!DH6</f>
      </c>
      <c r="DI7" s="414">
        <f>'Income Statement'!DI6</f>
      </c>
      <c r="DJ7" s="413">
        <f>'Income Statement'!DJ6</f>
      </c>
      <c r="DK7" s="413">
        <f>'Income Statement'!DK6</f>
      </c>
      <c r="DL7" s="413">
        <f>'Income Statement'!DL6</f>
      </c>
      <c r="DM7" s="414">
        <f>'Income Statement'!DM6</f>
      </c>
      <c r="DN7" s="413">
        <f>'Income Statement'!DN6</f>
      </c>
      <c r="DO7" s="413">
        <f>'Income Statement'!DO6</f>
      </c>
      <c r="DP7" s="413">
        <f>'Income Statement'!DP6</f>
      </c>
      <c r="DQ7" s="414">
        <f>'Income Statement'!DQ6</f>
      </c>
      <c r="DR7" s="413">
        <f>'Income Statement'!DR6</f>
      </c>
      <c r="DS7" s="413">
        <f>'Income Statement'!DS6</f>
      </c>
      <c r="DT7" s="413">
        <f>'Income Statement'!DT6</f>
      </c>
      <c r="DU7" s="414">
        <f>'Income Statement'!DU6</f>
      </c>
      <c r="DV7" s="413">
        <f>'Income Statement'!DV6</f>
      </c>
      <c r="DW7" s="413">
        <f>'Income Statement'!DW6</f>
      </c>
      <c r="DX7" s="413">
        <f>'Income Statement'!DX6</f>
      </c>
      <c r="DY7" s="414">
        <f>'Income Statement'!DY6</f>
      </c>
      <c r="DZ7" s="413">
        <f>'Income Statement'!DZ6</f>
      </c>
      <c r="EA7" s="413">
        <f>'Income Statement'!EA6</f>
      </c>
      <c r="EB7" s="413">
        <f>'Income Statement'!EB6</f>
      </c>
      <c r="EC7" s="414">
        <f>'Income Statement'!EC6</f>
      </c>
      <c r="ED7" s="413">
        <f>'Income Statement'!ED6</f>
      </c>
      <c r="EE7" s="413">
        <f>'Income Statement'!EE6</f>
      </c>
      <c r="EF7" s="413">
        <f>'Income Statement'!EF6</f>
      </c>
      <c r="EG7" s="414">
        <f>'Income Statement'!EG6</f>
      </c>
      <c r="EH7" s="413">
        <f>'Income Statement'!EH6</f>
      </c>
      <c r="EI7" s="413">
        <f>'Income Statement'!EI6</f>
      </c>
      <c r="EJ7" s="413">
        <f>'Income Statement'!EJ6</f>
      </c>
      <c r="EK7" s="414">
        <f>'Income Statement'!EK6</f>
      </c>
      <c r="FH7" s="876"/>
    </row>
    <row r="8" spans="1:212" s="11" customFormat="1" ht="10.199999999999999">
      <c r="A8" s="543"/>
      <c r="B8" s="543" t="s">
        <v>1</v>
      </c>
      <c r="C8" s="543" t="s">
        <v>2</v>
      </c>
      <c r="D8" s="543" t="s">
        <v>3</v>
      </c>
      <c r="E8" s="547" t="s">
        <v>4</v>
      </c>
      <c r="F8" s="543" t="s">
        <v>5</v>
      </c>
      <c r="G8" s="543" t="s">
        <v>6</v>
      </c>
      <c r="H8" s="543" t="s">
        <v>7</v>
      </c>
      <c r="I8" s="547" t="s">
        <v>8</v>
      </c>
      <c r="J8" s="543" t="s">
        <v>9</v>
      </c>
      <c r="K8" s="543" t="s">
        <v>10</v>
      </c>
      <c r="L8" s="543" t="s">
        <v>11</v>
      </c>
      <c r="M8" s="547" t="s">
        <v>12</v>
      </c>
      <c r="N8" s="543" t="s">
        <v>13</v>
      </c>
      <c r="O8" s="543" t="s">
        <v>14</v>
      </c>
      <c r="P8" s="543" t="s">
        <v>15</v>
      </c>
      <c r="Q8" s="547" t="s">
        <v>16</v>
      </c>
      <c r="R8" s="543" t="s">
        <v>17</v>
      </c>
      <c r="S8" s="543" t="s">
        <v>18</v>
      </c>
      <c r="T8" s="543" t="s">
        <v>19</v>
      </c>
      <c r="U8" s="547" t="s">
        <v>20</v>
      </c>
      <c r="V8" s="543" t="s">
        <v>21</v>
      </c>
      <c r="W8" s="543" t="s">
        <v>22</v>
      </c>
      <c r="X8" s="543" t="s">
        <v>23</v>
      </c>
      <c r="Y8" s="547" t="s">
        <v>24</v>
      </c>
      <c r="Z8" s="543" t="s">
        <v>25</v>
      </c>
      <c r="AA8" s="543" t="s">
        <v>26</v>
      </c>
      <c r="AB8" s="543" t="s">
        <v>27</v>
      </c>
      <c r="AC8" s="547" t="s">
        <v>28</v>
      </c>
      <c r="AD8" s="543" t="s">
        <v>29</v>
      </c>
      <c r="AE8" s="543" t="s">
        <v>30</v>
      </c>
      <c r="AF8" s="543" t="s">
        <v>31</v>
      </c>
      <c r="AG8" s="547" t="s">
        <v>32</v>
      </c>
      <c r="AH8" s="543" t="s">
        <v>33</v>
      </c>
      <c r="AI8" s="543" t="s">
        <v>34</v>
      </c>
      <c r="AJ8" s="543" t="s">
        <v>35</v>
      </c>
      <c r="AK8" s="547" t="s">
        <v>36</v>
      </c>
      <c r="AL8" s="543" t="s">
        <v>37</v>
      </c>
      <c r="AM8" s="543" t="s">
        <v>38</v>
      </c>
      <c r="AN8" s="543" t="s">
        <v>39</v>
      </c>
      <c r="AO8" s="547" t="s">
        <v>40</v>
      </c>
      <c r="AP8" s="543" t="s">
        <v>41</v>
      </c>
      <c r="AQ8" s="543" t="s">
        <v>42</v>
      </c>
      <c r="AR8" s="543" t="s">
        <v>43</v>
      </c>
      <c r="AS8" s="547" t="s">
        <v>44</v>
      </c>
      <c r="AT8" s="543" t="s">
        <v>45</v>
      </c>
      <c r="AU8" s="543" t="s">
        <v>46</v>
      </c>
      <c r="AV8" s="543" t="s">
        <v>47</v>
      </c>
      <c r="AW8" s="547" t="s">
        <v>48</v>
      </c>
      <c r="AX8" s="543" t="s">
        <v>49</v>
      </c>
      <c r="AY8" s="543" t="s">
        <v>50</v>
      </c>
      <c r="AZ8" s="543" t="s">
        <v>51</v>
      </c>
      <c r="BA8" s="547" t="s">
        <v>52</v>
      </c>
      <c r="BB8" s="543" t="s">
        <v>53</v>
      </c>
      <c r="BC8" s="543" t="s">
        <v>54</v>
      </c>
      <c r="BD8" s="543" t="s">
        <v>55</v>
      </c>
      <c r="BE8" s="547" t="s">
        <v>56</v>
      </c>
      <c r="BF8" s="543" t="s">
        <v>57</v>
      </c>
      <c r="BG8" s="543" t="s">
        <v>58</v>
      </c>
      <c r="BH8" s="543" t="s">
        <v>59</v>
      </c>
      <c r="BI8" s="547" t="s">
        <v>60</v>
      </c>
      <c r="BJ8" s="543" t="str">
        <f>'Income Statement'!BJ7</f>
      </c>
      <c r="BK8" s="543" t="str">
        <f>'Income Statement'!BK7</f>
      </c>
      <c r="BL8" s="543" t="str">
        <f>'Income Statement'!BL7</f>
      </c>
      <c r="BM8" s="2144" t="str">
        <f>'Income Statement'!BM7</f>
      </c>
      <c r="BN8" s="543" t="str">
        <f>'Income Statement'!BN7</f>
      </c>
      <c r="BO8" s="543" t="str">
        <f>'Income Statement'!BO7</f>
      </c>
      <c r="BP8" s="543" t="str">
        <f>'Income Statement'!BP7</f>
      </c>
      <c r="BQ8" s="547" t="str">
        <f>'Income Statement'!BQ7</f>
      </c>
      <c r="BR8" s="543" t="str">
        <f>'Income Statement'!BR7</f>
      </c>
      <c r="BS8" s="543" t="str">
        <f>'Income Statement'!BS7</f>
      </c>
      <c r="BT8" s="543" t="str">
        <f>'Income Statement'!BT7</f>
      </c>
      <c r="BU8" s="547" t="str">
        <f>'Income Statement'!BU7</f>
      </c>
      <c r="BV8" s="543" t="str">
        <f>'Income Statement'!BV7</f>
      </c>
      <c r="BW8" s="543" t="str">
        <f>'Income Statement'!BW7</f>
      </c>
      <c r="BX8" s="543" t="str">
        <f>'Income Statement'!BX7</f>
      </c>
      <c r="BY8" s="547" t="str">
        <f>'Income Statement'!BY7</f>
      </c>
      <c r="BZ8" s="543" t="str">
        <f>'Income Statement'!BZ7</f>
      </c>
      <c r="CA8" s="543" t="str">
        <f>'Income Statement'!CA7</f>
      </c>
      <c r="CB8" s="543" t="str">
        <f>'Income Statement'!CB7</f>
      </c>
      <c r="CC8" s="547" t="str">
        <f>'Income Statement'!CC7</f>
      </c>
      <c r="CD8" s="543" t="str">
        <f>'Income Statement'!CD7</f>
      </c>
      <c r="CE8" s="543" t="str">
        <f>'Income Statement'!CE7</f>
      </c>
      <c r="CF8" s="543" t="str">
        <f>'Income Statement'!CF7</f>
      </c>
      <c r="CG8" s="547" t="str">
        <f>'Income Statement'!CG7</f>
      </c>
      <c r="CH8" s="543" t="str">
        <f>'Income Statement'!CH7</f>
      </c>
      <c r="CI8" s="543" t="str">
        <f>'Income Statement'!CI7</f>
      </c>
      <c r="CJ8" s="543" t="str">
        <f>'Income Statement'!CJ7</f>
      </c>
      <c r="CK8" s="547" t="str">
        <f>'Income Statement'!CK7</f>
      </c>
      <c r="CL8" s="543" t="str">
        <f>'Income Statement'!CL7</f>
      </c>
      <c r="CM8" s="543" t="str">
        <f>'Income Statement'!CM7</f>
      </c>
      <c r="CN8" s="543" t="str">
        <f>'Income Statement'!CN7</f>
      </c>
      <c r="CO8" s="547" t="str">
        <f>'Income Statement'!CO7</f>
      </c>
      <c r="CP8" s="543" t="str">
        <f>'Income Statement'!CP7</f>
      </c>
      <c r="CQ8" s="543" t="str">
        <f>'Income Statement'!CQ7</f>
      </c>
      <c r="CR8" s="543" t="str">
        <f>'Income Statement'!CR7</f>
      </c>
      <c r="CS8" s="547" t="str">
        <f>'Income Statement'!CS7</f>
      </c>
      <c r="CT8" s="543" t="str">
        <f>'Income Statement'!CT7</f>
      </c>
      <c r="CU8" s="543" t="str">
        <f>'Income Statement'!CU7</f>
      </c>
      <c r="CV8" s="543" t="str">
        <f>'Income Statement'!CV7</f>
      </c>
      <c r="CW8" s="547" t="str">
        <f>'Income Statement'!CW7</f>
      </c>
      <c r="CX8" s="543" t="str">
        <f>'Income Statement'!CX7</f>
      </c>
      <c r="CY8" s="543" t="str">
        <f>'Income Statement'!CY7</f>
      </c>
      <c r="CZ8" s="543" t="str">
        <f>'Income Statement'!CZ7</f>
      </c>
      <c r="DA8" s="547" t="str">
        <f>'Income Statement'!DA7</f>
      </c>
      <c r="DB8" s="543" t="str">
        <f>'Income Statement'!DB7</f>
      </c>
      <c r="DC8" s="543" t="str">
        <f>'Income Statement'!DC7</f>
      </c>
      <c r="DD8" s="543" t="str">
        <f>'Income Statement'!DD7</f>
      </c>
      <c r="DE8" s="547" t="str">
        <f>'Income Statement'!DE7</f>
      </c>
      <c r="DF8" s="543" t="str">
        <f>'Income Statement'!DF7</f>
      </c>
      <c r="DG8" s="543" t="str">
        <f>'Income Statement'!DG7</f>
      </c>
      <c r="DH8" s="543" t="str">
        <f>'Income Statement'!DH7</f>
      </c>
      <c r="DI8" s="547" t="str">
        <f>'Income Statement'!DI7</f>
      </c>
      <c r="DJ8" s="543" t="str">
        <f>'Income Statement'!DJ7</f>
      </c>
      <c r="DK8" s="543" t="str">
        <f>'Income Statement'!DK7</f>
      </c>
      <c r="DL8" s="543" t="str">
        <f>'Income Statement'!DL7</f>
      </c>
      <c r="DM8" s="547" t="str">
        <f>'Income Statement'!DM7</f>
      </c>
      <c r="DN8" s="543" t="str">
        <f>'Income Statement'!DN7</f>
      </c>
      <c r="DO8" s="543" t="str">
        <f>'Income Statement'!DO7</f>
      </c>
      <c r="DP8" s="543" t="str">
        <f>'Income Statement'!DP7</f>
      </c>
      <c r="DQ8" s="547" t="str">
        <f>'Income Statement'!DQ7</f>
      </c>
      <c r="DR8" s="543" t="str">
        <f>'Income Statement'!DR7</f>
      </c>
      <c r="DS8" s="543" t="str">
        <f>'Income Statement'!DS7</f>
      </c>
      <c r="DT8" s="543" t="str">
        <f>'Income Statement'!DT7</f>
      </c>
      <c r="DU8" s="547" t="str">
        <f>'Income Statement'!DU7</f>
      </c>
      <c r="DV8" s="543" t="str">
        <f>'Income Statement'!DV7</f>
      </c>
      <c r="DW8" s="543" t="str">
        <f>'Income Statement'!DW7</f>
      </c>
      <c r="DX8" s="543" t="str">
        <f>'Income Statement'!DX7</f>
      </c>
      <c r="DY8" s="547" t="str">
        <f>'Income Statement'!DY7</f>
      </c>
      <c r="DZ8" s="543" t="str">
        <f>'Income Statement'!DZ7</f>
      </c>
      <c r="EA8" s="543" t="str">
        <f>'Income Statement'!EA7</f>
      </c>
      <c r="EB8" s="543" t="str">
        <f>'Income Statement'!EB7</f>
      </c>
      <c r="EC8" s="547" t="str">
        <f>'Income Statement'!EC7</f>
      </c>
      <c r="ED8" s="543" t="str">
        <f>'Income Statement'!ED7</f>
      </c>
      <c r="EE8" s="543" t="str">
        <f>'Income Statement'!EE7</f>
      </c>
      <c r="EF8" s="543" t="str">
        <f>'Income Statement'!EF7</f>
      </c>
      <c r="EG8" s="547" t="str">
        <f>'Income Statement'!EG7</f>
      </c>
      <c r="EH8" s="543" t="str">
        <f>'Income Statement'!EH7</f>
      </c>
      <c r="EI8" s="543" t="str">
        <f>'Income Statement'!EI7</f>
      </c>
      <c r="EJ8" s="543" t="str">
        <f>'Income Statement'!EJ7</f>
      </c>
      <c r="EK8" s="547" t="str">
        <f>'Income Statement'!EK7</f>
      </c>
      <c r="EL8" s="39"/>
      <c r="EM8" s="579"/>
      <c r="EN8" s="579"/>
      <c r="EO8" s="579"/>
      <c r="EP8" s="579"/>
      <c r="EQ8" s="579"/>
      <c r="ER8" s="579"/>
      <c r="ES8" s="579"/>
      <c r="ET8" s="579"/>
      <c r="EU8" s="579"/>
      <c r="EV8" s="579"/>
      <c r="EW8" s="579"/>
      <c r="EX8" s="579"/>
      <c r="EY8" s="579"/>
      <c r="EZ8" s="579"/>
      <c r="FA8" s="579"/>
      <c r="FB8" s="579"/>
      <c r="FC8" s="579"/>
      <c r="FD8" s="579"/>
      <c r="FE8" s="579"/>
      <c r="FF8" s="580" t="s">
        <v>61</v>
      </c>
      <c r="FG8" s="579"/>
      <c r="FH8" s="579"/>
      <c r="FI8" s="579"/>
      <c r="FJ8" s="579"/>
      <c r="FK8" s="579"/>
      <c r="FL8" s="579"/>
      <c r="FM8" s="579"/>
      <c r="FN8" s="579"/>
      <c r="FO8" s="579"/>
      <c r="FP8" s="579"/>
      <c r="FQ8" s="579"/>
      <c r="FR8" s="579"/>
      <c r="FS8" s="579"/>
      <c r="FT8" s="579"/>
      <c r="FU8" s="579"/>
      <c r="FV8" s="579"/>
      <c r="FW8" s="579"/>
      <c r="FX8" s="579"/>
      <c r="FY8" s="579"/>
      <c r="FZ8" s="579"/>
      <c r="GA8" s="579"/>
      <c r="GB8" s="579"/>
      <c r="GC8" s="579"/>
      <c r="GD8" s="579"/>
      <c r="GE8" s="579"/>
      <c r="GF8" s="579"/>
      <c r="GG8" s="579"/>
      <c r="GH8" s="579"/>
      <c r="GI8" s="579"/>
      <c r="GJ8" s="579"/>
      <c r="GK8" s="579"/>
      <c r="GL8" s="579"/>
      <c r="GM8" s="579"/>
      <c r="GN8" s="579"/>
      <c r="GO8" s="579"/>
      <c r="GP8" s="580" t="s">
        <v>62</v>
      </c>
      <c r="GQ8" s="579"/>
      <c r="GR8" s="579"/>
      <c r="GS8" s="579"/>
      <c r="GT8" s="579"/>
      <c r="GU8" s="579"/>
      <c r="GV8" s="579"/>
      <c r="GW8" s="579"/>
      <c r="GX8" s="579"/>
      <c r="GY8" s="579"/>
      <c r="GZ8" s="579"/>
      <c r="HA8" s="579"/>
      <c r="HB8" s="579"/>
      <c r="HC8" s="579"/>
      <c r="HD8" s="579"/>
    </row>
    <row r="9" spans="1:212" s="11" customFormat="1" ht="10.199999999999999">
      <c r="A9" s="575" t="s">
        <v>1171</v>
      </c>
      <c r="B9" s="576">
        <v>35064</v>
      </c>
      <c r="C9" s="576">
        <v>35155</v>
      </c>
      <c r="D9" s="576">
        <v>35246</v>
      </c>
      <c r="E9" s="578">
        <v>35338</v>
      </c>
      <c r="F9" s="576">
        <v>35430</v>
      </c>
      <c r="G9" s="576">
        <v>35520</v>
      </c>
      <c r="H9" s="576">
        <v>35611</v>
      </c>
      <c r="I9" s="578">
        <v>35703</v>
      </c>
      <c r="J9" s="576">
        <v>35795</v>
      </c>
      <c r="K9" s="576">
        <v>35885</v>
      </c>
      <c r="L9" s="576">
        <v>35976</v>
      </c>
      <c r="M9" s="578">
        <v>36068</v>
      </c>
      <c r="N9" s="576">
        <v>36160</v>
      </c>
      <c r="O9" s="576">
        <v>36250</v>
      </c>
      <c r="P9" s="576">
        <v>36341</v>
      </c>
      <c r="Q9" s="578">
        <v>36433</v>
      </c>
      <c r="R9" s="576">
        <v>36525</v>
      </c>
      <c r="S9" s="576">
        <v>36616</v>
      </c>
      <c r="T9" s="576">
        <v>36707</v>
      </c>
      <c r="U9" s="578">
        <v>36799</v>
      </c>
      <c r="V9" s="576">
        <v>36891</v>
      </c>
      <c r="W9" s="576">
        <v>36981</v>
      </c>
      <c r="X9" s="576">
        <v>37072</v>
      </c>
      <c r="Y9" s="578">
        <v>37164</v>
      </c>
      <c r="Z9" s="576">
        <v>37256</v>
      </c>
      <c r="AA9" s="576">
        <v>37346</v>
      </c>
      <c r="AB9" s="576">
        <v>37437</v>
      </c>
      <c r="AC9" s="578">
        <v>37529</v>
      </c>
      <c r="AD9" s="576">
        <v>37621</v>
      </c>
      <c r="AE9" s="576">
        <v>37711</v>
      </c>
      <c r="AF9" s="576">
        <v>37802</v>
      </c>
      <c r="AG9" s="578">
        <v>37894</v>
      </c>
      <c r="AH9" s="576">
        <v>37986</v>
      </c>
      <c r="AI9" s="576">
        <v>38077</v>
      </c>
      <c r="AJ9" s="576">
        <v>38168</v>
      </c>
      <c r="AK9" s="578">
        <v>38260</v>
      </c>
      <c r="AL9" s="576">
        <v>38352</v>
      </c>
      <c r="AM9" s="576">
        <v>38442</v>
      </c>
      <c r="AN9" s="576">
        <v>38533</v>
      </c>
      <c r="AO9" s="578">
        <v>38625</v>
      </c>
      <c r="AP9" s="576">
        <v>38717</v>
      </c>
      <c r="AQ9" s="576">
        <v>38807</v>
      </c>
      <c r="AR9" s="576">
        <v>38898</v>
      </c>
      <c r="AS9" s="578">
        <v>38990</v>
      </c>
      <c r="AT9" s="576">
        <v>39082</v>
      </c>
      <c r="AU9" s="576">
        <v>39172</v>
      </c>
      <c r="AV9" s="576">
        <v>39263</v>
      </c>
      <c r="AW9" s="578">
        <v>39355</v>
      </c>
      <c r="AX9" s="576">
        <v>39447</v>
      </c>
      <c r="AY9" s="576">
        <v>39538</v>
      </c>
      <c r="AZ9" s="576">
        <v>39629</v>
      </c>
      <c r="BA9" s="578">
        <v>39721</v>
      </c>
      <c r="BB9" s="576">
        <v>39813</v>
      </c>
      <c r="BC9" s="576">
        <v>39903</v>
      </c>
      <c r="BD9" s="576">
        <v>39994</v>
      </c>
      <c r="BE9" s="578">
        <v>40086</v>
      </c>
      <c r="BF9" s="576">
        <v>40178</v>
      </c>
      <c r="BG9" s="576">
        <v>40268</v>
      </c>
      <c r="BH9" s="576">
        <v>40359</v>
      </c>
      <c r="BI9" s="578">
        <v>40451</v>
      </c>
      <c r="BJ9" s="576">
        <v>40543</v>
      </c>
      <c r="BK9" s="576">
        <v>40633</v>
      </c>
      <c r="BL9" s="576">
        <v>40724</v>
      </c>
      <c r="BM9" s="578">
        <v>40816</v>
      </c>
      <c r="BN9" s="576">
        <v>40908</v>
      </c>
      <c r="BO9" s="576">
        <v>40999</v>
      </c>
      <c r="BP9" s="576">
        <v>41090</v>
      </c>
      <c r="BQ9" s="578">
        <v>41182</v>
      </c>
      <c r="BR9" s="576">
        <v>41274</v>
      </c>
      <c r="BS9" s="576">
        <v>41364</v>
      </c>
      <c r="BT9" s="576">
        <v>41455</v>
      </c>
      <c r="BU9" s="578">
        <v>41547</v>
      </c>
      <c r="BV9" s="576">
        <v>41639</v>
      </c>
      <c r="BW9" s="576">
        <v>41729</v>
      </c>
      <c r="BX9" s="576">
        <v>41820</v>
      </c>
      <c r="BY9" s="578">
        <v>41912</v>
      </c>
      <c r="BZ9" s="576">
        <f>'Income Statement'!BZ8</f>
      </c>
      <c r="CA9" s="576">
        <f>'Income Statement'!CA8</f>
      </c>
      <c r="CB9" s="576">
        <f>'Income Statement'!CB8</f>
      </c>
      <c r="CC9" s="578">
        <f>'Income Statement'!CC8</f>
      </c>
      <c r="CD9" s="576">
        <f>'Income Statement'!CD8</f>
      </c>
      <c r="CE9" s="576">
        <f>'Income Statement'!CE8</f>
      </c>
      <c r="CF9" s="576">
        <f>'Income Statement'!CF8</f>
      </c>
      <c r="CG9" s="578">
        <f>'Income Statement'!CG8</f>
      </c>
      <c r="CH9" s="576">
        <f>'Income Statement'!CH8</f>
      </c>
      <c r="CI9" s="576">
        <f>'Income Statement'!CI8</f>
      </c>
      <c r="CJ9" s="576">
        <f>'Income Statement'!CJ8</f>
      </c>
      <c r="CK9" s="578">
        <f>'Income Statement'!CK8</f>
      </c>
      <c r="CL9" s="576">
        <f>'Income Statement'!CL8</f>
      </c>
      <c r="CM9" s="576">
        <f>'Income Statement'!CM8</f>
      </c>
      <c r="CN9" s="576">
        <f>'Income Statement'!CN8</f>
      </c>
      <c r="CO9" s="578">
        <f>'Income Statement'!CO8</f>
      </c>
      <c r="CP9" s="576">
        <f>'Income Statement'!CP8</f>
      </c>
      <c r="CQ9" s="576">
        <f>'Income Statement'!CQ8</f>
      </c>
      <c r="CR9" s="576">
        <f>'Income Statement'!CR8</f>
      </c>
      <c r="CS9" s="578">
        <f>'Income Statement'!CS8</f>
      </c>
      <c r="CT9" s="576">
        <f>'Income Statement'!CT8</f>
      </c>
      <c r="CU9" s="576">
        <f>'Income Statement'!CU8</f>
      </c>
      <c r="CV9" s="576">
        <f>'Income Statement'!CV8</f>
      </c>
      <c r="CW9" s="578">
        <f>'Income Statement'!CW8</f>
      </c>
      <c r="CX9" s="576">
        <f>'Income Statement'!CX8</f>
      </c>
      <c r="CY9" s="576">
        <f>'Income Statement'!CY8</f>
      </c>
      <c r="CZ9" s="576">
        <f>'Income Statement'!CZ8</f>
      </c>
      <c r="DA9" s="578">
        <f>'Income Statement'!DA8</f>
      </c>
      <c r="DB9" s="576">
        <f>'Income Statement'!DB8</f>
      </c>
      <c r="DC9" s="576">
        <f>'Income Statement'!DC8</f>
      </c>
      <c r="DD9" s="576">
        <f>'Income Statement'!DD8</f>
      </c>
      <c r="DE9" s="578">
        <f>'Income Statement'!DE8</f>
      </c>
      <c r="DF9" s="576">
        <f>'Income Statement'!DF8</f>
      </c>
      <c r="DG9" s="576">
        <f>'Income Statement'!DG8</f>
      </c>
      <c r="DH9" s="576">
        <f>'Income Statement'!DH8</f>
      </c>
      <c r="DI9" s="578">
        <f>'Income Statement'!DI8</f>
      </c>
      <c r="DJ9" s="576">
        <f>'Income Statement'!DJ8</f>
      </c>
      <c r="DK9" s="576">
        <f>'Income Statement'!DK8</f>
      </c>
      <c r="DL9" s="576">
        <f>'Income Statement'!DL8</f>
      </c>
      <c r="DM9" s="578">
        <f>'Income Statement'!DM8</f>
      </c>
      <c r="DN9" s="576">
        <f>'Income Statement'!DN8</f>
      </c>
      <c r="DO9" s="576">
        <f>'Income Statement'!DO8</f>
      </c>
      <c r="DP9" s="576">
        <f>'Income Statement'!DP8</f>
      </c>
      <c r="DQ9" s="578">
        <f>'Income Statement'!DQ8</f>
      </c>
      <c r="DR9" s="576">
        <f>'Income Statement'!DR8</f>
      </c>
      <c r="DS9" s="576">
        <f>'Income Statement'!DS8</f>
      </c>
      <c r="DT9" s="576">
        <f>'Income Statement'!DT8</f>
      </c>
      <c r="DU9" s="578">
        <f>'Income Statement'!DU8</f>
      </c>
      <c r="DV9" s="576">
        <f>'Income Statement'!DV8</f>
      </c>
      <c r="DW9" s="576">
        <f>'Income Statement'!DW8</f>
      </c>
      <c r="DX9" s="576">
        <f>'Income Statement'!DX8</f>
      </c>
      <c r="DY9" s="578">
        <f>'Income Statement'!DY8</f>
      </c>
      <c r="DZ9" s="576">
        <f>'Income Statement'!DZ8</f>
      </c>
      <c r="EA9" s="576">
        <f>'Income Statement'!EA8</f>
      </c>
      <c r="EB9" s="576">
        <f>'Income Statement'!EB8</f>
      </c>
      <c r="EC9" s="578">
        <f>'Income Statement'!EC8</f>
      </c>
      <c r="ED9" s="576">
        <f>'Income Statement'!ED8</f>
      </c>
      <c r="EE9" s="576">
        <f>'Income Statement'!EE8</f>
      </c>
      <c r="EF9" s="576">
        <f>'Income Statement'!EF8</f>
      </c>
      <c r="EG9" s="578">
        <f>'Income Statement'!EG8</f>
      </c>
      <c r="EH9" s="576">
        <f>'Income Statement'!EH8</f>
      </c>
      <c r="EI9" s="576">
        <f>'Income Statement'!EI8</f>
      </c>
      <c r="EJ9" s="576">
        <f>'Income Statement'!EJ8</f>
      </c>
      <c r="EK9" s="578">
        <f>'Income Statement'!EK8</f>
      </c>
      <c r="EM9" s="694">
        <v>1996</v>
      </c>
      <c r="EN9" s="694">
        <v>1997</v>
      </c>
      <c r="EO9" s="694">
        <v>1998</v>
      </c>
      <c r="EP9" s="694">
        <v>1999</v>
      </c>
      <c r="EQ9" s="694">
        <v>2000</v>
      </c>
      <c r="ER9" s="694">
        <v>2001</v>
      </c>
      <c r="ES9" s="694">
        <v>2002</v>
      </c>
      <c r="ET9" s="694">
        <v>2003</v>
      </c>
      <c r="EU9" s="694">
        <v>2004</v>
      </c>
      <c r="EV9" s="694">
        <v>2005</v>
      </c>
      <c r="EW9" s="694">
        <v>2006</v>
      </c>
      <c r="EX9" s="694">
        <v>2007</v>
      </c>
      <c r="EY9" s="694">
        <v>2008</v>
      </c>
      <c r="EZ9" s="694">
        <v>2009</v>
      </c>
      <c r="FA9" s="694">
        <v>2010</v>
      </c>
      <c r="FB9" s="694">
        <v>2011</v>
      </c>
      <c r="FC9" s="694">
        <v>2012</v>
      </c>
      <c r="FD9" s="694">
        <v>2013</v>
      </c>
      <c r="FE9" s="694" t="str">
        <f>'Income Statement'!FE8</f>
      </c>
      <c r="FF9" s="694" t="str">
        <f>'Income Statement'!FF8</f>
      </c>
      <c r="FG9" s="694" t="str">
        <f>'Income Statement'!FG8</f>
      </c>
      <c r="FH9" s="694" t="str">
        <f>'Income Statement'!FH8</f>
      </c>
      <c r="FI9" s="694" t="str">
        <f>'Income Statement'!FI8</f>
      </c>
      <c r="FJ9" s="694" t="str">
        <f>'Income Statement'!FJ8</f>
      </c>
      <c r="FK9" s="694" t="str">
        <f>'Income Statement'!FK8</f>
      </c>
      <c r="FL9" s="694" t="str">
        <f>'Income Statement'!FL8</f>
      </c>
      <c r="FM9" s="694" t="str">
        <f>'Income Statement'!FM8</f>
      </c>
      <c r="FN9" s="694" t="str">
        <f>'Income Statement'!FN8</f>
      </c>
      <c r="FO9" s="694" t="str">
        <f>'Income Statement'!FO8</f>
      </c>
      <c r="FP9" s="694" t="str">
        <f>'Income Statement'!FP8</f>
      </c>
      <c r="FQ9" s="694" t="str">
        <f>'Income Statement'!FQ8</f>
      </c>
      <c r="FR9" s="694" t="str">
        <f>'Income Statement'!FR8</f>
      </c>
      <c r="FS9" s="694" t="str">
        <f>'Income Statement'!FS8</f>
      </c>
      <c r="FT9" s="694" t="str">
        <f>'Income Statement'!FT8</f>
      </c>
      <c r="FU9" s="694" t="str">
        <f>'Income Statement'!FU8</f>
      </c>
      <c r="FV9" s="695"/>
      <c r="FW9" s="694" t="s">
        <v>1270</v>
      </c>
      <c r="FX9" s="694" t="s">
        <v>1271</v>
      </c>
      <c r="FY9" s="694" t="s">
        <v>1272</v>
      </c>
      <c r="FZ9" s="694" t="s">
        <v>1273</v>
      </c>
      <c r="GA9" s="694" t="s">
        <v>896</v>
      </c>
      <c r="GB9" s="694" t="s">
        <v>897</v>
      </c>
      <c r="GC9" s="694" t="s">
        <v>898</v>
      </c>
      <c r="GD9" s="694" t="s">
        <v>899</v>
      </c>
      <c r="GE9" s="694" t="s">
        <v>900</v>
      </c>
      <c r="GF9" s="694" t="s">
        <v>901</v>
      </c>
      <c r="GG9" s="694" t="s">
        <v>902</v>
      </c>
      <c r="GH9" s="694" t="s">
        <v>903</v>
      </c>
      <c r="GI9" s="694" t="s">
        <v>904</v>
      </c>
      <c r="GJ9" s="694" t="s">
        <v>905</v>
      </c>
      <c r="GK9" s="694" t="s">
        <v>906</v>
      </c>
      <c r="GL9" s="694" t="s">
        <v>907</v>
      </c>
      <c r="GM9" s="694" t="s">
        <v>908</v>
      </c>
      <c r="GN9" s="694" t="s">
        <v>909</v>
      </c>
      <c r="GO9" s="694" t="str">
        <f>'Income Statement'!GO8</f>
      </c>
      <c r="GP9" s="694" t="str">
        <f>'Income Statement'!GP8</f>
      </c>
      <c r="GQ9" s="694" t="str">
        <f>'Income Statement'!GQ8</f>
      </c>
      <c r="GR9" s="694" t="str">
        <f>'Income Statement'!GR8</f>
      </c>
      <c r="GS9" s="694" t="str">
        <f>'Income Statement'!GS8</f>
      </c>
      <c r="GT9" s="694" t="str">
        <f>'Income Statement'!GT8</f>
      </c>
      <c r="GU9" s="694" t="str">
        <f>'Income Statement'!GU8</f>
      </c>
      <c r="GV9" s="694" t="str">
        <f>'Income Statement'!GV8</f>
      </c>
      <c r="GW9" s="694" t="str">
        <f>'Income Statement'!GW8</f>
      </c>
      <c r="GX9" s="694" t="str">
        <f>'Income Statement'!GX8</f>
      </c>
      <c r="GY9" s="694" t="str">
        <f>'Income Statement'!GY8</f>
      </c>
      <c r="GZ9" s="694" t="str">
        <f>'Income Statement'!GZ8</f>
      </c>
      <c r="HA9" s="694" t="str">
        <f>'Income Statement'!HA8</f>
      </c>
      <c r="HB9" s="694" t="str">
        <f>'Income Statement'!HB8</f>
      </c>
      <c r="HC9" s="694" t="str">
        <f>'Income Statement'!HC8</f>
      </c>
      <c r="HD9" s="694" t="str">
        <f>'Income Statement'!HD8</f>
      </c>
    </row>
    <row r="10" spans="1:212" s="16" customFormat="1" ht="10.199999999999999">
      <c r="A10" s="708" t="s">
        <v>1188</v>
      </c>
      <c r="B10" s="706" t="str">
        <f>'Revenue summary'!B$8</f>
      </c>
      <c r="C10" s="706" t="str">
        <f>'Revenue summary'!C$8</f>
      </c>
      <c r="D10" s="706" t="str">
        <f>'Revenue summary'!D$8</f>
      </c>
      <c r="E10" s="707" t="str">
        <f>'Revenue summary'!E$8</f>
      </c>
      <c r="F10" s="706" t="str">
        <f>'Revenue summary'!F$8</f>
      </c>
      <c r="G10" s="706" t="str">
        <f>'Revenue summary'!G$8</f>
      </c>
      <c r="H10" s="706" t="str">
        <f>'Revenue summary'!H$8</f>
      </c>
      <c r="I10" s="707" t="str">
        <f>'Revenue summary'!I$8</f>
      </c>
      <c r="J10" s="706" t="str">
        <f>'Revenue summary'!J$8</f>
      </c>
      <c r="K10" s="706" t="str">
        <f>'Revenue summary'!K$8</f>
      </c>
      <c r="L10" s="706" t="str">
        <f>'Revenue summary'!L$8</f>
      </c>
      <c r="M10" s="707" t="str">
        <f>'Revenue summary'!M$8</f>
      </c>
      <c r="N10" s="706" t="str">
        <f>'Revenue summary'!N$8</f>
      </c>
      <c r="O10" s="706" t="str">
        <f>'Revenue summary'!O$8</f>
      </c>
      <c r="P10" s="706" t="str">
        <f>'Revenue summary'!P$8</f>
      </c>
      <c r="Q10" s="707" t="str">
        <f>'Revenue summary'!Q$8</f>
      </c>
      <c r="R10" s="706" t="str">
        <f>'Revenue summary'!R$8</f>
      </c>
      <c r="S10" s="706" t="str">
        <f>'Revenue summary'!S$8</f>
      </c>
      <c r="T10" s="706" t="str">
        <f>'Revenue summary'!T$8</f>
      </c>
      <c r="U10" s="707" t="str">
        <f>'Revenue summary'!U$8</f>
      </c>
      <c r="V10" s="706" t="str">
        <f>'Revenue summary'!V$8</f>
      </c>
      <c r="W10" s="706" t="str">
        <f>'Revenue summary'!W$8</f>
      </c>
      <c r="X10" s="706" t="str">
        <f>'Revenue summary'!X$8</f>
      </c>
      <c r="Y10" s="707" t="str">
        <f>'Revenue summary'!Y$8</f>
      </c>
      <c r="Z10" s="706" t="str">
        <f>'Revenue summary'!Z$8</f>
      </c>
      <c r="AA10" s="706" t="str">
        <f>'Revenue summary'!AA$8</f>
      </c>
      <c r="AB10" s="706" t="str">
        <f>'Revenue summary'!AB$8</f>
      </c>
      <c r="AC10" s="707" t="str">
        <f>'Revenue summary'!AC$8</f>
      </c>
      <c r="AD10" s="706" t="str">
        <f>'Revenue summary'!AD$8</f>
      </c>
      <c r="AE10" s="706" t="str">
        <f>'Revenue summary'!AE$8</f>
      </c>
      <c r="AF10" s="706" t="str">
        <f>'Revenue summary'!AF$8</f>
      </c>
      <c r="AG10" s="707" t="str">
        <f>'Revenue summary'!AG$8</f>
      </c>
      <c r="AH10" s="706" t="str">
        <f>'Revenue summary'!AH$8</f>
      </c>
      <c r="AI10" s="706" t="str">
        <f>'Revenue summary'!AI$8</f>
      </c>
      <c r="AJ10" s="706" t="str">
        <f>'Revenue summary'!AJ$8</f>
      </c>
      <c r="AK10" s="707" t="str">
        <f>'Revenue summary'!AK$8</f>
      </c>
      <c r="AL10" s="706" t="str">
        <f>'Revenue summary'!AL$8</f>
      </c>
      <c r="AM10" s="706" t="str">
        <f>'Revenue summary'!AM$8</f>
      </c>
      <c r="AN10" s="706" t="str">
        <f>'Revenue summary'!AN$8</f>
      </c>
      <c r="AO10" s="707" t="str">
        <f>'Revenue summary'!AO$8</f>
      </c>
      <c r="AP10" s="706" t="str">
        <f>'Revenue summary'!AP$8</f>
      </c>
      <c r="AQ10" s="706" t="str">
        <f>'Revenue summary'!AQ$8</f>
      </c>
      <c r="AR10" s="706" t="str">
        <f>'Revenue summary'!AR$8</f>
      </c>
      <c r="AS10" s="707" t="str">
        <f>'Revenue summary'!AS$8</f>
      </c>
      <c r="AT10" s="706" t="str">
        <f>'Revenue summary'!AT$8</f>
      </c>
      <c r="AU10" s="706" t="str">
        <f>'Revenue summary'!AU$8</f>
      </c>
      <c r="AV10" s="706" t="str">
        <f>'Revenue summary'!AV$8</f>
      </c>
      <c r="AW10" s="707" t="str">
        <f>'Revenue summary'!AW$8</f>
      </c>
      <c r="AX10" s="706" t="str">
        <f>'Revenue summary'!AX$8</f>
      </c>
      <c r="AY10" s="706" t="str">
        <f>'Revenue summary'!AY$8</f>
      </c>
      <c r="AZ10" s="706" t="str">
        <f>'Revenue summary'!AZ$8</f>
      </c>
      <c r="BA10" s="707" t="str">
        <f>'Revenue summary'!BA$8</f>
      </c>
      <c r="BB10" s="706" t="str">
        <f>'Revenue summary'!BB$8</f>
      </c>
      <c r="BC10" s="706" t="str">
        <f>'Revenue summary'!BC$8</f>
      </c>
      <c r="BD10" s="706" t="str">
        <f>'Revenue summary'!BD$8</f>
      </c>
      <c r="BE10" s="707" t="str">
        <f>'Revenue summary'!BE$8</f>
      </c>
      <c r="BF10" s="706" t="str">
        <f>'Revenue summary'!BF$8</f>
      </c>
      <c r="BG10" s="706" t="str">
        <f>'Revenue summary'!BG$8</f>
      </c>
      <c r="BH10" s="706" t="str">
        <f>'Revenue summary'!BH$8</f>
      </c>
      <c r="BI10" s="707" t="str">
        <f>'Revenue summary'!BI$8</f>
      </c>
      <c r="BJ10" s="706" t="str">
        <f>'Revenue summary'!BJ$8</f>
      </c>
      <c r="BK10" s="706" t="str">
        <f>'Revenue summary'!BK$8</f>
      </c>
      <c r="BL10" s="706" t="str">
        <f>'Revenue summary'!BL$8</f>
      </c>
      <c r="BM10" s="707" t="str">
        <f>'Revenue summary'!BM$8</f>
      </c>
      <c r="BN10" s="706" t="str">
        <f>'Revenue summary'!BN$8</f>
      </c>
      <c r="BO10" s="706" t="str">
        <f>'Revenue summary'!BO$8</f>
      </c>
      <c r="BP10" s="706" t="str">
        <f>'Revenue summary'!BP$8</f>
      </c>
      <c r="BQ10" s="707" t="str">
        <f>'Revenue summary'!BQ$8</f>
      </c>
      <c r="BR10" s="706" t="str">
        <f>'Revenue summary'!BR$8</f>
      </c>
      <c r="BS10" s="706" t="str">
        <f>'Revenue summary'!BS$8</f>
      </c>
      <c r="BT10" s="706" t="str">
        <f>'Revenue summary'!BT$8</f>
      </c>
      <c r="BU10" s="707" t="str">
        <f>'Revenue summary'!BU$8</f>
      </c>
      <c r="BV10" s="706" t="str">
        <f>'Revenue summary'!BV$8</f>
      </c>
      <c r="BW10" s="706" t="str">
        <f>'Revenue summary'!BW$8</f>
      </c>
      <c r="BX10" s="706" t="str">
        <f>'Revenue summary'!BX$8</f>
      </c>
      <c r="BY10" s="707" t="str">
        <f>'Revenue summary'!BY$8</f>
      </c>
      <c r="BZ10" s="706" t="str">
        <f>'Revenue summary'!BZ$8</f>
      </c>
      <c r="CA10" s="706" t="str">
        <f>'Revenue summary'!CA$8</f>
      </c>
      <c r="CB10" s="706" t="str">
        <f>'Revenue summary'!CB$8</f>
      </c>
      <c r="CC10" s="707" t="str">
        <f>'Revenue summary'!CC$8</f>
      </c>
      <c r="CD10" s="706" t="str">
        <f>'Revenue summary'!CD$8</f>
      </c>
      <c r="CE10" s="706" t="str">
        <f>'Revenue summary'!CE$8</f>
      </c>
      <c r="CF10" s="706" t="str">
        <f>'Revenue summary'!CF$8</f>
      </c>
      <c r="CG10" s="707" t="str">
        <f>'Revenue summary'!CG$8</f>
      </c>
      <c r="CH10" s="706" t="str">
        <f>'Revenue summary'!CH$8</f>
      </c>
      <c r="CI10" s="706" t="str">
        <f>'Revenue summary'!CI$8</f>
      </c>
      <c r="CJ10" s="706" t="str">
        <f>'Revenue summary'!CJ$8</f>
      </c>
      <c r="CK10" s="707" t="str">
        <f>'Revenue summary'!CK$8</f>
      </c>
      <c r="CL10" s="706"/>
      <c r="CM10" s="706"/>
      <c r="CN10" s="706"/>
      <c r="CO10" s="707"/>
      <c r="CP10" s="706"/>
      <c r="CQ10" s="706"/>
      <c r="CR10" s="706"/>
      <c r="CS10" s="707"/>
      <c r="CT10" s="706"/>
      <c r="CU10" s="706"/>
      <c r="CV10" s="706"/>
      <c r="CW10" s="707"/>
      <c r="CX10" s="706"/>
      <c r="CY10" s="706"/>
      <c r="CZ10" s="706"/>
      <c r="DA10" s="707"/>
      <c r="DB10" s="706"/>
      <c r="DC10" s="706"/>
      <c r="DD10" s="706"/>
      <c r="DE10" s="707"/>
      <c r="DF10" s="706"/>
      <c r="DG10" s="706"/>
      <c r="DH10" s="706"/>
      <c r="DI10" s="707"/>
      <c r="DJ10" s="706"/>
      <c r="DK10" s="706"/>
      <c r="DL10" s="706"/>
      <c r="DM10" s="707"/>
      <c r="DN10" s="706"/>
      <c r="DO10" s="706"/>
      <c r="DP10" s="706"/>
      <c r="DQ10" s="707"/>
      <c r="DR10" s="706"/>
      <c r="DS10" s="706"/>
      <c r="DT10" s="706"/>
      <c r="DU10" s="707"/>
      <c r="DV10" s="706"/>
      <c r="DW10" s="706"/>
      <c r="DX10" s="706"/>
      <c r="DY10" s="707"/>
      <c r="DZ10" s="706"/>
      <c r="EA10" s="706"/>
      <c r="EB10" s="706"/>
      <c r="EC10" s="707"/>
      <c r="ED10" s="706"/>
      <c r="EE10" s="706"/>
      <c r="EF10" s="706"/>
      <c r="EG10" s="707"/>
      <c r="EH10" s="706"/>
      <c r="EI10" s="706"/>
      <c r="EJ10" s="706"/>
      <c r="EK10" s="707"/>
      <c r="EL10" s="320"/>
      <c r="EM10" s="706">
        <f t="shared" ref="EM10:FQ10" si="17">EM9</f>
      </c>
      <c r="EN10" s="706">
        <f t="shared" si="17"/>
      </c>
      <c r="EO10" s="706">
        <f t="shared" si="17"/>
      </c>
      <c r="EP10" s="706">
        <f t="shared" si="17"/>
      </c>
      <c r="EQ10" s="706">
        <f t="shared" si="17"/>
      </c>
      <c r="ER10" s="706">
        <f t="shared" si="17"/>
      </c>
      <c r="ES10" s="706">
        <f t="shared" si="17"/>
      </c>
      <c r="ET10" s="706">
        <f t="shared" si="17"/>
      </c>
      <c r="EU10" s="706">
        <f t="shared" si="17"/>
      </c>
      <c r="EV10" s="706">
        <f t="shared" si="17"/>
      </c>
      <c r="EW10" s="706">
        <f t="shared" si="17"/>
      </c>
      <c r="EX10" s="706">
        <f t="shared" si="17"/>
      </c>
      <c r="EY10" s="706">
        <f t="shared" si="17"/>
      </c>
      <c r="EZ10" s="706">
        <f t="shared" si="17"/>
      </c>
      <c r="FA10" s="706">
        <f t="shared" si="17"/>
      </c>
      <c r="FB10" s="706">
        <f t="shared" si="17"/>
      </c>
      <c r="FC10" s="706">
        <f t="shared" si="17"/>
      </c>
      <c r="FD10" s="706">
        <f t="shared" si="17"/>
      </c>
      <c r="FE10" s="706" t="str">
        <f t="shared" si="17"/>
      </c>
      <c r="FF10" s="706" t="str">
        <f t="shared" si="17"/>
      </c>
      <c r="FG10" s="706" t="str">
        <f t="shared" si="17"/>
      </c>
      <c r="FH10" s="706" t="str">
        <f t="shared" si="17"/>
      </c>
      <c r="FI10" s="706" t="str">
        <f t="shared" si="17"/>
      </c>
      <c r="FJ10" s="706" t="str">
        <f t="shared" si="17"/>
      </c>
      <c r="FK10" s="706" t="str">
        <f t="shared" si="17"/>
      </c>
      <c r="FL10" s="706" t="str">
        <f t="shared" si="17"/>
      </c>
      <c r="FM10" s="706" t="str">
        <f t="shared" si="17"/>
      </c>
      <c r="FN10" s="706" t="str">
        <f t="shared" si="17"/>
      </c>
      <c r="FO10" s="706" t="str">
        <f t="shared" si="17"/>
      </c>
      <c r="FP10" s="706" t="str">
        <f t="shared" si="17"/>
      </c>
      <c r="FQ10" s="706" t="str">
        <f t="shared" si="17"/>
      </c>
      <c r="FR10" s="706" t="str">
        <f t="shared" ref="FR10:FU10" si="18">FR9</f>
      </c>
      <c r="FS10" s="706" t="str">
        <f t="shared" si="18"/>
      </c>
      <c r="FT10" s="706" t="str">
        <f t="shared" si="18"/>
      </c>
      <c r="FU10" s="706" t="str">
        <f t="shared" si="18"/>
      </c>
      <c r="FV10" s="706"/>
      <c r="FW10" s="706" t="str">
        <f t="shared" ref="FW10:GZ10" si="19">FW9</f>
      </c>
      <c r="FX10" s="706" t="str">
        <f t="shared" si="19"/>
      </c>
      <c r="FY10" s="706" t="str">
        <f t="shared" si="19"/>
      </c>
      <c r="FZ10" s="706" t="str">
        <f t="shared" si="19"/>
      </c>
      <c r="GA10" s="706" t="str">
        <f t="shared" si="19"/>
      </c>
      <c r="GB10" s="706" t="str">
        <f t="shared" si="19"/>
      </c>
      <c r="GC10" s="706" t="str">
        <f t="shared" si="19"/>
      </c>
      <c r="GD10" s="706" t="str">
        <f t="shared" si="19"/>
      </c>
      <c r="GE10" s="706" t="str">
        <f t="shared" si="19"/>
      </c>
      <c r="GF10" s="706" t="str">
        <f t="shared" si="19"/>
      </c>
      <c r="GG10" s="706" t="str">
        <f t="shared" si="19"/>
      </c>
      <c r="GH10" s="706" t="str">
        <f t="shared" si="19"/>
      </c>
      <c r="GI10" s="706" t="str">
        <f t="shared" si="19"/>
      </c>
      <c r="GJ10" s="706" t="str">
        <f t="shared" si="19"/>
      </c>
      <c r="GK10" s="706" t="str">
        <f t="shared" si="19"/>
      </c>
      <c r="GL10" s="706" t="str">
        <f t="shared" si="19"/>
      </c>
      <c r="GM10" s="706" t="str">
        <f t="shared" si="19"/>
      </c>
      <c r="GN10" s="706" t="str">
        <f t="shared" si="19"/>
      </c>
      <c r="GO10" s="706" t="str">
        <f t="shared" si="19"/>
      </c>
      <c r="GP10" s="706" t="str">
        <f t="shared" si="19"/>
      </c>
      <c r="GQ10" s="706" t="str">
        <f t="shared" si="19"/>
      </c>
      <c r="GR10" s="706" t="str">
        <f t="shared" si="19"/>
      </c>
      <c r="GS10" s="706" t="str">
        <f t="shared" si="19"/>
      </c>
      <c r="GT10" s="706" t="str">
        <f t="shared" si="19"/>
      </c>
      <c r="GU10" s="706" t="str">
        <f t="shared" si="19"/>
      </c>
      <c r="GV10" s="706" t="str">
        <f t="shared" si="19"/>
      </c>
      <c r="GW10" s="706" t="str">
        <f t="shared" si="19"/>
      </c>
      <c r="GX10" s="706" t="str">
        <f t="shared" si="19"/>
      </c>
      <c r="GY10" s="706" t="str">
        <f t="shared" si="19"/>
      </c>
      <c r="GZ10" s="706" t="str">
        <f t="shared" si="19"/>
      </c>
      <c r="HA10" s="706" t="str">
        <f t="shared" ref="HA10:HD10" si="20">HA9</f>
      </c>
      <c r="HB10" s="706" t="str">
        <f t="shared" si="20"/>
      </c>
      <c r="HC10" s="706" t="str">
        <f t="shared" si="20"/>
      </c>
      <c r="HD10" s="706" t="str">
        <f t="shared" si="20"/>
      </c>
    </row>
    <row r="11" spans="1:212" s="370" customFormat="1" ht="10.199999999999999">
      <c r="A11" s="899" t="s">
        <v>1204</v>
      </c>
      <c r="B11" s="820"/>
      <c r="C11" s="820"/>
      <c r="D11" s="820"/>
      <c r="E11" s="821"/>
      <c r="F11" s="820"/>
      <c r="G11" s="820"/>
      <c r="H11" s="820"/>
      <c r="I11" s="821"/>
      <c r="J11" s="820"/>
      <c r="K11" s="820"/>
      <c r="L11" s="820"/>
      <c r="M11" s="821"/>
      <c r="N11" s="820"/>
      <c r="O11" s="820"/>
      <c r="P11" s="820"/>
      <c r="Q11" s="821"/>
      <c r="R11" s="820"/>
      <c r="S11" s="820"/>
      <c r="T11" s="820"/>
      <c r="U11" s="821"/>
      <c r="V11" s="820"/>
      <c r="W11" s="820"/>
      <c r="X11" s="820"/>
      <c r="Y11" s="821"/>
      <c r="Z11" s="820"/>
      <c r="AA11" s="820"/>
      <c r="AB11" s="820"/>
      <c r="AC11" s="821"/>
      <c r="AD11" s="820"/>
      <c r="AE11" s="820"/>
      <c r="AF11" s="820"/>
      <c r="AG11" s="821"/>
      <c r="AH11" s="820"/>
      <c r="AI11" s="820"/>
      <c r="AJ11" s="820"/>
      <c r="AK11" s="821"/>
      <c r="AL11" s="820"/>
      <c r="AM11" s="820"/>
      <c r="AN11" s="820"/>
      <c r="AO11" s="821"/>
      <c r="AP11" s="820"/>
      <c r="AQ11" s="820"/>
      <c r="AR11" s="820"/>
      <c r="AS11" s="821"/>
      <c r="AT11" s="820"/>
      <c r="AU11" s="820"/>
      <c r="AV11" s="820"/>
      <c r="AW11" s="821"/>
      <c r="AX11" s="820"/>
      <c r="AY11" s="820"/>
      <c r="AZ11" s="820"/>
      <c r="BA11" s="821"/>
      <c r="BB11" s="820"/>
      <c r="BC11" s="820"/>
      <c r="BD11" s="820"/>
      <c r="BE11" s="821"/>
      <c r="BF11" s="820"/>
      <c r="BG11" s="820"/>
      <c r="BH11" s="820"/>
      <c r="BI11" s="821"/>
      <c r="BJ11" s="820"/>
      <c r="BK11" s="820"/>
      <c r="BL11" s="820"/>
      <c r="BM11" s="821"/>
      <c r="BN11" s="820"/>
      <c r="BO11" s="820"/>
      <c r="BP11" s="820">
        <v>429</v>
      </c>
      <c r="BQ11" s="821">
        <v>214</v>
      </c>
      <c r="BR11" s="820">
        <v>429</v>
      </c>
      <c r="BS11" s="820">
        <f t="shared" ref="BS11" si="21">BT11</f>
      </c>
      <c r="BT11" s="820">
        <f>BU11</f>
      </c>
      <c r="BU11" s="921">
        <f>BY11/(1+BY37)</f>
      </c>
      <c r="BV11" s="825">
        <f>BU11</f>
      </c>
      <c r="BW11" s="921">
        <f t="shared" ref="BW11:CC11" si="22">CA11/(1+CA37)</f>
      </c>
      <c r="BX11" s="921">
        <f t="shared" si="22"/>
      </c>
      <c r="BY11" s="922">
        <f t="shared" si="22"/>
      </c>
      <c r="BZ11" s="921">
        <f t="shared" si="22"/>
      </c>
      <c r="CA11" s="921">
        <f t="shared" si="22"/>
      </c>
      <c r="CB11" s="921">
        <f t="shared" si="22"/>
      </c>
      <c r="CC11" s="921">
        <f t="shared" si="22"/>
      </c>
      <c r="CD11" s="826">
        <v>1400</v>
      </c>
      <c r="CE11" s="820">
        <v>1700</v>
      </c>
      <c r="CF11" s="820">
        <v>1800</v>
      </c>
      <c r="CG11" s="821">
        <v>1900</v>
      </c>
      <c r="CH11" s="820">
        <v>2300</v>
      </c>
      <c r="CI11" s="820">
        <v>2400</v>
      </c>
      <c r="CJ11" s="820">
        <v>2300</v>
      </c>
      <c r="CK11" s="821">
        <v>2600</v>
      </c>
      <c r="CL11" s="820">
        <v>2600</v>
      </c>
      <c r="CM11" s="820">
        <v>3100</v>
      </c>
      <c r="CN11" s="820">
        <v>2900</v>
      </c>
      <c r="CO11" s="821">
        <v>3100</v>
      </c>
      <c r="CP11" s="370">
        <f>CP75</f>
      </c>
      <c r="CQ11" s="370">
        <f t="shared" ref="CQ11:DU11" si="23">CQ75</f>
      </c>
      <c r="CR11" s="370">
        <f t="shared" si="23"/>
      </c>
      <c r="CS11" s="423">
        <f t="shared" si="23"/>
      </c>
      <c r="CT11" s="370">
        <f t="shared" si="23"/>
      </c>
      <c r="CU11" s="370">
        <f t="shared" si="23"/>
      </c>
      <c r="CV11" s="370">
        <f t="shared" si="23"/>
      </c>
      <c r="CW11" s="423">
        <f t="shared" si="23"/>
      </c>
      <c r="CX11" s="370">
        <f t="shared" si="23"/>
      </c>
      <c r="CY11" s="370">
        <f t="shared" si="23"/>
      </c>
      <c r="CZ11" s="370">
        <f t="shared" si="23"/>
      </c>
      <c r="DA11" s="423">
        <f t="shared" si="23"/>
      </c>
      <c r="DB11" s="370">
        <f t="shared" si="23"/>
      </c>
      <c r="DC11" s="370">
        <f t="shared" si="23"/>
      </c>
      <c r="DD11" s="370">
        <f t="shared" si="23"/>
      </c>
      <c r="DE11" s="423">
        <f t="shared" si="23"/>
      </c>
      <c r="DF11" s="370">
        <f t="shared" si="23"/>
      </c>
      <c r="DG11" s="370">
        <f t="shared" si="23"/>
      </c>
      <c r="DH11" s="370">
        <f t="shared" si="23"/>
      </c>
      <c r="DI11" s="423">
        <f t="shared" si="23"/>
      </c>
      <c r="DJ11" s="370">
        <f t="shared" si="23"/>
      </c>
      <c r="DK11" s="370">
        <f t="shared" si="23"/>
      </c>
      <c r="DL11" s="370">
        <f t="shared" si="23"/>
      </c>
      <c r="DM11" s="423">
        <f t="shared" si="23"/>
      </c>
      <c r="DN11" s="370">
        <f t="shared" si="23"/>
      </c>
      <c r="DO11" s="370">
        <f t="shared" si="23"/>
      </c>
      <c r="DP11" s="370">
        <f t="shared" si="23"/>
      </c>
      <c r="DQ11" s="423">
        <f t="shared" si="23"/>
      </c>
      <c r="DR11" s="370">
        <f t="shared" si="23"/>
      </c>
      <c r="DS11" s="370">
        <f t="shared" si="23"/>
      </c>
      <c r="DT11" s="370">
        <f t="shared" si="23"/>
      </c>
      <c r="DU11" s="423">
        <f t="shared" si="23"/>
      </c>
      <c r="DV11" s="370">
        <f t="shared" ref="DV11:EK11" si="24">DV75</f>
      </c>
      <c r="DW11" s="370">
        <f t="shared" si="24"/>
      </c>
      <c r="DX11" s="370">
        <f t="shared" si="24"/>
      </c>
      <c r="DY11" s="423">
        <f t="shared" si="24"/>
      </c>
      <c r="DZ11" s="370">
        <f t="shared" si="24"/>
      </c>
      <c r="EA11" s="370">
        <f t="shared" si="24"/>
      </c>
      <c r="EB11" s="370">
        <f t="shared" si="24"/>
      </c>
      <c r="EC11" s="423">
        <f t="shared" si="24"/>
      </c>
      <c r="ED11" s="370">
        <f t="shared" si="24"/>
      </c>
      <c r="EE11" s="370">
        <f t="shared" si="24"/>
      </c>
      <c r="EF11" s="370">
        <f t="shared" si="24"/>
      </c>
      <c r="EG11" s="423">
        <f t="shared" si="24"/>
      </c>
      <c r="EH11" s="370">
        <f t="shared" si="24"/>
      </c>
      <c r="EI11" s="370">
        <f t="shared" si="24"/>
      </c>
      <c r="EJ11" s="370">
        <f t="shared" si="24"/>
      </c>
      <c r="EK11" s="423">
        <f t="shared" si="24"/>
      </c>
      <c r="EL11" s="817"/>
      <c r="FE11" s="370">
        <f t="shared" ref="FE11:FE20" si="25">SUM(BV11:BY11)</f>
      </c>
      <c r="FF11" s="370">
        <f t="shared" ref="FF11:FF20" si="26">SUM(BZ11:CC11)</f>
      </c>
      <c r="FG11" s="370">
        <f t="shared" ref="FG11:FG20" si="27">SUM(CD11:CG11)</f>
      </c>
      <c r="FH11" s="370">
        <f t="shared" ref="FH11:FH20" si="28">SUM(CH11:CK11)</f>
      </c>
      <c r="FI11" s="370">
        <f t="shared" ref="FI11:FI20" si="29">SUM(CL11:CO11)</f>
      </c>
      <c r="FJ11" s="370">
        <f t="shared" ref="FJ11:FJ20" si="30">SUM(CP11:CS11)</f>
      </c>
      <c r="FK11" s="370">
        <f t="shared" ref="FK11:FK20" si="31">SUM(CT11:CW11)</f>
      </c>
      <c r="FL11" s="370">
        <f t="shared" ref="FL11:FL20" si="32">SUM(CX11:DA11)</f>
      </c>
      <c r="FM11" s="370">
        <f t="shared" ref="FM11:FM20" si="33">SUM(DB11:DE11)</f>
      </c>
      <c r="FN11" s="370">
        <f t="shared" ref="FN11:FN20" si="34">SUM(DF11:DI11)</f>
      </c>
      <c r="FO11" s="370">
        <f t="shared" ref="FO11:FO20" si="35">SUM(DJ11:DM11)</f>
      </c>
      <c r="FP11" s="370">
        <f t="shared" ref="FP11:FP21" si="36">SUM(DN11:DQ11)</f>
      </c>
      <c r="FQ11" s="370">
        <f t="shared" ref="FQ11:FQ21" si="37">SUM(DR11:DU11)</f>
      </c>
      <c r="FR11" s="370">
        <f>SUM(DV11:DY11)</f>
      </c>
      <c r="FS11" s="370">
        <f>SUM(DZ11:EC11)</f>
      </c>
      <c r="FT11" s="370">
        <f>SUM(ED11:EG11)</f>
      </c>
      <c r="FU11" s="370">
        <f>SUM(EH11:EK11)</f>
      </c>
      <c r="GO11" s="370">
        <f t="shared" ref="GO11:GO21" si="38">SUM(BW11:BZ11)</f>
      </c>
      <c r="GP11" s="370">
        <f t="shared" ref="GP11:GP21" si="39">SUM(CA11:CD11)</f>
      </c>
      <c r="GQ11" s="370">
        <f t="shared" ref="GQ11:GQ21" si="40">SUM(CE11:CH11)</f>
      </c>
      <c r="GR11" s="370">
        <f t="shared" ref="GR11:GR21" si="41">SUM(CI11:CL11)</f>
      </c>
      <c r="GS11" s="370">
        <f t="shared" ref="GS11:GS21" si="42">SUM(CM11:CP11)</f>
      </c>
      <c r="GT11" s="370">
        <f t="shared" ref="GT11:GT21" si="43">SUM(CQ11:CT11)</f>
      </c>
      <c r="GU11" s="370">
        <f t="shared" ref="GU11:GU21" si="44">SUM(CU11:CX11)</f>
      </c>
      <c r="GV11" s="370">
        <f t="shared" ref="GV11:GV21" si="45">SUM(CY11:DB11)</f>
      </c>
      <c r="GW11" s="370">
        <f t="shared" ref="GW11:GW21" si="46">SUM(DC11:DF11)</f>
      </c>
      <c r="GX11" s="370">
        <f t="shared" ref="GX11:GX21" si="47">SUM(DG11:DJ11)</f>
      </c>
      <c r="GY11" s="370">
        <f t="shared" ref="GY11:GY21" si="48">SUM(DK11:DN11)</f>
      </c>
      <c r="GZ11" s="370">
        <f t="shared" ref="GZ11:GZ21" si="49">SUM(DO11:DR11)</f>
      </c>
      <c r="HA11" s="370">
        <f t="shared" ref="HA11:HA21" si="50">SUM(DS11:DV11)</f>
      </c>
      <c r="HB11" s="370">
        <f t="shared" ref="HB11:HB21" si="51">SUM(DW11:DZ11)</f>
      </c>
      <c r="HC11" s="370">
        <f t="shared" ref="HC11:HC21" si="52">SUM(EA11:ED11)</f>
      </c>
      <c r="HD11" s="370">
        <f t="shared" ref="HD11:HD21" si="53">SUM(EE11:EH11)</f>
      </c>
    </row>
    <row r="12" spans="1:212" s="370" customFormat="1" ht="10.199999999999999">
      <c r="A12" s="899" t="s">
        <v>1210</v>
      </c>
      <c r="B12" s="820"/>
      <c r="C12" s="820"/>
      <c r="D12" s="820"/>
      <c r="E12" s="821"/>
      <c r="F12" s="820"/>
      <c r="G12" s="820"/>
      <c r="H12" s="820"/>
      <c r="I12" s="821"/>
      <c r="J12" s="820"/>
      <c r="K12" s="820"/>
      <c r="L12" s="820"/>
      <c r="M12" s="821"/>
      <c r="N12" s="820"/>
      <c r="O12" s="820"/>
      <c r="P12" s="820"/>
      <c r="Q12" s="821"/>
      <c r="R12" s="820"/>
      <c r="S12" s="820"/>
      <c r="T12" s="820"/>
      <c r="U12" s="821"/>
      <c r="V12" s="820"/>
      <c r="W12" s="820"/>
      <c r="X12" s="820"/>
      <c r="Y12" s="821"/>
      <c r="Z12" s="820"/>
      <c r="AA12" s="820"/>
      <c r="AB12" s="820"/>
      <c r="AC12" s="821"/>
      <c r="AD12" s="820"/>
      <c r="AE12" s="820"/>
      <c r="AF12" s="820"/>
      <c r="AG12" s="820"/>
      <c r="AH12" s="820"/>
      <c r="AI12" s="820"/>
      <c r="AJ12" s="820"/>
      <c r="AK12" s="821"/>
      <c r="AL12" s="820"/>
      <c r="AM12" s="820"/>
      <c r="AN12" s="820"/>
      <c r="AO12" s="821"/>
      <c r="AP12" s="820"/>
      <c r="AQ12" s="820"/>
      <c r="AR12" s="820"/>
      <c r="AS12" s="821"/>
      <c r="AT12" s="820"/>
      <c r="AU12" s="820"/>
      <c r="AV12" s="820"/>
      <c r="AW12" s="821"/>
      <c r="AX12" s="820"/>
      <c r="AY12" s="820"/>
      <c r="AZ12" s="820"/>
      <c r="BA12" s="821"/>
      <c r="BB12" s="820"/>
      <c r="BC12" s="820"/>
      <c r="BD12" s="820"/>
      <c r="BE12" s="820"/>
      <c r="BF12" s="820"/>
      <c r="BG12" s="820"/>
      <c r="BH12" s="820"/>
      <c r="BI12" s="820"/>
      <c r="BJ12" s="820"/>
      <c r="BK12" s="820"/>
      <c r="BL12" s="820"/>
      <c r="BM12" s="821"/>
      <c r="BN12" s="820"/>
      <c r="BO12" s="820"/>
      <c r="BP12" s="820"/>
      <c r="BQ12" s="821"/>
      <c r="BR12" s="820"/>
      <c r="BS12" s="820"/>
      <c r="BT12" s="820"/>
      <c r="BU12" s="899"/>
      <c r="BV12" s="826"/>
      <c r="BW12" s="899"/>
      <c r="BX12" s="899"/>
      <c r="BY12" s="901"/>
      <c r="BZ12" s="899"/>
      <c r="CA12" s="899"/>
      <c r="CB12" s="899"/>
      <c r="CC12" s="899"/>
      <c r="CD12" s="978">
        <f t="shared" ref="CD12:DT12" si="54">CD89</f>
      </c>
      <c r="CE12" s="899">
        <f t="shared" si="54"/>
      </c>
      <c r="CF12" s="899">
        <f t="shared" si="54"/>
      </c>
      <c r="CG12" s="901">
        <f t="shared" si="54"/>
      </c>
      <c r="CH12" s="899">
        <f t="shared" si="54"/>
      </c>
      <c r="CI12" s="899">
        <f t="shared" si="54"/>
      </c>
      <c r="CJ12" s="899">
        <f t="shared" si="54"/>
      </c>
      <c r="CK12" s="901">
        <f t="shared" si="54"/>
      </c>
      <c r="CL12" s="899">
        <f t="shared" si="54"/>
      </c>
      <c r="CM12" s="899">
        <f t="shared" si="54"/>
      </c>
      <c r="CN12" s="899">
        <f t="shared" si="54"/>
      </c>
      <c r="CO12" s="901">
        <f t="shared" si="54"/>
      </c>
      <c r="CP12" s="370">
        <f t="shared" si="54"/>
      </c>
      <c r="CQ12" s="370">
        <f t="shared" si="54"/>
      </c>
      <c r="CR12" s="370">
        <f t="shared" si="54"/>
      </c>
      <c r="CS12" s="423">
        <f t="shared" si="54"/>
      </c>
      <c r="CT12" s="370">
        <f t="shared" si="54"/>
      </c>
      <c r="CU12" s="370">
        <f t="shared" si="54"/>
      </c>
      <c r="CV12" s="370">
        <f t="shared" si="54"/>
      </c>
      <c r="CW12" s="423">
        <f t="shared" si="54"/>
      </c>
      <c r="CX12" s="370">
        <f t="shared" si="54"/>
      </c>
      <c r="CY12" s="370">
        <f t="shared" si="54"/>
      </c>
      <c r="CZ12" s="370">
        <f t="shared" si="54"/>
      </c>
      <c r="DA12" s="423">
        <f t="shared" si="54"/>
      </c>
      <c r="DB12" s="370">
        <f t="shared" si="54"/>
      </c>
      <c r="DC12" s="370">
        <f t="shared" si="54"/>
      </c>
      <c r="DD12" s="370">
        <f t="shared" si="54"/>
      </c>
      <c r="DE12" s="423">
        <f t="shared" si="54"/>
      </c>
      <c r="DF12" s="370">
        <f t="shared" si="54"/>
      </c>
      <c r="DG12" s="370">
        <f t="shared" si="54"/>
      </c>
      <c r="DH12" s="370">
        <f t="shared" si="54"/>
      </c>
      <c r="DI12" s="423">
        <f t="shared" si="54"/>
      </c>
      <c r="DJ12" s="370">
        <f t="shared" si="54"/>
      </c>
      <c r="DK12" s="370">
        <f t="shared" si="54"/>
      </c>
      <c r="DL12" s="370">
        <f t="shared" si="54"/>
      </c>
      <c r="DM12" s="423">
        <f t="shared" si="54"/>
      </c>
      <c r="DN12" s="370">
        <f t="shared" si="54"/>
      </c>
      <c r="DO12" s="370">
        <f t="shared" si="54"/>
      </c>
      <c r="DP12" s="370">
        <f t="shared" si="54"/>
      </c>
      <c r="DQ12" s="423">
        <f t="shared" si="54"/>
      </c>
      <c r="DR12" s="370">
        <f t="shared" si="54"/>
      </c>
      <c r="DS12" s="370">
        <f t="shared" si="54"/>
      </c>
      <c r="DT12" s="370">
        <f t="shared" si="54"/>
      </c>
      <c r="DU12" s="423">
        <f>DU89</f>
      </c>
      <c r="DV12" s="370">
        <f t="shared" ref="DV12:DX12" si="55">DV89</f>
      </c>
      <c r="DW12" s="370">
        <f t="shared" si="55"/>
      </c>
      <c r="DX12" s="370">
        <f t="shared" si="55"/>
      </c>
      <c r="DY12" s="423">
        <f>DY89</f>
      </c>
      <c r="DZ12" s="370">
        <f t="shared" ref="DZ12:EB12" si="56">DZ89</f>
      </c>
      <c r="EA12" s="370">
        <f t="shared" si="56"/>
      </c>
      <c r="EB12" s="370">
        <f t="shared" si="56"/>
      </c>
      <c r="EC12" s="423">
        <f>EC89</f>
      </c>
      <c r="ED12" s="370">
        <f t="shared" ref="ED12:EF12" si="57">ED89</f>
      </c>
      <c r="EE12" s="370">
        <f t="shared" si="57"/>
      </c>
      <c r="EF12" s="370">
        <f t="shared" si="57"/>
      </c>
      <c r="EG12" s="423">
        <f>EG89</f>
      </c>
      <c r="EH12" s="370">
        <f t="shared" ref="EH12:EJ12" si="58">EH89</f>
      </c>
      <c r="EI12" s="370">
        <f t="shared" si="58"/>
      </c>
      <c r="EJ12" s="370">
        <f t="shared" si="58"/>
      </c>
      <c r="EK12" s="423">
        <f>EK89</f>
      </c>
      <c r="FE12" s="370">
        <f t="shared" si="25"/>
      </c>
      <c r="FF12" s="370">
        <f t="shared" si="26"/>
      </c>
      <c r="FG12" s="370">
        <f t="shared" si="27"/>
      </c>
      <c r="FH12" s="370">
        <f t="shared" si="28"/>
      </c>
      <c r="FI12" s="370">
        <f t="shared" si="29"/>
      </c>
      <c r="FJ12" s="370">
        <f t="shared" si="30"/>
      </c>
      <c r="FK12" s="370">
        <f t="shared" si="31"/>
      </c>
      <c r="FL12" s="370">
        <f t="shared" si="32"/>
      </c>
      <c r="FM12" s="370">
        <f t="shared" si="33"/>
      </c>
      <c r="FN12" s="370">
        <f t="shared" si="34"/>
      </c>
      <c r="FO12" s="370">
        <f t="shared" si="35"/>
      </c>
      <c r="FP12" s="370">
        <f t="shared" si="36"/>
      </c>
      <c r="FQ12" s="370">
        <f t="shared" si="37"/>
      </c>
      <c r="FR12" s="370">
        <f>SUM(DV12:DY12)</f>
      </c>
      <c r="FS12" s="370">
        <f>SUM(DZ12:EC12)</f>
      </c>
      <c r="FT12" s="370">
        <f>SUM(ED12:EG12)</f>
      </c>
      <c r="FU12" s="370">
        <f>SUM(EH12:EK12)</f>
      </c>
      <c r="FV12" s="88"/>
      <c r="GO12" s="370">
        <f t="shared" si="38"/>
      </c>
      <c r="GP12" s="370">
        <f t="shared" si="39"/>
      </c>
      <c r="GQ12" s="370">
        <f t="shared" si="40"/>
      </c>
      <c r="GR12" s="370">
        <f t="shared" si="41"/>
      </c>
      <c r="GS12" s="370">
        <f t="shared" si="42"/>
      </c>
      <c r="GT12" s="370">
        <f t="shared" si="43"/>
      </c>
      <c r="GU12" s="370">
        <f t="shared" si="44"/>
      </c>
      <c r="GV12" s="370">
        <f t="shared" si="45"/>
      </c>
      <c r="GW12" s="370">
        <f t="shared" si="46"/>
      </c>
      <c r="GX12" s="370">
        <f t="shared" si="47"/>
      </c>
      <c r="GY12" s="370">
        <f t="shared" si="48"/>
      </c>
      <c r="GZ12" s="370">
        <f t="shared" si="49"/>
      </c>
      <c r="HA12" s="370">
        <f t="shared" si="50"/>
      </c>
      <c r="HB12" s="370">
        <f t="shared" si="51"/>
      </c>
      <c r="HC12" s="370">
        <f t="shared" si="52"/>
      </c>
      <c r="HD12" s="370">
        <f t="shared" si="53"/>
      </c>
    </row>
    <row r="13" spans="1:212" s="370" customFormat="1" ht="10.199999999999999">
      <c r="A13" s="899" t="s">
        <v>1230</v>
      </c>
      <c r="B13" s="820"/>
      <c r="C13" s="820"/>
      <c r="D13" s="820"/>
      <c r="E13" s="821"/>
      <c r="F13" s="820"/>
      <c r="G13" s="820"/>
      <c r="H13" s="820"/>
      <c r="I13" s="821"/>
      <c r="J13" s="820"/>
      <c r="K13" s="820"/>
      <c r="L13" s="820"/>
      <c r="M13" s="821"/>
      <c r="N13" s="820"/>
      <c r="O13" s="820"/>
      <c r="P13" s="820"/>
      <c r="Q13" s="821"/>
      <c r="R13" s="820"/>
      <c r="S13" s="820"/>
      <c r="T13" s="820"/>
      <c r="U13" s="821"/>
      <c r="V13" s="820"/>
      <c r="W13" s="820"/>
      <c r="X13" s="820"/>
      <c r="Y13" s="821"/>
      <c r="Z13" s="820"/>
      <c r="AA13" s="820"/>
      <c r="AB13" s="820"/>
      <c r="AC13" s="821"/>
      <c r="AD13" s="820"/>
      <c r="AE13" s="820"/>
      <c r="AF13" s="820"/>
      <c r="AG13" s="820"/>
      <c r="AH13" s="820"/>
      <c r="AI13" s="820"/>
      <c r="AJ13" s="820"/>
      <c r="AK13" s="821"/>
      <c r="AL13" s="820"/>
      <c r="AM13" s="820"/>
      <c r="AN13" s="820"/>
      <c r="AO13" s="821"/>
      <c r="AP13" s="820"/>
      <c r="AQ13" s="820"/>
      <c r="AR13" s="820"/>
      <c r="AS13" s="821"/>
      <c r="AT13" s="820"/>
      <c r="AU13" s="820"/>
      <c r="AV13" s="820"/>
      <c r="AW13" s="821"/>
      <c r="AX13" s="820"/>
      <c r="AY13" s="820"/>
      <c r="AZ13" s="820"/>
      <c r="BA13" s="821"/>
      <c r="BB13" s="820"/>
      <c r="BC13" s="820"/>
      <c r="BD13" s="820"/>
      <c r="BE13" s="820"/>
      <c r="BF13" s="820"/>
      <c r="BG13" s="820"/>
      <c r="BH13" s="820"/>
      <c r="BI13" s="820"/>
      <c r="BJ13" s="820"/>
      <c r="BK13" s="820"/>
      <c r="BL13" s="820"/>
      <c r="BM13" s="821"/>
      <c r="BN13" s="820"/>
      <c r="BO13" s="820"/>
      <c r="BP13" s="820"/>
      <c r="BQ13" s="821"/>
      <c r="BR13" s="820"/>
      <c r="BS13" s="820"/>
      <c r="BT13" s="820"/>
      <c r="BU13" s="899"/>
      <c r="BV13" s="978"/>
      <c r="BW13" s="899"/>
      <c r="BX13" s="899"/>
      <c r="BY13" s="901"/>
      <c r="BZ13" s="899"/>
      <c r="CA13" s="899"/>
      <c r="CB13" s="899"/>
      <c r="CC13" s="899"/>
      <c r="CD13" s="978"/>
      <c r="CE13" s="899"/>
      <c r="CF13" s="899"/>
      <c r="CG13" s="901"/>
      <c r="CH13" s="899">
        <f t="shared" ref="CH13:CK13" si="59">CH142</f>
      </c>
      <c r="CI13" s="899">
        <f t="shared" si="59"/>
      </c>
      <c r="CJ13" s="899">
        <f t="shared" si="59"/>
      </c>
      <c r="CK13" s="901">
        <f t="shared" si="59"/>
      </c>
      <c r="CL13" s="899">
        <f t="shared" ref="CL13:CO13" si="60">CL142</f>
      </c>
      <c r="CM13" s="899">
        <f t="shared" si="60"/>
      </c>
      <c r="CN13" s="899">
        <f t="shared" si="60"/>
      </c>
      <c r="CO13" s="901">
        <f t="shared" si="60"/>
      </c>
      <c r="CP13" s="899">
        <f t="shared" ref="CP13:DT13" si="61">CP142</f>
      </c>
      <c r="CQ13" s="899">
        <f t="shared" si="61"/>
      </c>
      <c r="CR13" s="899">
        <f t="shared" si="61"/>
      </c>
      <c r="CS13" s="901">
        <f t="shared" si="61"/>
      </c>
      <c r="CT13" s="899">
        <f t="shared" si="61"/>
      </c>
      <c r="CU13" s="899">
        <f t="shared" si="61"/>
      </c>
      <c r="CV13" s="899">
        <f t="shared" si="61"/>
      </c>
      <c r="CW13" s="901">
        <f t="shared" si="61"/>
      </c>
      <c r="CX13" s="899">
        <f t="shared" si="61"/>
      </c>
      <c r="CY13" s="899">
        <f t="shared" si="61"/>
      </c>
      <c r="CZ13" s="899">
        <f t="shared" si="61"/>
      </c>
      <c r="DA13" s="901">
        <f t="shared" si="61"/>
      </c>
      <c r="DB13" s="899">
        <f t="shared" si="61"/>
      </c>
      <c r="DC13" s="899">
        <f t="shared" si="61"/>
      </c>
      <c r="DD13" s="899">
        <f t="shared" si="61"/>
      </c>
      <c r="DE13" s="901">
        <f t="shared" si="61"/>
      </c>
      <c r="DF13" s="899">
        <f t="shared" si="61"/>
      </c>
      <c r="DG13" s="899">
        <f t="shared" si="61"/>
      </c>
      <c r="DH13" s="899">
        <f t="shared" si="61"/>
      </c>
      <c r="DI13" s="901">
        <f t="shared" si="61"/>
      </c>
      <c r="DJ13" s="899">
        <f t="shared" si="61"/>
      </c>
      <c r="DK13" s="899">
        <f t="shared" si="61"/>
      </c>
      <c r="DL13" s="899">
        <f t="shared" si="61"/>
      </c>
      <c r="DM13" s="901">
        <f t="shared" si="61"/>
      </c>
      <c r="DN13" s="899">
        <f t="shared" si="61"/>
      </c>
      <c r="DO13" s="899">
        <f t="shared" si="61"/>
      </c>
      <c r="DP13" s="899">
        <f t="shared" si="61"/>
      </c>
      <c r="DQ13" s="901">
        <f t="shared" si="61"/>
      </c>
      <c r="DR13" s="899">
        <f t="shared" si="61"/>
      </c>
      <c r="DS13" s="899">
        <f t="shared" si="61"/>
      </c>
      <c r="DT13" s="899">
        <f t="shared" si="61"/>
      </c>
      <c r="DU13" s="901">
        <f>DU142</f>
      </c>
      <c r="DV13" s="899">
        <f t="shared" ref="DV13:DX13" si="62">DV142</f>
      </c>
      <c r="DW13" s="899">
        <f t="shared" si="62"/>
      </c>
      <c r="DX13" s="899">
        <f t="shared" si="62"/>
      </c>
      <c r="DY13" s="901">
        <f>DY142</f>
      </c>
      <c r="DZ13" s="899">
        <f t="shared" ref="DZ13:EB13" si="63">DZ142</f>
      </c>
      <c r="EA13" s="899">
        <f t="shared" si="63"/>
      </c>
      <c r="EB13" s="899">
        <f t="shared" si="63"/>
      </c>
      <c r="EC13" s="901">
        <f>EC142</f>
      </c>
      <c r="ED13" s="899">
        <f t="shared" ref="ED13:EF13" si="64">ED142</f>
      </c>
      <c r="EE13" s="899">
        <f t="shared" si="64"/>
      </c>
      <c r="EF13" s="899">
        <f t="shared" si="64"/>
      </c>
      <c r="EG13" s="901">
        <f>EG142</f>
      </c>
      <c r="EH13" s="899">
        <f t="shared" ref="EH13:EJ13" si="65">EH142</f>
      </c>
      <c r="EI13" s="899">
        <f t="shared" si="65"/>
      </c>
      <c r="EJ13" s="899">
        <f t="shared" si="65"/>
      </c>
      <c r="EK13" s="901">
        <f>EK142</f>
      </c>
      <c r="EM13" s="899"/>
      <c r="EN13" s="899"/>
      <c r="EO13" s="899"/>
      <c r="EP13" s="899"/>
      <c r="EQ13" s="899"/>
      <c r="ER13" s="899"/>
      <c r="ES13" s="899"/>
      <c r="ET13" s="899"/>
      <c r="EU13" s="899"/>
      <c r="EV13" s="899"/>
      <c r="EW13" s="899"/>
      <c r="EX13" s="899"/>
      <c r="EY13" s="899"/>
      <c r="EZ13" s="899"/>
      <c r="FA13" s="899"/>
      <c r="FB13" s="899"/>
      <c r="FC13" s="899"/>
      <c r="FD13" s="899"/>
      <c r="FE13" s="899">
        <f t="shared" si="25"/>
      </c>
      <c r="FF13" s="899">
        <f t="shared" si="26"/>
      </c>
      <c r="FG13" s="899">
        <f t="shared" si="27"/>
      </c>
      <c r="FH13" s="899">
        <f t="shared" si="28"/>
      </c>
      <c r="FI13" s="899">
        <f t="shared" si="29"/>
      </c>
      <c r="FJ13" s="899">
        <f t="shared" si="30"/>
      </c>
      <c r="FK13" s="899">
        <f t="shared" si="31"/>
      </c>
      <c r="FL13" s="899">
        <f t="shared" si="32"/>
      </c>
      <c r="FM13" s="899">
        <f t="shared" si="33"/>
      </c>
      <c r="FN13" s="899">
        <f t="shared" si="34"/>
      </c>
      <c r="FO13" s="899">
        <f t="shared" si="35"/>
      </c>
      <c r="FP13" s="899">
        <f t="shared" si="36"/>
      </c>
      <c r="FQ13" s="899">
        <f t="shared" si="37"/>
      </c>
      <c r="FR13" s="899">
        <f>SUM(DV13:DY13)</f>
      </c>
      <c r="FS13" s="899">
        <f>SUM(DZ13:EC13)</f>
      </c>
      <c r="FT13" s="899">
        <f>SUM(ED13:EG13)</f>
      </c>
      <c r="FU13" s="899">
        <f>SUM(EH13:EK13)</f>
      </c>
      <c r="FV13" s="2076"/>
      <c r="FW13" s="899"/>
      <c r="FX13" s="899"/>
      <c r="FY13" s="899"/>
      <c r="FZ13" s="899"/>
      <c r="GA13" s="899"/>
      <c r="GB13" s="899"/>
      <c r="GC13" s="899"/>
      <c r="GD13" s="899"/>
      <c r="GE13" s="899"/>
      <c r="GF13" s="899"/>
      <c r="GG13" s="899"/>
      <c r="GH13" s="899"/>
      <c r="GI13" s="899"/>
      <c r="GJ13" s="899"/>
      <c r="GK13" s="899"/>
      <c r="GL13" s="899"/>
      <c r="GM13" s="899"/>
      <c r="GN13" s="899"/>
      <c r="GO13" s="899">
        <f t="shared" si="38"/>
      </c>
      <c r="GP13" s="899">
        <f t="shared" si="39"/>
      </c>
      <c r="GQ13" s="899">
        <f t="shared" si="40"/>
      </c>
      <c r="GR13" s="899">
        <f t="shared" si="41"/>
      </c>
      <c r="GS13" s="899">
        <f t="shared" si="42"/>
      </c>
      <c r="GT13" s="899">
        <f t="shared" si="43"/>
      </c>
      <c r="GU13" s="899">
        <f t="shared" si="44"/>
      </c>
      <c r="GV13" s="899">
        <f t="shared" si="45"/>
      </c>
      <c r="GW13" s="899">
        <f t="shared" si="46"/>
      </c>
      <c r="GX13" s="899">
        <f t="shared" si="47"/>
      </c>
      <c r="GY13" s="899">
        <f t="shared" si="48"/>
      </c>
      <c r="GZ13" s="899">
        <f t="shared" si="49"/>
      </c>
      <c r="HA13" s="899">
        <f t="shared" si="50"/>
      </c>
      <c r="HB13" s="899">
        <f t="shared" si="51"/>
      </c>
      <c r="HC13" s="899">
        <f t="shared" si="52"/>
      </c>
      <c r="HD13" s="899">
        <f t="shared" si="53"/>
      </c>
    </row>
    <row r="14" spans="1:212" s="370" customFormat="1" ht="10.199999999999999">
      <c r="A14" s="899" t="s">
        <v>1233</v>
      </c>
      <c r="B14" s="820"/>
      <c r="C14" s="820"/>
      <c r="D14" s="820"/>
      <c r="E14" s="821"/>
      <c r="F14" s="820"/>
      <c r="G14" s="820"/>
      <c r="H14" s="820"/>
      <c r="I14" s="821"/>
      <c r="J14" s="820"/>
      <c r="K14" s="820"/>
      <c r="L14" s="820"/>
      <c r="M14" s="821"/>
      <c r="N14" s="820"/>
      <c r="O14" s="820"/>
      <c r="P14" s="820"/>
      <c r="Q14" s="821"/>
      <c r="R14" s="820"/>
      <c r="S14" s="820"/>
      <c r="T14" s="820"/>
      <c r="U14" s="821"/>
      <c r="V14" s="820"/>
      <c r="W14" s="820"/>
      <c r="X14" s="820"/>
      <c r="Y14" s="821"/>
      <c r="Z14" s="820"/>
      <c r="AA14" s="820"/>
      <c r="AB14" s="820"/>
      <c r="AC14" s="821"/>
      <c r="AD14" s="820"/>
      <c r="AE14" s="820"/>
      <c r="AF14" s="820"/>
      <c r="AG14" s="820"/>
      <c r="AH14" s="820"/>
      <c r="AI14" s="820"/>
      <c r="AJ14" s="820"/>
      <c r="AK14" s="821"/>
      <c r="AL14" s="820"/>
      <c r="AM14" s="820"/>
      <c r="AN14" s="820"/>
      <c r="AO14" s="821"/>
      <c r="AP14" s="820"/>
      <c r="AQ14" s="820"/>
      <c r="AR14" s="820"/>
      <c r="AS14" s="821"/>
      <c r="AT14" s="820"/>
      <c r="AU14" s="820"/>
      <c r="AV14" s="820"/>
      <c r="AW14" s="821"/>
      <c r="AX14" s="820"/>
      <c r="AY14" s="820"/>
      <c r="AZ14" s="820"/>
      <c r="BA14" s="821"/>
      <c r="BB14" s="820"/>
      <c r="BC14" s="820"/>
      <c r="BD14" s="820"/>
      <c r="BE14" s="820"/>
      <c r="BF14" s="820"/>
      <c r="BG14" s="820"/>
      <c r="BH14" s="820"/>
      <c r="BI14" s="820"/>
      <c r="BJ14" s="820"/>
      <c r="BK14" s="820"/>
      <c r="BL14" s="820"/>
      <c r="BM14" s="821"/>
      <c r="BN14" s="820"/>
      <c r="BO14" s="820"/>
      <c r="BP14" s="820"/>
      <c r="BQ14" s="821"/>
      <c r="BR14" s="820"/>
      <c r="BS14" s="820"/>
      <c r="BT14" s="820"/>
      <c r="BU14" s="899"/>
      <c r="BV14" s="978"/>
      <c r="BW14" s="899"/>
      <c r="BX14" s="899"/>
      <c r="BY14" s="901"/>
      <c r="BZ14" s="899"/>
      <c r="CA14" s="899"/>
      <c r="CB14" s="899"/>
      <c r="CC14" s="899">
        <f t="shared" ref="CC14:DU14" si="66">CC118+CC124+CC130+CC136+CC112</f>
      </c>
      <c r="CD14" s="978">
        <f t="shared" si="66"/>
      </c>
      <c r="CE14" s="899">
        <f t="shared" si="66"/>
      </c>
      <c r="CF14" s="899">
        <f t="shared" si="66"/>
      </c>
      <c r="CG14" s="901">
        <f t="shared" si="66"/>
      </c>
      <c r="CH14" s="899">
        <f t="shared" si="66"/>
      </c>
      <c r="CI14" s="899">
        <f t="shared" si="66"/>
      </c>
      <c r="CJ14" s="899">
        <f t="shared" si="66"/>
      </c>
      <c r="CK14" s="901">
        <f t="shared" si="66"/>
      </c>
      <c r="CL14" s="899">
        <f>CL118+CL124+CL130+CL136+CL112</f>
      </c>
      <c r="CM14" s="899">
        <f>CM118+CM124+CM130+CM136+CM112</f>
      </c>
      <c r="CN14" s="899">
        <f>CN118+CN124+CN130+CN136+CN112</f>
      </c>
      <c r="CO14" s="901">
        <f t="shared" si="66"/>
      </c>
      <c r="CP14" s="899">
        <f t="shared" si="66"/>
      </c>
      <c r="CQ14" s="899">
        <f t="shared" si="66"/>
      </c>
      <c r="CR14" s="899">
        <f t="shared" si="66"/>
      </c>
      <c r="CS14" s="901">
        <f t="shared" si="66"/>
      </c>
      <c r="CT14" s="899">
        <f t="shared" si="66"/>
      </c>
      <c r="CU14" s="899">
        <f t="shared" si="66"/>
      </c>
      <c r="CV14" s="899">
        <f>CV118+CV124+CV130+CV136+CV112</f>
      </c>
      <c r="CW14" s="901">
        <f t="shared" si="66"/>
      </c>
      <c r="CX14" s="899">
        <f t="shared" si="66"/>
      </c>
      <c r="CY14" s="899">
        <f t="shared" si="66"/>
      </c>
      <c r="CZ14" s="899">
        <f t="shared" si="66"/>
      </c>
      <c r="DA14" s="901">
        <f t="shared" si="66"/>
      </c>
      <c r="DB14" s="899">
        <f t="shared" si="66"/>
      </c>
      <c r="DC14" s="899">
        <f t="shared" si="66"/>
      </c>
      <c r="DD14" s="899">
        <f t="shared" si="66"/>
      </c>
      <c r="DE14" s="901">
        <f t="shared" si="66"/>
      </c>
      <c r="DF14" s="899">
        <f>DF118+DF124+DF130+DF136+DF112</f>
      </c>
      <c r="DG14" s="899">
        <f>DG118+DG124+DG130+DG136+DG112</f>
      </c>
      <c r="DH14" s="899">
        <f t="shared" si="66"/>
      </c>
      <c r="DI14" s="901">
        <f t="shared" si="66"/>
      </c>
      <c r="DJ14" s="899">
        <f t="shared" si="66"/>
      </c>
      <c r="DK14" s="899">
        <f>DK118+DK124+DK130+DK136+DK112</f>
      </c>
      <c r="DL14" s="899">
        <f t="shared" si="66"/>
      </c>
      <c r="DM14" s="901">
        <f t="shared" si="66"/>
      </c>
      <c r="DN14" s="899">
        <f t="shared" si="66"/>
      </c>
      <c r="DO14" s="899">
        <f t="shared" si="66"/>
      </c>
      <c r="DP14" s="899">
        <f t="shared" si="66"/>
      </c>
      <c r="DQ14" s="901">
        <f t="shared" si="66"/>
      </c>
      <c r="DR14" s="899">
        <f t="shared" si="66"/>
      </c>
      <c r="DS14" s="899">
        <f t="shared" si="66"/>
      </c>
      <c r="DT14" s="899">
        <f t="shared" si="66"/>
      </c>
      <c r="DU14" s="901">
        <f t="shared" si="66"/>
      </c>
      <c r="DV14" s="899">
        <f t="shared" ref="DV14:EK14" si="67">DV118+DV124+DV130+DV136+DV112</f>
      </c>
      <c r="DW14" s="899">
        <f t="shared" si="67"/>
      </c>
      <c r="DX14" s="899">
        <f t="shared" si="67"/>
      </c>
      <c r="DY14" s="901">
        <f t="shared" si="67"/>
      </c>
      <c r="DZ14" s="899">
        <f t="shared" si="67"/>
      </c>
      <c r="EA14" s="899">
        <f t="shared" si="67"/>
      </c>
      <c r="EB14" s="899">
        <f t="shared" si="67"/>
      </c>
      <c r="EC14" s="901">
        <f t="shared" si="67"/>
      </c>
      <c r="ED14" s="899">
        <f t="shared" si="67"/>
      </c>
      <c r="EE14" s="899">
        <f t="shared" si="67"/>
      </c>
      <c r="EF14" s="899">
        <f t="shared" si="67"/>
      </c>
      <c r="EG14" s="901">
        <f t="shared" si="67"/>
      </c>
      <c r="EH14" s="899">
        <f t="shared" si="67"/>
      </c>
      <c r="EI14" s="899">
        <f t="shared" si="67"/>
      </c>
      <c r="EJ14" s="899">
        <f t="shared" si="67"/>
      </c>
      <c r="EK14" s="901">
        <f t="shared" si="67"/>
      </c>
      <c r="EM14" s="899"/>
      <c r="EN14" s="899"/>
      <c r="EO14" s="899"/>
      <c r="EP14" s="899"/>
      <c r="EQ14" s="899"/>
      <c r="ER14" s="899"/>
      <c r="ES14" s="899"/>
      <c r="ET14" s="899"/>
      <c r="EU14" s="899"/>
      <c r="EV14" s="899"/>
      <c r="EW14" s="899"/>
      <c r="EX14" s="899"/>
      <c r="EY14" s="899"/>
      <c r="EZ14" s="899"/>
      <c r="FA14" s="899"/>
      <c r="FB14" s="899"/>
      <c r="FC14" s="899"/>
      <c r="FD14" s="899"/>
      <c r="FE14" s="899">
        <f t="shared" si="25"/>
      </c>
      <c r="FF14" s="899">
        <f t="shared" si="26"/>
      </c>
      <c r="FG14" s="899">
        <f t="shared" si="27"/>
      </c>
      <c r="FH14" s="899">
        <f t="shared" si="28"/>
      </c>
      <c r="FI14" s="899">
        <f t="shared" ref="FI14:FQ14" si="68">FI118+FI124+FI130+FI136+FI112</f>
      </c>
      <c r="FJ14" s="899">
        <f t="shared" si="68"/>
      </c>
      <c r="FK14" s="899">
        <f t="shared" si="68"/>
      </c>
      <c r="FL14" s="899">
        <f t="shared" si="68"/>
      </c>
      <c r="FM14" s="899">
        <f t="shared" si="68"/>
      </c>
      <c r="FN14" s="899">
        <f t="shared" si="68"/>
      </c>
      <c r="FO14" s="899">
        <f>FO118+FO124+FO130+FO136+FO112</f>
      </c>
      <c r="FP14" s="899">
        <f t="shared" si="68"/>
      </c>
      <c r="FQ14" s="899">
        <f t="shared" si="68"/>
      </c>
      <c r="FR14" s="899">
        <f t="shared" ref="FR14:FU14" si="69">FR118+FR124+FR130+FR136+FR112</f>
      </c>
      <c r="FS14" s="899">
        <f t="shared" si="69"/>
      </c>
      <c r="FT14" s="899">
        <f t="shared" si="69"/>
      </c>
      <c r="FU14" s="899">
        <f t="shared" si="69"/>
      </c>
      <c r="FV14" s="899"/>
      <c r="FW14" s="899"/>
      <c r="FX14" s="899"/>
      <c r="FY14" s="899"/>
      <c r="FZ14" s="899"/>
      <c r="GA14" s="899"/>
      <c r="GB14" s="899"/>
      <c r="GC14" s="899"/>
      <c r="GD14" s="899"/>
      <c r="GE14" s="899"/>
      <c r="GF14" s="899"/>
      <c r="GG14" s="899"/>
      <c r="GH14" s="899"/>
      <c r="GI14" s="899"/>
      <c r="GJ14" s="899"/>
      <c r="GK14" s="899"/>
      <c r="GL14" s="899"/>
      <c r="GM14" s="899"/>
      <c r="GN14" s="899"/>
      <c r="GO14" s="899">
        <f t="shared" si="38"/>
      </c>
      <c r="GP14" s="899">
        <f t="shared" si="39"/>
      </c>
      <c r="GQ14" s="899">
        <f t="shared" si="40"/>
      </c>
      <c r="GR14" s="899">
        <f t="shared" si="41"/>
      </c>
      <c r="GS14" s="899">
        <f t="shared" si="42"/>
      </c>
      <c r="GT14" s="899">
        <f t="shared" si="43"/>
      </c>
      <c r="GU14" s="899">
        <f t="shared" si="44"/>
      </c>
      <c r="GV14" s="899">
        <f t="shared" si="45"/>
      </c>
      <c r="GW14" s="899">
        <f t="shared" si="46"/>
      </c>
      <c r="GX14" s="899">
        <f t="shared" si="47"/>
      </c>
      <c r="GY14" s="899">
        <f t="shared" si="48"/>
      </c>
      <c r="GZ14" s="899">
        <f t="shared" si="49"/>
      </c>
      <c r="HA14" s="899">
        <f t="shared" si="50"/>
      </c>
      <c r="HB14" s="899">
        <f t="shared" si="51"/>
      </c>
      <c r="HC14" s="899">
        <f t="shared" si="52"/>
      </c>
      <c r="HD14" s="899">
        <f t="shared" si="53"/>
      </c>
    </row>
    <row r="15" spans="1:212" s="370" customFormat="1" ht="10.199999999999999">
      <c r="A15" s="899" t="s">
        <v>1212</v>
      </c>
      <c r="B15" s="820"/>
      <c r="C15" s="820"/>
      <c r="D15" s="820"/>
      <c r="E15" s="821"/>
      <c r="F15" s="820"/>
      <c r="G15" s="820"/>
      <c r="H15" s="820"/>
      <c r="I15" s="821"/>
      <c r="J15" s="820"/>
      <c r="K15" s="820"/>
      <c r="L15" s="820"/>
      <c r="M15" s="821"/>
      <c r="N15" s="820"/>
      <c r="O15" s="820"/>
      <c r="P15" s="820"/>
      <c r="Q15" s="821"/>
      <c r="R15" s="820"/>
      <c r="S15" s="820"/>
      <c r="T15" s="820"/>
      <c r="U15" s="821"/>
      <c r="V15" s="820"/>
      <c r="W15" s="820"/>
      <c r="X15" s="820"/>
      <c r="Y15" s="821"/>
      <c r="Z15" s="820"/>
      <c r="AA15" s="820"/>
      <c r="AB15" s="820"/>
      <c r="AC15" s="821"/>
      <c r="AD15" s="820"/>
      <c r="AE15" s="820"/>
      <c r="AF15" s="820"/>
      <c r="AG15" s="820"/>
      <c r="AH15" s="820"/>
      <c r="AI15" s="820"/>
      <c r="AJ15" s="820"/>
      <c r="AK15" s="821"/>
      <c r="AL15" s="820"/>
      <c r="AM15" s="820"/>
      <c r="AN15" s="820"/>
      <c r="AO15" s="821"/>
      <c r="AP15" s="820"/>
      <c r="AQ15" s="820"/>
      <c r="AR15" s="820"/>
      <c r="AS15" s="821"/>
      <c r="AT15" s="820"/>
      <c r="AU15" s="820"/>
      <c r="AV15" s="820"/>
      <c r="AW15" s="821"/>
      <c r="AX15" s="820"/>
      <c r="AY15" s="820"/>
      <c r="AZ15" s="820"/>
      <c r="BA15" s="821"/>
      <c r="BB15" s="820"/>
      <c r="BC15" s="820"/>
      <c r="BD15" s="820"/>
      <c r="BE15" s="820"/>
      <c r="BF15" s="820"/>
      <c r="BG15" s="820"/>
      <c r="BH15" s="820"/>
      <c r="BI15" s="820"/>
      <c r="BJ15" s="820"/>
      <c r="BK15" s="820"/>
      <c r="BL15" s="820"/>
      <c r="BM15" s="821"/>
      <c r="BN15" s="820"/>
      <c r="BO15" s="820"/>
      <c r="BP15" s="820"/>
      <c r="BQ15" s="821"/>
      <c r="BR15" s="820"/>
      <c r="BS15" s="820"/>
      <c r="BT15" s="820"/>
      <c r="BU15" s="899"/>
      <c r="BV15" s="978">
        <f t="shared" ref="BV15:DA15" si="70">BV102</f>
      </c>
      <c r="BW15" s="899">
        <f t="shared" si="70"/>
      </c>
      <c r="BX15" s="899">
        <f t="shared" si="70"/>
      </c>
      <c r="BY15" s="901">
        <f t="shared" si="70"/>
      </c>
      <c r="BZ15" s="899">
        <f t="shared" si="70"/>
      </c>
      <c r="CA15" s="899">
        <f t="shared" si="70"/>
      </c>
      <c r="CB15" s="899">
        <f t="shared" si="70"/>
      </c>
      <c r="CC15" s="899">
        <f t="shared" si="70"/>
      </c>
      <c r="CD15" s="978">
        <f t="shared" si="70"/>
      </c>
      <c r="CE15" s="899">
        <f t="shared" si="70"/>
      </c>
      <c r="CF15" s="899">
        <f t="shared" si="70"/>
      </c>
      <c r="CG15" s="901">
        <f t="shared" si="70"/>
      </c>
      <c r="CH15" s="899">
        <f t="shared" si="70"/>
      </c>
      <c r="CI15" s="899">
        <f t="shared" si="70"/>
      </c>
      <c r="CJ15" s="899">
        <f t="shared" si="70"/>
      </c>
      <c r="CK15" s="901">
        <f t="shared" si="70"/>
      </c>
      <c r="CL15" s="899">
        <f t="shared" si="70"/>
      </c>
      <c r="CM15" s="899">
        <f t="shared" si="70"/>
      </c>
      <c r="CN15" s="899">
        <f t="shared" si="70"/>
      </c>
      <c r="CO15" s="901">
        <f t="shared" si="70"/>
      </c>
      <c r="CP15" s="899">
        <f t="shared" si="70"/>
      </c>
      <c r="CQ15" s="899">
        <f t="shared" si="70"/>
      </c>
      <c r="CR15" s="899">
        <f t="shared" si="70"/>
      </c>
      <c r="CS15" s="901">
        <f t="shared" si="70"/>
      </c>
      <c r="CT15" s="899">
        <f t="shared" si="70"/>
      </c>
      <c r="CU15" s="899">
        <f t="shared" si="70"/>
      </c>
      <c r="CV15" s="899">
        <f t="shared" si="70"/>
      </c>
      <c r="CW15" s="901">
        <f t="shared" si="70"/>
      </c>
      <c r="CX15" s="899">
        <f t="shared" si="70"/>
      </c>
      <c r="CY15" s="899">
        <f t="shared" si="70"/>
      </c>
      <c r="CZ15" s="899">
        <f t="shared" si="70"/>
      </c>
      <c r="DA15" s="901">
        <f t="shared" si="70"/>
      </c>
      <c r="DB15" s="899">
        <f t="shared" ref="DB15:DU15" si="71">DB102</f>
      </c>
      <c r="DC15" s="899">
        <f t="shared" si="71"/>
      </c>
      <c r="DD15" s="899">
        <f t="shared" si="71"/>
      </c>
      <c r="DE15" s="901">
        <f t="shared" si="71"/>
      </c>
      <c r="DF15" s="899">
        <f t="shared" si="71"/>
      </c>
      <c r="DG15" s="899">
        <f t="shared" si="71"/>
      </c>
      <c r="DH15" s="899">
        <f t="shared" si="71"/>
      </c>
      <c r="DI15" s="901">
        <f t="shared" si="71"/>
      </c>
      <c r="DJ15" s="899">
        <f t="shared" si="71"/>
      </c>
      <c r="DK15" s="899">
        <f t="shared" si="71"/>
      </c>
      <c r="DL15" s="899">
        <f t="shared" si="71"/>
      </c>
      <c r="DM15" s="901">
        <f t="shared" si="71"/>
      </c>
      <c r="DN15" s="899">
        <f t="shared" si="71"/>
      </c>
      <c r="DO15" s="899">
        <f t="shared" si="71"/>
      </c>
      <c r="DP15" s="899">
        <f t="shared" si="71"/>
      </c>
      <c r="DQ15" s="901">
        <f t="shared" si="71"/>
      </c>
      <c r="DR15" s="899">
        <f t="shared" si="71"/>
      </c>
      <c r="DS15" s="899">
        <f t="shared" si="71"/>
      </c>
      <c r="DT15" s="899">
        <f t="shared" si="71"/>
      </c>
      <c r="DU15" s="901">
        <f t="shared" si="71"/>
      </c>
      <c r="DV15" s="899">
        <f t="shared" ref="DV15:EK15" si="72">DV102</f>
      </c>
      <c r="DW15" s="899">
        <f t="shared" si="72"/>
      </c>
      <c r="DX15" s="899">
        <f t="shared" si="72"/>
      </c>
      <c r="DY15" s="901">
        <f t="shared" si="72"/>
      </c>
      <c r="DZ15" s="899">
        <f t="shared" si="72"/>
      </c>
      <c r="EA15" s="899">
        <f t="shared" si="72"/>
      </c>
      <c r="EB15" s="899">
        <f t="shared" si="72"/>
      </c>
      <c r="EC15" s="901">
        <f t="shared" si="72"/>
      </c>
      <c r="ED15" s="899">
        <f t="shared" si="72"/>
      </c>
      <c r="EE15" s="899">
        <f t="shared" si="72"/>
      </c>
      <c r="EF15" s="899">
        <f t="shared" si="72"/>
      </c>
      <c r="EG15" s="901">
        <f t="shared" si="72"/>
      </c>
      <c r="EH15" s="899">
        <f t="shared" si="72"/>
      </c>
      <c r="EI15" s="899">
        <f t="shared" si="72"/>
      </c>
      <c r="EJ15" s="899">
        <f t="shared" si="72"/>
      </c>
      <c r="EK15" s="901">
        <f t="shared" si="72"/>
      </c>
      <c r="EM15" s="899"/>
      <c r="EN15" s="899"/>
      <c r="EO15" s="899"/>
      <c r="EP15" s="899"/>
      <c r="EQ15" s="899"/>
      <c r="ER15" s="899"/>
      <c r="ES15" s="899"/>
      <c r="ET15" s="899"/>
      <c r="EU15" s="899"/>
      <c r="EV15" s="899"/>
      <c r="EW15" s="899"/>
      <c r="EX15" s="899"/>
      <c r="EY15" s="899"/>
      <c r="EZ15" s="899"/>
      <c r="FA15" s="899"/>
      <c r="FB15" s="899"/>
      <c r="FC15" s="899"/>
      <c r="FD15" s="899"/>
      <c r="FE15" s="899">
        <f t="shared" si="25"/>
      </c>
      <c r="FF15" s="899">
        <f t="shared" si="26"/>
      </c>
      <c r="FG15" s="899">
        <f t="shared" si="27"/>
      </c>
      <c r="FH15" s="899">
        <f t="shared" si="28"/>
      </c>
      <c r="FI15" s="899">
        <f t="shared" si="29"/>
      </c>
      <c r="FJ15" s="899">
        <f t="shared" si="30"/>
      </c>
      <c r="FK15" s="899">
        <f t="shared" si="31"/>
      </c>
      <c r="FL15" s="899">
        <f t="shared" si="32"/>
      </c>
      <c r="FM15" s="899">
        <f t="shared" si="33"/>
      </c>
      <c r="FN15" s="899">
        <f t="shared" si="34"/>
      </c>
      <c r="FO15" s="899">
        <f t="shared" si="35"/>
      </c>
      <c r="FP15" s="899">
        <f t="shared" si="36"/>
      </c>
      <c r="FQ15" s="899">
        <f t="shared" si="37"/>
      </c>
      <c r="FR15" s="899">
        <f t="shared" ref="FR15:FR21" si="73">SUM(DV15:DY15)</f>
      </c>
      <c r="FS15" s="899">
        <f t="shared" ref="FS15:FS21" si="74">SUM(DZ15:EC15)</f>
      </c>
      <c r="FT15" s="899">
        <f t="shared" ref="FT15:FT21" si="75">SUM(ED15:EG15)</f>
      </c>
      <c r="FU15" s="899">
        <f t="shared" ref="FU15:FU21" si="76">SUM(EH15:EK15)</f>
      </c>
      <c r="FV15" s="899"/>
      <c r="FW15" s="899"/>
      <c r="FX15" s="899"/>
      <c r="FY15" s="899"/>
      <c r="FZ15" s="899"/>
      <c r="GA15" s="899"/>
      <c r="GB15" s="899"/>
      <c r="GC15" s="899"/>
      <c r="GD15" s="899"/>
      <c r="GE15" s="899"/>
      <c r="GF15" s="899"/>
      <c r="GG15" s="899"/>
      <c r="GH15" s="899"/>
      <c r="GI15" s="899"/>
      <c r="GJ15" s="899"/>
      <c r="GK15" s="899"/>
      <c r="GL15" s="899"/>
      <c r="GM15" s="899"/>
      <c r="GN15" s="899"/>
      <c r="GO15" s="899">
        <f t="shared" si="38"/>
      </c>
      <c r="GP15" s="899">
        <f t="shared" si="39"/>
      </c>
      <c r="GQ15" s="899">
        <f t="shared" si="40"/>
      </c>
      <c r="GR15" s="899">
        <f t="shared" si="41"/>
      </c>
      <c r="GS15" s="899">
        <f t="shared" si="42"/>
      </c>
      <c r="GT15" s="899">
        <f t="shared" si="43"/>
      </c>
      <c r="GU15" s="899">
        <f t="shared" si="44"/>
      </c>
      <c r="GV15" s="899">
        <f t="shared" si="45"/>
      </c>
      <c r="GW15" s="899">
        <f t="shared" si="46"/>
      </c>
      <c r="GX15" s="899">
        <f t="shared" si="47"/>
      </c>
      <c r="GY15" s="899">
        <f t="shared" si="48"/>
      </c>
      <c r="GZ15" s="899">
        <f t="shared" si="49"/>
      </c>
      <c r="HA15" s="899">
        <f t="shared" si="50"/>
      </c>
      <c r="HB15" s="899">
        <f t="shared" si="51"/>
      </c>
      <c r="HC15" s="899">
        <f t="shared" si="52"/>
      </c>
      <c r="HD15" s="899">
        <f t="shared" si="53"/>
      </c>
    </row>
    <row r="16" spans="1:212" s="370" customFormat="1" ht="10.199999999999999">
      <c r="A16" s="899" t="s">
        <v>1231</v>
      </c>
      <c r="B16" s="820"/>
      <c r="C16" s="820"/>
      <c r="D16" s="820"/>
      <c r="E16" s="821"/>
      <c r="F16" s="820"/>
      <c r="G16" s="820"/>
      <c r="H16" s="820"/>
      <c r="I16" s="821"/>
      <c r="J16" s="820"/>
      <c r="K16" s="820"/>
      <c r="L16" s="820"/>
      <c r="M16" s="821"/>
      <c r="N16" s="820"/>
      <c r="O16" s="820"/>
      <c r="P16" s="820"/>
      <c r="Q16" s="821"/>
      <c r="R16" s="820"/>
      <c r="S16" s="820"/>
      <c r="T16" s="820"/>
      <c r="U16" s="821"/>
      <c r="V16" s="820"/>
      <c r="W16" s="820"/>
      <c r="X16" s="820"/>
      <c r="Y16" s="821"/>
      <c r="Z16" s="820"/>
      <c r="AA16" s="820"/>
      <c r="AB16" s="820"/>
      <c r="AC16" s="821"/>
      <c r="AD16" s="820"/>
      <c r="AE16" s="820"/>
      <c r="AF16" s="820"/>
      <c r="AG16" s="820"/>
      <c r="AH16" s="820"/>
      <c r="AI16" s="820"/>
      <c r="AJ16" s="820"/>
      <c r="AK16" s="821"/>
      <c r="AL16" s="820"/>
      <c r="AM16" s="820"/>
      <c r="AN16" s="820"/>
      <c r="AO16" s="821"/>
      <c r="AP16" s="820"/>
      <c r="AQ16" s="820"/>
      <c r="AR16" s="820"/>
      <c r="AS16" s="821"/>
      <c r="AT16" s="820"/>
      <c r="AU16" s="820"/>
      <c r="AV16" s="820"/>
      <c r="AW16" s="821"/>
      <c r="AX16" s="820"/>
      <c r="AY16" s="820"/>
      <c r="AZ16" s="820"/>
      <c r="BA16" s="821"/>
      <c r="BB16" s="820"/>
      <c r="BC16" s="820"/>
      <c r="BD16" s="820"/>
      <c r="BE16" s="820"/>
      <c r="BF16" s="820"/>
      <c r="BG16" s="820"/>
      <c r="BH16" s="820"/>
      <c r="BI16" s="820"/>
      <c r="BJ16" s="820"/>
      <c r="BK16" s="820"/>
      <c r="BL16" s="820"/>
      <c r="BM16" s="821"/>
      <c r="BN16" s="820"/>
      <c r="BO16" s="820"/>
      <c r="BP16" s="820"/>
      <c r="BQ16" s="821"/>
      <c r="BR16" s="820"/>
      <c r="BS16" s="820"/>
      <c r="BT16" s="820"/>
      <c r="BU16" s="899"/>
      <c r="BV16" s="978"/>
      <c r="BW16" s="899"/>
      <c r="BX16" s="899"/>
      <c r="BY16" s="901"/>
      <c r="BZ16" s="899"/>
      <c r="CA16" s="899"/>
      <c r="CB16" s="899"/>
      <c r="CC16" s="899"/>
      <c r="CD16" s="978">
        <f t="shared" ref="CD16:CG16" si="77">CD149</f>
      </c>
      <c r="CE16" s="899">
        <f t="shared" si="77"/>
      </c>
      <c r="CF16" s="899">
        <f t="shared" si="77"/>
      </c>
      <c r="CG16" s="901">
        <f t="shared" si="77"/>
      </c>
      <c r="CH16" s="899">
        <f t="shared" ref="CH16:CK16" si="78">CH149</f>
      </c>
      <c r="CI16" s="899">
        <f t="shared" si="78"/>
      </c>
      <c r="CJ16" s="899">
        <f t="shared" si="78"/>
      </c>
      <c r="CK16" s="901">
        <f t="shared" si="78"/>
      </c>
      <c r="CL16" s="899">
        <f>CL149</f>
      </c>
      <c r="CM16" s="899">
        <f t="shared" ref="CM16:DU16" si="79">CM149</f>
      </c>
      <c r="CN16" s="899">
        <f t="shared" si="79"/>
      </c>
      <c r="CO16" s="901">
        <f t="shared" si="79"/>
      </c>
      <c r="CP16" s="899">
        <f>CP149</f>
      </c>
      <c r="CQ16" s="899">
        <f t="shared" si="79"/>
      </c>
      <c r="CR16" s="899">
        <f t="shared" si="79"/>
      </c>
      <c r="CS16" s="901">
        <f t="shared" si="79"/>
      </c>
      <c r="CT16" s="899">
        <f>CT149</f>
      </c>
      <c r="CU16" s="899">
        <f t="shared" si="79"/>
      </c>
      <c r="CV16" s="899">
        <f t="shared" si="79"/>
      </c>
      <c r="CW16" s="901">
        <f t="shared" si="79"/>
      </c>
      <c r="CX16" s="899">
        <f>CX149</f>
      </c>
      <c r="CY16" s="899">
        <f t="shared" si="79"/>
      </c>
      <c r="CZ16" s="899">
        <f t="shared" si="79"/>
      </c>
      <c r="DA16" s="901">
        <f t="shared" si="79"/>
      </c>
      <c r="DB16" s="899">
        <f>DB149</f>
      </c>
      <c r="DC16" s="899">
        <f t="shared" si="79"/>
      </c>
      <c r="DD16" s="899">
        <f t="shared" si="79"/>
      </c>
      <c r="DE16" s="901">
        <f t="shared" si="79"/>
      </c>
      <c r="DF16" s="899">
        <f>DF149</f>
      </c>
      <c r="DG16" s="899">
        <f t="shared" si="79"/>
      </c>
      <c r="DH16" s="899">
        <f t="shared" si="79"/>
      </c>
      <c r="DI16" s="901">
        <f t="shared" si="79"/>
      </c>
      <c r="DJ16" s="899">
        <f>DJ149</f>
      </c>
      <c r="DK16" s="899">
        <f t="shared" si="79"/>
      </c>
      <c r="DL16" s="899">
        <f t="shared" si="79"/>
      </c>
      <c r="DM16" s="901">
        <f t="shared" si="79"/>
      </c>
      <c r="DN16" s="899">
        <f>DN149</f>
      </c>
      <c r="DO16" s="899">
        <f t="shared" si="79"/>
      </c>
      <c r="DP16" s="899">
        <f t="shared" si="79"/>
      </c>
      <c r="DQ16" s="901">
        <f t="shared" si="79"/>
      </c>
      <c r="DR16" s="899">
        <f>DR149</f>
      </c>
      <c r="DS16" s="899">
        <f t="shared" si="79"/>
      </c>
      <c r="DT16" s="899">
        <f t="shared" si="79"/>
      </c>
      <c r="DU16" s="901">
        <f t="shared" si="79"/>
      </c>
      <c r="DV16" s="899">
        <f>DV149</f>
      </c>
      <c r="DW16" s="899">
        <f t="shared" ref="DW16:DY16" si="80">DW149</f>
      </c>
      <c r="DX16" s="899">
        <f t="shared" si="80"/>
      </c>
      <c r="DY16" s="901">
        <f t="shared" si="80"/>
      </c>
      <c r="DZ16" s="899">
        <f>DZ149</f>
      </c>
      <c r="EA16" s="899">
        <f t="shared" ref="EA16:EC16" si="81">EA149</f>
      </c>
      <c r="EB16" s="899">
        <f t="shared" si="81"/>
      </c>
      <c r="EC16" s="901">
        <f t="shared" si="81"/>
      </c>
      <c r="ED16" s="899">
        <f>ED149</f>
      </c>
      <c r="EE16" s="899">
        <f t="shared" ref="EE16:EG16" si="82">EE149</f>
      </c>
      <c r="EF16" s="899">
        <f t="shared" si="82"/>
      </c>
      <c r="EG16" s="901">
        <f t="shared" si="82"/>
      </c>
      <c r="EH16" s="899">
        <f>EH149</f>
      </c>
      <c r="EI16" s="899">
        <f t="shared" ref="EI16:EK16" si="83">EI149</f>
      </c>
      <c r="EJ16" s="899">
        <f t="shared" si="83"/>
      </c>
      <c r="EK16" s="901">
        <f t="shared" si="83"/>
      </c>
      <c r="EM16" s="899"/>
      <c r="EN16" s="899"/>
      <c r="EO16" s="899"/>
      <c r="EP16" s="899"/>
      <c r="EQ16" s="899"/>
      <c r="ER16" s="899"/>
      <c r="ES16" s="899"/>
      <c r="ET16" s="899"/>
      <c r="EU16" s="899"/>
      <c r="EV16" s="899"/>
      <c r="EW16" s="899"/>
      <c r="EX16" s="899"/>
      <c r="EY16" s="899"/>
      <c r="EZ16" s="899"/>
      <c r="FA16" s="899"/>
      <c r="FB16" s="899"/>
      <c r="FC16" s="899"/>
      <c r="FD16" s="899"/>
      <c r="FE16" s="899">
        <f t="shared" si="25"/>
      </c>
      <c r="FF16" s="899">
        <f t="shared" si="26"/>
      </c>
      <c r="FG16" s="899">
        <f t="shared" si="27"/>
      </c>
      <c r="FH16" s="899">
        <f t="shared" si="28"/>
      </c>
      <c r="FI16" s="899">
        <f t="shared" si="29"/>
      </c>
      <c r="FJ16" s="899">
        <f t="shared" si="30"/>
      </c>
      <c r="FK16" s="899">
        <f t="shared" si="31"/>
      </c>
      <c r="FL16" s="899">
        <f t="shared" si="32"/>
      </c>
      <c r="FM16" s="899">
        <f t="shared" si="33"/>
      </c>
      <c r="FN16" s="899">
        <f t="shared" si="34"/>
      </c>
      <c r="FO16" s="899">
        <f t="shared" si="35"/>
      </c>
      <c r="FP16" s="899">
        <f t="shared" si="36"/>
      </c>
      <c r="FQ16" s="899">
        <f t="shared" si="37"/>
      </c>
      <c r="FR16" s="899">
        <f t="shared" si="73"/>
      </c>
      <c r="FS16" s="899">
        <f t="shared" si="74"/>
      </c>
      <c r="FT16" s="899">
        <f t="shared" si="75"/>
      </c>
      <c r="FU16" s="899">
        <f t="shared" si="76"/>
      </c>
      <c r="FV16" s="899"/>
      <c r="FW16" s="899"/>
      <c r="FX16" s="899"/>
      <c r="FY16" s="899"/>
      <c r="FZ16" s="899"/>
      <c r="GA16" s="899"/>
      <c r="GB16" s="899"/>
      <c r="GC16" s="899"/>
      <c r="GD16" s="899"/>
      <c r="GE16" s="899"/>
      <c r="GF16" s="899"/>
      <c r="GG16" s="899"/>
      <c r="GH16" s="899"/>
      <c r="GI16" s="899"/>
      <c r="GJ16" s="899"/>
      <c r="GK16" s="899"/>
      <c r="GL16" s="899"/>
      <c r="GM16" s="899"/>
      <c r="GN16" s="899"/>
      <c r="GO16" s="899">
        <f t="shared" si="38"/>
      </c>
      <c r="GP16" s="899">
        <f t="shared" si="39"/>
      </c>
      <c r="GQ16" s="899">
        <f t="shared" si="40"/>
      </c>
      <c r="GR16" s="899">
        <f t="shared" si="41"/>
      </c>
      <c r="GS16" s="899">
        <f t="shared" si="42"/>
      </c>
      <c r="GT16" s="899">
        <f t="shared" si="43"/>
      </c>
      <c r="GU16" s="899">
        <f t="shared" si="44"/>
      </c>
      <c r="GV16" s="899">
        <f t="shared" si="45"/>
      </c>
      <c r="GW16" s="899">
        <f t="shared" si="46"/>
      </c>
      <c r="GX16" s="899">
        <f t="shared" si="47"/>
      </c>
      <c r="GY16" s="899">
        <f t="shared" si="48"/>
      </c>
      <c r="GZ16" s="899">
        <f t="shared" si="49"/>
      </c>
      <c r="HA16" s="899">
        <f t="shared" si="50"/>
      </c>
      <c r="HB16" s="899">
        <f t="shared" si="51"/>
      </c>
      <c r="HC16" s="899">
        <f t="shared" si="52"/>
      </c>
      <c r="HD16" s="899">
        <f t="shared" si="53"/>
      </c>
    </row>
    <row r="17" spans="1:212" s="370" customFormat="1" ht="10.199999999999999">
      <c r="A17" s="899" t="s">
        <v>1249</v>
      </c>
      <c r="B17" s="820"/>
      <c r="C17" s="820"/>
      <c r="D17" s="820"/>
      <c r="E17" s="821"/>
      <c r="F17" s="820"/>
      <c r="G17" s="820"/>
      <c r="H17" s="820"/>
      <c r="I17" s="821"/>
      <c r="J17" s="820"/>
      <c r="K17" s="820"/>
      <c r="L17" s="820"/>
      <c r="M17" s="821"/>
      <c r="N17" s="820"/>
      <c r="O17" s="820"/>
      <c r="P17" s="820"/>
      <c r="Q17" s="821"/>
      <c r="R17" s="820"/>
      <c r="S17" s="820"/>
      <c r="T17" s="820"/>
      <c r="U17" s="821"/>
      <c r="V17" s="820"/>
      <c r="W17" s="820"/>
      <c r="X17" s="820"/>
      <c r="Y17" s="821"/>
      <c r="Z17" s="820"/>
      <c r="AA17" s="820"/>
      <c r="AB17" s="820"/>
      <c r="AC17" s="821"/>
      <c r="AD17" s="820"/>
      <c r="AE17" s="820"/>
      <c r="AF17" s="820"/>
      <c r="AG17" s="820"/>
      <c r="AH17" s="820"/>
      <c r="AI17" s="820"/>
      <c r="AJ17" s="820"/>
      <c r="AK17" s="821"/>
      <c r="AL17" s="820"/>
      <c r="AM17" s="820"/>
      <c r="AN17" s="820"/>
      <c r="AO17" s="821"/>
      <c r="AP17" s="820"/>
      <c r="AQ17" s="820"/>
      <c r="AR17" s="820"/>
      <c r="AS17" s="821"/>
      <c r="AT17" s="820"/>
      <c r="AU17" s="820"/>
      <c r="AV17" s="820"/>
      <c r="AW17" s="821"/>
      <c r="AX17" s="820"/>
      <c r="AY17" s="820"/>
      <c r="AZ17" s="820"/>
      <c r="BA17" s="821"/>
      <c r="BB17" s="820"/>
      <c r="BC17" s="820"/>
      <c r="BD17" s="820"/>
      <c r="BE17" s="820"/>
      <c r="BF17" s="820"/>
      <c r="BG17" s="820"/>
      <c r="BH17" s="820"/>
      <c r="BI17" s="820"/>
      <c r="BJ17" s="820"/>
      <c r="BK17" s="820"/>
      <c r="BL17" s="820"/>
      <c r="BM17" s="821"/>
      <c r="BN17" s="820"/>
      <c r="BO17" s="820"/>
      <c r="BP17" s="820"/>
      <c r="BQ17" s="821"/>
      <c r="BR17" s="820"/>
      <c r="BS17" s="820"/>
      <c r="BT17" s="820"/>
      <c r="BU17" s="899"/>
      <c r="BV17" s="978"/>
      <c r="BW17" s="899"/>
      <c r="BX17" s="899"/>
      <c r="BY17" s="901"/>
      <c r="BZ17" s="899"/>
      <c r="CA17" s="899"/>
      <c r="CB17" s="899"/>
      <c r="CC17" s="899"/>
      <c r="CD17" s="978"/>
      <c r="CE17" s="899"/>
      <c r="CF17" s="899"/>
      <c r="CG17" s="901"/>
      <c r="CH17" s="899"/>
      <c r="CI17" s="899"/>
      <c r="CJ17" s="899"/>
      <c r="CK17" s="901"/>
      <c r="CL17" s="899">
        <f t="shared" ref="CL17:DT17" si="84">CL162</f>
      </c>
      <c r="CM17" s="899">
        <f t="shared" si="84"/>
      </c>
      <c r="CN17" s="899">
        <f t="shared" si="84"/>
      </c>
      <c r="CO17" s="901">
        <f t="shared" si="84"/>
      </c>
      <c r="CP17" s="899">
        <f t="shared" si="84"/>
      </c>
      <c r="CQ17" s="899">
        <f t="shared" si="84"/>
      </c>
      <c r="CR17" s="899">
        <f t="shared" si="84"/>
      </c>
      <c r="CS17" s="901">
        <f t="shared" si="84"/>
      </c>
      <c r="CT17" s="899">
        <f t="shared" si="84"/>
      </c>
      <c r="CU17" s="899">
        <f t="shared" si="84"/>
      </c>
      <c r="CV17" s="899">
        <f t="shared" si="84"/>
      </c>
      <c r="CW17" s="901">
        <f t="shared" si="84"/>
      </c>
      <c r="CX17" s="899">
        <f t="shared" si="84"/>
      </c>
      <c r="CY17" s="899">
        <f t="shared" si="84"/>
      </c>
      <c r="CZ17" s="899">
        <f t="shared" si="84"/>
      </c>
      <c r="DA17" s="901">
        <f t="shared" si="84"/>
      </c>
      <c r="DB17" s="899">
        <f t="shared" si="84"/>
      </c>
      <c r="DC17" s="899">
        <f t="shared" si="84"/>
      </c>
      <c r="DD17" s="899">
        <f t="shared" si="84"/>
      </c>
      <c r="DE17" s="901">
        <f t="shared" si="84"/>
      </c>
      <c r="DF17" s="899">
        <f t="shared" si="84"/>
      </c>
      <c r="DG17" s="899">
        <f t="shared" si="84"/>
      </c>
      <c r="DH17" s="899">
        <f t="shared" si="84"/>
      </c>
      <c r="DI17" s="901">
        <f t="shared" si="84"/>
      </c>
      <c r="DJ17" s="899">
        <f t="shared" si="84"/>
      </c>
      <c r="DK17" s="899">
        <f t="shared" si="84"/>
      </c>
      <c r="DL17" s="899">
        <f t="shared" si="84"/>
      </c>
      <c r="DM17" s="901">
        <f t="shared" si="84"/>
      </c>
      <c r="DN17" s="899">
        <f t="shared" si="84"/>
      </c>
      <c r="DO17" s="899">
        <f t="shared" si="84"/>
      </c>
      <c r="DP17" s="899">
        <f t="shared" si="84"/>
      </c>
      <c r="DQ17" s="901">
        <f t="shared" si="84"/>
      </c>
      <c r="DR17" s="899">
        <f t="shared" si="84"/>
      </c>
      <c r="DS17" s="899">
        <f t="shared" si="84"/>
      </c>
      <c r="DT17" s="899">
        <f t="shared" si="84"/>
      </c>
      <c r="DU17" s="901">
        <f>DU162</f>
      </c>
      <c r="DV17" s="899">
        <f t="shared" ref="DV17:DX17" si="85">DV162</f>
      </c>
      <c r="DW17" s="899">
        <f t="shared" si="85"/>
      </c>
      <c r="DX17" s="899">
        <f t="shared" si="85"/>
      </c>
      <c r="DY17" s="901">
        <f>DY162</f>
      </c>
      <c r="DZ17" s="899">
        <f t="shared" ref="DZ17:EB17" si="86">DZ162</f>
      </c>
      <c r="EA17" s="899">
        <f t="shared" si="86"/>
      </c>
      <c r="EB17" s="899">
        <f t="shared" si="86"/>
      </c>
      <c r="EC17" s="901">
        <f>EC162</f>
      </c>
      <c r="ED17" s="899">
        <f t="shared" ref="ED17:EF17" si="87">ED162</f>
      </c>
      <c r="EE17" s="899">
        <f t="shared" si="87"/>
      </c>
      <c r="EF17" s="899">
        <f t="shared" si="87"/>
      </c>
      <c r="EG17" s="901">
        <f>EG162</f>
      </c>
      <c r="EH17" s="899">
        <f t="shared" ref="EH17:EJ17" si="88">EH162</f>
      </c>
      <c r="EI17" s="899">
        <f t="shared" si="88"/>
      </c>
      <c r="EJ17" s="899">
        <f t="shared" si="88"/>
      </c>
      <c r="EK17" s="901">
        <f>EK162</f>
      </c>
      <c r="EM17" s="899"/>
      <c r="EN17" s="899"/>
      <c r="EO17" s="899"/>
      <c r="EP17" s="899"/>
      <c r="EQ17" s="899"/>
      <c r="ER17" s="899"/>
      <c r="ES17" s="899"/>
      <c r="ET17" s="899"/>
      <c r="EU17" s="899"/>
      <c r="EV17" s="899"/>
      <c r="EW17" s="899"/>
      <c r="EX17" s="899"/>
      <c r="EY17" s="899"/>
      <c r="EZ17" s="899"/>
      <c r="FA17" s="899"/>
      <c r="FB17" s="899"/>
      <c r="FC17" s="899"/>
      <c r="FD17" s="899"/>
      <c r="FE17" s="899">
        <f t="shared" si="25"/>
      </c>
      <c r="FF17" s="899">
        <f t="shared" si="26"/>
      </c>
      <c r="FG17" s="899">
        <f t="shared" si="27"/>
      </c>
      <c r="FH17" s="899">
        <f t="shared" si="28"/>
      </c>
      <c r="FI17" s="899">
        <f t="shared" si="29"/>
      </c>
      <c r="FJ17" s="899">
        <f t="shared" si="30"/>
      </c>
      <c r="FK17" s="899">
        <f t="shared" si="31"/>
      </c>
      <c r="FL17" s="899">
        <f t="shared" si="32"/>
      </c>
      <c r="FM17" s="899">
        <f t="shared" si="33"/>
      </c>
      <c r="FN17" s="899">
        <f t="shared" si="34"/>
      </c>
      <c r="FO17" s="899">
        <f t="shared" si="35"/>
      </c>
      <c r="FP17" s="899">
        <f t="shared" si="36"/>
      </c>
      <c r="FQ17" s="899">
        <f t="shared" si="37"/>
      </c>
      <c r="FR17" s="899">
        <f t="shared" si="73"/>
      </c>
      <c r="FS17" s="899">
        <f t="shared" si="74"/>
      </c>
      <c r="FT17" s="899">
        <f t="shared" si="75"/>
      </c>
      <c r="FU17" s="899">
        <f t="shared" si="76"/>
      </c>
      <c r="FV17" s="899"/>
      <c r="FW17" s="899"/>
      <c r="FX17" s="899"/>
      <c r="FY17" s="899"/>
      <c r="FZ17" s="899"/>
      <c r="GA17" s="899"/>
      <c r="GB17" s="899"/>
      <c r="GC17" s="899"/>
      <c r="GD17" s="899"/>
      <c r="GE17" s="899"/>
      <c r="GF17" s="899"/>
      <c r="GG17" s="899"/>
      <c r="GH17" s="899"/>
      <c r="GI17" s="899"/>
      <c r="GJ17" s="899"/>
      <c r="GK17" s="899"/>
      <c r="GL17" s="899"/>
      <c r="GM17" s="899"/>
      <c r="GN17" s="899"/>
      <c r="GO17" s="899">
        <f t="shared" si="38"/>
      </c>
      <c r="GP17" s="899">
        <f t="shared" si="39"/>
      </c>
      <c r="GQ17" s="899">
        <f t="shared" si="40"/>
      </c>
      <c r="GR17" s="899">
        <f t="shared" si="41"/>
      </c>
      <c r="GS17" s="899">
        <f t="shared" si="42"/>
      </c>
      <c r="GT17" s="899">
        <f t="shared" si="43"/>
      </c>
      <c r="GU17" s="899">
        <f t="shared" si="44"/>
      </c>
      <c r="GV17" s="899">
        <f t="shared" si="45"/>
      </c>
      <c r="GW17" s="899">
        <f t="shared" si="46"/>
      </c>
      <c r="GX17" s="899">
        <f t="shared" si="47"/>
      </c>
      <c r="GY17" s="899">
        <f t="shared" si="48"/>
      </c>
      <c r="GZ17" s="899">
        <f t="shared" si="49"/>
      </c>
      <c r="HA17" s="899">
        <f t="shared" si="50"/>
      </c>
      <c r="HB17" s="899">
        <f t="shared" si="51"/>
      </c>
      <c r="HC17" s="899">
        <f t="shared" si="52"/>
      </c>
      <c r="HD17" s="899">
        <f t="shared" si="53"/>
      </c>
    </row>
    <row r="18" spans="1:212" s="370" customFormat="1" ht="10.199999999999999">
      <c r="A18" s="899" t="s">
        <v>1662</v>
      </c>
      <c r="B18" s="820"/>
      <c r="C18" s="820"/>
      <c r="D18" s="820"/>
      <c r="E18" s="821"/>
      <c r="F18" s="820"/>
      <c r="G18" s="820"/>
      <c r="H18" s="820"/>
      <c r="I18" s="821"/>
      <c r="J18" s="820"/>
      <c r="K18" s="820"/>
      <c r="L18" s="820"/>
      <c r="M18" s="821"/>
      <c r="N18" s="820"/>
      <c r="O18" s="820"/>
      <c r="P18" s="820"/>
      <c r="Q18" s="821"/>
      <c r="R18" s="820"/>
      <c r="S18" s="820"/>
      <c r="T18" s="820"/>
      <c r="U18" s="821"/>
      <c r="V18" s="820"/>
      <c r="W18" s="820"/>
      <c r="X18" s="820"/>
      <c r="Y18" s="821"/>
      <c r="Z18" s="820"/>
      <c r="AA18" s="820"/>
      <c r="AB18" s="820"/>
      <c r="AC18" s="821"/>
      <c r="AD18" s="820"/>
      <c r="AE18" s="820"/>
      <c r="AF18" s="820"/>
      <c r="AG18" s="820"/>
      <c r="AH18" s="820"/>
      <c r="AI18" s="820"/>
      <c r="AJ18" s="820"/>
      <c r="AK18" s="821"/>
      <c r="AL18" s="820"/>
      <c r="AM18" s="820"/>
      <c r="AN18" s="820"/>
      <c r="AO18" s="821"/>
      <c r="AP18" s="820"/>
      <c r="AQ18" s="820"/>
      <c r="AR18" s="820"/>
      <c r="AS18" s="821"/>
      <c r="AT18" s="820"/>
      <c r="AU18" s="820"/>
      <c r="AV18" s="820"/>
      <c r="AW18" s="821"/>
      <c r="AX18" s="820"/>
      <c r="AY18" s="820"/>
      <c r="AZ18" s="820"/>
      <c r="BA18" s="821"/>
      <c r="BB18" s="820"/>
      <c r="BC18" s="820"/>
      <c r="BD18" s="820"/>
      <c r="BE18" s="820"/>
      <c r="BF18" s="820"/>
      <c r="BG18" s="820"/>
      <c r="BH18" s="820"/>
      <c r="BI18" s="820"/>
      <c r="BJ18" s="820"/>
      <c r="BK18" s="820"/>
      <c r="BL18" s="820"/>
      <c r="BM18" s="821"/>
      <c r="BN18" s="820"/>
      <c r="BO18" s="820"/>
      <c r="BP18" s="820"/>
      <c r="BQ18" s="821"/>
      <c r="BR18" s="820"/>
      <c r="BS18" s="820"/>
      <c r="BT18" s="820"/>
      <c r="BU18" s="899"/>
      <c r="BV18" s="978"/>
      <c r="BW18" s="899"/>
      <c r="BX18" s="899"/>
      <c r="BY18" s="901"/>
      <c r="BZ18" s="899"/>
      <c r="CA18" s="899"/>
      <c r="CB18" s="899"/>
      <c r="CC18" s="899"/>
      <c r="CD18" s="978"/>
      <c r="CE18" s="899"/>
      <c r="CF18" s="899"/>
      <c r="CG18" s="901"/>
      <c r="CH18" s="899"/>
      <c r="CI18" s="899"/>
      <c r="CJ18" s="899"/>
      <c r="CK18" s="901"/>
      <c r="CL18" s="899"/>
      <c r="CM18" s="899"/>
      <c r="CN18" s="899"/>
      <c r="CO18" s="901"/>
      <c r="CP18" s="818">
        <v>225</v>
      </c>
      <c r="CQ18" s="818">
        <f>CP18*(1+CQ52+5%)</f>
      </c>
      <c r="CR18" s="818">
        <f t="shared" ref="CR18:DA18" si="89">CQ18*(1+CR52+5%)</f>
      </c>
      <c r="CS18" s="819">
        <f t="shared" si="89"/>
      </c>
      <c r="CT18" s="818">
        <v>350</v>
      </c>
      <c r="CU18" s="818">
        <f t="shared" si="89"/>
      </c>
      <c r="CV18" s="818">
        <f t="shared" si="89"/>
      </c>
      <c r="CW18" s="819">
        <f t="shared" si="89"/>
      </c>
      <c r="CX18" s="818">
        <v>600</v>
      </c>
      <c r="CY18" s="818">
        <f t="shared" si="89"/>
      </c>
      <c r="CZ18" s="818">
        <f t="shared" si="89"/>
      </c>
      <c r="DA18" s="819">
        <f t="shared" si="89"/>
      </c>
      <c r="DB18" s="818">
        <v>825</v>
      </c>
      <c r="DC18" s="818">
        <f>DB18*(1+DC52+10%)</f>
      </c>
      <c r="DD18" s="818">
        <f t="shared" ref="DD18:DE18" si="90">DC18*(1+DD52+10%)</f>
      </c>
      <c r="DE18" s="819">
        <f t="shared" si="90"/>
      </c>
      <c r="DF18" s="818">
        <f>DB18*0.9*14/13</f>
      </c>
      <c r="DG18" s="818">
        <v>1350</v>
      </c>
      <c r="DH18" s="818">
        <v>1450</v>
      </c>
      <c r="DI18" s="819">
        <v>1500</v>
      </c>
      <c r="DJ18" s="818">
        <v>1600</v>
      </c>
      <c r="DK18" s="818">
        <v>1552.4999999999998</v>
      </c>
      <c r="DL18" s="818">
        <v>1667.4999999999998</v>
      </c>
      <c r="DM18" s="819">
        <v>1724.9999999999998</v>
      </c>
      <c r="DN18" s="818">
        <v>1680</v>
      </c>
      <c r="DO18" s="818">
        <v>1630.1249999999998</v>
      </c>
      <c r="DP18" s="818">
        <v>1917.6249999999995</v>
      </c>
      <c r="DQ18" s="901">
        <f t="shared" ref="DQ18" si="91">DM18*(1+DQ44)</f>
      </c>
      <c r="DR18" s="899">
        <f t="shared" ref="DR18" si="92">DN18*(1+DR44)</f>
      </c>
      <c r="DS18" s="899">
        <f t="shared" ref="DS18" si="93">DO18*(1+DS44)</f>
      </c>
      <c r="DT18" s="899">
        <f t="shared" ref="DT18" si="94">DP18*(1+DT44)</f>
      </c>
      <c r="DU18" s="901">
        <f t="shared" ref="DU18" si="95">DQ18*(1+DU44)</f>
      </c>
      <c r="DV18" s="899">
        <f t="shared" ref="DV18" si="96">DR18*(1+DV44)</f>
      </c>
      <c r="DW18" s="899">
        <f t="shared" ref="DW18" si="97">DS18*(1+DW44)</f>
      </c>
      <c r="DX18" s="899">
        <f t="shared" ref="DX18" si="98">DT18*(1+DX44)</f>
      </c>
      <c r="DY18" s="901">
        <f t="shared" ref="DY18" si="99">DU18*(1+DY44)</f>
      </c>
      <c r="DZ18" s="899">
        <f t="shared" ref="DZ18" si="100">DV18*(1+DZ44)</f>
      </c>
      <c r="EA18" s="899">
        <f t="shared" ref="EA18" si="101">DW18*(1+EA44)</f>
      </c>
      <c r="EB18" s="899">
        <f t="shared" ref="EB18" si="102">DX18*(1+EB44)</f>
      </c>
      <c r="EC18" s="901">
        <f t="shared" ref="EC18" si="103">DY18*(1+EC44)</f>
      </c>
      <c r="ED18" s="899">
        <f t="shared" ref="ED18" si="104">DZ18*(1+ED44)</f>
      </c>
      <c r="EE18" s="899">
        <f t="shared" ref="EE18" si="105">EA18*(1+EE44)</f>
      </c>
      <c r="EF18" s="899">
        <f t="shared" ref="EF18" si="106">EB18*(1+EF44)</f>
      </c>
      <c r="EG18" s="901">
        <f t="shared" ref="EG18" si="107">EC18*(1+EG44)</f>
      </c>
      <c r="EH18" s="899">
        <f t="shared" ref="EH18" si="108">ED18*(1+EH44)</f>
      </c>
      <c r="EI18" s="899">
        <f t="shared" ref="EI18" si="109">EE18*(1+EI44)</f>
      </c>
      <c r="EJ18" s="899">
        <f t="shared" ref="EJ18" si="110">EF18*(1+EJ44)</f>
      </c>
      <c r="EK18" s="901">
        <f t="shared" ref="EK18" si="111">EG18*(1+EK44)</f>
      </c>
      <c r="EM18" s="899"/>
      <c r="EN18" s="899"/>
      <c r="EO18" s="899"/>
      <c r="EP18" s="899"/>
      <c r="EQ18" s="899"/>
      <c r="ER18" s="899"/>
      <c r="ES18" s="899"/>
      <c r="ET18" s="899"/>
      <c r="EU18" s="899"/>
      <c r="EV18" s="899"/>
      <c r="EW18" s="899"/>
      <c r="EX18" s="899"/>
      <c r="EY18" s="899"/>
      <c r="EZ18" s="899"/>
      <c r="FA18" s="899"/>
      <c r="FB18" s="899"/>
      <c r="FC18" s="899"/>
      <c r="FD18" s="899"/>
      <c r="FE18" s="899">
        <f t="shared" ref="FE18" si="112">SUM(BV18:BY18)</f>
      </c>
      <c r="FF18" s="899">
        <f t="shared" ref="FF18" si="113">SUM(BZ18:CC18)</f>
      </c>
      <c r="FG18" s="899">
        <f t="shared" ref="FG18" si="114">SUM(CD18:CG18)</f>
      </c>
      <c r="FH18" s="899">
        <f t="shared" ref="FH18" si="115">SUM(CH18:CK18)</f>
      </c>
      <c r="FI18" s="899">
        <f t="shared" ref="FI18" si="116">SUM(CL18:CO18)</f>
      </c>
      <c r="FJ18" s="899">
        <f t="shared" ref="FJ18" si="117">SUM(CP18:CS18)</f>
      </c>
      <c r="FK18" s="899">
        <f t="shared" ref="FK18" si="118">SUM(CT18:CW18)</f>
      </c>
      <c r="FL18" s="899">
        <f t="shared" ref="FL18" si="119">SUM(CX18:DA18)</f>
      </c>
      <c r="FM18" s="899">
        <f t="shared" ref="FM18" si="120">SUM(DB18:DE18)</f>
      </c>
      <c r="FN18" s="899">
        <f t="shared" ref="FN18" si="121">SUM(DF18:DI18)</f>
      </c>
      <c r="FO18" s="899">
        <f t="shared" ref="FO18" si="122">SUM(DJ18:DM18)</f>
      </c>
      <c r="FP18" s="899">
        <f t="shared" ref="FP18" si="123">SUM(DN18:DQ18)</f>
      </c>
      <c r="FQ18" s="899">
        <f t="shared" ref="FQ18" si="124">SUM(DR18:DU18)</f>
      </c>
      <c r="FR18" s="899">
        <f t="shared" ref="FR18" si="125">SUM(DV18:DY18)</f>
      </c>
      <c r="FS18" s="899">
        <f t="shared" si="74"/>
      </c>
      <c r="FT18" s="899">
        <f t="shared" si="75"/>
      </c>
      <c r="FU18" s="899">
        <f t="shared" si="76"/>
      </c>
      <c r="FV18" s="899"/>
      <c r="FW18" s="899"/>
      <c r="FX18" s="899"/>
      <c r="FY18" s="899"/>
      <c r="FZ18" s="899"/>
      <c r="GA18" s="899"/>
      <c r="GB18" s="899"/>
      <c r="GC18" s="899"/>
      <c r="GD18" s="899"/>
      <c r="GE18" s="899"/>
      <c r="GF18" s="899"/>
      <c r="GG18" s="899"/>
      <c r="GH18" s="899"/>
      <c r="GI18" s="899"/>
      <c r="GJ18" s="899"/>
      <c r="GK18" s="899"/>
      <c r="GL18" s="899"/>
      <c r="GM18" s="899"/>
      <c r="GN18" s="899"/>
      <c r="GO18" s="899">
        <f t="shared" ref="GO18" si="126">SUM(BW18:BZ18)</f>
      </c>
      <c r="GP18" s="899">
        <f t="shared" ref="GP18" si="127">SUM(CA18:CD18)</f>
      </c>
      <c r="GQ18" s="899">
        <f t="shared" ref="GQ18" si="128">SUM(CE18:CH18)</f>
      </c>
      <c r="GR18" s="899">
        <f t="shared" ref="GR18" si="129">SUM(CI18:CL18)</f>
      </c>
      <c r="GS18" s="899">
        <f t="shared" ref="GS18" si="130">SUM(CM18:CP18)</f>
      </c>
      <c r="GT18" s="899">
        <f t="shared" ref="GT18" si="131">SUM(CQ18:CT18)</f>
      </c>
      <c r="GU18" s="899">
        <f t="shared" ref="GU18" si="132">SUM(CU18:CX18)</f>
      </c>
      <c r="GV18" s="899">
        <f t="shared" ref="GV18" si="133">SUM(CY18:DB18)</f>
      </c>
      <c r="GW18" s="899">
        <f t="shared" ref="GW18" si="134">SUM(DC18:DF18)</f>
      </c>
      <c r="GX18" s="899">
        <f t="shared" ref="GX18" si="135">SUM(DG18:DJ18)</f>
      </c>
      <c r="GY18" s="899">
        <f t="shared" ref="GY18" si="136">SUM(DK18:DN18)</f>
      </c>
      <c r="GZ18" s="899">
        <f t="shared" ref="GZ18" si="137">SUM(DO18:DR18)</f>
      </c>
      <c r="HA18" s="899">
        <f t="shared" ref="HA18" si="138">SUM(DS18:DV18)</f>
      </c>
      <c r="HB18" s="899">
        <f t="shared" ref="HB18" si="139">SUM(DW18:DZ18)</f>
      </c>
      <c r="HC18" s="899">
        <f t="shared" ref="HC18" si="140">SUM(EA18:ED18)</f>
      </c>
      <c r="HD18" s="899">
        <f t="shared" ref="HD18" si="141">SUM(EE18:EH18)</f>
      </c>
    </row>
    <row r="19" spans="1:212" s="370" customFormat="1" ht="10.199999999999999">
      <c r="A19" s="899" t="s">
        <v>1240</v>
      </c>
      <c r="B19" s="820"/>
      <c r="C19" s="820"/>
      <c r="D19" s="820"/>
      <c r="E19" s="821"/>
      <c r="F19" s="820"/>
      <c r="G19" s="820"/>
      <c r="H19" s="820"/>
      <c r="I19" s="821"/>
      <c r="J19" s="820"/>
      <c r="K19" s="820"/>
      <c r="L19" s="820"/>
      <c r="M19" s="821"/>
      <c r="N19" s="820"/>
      <c r="O19" s="820"/>
      <c r="P19" s="820"/>
      <c r="Q19" s="821"/>
      <c r="R19" s="820"/>
      <c r="S19" s="820"/>
      <c r="T19" s="820"/>
      <c r="U19" s="821"/>
      <c r="V19" s="820"/>
      <c r="W19" s="820"/>
      <c r="X19" s="820"/>
      <c r="Y19" s="821"/>
      <c r="Z19" s="820"/>
      <c r="AA19" s="820"/>
      <c r="AB19" s="820"/>
      <c r="AC19" s="821"/>
      <c r="AD19" s="820"/>
      <c r="AE19" s="820"/>
      <c r="AF19" s="820"/>
      <c r="AG19" s="820"/>
      <c r="AH19" s="820"/>
      <c r="AI19" s="820"/>
      <c r="AJ19" s="820"/>
      <c r="AK19" s="821"/>
      <c r="AL19" s="820"/>
      <c r="AM19" s="820"/>
      <c r="AN19" s="820"/>
      <c r="AO19" s="821"/>
      <c r="AP19" s="820"/>
      <c r="AQ19" s="820"/>
      <c r="AR19" s="820"/>
      <c r="AS19" s="821"/>
      <c r="AT19" s="820"/>
      <c r="AU19" s="820"/>
      <c r="AV19" s="820"/>
      <c r="AW19" s="821"/>
      <c r="AX19" s="820"/>
      <c r="AY19" s="820"/>
      <c r="AZ19" s="820"/>
      <c r="BA19" s="821"/>
      <c r="BB19" s="820"/>
      <c r="BC19" s="820"/>
      <c r="BD19" s="820"/>
      <c r="BE19" s="820"/>
      <c r="BF19" s="820"/>
      <c r="BG19" s="820"/>
      <c r="BH19" s="820"/>
      <c r="BI19" s="820"/>
      <c r="BJ19" s="820"/>
      <c r="BK19" s="820"/>
      <c r="BL19" s="820"/>
      <c r="BM19" s="821"/>
      <c r="BN19" s="820"/>
      <c r="BO19" s="820"/>
      <c r="BP19" s="820"/>
      <c r="BQ19" s="821"/>
      <c r="BR19" s="820"/>
      <c r="BS19" s="820"/>
      <c r="BT19" s="820"/>
      <c r="BU19" s="899"/>
      <c r="BV19" s="978"/>
      <c r="BW19" s="899"/>
      <c r="BX19" s="899"/>
      <c r="BY19" s="901"/>
      <c r="BZ19" s="899"/>
      <c r="CA19" s="899"/>
      <c r="CB19" s="899"/>
      <c r="CC19" s="899"/>
      <c r="CD19" s="826">
        <v>548</v>
      </c>
      <c r="CE19" s="899"/>
      <c r="CF19" s="899"/>
      <c r="CG19" s="901"/>
      <c r="CH19" s="899"/>
      <c r="CI19" s="899"/>
      <c r="CJ19" s="899"/>
      <c r="CK19" s="821">
        <v>640</v>
      </c>
      <c r="CL19" s="818">
        <v>0</v>
      </c>
      <c r="CM19" s="818">
        <v>0</v>
      </c>
      <c r="CN19" s="820">
        <v>236</v>
      </c>
      <c r="CO19" s="819">
        <v>0</v>
      </c>
      <c r="CP19" s="818">
        <v>0</v>
      </c>
      <c r="CQ19" s="818">
        <v>0</v>
      </c>
      <c r="CR19" s="818">
        <v>0</v>
      </c>
      <c r="CS19" s="819">
        <v>0</v>
      </c>
      <c r="CT19" s="818">
        <v>0</v>
      </c>
      <c r="CU19" s="818">
        <v>0</v>
      </c>
      <c r="CV19" s="818">
        <v>0</v>
      </c>
      <c r="CW19" s="819">
        <v>0</v>
      </c>
      <c r="CX19" s="818">
        <v>0</v>
      </c>
      <c r="CY19" s="818">
        <v>0</v>
      </c>
      <c r="CZ19" s="818">
        <v>0</v>
      </c>
      <c r="DA19" s="819">
        <v>0</v>
      </c>
      <c r="DB19" s="818">
        <v>0</v>
      </c>
      <c r="DC19" s="818">
        <v>0</v>
      </c>
      <c r="DD19" s="818">
        <v>0</v>
      </c>
      <c r="DE19" s="819">
        <v>0</v>
      </c>
      <c r="DF19" s="818">
        <v>0</v>
      </c>
      <c r="DG19" s="818">
        <v>0</v>
      </c>
      <c r="DH19" s="818">
        <v>0</v>
      </c>
      <c r="DI19" s="819">
        <v>0</v>
      </c>
      <c r="DJ19" s="818">
        <v>0</v>
      </c>
      <c r="DK19" s="818">
        <v>0</v>
      </c>
      <c r="DL19" s="818">
        <v>0</v>
      </c>
      <c r="DM19" s="819">
        <v>0</v>
      </c>
      <c r="DN19" s="818">
        <v>0</v>
      </c>
      <c r="DO19" s="818">
        <v>0</v>
      </c>
      <c r="DP19" s="818">
        <v>0</v>
      </c>
      <c r="DQ19" s="819">
        <v>0</v>
      </c>
      <c r="DR19" s="818">
        <v>0</v>
      </c>
      <c r="DS19" s="818">
        <v>0</v>
      </c>
      <c r="DT19" s="818">
        <v>0</v>
      </c>
      <c r="DU19" s="819">
        <v>0</v>
      </c>
      <c r="DV19" s="818">
        <v>0</v>
      </c>
      <c r="DW19" s="818">
        <v>0</v>
      </c>
      <c r="DX19" s="818">
        <v>0</v>
      </c>
      <c r="DY19" s="819">
        <v>0</v>
      </c>
      <c r="DZ19" s="818">
        <v>0</v>
      </c>
      <c r="EA19" s="818">
        <v>0</v>
      </c>
      <c r="EB19" s="818">
        <v>0</v>
      </c>
      <c r="EC19" s="819">
        <v>0</v>
      </c>
      <c r="ED19" s="818">
        <v>0</v>
      </c>
      <c r="EE19" s="818">
        <v>0</v>
      </c>
      <c r="EF19" s="818">
        <v>0</v>
      </c>
      <c r="EG19" s="819">
        <v>0</v>
      </c>
      <c r="EH19" s="818">
        <v>0</v>
      </c>
      <c r="EI19" s="818">
        <v>0</v>
      </c>
      <c r="EJ19" s="818">
        <v>0</v>
      </c>
      <c r="EK19" s="819">
        <v>0</v>
      </c>
      <c r="EM19" s="899"/>
      <c r="EN19" s="899"/>
      <c r="EO19" s="899"/>
      <c r="EP19" s="899"/>
      <c r="EQ19" s="899"/>
      <c r="ER19" s="899"/>
      <c r="ES19" s="899"/>
      <c r="ET19" s="899"/>
      <c r="EU19" s="899"/>
      <c r="EV19" s="899"/>
      <c r="EW19" s="899"/>
      <c r="EX19" s="899"/>
      <c r="EY19" s="899"/>
      <c r="EZ19" s="899"/>
      <c r="FA19" s="899"/>
      <c r="FB19" s="899"/>
      <c r="FC19" s="899"/>
      <c r="FD19" s="899"/>
      <c r="FE19" s="899">
        <f t="shared" si="25"/>
      </c>
      <c r="FF19" s="899">
        <f t="shared" si="26"/>
      </c>
      <c r="FG19" s="899">
        <f t="shared" si="27"/>
      </c>
      <c r="FH19" s="899">
        <f t="shared" si="28"/>
      </c>
      <c r="FI19" s="899">
        <f t="shared" si="29"/>
      </c>
      <c r="FJ19" s="899">
        <f t="shared" si="30"/>
      </c>
      <c r="FK19" s="899">
        <f t="shared" si="31"/>
      </c>
      <c r="FL19" s="899">
        <f t="shared" si="32"/>
      </c>
      <c r="FM19" s="899">
        <f t="shared" si="33"/>
      </c>
      <c r="FN19" s="899">
        <f t="shared" si="34"/>
      </c>
      <c r="FO19" s="899">
        <f t="shared" si="35"/>
      </c>
      <c r="FP19" s="899">
        <f t="shared" si="36"/>
      </c>
      <c r="FQ19" s="899">
        <f t="shared" si="37"/>
      </c>
      <c r="FR19" s="899">
        <f t="shared" si="73"/>
      </c>
      <c r="FS19" s="899">
        <f t="shared" si="74"/>
      </c>
      <c r="FT19" s="899">
        <f t="shared" si="75"/>
      </c>
      <c r="FU19" s="899">
        <f t="shared" si="76"/>
      </c>
      <c r="FV19" s="899"/>
      <c r="FW19" s="899"/>
      <c r="FX19" s="899"/>
      <c r="FY19" s="899"/>
      <c r="FZ19" s="899"/>
      <c r="GA19" s="899"/>
      <c r="GB19" s="899"/>
      <c r="GC19" s="899"/>
      <c r="GD19" s="899"/>
      <c r="GE19" s="899"/>
      <c r="GF19" s="899"/>
      <c r="GG19" s="899"/>
      <c r="GH19" s="899"/>
      <c r="GI19" s="899"/>
      <c r="GJ19" s="899"/>
      <c r="GK19" s="899"/>
      <c r="GL19" s="899"/>
      <c r="GM19" s="899"/>
      <c r="GN19" s="899"/>
      <c r="GO19" s="899">
        <f t="shared" si="38"/>
      </c>
      <c r="GP19" s="899">
        <f t="shared" si="39"/>
      </c>
      <c r="GQ19" s="899">
        <f t="shared" si="40"/>
      </c>
      <c r="GR19" s="899">
        <f t="shared" si="41"/>
      </c>
      <c r="GS19" s="899">
        <f t="shared" si="42"/>
      </c>
      <c r="GT19" s="899">
        <f t="shared" si="43"/>
      </c>
      <c r="GU19" s="899">
        <f t="shared" si="44"/>
      </c>
      <c r="GV19" s="899">
        <f t="shared" si="45"/>
      </c>
      <c r="GW19" s="899">
        <f t="shared" si="46"/>
      </c>
      <c r="GX19" s="899">
        <f t="shared" si="47"/>
      </c>
      <c r="GY19" s="899">
        <f t="shared" si="48"/>
      </c>
      <c r="GZ19" s="899">
        <f t="shared" si="49"/>
      </c>
      <c r="HA19" s="899">
        <f t="shared" si="50"/>
      </c>
      <c r="HB19" s="899">
        <f t="shared" si="51"/>
      </c>
      <c r="HC19" s="899">
        <f t="shared" si="52"/>
      </c>
      <c r="HD19" s="899">
        <f t="shared" si="53"/>
      </c>
    </row>
    <row r="20" spans="1:212" s="90" customFormat="1" ht="10.199999999999999">
      <c r="A20" s="152" t="s">
        <v>2257</v>
      </c>
      <c r="B20" s="99"/>
      <c r="C20" s="99"/>
      <c r="D20" s="99"/>
      <c r="E20" s="462"/>
      <c r="F20" s="99"/>
      <c r="G20" s="99"/>
      <c r="H20" s="99"/>
      <c r="I20" s="462"/>
      <c r="J20" s="99"/>
      <c r="K20" s="99"/>
      <c r="L20" s="99"/>
      <c r="M20" s="462"/>
      <c r="N20" s="99"/>
      <c r="O20" s="99"/>
      <c r="P20" s="99"/>
      <c r="Q20" s="462"/>
      <c r="R20" s="99"/>
      <c r="S20" s="99"/>
      <c r="T20" s="99"/>
      <c r="U20" s="462"/>
      <c r="V20" s="99"/>
      <c r="W20" s="99"/>
      <c r="X20" s="99"/>
      <c r="Y20" s="462"/>
      <c r="Z20" s="99"/>
      <c r="AA20" s="99"/>
      <c r="AB20" s="99"/>
      <c r="AC20" s="462"/>
      <c r="AD20" s="99"/>
      <c r="AE20" s="99"/>
      <c r="AF20" s="524"/>
      <c r="AG20" s="524"/>
      <c r="AH20" s="524"/>
      <c r="AI20" s="524"/>
      <c r="AJ20" s="524"/>
      <c r="AK20" s="821"/>
      <c r="AL20" s="524"/>
      <c r="AM20" s="524"/>
      <c r="AN20" s="524"/>
      <c r="AO20" s="821"/>
      <c r="AP20" s="524"/>
      <c r="AQ20" s="524"/>
      <c r="AR20" s="524"/>
      <c r="AS20" s="821"/>
      <c r="AT20" s="524"/>
      <c r="AU20" s="524"/>
      <c r="AV20" s="524"/>
      <c r="AW20" s="821"/>
      <c r="AX20" s="524"/>
      <c r="AY20" s="524"/>
      <c r="AZ20" s="524"/>
      <c r="BA20" s="821"/>
      <c r="BB20" s="524"/>
      <c r="BC20" s="524"/>
      <c r="BD20" s="524"/>
      <c r="BE20" s="524"/>
      <c r="BF20" s="524"/>
      <c r="BG20" s="524"/>
      <c r="BH20" s="524"/>
      <c r="BI20" s="524"/>
      <c r="BJ20" s="524"/>
      <c r="BK20" s="524"/>
      <c r="BL20" s="524"/>
      <c r="BM20" s="824"/>
      <c r="BN20" s="524"/>
      <c r="BO20" s="524"/>
      <c r="BP20" s="524"/>
      <c r="BQ20" s="824"/>
      <c r="BR20" s="524"/>
      <c r="BS20" s="524"/>
      <c r="BT20" s="524"/>
      <c r="BU20" s="524"/>
      <c r="BV20" s="903">
        <f t="shared" ref="BV20:CK20" si="142">BV21-BV11-BV12-BV13-BV14-BV15-BV16-BV19</f>
      </c>
      <c r="BW20" s="900">
        <f t="shared" si="142"/>
      </c>
      <c r="BX20" s="900">
        <f t="shared" si="142"/>
      </c>
      <c r="BY20" s="1081">
        <f t="shared" si="142"/>
      </c>
      <c r="BZ20" s="900">
        <f t="shared" si="142"/>
      </c>
      <c r="CA20" s="900">
        <f t="shared" si="142"/>
      </c>
      <c r="CB20" s="900">
        <f t="shared" si="142"/>
      </c>
      <c r="CC20" s="1081">
        <f t="shared" si="142"/>
      </c>
      <c r="CD20" s="903">
        <f t="shared" si="142"/>
      </c>
      <c r="CE20" s="900">
        <f t="shared" si="142"/>
      </c>
      <c r="CF20" s="900">
        <f t="shared" si="142"/>
      </c>
      <c r="CG20" s="1081">
        <f t="shared" si="142"/>
      </c>
      <c r="CH20" s="903">
        <f t="shared" si="142"/>
      </c>
      <c r="CI20" s="900">
        <f t="shared" si="142"/>
      </c>
      <c r="CJ20" s="900">
        <f t="shared" si="142"/>
      </c>
      <c r="CK20" s="1081">
        <f t="shared" si="142"/>
      </c>
      <c r="CL20" s="900">
        <f>CL21-CL11-CL12-CL13-CL14-CL15-CL16-CL19-CL17</f>
      </c>
      <c r="CM20" s="900">
        <f t="shared" ref="CM20:CO20" si="143">CM21-CM11-CM12-CM13-CM14-CM15-CM16-CM19-CM17</f>
      </c>
      <c r="CN20" s="900">
        <f t="shared" si="143"/>
      </c>
      <c r="CO20" s="1081">
        <f t="shared" si="143"/>
      </c>
      <c r="CP20" s="900">
        <f>CP21-CP11-CP12-CP13-CP14-CP15-CP16-CP19-CP17-CP18</f>
      </c>
      <c r="CQ20" s="900">
        <f t="shared" ref="CQ20:DE20" si="144">CQ21-CQ11-CQ12-CQ13-CQ14-CQ15-CQ16-CQ19-CQ17-CQ18</f>
      </c>
      <c r="CR20" s="900">
        <f t="shared" si="144"/>
      </c>
      <c r="CS20" s="1081">
        <f t="shared" si="144"/>
      </c>
      <c r="CT20" s="900">
        <f t="shared" si="144"/>
      </c>
      <c r="CU20" s="900">
        <f t="shared" si="144"/>
      </c>
      <c r="CV20" s="900">
        <f t="shared" si="144"/>
      </c>
      <c r="CW20" s="1081">
        <f t="shared" si="144"/>
      </c>
      <c r="CX20" s="900">
        <f t="shared" si="144"/>
      </c>
      <c r="CY20" s="900">
        <f t="shared" si="144"/>
      </c>
      <c r="CZ20" s="900">
        <f t="shared" si="144"/>
      </c>
      <c r="DA20" s="1081">
        <f t="shared" si="144"/>
      </c>
      <c r="DB20" s="900">
        <f t="shared" si="144"/>
      </c>
      <c r="DC20" s="900">
        <f t="shared" si="144"/>
      </c>
      <c r="DD20" s="900">
        <f t="shared" si="144"/>
      </c>
      <c r="DE20" s="1081">
        <f t="shared" si="144"/>
      </c>
      <c r="DF20" s="903">
        <f t="shared" ref="DF20:DG20" si="145">DF21-DF11-DF12-DF13-DF14-DF15-DF16-DF19-DF17-DF18</f>
      </c>
      <c r="DG20" s="900">
        <f t="shared" si="145"/>
      </c>
      <c r="DH20" s="900">
        <f t="shared" ref="DH20:DK20" si="146">DH21-DH11-DH12-DH13-DH14-DH15-DH16-DH19-DH17-DH18</f>
      </c>
      <c r="DI20" s="1081">
        <f t="shared" si="146"/>
      </c>
      <c r="DJ20" s="903">
        <f t="shared" si="146"/>
      </c>
      <c r="DK20" s="900">
        <f t="shared" si="146"/>
      </c>
      <c r="DL20" s="900">
        <f t="shared" ref="DL20:DO20" si="147">DL21-DL11-DL12-DL13-DL14-DL15-DL16-DL19-DL17-DL18</f>
      </c>
      <c r="DM20" s="1081">
        <f t="shared" si="147"/>
      </c>
      <c r="DN20" s="903">
        <f t="shared" si="147"/>
      </c>
      <c r="DO20" s="900">
        <f t="shared" si="147"/>
      </c>
      <c r="DP20" s="900">
        <f t="shared" ref="DP20" si="148">DP21-DP11-DP12-DP13-DP14-DP15-DP16-DP19-DP17-DP18</f>
      </c>
      <c r="DQ20" s="901">
        <f t="shared" ref="DQ20:DU20" si="149">DM20*(1+DQ46)</f>
      </c>
      <c r="DR20" s="899">
        <f t="shared" si="149"/>
      </c>
      <c r="DS20" s="899">
        <f t="shared" si="149"/>
      </c>
      <c r="DT20" s="899">
        <f t="shared" si="149"/>
      </c>
      <c r="DU20" s="901">
        <f t="shared" si="149"/>
      </c>
      <c r="DV20" s="899">
        <f t="shared" ref="DV20" si="150">DR20*(1+DV46)</f>
      </c>
      <c r="DW20" s="899">
        <f t="shared" ref="DW20" si="151">DS20*(1+DW46)</f>
      </c>
      <c r="DX20" s="899">
        <f t="shared" ref="DX20" si="152">DT20*(1+DX46)</f>
      </c>
      <c r="DY20" s="901">
        <f t="shared" ref="DY20" si="153">DU20*(1+DY46)</f>
      </c>
      <c r="DZ20" s="899">
        <f t="shared" ref="DZ20" si="154">DV20*(1+DZ46)</f>
      </c>
      <c r="EA20" s="899">
        <f t="shared" ref="EA20" si="155">DW20*(1+EA46)</f>
      </c>
      <c r="EB20" s="899">
        <f t="shared" ref="EB20" si="156">DX20*(1+EB46)</f>
      </c>
      <c r="EC20" s="901">
        <f t="shared" ref="EC20" si="157">DY20*(1+EC46)</f>
      </c>
      <c r="ED20" s="899">
        <f t="shared" ref="ED20" si="158">DZ20*(1+ED46)</f>
      </c>
      <c r="EE20" s="899">
        <f t="shared" ref="EE20" si="159">EA20*(1+EE46)</f>
      </c>
      <c r="EF20" s="899">
        <f t="shared" ref="EF20" si="160">EB20*(1+EF46)</f>
      </c>
      <c r="EG20" s="901">
        <f t="shared" ref="EG20" si="161">EC20*(1+EG46)</f>
      </c>
      <c r="EH20" s="899">
        <f t="shared" ref="EH20" si="162">ED20*(1+EH46)</f>
      </c>
      <c r="EI20" s="899">
        <f t="shared" ref="EI20" si="163">EE20*(1+EI46)</f>
      </c>
      <c r="EJ20" s="899">
        <f t="shared" ref="EJ20" si="164">EF20*(1+EJ46)</f>
      </c>
      <c r="EK20" s="901">
        <f t="shared" ref="EK20" si="165">EG20*(1+EK46)</f>
      </c>
      <c r="EL20" s="390"/>
      <c r="EM20" s="899"/>
      <c r="EN20" s="899"/>
      <c r="EO20" s="899"/>
      <c r="EP20" s="899"/>
      <c r="EQ20" s="899"/>
      <c r="ER20" s="899"/>
      <c r="ES20" s="899"/>
      <c r="ET20" s="899"/>
      <c r="EU20" s="899"/>
      <c r="EV20" s="899"/>
      <c r="EW20" s="899"/>
      <c r="EX20" s="899"/>
      <c r="EY20" s="899"/>
      <c r="EZ20" s="899"/>
      <c r="FA20" s="899"/>
      <c r="FB20" s="899"/>
      <c r="FC20" s="899"/>
      <c r="FD20" s="899"/>
      <c r="FE20" s="899">
        <f t="shared" si="25"/>
      </c>
      <c r="FF20" s="899">
        <f t="shared" si="26"/>
      </c>
      <c r="FG20" s="899">
        <f t="shared" si="27"/>
      </c>
      <c r="FH20" s="899">
        <f t="shared" si="28"/>
      </c>
      <c r="FI20" s="899">
        <f t="shared" si="29"/>
      </c>
      <c r="FJ20" s="899">
        <f t="shared" si="30"/>
      </c>
      <c r="FK20" s="899">
        <f t="shared" si="31"/>
      </c>
      <c r="FL20" s="899">
        <f t="shared" si="32"/>
      </c>
      <c r="FM20" s="899">
        <f t="shared" si="33"/>
      </c>
      <c r="FN20" s="899">
        <f t="shared" si="34"/>
      </c>
      <c r="FO20" s="899">
        <f t="shared" si="35"/>
      </c>
      <c r="FP20" s="899">
        <f t="shared" si="36"/>
      </c>
      <c r="FQ20" s="899">
        <f t="shared" si="37"/>
      </c>
      <c r="FR20" s="899">
        <f t="shared" si="73"/>
      </c>
      <c r="FS20" s="899">
        <f t="shared" si="74"/>
      </c>
      <c r="FT20" s="899">
        <f t="shared" si="75"/>
      </c>
      <c r="FU20" s="899">
        <f t="shared" si="76"/>
      </c>
      <c r="FV20" s="899"/>
      <c r="FW20" s="899"/>
      <c r="FX20" s="899"/>
      <c r="FY20" s="899"/>
      <c r="FZ20" s="899"/>
      <c r="GA20" s="899"/>
      <c r="GB20" s="899"/>
      <c r="GC20" s="899"/>
      <c r="GD20" s="899"/>
      <c r="GE20" s="899"/>
      <c r="GF20" s="899"/>
      <c r="GG20" s="899"/>
      <c r="GH20" s="899"/>
      <c r="GI20" s="899"/>
      <c r="GJ20" s="899"/>
      <c r="GK20" s="899"/>
      <c r="GL20" s="899"/>
      <c r="GM20" s="899"/>
      <c r="GN20" s="899"/>
      <c r="GO20" s="899">
        <f t="shared" si="38"/>
      </c>
      <c r="GP20" s="899">
        <f t="shared" si="39"/>
      </c>
      <c r="GQ20" s="899">
        <f t="shared" si="40"/>
      </c>
      <c r="GR20" s="899">
        <f t="shared" si="41"/>
      </c>
      <c r="GS20" s="899">
        <f t="shared" si="42"/>
      </c>
      <c r="GT20" s="899">
        <f t="shared" si="43"/>
      </c>
      <c r="GU20" s="899">
        <f t="shared" si="44"/>
      </c>
      <c r="GV20" s="899">
        <f t="shared" si="45"/>
      </c>
      <c r="GW20" s="899">
        <f t="shared" si="46"/>
      </c>
      <c r="GX20" s="899">
        <f t="shared" si="47"/>
      </c>
      <c r="GY20" s="899">
        <f t="shared" si="48"/>
      </c>
      <c r="GZ20" s="899">
        <f t="shared" si="49"/>
      </c>
      <c r="HA20" s="899">
        <f t="shared" si="50"/>
      </c>
      <c r="HB20" s="899">
        <f t="shared" si="51"/>
      </c>
      <c r="HC20" s="899">
        <f t="shared" si="52"/>
      </c>
      <c r="HD20" s="899">
        <f t="shared" si="53"/>
      </c>
    </row>
    <row r="21" spans="1:212" s="90" customFormat="1" ht="10.8" thickBot="1">
      <c r="A21" s="1026" t="s">
        <v>1189</v>
      </c>
      <c r="B21" s="1087"/>
      <c r="C21" s="1087"/>
      <c r="D21" s="1087"/>
      <c r="E21" s="1088"/>
      <c r="F21" s="1087"/>
      <c r="G21" s="1087"/>
      <c r="H21" s="1087"/>
      <c r="I21" s="1088"/>
      <c r="J21" s="1087"/>
      <c r="K21" s="1087"/>
      <c r="L21" s="1087"/>
      <c r="M21" s="1088"/>
      <c r="N21" s="1087"/>
      <c r="O21" s="1087"/>
      <c r="P21" s="1087"/>
      <c r="Q21" s="1088"/>
      <c r="R21" s="1087"/>
      <c r="S21" s="1087"/>
      <c r="T21" s="1087"/>
      <c r="U21" s="1088"/>
      <c r="V21" s="1087"/>
      <c r="W21" s="1087"/>
      <c r="X21" s="1087"/>
      <c r="Y21" s="1088"/>
      <c r="Z21" s="1087"/>
      <c r="AA21" s="1087"/>
      <c r="AB21" s="1087"/>
      <c r="AC21" s="1088"/>
      <c r="AD21" s="1087"/>
      <c r="AE21" s="1087"/>
      <c r="AF21" s="1089">
        <f t="shared" ref="AF21:BA21" si="166">AJ21/AJ65*AF65</f>
      </c>
      <c r="AG21" s="1089">
        <f t="shared" si="166"/>
      </c>
      <c r="AH21" s="1089">
        <f t="shared" si="166"/>
      </c>
      <c r="AI21" s="1089">
        <f t="shared" si="166"/>
      </c>
      <c r="AJ21" s="1089">
        <f t="shared" si="166"/>
      </c>
      <c r="AK21" s="1089">
        <f t="shared" si="166"/>
      </c>
      <c r="AL21" s="1089">
        <f t="shared" si="166"/>
      </c>
      <c r="AM21" s="1089">
        <f t="shared" si="166"/>
      </c>
      <c r="AN21" s="1089">
        <f t="shared" si="166"/>
      </c>
      <c r="AO21" s="1089">
        <f t="shared" si="166"/>
      </c>
      <c r="AP21" s="1089">
        <f t="shared" si="166"/>
      </c>
      <c r="AQ21" s="1089">
        <f t="shared" si="166"/>
      </c>
      <c r="AR21" s="1089">
        <f t="shared" si="166"/>
      </c>
      <c r="AS21" s="1089">
        <f t="shared" si="166"/>
      </c>
      <c r="AT21" s="1089">
        <f t="shared" si="166"/>
      </c>
      <c r="AU21" s="1089">
        <f t="shared" si="166"/>
      </c>
      <c r="AV21" s="1089">
        <f t="shared" si="166"/>
      </c>
      <c r="AW21" s="1089">
        <f t="shared" si="166"/>
      </c>
      <c r="AX21" s="1089">
        <f t="shared" si="166"/>
      </c>
      <c r="AY21" s="1089">
        <f t="shared" si="166"/>
      </c>
      <c r="AZ21" s="1089">
        <f t="shared" si="166"/>
      </c>
      <c r="BA21" s="1089">
        <f t="shared" si="166"/>
      </c>
      <c r="BB21" s="1089">
        <f>'Revenue summary'!BB16</f>
      </c>
      <c r="BC21" s="1089">
        <f>'Revenue summary'!BC16</f>
      </c>
      <c r="BD21" s="1089">
        <f>'Revenue summary'!BD16</f>
      </c>
      <c r="BE21" s="1089">
        <f>'Revenue summary'!BE16</f>
      </c>
      <c r="BF21" s="1089">
        <f>'Revenue summary'!BF16</f>
      </c>
      <c r="BG21" s="1089">
        <f>'Revenue summary'!BG16</f>
      </c>
      <c r="BH21" s="1089">
        <f>'Revenue summary'!BH16</f>
      </c>
      <c r="BI21" s="1089">
        <f>'Revenue summary'!BI16</f>
      </c>
      <c r="BJ21" s="1089">
        <f>'Revenue summary'!BJ16</f>
      </c>
      <c r="BK21" s="1089">
        <f>'Revenue summary'!BK16</f>
      </c>
      <c r="BL21" s="1089">
        <f>'Revenue summary'!BL16</f>
      </c>
      <c r="BM21" s="2148">
        <f>'Revenue summary'!BM16</f>
      </c>
      <c r="BN21" s="1089">
        <f>'Revenue summary'!BN16</f>
      </c>
      <c r="BO21" s="1089">
        <f>'Revenue summary'!BO16</f>
      </c>
      <c r="BP21" s="1089">
        <f>'Revenue summary'!BP16</f>
      </c>
      <c r="BQ21" s="2148">
        <f>'Revenue summary'!BQ16</f>
      </c>
      <c r="BR21" s="1089">
        <f>'Revenue summary'!BR16</f>
      </c>
      <c r="BS21" s="1089">
        <f>'Revenue summary'!BS16</f>
      </c>
      <c r="BT21" s="1089">
        <f>'Revenue summary'!BT16</f>
      </c>
      <c r="BU21" s="1089">
        <f>'Revenue summary'!BU16</f>
      </c>
      <c r="BV21" s="1090">
        <f>'Revenue summary'!BV16</f>
      </c>
      <c r="BW21" s="1091">
        <f>'Revenue summary'!BW16</f>
      </c>
      <c r="BX21" s="1091">
        <f>'Revenue summary'!BX16</f>
      </c>
      <c r="BY21" s="1092">
        <f>'Revenue summary'!BY16</f>
      </c>
      <c r="BZ21" s="1091">
        <f>'Revenue summary'!BZ16</f>
      </c>
      <c r="CA21" s="1091">
        <f>'Revenue summary'!CA16</f>
      </c>
      <c r="CB21" s="1091">
        <f>'Revenue summary'!CB16</f>
      </c>
      <c r="CC21" s="1091">
        <f>'Revenue summary'!CC16</f>
      </c>
      <c r="CD21" s="1090">
        <f>'Revenue summary'!CD16</f>
      </c>
      <c r="CE21" s="1091">
        <f>'Revenue summary'!CE16</f>
      </c>
      <c r="CF21" s="1091">
        <f>'Revenue summary'!CF16</f>
      </c>
      <c r="CG21" s="1092">
        <f>'Revenue summary'!CG16</f>
      </c>
      <c r="CH21" s="1091">
        <f>'Revenue summary'!CH16</f>
      </c>
      <c r="CI21" s="1091">
        <f>'Revenue summary'!CI16</f>
      </c>
      <c r="CJ21" s="1091">
        <f>'Revenue summary'!CJ16</f>
      </c>
      <c r="CK21" s="1092">
        <f>'Revenue summary'!CK16</f>
      </c>
      <c r="CL21" s="1093">
        <v>9129</v>
      </c>
      <c r="CM21" s="1093">
        <v>9850</v>
      </c>
      <c r="CN21" s="1093">
        <v>10170</v>
      </c>
      <c r="CO21" s="1094">
        <v>10599</v>
      </c>
      <c r="CP21" s="1093">
        <v>10875</v>
      </c>
      <c r="CQ21" s="1093">
        <v>11450</v>
      </c>
      <c r="CR21" s="1093">
        <v>11455</v>
      </c>
      <c r="CS21" s="1094">
        <v>12511</v>
      </c>
      <c r="CT21" s="1093">
        <v>12715</v>
      </c>
      <c r="CU21" s="1093">
        <v>13348</v>
      </c>
      <c r="CV21" s="1093">
        <v>13156</v>
      </c>
      <c r="CW21" s="1094">
        <v>14549</v>
      </c>
      <c r="CX21" s="1095">
        <v>15761</v>
      </c>
      <c r="CY21" s="1093">
        <v>16901</v>
      </c>
      <c r="CZ21" s="1093">
        <v>17486</v>
      </c>
      <c r="DA21" s="1094">
        <v>18277</v>
      </c>
      <c r="DB21" s="1095">
        <v>19516</v>
      </c>
      <c r="DC21" s="1093">
        <v>19821</v>
      </c>
      <c r="DD21" s="1093">
        <v>19604</v>
      </c>
      <c r="DE21" s="1633">
        <f>'Revenue summary'!DE16</f>
      </c>
      <c r="DF21" s="2683">
        <f>'Revenue summary'!DF16</f>
      </c>
      <c r="DG21" s="2861">
        <f>'Revenue summary'!DG16</f>
      </c>
      <c r="DH21" s="2861">
        <f>'Revenue summary'!DH16</f>
      </c>
      <c r="DI21" s="1633">
        <f>'Revenue summary'!DI16</f>
      </c>
      <c r="DJ21" s="2683">
        <f>'Revenue summary'!DJ16</f>
      </c>
      <c r="DK21" s="2861">
        <f>'Revenue summary'!DK16</f>
      </c>
      <c r="DL21" s="2861">
        <f>'Revenue summary'!DL16</f>
      </c>
      <c r="DM21" s="1633">
        <f>'Revenue summary'!DM16</f>
      </c>
      <c r="DN21" s="2683">
        <f>'Revenue summary'!DN16</f>
      </c>
      <c r="DO21" s="2861">
        <f>'Revenue summary'!DO16</f>
      </c>
      <c r="DP21" s="2861">
        <f>'Revenue summary'!DP16</f>
      </c>
      <c r="DQ21" s="948">
        <f t="shared" ref="DQ21:DU21" si="167">SUM(DQ11:DQ20)</f>
      </c>
      <c r="DR21" s="947">
        <f t="shared" si="167"/>
      </c>
      <c r="DS21" s="947">
        <f t="shared" si="167"/>
      </c>
      <c r="DT21" s="947">
        <f t="shared" si="167"/>
      </c>
      <c r="DU21" s="948">
        <f t="shared" si="167"/>
      </c>
      <c r="DV21" s="947">
        <f t="shared" ref="DV21:EK21" si="168">SUM(DV11:DV20)</f>
      </c>
      <c r="DW21" s="947">
        <f t="shared" si="168"/>
      </c>
      <c r="DX21" s="947">
        <f t="shared" si="168"/>
      </c>
      <c r="DY21" s="948">
        <f t="shared" si="168"/>
      </c>
      <c r="DZ21" s="947">
        <f t="shared" si="168"/>
      </c>
      <c r="EA21" s="947">
        <f t="shared" si="168"/>
      </c>
      <c r="EB21" s="947">
        <f t="shared" si="168"/>
      </c>
      <c r="EC21" s="948">
        <f t="shared" si="168"/>
      </c>
      <c r="ED21" s="947">
        <f t="shared" si="168"/>
      </c>
      <c r="EE21" s="947">
        <f t="shared" si="168"/>
      </c>
      <c r="EF21" s="947">
        <f t="shared" si="168"/>
      </c>
      <c r="EG21" s="948">
        <f t="shared" si="168"/>
      </c>
      <c r="EH21" s="947">
        <f t="shared" si="168"/>
      </c>
      <c r="EI21" s="947">
        <f t="shared" si="168"/>
      </c>
      <c r="EJ21" s="947">
        <f t="shared" si="168"/>
      </c>
      <c r="EK21" s="948">
        <f t="shared" si="168"/>
      </c>
      <c r="EL21" s="422"/>
      <c r="EM21" s="947"/>
      <c r="EN21" s="947"/>
      <c r="EO21" s="947"/>
      <c r="EP21" s="947"/>
      <c r="EQ21" s="947"/>
      <c r="ER21" s="947"/>
      <c r="ES21" s="947"/>
      <c r="ET21" s="947">
        <f>SUM(AD21:AG21)</f>
      </c>
      <c r="EU21" s="947">
        <f>SUM(AH21:AK21)</f>
      </c>
      <c r="EV21" s="947">
        <f>SUM(AL21:AO21)</f>
      </c>
      <c r="EW21" s="947">
        <f>SUM(AP21:AS21)</f>
      </c>
      <c r="EX21" s="947">
        <f>SUM(AT21:AW21)</f>
      </c>
      <c r="EY21" s="947">
        <f>SUM(AX21:BA21)</f>
      </c>
      <c r="EZ21" s="947">
        <f>SUM(BB21:BE21)</f>
      </c>
      <c r="FA21" s="947">
        <f>SUM(BF21:BI21)</f>
      </c>
      <c r="FB21" s="947">
        <f>SUM(BJ21:BM21)</f>
      </c>
      <c r="FC21" s="947">
        <f>SUM(BN21:BQ21)</f>
      </c>
      <c r="FD21" s="947">
        <f>SUM(BR21:BU21)</f>
      </c>
      <c r="FE21" s="947">
        <f>SUM(BV21:BY21)</f>
      </c>
      <c r="FF21" s="947">
        <f>SUM(BZ21:CC21)</f>
      </c>
      <c r="FG21" s="947">
        <f>SUM(CD21:CG21)</f>
      </c>
      <c r="FH21" s="947">
        <f>SUM(CH21:CK21)</f>
      </c>
      <c r="FI21" s="947">
        <f>SUM(CL21:CO21)</f>
      </c>
      <c r="FJ21" s="947">
        <f>SUM(CP21:CS21)</f>
      </c>
      <c r="FK21" s="947">
        <f>SUM(CT21:CW21)</f>
      </c>
      <c r="FL21" s="947">
        <f>SUM(CX21:DA21)</f>
      </c>
      <c r="FM21" s="947">
        <f>SUM(DB21:DE21)</f>
      </c>
      <c r="FN21" s="947">
        <f>SUM(DF21:DI21)</f>
      </c>
      <c r="FO21" s="947">
        <f>SUM(DJ21:DM21)</f>
      </c>
      <c r="FP21" s="947">
        <f t="shared" si="36"/>
      </c>
      <c r="FQ21" s="947">
        <f t="shared" si="37"/>
      </c>
      <c r="FR21" s="947">
        <f t="shared" si="73"/>
      </c>
      <c r="FS21" s="947">
        <f t="shared" si="74"/>
      </c>
      <c r="FT21" s="947">
        <f t="shared" si="75"/>
      </c>
      <c r="FU21" s="947">
        <f t="shared" si="76"/>
      </c>
      <c r="FV21" s="947"/>
      <c r="FW21" s="947"/>
      <c r="FX21" s="947"/>
      <c r="FY21" s="947"/>
      <c r="FZ21" s="947"/>
      <c r="GA21" s="947"/>
      <c r="GB21" s="947"/>
      <c r="GC21" s="947"/>
      <c r="GD21" s="947">
        <f>SUM(AE21:AH21)</f>
      </c>
      <c r="GE21" s="947">
        <f>SUM(AI21:AL21)</f>
      </c>
      <c r="GF21" s="947">
        <f>SUM(AM21:AP21)</f>
      </c>
      <c r="GG21" s="947">
        <f>SUM(AQ21:AT21)</f>
      </c>
      <c r="GH21" s="947">
        <f>SUM(AU21:AX21)</f>
      </c>
      <c r="GI21" s="947">
        <f>SUM(AY21:BB21)</f>
      </c>
      <c r="GJ21" s="947">
        <f>SUM(BC21:BF21)</f>
      </c>
      <c r="GK21" s="947">
        <f>SUM(BG21:BJ21)</f>
      </c>
      <c r="GL21" s="947">
        <f>SUM(BK21:BN21)</f>
      </c>
      <c r="GM21" s="947">
        <f>SUM(BO21:BR21)</f>
      </c>
      <c r="GN21" s="947">
        <f>SUM(BS21:BV21)</f>
      </c>
      <c r="GO21" s="947">
        <f t="shared" si="38"/>
      </c>
      <c r="GP21" s="947">
        <f t="shared" si="39"/>
      </c>
      <c r="GQ21" s="947">
        <f t="shared" si="40"/>
      </c>
      <c r="GR21" s="947">
        <f t="shared" si="41"/>
      </c>
      <c r="GS21" s="947">
        <f t="shared" si="42"/>
      </c>
      <c r="GT21" s="947">
        <f t="shared" si="43"/>
      </c>
      <c r="GU21" s="947">
        <f t="shared" si="44"/>
      </c>
      <c r="GV21" s="947">
        <f t="shared" si="45"/>
      </c>
      <c r="GW21" s="947">
        <f t="shared" si="46"/>
      </c>
      <c r="GX21" s="947">
        <f t="shared" si="47"/>
      </c>
      <c r="GY21" s="947">
        <f t="shared" si="48"/>
      </c>
      <c r="GZ21" s="947">
        <f t="shared" si="49"/>
      </c>
      <c r="HA21" s="947">
        <f t="shared" si="50"/>
      </c>
      <c r="HB21" s="947">
        <f t="shared" si="51"/>
      </c>
      <c r="HC21" s="947">
        <f t="shared" si="52"/>
      </c>
      <c r="HD21" s="947">
        <f t="shared" si="53"/>
      </c>
    </row>
    <row r="22" spans="1:212" s="90" customFormat="1" ht="10.8" thickTop="1">
      <c r="A22" s="2132"/>
      <c r="B22" s="2133"/>
      <c r="C22" s="2133"/>
      <c r="D22" s="2133"/>
      <c r="E22" s="2134"/>
      <c r="F22" s="2133"/>
      <c r="G22" s="2133"/>
      <c r="H22" s="2133"/>
      <c r="I22" s="2134"/>
      <c r="J22" s="2133"/>
      <c r="K22" s="2133"/>
      <c r="L22" s="2133"/>
      <c r="M22" s="2134"/>
      <c r="N22" s="2133"/>
      <c r="O22" s="2133"/>
      <c r="P22" s="2133"/>
      <c r="Q22" s="2134"/>
      <c r="R22" s="2133"/>
      <c r="S22" s="2133"/>
      <c r="T22" s="2133"/>
      <c r="U22" s="2134"/>
      <c r="V22" s="2133"/>
      <c r="W22" s="2133"/>
      <c r="X22" s="2133"/>
      <c r="Y22" s="2134"/>
      <c r="Z22" s="2133"/>
      <c r="AA22" s="2133"/>
      <c r="AB22" s="2133"/>
      <c r="AC22" s="2134"/>
      <c r="AD22" s="2133"/>
      <c r="AE22" s="2133"/>
      <c r="AF22" s="2135"/>
      <c r="AG22" s="2135"/>
      <c r="AH22" s="2135"/>
      <c r="AI22" s="2135"/>
      <c r="AJ22" s="2135"/>
      <c r="AK22" s="2135"/>
      <c r="AL22" s="2135"/>
      <c r="AM22" s="2135"/>
      <c r="AN22" s="2135"/>
      <c r="AO22" s="2135"/>
      <c r="AP22" s="2135"/>
      <c r="AQ22" s="2135"/>
      <c r="AR22" s="2135"/>
      <c r="AS22" s="2135"/>
      <c r="AT22" s="2135"/>
      <c r="AU22" s="2135"/>
      <c r="AV22" s="2135"/>
      <c r="AW22" s="2135"/>
      <c r="AX22" s="2135"/>
      <c r="AY22" s="2135"/>
      <c r="AZ22" s="2135"/>
      <c r="BA22" s="2135"/>
      <c r="BB22" s="2135"/>
      <c r="BC22" s="2135"/>
      <c r="BD22" s="2135"/>
      <c r="BE22" s="2135"/>
      <c r="BF22" s="2135"/>
      <c r="BG22" s="2135"/>
      <c r="BH22" s="2135"/>
      <c r="BI22" s="2135"/>
      <c r="BJ22" s="2135"/>
      <c r="BK22" s="2135"/>
      <c r="BL22" s="2135"/>
      <c r="BM22" s="2149"/>
      <c r="BN22" s="2135"/>
      <c r="BO22" s="2135"/>
      <c r="BP22" s="2135"/>
      <c r="BQ22" s="2149"/>
      <c r="BR22" s="2135"/>
      <c r="BS22" s="2135"/>
      <c r="BT22" s="2135"/>
      <c r="BU22" s="2135"/>
      <c r="BV22" s="2136"/>
      <c r="BW22" s="2136"/>
      <c r="BX22" s="2136"/>
      <c r="BY22" s="2137"/>
      <c r="BZ22" s="2136"/>
      <c r="CA22" s="2136"/>
      <c r="CB22" s="2136"/>
      <c r="CC22" s="2136"/>
      <c r="CD22" s="2136"/>
      <c r="CE22" s="2136"/>
      <c r="CF22" s="2136"/>
      <c r="CG22" s="2137"/>
      <c r="CH22" s="2136"/>
      <c r="CI22" s="2136"/>
      <c r="CJ22" s="2136"/>
      <c r="CK22" s="2137"/>
      <c r="CL22" s="2138"/>
      <c r="CM22" s="2138"/>
      <c r="CN22" s="2138"/>
      <c r="CO22" s="2139"/>
      <c r="CP22" s="2138"/>
      <c r="CQ22" s="2138"/>
      <c r="CR22" s="2138"/>
      <c r="CS22" s="2139"/>
      <c r="CT22" s="2138"/>
      <c r="CU22" s="2138"/>
      <c r="CV22" s="2138"/>
      <c r="CW22" s="2139"/>
      <c r="CX22" s="2138"/>
      <c r="CY22" s="2138"/>
      <c r="CZ22" s="2138"/>
      <c r="DA22" s="2139"/>
      <c r="DB22" s="2138"/>
      <c r="DC22" s="2138"/>
      <c r="DD22" s="2138"/>
      <c r="DE22" s="2140"/>
      <c r="DF22" s="422"/>
      <c r="DG22" s="422"/>
      <c r="DH22" s="422"/>
      <c r="DI22" s="3171"/>
      <c r="DJ22" s="422"/>
      <c r="DK22" s="422"/>
      <c r="DL22" s="422"/>
      <c r="DM22" s="2141"/>
      <c r="DN22" s="422"/>
      <c r="DO22" s="422"/>
      <c r="DP22" s="3390"/>
      <c r="DQ22" s="2141"/>
      <c r="DR22" s="422"/>
      <c r="DS22" s="422"/>
      <c r="DT22" s="422"/>
      <c r="DU22" s="2141"/>
      <c r="DV22" s="422"/>
      <c r="DW22" s="422"/>
      <c r="DX22" s="422"/>
      <c r="DY22" s="2141"/>
      <c r="DZ22" s="422"/>
      <c r="EA22" s="422"/>
      <c r="EB22" s="422"/>
      <c r="EC22" s="2141"/>
      <c r="ED22" s="422"/>
      <c r="EE22" s="422"/>
      <c r="EF22" s="422"/>
      <c r="EG22" s="2141"/>
      <c r="EH22" s="422"/>
      <c r="EI22" s="422"/>
      <c r="EJ22" s="422"/>
      <c r="EK22" s="2141"/>
      <c r="EL22" s="390"/>
      <c r="EM22" s="422"/>
      <c r="EN22" s="422"/>
      <c r="EO22" s="422"/>
      <c r="EP22" s="422"/>
      <c r="EQ22" s="422"/>
      <c r="ER22" s="422"/>
      <c r="ES22" s="422"/>
      <c r="ET22" s="422"/>
      <c r="EU22" s="422"/>
      <c r="EV22" s="422"/>
      <c r="EW22" s="422"/>
      <c r="EX22" s="422"/>
      <c r="EY22" s="422"/>
      <c r="EZ22" s="422"/>
      <c r="FA22" s="422"/>
      <c r="FB22" s="422"/>
      <c r="FC22" s="422"/>
      <c r="FD22" s="422"/>
      <c r="FE22" s="422"/>
      <c r="FF22" s="422"/>
      <c r="FG22" s="422"/>
      <c r="FH22" s="422"/>
      <c r="FI22" s="422"/>
      <c r="FJ22" s="422"/>
      <c r="FK22" s="422"/>
      <c r="FL22" s="422"/>
      <c r="FM22" s="422"/>
      <c r="FN22" s="422"/>
      <c r="FO22" s="422"/>
      <c r="FP22" s="422"/>
      <c r="FQ22" s="422"/>
      <c r="FR22" s="422"/>
      <c r="FS22" s="422"/>
      <c r="FT22" s="422"/>
      <c r="FU22" s="422"/>
      <c r="FV22" s="422"/>
      <c r="FW22" s="422"/>
      <c r="FX22" s="422"/>
      <c r="FY22" s="422"/>
      <c r="FZ22" s="422"/>
      <c r="GA22" s="422"/>
      <c r="GB22" s="422"/>
      <c r="GC22" s="422"/>
      <c r="GD22" s="422"/>
      <c r="GE22" s="422"/>
      <c r="GF22" s="422"/>
      <c r="GG22" s="422"/>
      <c r="GH22" s="422"/>
      <c r="GI22" s="422"/>
      <c r="GJ22" s="422"/>
      <c r="GK22" s="422"/>
      <c r="GL22" s="422"/>
      <c r="GM22" s="422"/>
      <c r="GN22" s="422"/>
      <c r="GO22" s="422"/>
      <c r="GP22" s="422"/>
      <c r="GQ22" s="422"/>
      <c r="GR22" s="422"/>
      <c r="GS22" s="422"/>
      <c r="GT22" s="422"/>
      <c r="GU22" s="422"/>
      <c r="GV22" s="422"/>
      <c r="GW22" s="422"/>
      <c r="GX22" s="422"/>
      <c r="GY22" s="422"/>
      <c r="GZ22" s="422"/>
      <c r="HA22" s="422"/>
      <c r="HB22" s="422"/>
      <c r="HC22" s="422"/>
      <c r="HD22" s="422"/>
    </row>
    <row r="23" spans="1:212" s="16" customFormat="1" ht="10.199999999999999">
      <c r="A23" s="708" t="s">
        <v>1496</v>
      </c>
      <c r="B23" s="706" t="str">
        <f>'Revenue summary'!B$8</f>
      </c>
      <c r="C23" s="706" t="str">
        <f>'Revenue summary'!C$8</f>
      </c>
      <c r="D23" s="706" t="str">
        <f>'Revenue summary'!D$8</f>
      </c>
      <c r="E23" s="707" t="str">
        <f>'Revenue summary'!E$8</f>
      </c>
      <c r="F23" s="706" t="str">
        <f>'Revenue summary'!F$8</f>
      </c>
      <c r="G23" s="706" t="str">
        <f>'Revenue summary'!G$8</f>
      </c>
      <c r="H23" s="706" t="str">
        <f>'Revenue summary'!H$8</f>
      </c>
      <c r="I23" s="707" t="str">
        <f>'Revenue summary'!I$8</f>
      </c>
      <c r="J23" s="706" t="str">
        <f>'Revenue summary'!J$8</f>
      </c>
      <c r="K23" s="706" t="str">
        <f>'Revenue summary'!K$8</f>
      </c>
      <c r="L23" s="706" t="str">
        <f>'Revenue summary'!L$8</f>
      </c>
      <c r="M23" s="707" t="str">
        <f>'Revenue summary'!M$8</f>
      </c>
      <c r="N23" s="706" t="str">
        <f>'Revenue summary'!N$8</f>
      </c>
      <c r="O23" s="706" t="str">
        <f>'Revenue summary'!O$8</f>
      </c>
      <c r="P23" s="706" t="str">
        <f>'Revenue summary'!P$8</f>
      </c>
      <c r="Q23" s="707" t="str">
        <f>'Revenue summary'!Q$8</f>
      </c>
      <c r="R23" s="706" t="str">
        <f>'Revenue summary'!R$8</f>
      </c>
      <c r="S23" s="706" t="str">
        <f>'Revenue summary'!S$8</f>
      </c>
      <c r="T23" s="706" t="str">
        <f>'Revenue summary'!T$8</f>
      </c>
      <c r="U23" s="707" t="str">
        <f>'Revenue summary'!U$8</f>
      </c>
      <c r="V23" s="706" t="str">
        <f>'Revenue summary'!V$8</f>
      </c>
      <c r="W23" s="706" t="str">
        <f>'Revenue summary'!W$8</f>
      </c>
      <c r="X23" s="706" t="str">
        <f>'Revenue summary'!X$8</f>
      </c>
      <c r="Y23" s="707" t="str">
        <f>'Revenue summary'!Y$8</f>
      </c>
      <c r="Z23" s="706" t="str">
        <f>'Revenue summary'!Z$8</f>
      </c>
      <c r="AA23" s="706" t="str">
        <f>'Revenue summary'!AA$8</f>
      </c>
      <c r="AB23" s="706" t="str">
        <f>'Revenue summary'!AB$8</f>
      </c>
      <c r="AC23" s="707" t="str">
        <f>'Revenue summary'!AC$8</f>
      </c>
      <c r="AD23" s="706" t="str">
        <f>'Revenue summary'!AD$8</f>
      </c>
      <c r="AE23" s="706" t="str">
        <f>'Revenue summary'!AE$8</f>
      </c>
      <c r="AF23" s="706" t="str">
        <f>'Revenue summary'!AF$8</f>
      </c>
      <c r="AG23" s="707" t="str">
        <f>'Revenue summary'!AG$8</f>
      </c>
      <c r="AH23" s="706" t="str">
        <f>'Revenue summary'!AH$8</f>
      </c>
      <c r="AI23" s="706" t="str">
        <f>'Revenue summary'!AI$8</f>
      </c>
      <c r="AJ23" s="706" t="str">
        <f>'Revenue summary'!AJ$8</f>
      </c>
      <c r="AK23" s="707" t="str">
        <f>'Revenue summary'!AK$8</f>
      </c>
      <c r="AL23" s="706" t="str">
        <f>'Revenue summary'!AL$8</f>
      </c>
      <c r="AM23" s="706" t="str">
        <f>'Revenue summary'!AM$8</f>
      </c>
      <c r="AN23" s="706" t="str">
        <f>'Revenue summary'!AN$8</f>
      </c>
      <c r="AO23" s="707" t="str">
        <f>'Revenue summary'!AO$8</f>
      </c>
      <c r="AP23" s="706" t="str">
        <f>'Revenue summary'!AP$8</f>
      </c>
      <c r="AQ23" s="706" t="str">
        <f>'Revenue summary'!AQ$8</f>
      </c>
      <c r="AR23" s="706" t="str">
        <f>'Revenue summary'!AR$8</f>
      </c>
      <c r="AS23" s="707" t="str">
        <f>'Revenue summary'!AS$8</f>
      </c>
      <c r="AT23" s="706" t="str">
        <f>'Revenue summary'!AT$8</f>
      </c>
      <c r="AU23" s="706" t="str">
        <f>'Revenue summary'!AU$8</f>
      </c>
      <c r="AV23" s="706" t="str">
        <f>'Revenue summary'!AV$8</f>
      </c>
      <c r="AW23" s="707" t="str">
        <f>'Revenue summary'!AW$8</f>
      </c>
      <c r="AX23" s="706" t="str">
        <f>'Revenue summary'!AX$8</f>
      </c>
      <c r="AY23" s="706" t="str">
        <f>'Revenue summary'!AY$8</f>
      </c>
      <c r="AZ23" s="706" t="str">
        <f>'Revenue summary'!AZ$8</f>
      </c>
      <c r="BA23" s="707" t="str">
        <f>'Revenue summary'!BA$8</f>
      </c>
      <c r="BB23" s="706" t="str">
        <f>'Revenue summary'!BB$8</f>
      </c>
      <c r="BC23" s="706" t="str">
        <f>'Revenue summary'!BC$8</f>
      </c>
      <c r="BD23" s="706" t="str">
        <f>'Revenue summary'!BD$8</f>
      </c>
      <c r="BE23" s="707" t="str">
        <f>'Revenue summary'!BE$8</f>
      </c>
      <c r="BF23" s="706" t="str">
        <f>'Revenue summary'!BF$8</f>
      </c>
      <c r="BG23" s="706" t="str">
        <f>'Revenue summary'!BG$8</f>
      </c>
      <c r="BH23" s="706" t="str">
        <f>'Revenue summary'!BH$8</f>
      </c>
      <c r="BI23" s="707" t="str">
        <f>'Revenue summary'!BI$8</f>
      </c>
      <c r="BJ23" s="706" t="str">
        <f>'Revenue summary'!BJ$8</f>
      </c>
      <c r="BK23" s="706" t="str">
        <f>'Revenue summary'!BK$8</f>
      </c>
      <c r="BL23" s="706" t="str">
        <f>'Revenue summary'!BL$8</f>
      </c>
      <c r="BM23" s="707" t="str">
        <f>'Revenue summary'!BM$8</f>
      </c>
      <c r="BN23" s="706" t="str">
        <f>'Revenue summary'!BN$8</f>
      </c>
      <c r="BO23" s="706" t="str">
        <f>'Revenue summary'!BO$8</f>
      </c>
      <c r="BP23" s="706" t="str">
        <f>'Revenue summary'!BP$8</f>
      </c>
      <c r="BQ23" s="707" t="str">
        <f>'Revenue summary'!BQ$8</f>
      </c>
      <c r="BR23" s="706" t="str">
        <f>'Revenue summary'!BR$8</f>
      </c>
      <c r="BS23" s="706" t="str">
        <f>'Revenue summary'!BS$8</f>
      </c>
      <c r="BT23" s="706" t="str">
        <f>'Revenue summary'!BT$8</f>
      </c>
      <c r="BU23" s="707" t="str">
        <f>'Revenue summary'!BU$8</f>
      </c>
      <c r="BV23" s="706" t="str">
        <f>'Revenue summary'!BV$8</f>
      </c>
      <c r="BW23" s="706" t="str">
        <f>'Revenue summary'!BW$8</f>
      </c>
      <c r="BX23" s="706" t="str">
        <f>'Revenue summary'!BX$8</f>
      </c>
      <c r="BY23" s="707" t="str">
        <f>'Revenue summary'!BY$8</f>
      </c>
      <c r="BZ23" s="706" t="str">
        <f>'Revenue summary'!BZ$8</f>
      </c>
      <c r="CA23" s="706" t="str">
        <f>'Revenue summary'!CA$8</f>
      </c>
      <c r="CB23" s="706" t="str">
        <f>'Revenue summary'!CB$8</f>
      </c>
      <c r="CC23" s="707" t="str">
        <f>'Revenue summary'!CC$8</f>
      </c>
      <c r="CD23" s="706" t="str">
        <f>'Revenue summary'!CD$8</f>
      </c>
      <c r="CE23" s="706" t="str">
        <f>'Revenue summary'!CE$8</f>
      </c>
      <c r="CF23" s="706" t="str">
        <f>'Revenue summary'!CF$8</f>
      </c>
      <c r="CG23" s="707" t="str">
        <f>'Revenue summary'!CG$8</f>
      </c>
      <c r="CH23" s="706" t="str">
        <f>'Revenue summary'!CH$8</f>
      </c>
      <c r="CI23" s="706" t="str">
        <f>'Revenue summary'!CI$8</f>
      </c>
      <c r="CJ23" s="706" t="str">
        <f>'Revenue summary'!CJ$8</f>
      </c>
      <c r="CK23" s="707" t="str">
        <f>'Revenue summary'!CK$8</f>
      </c>
      <c r="CL23" s="706" t="str">
        <f>'Revenue summary'!CL$8</f>
      </c>
      <c r="CM23" s="706" t="str">
        <f>'Revenue summary'!CM$8</f>
      </c>
      <c r="CN23" s="706" t="str">
        <f>'Revenue summary'!CN$8</f>
      </c>
      <c r="CO23" s="707" t="str">
        <f>'Revenue summary'!CO$8</f>
      </c>
      <c r="CP23" s="706" t="str">
        <f>'Revenue summary'!CP$8</f>
      </c>
      <c r="CQ23" s="706" t="str">
        <f>'Revenue summary'!CQ$8</f>
      </c>
      <c r="CR23" s="706" t="str">
        <f>'Revenue summary'!CR$8</f>
      </c>
      <c r="CS23" s="707" t="str">
        <f>'Revenue summary'!CS$8</f>
      </c>
      <c r="CT23" s="706" t="str">
        <f>'Revenue summary'!CT$8</f>
      </c>
      <c r="CU23" s="706" t="str">
        <f>'Revenue summary'!CU$8</f>
      </c>
      <c r="CV23" s="706" t="str">
        <f>'Revenue summary'!CV$8</f>
      </c>
      <c r="CW23" s="707" t="str">
        <f>'Revenue summary'!CW$8</f>
      </c>
      <c r="CX23" s="706" t="str">
        <f>'Revenue summary'!CX$8</f>
      </c>
      <c r="CY23" s="706" t="str">
        <f>'Revenue summary'!CY$8</f>
      </c>
      <c r="CZ23" s="706" t="str">
        <f>'Revenue summary'!CZ$8</f>
      </c>
      <c r="DA23" s="707" t="str">
        <f>'Revenue summary'!DA$8</f>
      </c>
      <c r="DB23" s="706" t="str">
        <f>'Revenue summary'!DB$8</f>
      </c>
      <c r="DC23" s="706" t="str">
        <f>'Revenue summary'!DC$8</f>
      </c>
      <c r="DD23" s="706" t="str">
        <f>'Revenue summary'!DD$8</f>
      </c>
      <c r="DE23" s="707" t="str">
        <f>'Revenue summary'!DE$8</f>
      </c>
      <c r="DF23" s="706" t="str">
        <f>'Revenue summary'!DF$8</f>
      </c>
      <c r="DG23" s="706" t="str">
        <f>'Revenue summary'!DG$8</f>
      </c>
      <c r="DH23" s="706" t="str">
        <f>'Revenue summary'!DH$8</f>
      </c>
      <c r="DI23" s="707" t="str">
        <f>'Revenue summary'!DI$8</f>
      </c>
      <c r="DJ23" s="706" t="str">
        <f>'Revenue summary'!DJ$8</f>
      </c>
      <c r="DK23" s="706" t="str">
        <f>'Revenue summary'!DK$8</f>
      </c>
      <c r="DL23" s="706" t="str">
        <f>'Revenue summary'!DL$8</f>
      </c>
      <c r="DM23" s="707" t="str">
        <f>'Revenue summary'!DM$8</f>
      </c>
      <c r="DN23" s="706" t="str">
        <f>'Revenue summary'!DN$8</f>
      </c>
      <c r="DO23" s="706" t="str">
        <f>'Revenue summary'!DO$8</f>
      </c>
      <c r="DP23" s="706" t="str">
        <f>'Revenue summary'!DP$8</f>
      </c>
      <c r="DQ23" s="707" t="str">
        <f>'Revenue summary'!DQ$8</f>
      </c>
      <c r="DR23" s="706" t="str">
        <f>'Revenue summary'!DR$8</f>
      </c>
      <c r="DS23" s="706" t="str">
        <f>'Revenue summary'!DS$8</f>
      </c>
      <c r="DT23" s="706" t="str">
        <f>'Revenue summary'!DT$8</f>
      </c>
      <c r="DU23" s="707" t="str">
        <f>'Revenue summary'!DU$8</f>
      </c>
      <c r="DV23" s="706" t="str">
        <f>'Revenue summary'!DV$8</f>
      </c>
      <c r="DW23" s="706" t="str">
        <f>'Revenue summary'!DW$8</f>
      </c>
      <c r="DX23" s="706" t="str">
        <f>'Revenue summary'!DX$8</f>
      </c>
      <c r="DY23" s="707" t="str">
        <f>'Revenue summary'!DY$8</f>
      </c>
      <c r="DZ23" s="706" t="str">
        <f>'Revenue summary'!DZ$8</f>
      </c>
      <c r="EA23" s="706" t="str">
        <f>'Revenue summary'!EA$8</f>
      </c>
      <c r="EB23" s="706" t="str">
        <f>'Revenue summary'!EB$8</f>
      </c>
      <c r="EC23" s="707" t="str">
        <f>'Revenue summary'!EC$8</f>
      </c>
      <c r="ED23" s="706" t="str">
        <f>'Revenue summary'!ED$8</f>
      </c>
      <c r="EE23" s="706" t="str">
        <f>'Revenue summary'!EE$8</f>
      </c>
      <c r="EF23" s="706" t="str">
        <f>'Revenue summary'!EF$8</f>
      </c>
      <c r="EG23" s="707" t="str">
        <f>'Revenue summary'!EG$8</f>
      </c>
      <c r="EH23" s="706" t="str">
        <f>'Revenue summary'!EH$8</f>
      </c>
      <c r="EI23" s="706" t="str">
        <f>'Revenue summary'!EI$8</f>
      </c>
      <c r="EJ23" s="706" t="str">
        <f>'Revenue summary'!EJ$8</f>
      </c>
      <c r="EK23" s="707" t="str">
        <f>'Revenue summary'!EK$8</f>
      </c>
      <c r="EL23" s="320"/>
      <c r="EM23" s="706">
        <f>EM$10</f>
      </c>
      <c r="EN23" s="706">
        <f t="shared" ref="EN23:HA23" si="169">EN$10</f>
      </c>
      <c r="EO23" s="706">
        <f t="shared" si="169"/>
      </c>
      <c r="EP23" s="706">
        <f t="shared" si="169"/>
      </c>
      <c r="EQ23" s="706">
        <f t="shared" si="169"/>
      </c>
      <c r="ER23" s="706">
        <f t="shared" si="169"/>
      </c>
      <c r="ES23" s="706">
        <f t="shared" si="169"/>
      </c>
      <c r="ET23" s="706">
        <f t="shared" si="169"/>
      </c>
      <c r="EU23" s="706">
        <f t="shared" si="169"/>
      </c>
      <c r="EV23" s="706">
        <f t="shared" si="169"/>
      </c>
      <c r="EW23" s="706">
        <f t="shared" si="169"/>
      </c>
      <c r="EX23" s="706">
        <f t="shared" si="169"/>
      </c>
      <c r="EY23" s="706">
        <f t="shared" si="169"/>
      </c>
      <c r="EZ23" s="706">
        <f t="shared" si="169"/>
      </c>
      <c r="FA23" s="706">
        <f t="shared" si="169"/>
      </c>
      <c r="FB23" s="706">
        <f t="shared" si="169"/>
      </c>
      <c r="FC23" s="706">
        <f t="shared" si="169"/>
      </c>
      <c r="FD23" s="706">
        <f t="shared" si="169"/>
      </c>
      <c r="FE23" s="706" t="str">
        <f t="shared" si="169"/>
      </c>
      <c r="FF23" s="706" t="str">
        <f t="shared" si="169"/>
      </c>
      <c r="FG23" s="706" t="str">
        <f t="shared" si="169"/>
      </c>
      <c r="FH23" s="706" t="str">
        <f t="shared" si="169"/>
      </c>
      <c r="FI23" s="706" t="str">
        <f t="shared" si="169"/>
      </c>
      <c r="FJ23" s="706" t="str">
        <f t="shared" si="169"/>
      </c>
      <c r="FK23" s="706" t="str">
        <f t="shared" si="169"/>
      </c>
      <c r="FL23" s="706" t="str">
        <f t="shared" si="169"/>
      </c>
      <c r="FM23" s="706" t="str">
        <f t="shared" si="169"/>
      </c>
      <c r="FN23" s="706" t="str">
        <f t="shared" si="169"/>
      </c>
      <c r="FO23" s="706" t="str">
        <f t="shared" si="169"/>
      </c>
      <c r="FP23" s="706" t="str">
        <f t="shared" si="169"/>
      </c>
      <c r="FQ23" s="706" t="str">
        <f t="shared" si="169"/>
      </c>
      <c r="FR23" s="706" t="str">
        <f t="shared" si="169"/>
      </c>
      <c r="FS23" s="706" t="str">
        <f t="shared" si="169"/>
      </c>
      <c r="FT23" s="706" t="str">
        <f t="shared" si="169"/>
      </c>
      <c r="FU23" s="706" t="str">
        <f t="shared" si="169"/>
      </c>
      <c r="FV23" s="706"/>
      <c r="FW23" s="706" t="str">
        <f t="shared" si="169"/>
      </c>
      <c r="FX23" s="706" t="str">
        <f t="shared" si="169"/>
      </c>
      <c r="FY23" s="706" t="str">
        <f t="shared" si="169"/>
      </c>
      <c r="FZ23" s="706" t="str">
        <f t="shared" si="169"/>
      </c>
      <c r="GA23" s="706" t="str">
        <f t="shared" si="169"/>
      </c>
      <c r="GB23" s="706" t="str">
        <f t="shared" si="169"/>
      </c>
      <c r="GC23" s="706" t="str">
        <f t="shared" si="169"/>
      </c>
      <c r="GD23" s="706" t="str">
        <f t="shared" si="169"/>
      </c>
      <c r="GE23" s="706" t="str">
        <f t="shared" si="169"/>
      </c>
      <c r="GF23" s="706" t="str">
        <f t="shared" si="169"/>
      </c>
      <c r="GG23" s="706" t="str">
        <f t="shared" si="169"/>
      </c>
      <c r="GH23" s="706" t="str">
        <f t="shared" si="169"/>
      </c>
      <c r="GI23" s="706" t="str">
        <f t="shared" si="169"/>
      </c>
      <c r="GJ23" s="706" t="str">
        <f t="shared" si="169"/>
      </c>
      <c r="GK23" s="706" t="str">
        <f t="shared" si="169"/>
      </c>
      <c r="GL23" s="706" t="str">
        <f t="shared" si="169"/>
      </c>
      <c r="GM23" s="706" t="str">
        <f t="shared" si="169"/>
      </c>
      <c r="GN23" s="706" t="str">
        <f t="shared" si="169"/>
      </c>
      <c r="GO23" s="706" t="str">
        <f t="shared" si="169"/>
      </c>
      <c r="GP23" s="706" t="str">
        <f t="shared" si="169"/>
      </c>
      <c r="GQ23" s="706" t="str">
        <f t="shared" si="169"/>
      </c>
      <c r="GR23" s="706" t="str">
        <f t="shared" si="169"/>
      </c>
      <c r="GS23" s="706" t="str">
        <f t="shared" si="169"/>
      </c>
      <c r="GT23" s="706" t="str">
        <f t="shared" si="169"/>
      </c>
      <c r="GU23" s="706" t="str">
        <f t="shared" si="169"/>
      </c>
      <c r="GV23" s="706" t="str">
        <f t="shared" si="169"/>
      </c>
      <c r="GW23" s="706" t="str">
        <f t="shared" si="169"/>
      </c>
      <c r="GX23" s="706" t="str">
        <f t="shared" si="169"/>
      </c>
      <c r="GY23" s="706" t="str">
        <f t="shared" si="169"/>
      </c>
      <c r="GZ23" s="706" t="str">
        <f t="shared" si="169"/>
      </c>
      <c r="HA23" s="706" t="str">
        <f t="shared" si="169"/>
      </c>
      <c r="HB23" s="706" t="str">
        <f t="shared" ref="HB23:HD23" si="170">HB$10</f>
      </c>
      <c r="HC23" s="706" t="str">
        <f t="shared" si="170"/>
      </c>
      <c r="HD23" s="706" t="str">
        <f t="shared" si="170"/>
      </c>
    </row>
    <row r="24" spans="1:212" s="141" customFormat="1" ht="10.199999999999999">
      <c r="A24" s="834" t="s">
        <v>1204</v>
      </c>
      <c r="B24" s="589"/>
      <c r="C24" s="589"/>
      <c r="D24" s="589"/>
      <c r="E24" s="590"/>
      <c r="F24" s="589"/>
      <c r="G24" s="589"/>
      <c r="H24" s="589"/>
      <c r="I24" s="590"/>
      <c r="J24" s="589"/>
      <c r="K24" s="589"/>
      <c r="L24" s="589"/>
      <c r="M24" s="590"/>
      <c r="N24" s="589"/>
      <c r="O24" s="589"/>
      <c r="P24" s="589"/>
      <c r="Q24" s="590"/>
      <c r="R24" s="589"/>
      <c r="S24" s="589"/>
      <c r="T24" s="589"/>
      <c r="U24" s="590"/>
      <c r="V24" s="589"/>
      <c r="W24" s="589"/>
      <c r="X24" s="589"/>
      <c r="Y24" s="590"/>
      <c r="Z24" s="589"/>
      <c r="AA24" s="589"/>
      <c r="AB24" s="589"/>
      <c r="AC24" s="590"/>
      <c r="AD24" s="589"/>
      <c r="AE24" s="589"/>
      <c r="AF24" s="589"/>
      <c r="AG24" s="590"/>
      <c r="AH24" s="589"/>
      <c r="AI24" s="589"/>
      <c r="AJ24" s="589"/>
      <c r="AK24" s="590"/>
      <c r="AL24" s="589"/>
      <c r="AM24" s="589"/>
      <c r="AN24" s="589"/>
      <c r="AO24" s="590"/>
      <c r="AP24" s="589"/>
      <c r="AQ24" s="589"/>
      <c r="AR24" s="589"/>
      <c r="AS24" s="590"/>
      <c r="AT24" s="589"/>
      <c r="AU24" s="589"/>
      <c r="AV24" s="589"/>
      <c r="AW24" s="590"/>
      <c r="AX24" s="589"/>
      <c r="AY24" s="589"/>
      <c r="AZ24" s="589"/>
      <c r="BA24" s="590"/>
      <c r="BB24" s="589"/>
      <c r="BC24" s="589"/>
      <c r="BD24" s="589"/>
      <c r="BE24" s="590"/>
      <c r="BF24" s="589"/>
      <c r="BG24" s="589"/>
      <c r="BH24" s="589"/>
      <c r="BI24" s="590"/>
      <c r="BJ24" s="589"/>
      <c r="BK24" s="589"/>
      <c r="BL24" s="589"/>
      <c r="BM24" s="590"/>
      <c r="BN24" s="589"/>
      <c r="BO24" s="589"/>
      <c r="BP24" s="589"/>
      <c r="BQ24" s="590"/>
      <c r="BR24" s="589"/>
      <c r="BS24" s="589"/>
      <c r="BT24" s="813">
        <f t="shared" ref="BT24:CY24" si="171">BT11-BP11</f>
      </c>
      <c r="BU24" s="2143">
        <f t="shared" si="171"/>
      </c>
      <c r="BV24" s="813">
        <f t="shared" si="171"/>
      </c>
      <c r="BW24" s="813">
        <f t="shared" si="171"/>
      </c>
      <c r="BX24" s="813">
        <f t="shared" si="171"/>
      </c>
      <c r="BY24" s="2143">
        <f t="shared" si="171"/>
      </c>
      <c r="BZ24" s="813">
        <f t="shared" si="171"/>
      </c>
      <c r="CA24" s="813">
        <f t="shared" si="171"/>
      </c>
      <c r="CB24" s="813">
        <f t="shared" si="171"/>
      </c>
      <c r="CC24" s="2143">
        <f t="shared" si="171"/>
      </c>
      <c r="CD24" s="813">
        <f t="shared" si="171"/>
      </c>
      <c r="CE24" s="813">
        <f t="shared" si="171"/>
      </c>
      <c r="CF24" s="813">
        <f t="shared" si="171"/>
      </c>
      <c r="CG24" s="2143">
        <f t="shared" si="171"/>
      </c>
      <c r="CH24" s="813">
        <f t="shared" si="171"/>
      </c>
      <c r="CI24" s="813">
        <f t="shared" si="171"/>
      </c>
      <c r="CJ24" s="813">
        <f t="shared" si="171"/>
      </c>
      <c r="CK24" s="2143">
        <f t="shared" si="171"/>
      </c>
      <c r="CL24" s="2152">
        <f t="shared" si="171"/>
      </c>
      <c r="CM24" s="2152">
        <f t="shared" si="171"/>
      </c>
      <c r="CN24" s="2152">
        <f t="shared" si="171"/>
      </c>
      <c r="CO24" s="2155">
        <f t="shared" si="171"/>
      </c>
      <c r="CP24" s="2152">
        <f t="shared" si="171"/>
      </c>
      <c r="CQ24" s="2152">
        <f t="shared" si="171"/>
      </c>
      <c r="CR24" s="2152">
        <f t="shared" si="171"/>
      </c>
      <c r="CS24" s="2155">
        <f t="shared" si="171"/>
      </c>
      <c r="CT24" s="2152">
        <f t="shared" si="171"/>
      </c>
      <c r="CU24" s="2152">
        <f t="shared" si="171"/>
      </c>
      <c r="CV24" s="2152">
        <f t="shared" si="171"/>
      </c>
      <c r="CW24" s="2155">
        <f t="shared" si="171"/>
      </c>
      <c r="CX24" s="2152">
        <f t="shared" si="171"/>
      </c>
      <c r="CY24" s="2152">
        <f t="shared" si="171"/>
      </c>
      <c r="CZ24" s="2152">
        <f t="shared" ref="CZ24:EE24" si="172">CZ11-CV11</f>
      </c>
      <c r="DA24" s="2155">
        <f t="shared" si="172"/>
      </c>
      <c r="DB24" s="2152">
        <f t="shared" si="172"/>
      </c>
      <c r="DC24" s="2152">
        <f t="shared" si="172"/>
      </c>
      <c r="DD24" s="813">
        <f t="shared" si="172"/>
      </c>
      <c r="DE24" s="2143">
        <f t="shared" si="172"/>
      </c>
      <c r="DF24" s="2152">
        <f t="shared" si="172"/>
      </c>
      <c r="DG24" s="813">
        <f t="shared" si="172"/>
      </c>
      <c r="DH24" s="2152">
        <f t="shared" si="172"/>
      </c>
      <c r="DI24" s="2143">
        <f t="shared" si="172"/>
      </c>
      <c r="DJ24" s="813">
        <f t="shared" si="172"/>
      </c>
      <c r="DK24" s="2152">
        <f t="shared" si="172"/>
      </c>
      <c r="DL24" s="813">
        <f t="shared" si="172"/>
      </c>
      <c r="DM24" s="2143">
        <f t="shared" si="172"/>
      </c>
      <c r="DN24" s="2152">
        <f t="shared" si="172"/>
      </c>
      <c r="DO24" s="2152">
        <f t="shared" si="172"/>
      </c>
      <c r="DP24" s="813">
        <f t="shared" si="172"/>
      </c>
      <c r="DQ24" s="2143">
        <f t="shared" si="172"/>
      </c>
      <c r="DR24" s="813">
        <f t="shared" si="172"/>
      </c>
      <c r="DS24" s="813">
        <f t="shared" si="172"/>
      </c>
      <c r="DT24" s="813">
        <f t="shared" si="172"/>
      </c>
      <c r="DU24" s="2143">
        <f t="shared" si="172"/>
      </c>
      <c r="DV24" s="813">
        <f t="shared" si="172"/>
      </c>
      <c r="DW24" s="813">
        <f t="shared" si="172"/>
      </c>
      <c r="DX24" s="813">
        <f t="shared" si="172"/>
      </c>
      <c r="DY24" s="2143">
        <f t="shared" si="172"/>
      </c>
      <c r="DZ24" s="813">
        <f t="shared" si="172"/>
      </c>
      <c r="EA24" s="813">
        <f t="shared" si="172"/>
      </c>
      <c r="EB24" s="813">
        <f t="shared" si="172"/>
      </c>
      <c r="EC24" s="2143">
        <f t="shared" si="172"/>
      </c>
      <c r="ED24" s="813">
        <f t="shared" si="172"/>
      </c>
      <c r="EE24" s="813">
        <f t="shared" si="172"/>
      </c>
      <c r="EF24" s="813">
        <f t="shared" ref="EF24:EK24" si="173">EF11-EB11</f>
      </c>
      <c r="EG24" s="2143">
        <f t="shared" si="173"/>
      </c>
      <c r="EH24" s="813">
        <f t="shared" si="173"/>
      </c>
      <c r="EI24" s="813">
        <f t="shared" si="173"/>
      </c>
      <c r="EJ24" s="813">
        <f t="shared" si="173"/>
      </c>
      <c r="EK24" s="2143">
        <f t="shared" si="173"/>
      </c>
      <c r="EM24" s="1100"/>
      <c r="EN24" s="1100"/>
      <c r="EO24" s="1100"/>
      <c r="EP24" s="1100"/>
      <c r="EQ24" s="1100"/>
      <c r="ER24" s="1100"/>
      <c r="ES24" s="1100"/>
      <c r="ET24" s="1100"/>
      <c r="EU24" s="1100"/>
      <c r="EV24" s="1100"/>
      <c r="EW24" s="1100"/>
      <c r="EX24" s="1100"/>
      <c r="EY24" s="1100"/>
      <c r="EZ24" s="1100"/>
      <c r="FA24" s="1100"/>
      <c r="FB24" s="1100"/>
      <c r="FC24" s="1100"/>
      <c r="FD24" s="1100"/>
      <c r="FE24" s="1100"/>
      <c r="FF24" s="2151">
        <f>FF11-FE11</f>
      </c>
      <c r="FG24" s="2151">
        <f t="shared" ref="FG24:FQ24" si="174">FG11-FF11</f>
      </c>
      <c r="FH24" s="2151">
        <f t="shared" si="174"/>
      </c>
      <c r="FI24" s="2158">
        <f t="shared" si="174"/>
      </c>
      <c r="FJ24" s="2158">
        <f t="shared" si="174"/>
      </c>
      <c r="FK24" s="2158">
        <f t="shared" si="174"/>
      </c>
      <c r="FL24" s="2158">
        <f t="shared" si="174"/>
      </c>
      <c r="FM24" s="2158">
        <f t="shared" si="174"/>
      </c>
      <c r="FN24" s="2151">
        <f t="shared" si="174"/>
      </c>
      <c r="FO24" s="2151">
        <f t="shared" si="174"/>
      </c>
      <c r="FP24" s="2151">
        <f t="shared" si="174"/>
      </c>
      <c r="FQ24" s="2151">
        <f t="shared" si="174"/>
      </c>
      <c r="FR24" s="2151">
        <f t="shared" ref="FR24:FU30" si="175">FR11-FQ11</f>
      </c>
      <c r="FS24" s="2151">
        <f t="shared" si="175"/>
      </c>
      <c r="FT24" s="2151">
        <f t="shared" si="175"/>
      </c>
      <c r="FU24" s="2151">
        <f t="shared" si="175"/>
      </c>
      <c r="FV24" s="1100"/>
      <c r="FW24" s="1100"/>
      <c r="FX24" s="1100"/>
      <c r="FY24" s="1100"/>
      <c r="FZ24" s="1100"/>
      <c r="GA24" s="1100"/>
      <c r="GB24" s="1100"/>
      <c r="GC24" s="1100"/>
      <c r="GD24" s="1100"/>
      <c r="GE24" s="1100"/>
      <c r="GF24" s="1100"/>
      <c r="GG24" s="1100"/>
      <c r="GH24" s="1100"/>
      <c r="GI24" s="1100"/>
      <c r="GJ24" s="1100"/>
      <c r="GK24" s="1100"/>
      <c r="GL24" s="1100"/>
      <c r="GM24" s="1100"/>
      <c r="GN24" s="1100"/>
      <c r="GO24" s="1100"/>
      <c r="GP24" s="2151">
        <f>GP11-GO11</f>
      </c>
      <c r="GQ24" s="2151">
        <f t="shared" ref="GQ24:GZ24" si="176">GQ11-GP11</f>
      </c>
      <c r="GR24" s="2151">
        <f t="shared" si="176"/>
      </c>
      <c r="GS24" s="2151">
        <f t="shared" si="176"/>
      </c>
      <c r="GT24" s="2151">
        <f t="shared" si="176"/>
      </c>
      <c r="GU24" s="2151">
        <f t="shared" si="176"/>
      </c>
      <c r="GV24" s="2151">
        <f t="shared" si="176"/>
      </c>
      <c r="GW24" s="2151">
        <f t="shared" si="176"/>
      </c>
      <c r="GX24" s="2151">
        <f t="shared" si="176"/>
      </c>
      <c r="GY24" s="2151">
        <f t="shared" si="176"/>
      </c>
      <c r="GZ24" s="2151">
        <f t="shared" si="176"/>
      </c>
      <c r="HA24" s="2151">
        <f t="shared" ref="HA24:HD30" si="177">HA11-GZ11</f>
      </c>
      <c r="HB24" s="2151">
        <f t="shared" si="177"/>
      </c>
      <c r="HC24" s="2151">
        <f t="shared" si="177"/>
      </c>
      <c r="HD24" s="2151">
        <f t="shared" si="177"/>
      </c>
    </row>
    <row r="25" spans="1:212" s="141" customFormat="1" ht="10.199999999999999">
      <c r="A25" s="834" t="s">
        <v>1210</v>
      </c>
      <c r="B25" s="589"/>
      <c r="C25" s="589"/>
      <c r="D25" s="589"/>
      <c r="E25" s="590"/>
      <c r="F25" s="589"/>
      <c r="G25" s="589"/>
      <c r="H25" s="589"/>
      <c r="I25" s="590"/>
      <c r="J25" s="589"/>
      <c r="K25" s="589"/>
      <c r="L25" s="589"/>
      <c r="M25" s="590"/>
      <c r="N25" s="589"/>
      <c r="O25" s="589"/>
      <c r="P25" s="589"/>
      <c r="Q25" s="590"/>
      <c r="R25" s="589"/>
      <c r="S25" s="589"/>
      <c r="T25" s="589"/>
      <c r="U25" s="590"/>
      <c r="V25" s="589"/>
      <c r="W25" s="589"/>
      <c r="X25" s="589"/>
      <c r="Y25" s="590"/>
      <c r="Z25" s="589"/>
      <c r="AA25" s="589"/>
      <c r="AB25" s="589"/>
      <c r="AC25" s="590"/>
      <c r="AD25" s="589"/>
      <c r="AE25" s="589"/>
      <c r="AF25" s="589"/>
      <c r="AG25" s="590"/>
      <c r="AH25" s="589"/>
      <c r="AI25" s="589"/>
      <c r="AJ25" s="589"/>
      <c r="AK25" s="590"/>
      <c r="AL25" s="589"/>
      <c r="AM25" s="589"/>
      <c r="AN25" s="589"/>
      <c r="AO25" s="590"/>
      <c r="AP25" s="589"/>
      <c r="AQ25" s="589"/>
      <c r="AR25" s="589"/>
      <c r="AS25" s="590"/>
      <c r="AT25" s="589"/>
      <c r="AU25" s="589"/>
      <c r="AV25" s="589"/>
      <c r="AW25" s="590"/>
      <c r="AX25" s="589"/>
      <c r="AY25" s="589"/>
      <c r="AZ25" s="589"/>
      <c r="BA25" s="590"/>
      <c r="BB25" s="589"/>
      <c r="BC25" s="589"/>
      <c r="BD25" s="589"/>
      <c r="BE25" s="590"/>
      <c r="BF25" s="589"/>
      <c r="BG25" s="589"/>
      <c r="BH25" s="589"/>
      <c r="BI25" s="590"/>
      <c r="BJ25" s="589"/>
      <c r="BK25" s="589"/>
      <c r="BL25" s="589"/>
      <c r="BM25" s="590"/>
      <c r="BN25" s="589"/>
      <c r="BO25" s="589"/>
      <c r="BP25" s="589"/>
      <c r="BQ25" s="590"/>
      <c r="BR25" s="589"/>
      <c r="BS25" s="589"/>
      <c r="BT25" s="589"/>
      <c r="BU25" s="590"/>
      <c r="BV25" s="629"/>
      <c r="BW25" s="629"/>
      <c r="BX25" s="629"/>
      <c r="BY25" s="844"/>
      <c r="BZ25" s="1110"/>
      <c r="CA25" s="1110"/>
      <c r="CB25" s="1110"/>
      <c r="CC25" s="1111"/>
      <c r="CD25" s="1110"/>
      <c r="CE25" s="1110"/>
      <c r="CF25" s="1110"/>
      <c r="CG25" s="1111"/>
      <c r="CH25" s="813">
        <f t="shared" ref="CH25" si="178">CH12-CD12</f>
      </c>
      <c r="CI25" s="813">
        <f t="shared" ref="CI25" si="179">CI12-CE12</f>
      </c>
      <c r="CJ25" s="813">
        <f t="shared" ref="CJ25" si="180">CJ12-CF12</f>
      </c>
      <c r="CK25" s="778">
        <f t="shared" ref="CK25" si="181">CK12-CG12</f>
      </c>
      <c r="CL25" s="813">
        <f t="shared" ref="CL25:DQ25" si="182">CL12-CH12</f>
      </c>
      <c r="CM25" s="813">
        <f t="shared" si="182"/>
      </c>
      <c r="CN25" s="813">
        <f t="shared" si="182"/>
      </c>
      <c r="CO25" s="778">
        <f t="shared" si="182"/>
      </c>
      <c r="CP25" s="813">
        <f t="shared" si="182"/>
      </c>
      <c r="CQ25" s="813">
        <f t="shared" si="182"/>
      </c>
      <c r="CR25" s="813">
        <f t="shared" si="182"/>
      </c>
      <c r="CS25" s="778">
        <f t="shared" si="182"/>
      </c>
      <c r="CT25" s="813">
        <f t="shared" si="182"/>
      </c>
      <c r="CU25" s="2152">
        <f t="shared" si="182"/>
      </c>
      <c r="CV25" s="813">
        <f t="shared" si="182"/>
      </c>
      <c r="CW25" s="2156">
        <f t="shared" si="182"/>
      </c>
      <c r="CX25" s="2152">
        <f t="shared" si="182"/>
      </c>
      <c r="CY25" s="2152">
        <f t="shared" si="182"/>
      </c>
      <c r="CZ25" s="813">
        <f t="shared" si="182"/>
      </c>
      <c r="DA25" s="2156">
        <f t="shared" si="182"/>
      </c>
      <c r="DB25" s="2152">
        <f t="shared" si="182"/>
      </c>
      <c r="DC25" s="2152">
        <f t="shared" si="182"/>
      </c>
      <c r="DD25" s="2152">
        <f t="shared" si="182"/>
      </c>
      <c r="DE25" s="778">
        <f t="shared" si="182"/>
      </c>
      <c r="DF25" s="2152">
        <f t="shared" si="182"/>
      </c>
      <c r="DG25" s="2152">
        <f t="shared" si="182"/>
      </c>
      <c r="DH25" s="2152">
        <f t="shared" si="182"/>
      </c>
      <c r="DI25" s="778">
        <f t="shared" si="182"/>
      </c>
      <c r="DJ25" s="2152">
        <f t="shared" si="182"/>
      </c>
      <c r="DK25" s="2152">
        <f t="shared" si="182"/>
      </c>
      <c r="DL25" s="813">
        <f t="shared" si="182"/>
      </c>
      <c r="DM25" s="778">
        <f t="shared" si="182"/>
      </c>
      <c r="DN25" s="2152">
        <f t="shared" si="182"/>
      </c>
      <c r="DO25" s="2152">
        <f t="shared" si="182"/>
      </c>
      <c r="DP25" s="813">
        <f t="shared" si="182"/>
      </c>
      <c r="DQ25" s="778">
        <f t="shared" si="182"/>
      </c>
      <c r="DR25" s="813">
        <f t="shared" ref="DR25:EK25" si="183">DR12-DN12</f>
      </c>
      <c r="DS25" s="813">
        <f t="shared" si="183"/>
      </c>
      <c r="DT25" s="813">
        <f t="shared" si="183"/>
      </c>
      <c r="DU25" s="778">
        <f t="shared" si="183"/>
      </c>
      <c r="DV25" s="813">
        <f t="shared" si="183"/>
      </c>
      <c r="DW25" s="813">
        <f t="shared" si="183"/>
      </c>
      <c r="DX25" s="813">
        <f t="shared" si="183"/>
      </c>
      <c r="DY25" s="778">
        <f t="shared" si="183"/>
      </c>
      <c r="DZ25" s="813">
        <f t="shared" si="183"/>
      </c>
      <c r="EA25" s="813">
        <f t="shared" si="183"/>
      </c>
      <c r="EB25" s="813">
        <f t="shared" si="183"/>
      </c>
      <c r="EC25" s="778">
        <f t="shared" si="183"/>
      </c>
      <c r="ED25" s="813">
        <f t="shared" si="183"/>
      </c>
      <c r="EE25" s="813">
        <f t="shared" si="183"/>
      </c>
      <c r="EF25" s="813">
        <f t="shared" si="183"/>
      </c>
      <c r="EG25" s="778">
        <f t="shared" si="183"/>
      </c>
      <c r="EH25" s="813">
        <f t="shared" si="183"/>
      </c>
      <c r="EI25" s="813">
        <f t="shared" si="183"/>
      </c>
      <c r="EJ25" s="813">
        <f t="shared" si="183"/>
      </c>
      <c r="EK25" s="778">
        <f t="shared" si="183"/>
      </c>
      <c r="EM25" s="1110"/>
      <c r="EN25" s="1110"/>
      <c r="EO25" s="1110"/>
      <c r="EP25" s="1110"/>
      <c r="EQ25" s="1110"/>
      <c r="ER25" s="1110"/>
      <c r="ES25" s="1110"/>
      <c r="ET25" s="1110"/>
      <c r="EU25" s="1110"/>
      <c r="EV25" s="1110"/>
      <c r="EW25" s="1110"/>
      <c r="EX25" s="1110"/>
      <c r="EY25" s="1110"/>
      <c r="EZ25" s="1110"/>
      <c r="FA25" s="1110"/>
      <c r="FB25" s="1110"/>
      <c r="FC25" s="1110"/>
      <c r="FD25" s="1110"/>
      <c r="FE25" s="1110"/>
      <c r="FF25" s="1110"/>
      <c r="FG25" s="1110"/>
      <c r="FH25" s="2151">
        <f t="shared" ref="FH25:FQ25" si="184">FH12-FG12</f>
      </c>
      <c r="FI25" s="2151">
        <f t="shared" si="184"/>
      </c>
      <c r="FJ25" s="2151">
        <f t="shared" si="184"/>
      </c>
      <c r="FK25" s="2158">
        <f t="shared" si="184"/>
      </c>
      <c r="FL25" s="2158">
        <f t="shared" si="184"/>
      </c>
      <c r="FM25" s="2158">
        <f t="shared" si="184"/>
      </c>
      <c r="FN25" s="2151">
        <f t="shared" si="184"/>
      </c>
      <c r="FO25" s="2151">
        <f t="shared" si="184"/>
      </c>
      <c r="FP25" s="2151">
        <f t="shared" si="184"/>
      </c>
      <c r="FQ25" s="2151">
        <f t="shared" si="184"/>
      </c>
      <c r="FR25" s="2151">
        <f t="shared" si="175"/>
      </c>
      <c r="FS25" s="2151">
        <f t="shared" si="175"/>
      </c>
      <c r="FT25" s="2151">
        <f t="shared" si="175"/>
      </c>
      <c r="FU25" s="2151">
        <f t="shared" si="175"/>
      </c>
      <c r="FV25" s="1110"/>
      <c r="FW25" s="1110"/>
      <c r="FX25" s="1110"/>
      <c r="FY25" s="1110"/>
      <c r="FZ25" s="1110"/>
      <c r="GA25" s="1110"/>
      <c r="GB25" s="1110"/>
      <c r="GC25" s="1110"/>
      <c r="GD25" s="1110"/>
      <c r="GE25" s="1110"/>
      <c r="GF25" s="1110"/>
      <c r="GG25" s="1110"/>
      <c r="GH25" s="1110"/>
      <c r="GI25" s="1110"/>
      <c r="GJ25" s="1110"/>
      <c r="GK25" s="1110"/>
      <c r="GL25" s="1110"/>
      <c r="GM25" s="1110"/>
      <c r="GN25" s="1110"/>
      <c r="GO25" s="1110"/>
      <c r="GP25" s="2151"/>
      <c r="GQ25" s="2151">
        <f t="shared" ref="GQ25:GZ25" si="185">GQ12-GP12</f>
      </c>
      <c r="GR25" s="2151">
        <f t="shared" si="185"/>
      </c>
      <c r="GS25" s="2151">
        <f t="shared" si="185"/>
      </c>
      <c r="GT25" s="2151">
        <f t="shared" si="185"/>
      </c>
      <c r="GU25" s="2151">
        <f t="shared" si="185"/>
      </c>
      <c r="GV25" s="2151">
        <f t="shared" si="185"/>
      </c>
      <c r="GW25" s="2151">
        <f t="shared" si="185"/>
      </c>
      <c r="GX25" s="2151">
        <f t="shared" si="185"/>
      </c>
      <c r="GY25" s="2151">
        <f t="shared" si="185"/>
      </c>
      <c r="GZ25" s="2151">
        <f t="shared" si="185"/>
      </c>
      <c r="HA25" s="2151">
        <f t="shared" si="177"/>
      </c>
      <c r="HB25" s="2151">
        <f t="shared" si="177"/>
      </c>
      <c r="HC25" s="2151">
        <f t="shared" si="177"/>
      </c>
      <c r="HD25" s="2151">
        <f t="shared" si="177"/>
      </c>
    </row>
    <row r="26" spans="1:212" s="141" customFormat="1" ht="10.199999999999999">
      <c r="A26" s="834" t="s">
        <v>1230</v>
      </c>
      <c r="B26" s="589"/>
      <c r="C26" s="589"/>
      <c r="D26" s="589"/>
      <c r="E26" s="590"/>
      <c r="F26" s="589"/>
      <c r="G26" s="589"/>
      <c r="H26" s="589"/>
      <c r="I26" s="590"/>
      <c r="J26" s="589"/>
      <c r="K26" s="589"/>
      <c r="L26" s="589"/>
      <c r="M26" s="590"/>
      <c r="N26" s="589"/>
      <c r="O26" s="589"/>
      <c r="P26" s="589"/>
      <c r="Q26" s="590"/>
      <c r="R26" s="589"/>
      <c r="S26" s="589"/>
      <c r="T26" s="589"/>
      <c r="U26" s="590"/>
      <c r="V26" s="589"/>
      <c r="W26" s="589"/>
      <c r="X26" s="589"/>
      <c r="Y26" s="590"/>
      <c r="Z26" s="589"/>
      <c r="AA26" s="589"/>
      <c r="AB26" s="589"/>
      <c r="AC26" s="590"/>
      <c r="AD26" s="589"/>
      <c r="AE26" s="589"/>
      <c r="AF26" s="589"/>
      <c r="AG26" s="590"/>
      <c r="AH26" s="589"/>
      <c r="AI26" s="589"/>
      <c r="AJ26" s="589"/>
      <c r="AK26" s="590"/>
      <c r="AL26" s="589"/>
      <c r="AM26" s="589"/>
      <c r="AN26" s="589"/>
      <c r="AO26" s="590"/>
      <c r="AP26" s="589"/>
      <c r="AQ26" s="589"/>
      <c r="AR26" s="589"/>
      <c r="AS26" s="590"/>
      <c r="AT26" s="589"/>
      <c r="AU26" s="589"/>
      <c r="AV26" s="589"/>
      <c r="AW26" s="590"/>
      <c r="AX26" s="589"/>
      <c r="AY26" s="589"/>
      <c r="AZ26" s="589"/>
      <c r="BA26" s="590"/>
      <c r="BB26" s="589"/>
      <c r="BC26" s="589"/>
      <c r="BD26" s="589"/>
      <c r="BE26" s="590"/>
      <c r="BF26" s="589"/>
      <c r="BG26" s="589"/>
      <c r="BH26" s="589"/>
      <c r="BI26" s="590"/>
      <c r="BJ26" s="589"/>
      <c r="BK26" s="589"/>
      <c r="BL26" s="589"/>
      <c r="BM26" s="590"/>
      <c r="BN26" s="589"/>
      <c r="BO26" s="589"/>
      <c r="BP26" s="589"/>
      <c r="BQ26" s="590"/>
      <c r="BR26" s="589"/>
      <c r="BS26" s="589"/>
      <c r="BT26" s="589"/>
      <c r="BU26" s="590"/>
      <c r="BV26" s="629"/>
      <c r="BW26" s="629"/>
      <c r="BX26" s="629"/>
      <c r="BY26" s="844"/>
      <c r="BZ26" s="1110"/>
      <c r="CA26" s="1110"/>
      <c r="CB26" s="1110"/>
      <c r="CC26" s="1111"/>
      <c r="CD26" s="1110"/>
      <c r="CE26" s="1110"/>
      <c r="CF26" s="1110"/>
      <c r="CG26" s="1111"/>
      <c r="CH26" s="1110"/>
      <c r="CI26" s="1110"/>
      <c r="CJ26" s="1110"/>
      <c r="CK26" s="1111"/>
      <c r="CL26" s="813">
        <f t="shared" ref="CL26" si="186">CL13-CH13</f>
      </c>
      <c r="CM26" s="2152">
        <f t="shared" ref="CM26" si="187">CM13-CI13</f>
      </c>
      <c r="CN26" s="2152">
        <f t="shared" ref="CN26" si="188">CN13-CJ13</f>
      </c>
      <c r="CO26" s="2156">
        <f t="shared" ref="CO26" si="189">CO13-CK13</f>
      </c>
      <c r="CP26" s="2152">
        <f t="shared" ref="CP26:CY29" si="190">CP13-CL13</f>
      </c>
      <c r="CQ26" s="2152">
        <f t="shared" si="190"/>
      </c>
      <c r="CR26" s="2152">
        <f t="shared" si="190"/>
      </c>
      <c r="CS26" s="2156">
        <f t="shared" si="190"/>
      </c>
      <c r="CT26" s="2152">
        <f t="shared" si="190"/>
      </c>
      <c r="CU26" s="813">
        <f t="shared" si="190"/>
      </c>
      <c r="CV26" s="2152">
        <f t="shared" si="190"/>
      </c>
      <c r="CW26" s="778">
        <f t="shared" si="190"/>
      </c>
      <c r="CX26" s="813">
        <f t="shared" si="190"/>
      </c>
      <c r="CY26" s="813">
        <f t="shared" si="190"/>
      </c>
      <c r="CZ26" s="2152">
        <f t="shared" ref="CZ26:DI29" si="191">CZ13-CV13</f>
      </c>
      <c r="DA26" s="778">
        <f t="shared" si="191"/>
      </c>
      <c r="DB26" s="813">
        <f t="shared" si="191"/>
      </c>
      <c r="DC26" s="813">
        <f t="shared" si="191"/>
      </c>
      <c r="DD26" s="2152">
        <f t="shared" si="191"/>
      </c>
      <c r="DE26" s="778">
        <f t="shared" si="191"/>
      </c>
      <c r="DF26" s="813">
        <f t="shared" si="191"/>
      </c>
      <c r="DG26" s="813">
        <f t="shared" si="191"/>
      </c>
      <c r="DH26" s="813">
        <f t="shared" si="191"/>
      </c>
      <c r="DI26" s="778">
        <f t="shared" si="191"/>
      </c>
      <c r="DJ26" s="813">
        <f t="shared" ref="DJ26:DS29" si="192">DJ13-DF13</f>
      </c>
      <c r="DK26" s="813">
        <f t="shared" si="192"/>
      </c>
      <c r="DL26" s="813">
        <f t="shared" si="192"/>
      </c>
      <c r="DM26" s="778">
        <f t="shared" si="192"/>
      </c>
      <c r="DN26" s="813">
        <f t="shared" si="192"/>
      </c>
      <c r="DO26" s="813">
        <f t="shared" si="192"/>
      </c>
      <c r="DP26" s="813">
        <f t="shared" si="192"/>
      </c>
      <c r="DQ26" s="778">
        <f t="shared" si="192"/>
      </c>
      <c r="DR26" s="813">
        <f t="shared" si="192"/>
      </c>
      <c r="DS26" s="813">
        <f t="shared" si="192"/>
      </c>
      <c r="DT26" s="813">
        <f t="shared" ref="DT26:EC29" si="193">DT13-DP13</f>
      </c>
      <c r="DU26" s="778">
        <f t="shared" si="193"/>
      </c>
      <c r="DV26" s="813">
        <f t="shared" si="193"/>
      </c>
      <c r="DW26" s="813">
        <f t="shared" si="193"/>
      </c>
      <c r="DX26" s="813">
        <f t="shared" si="193"/>
      </c>
      <c r="DY26" s="778">
        <f t="shared" si="193"/>
      </c>
      <c r="DZ26" s="813">
        <f t="shared" si="193"/>
      </c>
      <c r="EA26" s="813">
        <f t="shared" si="193"/>
      </c>
      <c r="EB26" s="813">
        <f t="shared" si="193"/>
      </c>
      <c r="EC26" s="778">
        <f t="shared" si="193"/>
      </c>
      <c r="ED26" s="813">
        <f t="shared" ref="ED26:EK29" si="194">ED13-DZ13</f>
      </c>
      <c r="EE26" s="813">
        <f t="shared" si="194"/>
      </c>
      <c r="EF26" s="813">
        <f t="shared" si="194"/>
      </c>
      <c r="EG26" s="778">
        <f t="shared" si="194"/>
      </c>
      <c r="EH26" s="813">
        <f t="shared" si="194"/>
      </c>
      <c r="EI26" s="813">
        <f t="shared" si="194"/>
      </c>
      <c r="EJ26" s="813">
        <f t="shared" si="194"/>
      </c>
      <c r="EK26" s="778">
        <f t="shared" si="194"/>
      </c>
      <c r="EM26" s="1110"/>
      <c r="EN26" s="1110"/>
      <c r="EO26" s="1110"/>
      <c r="EP26" s="1110"/>
      <c r="EQ26" s="1110"/>
      <c r="ER26" s="1110"/>
      <c r="ES26" s="1110"/>
      <c r="ET26" s="1110"/>
      <c r="EU26" s="1110"/>
      <c r="EV26" s="1110"/>
      <c r="EW26" s="1110"/>
      <c r="EX26" s="1110"/>
      <c r="EY26" s="1110"/>
      <c r="EZ26" s="1110"/>
      <c r="FA26" s="1110"/>
      <c r="FB26" s="1110"/>
      <c r="FC26" s="1110"/>
      <c r="FD26" s="1110"/>
      <c r="FE26" s="1110"/>
      <c r="FF26" s="1110"/>
      <c r="FG26" s="1110"/>
      <c r="FH26" s="2151">
        <f t="shared" ref="FH26:FQ26" si="195">FH13-FG13</f>
      </c>
      <c r="FI26" s="2158">
        <f t="shared" si="195"/>
      </c>
      <c r="FJ26" s="2158">
        <f t="shared" si="195"/>
      </c>
      <c r="FK26" s="2151">
        <f t="shared" si="195"/>
      </c>
      <c r="FL26" s="2151">
        <f t="shared" si="195"/>
      </c>
      <c r="FM26" s="2151">
        <f t="shared" si="195"/>
      </c>
      <c r="FN26" s="2151">
        <f t="shared" si="195"/>
      </c>
      <c r="FO26" s="2151">
        <f t="shared" si="195"/>
      </c>
      <c r="FP26" s="2151">
        <f t="shared" si="195"/>
      </c>
      <c r="FQ26" s="2151">
        <f t="shared" si="195"/>
      </c>
      <c r="FR26" s="2151">
        <f t="shared" si="175"/>
      </c>
      <c r="FS26" s="2151">
        <f t="shared" si="175"/>
      </c>
      <c r="FT26" s="2151">
        <f t="shared" si="175"/>
      </c>
      <c r="FU26" s="2151">
        <f t="shared" si="175"/>
      </c>
      <c r="FV26" s="1110"/>
      <c r="FW26" s="1110"/>
      <c r="FX26" s="1110"/>
      <c r="FY26" s="1110"/>
      <c r="FZ26" s="1110"/>
      <c r="GA26" s="1110"/>
      <c r="GB26" s="1110"/>
      <c r="GC26" s="1110"/>
      <c r="GD26" s="1110"/>
      <c r="GE26" s="1110"/>
      <c r="GF26" s="1110"/>
      <c r="GG26" s="1110"/>
      <c r="GH26" s="1110"/>
      <c r="GI26" s="1110"/>
      <c r="GJ26" s="1110"/>
      <c r="GK26" s="1110"/>
      <c r="GL26" s="1110"/>
      <c r="GM26" s="1110"/>
      <c r="GN26" s="1110"/>
      <c r="GO26" s="1110"/>
      <c r="GP26" s="1110"/>
      <c r="GQ26" s="2151">
        <f t="shared" ref="GQ26:GZ26" si="196">GQ13-GP13</f>
      </c>
      <c r="GR26" s="2151">
        <f t="shared" si="196"/>
      </c>
      <c r="GS26" s="2151">
        <f t="shared" si="196"/>
      </c>
      <c r="GT26" s="2151">
        <f t="shared" si="196"/>
      </c>
      <c r="GU26" s="2151">
        <f t="shared" si="196"/>
      </c>
      <c r="GV26" s="2151">
        <f t="shared" si="196"/>
      </c>
      <c r="GW26" s="2151">
        <f t="shared" si="196"/>
      </c>
      <c r="GX26" s="2151">
        <f t="shared" si="196"/>
      </c>
      <c r="GY26" s="2151">
        <f t="shared" si="196"/>
      </c>
      <c r="GZ26" s="2151">
        <f t="shared" si="196"/>
      </c>
      <c r="HA26" s="2151">
        <f t="shared" si="177"/>
      </c>
      <c r="HB26" s="2151">
        <f t="shared" si="177"/>
      </c>
      <c r="HC26" s="2151">
        <f t="shared" si="177"/>
      </c>
      <c r="HD26" s="2151">
        <f t="shared" si="177"/>
      </c>
    </row>
    <row r="27" spans="1:212" s="141" customFormat="1" ht="10.199999999999999">
      <c r="A27" s="834" t="s">
        <v>1233</v>
      </c>
      <c r="B27" s="589"/>
      <c r="C27" s="589"/>
      <c r="D27" s="589"/>
      <c r="E27" s="590"/>
      <c r="F27" s="589"/>
      <c r="G27" s="589"/>
      <c r="H27" s="589"/>
      <c r="I27" s="590"/>
      <c r="J27" s="589"/>
      <c r="K27" s="589"/>
      <c r="L27" s="589"/>
      <c r="M27" s="590"/>
      <c r="N27" s="589"/>
      <c r="O27" s="589"/>
      <c r="P27" s="589"/>
      <c r="Q27" s="590"/>
      <c r="R27" s="589"/>
      <c r="S27" s="589"/>
      <c r="T27" s="589"/>
      <c r="U27" s="590"/>
      <c r="V27" s="589"/>
      <c r="W27" s="589"/>
      <c r="X27" s="589"/>
      <c r="Y27" s="590"/>
      <c r="Z27" s="589"/>
      <c r="AA27" s="589"/>
      <c r="AB27" s="589"/>
      <c r="AC27" s="590"/>
      <c r="AD27" s="589"/>
      <c r="AE27" s="589"/>
      <c r="AF27" s="589"/>
      <c r="AG27" s="590"/>
      <c r="AH27" s="589"/>
      <c r="AI27" s="589"/>
      <c r="AJ27" s="589"/>
      <c r="AK27" s="590"/>
      <c r="AL27" s="589"/>
      <c r="AM27" s="589"/>
      <c r="AN27" s="589"/>
      <c r="AO27" s="590"/>
      <c r="AP27" s="589"/>
      <c r="AQ27" s="589"/>
      <c r="AR27" s="589"/>
      <c r="AS27" s="590"/>
      <c r="AT27" s="589"/>
      <c r="AU27" s="589"/>
      <c r="AV27" s="589"/>
      <c r="AW27" s="590"/>
      <c r="AX27" s="589"/>
      <c r="AY27" s="589"/>
      <c r="AZ27" s="589"/>
      <c r="BA27" s="590"/>
      <c r="BB27" s="589"/>
      <c r="BC27" s="589"/>
      <c r="BD27" s="589"/>
      <c r="BE27" s="590"/>
      <c r="BF27" s="589"/>
      <c r="BG27" s="589"/>
      <c r="BH27" s="589"/>
      <c r="BI27" s="590"/>
      <c r="BJ27" s="589"/>
      <c r="BK27" s="589"/>
      <c r="BL27" s="589"/>
      <c r="BM27" s="590"/>
      <c r="BN27" s="589"/>
      <c r="BO27" s="589"/>
      <c r="BP27" s="589"/>
      <c r="BQ27" s="590"/>
      <c r="BR27" s="589"/>
      <c r="BS27" s="589"/>
      <c r="BT27" s="589"/>
      <c r="BU27" s="590"/>
      <c r="BV27" s="629"/>
      <c r="BW27" s="629"/>
      <c r="BX27" s="629"/>
      <c r="BY27" s="844"/>
      <c r="BZ27" s="1110"/>
      <c r="CA27" s="1110"/>
      <c r="CB27" s="1110"/>
      <c r="CC27" s="1111"/>
      <c r="CD27" s="1110"/>
      <c r="CE27" s="1110"/>
      <c r="CF27" s="1110"/>
      <c r="CG27" s="778">
        <f t="shared" ref="CG27:CO28" si="197">CG14-CC14</f>
      </c>
      <c r="CH27" s="813">
        <f t="shared" si="197"/>
      </c>
      <c r="CI27" s="813">
        <f t="shared" si="197"/>
      </c>
      <c r="CJ27" s="813">
        <f t="shared" si="197"/>
      </c>
      <c r="CK27" s="778">
        <f t="shared" si="197"/>
      </c>
      <c r="CL27" s="813">
        <f t="shared" si="197"/>
      </c>
      <c r="CM27" s="813">
        <f t="shared" si="197"/>
      </c>
      <c r="CN27" s="813">
        <f t="shared" si="197"/>
      </c>
      <c r="CO27" s="778">
        <f t="shared" si="197"/>
      </c>
      <c r="CP27" s="813">
        <f t="shared" si="190"/>
      </c>
      <c r="CQ27" s="813">
        <f t="shared" si="190"/>
      </c>
      <c r="CR27" s="813">
        <f t="shared" si="190"/>
      </c>
      <c r="CS27" s="778">
        <f t="shared" si="190"/>
      </c>
      <c r="CT27" s="813">
        <f t="shared" si="190"/>
      </c>
      <c r="CU27" s="813">
        <f t="shared" si="190"/>
      </c>
      <c r="CV27" s="2152">
        <f t="shared" si="190"/>
      </c>
      <c r="CW27" s="778">
        <f t="shared" si="190"/>
      </c>
      <c r="CX27" s="813">
        <f t="shared" si="190"/>
      </c>
      <c r="CY27" s="813">
        <f t="shared" si="190"/>
      </c>
      <c r="CZ27" s="813">
        <f t="shared" si="191"/>
      </c>
      <c r="DA27" s="778">
        <f t="shared" si="191"/>
      </c>
      <c r="DB27" s="813">
        <f t="shared" si="191"/>
      </c>
      <c r="DC27" s="813">
        <f t="shared" si="191"/>
      </c>
      <c r="DD27" s="813">
        <f t="shared" si="191"/>
      </c>
      <c r="DE27" s="778">
        <f t="shared" si="191"/>
      </c>
      <c r="DF27" s="2152">
        <f t="shared" si="191"/>
      </c>
      <c r="DG27" s="2152">
        <f t="shared" si="191"/>
      </c>
      <c r="DH27" s="813">
        <f t="shared" si="191"/>
      </c>
      <c r="DI27" s="778">
        <f t="shared" si="191"/>
      </c>
      <c r="DJ27" s="2152">
        <f t="shared" si="192"/>
      </c>
      <c r="DK27" s="813">
        <f t="shared" si="192"/>
      </c>
      <c r="DL27" s="813">
        <f t="shared" si="192"/>
      </c>
      <c r="DM27" s="778">
        <f t="shared" si="192"/>
      </c>
      <c r="DN27" s="813">
        <f t="shared" si="192"/>
      </c>
      <c r="DO27" s="813">
        <f t="shared" si="192"/>
      </c>
      <c r="DP27" s="813">
        <f t="shared" si="192"/>
      </c>
      <c r="DQ27" s="778">
        <f t="shared" si="192"/>
      </c>
      <c r="DR27" s="813">
        <f t="shared" si="192"/>
      </c>
      <c r="DS27" s="813">
        <f t="shared" si="192"/>
      </c>
      <c r="DT27" s="813">
        <f t="shared" si="193"/>
      </c>
      <c r="DU27" s="778">
        <f t="shared" si="193"/>
      </c>
      <c r="DV27" s="813">
        <f t="shared" si="193"/>
      </c>
      <c r="DW27" s="813">
        <f t="shared" si="193"/>
      </c>
      <c r="DX27" s="813">
        <f t="shared" si="193"/>
      </c>
      <c r="DY27" s="778">
        <f t="shared" si="193"/>
      </c>
      <c r="DZ27" s="813">
        <f t="shared" si="193"/>
      </c>
      <c r="EA27" s="813">
        <f t="shared" si="193"/>
      </c>
      <c r="EB27" s="813">
        <f t="shared" si="193"/>
      </c>
      <c r="EC27" s="778">
        <f t="shared" si="193"/>
      </c>
      <c r="ED27" s="813">
        <f t="shared" si="194"/>
      </c>
      <c r="EE27" s="813">
        <f t="shared" si="194"/>
      </c>
      <c r="EF27" s="813">
        <f t="shared" si="194"/>
      </c>
      <c r="EG27" s="778">
        <f t="shared" si="194"/>
      </c>
      <c r="EH27" s="813">
        <f t="shared" si="194"/>
      </c>
      <c r="EI27" s="813">
        <f t="shared" si="194"/>
      </c>
      <c r="EJ27" s="813">
        <f t="shared" si="194"/>
      </c>
      <c r="EK27" s="778">
        <f t="shared" si="194"/>
      </c>
      <c r="EM27" s="1110"/>
      <c r="EN27" s="1110"/>
      <c r="EO27" s="1110"/>
      <c r="EP27" s="1110"/>
      <c r="EQ27" s="1110"/>
      <c r="ER27" s="1110"/>
      <c r="ES27" s="1110"/>
      <c r="ET27" s="1110"/>
      <c r="EU27" s="1110"/>
      <c r="EV27" s="1110"/>
      <c r="EW27" s="1110"/>
      <c r="EX27" s="1110"/>
      <c r="EY27" s="1110"/>
      <c r="EZ27" s="1110"/>
      <c r="FA27" s="1110"/>
      <c r="FB27" s="1110"/>
      <c r="FC27" s="1110"/>
      <c r="FD27" s="1110"/>
      <c r="FE27" s="1110"/>
      <c r="FF27" s="1110"/>
      <c r="FG27" s="2151">
        <f t="shared" ref="FG27:FQ27" si="198">FG14-FF14</f>
      </c>
      <c r="FH27" s="2151">
        <f t="shared" si="198"/>
      </c>
      <c r="FI27" s="2151">
        <f t="shared" si="198"/>
      </c>
      <c r="FJ27" s="2151">
        <f t="shared" si="198"/>
      </c>
      <c r="FK27" s="2151">
        <f t="shared" si="198"/>
      </c>
      <c r="FL27" s="2151">
        <f t="shared" si="198"/>
      </c>
      <c r="FM27" s="2151">
        <f t="shared" si="198"/>
      </c>
      <c r="FN27" s="2151">
        <f t="shared" si="198"/>
      </c>
      <c r="FO27" s="2151">
        <f t="shared" si="198"/>
      </c>
      <c r="FP27" s="2151">
        <f t="shared" si="198"/>
      </c>
      <c r="FQ27" s="2151">
        <f t="shared" si="198"/>
      </c>
      <c r="FR27" s="2151">
        <f t="shared" si="175"/>
      </c>
      <c r="FS27" s="2151">
        <f t="shared" si="175"/>
      </c>
      <c r="FT27" s="2151">
        <f t="shared" si="175"/>
      </c>
      <c r="FU27" s="2151">
        <f t="shared" si="175"/>
      </c>
      <c r="FV27" s="1110"/>
      <c r="FW27" s="1110"/>
      <c r="FX27" s="1110"/>
      <c r="FY27" s="1110"/>
      <c r="FZ27" s="1110"/>
      <c r="GA27" s="1110"/>
      <c r="GB27" s="1110"/>
      <c r="GC27" s="1110"/>
      <c r="GD27" s="1110"/>
      <c r="GE27" s="1110"/>
      <c r="GF27" s="1110"/>
      <c r="GG27" s="1110"/>
      <c r="GH27" s="1110"/>
      <c r="GI27" s="1110"/>
      <c r="GJ27" s="1110"/>
      <c r="GK27" s="1110"/>
      <c r="GL27" s="1110"/>
      <c r="GM27" s="1110"/>
      <c r="GN27" s="1110"/>
      <c r="GO27" s="1110"/>
      <c r="GP27" s="1110"/>
      <c r="GQ27" s="2151">
        <f t="shared" ref="GQ27:GZ27" si="199">GQ14-GP14</f>
      </c>
      <c r="GR27" s="2151">
        <f t="shared" si="199"/>
      </c>
      <c r="GS27" s="2151">
        <f t="shared" si="199"/>
      </c>
      <c r="GT27" s="2151">
        <f t="shared" si="199"/>
      </c>
      <c r="GU27" s="2151">
        <f t="shared" si="199"/>
      </c>
      <c r="GV27" s="2151">
        <f t="shared" si="199"/>
      </c>
      <c r="GW27" s="2151">
        <f t="shared" si="199"/>
      </c>
      <c r="GX27" s="2151">
        <f t="shared" si="199"/>
      </c>
      <c r="GY27" s="2151">
        <f t="shared" si="199"/>
      </c>
      <c r="GZ27" s="2151">
        <f t="shared" si="199"/>
      </c>
      <c r="HA27" s="2151">
        <f t="shared" si="177"/>
      </c>
      <c r="HB27" s="2151">
        <f t="shared" si="177"/>
      </c>
      <c r="HC27" s="2151">
        <f t="shared" si="177"/>
      </c>
      <c r="HD27" s="2151">
        <f t="shared" si="177"/>
      </c>
    </row>
    <row r="28" spans="1:212" s="141" customFormat="1" ht="10.199999999999999">
      <c r="A28" s="834" t="s">
        <v>1212</v>
      </c>
      <c r="B28" s="589"/>
      <c r="C28" s="589"/>
      <c r="D28" s="589"/>
      <c r="E28" s="590"/>
      <c r="F28" s="589"/>
      <c r="G28" s="589"/>
      <c r="H28" s="589"/>
      <c r="I28" s="590"/>
      <c r="J28" s="589"/>
      <c r="K28" s="589"/>
      <c r="L28" s="589"/>
      <c r="M28" s="590"/>
      <c r="N28" s="589"/>
      <c r="O28" s="589"/>
      <c r="P28" s="589"/>
      <c r="Q28" s="590"/>
      <c r="R28" s="589"/>
      <c r="S28" s="589"/>
      <c r="T28" s="589"/>
      <c r="U28" s="590"/>
      <c r="V28" s="589"/>
      <c r="W28" s="589"/>
      <c r="X28" s="589"/>
      <c r="Y28" s="590"/>
      <c r="Z28" s="589"/>
      <c r="AA28" s="589"/>
      <c r="AB28" s="589"/>
      <c r="AC28" s="590"/>
      <c r="AD28" s="589"/>
      <c r="AE28" s="589"/>
      <c r="AF28" s="589"/>
      <c r="AG28" s="590"/>
      <c r="AH28" s="589"/>
      <c r="AI28" s="589"/>
      <c r="AJ28" s="589"/>
      <c r="AK28" s="590"/>
      <c r="AL28" s="589"/>
      <c r="AM28" s="589"/>
      <c r="AN28" s="589"/>
      <c r="AO28" s="590"/>
      <c r="AP28" s="589"/>
      <c r="AQ28" s="589"/>
      <c r="AR28" s="589"/>
      <c r="AS28" s="590"/>
      <c r="AT28" s="589"/>
      <c r="AU28" s="589"/>
      <c r="AV28" s="589"/>
      <c r="AW28" s="590"/>
      <c r="AX28" s="589"/>
      <c r="AY28" s="589"/>
      <c r="AZ28" s="589"/>
      <c r="BA28" s="590"/>
      <c r="BB28" s="589"/>
      <c r="BC28" s="589"/>
      <c r="BD28" s="589"/>
      <c r="BE28" s="590"/>
      <c r="BF28" s="589"/>
      <c r="BG28" s="589"/>
      <c r="BH28" s="589"/>
      <c r="BI28" s="590"/>
      <c r="BJ28" s="589"/>
      <c r="BK28" s="589"/>
      <c r="BL28" s="589"/>
      <c r="BM28" s="590"/>
      <c r="BN28" s="589"/>
      <c r="BO28" s="589"/>
      <c r="BP28" s="589"/>
      <c r="BQ28" s="590"/>
      <c r="BR28" s="589"/>
      <c r="BS28" s="589"/>
      <c r="BT28" s="589"/>
      <c r="BU28" s="590"/>
      <c r="BV28" s="629"/>
      <c r="BW28" s="629"/>
      <c r="BX28" s="629"/>
      <c r="BY28" s="844"/>
      <c r="BZ28" s="813">
        <f t="shared" ref="BZ28" si="200">BZ15-BV15</f>
      </c>
      <c r="CA28" s="813">
        <f t="shared" ref="CA28" si="201">CA15-BW15</f>
      </c>
      <c r="CB28" s="813">
        <f t="shared" ref="CB28" si="202">CB15-BX15</f>
      </c>
      <c r="CC28" s="778">
        <f t="shared" ref="CC28" si="203">CC15-BY15</f>
      </c>
      <c r="CD28" s="813">
        <f t="shared" ref="CD28" si="204">CD15-BZ15</f>
      </c>
      <c r="CE28" s="813">
        <f t="shared" ref="CE28" si="205">CE15-CA15</f>
      </c>
      <c r="CF28" s="813">
        <f t="shared" ref="CF28" si="206">CF15-CB15</f>
      </c>
      <c r="CG28" s="778">
        <f t="shared" si="197"/>
      </c>
      <c r="CH28" s="813">
        <f t="shared" si="197"/>
      </c>
      <c r="CI28" s="813">
        <f t="shared" si="197"/>
      </c>
      <c r="CJ28" s="813">
        <f t="shared" si="197"/>
      </c>
      <c r="CK28" s="778">
        <f t="shared" si="197"/>
      </c>
      <c r="CL28" s="813">
        <f t="shared" si="197"/>
      </c>
      <c r="CM28" s="813">
        <f t="shared" si="197"/>
      </c>
      <c r="CN28" s="813">
        <f t="shared" si="197"/>
      </c>
      <c r="CO28" s="778">
        <f t="shared" si="197"/>
      </c>
      <c r="CP28" s="813">
        <f t="shared" si="190"/>
      </c>
      <c r="CQ28" s="813">
        <f t="shared" si="190"/>
      </c>
      <c r="CR28" s="813">
        <f t="shared" si="190"/>
      </c>
      <c r="CS28" s="778">
        <f t="shared" si="190"/>
      </c>
      <c r="CT28" s="813">
        <f t="shared" si="190"/>
      </c>
      <c r="CU28" s="813">
        <f t="shared" si="190"/>
      </c>
      <c r="CV28" s="813">
        <f t="shared" si="190"/>
      </c>
      <c r="CW28" s="778">
        <f t="shared" si="190"/>
      </c>
      <c r="CX28" s="813">
        <f t="shared" si="190"/>
      </c>
      <c r="CY28" s="813">
        <f t="shared" si="190"/>
      </c>
      <c r="CZ28" s="813">
        <f t="shared" si="191"/>
      </c>
      <c r="DA28" s="778">
        <f t="shared" si="191"/>
      </c>
      <c r="DB28" s="813">
        <f t="shared" si="191"/>
      </c>
      <c r="DC28" s="813">
        <f t="shared" si="191"/>
      </c>
      <c r="DD28" s="813">
        <f t="shared" si="191"/>
      </c>
      <c r="DE28" s="778">
        <f t="shared" si="191"/>
      </c>
      <c r="DF28" s="813">
        <f t="shared" si="191"/>
      </c>
      <c r="DG28" s="813">
        <f t="shared" si="191"/>
      </c>
      <c r="DH28" s="813">
        <f t="shared" si="191"/>
      </c>
      <c r="DI28" s="778">
        <f t="shared" si="191"/>
      </c>
      <c r="DJ28" s="813">
        <f t="shared" si="192"/>
      </c>
      <c r="DK28" s="813">
        <f t="shared" si="192"/>
      </c>
      <c r="DL28" s="813">
        <f t="shared" si="192"/>
      </c>
      <c r="DM28" s="778">
        <f t="shared" si="192"/>
      </c>
      <c r="DN28" s="813">
        <f t="shared" si="192"/>
      </c>
      <c r="DO28" s="813">
        <f t="shared" si="192"/>
      </c>
      <c r="DP28" s="813">
        <f t="shared" si="192"/>
      </c>
      <c r="DQ28" s="778">
        <f t="shared" si="192"/>
      </c>
      <c r="DR28" s="813">
        <f t="shared" si="192"/>
      </c>
      <c r="DS28" s="813">
        <f t="shared" si="192"/>
      </c>
      <c r="DT28" s="813">
        <f t="shared" si="193"/>
      </c>
      <c r="DU28" s="778">
        <f t="shared" si="193"/>
      </c>
      <c r="DV28" s="813">
        <f t="shared" si="193"/>
      </c>
      <c r="DW28" s="813">
        <f t="shared" si="193"/>
      </c>
      <c r="DX28" s="813">
        <f t="shared" si="193"/>
      </c>
      <c r="DY28" s="778">
        <f t="shared" si="193"/>
      </c>
      <c r="DZ28" s="813">
        <f t="shared" si="193"/>
      </c>
      <c r="EA28" s="813">
        <f t="shared" si="193"/>
      </c>
      <c r="EB28" s="813">
        <f t="shared" si="193"/>
      </c>
      <c r="EC28" s="778">
        <f t="shared" si="193"/>
      </c>
      <c r="ED28" s="813">
        <f t="shared" si="194"/>
      </c>
      <c r="EE28" s="813">
        <f t="shared" si="194"/>
      </c>
      <c r="EF28" s="813">
        <f t="shared" si="194"/>
      </c>
      <c r="EG28" s="778">
        <f t="shared" si="194"/>
      </c>
      <c r="EH28" s="813">
        <f t="shared" si="194"/>
      </c>
      <c r="EI28" s="813">
        <f t="shared" si="194"/>
      </c>
      <c r="EJ28" s="813">
        <f t="shared" si="194"/>
      </c>
      <c r="EK28" s="778">
        <f t="shared" si="194"/>
      </c>
      <c r="EM28" s="1110"/>
      <c r="EN28" s="1110"/>
      <c r="EO28" s="1110"/>
      <c r="EP28" s="1110"/>
      <c r="EQ28" s="1110"/>
      <c r="ER28" s="1110"/>
      <c r="ES28" s="1110"/>
      <c r="ET28" s="1110"/>
      <c r="EU28" s="1110"/>
      <c r="EV28" s="1110"/>
      <c r="EW28" s="1110"/>
      <c r="EX28" s="1110"/>
      <c r="EY28" s="1110"/>
      <c r="EZ28" s="1110"/>
      <c r="FA28" s="1110"/>
      <c r="FB28" s="1110"/>
      <c r="FC28" s="1110"/>
      <c r="FD28" s="1110"/>
      <c r="FE28" s="1110"/>
      <c r="FF28" s="2151">
        <f>FF15-FE15</f>
      </c>
      <c r="FG28" s="2151">
        <f>FG15-FF15</f>
      </c>
      <c r="FH28" s="2151">
        <f t="shared" ref="FH28:FQ28" si="207">FH15-FG15</f>
      </c>
      <c r="FI28" s="2151">
        <f t="shared" si="207"/>
      </c>
      <c r="FJ28" s="2151">
        <f t="shared" si="207"/>
      </c>
      <c r="FK28" s="2151">
        <f t="shared" si="207"/>
      </c>
      <c r="FL28" s="2151">
        <f t="shared" si="207"/>
      </c>
      <c r="FM28" s="2151">
        <f t="shared" si="207"/>
      </c>
      <c r="FN28" s="2151">
        <f t="shared" si="207"/>
      </c>
      <c r="FO28" s="2151">
        <f t="shared" si="207"/>
      </c>
      <c r="FP28" s="2151">
        <f t="shared" si="207"/>
      </c>
      <c r="FQ28" s="2151">
        <f t="shared" si="207"/>
      </c>
      <c r="FR28" s="2151">
        <f t="shared" si="175"/>
      </c>
      <c r="FS28" s="2151">
        <f t="shared" si="175"/>
      </c>
      <c r="FT28" s="2151">
        <f t="shared" si="175"/>
      </c>
      <c r="FU28" s="2151">
        <f t="shared" si="175"/>
      </c>
      <c r="FV28" s="1110"/>
      <c r="FW28" s="1110"/>
      <c r="FX28" s="1110"/>
      <c r="FY28" s="1110"/>
      <c r="FZ28" s="1110"/>
      <c r="GA28" s="1110"/>
      <c r="GB28" s="1110"/>
      <c r="GC28" s="1110"/>
      <c r="GD28" s="1110"/>
      <c r="GE28" s="1110"/>
      <c r="GF28" s="1110"/>
      <c r="GG28" s="1110"/>
      <c r="GH28" s="1110"/>
      <c r="GI28" s="1110"/>
      <c r="GJ28" s="1110"/>
      <c r="GK28" s="1110"/>
      <c r="GL28" s="1110"/>
      <c r="GM28" s="1110"/>
      <c r="GN28" s="1110"/>
      <c r="GO28" s="1110"/>
      <c r="GP28" s="2151">
        <f t="shared" ref="GP28:GZ28" si="208">GP15-GO15</f>
      </c>
      <c r="GQ28" s="2151">
        <f t="shared" si="208"/>
      </c>
      <c r="GR28" s="2151">
        <f t="shared" si="208"/>
      </c>
      <c r="GS28" s="2151">
        <f t="shared" si="208"/>
      </c>
      <c r="GT28" s="2151">
        <f t="shared" si="208"/>
      </c>
      <c r="GU28" s="2151">
        <f t="shared" si="208"/>
      </c>
      <c r="GV28" s="2151">
        <f t="shared" si="208"/>
      </c>
      <c r="GW28" s="2151">
        <f t="shared" si="208"/>
      </c>
      <c r="GX28" s="2151">
        <f t="shared" si="208"/>
      </c>
      <c r="GY28" s="2151">
        <f t="shared" si="208"/>
      </c>
      <c r="GZ28" s="2151">
        <f t="shared" si="208"/>
      </c>
      <c r="HA28" s="2151">
        <f t="shared" si="177"/>
      </c>
      <c r="HB28" s="2151">
        <f t="shared" si="177"/>
      </c>
      <c r="HC28" s="2151">
        <f t="shared" si="177"/>
      </c>
      <c r="HD28" s="2151">
        <f t="shared" si="177"/>
      </c>
    </row>
    <row r="29" spans="1:212" s="141" customFormat="1" ht="10.199999999999999">
      <c r="A29" s="834" t="s">
        <v>1231</v>
      </c>
      <c r="B29" s="589"/>
      <c r="C29" s="589"/>
      <c r="D29" s="589"/>
      <c r="E29" s="590"/>
      <c r="F29" s="589"/>
      <c r="G29" s="589"/>
      <c r="H29" s="589"/>
      <c r="I29" s="590"/>
      <c r="J29" s="589"/>
      <c r="K29" s="589"/>
      <c r="L29" s="589"/>
      <c r="M29" s="590"/>
      <c r="N29" s="589"/>
      <c r="O29" s="589"/>
      <c r="P29" s="589"/>
      <c r="Q29" s="590"/>
      <c r="R29" s="589"/>
      <c r="S29" s="589"/>
      <c r="T29" s="589"/>
      <c r="U29" s="590"/>
      <c r="V29" s="589"/>
      <c r="W29" s="589"/>
      <c r="X29" s="589"/>
      <c r="Y29" s="590"/>
      <c r="Z29" s="589"/>
      <c r="AA29" s="589"/>
      <c r="AB29" s="589"/>
      <c r="AC29" s="590"/>
      <c r="AD29" s="589"/>
      <c r="AE29" s="589"/>
      <c r="AF29" s="589"/>
      <c r="AG29" s="590"/>
      <c r="AH29" s="589"/>
      <c r="AI29" s="589"/>
      <c r="AJ29" s="589"/>
      <c r="AK29" s="590"/>
      <c r="AL29" s="589"/>
      <c r="AM29" s="589"/>
      <c r="AN29" s="589"/>
      <c r="AO29" s="590"/>
      <c r="AP29" s="589"/>
      <c r="AQ29" s="589"/>
      <c r="AR29" s="589"/>
      <c r="AS29" s="590"/>
      <c r="AT29" s="589"/>
      <c r="AU29" s="589"/>
      <c r="AV29" s="589"/>
      <c r="AW29" s="590"/>
      <c r="AX29" s="589"/>
      <c r="AY29" s="589"/>
      <c r="AZ29" s="589"/>
      <c r="BA29" s="590"/>
      <c r="BB29" s="589"/>
      <c r="BC29" s="589"/>
      <c r="BD29" s="589"/>
      <c r="BE29" s="590"/>
      <c r="BF29" s="589"/>
      <c r="BG29" s="589"/>
      <c r="BH29" s="589"/>
      <c r="BI29" s="590"/>
      <c r="BJ29" s="589"/>
      <c r="BK29" s="589"/>
      <c r="BL29" s="589"/>
      <c r="BM29" s="590"/>
      <c r="BN29" s="589"/>
      <c r="BO29" s="589"/>
      <c r="BP29" s="589"/>
      <c r="BQ29" s="590"/>
      <c r="BR29" s="589"/>
      <c r="BS29" s="589"/>
      <c r="BT29" s="589"/>
      <c r="BU29" s="590"/>
      <c r="BV29" s="629"/>
      <c r="BW29" s="629"/>
      <c r="BX29" s="629"/>
      <c r="BY29" s="844"/>
      <c r="BZ29" s="1110"/>
      <c r="CA29" s="1110"/>
      <c r="CB29" s="1110"/>
      <c r="CC29" s="1111"/>
      <c r="CD29" s="1110"/>
      <c r="CE29" s="1110"/>
      <c r="CF29" s="1110"/>
      <c r="CG29" s="778"/>
      <c r="CH29" s="813">
        <f>CH16-CD16</f>
      </c>
      <c r="CI29" s="813">
        <f t="shared" ref="CI29" si="209">CI16-CE16</f>
      </c>
      <c r="CJ29" s="813">
        <f t="shared" ref="CJ29:CO29" si="210">CJ16-CF16</f>
      </c>
      <c r="CK29" s="778">
        <f t="shared" si="210"/>
      </c>
      <c r="CL29" s="813">
        <f t="shared" si="210"/>
      </c>
      <c r="CM29" s="813">
        <f t="shared" si="210"/>
      </c>
      <c r="CN29" s="813">
        <f t="shared" si="210"/>
      </c>
      <c r="CO29" s="778">
        <f t="shared" si="210"/>
      </c>
      <c r="CP29" s="813">
        <f t="shared" si="190"/>
      </c>
      <c r="CQ29" s="813">
        <f t="shared" si="190"/>
      </c>
      <c r="CR29" s="813">
        <f t="shared" si="190"/>
      </c>
      <c r="CS29" s="778">
        <f t="shared" si="190"/>
      </c>
      <c r="CT29" s="813">
        <f t="shared" si="190"/>
      </c>
      <c r="CU29" s="813">
        <f t="shared" si="190"/>
      </c>
      <c r="CV29" s="2152">
        <f t="shared" si="190"/>
      </c>
      <c r="CW29" s="2156">
        <f t="shared" si="190"/>
      </c>
      <c r="CX29" s="2152">
        <f t="shared" si="190"/>
      </c>
      <c r="CY29" s="2152">
        <f t="shared" si="190"/>
      </c>
      <c r="CZ29" s="2152">
        <f t="shared" si="191"/>
      </c>
      <c r="DA29" s="2156">
        <f t="shared" si="191"/>
      </c>
      <c r="DB29" s="2152">
        <f t="shared" si="191"/>
      </c>
      <c r="DC29" s="2152">
        <f t="shared" si="191"/>
      </c>
      <c r="DD29" s="2152">
        <f t="shared" si="191"/>
      </c>
      <c r="DE29" s="778">
        <f t="shared" si="191"/>
      </c>
      <c r="DF29" s="813">
        <f t="shared" si="191"/>
      </c>
      <c r="DG29" s="813">
        <f t="shared" si="191"/>
      </c>
      <c r="DH29" s="813">
        <f t="shared" si="191"/>
      </c>
      <c r="DI29" s="778">
        <f t="shared" si="191"/>
      </c>
      <c r="DJ29" s="813">
        <f t="shared" si="192"/>
      </c>
      <c r="DK29" s="2152">
        <f t="shared" si="192"/>
      </c>
      <c r="DL29" s="813">
        <f t="shared" si="192"/>
      </c>
      <c r="DM29" s="778">
        <f t="shared" si="192"/>
      </c>
      <c r="DN29" s="2152">
        <f t="shared" si="192"/>
      </c>
      <c r="DO29" s="2152">
        <f t="shared" si="192"/>
      </c>
      <c r="DP29" s="813">
        <f t="shared" si="192"/>
      </c>
      <c r="DQ29" s="778">
        <f t="shared" si="192"/>
      </c>
      <c r="DR29" s="813">
        <f t="shared" si="192"/>
      </c>
      <c r="DS29" s="813">
        <f t="shared" si="192"/>
      </c>
      <c r="DT29" s="813">
        <f t="shared" si="193"/>
      </c>
      <c r="DU29" s="778">
        <f t="shared" si="193"/>
      </c>
      <c r="DV29" s="813">
        <f t="shared" si="193"/>
      </c>
      <c r="DW29" s="813">
        <f t="shared" si="193"/>
      </c>
      <c r="DX29" s="813">
        <f t="shared" si="193"/>
      </c>
      <c r="DY29" s="778">
        <f t="shared" si="193"/>
      </c>
      <c r="DZ29" s="813">
        <f t="shared" si="193"/>
      </c>
      <c r="EA29" s="813">
        <f t="shared" si="193"/>
      </c>
      <c r="EB29" s="813">
        <f t="shared" si="193"/>
      </c>
      <c r="EC29" s="778">
        <f t="shared" si="193"/>
      </c>
      <c r="ED29" s="813">
        <f t="shared" si="194"/>
      </c>
      <c r="EE29" s="813">
        <f t="shared" si="194"/>
      </c>
      <c r="EF29" s="813">
        <f t="shared" si="194"/>
      </c>
      <c r="EG29" s="778">
        <f t="shared" si="194"/>
      </c>
      <c r="EH29" s="813">
        <f t="shared" si="194"/>
      </c>
      <c r="EI29" s="813">
        <f t="shared" si="194"/>
      </c>
      <c r="EJ29" s="813">
        <f t="shared" si="194"/>
      </c>
      <c r="EK29" s="778">
        <f t="shared" si="194"/>
      </c>
      <c r="EM29" s="1110"/>
      <c r="EN29" s="1110"/>
      <c r="EO29" s="1110"/>
      <c r="EP29" s="1110"/>
      <c r="EQ29" s="1110"/>
      <c r="ER29" s="1110"/>
      <c r="ES29" s="1110"/>
      <c r="ET29" s="1110"/>
      <c r="EU29" s="1110"/>
      <c r="EV29" s="1110"/>
      <c r="EW29" s="1110"/>
      <c r="EX29" s="1110"/>
      <c r="EY29" s="1110"/>
      <c r="EZ29" s="1110"/>
      <c r="FA29" s="1110"/>
      <c r="FB29" s="1110"/>
      <c r="FC29" s="1110"/>
      <c r="FD29" s="1110"/>
      <c r="FE29" s="1110"/>
      <c r="FF29" s="1110"/>
      <c r="FG29" s="1110"/>
      <c r="FH29" s="2151">
        <f t="shared" ref="FH29:FQ29" si="211">FH16-FG16</f>
      </c>
      <c r="FI29" s="2151">
        <f t="shared" si="211"/>
      </c>
      <c r="FJ29" s="2151">
        <f t="shared" si="211"/>
      </c>
      <c r="FK29" s="2158">
        <f t="shared" si="211"/>
      </c>
      <c r="FL29" s="2158">
        <f t="shared" si="211"/>
      </c>
      <c r="FM29" s="2158">
        <f t="shared" si="211"/>
      </c>
      <c r="FN29" s="2151">
        <f t="shared" si="211"/>
      </c>
      <c r="FO29" s="2151">
        <f t="shared" si="211"/>
      </c>
      <c r="FP29" s="2151">
        <f t="shared" si="211"/>
      </c>
      <c r="FQ29" s="2151">
        <f t="shared" si="211"/>
      </c>
      <c r="FR29" s="2151">
        <f t="shared" si="175"/>
      </c>
      <c r="FS29" s="2151">
        <f t="shared" si="175"/>
      </c>
      <c r="FT29" s="2151">
        <f t="shared" si="175"/>
      </c>
      <c r="FU29" s="2151">
        <f t="shared" si="175"/>
      </c>
      <c r="FV29" s="1110"/>
      <c r="FW29" s="1110"/>
      <c r="FX29" s="1110"/>
      <c r="FY29" s="1110"/>
      <c r="FZ29" s="1110"/>
      <c r="GA29" s="1110"/>
      <c r="GB29" s="1110"/>
      <c r="GC29" s="1110"/>
      <c r="GD29" s="1110"/>
      <c r="GE29" s="1110"/>
      <c r="GF29" s="1110"/>
      <c r="GG29" s="1110"/>
      <c r="GH29" s="1110"/>
      <c r="GI29" s="1110"/>
      <c r="GJ29" s="1110"/>
      <c r="GK29" s="1110"/>
      <c r="GL29" s="1110"/>
      <c r="GM29" s="1110"/>
      <c r="GN29" s="1110"/>
      <c r="GO29" s="1110"/>
      <c r="GP29" s="2151"/>
      <c r="GQ29" s="2151">
        <f t="shared" ref="GQ29:GZ29" si="212">GQ16-GP16</f>
      </c>
      <c r="GR29" s="2151">
        <f t="shared" si="212"/>
      </c>
      <c r="GS29" s="2151">
        <f t="shared" si="212"/>
      </c>
      <c r="GT29" s="2151">
        <f t="shared" si="212"/>
      </c>
      <c r="GU29" s="2151">
        <f t="shared" si="212"/>
      </c>
      <c r="GV29" s="2151">
        <f t="shared" si="212"/>
      </c>
      <c r="GW29" s="2151">
        <f t="shared" si="212"/>
      </c>
      <c r="GX29" s="2151">
        <f t="shared" si="212"/>
      </c>
      <c r="GY29" s="2151">
        <f t="shared" si="212"/>
      </c>
      <c r="GZ29" s="2151">
        <f t="shared" si="212"/>
      </c>
      <c r="HA29" s="2151">
        <f t="shared" si="177"/>
      </c>
      <c r="HB29" s="2151">
        <f t="shared" si="177"/>
      </c>
      <c r="HC29" s="2151">
        <f t="shared" si="177"/>
      </c>
      <c r="HD29" s="2151">
        <f t="shared" si="177"/>
      </c>
    </row>
    <row r="30" spans="1:212" s="141" customFormat="1" ht="10.199999999999999">
      <c r="A30" s="834" t="str">
        <f>A17</f>
      </c>
      <c r="B30" s="589"/>
      <c r="C30" s="589"/>
      <c r="D30" s="589"/>
      <c r="E30" s="590"/>
      <c r="F30" s="589"/>
      <c r="G30" s="589"/>
      <c r="H30" s="589"/>
      <c r="I30" s="590"/>
      <c r="J30" s="589"/>
      <c r="K30" s="589"/>
      <c r="L30" s="589"/>
      <c r="M30" s="590"/>
      <c r="N30" s="589"/>
      <c r="O30" s="589"/>
      <c r="P30" s="589"/>
      <c r="Q30" s="590"/>
      <c r="R30" s="589"/>
      <c r="S30" s="589"/>
      <c r="T30" s="589"/>
      <c r="U30" s="590"/>
      <c r="V30" s="589"/>
      <c r="W30" s="589"/>
      <c r="X30" s="589"/>
      <c r="Y30" s="590"/>
      <c r="Z30" s="589"/>
      <c r="AA30" s="589"/>
      <c r="AB30" s="589"/>
      <c r="AC30" s="590"/>
      <c r="AD30" s="589"/>
      <c r="AE30" s="589"/>
      <c r="AF30" s="589"/>
      <c r="AG30" s="590"/>
      <c r="AH30" s="589"/>
      <c r="AI30" s="589"/>
      <c r="AJ30" s="589"/>
      <c r="AK30" s="590"/>
      <c r="AL30" s="589"/>
      <c r="AM30" s="589"/>
      <c r="AN30" s="589"/>
      <c r="AO30" s="590"/>
      <c r="AP30" s="589"/>
      <c r="AQ30" s="589"/>
      <c r="AR30" s="589"/>
      <c r="AS30" s="590"/>
      <c r="AT30" s="589"/>
      <c r="AU30" s="589"/>
      <c r="AV30" s="589"/>
      <c r="AW30" s="590"/>
      <c r="AX30" s="589"/>
      <c r="AY30" s="589"/>
      <c r="AZ30" s="589"/>
      <c r="BA30" s="590"/>
      <c r="BB30" s="589"/>
      <c r="BC30" s="589"/>
      <c r="BD30" s="589"/>
      <c r="BE30" s="590"/>
      <c r="BF30" s="589"/>
      <c r="BG30" s="589"/>
      <c r="BH30" s="589"/>
      <c r="BI30" s="590"/>
      <c r="BJ30" s="589"/>
      <c r="BK30" s="589"/>
      <c r="BL30" s="589"/>
      <c r="BM30" s="590"/>
      <c r="BN30" s="589"/>
      <c r="BO30" s="589"/>
      <c r="BP30" s="589"/>
      <c r="BQ30" s="590"/>
      <c r="BR30" s="589"/>
      <c r="BS30" s="589"/>
      <c r="BT30" s="589"/>
      <c r="BU30" s="590"/>
      <c r="BV30" s="629"/>
      <c r="BW30" s="629"/>
      <c r="BX30" s="629"/>
      <c r="BY30" s="844"/>
      <c r="BZ30" s="1110"/>
      <c r="CA30" s="1110"/>
      <c r="CB30" s="1110"/>
      <c r="CC30" s="1111"/>
      <c r="CD30" s="1110"/>
      <c r="CE30" s="1110"/>
      <c r="CF30" s="1110"/>
      <c r="CG30" s="778"/>
      <c r="CH30" s="1110"/>
      <c r="CI30" s="1110"/>
      <c r="CJ30" s="1110"/>
      <c r="CK30" s="1111"/>
      <c r="CL30" s="1110"/>
      <c r="CM30" s="1110"/>
      <c r="CN30" s="1110"/>
      <c r="CO30" s="1111"/>
      <c r="CP30" s="813">
        <f t="shared" ref="CP30:CP31" si="213">CP17-CL17</f>
      </c>
      <c r="CQ30" s="813">
        <f t="shared" ref="CQ30:CQ31" si="214">CQ17-CM17</f>
      </c>
      <c r="CR30" s="813">
        <f t="shared" ref="CR30:CR31" si="215">CR17-CN17</f>
      </c>
      <c r="CS30" s="778">
        <f t="shared" ref="CS30:DH31" si="216">CS17-CO17</f>
      </c>
      <c r="CT30" s="813">
        <f t="shared" ref="CT30:EK30" si="217">CT17-CP17</f>
      </c>
      <c r="CU30" s="813">
        <f t="shared" si="217"/>
      </c>
      <c r="CV30" s="813">
        <f t="shared" si="217"/>
      </c>
      <c r="CW30" s="778">
        <f t="shared" si="217"/>
      </c>
      <c r="CX30" s="813">
        <f t="shared" si="217"/>
      </c>
      <c r="CY30" s="813">
        <f t="shared" si="217"/>
      </c>
      <c r="CZ30" s="813">
        <f t="shared" si="217"/>
      </c>
      <c r="DA30" s="778">
        <f t="shared" si="217"/>
      </c>
      <c r="DB30" s="813">
        <f t="shared" si="217"/>
      </c>
      <c r="DC30" s="813">
        <f t="shared" si="217"/>
      </c>
      <c r="DD30" s="813">
        <f t="shared" si="217"/>
      </c>
      <c r="DE30" s="778">
        <f t="shared" si="217"/>
      </c>
      <c r="DF30" s="813">
        <f t="shared" si="217"/>
      </c>
      <c r="DG30" s="813">
        <f t="shared" si="217"/>
      </c>
      <c r="DH30" s="813">
        <f t="shared" si="217"/>
      </c>
      <c r="DI30" s="778">
        <f t="shared" si="217"/>
      </c>
      <c r="DJ30" s="813">
        <f t="shared" si="217"/>
      </c>
      <c r="DK30" s="813">
        <f t="shared" si="217"/>
      </c>
      <c r="DL30" s="813">
        <f t="shared" si="217"/>
      </c>
      <c r="DM30" s="778">
        <f t="shared" si="217"/>
      </c>
      <c r="DN30" s="813">
        <f t="shared" si="217"/>
      </c>
      <c r="DO30" s="813">
        <f t="shared" si="217"/>
      </c>
      <c r="DP30" s="813">
        <f t="shared" si="217"/>
      </c>
      <c r="DQ30" s="778">
        <f t="shared" si="217"/>
      </c>
      <c r="DR30" s="813">
        <f t="shared" si="217"/>
      </c>
      <c r="DS30" s="813">
        <f t="shared" si="217"/>
      </c>
      <c r="DT30" s="813">
        <f t="shared" si="217"/>
      </c>
      <c r="DU30" s="778">
        <f t="shared" si="217"/>
      </c>
      <c r="DV30" s="813">
        <f t="shared" si="217"/>
      </c>
      <c r="DW30" s="813">
        <f t="shared" si="217"/>
      </c>
      <c r="DX30" s="813">
        <f t="shared" si="217"/>
      </c>
      <c r="DY30" s="778">
        <f t="shared" si="217"/>
      </c>
      <c r="DZ30" s="813">
        <f t="shared" si="217"/>
      </c>
      <c r="EA30" s="813">
        <f t="shared" si="217"/>
      </c>
      <c r="EB30" s="813">
        <f t="shared" si="217"/>
      </c>
      <c r="EC30" s="778">
        <f t="shared" si="217"/>
      </c>
      <c r="ED30" s="813">
        <f t="shared" si="217"/>
      </c>
      <c r="EE30" s="813">
        <f t="shared" si="217"/>
      </c>
      <c r="EF30" s="813">
        <f t="shared" si="217"/>
      </c>
      <c r="EG30" s="778">
        <f t="shared" si="217"/>
      </c>
      <c r="EH30" s="813">
        <f t="shared" si="217"/>
      </c>
      <c r="EI30" s="813">
        <f t="shared" si="217"/>
      </c>
      <c r="EJ30" s="813">
        <f t="shared" si="217"/>
      </c>
      <c r="EK30" s="778">
        <f t="shared" si="217"/>
      </c>
      <c r="EM30" s="1110"/>
      <c r="EN30" s="1110"/>
      <c r="EO30" s="1110"/>
      <c r="EP30" s="1110"/>
      <c r="EQ30" s="1110"/>
      <c r="ER30" s="1110"/>
      <c r="ES30" s="1110"/>
      <c r="ET30" s="1110"/>
      <c r="EU30" s="1110"/>
      <c r="EV30" s="1110"/>
      <c r="EW30" s="1110"/>
      <c r="EX30" s="1110"/>
      <c r="EY30" s="1110"/>
      <c r="EZ30" s="1110"/>
      <c r="FA30" s="1110"/>
      <c r="FB30" s="1110"/>
      <c r="FC30" s="1110"/>
      <c r="FD30" s="1110"/>
      <c r="FE30" s="1110"/>
      <c r="FF30" s="1110"/>
      <c r="FG30" s="1110"/>
      <c r="FH30" s="1110"/>
      <c r="FI30" s="1110"/>
      <c r="FJ30" s="2151">
        <f t="shared" ref="FJ30:FQ30" si="218">FJ17-FI17</f>
      </c>
      <c r="FK30" s="2151">
        <f t="shared" si="218"/>
      </c>
      <c r="FL30" s="2151">
        <f t="shared" si="218"/>
      </c>
      <c r="FM30" s="2151">
        <f t="shared" si="218"/>
      </c>
      <c r="FN30" s="2151">
        <f t="shared" si="218"/>
      </c>
      <c r="FO30" s="2151">
        <f t="shared" si="218"/>
      </c>
      <c r="FP30" s="2151">
        <f t="shared" si="218"/>
      </c>
      <c r="FQ30" s="2151">
        <f t="shared" si="218"/>
      </c>
      <c r="FR30" s="2151">
        <f t="shared" si="175"/>
      </c>
      <c r="FS30" s="2151">
        <f t="shared" si="175"/>
      </c>
      <c r="FT30" s="2151">
        <f t="shared" si="175"/>
      </c>
      <c r="FU30" s="2151">
        <f t="shared" si="175"/>
      </c>
      <c r="FV30" s="1110"/>
      <c r="FW30" s="1110"/>
      <c r="FX30" s="1110"/>
      <c r="FY30" s="1110"/>
      <c r="FZ30" s="1110"/>
      <c r="GA30" s="1110"/>
      <c r="GB30" s="1110"/>
      <c r="GC30" s="1110"/>
      <c r="GD30" s="1110"/>
      <c r="GE30" s="1110"/>
      <c r="GF30" s="1110"/>
      <c r="GG30" s="1110"/>
      <c r="GH30" s="1110"/>
      <c r="GI30" s="1110"/>
      <c r="GJ30" s="1110"/>
      <c r="GK30" s="1110"/>
      <c r="GL30" s="1110"/>
      <c r="GM30" s="1110"/>
      <c r="GN30" s="1110"/>
      <c r="GO30" s="1110"/>
      <c r="GP30" s="1110"/>
      <c r="GQ30" s="1110"/>
      <c r="GR30" s="1110"/>
      <c r="GS30" s="2151">
        <f t="shared" ref="GS30:GZ30" si="219">GS17-GR17</f>
      </c>
      <c r="GT30" s="2151">
        <f t="shared" si="219"/>
      </c>
      <c r="GU30" s="2151">
        <f t="shared" si="219"/>
      </c>
      <c r="GV30" s="2151">
        <f t="shared" si="219"/>
      </c>
      <c r="GW30" s="2151">
        <f t="shared" si="219"/>
      </c>
      <c r="GX30" s="2151">
        <f t="shared" si="219"/>
      </c>
      <c r="GY30" s="2151">
        <f t="shared" si="219"/>
      </c>
      <c r="GZ30" s="2151">
        <f t="shared" si="219"/>
      </c>
      <c r="HA30" s="2151">
        <f t="shared" si="177"/>
      </c>
      <c r="HB30" s="2151">
        <f t="shared" si="177"/>
      </c>
      <c r="HC30" s="2151">
        <f t="shared" si="177"/>
      </c>
      <c r="HD30" s="2151">
        <f t="shared" si="177"/>
      </c>
    </row>
    <row r="31" spans="1:212" s="141" customFormat="1" ht="10.199999999999999">
      <c r="A31" s="834" t="str">
        <f>A18</f>
      </c>
      <c r="B31" s="589"/>
      <c r="C31" s="589"/>
      <c r="D31" s="589"/>
      <c r="E31" s="590"/>
      <c r="F31" s="589"/>
      <c r="G31" s="589"/>
      <c r="H31" s="589"/>
      <c r="I31" s="590"/>
      <c r="J31" s="589"/>
      <c r="K31" s="589"/>
      <c r="L31" s="589"/>
      <c r="M31" s="590"/>
      <c r="N31" s="589"/>
      <c r="O31" s="589"/>
      <c r="P31" s="589"/>
      <c r="Q31" s="590"/>
      <c r="R31" s="589"/>
      <c r="S31" s="589"/>
      <c r="T31" s="589"/>
      <c r="U31" s="590"/>
      <c r="V31" s="589"/>
      <c r="W31" s="589"/>
      <c r="X31" s="589"/>
      <c r="Y31" s="590"/>
      <c r="Z31" s="589"/>
      <c r="AA31" s="589"/>
      <c r="AB31" s="589"/>
      <c r="AC31" s="590"/>
      <c r="AD31" s="589"/>
      <c r="AE31" s="589"/>
      <c r="AF31" s="589"/>
      <c r="AG31" s="590"/>
      <c r="AH31" s="589"/>
      <c r="AI31" s="589"/>
      <c r="AJ31" s="589"/>
      <c r="AK31" s="590"/>
      <c r="AL31" s="589"/>
      <c r="AM31" s="589"/>
      <c r="AN31" s="589"/>
      <c r="AO31" s="590"/>
      <c r="AP31" s="589"/>
      <c r="AQ31" s="589"/>
      <c r="AR31" s="589"/>
      <c r="AS31" s="590"/>
      <c r="AT31" s="589"/>
      <c r="AU31" s="589"/>
      <c r="AV31" s="589"/>
      <c r="AW31" s="590"/>
      <c r="AX31" s="589"/>
      <c r="AY31" s="589"/>
      <c r="AZ31" s="589"/>
      <c r="BA31" s="590"/>
      <c r="BB31" s="589"/>
      <c r="BC31" s="589"/>
      <c r="BD31" s="589"/>
      <c r="BE31" s="590"/>
      <c r="BF31" s="589"/>
      <c r="BG31" s="589"/>
      <c r="BH31" s="589"/>
      <c r="BI31" s="590"/>
      <c r="BJ31" s="589"/>
      <c r="BK31" s="589"/>
      <c r="BL31" s="589"/>
      <c r="BM31" s="590"/>
      <c r="BN31" s="589"/>
      <c r="BO31" s="589"/>
      <c r="BP31" s="589"/>
      <c r="BQ31" s="590"/>
      <c r="BR31" s="589"/>
      <c r="BS31" s="589"/>
      <c r="BT31" s="589"/>
      <c r="BU31" s="590"/>
      <c r="BV31" s="629"/>
      <c r="BW31" s="629"/>
      <c r="BX31" s="629"/>
      <c r="BY31" s="844"/>
      <c r="BZ31" s="1110"/>
      <c r="CA31" s="1110"/>
      <c r="CB31" s="1110"/>
      <c r="CC31" s="1111"/>
      <c r="CD31" s="1110"/>
      <c r="CE31" s="1110"/>
      <c r="CF31" s="1110"/>
      <c r="CG31" s="778"/>
      <c r="CH31" s="1110"/>
      <c r="CI31" s="1110"/>
      <c r="CJ31" s="1110"/>
      <c r="CK31" s="1111"/>
      <c r="CL31" s="1110"/>
      <c r="CM31" s="1110"/>
      <c r="CN31" s="1110"/>
      <c r="CO31" s="1111"/>
      <c r="CP31" s="813">
        <f t="shared" si="213"/>
      </c>
      <c r="CQ31" s="813">
        <f t="shared" si="214"/>
      </c>
      <c r="CR31" s="813">
        <f t="shared" si="215"/>
      </c>
      <c r="CS31" s="778">
        <f t="shared" si="216"/>
      </c>
      <c r="CT31" s="813">
        <f t="shared" si="216"/>
      </c>
      <c r="CU31" s="813">
        <f t="shared" si="216"/>
      </c>
      <c r="CV31" s="813">
        <f t="shared" si="216"/>
      </c>
      <c r="CW31" s="778">
        <f t="shared" si="216"/>
      </c>
      <c r="CX31" s="813">
        <f t="shared" si="216"/>
      </c>
      <c r="CY31" s="813">
        <f t="shared" si="216"/>
      </c>
      <c r="CZ31" s="813">
        <f t="shared" si="216"/>
      </c>
      <c r="DA31" s="778">
        <f t="shared" si="216"/>
      </c>
      <c r="DB31" s="813">
        <f t="shared" si="216"/>
      </c>
      <c r="DC31" s="813">
        <f t="shared" si="216"/>
      </c>
      <c r="DD31" s="813">
        <f t="shared" si="216"/>
      </c>
      <c r="DE31" s="778">
        <f t="shared" si="216"/>
      </c>
      <c r="DF31" s="813">
        <f t="shared" si="216"/>
      </c>
      <c r="DG31" s="2152">
        <f t="shared" si="216"/>
      </c>
      <c r="DH31" s="2152">
        <f t="shared" si="216"/>
      </c>
      <c r="DI31" s="778">
        <f t="shared" ref="DI31:DQ31" si="220">DI18-DE18</f>
      </c>
      <c r="DJ31" s="2152">
        <f t="shared" si="220"/>
      </c>
      <c r="DK31" s="2152">
        <f t="shared" si="220"/>
      </c>
      <c r="DL31" s="813">
        <f t="shared" si="220"/>
      </c>
      <c r="DM31" s="778">
        <f t="shared" si="220"/>
      </c>
      <c r="DN31" s="2152">
        <f t="shared" si="220"/>
      </c>
      <c r="DO31" s="2152">
        <f t="shared" si="220"/>
      </c>
      <c r="DP31" s="813">
        <f t="shared" si="220"/>
      </c>
      <c r="DQ31" s="778">
        <f t="shared" si="220"/>
      </c>
      <c r="DR31" s="813"/>
      <c r="DS31" s="813"/>
      <c r="DT31" s="813"/>
      <c r="DU31" s="778"/>
      <c r="DV31" s="813"/>
      <c r="DW31" s="813"/>
      <c r="DX31" s="813"/>
      <c r="DY31" s="778"/>
      <c r="DZ31" s="813"/>
      <c r="EA31" s="813"/>
      <c r="EB31" s="813"/>
      <c r="EC31" s="778"/>
      <c r="ED31" s="813"/>
      <c r="EE31" s="813"/>
      <c r="EF31" s="813"/>
      <c r="EG31" s="778"/>
      <c r="EH31" s="813"/>
      <c r="EI31" s="813"/>
      <c r="EJ31" s="813"/>
      <c r="EK31" s="778"/>
      <c r="EM31" s="1110"/>
      <c r="EN31" s="1110"/>
      <c r="EO31" s="1110"/>
      <c r="EP31" s="1110"/>
      <c r="EQ31" s="1110"/>
      <c r="ER31" s="1110"/>
      <c r="ES31" s="1110"/>
      <c r="ET31" s="1110"/>
      <c r="EU31" s="1110"/>
      <c r="EV31" s="1110"/>
      <c r="EW31" s="1110"/>
      <c r="EX31" s="1110"/>
      <c r="EY31" s="1110"/>
      <c r="EZ31" s="1110"/>
      <c r="FA31" s="1110"/>
      <c r="FB31" s="1110"/>
      <c r="FC31" s="1110"/>
      <c r="FD31" s="1110"/>
      <c r="FE31" s="1110"/>
      <c r="FF31" s="1110"/>
      <c r="FG31" s="1110"/>
      <c r="FH31" s="1110"/>
      <c r="FI31" s="1110">
        <f t="shared" ref="FI31:FU31" si="221">FI18-FH18</f>
      </c>
      <c r="FJ31" s="2151">
        <f t="shared" si="221"/>
      </c>
      <c r="FK31" s="2151">
        <f t="shared" si="221"/>
      </c>
      <c r="FL31" s="2151">
        <f t="shared" si="221"/>
      </c>
      <c r="FM31" s="2151">
        <f t="shared" si="221"/>
      </c>
      <c r="FN31" s="2151">
        <f t="shared" si="221"/>
      </c>
      <c r="FO31" s="2151">
        <f t="shared" si="221"/>
      </c>
      <c r="FP31" s="2151">
        <f t="shared" si="221"/>
      </c>
      <c r="FQ31" s="2151">
        <f t="shared" si="221"/>
      </c>
      <c r="FR31" s="2151">
        <f t="shared" si="221"/>
      </c>
      <c r="FS31" s="2151">
        <f t="shared" si="221"/>
      </c>
      <c r="FT31" s="2151">
        <f t="shared" si="221"/>
      </c>
      <c r="FU31" s="2151">
        <f t="shared" si="221"/>
      </c>
      <c r="FV31" s="1110"/>
      <c r="FW31" s="1110"/>
      <c r="FX31" s="1110"/>
      <c r="FY31" s="1110"/>
      <c r="FZ31" s="1110"/>
      <c r="GA31" s="1110"/>
      <c r="GB31" s="1110"/>
      <c r="GC31" s="1110"/>
      <c r="GD31" s="1110"/>
      <c r="GE31" s="1110"/>
      <c r="GF31" s="1110"/>
      <c r="GG31" s="1110"/>
      <c r="GH31" s="1110"/>
      <c r="GI31" s="1110"/>
      <c r="GJ31" s="1110"/>
      <c r="GK31" s="1110"/>
      <c r="GL31" s="1110"/>
      <c r="GM31" s="1110"/>
      <c r="GN31" s="1110"/>
      <c r="GO31" s="1110"/>
      <c r="GP31" s="1110"/>
      <c r="GQ31" s="1110"/>
      <c r="GR31" s="1110"/>
      <c r="GS31" s="2151">
        <f t="shared" ref="GS31:HD31" si="222">GS18-GR18</f>
      </c>
      <c r="GT31" s="2151">
        <f t="shared" si="222"/>
      </c>
      <c r="GU31" s="2151">
        <f t="shared" si="222"/>
      </c>
      <c r="GV31" s="2151">
        <f t="shared" si="222"/>
      </c>
      <c r="GW31" s="2151">
        <f t="shared" si="222"/>
      </c>
      <c r="GX31" s="2151">
        <f t="shared" si="222"/>
      </c>
      <c r="GY31" s="2151">
        <f t="shared" si="222"/>
      </c>
      <c r="GZ31" s="2151">
        <f t="shared" si="222"/>
      </c>
      <c r="HA31" s="2151">
        <f t="shared" si="222"/>
      </c>
      <c r="HB31" s="2151">
        <f t="shared" si="222"/>
      </c>
      <c r="HC31" s="2151">
        <f t="shared" si="222"/>
      </c>
      <c r="HD31" s="2151">
        <f t="shared" si="222"/>
      </c>
    </row>
    <row r="32" spans="1:212" s="141" customFormat="1" ht="10.199999999999999">
      <c r="A32" s="834" t="s">
        <v>1240</v>
      </c>
      <c r="B32" s="589"/>
      <c r="C32" s="589"/>
      <c r="D32" s="589"/>
      <c r="E32" s="590"/>
      <c r="F32" s="589"/>
      <c r="G32" s="589"/>
      <c r="H32" s="589"/>
      <c r="I32" s="590"/>
      <c r="J32" s="589"/>
      <c r="K32" s="589"/>
      <c r="L32" s="589"/>
      <c r="M32" s="590"/>
      <c r="N32" s="589"/>
      <c r="O32" s="589"/>
      <c r="P32" s="589"/>
      <c r="Q32" s="590"/>
      <c r="R32" s="589"/>
      <c r="S32" s="589"/>
      <c r="T32" s="589"/>
      <c r="U32" s="590"/>
      <c r="V32" s="589"/>
      <c r="W32" s="589"/>
      <c r="X32" s="589"/>
      <c r="Y32" s="590"/>
      <c r="Z32" s="589"/>
      <c r="AA32" s="589"/>
      <c r="AB32" s="589"/>
      <c r="AC32" s="590"/>
      <c r="AD32" s="589"/>
      <c r="AE32" s="589"/>
      <c r="AF32" s="589"/>
      <c r="AG32" s="590"/>
      <c r="AH32" s="589"/>
      <c r="AI32" s="589"/>
      <c r="AJ32" s="589"/>
      <c r="AK32" s="590"/>
      <c r="AL32" s="589"/>
      <c r="AM32" s="589"/>
      <c r="AN32" s="589"/>
      <c r="AO32" s="590"/>
      <c r="AP32" s="589"/>
      <c r="AQ32" s="589"/>
      <c r="AR32" s="589"/>
      <c r="AS32" s="590"/>
      <c r="AT32" s="589"/>
      <c r="AU32" s="589"/>
      <c r="AV32" s="589"/>
      <c r="AW32" s="590"/>
      <c r="AX32" s="589"/>
      <c r="AY32" s="589"/>
      <c r="AZ32" s="589"/>
      <c r="BA32" s="590"/>
      <c r="BB32" s="589"/>
      <c r="BC32" s="589"/>
      <c r="BD32" s="589"/>
      <c r="BE32" s="590"/>
      <c r="BF32" s="589"/>
      <c r="BG32" s="589"/>
      <c r="BH32" s="589"/>
      <c r="BI32" s="590"/>
      <c r="BJ32" s="589"/>
      <c r="BK32" s="589"/>
      <c r="BL32" s="589"/>
      <c r="BM32" s="590"/>
      <c r="BN32" s="589"/>
      <c r="BO32" s="589"/>
      <c r="BP32" s="589"/>
      <c r="BQ32" s="590"/>
      <c r="BR32" s="589"/>
      <c r="BS32" s="589"/>
      <c r="BT32" s="589"/>
      <c r="BU32" s="590"/>
      <c r="BV32" s="1112"/>
      <c r="BW32" s="629"/>
      <c r="BX32" s="629"/>
      <c r="BY32" s="844"/>
      <c r="BZ32" s="1113"/>
      <c r="CA32" s="1110"/>
      <c r="CB32" s="1110"/>
      <c r="CC32" s="1111"/>
      <c r="CD32" s="813">
        <f t="shared" ref="CD32" si="223">CD19-BZ19</f>
      </c>
      <c r="CE32" s="1110"/>
      <c r="CF32" s="1110"/>
      <c r="CG32" s="778"/>
      <c r="CH32" s="813">
        <f t="shared" ref="CH32" si="224">CH19-CD19</f>
      </c>
      <c r="CI32" s="1110"/>
      <c r="CJ32" s="1110"/>
      <c r="CK32" s="778">
        <f t="shared" ref="CK32" si="225">CK19-CG19</f>
      </c>
      <c r="CL32" s="1113"/>
      <c r="CM32" s="1110"/>
      <c r="CN32" s="813">
        <f t="shared" ref="CN32:CO32" si="226">CN19-CJ19</f>
      </c>
      <c r="CO32" s="778">
        <f t="shared" si="226"/>
      </c>
      <c r="CP32" s="1110"/>
      <c r="CQ32" s="1110"/>
      <c r="CR32" s="813">
        <f>CR19-CN19</f>
      </c>
      <c r="CS32" s="1111"/>
      <c r="CT32" s="1110"/>
      <c r="CU32" s="1110"/>
      <c r="CV32" s="813"/>
      <c r="CW32" s="1111"/>
      <c r="CX32" s="1110"/>
      <c r="CY32" s="1110"/>
      <c r="CZ32" s="813"/>
      <c r="DA32" s="1111"/>
      <c r="DB32" s="1110"/>
      <c r="DC32" s="1110"/>
      <c r="DD32" s="813"/>
      <c r="DE32" s="1111"/>
      <c r="DF32" s="1110"/>
      <c r="DG32" s="1110"/>
      <c r="DH32" s="813"/>
      <c r="DI32" s="1111"/>
      <c r="DJ32" s="1110"/>
      <c r="DK32" s="1110"/>
      <c r="DL32" s="813"/>
      <c r="DM32" s="1111"/>
      <c r="DN32" s="1110"/>
      <c r="DO32" s="1110"/>
      <c r="DP32" s="813"/>
      <c r="DQ32" s="1111"/>
      <c r="DR32" s="1110"/>
      <c r="DS32" s="1110"/>
      <c r="DT32" s="813"/>
      <c r="DU32" s="1111"/>
      <c r="DV32" s="1110"/>
      <c r="DW32" s="1110"/>
      <c r="DX32" s="813"/>
      <c r="DY32" s="1111"/>
      <c r="DZ32" s="1110"/>
      <c r="EA32" s="1110"/>
      <c r="EB32" s="813"/>
      <c r="EC32" s="1111"/>
      <c r="ED32" s="1110"/>
      <c r="EE32" s="1110"/>
      <c r="EF32" s="813"/>
      <c r="EG32" s="1111"/>
      <c r="EH32" s="1110"/>
      <c r="EI32" s="1110"/>
      <c r="EJ32" s="813"/>
      <c r="EK32" s="1111"/>
      <c r="EM32" s="1110"/>
      <c r="EN32" s="1110"/>
      <c r="EO32" s="1110"/>
      <c r="EP32" s="1110"/>
      <c r="EQ32" s="1110"/>
      <c r="ER32" s="1110"/>
      <c r="ES32" s="1110"/>
      <c r="ET32" s="1110"/>
      <c r="EU32" s="1110"/>
      <c r="EV32" s="1110"/>
      <c r="EW32" s="1110"/>
      <c r="EX32" s="1110"/>
      <c r="EY32" s="1110"/>
      <c r="EZ32" s="1110"/>
      <c r="FA32" s="1110"/>
      <c r="FB32" s="1110"/>
      <c r="FC32" s="1110"/>
      <c r="FD32" s="1110"/>
      <c r="FE32" s="1110"/>
      <c r="FF32" s="1110"/>
      <c r="FG32" s="1110"/>
      <c r="FH32" s="2151">
        <f t="shared" ref="FH32:FJ32" si="227">FH19-FG19</f>
      </c>
      <c r="FI32" s="2151">
        <f t="shared" si="227"/>
      </c>
      <c r="FJ32" s="2151">
        <f t="shared" si="227"/>
      </c>
      <c r="FK32" s="1110"/>
      <c r="FL32" s="1110"/>
      <c r="FM32" s="1110"/>
      <c r="FN32" s="1110"/>
      <c r="FO32" s="1110"/>
      <c r="FP32" s="1110"/>
      <c r="FQ32" s="1110"/>
      <c r="FR32" s="1110"/>
      <c r="FS32" s="1110"/>
      <c r="FT32" s="1110"/>
      <c r="FU32" s="1110"/>
      <c r="FV32" s="1110"/>
      <c r="FW32" s="1110"/>
      <c r="FX32" s="1110"/>
      <c r="FY32" s="1110"/>
      <c r="FZ32" s="1110"/>
      <c r="GA32" s="1110"/>
      <c r="GB32" s="1110"/>
      <c r="GC32" s="1110"/>
      <c r="GD32" s="1110"/>
      <c r="GE32" s="1110"/>
      <c r="GF32" s="1110"/>
      <c r="GG32" s="1110"/>
      <c r="GH32" s="1110"/>
      <c r="GI32" s="1110"/>
      <c r="GJ32" s="1110"/>
      <c r="GK32" s="1110"/>
      <c r="GL32" s="1110"/>
      <c r="GM32" s="1110"/>
      <c r="GN32" s="1110"/>
      <c r="GO32" s="1110"/>
      <c r="GP32" s="1110"/>
      <c r="GQ32" s="2151">
        <f t="shared" ref="GQ32:GT32" si="228">GQ19-GP19</f>
      </c>
      <c r="GR32" s="2151">
        <f t="shared" si="228"/>
      </c>
      <c r="GS32" s="2151">
        <f t="shared" si="228"/>
      </c>
      <c r="GT32" s="2151">
        <f t="shared" si="228"/>
      </c>
      <c r="GU32" s="1110"/>
      <c r="GV32" s="1110"/>
      <c r="GW32" s="1110"/>
      <c r="GX32" s="1110"/>
      <c r="GY32" s="1110"/>
      <c r="GZ32" s="1110"/>
      <c r="HA32" s="1110"/>
      <c r="HB32" s="1110"/>
      <c r="HC32" s="1110"/>
      <c r="HD32" s="1110"/>
    </row>
    <row r="33" spans="1:212" s="141" customFormat="1" ht="10.199999999999999">
      <c r="A33" s="880" t="str">
        <f>A20</f>
      </c>
      <c r="B33" s="589"/>
      <c r="C33" s="589"/>
      <c r="D33" s="589"/>
      <c r="E33" s="590"/>
      <c r="F33" s="589"/>
      <c r="G33" s="589"/>
      <c r="H33" s="589"/>
      <c r="I33" s="590"/>
      <c r="J33" s="589"/>
      <c r="K33" s="589"/>
      <c r="L33" s="589"/>
      <c r="M33" s="590"/>
      <c r="N33" s="589"/>
      <c r="O33" s="589"/>
      <c r="P33" s="589"/>
      <c r="Q33" s="590"/>
      <c r="R33" s="589"/>
      <c r="S33" s="589"/>
      <c r="T33" s="589"/>
      <c r="U33" s="590"/>
      <c r="V33" s="589"/>
      <c r="W33" s="589"/>
      <c r="X33" s="589"/>
      <c r="Y33" s="590"/>
      <c r="Z33" s="589"/>
      <c r="AA33" s="589"/>
      <c r="AB33" s="589"/>
      <c r="AC33" s="590"/>
      <c r="AD33" s="589"/>
      <c r="AE33" s="589"/>
      <c r="AF33" s="589"/>
      <c r="AG33" s="590"/>
      <c r="AH33" s="589"/>
      <c r="AI33" s="589"/>
      <c r="AJ33" s="589"/>
      <c r="AK33" s="590"/>
      <c r="AL33" s="589"/>
      <c r="AM33" s="589"/>
      <c r="AN33" s="589"/>
      <c r="AO33" s="590"/>
      <c r="AP33" s="589"/>
      <c r="AQ33" s="589"/>
      <c r="AR33" s="589"/>
      <c r="AS33" s="590"/>
      <c r="AT33" s="589"/>
      <c r="AU33" s="589"/>
      <c r="AV33" s="589"/>
      <c r="AW33" s="590"/>
      <c r="AX33" s="589"/>
      <c r="AY33" s="589"/>
      <c r="AZ33" s="589"/>
      <c r="BA33" s="590"/>
      <c r="BB33" s="589"/>
      <c r="BC33" s="589"/>
      <c r="BD33" s="589"/>
      <c r="BE33" s="590"/>
      <c r="BF33" s="589"/>
      <c r="BG33" s="589"/>
      <c r="BH33" s="589"/>
      <c r="BI33" s="590"/>
      <c r="BJ33" s="589"/>
      <c r="BK33" s="589"/>
      <c r="BL33" s="589"/>
      <c r="BM33" s="590"/>
      <c r="BN33" s="589"/>
      <c r="BO33" s="589"/>
      <c r="BP33" s="589"/>
      <c r="BQ33" s="590"/>
      <c r="BR33" s="589"/>
      <c r="BS33" s="589"/>
      <c r="BT33" s="589"/>
      <c r="BU33" s="590"/>
      <c r="BV33" s="1112"/>
      <c r="BW33" s="629"/>
      <c r="BX33" s="629"/>
      <c r="BY33" s="844"/>
      <c r="BZ33" s="2145">
        <f>BZ20-BV20</f>
      </c>
      <c r="CA33" s="2145">
        <f t="shared" ref="CA33:CC33" si="229">CA20-BW20</f>
      </c>
      <c r="CB33" s="2145">
        <f t="shared" si="229"/>
      </c>
      <c r="CC33" s="2146">
        <f t="shared" si="229"/>
      </c>
      <c r="CD33" s="2145">
        <f>CD20-BZ20</f>
      </c>
      <c r="CE33" s="2145">
        <f t="shared" ref="CE33" si="230">CE20-CA20</f>
      </c>
      <c r="CF33" s="2145">
        <f t="shared" ref="CF33" si="231">CF20-CB20</f>
      </c>
      <c r="CG33" s="2146">
        <f t="shared" ref="CG33" si="232">CG20-CC20</f>
      </c>
      <c r="CH33" s="2145">
        <f>CH20-CD20</f>
      </c>
      <c r="CI33" s="2145">
        <f t="shared" ref="CI33" si="233">CI20-CE20</f>
      </c>
      <c r="CJ33" s="2145">
        <f t="shared" ref="CJ33" si="234">CJ20-CF20</f>
      </c>
      <c r="CK33" s="2146">
        <f t="shared" ref="CK33" si="235">CK20-CG20</f>
      </c>
      <c r="CL33" s="2145">
        <f>CL20-CH20</f>
      </c>
      <c r="CM33" s="2145">
        <f t="shared" ref="CM33" si="236">CM20-CI20</f>
      </c>
      <c r="CN33" s="2145">
        <f t="shared" ref="CN33" si="237">CN20-CJ20</f>
      </c>
      <c r="CO33" s="2146">
        <f t="shared" ref="CO33" si="238">CO20-CK20</f>
      </c>
      <c r="CP33" s="2145">
        <f>CP20-CL20</f>
      </c>
      <c r="CQ33" s="2153">
        <f t="shared" ref="CQ33" si="239">CQ20-CM20</f>
      </c>
      <c r="CR33" s="2145">
        <f>CR20-CN20</f>
      </c>
      <c r="CS33" s="2157">
        <f t="shared" ref="CS33" si="240">CS20-CO20</f>
      </c>
      <c r="CT33" s="2153">
        <f>CT20-CP20</f>
      </c>
      <c r="CU33" s="2153">
        <f t="shared" ref="CU33" si="241">CU20-CQ20</f>
      </c>
      <c r="CV33" s="2145">
        <f t="shared" ref="CV33" si="242">CV20-CR20</f>
      </c>
      <c r="CW33" s="2146">
        <f t="shared" ref="CW33" si="243">CW20-CS20</f>
      </c>
      <c r="CX33" s="2145">
        <f>CX20-CT20</f>
      </c>
      <c r="CY33" s="2145">
        <f t="shared" ref="CY33" si="244">CY20-CU20</f>
      </c>
      <c r="CZ33" s="2145">
        <f t="shared" ref="CZ33" si="245">CZ20-CV20</f>
      </c>
      <c r="DA33" s="2146">
        <f t="shared" ref="DA33" si="246">DA20-CW20</f>
      </c>
      <c r="DB33" s="2145">
        <f>DB20-CX20</f>
      </c>
      <c r="DC33" s="2145">
        <f t="shared" ref="DC33" si="247">DC20-CY20</f>
      </c>
      <c r="DD33" s="2145">
        <f t="shared" ref="DD33" si="248">DD20-CZ20</f>
      </c>
      <c r="DE33" s="2146">
        <f t="shared" ref="DE33" si="249">DE20-DA20</f>
      </c>
      <c r="DF33" s="2145">
        <f>DF20-DB20</f>
      </c>
      <c r="DG33" s="2145">
        <f t="shared" ref="DG33" si="250">DG20-DC20</f>
      </c>
      <c r="DH33" s="2145">
        <f t="shared" ref="DH33" si="251">DH20-DD20</f>
      </c>
      <c r="DI33" s="2146">
        <f t="shared" ref="DI33" si="252">DI20-DE20</f>
      </c>
      <c r="DJ33" s="2145">
        <f>DJ20-DF20</f>
      </c>
      <c r="DK33" s="2145">
        <f t="shared" ref="DK33" si="253">DK20-DG20</f>
      </c>
      <c r="DL33" s="2145">
        <f t="shared" ref="DL33" si="254">DL20-DH20</f>
      </c>
      <c r="DM33" s="2146">
        <f t="shared" ref="DM33" si="255">DM20-DI20</f>
      </c>
      <c r="DN33" s="2145">
        <f>DN20-DJ20</f>
      </c>
      <c r="DO33" s="2145">
        <f t="shared" ref="DO33" si="256">DO20-DK20</f>
      </c>
      <c r="DP33" s="2145">
        <f t="shared" ref="DP33" si="257">DP20-DL20</f>
      </c>
      <c r="DQ33" s="2146">
        <f t="shared" ref="DQ33" si="258">DQ20-DM20</f>
      </c>
      <c r="DR33" s="2145">
        <f>DR20-DN20</f>
      </c>
      <c r="DS33" s="2145">
        <f t="shared" ref="DS33" si="259">DS20-DO20</f>
      </c>
      <c r="DT33" s="2145">
        <f t="shared" ref="DT33" si="260">DT20-DP20</f>
      </c>
      <c r="DU33" s="2146">
        <f t="shared" ref="DU33" si="261">DU20-DQ20</f>
      </c>
      <c r="DV33" s="2145">
        <f t="shared" ref="DV33:EK33" si="262">DV20-DR20</f>
      </c>
      <c r="DW33" s="2145">
        <f t="shared" si="262"/>
      </c>
      <c r="DX33" s="2145">
        <f t="shared" si="262"/>
      </c>
      <c r="DY33" s="2146">
        <f t="shared" si="262"/>
      </c>
      <c r="DZ33" s="2145">
        <f t="shared" si="262"/>
      </c>
      <c r="EA33" s="2145">
        <f t="shared" si="262"/>
      </c>
      <c r="EB33" s="2145">
        <f t="shared" si="262"/>
      </c>
      <c r="EC33" s="2146">
        <f t="shared" si="262"/>
      </c>
      <c r="ED33" s="2145">
        <f t="shared" si="262"/>
      </c>
      <c r="EE33" s="2145">
        <f t="shared" si="262"/>
      </c>
      <c r="EF33" s="2145">
        <f t="shared" si="262"/>
      </c>
      <c r="EG33" s="2146">
        <f t="shared" si="262"/>
      </c>
      <c r="EH33" s="2145">
        <f t="shared" si="262"/>
      </c>
      <c r="EI33" s="2145">
        <f t="shared" si="262"/>
      </c>
      <c r="EJ33" s="2145">
        <f t="shared" si="262"/>
      </c>
      <c r="EK33" s="2146">
        <f t="shared" si="262"/>
      </c>
      <c r="EM33" s="1110"/>
      <c r="EN33" s="1110"/>
      <c r="EO33" s="1110"/>
      <c r="EP33" s="1110"/>
      <c r="EQ33" s="1110"/>
      <c r="ER33" s="1110"/>
      <c r="ES33" s="1110"/>
      <c r="ET33" s="1110"/>
      <c r="EU33" s="1110"/>
      <c r="EV33" s="1110"/>
      <c r="EW33" s="1110"/>
      <c r="EX33" s="1110"/>
      <c r="EY33" s="1110"/>
      <c r="EZ33" s="1110"/>
      <c r="FA33" s="1110"/>
      <c r="FB33" s="1110"/>
      <c r="FC33" s="1110"/>
      <c r="FD33" s="1110"/>
      <c r="FE33" s="1110"/>
      <c r="FF33" s="2151">
        <f t="shared" ref="FF33:FI33" si="263">FF20-FE20</f>
      </c>
      <c r="FG33" s="2151">
        <f t="shared" si="263"/>
      </c>
      <c r="FH33" s="2151">
        <f t="shared" si="263"/>
      </c>
      <c r="FI33" s="2151">
        <f t="shared" si="263"/>
      </c>
      <c r="FJ33" s="2151">
        <f t="shared" ref="FJ33:FQ33" si="264">FJ20-FI20</f>
      </c>
      <c r="FK33" s="2151">
        <f t="shared" si="264"/>
      </c>
      <c r="FL33" s="2151">
        <f t="shared" si="264"/>
      </c>
      <c r="FM33" s="2151">
        <f t="shared" si="264"/>
      </c>
      <c r="FN33" s="2151">
        <f t="shared" si="264"/>
      </c>
      <c r="FO33" s="2151">
        <f t="shared" si="264"/>
      </c>
      <c r="FP33" s="2151">
        <f t="shared" si="264"/>
      </c>
      <c r="FQ33" s="2151">
        <f t="shared" si="264"/>
      </c>
      <c r="FR33" s="2151">
        <f t="shared" ref="FR33:FU34" si="265">FR20-FQ20</f>
      </c>
      <c r="FS33" s="2151">
        <f t="shared" si="265"/>
      </c>
      <c r="FT33" s="2151">
        <f t="shared" si="265"/>
      </c>
      <c r="FU33" s="2151">
        <f t="shared" si="265"/>
      </c>
      <c r="FV33" s="1110"/>
      <c r="FW33" s="1110"/>
      <c r="FX33" s="1110"/>
      <c r="FY33" s="1110"/>
      <c r="FZ33" s="1110"/>
      <c r="GA33" s="1110"/>
      <c r="GB33" s="1110"/>
      <c r="GC33" s="1110"/>
      <c r="GD33" s="1110"/>
      <c r="GE33" s="1110"/>
      <c r="GF33" s="1110"/>
      <c r="GG33" s="1110"/>
      <c r="GH33" s="1110"/>
      <c r="GI33" s="1110"/>
      <c r="GJ33" s="1110"/>
      <c r="GK33" s="1110"/>
      <c r="GL33" s="1110"/>
      <c r="GM33" s="1110"/>
      <c r="GN33" s="1110"/>
      <c r="GO33" s="1110"/>
      <c r="GP33" s="2151">
        <f t="shared" ref="GP33:GR33" si="266">GP20-GO20</f>
      </c>
      <c r="GQ33" s="2151">
        <f t="shared" si="266"/>
      </c>
      <c r="GR33" s="2151">
        <f t="shared" si="266"/>
      </c>
      <c r="GS33" s="2151">
        <f t="shared" ref="GS33:GZ33" si="267">GS20-GR20</f>
      </c>
      <c r="GT33" s="2151">
        <f t="shared" si="267"/>
      </c>
      <c r="GU33" s="2151">
        <f t="shared" si="267"/>
      </c>
      <c r="GV33" s="2151">
        <f t="shared" si="267"/>
      </c>
      <c r="GW33" s="2151">
        <f t="shared" si="267"/>
      </c>
      <c r="GX33" s="2151">
        <f t="shared" si="267"/>
      </c>
      <c r="GY33" s="2151">
        <f t="shared" si="267"/>
      </c>
      <c r="GZ33" s="2151">
        <f t="shared" si="267"/>
      </c>
      <c r="HA33" s="2151">
        <f t="shared" ref="HA33:HD34" si="268">HA20-GZ20</f>
      </c>
      <c r="HB33" s="2151">
        <f t="shared" si="268"/>
      </c>
      <c r="HC33" s="2151">
        <f t="shared" si="268"/>
      </c>
      <c r="HD33" s="2151">
        <f t="shared" si="268"/>
      </c>
    </row>
    <row r="34" spans="1:212" s="150" customFormat="1" ht="10.8" thickBot="1">
      <c r="A34" s="1103" t="s">
        <v>1189</v>
      </c>
      <c r="B34" s="1104"/>
      <c r="C34" s="1104"/>
      <c r="D34" s="1104"/>
      <c r="E34" s="1105"/>
      <c r="F34" s="1104"/>
      <c r="G34" s="1104"/>
      <c r="H34" s="1104"/>
      <c r="I34" s="1105"/>
      <c r="J34" s="1104"/>
      <c r="K34" s="1104"/>
      <c r="L34" s="1104"/>
      <c r="M34" s="1105"/>
      <c r="N34" s="1104"/>
      <c r="O34" s="1104"/>
      <c r="P34" s="1104"/>
      <c r="Q34" s="1105"/>
      <c r="R34" s="1104"/>
      <c r="S34" s="1104"/>
      <c r="T34" s="1104"/>
      <c r="U34" s="1105"/>
      <c r="V34" s="1104"/>
      <c r="W34" s="1104"/>
      <c r="X34" s="1104"/>
      <c r="Y34" s="1105"/>
      <c r="Z34" s="1104"/>
      <c r="AA34" s="1104"/>
      <c r="AB34" s="1104"/>
      <c r="AC34" s="1105"/>
      <c r="AD34" s="1104"/>
      <c r="AE34" s="1104"/>
      <c r="AF34" s="1104"/>
      <c r="AG34" s="1105"/>
      <c r="AH34" s="1106"/>
      <c r="AI34" s="1106"/>
      <c r="AJ34" s="2142">
        <f>AJ21-AF21</f>
      </c>
      <c r="AK34" s="2142">
        <f t="shared" ref="AK34:CV34" si="269">AK21-AG21</f>
      </c>
      <c r="AL34" s="2142">
        <f t="shared" si="269"/>
      </c>
      <c r="AM34" s="2142">
        <f t="shared" si="269"/>
      </c>
      <c r="AN34" s="2142">
        <f t="shared" si="269"/>
      </c>
      <c r="AO34" s="2142">
        <f t="shared" si="269"/>
      </c>
      <c r="AP34" s="2142">
        <f t="shared" si="269"/>
      </c>
      <c r="AQ34" s="2142">
        <f t="shared" si="269"/>
      </c>
      <c r="AR34" s="2142">
        <f t="shared" si="269"/>
      </c>
      <c r="AS34" s="2142">
        <f t="shared" si="269"/>
      </c>
      <c r="AT34" s="2142">
        <f t="shared" si="269"/>
      </c>
      <c r="AU34" s="2142">
        <f t="shared" si="269"/>
      </c>
      <c r="AV34" s="2142">
        <f t="shared" si="269"/>
      </c>
      <c r="AW34" s="2142">
        <f t="shared" si="269"/>
      </c>
      <c r="AX34" s="2142">
        <f t="shared" si="269"/>
      </c>
      <c r="AY34" s="2142">
        <f t="shared" si="269"/>
      </c>
      <c r="AZ34" s="2142">
        <f t="shared" si="269"/>
      </c>
      <c r="BA34" s="2142">
        <f t="shared" si="269"/>
      </c>
      <c r="BB34" s="2142">
        <f t="shared" si="269"/>
      </c>
      <c r="BC34" s="2142">
        <f t="shared" si="269"/>
      </c>
      <c r="BD34" s="2142">
        <f t="shared" si="269"/>
      </c>
      <c r="BE34" s="2142">
        <f t="shared" si="269"/>
      </c>
      <c r="BF34" s="2142">
        <f t="shared" si="269"/>
      </c>
      <c r="BG34" s="2142">
        <f t="shared" si="269"/>
      </c>
      <c r="BH34" s="2142">
        <f t="shared" si="269"/>
      </c>
      <c r="BI34" s="2142">
        <f t="shared" si="269"/>
      </c>
      <c r="BJ34" s="2142">
        <f t="shared" si="269"/>
      </c>
      <c r="BK34" s="2142">
        <f t="shared" si="269"/>
      </c>
      <c r="BL34" s="2142">
        <f t="shared" si="269"/>
      </c>
      <c r="BM34" s="2147">
        <f t="shared" si="269"/>
      </c>
      <c r="BN34" s="2142">
        <f t="shared" si="269"/>
      </c>
      <c r="BO34" s="2142">
        <f t="shared" si="269"/>
      </c>
      <c r="BP34" s="2142">
        <f t="shared" si="269"/>
      </c>
      <c r="BQ34" s="2147">
        <f t="shared" si="269"/>
      </c>
      <c r="BR34" s="2142">
        <f t="shared" si="269"/>
      </c>
      <c r="BS34" s="2142">
        <f t="shared" si="269"/>
      </c>
      <c r="BT34" s="2142">
        <f t="shared" si="269"/>
      </c>
      <c r="BU34" s="2147">
        <f t="shared" si="269"/>
      </c>
      <c r="BV34" s="2142">
        <f t="shared" si="269"/>
      </c>
      <c r="BW34" s="2142">
        <f t="shared" si="269"/>
      </c>
      <c r="BX34" s="2142">
        <f t="shared" si="269"/>
      </c>
      <c r="BY34" s="2147">
        <f t="shared" si="269"/>
      </c>
      <c r="BZ34" s="2142">
        <f t="shared" si="269"/>
      </c>
      <c r="CA34" s="2142">
        <f t="shared" si="269"/>
      </c>
      <c r="CB34" s="2142">
        <f t="shared" si="269"/>
      </c>
      <c r="CC34" s="2147">
        <f t="shared" si="269"/>
      </c>
      <c r="CD34" s="2142">
        <f t="shared" si="269"/>
      </c>
      <c r="CE34" s="2142">
        <f t="shared" si="269"/>
      </c>
      <c r="CF34" s="2142">
        <f t="shared" si="269"/>
      </c>
      <c r="CG34" s="2142">
        <f t="shared" si="269"/>
      </c>
      <c r="CH34" s="2142">
        <f t="shared" si="269"/>
      </c>
      <c r="CI34" s="2142">
        <f t="shared" si="269"/>
      </c>
      <c r="CJ34" s="2142">
        <f t="shared" si="269"/>
      </c>
      <c r="CK34" s="2147">
        <f t="shared" si="269"/>
      </c>
      <c r="CL34" s="2142">
        <f t="shared" si="269"/>
      </c>
      <c r="CM34" s="2142">
        <f t="shared" si="269"/>
      </c>
      <c r="CN34" s="2142">
        <f t="shared" si="269"/>
      </c>
      <c r="CO34" s="2142">
        <f t="shared" si="269"/>
      </c>
      <c r="CP34" s="2142">
        <f t="shared" si="269"/>
      </c>
      <c r="CQ34" s="2142">
        <f t="shared" si="269"/>
      </c>
      <c r="CR34" s="2142">
        <f t="shared" si="269"/>
      </c>
      <c r="CS34" s="2142">
        <f t="shared" si="269"/>
      </c>
      <c r="CT34" s="2142">
        <f t="shared" si="269"/>
      </c>
      <c r="CU34" s="2142">
        <f t="shared" si="269"/>
      </c>
      <c r="CV34" s="2142">
        <f t="shared" si="269"/>
      </c>
      <c r="CW34" s="2142">
        <f t="shared" ref="CW34:DU34" si="270">CW21-CS21</f>
      </c>
      <c r="CX34" s="2142">
        <f t="shared" si="270"/>
      </c>
      <c r="CY34" s="2142">
        <f t="shared" si="270"/>
      </c>
      <c r="CZ34" s="2142">
        <f t="shared" si="270"/>
      </c>
      <c r="DA34" s="2142">
        <f t="shared" si="270"/>
      </c>
      <c r="DB34" s="2142">
        <f t="shared" si="270"/>
      </c>
      <c r="DC34" s="2142">
        <f t="shared" si="270"/>
      </c>
      <c r="DD34" s="2142">
        <f t="shared" si="270"/>
      </c>
      <c r="DE34" s="2142">
        <f t="shared" si="270"/>
      </c>
      <c r="DF34" s="2142">
        <f t="shared" si="270"/>
      </c>
      <c r="DG34" s="2142">
        <f t="shared" si="270"/>
      </c>
      <c r="DH34" s="2142">
        <f t="shared" si="270"/>
      </c>
      <c r="DI34" s="2142">
        <f t="shared" si="270"/>
      </c>
      <c r="DJ34" s="2142">
        <f t="shared" si="270"/>
      </c>
      <c r="DK34" s="2142">
        <f t="shared" si="270"/>
      </c>
      <c r="DL34" s="2142">
        <f t="shared" si="270"/>
      </c>
      <c r="DM34" s="2147">
        <f t="shared" si="270"/>
      </c>
      <c r="DN34" s="2142">
        <f t="shared" si="270"/>
      </c>
      <c r="DO34" s="2142">
        <f t="shared" si="270"/>
      </c>
      <c r="DP34" s="2142">
        <f t="shared" si="270"/>
      </c>
      <c r="DQ34" s="2142">
        <f t="shared" si="270"/>
      </c>
      <c r="DR34" s="2142">
        <f t="shared" si="270"/>
      </c>
      <c r="DS34" s="2142">
        <f t="shared" si="270"/>
      </c>
      <c r="DT34" s="2142">
        <f t="shared" si="270"/>
      </c>
      <c r="DU34" s="2142">
        <f t="shared" si="270"/>
      </c>
      <c r="DV34" s="2142">
        <f t="shared" ref="DV34" si="271">DV21-DR21</f>
      </c>
      <c r="DW34" s="2142">
        <f>DW21-DS21</f>
      </c>
      <c r="DX34" s="2142">
        <f>DX21-DT21</f>
      </c>
      <c r="DY34" s="2142">
        <f>DY21-DU21</f>
      </c>
      <c r="DZ34" s="2142">
        <f t="shared" ref="DZ34" si="272">DZ21-DV21</f>
      </c>
      <c r="EA34" s="2142">
        <f>EA21-DW21</f>
      </c>
      <c r="EB34" s="2142">
        <f>EB21-DX21</f>
      </c>
      <c r="EC34" s="2142">
        <f>EC21-DY21</f>
      </c>
      <c r="ED34" s="2142">
        <f t="shared" ref="ED34" si="273">ED21-DZ21</f>
      </c>
      <c r="EE34" s="2142">
        <f>EE21-EA21</f>
      </c>
      <c r="EF34" s="2142">
        <f>EF21-EB21</f>
      </c>
      <c r="EG34" s="2142">
        <f>EG21-EC21</f>
      </c>
      <c r="EH34" s="2142">
        <f t="shared" ref="EH34" si="274">EH21-ED21</f>
      </c>
      <c r="EI34" s="2142">
        <f>EI21-EE21</f>
      </c>
      <c r="EJ34" s="2142">
        <f>EJ21-EF21</f>
      </c>
      <c r="EK34" s="2142">
        <f>EK21-EG21</f>
      </c>
      <c r="EM34" s="1116"/>
      <c r="EN34" s="1116"/>
      <c r="EO34" s="1116"/>
      <c r="EP34" s="1116"/>
      <c r="EQ34" s="1116"/>
      <c r="ER34" s="1116"/>
      <c r="ES34" s="1116"/>
      <c r="ET34" s="1116"/>
      <c r="EU34" s="2150">
        <f>EU21-ET21</f>
      </c>
      <c r="EV34" s="2150">
        <f t="shared" ref="EV34:FQ34" si="275">EV21-EU21</f>
      </c>
      <c r="EW34" s="2150">
        <f t="shared" si="275"/>
      </c>
      <c r="EX34" s="2150">
        <f t="shared" si="275"/>
      </c>
      <c r="EY34" s="2150">
        <f t="shared" si="275"/>
      </c>
      <c r="EZ34" s="2150">
        <f t="shared" si="275"/>
      </c>
      <c r="FA34" s="2150">
        <f t="shared" si="275"/>
      </c>
      <c r="FB34" s="2150">
        <f t="shared" si="275"/>
      </c>
      <c r="FC34" s="2150">
        <f t="shared" si="275"/>
      </c>
      <c r="FD34" s="2150">
        <f t="shared" si="275"/>
      </c>
      <c r="FE34" s="2150">
        <f t="shared" si="275"/>
      </c>
      <c r="FF34" s="2150">
        <f t="shared" si="275"/>
      </c>
      <c r="FG34" s="2150">
        <f t="shared" si="275"/>
      </c>
      <c r="FH34" s="2150">
        <f t="shared" si="275"/>
      </c>
      <c r="FI34" s="2150">
        <f t="shared" si="275"/>
      </c>
      <c r="FJ34" s="2150">
        <f t="shared" si="275"/>
      </c>
      <c r="FK34" s="2150">
        <f t="shared" si="275"/>
      </c>
      <c r="FL34" s="2150">
        <f t="shared" si="275"/>
      </c>
      <c r="FM34" s="2150">
        <f t="shared" si="275"/>
      </c>
      <c r="FN34" s="2150">
        <f t="shared" si="275"/>
      </c>
      <c r="FO34" s="2150">
        <f t="shared" si="275"/>
      </c>
      <c r="FP34" s="2150">
        <f t="shared" si="275"/>
      </c>
      <c r="FQ34" s="2150">
        <f t="shared" si="275"/>
      </c>
      <c r="FR34" s="2150">
        <f t="shared" si="265"/>
      </c>
      <c r="FS34" s="2150">
        <f t="shared" si="265"/>
      </c>
      <c r="FT34" s="2150">
        <f t="shared" si="265"/>
      </c>
      <c r="FU34" s="2150">
        <f t="shared" si="265"/>
      </c>
      <c r="FV34" s="1116"/>
      <c r="FW34" s="1116"/>
      <c r="FX34" s="1116"/>
      <c r="FY34" s="1116"/>
      <c r="FZ34" s="1116"/>
      <c r="GA34" s="1116"/>
      <c r="GB34" s="1116"/>
      <c r="GC34" s="1116"/>
      <c r="GD34" s="1116"/>
      <c r="GE34" s="2150">
        <f t="shared" ref="GE34:GZ34" si="276">GE21-GD21</f>
      </c>
      <c r="GF34" s="2150">
        <f t="shared" si="276"/>
      </c>
      <c r="GG34" s="2150">
        <f t="shared" si="276"/>
      </c>
      <c r="GH34" s="2150">
        <f t="shared" si="276"/>
      </c>
      <c r="GI34" s="2150">
        <f t="shared" si="276"/>
      </c>
      <c r="GJ34" s="2150">
        <f t="shared" si="276"/>
      </c>
      <c r="GK34" s="2150">
        <f t="shared" si="276"/>
      </c>
      <c r="GL34" s="2150">
        <f t="shared" si="276"/>
      </c>
      <c r="GM34" s="2150">
        <f t="shared" si="276"/>
      </c>
      <c r="GN34" s="2150">
        <f t="shared" si="276"/>
      </c>
      <c r="GO34" s="2150">
        <f t="shared" si="276"/>
      </c>
      <c r="GP34" s="2150">
        <f t="shared" si="276"/>
      </c>
      <c r="GQ34" s="2150">
        <f t="shared" si="276"/>
      </c>
      <c r="GR34" s="2150">
        <f t="shared" si="276"/>
      </c>
      <c r="GS34" s="2150">
        <f t="shared" si="276"/>
      </c>
      <c r="GT34" s="2150">
        <f t="shared" si="276"/>
      </c>
      <c r="GU34" s="2150">
        <f t="shared" si="276"/>
      </c>
      <c r="GV34" s="2150">
        <f t="shared" si="276"/>
      </c>
      <c r="GW34" s="2150">
        <f t="shared" si="276"/>
      </c>
      <c r="GX34" s="2150">
        <f t="shared" si="276"/>
      </c>
      <c r="GY34" s="2150">
        <f t="shared" si="276"/>
      </c>
      <c r="GZ34" s="2150">
        <f t="shared" si="276"/>
      </c>
      <c r="HA34" s="2150">
        <f t="shared" si="268"/>
      </c>
      <c r="HB34" s="2150">
        <f t="shared" si="268"/>
      </c>
      <c r="HC34" s="2150">
        <f t="shared" si="268"/>
      </c>
      <c r="HD34" s="2150">
        <f t="shared" si="268"/>
      </c>
    </row>
    <row r="35" spans="1:212" s="90" customFormat="1" ht="10.8" thickTop="1">
      <c r="A35" s="152"/>
      <c r="B35" s="99"/>
      <c r="C35" s="99"/>
      <c r="D35" s="99"/>
      <c r="E35" s="462"/>
      <c r="F35" s="99"/>
      <c r="G35" s="99"/>
      <c r="H35" s="99"/>
      <c r="I35" s="462"/>
      <c r="J35" s="99"/>
      <c r="K35" s="99"/>
      <c r="L35" s="99"/>
      <c r="M35" s="462"/>
      <c r="N35" s="99"/>
      <c r="O35" s="99"/>
      <c r="P35" s="99"/>
      <c r="Q35" s="462"/>
      <c r="R35" s="99"/>
      <c r="S35" s="99"/>
      <c r="T35" s="99"/>
      <c r="U35" s="462"/>
      <c r="V35" s="99"/>
      <c r="W35" s="99"/>
      <c r="X35" s="99"/>
      <c r="Y35" s="462"/>
      <c r="Z35" s="99"/>
      <c r="AA35" s="99"/>
      <c r="AB35" s="99"/>
      <c r="AC35" s="462"/>
      <c r="AD35" s="99"/>
      <c r="AE35" s="99"/>
      <c r="AF35" s="524"/>
      <c r="AG35" s="524"/>
      <c r="AH35" s="524"/>
      <c r="AI35" s="524"/>
      <c r="AJ35" s="524"/>
      <c r="AK35" s="524"/>
      <c r="AL35" s="524"/>
      <c r="AM35" s="524"/>
      <c r="AN35" s="524"/>
      <c r="AO35" s="524"/>
      <c r="AP35" s="524"/>
      <c r="AQ35" s="524"/>
      <c r="AR35" s="524"/>
      <c r="AS35" s="524"/>
      <c r="AT35" s="524"/>
      <c r="AU35" s="524"/>
      <c r="AV35" s="524"/>
      <c r="AW35" s="524"/>
      <c r="AX35" s="524"/>
      <c r="AY35" s="524"/>
      <c r="AZ35" s="524"/>
      <c r="BA35" s="524"/>
      <c r="BB35" s="524"/>
      <c r="BC35" s="524"/>
      <c r="BD35" s="524"/>
      <c r="BE35" s="524"/>
      <c r="BF35" s="524"/>
      <c r="BG35" s="524"/>
      <c r="BH35" s="524"/>
      <c r="BI35" s="524"/>
      <c r="BJ35" s="524"/>
      <c r="BK35" s="524"/>
      <c r="BL35" s="524"/>
      <c r="BM35" s="524"/>
      <c r="BN35" s="524"/>
      <c r="BO35" s="524"/>
      <c r="BP35" s="524"/>
      <c r="BQ35" s="524"/>
      <c r="BR35" s="524"/>
      <c r="BS35" s="524"/>
      <c r="BT35" s="524"/>
      <c r="BU35" s="524"/>
      <c r="BV35" s="1080"/>
      <c r="BW35" s="1080"/>
      <c r="BX35" s="1080"/>
      <c r="BY35" s="1079"/>
      <c r="BZ35" s="1080"/>
      <c r="CA35" s="1080"/>
      <c r="CB35" s="1080"/>
      <c r="CC35" s="1079"/>
      <c r="CD35" s="1080"/>
      <c r="CE35" s="1080"/>
      <c r="CF35" s="1080"/>
      <c r="CG35" s="1079"/>
      <c r="CH35" s="1080"/>
      <c r="CI35" s="1080"/>
      <c r="CJ35" s="1080"/>
      <c r="CK35" s="1079"/>
      <c r="CL35" s="900"/>
      <c r="CM35" s="900"/>
      <c r="CN35" s="900"/>
      <c r="CO35" s="1079"/>
      <c r="CP35" s="900"/>
      <c r="CQ35" s="900"/>
      <c r="CR35" s="900"/>
      <c r="CS35" s="1079"/>
      <c r="CT35" s="900"/>
      <c r="CU35" s="900"/>
      <c r="CV35" s="900"/>
      <c r="CW35" s="1079"/>
      <c r="CX35" s="900"/>
      <c r="CY35" s="900"/>
      <c r="CZ35" s="900"/>
      <c r="DA35" s="1079"/>
      <c r="DB35" s="900"/>
      <c r="DC35" s="900"/>
      <c r="DD35" s="900"/>
      <c r="DE35" s="1082"/>
      <c r="DF35" s="820"/>
      <c r="DG35" s="820"/>
      <c r="DH35" s="820"/>
      <c r="DI35" s="1082"/>
      <c r="DJ35" s="820"/>
      <c r="DK35" s="820"/>
      <c r="DL35" s="820"/>
      <c r="DM35" s="1082"/>
      <c r="DN35" s="820"/>
      <c r="DO35" s="820"/>
      <c r="DP35" s="820"/>
      <c r="DQ35" s="1082"/>
      <c r="DR35" s="820"/>
      <c r="DS35" s="820"/>
      <c r="DT35" s="820"/>
      <c r="DU35" s="1082"/>
      <c r="DV35" s="820"/>
      <c r="DW35" s="820"/>
      <c r="DX35" s="820"/>
      <c r="DY35" s="1082"/>
      <c r="DZ35" s="820"/>
      <c r="EA35" s="820"/>
      <c r="EB35" s="820"/>
      <c r="EC35" s="1082"/>
      <c r="ED35" s="820"/>
      <c r="EE35" s="820"/>
      <c r="EF35" s="820"/>
      <c r="EG35" s="1082"/>
      <c r="EH35" s="820"/>
      <c r="EI35" s="820"/>
      <c r="EJ35" s="820"/>
      <c r="EK35" s="1082"/>
      <c r="EL35" s="390"/>
      <c r="EM35" s="1303"/>
      <c r="EN35" s="1303"/>
      <c r="EO35" s="1303"/>
      <c r="EP35" s="1303"/>
      <c r="EQ35" s="1303"/>
      <c r="ER35" s="1303"/>
      <c r="ES35" s="1303"/>
      <c r="ET35" s="1303"/>
      <c r="EU35" s="1303"/>
      <c r="EV35" s="1303"/>
      <c r="EW35" s="1303"/>
      <c r="EX35" s="1303"/>
      <c r="EY35" s="1303"/>
      <c r="EZ35" s="1303"/>
      <c r="FA35" s="1303"/>
      <c r="FB35" s="1303"/>
      <c r="FC35" s="1303"/>
      <c r="FD35" s="1303"/>
      <c r="FE35" s="1303"/>
      <c r="FF35" s="1303"/>
      <c r="FG35" s="1303"/>
      <c r="FH35" s="1303"/>
      <c r="FI35" s="1303"/>
      <c r="FJ35" s="1303"/>
      <c r="FK35" s="1303"/>
      <c r="FL35" s="1303"/>
      <c r="FM35" s="1303"/>
      <c r="FN35" s="1303"/>
      <c r="FO35" s="1303"/>
      <c r="FP35" s="1303"/>
      <c r="FQ35" s="1303"/>
      <c r="FR35" s="1303"/>
      <c r="FS35" s="1303"/>
      <c r="FT35" s="1303"/>
      <c r="FU35" s="1303"/>
      <c r="FV35" s="1303"/>
      <c r="FW35" s="1303"/>
      <c r="FX35" s="1303"/>
      <c r="FY35" s="1303"/>
      <c r="FZ35" s="1303"/>
      <c r="GA35" s="1303"/>
      <c r="GB35" s="1303"/>
      <c r="GC35" s="1303"/>
      <c r="GD35" s="1303"/>
      <c r="GE35" s="1303"/>
      <c r="GF35" s="1303"/>
      <c r="GG35" s="1303"/>
      <c r="GH35" s="1303"/>
      <c r="GI35" s="1303"/>
      <c r="GJ35" s="1303"/>
      <c r="GK35" s="1303"/>
      <c r="GL35" s="1303"/>
      <c r="GM35" s="1303"/>
      <c r="GN35" s="1303"/>
      <c r="GO35" s="1303"/>
      <c r="GP35" s="1303"/>
      <c r="GQ35" s="1303"/>
      <c r="GR35" s="1303"/>
      <c r="GS35" s="1303"/>
      <c r="GT35" s="1303"/>
      <c r="GU35" s="1303"/>
      <c r="GV35" s="1303"/>
      <c r="GW35" s="1303"/>
      <c r="GX35" s="1303"/>
      <c r="GY35" s="1303"/>
      <c r="GZ35" s="1303"/>
      <c r="HA35" s="1303"/>
      <c r="HB35" s="1303"/>
      <c r="HC35" s="1303"/>
      <c r="HD35" s="1303"/>
    </row>
    <row r="36" spans="1:212" s="16" customFormat="1" ht="10.199999999999999">
      <c r="A36" s="708" t="s">
        <v>1495</v>
      </c>
      <c r="B36" s="706" t="str">
        <f>'Revenue summary'!B$8</f>
      </c>
      <c r="C36" s="706" t="str">
        <f>'Revenue summary'!C$8</f>
      </c>
      <c r="D36" s="706" t="str">
        <f>'Revenue summary'!D$8</f>
      </c>
      <c r="E36" s="707" t="str">
        <f>'Revenue summary'!E$8</f>
      </c>
      <c r="F36" s="706" t="str">
        <f>'Revenue summary'!F$8</f>
      </c>
      <c r="G36" s="706" t="str">
        <f>'Revenue summary'!G$8</f>
      </c>
      <c r="H36" s="706" t="str">
        <f>'Revenue summary'!H$8</f>
      </c>
      <c r="I36" s="707" t="str">
        <f>'Revenue summary'!I$8</f>
      </c>
      <c r="J36" s="706" t="str">
        <f>'Revenue summary'!J$8</f>
      </c>
      <c r="K36" s="706" t="str">
        <f>'Revenue summary'!K$8</f>
      </c>
      <c r="L36" s="706" t="str">
        <f>'Revenue summary'!L$8</f>
      </c>
      <c r="M36" s="707" t="str">
        <f>'Revenue summary'!M$8</f>
      </c>
      <c r="N36" s="706" t="str">
        <f>'Revenue summary'!N$8</f>
      </c>
      <c r="O36" s="706" t="str">
        <f>'Revenue summary'!O$8</f>
      </c>
      <c r="P36" s="706" t="str">
        <f>'Revenue summary'!P$8</f>
      </c>
      <c r="Q36" s="707" t="str">
        <f>'Revenue summary'!Q$8</f>
      </c>
      <c r="R36" s="706" t="str">
        <f>'Revenue summary'!R$8</f>
      </c>
      <c r="S36" s="706" t="str">
        <f>'Revenue summary'!S$8</f>
      </c>
      <c r="T36" s="706" t="str">
        <f>'Revenue summary'!T$8</f>
      </c>
      <c r="U36" s="707" t="str">
        <f>'Revenue summary'!U$8</f>
      </c>
      <c r="V36" s="706" t="str">
        <f>'Revenue summary'!V$8</f>
      </c>
      <c r="W36" s="706" t="str">
        <f>'Revenue summary'!W$8</f>
      </c>
      <c r="X36" s="706" t="str">
        <f>'Revenue summary'!X$8</f>
      </c>
      <c r="Y36" s="707" t="str">
        <f>'Revenue summary'!Y$8</f>
      </c>
      <c r="Z36" s="706" t="str">
        <f>'Revenue summary'!Z$8</f>
      </c>
      <c r="AA36" s="706" t="str">
        <f>'Revenue summary'!AA$8</f>
      </c>
      <c r="AB36" s="706" t="str">
        <f>'Revenue summary'!AB$8</f>
      </c>
      <c r="AC36" s="707" t="str">
        <f>'Revenue summary'!AC$8</f>
      </c>
      <c r="AD36" s="706" t="str">
        <f>'Revenue summary'!AD$8</f>
      </c>
      <c r="AE36" s="706" t="str">
        <f>'Revenue summary'!AE$8</f>
      </c>
      <c r="AF36" s="706" t="str">
        <f>'Revenue summary'!AF$8</f>
      </c>
      <c r="AG36" s="707" t="str">
        <f>'Revenue summary'!AG$8</f>
      </c>
      <c r="AH36" s="706" t="str">
        <f>'Revenue summary'!AH$8</f>
      </c>
      <c r="AI36" s="706" t="str">
        <f>'Revenue summary'!AI$8</f>
      </c>
      <c r="AJ36" s="706" t="str">
        <f>'Revenue summary'!AJ$8</f>
      </c>
      <c r="AK36" s="707" t="str">
        <f>'Revenue summary'!AK$8</f>
      </c>
      <c r="AL36" s="706" t="str">
        <f>'Revenue summary'!AL$8</f>
      </c>
      <c r="AM36" s="706" t="str">
        <f>'Revenue summary'!AM$8</f>
      </c>
      <c r="AN36" s="706" t="str">
        <f>'Revenue summary'!AN$8</f>
      </c>
      <c r="AO36" s="707" t="str">
        <f>'Revenue summary'!AO$8</f>
      </c>
      <c r="AP36" s="706" t="str">
        <f>'Revenue summary'!AP$8</f>
      </c>
      <c r="AQ36" s="706" t="str">
        <f>'Revenue summary'!AQ$8</f>
      </c>
      <c r="AR36" s="706" t="str">
        <f>'Revenue summary'!AR$8</f>
      </c>
      <c r="AS36" s="707" t="str">
        <f>'Revenue summary'!AS$8</f>
      </c>
      <c r="AT36" s="706" t="str">
        <f>'Revenue summary'!AT$8</f>
      </c>
      <c r="AU36" s="706" t="str">
        <f>'Revenue summary'!AU$8</f>
      </c>
      <c r="AV36" s="706" t="str">
        <f>'Revenue summary'!AV$8</f>
      </c>
      <c r="AW36" s="707" t="str">
        <f>'Revenue summary'!AW$8</f>
      </c>
      <c r="AX36" s="706" t="str">
        <f>'Revenue summary'!AX$8</f>
      </c>
      <c r="AY36" s="706" t="str">
        <f>'Revenue summary'!AY$8</f>
      </c>
      <c r="AZ36" s="706" t="str">
        <f>'Revenue summary'!AZ$8</f>
      </c>
      <c r="BA36" s="707" t="str">
        <f>'Revenue summary'!BA$8</f>
      </c>
      <c r="BB36" s="706" t="str">
        <f>'Revenue summary'!BB$8</f>
      </c>
      <c r="BC36" s="706" t="str">
        <f>'Revenue summary'!BC$8</f>
      </c>
      <c r="BD36" s="706" t="str">
        <f>'Revenue summary'!BD$8</f>
      </c>
      <c r="BE36" s="707" t="str">
        <f>'Revenue summary'!BE$8</f>
      </c>
      <c r="BF36" s="706" t="str">
        <f>'Revenue summary'!BF$8</f>
      </c>
      <c r="BG36" s="706" t="str">
        <f>'Revenue summary'!BG$8</f>
      </c>
      <c r="BH36" s="706" t="str">
        <f>'Revenue summary'!BH$8</f>
      </c>
      <c r="BI36" s="707" t="str">
        <f>'Revenue summary'!BI$8</f>
      </c>
      <c r="BJ36" s="706" t="str">
        <f>'Revenue summary'!BJ$8</f>
      </c>
      <c r="BK36" s="706" t="str">
        <f>'Revenue summary'!BK$8</f>
      </c>
      <c r="BL36" s="706" t="str">
        <f>'Revenue summary'!BL$8</f>
      </c>
      <c r="BM36" s="707" t="str">
        <f>'Revenue summary'!BM$8</f>
      </c>
      <c r="BN36" s="706" t="str">
        <f>'Revenue summary'!BN$8</f>
      </c>
      <c r="BO36" s="706" t="str">
        <f>'Revenue summary'!BO$8</f>
      </c>
      <c r="BP36" s="706" t="str">
        <f>'Revenue summary'!BP$8</f>
      </c>
      <c r="BQ36" s="707" t="str">
        <f>'Revenue summary'!BQ$8</f>
      </c>
      <c r="BR36" s="706" t="str">
        <f>'Revenue summary'!BR$8</f>
      </c>
      <c r="BS36" s="706" t="str">
        <f>'Revenue summary'!BS$8</f>
      </c>
      <c r="BT36" s="706" t="str">
        <f>'Revenue summary'!BT$8</f>
      </c>
      <c r="BU36" s="707" t="str">
        <f>'Revenue summary'!BU$8</f>
      </c>
      <c r="BV36" s="706" t="str">
        <f>'Revenue summary'!BV$8</f>
      </c>
      <c r="BW36" s="706" t="str">
        <f>'Revenue summary'!BW$8</f>
      </c>
      <c r="BX36" s="706" t="str">
        <f>'Revenue summary'!BX$8</f>
      </c>
      <c r="BY36" s="707" t="str">
        <f>'Revenue summary'!BY$8</f>
      </c>
      <c r="BZ36" s="706" t="str">
        <f>'Revenue summary'!BZ$8</f>
      </c>
      <c r="CA36" s="706" t="str">
        <f>'Revenue summary'!CA$8</f>
      </c>
      <c r="CB36" s="706" t="str">
        <f>'Revenue summary'!CB$8</f>
      </c>
      <c r="CC36" s="707" t="str">
        <f>'Revenue summary'!CC$8</f>
      </c>
      <c r="CD36" s="706" t="str">
        <f>'Revenue summary'!CD$8</f>
      </c>
      <c r="CE36" s="706" t="str">
        <f>'Revenue summary'!CE$8</f>
      </c>
      <c r="CF36" s="706" t="str">
        <f>'Revenue summary'!CF$8</f>
      </c>
      <c r="CG36" s="707" t="str">
        <f>'Revenue summary'!CG$8</f>
      </c>
      <c r="CH36" s="706" t="str">
        <f>'Revenue summary'!CH$8</f>
      </c>
      <c r="CI36" s="706" t="str">
        <f>'Revenue summary'!CI$8</f>
      </c>
      <c r="CJ36" s="706" t="str">
        <f>'Revenue summary'!CJ$8</f>
      </c>
      <c r="CK36" s="707" t="str">
        <f>'Revenue summary'!CK$8</f>
      </c>
      <c r="CL36" s="706" t="str">
        <f>'Revenue summary'!CL$8</f>
      </c>
      <c r="CM36" s="706" t="str">
        <f>'Revenue summary'!CM$8</f>
      </c>
      <c r="CN36" s="706" t="str">
        <f>'Revenue summary'!CN$8</f>
      </c>
      <c r="CO36" s="707" t="str">
        <f>'Revenue summary'!CO$8</f>
      </c>
      <c r="CP36" s="706" t="str">
        <f>'Revenue summary'!CP$8</f>
      </c>
      <c r="CQ36" s="706" t="str">
        <f>'Revenue summary'!CQ$8</f>
      </c>
      <c r="CR36" s="706" t="str">
        <f>'Revenue summary'!CR$8</f>
      </c>
      <c r="CS36" s="707" t="str">
        <f>'Revenue summary'!CS$8</f>
      </c>
      <c r="CT36" s="706" t="str">
        <f>'Revenue summary'!CT$8</f>
      </c>
      <c r="CU36" s="706" t="str">
        <f>'Revenue summary'!CU$8</f>
      </c>
      <c r="CV36" s="706" t="str">
        <f>'Revenue summary'!CV$8</f>
      </c>
      <c r="CW36" s="707" t="str">
        <f>'Revenue summary'!CW$8</f>
      </c>
      <c r="CX36" s="706" t="str">
        <f>'Revenue summary'!CX$8</f>
      </c>
      <c r="CY36" s="706" t="str">
        <f>'Revenue summary'!CY$8</f>
      </c>
      <c r="CZ36" s="706" t="str">
        <f>'Revenue summary'!CZ$8</f>
      </c>
      <c r="DA36" s="707" t="str">
        <f>'Revenue summary'!DA$8</f>
      </c>
      <c r="DB36" s="706" t="str">
        <f>'Revenue summary'!DB$8</f>
      </c>
      <c r="DC36" s="706" t="str">
        <f>'Revenue summary'!DC$8</f>
      </c>
      <c r="DD36" s="706" t="str">
        <f>'Revenue summary'!DD$8</f>
      </c>
      <c r="DE36" s="707" t="str">
        <f>'Revenue summary'!DE$8</f>
      </c>
      <c r="DF36" s="706" t="str">
        <f>'Revenue summary'!DF$8</f>
      </c>
      <c r="DG36" s="706" t="str">
        <f>'Revenue summary'!DG$8</f>
      </c>
      <c r="DH36" s="706" t="str">
        <f>'Revenue summary'!DH$8</f>
      </c>
      <c r="DI36" s="707" t="str">
        <f>'Revenue summary'!DI$8</f>
      </c>
      <c r="DJ36" s="706" t="str">
        <f>'Revenue summary'!DJ$8</f>
      </c>
      <c r="DK36" s="706" t="str">
        <f>'Revenue summary'!DK$8</f>
      </c>
      <c r="DL36" s="706" t="str">
        <f>'Revenue summary'!DL$8</f>
      </c>
      <c r="DM36" s="707" t="str">
        <f>'Revenue summary'!DM$8</f>
      </c>
      <c r="DN36" s="706" t="str">
        <f>'Revenue summary'!DN$8</f>
      </c>
      <c r="DO36" s="706" t="str">
        <f>'Revenue summary'!DO$8</f>
      </c>
      <c r="DP36" s="706" t="str">
        <f>'Revenue summary'!DP$8</f>
      </c>
      <c r="DQ36" s="707" t="str">
        <f>'Revenue summary'!DQ$8</f>
      </c>
      <c r="DR36" s="706" t="str">
        <f>'Revenue summary'!DR$8</f>
      </c>
      <c r="DS36" s="706" t="str">
        <f>'Revenue summary'!DS$8</f>
      </c>
      <c r="DT36" s="706" t="str">
        <f>'Revenue summary'!DT$8</f>
      </c>
      <c r="DU36" s="707" t="str">
        <f>'Revenue summary'!DU$8</f>
      </c>
      <c r="DV36" s="706" t="str">
        <f>'Revenue summary'!DV$8</f>
      </c>
      <c r="DW36" s="706" t="str">
        <f>'Revenue summary'!DW$8</f>
      </c>
      <c r="DX36" s="706" t="str">
        <f>'Revenue summary'!DX$8</f>
      </c>
      <c r="DY36" s="707" t="str">
        <f>'Revenue summary'!DY$8</f>
      </c>
      <c r="DZ36" s="706" t="str">
        <f>'Revenue summary'!DZ$8</f>
      </c>
      <c r="EA36" s="706" t="str">
        <f>'Revenue summary'!EA$8</f>
      </c>
      <c r="EB36" s="706" t="str">
        <f>'Revenue summary'!EB$8</f>
      </c>
      <c r="EC36" s="707" t="str">
        <f>'Revenue summary'!EC$8</f>
      </c>
      <c r="ED36" s="706" t="str">
        <f>'Revenue summary'!ED$8</f>
      </c>
      <c r="EE36" s="706" t="str">
        <f>'Revenue summary'!EE$8</f>
      </c>
      <c r="EF36" s="706" t="str">
        <f>'Revenue summary'!EF$8</f>
      </c>
      <c r="EG36" s="707" t="str">
        <f>'Revenue summary'!EG$8</f>
      </c>
      <c r="EH36" s="706" t="str">
        <f>'Revenue summary'!EH$8</f>
      </c>
      <c r="EI36" s="706" t="str">
        <f>'Revenue summary'!EI$8</f>
      </c>
      <c r="EJ36" s="706" t="str">
        <f>'Revenue summary'!EJ$8</f>
      </c>
      <c r="EK36" s="707" t="str">
        <f>'Revenue summary'!EK$8</f>
      </c>
      <c r="EL36" s="320"/>
      <c r="EM36" s="706">
        <f>EM$10</f>
      </c>
      <c r="EN36" s="706">
        <f t="shared" ref="EN36:GX36" si="277">EN$10</f>
      </c>
      <c r="EO36" s="706">
        <f t="shared" si="277"/>
      </c>
      <c r="EP36" s="706">
        <f t="shared" si="277"/>
      </c>
      <c r="EQ36" s="706">
        <f t="shared" si="277"/>
      </c>
      <c r="ER36" s="706">
        <f t="shared" si="277"/>
      </c>
      <c r="ES36" s="706">
        <f t="shared" si="277"/>
      </c>
      <c r="ET36" s="706">
        <f t="shared" si="277"/>
      </c>
      <c r="EU36" s="706">
        <f t="shared" si="277"/>
      </c>
      <c r="EV36" s="706">
        <f t="shared" si="277"/>
      </c>
      <c r="EW36" s="706">
        <f t="shared" si="277"/>
      </c>
      <c r="EX36" s="706">
        <f t="shared" si="277"/>
      </c>
      <c r="EY36" s="706">
        <f t="shared" si="277"/>
      </c>
      <c r="EZ36" s="706">
        <f t="shared" si="277"/>
      </c>
      <c r="FA36" s="706">
        <f t="shared" si="277"/>
      </c>
      <c r="FB36" s="706">
        <f t="shared" si="277"/>
      </c>
      <c r="FC36" s="706">
        <f t="shared" si="277"/>
      </c>
      <c r="FD36" s="706">
        <f t="shared" si="277"/>
      </c>
      <c r="FE36" s="706" t="str">
        <f t="shared" si="277"/>
      </c>
      <c r="FF36" s="706" t="str">
        <f t="shared" si="277"/>
      </c>
      <c r="FG36" s="706" t="str">
        <f t="shared" si="277"/>
      </c>
      <c r="FH36" s="706" t="str">
        <f t="shared" si="277"/>
      </c>
      <c r="FI36" s="706" t="str">
        <f t="shared" si="277"/>
      </c>
      <c r="FJ36" s="706" t="str">
        <f t="shared" si="277"/>
      </c>
      <c r="FK36" s="706" t="str">
        <f t="shared" si="277"/>
      </c>
      <c r="FL36" s="706" t="str">
        <f t="shared" si="277"/>
      </c>
      <c r="FM36" s="706" t="str">
        <f t="shared" si="277"/>
      </c>
      <c r="FN36" s="706" t="str">
        <f t="shared" si="277"/>
      </c>
      <c r="FO36" s="706" t="str">
        <f t="shared" si="277"/>
      </c>
      <c r="FP36" s="706" t="str">
        <f t="shared" si="277"/>
      </c>
      <c r="FQ36" s="706" t="str">
        <f t="shared" si="277"/>
      </c>
      <c r="FR36" s="706" t="str">
        <f t="shared" si="277"/>
      </c>
      <c r="FS36" s="706" t="str">
        <f t="shared" si="277"/>
      </c>
      <c r="FT36" s="706" t="str">
        <f t="shared" si="277"/>
      </c>
      <c r="FU36" s="706" t="str">
        <f t="shared" si="277"/>
      </c>
      <c r="FV36" s="706"/>
      <c r="FW36" s="706" t="str">
        <f t="shared" si="277"/>
      </c>
      <c r="FX36" s="706" t="str">
        <f t="shared" si="277"/>
      </c>
      <c r="FY36" s="706" t="str">
        <f t="shared" si="277"/>
      </c>
      <c r="FZ36" s="706" t="str">
        <f t="shared" si="277"/>
      </c>
      <c r="GA36" s="706" t="str">
        <f t="shared" si="277"/>
      </c>
      <c r="GB36" s="706" t="str">
        <f t="shared" si="277"/>
      </c>
      <c r="GC36" s="706" t="str">
        <f t="shared" si="277"/>
      </c>
      <c r="GD36" s="706" t="str">
        <f t="shared" si="277"/>
      </c>
      <c r="GE36" s="706" t="str">
        <f t="shared" si="277"/>
      </c>
      <c r="GF36" s="706" t="str">
        <f t="shared" si="277"/>
      </c>
      <c r="GG36" s="706" t="str">
        <f t="shared" si="277"/>
      </c>
      <c r="GH36" s="706" t="str">
        <f t="shared" si="277"/>
      </c>
      <c r="GI36" s="706" t="str">
        <f t="shared" si="277"/>
      </c>
      <c r="GJ36" s="706" t="str">
        <f t="shared" si="277"/>
      </c>
      <c r="GK36" s="706" t="str">
        <f t="shared" si="277"/>
      </c>
      <c r="GL36" s="706" t="str">
        <f t="shared" si="277"/>
      </c>
      <c r="GM36" s="706" t="str">
        <f t="shared" si="277"/>
      </c>
      <c r="GN36" s="706" t="str">
        <f t="shared" si="277"/>
      </c>
      <c r="GO36" s="706" t="str">
        <f t="shared" si="277"/>
      </c>
      <c r="GP36" s="706" t="str">
        <f t="shared" si="277"/>
      </c>
      <c r="GQ36" s="706" t="str">
        <f t="shared" si="277"/>
      </c>
      <c r="GR36" s="706" t="str">
        <f t="shared" si="277"/>
      </c>
      <c r="GS36" s="706" t="str">
        <f t="shared" si="277"/>
      </c>
      <c r="GT36" s="706" t="str">
        <f t="shared" si="277"/>
      </c>
      <c r="GU36" s="706" t="str">
        <f t="shared" si="277"/>
      </c>
      <c r="GV36" s="706" t="str">
        <f t="shared" si="277"/>
      </c>
      <c r="GW36" s="706" t="str">
        <f t="shared" si="277"/>
      </c>
      <c r="GX36" s="706" t="str">
        <f t="shared" si="277"/>
      </c>
      <c r="GY36" s="706" t="str">
        <f t="shared" ref="GY36" si="278">GY$10</f>
      </c>
      <c r="GZ36" s="706" t="str">
        <f t="shared" ref="GZ36:HD36" si="279">GZ$10</f>
      </c>
      <c r="HA36" s="706" t="str">
        <f t="shared" si="279"/>
      </c>
      <c r="HB36" s="706" t="str">
        <f t="shared" si="279"/>
      </c>
      <c r="HC36" s="706" t="str">
        <f t="shared" si="279"/>
      </c>
      <c r="HD36" s="706" t="str">
        <f t="shared" si="279"/>
      </c>
    </row>
    <row r="37" spans="1:212" s="141" customFormat="1" ht="10.199999999999999">
      <c r="A37" s="834" t="s">
        <v>1204</v>
      </c>
      <c r="B37" s="589"/>
      <c r="C37" s="589"/>
      <c r="D37" s="589"/>
      <c r="E37" s="590"/>
      <c r="F37" s="589"/>
      <c r="G37" s="589"/>
      <c r="H37" s="589"/>
      <c r="I37" s="590"/>
      <c r="J37" s="589"/>
      <c r="K37" s="589"/>
      <c r="L37" s="589"/>
      <c r="M37" s="590"/>
      <c r="N37" s="589"/>
      <c r="O37" s="589"/>
      <c r="P37" s="589"/>
      <c r="Q37" s="590"/>
      <c r="R37" s="589"/>
      <c r="S37" s="589"/>
      <c r="T37" s="589"/>
      <c r="U37" s="590"/>
      <c r="V37" s="589"/>
      <c r="W37" s="589"/>
      <c r="X37" s="589"/>
      <c r="Y37" s="590"/>
      <c r="Z37" s="589"/>
      <c r="AA37" s="589"/>
      <c r="AB37" s="589"/>
      <c r="AC37" s="590"/>
      <c r="AD37" s="589"/>
      <c r="AE37" s="589"/>
      <c r="AF37" s="589"/>
      <c r="AG37" s="590"/>
      <c r="AH37" s="589"/>
      <c r="AI37" s="589"/>
      <c r="AJ37" s="589"/>
      <c r="AK37" s="590"/>
      <c r="AL37" s="589"/>
      <c r="AM37" s="589"/>
      <c r="AN37" s="589"/>
      <c r="AO37" s="590"/>
      <c r="AP37" s="589"/>
      <c r="AQ37" s="589"/>
      <c r="AR37" s="589"/>
      <c r="AS37" s="590"/>
      <c r="AT37" s="589"/>
      <c r="AU37" s="589"/>
      <c r="AV37" s="589"/>
      <c r="AW37" s="590"/>
      <c r="AX37" s="589"/>
      <c r="AY37" s="589"/>
      <c r="AZ37" s="589"/>
      <c r="BA37" s="590"/>
      <c r="BB37" s="589"/>
      <c r="BC37" s="589"/>
      <c r="BD37" s="589"/>
      <c r="BE37" s="590"/>
      <c r="BF37" s="589"/>
      <c r="BG37" s="589"/>
      <c r="BH37" s="589"/>
      <c r="BI37" s="590"/>
      <c r="BJ37" s="589"/>
      <c r="BK37" s="589"/>
      <c r="BL37" s="589"/>
      <c r="BM37" s="590"/>
      <c r="BN37" s="589"/>
      <c r="BO37" s="589"/>
      <c r="BP37" s="589"/>
      <c r="BQ37" s="590"/>
      <c r="BR37" s="589"/>
      <c r="BS37" s="589"/>
      <c r="BT37" s="589">
        <f>+BT180/BP180-1</f>
      </c>
      <c r="BU37" s="590">
        <f>+BU180/BQ180-1</f>
      </c>
      <c r="BV37" s="589">
        <f>+BV180/BR180-1</f>
      </c>
      <c r="BW37" s="589">
        <f>+BW180/BS180-1</f>
      </c>
      <c r="BX37" s="589">
        <f>+BX180/BT180-1</f>
      </c>
      <c r="BY37" s="720">
        <v>0.36</v>
      </c>
      <c r="BZ37" s="589">
        <f>+BZ180/BV180-1</f>
      </c>
      <c r="CA37" s="1109">
        <v>0.28999999999999998</v>
      </c>
      <c r="CB37" s="1109">
        <v>0.25</v>
      </c>
      <c r="CC37" s="720">
        <v>0.25</v>
      </c>
      <c r="CD37" s="1109">
        <v>0.27</v>
      </c>
      <c r="CE37" s="1109">
        <v>0.35</v>
      </c>
      <c r="CF37" s="1109">
        <v>0.37</v>
      </c>
      <c r="CG37" s="720">
        <v>0.43</v>
      </c>
      <c r="CH37" s="629">
        <f t="shared" ref="CH37" si="280">IF(ISERROR(CH11/CD11-1),"NA",CH11/CD11-1)</f>
      </c>
      <c r="CI37" s="629">
        <f t="shared" ref="CI37" si="281">IF(ISERROR(CI11/CE11-1),"NA",CI11/CE11-1)</f>
      </c>
      <c r="CJ37" s="589">
        <f t="shared" ref="CJ37" si="282">IF(ISERROR(CJ11/CF11-1),"NA",CJ11/CF11-1)</f>
      </c>
      <c r="CK37" s="590">
        <f t="shared" ref="CK37" si="283">IF(ISERROR(CK11/CG11-1),"NA",CK11/CG11-1)</f>
      </c>
      <c r="CL37" s="589">
        <f t="shared" ref="CL37" si="284">IF(ISERROR(CL11/CH11-1),"NA",CL11/CH11-1)</f>
      </c>
      <c r="CM37" s="589">
        <f t="shared" ref="CM37" si="285">IF(ISERROR(CM11/CI11-1),"NA",CM11/CI11-1)</f>
      </c>
      <c r="CN37" s="589">
        <f t="shared" ref="CN37" si="286">IF(ISERROR(CN11/CJ11-1),"NA",CN11/CJ11-1)</f>
      </c>
      <c r="CO37" s="590">
        <f t="shared" ref="CO37" si="287">IF(ISERROR(CO11/CK11-1),"NA",CO11/CK11-1)</f>
      </c>
      <c r="CP37" s="589">
        <f t="shared" ref="CP37:CY42" si="288">IF(ISERROR(CP11/CL11-1),"NA",CP11/CL11-1)</f>
      </c>
      <c r="CQ37" s="589">
        <f t="shared" si="288"/>
      </c>
      <c r="CR37" s="589">
        <f t="shared" si="288"/>
      </c>
      <c r="CS37" s="590">
        <f t="shared" si="288"/>
      </c>
      <c r="CT37" s="589">
        <f t="shared" si="288"/>
      </c>
      <c r="CU37" s="589">
        <f t="shared" si="288"/>
      </c>
      <c r="CV37" s="589">
        <f t="shared" si="288"/>
      </c>
      <c r="CW37" s="590">
        <f t="shared" si="288"/>
      </c>
      <c r="CX37" s="589">
        <f t="shared" si="288"/>
      </c>
      <c r="CY37" s="589">
        <f t="shared" si="288"/>
      </c>
      <c r="CZ37" s="589">
        <f t="shared" ref="CZ37:DK43" si="289">IF(ISERROR(CZ11/CV11-1),"NA",CZ11/CV11-1)</f>
      </c>
      <c r="DA37" s="590">
        <f t="shared" si="289"/>
      </c>
      <c r="DB37" s="589">
        <f t="shared" si="289"/>
      </c>
      <c r="DC37" s="589">
        <f t="shared" si="289"/>
      </c>
      <c r="DD37" s="589">
        <f t="shared" si="289"/>
      </c>
      <c r="DE37" s="590">
        <f t="shared" si="289"/>
      </c>
      <c r="DF37" s="589">
        <f t="shared" si="289"/>
      </c>
      <c r="DG37" s="589">
        <f t="shared" si="289"/>
      </c>
      <c r="DH37" s="589">
        <f t="shared" si="289"/>
      </c>
      <c r="DI37" s="590">
        <f t="shared" si="289"/>
      </c>
      <c r="DJ37" s="589">
        <f t="shared" si="289"/>
      </c>
      <c r="DK37" s="589">
        <f t="shared" si="289"/>
      </c>
      <c r="DL37" s="589">
        <f t="shared" ref="DL37:DO47" si="290">IF(ISERROR(DL11/DH11-1),"NA",DL11/DH11-1)</f>
      </c>
      <c r="DM37" s="590">
        <f t="shared" si="290"/>
      </c>
      <c r="DN37" s="589">
        <f t="shared" si="290"/>
      </c>
      <c r="DO37" s="589">
        <f t="shared" si="290"/>
      </c>
      <c r="DP37" s="589">
        <f t="shared" ref="DP37:DP47" si="291">IF(ISERROR(DP11/DL11-1),"NA",DP11/DL11-1)</f>
      </c>
      <c r="DQ37" s="590">
        <f t="shared" ref="DQ37:DS42" si="292">IF(ISERROR(DQ11/DM11-1),"NA",DQ11/DM11-1)</f>
      </c>
      <c r="DR37" s="589">
        <f t="shared" si="292"/>
      </c>
      <c r="DS37" s="589">
        <f t="shared" si="292"/>
      </c>
      <c r="DT37" s="589">
        <f t="shared" ref="DT37:EC42" si="293">IF(ISERROR(DT11/DP11-1),"NA",DT11/DP11-1)</f>
      </c>
      <c r="DU37" s="1101">
        <f t="shared" si="293"/>
      </c>
      <c r="DV37" s="589">
        <f t="shared" si="293"/>
      </c>
      <c r="DW37" s="589">
        <f t="shared" si="293"/>
      </c>
      <c r="DX37" s="589">
        <f t="shared" si="293"/>
      </c>
      <c r="DY37" s="1101">
        <f t="shared" si="293"/>
      </c>
      <c r="DZ37" s="589">
        <f t="shared" si="293"/>
      </c>
      <c r="EA37" s="589">
        <f t="shared" si="293"/>
      </c>
      <c r="EB37" s="589">
        <f t="shared" si="293"/>
      </c>
      <c r="EC37" s="1101">
        <f t="shared" si="293"/>
      </c>
      <c r="ED37" s="589">
        <f t="shared" ref="ED37:EK42" si="294">IF(ISERROR(ED11/DZ11-1),"NA",ED11/DZ11-1)</f>
      </c>
      <c r="EE37" s="589">
        <f t="shared" si="294"/>
      </c>
      <c r="EF37" s="589">
        <f t="shared" si="294"/>
      </c>
      <c r="EG37" s="1101">
        <f t="shared" si="294"/>
      </c>
      <c r="EH37" s="589">
        <f t="shared" si="294"/>
      </c>
      <c r="EI37" s="589">
        <f t="shared" si="294"/>
      </c>
      <c r="EJ37" s="589">
        <f t="shared" si="294"/>
      </c>
      <c r="EK37" s="1101">
        <f t="shared" si="294"/>
      </c>
      <c r="EM37" s="1100"/>
      <c r="EN37" s="1100"/>
      <c r="EO37" s="1100"/>
      <c r="EP37" s="1100"/>
      <c r="EQ37" s="1100"/>
      <c r="ER37" s="1100"/>
      <c r="ES37" s="1100"/>
      <c r="ET37" s="1100"/>
      <c r="EU37" s="1100"/>
      <c r="EV37" s="1100"/>
      <c r="EW37" s="1100"/>
      <c r="EX37" s="1100"/>
      <c r="EY37" s="1100"/>
      <c r="EZ37" s="1100"/>
      <c r="FA37" s="1100"/>
      <c r="FB37" s="1100"/>
      <c r="FC37" s="1100"/>
      <c r="FD37" s="1100"/>
      <c r="FE37" s="1100"/>
      <c r="FF37" s="1100">
        <f t="shared" ref="FF37:FQ37" si="295">+FF11/FE11-1</f>
      </c>
      <c r="FG37" s="1100">
        <f t="shared" si="295"/>
      </c>
      <c r="FH37" s="1100">
        <f t="shared" si="295"/>
      </c>
      <c r="FI37" s="1100">
        <f t="shared" si="295"/>
      </c>
      <c r="FJ37" s="1100">
        <f t="shared" si="295"/>
      </c>
      <c r="FK37" s="1100">
        <f t="shared" si="295"/>
      </c>
      <c r="FL37" s="1100">
        <f t="shared" si="295"/>
      </c>
      <c r="FM37" s="1100">
        <f t="shared" si="295"/>
      </c>
      <c r="FN37" s="1100">
        <f t="shared" si="295"/>
      </c>
      <c r="FO37" s="1100">
        <f t="shared" si="295"/>
      </c>
      <c r="FP37" s="1100">
        <f t="shared" si="295"/>
      </c>
      <c r="FQ37" s="1100">
        <f t="shared" si="295"/>
      </c>
      <c r="FR37" s="1100">
        <f t="shared" ref="FR37:FU43" si="296">+FR11/FQ11-1</f>
      </c>
      <c r="FS37" s="1100">
        <f t="shared" si="296"/>
      </c>
      <c r="FT37" s="1100">
        <f t="shared" si="296"/>
      </c>
      <c r="FU37" s="1100">
        <f t="shared" si="296"/>
      </c>
      <c r="FV37" s="1100"/>
      <c r="FW37" s="1100"/>
      <c r="FX37" s="1100"/>
      <c r="FY37" s="1100"/>
      <c r="FZ37" s="1100"/>
      <c r="GA37" s="1100"/>
      <c r="GB37" s="1100"/>
      <c r="GC37" s="1100"/>
      <c r="GD37" s="1100"/>
      <c r="GE37" s="1100"/>
      <c r="GF37" s="1100"/>
      <c r="GG37" s="1100"/>
      <c r="GH37" s="1100"/>
      <c r="GI37" s="1100"/>
      <c r="GJ37" s="1100"/>
      <c r="GK37" s="1100"/>
      <c r="GL37" s="1100"/>
      <c r="GM37" s="1100"/>
      <c r="GN37" s="1100"/>
      <c r="GO37" s="1100"/>
      <c r="GP37" s="1100">
        <f t="shared" ref="GP37:GZ37" si="297">+GP11/GO11-1</f>
      </c>
      <c r="GQ37" s="1100">
        <f t="shared" si="297"/>
      </c>
      <c r="GR37" s="1100">
        <f t="shared" si="297"/>
      </c>
      <c r="GS37" s="1100">
        <f t="shared" si="297"/>
      </c>
      <c r="GT37" s="1100">
        <f t="shared" si="297"/>
      </c>
      <c r="GU37" s="1100">
        <f t="shared" si="297"/>
      </c>
      <c r="GV37" s="1100">
        <f t="shared" si="297"/>
      </c>
      <c r="GW37" s="1100">
        <f t="shared" si="297"/>
      </c>
      <c r="GX37" s="1100">
        <f t="shared" si="297"/>
      </c>
      <c r="GY37" s="1100">
        <f t="shared" si="297"/>
      </c>
      <c r="GZ37" s="1100">
        <f t="shared" si="297"/>
      </c>
      <c r="HA37" s="1100">
        <f t="shared" ref="HA37:HD43" si="298">+HA11/GZ11-1</f>
      </c>
      <c r="HB37" s="1100">
        <f t="shared" si="298"/>
      </c>
      <c r="HC37" s="1100">
        <f t="shared" si="298"/>
      </c>
      <c r="HD37" s="1100">
        <f t="shared" si="298"/>
      </c>
    </row>
    <row r="38" spans="1:212" s="141" customFormat="1" ht="10.199999999999999">
      <c r="A38" s="834" t="s">
        <v>1210</v>
      </c>
      <c r="B38" s="589"/>
      <c r="C38" s="589"/>
      <c r="D38" s="589"/>
      <c r="E38" s="590"/>
      <c r="F38" s="589"/>
      <c r="G38" s="589"/>
      <c r="H38" s="589"/>
      <c r="I38" s="590"/>
      <c r="J38" s="589"/>
      <c r="K38" s="589"/>
      <c r="L38" s="589"/>
      <c r="M38" s="590"/>
      <c r="N38" s="589"/>
      <c r="O38" s="589"/>
      <c r="P38" s="589"/>
      <c r="Q38" s="590"/>
      <c r="R38" s="589"/>
      <c r="S38" s="589"/>
      <c r="T38" s="589"/>
      <c r="U38" s="590"/>
      <c r="V38" s="589"/>
      <c r="W38" s="589"/>
      <c r="X38" s="589"/>
      <c r="Y38" s="590"/>
      <c r="Z38" s="589"/>
      <c r="AA38" s="589"/>
      <c r="AB38" s="589"/>
      <c r="AC38" s="590"/>
      <c r="AD38" s="589"/>
      <c r="AE38" s="589"/>
      <c r="AF38" s="589"/>
      <c r="AG38" s="590"/>
      <c r="AH38" s="589"/>
      <c r="AI38" s="589"/>
      <c r="AJ38" s="589"/>
      <c r="AK38" s="590"/>
      <c r="AL38" s="589"/>
      <c r="AM38" s="589"/>
      <c r="AN38" s="589"/>
      <c r="AO38" s="590"/>
      <c r="AP38" s="589"/>
      <c r="AQ38" s="589"/>
      <c r="AR38" s="589"/>
      <c r="AS38" s="590"/>
      <c r="AT38" s="589"/>
      <c r="AU38" s="589"/>
      <c r="AV38" s="589"/>
      <c r="AW38" s="590"/>
      <c r="AX38" s="589"/>
      <c r="AY38" s="589"/>
      <c r="AZ38" s="589"/>
      <c r="BA38" s="590"/>
      <c r="BB38" s="589"/>
      <c r="BC38" s="589"/>
      <c r="BD38" s="589"/>
      <c r="BE38" s="590"/>
      <c r="BF38" s="589"/>
      <c r="BG38" s="589"/>
      <c r="BH38" s="589"/>
      <c r="BI38" s="590"/>
      <c r="BJ38" s="589"/>
      <c r="BK38" s="589"/>
      <c r="BL38" s="589"/>
      <c r="BM38" s="590"/>
      <c r="BN38" s="589"/>
      <c r="BO38" s="589"/>
      <c r="BP38" s="589"/>
      <c r="BQ38" s="590"/>
      <c r="BR38" s="589"/>
      <c r="BS38" s="589"/>
      <c r="BT38" s="589"/>
      <c r="BU38" s="590"/>
      <c r="BV38" s="629"/>
      <c r="BW38" s="629"/>
      <c r="BX38" s="629"/>
      <c r="BY38" s="844"/>
      <c r="BZ38" s="1110" t="str">
        <f t="shared" ref="BZ38:CO42" si="299">IF(ISERROR(BZ12/BV12-1),"NA",BZ12/BV12-1)</f>
      </c>
      <c r="CA38" s="1110" t="str">
        <f t="shared" si="299"/>
      </c>
      <c r="CB38" s="1110" t="str">
        <f t="shared" si="299"/>
      </c>
      <c r="CC38" s="1111" t="str">
        <f t="shared" si="299"/>
      </c>
      <c r="CD38" s="1110" t="str">
        <f t="shared" si="299"/>
      </c>
      <c r="CE38" s="1110" t="str">
        <f t="shared" si="299"/>
      </c>
      <c r="CF38" s="1110" t="str">
        <f t="shared" si="299"/>
      </c>
      <c r="CG38" s="1111" t="str">
        <f t="shared" si="299"/>
      </c>
      <c r="CH38" s="1110">
        <f t="shared" si="299"/>
      </c>
      <c r="CI38" s="1110">
        <f t="shared" si="299"/>
      </c>
      <c r="CJ38" s="1110">
        <f t="shared" si="299"/>
      </c>
      <c r="CK38" s="1111">
        <f t="shared" si="299"/>
      </c>
      <c r="CL38" s="1110">
        <f t="shared" si="299"/>
      </c>
      <c r="CM38" s="1110">
        <f t="shared" si="299"/>
      </c>
      <c r="CN38" s="1110">
        <f t="shared" si="299"/>
      </c>
      <c r="CO38" s="1111">
        <f t="shared" si="299"/>
      </c>
      <c r="CP38" s="1110">
        <f t="shared" si="288"/>
      </c>
      <c r="CQ38" s="1110">
        <f t="shared" si="288"/>
      </c>
      <c r="CR38" s="1110">
        <f t="shared" si="288"/>
      </c>
      <c r="CS38" s="1111">
        <f t="shared" si="288"/>
      </c>
      <c r="CT38" s="1110">
        <f t="shared" si="288"/>
      </c>
      <c r="CU38" s="1110">
        <f t="shared" si="288"/>
      </c>
      <c r="CV38" s="1110">
        <f t="shared" si="288"/>
      </c>
      <c r="CW38" s="1111">
        <f t="shared" si="288"/>
      </c>
      <c r="CX38" s="1110">
        <f t="shared" si="288"/>
      </c>
      <c r="CY38" s="1110">
        <f t="shared" si="288"/>
      </c>
      <c r="CZ38" s="1110">
        <f t="shared" si="289"/>
      </c>
      <c r="DA38" s="1111">
        <f t="shared" si="289"/>
      </c>
      <c r="DB38" s="1110">
        <f t="shared" si="289"/>
      </c>
      <c r="DC38" s="1110">
        <f t="shared" si="289"/>
      </c>
      <c r="DD38" s="1110">
        <f t="shared" si="289"/>
      </c>
      <c r="DE38" s="1111">
        <f t="shared" si="289"/>
      </c>
      <c r="DF38" s="1110">
        <f t="shared" si="289"/>
      </c>
      <c r="DG38" s="1110">
        <f t="shared" si="289"/>
      </c>
      <c r="DH38" s="1110">
        <f t="shared" si="289"/>
      </c>
      <c r="DI38" s="1111">
        <f t="shared" si="289"/>
      </c>
      <c r="DJ38" s="1110">
        <f t="shared" si="289"/>
      </c>
      <c r="DK38" s="1110">
        <f t="shared" si="289"/>
      </c>
      <c r="DL38" s="1110">
        <f t="shared" si="290"/>
      </c>
      <c r="DM38" s="1111">
        <f t="shared" si="290"/>
      </c>
      <c r="DN38" s="1110">
        <f t="shared" si="290"/>
      </c>
      <c r="DO38" s="1110">
        <f t="shared" si="290"/>
      </c>
      <c r="DP38" s="1110">
        <f t="shared" si="291"/>
      </c>
      <c r="DQ38" s="1111">
        <f t="shared" si="292"/>
      </c>
      <c r="DR38" s="1110">
        <f t="shared" si="292"/>
      </c>
      <c r="DS38" s="1110">
        <f t="shared" si="292"/>
      </c>
      <c r="DT38" s="1110">
        <f t="shared" si="293"/>
      </c>
      <c r="DU38" s="1111">
        <f t="shared" si="293"/>
      </c>
      <c r="DV38" s="1110">
        <f t="shared" si="293"/>
      </c>
      <c r="DW38" s="1110">
        <f t="shared" si="293"/>
      </c>
      <c r="DX38" s="1110">
        <f t="shared" si="293"/>
      </c>
      <c r="DY38" s="1111">
        <f t="shared" si="293"/>
      </c>
      <c r="DZ38" s="1110">
        <f t="shared" si="293"/>
      </c>
      <c r="EA38" s="1110">
        <f t="shared" si="293"/>
      </c>
      <c r="EB38" s="1110">
        <f t="shared" si="293"/>
      </c>
      <c r="EC38" s="1111">
        <f t="shared" si="293"/>
      </c>
      <c r="ED38" s="1110">
        <f t="shared" si="294"/>
      </c>
      <c r="EE38" s="1110">
        <f t="shared" si="294"/>
      </c>
      <c r="EF38" s="1110">
        <f t="shared" si="294"/>
      </c>
      <c r="EG38" s="1111">
        <f t="shared" si="294"/>
      </c>
      <c r="EH38" s="1110">
        <f t="shared" si="294"/>
      </c>
      <c r="EI38" s="1110">
        <f t="shared" si="294"/>
      </c>
      <c r="EJ38" s="1110">
        <f t="shared" si="294"/>
      </c>
      <c r="EK38" s="1111">
        <f t="shared" si="294"/>
      </c>
      <c r="EM38" s="1110"/>
      <c r="EN38" s="1110"/>
      <c r="EO38" s="1110"/>
      <c r="EP38" s="1110"/>
      <c r="EQ38" s="1110"/>
      <c r="ER38" s="1110"/>
      <c r="ES38" s="1110"/>
      <c r="ET38" s="1110"/>
      <c r="EU38" s="1110"/>
      <c r="EV38" s="1110"/>
      <c r="EW38" s="1110"/>
      <c r="EX38" s="1110"/>
      <c r="EY38" s="1110"/>
      <c r="EZ38" s="1110"/>
      <c r="FA38" s="1110"/>
      <c r="FB38" s="1110"/>
      <c r="FC38" s="1110"/>
      <c r="FD38" s="1110"/>
      <c r="FE38" s="1110"/>
      <c r="FF38" s="1110"/>
      <c r="FG38" s="1110"/>
      <c r="FH38" s="1110">
        <f t="shared" ref="FH38:FQ38" si="300">+FH12/FG12-1</f>
      </c>
      <c r="FI38" s="1110">
        <f t="shared" si="300"/>
      </c>
      <c r="FJ38" s="1110">
        <f t="shared" si="300"/>
      </c>
      <c r="FK38" s="1110">
        <f t="shared" si="300"/>
      </c>
      <c r="FL38" s="1110">
        <f t="shared" si="300"/>
      </c>
      <c r="FM38" s="1110">
        <f t="shared" si="300"/>
      </c>
      <c r="FN38" s="1110">
        <f t="shared" si="300"/>
      </c>
      <c r="FO38" s="1110">
        <f t="shared" si="300"/>
      </c>
      <c r="FP38" s="1110">
        <f t="shared" si="300"/>
      </c>
      <c r="FQ38" s="1110">
        <f t="shared" si="300"/>
      </c>
      <c r="FR38" s="1110">
        <f t="shared" si="296"/>
      </c>
      <c r="FS38" s="1110">
        <f t="shared" si="296"/>
      </c>
      <c r="FT38" s="1110">
        <f t="shared" si="296"/>
      </c>
      <c r="FU38" s="1110">
        <f t="shared" si="296"/>
      </c>
      <c r="FV38" s="1110"/>
      <c r="FW38" s="1110"/>
      <c r="FX38" s="1110"/>
      <c r="FY38" s="1110"/>
      <c r="FZ38" s="1110"/>
      <c r="GA38" s="1110"/>
      <c r="GB38" s="1110"/>
      <c r="GC38" s="1110"/>
      <c r="GD38" s="1110"/>
      <c r="GE38" s="1110"/>
      <c r="GF38" s="1110"/>
      <c r="GG38" s="1110"/>
      <c r="GH38" s="1110"/>
      <c r="GI38" s="1110"/>
      <c r="GJ38" s="1110"/>
      <c r="GK38" s="1110"/>
      <c r="GL38" s="1110"/>
      <c r="GM38" s="1110"/>
      <c r="GN38" s="1110"/>
      <c r="GO38" s="1110"/>
      <c r="GP38" s="1110"/>
      <c r="GQ38" s="1110">
        <f t="shared" ref="GQ38:GZ38" si="301">+GQ12/GP12-1</f>
      </c>
      <c r="GR38" s="1110">
        <f t="shared" si="301"/>
      </c>
      <c r="GS38" s="1110">
        <f t="shared" si="301"/>
      </c>
      <c r="GT38" s="1110">
        <f t="shared" si="301"/>
      </c>
      <c r="GU38" s="1110">
        <f t="shared" si="301"/>
      </c>
      <c r="GV38" s="1110">
        <f t="shared" si="301"/>
      </c>
      <c r="GW38" s="1110">
        <f t="shared" si="301"/>
      </c>
      <c r="GX38" s="1110">
        <f t="shared" si="301"/>
      </c>
      <c r="GY38" s="1110">
        <f t="shared" si="301"/>
      </c>
      <c r="GZ38" s="1110">
        <f t="shared" si="301"/>
      </c>
      <c r="HA38" s="1110">
        <f t="shared" si="298"/>
      </c>
      <c r="HB38" s="1110">
        <f t="shared" si="298"/>
      </c>
      <c r="HC38" s="1110">
        <f t="shared" si="298"/>
      </c>
      <c r="HD38" s="1110">
        <f t="shared" si="298"/>
      </c>
    </row>
    <row r="39" spans="1:212" s="141" customFormat="1" ht="10.199999999999999">
      <c r="A39" s="834" t="s">
        <v>1230</v>
      </c>
      <c r="B39" s="589"/>
      <c r="C39" s="589"/>
      <c r="D39" s="589"/>
      <c r="E39" s="590"/>
      <c r="F39" s="589"/>
      <c r="G39" s="589"/>
      <c r="H39" s="589"/>
      <c r="I39" s="590"/>
      <c r="J39" s="589"/>
      <c r="K39" s="589"/>
      <c r="L39" s="589"/>
      <c r="M39" s="590"/>
      <c r="N39" s="589"/>
      <c r="O39" s="589"/>
      <c r="P39" s="589"/>
      <c r="Q39" s="590"/>
      <c r="R39" s="589"/>
      <c r="S39" s="589"/>
      <c r="T39" s="589"/>
      <c r="U39" s="590"/>
      <c r="V39" s="589"/>
      <c r="W39" s="589"/>
      <c r="X39" s="589"/>
      <c r="Y39" s="590"/>
      <c r="Z39" s="589"/>
      <c r="AA39" s="589"/>
      <c r="AB39" s="589"/>
      <c r="AC39" s="590"/>
      <c r="AD39" s="589"/>
      <c r="AE39" s="589"/>
      <c r="AF39" s="589"/>
      <c r="AG39" s="590"/>
      <c r="AH39" s="589"/>
      <c r="AI39" s="589"/>
      <c r="AJ39" s="589"/>
      <c r="AK39" s="590"/>
      <c r="AL39" s="589"/>
      <c r="AM39" s="589"/>
      <c r="AN39" s="589"/>
      <c r="AO39" s="590"/>
      <c r="AP39" s="589"/>
      <c r="AQ39" s="589"/>
      <c r="AR39" s="589"/>
      <c r="AS39" s="590"/>
      <c r="AT39" s="589"/>
      <c r="AU39" s="589"/>
      <c r="AV39" s="589"/>
      <c r="AW39" s="590"/>
      <c r="AX39" s="589"/>
      <c r="AY39" s="589"/>
      <c r="AZ39" s="589"/>
      <c r="BA39" s="590"/>
      <c r="BB39" s="589"/>
      <c r="BC39" s="589"/>
      <c r="BD39" s="589"/>
      <c r="BE39" s="590"/>
      <c r="BF39" s="589"/>
      <c r="BG39" s="589"/>
      <c r="BH39" s="589"/>
      <c r="BI39" s="590"/>
      <c r="BJ39" s="589"/>
      <c r="BK39" s="589"/>
      <c r="BL39" s="589"/>
      <c r="BM39" s="590"/>
      <c r="BN39" s="589"/>
      <c r="BO39" s="589"/>
      <c r="BP39" s="589"/>
      <c r="BQ39" s="590"/>
      <c r="BR39" s="589"/>
      <c r="BS39" s="589"/>
      <c r="BT39" s="589"/>
      <c r="BU39" s="590"/>
      <c r="BV39" s="629"/>
      <c r="BW39" s="629"/>
      <c r="BX39" s="629"/>
      <c r="BY39" s="844"/>
      <c r="BZ39" s="1110" t="str">
        <f t="shared" si="299"/>
      </c>
      <c r="CA39" s="1110" t="str">
        <f t="shared" si="299"/>
      </c>
      <c r="CB39" s="1110" t="str">
        <f t="shared" si="299"/>
      </c>
      <c r="CC39" s="1111" t="str">
        <f t="shared" si="299"/>
      </c>
      <c r="CD39" s="1110" t="str">
        <f t="shared" si="299"/>
      </c>
      <c r="CE39" s="1110" t="str">
        <f t="shared" si="299"/>
      </c>
      <c r="CF39" s="1110" t="str">
        <f t="shared" si="299"/>
      </c>
      <c r="CG39" s="1111" t="str">
        <f t="shared" si="299"/>
      </c>
      <c r="CH39" s="1110" t="str">
        <f t="shared" si="299"/>
      </c>
      <c r="CI39" s="1110" t="str">
        <f t="shared" si="299"/>
      </c>
      <c r="CJ39" s="1110" t="str">
        <f t="shared" si="299"/>
      </c>
      <c r="CK39" s="1111" t="str">
        <f t="shared" si="299"/>
      </c>
      <c r="CL39" s="1110">
        <f t="shared" si="299"/>
      </c>
      <c r="CM39" s="1110">
        <f t="shared" si="299"/>
      </c>
      <c r="CN39" s="1110">
        <f t="shared" si="299"/>
      </c>
      <c r="CO39" s="1111">
        <f t="shared" si="299"/>
      </c>
      <c r="CP39" s="1110">
        <f t="shared" si="288"/>
      </c>
      <c r="CQ39" s="1110">
        <f t="shared" si="288"/>
      </c>
      <c r="CR39" s="1110">
        <f t="shared" si="288"/>
      </c>
      <c r="CS39" s="1111">
        <f t="shared" si="288"/>
      </c>
      <c r="CT39" s="1110">
        <f t="shared" si="288"/>
      </c>
      <c r="CU39" s="1110">
        <f t="shared" si="288"/>
      </c>
      <c r="CV39" s="1110">
        <f t="shared" si="288"/>
      </c>
      <c r="CW39" s="1111">
        <f t="shared" si="288"/>
      </c>
      <c r="CX39" s="1110">
        <f t="shared" si="288"/>
      </c>
      <c r="CY39" s="1110">
        <f t="shared" si="288"/>
      </c>
      <c r="CZ39" s="1110">
        <f t="shared" si="289"/>
      </c>
      <c r="DA39" s="1111">
        <f t="shared" si="289"/>
      </c>
      <c r="DB39" s="1110">
        <f t="shared" si="289"/>
      </c>
      <c r="DC39" s="1110">
        <f t="shared" si="289"/>
      </c>
      <c r="DD39" s="1110">
        <f t="shared" si="289"/>
      </c>
      <c r="DE39" s="1111">
        <f t="shared" si="289"/>
      </c>
      <c r="DF39" s="1110">
        <f t="shared" si="289"/>
      </c>
      <c r="DG39" s="1110">
        <f t="shared" si="289"/>
      </c>
      <c r="DH39" s="1110">
        <f t="shared" si="289"/>
      </c>
      <c r="DI39" s="1111">
        <f t="shared" si="289"/>
      </c>
      <c r="DJ39" s="1110">
        <f t="shared" si="289"/>
      </c>
      <c r="DK39" s="1110">
        <f t="shared" si="289"/>
      </c>
      <c r="DL39" s="1110">
        <f t="shared" si="290"/>
      </c>
      <c r="DM39" s="1111">
        <f t="shared" si="290"/>
      </c>
      <c r="DN39" s="1110">
        <f t="shared" si="290"/>
      </c>
      <c r="DO39" s="1110">
        <f t="shared" si="290"/>
      </c>
      <c r="DP39" s="1110">
        <f t="shared" si="291"/>
      </c>
      <c r="DQ39" s="1111">
        <f t="shared" si="292"/>
      </c>
      <c r="DR39" s="1110">
        <f t="shared" si="292"/>
      </c>
      <c r="DS39" s="1110">
        <f t="shared" si="292"/>
      </c>
      <c r="DT39" s="1110">
        <f t="shared" si="293"/>
      </c>
      <c r="DU39" s="1111">
        <f t="shared" si="293"/>
      </c>
      <c r="DV39" s="1110">
        <f t="shared" si="293"/>
      </c>
      <c r="DW39" s="1110">
        <f t="shared" si="293"/>
      </c>
      <c r="DX39" s="1110">
        <f t="shared" si="293"/>
      </c>
      <c r="DY39" s="1111">
        <f t="shared" si="293"/>
      </c>
      <c r="DZ39" s="1110">
        <f t="shared" si="293"/>
      </c>
      <c r="EA39" s="1110">
        <f t="shared" si="293"/>
      </c>
      <c r="EB39" s="1110">
        <f t="shared" si="293"/>
      </c>
      <c r="EC39" s="1111">
        <f t="shared" si="293"/>
      </c>
      <c r="ED39" s="1110">
        <f t="shared" si="294"/>
      </c>
      <c r="EE39" s="1110">
        <f t="shared" si="294"/>
      </c>
      <c r="EF39" s="1110">
        <f t="shared" si="294"/>
      </c>
      <c r="EG39" s="1111">
        <f t="shared" si="294"/>
      </c>
      <c r="EH39" s="1110">
        <f t="shared" si="294"/>
      </c>
      <c r="EI39" s="1110">
        <f t="shared" si="294"/>
      </c>
      <c r="EJ39" s="1110">
        <f t="shared" si="294"/>
      </c>
      <c r="EK39" s="1111">
        <f t="shared" si="294"/>
      </c>
      <c r="EM39" s="1110"/>
      <c r="EN39" s="1110"/>
      <c r="EO39" s="1110"/>
      <c r="EP39" s="1110"/>
      <c r="EQ39" s="1110"/>
      <c r="ER39" s="1110"/>
      <c r="ES39" s="1110"/>
      <c r="ET39" s="1110"/>
      <c r="EU39" s="1110"/>
      <c r="EV39" s="1110"/>
      <c r="EW39" s="1110"/>
      <c r="EX39" s="1110"/>
      <c r="EY39" s="1110"/>
      <c r="EZ39" s="1110"/>
      <c r="FA39" s="1110"/>
      <c r="FB39" s="1110"/>
      <c r="FC39" s="1110"/>
      <c r="FD39" s="1110"/>
      <c r="FE39" s="1110"/>
      <c r="FF39" s="1110"/>
      <c r="FG39" s="1110"/>
      <c r="FH39" s="1110"/>
      <c r="FI39" s="1110"/>
      <c r="FJ39" s="1110">
        <f t="shared" ref="FJ39:FQ43" si="302">+FJ13/FI13-1</f>
      </c>
      <c r="FK39" s="1110">
        <f t="shared" si="302"/>
      </c>
      <c r="FL39" s="1110">
        <f t="shared" si="302"/>
      </c>
      <c r="FM39" s="1110">
        <f t="shared" si="302"/>
      </c>
      <c r="FN39" s="1110">
        <f t="shared" si="302"/>
      </c>
      <c r="FO39" s="1110">
        <f t="shared" si="302"/>
      </c>
      <c r="FP39" s="1110">
        <f t="shared" si="302"/>
      </c>
      <c r="FQ39" s="1110">
        <f t="shared" si="302"/>
      </c>
      <c r="FR39" s="1110">
        <f t="shared" si="296"/>
      </c>
      <c r="FS39" s="1110">
        <f t="shared" si="296"/>
      </c>
      <c r="FT39" s="1110">
        <f t="shared" si="296"/>
      </c>
      <c r="FU39" s="1110">
        <f t="shared" si="296"/>
      </c>
      <c r="FV39" s="1110"/>
      <c r="FW39" s="1110"/>
      <c r="FX39" s="1110"/>
      <c r="FY39" s="1110"/>
      <c r="FZ39" s="1110"/>
      <c r="GA39" s="1110"/>
      <c r="GB39" s="1110"/>
      <c r="GC39" s="1110"/>
      <c r="GD39" s="1110"/>
      <c r="GE39" s="1110"/>
      <c r="GF39" s="1110"/>
      <c r="GG39" s="1110"/>
      <c r="GH39" s="1110"/>
      <c r="GI39" s="1110"/>
      <c r="GJ39" s="1110"/>
      <c r="GK39" s="1110"/>
      <c r="GL39" s="1110"/>
      <c r="GM39" s="1110"/>
      <c r="GN39" s="1110"/>
      <c r="GO39" s="1110"/>
      <c r="GP39" s="1110"/>
      <c r="GQ39" s="1110"/>
      <c r="GR39" s="1110">
        <f t="shared" ref="GR39:GZ39" si="303">+GR13/GQ13-1</f>
      </c>
      <c r="GS39" s="1110">
        <f t="shared" si="303"/>
      </c>
      <c r="GT39" s="1110">
        <f t="shared" si="303"/>
      </c>
      <c r="GU39" s="1110">
        <f t="shared" si="303"/>
      </c>
      <c r="GV39" s="1110">
        <f t="shared" si="303"/>
      </c>
      <c r="GW39" s="1110">
        <f t="shared" si="303"/>
      </c>
      <c r="GX39" s="1110">
        <f t="shared" si="303"/>
      </c>
      <c r="GY39" s="1110">
        <f t="shared" si="303"/>
      </c>
      <c r="GZ39" s="1110">
        <f t="shared" si="303"/>
      </c>
      <c r="HA39" s="1110">
        <f t="shared" si="298"/>
      </c>
      <c r="HB39" s="1110">
        <f t="shared" si="298"/>
      </c>
      <c r="HC39" s="1110">
        <f t="shared" si="298"/>
      </c>
      <c r="HD39" s="1110">
        <f t="shared" si="298"/>
      </c>
    </row>
    <row r="40" spans="1:212" s="141" customFormat="1" ht="10.199999999999999">
      <c r="A40" s="834" t="s">
        <v>1233</v>
      </c>
      <c r="B40" s="589"/>
      <c r="C40" s="589"/>
      <c r="D40" s="589"/>
      <c r="E40" s="590"/>
      <c r="F40" s="589"/>
      <c r="G40" s="589"/>
      <c r="H40" s="589"/>
      <c r="I40" s="590"/>
      <c r="J40" s="589"/>
      <c r="K40" s="589"/>
      <c r="L40" s="589"/>
      <c r="M40" s="590"/>
      <c r="N40" s="589"/>
      <c r="O40" s="589"/>
      <c r="P40" s="589"/>
      <c r="Q40" s="590"/>
      <c r="R40" s="589"/>
      <c r="S40" s="589"/>
      <c r="T40" s="589"/>
      <c r="U40" s="590"/>
      <c r="V40" s="589"/>
      <c r="W40" s="589"/>
      <c r="X40" s="589"/>
      <c r="Y40" s="590"/>
      <c r="Z40" s="589"/>
      <c r="AA40" s="589"/>
      <c r="AB40" s="589"/>
      <c r="AC40" s="590"/>
      <c r="AD40" s="589"/>
      <c r="AE40" s="589"/>
      <c r="AF40" s="589"/>
      <c r="AG40" s="590"/>
      <c r="AH40" s="589"/>
      <c r="AI40" s="589"/>
      <c r="AJ40" s="589"/>
      <c r="AK40" s="590"/>
      <c r="AL40" s="589"/>
      <c r="AM40" s="589"/>
      <c r="AN40" s="589"/>
      <c r="AO40" s="590"/>
      <c r="AP40" s="589"/>
      <c r="AQ40" s="589"/>
      <c r="AR40" s="589"/>
      <c r="AS40" s="590"/>
      <c r="AT40" s="589"/>
      <c r="AU40" s="589"/>
      <c r="AV40" s="589"/>
      <c r="AW40" s="590"/>
      <c r="AX40" s="589"/>
      <c r="AY40" s="589"/>
      <c r="AZ40" s="589"/>
      <c r="BA40" s="590"/>
      <c r="BB40" s="589"/>
      <c r="BC40" s="589"/>
      <c r="BD40" s="589"/>
      <c r="BE40" s="590"/>
      <c r="BF40" s="589"/>
      <c r="BG40" s="589"/>
      <c r="BH40" s="589"/>
      <c r="BI40" s="590"/>
      <c r="BJ40" s="589"/>
      <c r="BK40" s="589"/>
      <c r="BL40" s="589"/>
      <c r="BM40" s="590"/>
      <c r="BN40" s="589"/>
      <c r="BO40" s="589"/>
      <c r="BP40" s="589"/>
      <c r="BQ40" s="590"/>
      <c r="BR40" s="589"/>
      <c r="BS40" s="589"/>
      <c r="BT40" s="589"/>
      <c r="BU40" s="590"/>
      <c r="BV40" s="629"/>
      <c r="BW40" s="629"/>
      <c r="BX40" s="629"/>
      <c r="BY40" s="844"/>
      <c r="BZ40" s="1110" t="str">
        <f t="shared" si="299"/>
      </c>
      <c r="CA40" s="1110" t="str">
        <f t="shared" si="299"/>
      </c>
      <c r="CB40" s="1110" t="str">
        <f t="shared" si="299"/>
      </c>
      <c r="CC40" s="1111" t="str">
        <f t="shared" si="299"/>
      </c>
      <c r="CD40" s="1110" t="str">
        <f t="shared" si="299"/>
      </c>
      <c r="CE40" s="1110" t="str">
        <f t="shared" si="299"/>
      </c>
      <c r="CF40" s="1110" t="str">
        <f t="shared" si="299"/>
      </c>
      <c r="CG40" s="1111">
        <f t="shared" si="299"/>
      </c>
      <c r="CH40" s="1110">
        <f t="shared" si="299"/>
      </c>
      <c r="CI40" s="1110">
        <f t="shared" si="299"/>
      </c>
      <c r="CJ40" s="1110">
        <f t="shared" si="299"/>
      </c>
      <c r="CK40" s="1111">
        <f t="shared" si="299"/>
      </c>
      <c r="CL40" s="1110">
        <f t="shared" si="299"/>
      </c>
      <c r="CM40" s="1110">
        <f t="shared" si="299"/>
      </c>
      <c r="CN40" s="1110">
        <f t="shared" si="299"/>
      </c>
      <c r="CO40" s="1111">
        <f t="shared" si="299"/>
      </c>
      <c r="CP40" s="1110">
        <f t="shared" si="288"/>
      </c>
      <c r="CQ40" s="1110">
        <f t="shared" si="288"/>
      </c>
      <c r="CR40" s="1110">
        <f t="shared" si="288"/>
      </c>
      <c r="CS40" s="1111">
        <f t="shared" si="288"/>
      </c>
      <c r="CT40" s="1110">
        <f t="shared" si="288"/>
      </c>
      <c r="CU40" s="1110">
        <f t="shared" si="288"/>
      </c>
      <c r="CV40" s="1110">
        <f t="shared" si="288"/>
      </c>
      <c r="CW40" s="1111">
        <f t="shared" si="288"/>
      </c>
      <c r="CX40" s="1110">
        <f t="shared" si="288"/>
      </c>
      <c r="CY40" s="1110">
        <f t="shared" si="288"/>
      </c>
      <c r="CZ40" s="1110">
        <f t="shared" si="289"/>
      </c>
      <c r="DA40" s="1111">
        <f t="shared" si="289"/>
      </c>
      <c r="DB40" s="1110">
        <f t="shared" si="289"/>
      </c>
      <c r="DC40" s="1110">
        <f t="shared" si="289"/>
      </c>
      <c r="DD40" s="1110">
        <f t="shared" si="289"/>
      </c>
      <c r="DE40" s="1111">
        <f t="shared" si="289"/>
      </c>
      <c r="DF40" s="1110">
        <f t="shared" si="289"/>
      </c>
      <c r="DG40" s="1110">
        <f t="shared" si="289"/>
      </c>
      <c r="DH40" s="1110">
        <f t="shared" si="289"/>
      </c>
      <c r="DI40" s="1111">
        <f t="shared" si="289"/>
      </c>
      <c r="DJ40" s="1110">
        <f t="shared" si="289"/>
      </c>
      <c r="DK40" s="1110">
        <f t="shared" si="289"/>
      </c>
      <c r="DL40" s="1110">
        <f t="shared" si="290"/>
      </c>
      <c r="DM40" s="1111">
        <f t="shared" si="290"/>
      </c>
      <c r="DN40" s="1110">
        <f t="shared" si="290"/>
      </c>
      <c r="DO40" s="1110">
        <f t="shared" si="290"/>
      </c>
      <c r="DP40" s="1110">
        <f t="shared" si="291"/>
      </c>
      <c r="DQ40" s="1111">
        <f t="shared" si="292"/>
      </c>
      <c r="DR40" s="1110">
        <f t="shared" si="292"/>
      </c>
      <c r="DS40" s="1110">
        <f t="shared" si="292"/>
      </c>
      <c r="DT40" s="1110">
        <f t="shared" si="293"/>
      </c>
      <c r="DU40" s="1111">
        <f t="shared" si="293"/>
      </c>
      <c r="DV40" s="1110">
        <f t="shared" si="293"/>
      </c>
      <c r="DW40" s="1110">
        <f t="shared" si="293"/>
      </c>
      <c r="DX40" s="1110">
        <f t="shared" si="293"/>
      </c>
      <c r="DY40" s="1111">
        <f t="shared" si="293"/>
      </c>
      <c r="DZ40" s="1110">
        <f t="shared" si="293"/>
      </c>
      <c r="EA40" s="1110">
        <f t="shared" si="293"/>
      </c>
      <c r="EB40" s="1110">
        <f t="shared" si="293"/>
      </c>
      <c r="EC40" s="1111">
        <f t="shared" si="293"/>
      </c>
      <c r="ED40" s="1110">
        <f t="shared" si="294"/>
      </c>
      <c r="EE40" s="1110">
        <f t="shared" si="294"/>
      </c>
      <c r="EF40" s="1110">
        <f t="shared" si="294"/>
      </c>
      <c r="EG40" s="1111">
        <f t="shared" si="294"/>
      </c>
      <c r="EH40" s="1110">
        <f t="shared" si="294"/>
      </c>
      <c r="EI40" s="1110">
        <f t="shared" si="294"/>
      </c>
      <c r="EJ40" s="1110">
        <f t="shared" si="294"/>
      </c>
      <c r="EK40" s="1111">
        <f t="shared" si="294"/>
      </c>
      <c r="EM40" s="1110"/>
      <c r="EN40" s="1110"/>
      <c r="EO40" s="1110"/>
      <c r="EP40" s="1110"/>
      <c r="EQ40" s="1110"/>
      <c r="ER40" s="1110"/>
      <c r="ES40" s="1110"/>
      <c r="ET40" s="1110"/>
      <c r="EU40" s="1110"/>
      <c r="EV40" s="1110"/>
      <c r="EW40" s="1110"/>
      <c r="EX40" s="1110"/>
      <c r="EY40" s="1110"/>
      <c r="EZ40" s="1110"/>
      <c r="FA40" s="1110"/>
      <c r="FB40" s="1110"/>
      <c r="FC40" s="1110"/>
      <c r="FD40" s="1110"/>
      <c r="FE40" s="1110"/>
      <c r="FF40" s="1110"/>
      <c r="FG40" s="1110">
        <f t="shared" ref="FG40:FI41" si="304">+FG14/FF14-1</f>
      </c>
      <c r="FH40" s="1110">
        <f t="shared" si="304"/>
      </c>
      <c r="FI40" s="1110">
        <f t="shared" si="304"/>
      </c>
      <c r="FJ40" s="1110">
        <f t="shared" si="302"/>
      </c>
      <c r="FK40" s="1110">
        <f t="shared" si="302"/>
      </c>
      <c r="FL40" s="1110">
        <f t="shared" si="302"/>
      </c>
      <c r="FM40" s="1110">
        <f t="shared" si="302"/>
      </c>
      <c r="FN40" s="1110">
        <f t="shared" si="302"/>
      </c>
      <c r="FO40" s="1110">
        <f t="shared" si="302"/>
      </c>
      <c r="FP40" s="1110">
        <f t="shared" si="302"/>
      </c>
      <c r="FQ40" s="1110">
        <f t="shared" si="302"/>
      </c>
      <c r="FR40" s="1110">
        <f t="shared" si="296"/>
      </c>
      <c r="FS40" s="1110">
        <f t="shared" si="296"/>
      </c>
      <c r="FT40" s="1110">
        <f t="shared" si="296"/>
      </c>
      <c r="FU40" s="1110">
        <f t="shared" si="296"/>
      </c>
      <c r="FV40" s="1110"/>
      <c r="FW40" s="1110"/>
      <c r="FX40" s="1110"/>
      <c r="FY40" s="1110"/>
      <c r="FZ40" s="1110"/>
      <c r="GA40" s="1110"/>
      <c r="GB40" s="1110"/>
      <c r="GC40" s="1110"/>
      <c r="GD40" s="1110"/>
      <c r="GE40" s="1110"/>
      <c r="GF40" s="1110"/>
      <c r="GG40" s="1110"/>
      <c r="GH40" s="1110"/>
      <c r="GI40" s="1110"/>
      <c r="GJ40" s="1110"/>
      <c r="GK40" s="1110"/>
      <c r="GL40" s="1110"/>
      <c r="GM40" s="1110"/>
      <c r="GN40" s="1110"/>
      <c r="GO40" s="1110"/>
      <c r="GP40" s="1110"/>
      <c r="GQ40" s="1110">
        <f>+GQ14/GP14-1</f>
      </c>
      <c r="GR40" s="1110">
        <f t="shared" ref="GR40:GZ40" si="305">+GR14/GQ14-1</f>
      </c>
      <c r="GS40" s="1110">
        <f t="shared" si="305"/>
      </c>
      <c r="GT40" s="1110">
        <f t="shared" si="305"/>
      </c>
      <c r="GU40" s="1110">
        <f t="shared" si="305"/>
      </c>
      <c r="GV40" s="1110">
        <f t="shared" si="305"/>
      </c>
      <c r="GW40" s="1110">
        <f t="shared" si="305"/>
      </c>
      <c r="GX40" s="1110">
        <f t="shared" si="305"/>
      </c>
      <c r="GY40" s="1110">
        <f t="shared" si="305"/>
      </c>
      <c r="GZ40" s="1110">
        <f t="shared" si="305"/>
      </c>
      <c r="HA40" s="1110">
        <f t="shared" si="298"/>
      </c>
      <c r="HB40" s="1110">
        <f t="shared" si="298"/>
      </c>
      <c r="HC40" s="1110">
        <f t="shared" si="298"/>
      </c>
      <c r="HD40" s="1110">
        <f t="shared" si="298"/>
      </c>
    </row>
    <row r="41" spans="1:212" s="141" customFormat="1" ht="10.199999999999999">
      <c r="A41" s="834" t="s">
        <v>1212</v>
      </c>
      <c r="B41" s="589"/>
      <c r="C41" s="589"/>
      <c r="D41" s="589"/>
      <c r="E41" s="590"/>
      <c r="F41" s="589"/>
      <c r="G41" s="589"/>
      <c r="H41" s="589"/>
      <c r="I41" s="590"/>
      <c r="J41" s="589"/>
      <c r="K41" s="589"/>
      <c r="L41" s="589"/>
      <c r="M41" s="590"/>
      <c r="N41" s="589"/>
      <c r="O41" s="589"/>
      <c r="P41" s="589"/>
      <c r="Q41" s="590"/>
      <c r="R41" s="589"/>
      <c r="S41" s="589"/>
      <c r="T41" s="589"/>
      <c r="U41" s="590"/>
      <c r="V41" s="589"/>
      <c r="W41" s="589"/>
      <c r="X41" s="589"/>
      <c r="Y41" s="590"/>
      <c r="Z41" s="589"/>
      <c r="AA41" s="589"/>
      <c r="AB41" s="589"/>
      <c r="AC41" s="590"/>
      <c r="AD41" s="589"/>
      <c r="AE41" s="589"/>
      <c r="AF41" s="589"/>
      <c r="AG41" s="590"/>
      <c r="AH41" s="589"/>
      <c r="AI41" s="589"/>
      <c r="AJ41" s="589"/>
      <c r="AK41" s="590"/>
      <c r="AL41" s="589"/>
      <c r="AM41" s="589"/>
      <c r="AN41" s="589"/>
      <c r="AO41" s="590"/>
      <c r="AP41" s="589"/>
      <c r="AQ41" s="589"/>
      <c r="AR41" s="589"/>
      <c r="AS41" s="590"/>
      <c r="AT41" s="589"/>
      <c r="AU41" s="589"/>
      <c r="AV41" s="589"/>
      <c r="AW41" s="590"/>
      <c r="AX41" s="589"/>
      <c r="AY41" s="589"/>
      <c r="AZ41" s="589"/>
      <c r="BA41" s="590"/>
      <c r="BB41" s="589"/>
      <c r="BC41" s="589"/>
      <c r="BD41" s="589"/>
      <c r="BE41" s="590"/>
      <c r="BF41" s="589"/>
      <c r="BG41" s="589"/>
      <c r="BH41" s="589"/>
      <c r="BI41" s="590"/>
      <c r="BJ41" s="589"/>
      <c r="BK41" s="589"/>
      <c r="BL41" s="589"/>
      <c r="BM41" s="590"/>
      <c r="BN41" s="589"/>
      <c r="BO41" s="589"/>
      <c r="BP41" s="589"/>
      <c r="BQ41" s="590"/>
      <c r="BR41" s="589"/>
      <c r="BS41" s="589"/>
      <c r="BT41" s="589"/>
      <c r="BU41" s="590"/>
      <c r="BV41" s="629"/>
      <c r="BW41" s="629"/>
      <c r="BX41" s="629"/>
      <c r="BY41" s="844"/>
      <c r="BZ41" s="1110">
        <f t="shared" si="299"/>
      </c>
      <c r="CA41" s="1110">
        <f t="shared" si="299"/>
      </c>
      <c r="CB41" s="1110">
        <f t="shared" si="299"/>
      </c>
      <c r="CC41" s="1111">
        <f t="shared" si="299"/>
      </c>
      <c r="CD41" s="1110">
        <f t="shared" si="299"/>
      </c>
      <c r="CE41" s="1110">
        <f t="shared" si="299"/>
      </c>
      <c r="CF41" s="1110">
        <f t="shared" si="299"/>
      </c>
      <c r="CG41" s="1111">
        <f t="shared" si="299"/>
      </c>
      <c r="CH41" s="1110">
        <f t="shared" si="299"/>
      </c>
      <c r="CI41" s="1110">
        <f t="shared" si="299"/>
      </c>
      <c r="CJ41" s="1110">
        <f t="shared" si="299"/>
      </c>
      <c r="CK41" s="1111">
        <f t="shared" si="299"/>
      </c>
      <c r="CL41" s="1110">
        <f t="shared" si="299"/>
      </c>
      <c r="CM41" s="1110">
        <f t="shared" si="299"/>
      </c>
      <c r="CN41" s="1110">
        <f t="shared" si="299"/>
      </c>
      <c r="CO41" s="1111">
        <f t="shared" si="299"/>
      </c>
      <c r="CP41" s="1110">
        <f t="shared" si="288"/>
      </c>
      <c r="CQ41" s="1110">
        <f t="shared" si="288"/>
      </c>
      <c r="CR41" s="1110">
        <f t="shared" si="288"/>
      </c>
      <c r="CS41" s="1111">
        <f t="shared" si="288"/>
      </c>
      <c r="CT41" s="1110">
        <f t="shared" si="288"/>
      </c>
      <c r="CU41" s="1110">
        <f t="shared" si="288"/>
      </c>
      <c r="CV41" s="1110">
        <f t="shared" si="288"/>
      </c>
      <c r="CW41" s="1111">
        <f t="shared" si="288"/>
      </c>
      <c r="CX41" s="1110">
        <f t="shared" si="288"/>
      </c>
      <c r="CY41" s="1110">
        <f t="shared" si="288"/>
      </c>
      <c r="CZ41" s="1110">
        <f t="shared" si="289"/>
      </c>
      <c r="DA41" s="1111">
        <f t="shared" si="289"/>
      </c>
      <c r="DB41" s="1110">
        <f t="shared" si="289"/>
      </c>
      <c r="DC41" s="1110">
        <f t="shared" si="289"/>
      </c>
      <c r="DD41" s="1110">
        <f t="shared" si="289"/>
      </c>
      <c r="DE41" s="1111">
        <f t="shared" si="289"/>
      </c>
      <c r="DF41" s="1110">
        <f t="shared" si="289"/>
      </c>
      <c r="DG41" s="1110">
        <f t="shared" si="289"/>
      </c>
      <c r="DH41" s="1110">
        <f t="shared" si="289"/>
      </c>
      <c r="DI41" s="1111">
        <f t="shared" si="289"/>
      </c>
      <c r="DJ41" s="1110">
        <f t="shared" si="289"/>
      </c>
      <c r="DK41" s="1110">
        <f t="shared" si="289"/>
      </c>
      <c r="DL41" s="1110">
        <f t="shared" si="290"/>
      </c>
      <c r="DM41" s="1111">
        <f t="shared" si="290"/>
      </c>
      <c r="DN41" s="1110">
        <f t="shared" si="290"/>
      </c>
      <c r="DO41" s="1110">
        <f t="shared" si="290"/>
      </c>
      <c r="DP41" s="1110">
        <f t="shared" si="291"/>
      </c>
      <c r="DQ41" s="1111">
        <f t="shared" si="292"/>
      </c>
      <c r="DR41" s="1110">
        <f t="shared" si="292"/>
      </c>
      <c r="DS41" s="1110">
        <f t="shared" si="292"/>
      </c>
      <c r="DT41" s="1110">
        <f t="shared" si="293"/>
      </c>
      <c r="DU41" s="1111">
        <f t="shared" si="293"/>
      </c>
      <c r="DV41" s="1110">
        <f t="shared" si="293"/>
      </c>
      <c r="DW41" s="1110">
        <f t="shared" si="293"/>
      </c>
      <c r="DX41" s="1110">
        <f t="shared" si="293"/>
      </c>
      <c r="DY41" s="1111">
        <f t="shared" si="293"/>
      </c>
      <c r="DZ41" s="1110">
        <f t="shared" si="293"/>
      </c>
      <c r="EA41" s="1110">
        <f t="shared" si="293"/>
      </c>
      <c r="EB41" s="1110">
        <f t="shared" si="293"/>
      </c>
      <c r="EC41" s="1111">
        <f t="shared" si="293"/>
      </c>
      <c r="ED41" s="1110">
        <f t="shared" si="294"/>
      </c>
      <c r="EE41" s="1110">
        <f t="shared" si="294"/>
      </c>
      <c r="EF41" s="1110">
        <f t="shared" si="294"/>
      </c>
      <c r="EG41" s="1111">
        <f t="shared" si="294"/>
      </c>
      <c r="EH41" s="1110">
        <f t="shared" si="294"/>
      </c>
      <c r="EI41" s="1110">
        <f t="shared" si="294"/>
      </c>
      <c r="EJ41" s="1110">
        <f t="shared" si="294"/>
      </c>
      <c r="EK41" s="1111">
        <f t="shared" si="294"/>
      </c>
      <c r="EM41" s="1110"/>
      <c r="EN41" s="1110"/>
      <c r="EO41" s="1110"/>
      <c r="EP41" s="1110"/>
      <c r="EQ41" s="1110"/>
      <c r="ER41" s="1110"/>
      <c r="ES41" s="1110"/>
      <c r="ET41" s="1110"/>
      <c r="EU41" s="1110"/>
      <c r="EV41" s="1110"/>
      <c r="EW41" s="1110"/>
      <c r="EX41" s="1110"/>
      <c r="EY41" s="1110"/>
      <c r="EZ41" s="1110"/>
      <c r="FA41" s="1110"/>
      <c r="FB41" s="1110"/>
      <c r="FC41" s="1110"/>
      <c r="FD41" s="1110"/>
      <c r="FE41" s="1110"/>
      <c r="FF41" s="1110">
        <f>+FF15/FE15-1</f>
      </c>
      <c r="FG41" s="1110">
        <f t="shared" si="304"/>
      </c>
      <c r="FH41" s="1110">
        <f t="shared" si="304"/>
      </c>
      <c r="FI41" s="1110">
        <f t="shared" si="304"/>
      </c>
      <c r="FJ41" s="1110">
        <f t="shared" si="302"/>
      </c>
      <c r="FK41" s="1110">
        <f t="shared" si="302"/>
      </c>
      <c r="FL41" s="1110">
        <f t="shared" si="302"/>
      </c>
      <c r="FM41" s="1110">
        <f t="shared" si="302"/>
      </c>
      <c r="FN41" s="1110">
        <f t="shared" si="302"/>
      </c>
      <c r="FO41" s="1110">
        <f t="shared" si="302"/>
      </c>
      <c r="FP41" s="1110">
        <f t="shared" si="302"/>
      </c>
      <c r="FQ41" s="1110">
        <f t="shared" si="302"/>
      </c>
      <c r="FR41" s="1110">
        <f t="shared" si="296"/>
      </c>
      <c r="FS41" s="1110">
        <f t="shared" si="296"/>
      </c>
      <c r="FT41" s="1110">
        <f t="shared" si="296"/>
      </c>
      <c r="FU41" s="1110">
        <f t="shared" si="296"/>
      </c>
      <c r="FV41" s="1110"/>
      <c r="FW41" s="1110"/>
      <c r="FX41" s="1110"/>
      <c r="FY41" s="1110"/>
      <c r="FZ41" s="1110"/>
      <c r="GA41" s="1110"/>
      <c r="GB41" s="1110"/>
      <c r="GC41" s="1110"/>
      <c r="GD41" s="1110"/>
      <c r="GE41" s="1110"/>
      <c r="GF41" s="1110"/>
      <c r="GG41" s="1110"/>
      <c r="GH41" s="1110"/>
      <c r="GI41" s="1110"/>
      <c r="GJ41" s="1110"/>
      <c r="GK41" s="1110"/>
      <c r="GL41" s="1110"/>
      <c r="GM41" s="1110"/>
      <c r="GN41" s="1110"/>
      <c r="GO41" s="1110"/>
      <c r="GP41" s="1110">
        <f>+GP15/GO15-1</f>
      </c>
      <c r="GQ41" s="1110">
        <f>+GQ15/GP15-1</f>
      </c>
      <c r="GR41" s="1110">
        <f t="shared" ref="GR41:GZ41" si="306">+GR15/GQ15-1</f>
      </c>
      <c r="GS41" s="1110">
        <f t="shared" si="306"/>
      </c>
      <c r="GT41" s="1110">
        <f t="shared" si="306"/>
      </c>
      <c r="GU41" s="1110">
        <f t="shared" si="306"/>
      </c>
      <c r="GV41" s="1110">
        <f t="shared" si="306"/>
      </c>
      <c r="GW41" s="1110">
        <f t="shared" si="306"/>
      </c>
      <c r="GX41" s="1110">
        <f t="shared" si="306"/>
      </c>
      <c r="GY41" s="1110">
        <f t="shared" si="306"/>
      </c>
      <c r="GZ41" s="1110">
        <f t="shared" si="306"/>
      </c>
      <c r="HA41" s="1110">
        <f t="shared" si="298"/>
      </c>
      <c r="HB41" s="1110">
        <f t="shared" si="298"/>
      </c>
      <c r="HC41" s="1110">
        <f t="shared" si="298"/>
      </c>
      <c r="HD41" s="1110">
        <f t="shared" si="298"/>
      </c>
    </row>
    <row r="42" spans="1:212" s="141" customFormat="1" ht="10.199999999999999">
      <c r="A42" s="834" t="s">
        <v>1231</v>
      </c>
      <c r="B42" s="589"/>
      <c r="C42" s="589"/>
      <c r="D42" s="589"/>
      <c r="E42" s="590"/>
      <c r="F42" s="589"/>
      <c r="G42" s="589"/>
      <c r="H42" s="589"/>
      <c r="I42" s="590"/>
      <c r="J42" s="589"/>
      <c r="K42" s="589"/>
      <c r="L42" s="589"/>
      <c r="M42" s="590"/>
      <c r="N42" s="589"/>
      <c r="O42" s="589"/>
      <c r="P42" s="589"/>
      <c r="Q42" s="590"/>
      <c r="R42" s="589"/>
      <c r="S42" s="589"/>
      <c r="T42" s="589"/>
      <c r="U42" s="590"/>
      <c r="V42" s="589"/>
      <c r="W42" s="589"/>
      <c r="X42" s="589"/>
      <c r="Y42" s="590"/>
      <c r="Z42" s="589"/>
      <c r="AA42" s="589"/>
      <c r="AB42" s="589"/>
      <c r="AC42" s="590"/>
      <c r="AD42" s="589"/>
      <c r="AE42" s="589"/>
      <c r="AF42" s="589"/>
      <c r="AG42" s="590"/>
      <c r="AH42" s="589"/>
      <c r="AI42" s="589"/>
      <c r="AJ42" s="589"/>
      <c r="AK42" s="590"/>
      <c r="AL42" s="589"/>
      <c r="AM42" s="589"/>
      <c r="AN42" s="589"/>
      <c r="AO42" s="590"/>
      <c r="AP42" s="589"/>
      <c r="AQ42" s="589"/>
      <c r="AR42" s="589"/>
      <c r="AS42" s="590"/>
      <c r="AT42" s="589"/>
      <c r="AU42" s="589"/>
      <c r="AV42" s="589"/>
      <c r="AW42" s="590"/>
      <c r="AX42" s="589"/>
      <c r="AY42" s="589"/>
      <c r="AZ42" s="589"/>
      <c r="BA42" s="590"/>
      <c r="BB42" s="589"/>
      <c r="BC42" s="589"/>
      <c r="BD42" s="589"/>
      <c r="BE42" s="590"/>
      <c r="BF42" s="589"/>
      <c r="BG42" s="589"/>
      <c r="BH42" s="589"/>
      <c r="BI42" s="590"/>
      <c r="BJ42" s="589"/>
      <c r="BK42" s="589"/>
      <c r="BL42" s="589"/>
      <c r="BM42" s="590"/>
      <c r="BN42" s="589"/>
      <c r="BO42" s="589"/>
      <c r="BP42" s="589"/>
      <c r="BQ42" s="590"/>
      <c r="BR42" s="589"/>
      <c r="BS42" s="589"/>
      <c r="BT42" s="589"/>
      <c r="BU42" s="590"/>
      <c r="BV42" s="629"/>
      <c r="BW42" s="629"/>
      <c r="BX42" s="629"/>
      <c r="BY42" s="844"/>
      <c r="BZ42" s="1110" t="str">
        <f t="shared" si="299"/>
      </c>
      <c r="CA42" s="1110" t="str">
        <f t="shared" si="299"/>
      </c>
      <c r="CB42" s="1110" t="str">
        <f t="shared" si="299"/>
      </c>
      <c r="CC42" s="1111" t="str">
        <f t="shared" si="299"/>
      </c>
      <c r="CD42" s="1110" t="str">
        <f t="shared" si="299"/>
      </c>
      <c r="CE42" s="1110" t="str">
        <f t="shared" si="299"/>
      </c>
      <c r="CF42" s="1110" t="str">
        <f t="shared" si="299"/>
      </c>
      <c r="CG42" s="1111" t="str">
        <f t="shared" si="299"/>
      </c>
      <c r="CH42" s="1110">
        <f t="shared" si="299"/>
      </c>
      <c r="CI42" s="1110">
        <f t="shared" si="299"/>
      </c>
      <c r="CJ42" s="1110">
        <f t="shared" si="299"/>
      </c>
      <c r="CK42" s="1111">
        <f t="shared" si="299"/>
      </c>
      <c r="CL42" s="1110">
        <f t="shared" si="299"/>
      </c>
      <c r="CM42" s="1110">
        <f t="shared" si="299"/>
      </c>
      <c r="CN42" s="1110">
        <f t="shared" si="299"/>
      </c>
      <c r="CO42" s="1111">
        <f t="shared" si="299"/>
      </c>
      <c r="CP42" s="1110">
        <f t="shared" si="288"/>
      </c>
      <c r="CQ42" s="1110">
        <f t="shared" si="288"/>
      </c>
      <c r="CR42" s="1110">
        <f t="shared" si="288"/>
      </c>
      <c r="CS42" s="1111">
        <f t="shared" si="288"/>
      </c>
      <c r="CT42" s="1110">
        <f t="shared" si="288"/>
      </c>
      <c r="CU42" s="1110">
        <f t="shared" si="288"/>
      </c>
      <c r="CV42" s="1110">
        <f t="shared" si="288"/>
      </c>
      <c r="CW42" s="1111">
        <f t="shared" si="288"/>
      </c>
      <c r="CX42" s="1110">
        <f t="shared" si="288"/>
      </c>
      <c r="CY42" s="1110">
        <f t="shared" si="288"/>
      </c>
      <c r="CZ42" s="1110">
        <f t="shared" si="289"/>
      </c>
      <c r="DA42" s="1111">
        <f t="shared" si="289"/>
      </c>
      <c r="DB42" s="1110">
        <f t="shared" si="289"/>
      </c>
      <c r="DC42" s="1110">
        <f t="shared" si="289"/>
      </c>
      <c r="DD42" s="1110">
        <f t="shared" si="289"/>
      </c>
      <c r="DE42" s="1111">
        <f t="shared" si="289"/>
      </c>
      <c r="DF42" s="1110">
        <f t="shared" si="289"/>
      </c>
      <c r="DG42" s="1110">
        <f t="shared" si="289"/>
      </c>
      <c r="DH42" s="1110">
        <f t="shared" si="289"/>
      </c>
      <c r="DI42" s="1111">
        <f t="shared" si="289"/>
      </c>
      <c r="DJ42" s="1110">
        <f t="shared" si="289"/>
      </c>
      <c r="DK42" s="1110">
        <f t="shared" si="289"/>
      </c>
      <c r="DL42" s="1110">
        <f t="shared" si="290"/>
      </c>
      <c r="DM42" s="1111">
        <f t="shared" si="290"/>
      </c>
      <c r="DN42" s="1110">
        <f t="shared" si="290"/>
      </c>
      <c r="DO42" s="1110">
        <f t="shared" si="290"/>
      </c>
      <c r="DP42" s="1110">
        <f t="shared" si="291"/>
      </c>
      <c r="DQ42" s="1111">
        <f t="shared" si="292"/>
      </c>
      <c r="DR42" s="1110">
        <f t="shared" si="292"/>
      </c>
      <c r="DS42" s="1110">
        <f t="shared" si="292"/>
      </c>
      <c r="DT42" s="1110">
        <f t="shared" si="293"/>
      </c>
      <c r="DU42" s="1111">
        <f t="shared" si="293"/>
      </c>
      <c r="DV42" s="1110">
        <f t="shared" si="293"/>
      </c>
      <c r="DW42" s="1110">
        <f t="shared" si="293"/>
      </c>
      <c r="DX42" s="1110">
        <f t="shared" si="293"/>
      </c>
      <c r="DY42" s="1111">
        <f t="shared" si="293"/>
      </c>
      <c r="DZ42" s="1110">
        <f t="shared" si="293"/>
      </c>
      <c r="EA42" s="1110">
        <f t="shared" si="293"/>
      </c>
      <c r="EB42" s="1110">
        <f t="shared" si="293"/>
      </c>
      <c r="EC42" s="1111">
        <f t="shared" si="293"/>
      </c>
      <c r="ED42" s="1110">
        <f t="shared" si="294"/>
      </c>
      <c r="EE42" s="1110">
        <f t="shared" si="294"/>
      </c>
      <c r="EF42" s="1110">
        <f t="shared" si="294"/>
      </c>
      <c r="EG42" s="1111">
        <f t="shared" si="294"/>
      </c>
      <c r="EH42" s="1110">
        <f t="shared" si="294"/>
      </c>
      <c r="EI42" s="1110">
        <f t="shared" si="294"/>
      </c>
      <c r="EJ42" s="1110">
        <f t="shared" si="294"/>
      </c>
      <c r="EK42" s="1111">
        <f t="shared" si="294"/>
      </c>
      <c r="EM42" s="1110"/>
      <c r="EN42" s="1110"/>
      <c r="EO42" s="1110"/>
      <c r="EP42" s="1110"/>
      <c r="EQ42" s="1110"/>
      <c r="ER42" s="1110"/>
      <c r="ES42" s="1110"/>
      <c r="ET42" s="1110"/>
      <c r="EU42" s="1110"/>
      <c r="EV42" s="1110"/>
      <c r="EW42" s="1110"/>
      <c r="EX42" s="1110"/>
      <c r="EY42" s="1110"/>
      <c r="EZ42" s="1110"/>
      <c r="FA42" s="1110"/>
      <c r="FB42" s="1110"/>
      <c r="FC42" s="1110"/>
      <c r="FD42" s="1110"/>
      <c r="FE42" s="1110"/>
      <c r="FF42" s="1110"/>
      <c r="FG42" s="1110"/>
      <c r="FH42" s="1110">
        <f>+FH16/FG16-1</f>
      </c>
      <c r="FI42" s="1110">
        <f>+FI16/FH16-1</f>
      </c>
      <c r="FJ42" s="1110">
        <f t="shared" si="302"/>
      </c>
      <c r="FK42" s="1110">
        <f t="shared" si="302"/>
      </c>
      <c r="FL42" s="1110">
        <f t="shared" si="302"/>
      </c>
      <c r="FM42" s="1110">
        <f t="shared" si="302"/>
      </c>
      <c r="FN42" s="1110">
        <f t="shared" si="302"/>
      </c>
      <c r="FO42" s="1110">
        <f t="shared" si="302"/>
      </c>
      <c r="FP42" s="1110">
        <f t="shared" si="302"/>
      </c>
      <c r="FQ42" s="1110">
        <f t="shared" si="302"/>
      </c>
      <c r="FR42" s="1110">
        <f t="shared" si="296"/>
      </c>
      <c r="FS42" s="1110">
        <f t="shared" si="296"/>
      </c>
      <c r="FT42" s="1110">
        <f t="shared" si="296"/>
      </c>
      <c r="FU42" s="1110">
        <f t="shared" si="296"/>
      </c>
      <c r="FV42" s="1110"/>
      <c r="FW42" s="1110"/>
      <c r="FX42" s="1110"/>
      <c r="FY42" s="1110"/>
      <c r="FZ42" s="1110"/>
      <c r="GA42" s="1110"/>
      <c r="GB42" s="1110"/>
      <c r="GC42" s="1110"/>
      <c r="GD42" s="1110"/>
      <c r="GE42" s="1110"/>
      <c r="GF42" s="1110"/>
      <c r="GG42" s="1110"/>
      <c r="GH42" s="1110"/>
      <c r="GI42" s="1110"/>
      <c r="GJ42" s="1110"/>
      <c r="GK42" s="1110"/>
      <c r="GL42" s="1110"/>
      <c r="GM42" s="1110"/>
      <c r="GN42" s="1110"/>
      <c r="GO42" s="1110"/>
      <c r="GP42" s="1110"/>
      <c r="GQ42" s="1110">
        <f>+GQ16/GP16-1</f>
      </c>
      <c r="GR42" s="1110">
        <f t="shared" ref="GR42:GZ42" si="307">+GR16/GQ16-1</f>
      </c>
      <c r="GS42" s="1110">
        <f t="shared" si="307"/>
      </c>
      <c r="GT42" s="1110">
        <f t="shared" si="307"/>
      </c>
      <c r="GU42" s="1110">
        <f t="shared" si="307"/>
      </c>
      <c r="GV42" s="1110">
        <f t="shared" si="307"/>
      </c>
      <c r="GW42" s="1110">
        <f t="shared" si="307"/>
      </c>
      <c r="GX42" s="1110">
        <f t="shared" si="307"/>
      </c>
      <c r="GY42" s="1110">
        <f t="shared" si="307"/>
      </c>
      <c r="GZ42" s="1110">
        <f t="shared" si="307"/>
      </c>
      <c r="HA42" s="1110">
        <f t="shared" si="298"/>
      </c>
      <c r="HB42" s="1110">
        <f t="shared" si="298"/>
      </c>
      <c r="HC42" s="1110">
        <f t="shared" si="298"/>
      </c>
      <c r="HD42" s="1110">
        <f t="shared" si="298"/>
      </c>
    </row>
    <row r="43" spans="1:212" s="141" customFormat="1" ht="10.199999999999999">
      <c r="A43" s="834" t="str">
        <f>A17</f>
      </c>
      <c r="B43" s="589"/>
      <c r="C43" s="589"/>
      <c r="D43" s="589"/>
      <c r="E43" s="590"/>
      <c r="F43" s="589"/>
      <c r="G43" s="589"/>
      <c r="H43" s="589"/>
      <c r="I43" s="590"/>
      <c r="J43" s="589"/>
      <c r="K43" s="589"/>
      <c r="L43" s="589"/>
      <c r="M43" s="590"/>
      <c r="N43" s="589"/>
      <c r="O43" s="589"/>
      <c r="P43" s="589"/>
      <c r="Q43" s="590"/>
      <c r="R43" s="589"/>
      <c r="S43" s="589"/>
      <c r="T43" s="589"/>
      <c r="U43" s="590"/>
      <c r="V43" s="589"/>
      <c r="W43" s="589"/>
      <c r="X43" s="589"/>
      <c r="Y43" s="590"/>
      <c r="Z43" s="589"/>
      <c r="AA43" s="589"/>
      <c r="AB43" s="589"/>
      <c r="AC43" s="590"/>
      <c r="AD43" s="589"/>
      <c r="AE43" s="589"/>
      <c r="AF43" s="589"/>
      <c r="AG43" s="590"/>
      <c r="AH43" s="589"/>
      <c r="AI43" s="589"/>
      <c r="AJ43" s="589"/>
      <c r="AK43" s="590"/>
      <c r="AL43" s="589"/>
      <c r="AM43" s="589"/>
      <c r="AN43" s="589"/>
      <c r="AO43" s="590"/>
      <c r="AP43" s="589"/>
      <c r="AQ43" s="589"/>
      <c r="AR43" s="589"/>
      <c r="AS43" s="590"/>
      <c r="AT43" s="589"/>
      <c r="AU43" s="589"/>
      <c r="AV43" s="589"/>
      <c r="AW43" s="590"/>
      <c r="AX43" s="589"/>
      <c r="AY43" s="589"/>
      <c r="AZ43" s="589"/>
      <c r="BA43" s="590"/>
      <c r="BB43" s="589"/>
      <c r="BC43" s="589"/>
      <c r="BD43" s="589"/>
      <c r="BE43" s="590"/>
      <c r="BF43" s="589"/>
      <c r="BG43" s="589"/>
      <c r="BH43" s="589"/>
      <c r="BI43" s="590"/>
      <c r="BJ43" s="589"/>
      <c r="BK43" s="589"/>
      <c r="BL43" s="589"/>
      <c r="BM43" s="590"/>
      <c r="BN43" s="589"/>
      <c r="BO43" s="589"/>
      <c r="BP43" s="589"/>
      <c r="BQ43" s="590"/>
      <c r="BR43" s="589"/>
      <c r="BS43" s="589"/>
      <c r="BT43" s="589"/>
      <c r="BU43" s="590"/>
      <c r="BV43" s="629"/>
      <c r="BW43" s="629"/>
      <c r="BX43" s="629"/>
      <c r="BY43" s="844"/>
      <c r="BZ43" s="1110"/>
      <c r="CA43" s="1110"/>
      <c r="CB43" s="1110"/>
      <c r="CC43" s="1111"/>
      <c r="CD43" s="1110"/>
      <c r="CE43" s="1110"/>
      <c r="CF43" s="1110"/>
      <c r="CG43" s="1111"/>
      <c r="CH43" s="1110"/>
      <c r="CI43" s="1110"/>
      <c r="CJ43" s="1110"/>
      <c r="CK43" s="1111"/>
      <c r="CL43" s="1110"/>
      <c r="CM43" s="1110"/>
      <c r="CN43" s="1110"/>
      <c r="CO43" s="1111"/>
      <c r="CP43" s="1110">
        <f t="shared" ref="CP43" si="308">IF(ISERROR(CP17/CL17-1),"NA",CP17/CL17-1)</f>
      </c>
      <c r="CQ43" s="1110">
        <f t="shared" ref="CQ43" si="309">IF(ISERROR(CQ17/CM17-1),"NA",CQ17/CM17-1)</f>
      </c>
      <c r="CR43" s="1110">
        <f t="shared" ref="CR43" si="310">IF(ISERROR(CR17/CN17-1),"NA",CR17/CN17-1)</f>
      </c>
      <c r="CS43" s="1111">
        <f t="shared" ref="CS43" si="311">IF(ISERROR(CS17/CO17-1),"NA",CS17/CO17-1)</f>
      </c>
      <c r="CT43" s="1110">
        <f t="shared" ref="CT43" si="312">IF(ISERROR(CT17/CP17-1),"NA",CT17/CP17-1)</f>
      </c>
      <c r="CU43" s="1110">
        <f t="shared" ref="CU43" si="313">IF(ISERROR(CU17/CQ17-1),"NA",CU17/CQ17-1)</f>
      </c>
      <c r="CV43" s="1110">
        <f t="shared" ref="CV43" si="314">IF(ISERROR(CV17/CR17-1),"NA",CV17/CR17-1)</f>
      </c>
      <c r="CW43" s="1111">
        <f t="shared" ref="CW43" si="315">IF(ISERROR(CW17/CS17-1),"NA",CW17/CS17-1)</f>
      </c>
      <c r="CX43" s="1110">
        <f t="shared" ref="CX43" si="316">IF(ISERROR(CX17/CT17-1),"NA",CX17/CT17-1)</f>
      </c>
      <c r="CY43" s="1110">
        <f t="shared" ref="CY43" si="317">IF(ISERROR(CY17/CU17-1),"NA",CY17/CU17-1)</f>
      </c>
      <c r="CZ43" s="1110">
        <f t="shared" ref="CZ43" si="318">IF(ISERROR(CZ17/CV17-1),"NA",CZ17/CV17-1)</f>
      </c>
      <c r="DA43" s="1111">
        <f t="shared" ref="DA43" si="319">IF(ISERROR(DA17/CW17-1),"NA",DA17/CW17-1)</f>
      </c>
      <c r="DB43" s="1110">
        <f t="shared" ref="DB43" si="320">IF(ISERROR(DB17/CX17-1),"NA",DB17/CX17-1)</f>
      </c>
      <c r="DC43" s="1110">
        <f t="shared" ref="DC43" si="321">IF(ISERROR(DC17/CY17-1),"NA",DC17/CY17-1)</f>
      </c>
      <c r="DD43" s="1110">
        <f t="shared" ref="DD43" si="322">IF(ISERROR(DD17/CZ17-1),"NA",DD17/CZ17-1)</f>
      </c>
      <c r="DE43" s="1111">
        <f t="shared" ref="DE43" si="323">IF(ISERROR(DE17/DA17-1),"NA",DE17/DA17-1)</f>
      </c>
      <c r="DF43" s="1110">
        <f t="shared" ref="DF43" si="324">IF(ISERROR(DF17/DB17-1),"NA",DF17/DB17-1)</f>
      </c>
      <c r="DG43" s="1110">
        <f t="shared" ref="DG43" si="325">IF(ISERROR(DG17/DC17-1),"NA",DG17/DC17-1)</f>
      </c>
      <c r="DH43" s="1110">
        <f t="shared" ref="DH43" si="326">IF(ISERROR(DH17/DD17-1),"NA",DH17/DD17-1)</f>
      </c>
      <c r="DI43" s="1111">
        <f t="shared" ref="DI43" si="327">IF(ISERROR(DI17/DE17-1),"NA",DI17/DE17-1)</f>
      </c>
      <c r="DJ43" s="1110">
        <f t="shared" si="289"/>
      </c>
      <c r="DK43" s="1110">
        <f t="shared" si="289"/>
      </c>
      <c r="DL43" s="1110">
        <f t="shared" si="290"/>
      </c>
      <c r="DM43" s="1111">
        <f t="shared" si="290"/>
      </c>
      <c r="DN43" s="1110">
        <f t="shared" si="290"/>
      </c>
      <c r="DO43" s="1110">
        <f t="shared" si="290"/>
      </c>
      <c r="DP43" s="1110">
        <f t="shared" si="291"/>
      </c>
      <c r="DQ43" s="1111">
        <f t="shared" ref="DQ43:EK43" si="328">IF(ISERROR(DQ17/DM17-1),"NA",DQ17/DM17-1)</f>
      </c>
      <c r="DR43" s="1110">
        <f t="shared" si="328"/>
      </c>
      <c r="DS43" s="1110">
        <f t="shared" si="328"/>
      </c>
      <c r="DT43" s="1110">
        <f t="shared" si="328"/>
      </c>
      <c r="DU43" s="1111">
        <f t="shared" si="328"/>
      </c>
      <c r="DV43" s="1110">
        <f t="shared" si="328"/>
      </c>
      <c r="DW43" s="1110">
        <f t="shared" si="328"/>
      </c>
      <c r="DX43" s="1110">
        <f t="shared" si="328"/>
      </c>
      <c r="DY43" s="1111">
        <f t="shared" si="328"/>
      </c>
      <c r="DZ43" s="1110">
        <f t="shared" si="328"/>
      </c>
      <c r="EA43" s="1110">
        <f t="shared" si="328"/>
      </c>
      <c r="EB43" s="1110">
        <f t="shared" si="328"/>
      </c>
      <c r="EC43" s="1111">
        <f t="shared" si="328"/>
      </c>
      <c r="ED43" s="1110">
        <f t="shared" si="328"/>
      </c>
      <c r="EE43" s="1110">
        <f t="shared" si="328"/>
      </c>
      <c r="EF43" s="1110">
        <f t="shared" si="328"/>
      </c>
      <c r="EG43" s="1111">
        <f t="shared" si="328"/>
      </c>
      <c r="EH43" s="1110">
        <f t="shared" si="328"/>
      </c>
      <c r="EI43" s="1110">
        <f t="shared" si="328"/>
      </c>
      <c r="EJ43" s="1110">
        <f t="shared" si="328"/>
      </c>
      <c r="EK43" s="1111">
        <f t="shared" si="328"/>
      </c>
      <c r="EM43" s="1110"/>
      <c r="EN43" s="1110"/>
      <c r="EO43" s="1110"/>
      <c r="EP43" s="1110"/>
      <c r="EQ43" s="1110"/>
      <c r="ER43" s="1110"/>
      <c r="ES43" s="1110"/>
      <c r="ET43" s="1110"/>
      <c r="EU43" s="1110"/>
      <c r="EV43" s="1110"/>
      <c r="EW43" s="1110"/>
      <c r="EX43" s="1110"/>
      <c r="EY43" s="1110"/>
      <c r="EZ43" s="1110"/>
      <c r="FA43" s="1110"/>
      <c r="FB43" s="1110"/>
      <c r="FC43" s="1110"/>
      <c r="FD43" s="1110"/>
      <c r="FE43" s="1110"/>
      <c r="FF43" s="1110"/>
      <c r="FG43" s="1110"/>
      <c r="FH43" s="1110"/>
      <c r="FI43" s="1110"/>
      <c r="FJ43" s="1110">
        <f t="shared" si="302"/>
      </c>
      <c r="FK43" s="1110">
        <f t="shared" si="302"/>
      </c>
      <c r="FL43" s="1110">
        <f t="shared" si="302"/>
      </c>
      <c r="FM43" s="1110">
        <f t="shared" si="302"/>
      </c>
      <c r="FN43" s="1110">
        <f t="shared" si="302"/>
      </c>
      <c r="FO43" s="1110">
        <f t="shared" si="302"/>
      </c>
      <c r="FP43" s="1110">
        <f t="shared" si="302"/>
      </c>
      <c r="FQ43" s="1110">
        <f t="shared" si="302"/>
      </c>
      <c r="FR43" s="1110">
        <f t="shared" si="296"/>
      </c>
      <c r="FS43" s="1110">
        <f t="shared" si="296"/>
      </c>
      <c r="FT43" s="1110">
        <f t="shared" si="296"/>
      </c>
      <c r="FU43" s="1110">
        <f t="shared" si="296"/>
      </c>
      <c r="FV43" s="1110"/>
      <c r="FW43" s="1110"/>
      <c r="FX43" s="1110"/>
      <c r="FY43" s="1110"/>
      <c r="FZ43" s="1110"/>
      <c r="GA43" s="1110"/>
      <c r="GB43" s="1110"/>
      <c r="GC43" s="1110"/>
      <c r="GD43" s="1110"/>
      <c r="GE43" s="1110"/>
      <c r="GF43" s="1110"/>
      <c r="GG43" s="1110"/>
      <c r="GH43" s="1110"/>
      <c r="GI43" s="1110"/>
      <c r="GJ43" s="1110"/>
      <c r="GK43" s="1110"/>
      <c r="GL43" s="1110"/>
      <c r="GM43" s="1110"/>
      <c r="GN43" s="1110"/>
      <c r="GO43" s="1110"/>
      <c r="GP43" s="1110"/>
      <c r="GQ43" s="1110"/>
      <c r="GR43" s="1110"/>
      <c r="GS43" s="1110">
        <f t="shared" ref="GS43:GZ43" si="329">+GS17/GR17-1</f>
      </c>
      <c r="GT43" s="1110">
        <f t="shared" si="329"/>
      </c>
      <c r="GU43" s="1110">
        <f t="shared" si="329"/>
      </c>
      <c r="GV43" s="1110">
        <f t="shared" si="329"/>
      </c>
      <c r="GW43" s="1110">
        <f t="shared" si="329"/>
      </c>
      <c r="GX43" s="1110">
        <f t="shared" si="329"/>
      </c>
      <c r="GY43" s="1110">
        <f t="shared" si="329"/>
      </c>
      <c r="GZ43" s="1110">
        <f t="shared" si="329"/>
      </c>
      <c r="HA43" s="1110">
        <f t="shared" si="298"/>
      </c>
      <c r="HB43" s="1110">
        <f t="shared" si="298"/>
      </c>
      <c r="HC43" s="1110">
        <f t="shared" si="298"/>
      </c>
      <c r="HD43" s="1110">
        <f t="shared" si="298"/>
      </c>
    </row>
    <row r="44" spans="1:212" s="141" customFormat="1" ht="10.199999999999999">
      <c r="A44" s="834" t="str">
        <f>A18</f>
      </c>
      <c r="B44" s="589"/>
      <c r="C44" s="589"/>
      <c r="D44" s="589"/>
      <c r="E44" s="590"/>
      <c r="F44" s="589"/>
      <c r="G44" s="589"/>
      <c r="H44" s="589"/>
      <c r="I44" s="590"/>
      <c r="J44" s="589"/>
      <c r="K44" s="589"/>
      <c r="L44" s="589"/>
      <c r="M44" s="590"/>
      <c r="N44" s="589"/>
      <c r="O44" s="589"/>
      <c r="P44" s="589"/>
      <c r="Q44" s="590"/>
      <c r="R44" s="589"/>
      <c r="S44" s="589"/>
      <c r="T44" s="589"/>
      <c r="U44" s="590"/>
      <c r="V44" s="589"/>
      <c r="W44" s="589"/>
      <c r="X44" s="589"/>
      <c r="Y44" s="590"/>
      <c r="Z44" s="589"/>
      <c r="AA44" s="589"/>
      <c r="AB44" s="589"/>
      <c r="AC44" s="590"/>
      <c r="AD44" s="589"/>
      <c r="AE44" s="589"/>
      <c r="AF44" s="589"/>
      <c r="AG44" s="590"/>
      <c r="AH44" s="589"/>
      <c r="AI44" s="589"/>
      <c r="AJ44" s="589"/>
      <c r="AK44" s="590"/>
      <c r="AL44" s="589"/>
      <c r="AM44" s="589"/>
      <c r="AN44" s="589"/>
      <c r="AO44" s="590"/>
      <c r="AP44" s="589"/>
      <c r="AQ44" s="589"/>
      <c r="AR44" s="589"/>
      <c r="AS44" s="590"/>
      <c r="AT44" s="589"/>
      <c r="AU44" s="589"/>
      <c r="AV44" s="589"/>
      <c r="AW44" s="590"/>
      <c r="AX44" s="589"/>
      <c r="AY44" s="589"/>
      <c r="AZ44" s="589"/>
      <c r="BA44" s="590"/>
      <c r="BB44" s="589"/>
      <c r="BC44" s="589"/>
      <c r="BD44" s="589"/>
      <c r="BE44" s="590"/>
      <c r="BF44" s="589"/>
      <c r="BG44" s="589"/>
      <c r="BH44" s="589"/>
      <c r="BI44" s="590"/>
      <c r="BJ44" s="589"/>
      <c r="BK44" s="589"/>
      <c r="BL44" s="589"/>
      <c r="BM44" s="590"/>
      <c r="BN44" s="589"/>
      <c r="BO44" s="589"/>
      <c r="BP44" s="589"/>
      <c r="BQ44" s="590"/>
      <c r="BR44" s="589"/>
      <c r="BS44" s="589"/>
      <c r="BT44" s="589"/>
      <c r="BU44" s="590"/>
      <c r="BV44" s="629"/>
      <c r="BW44" s="629"/>
      <c r="BX44" s="629"/>
      <c r="BY44" s="844"/>
      <c r="BZ44" s="1110"/>
      <c r="CA44" s="1110"/>
      <c r="CB44" s="1110"/>
      <c r="CC44" s="1111"/>
      <c r="CD44" s="1110"/>
      <c r="CE44" s="1110"/>
      <c r="CF44" s="1110"/>
      <c r="CG44" s="1111"/>
      <c r="CH44" s="1110"/>
      <c r="CI44" s="1110"/>
      <c r="CJ44" s="1110"/>
      <c r="CK44" s="1111"/>
      <c r="CL44" s="1110"/>
      <c r="CM44" s="1110"/>
      <c r="CN44" s="1110"/>
      <c r="CO44" s="1111"/>
      <c r="CP44" s="1110" t="str">
        <f t="shared" ref="CP44:DK44" si="330">IF(ISERROR(CP18/CL18-1),"NA",CP18/CL18-1)</f>
      </c>
      <c r="CQ44" s="1110" t="str">
        <f t="shared" si="330"/>
      </c>
      <c r="CR44" s="1110" t="str">
        <f t="shared" si="330"/>
      </c>
      <c r="CS44" s="1111" t="str">
        <f t="shared" si="330"/>
      </c>
      <c r="CT44" s="1110">
        <f t="shared" si="330"/>
      </c>
      <c r="CU44" s="1110">
        <f t="shared" si="330"/>
      </c>
      <c r="CV44" s="1110">
        <f t="shared" si="330"/>
      </c>
      <c r="CW44" s="1111">
        <f t="shared" si="330"/>
      </c>
      <c r="CX44" s="1110">
        <f t="shared" si="330"/>
      </c>
      <c r="CY44" s="1110">
        <f t="shared" si="330"/>
      </c>
      <c r="CZ44" s="1110">
        <f t="shared" si="330"/>
      </c>
      <c r="DA44" s="1111">
        <f t="shared" si="330"/>
      </c>
      <c r="DB44" s="1110">
        <f t="shared" si="330"/>
      </c>
      <c r="DC44" s="1110">
        <f t="shared" si="330"/>
      </c>
      <c r="DD44" s="1110">
        <f t="shared" si="330"/>
      </c>
      <c r="DE44" s="1111">
        <f t="shared" si="330"/>
      </c>
      <c r="DF44" s="1110">
        <f t="shared" si="330"/>
      </c>
      <c r="DG44" s="1110">
        <f t="shared" si="330"/>
      </c>
      <c r="DH44" s="1110">
        <f t="shared" si="330"/>
      </c>
      <c r="DI44" s="1111">
        <f t="shared" si="330"/>
      </c>
      <c r="DJ44" s="1110">
        <f t="shared" si="330"/>
      </c>
      <c r="DK44" s="1110">
        <f t="shared" si="330"/>
      </c>
      <c r="DL44" s="1110">
        <f t="shared" si="290"/>
      </c>
      <c r="DM44" s="1111">
        <f t="shared" si="290"/>
      </c>
      <c r="DN44" s="1110">
        <f t="shared" si="290"/>
      </c>
      <c r="DO44" s="1110">
        <f t="shared" si="290"/>
      </c>
      <c r="DP44" s="1110">
        <f t="shared" si="291"/>
      </c>
      <c r="DQ44" s="1134">
        <v>0.15</v>
      </c>
      <c r="DR44" s="1135">
        <v>0.15</v>
      </c>
      <c r="DS44" s="1133">
        <v>0.15</v>
      </c>
      <c r="DT44" s="1133">
        <v>0.15</v>
      </c>
      <c r="DU44" s="1134">
        <v>0.15</v>
      </c>
      <c r="DV44" s="1135">
        <v>0.15</v>
      </c>
      <c r="DW44" s="1133">
        <v>0.15</v>
      </c>
      <c r="DX44" s="1133">
        <v>0.15</v>
      </c>
      <c r="DY44" s="1134">
        <v>0.15</v>
      </c>
      <c r="DZ44" s="1135">
        <v>0.15</v>
      </c>
      <c r="EA44" s="1133">
        <v>0.15</v>
      </c>
      <c r="EB44" s="1133">
        <v>0.15</v>
      </c>
      <c r="EC44" s="1134">
        <v>0.15</v>
      </c>
      <c r="ED44" s="1135">
        <v>0.15</v>
      </c>
      <c r="EE44" s="1133">
        <v>0.15</v>
      </c>
      <c r="EF44" s="1133">
        <v>0.15</v>
      </c>
      <c r="EG44" s="1134">
        <v>0.15</v>
      </c>
      <c r="EH44" s="1135">
        <v>0.15</v>
      </c>
      <c r="EI44" s="1133">
        <v>0.15</v>
      </c>
      <c r="EJ44" s="1133">
        <v>0.15</v>
      </c>
      <c r="EK44" s="1134">
        <v>0.15</v>
      </c>
      <c r="EM44" s="1110"/>
      <c r="EN44" s="1110"/>
      <c r="EO44" s="1110"/>
      <c r="EP44" s="1110"/>
      <c r="EQ44" s="1110"/>
      <c r="ER44" s="1110"/>
      <c r="ES44" s="1110"/>
      <c r="ET44" s="1110"/>
      <c r="EU44" s="1110"/>
      <c r="EV44" s="1110"/>
      <c r="EW44" s="1110"/>
      <c r="EX44" s="1110"/>
      <c r="EY44" s="1110"/>
      <c r="EZ44" s="1110"/>
      <c r="FA44" s="1110"/>
      <c r="FB44" s="1110"/>
      <c r="FC44" s="1110"/>
      <c r="FD44" s="1110"/>
      <c r="FE44" s="1110"/>
      <c r="FF44" s="1110"/>
      <c r="FG44" s="1110"/>
      <c r="FH44" s="1110"/>
      <c r="FI44" s="1110" t="str">
        <f t="shared" ref="FI44:FU44" si="331">IF(ISERROR(FI18/FH18-1),"NA",FI18/FH18-1)</f>
      </c>
      <c r="FJ44" s="1110" t="str">
        <f t="shared" si="331"/>
      </c>
      <c r="FK44" s="1110">
        <f t="shared" si="331"/>
      </c>
      <c r="FL44" s="1110">
        <f t="shared" si="331"/>
      </c>
      <c r="FM44" s="1110">
        <f t="shared" si="331"/>
      </c>
      <c r="FN44" s="1110">
        <f t="shared" si="331"/>
      </c>
      <c r="FO44" s="1110">
        <f t="shared" si="331"/>
      </c>
      <c r="FP44" s="1110">
        <f t="shared" si="331"/>
      </c>
      <c r="FQ44" s="1110">
        <f t="shared" si="331"/>
      </c>
      <c r="FR44" s="1110">
        <f t="shared" si="331"/>
      </c>
      <c r="FS44" s="1110">
        <f t="shared" si="331"/>
      </c>
      <c r="FT44" s="1110">
        <f t="shared" si="331"/>
      </c>
      <c r="FU44" s="1110">
        <f t="shared" si="331"/>
      </c>
      <c r="FV44" s="1110"/>
      <c r="FW44" s="1110"/>
      <c r="FX44" s="1110"/>
      <c r="FY44" s="1110"/>
      <c r="FZ44" s="1110"/>
      <c r="GA44" s="1110"/>
      <c r="GB44" s="1110"/>
      <c r="GC44" s="1110"/>
      <c r="GD44" s="1110"/>
      <c r="GE44" s="1110"/>
      <c r="GF44" s="1110"/>
      <c r="GG44" s="1110"/>
      <c r="GH44" s="1110"/>
      <c r="GI44" s="1110"/>
      <c r="GJ44" s="1110"/>
      <c r="GK44" s="1110"/>
      <c r="GL44" s="1110"/>
      <c r="GM44" s="1110"/>
      <c r="GN44" s="1110"/>
      <c r="GO44" s="1110"/>
      <c r="GP44" s="1110"/>
      <c r="GQ44" s="1110"/>
      <c r="GR44" s="1110"/>
      <c r="GS44" s="1110" t="str">
        <f t="shared" ref="GS44:HD44" si="332">IF(ISERROR(GS18/GR18-1),"NA",GS18/GR18-1)</f>
      </c>
      <c r="GT44" s="1110">
        <f t="shared" si="332"/>
      </c>
      <c r="GU44" s="1110">
        <f t="shared" si="332"/>
      </c>
      <c r="GV44" s="1110">
        <f t="shared" si="332"/>
      </c>
      <c r="GW44" s="1110">
        <f t="shared" si="332"/>
      </c>
      <c r="GX44" s="1110">
        <f t="shared" si="332"/>
      </c>
      <c r="GY44" s="1110">
        <f t="shared" si="332"/>
      </c>
      <c r="GZ44" s="1110">
        <f t="shared" si="332"/>
      </c>
      <c r="HA44" s="1110">
        <f t="shared" si="332"/>
      </c>
      <c r="HB44" s="1110">
        <f t="shared" si="332"/>
      </c>
      <c r="HC44" s="1110">
        <f t="shared" si="332"/>
      </c>
      <c r="HD44" s="1110">
        <f t="shared" si="332"/>
      </c>
    </row>
    <row r="45" spans="1:212" s="141" customFormat="1" ht="10.199999999999999">
      <c r="A45" s="834" t="s">
        <v>1240</v>
      </c>
      <c r="B45" s="589"/>
      <c r="C45" s="589"/>
      <c r="D45" s="589"/>
      <c r="E45" s="590"/>
      <c r="F45" s="589"/>
      <c r="G45" s="589"/>
      <c r="H45" s="589"/>
      <c r="I45" s="590"/>
      <c r="J45" s="589"/>
      <c r="K45" s="589"/>
      <c r="L45" s="589"/>
      <c r="M45" s="590"/>
      <c r="N45" s="589"/>
      <c r="O45" s="589"/>
      <c r="P45" s="589"/>
      <c r="Q45" s="590"/>
      <c r="R45" s="589"/>
      <c r="S45" s="589"/>
      <c r="T45" s="589"/>
      <c r="U45" s="590"/>
      <c r="V45" s="589"/>
      <c r="W45" s="589"/>
      <c r="X45" s="589"/>
      <c r="Y45" s="590"/>
      <c r="Z45" s="589"/>
      <c r="AA45" s="589"/>
      <c r="AB45" s="589"/>
      <c r="AC45" s="590"/>
      <c r="AD45" s="589"/>
      <c r="AE45" s="589"/>
      <c r="AF45" s="589"/>
      <c r="AG45" s="590"/>
      <c r="AH45" s="589"/>
      <c r="AI45" s="589"/>
      <c r="AJ45" s="589"/>
      <c r="AK45" s="590"/>
      <c r="AL45" s="589"/>
      <c r="AM45" s="589"/>
      <c r="AN45" s="589"/>
      <c r="AO45" s="590"/>
      <c r="AP45" s="589"/>
      <c r="AQ45" s="589"/>
      <c r="AR45" s="589"/>
      <c r="AS45" s="590"/>
      <c r="AT45" s="589"/>
      <c r="AU45" s="589"/>
      <c r="AV45" s="589"/>
      <c r="AW45" s="590"/>
      <c r="AX45" s="589"/>
      <c r="AY45" s="589"/>
      <c r="AZ45" s="589"/>
      <c r="BA45" s="590"/>
      <c r="BB45" s="589"/>
      <c r="BC45" s="589"/>
      <c r="BD45" s="589"/>
      <c r="BE45" s="590"/>
      <c r="BF45" s="589"/>
      <c r="BG45" s="589"/>
      <c r="BH45" s="589"/>
      <c r="BI45" s="590"/>
      <c r="BJ45" s="589"/>
      <c r="BK45" s="589"/>
      <c r="BL45" s="589"/>
      <c r="BM45" s="590"/>
      <c r="BN45" s="589"/>
      <c r="BO45" s="589"/>
      <c r="BP45" s="589"/>
      <c r="BQ45" s="590"/>
      <c r="BR45" s="589"/>
      <c r="BS45" s="589"/>
      <c r="BT45" s="589"/>
      <c r="BU45" s="590"/>
      <c r="BV45" s="1112"/>
      <c r="BW45" s="629"/>
      <c r="BX45" s="629"/>
      <c r="BY45" s="844"/>
      <c r="BZ45" s="1113" t="str">
        <f t="shared" ref="BZ45:DU47" si="333">IF(ISERROR(BZ19/BV19-1),"NA",BZ19/BV19-1)</f>
      </c>
      <c r="CA45" s="1110" t="str">
        <f t="shared" si="333"/>
      </c>
      <c r="CB45" s="1110" t="str">
        <f t="shared" si="333"/>
      </c>
      <c r="CC45" s="1111" t="str">
        <f t="shared" si="333"/>
      </c>
      <c r="CD45" s="1113" t="str">
        <f t="shared" si="333"/>
      </c>
      <c r="CE45" s="1110" t="str">
        <f t="shared" si="333"/>
      </c>
      <c r="CF45" s="1110" t="str">
        <f t="shared" si="333"/>
      </c>
      <c r="CG45" s="1111" t="str">
        <f t="shared" si="333"/>
      </c>
      <c r="CH45" s="1113">
        <f t="shared" si="333"/>
      </c>
      <c r="CI45" s="1110" t="str">
        <f t="shared" si="333"/>
      </c>
      <c r="CJ45" s="1110" t="str">
        <f t="shared" si="333"/>
      </c>
      <c r="CK45" s="1111" t="str">
        <f t="shared" si="333"/>
      </c>
      <c r="CL45" s="1113" t="str">
        <f t="shared" si="333"/>
      </c>
      <c r="CM45" s="1110" t="str">
        <f t="shared" si="333"/>
      </c>
      <c r="CN45" s="1110" t="str">
        <f t="shared" si="333"/>
      </c>
      <c r="CO45" s="1111">
        <f t="shared" si="333"/>
      </c>
      <c r="CP45" s="1110" t="str">
        <f t="shared" si="333"/>
      </c>
      <c r="CQ45" s="1110" t="str">
        <f t="shared" si="333"/>
      </c>
      <c r="CR45" s="1110">
        <f t="shared" si="333"/>
      </c>
      <c r="CS45" s="1111" t="str">
        <f t="shared" si="333"/>
      </c>
      <c r="CT45" s="1110" t="str">
        <f t="shared" si="333"/>
      </c>
      <c r="CU45" s="1110" t="str">
        <f t="shared" si="333"/>
      </c>
      <c r="CV45" s="1110" t="str">
        <f t="shared" si="333"/>
      </c>
      <c r="CW45" s="1111" t="str">
        <f t="shared" si="333"/>
      </c>
      <c r="CX45" s="1114" t="str">
        <f t="shared" si="333"/>
      </c>
      <c r="CY45" s="1110" t="str">
        <f t="shared" si="333"/>
      </c>
      <c r="CZ45" s="1110" t="str">
        <f t="shared" si="333"/>
      </c>
      <c r="DA45" s="1111" t="str">
        <f t="shared" si="333"/>
      </c>
      <c r="DB45" s="1114" t="str">
        <f t="shared" si="333"/>
      </c>
      <c r="DC45" s="1110" t="str">
        <f t="shared" si="333"/>
      </c>
      <c r="DD45" s="1110" t="str">
        <f t="shared" si="333"/>
      </c>
      <c r="DE45" s="1111" t="str">
        <f t="shared" si="333"/>
      </c>
      <c r="DF45" s="1113" t="str">
        <f t="shared" si="333"/>
      </c>
      <c r="DG45" s="1110" t="str">
        <f t="shared" si="333"/>
      </c>
      <c r="DH45" s="1110" t="str">
        <f t="shared" si="333"/>
      </c>
      <c r="DI45" s="1111" t="str">
        <f t="shared" si="333"/>
      </c>
      <c r="DJ45" s="1113" t="str">
        <f t="shared" si="333"/>
      </c>
      <c r="DK45" s="1110" t="str">
        <f t="shared" si="333"/>
      </c>
      <c r="DL45" s="1110" t="str">
        <f t="shared" si="290"/>
      </c>
      <c r="DM45" s="1111" t="str">
        <f t="shared" si="290"/>
      </c>
      <c r="DN45" s="1113" t="str">
        <f t="shared" si="333"/>
      </c>
      <c r="DO45" s="1110" t="str">
        <f t="shared" si="333"/>
      </c>
      <c r="DP45" s="1110" t="str">
        <f t="shared" si="291"/>
      </c>
      <c r="DQ45" s="1111" t="str">
        <f t="shared" si="333"/>
      </c>
      <c r="DR45" s="1113" t="str">
        <f t="shared" si="333"/>
      </c>
      <c r="DS45" s="1110" t="str">
        <f t="shared" si="333"/>
      </c>
      <c r="DT45" s="1110" t="str">
        <f t="shared" si="333"/>
      </c>
      <c r="DU45" s="1111" t="str">
        <f t="shared" si="333"/>
      </c>
      <c r="DV45" s="1113" t="str">
        <f t="shared" ref="DV45" si="334">IF(ISERROR(DV19/DR19-1),"NA",DV19/DR19-1)</f>
      </c>
      <c r="DW45" s="1110" t="str">
        <f t="shared" ref="DW45" si="335">IF(ISERROR(DW19/DS19-1),"NA",DW19/DS19-1)</f>
      </c>
      <c r="DX45" s="1110" t="str">
        <f t="shared" ref="DX45" si="336">IF(ISERROR(DX19/DT19-1),"NA",DX19/DT19-1)</f>
      </c>
      <c r="DY45" s="1111" t="str">
        <f t="shared" ref="DY45" si="337">IF(ISERROR(DY19/DU19-1),"NA",DY19/DU19-1)</f>
      </c>
      <c r="DZ45" s="1113" t="str">
        <f t="shared" ref="DZ45" si="338">IF(ISERROR(DZ19/DV19-1),"NA",DZ19/DV19-1)</f>
      </c>
      <c r="EA45" s="1110" t="str">
        <f t="shared" ref="EA45" si="339">IF(ISERROR(EA19/DW19-1),"NA",EA19/DW19-1)</f>
      </c>
      <c r="EB45" s="1110" t="str">
        <f t="shared" ref="EB45" si="340">IF(ISERROR(EB19/DX19-1),"NA",EB19/DX19-1)</f>
      </c>
      <c r="EC45" s="1111" t="str">
        <f t="shared" ref="EC45" si="341">IF(ISERROR(EC19/DY19-1),"NA",EC19/DY19-1)</f>
      </c>
      <c r="ED45" s="1113" t="str">
        <f t="shared" ref="ED45" si="342">IF(ISERROR(ED19/DZ19-1),"NA",ED19/DZ19-1)</f>
      </c>
      <c r="EE45" s="1110" t="str">
        <f t="shared" ref="EE45" si="343">IF(ISERROR(EE19/EA19-1),"NA",EE19/EA19-1)</f>
      </c>
      <c r="EF45" s="1110" t="str">
        <f t="shared" ref="EF45" si="344">IF(ISERROR(EF19/EB19-1),"NA",EF19/EB19-1)</f>
      </c>
      <c r="EG45" s="1111" t="str">
        <f t="shared" ref="EG45" si="345">IF(ISERROR(EG19/EC19-1),"NA",EG19/EC19-1)</f>
      </c>
      <c r="EH45" s="1113" t="str">
        <f t="shared" ref="EH45" si="346">IF(ISERROR(EH19/ED19-1),"NA",EH19/ED19-1)</f>
      </c>
      <c r="EI45" s="1110" t="str">
        <f t="shared" ref="EI45" si="347">IF(ISERROR(EI19/EE19-1),"NA",EI19/EE19-1)</f>
      </c>
      <c r="EJ45" s="1110" t="str">
        <f t="shared" ref="EJ45" si="348">IF(ISERROR(EJ19/EF19-1),"NA",EJ19/EF19-1)</f>
      </c>
      <c r="EK45" s="1111" t="str">
        <f t="shared" ref="EK45" si="349">IF(ISERROR(EK19/EG19-1),"NA",EK19/EG19-1)</f>
      </c>
      <c r="EM45" s="1110"/>
      <c r="EN45" s="1110"/>
      <c r="EO45" s="1110"/>
      <c r="EP45" s="1110"/>
      <c r="EQ45" s="1110"/>
      <c r="ER45" s="1110"/>
      <c r="ES45" s="1110"/>
      <c r="ET45" s="1110"/>
      <c r="EU45" s="1110"/>
      <c r="EV45" s="1110"/>
      <c r="EW45" s="1110"/>
      <c r="EX45" s="1110"/>
      <c r="EY45" s="1110"/>
      <c r="EZ45" s="1110"/>
      <c r="FA45" s="1110"/>
      <c r="FB45" s="1110"/>
      <c r="FC45" s="1110"/>
      <c r="FD45" s="1110"/>
      <c r="FE45" s="1110"/>
      <c r="FF45" s="1110"/>
      <c r="FG45" s="1110"/>
      <c r="FH45" s="1110">
        <f t="shared" ref="FH45:FJ47" si="350">+FH19/FG19-1</f>
      </c>
      <c r="FI45" s="1110">
        <f t="shared" si="350"/>
      </c>
      <c r="FJ45" s="1110">
        <f t="shared" si="350"/>
      </c>
      <c r="FK45" s="1110"/>
      <c r="FL45" s="1110"/>
      <c r="FM45" s="1110"/>
      <c r="FN45" s="1110"/>
      <c r="FO45" s="1110"/>
      <c r="FP45" s="1110"/>
      <c r="FQ45" s="1110"/>
      <c r="FR45" s="1110"/>
      <c r="FS45" s="1110"/>
      <c r="FT45" s="1110"/>
      <c r="FU45" s="1110"/>
      <c r="FV45" s="1110"/>
      <c r="FW45" s="1110"/>
      <c r="FX45" s="1110"/>
      <c r="FY45" s="1110"/>
      <c r="FZ45" s="1110"/>
      <c r="GA45" s="1110"/>
      <c r="GB45" s="1110"/>
      <c r="GC45" s="1110"/>
      <c r="GD45" s="1110"/>
      <c r="GE45" s="1110"/>
      <c r="GF45" s="1110"/>
      <c r="GG45" s="1110"/>
      <c r="GH45" s="1110"/>
      <c r="GI45" s="1110"/>
      <c r="GJ45" s="1110"/>
      <c r="GK45" s="1110"/>
      <c r="GL45" s="1110"/>
      <c r="GM45" s="1110"/>
      <c r="GN45" s="1110"/>
      <c r="GO45" s="1110"/>
      <c r="GP45" s="1110"/>
      <c r="GQ45" s="1110">
        <f>+GQ19/GP19-1</f>
      </c>
      <c r="GR45" s="1110"/>
      <c r="GS45" s="1110">
        <f t="shared" ref="GS45:GT47" si="351">+GS19/GR19-1</f>
      </c>
      <c r="GT45" s="1110">
        <f t="shared" si="351"/>
      </c>
      <c r="GU45" s="1110"/>
      <c r="GV45" s="1110"/>
      <c r="GW45" s="1110"/>
      <c r="GX45" s="1110"/>
      <c r="GY45" s="1110"/>
      <c r="GZ45" s="1110"/>
      <c r="HA45" s="1110"/>
      <c r="HB45" s="1110"/>
      <c r="HC45" s="1110"/>
      <c r="HD45" s="1110"/>
    </row>
    <row r="46" spans="1:212" s="141" customFormat="1" ht="10.199999999999999">
      <c r="A46" s="880" t="str">
        <f>A$20</f>
      </c>
      <c r="B46" s="589"/>
      <c r="C46" s="589"/>
      <c r="D46" s="589"/>
      <c r="E46" s="590"/>
      <c r="F46" s="589"/>
      <c r="G46" s="589"/>
      <c r="H46" s="589"/>
      <c r="I46" s="590"/>
      <c r="J46" s="589"/>
      <c r="K46" s="589"/>
      <c r="L46" s="589"/>
      <c r="M46" s="590"/>
      <c r="N46" s="589"/>
      <c r="O46" s="589"/>
      <c r="P46" s="589"/>
      <c r="Q46" s="590"/>
      <c r="R46" s="589"/>
      <c r="S46" s="589"/>
      <c r="T46" s="589"/>
      <c r="U46" s="590"/>
      <c r="V46" s="589"/>
      <c r="W46" s="589"/>
      <c r="X46" s="589"/>
      <c r="Y46" s="590"/>
      <c r="Z46" s="589"/>
      <c r="AA46" s="589"/>
      <c r="AB46" s="589"/>
      <c r="AC46" s="590"/>
      <c r="AD46" s="589"/>
      <c r="AE46" s="589"/>
      <c r="AF46" s="589"/>
      <c r="AG46" s="590"/>
      <c r="AH46" s="589"/>
      <c r="AI46" s="589"/>
      <c r="AJ46" s="589"/>
      <c r="AK46" s="590"/>
      <c r="AL46" s="589"/>
      <c r="AM46" s="589"/>
      <c r="AN46" s="589"/>
      <c r="AO46" s="590"/>
      <c r="AP46" s="589"/>
      <c r="AQ46" s="589"/>
      <c r="AR46" s="589"/>
      <c r="AS46" s="590"/>
      <c r="AT46" s="589"/>
      <c r="AU46" s="589"/>
      <c r="AV46" s="589"/>
      <c r="AW46" s="590"/>
      <c r="AX46" s="589"/>
      <c r="AY46" s="589"/>
      <c r="AZ46" s="589"/>
      <c r="BA46" s="590"/>
      <c r="BB46" s="589"/>
      <c r="BC46" s="589"/>
      <c r="BD46" s="589"/>
      <c r="BE46" s="590"/>
      <c r="BF46" s="589"/>
      <c r="BG46" s="589"/>
      <c r="BH46" s="589"/>
      <c r="BI46" s="590"/>
      <c r="BJ46" s="589"/>
      <c r="BK46" s="589"/>
      <c r="BL46" s="589"/>
      <c r="BM46" s="590"/>
      <c r="BN46" s="589"/>
      <c r="BO46" s="589"/>
      <c r="BP46" s="589"/>
      <c r="BQ46" s="590"/>
      <c r="BR46" s="589"/>
      <c r="BS46" s="589"/>
      <c r="BT46" s="589"/>
      <c r="BU46" s="590"/>
      <c r="BV46" s="1112"/>
      <c r="BW46" s="629"/>
      <c r="BX46" s="629"/>
      <c r="BY46" s="844"/>
      <c r="BZ46" s="1113">
        <f t="shared" ref="BZ46:CI47" si="352">IF(ISERROR(BZ20/BV20-1),"NA",BZ20/BV20-1)</f>
      </c>
      <c r="CA46" s="1110">
        <f t="shared" si="352"/>
      </c>
      <c r="CB46" s="1110">
        <f t="shared" si="352"/>
      </c>
      <c r="CC46" s="1111">
        <f t="shared" si="352"/>
      </c>
      <c r="CD46" s="1113">
        <f t="shared" si="352"/>
      </c>
      <c r="CE46" s="1110">
        <f t="shared" si="352"/>
      </c>
      <c r="CF46" s="1110">
        <f t="shared" si="352"/>
      </c>
      <c r="CG46" s="1111">
        <f t="shared" si="352"/>
      </c>
      <c r="CH46" s="1113">
        <f t="shared" si="352"/>
      </c>
      <c r="CI46" s="1110">
        <f t="shared" si="352"/>
      </c>
      <c r="CJ46" s="1110">
        <f t="shared" ref="CJ46:CS47" si="353">IF(ISERROR(CJ20/CF20-1),"NA",CJ20/CF20-1)</f>
      </c>
      <c r="CK46" s="1111">
        <f t="shared" si="353"/>
      </c>
      <c r="CL46" s="1113">
        <f t="shared" si="353"/>
      </c>
      <c r="CM46" s="1110">
        <f t="shared" si="353"/>
      </c>
      <c r="CN46" s="1110">
        <f t="shared" si="353"/>
      </c>
      <c r="CO46" s="1111">
        <f t="shared" si="353"/>
      </c>
      <c r="CP46" s="1110">
        <f t="shared" si="353"/>
      </c>
      <c r="CQ46" s="1110">
        <f t="shared" si="353"/>
      </c>
      <c r="CR46" s="1110">
        <f t="shared" si="353"/>
      </c>
      <c r="CS46" s="1111">
        <f t="shared" si="353"/>
      </c>
      <c r="CT46" s="1110">
        <f t="shared" ref="CT46:DC47" si="354">IF(ISERROR(CT20/CP20-1),"NA",CT20/CP20-1)</f>
      </c>
      <c r="CU46" s="1110">
        <f t="shared" si="354"/>
      </c>
      <c r="CV46" s="1110">
        <f t="shared" si="354"/>
      </c>
      <c r="CW46" s="1111">
        <f t="shared" si="354"/>
      </c>
      <c r="CX46" s="1114">
        <f t="shared" si="354"/>
      </c>
      <c r="CY46" s="1110">
        <f t="shared" si="354"/>
      </c>
      <c r="CZ46" s="1110">
        <f t="shared" si="354"/>
      </c>
      <c r="DA46" s="1111">
        <f t="shared" si="354"/>
      </c>
      <c r="DB46" s="1114">
        <f t="shared" si="354"/>
      </c>
      <c r="DC46" s="1110">
        <f t="shared" si="354"/>
      </c>
      <c r="DD46" s="1110">
        <f t="shared" ref="DD46:DF47" si="355">IF(ISERROR(DD20/CZ20-1),"NA",DD20/CZ20-1)</f>
      </c>
      <c r="DE46" s="1111">
        <f t="shared" si="355"/>
      </c>
      <c r="DF46" s="1113">
        <f t="shared" si="355"/>
      </c>
      <c r="DG46" s="1110">
        <f t="shared" si="333"/>
      </c>
      <c r="DH46" s="1110">
        <f t="shared" si="333"/>
      </c>
      <c r="DI46" s="1111">
        <f t="shared" si="333"/>
      </c>
      <c r="DJ46" s="1113">
        <f t="shared" si="333"/>
      </c>
      <c r="DK46" s="1110">
        <f t="shared" si="333"/>
      </c>
      <c r="DL46" s="1110">
        <f t="shared" si="290"/>
      </c>
      <c r="DM46" s="1111">
        <f t="shared" si="290"/>
      </c>
      <c r="DN46" s="1113">
        <f t="shared" si="333"/>
      </c>
      <c r="DO46" s="1110">
        <f t="shared" si="333"/>
      </c>
      <c r="DP46" s="1110">
        <f t="shared" si="291"/>
      </c>
      <c r="DQ46" s="1134">
        <v>0.5</v>
      </c>
      <c r="DR46" s="1135">
        <v>0</v>
      </c>
      <c r="DS46" s="1133">
        <v>0</v>
      </c>
      <c r="DT46" s="1133">
        <v>0</v>
      </c>
      <c r="DU46" s="1134">
        <v>0</v>
      </c>
      <c r="DV46" s="1135">
        <v>0</v>
      </c>
      <c r="DW46" s="1133">
        <v>0</v>
      </c>
      <c r="DX46" s="1133">
        <v>0</v>
      </c>
      <c r="DY46" s="1134">
        <v>0</v>
      </c>
      <c r="DZ46" s="1135">
        <v>0</v>
      </c>
      <c r="EA46" s="1133">
        <v>0</v>
      </c>
      <c r="EB46" s="1133">
        <v>0</v>
      </c>
      <c r="EC46" s="1134">
        <v>0</v>
      </c>
      <c r="ED46" s="1135">
        <v>0</v>
      </c>
      <c r="EE46" s="1133">
        <v>0</v>
      </c>
      <c r="EF46" s="1133">
        <v>0</v>
      </c>
      <c r="EG46" s="1134">
        <v>0</v>
      </c>
      <c r="EH46" s="1135">
        <v>0</v>
      </c>
      <c r="EI46" s="1133">
        <v>0</v>
      </c>
      <c r="EJ46" s="1133">
        <v>0</v>
      </c>
      <c r="EK46" s="1134">
        <v>0</v>
      </c>
      <c r="EM46" s="1110"/>
      <c r="EN46" s="1110"/>
      <c r="EO46" s="1110"/>
      <c r="EP46" s="1110"/>
      <c r="EQ46" s="1110"/>
      <c r="ER46" s="1110"/>
      <c r="ES46" s="1110"/>
      <c r="ET46" s="1110"/>
      <c r="EU46" s="1110"/>
      <c r="EV46" s="1110"/>
      <c r="EW46" s="1110"/>
      <c r="EX46" s="1110"/>
      <c r="EY46" s="1110"/>
      <c r="EZ46" s="1110"/>
      <c r="FA46" s="1110"/>
      <c r="FB46" s="1110"/>
      <c r="FC46" s="1110"/>
      <c r="FD46" s="1110"/>
      <c r="FE46" s="1110"/>
      <c r="FF46" s="1110">
        <f>+FF20/FE20-1</f>
      </c>
      <c r="FG46" s="1110">
        <f>+FG20/FF20-1</f>
      </c>
      <c r="FH46" s="1110">
        <f t="shared" si="350"/>
      </c>
      <c r="FI46" s="1110">
        <f t="shared" si="350"/>
      </c>
      <c r="FJ46" s="1110">
        <f t="shared" si="350"/>
      </c>
      <c r="FK46" s="1110">
        <f t="shared" ref="FK46:FU46" si="356">+FK20/FJ20-1</f>
      </c>
      <c r="FL46" s="1110">
        <f t="shared" si="356"/>
      </c>
      <c r="FM46" s="1110">
        <f t="shared" si="356"/>
      </c>
      <c r="FN46" s="1110">
        <f t="shared" si="356"/>
      </c>
      <c r="FO46" s="1110">
        <f t="shared" si="356"/>
      </c>
      <c r="FP46" s="1110">
        <f t="shared" si="356"/>
      </c>
      <c r="FQ46" s="1110">
        <f t="shared" si="356"/>
      </c>
      <c r="FR46" s="1110">
        <f t="shared" si="356"/>
      </c>
      <c r="FS46" s="1110">
        <f t="shared" si="356"/>
      </c>
      <c r="FT46" s="1110">
        <f t="shared" si="356"/>
      </c>
      <c r="FU46" s="1110">
        <f t="shared" si="356"/>
      </c>
      <c r="FV46" s="1110"/>
      <c r="FW46" s="1110"/>
      <c r="FX46" s="1110"/>
      <c r="FY46" s="1110"/>
      <c r="FZ46" s="1110"/>
      <c r="GA46" s="1110"/>
      <c r="GB46" s="1110"/>
      <c r="GC46" s="1110"/>
      <c r="GD46" s="1110"/>
      <c r="GE46" s="1110"/>
      <c r="GF46" s="1110"/>
      <c r="GG46" s="1110"/>
      <c r="GH46" s="1110"/>
      <c r="GI46" s="1110"/>
      <c r="GJ46" s="1110"/>
      <c r="GK46" s="1110"/>
      <c r="GL46" s="1110"/>
      <c r="GM46" s="1110"/>
      <c r="GN46" s="1110"/>
      <c r="GO46" s="1110"/>
      <c r="GP46" s="1110">
        <f>+GP20/GO20-1</f>
      </c>
      <c r="GQ46" s="1110">
        <f>+GQ20/GP20-1</f>
      </c>
      <c r="GR46" s="1110">
        <f>+GR20/GQ20-1</f>
      </c>
      <c r="GS46" s="1110">
        <f t="shared" si="351"/>
      </c>
      <c r="GT46" s="1110">
        <f t="shared" si="351"/>
      </c>
      <c r="GU46" s="1110">
        <f t="shared" ref="GU46:HD46" si="357">+GU20/GT20-1</f>
      </c>
      <c r="GV46" s="1110">
        <f t="shared" si="357"/>
      </c>
      <c r="GW46" s="1110">
        <f t="shared" si="357"/>
      </c>
      <c r="GX46" s="1110">
        <f t="shared" si="357"/>
      </c>
      <c r="GY46" s="1110">
        <f t="shared" si="357"/>
      </c>
      <c r="GZ46" s="1110">
        <f t="shared" si="357"/>
      </c>
      <c r="HA46" s="1110">
        <f t="shared" si="357"/>
      </c>
      <c r="HB46" s="1110">
        <f t="shared" si="357"/>
      </c>
      <c r="HC46" s="1110">
        <f t="shared" si="357"/>
      </c>
      <c r="HD46" s="1110">
        <f t="shared" si="357"/>
      </c>
    </row>
    <row r="47" spans="1:212" s="150" customFormat="1" ht="10.8" thickBot="1">
      <c r="A47" s="1103" t="s">
        <v>1189</v>
      </c>
      <c r="B47" s="1104"/>
      <c r="C47" s="1104"/>
      <c r="D47" s="1104"/>
      <c r="E47" s="1105"/>
      <c r="F47" s="1104"/>
      <c r="G47" s="1104"/>
      <c r="H47" s="1104"/>
      <c r="I47" s="1105"/>
      <c r="J47" s="1104"/>
      <c r="K47" s="1104"/>
      <c r="L47" s="1104"/>
      <c r="M47" s="1105"/>
      <c r="N47" s="1104"/>
      <c r="O47" s="1104"/>
      <c r="P47" s="1104"/>
      <c r="Q47" s="1105"/>
      <c r="R47" s="1104"/>
      <c r="S47" s="1104"/>
      <c r="T47" s="1104"/>
      <c r="U47" s="1105"/>
      <c r="V47" s="1104"/>
      <c r="W47" s="1104"/>
      <c r="X47" s="1104"/>
      <c r="Y47" s="1105"/>
      <c r="Z47" s="1104"/>
      <c r="AA47" s="1104"/>
      <c r="AB47" s="1104"/>
      <c r="AC47" s="1105"/>
      <c r="AD47" s="1104"/>
      <c r="AE47" s="1104"/>
      <c r="AF47" s="1104"/>
      <c r="AG47" s="1105"/>
      <c r="AH47" s="1106" t="str">
        <f t="shared" ref="AH47:BY47" si="358">IF(ISERROR(AH21/AD21-1),"NA",AH21/AD21-1)</f>
      </c>
      <c r="AI47" s="1106" t="str">
        <f t="shared" si="358"/>
      </c>
      <c r="AJ47" s="1106">
        <f t="shared" si="358"/>
      </c>
      <c r="AK47" s="1107">
        <f t="shared" si="358"/>
      </c>
      <c r="AL47" s="1106">
        <f t="shared" si="358"/>
      </c>
      <c r="AM47" s="1106">
        <f t="shared" si="358"/>
      </c>
      <c r="AN47" s="1106">
        <f t="shared" si="358"/>
      </c>
      <c r="AO47" s="1107">
        <f t="shared" si="358"/>
      </c>
      <c r="AP47" s="1106">
        <f t="shared" si="358"/>
      </c>
      <c r="AQ47" s="1106">
        <f t="shared" si="358"/>
      </c>
      <c r="AR47" s="1106">
        <f t="shared" si="358"/>
      </c>
      <c r="AS47" s="1107">
        <f t="shared" si="358"/>
      </c>
      <c r="AT47" s="1106">
        <f t="shared" si="358"/>
      </c>
      <c r="AU47" s="1106">
        <f t="shared" si="358"/>
      </c>
      <c r="AV47" s="1106">
        <f t="shared" si="358"/>
      </c>
      <c r="AW47" s="1107">
        <f t="shared" si="358"/>
      </c>
      <c r="AX47" s="1106">
        <f t="shared" si="358"/>
      </c>
      <c r="AY47" s="1106">
        <f t="shared" si="358"/>
      </c>
      <c r="AZ47" s="1106">
        <f t="shared" si="358"/>
      </c>
      <c r="BA47" s="1107">
        <f t="shared" si="358"/>
      </c>
      <c r="BB47" s="1106">
        <f t="shared" si="358"/>
      </c>
      <c r="BC47" s="1106">
        <f t="shared" si="358"/>
      </c>
      <c r="BD47" s="1106">
        <f t="shared" si="358"/>
      </c>
      <c r="BE47" s="1107">
        <f t="shared" si="358"/>
      </c>
      <c r="BF47" s="1106">
        <f t="shared" si="358"/>
      </c>
      <c r="BG47" s="1106">
        <f t="shared" si="358"/>
      </c>
      <c r="BH47" s="1106">
        <f t="shared" si="358"/>
      </c>
      <c r="BI47" s="1107">
        <f t="shared" si="358"/>
      </c>
      <c r="BJ47" s="1106">
        <f t="shared" si="358"/>
      </c>
      <c r="BK47" s="1106">
        <f t="shared" si="358"/>
      </c>
      <c r="BL47" s="1106">
        <f t="shared" si="358"/>
      </c>
      <c r="BM47" s="1107">
        <f t="shared" si="358"/>
      </c>
      <c r="BN47" s="1106">
        <f t="shared" si="358"/>
      </c>
      <c r="BO47" s="1106">
        <f t="shared" si="358"/>
      </c>
      <c r="BP47" s="1106">
        <f t="shared" si="358"/>
      </c>
      <c r="BQ47" s="1107">
        <f t="shared" si="358"/>
      </c>
      <c r="BR47" s="1106">
        <f t="shared" si="358"/>
      </c>
      <c r="BS47" s="1106">
        <f t="shared" si="358"/>
      </c>
      <c r="BT47" s="1106">
        <f t="shared" si="358"/>
      </c>
      <c r="BU47" s="1107">
        <f t="shared" si="358"/>
      </c>
      <c r="BV47" s="1115">
        <f t="shared" si="358"/>
      </c>
      <c r="BW47" s="1116">
        <f t="shared" si="358"/>
      </c>
      <c r="BX47" s="1116">
        <f t="shared" si="358"/>
      </c>
      <c r="BY47" s="1117">
        <f t="shared" si="358"/>
      </c>
      <c r="BZ47" s="1115">
        <f t="shared" si="352"/>
      </c>
      <c r="CA47" s="1116">
        <f t="shared" si="352"/>
      </c>
      <c r="CB47" s="1116">
        <f t="shared" si="352"/>
      </c>
      <c r="CC47" s="1117">
        <f t="shared" si="352"/>
      </c>
      <c r="CD47" s="1115">
        <f t="shared" si="352"/>
      </c>
      <c r="CE47" s="1116">
        <f t="shared" si="352"/>
      </c>
      <c r="CF47" s="1116">
        <f t="shared" si="352"/>
      </c>
      <c r="CG47" s="1117">
        <f t="shared" si="352"/>
      </c>
      <c r="CH47" s="1115">
        <f t="shared" si="352"/>
      </c>
      <c r="CI47" s="1116">
        <f t="shared" si="352"/>
      </c>
      <c r="CJ47" s="1116">
        <f t="shared" si="353"/>
      </c>
      <c r="CK47" s="1117">
        <f t="shared" si="353"/>
      </c>
      <c r="CL47" s="1115">
        <f t="shared" si="353"/>
      </c>
      <c r="CM47" s="1116">
        <f t="shared" si="353"/>
      </c>
      <c r="CN47" s="1116">
        <f t="shared" si="353"/>
      </c>
      <c r="CO47" s="1117">
        <f t="shared" si="353"/>
      </c>
      <c r="CP47" s="1116">
        <f t="shared" si="353"/>
      </c>
      <c r="CQ47" s="1116">
        <f t="shared" si="353"/>
      </c>
      <c r="CR47" s="1116">
        <f t="shared" si="353"/>
      </c>
      <c r="CS47" s="1117">
        <f t="shared" si="353"/>
      </c>
      <c r="CT47" s="1116">
        <f t="shared" si="354"/>
      </c>
      <c r="CU47" s="1116">
        <f t="shared" si="354"/>
      </c>
      <c r="CV47" s="1116">
        <f t="shared" si="354"/>
      </c>
      <c r="CW47" s="1117">
        <f t="shared" si="354"/>
      </c>
      <c r="CX47" s="1118">
        <f t="shared" si="354"/>
      </c>
      <c r="CY47" s="1116">
        <f t="shared" si="354"/>
      </c>
      <c r="CZ47" s="1116">
        <f t="shared" si="354"/>
      </c>
      <c r="DA47" s="1117">
        <f t="shared" si="354"/>
      </c>
      <c r="DB47" s="1118">
        <f t="shared" si="354"/>
      </c>
      <c r="DC47" s="1116">
        <f t="shared" si="354"/>
      </c>
      <c r="DD47" s="1116">
        <f t="shared" si="355"/>
      </c>
      <c r="DE47" s="1117">
        <f t="shared" si="355"/>
      </c>
      <c r="DF47" s="1115">
        <f t="shared" si="355"/>
      </c>
      <c r="DG47" s="1116">
        <f t="shared" ref="DG47:DU47" si="359">IF(ISERROR(DG21/DC21-1),"NA",DG21/DC21-1)</f>
      </c>
      <c r="DH47" s="1116">
        <f t="shared" si="359"/>
      </c>
      <c r="DI47" s="1117">
        <f t="shared" si="359"/>
      </c>
      <c r="DJ47" s="1115">
        <f t="shared" si="333"/>
      </c>
      <c r="DK47" s="1116">
        <f t="shared" si="359"/>
      </c>
      <c r="DL47" s="1116">
        <f t="shared" si="290"/>
      </c>
      <c r="DM47" s="1117">
        <f t="shared" si="290"/>
      </c>
      <c r="DN47" s="1115">
        <f t="shared" si="359"/>
      </c>
      <c r="DO47" s="1116">
        <f t="shared" si="359"/>
      </c>
      <c r="DP47" s="1116">
        <f t="shared" si="291"/>
      </c>
      <c r="DQ47" s="1117">
        <f t="shared" si="359"/>
      </c>
      <c r="DR47" s="1115">
        <f t="shared" si="359"/>
      </c>
      <c r="DS47" s="1116">
        <f t="shared" si="359"/>
      </c>
      <c r="DT47" s="1116">
        <f t="shared" si="359"/>
      </c>
      <c r="DU47" s="1117">
        <f t="shared" si="359"/>
      </c>
      <c r="DV47" s="1115">
        <f t="shared" ref="DV47" si="360">IF(ISERROR(DV21/DR21-1),"NA",DV21/DR21-1)</f>
      </c>
      <c r="DW47" s="1116">
        <f t="shared" ref="DW47" si="361">IF(ISERROR(DW21/DS21-1),"NA",DW21/DS21-1)</f>
      </c>
      <c r="DX47" s="1116">
        <f t="shared" ref="DX47" si="362">IF(ISERROR(DX21/DT21-1),"NA",DX21/DT21-1)</f>
      </c>
      <c r="DY47" s="1117">
        <f t="shared" ref="DY47" si="363">IF(ISERROR(DY21/DU21-1),"NA",DY21/DU21-1)</f>
      </c>
      <c r="DZ47" s="1115">
        <f t="shared" ref="DZ47" si="364">IF(ISERROR(DZ21/DV21-1),"NA",DZ21/DV21-1)</f>
      </c>
      <c r="EA47" s="1116">
        <f t="shared" ref="EA47" si="365">IF(ISERROR(EA21/DW21-1),"NA",EA21/DW21-1)</f>
      </c>
      <c r="EB47" s="1116">
        <f t="shared" ref="EB47" si="366">IF(ISERROR(EB21/DX21-1),"NA",EB21/DX21-1)</f>
      </c>
      <c r="EC47" s="1117">
        <f t="shared" ref="EC47" si="367">IF(ISERROR(EC21/DY21-1),"NA",EC21/DY21-1)</f>
      </c>
      <c r="ED47" s="1115">
        <f t="shared" ref="ED47" si="368">IF(ISERROR(ED21/DZ21-1),"NA",ED21/DZ21-1)</f>
      </c>
      <c r="EE47" s="1116">
        <f t="shared" ref="EE47" si="369">IF(ISERROR(EE21/EA21-1),"NA",EE21/EA21-1)</f>
      </c>
      <c r="EF47" s="1116">
        <f t="shared" ref="EF47" si="370">IF(ISERROR(EF21/EB21-1),"NA",EF21/EB21-1)</f>
      </c>
      <c r="EG47" s="1117">
        <f t="shared" ref="EG47" si="371">IF(ISERROR(EG21/EC21-1),"NA",EG21/EC21-1)</f>
      </c>
      <c r="EH47" s="1115">
        <f t="shared" ref="EH47" si="372">IF(ISERROR(EH21/ED21-1),"NA",EH21/ED21-1)</f>
      </c>
      <c r="EI47" s="1116">
        <f t="shared" ref="EI47" si="373">IF(ISERROR(EI21/EE21-1),"NA",EI21/EE21-1)</f>
      </c>
      <c r="EJ47" s="1116">
        <f t="shared" ref="EJ47" si="374">IF(ISERROR(EJ21/EF21-1),"NA",EJ21/EF21-1)</f>
      </c>
      <c r="EK47" s="1117">
        <f t="shared" ref="EK47" si="375">IF(ISERROR(EK21/EG21-1),"NA",EK21/EG21-1)</f>
      </c>
      <c r="EM47" s="1116"/>
      <c r="EN47" s="1116"/>
      <c r="EO47" s="1116"/>
      <c r="EP47" s="1116"/>
      <c r="EQ47" s="1116"/>
      <c r="ER47" s="1116"/>
      <c r="ES47" s="1116"/>
      <c r="ET47" s="1116"/>
      <c r="EU47" s="1116">
        <f t="shared" ref="EU47:FE47" si="376">+EU21/ET21-1</f>
      </c>
      <c r="EV47" s="1116">
        <f t="shared" si="376"/>
      </c>
      <c r="EW47" s="1116">
        <f t="shared" si="376"/>
      </c>
      <c r="EX47" s="1116">
        <f t="shared" si="376"/>
      </c>
      <c r="EY47" s="1116">
        <f t="shared" si="376"/>
      </c>
      <c r="EZ47" s="1116">
        <f t="shared" si="376"/>
      </c>
      <c r="FA47" s="1116">
        <f t="shared" si="376"/>
      </c>
      <c r="FB47" s="1116">
        <f t="shared" si="376"/>
      </c>
      <c r="FC47" s="1116">
        <f t="shared" si="376"/>
      </c>
      <c r="FD47" s="1116">
        <f t="shared" si="376"/>
      </c>
      <c r="FE47" s="1116">
        <f t="shared" si="376"/>
      </c>
      <c r="FF47" s="1116">
        <f>+FF21/FE21-1</f>
      </c>
      <c r="FG47" s="1116">
        <f>+FG21/FF21-1</f>
      </c>
      <c r="FH47" s="1116">
        <f t="shared" si="350"/>
      </c>
      <c r="FI47" s="1116">
        <f t="shared" si="350"/>
      </c>
      <c r="FJ47" s="1116">
        <f t="shared" si="350"/>
      </c>
      <c r="FK47" s="1116">
        <f t="shared" ref="FK47:FU47" si="377">+FK21/FJ21-1</f>
      </c>
      <c r="FL47" s="1116">
        <f t="shared" si="377"/>
      </c>
      <c r="FM47" s="1116">
        <f t="shared" si="377"/>
      </c>
      <c r="FN47" s="1116">
        <f t="shared" si="377"/>
      </c>
      <c r="FO47" s="1116">
        <f t="shared" si="377"/>
      </c>
      <c r="FP47" s="1116">
        <f t="shared" si="377"/>
      </c>
      <c r="FQ47" s="1116">
        <f t="shared" si="377"/>
      </c>
      <c r="FR47" s="1116">
        <f t="shared" si="377"/>
      </c>
      <c r="FS47" s="1116">
        <f t="shared" si="377"/>
      </c>
      <c r="FT47" s="1116">
        <f t="shared" si="377"/>
      </c>
      <c r="FU47" s="1116">
        <f t="shared" si="377"/>
      </c>
      <c r="FV47" s="1116"/>
      <c r="FW47" s="1116"/>
      <c r="FX47" s="1116"/>
      <c r="FY47" s="1116"/>
      <c r="FZ47" s="1116"/>
      <c r="GA47" s="1116"/>
      <c r="GB47" s="1116"/>
      <c r="GC47" s="1116"/>
      <c r="GD47" s="1116"/>
      <c r="GE47" s="1116">
        <f t="shared" ref="GE47:GO47" si="378">+GE21/GD21-1</f>
      </c>
      <c r="GF47" s="1116">
        <f t="shared" si="378"/>
      </c>
      <c r="GG47" s="1116">
        <f t="shared" si="378"/>
      </c>
      <c r="GH47" s="1116">
        <f t="shared" si="378"/>
      </c>
      <c r="GI47" s="1116">
        <f t="shared" si="378"/>
      </c>
      <c r="GJ47" s="1116">
        <f t="shared" si="378"/>
      </c>
      <c r="GK47" s="1116">
        <f t="shared" si="378"/>
      </c>
      <c r="GL47" s="1116">
        <f t="shared" si="378"/>
      </c>
      <c r="GM47" s="1116">
        <f t="shared" si="378"/>
      </c>
      <c r="GN47" s="1116">
        <f t="shared" si="378"/>
      </c>
      <c r="GO47" s="1116">
        <f t="shared" si="378"/>
      </c>
      <c r="GP47" s="1116">
        <f>+GP21/GO21-1</f>
      </c>
      <c r="GQ47" s="1116">
        <f>+GQ21/GP21-1</f>
      </c>
      <c r="GR47" s="1116">
        <f>+GR21/GQ21-1</f>
      </c>
      <c r="GS47" s="1116">
        <f t="shared" si="351"/>
      </c>
      <c r="GT47" s="1116">
        <f t="shared" si="351"/>
      </c>
      <c r="GU47" s="1116">
        <f t="shared" ref="GU47:HD47" si="379">+GU21/GT21-1</f>
      </c>
      <c r="GV47" s="1116">
        <f t="shared" si="379"/>
      </c>
      <c r="GW47" s="1116">
        <f t="shared" si="379"/>
      </c>
      <c r="GX47" s="1116">
        <f t="shared" si="379"/>
      </c>
      <c r="GY47" s="1116">
        <f t="shared" si="379"/>
      </c>
      <c r="GZ47" s="1116">
        <f t="shared" si="379"/>
      </c>
      <c r="HA47" s="1116">
        <f t="shared" si="379"/>
      </c>
      <c r="HB47" s="1116">
        <f t="shared" si="379"/>
      </c>
      <c r="HC47" s="1116">
        <f t="shared" si="379"/>
      </c>
      <c r="HD47" s="1116">
        <f t="shared" si="379"/>
      </c>
    </row>
    <row r="48" spans="1:212" s="141" customFormat="1" ht="10.8" thickTop="1">
      <c r="A48" s="880" t="s">
        <v>1440</v>
      </c>
      <c r="B48" s="589"/>
      <c r="C48" s="589"/>
      <c r="D48" s="589"/>
      <c r="E48" s="590"/>
      <c r="F48" s="589"/>
      <c r="G48" s="589"/>
      <c r="H48" s="589"/>
      <c r="I48" s="590"/>
      <c r="J48" s="589"/>
      <c r="K48" s="589"/>
      <c r="L48" s="589"/>
      <c r="M48" s="590"/>
      <c r="N48" s="589"/>
      <c r="O48" s="589"/>
      <c r="P48" s="589"/>
      <c r="Q48" s="590"/>
      <c r="R48" s="589"/>
      <c r="S48" s="589"/>
      <c r="T48" s="589"/>
      <c r="U48" s="590"/>
      <c r="V48" s="589"/>
      <c r="W48" s="589"/>
      <c r="X48" s="589"/>
      <c r="Y48" s="590"/>
      <c r="Z48" s="589"/>
      <c r="AA48" s="589"/>
      <c r="AB48" s="589"/>
      <c r="AC48" s="590"/>
      <c r="AD48" s="589"/>
      <c r="AE48" s="589"/>
      <c r="AF48" s="589"/>
      <c r="AG48" s="590"/>
      <c r="AH48" s="589"/>
      <c r="AI48" s="589"/>
      <c r="AJ48" s="589"/>
      <c r="AK48" s="590"/>
      <c r="AL48" s="589"/>
      <c r="AM48" s="589"/>
      <c r="AN48" s="589"/>
      <c r="AO48" s="590"/>
      <c r="AP48" s="589"/>
      <c r="AQ48" s="589"/>
      <c r="AR48" s="589"/>
      <c r="AS48" s="590"/>
      <c r="AT48" s="589"/>
      <c r="AU48" s="589"/>
      <c r="AV48" s="589"/>
      <c r="AW48" s="590"/>
      <c r="AX48" s="589"/>
      <c r="AY48" s="589"/>
      <c r="AZ48" s="589"/>
      <c r="BA48" s="590"/>
      <c r="BB48" s="589"/>
      <c r="BC48" s="589"/>
      <c r="BD48" s="589"/>
      <c r="BE48" s="590"/>
      <c r="BF48" s="589"/>
      <c r="BG48" s="589"/>
      <c r="BH48" s="589"/>
      <c r="BI48" s="590"/>
      <c r="BJ48" s="589"/>
      <c r="BK48" s="589"/>
      <c r="BL48" s="589"/>
      <c r="BM48" s="590"/>
      <c r="BN48" s="589"/>
      <c r="BO48" s="589"/>
      <c r="BP48" s="589"/>
      <c r="BQ48" s="590"/>
      <c r="BR48" s="589"/>
      <c r="BS48" s="589"/>
      <c r="BT48" s="589"/>
      <c r="BU48" s="590"/>
      <c r="BV48" s="1112"/>
      <c r="BW48" s="629"/>
      <c r="BX48" s="629"/>
      <c r="BY48" s="844"/>
      <c r="BZ48" s="1113"/>
      <c r="CA48" s="1110"/>
      <c r="CB48" s="1110"/>
      <c r="CC48" s="1111"/>
      <c r="CD48" s="1113"/>
      <c r="CE48" s="1110"/>
      <c r="CF48" s="1110"/>
      <c r="CG48" s="1111"/>
      <c r="CH48" s="1113"/>
      <c r="CI48" s="1110"/>
      <c r="CJ48" s="1110"/>
      <c r="CK48" s="1111"/>
      <c r="CL48" s="1113"/>
      <c r="CM48" s="1110"/>
      <c r="CN48" s="1110"/>
      <c r="CO48" s="1111"/>
      <c r="CP48" s="1110"/>
      <c r="CQ48" s="1110"/>
      <c r="CR48" s="1110"/>
      <c r="CS48" s="1111"/>
      <c r="CT48" s="1110">
        <f>'Revenue summary'!CT27</f>
      </c>
      <c r="CU48" s="1110">
        <f>'Revenue summary'!CU27</f>
      </c>
      <c r="CV48" s="1110">
        <f>'Revenue summary'!CV27</f>
      </c>
      <c r="CW48" s="1111">
        <f>'Revenue summary'!CW27</f>
      </c>
      <c r="CX48" s="1114">
        <f>'Revenue summary'!CX27</f>
      </c>
      <c r="CY48" s="1110">
        <f>'Revenue summary'!CY27</f>
      </c>
      <c r="CZ48" s="1110">
        <f>'Revenue summary'!CZ27</f>
      </c>
      <c r="DA48" s="1111">
        <f>'Revenue summary'!DA27</f>
      </c>
      <c r="DB48" s="1114">
        <f>'Revenue summary'!DB27</f>
      </c>
      <c r="DC48" s="1110">
        <f>'Revenue summary'!DC27</f>
      </c>
      <c r="DD48" s="1720">
        <v>-0.05</v>
      </c>
      <c r="DE48" s="2682">
        <f>'Revenue summary'!DE27</f>
      </c>
      <c r="DF48" s="2692">
        <v>-7.0000000000000007E-2</v>
      </c>
      <c r="DG48" s="2862">
        <f>'Revenue summary'!DG27</f>
      </c>
      <c r="DH48" s="1720">
        <v>-0.02</v>
      </c>
      <c r="DI48" s="1134">
        <v>-0.01</v>
      </c>
      <c r="DJ48" s="3224">
        <f>'Revenue summary'!DJ27</f>
      </c>
      <c r="DK48" s="2862">
        <f>'Revenue summary'!DK27</f>
      </c>
      <c r="DL48" s="2862">
        <f>'Revenue summary'!DL27</f>
      </c>
      <c r="DM48" s="2682">
        <f>'Revenue summary'!DM27</f>
      </c>
      <c r="DN48" s="3224">
        <f>'Revenue summary'!DN27</f>
      </c>
      <c r="DO48" s="3373">
        <v>-0.02</v>
      </c>
      <c r="DP48" s="3224">
        <f>'Revenue summary'!DP27</f>
      </c>
      <c r="DQ48" s="3330">
        <f>'Revenue summary'!DQ27</f>
      </c>
      <c r="DR48" s="3224">
        <f>'Revenue summary'!DR27</f>
      </c>
      <c r="DS48" s="3224">
        <f>'Revenue summary'!DS27</f>
      </c>
      <c r="DT48" s="3224">
        <f>'Revenue summary'!DT27</f>
      </c>
      <c r="DU48" s="3330">
        <f>'Revenue summary'!DU27</f>
      </c>
      <c r="DV48" s="1135"/>
      <c r="DW48" s="1133"/>
      <c r="DX48" s="1133"/>
      <c r="DY48" s="1134"/>
      <c r="DZ48" s="1135"/>
      <c r="EA48" s="1133"/>
      <c r="EB48" s="1133"/>
      <c r="EC48" s="1134"/>
      <c r="ED48" s="1135"/>
      <c r="EE48" s="1133"/>
      <c r="EF48" s="1133"/>
      <c r="EG48" s="1134"/>
      <c r="EH48" s="1135"/>
      <c r="EI48" s="1133"/>
      <c r="EJ48" s="1133"/>
      <c r="EK48" s="1134"/>
      <c r="EM48" s="1110"/>
      <c r="EN48" s="1110"/>
      <c r="EO48" s="1110"/>
      <c r="EP48" s="1110"/>
      <c r="EQ48" s="1110"/>
      <c r="ER48" s="1110"/>
      <c r="ES48" s="1110"/>
      <c r="ET48" s="1110"/>
      <c r="EU48" s="1110"/>
      <c r="EV48" s="1110"/>
      <c r="EW48" s="1110"/>
      <c r="EX48" s="1110"/>
      <c r="EY48" s="1110"/>
      <c r="EZ48" s="1110"/>
      <c r="FA48" s="1110"/>
      <c r="FB48" s="1110"/>
      <c r="FC48" s="1110"/>
      <c r="FD48" s="1110"/>
      <c r="FE48" s="1110"/>
      <c r="FF48" s="1110"/>
      <c r="FG48" s="1110"/>
      <c r="FH48" s="1110"/>
      <c r="FI48" s="1110"/>
      <c r="FJ48" s="1110"/>
      <c r="FK48" s="1110"/>
      <c r="FL48" s="1110"/>
      <c r="FM48" s="1110"/>
      <c r="FN48" s="1110"/>
      <c r="FO48" s="1110"/>
      <c r="FP48" s="1110"/>
      <c r="FQ48" s="1110"/>
      <c r="FR48" s="1110"/>
      <c r="FS48" s="1110"/>
      <c r="FT48" s="1110"/>
      <c r="FU48" s="1110"/>
      <c r="FV48" s="1110"/>
      <c r="FW48" s="1110"/>
      <c r="FX48" s="1110"/>
      <c r="FY48" s="1110"/>
      <c r="FZ48" s="1110"/>
      <c r="GA48" s="1110"/>
      <c r="GB48" s="1110"/>
      <c r="GC48" s="1110"/>
      <c r="GD48" s="1110"/>
      <c r="GE48" s="1110"/>
      <c r="GF48" s="1110"/>
      <c r="GG48" s="1110"/>
      <c r="GH48" s="1110"/>
      <c r="GI48" s="1110"/>
      <c r="GJ48" s="1110"/>
      <c r="GK48" s="1110"/>
      <c r="GL48" s="1110"/>
      <c r="GM48" s="1110"/>
      <c r="GN48" s="1110"/>
      <c r="GO48" s="1110"/>
      <c r="GP48" s="1110"/>
      <c r="GQ48" s="1110"/>
      <c r="GR48" s="1110"/>
      <c r="GS48" s="1110"/>
      <c r="GT48" s="1110"/>
      <c r="GU48" s="1110"/>
      <c r="GV48" s="1110"/>
      <c r="GW48" s="1110"/>
      <c r="GX48" s="1110"/>
      <c r="GY48" s="1110"/>
      <c r="GZ48" s="1110"/>
      <c r="HA48" s="1110"/>
      <c r="HB48" s="1110"/>
      <c r="HC48" s="1110"/>
      <c r="HD48" s="1110"/>
    </row>
    <row r="49" spans="1:212" s="150" customFormat="1" ht="10.8" thickBot="1">
      <c r="A49" s="1103" t="s">
        <v>1439</v>
      </c>
      <c r="B49" s="1104"/>
      <c r="C49" s="1104"/>
      <c r="D49" s="1104"/>
      <c r="E49" s="1105"/>
      <c r="F49" s="1104"/>
      <c r="G49" s="1104"/>
      <c r="H49" s="1104"/>
      <c r="I49" s="1105"/>
      <c r="J49" s="1104"/>
      <c r="K49" s="1104"/>
      <c r="L49" s="1104"/>
      <c r="M49" s="1105"/>
      <c r="N49" s="1104"/>
      <c r="O49" s="1104"/>
      <c r="P49" s="1104"/>
      <c r="Q49" s="1105"/>
      <c r="R49" s="1104"/>
      <c r="S49" s="1104"/>
      <c r="T49" s="1104"/>
      <c r="U49" s="1105"/>
      <c r="V49" s="1104"/>
      <c r="W49" s="1104"/>
      <c r="X49" s="1104"/>
      <c r="Y49" s="1105"/>
      <c r="Z49" s="1104"/>
      <c r="AA49" s="1104"/>
      <c r="AB49" s="1104"/>
      <c r="AC49" s="1105"/>
      <c r="AD49" s="1104"/>
      <c r="AE49" s="1104"/>
      <c r="AF49" s="1104"/>
      <c r="AG49" s="1105"/>
      <c r="AH49" s="1106"/>
      <c r="AI49" s="1106"/>
      <c r="AJ49" s="1106"/>
      <c r="AK49" s="1107"/>
      <c r="AL49" s="1106"/>
      <c r="AM49" s="1106"/>
      <c r="AN49" s="1106"/>
      <c r="AO49" s="1107"/>
      <c r="AP49" s="1106"/>
      <c r="AQ49" s="1106"/>
      <c r="AR49" s="1106"/>
      <c r="AS49" s="1107"/>
      <c r="AT49" s="1106"/>
      <c r="AU49" s="1106"/>
      <c r="AV49" s="1106"/>
      <c r="AW49" s="1107"/>
      <c r="AX49" s="1106"/>
      <c r="AY49" s="1106"/>
      <c r="AZ49" s="1106"/>
      <c r="BA49" s="1107"/>
      <c r="BB49" s="1106"/>
      <c r="BC49" s="1106"/>
      <c r="BD49" s="1106"/>
      <c r="BE49" s="1107"/>
      <c r="BF49" s="1106"/>
      <c r="BG49" s="1106"/>
      <c r="BH49" s="1106"/>
      <c r="BI49" s="1107"/>
      <c r="BJ49" s="1106"/>
      <c r="BK49" s="1106"/>
      <c r="BL49" s="1106"/>
      <c r="BM49" s="1107"/>
      <c r="BN49" s="1106"/>
      <c r="BO49" s="1106"/>
      <c r="BP49" s="1106"/>
      <c r="BQ49" s="1107"/>
      <c r="BR49" s="1106"/>
      <c r="BS49" s="1106"/>
      <c r="BT49" s="1106"/>
      <c r="BU49" s="1107"/>
      <c r="BV49" s="1115"/>
      <c r="BW49" s="1116"/>
      <c r="BX49" s="1116"/>
      <c r="BY49" s="1117"/>
      <c r="BZ49" s="1115"/>
      <c r="CA49" s="1116"/>
      <c r="CB49" s="1116"/>
      <c r="CC49" s="1117"/>
      <c r="CD49" s="1115"/>
      <c r="CE49" s="1116"/>
      <c r="CF49" s="1116"/>
      <c r="CG49" s="1117"/>
      <c r="CH49" s="1115"/>
      <c r="CI49" s="1116"/>
      <c r="CJ49" s="1116"/>
      <c r="CK49" s="1117"/>
      <c r="CL49" s="1115"/>
      <c r="CM49" s="1116"/>
      <c r="CN49" s="1116"/>
      <c r="CO49" s="1117"/>
      <c r="CP49" s="1116"/>
      <c r="CQ49" s="1116"/>
      <c r="CR49" s="1116"/>
      <c r="CS49" s="1117"/>
      <c r="CT49" s="1116">
        <f t="shared" ref="CT49:DC49" si="380">CT47-CT48</f>
      </c>
      <c r="CU49" s="1116">
        <f t="shared" si="380"/>
      </c>
      <c r="CV49" s="1116">
        <f t="shared" si="380"/>
      </c>
      <c r="CW49" s="1117">
        <f t="shared" si="380"/>
      </c>
      <c r="CX49" s="1118">
        <f t="shared" si="380"/>
      </c>
      <c r="CY49" s="1116">
        <f t="shared" si="380"/>
      </c>
      <c r="CZ49" s="1116">
        <f t="shared" si="380"/>
      </c>
      <c r="DA49" s="1117">
        <f t="shared" si="380"/>
      </c>
      <c r="DB49" s="1118">
        <f t="shared" si="380"/>
      </c>
      <c r="DC49" s="1116">
        <f t="shared" si="380"/>
      </c>
      <c r="DD49" s="1116">
        <f>DD47-DD48</f>
      </c>
      <c r="DE49" s="1117">
        <f>DE47-DE48</f>
      </c>
      <c r="DF49" s="1115">
        <f>DF47-DF48</f>
      </c>
      <c r="DG49" s="1116">
        <f t="shared" ref="DG49:DU49" si="381">DG47-DG48</f>
      </c>
      <c r="DH49" s="1116">
        <f t="shared" si="381"/>
      </c>
      <c r="DI49" s="1117">
        <f t="shared" si="381"/>
      </c>
      <c r="DJ49" s="1115">
        <f t="shared" si="381"/>
      </c>
      <c r="DK49" s="1116">
        <f t="shared" ref="DK49:DL49" si="382">DK47-DK48</f>
      </c>
      <c r="DL49" s="1116">
        <f t="shared" si="382"/>
      </c>
      <c r="DM49" s="1117">
        <f t="shared" ref="DM49" si="383">DM47-DM48</f>
      </c>
      <c r="DN49" s="1115">
        <f t="shared" si="381"/>
      </c>
      <c r="DO49" s="1116">
        <f t="shared" si="381"/>
      </c>
      <c r="DP49" s="1116">
        <f t="shared" si="381"/>
      </c>
      <c r="DQ49" s="1117">
        <f t="shared" si="381"/>
      </c>
      <c r="DR49" s="1115">
        <f t="shared" si="381"/>
      </c>
      <c r="DS49" s="1116">
        <f t="shared" si="381"/>
      </c>
      <c r="DT49" s="1116">
        <f t="shared" si="381"/>
      </c>
      <c r="DU49" s="1117">
        <f t="shared" si="381"/>
      </c>
      <c r="DV49" s="1115">
        <f t="shared" ref="DV49:EK49" si="384">DV47-DV48</f>
      </c>
      <c r="DW49" s="1116">
        <f t="shared" si="384"/>
      </c>
      <c r="DX49" s="1116">
        <f t="shared" si="384"/>
      </c>
      <c r="DY49" s="1117">
        <f t="shared" si="384"/>
      </c>
      <c r="DZ49" s="1115">
        <f t="shared" si="384"/>
      </c>
      <c r="EA49" s="1116">
        <f t="shared" si="384"/>
      </c>
      <c r="EB49" s="1116">
        <f t="shared" si="384"/>
      </c>
      <c r="EC49" s="1117">
        <f t="shared" si="384"/>
      </c>
      <c r="ED49" s="1115">
        <f t="shared" si="384"/>
      </c>
      <c r="EE49" s="1116">
        <f t="shared" si="384"/>
      </c>
      <c r="EF49" s="1116">
        <f t="shared" si="384"/>
      </c>
      <c r="EG49" s="1117">
        <f t="shared" si="384"/>
      </c>
      <c r="EH49" s="1115">
        <f t="shared" si="384"/>
      </c>
      <c r="EI49" s="1116">
        <f t="shared" si="384"/>
      </c>
      <c r="EJ49" s="1116">
        <f t="shared" si="384"/>
      </c>
      <c r="EK49" s="1117">
        <f t="shared" si="384"/>
      </c>
      <c r="EM49" s="1116"/>
      <c r="EN49" s="1116"/>
      <c r="EO49" s="1116"/>
      <c r="EP49" s="1116"/>
      <c r="EQ49" s="1116"/>
      <c r="ER49" s="1116"/>
      <c r="ES49" s="1116"/>
      <c r="ET49" s="1116"/>
      <c r="EU49" s="1116"/>
      <c r="EV49" s="1116"/>
      <c r="EW49" s="1116"/>
      <c r="EX49" s="1116"/>
      <c r="EY49" s="1116"/>
      <c r="EZ49" s="1116"/>
      <c r="FA49" s="1116"/>
      <c r="FB49" s="1116"/>
      <c r="FC49" s="1116"/>
      <c r="FD49" s="1116"/>
      <c r="FE49" s="1116"/>
      <c r="FF49" s="1116"/>
      <c r="FG49" s="1116"/>
      <c r="FH49" s="1116"/>
      <c r="FI49" s="1116"/>
      <c r="FJ49" s="1116"/>
      <c r="FK49" s="1116"/>
      <c r="FL49" s="1116"/>
      <c r="FM49" s="1116"/>
      <c r="FN49" s="1116"/>
      <c r="FO49" s="1116"/>
      <c r="FP49" s="1116"/>
      <c r="FQ49" s="1116"/>
      <c r="FR49" s="1116"/>
      <c r="FS49" s="1116"/>
      <c r="FT49" s="1116"/>
      <c r="FU49" s="1116"/>
      <c r="FV49" s="1116"/>
      <c r="FW49" s="1116"/>
      <c r="FX49" s="1116"/>
      <c r="FY49" s="1116"/>
      <c r="FZ49" s="1116"/>
      <c r="GA49" s="1116"/>
      <c r="GB49" s="1116"/>
      <c r="GC49" s="1116"/>
      <c r="GD49" s="1116"/>
      <c r="GE49" s="1116"/>
      <c r="GF49" s="1116"/>
      <c r="GG49" s="1116"/>
      <c r="GH49" s="1116"/>
      <c r="GI49" s="1116"/>
      <c r="GJ49" s="1116"/>
      <c r="GK49" s="1116"/>
      <c r="GL49" s="1116"/>
      <c r="GM49" s="1116"/>
      <c r="GN49" s="1116"/>
      <c r="GO49" s="1116"/>
      <c r="GP49" s="1116"/>
      <c r="GQ49" s="1116"/>
      <c r="GR49" s="1116"/>
      <c r="GS49" s="1116"/>
      <c r="GT49" s="1116"/>
      <c r="GU49" s="1116"/>
      <c r="GV49" s="1116"/>
      <c r="GW49" s="1116"/>
      <c r="GX49" s="1116"/>
      <c r="GY49" s="1116"/>
      <c r="GZ49" s="1116"/>
      <c r="HA49" s="1116"/>
      <c r="HB49" s="1116"/>
      <c r="HC49" s="1116"/>
      <c r="HD49" s="1116"/>
    </row>
    <row r="50" spans="1:212" s="89" customFormat="1" ht="10.8" thickTop="1">
      <c r="A50" s="152"/>
      <c r="E50" s="260"/>
      <c r="I50" s="260"/>
      <c r="M50" s="260"/>
      <c r="Q50" s="260"/>
      <c r="U50" s="260"/>
      <c r="Y50" s="260"/>
      <c r="AC50" s="260"/>
      <c r="AG50" s="260"/>
      <c r="AJ50" s="72"/>
      <c r="AK50" s="227"/>
      <c r="AL50" s="72"/>
      <c r="AM50" s="72"/>
      <c r="AN50" s="72"/>
      <c r="AO50" s="227"/>
      <c r="AP50" s="72"/>
      <c r="AQ50" s="72"/>
      <c r="AR50" s="72"/>
      <c r="AS50" s="227"/>
      <c r="AT50" s="72"/>
      <c r="AU50" s="72"/>
      <c r="AV50" s="72"/>
      <c r="AW50" s="227"/>
      <c r="AX50" s="72"/>
      <c r="AY50" s="72"/>
      <c r="AZ50" s="72"/>
      <c r="BA50" s="227"/>
      <c r="BB50" s="72"/>
      <c r="BC50" s="72"/>
      <c r="BD50" s="72"/>
      <c r="BE50" s="227"/>
      <c r="BF50" s="72"/>
      <c r="BG50" s="72"/>
      <c r="BH50" s="72"/>
      <c r="BI50" s="227"/>
      <c r="BJ50" s="72"/>
      <c r="BK50" s="72"/>
      <c r="BL50" s="72"/>
      <c r="BM50" s="227"/>
      <c r="BN50" s="72"/>
      <c r="BO50" s="72"/>
      <c r="BP50" s="72"/>
      <c r="BQ50" s="227"/>
      <c r="BR50" s="72"/>
      <c r="BS50" s="72"/>
      <c r="BT50" s="72"/>
      <c r="BU50" s="227"/>
      <c r="BV50" s="355"/>
      <c r="BW50" s="72"/>
      <c r="BX50" s="72"/>
      <c r="BY50" s="227"/>
      <c r="BZ50" s="355"/>
      <c r="CA50" s="72"/>
      <c r="CB50" s="72"/>
      <c r="CC50" s="227"/>
      <c r="CD50" s="355"/>
      <c r="CE50" s="72"/>
      <c r="CF50" s="72"/>
      <c r="CG50" s="227"/>
      <c r="CH50" s="355"/>
      <c r="CI50" s="72"/>
      <c r="CJ50" s="72"/>
      <c r="CK50" s="227"/>
      <c r="CL50" s="355"/>
      <c r="CM50" s="72"/>
      <c r="CN50" s="72"/>
      <c r="CO50" s="227"/>
      <c r="CP50" s="72"/>
      <c r="CQ50" s="87"/>
      <c r="CR50" s="87"/>
      <c r="CS50" s="227"/>
      <c r="CT50" s="72"/>
      <c r="CU50" s="87"/>
      <c r="CV50" s="87"/>
      <c r="CW50" s="416"/>
      <c r="CX50" s="479"/>
      <c r="CY50" s="87"/>
      <c r="CZ50" s="87"/>
      <c r="DA50" s="416"/>
      <c r="DB50" s="2649"/>
      <c r="DC50" s="972"/>
      <c r="DD50" s="972"/>
      <c r="DE50" s="966"/>
      <c r="DF50" s="2650"/>
      <c r="DG50" s="71"/>
      <c r="DH50" s="71"/>
      <c r="DI50" s="232"/>
      <c r="DJ50" s="419"/>
      <c r="DK50" s="71"/>
      <c r="DL50" s="71"/>
      <c r="DM50" s="232"/>
      <c r="DN50" s="419"/>
      <c r="DO50" s="71"/>
      <c r="DP50" s="71"/>
      <c r="DQ50" s="232"/>
      <c r="DR50" s="419"/>
      <c r="DS50" s="71"/>
      <c r="DT50" s="71"/>
      <c r="DU50" s="232"/>
      <c r="DV50" s="419"/>
      <c r="DW50" s="71"/>
      <c r="DX50" s="71"/>
      <c r="DY50" s="232"/>
      <c r="DZ50" s="419"/>
      <c r="EA50" s="71"/>
      <c r="EB50" s="71"/>
      <c r="EC50" s="232"/>
      <c r="ED50" s="419"/>
      <c r="EE50" s="71"/>
      <c r="EF50" s="71"/>
      <c r="EG50" s="232"/>
      <c r="EH50" s="419"/>
      <c r="EI50" s="71"/>
      <c r="EJ50" s="71"/>
      <c r="EK50" s="232"/>
      <c r="EM50" s="71"/>
      <c r="EN50" s="71"/>
      <c r="EO50" s="71"/>
      <c r="EP50" s="71"/>
      <c r="EQ50" s="71"/>
      <c r="ER50" s="71"/>
      <c r="ES50" s="71"/>
      <c r="ET50" s="71"/>
      <c r="EU50" s="71"/>
      <c r="EV50" s="71"/>
      <c r="EW50" s="71"/>
      <c r="EX50" s="71"/>
      <c r="EY50" s="71"/>
      <c r="EZ50" s="71"/>
      <c r="FA50" s="71"/>
      <c r="FB50" s="71"/>
      <c r="FC50" s="71"/>
      <c r="FD50" s="71"/>
      <c r="FE50" s="71"/>
      <c r="FF50" s="71"/>
      <c r="FG50" s="71"/>
      <c r="FH50" s="71"/>
      <c r="FI50" s="71"/>
      <c r="FJ50" s="71"/>
      <c r="FK50" s="71"/>
      <c r="FL50" s="71"/>
      <c r="FM50" s="71"/>
      <c r="FN50" s="71"/>
      <c r="FO50" s="71"/>
      <c r="FP50" s="71"/>
      <c r="FQ50" s="71"/>
      <c r="FR50" s="71"/>
      <c r="FS50" s="71"/>
      <c r="FT50" s="71"/>
      <c r="FU50" s="71"/>
      <c r="FV50" s="71"/>
      <c r="FW50" s="71"/>
      <c r="FX50" s="71"/>
      <c r="FY50" s="71"/>
      <c r="FZ50" s="71"/>
      <c r="GA50" s="71"/>
      <c r="GB50" s="71"/>
      <c r="GC50" s="71"/>
      <c r="GD50" s="71"/>
      <c r="GE50" s="71"/>
      <c r="GF50" s="71"/>
      <c r="GG50" s="71"/>
      <c r="GH50" s="71"/>
      <c r="GI50" s="71"/>
      <c r="GJ50" s="71"/>
      <c r="GK50" s="71"/>
      <c r="GL50" s="71"/>
      <c r="GM50" s="71"/>
      <c r="GN50" s="71"/>
      <c r="GO50" s="71"/>
      <c r="GP50" s="71"/>
      <c r="GQ50" s="71"/>
      <c r="GR50" s="71"/>
      <c r="GS50" s="71"/>
      <c r="GT50" s="71"/>
      <c r="GU50" s="71"/>
      <c r="GV50" s="71"/>
      <c r="GW50" s="71"/>
      <c r="GX50" s="71"/>
      <c r="GY50" s="71"/>
      <c r="GZ50" s="71"/>
      <c r="HA50" s="71"/>
      <c r="HB50" s="71"/>
      <c r="HC50" s="71"/>
      <c r="HD50" s="71"/>
    </row>
    <row r="51" spans="1:212" s="16" customFormat="1" ht="10.199999999999999">
      <c r="A51" s="708" t="s">
        <v>1497</v>
      </c>
      <c r="B51" s="706" t="str">
        <f>'Revenue summary'!B$8</f>
      </c>
      <c r="C51" s="706" t="str">
        <f>'Revenue summary'!C$8</f>
      </c>
      <c r="D51" s="706" t="str">
        <f>'Revenue summary'!D$8</f>
      </c>
      <c r="E51" s="707" t="str">
        <f>'Revenue summary'!E$8</f>
      </c>
      <c r="F51" s="706" t="str">
        <f>'Revenue summary'!F$8</f>
      </c>
      <c r="G51" s="706" t="str">
        <f>'Revenue summary'!G$8</f>
      </c>
      <c r="H51" s="706" t="str">
        <f>'Revenue summary'!H$8</f>
      </c>
      <c r="I51" s="707" t="str">
        <f>'Revenue summary'!I$8</f>
      </c>
      <c r="J51" s="706" t="str">
        <f>'Revenue summary'!J$8</f>
      </c>
      <c r="K51" s="706" t="str">
        <f>'Revenue summary'!K$8</f>
      </c>
      <c r="L51" s="706" t="str">
        <f>'Revenue summary'!L$8</f>
      </c>
      <c r="M51" s="707" t="str">
        <f>'Revenue summary'!M$8</f>
      </c>
      <c r="N51" s="706" t="str">
        <f>'Revenue summary'!N$8</f>
      </c>
      <c r="O51" s="706" t="str">
        <f>'Revenue summary'!O$8</f>
      </c>
      <c r="P51" s="706" t="str">
        <f>'Revenue summary'!P$8</f>
      </c>
      <c r="Q51" s="707" t="str">
        <f>'Revenue summary'!Q$8</f>
      </c>
      <c r="R51" s="706" t="str">
        <f>'Revenue summary'!R$8</f>
      </c>
      <c r="S51" s="706" t="str">
        <f>'Revenue summary'!S$8</f>
      </c>
      <c r="T51" s="706" t="str">
        <f>'Revenue summary'!T$8</f>
      </c>
      <c r="U51" s="707" t="str">
        <f>'Revenue summary'!U$8</f>
      </c>
      <c r="V51" s="706" t="str">
        <f>'Revenue summary'!V$8</f>
      </c>
      <c r="W51" s="706" t="str">
        <f>'Revenue summary'!W$8</f>
      </c>
      <c r="X51" s="706" t="str">
        <f>'Revenue summary'!X$8</f>
      </c>
      <c r="Y51" s="707" t="str">
        <f>'Revenue summary'!Y$8</f>
      </c>
      <c r="Z51" s="706" t="str">
        <f>'Revenue summary'!Z$8</f>
      </c>
      <c r="AA51" s="706" t="str">
        <f>'Revenue summary'!AA$8</f>
      </c>
      <c r="AB51" s="706" t="str">
        <f>'Revenue summary'!AB$8</f>
      </c>
      <c r="AC51" s="707" t="str">
        <f>'Revenue summary'!AC$8</f>
      </c>
      <c r="AD51" s="706" t="str">
        <f>'Revenue summary'!AD$8</f>
      </c>
      <c r="AE51" s="706" t="str">
        <f>'Revenue summary'!AE$8</f>
      </c>
      <c r="AF51" s="706" t="str">
        <f>'Revenue summary'!AF$8</f>
      </c>
      <c r="AG51" s="707" t="str">
        <f>'Revenue summary'!AG$8</f>
      </c>
      <c r="AH51" s="706" t="str">
        <f>'Revenue summary'!AH$8</f>
      </c>
      <c r="AI51" s="706" t="str">
        <f>'Revenue summary'!AI$8</f>
      </c>
      <c r="AJ51" s="706" t="str">
        <f>'Revenue summary'!AJ$8</f>
      </c>
      <c r="AK51" s="707" t="str">
        <f>'Revenue summary'!AK$8</f>
      </c>
      <c r="AL51" s="706" t="str">
        <f>'Revenue summary'!AL$8</f>
      </c>
      <c r="AM51" s="706" t="str">
        <f>'Revenue summary'!AM$8</f>
      </c>
      <c r="AN51" s="706" t="str">
        <f>'Revenue summary'!AN$8</f>
      </c>
      <c r="AO51" s="707" t="str">
        <f>'Revenue summary'!AO$8</f>
      </c>
      <c r="AP51" s="706" t="str">
        <f>'Revenue summary'!AP$8</f>
      </c>
      <c r="AQ51" s="706" t="str">
        <f>'Revenue summary'!AQ$8</f>
      </c>
      <c r="AR51" s="706" t="str">
        <f>'Revenue summary'!AR$8</f>
      </c>
      <c r="AS51" s="707" t="str">
        <f>'Revenue summary'!AS$8</f>
      </c>
      <c r="AT51" s="706" t="str">
        <f>'Revenue summary'!AT$8</f>
      </c>
      <c r="AU51" s="706" t="str">
        <f>'Revenue summary'!AU$8</f>
      </c>
      <c r="AV51" s="706" t="str">
        <f>'Revenue summary'!AV$8</f>
      </c>
      <c r="AW51" s="707" t="str">
        <f>'Revenue summary'!AW$8</f>
      </c>
      <c r="AX51" s="706" t="str">
        <f>'Revenue summary'!AX$8</f>
      </c>
      <c r="AY51" s="706" t="str">
        <f>'Revenue summary'!AY$8</f>
      </c>
      <c r="AZ51" s="706" t="str">
        <f>'Revenue summary'!AZ$8</f>
      </c>
      <c r="BA51" s="707" t="str">
        <f>'Revenue summary'!BA$8</f>
      </c>
      <c r="BB51" s="706" t="str">
        <f>'Revenue summary'!BB$8</f>
      </c>
      <c r="BC51" s="706" t="str">
        <f>'Revenue summary'!BC$8</f>
      </c>
      <c r="BD51" s="706" t="str">
        <f>'Revenue summary'!BD$8</f>
      </c>
      <c r="BE51" s="707" t="str">
        <f>'Revenue summary'!BE$8</f>
      </c>
      <c r="BF51" s="706" t="str">
        <f>'Revenue summary'!BF$8</f>
      </c>
      <c r="BG51" s="706" t="str">
        <f>'Revenue summary'!BG$8</f>
      </c>
      <c r="BH51" s="706" t="str">
        <f>'Revenue summary'!BH$8</f>
      </c>
      <c r="BI51" s="707" t="str">
        <f>'Revenue summary'!BI$8</f>
      </c>
      <c r="BJ51" s="706" t="str">
        <f>'Revenue summary'!BJ$8</f>
      </c>
      <c r="BK51" s="706" t="str">
        <f>'Revenue summary'!BK$8</f>
      </c>
      <c r="BL51" s="706" t="str">
        <f>'Revenue summary'!BL$8</f>
      </c>
      <c r="BM51" s="707" t="str">
        <f>'Revenue summary'!BM$8</f>
      </c>
      <c r="BN51" s="706" t="str">
        <f>'Revenue summary'!BN$8</f>
      </c>
      <c r="BO51" s="706" t="str">
        <f>'Revenue summary'!BO$8</f>
      </c>
      <c r="BP51" s="706" t="str">
        <f>'Revenue summary'!BP$8</f>
      </c>
      <c r="BQ51" s="707" t="str">
        <f>'Revenue summary'!BQ$8</f>
      </c>
      <c r="BR51" s="706" t="str">
        <f>'Revenue summary'!BR$8</f>
      </c>
      <c r="BS51" s="706" t="str">
        <f>'Revenue summary'!BS$8</f>
      </c>
      <c r="BT51" s="706" t="str">
        <f>'Revenue summary'!BT$8</f>
      </c>
      <c r="BU51" s="707" t="str">
        <f>'Revenue summary'!BU$8</f>
      </c>
      <c r="BV51" s="706" t="str">
        <f>'Revenue summary'!BV$8</f>
      </c>
      <c r="BW51" s="706" t="str">
        <f>'Revenue summary'!BW$8</f>
      </c>
      <c r="BX51" s="706" t="str">
        <f>'Revenue summary'!BX$8</f>
      </c>
      <c r="BY51" s="707" t="str">
        <f>'Revenue summary'!BY$8</f>
      </c>
      <c r="BZ51" s="706" t="str">
        <f>'Revenue summary'!BZ$8</f>
      </c>
      <c r="CA51" s="706" t="str">
        <f>'Revenue summary'!CA$8</f>
      </c>
      <c r="CB51" s="706" t="str">
        <f>'Revenue summary'!CB$8</f>
      </c>
      <c r="CC51" s="707" t="str">
        <f>'Revenue summary'!CC$8</f>
      </c>
      <c r="CD51" s="706" t="str">
        <f>'Revenue summary'!CD$8</f>
      </c>
      <c r="CE51" s="706" t="str">
        <f>'Revenue summary'!CE$8</f>
      </c>
      <c r="CF51" s="706" t="str">
        <f>'Revenue summary'!CF$8</f>
      </c>
      <c r="CG51" s="707" t="str">
        <f>'Revenue summary'!CG$8</f>
      </c>
      <c r="CH51" s="706" t="str">
        <f>'Revenue summary'!CH$8</f>
      </c>
      <c r="CI51" s="706" t="str">
        <f>'Revenue summary'!CI$8</f>
      </c>
      <c r="CJ51" s="706" t="str">
        <f>'Revenue summary'!CJ$8</f>
      </c>
      <c r="CK51" s="707" t="str">
        <f>'Revenue summary'!CK$8</f>
      </c>
      <c r="CL51" s="706" t="str">
        <f>'Revenue summary'!CL$8</f>
      </c>
      <c r="CM51" s="706" t="str">
        <f>'Revenue summary'!CM$8</f>
      </c>
      <c r="CN51" s="706" t="str">
        <f>'Revenue summary'!CN$8</f>
      </c>
      <c r="CO51" s="707" t="str">
        <f>'Revenue summary'!CO$8</f>
      </c>
      <c r="CP51" s="706" t="str">
        <f>'Revenue summary'!CP$8</f>
      </c>
      <c r="CQ51" s="706" t="str">
        <f>'Revenue summary'!CQ$8</f>
      </c>
      <c r="CR51" s="706" t="str">
        <f>'Revenue summary'!CR$8</f>
      </c>
      <c r="CS51" s="707" t="str">
        <f>'Revenue summary'!CS$8</f>
      </c>
      <c r="CT51" s="706" t="str">
        <f>'Revenue summary'!CT$8</f>
      </c>
      <c r="CU51" s="706" t="str">
        <f>'Revenue summary'!CU$8</f>
      </c>
      <c r="CV51" s="706" t="str">
        <f>'Revenue summary'!CV$8</f>
      </c>
      <c r="CW51" s="707" t="str">
        <f>'Revenue summary'!CW$8</f>
      </c>
      <c r="CX51" s="706" t="str">
        <f>'Revenue summary'!CX$8</f>
      </c>
      <c r="CY51" s="706" t="str">
        <f>'Revenue summary'!CY$8</f>
      </c>
      <c r="CZ51" s="706" t="str">
        <f>'Revenue summary'!CZ$8</f>
      </c>
      <c r="DA51" s="707" t="str">
        <f>'Revenue summary'!DA$8</f>
      </c>
      <c r="DB51" s="706" t="str">
        <f>'Revenue summary'!DB$8</f>
      </c>
      <c r="DC51" s="706" t="str">
        <f>'Revenue summary'!DC$8</f>
      </c>
      <c r="DD51" s="706" t="str">
        <f>'Revenue summary'!DD$8</f>
      </c>
      <c r="DE51" s="707" t="str">
        <f>'Revenue summary'!DE$8</f>
      </c>
      <c r="DF51" s="706" t="str">
        <f>'Revenue summary'!DF$8</f>
      </c>
      <c r="DG51" s="706" t="str">
        <f>'Revenue summary'!DG$8</f>
      </c>
      <c r="DH51" s="706" t="str">
        <f>'Revenue summary'!DH$8</f>
      </c>
      <c r="DI51" s="707" t="str">
        <f>'Revenue summary'!DI$8</f>
      </c>
      <c r="DJ51" s="706" t="str">
        <f>'Revenue summary'!DJ$8</f>
      </c>
      <c r="DK51" s="706" t="str">
        <f>'Revenue summary'!DK$8</f>
      </c>
      <c r="DL51" s="706" t="str">
        <f>'Revenue summary'!DL$8</f>
      </c>
      <c r="DM51" s="707" t="str">
        <f>'Revenue summary'!DM$8</f>
      </c>
      <c r="DN51" s="706" t="str">
        <f>'Revenue summary'!DN$8</f>
      </c>
      <c r="DO51" s="706" t="str">
        <f>'Revenue summary'!DO$8</f>
      </c>
      <c r="DP51" s="706" t="str">
        <f>'Revenue summary'!DP$8</f>
      </c>
      <c r="DQ51" s="707" t="str">
        <f>'Revenue summary'!DQ$8</f>
      </c>
      <c r="DR51" s="706" t="str">
        <f>'Revenue summary'!DR$8</f>
      </c>
      <c r="DS51" s="706" t="str">
        <f>'Revenue summary'!DS$8</f>
      </c>
      <c r="DT51" s="706" t="str">
        <f>'Revenue summary'!DT$8</f>
      </c>
      <c r="DU51" s="707" t="str">
        <f>'Revenue summary'!DU$8</f>
      </c>
      <c r="DV51" s="706" t="str">
        <f>'Revenue summary'!DV$8</f>
      </c>
      <c r="DW51" s="706" t="str">
        <f>'Revenue summary'!DW$8</f>
      </c>
      <c r="DX51" s="706" t="str">
        <f>'Revenue summary'!DX$8</f>
      </c>
      <c r="DY51" s="707" t="str">
        <f>'Revenue summary'!DY$8</f>
      </c>
      <c r="DZ51" s="706" t="str">
        <f>'Revenue summary'!DZ$8</f>
      </c>
      <c r="EA51" s="706" t="str">
        <f>'Revenue summary'!EA$8</f>
      </c>
      <c r="EB51" s="706" t="str">
        <f>'Revenue summary'!EB$8</f>
      </c>
      <c r="EC51" s="707" t="str">
        <f>'Revenue summary'!EC$8</f>
      </c>
      <c r="ED51" s="706" t="str">
        <f>'Revenue summary'!ED$8</f>
      </c>
      <c r="EE51" s="706" t="str">
        <f>'Revenue summary'!EE$8</f>
      </c>
      <c r="EF51" s="706" t="str">
        <f>'Revenue summary'!EF$8</f>
      </c>
      <c r="EG51" s="707" t="str">
        <f>'Revenue summary'!EG$8</f>
      </c>
      <c r="EH51" s="706" t="str">
        <f>'Revenue summary'!EH$8</f>
      </c>
      <c r="EI51" s="706" t="str">
        <f>'Revenue summary'!EI$8</f>
      </c>
      <c r="EJ51" s="706" t="str">
        <f>'Revenue summary'!EJ$8</f>
      </c>
      <c r="EK51" s="707" t="str">
        <f>'Revenue summary'!EK$8</f>
      </c>
      <c r="EL51" s="320"/>
      <c r="EM51" s="320"/>
      <c r="EN51" s="320"/>
      <c r="EO51" s="320"/>
      <c r="EP51" s="320"/>
      <c r="EQ51" s="320"/>
      <c r="ER51" s="320"/>
      <c r="ES51" s="320"/>
      <c r="ET51" s="320"/>
      <c r="EU51" s="320"/>
      <c r="EV51" s="320"/>
      <c r="EW51" s="320"/>
      <c r="EX51" s="320"/>
      <c r="EY51" s="320"/>
      <c r="EZ51" s="320"/>
      <c r="FA51" s="320"/>
      <c r="FB51" s="320"/>
      <c r="FC51" s="320"/>
      <c r="FD51" s="320"/>
      <c r="FE51" s="320"/>
      <c r="FF51" s="320"/>
      <c r="FG51" s="320"/>
      <c r="FH51" s="320"/>
      <c r="FI51" s="320"/>
      <c r="FJ51" s="320"/>
      <c r="FK51" s="320"/>
      <c r="FL51" s="320"/>
      <c r="FM51" s="320"/>
      <c r="FN51" s="320"/>
      <c r="FO51" s="320"/>
      <c r="FP51" s="320"/>
      <c r="FQ51" s="320"/>
      <c r="FR51" s="320"/>
      <c r="FS51" s="320"/>
      <c r="FT51" s="320"/>
      <c r="FU51" s="320"/>
      <c r="FV51" s="320"/>
      <c r="FW51" s="320"/>
      <c r="FX51" s="320"/>
      <c r="FY51" s="320"/>
      <c r="FZ51" s="320"/>
      <c r="GA51" s="320"/>
      <c r="GB51" s="320"/>
      <c r="GC51" s="320"/>
      <c r="GD51" s="320"/>
      <c r="GE51" s="320"/>
      <c r="GF51" s="320"/>
      <c r="GG51" s="320"/>
      <c r="GH51" s="320"/>
      <c r="GI51" s="320"/>
      <c r="GJ51" s="320"/>
      <c r="GK51" s="320"/>
      <c r="GL51" s="320"/>
      <c r="GM51" s="320"/>
      <c r="GN51" s="320"/>
      <c r="GO51" s="320"/>
      <c r="GP51" s="320"/>
      <c r="GQ51" s="320"/>
      <c r="GR51" s="320"/>
      <c r="GS51" s="320"/>
      <c r="GT51" s="320"/>
      <c r="GU51" s="320"/>
      <c r="GV51" s="320"/>
      <c r="GW51" s="320"/>
      <c r="GX51" s="320"/>
      <c r="GY51" s="320"/>
      <c r="GZ51" s="320"/>
      <c r="HA51" s="320"/>
      <c r="HB51" s="320"/>
      <c r="HC51" s="320"/>
      <c r="HD51" s="320"/>
    </row>
    <row r="52" spans="1:212" s="141" customFormat="1" ht="10.199999999999999">
      <c r="A52" s="834" t="s">
        <v>1204</v>
      </c>
      <c r="B52" s="610"/>
      <c r="C52" s="610"/>
      <c r="D52" s="610"/>
      <c r="E52" s="611"/>
      <c r="F52" s="610"/>
      <c r="G52" s="610"/>
      <c r="H52" s="610"/>
      <c r="I52" s="611"/>
      <c r="J52" s="610"/>
      <c r="K52" s="610"/>
      <c r="L52" s="610"/>
      <c r="M52" s="611"/>
      <c r="N52" s="610"/>
      <c r="O52" s="610"/>
      <c r="P52" s="610"/>
      <c r="Q52" s="611"/>
      <c r="R52" s="610"/>
      <c r="S52" s="610"/>
      <c r="T52" s="610"/>
      <c r="U52" s="611"/>
      <c r="V52" s="610"/>
      <c r="W52" s="610"/>
      <c r="X52" s="610"/>
      <c r="Y52" s="611"/>
      <c r="Z52" s="610"/>
      <c r="AA52" s="610"/>
      <c r="AB52" s="610"/>
      <c r="AC52" s="611"/>
      <c r="AD52" s="610"/>
      <c r="AE52" s="610"/>
      <c r="AF52" s="610"/>
      <c r="AG52" s="611"/>
      <c r="AH52" s="610"/>
      <c r="AI52" s="610"/>
      <c r="AJ52" s="610"/>
      <c r="AK52" s="611"/>
      <c r="AL52" s="610"/>
      <c r="AM52" s="610"/>
      <c r="AN52" s="610"/>
      <c r="AO52" s="611"/>
      <c r="AP52" s="610"/>
      <c r="AQ52" s="610"/>
      <c r="AR52" s="610"/>
      <c r="AS52" s="611"/>
      <c r="AT52" s="610"/>
      <c r="AU52" s="610"/>
      <c r="AV52" s="610"/>
      <c r="AW52" s="611"/>
      <c r="AX52" s="610"/>
      <c r="AY52" s="610"/>
      <c r="AZ52" s="610"/>
      <c r="BA52" s="611"/>
      <c r="BB52" s="610"/>
      <c r="BC52" s="610"/>
      <c r="BD52" s="610"/>
      <c r="BE52" s="611"/>
      <c r="BF52" s="610"/>
      <c r="BG52" s="610"/>
      <c r="BH52" s="610"/>
      <c r="BI52" s="611"/>
      <c r="BJ52" s="610"/>
      <c r="BK52" s="610"/>
      <c r="BL52" s="610"/>
      <c r="BM52" s="611"/>
      <c r="BN52" s="610"/>
      <c r="BO52" s="610"/>
      <c r="BP52" s="610"/>
      <c r="BQ52" s="611"/>
      <c r="BR52" s="610"/>
      <c r="BS52" s="610"/>
      <c r="BT52" s="610"/>
      <c r="BU52" s="611"/>
      <c r="BV52" s="1097">
        <f t="shared" ref="BV52:DA52" si="385">IF(ISERROR(BV11/BU11-1),"NA",BV11/BU11-1)</f>
      </c>
      <c r="BW52" s="1097">
        <f t="shared" si="385"/>
      </c>
      <c r="BX52" s="1097">
        <f t="shared" si="385"/>
      </c>
      <c r="BY52" s="1098">
        <f t="shared" si="385"/>
      </c>
      <c r="BZ52" s="1097">
        <f t="shared" si="385"/>
      </c>
      <c r="CA52" s="1097">
        <f t="shared" si="385"/>
      </c>
      <c r="CB52" s="1097">
        <f t="shared" si="385"/>
      </c>
      <c r="CC52" s="1098">
        <f t="shared" si="385"/>
      </c>
      <c r="CD52" s="1097">
        <f t="shared" si="385"/>
      </c>
      <c r="CE52" s="1097">
        <f t="shared" si="385"/>
      </c>
      <c r="CF52" s="1097">
        <f t="shared" si="385"/>
      </c>
      <c r="CG52" s="1098">
        <f t="shared" si="385"/>
      </c>
      <c r="CH52" s="1097">
        <f t="shared" si="385"/>
      </c>
      <c r="CI52" s="1097">
        <f t="shared" si="385"/>
      </c>
      <c r="CJ52" s="1097">
        <f t="shared" si="385"/>
      </c>
      <c r="CK52" s="1098">
        <f t="shared" si="385"/>
      </c>
      <c r="CL52" s="1097">
        <f t="shared" si="385"/>
      </c>
      <c r="CM52" s="1097">
        <f t="shared" si="385"/>
      </c>
      <c r="CN52" s="1097">
        <f t="shared" si="385"/>
      </c>
      <c r="CO52" s="1098">
        <f t="shared" si="385"/>
      </c>
      <c r="CP52" s="1097">
        <f t="shared" si="385"/>
      </c>
      <c r="CQ52" s="1097">
        <f t="shared" si="385"/>
      </c>
      <c r="CR52" s="1097">
        <f t="shared" si="385"/>
      </c>
      <c r="CS52" s="1098">
        <f t="shared" si="385"/>
      </c>
      <c r="CT52" s="1097">
        <f t="shared" si="385"/>
      </c>
      <c r="CU52" s="1097">
        <f t="shared" si="385"/>
      </c>
      <c r="CV52" s="1097">
        <f t="shared" si="385"/>
      </c>
      <c r="CW52" s="1098">
        <f t="shared" si="385"/>
      </c>
      <c r="CX52" s="1099">
        <f t="shared" si="385"/>
      </c>
      <c r="CY52" s="1097">
        <f t="shared" si="385"/>
      </c>
      <c r="CZ52" s="1097">
        <f t="shared" si="385"/>
      </c>
      <c r="DA52" s="1098">
        <f t="shared" si="385"/>
      </c>
      <c r="DB52" s="1099">
        <f t="shared" ref="DB52:DU52" si="386">IF(ISERROR(DB11/DA11-1),"NA",DB11/DA11-1)</f>
      </c>
      <c r="DC52" s="1097">
        <f t="shared" si="386"/>
      </c>
      <c r="DD52" s="1097">
        <f t="shared" si="386"/>
      </c>
      <c r="DE52" s="1098">
        <f t="shared" si="386"/>
      </c>
      <c r="DF52" s="1097">
        <f t="shared" si="386"/>
      </c>
      <c r="DG52" s="1097">
        <f t="shared" si="386"/>
      </c>
      <c r="DH52" s="1097">
        <f t="shared" si="386"/>
      </c>
      <c r="DI52" s="1098">
        <f t="shared" si="386"/>
      </c>
      <c r="DJ52" s="1097">
        <f t="shared" si="386"/>
      </c>
      <c r="DK52" s="1097">
        <f t="shared" si="386"/>
      </c>
      <c r="DL52" s="1097">
        <f t="shared" si="386"/>
      </c>
      <c r="DM52" s="1098">
        <f t="shared" si="386"/>
      </c>
      <c r="DN52" s="1097">
        <f t="shared" si="386"/>
      </c>
      <c r="DO52" s="1097">
        <f t="shared" si="386"/>
      </c>
      <c r="DP52" s="1097">
        <f t="shared" si="386"/>
      </c>
      <c r="DQ52" s="1098">
        <f t="shared" si="386"/>
      </c>
      <c r="DR52" s="1097">
        <f t="shared" si="386"/>
      </c>
      <c r="DS52" s="1097">
        <f t="shared" si="386"/>
      </c>
      <c r="DT52" s="1097">
        <f t="shared" si="386"/>
      </c>
      <c r="DU52" s="1098">
        <f t="shared" si="386"/>
      </c>
      <c r="DV52" s="1097">
        <f t="shared" ref="DV52:EK52" si="387">IF(ISERROR(DV11/DU11-1),"NA",DV11/DU11-1)</f>
      </c>
      <c r="DW52" s="1097">
        <f t="shared" si="387"/>
      </c>
      <c r="DX52" s="1097">
        <f t="shared" si="387"/>
      </c>
      <c r="DY52" s="1098">
        <f t="shared" si="387"/>
      </c>
      <c r="DZ52" s="1097">
        <f t="shared" si="387"/>
      </c>
      <c r="EA52" s="1097">
        <f t="shared" si="387"/>
      </c>
      <c r="EB52" s="1097">
        <f t="shared" si="387"/>
      </c>
      <c r="EC52" s="1098">
        <f t="shared" si="387"/>
      </c>
      <c r="ED52" s="1097">
        <f t="shared" si="387"/>
      </c>
      <c r="EE52" s="1097">
        <f t="shared" si="387"/>
      </c>
      <c r="EF52" s="1097">
        <f t="shared" si="387"/>
      </c>
      <c r="EG52" s="1098">
        <f t="shared" si="387"/>
      </c>
      <c r="EH52" s="1097">
        <f t="shared" si="387"/>
      </c>
      <c r="EI52" s="1097">
        <f t="shared" si="387"/>
      </c>
      <c r="EJ52" s="1097">
        <f t="shared" si="387"/>
      </c>
      <c r="EK52" s="1098">
        <f t="shared" si="387"/>
      </c>
    </row>
    <row r="53" spans="1:212" s="141" customFormat="1" ht="10.199999999999999">
      <c r="A53" s="834" t="s">
        <v>1210</v>
      </c>
      <c r="B53" s="589"/>
      <c r="C53" s="589"/>
      <c r="D53" s="589"/>
      <c r="E53" s="590"/>
      <c r="F53" s="589"/>
      <c r="G53" s="589"/>
      <c r="H53" s="589"/>
      <c r="I53" s="590"/>
      <c r="J53" s="589"/>
      <c r="K53" s="589"/>
      <c r="L53" s="589"/>
      <c r="M53" s="590"/>
      <c r="N53" s="589"/>
      <c r="O53" s="589"/>
      <c r="P53" s="589"/>
      <c r="Q53" s="590"/>
      <c r="R53" s="589"/>
      <c r="S53" s="589"/>
      <c r="T53" s="589"/>
      <c r="U53" s="590"/>
      <c r="V53" s="589"/>
      <c r="W53" s="589"/>
      <c r="X53" s="589"/>
      <c r="Y53" s="590"/>
      <c r="Z53" s="589"/>
      <c r="AA53" s="589"/>
      <c r="AB53" s="589"/>
      <c r="AC53" s="590"/>
      <c r="AD53" s="589"/>
      <c r="AE53" s="589"/>
      <c r="AF53" s="589"/>
      <c r="AG53" s="590"/>
      <c r="AH53" s="589"/>
      <c r="AI53" s="589"/>
      <c r="AJ53" s="589"/>
      <c r="AK53" s="590"/>
      <c r="AL53" s="589"/>
      <c r="AM53" s="589"/>
      <c r="AN53" s="589"/>
      <c r="AO53" s="590"/>
      <c r="AP53" s="589"/>
      <c r="AQ53" s="589"/>
      <c r="AR53" s="589"/>
      <c r="AS53" s="590"/>
      <c r="AT53" s="589"/>
      <c r="AU53" s="589"/>
      <c r="AV53" s="589"/>
      <c r="AW53" s="590"/>
      <c r="AX53" s="589"/>
      <c r="AY53" s="589"/>
      <c r="AZ53" s="589"/>
      <c r="BA53" s="590"/>
      <c r="BB53" s="589"/>
      <c r="BC53" s="589"/>
      <c r="BD53" s="589"/>
      <c r="BE53" s="590"/>
      <c r="BF53" s="589"/>
      <c r="BG53" s="589"/>
      <c r="BH53" s="589"/>
      <c r="BI53" s="590"/>
      <c r="BJ53" s="589"/>
      <c r="BK53" s="589"/>
      <c r="BL53" s="589"/>
      <c r="BM53" s="590"/>
      <c r="BN53" s="589"/>
      <c r="BO53" s="589"/>
      <c r="BP53" s="589"/>
      <c r="BQ53" s="590"/>
      <c r="BR53" s="589"/>
      <c r="BS53" s="589"/>
      <c r="BT53" s="589"/>
      <c r="BU53" s="590"/>
      <c r="BV53" s="1100" t="str">
        <f t="shared" ref="BV53:DA53" si="388">IF(ISERROR(BV12/BU12-1),"NA",BV12/BU12-1)</f>
      </c>
      <c r="BW53" s="1100" t="str">
        <f t="shared" si="388"/>
      </c>
      <c r="BX53" s="1100" t="str">
        <f t="shared" si="388"/>
      </c>
      <c r="BY53" s="1101" t="str">
        <f t="shared" si="388"/>
      </c>
      <c r="BZ53" s="1100" t="str">
        <f t="shared" si="388"/>
      </c>
      <c r="CA53" s="1100" t="str">
        <f t="shared" si="388"/>
      </c>
      <c r="CB53" s="1100" t="str">
        <f t="shared" si="388"/>
      </c>
      <c r="CC53" s="1101" t="str">
        <f t="shared" si="388"/>
      </c>
      <c r="CD53" s="1100" t="str">
        <f t="shared" si="388"/>
      </c>
      <c r="CE53" s="1100">
        <f t="shared" si="388"/>
      </c>
      <c r="CF53" s="1100">
        <f t="shared" si="388"/>
      </c>
      <c r="CG53" s="1101">
        <f t="shared" si="388"/>
      </c>
      <c r="CH53" s="1100">
        <f t="shared" si="388"/>
      </c>
      <c r="CI53" s="1100">
        <f t="shared" si="388"/>
      </c>
      <c r="CJ53" s="1100">
        <f t="shared" si="388"/>
      </c>
      <c r="CK53" s="1101">
        <f t="shared" si="388"/>
      </c>
      <c r="CL53" s="1100">
        <f t="shared" si="388"/>
      </c>
      <c r="CM53" s="1100">
        <f t="shared" si="388"/>
      </c>
      <c r="CN53" s="1100">
        <f t="shared" si="388"/>
      </c>
      <c r="CO53" s="1101">
        <f t="shared" si="388"/>
      </c>
      <c r="CP53" s="1100">
        <f t="shared" si="388"/>
      </c>
      <c r="CQ53" s="1100">
        <f t="shared" si="388"/>
      </c>
      <c r="CR53" s="1100">
        <f t="shared" si="388"/>
      </c>
      <c r="CS53" s="1101">
        <f t="shared" si="388"/>
      </c>
      <c r="CT53" s="1100">
        <f t="shared" si="388"/>
      </c>
      <c r="CU53" s="1100">
        <f t="shared" si="388"/>
      </c>
      <c r="CV53" s="1100">
        <f t="shared" si="388"/>
      </c>
      <c r="CW53" s="1101">
        <f t="shared" si="388"/>
      </c>
      <c r="CX53" s="1102">
        <f t="shared" si="388"/>
      </c>
      <c r="CY53" s="1100">
        <f t="shared" si="388"/>
      </c>
      <c r="CZ53" s="1100">
        <f t="shared" si="388"/>
      </c>
      <c r="DA53" s="1101">
        <f t="shared" si="388"/>
      </c>
      <c r="DB53" s="1102">
        <f t="shared" ref="DB53:DU53" si="389">IF(ISERROR(DB12/DA12-1),"NA",DB12/DA12-1)</f>
      </c>
      <c r="DC53" s="1100">
        <f t="shared" si="389"/>
      </c>
      <c r="DD53" s="1100">
        <f t="shared" si="389"/>
      </c>
      <c r="DE53" s="1101">
        <f t="shared" si="389"/>
      </c>
      <c r="DF53" s="1100">
        <f t="shared" si="389"/>
      </c>
      <c r="DG53" s="1100">
        <f t="shared" si="389"/>
      </c>
      <c r="DH53" s="1100">
        <f t="shared" si="389"/>
      </c>
      <c r="DI53" s="1101">
        <f t="shared" si="389"/>
      </c>
      <c r="DJ53" s="1100">
        <f t="shared" si="389"/>
      </c>
      <c r="DK53" s="1100">
        <f t="shared" si="389"/>
      </c>
      <c r="DL53" s="1100">
        <f t="shared" si="389"/>
      </c>
      <c r="DM53" s="1101">
        <f t="shared" si="389"/>
      </c>
      <c r="DN53" s="1100">
        <f t="shared" si="389"/>
      </c>
      <c r="DO53" s="1100">
        <f t="shared" si="389"/>
      </c>
      <c r="DP53" s="1100">
        <f t="shared" si="389"/>
      </c>
      <c r="DQ53" s="1101">
        <f t="shared" si="389"/>
      </c>
      <c r="DR53" s="1100">
        <f t="shared" si="389"/>
      </c>
      <c r="DS53" s="1100">
        <f t="shared" si="389"/>
      </c>
      <c r="DT53" s="1100">
        <f t="shared" si="389"/>
      </c>
      <c r="DU53" s="1101">
        <f t="shared" si="389"/>
      </c>
      <c r="DV53" s="1100">
        <f t="shared" ref="DV53:EK53" si="390">IF(ISERROR(DV12/DU12-1),"NA",DV12/DU12-1)</f>
      </c>
      <c r="DW53" s="1100">
        <f t="shared" si="390"/>
      </c>
      <c r="DX53" s="1100">
        <f t="shared" si="390"/>
      </c>
      <c r="DY53" s="1101">
        <f t="shared" si="390"/>
      </c>
      <c r="DZ53" s="1100">
        <f t="shared" si="390"/>
      </c>
      <c r="EA53" s="1100">
        <f t="shared" si="390"/>
      </c>
      <c r="EB53" s="1100">
        <f t="shared" si="390"/>
      </c>
      <c r="EC53" s="1101">
        <f t="shared" si="390"/>
      </c>
      <c r="ED53" s="1100">
        <f t="shared" si="390"/>
      </c>
      <c r="EE53" s="1100">
        <f t="shared" si="390"/>
      </c>
      <c r="EF53" s="1100">
        <f t="shared" si="390"/>
      </c>
      <c r="EG53" s="1101">
        <f t="shared" si="390"/>
      </c>
      <c r="EH53" s="1100">
        <f t="shared" si="390"/>
      </c>
      <c r="EI53" s="1100">
        <f t="shared" si="390"/>
      </c>
      <c r="EJ53" s="1100">
        <f t="shared" si="390"/>
      </c>
      <c r="EK53" s="1101">
        <f t="shared" si="390"/>
      </c>
    </row>
    <row r="54" spans="1:212" s="141" customFormat="1" ht="10.199999999999999">
      <c r="A54" s="834" t="s">
        <v>1230</v>
      </c>
      <c r="B54" s="589"/>
      <c r="C54" s="589"/>
      <c r="D54" s="589"/>
      <c r="E54" s="590"/>
      <c r="F54" s="589"/>
      <c r="G54" s="589"/>
      <c r="H54" s="589"/>
      <c r="I54" s="590"/>
      <c r="J54" s="589"/>
      <c r="K54" s="589"/>
      <c r="L54" s="589"/>
      <c r="M54" s="590"/>
      <c r="N54" s="589"/>
      <c r="O54" s="589"/>
      <c r="P54" s="589"/>
      <c r="Q54" s="590"/>
      <c r="R54" s="589"/>
      <c r="S54" s="589"/>
      <c r="T54" s="589"/>
      <c r="U54" s="590"/>
      <c r="V54" s="589"/>
      <c r="W54" s="589"/>
      <c r="X54" s="589"/>
      <c r="Y54" s="590"/>
      <c r="Z54" s="589"/>
      <c r="AA54" s="589"/>
      <c r="AB54" s="589"/>
      <c r="AC54" s="590"/>
      <c r="AD54" s="589"/>
      <c r="AE54" s="589"/>
      <c r="AF54" s="589"/>
      <c r="AG54" s="590"/>
      <c r="AH54" s="589"/>
      <c r="AI54" s="589"/>
      <c r="AJ54" s="589"/>
      <c r="AK54" s="590"/>
      <c r="AL54" s="589"/>
      <c r="AM54" s="589"/>
      <c r="AN54" s="589"/>
      <c r="AO54" s="590"/>
      <c r="AP54" s="589"/>
      <c r="AQ54" s="589"/>
      <c r="AR54" s="589"/>
      <c r="AS54" s="590"/>
      <c r="AT54" s="589"/>
      <c r="AU54" s="589"/>
      <c r="AV54" s="589"/>
      <c r="AW54" s="590"/>
      <c r="AX54" s="589"/>
      <c r="AY54" s="589"/>
      <c r="AZ54" s="589"/>
      <c r="BA54" s="590"/>
      <c r="BB54" s="589"/>
      <c r="BC54" s="589"/>
      <c r="BD54" s="589"/>
      <c r="BE54" s="590"/>
      <c r="BF54" s="589"/>
      <c r="BG54" s="589"/>
      <c r="BH54" s="589"/>
      <c r="BI54" s="590"/>
      <c r="BJ54" s="589"/>
      <c r="BK54" s="589"/>
      <c r="BL54" s="589"/>
      <c r="BM54" s="590"/>
      <c r="BN54" s="589"/>
      <c r="BO54" s="589"/>
      <c r="BP54" s="589"/>
      <c r="BQ54" s="590"/>
      <c r="BR54" s="589"/>
      <c r="BS54" s="589"/>
      <c r="BT54" s="589"/>
      <c r="BU54" s="590"/>
      <c r="BV54" s="1100" t="str">
        <f t="shared" ref="BV54:DA54" si="391">IF(ISERROR(BV13/BU13-1),"NA",BV13/BU13-1)</f>
      </c>
      <c r="BW54" s="1100" t="str">
        <f t="shared" si="391"/>
      </c>
      <c r="BX54" s="1100" t="str">
        <f t="shared" si="391"/>
      </c>
      <c r="BY54" s="1101" t="str">
        <f t="shared" si="391"/>
      </c>
      <c r="BZ54" s="1100" t="str">
        <f t="shared" si="391"/>
      </c>
      <c r="CA54" s="1100" t="str">
        <f t="shared" si="391"/>
      </c>
      <c r="CB54" s="1100" t="str">
        <f t="shared" si="391"/>
      </c>
      <c r="CC54" s="1101" t="str">
        <f t="shared" si="391"/>
      </c>
      <c r="CD54" s="1100" t="str">
        <f t="shared" si="391"/>
      </c>
      <c r="CE54" s="1100" t="str">
        <f t="shared" si="391"/>
      </c>
      <c r="CF54" s="1100" t="str">
        <f t="shared" si="391"/>
      </c>
      <c r="CG54" s="1101" t="str">
        <f t="shared" si="391"/>
      </c>
      <c r="CH54" s="1100" t="str">
        <f t="shared" si="391"/>
      </c>
      <c r="CI54" s="1100">
        <f t="shared" si="391"/>
      </c>
      <c r="CJ54" s="1100">
        <f t="shared" si="391"/>
      </c>
      <c r="CK54" s="1101">
        <f t="shared" si="391"/>
      </c>
      <c r="CL54" s="1100">
        <f t="shared" si="391"/>
      </c>
      <c r="CM54" s="1100">
        <f t="shared" si="391"/>
      </c>
      <c r="CN54" s="1100">
        <f t="shared" si="391"/>
      </c>
      <c r="CO54" s="1101">
        <f t="shared" si="391"/>
      </c>
      <c r="CP54" s="1100">
        <f t="shared" si="391"/>
      </c>
      <c r="CQ54" s="1100">
        <f t="shared" si="391"/>
      </c>
      <c r="CR54" s="1100">
        <f t="shared" si="391"/>
      </c>
      <c r="CS54" s="1101">
        <f t="shared" si="391"/>
      </c>
      <c r="CT54" s="1100">
        <f t="shared" si="391"/>
      </c>
      <c r="CU54" s="1100">
        <f t="shared" si="391"/>
      </c>
      <c r="CV54" s="1100">
        <f t="shared" si="391"/>
      </c>
      <c r="CW54" s="1101">
        <f t="shared" si="391"/>
      </c>
      <c r="CX54" s="1102">
        <f t="shared" si="391"/>
      </c>
      <c r="CY54" s="1100">
        <f t="shared" si="391"/>
      </c>
      <c r="CZ54" s="1100">
        <f t="shared" si="391"/>
      </c>
      <c r="DA54" s="1101">
        <f t="shared" si="391"/>
      </c>
      <c r="DB54" s="1102">
        <f t="shared" ref="DB54:DU54" si="392">IF(ISERROR(DB13/DA13-1),"NA",DB13/DA13-1)</f>
      </c>
      <c r="DC54" s="1100">
        <f t="shared" si="392"/>
      </c>
      <c r="DD54" s="1100">
        <f t="shared" si="392"/>
      </c>
      <c r="DE54" s="1101">
        <f t="shared" si="392"/>
      </c>
      <c r="DF54" s="1100">
        <f t="shared" si="392"/>
      </c>
      <c r="DG54" s="1100">
        <f t="shared" si="392"/>
      </c>
      <c r="DH54" s="1100">
        <f t="shared" si="392"/>
      </c>
      <c r="DI54" s="1101">
        <f t="shared" si="392"/>
      </c>
      <c r="DJ54" s="1100">
        <f t="shared" si="392"/>
      </c>
      <c r="DK54" s="1100">
        <f t="shared" si="392"/>
      </c>
      <c r="DL54" s="1100">
        <f t="shared" si="392"/>
      </c>
      <c r="DM54" s="1101">
        <f t="shared" si="392"/>
      </c>
      <c r="DN54" s="1100">
        <f t="shared" si="392"/>
      </c>
      <c r="DO54" s="1100">
        <f t="shared" si="392"/>
      </c>
      <c r="DP54" s="1100">
        <f t="shared" si="392"/>
      </c>
      <c r="DQ54" s="1101">
        <f t="shared" si="392"/>
      </c>
      <c r="DR54" s="1100">
        <f t="shared" si="392"/>
      </c>
      <c r="DS54" s="1100">
        <f t="shared" si="392"/>
      </c>
      <c r="DT54" s="1100">
        <f t="shared" si="392"/>
      </c>
      <c r="DU54" s="1101">
        <f t="shared" si="392"/>
      </c>
      <c r="DV54" s="1100">
        <f t="shared" ref="DV54:EK54" si="393">IF(ISERROR(DV13/DU13-1),"NA",DV13/DU13-1)</f>
      </c>
      <c r="DW54" s="1100">
        <f t="shared" si="393"/>
      </c>
      <c r="DX54" s="1100">
        <f t="shared" si="393"/>
      </c>
      <c r="DY54" s="1101">
        <f t="shared" si="393"/>
      </c>
      <c r="DZ54" s="1100">
        <f t="shared" si="393"/>
      </c>
      <c r="EA54" s="1100">
        <f t="shared" si="393"/>
      </c>
      <c r="EB54" s="1100">
        <f t="shared" si="393"/>
      </c>
      <c r="EC54" s="1101">
        <f t="shared" si="393"/>
      </c>
      <c r="ED54" s="1100">
        <f t="shared" si="393"/>
      </c>
      <c r="EE54" s="1100">
        <f t="shared" si="393"/>
      </c>
      <c r="EF54" s="1100">
        <f t="shared" si="393"/>
      </c>
      <c r="EG54" s="1101">
        <f t="shared" si="393"/>
      </c>
      <c r="EH54" s="1100">
        <f t="shared" si="393"/>
      </c>
      <c r="EI54" s="1100">
        <f t="shared" si="393"/>
      </c>
      <c r="EJ54" s="1100">
        <f t="shared" si="393"/>
      </c>
      <c r="EK54" s="1101">
        <f t="shared" si="393"/>
      </c>
    </row>
    <row r="55" spans="1:212" s="141" customFormat="1" ht="10.199999999999999">
      <c r="A55" s="834" t="s">
        <v>1233</v>
      </c>
      <c r="B55" s="589"/>
      <c r="C55" s="589"/>
      <c r="D55" s="589"/>
      <c r="E55" s="590"/>
      <c r="F55" s="589"/>
      <c r="G55" s="589"/>
      <c r="H55" s="589"/>
      <c r="I55" s="590"/>
      <c r="J55" s="589"/>
      <c r="K55" s="589"/>
      <c r="L55" s="589"/>
      <c r="M55" s="590"/>
      <c r="N55" s="589"/>
      <c r="O55" s="589"/>
      <c r="P55" s="589"/>
      <c r="Q55" s="590"/>
      <c r="R55" s="589"/>
      <c r="S55" s="589"/>
      <c r="T55" s="589"/>
      <c r="U55" s="590"/>
      <c r="V55" s="589"/>
      <c r="W55" s="589"/>
      <c r="X55" s="589"/>
      <c r="Y55" s="590"/>
      <c r="Z55" s="589"/>
      <c r="AA55" s="589"/>
      <c r="AB55" s="589"/>
      <c r="AC55" s="590"/>
      <c r="AD55" s="589"/>
      <c r="AE55" s="589"/>
      <c r="AF55" s="589"/>
      <c r="AG55" s="590"/>
      <c r="AH55" s="589"/>
      <c r="AI55" s="589"/>
      <c r="AJ55" s="589"/>
      <c r="AK55" s="590"/>
      <c r="AL55" s="589"/>
      <c r="AM55" s="589"/>
      <c r="AN55" s="589"/>
      <c r="AO55" s="590"/>
      <c r="AP55" s="589"/>
      <c r="AQ55" s="589"/>
      <c r="AR55" s="589"/>
      <c r="AS55" s="590"/>
      <c r="AT55" s="589"/>
      <c r="AU55" s="589"/>
      <c r="AV55" s="589"/>
      <c r="AW55" s="590"/>
      <c r="AX55" s="589"/>
      <c r="AY55" s="589"/>
      <c r="AZ55" s="589"/>
      <c r="BA55" s="590"/>
      <c r="BB55" s="589"/>
      <c r="BC55" s="589"/>
      <c r="BD55" s="589"/>
      <c r="BE55" s="590"/>
      <c r="BF55" s="589"/>
      <c r="BG55" s="589"/>
      <c r="BH55" s="589"/>
      <c r="BI55" s="590"/>
      <c r="BJ55" s="589"/>
      <c r="BK55" s="589"/>
      <c r="BL55" s="589"/>
      <c r="BM55" s="590"/>
      <c r="BN55" s="589"/>
      <c r="BO55" s="589"/>
      <c r="BP55" s="589"/>
      <c r="BQ55" s="590"/>
      <c r="BR55" s="589"/>
      <c r="BS55" s="589"/>
      <c r="BT55" s="589"/>
      <c r="BU55" s="590"/>
      <c r="BV55" s="1100" t="str">
        <f t="shared" ref="BV55:DA55" si="394">IF(ISERROR(BV14/BU14-1),"NA",BV14/BU14-1)</f>
      </c>
      <c r="BW55" s="1100" t="str">
        <f t="shared" si="394"/>
      </c>
      <c r="BX55" s="1100" t="str">
        <f t="shared" si="394"/>
      </c>
      <c r="BY55" s="1101" t="str">
        <f t="shared" si="394"/>
      </c>
      <c r="BZ55" s="1100" t="str">
        <f t="shared" si="394"/>
      </c>
      <c r="CA55" s="1100" t="str">
        <f t="shared" si="394"/>
      </c>
      <c r="CB55" s="1100" t="str">
        <f t="shared" si="394"/>
      </c>
      <c r="CC55" s="1101" t="str">
        <f t="shared" si="394"/>
      </c>
      <c r="CD55" s="1100">
        <f t="shared" si="394"/>
      </c>
      <c r="CE55" s="1100">
        <f t="shared" si="394"/>
      </c>
      <c r="CF55" s="1100">
        <f t="shared" si="394"/>
      </c>
      <c r="CG55" s="1101">
        <f t="shared" si="394"/>
      </c>
      <c r="CH55" s="1100">
        <f t="shared" si="394"/>
      </c>
      <c r="CI55" s="1100">
        <f t="shared" si="394"/>
      </c>
      <c r="CJ55" s="1100">
        <f t="shared" si="394"/>
      </c>
      <c r="CK55" s="1101">
        <f t="shared" si="394"/>
      </c>
      <c r="CL55" s="1100">
        <f t="shared" si="394"/>
      </c>
      <c r="CM55" s="1100">
        <f t="shared" si="394"/>
      </c>
      <c r="CN55" s="1100">
        <f t="shared" si="394"/>
      </c>
      <c r="CO55" s="1101">
        <f t="shared" si="394"/>
      </c>
      <c r="CP55" s="1100">
        <f t="shared" si="394"/>
      </c>
      <c r="CQ55" s="1100">
        <f t="shared" si="394"/>
      </c>
      <c r="CR55" s="1100">
        <f t="shared" si="394"/>
      </c>
      <c r="CS55" s="1101">
        <f t="shared" si="394"/>
      </c>
      <c r="CT55" s="1100">
        <f t="shared" si="394"/>
      </c>
      <c r="CU55" s="1100">
        <f t="shared" si="394"/>
      </c>
      <c r="CV55" s="1100">
        <f t="shared" si="394"/>
      </c>
      <c r="CW55" s="1101">
        <f t="shared" si="394"/>
      </c>
      <c r="CX55" s="1102">
        <f t="shared" si="394"/>
      </c>
      <c r="CY55" s="1100">
        <f t="shared" si="394"/>
      </c>
      <c r="CZ55" s="1100">
        <f t="shared" si="394"/>
      </c>
      <c r="DA55" s="1101">
        <f t="shared" si="394"/>
      </c>
      <c r="DB55" s="1102">
        <f t="shared" ref="DB55:DU55" si="395">IF(ISERROR(DB14/DA14-1),"NA",DB14/DA14-1)</f>
      </c>
      <c r="DC55" s="1100">
        <f t="shared" si="395"/>
      </c>
      <c r="DD55" s="1100">
        <f t="shared" si="395"/>
      </c>
      <c r="DE55" s="1101">
        <f t="shared" si="395"/>
      </c>
      <c r="DF55" s="1100">
        <f t="shared" si="395"/>
      </c>
      <c r="DG55" s="1100">
        <f t="shared" si="395"/>
      </c>
      <c r="DH55" s="1100">
        <f t="shared" si="395"/>
      </c>
      <c r="DI55" s="1101">
        <f t="shared" si="395"/>
      </c>
      <c r="DJ55" s="1100">
        <f t="shared" si="395"/>
      </c>
      <c r="DK55" s="1100">
        <f t="shared" si="395"/>
      </c>
      <c r="DL55" s="1100">
        <f t="shared" si="395"/>
      </c>
      <c r="DM55" s="1101">
        <f t="shared" si="395"/>
      </c>
      <c r="DN55" s="1100">
        <f t="shared" si="395"/>
      </c>
      <c r="DO55" s="1100">
        <f t="shared" si="395"/>
      </c>
      <c r="DP55" s="1100">
        <f t="shared" si="395"/>
      </c>
      <c r="DQ55" s="1101">
        <f t="shared" si="395"/>
      </c>
      <c r="DR55" s="1100">
        <f t="shared" si="395"/>
      </c>
      <c r="DS55" s="1100">
        <f t="shared" si="395"/>
      </c>
      <c r="DT55" s="1100">
        <f t="shared" si="395"/>
      </c>
      <c r="DU55" s="1101">
        <f t="shared" si="395"/>
      </c>
      <c r="DV55" s="1100">
        <f t="shared" ref="DV55:EK55" si="396">IF(ISERROR(DV14/DU14-1),"NA",DV14/DU14-1)</f>
      </c>
      <c r="DW55" s="1100">
        <f t="shared" si="396"/>
      </c>
      <c r="DX55" s="1100">
        <f t="shared" si="396"/>
      </c>
      <c r="DY55" s="1101">
        <f t="shared" si="396"/>
      </c>
      <c r="DZ55" s="1100">
        <f t="shared" si="396"/>
      </c>
      <c r="EA55" s="1100">
        <f t="shared" si="396"/>
      </c>
      <c r="EB55" s="1100">
        <f t="shared" si="396"/>
      </c>
      <c r="EC55" s="1101">
        <f t="shared" si="396"/>
      </c>
      <c r="ED55" s="1100">
        <f t="shared" si="396"/>
      </c>
      <c r="EE55" s="1100">
        <f t="shared" si="396"/>
      </c>
      <c r="EF55" s="1100">
        <f t="shared" si="396"/>
      </c>
      <c r="EG55" s="1101">
        <f t="shared" si="396"/>
      </c>
      <c r="EH55" s="1100">
        <f t="shared" si="396"/>
      </c>
      <c r="EI55" s="1100">
        <f t="shared" si="396"/>
      </c>
      <c r="EJ55" s="1100">
        <f t="shared" si="396"/>
      </c>
      <c r="EK55" s="1101">
        <f t="shared" si="396"/>
      </c>
    </row>
    <row r="56" spans="1:212" s="141" customFormat="1" ht="10.199999999999999">
      <c r="A56" s="834" t="s">
        <v>1212</v>
      </c>
      <c r="B56" s="589"/>
      <c r="C56" s="589"/>
      <c r="D56" s="589"/>
      <c r="E56" s="590"/>
      <c r="F56" s="589"/>
      <c r="G56" s="589"/>
      <c r="H56" s="589"/>
      <c r="I56" s="590"/>
      <c r="J56" s="589"/>
      <c r="K56" s="589"/>
      <c r="L56" s="589"/>
      <c r="M56" s="590"/>
      <c r="N56" s="589"/>
      <c r="O56" s="589"/>
      <c r="P56" s="589"/>
      <c r="Q56" s="590"/>
      <c r="R56" s="589"/>
      <c r="S56" s="589"/>
      <c r="T56" s="589"/>
      <c r="U56" s="590"/>
      <c r="V56" s="589"/>
      <c r="W56" s="589"/>
      <c r="X56" s="589"/>
      <c r="Y56" s="590"/>
      <c r="Z56" s="589"/>
      <c r="AA56" s="589"/>
      <c r="AB56" s="589"/>
      <c r="AC56" s="590"/>
      <c r="AD56" s="589"/>
      <c r="AE56" s="589"/>
      <c r="AF56" s="589"/>
      <c r="AG56" s="590"/>
      <c r="AH56" s="589"/>
      <c r="AI56" s="589"/>
      <c r="AJ56" s="589"/>
      <c r="AK56" s="590"/>
      <c r="AL56" s="589"/>
      <c r="AM56" s="589"/>
      <c r="AN56" s="589"/>
      <c r="AO56" s="590"/>
      <c r="AP56" s="589"/>
      <c r="AQ56" s="589"/>
      <c r="AR56" s="589"/>
      <c r="AS56" s="590"/>
      <c r="AT56" s="589"/>
      <c r="AU56" s="589"/>
      <c r="AV56" s="589"/>
      <c r="AW56" s="590"/>
      <c r="AX56" s="589"/>
      <c r="AY56" s="589"/>
      <c r="AZ56" s="589"/>
      <c r="BA56" s="590"/>
      <c r="BB56" s="589"/>
      <c r="BC56" s="589"/>
      <c r="BD56" s="589"/>
      <c r="BE56" s="590"/>
      <c r="BF56" s="589"/>
      <c r="BG56" s="589"/>
      <c r="BH56" s="589"/>
      <c r="BI56" s="590"/>
      <c r="BJ56" s="589"/>
      <c r="BK56" s="589"/>
      <c r="BL56" s="589"/>
      <c r="BM56" s="590"/>
      <c r="BN56" s="589"/>
      <c r="BO56" s="589"/>
      <c r="BP56" s="589"/>
      <c r="BQ56" s="590"/>
      <c r="BR56" s="589"/>
      <c r="BS56" s="589"/>
      <c r="BT56" s="589"/>
      <c r="BU56" s="590"/>
      <c r="BV56" s="1100" t="str">
        <f t="shared" ref="BV56:DA56" si="397">IF(ISERROR(BV15/BU15-1),"NA",BV15/BU15-1)</f>
      </c>
      <c r="BW56" s="1100">
        <f t="shared" si="397"/>
      </c>
      <c r="BX56" s="1100">
        <f t="shared" si="397"/>
      </c>
      <c r="BY56" s="1101">
        <f t="shared" si="397"/>
      </c>
      <c r="BZ56" s="1100">
        <f t="shared" si="397"/>
      </c>
      <c r="CA56" s="1100">
        <f t="shared" si="397"/>
      </c>
      <c r="CB56" s="1100">
        <f t="shared" si="397"/>
      </c>
      <c r="CC56" s="1101">
        <f t="shared" si="397"/>
      </c>
      <c r="CD56" s="1100">
        <f t="shared" si="397"/>
      </c>
      <c r="CE56" s="1100">
        <f t="shared" si="397"/>
      </c>
      <c r="CF56" s="1100">
        <f t="shared" si="397"/>
      </c>
      <c r="CG56" s="1101">
        <f t="shared" si="397"/>
      </c>
      <c r="CH56" s="1100">
        <f t="shared" si="397"/>
      </c>
      <c r="CI56" s="1100">
        <f t="shared" si="397"/>
      </c>
      <c r="CJ56" s="1100">
        <f t="shared" si="397"/>
      </c>
      <c r="CK56" s="1101">
        <f t="shared" si="397"/>
      </c>
      <c r="CL56" s="1100">
        <f t="shared" si="397"/>
      </c>
      <c r="CM56" s="1100">
        <f t="shared" si="397"/>
      </c>
      <c r="CN56" s="1100">
        <f t="shared" si="397"/>
      </c>
      <c r="CO56" s="1101">
        <f t="shared" si="397"/>
      </c>
      <c r="CP56" s="1100">
        <f t="shared" si="397"/>
      </c>
      <c r="CQ56" s="1100">
        <f t="shared" si="397"/>
      </c>
      <c r="CR56" s="1100">
        <f t="shared" si="397"/>
      </c>
      <c r="CS56" s="1101">
        <f t="shared" si="397"/>
      </c>
      <c r="CT56" s="1100">
        <f t="shared" si="397"/>
      </c>
      <c r="CU56" s="1100">
        <f t="shared" si="397"/>
      </c>
      <c r="CV56" s="1100">
        <f t="shared" si="397"/>
      </c>
      <c r="CW56" s="1101">
        <f t="shared" si="397"/>
      </c>
      <c r="CX56" s="1102">
        <f t="shared" si="397"/>
      </c>
      <c r="CY56" s="1100">
        <f t="shared" si="397"/>
      </c>
      <c r="CZ56" s="1100">
        <f t="shared" si="397"/>
      </c>
      <c r="DA56" s="1101">
        <f t="shared" si="397"/>
      </c>
      <c r="DB56" s="1102">
        <f t="shared" ref="DB56:DU56" si="398">IF(ISERROR(DB15/DA15-1),"NA",DB15/DA15-1)</f>
      </c>
      <c r="DC56" s="1100">
        <f t="shared" si="398"/>
      </c>
      <c r="DD56" s="1100">
        <f t="shared" si="398"/>
      </c>
      <c r="DE56" s="1101">
        <f t="shared" si="398"/>
      </c>
      <c r="DF56" s="1100">
        <f t="shared" si="398"/>
      </c>
      <c r="DG56" s="1100">
        <f t="shared" si="398"/>
      </c>
      <c r="DH56" s="1100">
        <f t="shared" si="398"/>
      </c>
      <c r="DI56" s="1101">
        <f t="shared" si="398"/>
      </c>
      <c r="DJ56" s="1100">
        <f t="shared" si="398"/>
      </c>
      <c r="DK56" s="1100">
        <f t="shared" si="398"/>
      </c>
      <c r="DL56" s="1100">
        <f t="shared" si="398"/>
      </c>
      <c r="DM56" s="1101">
        <f t="shared" si="398"/>
      </c>
      <c r="DN56" s="1100">
        <f t="shared" si="398"/>
      </c>
      <c r="DO56" s="1100">
        <f t="shared" si="398"/>
      </c>
      <c r="DP56" s="1100">
        <f t="shared" si="398"/>
      </c>
      <c r="DQ56" s="1101">
        <f t="shared" si="398"/>
      </c>
      <c r="DR56" s="1100">
        <f t="shared" si="398"/>
      </c>
      <c r="DS56" s="1100">
        <f t="shared" si="398"/>
      </c>
      <c r="DT56" s="1100">
        <f t="shared" si="398"/>
      </c>
      <c r="DU56" s="1101">
        <f t="shared" si="398"/>
      </c>
      <c r="DV56" s="1100">
        <f t="shared" ref="DV56:EK56" si="399">IF(ISERROR(DV15/DU15-1),"NA",DV15/DU15-1)</f>
      </c>
      <c r="DW56" s="1100">
        <f t="shared" si="399"/>
      </c>
      <c r="DX56" s="1100">
        <f t="shared" si="399"/>
      </c>
      <c r="DY56" s="1101">
        <f t="shared" si="399"/>
      </c>
      <c r="DZ56" s="1100">
        <f t="shared" si="399"/>
      </c>
      <c r="EA56" s="1100">
        <f t="shared" si="399"/>
      </c>
      <c r="EB56" s="1100">
        <f t="shared" si="399"/>
      </c>
      <c r="EC56" s="1101">
        <f t="shared" si="399"/>
      </c>
      <c r="ED56" s="1100">
        <f t="shared" si="399"/>
      </c>
      <c r="EE56" s="1100">
        <f t="shared" si="399"/>
      </c>
      <c r="EF56" s="1100">
        <f t="shared" si="399"/>
      </c>
      <c r="EG56" s="1101">
        <f t="shared" si="399"/>
      </c>
      <c r="EH56" s="1100">
        <f t="shared" si="399"/>
      </c>
      <c r="EI56" s="1100">
        <f t="shared" si="399"/>
      </c>
      <c r="EJ56" s="1100">
        <f t="shared" si="399"/>
      </c>
      <c r="EK56" s="1101">
        <f t="shared" si="399"/>
      </c>
    </row>
    <row r="57" spans="1:212" s="141" customFormat="1" ht="10.199999999999999">
      <c r="A57" s="834" t="s">
        <v>1231</v>
      </c>
      <c r="B57" s="589"/>
      <c r="C57" s="589"/>
      <c r="D57" s="589"/>
      <c r="E57" s="590"/>
      <c r="F57" s="589"/>
      <c r="G57" s="589"/>
      <c r="H57" s="589"/>
      <c r="I57" s="590"/>
      <c r="J57" s="589"/>
      <c r="K57" s="589"/>
      <c r="L57" s="589"/>
      <c r="M57" s="590"/>
      <c r="N57" s="589"/>
      <c r="O57" s="589"/>
      <c r="P57" s="589"/>
      <c r="Q57" s="590"/>
      <c r="R57" s="589"/>
      <c r="S57" s="589"/>
      <c r="T57" s="589"/>
      <c r="U57" s="590"/>
      <c r="V57" s="589"/>
      <c r="W57" s="589"/>
      <c r="X57" s="589"/>
      <c r="Y57" s="590"/>
      <c r="Z57" s="589"/>
      <c r="AA57" s="589"/>
      <c r="AB57" s="589"/>
      <c r="AC57" s="590"/>
      <c r="AD57" s="589"/>
      <c r="AE57" s="589"/>
      <c r="AF57" s="589"/>
      <c r="AG57" s="590"/>
      <c r="AH57" s="589"/>
      <c r="AI57" s="589"/>
      <c r="AJ57" s="589"/>
      <c r="AK57" s="590"/>
      <c r="AL57" s="589"/>
      <c r="AM57" s="589"/>
      <c r="AN57" s="589"/>
      <c r="AO57" s="590"/>
      <c r="AP57" s="589"/>
      <c r="AQ57" s="589"/>
      <c r="AR57" s="589"/>
      <c r="AS57" s="590"/>
      <c r="AT57" s="589"/>
      <c r="AU57" s="589"/>
      <c r="AV57" s="589"/>
      <c r="AW57" s="590"/>
      <c r="AX57" s="589"/>
      <c r="AY57" s="589"/>
      <c r="AZ57" s="589"/>
      <c r="BA57" s="590"/>
      <c r="BB57" s="589"/>
      <c r="BC57" s="589"/>
      <c r="BD57" s="589"/>
      <c r="BE57" s="590"/>
      <c r="BF57" s="589"/>
      <c r="BG57" s="589"/>
      <c r="BH57" s="589"/>
      <c r="BI57" s="590"/>
      <c r="BJ57" s="589"/>
      <c r="BK57" s="589"/>
      <c r="BL57" s="589"/>
      <c r="BM57" s="590"/>
      <c r="BN57" s="589"/>
      <c r="BO57" s="589"/>
      <c r="BP57" s="589"/>
      <c r="BQ57" s="590"/>
      <c r="BR57" s="589"/>
      <c r="BS57" s="589"/>
      <c r="BT57" s="589"/>
      <c r="BU57" s="590"/>
      <c r="BV57" s="1100" t="str">
        <f t="shared" ref="BV57:DA57" si="400">IF(ISERROR(BV16/BU16-1),"NA",BV16/BU16-1)</f>
      </c>
      <c r="BW57" s="1100" t="str">
        <f t="shared" si="400"/>
      </c>
      <c r="BX57" s="1100" t="str">
        <f t="shared" si="400"/>
      </c>
      <c r="BY57" s="1101" t="str">
        <f t="shared" si="400"/>
      </c>
      <c r="BZ57" s="1100" t="str">
        <f t="shared" si="400"/>
      </c>
      <c r="CA57" s="1100" t="str">
        <f t="shared" si="400"/>
      </c>
      <c r="CB57" s="1100" t="str">
        <f t="shared" si="400"/>
      </c>
      <c r="CC57" s="1101" t="str">
        <f t="shared" si="400"/>
      </c>
      <c r="CD57" s="1100" t="str">
        <f t="shared" si="400"/>
      </c>
      <c r="CE57" s="1100">
        <f t="shared" si="400"/>
      </c>
      <c r="CF57" s="1100">
        <f t="shared" si="400"/>
      </c>
      <c r="CG57" s="1101">
        <f t="shared" si="400"/>
      </c>
      <c r="CH57" s="1100">
        <f t="shared" si="400"/>
      </c>
      <c r="CI57" s="1100">
        <f t="shared" si="400"/>
      </c>
      <c r="CJ57" s="1100">
        <f t="shared" si="400"/>
      </c>
      <c r="CK57" s="1101">
        <f t="shared" si="400"/>
      </c>
      <c r="CL57" s="1100">
        <f t="shared" si="400"/>
      </c>
      <c r="CM57" s="1100">
        <f t="shared" si="400"/>
      </c>
      <c r="CN57" s="1100">
        <f t="shared" si="400"/>
      </c>
      <c r="CO57" s="1101">
        <f t="shared" si="400"/>
      </c>
      <c r="CP57" s="1100">
        <f t="shared" si="400"/>
      </c>
      <c r="CQ57" s="1100">
        <f t="shared" si="400"/>
      </c>
      <c r="CR57" s="1100">
        <f t="shared" si="400"/>
      </c>
      <c r="CS57" s="1101">
        <f t="shared" si="400"/>
      </c>
      <c r="CT57" s="1100">
        <f t="shared" si="400"/>
      </c>
      <c r="CU57" s="1100">
        <f t="shared" si="400"/>
      </c>
      <c r="CV57" s="1100">
        <f t="shared" si="400"/>
      </c>
      <c r="CW57" s="1101">
        <f t="shared" si="400"/>
      </c>
      <c r="CX57" s="1102">
        <f t="shared" si="400"/>
      </c>
      <c r="CY57" s="1100">
        <f t="shared" si="400"/>
      </c>
      <c r="CZ57" s="1100">
        <f t="shared" si="400"/>
      </c>
      <c r="DA57" s="1101">
        <f t="shared" si="400"/>
      </c>
      <c r="DB57" s="1102">
        <f t="shared" ref="DB57:DU57" si="401">IF(ISERROR(DB16/DA16-1),"NA",DB16/DA16-1)</f>
      </c>
      <c r="DC57" s="1100">
        <f t="shared" si="401"/>
      </c>
      <c r="DD57" s="1100">
        <f t="shared" si="401"/>
      </c>
      <c r="DE57" s="1101">
        <f t="shared" si="401"/>
      </c>
      <c r="DF57" s="1100">
        <f t="shared" si="401"/>
      </c>
      <c r="DG57" s="1100">
        <f t="shared" si="401"/>
      </c>
      <c r="DH57" s="1100">
        <f t="shared" si="401"/>
      </c>
      <c r="DI57" s="1101">
        <f t="shared" si="401"/>
      </c>
      <c r="DJ57" s="1100">
        <f t="shared" si="401"/>
      </c>
      <c r="DK57" s="1100">
        <f t="shared" si="401"/>
      </c>
      <c r="DL57" s="1100">
        <f t="shared" si="401"/>
      </c>
      <c r="DM57" s="1101">
        <f t="shared" si="401"/>
      </c>
      <c r="DN57" s="1100">
        <f t="shared" si="401"/>
      </c>
      <c r="DO57" s="1100">
        <f t="shared" si="401"/>
      </c>
      <c r="DP57" s="1100">
        <f t="shared" si="401"/>
      </c>
      <c r="DQ57" s="1101">
        <f t="shared" si="401"/>
      </c>
      <c r="DR57" s="1100">
        <f t="shared" si="401"/>
      </c>
      <c r="DS57" s="1100">
        <f t="shared" si="401"/>
      </c>
      <c r="DT57" s="1100">
        <f t="shared" si="401"/>
      </c>
      <c r="DU57" s="1101">
        <f t="shared" si="401"/>
      </c>
      <c r="DV57" s="1100">
        <f t="shared" ref="DV57:EK57" si="402">IF(ISERROR(DV16/DU16-1),"NA",DV16/DU16-1)</f>
      </c>
      <c r="DW57" s="1100">
        <f t="shared" si="402"/>
      </c>
      <c r="DX57" s="1100">
        <f t="shared" si="402"/>
      </c>
      <c r="DY57" s="1101">
        <f t="shared" si="402"/>
      </c>
      <c r="DZ57" s="1100">
        <f t="shared" si="402"/>
      </c>
      <c r="EA57" s="1100">
        <f t="shared" si="402"/>
      </c>
      <c r="EB57" s="1100">
        <f t="shared" si="402"/>
      </c>
      <c r="EC57" s="1101">
        <f t="shared" si="402"/>
      </c>
      <c r="ED57" s="1100">
        <f t="shared" si="402"/>
      </c>
      <c r="EE57" s="1100">
        <f t="shared" si="402"/>
      </c>
      <c r="EF57" s="1100">
        <f t="shared" si="402"/>
      </c>
      <c r="EG57" s="1101">
        <f t="shared" si="402"/>
      </c>
      <c r="EH57" s="1100">
        <f t="shared" si="402"/>
      </c>
      <c r="EI57" s="1100">
        <f t="shared" si="402"/>
      </c>
      <c r="EJ57" s="1100">
        <f t="shared" si="402"/>
      </c>
      <c r="EK57" s="1101">
        <f t="shared" si="402"/>
      </c>
    </row>
    <row r="58" spans="1:212" s="141" customFormat="1" ht="10.199999999999999">
      <c r="A58" s="834" t="str">
        <f>A43</f>
      </c>
      <c r="B58" s="589"/>
      <c r="C58" s="589"/>
      <c r="D58" s="589"/>
      <c r="E58" s="590"/>
      <c r="F58" s="589"/>
      <c r="G58" s="589"/>
      <c r="H58" s="589"/>
      <c r="I58" s="590"/>
      <c r="J58" s="589"/>
      <c r="K58" s="589"/>
      <c r="L58" s="589"/>
      <c r="M58" s="590"/>
      <c r="N58" s="589"/>
      <c r="O58" s="589"/>
      <c r="P58" s="589"/>
      <c r="Q58" s="590"/>
      <c r="R58" s="589"/>
      <c r="S58" s="589"/>
      <c r="T58" s="589"/>
      <c r="U58" s="590"/>
      <c r="V58" s="589"/>
      <c r="W58" s="589"/>
      <c r="X58" s="589"/>
      <c r="Y58" s="590"/>
      <c r="Z58" s="589"/>
      <c r="AA58" s="589"/>
      <c r="AB58" s="589"/>
      <c r="AC58" s="590"/>
      <c r="AD58" s="589"/>
      <c r="AE58" s="589"/>
      <c r="AF58" s="589"/>
      <c r="AG58" s="590"/>
      <c r="AH58" s="589"/>
      <c r="AI58" s="589"/>
      <c r="AJ58" s="589"/>
      <c r="AK58" s="590"/>
      <c r="AL58" s="589"/>
      <c r="AM58" s="589"/>
      <c r="AN58" s="589"/>
      <c r="AO58" s="590"/>
      <c r="AP58" s="589"/>
      <c r="AQ58" s="589"/>
      <c r="AR58" s="589"/>
      <c r="AS58" s="590"/>
      <c r="AT58" s="589"/>
      <c r="AU58" s="589"/>
      <c r="AV58" s="589"/>
      <c r="AW58" s="590"/>
      <c r="AX58" s="589"/>
      <c r="AY58" s="589"/>
      <c r="AZ58" s="589"/>
      <c r="BA58" s="590"/>
      <c r="BB58" s="589"/>
      <c r="BC58" s="589"/>
      <c r="BD58" s="589"/>
      <c r="BE58" s="590"/>
      <c r="BF58" s="589"/>
      <c r="BG58" s="589"/>
      <c r="BH58" s="589"/>
      <c r="BI58" s="590"/>
      <c r="BJ58" s="589"/>
      <c r="BK58" s="589"/>
      <c r="BL58" s="589"/>
      <c r="BM58" s="590"/>
      <c r="BN58" s="589"/>
      <c r="BO58" s="589"/>
      <c r="BP58" s="589"/>
      <c r="BQ58" s="590"/>
      <c r="BR58" s="589"/>
      <c r="BS58" s="589"/>
      <c r="BT58" s="589"/>
      <c r="BU58" s="590"/>
      <c r="BV58" s="1100"/>
      <c r="BW58" s="1100"/>
      <c r="BX58" s="1100"/>
      <c r="BY58" s="1101"/>
      <c r="BZ58" s="1100"/>
      <c r="CA58" s="1100"/>
      <c r="CB58" s="1100"/>
      <c r="CC58" s="1101"/>
      <c r="CD58" s="1100"/>
      <c r="CE58" s="1100"/>
      <c r="CF58" s="1100"/>
      <c r="CG58" s="1101"/>
      <c r="CH58" s="1100"/>
      <c r="CI58" s="1100"/>
      <c r="CJ58" s="1100"/>
      <c r="CK58" s="1101"/>
      <c r="CL58" s="1100"/>
      <c r="CM58" s="1100"/>
      <c r="CN58" s="1100"/>
      <c r="CO58" s="1101"/>
      <c r="CP58" s="1100"/>
      <c r="CQ58" s="1100"/>
      <c r="CR58" s="1100"/>
      <c r="CS58" s="1101"/>
      <c r="CT58" s="1100"/>
      <c r="CU58" s="1100"/>
      <c r="CV58" s="1100"/>
      <c r="CW58" s="1101"/>
      <c r="CX58" s="1102"/>
      <c r="CY58" s="1100"/>
      <c r="CZ58" s="1100"/>
      <c r="DA58" s="1101"/>
      <c r="DB58" s="1102"/>
      <c r="DC58" s="1100"/>
      <c r="DD58" s="1100"/>
      <c r="DE58" s="1101"/>
      <c r="DF58" s="1100"/>
      <c r="DG58" s="1100"/>
      <c r="DH58" s="1100"/>
      <c r="DI58" s="1101"/>
      <c r="DJ58" s="1100"/>
      <c r="DK58" s="1100"/>
      <c r="DL58" s="1100"/>
      <c r="DM58" s="1101"/>
      <c r="DN58" s="1100"/>
      <c r="DO58" s="1100"/>
      <c r="DP58" s="1100"/>
      <c r="DQ58" s="1101"/>
      <c r="DR58" s="1100"/>
      <c r="DS58" s="1100"/>
      <c r="DT58" s="1100"/>
      <c r="DU58" s="1101"/>
      <c r="DV58" s="1100"/>
      <c r="DW58" s="1100"/>
      <c r="DX58" s="1100"/>
      <c r="DY58" s="1101"/>
      <c r="DZ58" s="1100"/>
      <c r="EA58" s="1100"/>
      <c r="EB58" s="1100"/>
      <c r="EC58" s="1101"/>
      <c r="ED58" s="1100"/>
      <c r="EE58" s="1100"/>
      <c r="EF58" s="1100"/>
      <c r="EG58" s="1101"/>
      <c r="EH58" s="1100"/>
      <c r="EI58" s="1100"/>
      <c r="EJ58" s="1100"/>
      <c r="EK58" s="1101"/>
    </row>
    <row r="59" spans="1:212" s="141" customFormat="1" ht="10.199999999999999">
      <c r="A59" s="834" t="str">
        <f>A44</f>
      </c>
      <c r="B59" s="589"/>
      <c r="C59" s="589"/>
      <c r="D59" s="589"/>
      <c r="E59" s="590"/>
      <c r="F59" s="589"/>
      <c r="G59" s="589"/>
      <c r="H59" s="589"/>
      <c r="I59" s="590"/>
      <c r="J59" s="589"/>
      <c r="K59" s="589"/>
      <c r="L59" s="589"/>
      <c r="M59" s="590"/>
      <c r="N59" s="589"/>
      <c r="O59" s="589"/>
      <c r="P59" s="589"/>
      <c r="Q59" s="590"/>
      <c r="R59" s="589"/>
      <c r="S59" s="589"/>
      <c r="T59" s="589"/>
      <c r="U59" s="590"/>
      <c r="V59" s="589"/>
      <c r="W59" s="589"/>
      <c r="X59" s="589"/>
      <c r="Y59" s="590"/>
      <c r="Z59" s="589"/>
      <c r="AA59" s="589"/>
      <c r="AB59" s="589"/>
      <c r="AC59" s="590"/>
      <c r="AD59" s="589"/>
      <c r="AE59" s="589"/>
      <c r="AF59" s="589"/>
      <c r="AG59" s="590"/>
      <c r="AH59" s="589"/>
      <c r="AI59" s="589"/>
      <c r="AJ59" s="589"/>
      <c r="AK59" s="590"/>
      <c r="AL59" s="589"/>
      <c r="AM59" s="589"/>
      <c r="AN59" s="589"/>
      <c r="AO59" s="590"/>
      <c r="AP59" s="589"/>
      <c r="AQ59" s="589"/>
      <c r="AR59" s="589"/>
      <c r="AS59" s="590"/>
      <c r="AT59" s="589"/>
      <c r="AU59" s="589"/>
      <c r="AV59" s="589"/>
      <c r="AW59" s="590"/>
      <c r="AX59" s="589"/>
      <c r="AY59" s="589"/>
      <c r="AZ59" s="589"/>
      <c r="BA59" s="590"/>
      <c r="BB59" s="589"/>
      <c r="BC59" s="589"/>
      <c r="BD59" s="589"/>
      <c r="BE59" s="590"/>
      <c r="BF59" s="589"/>
      <c r="BG59" s="589"/>
      <c r="BH59" s="589"/>
      <c r="BI59" s="590"/>
      <c r="BJ59" s="589"/>
      <c r="BK59" s="589"/>
      <c r="BL59" s="589"/>
      <c r="BM59" s="590"/>
      <c r="BN59" s="589"/>
      <c r="BO59" s="589"/>
      <c r="BP59" s="589"/>
      <c r="BQ59" s="590"/>
      <c r="BR59" s="589"/>
      <c r="BS59" s="589"/>
      <c r="BT59" s="589"/>
      <c r="BU59" s="590"/>
      <c r="BV59" s="1100"/>
      <c r="BW59" s="1100"/>
      <c r="BX59" s="1100"/>
      <c r="BY59" s="1101"/>
      <c r="BZ59" s="1100"/>
      <c r="CA59" s="1100"/>
      <c r="CB59" s="1100"/>
      <c r="CC59" s="1101"/>
      <c r="CD59" s="1100"/>
      <c r="CE59" s="1100"/>
      <c r="CF59" s="1100"/>
      <c r="CG59" s="1101"/>
      <c r="CH59" s="1100"/>
      <c r="CI59" s="1100"/>
      <c r="CJ59" s="1100"/>
      <c r="CK59" s="1101"/>
      <c r="CL59" s="1100"/>
      <c r="CM59" s="1100"/>
      <c r="CN59" s="1100"/>
      <c r="CO59" s="1101"/>
      <c r="CP59" s="1100" t="str">
        <f t="shared" ref="CP59:DQ59" si="403">IF(ISERROR(CP18/CO18-1),"NA",CP18/CO18-1)</f>
      </c>
      <c r="CQ59" s="1100">
        <f t="shared" si="403"/>
      </c>
      <c r="CR59" s="1100">
        <f t="shared" si="403"/>
      </c>
      <c r="CS59" s="1101">
        <f t="shared" si="403"/>
      </c>
      <c r="CT59" s="1100">
        <f t="shared" si="403"/>
      </c>
      <c r="CU59" s="1100">
        <f t="shared" si="403"/>
      </c>
      <c r="CV59" s="1100">
        <f t="shared" si="403"/>
      </c>
      <c r="CW59" s="1101">
        <f t="shared" si="403"/>
      </c>
      <c r="CX59" s="1102">
        <f t="shared" si="403"/>
      </c>
      <c r="CY59" s="1100">
        <f t="shared" si="403"/>
      </c>
      <c r="CZ59" s="1100">
        <f t="shared" si="403"/>
      </c>
      <c r="DA59" s="1101">
        <f t="shared" si="403"/>
      </c>
      <c r="DB59" s="1102">
        <f t="shared" si="403"/>
      </c>
      <c r="DC59" s="1100">
        <f t="shared" si="403"/>
      </c>
      <c r="DD59" s="1100">
        <f t="shared" si="403"/>
      </c>
      <c r="DE59" s="1101">
        <f t="shared" si="403"/>
      </c>
      <c r="DF59" s="1100">
        <f t="shared" si="403"/>
      </c>
      <c r="DG59" s="1100">
        <f t="shared" si="403"/>
      </c>
      <c r="DH59" s="1100">
        <f t="shared" si="403"/>
      </c>
      <c r="DI59" s="1101">
        <f t="shared" si="403"/>
      </c>
      <c r="DJ59" s="1100">
        <f t="shared" si="403"/>
      </c>
      <c r="DK59" s="1100">
        <f t="shared" si="403"/>
      </c>
      <c r="DL59" s="1100">
        <f t="shared" si="403"/>
      </c>
      <c r="DM59" s="1101">
        <f t="shared" si="403"/>
      </c>
      <c r="DN59" s="1100">
        <f t="shared" si="403"/>
      </c>
      <c r="DO59" s="1100">
        <f t="shared" si="403"/>
      </c>
      <c r="DP59" s="1100">
        <f t="shared" si="403"/>
      </c>
      <c r="DQ59" s="1101">
        <f t="shared" si="403"/>
      </c>
      <c r="DR59" s="1100"/>
      <c r="DS59" s="1100"/>
      <c r="DT59" s="1100"/>
      <c r="DU59" s="1101"/>
      <c r="DV59" s="1100"/>
      <c r="DW59" s="1100"/>
      <c r="DX59" s="1100"/>
      <c r="DY59" s="1101"/>
      <c r="DZ59" s="1100"/>
      <c r="EA59" s="1100"/>
      <c r="EB59" s="1100"/>
      <c r="EC59" s="1101"/>
      <c r="ED59" s="1100"/>
      <c r="EE59" s="1100"/>
      <c r="EF59" s="1100"/>
      <c r="EG59" s="1101"/>
      <c r="EH59" s="1100"/>
      <c r="EI59" s="1100"/>
      <c r="EJ59" s="1100"/>
      <c r="EK59" s="1101"/>
    </row>
    <row r="60" spans="1:212" s="141" customFormat="1" ht="10.199999999999999">
      <c r="A60" s="834" t="s">
        <v>1240</v>
      </c>
      <c r="B60" s="589"/>
      <c r="C60" s="589"/>
      <c r="D60" s="589"/>
      <c r="E60" s="590"/>
      <c r="F60" s="589"/>
      <c r="G60" s="589"/>
      <c r="H60" s="589"/>
      <c r="I60" s="590"/>
      <c r="J60" s="589"/>
      <c r="K60" s="589"/>
      <c r="L60" s="589"/>
      <c r="M60" s="590"/>
      <c r="N60" s="589"/>
      <c r="O60" s="589"/>
      <c r="P60" s="589"/>
      <c r="Q60" s="590"/>
      <c r="R60" s="589"/>
      <c r="S60" s="589"/>
      <c r="T60" s="589"/>
      <c r="U60" s="590"/>
      <c r="V60" s="589"/>
      <c r="W60" s="589"/>
      <c r="X60" s="589"/>
      <c r="Y60" s="590"/>
      <c r="Z60" s="589"/>
      <c r="AA60" s="589"/>
      <c r="AB60" s="589"/>
      <c r="AC60" s="590"/>
      <c r="AD60" s="589"/>
      <c r="AE60" s="589"/>
      <c r="AF60" s="589"/>
      <c r="AG60" s="590"/>
      <c r="AH60" s="589"/>
      <c r="AI60" s="589"/>
      <c r="AJ60" s="589"/>
      <c r="AK60" s="590"/>
      <c r="AL60" s="589"/>
      <c r="AM60" s="589"/>
      <c r="AN60" s="589"/>
      <c r="AO60" s="590"/>
      <c r="AP60" s="589"/>
      <c r="AQ60" s="589"/>
      <c r="AR60" s="589"/>
      <c r="AS60" s="590"/>
      <c r="AT60" s="589"/>
      <c r="AU60" s="589"/>
      <c r="AV60" s="589"/>
      <c r="AW60" s="590"/>
      <c r="AX60" s="589"/>
      <c r="AY60" s="589"/>
      <c r="AZ60" s="589"/>
      <c r="BA60" s="590"/>
      <c r="BB60" s="589"/>
      <c r="BC60" s="589"/>
      <c r="BD60" s="589"/>
      <c r="BE60" s="590"/>
      <c r="BF60" s="589"/>
      <c r="BG60" s="589"/>
      <c r="BH60" s="589"/>
      <c r="BI60" s="590"/>
      <c r="BJ60" s="589"/>
      <c r="BK60" s="589"/>
      <c r="BL60" s="589"/>
      <c r="BM60" s="590"/>
      <c r="BN60" s="589"/>
      <c r="BO60" s="589"/>
      <c r="BP60" s="589"/>
      <c r="BQ60" s="590"/>
      <c r="BR60" s="589"/>
      <c r="BS60" s="589"/>
      <c r="BT60" s="589"/>
      <c r="BU60" s="590"/>
      <c r="BV60" s="1100" t="str">
        <f t="shared" ref="BV60:DA60" si="404">IF(ISERROR(BV19/BU19-1),"NA",BV19/BU19-1)</f>
      </c>
      <c r="BW60" s="1100" t="str">
        <f t="shared" si="404"/>
      </c>
      <c r="BX60" s="1100" t="str">
        <f t="shared" si="404"/>
      </c>
      <c r="BY60" s="1101" t="str">
        <f t="shared" si="404"/>
      </c>
      <c r="BZ60" s="1100" t="str">
        <f t="shared" si="404"/>
      </c>
      <c r="CA60" s="1100" t="str">
        <f t="shared" si="404"/>
      </c>
      <c r="CB60" s="1100" t="str">
        <f t="shared" si="404"/>
      </c>
      <c r="CC60" s="1101" t="str">
        <f t="shared" si="404"/>
      </c>
      <c r="CD60" s="1100" t="str">
        <f t="shared" si="404"/>
      </c>
      <c r="CE60" s="1100">
        <f t="shared" si="404"/>
      </c>
      <c r="CF60" s="1100" t="str">
        <f t="shared" si="404"/>
      </c>
      <c r="CG60" s="1101" t="str">
        <f t="shared" si="404"/>
      </c>
      <c r="CH60" s="1100" t="str">
        <f t="shared" si="404"/>
      </c>
      <c r="CI60" s="1100" t="str">
        <f t="shared" si="404"/>
      </c>
      <c r="CJ60" s="1100" t="str">
        <f t="shared" si="404"/>
      </c>
      <c r="CK60" s="1101" t="str">
        <f t="shared" si="404"/>
      </c>
      <c r="CL60" s="1100">
        <f t="shared" si="404"/>
      </c>
      <c r="CM60" s="1100" t="str">
        <f t="shared" si="404"/>
      </c>
      <c r="CN60" s="1100" t="str">
        <f t="shared" si="404"/>
      </c>
      <c r="CO60" s="1101">
        <f t="shared" si="404"/>
      </c>
      <c r="CP60" s="1100" t="str">
        <f t="shared" si="404"/>
      </c>
      <c r="CQ60" s="1100" t="str">
        <f t="shared" si="404"/>
      </c>
      <c r="CR60" s="1100" t="str">
        <f t="shared" si="404"/>
      </c>
      <c r="CS60" s="1101" t="str">
        <f t="shared" si="404"/>
      </c>
      <c r="CT60" s="1100" t="str">
        <f t="shared" si="404"/>
      </c>
      <c r="CU60" s="1100" t="str">
        <f t="shared" si="404"/>
      </c>
      <c r="CV60" s="1100" t="str">
        <f t="shared" si="404"/>
      </c>
      <c r="CW60" s="1101" t="str">
        <f t="shared" si="404"/>
      </c>
      <c r="CX60" s="1102" t="str">
        <f t="shared" si="404"/>
      </c>
      <c r="CY60" s="1100" t="str">
        <f t="shared" si="404"/>
      </c>
      <c r="CZ60" s="1100" t="str">
        <f t="shared" si="404"/>
      </c>
      <c r="DA60" s="1101" t="str">
        <f t="shared" si="404"/>
      </c>
      <c r="DB60" s="1102" t="str">
        <f t="shared" ref="DB60:DU60" si="405">IF(ISERROR(DB19/DA19-1),"NA",DB19/DA19-1)</f>
      </c>
      <c r="DC60" s="1100" t="str">
        <f t="shared" si="405"/>
      </c>
      <c r="DD60" s="1100" t="str">
        <f t="shared" si="405"/>
      </c>
      <c r="DE60" s="1101" t="str">
        <f t="shared" si="405"/>
      </c>
      <c r="DF60" s="1100" t="str">
        <f t="shared" si="405"/>
      </c>
      <c r="DG60" s="1100" t="str">
        <f t="shared" si="405"/>
      </c>
      <c r="DH60" s="1100" t="str">
        <f t="shared" si="405"/>
      </c>
      <c r="DI60" s="1101" t="str">
        <f t="shared" si="405"/>
      </c>
      <c r="DJ60" s="1100" t="str">
        <f t="shared" si="405"/>
      </c>
      <c r="DK60" s="1100" t="str">
        <f t="shared" si="405"/>
      </c>
      <c r="DL60" s="1100" t="str">
        <f t="shared" si="405"/>
      </c>
      <c r="DM60" s="1101" t="str">
        <f t="shared" si="405"/>
      </c>
      <c r="DN60" s="1100" t="str">
        <f t="shared" si="405"/>
      </c>
      <c r="DO60" s="1100" t="str">
        <f t="shared" si="405"/>
      </c>
      <c r="DP60" s="1100" t="str">
        <f t="shared" si="405"/>
      </c>
      <c r="DQ60" s="1101" t="str">
        <f t="shared" si="405"/>
      </c>
      <c r="DR60" s="1100" t="str">
        <f t="shared" si="405"/>
      </c>
      <c r="DS60" s="1100" t="str">
        <f t="shared" si="405"/>
      </c>
      <c r="DT60" s="1100" t="str">
        <f t="shared" si="405"/>
      </c>
      <c r="DU60" s="1101" t="str">
        <f t="shared" si="405"/>
      </c>
      <c r="DV60" s="1100" t="str">
        <f t="shared" ref="DV60:EK60" si="406">IF(ISERROR(DV19/DU19-1),"NA",DV19/DU19-1)</f>
      </c>
      <c r="DW60" s="1100" t="str">
        <f t="shared" si="406"/>
      </c>
      <c r="DX60" s="1100" t="str">
        <f t="shared" si="406"/>
      </c>
      <c r="DY60" s="1101" t="str">
        <f t="shared" si="406"/>
      </c>
      <c r="DZ60" s="1100" t="str">
        <f t="shared" si="406"/>
      </c>
      <c r="EA60" s="1100" t="str">
        <f t="shared" si="406"/>
      </c>
      <c r="EB60" s="1100" t="str">
        <f t="shared" si="406"/>
      </c>
      <c r="EC60" s="1101" t="str">
        <f t="shared" si="406"/>
      </c>
      <c r="ED60" s="1100" t="str">
        <f t="shared" si="406"/>
      </c>
      <c r="EE60" s="1100" t="str">
        <f t="shared" si="406"/>
      </c>
      <c r="EF60" s="1100" t="str">
        <f t="shared" si="406"/>
      </c>
      <c r="EG60" s="1101" t="str">
        <f t="shared" si="406"/>
      </c>
      <c r="EH60" s="1100" t="str">
        <f t="shared" si="406"/>
      </c>
      <c r="EI60" s="1100" t="str">
        <f t="shared" si="406"/>
      </c>
      <c r="EJ60" s="1100" t="str">
        <f t="shared" si="406"/>
      </c>
      <c r="EK60" s="1101" t="str">
        <f t="shared" si="406"/>
      </c>
    </row>
    <row r="61" spans="1:212" s="141" customFormat="1" ht="10.199999999999999">
      <c r="A61" s="880" t="str">
        <f>A$20</f>
      </c>
      <c r="B61" s="589"/>
      <c r="C61" s="589"/>
      <c r="D61" s="589"/>
      <c r="E61" s="590"/>
      <c r="F61" s="589"/>
      <c r="G61" s="589"/>
      <c r="H61" s="589"/>
      <c r="I61" s="590"/>
      <c r="J61" s="589"/>
      <c r="K61" s="589"/>
      <c r="L61" s="589"/>
      <c r="M61" s="590"/>
      <c r="N61" s="589"/>
      <c r="O61" s="589"/>
      <c r="P61" s="589"/>
      <c r="Q61" s="590"/>
      <c r="R61" s="589"/>
      <c r="S61" s="589"/>
      <c r="T61" s="589"/>
      <c r="U61" s="590"/>
      <c r="V61" s="589"/>
      <c r="W61" s="589"/>
      <c r="X61" s="589"/>
      <c r="Y61" s="590"/>
      <c r="Z61" s="589"/>
      <c r="AA61" s="589"/>
      <c r="AB61" s="589"/>
      <c r="AC61" s="590"/>
      <c r="AD61" s="589"/>
      <c r="AE61" s="589"/>
      <c r="AF61" s="589"/>
      <c r="AG61" s="590"/>
      <c r="AH61" s="589"/>
      <c r="AI61" s="589"/>
      <c r="AJ61" s="589"/>
      <c r="AK61" s="590"/>
      <c r="AL61" s="589"/>
      <c r="AM61" s="589"/>
      <c r="AN61" s="589"/>
      <c r="AO61" s="590"/>
      <c r="AP61" s="589"/>
      <c r="AQ61" s="589"/>
      <c r="AR61" s="589"/>
      <c r="AS61" s="590"/>
      <c r="AT61" s="589"/>
      <c r="AU61" s="589"/>
      <c r="AV61" s="589"/>
      <c r="AW61" s="590"/>
      <c r="AX61" s="589"/>
      <c r="AY61" s="589"/>
      <c r="AZ61" s="589"/>
      <c r="BA61" s="590"/>
      <c r="BB61" s="589"/>
      <c r="BC61" s="589"/>
      <c r="BD61" s="589"/>
      <c r="BE61" s="590"/>
      <c r="BF61" s="589"/>
      <c r="BG61" s="589"/>
      <c r="BH61" s="589"/>
      <c r="BI61" s="590"/>
      <c r="BJ61" s="589"/>
      <c r="BK61" s="589"/>
      <c r="BL61" s="589"/>
      <c r="BM61" s="590"/>
      <c r="BN61" s="589"/>
      <c r="BO61" s="589"/>
      <c r="BP61" s="589"/>
      <c r="BQ61" s="590"/>
      <c r="BR61" s="589"/>
      <c r="BS61" s="589"/>
      <c r="BT61" s="589"/>
      <c r="BU61" s="590"/>
      <c r="BV61" s="1100" t="str">
        <f t="shared" ref="BV61:DA61" si="407">IF(ISERROR(BV20/BU20-1),"NA",BV20/BU20-1)</f>
      </c>
      <c r="BW61" s="1100">
        <f t="shared" si="407"/>
      </c>
      <c r="BX61" s="1100">
        <f t="shared" si="407"/>
      </c>
      <c r="BY61" s="1101">
        <f t="shared" si="407"/>
      </c>
      <c r="BZ61" s="1100">
        <f t="shared" si="407"/>
      </c>
      <c r="CA61" s="1100">
        <f t="shared" si="407"/>
      </c>
      <c r="CB61" s="1100">
        <f t="shared" si="407"/>
      </c>
      <c r="CC61" s="1101">
        <f t="shared" si="407"/>
      </c>
      <c r="CD61" s="1100">
        <f t="shared" si="407"/>
      </c>
      <c r="CE61" s="1100">
        <f t="shared" si="407"/>
      </c>
      <c r="CF61" s="1100">
        <f t="shared" si="407"/>
      </c>
      <c r="CG61" s="1101">
        <f t="shared" si="407"/>
      </c>
      <c r="CH61" s="1100">
        <f t="shared" si="407"/>
      </c>
      <c r="CI61" s="1100">
        <f t="shared" si="407"/>
      </c>
      <c r="CJ61" s="1100">
        <f t="shared" si="407"/>
      </c>
      <c r="CK61" s="1101">
        <f t="shared" si="407"/>
      </c>
      <c r="CL61" s="1100">
        <f t="shared" si="407"/>
      </c>
      <c r="CM61" s="1100">
        <f t="shared" si="407"/>
      </c>
      <c r="CN61" s="1100">
        <f t="shared" si="407"/>
      </c>
      <c r="CO61" s="1101">
        <f t="shared" si="407"/>
      </c>
      <c r="CP61" s="1100">
        <f t="shared" si="407"/>
      </c>
      <c r="CQ61" s="1100">
        <f t="shared" si="407"/>
      </c>
      <c r="CR61" s="1100">
        <f t="shared" si="407"/>
      </c>
      <c r="CS61" s="1101">
        <f t="shared" si="407"/>
      </c>
      <c r="CT61" s="1100">
        <f t="shared" si="407"/>
      </c>
      <c r="CU61" s="1100">
        <f t="shared" si="407"/>
      </c>
      <c r="CV61" s="1100">
        <f t="shared" si="407"/>
      </c>
      <c r="CW61" s="1101">
        <f t="shared" si="407"/>
      </c>
      <c r="CX61" s="1102">
        <f t="shared" si="407"/>
      </c>
      <c r="CY61" s="1100">
        <f t="shared" si="407"/>
      </c>
      <c r="CZ61" s="1100">
        <f t="shared" si="407"/>
      </c>
      <c r="DA61" s="1101">
        <f t="shared" si="407"/>
      </c>
      <c r="DB61" s="1102">
        <f t="shared" ref="DB61:DU61" si="408">IF(ISERROR(DB20/DA20-1),"NA",DB20/DA20-1)</f>
      </c>
      <c r="DC61" s="1100">
        <f t="shared" si="408"/>
      </c>
      <c r="DD61" s="1100">
        <f t="shared" si="408"/>
      </c>
      <c r="DE61" s="1101">
        <f t="shared" si="408"/>
      </c>
      <c r="DF61" s="1100">
        <f t="shared" si="408"/>
      </c>
      <c r="DG61" s="1100">
        <f t="shared" si="408"/>
      </c>
      <c r="DH61" s="1100">
        <f t="shared" si="408"/>
      </c>
      <c r="DI61" s="1101">
        <f t="shared" si="408"/>
      </c>
      <c r="DJ61" s="1100">
        <f t="shared" si="408"/>
      </c>
      <c r="DK61" s="1100">
        <f t="shared" si="408"/>
      </c>
      <c r="DL61" s="1100">
        <f t="shared" si="408"/>
      </c>
      <c r="DM61" s="1101">
        <f t="shared" si="408"/>
      </c>
      <c r="DN61" s="1100">
        <f t="shared" si="408"/>
      </c>
      <c r="DO61" s="1100">
        <f t="shared" si="408"/>
      </c>
      <c r="DP61" s="1100">
        <f t="shared" si="408"/>
      </c>
      <c r="DQ61" s="1101">
        <f t="shared" si="408"/>
      </c>
      <c r="DR61" s="1100">
        <f t="shared" si="408"/>
      </c>
      <c r="DS61" s="1100">
        <f t="shared" si="408"/>
      </c>
      <c r="DT61" s="1100">
        <f t="shared" si="408"/>
      </c>
      <c r="DU61" s="1101">
        <f t="shared" si="408"/>
      </c>
      <c r="DV61" s="1100">
        <f t="shared" ref="DV61:EK61" si="409">IF(ISERROR(DV20/DU20-1),"NA",DV20/DU20-1)</f>
      </c>
      <c r="DW61" s="1100">
        <f t="shared" si="409"/>
      </c>
      <c r="DX61" s="1100">
        <f t="shared" si="409"/>
      </c>
      <c r="DY61" s="1101">
        <f t="shared" si="409"/>
      </c>
      <c r="DZ61" s="1100">
        <f t="shared" si="409"/>
      </c>
      <c r="EA61" s="1100">
        <f t="shared" si="409"/>
      </c>
      <c r="EB61" s="1100">
        <f t="shared" si="409"/>
      </c>
      <c r="EC61" s="1101">
        <f t="shared" si="409"/>
      </c>
      <c r="ED61" s="1100">
        <f t="shared" si="409"/>
      </c>
      <c r="EE61" s="1100">
        <f t="shared" si="409"/>
      </c>
      <c r="EF61" s="1100">
        <f t="shared" si="409"/>
      </c>
      <c r="EG61" s="1101">
        <f t="shared" si="409"/>
      </c>
      <c r="EH61" s="1100">
        <f t="shared" si="409"/>
      </c>
      <c r="EI61" s="1100">
        <f t="shared" si="409"/>
      </c>
      <c r="EJ61" s="1100">
        <f t="shared" si="409"/>
      </c>
      <c r="EK61" s="1101">
        <f t="shared" si="409"/>
      </c>
    </row>
    <row r="62" spans="1:212" s="150" customFormat="1" ht="10.8" thickBot="1">
      <c r="A62" s="1103" t="s">
        <v>1189</v>
      </c>
      <c r="B62" s="1104"/>
      <c r="C62" s="1104"/>
      <c r="D62" s="1104"/>
      <c r="E62" s="1105"/>
      <c r="F62" s="1104"/>
      <c r="G62" s="1104"/>
      <c r="H62" s="1104"/>
      <c r="I62" s="1105"/>
      <c r="J62" s="1104"/>
      <c r="K62" s="1104"/>
      <c r="L62" s="1104"/>
      <c r="M62" s="1105"/>
      <c r="N62" s="1104"/>
      <c r="O62" s="1104"/>
      <c r="P62" s="1104"/>
      <c r="Q62" s="1105"/>
      <c r="R62" s="1104"/>
      <c r="S62" s="1104"/>
      <c r="T62" s="1104"/>
      <c r="U62" s="1105"/>
      <c r="V62" s="1104"/>
      <c r="W62" s="1104"/>
      <c r="X62" s="1104"/>
      <c r="Y62" s="1105"/>
      <c r="Z62" s="1104"/>
      <c r="AA62" s="1104"/>
      <c r="AB62" s="1104"/>
      <c r="AC62" s="1105"/>
      <c r="AD62" s="1104"/>
      <c r="AE62" s="1104"/>
      <c r="AF62" s="1104"/>
      <c r="AG62" s="1105">
        <f t="shared" ref="AG62:BU62" si="410">IF(ISERROR(AG21/AF21-1),"NA",AG21/AF21-1)</f>
      </c>
      <c r="AH62" s="1104">
        <f t="shared" si="410"/>
      </c>
      <c r="AI62" s="1104">
        <f t="shared" si="410"/>
      </c>
      <c r="AJ62" s="1104">
        <f t="shared" si="410"/>
      </c>
      <c r="AK62" s="1105">
        <f t="shared" si="410"/>
      </c>
      <c r="AL62" s="1104">
        <f t="shared" si="410"/>
      </c>
      <c r="AM62" s="1104">
        <f t="shared" si="410"/>
      </c>
      <c r="AN62" s="1104">
        <f t="shared" si="410"/>
      </c>
      <c r="AO62" s="1105">
        <f t="shared" si="410"/>
      </c>
      <c r="AP62" s="1104">
        <f t="shared" si="410"/>
      </c>
      <c r="AQ62" s="1104">
        <f t="shared" si="410"/>
      </c>
      <c r="AR62" s="1104">
        <f t="shared" si="410"/>
      </c>
      <c r="AS62" s="1105">
        <f t="shared" si="410"/>
      </c>
      <c r="AT62" s="1104">
        <f t="shared" si="410"/>
      </c>
      <c r="AU62" s="1104">
        <f t="shared" si="410"/>
      </c>
      <c r="AV62" s="1104">
        <f t="shared" si="410"/>
      </c>
      <c r="AW62" s="1105">
        <f t="shared" si="410"/>
      </c>
      <c r="AX62" s="1104">
        <f t="shared" si="410"/>
      </c>
      <c r="AY62" s="1104">
        <f t="shared" si="410"/>
      </c>
      <c r="AZ62" s="1104">
        <f t="shared" si="410"/>
      </c>
      <c r="BA62" s="1105">
        <f t="shared" si="410"/>
      </c>
      <c r="BB62" s="1104">
        <f t="shared" si="410"/>
      </c>
      <c r="BC62" s="1104">
        <f t="shared" si="410"/>
      </c>
      <c r="BD62" s="1104">
        <f t="shared" si="410"/>
      </c>
      <c r="BE62" s="1105">
        <f t="shared" si="410"/>
      </c>
      <c r="BF62" s="1104">
        <f t="shared" si="410"/>
      </c>
      <c r="BG62" s="1104">
        <f t="shared" si="410"/>
      </c>
      <c r="BH62" s="1104">
        <f t="shared" si="410"/>
      </c>
      <c r="BI62" s="1105">
        <f t="shared" si="410"/>
      </c>
      <c r="BJ62" s="1104">
        <f t="shared" si="410"/>
      </c>
      <c r="BK62" s="1104">
        <f t="shared" si="410"/>
      </c>
      <c r="BL62" s="1104">
        <f t="shared" si="410"/>
      </c>
      <c r="BM62" s="1105">
        <f t="shared" si="410"/>
      </c>
      <c r="BN62" s="1104">
        <f t="shared" si="410"/>
      </c>
      <c r="BO62" s="1104">
        <f t="shared" si="410"/>
      </c>
      <c r="BP62" s="1104">
        <f t="shared" si="410"/>
      </c>
      <c r="BQ62" s="1105">
        <f t="shared" si="410"/>
      </c>
      <c r="BR62" s="1104">
        <f t="shared" si="410"/>
      </c>
      <c r="BS62" s="1104">
        <f t="shared" si="410"/>
      </c>
      <c r="BT62" s="1104">
        <f t="shared" si="410"/>
      </c>
      <c r="BU62" s="1105">
        <f t="shared" si="410"/>
      </c>
      <c r="BV62" s="1106">
        <f t="shared" ref="BV62:DA62" si="411">IF(ISERROR(BV21/BU21-1),"NA",BV21/BU21-1)</f>
      </c>
      <c r="BW62" s="1106">
        <f t="shared" si="411"/>
      </c>
      <c r="BX62" s="1106">
        <f t="shared" si="411"/>
      </c>
      <c r="BY62" s="1107">
        <f t="shared" si="411"/>
      </c>
      <c r="BZ62" s="1106">
        <f t="shared" si="411"/>
      </c>
      <c r="CA62" s="1106">
        <f t="shared" si="411"/>
      </c>
      <c r="CB62" s="1106">
        <f t="shared" si="411"/>
      </c>
      <c r="CC62" s="1107">
        <f t="shared" si="411"/>
      </c>
      <c r="CD62" s="1106">
        <f t="shared" si="411"/>
      </c>
      <c r="CE62" s="1106">
        <f t="shared" si="411"/>
      </c>
      <c r="CF62" s="1106">
        <f t="shared" si="411"/>
      </c>
      <c r="CG62" s="1107">
        <f t="shared" si="411"/>
      </c>
      <c r="CH62" s="1106">
        <f t="shared" si="411"/>
      </c>
      <c r="CI62" s="1106">
        <f t="shared" si="411"/>
      </c>
      <c r="CJ62" s="1106">
        <f t="shared" si="411"/>
      </c>
      <c r="CK62" s="1107">
        <f t="shared" si="411"/>
      </c>
      <c r="CL62" s="1106">
        <f t="shared" si="411"/>
      </c>
      <c r="CM62" s="1106">
        <f t="shared" si="411"/>
      </c>
      <c r="CN62" s="1106">
        <f t="shared" si="411"/>
      </c>
      <c r="CO62" s="1107">
        <f t="shared" si="411"/>
      </c>
      <c r="CP62" s="1106">
        <f t="shared" si="411"/>
      </c>
      <c r="CQ62" s="1106">
        <f t="shared" si="411"/>
      </c>
      <c r="CR62" s="1106">
        <f t="shared" si="411"/>
      </c>
      <c r="CS62" s="1107">
        <f t="shared" si="411"/>
      </c>
      <c r="CT62" s="1106">
        <f t="shared" si="411"/>
      </c>
      <c r="CU62" s="1106">
        <f t="shared" si="411"/>
      </c>
      <c r="CV62" s="1106">
        <f t="shared" si="411"/>
      </c>
      <c r="CW62" s="1107">
        <f t="shared" si="411"/>
      </c>
      <c r="CX62" s="1108">
        <f t="shared" si="411"/>
      </c>
      <c r="CY62" s="1106">
        <f t="shared" si="411"/>
      </c>
      <c r="CZ62" s="1106">
        <f t="shared" si="411"/>
      </c>
      <c r="DA62" s="1107">
        <f t="shared" si="411"/>
      </c>
      <c r="DB62" s="1108">
        <f t="shared" ref="DB62:DU62" si="412">IF(ISERROR(DB21/DA21-1),"NA",DB21/DA21-1)</f>
      </c>
      <c r="DC62" s="1106">
        <f t="shared" si="412"/>
      </c>
      <c r="DD62" s="1106">
        <f t="shared" si="412"/>
      </c>
      <c r="DE62" s="1107">
        <f t="shared" si="412"/>
      </c>
      <c r="DF62" s="1106">
        <f t="shared" si="412"/>
      </c>
      <c r="DG62" s="1106">
        <f t="shared" si="412"/>
      </c>
      <c r="DH62" s="1106">
        <f t="shared" si="412"/>
      </c>
      <c r="DI62" s="1107">
        <f t="shared" si="412"/>
      </c>
      <c r="DJ62" s="1106">
        <f t="shared" si="412"/>
      </c>
      <c r="DK62" s="1106">
        <f t="shared" si="412"/>
      </c>
      <c r="DL62" s="1106">
        <f t="shared" si="412"/>
      </c>
      <c r="DM62" s="1107">
        <f t="shared" si="412"/>
      </c>
      <c r="DN62" s="1106">
        <f t="shared" si="412"/>
      </c>
      <c r="DO62" s="1106">
        <f t="shared" si="412"/>
      </c>
      <c r="DP62" s="1106">
        <f t="shared" si="412"/>
      </c>
      <c r="DQ62" s="1107">
        <f t="shared" si="412"/>
      </c>
      <c r="DR62" s="1106">
        <f t="shared" si="412"/>
      </c>
      <c r="DS62" s="1106">
        <f t="shared" si="412"/>
      </c>
      <c r="DT62" s="1106">
        <f t="shared" si="412"/>
      </c>
      <c r="DU62" s="1107">
        <f t="shared" si="412"/>
      </c>
      <c r="DV62" s="1106">
        <f t="shared" ref="DV62:EK62" si="413">IF(ISERROR(DV21/DU21-1),"NA",DV21/DU21-1)</f>
      </c>
      <c r="DW62" s="1106">
        <f t="shared" si="413"/>
      </c>
      <c r="DX62" s="1106">
        <f t="shared" si="413"/>
      </c>
      <c r="DY62" s="1107">
        <f t="shared" si="413"/>
      </c>
      <c r="DZ62" s="1106">
        <f t="shared" si="413"/>
      </c>
      <c r="EA62" s="1106">
        <f t="shared" si="413"/>
      </c>
      <c r="EB62" s="1106">
        <f t="shared" si="413"/>
      </c>
      <c r="EC62" s="1107">
        <f t="shared" si="413"/>
      </c>
      <c r="ED62" s="1106">
        <f t="shared" si="413"/>
      </c>
      <c r="EE62" s="1106">
        <f t="shared" si="413"/>
      </c>
      <c r="EF62" s="1106">
        <f t="shared" si="413"/>
      </c>
      <c r="EG62" s="1107">
        <f t="shared" si="413"/>
      </c>
      <c r="EH62" s="1106">
        <f t="shared" si="413"/>
      </c>
      <c r="EI62" s="1106">
        <f t="shared" si="413"/>
      </c>
      <c r="EJ62" s="1106">
        <f t="shared" si="413"/>
      </c>
      <c r="EK62" s="1107">
        <f t="shared" si="413"/>
      </c>
    </row>
    <row r="63" spans="1:212" s="89" customFormat="1" ht="10.8" thickTop="1">
      <c r="A63" s="152"/>
      <c r="E63" s="260"/>
      <c r="I63" s="260"/>
      <c r="M63" s="260"/>
      <c r="Q63" s="260"/>
      <c r="U63" s="260"/>
      <c r="Y63" s="260"/>
      <c r="AC63" s="260"/>
      <c r="AG63" s="260"/>
      <c r="AJ63" s="72"/>
      <c r="AK63" s="227"/>
      <c r="AL63" s="72"/>
      <c r="AM63" s="72"/>
      <c r="AN63" s="72"/>
      <c r="AO63" s="227"/>
      <c r="AP63" s="72"/>
      <c r="AQ63" s="72"/>
      <c r="AR63" s="72"/>
      <c r="AS63" s="227"/>
      <c r="AT63" s="72"/>
      <c r="AU63" s="72"/>
      <c r="AV63" s="72"/>
      <c r="AW63" s="227"/>
      <c r="AX63" s="72"/>
      <c r="AY63" s="72"/>
      <c r="AZ63" s="72"/>
      <c r="BA63" s="227"/>
      <c r="BB63" s="72"/>
      <c r="BC63" s="72"/>
      <c r="BD63" s="72"/>
      <c r="BE63" s="227"/>
      <c r="BF63" s="72"/>
      <c r="BG63" s="72"/>
      <c r="BH63" s="72"/>
      <c r="BI63" s="227"/>
      <c r="BJ63" s="72"/>
      <c r="BK63" s="72"/>
      <c r="BL63" s="72"/>
      <c r="BM63" s="227"/>
      <c r="BN63" s="72"/>
      <c r="BO63" s="72"/>
      <c r="BP63" s="72"/>
      <c r="BQ63" s="227"/>
      <c r="BR63" s="72"/>
      <c r="BS63" s="72"/>
      <c r="BT63" s="72"/>
      <c r="BU63" s="227"/>
      <c r="BV63" s="355"/>
      <c r="BW63" s="72"/>
      <c r="BX63" s="72"/>
      <c r="BY63" s="227"/>
      <c r="BZ63" s="355"/>
      <c r="CA63" s="72"/>
      <c r="CB63" s="72"/>
      <c r="CC63" s="227"/>
      <c r="CD63" s="355"/>
      <c r="CE63" s="72"/>
      <c r="CF63" s="72"/>
      <c r="CG63" s="227"/>
      <c r="CH63" s="355"/>
      <c r="CI63" s="72"/>
      <c r="CJ63" s="72"/>
      <c r="CK63" s="227"/>
      <c r="CL63" s="355"/>
      <c r="CM63" s="72"/>
      <c r="CN63" s="72"/>
      <c r="CO63" s="227"/>
      <c r="CP63" s="72"/>
      <c r="CQ63" s="87"/>
      <c r="CR63" s="87"/>
      <c r="CS63" s="227"/>
      <c r="CT63" s="72"/>
      <c r="CU63" s="87"/>
      <c r="CV63" s="87"/>
      <c r="CW63" s="416"/>
      <c r="CX63" s="479"/>
      <c r="CY63" s="87"/>
      <c r="CZ63" s="87"/>
      <c r="DA63" s="416"/>
      <c r="DB63" s="479"/>
      <c r="DC63" s="87"/>
      <c r="DD63" s="87"/>
      <c r="DE63" s="232"/>
      <c r="DF63" s="419"/>
      <c r="DG63" s="71"/>
      <c r="DH63" s="71"/>
      <c r="DI63" s="232"/>
      <c r="DJ63" s="419"/>
      <c r="DK63" s="71"/>
      <c r="DL63" s="71"/>
      <c r="DM63" s="3283"/>
      <c r="DN63" s="419"/>
      <c r="DO63" s="71"/>
      <c r="DP63" s="71"/>
      <c r="DQ63" s="232"/>
      <c r="DR63" s="419"/>
      <c r="DS63" s="71"/>
      <c r="DT63" s="71"/>
      <c r="DU63" s="232"/>
      <c r="DV63" s="419"/>
      <c r="DW63" s="71"/>
      <c r="DX63" s="71"/>
      <c r="DY63" s="232"/>
      <c r="DZ63" s="419"/>
      <c r="EA63" s="71"/>
      <c r="EB63" s="71"/>
      <c r="EC63" s="232"/>
      <c r="ED63" s="419"/>
      <c r="EE63" s="71"/>
      <c r="EF63" s="71"/>
      <c r="EG63" s="232"/>
      <c r="EH63" s="419"/>
      <c r="EI63" s="71"/>
      <c r="EJ63" s="71"/>
      <c r="EK63" s="232"/>
      <c r="EU63" s="72"/>
      <c r="EV63" s="72"/>
      <c r="EW63" s="72"/>
      <c r="EX63" s="72"/>
      <c r="EY63" s="72"/>
      <c r="EZ63" s="72"/>
      <c r="FA63" s="72"/>
      <c r="FB63" s="72"/>
      <c r="FC63" s="72"/>
      <c r="FD63" s="72"/>
      <c r="FE63" s="72"/>
      <c r="FF63" s="72"/>
      <c r="FG63" s="72"/>
      <c r="FH63" s="72"/>
      <c r="FI63" s="72"/>
      <c r="FJ63" s="72"/>
      <c r="FK63" s="72"/>
      <c r="FL63" s="72"/>
      <c r="FM63" s="72"/>
      <c r="FN63" s="72"/>
      <c r="FO63" s="72"/>
      <c r="FP63" s="72"/>
      <c r="FQ63" s="72"/>
      <c r="FR63" s="72"/>
      <c r="FS63" s="72"/>
      <c r="FT63" s="72"/>
      <c r="FU63" s="72"/>
      <c r="FV63" s="88"/>
      <c r="GE63" s="72"/>
      <c r="GF63" s="72"/>
      <c r="GG63" s="72"/>
      <c r="GH63" s="72"/>
      <c r="GI63" s="72"/>
      <c r="GJ63" s="72"/>
      <c r="GK63" s="72"/>
      <c r="GL63" s="72"/>
      <c r="GM63" s="72"/>
      <c r="GN63" s="72"/>
      <c r="GO63" s="72"/>
      <c r="GP63" s="72"/>
      <c r="GQ63" s="72"/>
      <c r="GR63" s="72"/>
      <c r="GS63" s="72"/>
      <c r="GT63" s="72"/>
      <c r="GU63" s="72"/>
      <c r="GV63" s="72"/>
      <c r="GW63" s="72"/>
      <c r="GX63" s="72"/>
      <c r="GY63" s="72"/>
      <c r="GZ63" s="72"/>
      <c r="HA63" s="72"/>
      <c r="HB63" s="72"/>
      <c r="HC63" s="72"/>
      <c r="HD63" s="72"/>
    </row>
    <row r="64" spans="1:212" s="16" customFormat="1" ht="10.199999999999999">
      <c r="A64" s="1038" t="s">
        <v>1190</v>
      </c>
      <c r="B64" s="1039" t="str">
        <f>'Revenue summary'!B$8</f>
      </c>
      <c r="C64" s="1039" t="str">
        <f>'Revenue summary'!C$8</f>
      </c>
      <c r="D64" s="1039" t="str">
        <f>'Revenue summary'!D$8</f>
      </c>
      <c r="E64" s="1040" t="str">
        <f>'Revenue summary'!E$8</f>
      </c>
      <c r="F64" s="1039" t="str">
        <f>'Revenue summary'!F$8</f>
      </c>
      <c r="G64" s="1039" t="str">
        <f>'Revenue summary'!G$8</f>
      </c>
      <c r="H64" s="1039" t="str">
        <f>'Revenue summary'!H$8</f>
      </c>
      <c r="I64" s="1040" t="str">
        <f>'Revenue summary'!I$8</f>
      </c>
      <c r="J64" s="1039" t="str">
        <f>'Revenue summary'!J$8</f>
      </c>
      <c r="K64" s="1039" t="str">
        <f>'Revenue summary'!K$8</f>
      </c>
      <c r="L64" s="1039" t="str">
        <f>'Revenue summary'!L$8</f>
      </c>
      <c r="M64" s="1040" t="str">
        <f>'Revenue summary'!M$8</f>
      </c>
      <c r="N64" s="1039" t="str">
        <f>'Revenue summary'!N$8</f>
      </c>
      <c r="O64" s="1039" t="str">
        <f>'Revenue summary'!O$8</f>
      </c>
      <c r="P64" s="1039" t="str">
        <f>'Revenue summary'!P$8</f>
      </c>
      <c r="Q64" s="1040" t="str">
        <f>'Revenue summary'!Q$8</f>
      </c>
      <c r="R64" s="1039" t="str">
        <f>'Revenue summary'!R$8</f>
      </c>
      <c r="S64" s="1039" t="str">
        <f>'Revenue summary'!S$8</f>
      </c>
      <c r="T64" s="1039" t="str">
        <f>'Revenue summary'!T$8</f>
      </c>
      <c r="U64" s="1040" t="str">
        <f>'Revenue summary'!U$8</f>
      </c>
      <c r="V64" s="1039" t="str">
        <f>'Revenue summary'!V$8</f>
      </c>
      <c r="W64" s="1039" t="str">
        <f>'Revenue summary'!W$8</f>
      </c>
      <c r="X64" s="1039" t="str">
        <f>'Revenue summary'!X$8</f>
      </c>
      <c r="Y64" s="1040" t="str">
        <f>'Revenue summary'!Y$8</f>
      </c>
      <c r="Z64" s="1039" t="str">
        <f>'Revenue summary'!Z$8</f>
      </c>
      <c r="AA64" s="1039" t="str">
        <f>'Revenue summary'!AA$8</f>
      </c>
      <c r="AB64" s="1039" t="str">
        <f>'Revenue summary'!AB$8</f>
      </c>
      <c r="AC64" s="1040" t="str">
        <f>'Revenue summary'!AC$8</f>
      </c>
      <c r="AD64" s="1039" t="str">
        <f>'Revenue summary'!AD$8</f>
      </c>
      <c r="AE64" s="1039" t="str">
        <f>'Revenue summary'!AE$8</f>
      </c>
      <c r="AF64" s="1039" t="str">
        <f>'Revenue summary'!AF$8</f>
      </c>
      <c r="AG64" s="1040" t="str">
        <f>'Revenue summary'!AG$8</f>
      </c>
      <c r="AH64" s="1039" t="str">
        <f>'Revenue summary'!AH$8</f>
      </c>
      <c r="AI64" s="1039" t="str">
        <f>'Revenue summary'!AI$8</f>
      </c>
      <c r="AJ64" s="1039" t="str">
        <f>'Revenue summary'!AJ$8</f>
      </c>
      <c r="AK64" s="1040" t="str">
        <f>'Revenue summary'!AK$8</f>
      </c>
      <c r="AL64" s="1039" t="str">
        <f>'Revenue summary'!AL$8</f>
      </c>
      <c r="AM64" s="1039" t="str">
        <f>'Revenue summary'!AM$8</f>
      </c>
      <c r="AN64" s="1039" t="str">
        <f>'Revenue summary'!AN$8</f>
      </c>
      <c r="AO64" s="1040" t="str">
        <f>'Revenue summary'!AO$8</f>
      </c>
      <c r="AP64" s="1039" t="str">
        <f>'Revenue summary'!AP$8</f>
      </c>
      <c r="AQ64" s="1039" t="str">
        <f>'Revenue summary'!AQ$8</f>
      </c>
      <c r="AR64" s="1039" t="str">
        <f>'Revenue summary'!AR$8</f>
      </c>
      <c r="AS64" s="1040" t="str">
        <f>'Revenue summary'!AS$8</f>
      </c>
      <c r="AT64" s="1039" t="str">
        <f>'Revenue summary'!AT$8</f>
      </c>
      <c r="AU64" s="1039" t="str">
        <f>'Revenue summary'!AU$8</f>
      </c>
      <c r="AV64" s="1039" t="str">
        <f>'Revenue summary'!AV$8</f>
      </c>
      <c r="AW64" s="1040" t="str">
        <f>'Revenue summary'!AW$8</f>
      </c>
      <c r="AX64" s="1039" t="str">
        <f>'Revenue summary'!AX$8</f>
      </c>
      <c r="AY64" s="1039" t="str">
        <f>'Revenue summary'!AY$8</f>
      </c>
      <c r="AZ64" s="1039" t="str">
        <f>'Revenue summary'!AZ$8</f>
      </c>
      <c r="BA64" s="1040" t="str">
        <f>'Revenue summary'!BA$8</f>
      </c>
      <c r="BB64" s="1039" t="str">
        <f>'Revenue summary'!BB$8</f>
      </c>
      <c r="BC64" s="1039" t="str">
        <f>'Revenue summary'!BC$8</f>
      </c>
      <c r="BD64" s="1039" t="str">
        <f>'Revenue summary'!BD$8</f>
      </c>
      <c r="BE64" s="1040" t="str">
        <f>'Revenue summary'!BE$8</f>
      </c>
      <c r="BF64" s="1039" t="str">
        <f>'Revenue summary'!BF$8</f>
      </c>
      <c r="BG64" s="1039" t="str">
        <f>'Revenue summary'!BG$8</f>
      </c>
      <c r="BH64" s="1039" t="str">
        <f>'Revenue summary'!BH$8</f>
      </c>
      <c r="BI64" s="1040" t="str">
        <f>'Revenue summary'!BI$8</f>
      </c>
      <c r="BJ64" s="1039" t="str">
        <f>'Revenue summary'!BJ$8</f>
      </c>
      <c r="BK64" s="1039" t="str">
        <f>'Revenue summary'!BK$8</f>
      </c>
      <c r="BL64" s="1039" t="str">
        <f>'Revenue summary'!BL$8</f>
      </c>
      <c r="BM64" s="1040" t="str">
        <f>'Revenue summary'!BM$8</f>
      </c>
      <c r="BN64" s="1039" t="str">
        <f>'Revenue summary'!BN$8</f>
      </c>
      <c r="BO64" s="1039" t="str">
        <f>'Revenue summary'!BO$8</f>
      </c>
      <c r="BP64" s="1039" t="str">
        <f>'Revenue summary'!BP$8</f>
      </c>
      <c r="BQ64" s="1040" t="str">
        <f>'Revenue summary'!BQ$8</f>
      </c>
      <c r="BR64" s="1039" t="str">
        <f>'Revenue summary'!BR$8</f>
      </c>
      <c r="BS64" s="1039" t="str">
        <f>'Revenue summary'!BS$8</f>
      </c>
      <c r="BT64" s="1039" t="str">
        <f>'Revenue summary'!BT$8</f>
      </c>
      <c r="BU64" s="1040" t="str">
        <f>'Revenue summary'!BU$8</f>
      </c>
      <c r="BV64" s="1039" t="str">
        <f>'Revenue summary'!BV$8</f>
      </c>
      <c r="BW64" s="1039" t="str">
        <f>'Revenue summary'!BW$8</f>
      </c>
      <c r="BX64" s="1039" t="str">
        <f>'Revenue summary'!BX$8</f>
      </c>
      <c r="BY64" s="1040" t="str">
        <f>'Revenue summary'!BY$8</f>
      </c>
      <c r="BZ64" s="1039" t="str">
        <f>'Revenue summary'!BZ$8</f>
      </c>
      <c r="CA64" s="1039" t="str">
        <f>'Revenue summary'!CA$8</f>
      </c>
      <c r="CB64" s="1039" t="str">
        <f>'Revenue summary'!CB$8</f>
      </c>
      <c r="CC64" s="1040" t="str">
        <f>'Revenue summary'!CC$8</f>
      </c>
      <c r="CD64" s="1039" t="str">
        <f>'Revenue summary'!CD$8</f>
      </c>
      <c r="CE64" s="1039" t="str">
        <f>'Revenue summary'!CE$8</f>
      </c>
      <c r="CF64" s="1039" t="str">
        <f>'Revenue summary'!CF$8</f>
      </c>
      <c r="CG64" s="1040" t="str">
        <f>'Revenue summary'!CG$8</f>
      </c>
      <c r="CH64" s="1039" t="str">
        <f>'Revenue summary'!CH$8</f>
      </c>
      <c r="CI64" s="1039" t="str">
        <f>'Revenue summary'!CI$8</f>
      </c>
      <c r="CJ64" s="1039" t="str">
        <f>'Revenue summary'!CJ$8</f>
      </c>
      <c r="CK64" s="1040" t="str">
        <f>'Revenue summary'!CK$8</f>
      </c>
      <c r="CL64" s="1039" t="str">
        <f>'Revenue summary'!CL$8</f>
      </c>
      <c r="CM64" s="1039" t="str">
        <f>'Revenue summary'!CM$8</f>
      </c>
      <c r="CN64" s="1039" t="str">
        <f>'Revenue summary'!CN$8</f>
      </c>
      <c r="CO64" s="1040" t="str">
        <f>'Revenue summary'!CO$8</f>
      </c>
      <c r="CP64" s="1039" t="str">
        <f>'Revenue summary'!CP$8</f>
      </c>
      <c r="CQ64" s="1039" t="str">
        <f>'Revenue summary'!CQ$8</f>
      </c>
      <c r="CR64" s="1039" t="str">
        <f>'Revenue summary'!CR$8</f>
      </c>
      <c r="CS64" s="1040" t="str">
        <f>'Revenue summary'!CS$8</f>
      </c>
      <c r="CT64" s="1039" t="str">
        <f>'Revenue summary'!CT$8</f>
      </c>
      <c r="CU64" s="1039" t="str">
        <f>'Revenue summary'!CU$8</f>
      </c>
      <c r="CV64" s="1039" t="str">
        <f>'Revenue summary'!CV$8</f>
      </c>
      <c r="CW64" s="1040" t="str">
        <f>'Revenue summary'!CW$8</f>
      </c>
      <c r="CX64" s="1039" t="str">
        <f>'Revenue summary'!CX$8</f>
      </c>
      <c r="CY64" s="1039" t="str">
        <f>'Revenue summary'!CY$8</f>
      </c>
      <c r="CZ64" s="1039" t="str">
        <f>'Revenue summary'!CZ$8</f>
      </c>
      <c r="DA64" s="1040" t="str">
        <f>'Revenue summary'!DA$8</f>
      </c>
      <c r="DB64" s="1039" t="str">
        <f>'Revenue summary'!DB$8</f>
      </c>
      <c r="DC64" s="1039" t="str">
        <f>'Revenue summary'!DC$8</f>
      </c>
      <c r="DD64" s="1039" t="str">
        <f>'Revenue summary'!DD$8</f>
      </c>
      <c r="DE64" s="1040" t="str">
        <f>'Revenue summary'!DE$8</f>
      </c>
      <c r="DF64" s="1039" t="str">
        <f>'Revenue summary'!DF$8</f>
      </c>
      <c r="DG64" s="1039" t="str">
        <f>'Revenue summary'!DG$8</f>
      </c>
      <c r="DH64" s="1039" t="str">
        <f>'Revenue summary'!DH$8</f>
      </c>
      <c r="DI64" s="1040" t="str">
        <f>'Revenue summary'!DI$8</f>
      </c>
      <c r="DJ64" s="1039" t="str">
        <f>'Revenue summary'!DJ$8</f>
      </c>
      <c r="DK64" s="1039" t="str">
        <f>'Revenue summary'!DK$8</f>
      </c>
      <c r="DL64" s="1039" t="str">
        <f>'Revenue summary'!DL$8</f>
      </c>
      <c r="DM64" s="1040" t="str">
        <f>'Revenue summary'!DM$8</f>
      </c>
      <c r="DN64" s="1039" t="str">
        <f>'Revenue summary'!DN$8</f>
      </c>
      <c r="DO64" s="1039" t="str">
        <f>'Revenue summary'!DO$8</f>
      </c>
      <c r="DP64" s="1039" t="str">
        <f>'Revenue summary'!DP$8</f>
      </c>
      <c r="DQ64" s="1040" t="str">
        <f>'Revenue summary'!DQ$8</f>
      </c>
      <c r="DR64" s="1039" t="str">
        <f>'Revenue summary'!DR$8</f>
      </c>
      <c r="DS64" s="1039" t="str">
        <f>'Revenue summary'!DS$8</f>
      </c>
      <c r="DT64" s="1039" t="str">
        <f>'Revenue summary'!DT$8</f>
      </c>
      <c r="DU64" s="1040" t="str">
        <f>'Revenue summary'!DU$8</f>
      </c>
      <c r="DV64" s="1039" t="str">
        <f>'Revenue summary'!DV$8</f>
      </c>
      <c r="DW64" s="1039" t="str">
        <f>'Revenue summary'!DW$8</f>
      </c>
      <c r="DX64" s="1039" t="str">
        <f>'Revenue summary'!DX$8</f>
      </c>
      <c r="DY64" s="1040" t="str">
        <f>'Revenue summary'!DY$8</f>
      </c>
      <c r="DZ64" s="1039" t="str">
        <f>'Revenue summary'!DZ$8</f>
      </c>
      <c r="EA64" s="1039" t="str">
        <f>'Revenue summary'!EA$8</f>
      </c>
      <c r="EB64" s="1039" t="str">
        <f>'Revenue summary'!EB$8</f>
      </c>
      <c r="EC64" s="1040" t="str">
        <f>'Revenue summary'!EC$8</f>
      </c>
      <c r="ED64" s="1039" t="str">
        <f>'Revenue summary'!ED$8</f>
      </c>
      <c r="EE64" s="1039" t="str">
        <f>'Revenue summary'!EE$8</f>
      </c>
      <c r="EF64" s="1039" t="str">
        <f>'Revenue summary'!EF$8</f>
      </c>
      <c r="EG64" s="1040" t="str">
        <f>'Revenue summary'!EG$8</f>
      </c>
      <c r="EH64" s="1039" t="str">
        <f>'Revenue summary'!EH$8</f>
      </c>
      <c r="EI64" s="1039" t="str">
        <f>'Revenue summary'!EI$8</f>
      </c>
      <c r="EJ64" s="1039" t="str">
        <f>'Revenue summary'!EJ$8</f>
      </c>
      <c r="EK64" s="1040" t="str">
        <f>'Revenue summary'!EK$8</f>
      </c>
      <c r="EL64" s="320"/>
      <c r="EM64" s="1039"/>
      <c r="EN64" s="1039"/>
      <c r="EO64" s="1039"/>
      <c r="EP64" s="1039"/>
      <c r="EQ64" s="1039"/>
      <c r="ER64" s="1039"/>
      <c r="ES64" s="1039"/>
      <c r="ET64" s="1039"/>
      <c r="EU64" s="1039"/>
      <c r="EV64" s="1039"/>
      <c r="EW64" s="1039"/>
      <c r="EX64" s="1039"/>
      <c r="EY64" s="1039"/>
      <c r="EZ64" s="1039"/>
      <c r="FA64" s="1039"/>
      <c r="FB64" s="1039"/>
      <c r="FC64" s="1039"/>
      <c r="FD64" s="1039"/>
      <c r="FE64" s="1039"/>
      <c r="FF64" s="1039"/>
      <c r="FG64" s="1039"/>
      <c r="FH64" s="1039"/>
      <c r="FI64" s="1039"/>
      <c r="FJ64" s="1039"/>
      <c r="FK64" s="1039"/>
      <c r="FL64" s="1039"/>
      <c r="FM64" s="1039"/>
      <c r="FN64" s="1039"/>
      <c r="FO64" s="1039"/>
      <c r="FP64" s="1039"/>
      <c r="FQ64" s="1039"/>
      <c r="FR64" s="1039"/>
      <c r="FS64" s="1039"/>
      <c r="FT64" s="1039"/>
      <c r="FU64" s="1039"/>
      <c r="FV64" s="1039"/>
      <c r="FW64" s="1039"/>
      <c r="FX64" s="1039"/>
      <c r="FY64" s="1039"/>
      <c r="FZ64" s="1039"/>
      <c r="GA64" s="1039"/>
      <c r="GB64" s="1039"/>
      <c r="GC64" s="1039"/>
      <c r="GD64" s="1039"/>
      <c r="GE64" s="1039"/>
      <c r="GF64" s="1039"/>
      <c r="GG64" s="1039"/>
      <c r="GH64" s="1039"/>
      <c r="GI64" s="1039"/>
      <c r="GJ64" s="1039"/>
      <c r="GK64" s="1039"/>
      <c r="GL64" s="1039"/>
      <c r="GM64" s="1039"/>
      <c r="GN64" s="1039"/>
      <c r="GO64" s="1039"/>
      <c r="GP64" s="1039"/>
      <c r="GQ64" s="1039"/>
      <c r="GR64" s="1039"/>
      <c r="GS64" s="1039"/>
      <c r="GT64" s="1039"/>
      <c r="GU64" s="1039"/>
      <c r="GV64" s="1039"/>
      <c r="GW64" s="1039"/>
      <c r="GX64" s="1039"/>
      <c r="GY64" s="1039"/>
      <c r="GZ64" s="1039"/>
      <c r="HA64" s="1039"/>
      <c r="HB64" s="1039"/>
      <c r="HC64" s="1039"/>
      <c r="HD64" s="1039"/>
    </row>
    <row r="65" spans="1:212" s="370" customFormat="1" ht="10.199999999999999">
      <c r="A65" s="1032" t="s">
        <v>1041</v>
      </c>
      <c r="B65" s="1033"/>
      <c r="C65" s="1033"/>
      <c r="D65" s="1033"/>
      <c r="E65" s="1034"/>
      <c r="F65" s="1033"/>
      <c r="G65" s="1033"/>
      <c r="H65" s="1033"/>
      <c r="I65" s="1034"/>
      <c r="J65" s="1033"/>
      <c r="K65" s="1033"/>
      <c r="L65" s="1033"/>
      <c r="M65" s="1034"/>
      <c r="N65" s="1033"/>
      <c r="O65" s="1033"/>
      <c r="P65" s="1033"/>
      <c r="Q65" s="1034"/>
      <c r="R65" s="1033"/>
      <c r="S65" s="1033"/>
      <c r="T65" s="1033"/>
      <c r="U65" s="1034"/>
      <c r="V65" s="1033"/>
      <c r="W65" s="1033"/>
      <c r="X65" s="1033"/>
      <c r="Y65" s="1034"/>
      <c r="Z65" s="1033"/>
      <c r="AA65" s="1033"/>
      <c r="AB65" s="1033"/>
      <c r="AC65" s="1034"/>
      <c r="AD65" s="1033"/>
      <c r="AE65" s="1033"/>
      <c r="AF65" s="1033">
        <v>23.967692300000003</v>
      </c>
      <c r="AG65" s="1034">
        <v>27.513692299999999</v>
      </c>
      <c r="AH65" s="1033">
        <v>43.439537999999999</v>
      </c>
      <c r="AI65" s="1033">
        <v>46.035691999999997</v>
      </c>
      <c r="AJ65" s="1033">
        <v>76.317231000000007</v>
      </c>
      <c r="AK65" s="1034">
        <v>95.053154000000006</v>
      </c>
      <c r="AL65" s="1033">
        <v>173.37876900000001</v>
      </c>
      <c r="AM65" s="1033">
        <v>214.01030800000001</v>
      </c>
      <c r="AN65" s="1033">
        <v>258.25985000000003</v>
      </c>
      <c r="AO65" s="1034">
        <v>274.47508000000005</v>
      </c>
      <c r="AP65" s="1033">
        <v>473.65062</v>
      </c>
      <c r="AQ65" s="1033">
        <v>425.87169</v>
      </c>
      <c r="AR65" s="1033">
        <v>422.27168999999998</v>
      </c>
      <c r="AS65" s="1034">
        <v>429.47585000000004</v>
      </c>
      <c r="AT65" s="1033">
        <v>724.48199999999997</v>
      </c>
      <c r="AU65" s="1033">
        <v>597.27909616439649</v>
      </c>
      <c r="AV65" s="1033">
        <f>386+608</f>
      </c>
      <c r="AW65" s="1034">
        <v>656.99522168604108</v>
      </c>
      <c r="AX65" s="1033">
        <v>1077.2779235737748</v>
      </c>
      <c r="AY65" s="1033">
        <v>853.29262166683202</v>
      </c>
      <c r="AZ65" s="1033">
        <f>501+819</f>
      </c>
      <c r="BA65" s="1034">
        <v>1043.8321490640924</v>
      </c>
      <c r="BB65" s="1033">
        <f>606+1011</f>
      </c>
      <c r="BC65" s="1033">
        <f>626+1049</f>
      </c>
      <c r="BD65" s="1033">
        <f>530+958</f>
      </c>
      <c r="BE65" s="1034">
        <f>2411+4036-BD65-BC65-BB65</f>
      </c>
      <c r="BF65" s="1033">
        <f>631+1164</f>
      </c>
      <c r="BG65" s="1033">
        <f>1327+634</f>
      </c>
      <c r="BH65" s="1033">
        <f>1214+646</f>
      </c>
      <c r="BI65" s="1034">
        <f>2573+4948-BH65-BG65-BF65</f>
      </c>
      <c r="BJ65" s="1033">
        <v>2147</v>
      </c>
      <c r="BK65" s="1033">
        <v>2384</v>
      </c>
      <c r="BL65" s="1033">
        <v>2338</v>
      </c>
      <c r="BM65" s="1034">
        <v>2504</v>
      </c>
      <c r="BN65" s="1033">
        <v>3020</v>
      </c>
      <c r="BO65" s="1033">
        <v>3171</v>
      </c>
      <c r="BP65" s="1033">
        <v>3203</v>
      </c>
      <c r="BQ65" s="1034">
        <v>3496</v>
      </c>
      <c r="BR65" s="1033">
        <v>3687</v>
      </c>
      <c r="BS65" s="1033">
        <v>4114</v>
      </c>
      <c r="BT65" s="1033">
        <v>3990</v>
      </c>
      <c r="BU65" s="1034">
        <v>4260</v>
      </c>
      <c r="BV65" s="1033">
        <v>4397</v>
      </c>
      <c r="BW65" s="1033">
        <v>4573</v>
      </c>
      <c r="BX65" s="1033">
        <v>4485</v>
      </c>
      <c r="BY65" s="1034">
        <v>4608</v>
      </c>
      <c r="BZ65" s="1033">
        <v>4799</v>
      </c>
      <c r="CA65" s="1033">
        <v>4996</v>
      </c>
      <c r="CB65" s="1033">
        <v>5028</v>
      </c>
      <c r="CC65" s="1034">
        <v>5086</v>
      </c>
      <c r="CD65" s="1033">
        <v>6056</v>
      </c>
      <c r="CE65" s="1033">
        <v>5991</v>
      </c>
      <c r="CF65" s="1033">
        <v>5976</v>
      </c>
      <c r="CG65" s="1034">
        <v>6325</v>
      </c>
      <c r="CH65" s="1033">
        <v>7172</v>
      </c>
      <c r="CI65" s="1033">
        <v>7041</v>
      </c>
      <c r="CJ65" s="1033">
        <v>7266</v>
      </c>
      <c r="CK65" s="1034">
        <f>8501</f>
      </c>
      <c r="CL65" s="1033">
        <v>8471</v>
      </c>
      <c r="CM65" s="1033">
        <v>9190</v>
      </c>
      <c r="CN65" s="1033">
        <v>9548</v>
      </c>
      <c r="CO65" s="1034">
        <v>9981</v>
      </c>
      <c r="CP65" s="1035"/>
      <c r="CQ65" s="1035"/>
      <c r="CR65" s="1035"/>
      <c r="CS65" s="1036"/>
      <c r="CT65" s="1035"/>
      <c r="CU65" s="1035"/>
      <c r="CV65" s="1035"/>
      <c r="CW65" s="1036"/>
      <c r="CX65" s="1035"/>
      <c r="CY65" s="1035"/>
      <c r="CZ65" s="1035"/>
      <c r="DA65" s="1036"/>
      <c r="DB65" s="1035"/>
      <c r="DC65" s="1035"/>
      <c r="DD65" s="1035"/>
      <c r="DE65" s="1036"/>
      <c r="DF65" s="1035"/>
      <c r="DG65" s="1035"/>
      <c r="DH65" s="1035"/>
      <c r="DI65" s="1036"/>
      <c r="DJ65" s="1035"/>
      <c r="DK65" s="1035"/>
      <c r="DL65" s="1035"/>
      <c r="DM65" s="1036"/>
      <c r="DN65" s="1035"/>
      <c r="DO65" s="1035"/>
      <c r="DP65" s="1035"/>
      <c r="DQ65" s="1036"/>
      <c r="DR65" s="1035"/>
      <c r="DS65" s="1035"/>
      <c r="DT65" s="1035"/>
      <c r="DU65" s="1037"/>
      <c r="DV65" s="1035"/>
      <c r="DW65" s="1035"/>
      <c r="DX65" s="1035"/>
      <c r="DY65" s="1037"/>
      <c r="DZ65" s="1035"/>
      <c r="EA65" s="1035"/>
      <c r="EB65" s="1035"/>
      <c r="EC65" s="1037"/>
      <c r="ED65" s="1035"/>
      <c r="EE65" s="1035"/>
      <c r="EF65" s="1035"/>
      <c r="EG65" s="1037"/>
      <c r="EH65" s="1035"/>
      <c r="EI65" s="1035"/>
      <c r="EJ65" s="1035"/>
      <c r="EK65" s="1037"/>
      <c r="EL65" s="817"/>
      <c r="EM65" s="1035"/>
      <c r="EN65" s="1035"/>
      <c r="EO65" s="1035"/>
      <c r="EP65" s="1035"/>
      <c r="EQ65" s="1035"/>
      <c r="ER65" s="1035"/>
      <c r="ES65" s="1035"/>
      <c r="ET65" s="1035">
        <f>SUM(AD65:AG65)</f>
      </c>
      <c r="EU65" s="1035">
        <f>SUM(AH65:AK65)</f>
      </c>
      <c r="EV65" s="1035">
        <f>SUM(AL65:AO65)</f>
      </c>
      <c r="EW65" s="1035">
        <f>SUM(AP65:AS65)</f>
      </c>
      <c r="EX65" s="1035">
        <f>SUM(AT65:AW65)</f>
      </c>
      <c r="EY65" s="1035">
        <f>SUM(AX65:BA65)</f>
      </c>
      <c r="EZ65" s="1035">
        <f>SUM(BB65:BE65)</f>
      </c>
      <c r="FA65" s="1035">
        <f>SUM(BF65:BI65)</f>
      </c>
      <c r="FB65" s="1035">
        <f>SUM(BJ65:BM65)</f>
      </c>
      <c r="FC65" s="1035">
        <f>SUM(BN65:BQ65)</f>
      </c>
      <c r="FD65" s="1035">
        <f>SUM(BR65:BU65)</f>
      </c>
      <c r="FE65" s="1035">
        <f>SUM(BV65:BY65)</f>
      </c>
      <c r="FF65" s="1035">
        <f>SUM(BZ65:CC65)</f>
      </c>
      <c r="FG65" s="1035">
        <f>SUM(CD65:CG65)</f>
      </c>
      <c r="FH65" s="1035">
        <f>SUM(CH65:CK65)</f>
      </c>
      <c r="FI65" s="1035">
        <f>SUM(CL65:CO65)</f>
      </c>
      <c r="FJ65" s="1035"/>
      <c r="FK65" s="1035"/>
      <c r="FL65" s="1035"/>
      <c r="FM65" s="1035"/>
      <c r="FN65" s="1035"/>
      <c r="FO65" s="1035"/>
      <c r="FP65" s="1035"/>
      <c r="FQ65" s="1035"/>
      <c r="FR65" s="1035"/>
      <c r="FS65" s="1035"/>
      <c r="FT65" s="1035"/>
      <c r="FU65" s="1035"/>
      <c r="FV65" s="1035"/>
      <c r="FW65" s="1035">
        <f>SUM(C65:F65)</f>
      </c>
      <c r="FX65" s="1035">
        <f>SUM(G65:J65)</f>
      </c>
      <c r="FY65" s="1035">
        <f>SUM(K65:N65)</f>
      </c>
      <c r="FZ65" s="1035">
        <f>SUM(O65:R65)</f>
      </c>
      <c r="GA65" s="1035">
        <f>SUM(S65:V65)</f>
      </c>
      <c r="GB65" s="1035">
        <f>SUM(W65:Z65)</f>
      </c>
      <c r="GC65" s="1035">
        <f>SUM(AA65:AD65)</f>
      </c>
      <c r="GD65" s="1035">
        <f>SUM(AE65:AH65)</f>
      </c>
      <c r="GE65" s="1035">
        <f>SUM(AI65:AL65)</f>
      </c>
      <c r="GF65" s="1035">
        <f>SUM(AM65:AP65)</f>
      </c>
      <c r="GG65" s="1035">
        <f>SUM(AQ65:AT65)</f>
      </c>
      <c r="GH65" s="1035">
        <f>SUM(AU65:AX65)</f>
      </c>
      <c r="GI65" s="1035">
        <f>SUM(AY65:BB65)</f>
      </c>
      <c r="GJ65" s="1035">
        <f>SUM(BC65:BF65)</f>
      </c>
      <c r="GK65" s="1035">
        <f>SUM(BG65:BJ65)</f>
      </c>
      <c r="GL65" s="1035">
        <f>SUM(BK65:BN65)</f>
      </c>
      <c r="GM65" s="1035">
        <f>SUM(BO65:BR65)</f>
      </c>
      <c r="GN65" s="1035">
        <f>SUM(BS65:BV65)</f>
      </c>
      <c r="GO65" s="1035">
        <f>SUM(BW65:BZ65)</f>
      </c>
      <c r="GP65" s="1035">
        <f>SUM(CA65:CD65)</f>
      </c>
      <c r="GQ65" s="1035">
        <f>SUM(CE65:CH65)</f>
      </c>
      <c r="GR65" s="1035">
        <f>SUM(CI65:CL65)</f>
      </c>
      <c r="GS65" s="1035"/>
      <c r="GT65" s="1035"/>
      <c r="GU65" s="1035"/>
      <c r="GV65" s="1035"/>
      <c r="GW65" s="1035"/>
      <c r="GX65" s="1035"/>
      <c r="GY65" s="1035"/>
      <c r="GZ65" s="1035"/>
      <c r="HA65" s="1035"/>
      <c r="HB65" s="1035"/>
      <c r="HC65" s="1035"/>
      <c r="HD65" s="1035"/>
    </row>
    <row r="66" spans="1:212" s="89" customFormat="1" ht="10.199999999999999">
      <c r="A66" s="152"/>
      <c r="E66" s="260"/>
      <c r="I66" s="260"/>
      <c r="M66" s="260"/>
      <c r="Q66" s="260"/>
      <c r="U66" s="260"/>
      <c r="Y66" s="260"/>
      <c r="AC66" s="260"/>
      <c r="AG66" s="260"/>
      <c r="AJ66" s="72"/>
      <c r="AK66" s="227"/>
      <c r="AL66" s="72"/>
      <c r="AM66" s="72"/>
      <c r="AN66" s="72"/>
      <c r="AO66" s="227"/>
      <c r="AP66" s="72"/>
      <c r="AQ66" s="72"/>
      <c r="AR66" s="72"/>
      <c r="AS66" s="227"/>
      <c r="AT66" s="72"/>
      <c r="AU66" s="72"/>
      <c r="AV66" s="72"/>
      <c r="AW66" s="227"/>
      <c r="AX66" s="72"/>
      <c r="AY66" s="72"/>
      <c r="AZ66" s="72"/>
      <c r="BA66" s="227"/>
      <c r="BB66" s="72"/>
      <c r="BC66" s="72"/>
      <c r="BD66" s="72"/>
      <c r="BE66" s="227"/>
      <c r="BF66" s="72"/>
      <c r="BG66" s="72"/>
      <c r="BH66" s="72"/>
      <c r="BI66" s="227"/>
      <c r="BJ66" s="72"/>
      <c r="BK66" s="72"/>
      <c r="BL66" s="72"/>
      <c r="BM66" s="227"/>
      <c r="BN66" s="72"/>
      <c r="BO66" s="72"/>
      <c r="BP66" s="72"/>
      <c r="BQ66" s="227"/>
      <c r="BR66" s="72"/>
      <c r="BS66" s="72"/>
      <c r="BT66" s="72"/>
      <c r="BU66" s="227"/>
      <c r="BV66" s="355"/>
      <c r="BW66" s="72"/>
      <c r="BX66" s="72"/>
      <c r="BY66" s="227"/>
      <c r="BZ66" s="355"/>
      <c r="CA66" s="72"/>
      <c r="CB66" s="72"/>
      <c r="CC66" s="227"/>
      <c r="CD66" s="355"/>
      <c r="CE66" s="72"/>
      <c r="CF66" s="72"/>
      <c r="CG66" s="227"/>
      <c r="CH66" s="355"/>
      <c r="CI66" s="72"/>
      <c r="CJ66" s="72"/>
      <c r="CK66" s="227"/>
      <c r="CL66" s="355"/>
      <c r="CM66" s="72"/>
      <c r="CN66" s="72"/>
      <c r="CO66" s="227"/>
      <c r="CP66" s="72"/>
      <c r="CQ66" s="87"/>
      <c r="CR66" s="87"/>
      <c r="CS66" s="227"/>
      <c r="CT66" s="72"/>
      <c r="CU66" s="87"/>
      <c r="CV66" s="87"/>
      <c r="CW66" s="416"/>
      <c r="CX66" s="87"/>
      <c r="CY66" s="87"/>
      <c r="CZ66" s="87"/>
      <c r="DA66" s="416"/>
      <c r="DB66" s="87"/>
      <c r="DC66" s="87"/>
      <c r="DD66" s="87"/>
      <c r="DE66" s="232"/>
      <c r="DF66" s="419"/>
      <c r="DG66" s="71"/>
      <c r="DH66" s="71"/>
      <c r="DI66" s="232"/>
      <c r="DJ66" s="419"/>
      <c r="DK66" s="71"/>
      <c r="DL66" s="71"/>
      <c r="DM66" s="232"/>
      <c r="DN66" s="419"/>
      <c r="DO66" s="71"/>
      <c r="DP66" s="71"/>
      <c r="DQ66" s="232"/>
      <c r="DR66" s="419"/>
      <c r="DS66" s="71"/>
      <c r="DT66" s="71"/>
      <c r="DU66" s="232"/>
      <c r="DV66" s="419"/>
      <c r="DW66" s="71"/>
      <c r="DX66" s="71"/>
      <c r="DY66" s="232"/>
      <c r="DZ66" s="419"/>
      <c r="EA66" s="71"/>
      <c r="EB66" s="71"/>
      <c r="EC66" s="232"/>
      <c r="ED66" s="419"/>
      <c r="EE66" s="71"/>
      <c r="EF66" s="71"/>
      <c r="EG66" s="232"/>
      <c r="EH66" s="419"/>
      <c r="EI66" s="71"/>
      <c r="EJ66" s="71"/>
      <c r="EK66" s="232"/>
      <c r="EU66" s="72"/>
      <c r="EV66" s="72"/>
      <c r="EW66" s="72"/>
      <c r="EX66" s="72"/>
      <c r="EY66" s="72"/>
      <c r="EZ66" s="72"/>
      <c r="FA66" s="72"/>
      <c r="FB66" s="72"/>
      <c r="FC66" s="72"/>
      <c r="FD66" s="72"/>
      <c r="FE66" s="72"/>
      <c r="FF66" s="72"/>
      <c r="FG66" s="72"/>
      <c r="FH66" s="72"/>
      <c r="FI66" s="72"/>
      <c r="FJ66" s="72"/>
      <c r="FK66" s="72"/>
      <c r="FL66" s="72"/>
      <c r="FM66" s="72"/>
      <c r="FN66" s="72"/>
      <c r="FO66" s="72"/>
      <c r="FP66" s="72"/>
      <c r="FQ66" s="72"/>
      <c r="FR66" s="72"/>
      <c r="FS66" s="72"/>
      <c r="FT66" s="72"/>
      <c r="FU66" s="72"/>
      <c r="FV66" s="88"/>
      <c r="GE66" s="72"/>
      <c r="GF66" s="72"/>
      <c r="GG66" s="72"/>
      <c r="GH66" s="72"/>
      <c r="GI66" s="72"/>
      <c r="GJ66" s="72"/>
      <c r="GK66" s="72"/>
      <c r="GL66" s="72"/>
      <c r="GM66" s="72"/>
      <c r="GN66" s="72"/>
      <c r="GO66" s="72"/>
      <c r="GP66" s="72"/>
      <c r="GQ66" s="72"/>
      <c r="GR66" s="72"/>
      <c r="GS66" s="72"/>
      <c r="GT66" s="72"/>
      <c r="GU66" s="72"/>
      <c r="GV66" s="72"/>
      <c r="GW66" s="72"/>
      <c r="GX66" s="72"/>
      <c r="GY66" s="72"/>
      <c r="GZ66" s="72"/>
      <c r="HA66" s="72"/>
      <c r="HB66" s="72"/>
      <c r="HC66" s="72"/>
      <c r="HD66" s="72"/>
    </row>
    <row r="67" spans="1:212" s="943" customFormat="1" ht="10.199999999999999">
      <c r="A67" s="1467" t="s">
        <v>1143</v>
      </c>
      <c r="E67" s="1468"/>
      <c r="I67" s="1468"/>
      <c r="M67" s="1468"/>
      <c r="Q67" s="1468"/>
      <c r="U67" s="1468"/>
      <c r="Y67" s="1468"/>
      <c r="AC67" s="1468"/>
      <c r="AG67" s="1468"/>
      <c r="AK67" s="1468"/>
      <c r="AO67" s="1468"/>
      <c r="AS67" s="1468"/>
      <c r="AW67" s="1468"/>
      <c r="BA67" s="1468"/>
      <c r="BE67" s="1468"/>
      <c r="BI67" s="1468"/>
      <c r="BM67" s="1468"/>
      <c r="BQ67" s="1468"/>
      <c r="BU67" s="1468"/>
      <c r="BY67" s="1468"/>
      <c r="CC67" s="1468"/>
      <c r="CG67" s="1468"/>
      <c r="CI67" s="1469">
        <f>'Revenue summary'!CI16/CI68</f>
      </c>
      <c r="CJ67" s="1469">
        <f>'Revenue summary'!CJ16/CJ68</f>
      </c>
      <c r="CK67" s="1470">
        <f>'Revenue summary'!CK16/CK68</f>
      </c>
      <c r="CL67" s="1469">
        <f t="shared" ref="CL67:DU67" si="414">CL21/CL68</f>
      </c>
      <c r="CM67" s="1469">
        <f t="shared" si="414"/>
      </c>
      <c r="CN67" s="1469">
        <f t="shared" si="414"/>
      </c>
      <c r="CO67" s="1470">
        <f t="shared" si="414"/>
      </c>
      <c r="CP67" s="1469">
        <f t="shared" si="414"/>
      </c>
      <c r="CQ67" s="1469">
        <f t="shared" si="414"/>
      </c>
      <c r="CR67" s="1469">
        <f t="shared" si="414"/>
      </c>
      <c r="CS67" s="1470">
        <f t="shared" si="414"/>
      </c>
      <c r="CT67" s="1469">
        <f t="shared" si="414"/>
      </c>
      <c r="CU67" s="1469">
        <f t="shared" si="414"/>
      </c>
      <c r="CV67" s="1469">
        <f t="shared" si="414"/>
      </c>
      <c r="CW67" s="1470">
        <f t="shared" si="414"/>
      </c>
      <c r="CX67" s="1469">
        <f t="shared" si="414"/>
      </c>
      <c r="CY67" s="1469">
        <f t="shared" si="414"/>
      </c>
      <c r="CZ67" s="1469">
        <f t="shared" si="414"/>
      </c>
      <c r="DA67" s="1470">
        <f t="shared" si="414"/>
      </c>
      <c r="DB67" s="1469">
        <f t="shared" si="414"/>
      </c>
      <c r="DC67" s="1469">
        <f t="shared" si="414"/>
      </c>
      <c r="DD67" s="1469">
        <f t="shared" si="414"/>
      </c>
      <c r="DE67" s="1470">
        <f t="shared" si="414"/>
      </c>
      <c r="DF67" s="1469">
        <f t="shared" ref="DF67" si="415">DF21/DF68</f>
      </c>
      <c r="DG67" s="1469">
        <f t="shared" si="414"/>
      </c>
      <c r="DH67" s="1469">
        <f t="shared" si="414"/>
      </c>
      <c r="DI67" s="1470">
        <f t="shared" si="414"/>
      </c>
      <c r="DJ67" s="1469">
        <f t="shared" si="414"/>
      </c>
      <c r="DK67" s="1469">
        <f t="shared" si="414"/>
      </c>
      <c r="DL67" s="1469">
        <f t="shared" si="414"/>
      </c>
      <c r="DM67" s="1470">
        <f t="shared" si="414"/>
      </c>
      <c r="DN67" s="1469">
        <f t="shared" si="414"/>
      </c>
      <c r="DO67" s="1469">
        <f t="shared" si="414"/>
      </c>
      <c r="DP67" s="1469">
        <f t="shared" si="414"/>
      </c>
      <c r="DQ67" s="1470">
        <f t="shared" si="414"/>
      </c>
      <c r="DR67" s="1469">
        <f t="shared" si="414"/>
      </c>
      <c r="DS67" s="1469">
        <f t="shared" si="414"/>
      </c>
      <c r="DT67" s="1469">
        <f t="shared" si="414"/>
      </c>
      <c r="DU67" s="1470">
        <f t="shared" si="414"/>
      </c>
      <c r="DV67" s="1469">
        <f t="shared" ref="DV67:EK67" si="416">DV21/DV68</f>
      </c>
      <c r="DW67" s="1469">
        <f t="shared" si="416"/>
      </c>
      <c r="DX67" s="1469">
        <f t="shared" si="416"/>
      </c>
      <c r="DY67" s="1470">
        <f t="shared" si="416"/>
      </c>
      <c r="DZ67" s="1469">
        <f t="shared" si="416"/>
      </c>
      <c r="EA67" s="1469">
        <f t="shared" si="416"/>
      </c>
      <c r="EB67" s="1469">
        <f t="shared" si="416"/>
      </c>
      <c r="EC67" s="1470">
        <f t="shared" si="416"/>
      </c>
      <c r="ED67" s="1469">
        <f t="shared" si="416"/>
      </c>
      <c r="EE67" s="1469">
        <f t="shared" si="416"/>
      </c>
      <c r="EF67" s="1469">
        <f t="shared" si="416"/>
      </c>
      <c r="EG67" s="1470">
        <f t="shared" si="416"/>
      </c>
      <c r="EH67" s="1469">
        <f t="shared" si="416"/>
      </c>
      <c r="EI67" s="1469">
        <f t="shared" si="416"/>
      </c>
      <c r="EJ67" s="1469">
        <f t="shared" si="416"/>
      </c>
      <c r="EK67" s="1470">
        <f t="shared" si="416"/>
      </c>
      <c r="FG67" s="972"/>
      <c r="FH67" s="972">
        <f>CK67</f>
      </c>
      <c r="FI67" s="972">
        <f>CO67</f>
      </c>
      <c r="FJ67" s="972">
        <f>CS67</f>
      </c>
      <c r="FK67" s="972">
        <f>CW67</f>
      </c>
      <c r="FL67" s="972">
        <f>DA67</f>
      </c>
      <c r="FM67" s="972">
        <f>DE67</f>
      </c>
      <c r="FN67" s="972">
        <f>DI67</f>
      </c>
      <c r="FO67" s="972">
        <f>DM67</f>
      </c>
      <c r="FP67" s="972">
        <f>DQ67</f>
      </c>
      <c r="FQ67" s="972">
        <f>DU67</f>
      </c>
      <c r="FR67" s="972">
        <f>DY67</f>
      </c>
      <c r="FS67" s="972">
        <f>EC67</f>
      </c>
      <c r="FT67" s="972">
        <f>EG67</f>
      </c>
      <c r="FU67" s="972">
        <f>EK67</f>
      </c>
      <c r="GP67" s="970">
        <f>+CD67</f>
      </c>
      <c r="GQ67" s="970">
        <f>+CH67</f>
      </c>
      <c r="GR67" s="970">
        <f>CL67</f>
      </c>
      <c r="GS67" s="970">
        <f>CP67</f>
      </c>
      <c r="GT67" s="970">
        <f>CT67</f>
      </c>
      <c r="GU67" s="970">
        <f>CX67</f>
      </c>
      <c r="GV67" s="970">
        <f>DB67</f>
      </c>
      <c r="GW67" s="970">
        <f>DF67</f>
      </c>
      <c r="GX67" s="970">
        <f>DJ67</f>
      </c>
      <c r="GY67" s="970">
        <f>DN67</f>
      </c>
      <c r="GZ67" s="970">
        <f>DR67</f>
      </c>
      <c r="HA67" s="970">
        <f t="shared" ref="HA67:HC68" si="417">DS67</f>
      </c>
      <c r="HB67" s="970">
        <f>DZ67</f>
      </c>
      <c r="HC67" s="970">
        <f t="shared" si="417"/>
      </c>
      <c r="HD67" s="970">
        <f>EH67</f>
      </c>
    </row>
    <row r="68" spans="1:212" s="371" customFormat="1" ht="10.199999999999999">
      <c r="A68" s="1044" t="s">
        <v>1494</v>
      </c>
      <c r="E68" s="439"/>
      <c r="I68" s="439"/>
      <c r="M68" s="439"/>
      <c r="Q68" s="439"/>
      <c r="U68" s="439"/>
      <c r="Y68" s="439"/>
      <c r="AC68" s="439"/>
      <c r="AG68" s="439"/>
      <c r="AK68" s="439"/>
      <c r="AO68" s="439"/>
      <c r="AS68" s="439"/>
      <c r="AW68" s="439"/>
      <c r="BA68" s="439"/>
      <c r="BE68" s="439"/>
      <c r="BI68" s="439"/>
      <c r="BM68" s="439"/>
      <c r="BQ68" s="439"/>
      <c r="BU68" s="439"/>
      <c r="BV68" s="1045"/>
      <c r="BY68" s="439"/>
      <c r="BZ68" s="1045"/>
      <c r="CC68" s="439"/>
      <c r="CD68" s="1045"/>
      <c r="CG68" s="439"/>
      <c r="CH68" s="1045"/>
      <c r="CI68" s="1046">
        <v>172</v>
      </c>
      <c r="CJ68" s="1046">
        <v>190</v>
      </c>
      <c r="CK68" s="1047">
        <v>216</v>
      </c>
      <c r="CL68" s="1048">
        <v>247</v>
      </c>
      <c r="CM68" s="1046">
        <v>279</v>
      </c>
      <c r="CN68" s="1046">
        <v>306</v>
      </c>
      <c r="CO68" s="1047">
        <v>339</v>
      </c>
      <c r="CP68" s="77">
        <v>360</v>
      </c>
      <c r="CQ68" s="77">
        <v>390</v>
      </c>
      <c r="CR68" s="77">
        <v>420</v>
      </c>
      <c r="CS68" s="192">
        <v>450</v>
      </c>
      <c r="CT68" s="77">
        <v>480</v>
      </c>
      <c r="CU68" s="77">
        <v>515</v>
      </c>
      <c r="CV68" s="77">
        <v>550</v>
      </c>
      <c r="CW68" s="192">
        <v>585</v>
      </c>
      <c r="CX68" s="77">
        <v>620</v>
      </c>
      <c r="CY68" s="77">
        <v>660</v>
      </c>
      <c r="CZ68" s="77">
        <v>705</v>
      </c>
      <c r="DA68" s="192">
        <v>745</v>
      </c>
      <c r="DB68" s="77">
        <v>785</v>
      </c>
      <c r="DC68" s="77">
        <v>826</v>
      </c>
      <c r="DD68" s="77">
        <f>CZ68*1.23</f>
      </c>
      <c r="DE68" s="1047">
        <v>905</v>
      </c>
      <c r="DF68" s="77">
        <v>935</v>
      </c>
      <c r="DG68" s="77">
        <v>975</v>
      </c>
      <c r="DH68" s="77">
        <f>DD68+150</f>
      </c>
      <c r="DI68" s="1053">
        <f t="shared" ref="DI68:DU68" si="418">DI143+DI137+DI131+DI125+DI119+DI113+DI90+DI71</f>
      </c>
      <c r="DJ68" s="1044">
        <f t="shared" si="418"/>
      </c>
      <c r="DK68" s="1044">
        <f t="shared" si="418"/>
      </c>
      <c r="DL68" s="1044">
        <f t="shared" si="418"/>
      </c>
      <c r="DM68" s="1053">
        <f t="shared" si="418"/>
      </c>
      <c r="DN68" s="1044">
        <f t="shared" si="418"/>
      </c>
      <c r="DO68" s="1044">
        <f t="shared" si="418"/>
      </c>
      <c r="DP68" s="1044">
        <f t="shared" si="418"/>
      </c>
      <c r="DQ68" s="1053">
        <f t="shared" si="418"/>
      </c>
      <c r="DR68" s="1044">
        <f t="shared" si="418"/>
      </c>
      <c r="DS68" s="1044">
        <f t="shared" si="418"/>
      </c>
      <c r="DT68" s="1044">
        <f t="shared" si="418"/>
      </c>
      <c r="DU68" s="1053">
        <f t="shared" si="418"/>
      </c>
      <c r="DV68" s="1044">
        <f t="shared" ref="DV68:EK68" si="419">DV143+DV137+DV131+DV125+DV119+DV113+DV90+DV71</f>
      </c>
      <c r="DW68" s="1044">
        <f t="shared" si="419"/>
      </c>
      <c r="DX68" s="1044">
        <f t="shared" si="419"/>
      </c>
      <c r="DY68" s="1053">
        <f t="shared" si="419"/>
      </c>
      <c r="DZ68" s="1044">
        <f t="shared" si="419"/>
      </c>
      <c r="EA68" s="1044">
        <f t="shared" si="419"/>
      </c>
      <c r="EB68" s="1044">
        <f t="shared" si="419"/>
      </c>
      <c r="EC68" s="1053">
        <f t="shared" si="419"/>
      </c>
      <c r="ED68" s="1044">
        <f t="shared" si="419"/>
      </c>
      <c r="EE68" s="1044">
        <f t="shared" si="419"/>
      </c>
      <c r="EF68" s="1044">
        <f t="shared" si="419"/>
      </c>
      <c r="EG68" s="1053">
        <f t="shared" si="419"/>
      </c>
      <c r="EH68" s="1044">
        <f t="shared" si="419"/>
      </c>
      <c r="EI68" s="1044">
        <f t="shared" si="419"/>
      </c>
      <c r="EJ68" s="1044">
        <f t="shared" si="419"/>
      </c>
      <c r="EK68" s="1053">
        <f t="shared" si="419"/>
      </c>
      <c r="FG68" s="972"/>
      <c r="FH68" s="972">
        <f>CK68</f>
      </c>
      <c r="FI68" s="972">
        <f>CO68</f>
      </c>
      <c r="FJ68" s="972">
        <f>CS68</f>
      </c>
      <c r="FK68" s="972">
        <f>CW68</f>
      </c>
      <c r="FL68" s="972">
        <f>DA68</f>
      </c>
      <c r="FM68" s="972">
        <f>DE68</f>
      </c>
      <c r="FN68" s="972">
        <f>DI68</f>
      </c>
      <c r="FO68" s="972">
        <f>DM68</f>
      </c>
      <c r="FP68" s="972">
        <f>DQ68</f>
      </c>
      <c r="FQ68" s="972">
        <f>DU68</f>
      </c>
      <c r="FR68" s="972">
        <f>DY68</f>
      </c>
      <c r="FS68" s="972">
        <f>EC68</f>
      </c>
      <c r="FT68" s="972">
        <f>EG68</f>
      </c>
      <c r="FU68" s="972">
        <f>EK68</f>
      </c>
      <c r="GP68" s="970">
        <f>+CD68</f>
      </c>
      <c r="GQ68" s="970">
        <f>+CH68</f>
      </c>
      <c r="GR68" s="970">
        <f>CL68</f>
      </c>
      <c r="GS68" s="970">
        <f>CP68</f>
      </c>
      <c r="GT68" s="970">
        <f>CT68</f>
      </c>
      <c r="GU68" s="970">
        <f>CX68</f>
      </c>
      <c r="GV68" s="970">
        <f>DB68</f>
      </c>
      <c r="GW68" s="970">
        <f>DF68</f>
      </c>
      <c r="GX68" s="970">
        <f>DJ68</f>
      </c>
      <c r="GY68" s="970">
        <f>DN68</f>
      </c>
      <c r="GZ68" s="970">
        <f>DR68</f>
      </c>
      <c r="HA68" s="970">
        <f t="shared" si="417"/>
      </c>
      <c r="HB68" s="970">
        <f>DZ68</f>
      </c>
      <c r="HC68" s="970">
        <f t="shared" si="417"/>
      </c>
      <c r="HD68" s="970">
        <f>EH68</f>
      </c>
    </row>
    <row r="69" spans="1:212" s="89" customFormat="1" ht="10.199999999999999">
      <c r="A69" s="910" t="s">
        <v>1488</v>
      </c>
      <c r="B69" s="137"/>
      <c r="C69" s="137"/>
      <c r="D69" s="137"/>
      <c r="E69" s="860"/>
      <c r="F69" s="137"/>
      <c r="G69" s="137"/>
      <c r="H69" s="137"/>
      <c r="I69" s="860"/>
      <c r="J69" s="137"/>
      <c r="K69" s="137"/>
      <c r="L69" s="137"/>
      <c r="M69" s="860"/>
      <c r="N69" s="137"/>
      <c r="O69" s="137"/>
      <c r="P69" s="137"/>
      <c r="Q69" s="860"/>
      <c r="R69" s="137"/>
      <c r="S69" s="137"/>
      <c r="T69" s="137"/>
      <c r="U69" s="860"/>
      <c r="V69" s="137"/>
      <c r="W69" s="137"/>
      <c r="X69" s="137"/>
      <c r="Y69" s="860"/>
      <c r="Z69" s="137"/>
      <c r="AA69" s="137"/>
      <c r="AB69" s="137"/>
      <c r="AC69" s="860"/>
      <c r="AD69" s="137"/>
      <c r="AE69" s="137"/>
      <c r="AF69" s="137"/>
      <c r="AG69" s="232"/>
      <c r="AH69" s="71"/>
      <c r="AI69" s="71"/>
      <c r="AJ69" s="71"/>
      <c r="AK69" s="232"/>
      <c r="AL69" s="71"/>
      <c r="AM69" s="71"/>
      <c r="AN69" s="71"/>
      <c r="AO69" s="232"/>
      <c r="AP69" s="71"/>
      <c r="AQ69" s="71"/>
      <c r="AR69" s="71"/>
      <c r="AS69" s="232"/>
      <c r="AT69" s="71"/>
      <c r="AU69" s="71"/>
      <c r="AV69" s="71"/>
      <c r="AW69" s="232"/>
      <c r="AX69" s="71"/>
      <c r="AY69" s="71"/>
      <c r="AZ69" s="71"/>
      <c r="BA69" s="232"/>
      <c r="BB69" s="71"/>
      <c r="BC69" s="71"/>
      <c r="BD69" s="71"/>
      <c r="BE69" s="232"/>
      <c r="BF69" s="71"/>
      <c r="BG69" s="71"/>
      <c r="BH69" s="71"/>
      <c r="BI69" s="232"/>
      <c r="BJ69" s="77"/>
      <c r="BK69" s="77"/>
      <c r="BL69" s="77"/>
      <c r="BM69" s="192"/>
      <c r="BN69" s="77"/>
      <c r="BO69" s="77"/>
      <c r="BP69" s="77"/>
      <c r="BQ69" s="192"/>
      <c r="BR69" s="77"/>
      <c r="BS69" s="77"/>
      <c r="BT69" s="77"/>
      <c r="BU69" s="192"/>
      <c r="BV69" s="77"/>
      <c r="BW69" s="77"/>
      <c r="BX69" s="77"/>
      <c r="BY69" s="192"/>
      <c r="BZ69" s="77"/>
      <c r="CA69" s="77"/>
      <c r="CB69" s="77"/>
      <c r="CC69" s="192"/>
      <c r="CD69" s="77"/>
      <c r="CE69" s="77"/>
      <c r="CF69" s="77"/>
      <c r="CG69" s="192"/>
      <c r="CH69" s="77"/>
      <c r="CI69" s="77"/>
      <c r="CJ69" s="85">
        <f t="shared" ref="CJ69:DF69" si="420">CJ68-CI68</f>
      </c>
      <c r="CK69" s="176">
        <f t="shared" si="420"/>
      </c>
      <c r="CL69" s="85">
        <f t="shared" si="420"/>
      </c>
      <c r="CM69" s="85">
        <f t="shared" si="420"/>
      </c>
      <c r="CN69" s="85">
        <f t="shared" si="420"/>
      </c>
      <c r="CO69" s="176">
        <f t="shared" si="420"/>
      </c>
      <c r="CP69" s="85">
        <f t="shared" si="420"/>
      </c>
      <c r="CQ69" s="85">
        <f t="shared" si="420"/>
      </c>
      <c r="CR69" s="85">
        <f t="shared" si="420"/>
      </c>
      <c r="CS69" s="176">
        <f t="shared" si="420"/>
      </c>
      <c r="CT69" s="85">
        <f t="shared" si="420"/>
      </c>
      <c r="CU69" s="85">
        <f t="shared" si="420"/>
      </c>
      <c r="CV69" s="85">
        <f t="shared" si="420"/>
      </c>
      <c r="CW69" s="176">
        <f t="shared" si="420"/>
      </c>
      <c r="CX69" s="85">
        <f t="shared" si="420"/>
      </c>
      <c r="CY69" s="85">
        <f t="shared" si="420"/>
      </c>
      <c r="CZ69" s="85">
        <f t="shared" si="420"/>
      </c>
      <c r="DA69" s="176">
        <f t="shared" si="420"/>
      </c>
      <c r="DB69" s="85">
        <f t="shared" si="420"/>
      </c>
      <c r="DC69" s="85">
        <f t="shared" si="420"/>
      </c>
      <c r="DD69" s="85">
        <f t="shared" si="420"/>
      </c>
      <c r="DE69" s="176">
        <f t="shared" ref="DE69:DU69" si="421">DE68-DD68</f>
      </c>
      <c r="DF69" s="85">
        <f t="shared" si="420"/>
      </c>
      <c r="DG69" s="85">
        <f t="shared" si="421"/>
      </c>
      <c r="DH69" s="85">
        <f t="shared" si="421"/>
      </c>
      <c r="DI69" s="176">
        <f t="shared" si="421"/>
      </c>
      <c r="DJ69" s="85">
        <f t="shared" si="421"/>
      </c>
      <c r="DK69" s="85">
        <f t="shared" si="421"/>
      </c>
      <c r="DL69" s="85">
        <f t="shared" si="421"/>
      </c>
      <c r="DM69" s="176">
        <f t="shared" si="421"/>
      </c>
      <c r="DN69" s="85">
        <f t="shared" si="421"/>
      </c>
      <c r="DO69" s="85">
        <f t="shared" si="421"/>
      </c>
      <c r="DP69" s="85">
        <f t="shared" si="421"/>
      </c>
      <c r="DQ69" s="176">
        <f t="shared" si="421"/>
      </c>
      <c r="DR69" s="85">
        <f t="shared" si="421"/>
      </c>
      <c r="DS69" s="85">
        <f t="shared" si="421"/>
      </c>
      <c r="DT69" s="85">
        <f t="shared" si="421"/>
      </c>
      <c r="DU69" s="176">
        <f t="shared" si="421"/>
      </c>
      <c r="DV69" s="85">
        <f t="shared" ref="DV69" si="422">DV68-DU68</f>
      </c>
      <c r="DW69" s="85">
        <f t="shared" ref="DW69" si="423">DW68-DV68</f>
      </c>
      <c r="DX69" s="85">
        <f t="shared" ref="DX69" si="424">DX68-DW68</f>
      </c>
      <c r="DY69" s="176">
        <f t="shared" ref="DY69" si="425">DY68-DX68</f>
      </c>
      <c r="DZ69" s="85">
        <f t="shared" ref="DZ69" si="426">DZ68-DY68</f>
      </c>
      <c r="EA69" s="85">
        <f t="shared" ref="EA69" si="427">EA68-DZ68</f>
      </c>
      <c r="EB69" s="85">
        <f t="shared" ref="EB69" si="428">EB68-EA68</f>
      </c>
      <c r="EC69" s="176">
        <f t="shared" ref="EC69" si="429">EC68-EB68</f>
      </c>
      <c r="ED69" s="85">
        <f t="shared" ref="ED69" si="430">ED68-EC68</f>
      </c>
      <c r="EE69" s="85">
        <f t="shared" ref="EE69" si="431">EE68-ED68</f>
      </c>
      <c r="EF69" s="85">
        <f t="shared" ref="EF69" si="432">EF68-EE68</f>
      </c>
      <c r="EG69" s="176">
        <f t="shared" ref="EG69" si="433">EG68-EF68</f>
      </c>
      <c r="EH69" s="85">
        <f t="shared" ref="EH69" si="434">EH68-EG68</f>
      </c>
      <c r="EI69" s="85">
        <f t="shared" ref="EI69" si="435">EI68-EH68</f>
      </c>
      <c r="EJ69" s="85">
        <f t="shared" ref="EJ69" si="436">EJ68-EI68</f>
      </c>
      <c r="EK69" s="176">
        <f t="shared" ref="EK69" si="437">EK68-EJ68</f>
      </c>
      <c r="FB69" s="62"/>
      <c r="FC69" s="62"/>
      <c r="FD69" s="62"/>
      <c r="FE69" s="2261"/>
      <c r="FF69" s="2261"/>
      <c r="FG69" s="2261"/>
      <c r="FH69" s="2261">
        <f t="shared" ref="FH69" si="438">SUM(CH69:CK69)</f>
      </c>
      <c r="FI69" s="997">
        <f t="shared" ref="FI69" si="439">SUM(CL69:CO69)</f>
      </c>
      <c r="FJ69" s="997">
        <f t="shared" ref="FJ69" si="440">SUM(CP69:CS69)</f>
      </c>
      <c r="FK69" s="997">
        <f t="shared" ref="FK69" si="441">SUM(CT69:CW69)</f>
      </c>
      <c r="FL69" s="997">
        <f t="shared" ref="FL69" si="442">SUM(CX69:DA69)</f>
      </c>
      <c r="FM69" s="997">
        <f t="shared" ref="FM69" si="443">SUM(DB69:DE69)</f>
      </c>
      <c r="FN69" s="997">
        <f t="shared" ref="FN69" si="444">SUM(DF69:DI69)</f>
      </c>
      <c r="FO69" s="997">
        <f t="shared" ref="FO69" si="445">SUM(DJ69:DM69)</f>
      </c>
      <c r="FP69" s="997">
        <f>SUM(DN69:DQ69)</f>
      </c>
      <c r="FQ69" s="997">
        <f>SUM(DR69:DU69)</f>
      </c>
      <c r="FR69" s="997">
        <f>SUM(DV69:DY69)</f>
      </c>
      <c r="FS69" s="997">
        <f>SUM(DZ69:EC69)</f>
      </c>
      <c r="FT69" s="997">
        <f>SUM(ED69:EG69)</f>
      </c>
      <c r="FU69" s="997">
        <f>SUM(EH69:EK69)</f>
      </c>
      <c r="GL69" s="62"/>
      <c r="GM69" s="62"/>
      <c r="GN69" s="62"/>
      <c r="GO69" s="62"/>
      <c r="GP69" s="62"/>
      <c r="GQ69" s="62"/>
      <c r="GR69" s="62"/>
      <c r="GS69" s="62">
        <f t="shared" ref="GS69:GY69" si="446">GS68-GR68</f>
      </c>
      <c r="GT69" s="62">
        <f t="shared" si="446"/>
      </c>
      <c r="GU69" s="62">
        <f t="shared" si="446"/>
      </c>
      <c r="GV69" s="62">
        <f t="shared" si="446"/>
      </c>
      <c r="GW69" s="62">
        <f t="shared" si="446"/>
      </c>
      <c r="GX69" s="62">
        <f t="shared" si="446"/>
      </c>
      <c r="GY69" s="62">
        <f t="shared" si="446"/>
      </c>
      <c r="GZ69" s="62">
        <f>GZ68-GY68</f>
      </c>
      <c r="HA69" s="62">
        <f t="shared" ref="HA69:HD69" si="447">HA68-GZ68</f>
      </c>
      <c r="HB69" s="62">
        <f t="shared" si="447"/>
      </c>
      <c r="HC69" s="62">
        <f t="shared" si="447"/>
      </c>
      <c r="HD69" s="62">
        <f t="shared" si="447"/>
      </c>
    </row>
    <row r="70" spans="1:212" s="89" customFormat="1" ht="10.199999999999999">
      <c r="A70" s="910"/>
      <c r="B70" s="137"/>
      <c r="C70" s="137"/>
      <c r="D70" s="137"/>
      <c r="E70" s="860"/>
      <c r="F70" s="137"/>
      <c r="G70" s="137"/>
      <c r="H70" s="137"/>
      <c r="I70" s="860"/>
      <c r="J70" s="137"/>
      <c r="K70" s="137"/>
      <c r="L70" s="137"/>
      <c r="M70" s="860"/>
      <c r="N70" s="137"/>
      <c r="O70" s="137"/>
      <c r="P70" s="137"/>
      <c r="Q70" s="860"/>
      <c r="R70" s="137"/>
      <c r="S70" s="137"/>
      <c r="T70" s="137"/>
      <c r="U70" s="860"/>
      <c r="V70" s="137"/>
      <c r="W70" s="137"/>
      <c r="X70" s="137"/>
      <c r="Y70" s="860"/>
      <c r="Z70" s="137"/>
      <c r="AA70" s="137"/>
      <c r="AB70" s="137"/>
      <c r="AC70" s="860"/>
      <c r="AD70" s="137"/>
      <c r="AE70" s="137"/>
      <c r="AF70" s="137"/>
      <c r="AG70" s="232"/>
      <c r="AH70" s="71"/>
      <c r="AI70" s="71"/>
      <c r="AJ70" s="71"/>
      <c r="AK70" s="232"/>
      <c r="AL70" s="71"/>
      <c r="AM70" s="71"/>
      <c r="AN70" s="71"/>
      <c r="AO70" s="232"/>
      <c r="AP70" s="71"/>
      <c r="AQ70" s="71"/>
      <c r="AR70" s="71"/>
      <c r="AS70" s="232"/>
      <c r="AT70" s="71"/>
      <c r="AU70" s="71"/>
      <c r="AV70" s="71"/>
      <c r="AW70" s="232"/>
      <c r="AX70" s="71"/>
      <c r="AY70" s="71"/>
      <c r="AZ70" s="71"/>
      <c r="BA70" s="232"/>
      <c r="BB70" s="71"/>
      <c r="BC70" s="71"/>
      <c r="BD70" s="71"/>
      <c r="BE70" s="232"/>
      <c r="BF70" s="71"/>
      <c r="BG70" s="71"/>
      <c r="BH70" s="71"/>
      <c r="BI70" s="232"/>
      <c r="BJ70" s="77"/>
      <c r="BK70" s="77"/>
      <c r="BL70" s="77"/>
      <c r="BM70" s="192"/>
      <c r="BN70" s="77"/>
      <c r="BO70" s="77"/>
      <c r="BP70" s="77"/>
      <c r="BQ70" s="192"/>
      <c r="BR70" s="77"/>
      <c r="BS70" s="77"/>
      <c r="BT70" s="77"/>
      <c r="BU70" s="192"/>
      <c r="BV70" s="77"/>
      <c r="BW70" s="77"/>
      <c r="BX70" s="77"/>
      <c r="BY70" s="192"/>
      <c r="BZ70" s="77"/>
      <c r="CA70" s="77"/>
      <c r="CB70" s="77"/>
      <c r="CC70" s="192"/>
      <c r="CD70" s="77"/>
      <c r="CE70" s="77"/>
      <c r="CF70" s="77"/>
      <c r="CG70" s="192"/>
      <c r="CH70" s="77"/>
      <c r="CI70" s="77"/>
      <c r="CJ70" s="85"/>
      <c r="CK70" s="176"/>
      <c r="CL70" s="85"/>
      <c r="CM70" s="85"/>
      <c r="CN70" s="85"/>
      <c r="CO70" s="176"/>
      <c r="CP70" s="85"/>
      <c r="CQ70" s="85"/>
      <c r="CR70" s="85"/>
      <c r="CS70" s="176"/>
      <c r="CT70" s="85"/>
      <c r="CU70" s="2076"/>
      <c r="CV70" s="85"/>
      <c r="CW70" s="176"/>
      <c r="CX70" s="85"/>
      <c r="CY70" s="85"/>
      <c r="CZ70" s="85"/>
      <c r="DA70" s="176"/>
      <c r="DB70" s="85"/>
      <c r="DC70" s="85"/>
      <c r="DD70" s="85"/>
      <c r="DE70" s="176"/>
      <c r="DF70" s="85"/>
      <c r="DG70" s="85"/>
      <c r="DH70" s="85"/>
      <c r="DI70" s="176"/>
      <c r="DJ70" s="85"/>
      <c r="DK70" s="2076"/>
      <c r="DL70" s="85"/>
      <c r="DM70" s="176"/>
      <c r="DN70" s="85"/>
      <c r="DO70" s="85"/>
      <c r="DP70" s="85"/>
      <c r="DQ70" s="176"/>
      <c r="DR70" s="85"/>
      <c r="DS70" s="85"/>
      <c r="DT70" s="85"/>
      <c r="DU70" s="176"/>
      <c r="DV70" s="85"/>
      <c r="DW70" s="85"/>
      <c r="DX70" s="85"/>
      <c r="DY70" s="176"/>
      <c r="DZ70" s="85"/>
      <c r="EA70" s="85"/>
      <c r="EB70" s="85"/>
      <c r="EC70" s="176"/>
      <c r="ED70" s="85"/>
      <c r="EE70" s="85"/>
      <c r="EF70" s="85"/>
      <c r="EG70" s="176"/>
      <c r="EH70" s="85"/>
      <c r="EI70" s="85"/>
      <c r="EJ70" s="85"/>
      <c r="EK70" s="176"/>
      <c r="FB70" s="62"/>
      <c r="FC70" s="62"/>
      <c r="FD70" s="62"/>
      <c r="FE70" s="62"/>
      <c r="FF70" s="88"/>
      <c r="FG70" s="88"/>
      <c r="FH70" s="88"/>
      <c r="FI70" s="88"/>
      <c r="FJ70" s="88"/>
      <c r="FK70" s="88"/>
      <c r="FL70" s="88"/>
      <c r="FM70" s="88"/>
      <c r="FN70" s="88"/>
      <c r="FO70" s="88"/>
      <c r="FP70" s="88"/>
      <c r="FQ70" s="88"/>
      <c r="FR70" s="88"/>
      <c r="FS70" s="88"/>
      <c r="FT70" s="88"/>
      <c r="FU70" s="88"/>
      <c r="GL70" s="62"/>
      <c r="GM70" s="62"/>
      <c r="GN70" s="62"/>
      <c r="GO70" s="62"/>
      <c r="GP70" s="62"/>
      <c r="GQ70" s="62"/>
      <c r="GR70" s="62"/>
      <c r="GS70" s="62"/>
      <c r="GT70" s="62"/>
      <c r="GU70" s="62"/>
      <c r="GV70" s="62"/>
      <c r="GW70" s="62"/>
      <c r="GX70" s="62"/>
      <c r="GY70" s="62"/>
      <c r="GZ70" s="62"/>
      <c r="HA70" s="62"/>
      <c r="HB70" s="62"/>
      <c r="HC70" s="62"/>
      <c r="HD70" s="62"/>
    </row>
    <row r="71" spans="1:212" s="89" customFormat="1" ht="10.199999999999999">
      <c r="A71" s="152" t="s">
        <v>1498</v>
      </c>
      <c r="B71" s="137"/>
      <c r="C71" s="137"/>
      <c r="D71" s="137"/>
      <c r="E71" s="860"/>
      <c r="F71" s="137"/>
      <c r="G71" s="137"/>
      <c r="H71" s="137"/>
      <c r="I71" s="860"/>
      <c r="J71" s="137"/>
      <c r="K71" s="137"/>
      <c r="L71" s="137"/>
      <c r="M71" s="860"/>
      <c r="N71" s="137"/>
      <c r="O71" s="137"/>
      <c r="P71" s="137"/>
      <c r="Q71" s="860"/>
      <c r="R71" s="137"/>
      <c r="S71" s="137"/>
      <c r="T71" s="137"/>
      <c r="U71" s="860"/>
      <c r="V71" s="137"/>
      <c r="W71" s="137"/>
      <c r="X71" s="137"/>
      <c r="Y71" s="860"/>
      <c r="Z71" s="137"/>
      <c r="AA71" s="137"/>
      <c r="AB71" s="137"/>
      <c r="AC71" s="860"/>
      <c r="AD71" s="137"/>
      <c r="AE71" s="137"/>
      <c r="AF71" s="137"/>
      <c r="AG71" s="232"/>
      <c r="AH71" s="71"/>
      <c r="AI71" s="71"/>
      <c r="AJ71" s="71"/>
      <c r="AK71" s="232"/>
      <c r="AL71" s="71"/>
      <c r="AM71" s="71"/>
      <c r="AN71" s="71"/>
      <c r="AO71" s="232"/>
      <c r="AP71" s="71"/>
      <c r="AQ71" s="71"/>
      <c r="AR71" s="71"/>
      <c r="AS71" s="232"/>
      <c r="AT71" s="71"/>
      <c r="AU71" s="71"/>
      <c r="AV71" s="71"/>
      <c r="AW71" s="232"/>
      <c r="AX71" s="71"/>
      <c r="AY71" s="71"/>
      <c r="AZ71" s="71"/>
      <c r="BA71" s="232"/>
      <c r="BB71" s="71"/>
      <c r="BC71" s="71"/>
      <c r="BD71" s="71"/>
      <c r="BE71" s="232"/>
      <c r="BF71" s="71"/>
      <c r="BG71" s="71"/>
      <c r="BH71" s="71"/>
      <c r="BI71" s="232"/>
      <c r="BJ71" s="77"/>
      <c r="BK71" s="77"/>
      <c r="BL71" s="77"/>
      <c r="BM71" s="192"/>
      <c r="BN71" s="77"/>
      <c r="BO71" s="77"/>
      <c r="BP71" s="77"/>
      <c r="BQ71" s="192"/>
      <c r="BR71" s="77"/>
      <c r="BS71" s="77"/>
      <c r="BT71" s="77"/>
      <c r="BU71" s="192"/>
      <c r="BV71" s="77"/>
      <c r="BW71" s="77"/>
      <c r="BX71" s="77"/>
      <c r="BY71" s="192"/>
      <c r="BZ71" s="77"/>
      <c r="CA71" s="77"/>
      <c r="CB71" s="77"/>
      <c r="CC71" s="192"/>
      <c r="CD71" s="77"/>
      <c r="CE71" s="77"/>
      <c r="CF71" s="77"/>
      <c r="CG71" s="192"/>
      <c r="CH71" s="77"/>
      <c r="CI71" s="85">
        <f>CI68-CI90-CI113-CI143-CI137-CI131-CI125-CI119</f>
      </c>
      <c r="CJ71" s="85">
        <f t="shared" ref="CJ71:DE71" si="448">CJ68-CJ90-CJ113-CJ143-CJ137-CJ131-CJ125-CJ119</f>
      </c>
      <c r="CK71" s="176">
        <f t="shared" si="448"/>
      </c>
      <c r="CL71" s="85">
        <f t="shared" si="448"/>
      </c>
      <c r="CM71" s="85">
        <f t="shared" si="448"/>
      </c>
      <c r="CN71" s="85">
        <f t="shared" si="448"/>
      </c>
      <c r="CO71" s="176">
        <f t="shared" si="448"/>
      </c>
      <c r="CP71" s="85">
        <f t="shared" si="448"/>
      </c>
      <c r="CQ71" s="85">
        <f t="shared" si="448"/>
      </c>
      <c r="CR71" s="85">
        <f t="shared" si="448"/>
      </c>
      <c r="CS71" s="176">
        <f t="shared" si="448"/>
      </c>
      <c r="CT71" s="85">
        <f t="shared" si="448"/>
      </c>
      <c r="CU71" s="85">
        <f t="shared" si="448"/>
      </c>
      <c r="CV71" s="85">
        <f t="shared" si="448"/>
      </c>
      <c r="CW71" s="176">
        <f t="shared" si="448"/>
      </c>
      <c r="CX71" s="85">
        <f t="shared" si="448"/>
      </c>
      <c r="CY71" s="85">
        <f t="shared" si="448"/>
      </c>
      <c r="CZ71" s="85">
        <f t="shared" si="448"/>
      </c>
      <c r="DA71" s="176">
        <f t="shared" si="448"/>
      </c>
      <c r="DB71" s="316">
        <f t="shared" si="448"/>
      </c>
      <c r="DC71" s="316">
        <f t="shared" si="448"/>
      </c>
      <c r="DD71" s="316">
        <f t="shared" si="448"/>
      </c>
      <c r="DE71" s="317">
        <f t="shared" si="448"/>
      </c>
      <c r="DF71" s="316">
        <f t="shared" ref="DF71:DG71" si="449">DF68-DF90-DF113-DF143-DF137-DF131-DF125-DF119</f>
      </c>
      <c r="DG71" s="316">
        <f t="shared" si="449"/>
      </c>
      <c r="DH71" s="316">
        <f t="shared" ref="DH71" si="450">DH68-DH90-DH113-DH143-DH137-DH131-DH125-DH119</f>
      </c>
      <c r="DI71" s="176">
        <f t="shared" ref="DI71:DU71" si="451">DH71+DI72</f>
      </c>
      <c r="DJ71" s="85">
        <f t="shared" si="451"/>
      </c>
      <c r="DK71" s="85">
        <f t="shared" si="451"/>
      </c>
      <c r="DL71" s="85">
        <f t="shared" si="451"/>
      </c>
      <c r="DM71" s="176">
        <f t="shared" si="451"/>
      </c>
      <c r="DN71" s="85">
        <f t="shared" si="451"/>
      </c>
      <c r="DO71" s="85">
        <f t="shared" si="451"/>
      </c>
      <c r="DP71" s="85">
        <f t="shared" si="451"/>
      </c>
      <c r="DQ71" s="176">
        <f t="shared" si="451"/>
      </c>
      <c r="DR71" s="85">
        <f t="shared" si="451"/>
      </c>
      <c r="DS71" s="85">
        <f t="shared" si="451"/>
      </c>
      <c r="DT71" s="85">
        <f t="shared" si="451"/>
      </c>
      <c r="DU71" s="176">
        <f t="shared" si="451"/>
      </c>
      <c r="DV71" s="85">
        <f t="shared" ref="DV71" si="452">DU71+DV72</f>
      </c>
      <c r="DW71" s="85">
        <f t="shared" ref="DW71" si="453">DV71+DW72</f>
      </c>
      <c r="DX71" s="85">
        <f t="shared" ref="DX71" si="454">DW71+DX72</f>
      </c>
      <c r="DY71" s="176">
        <f t="shared" ref="DY71" si="455">DX71+DY72</f>
      </c>
      <c r="DZ71" s="85">
        <f t="shared" ref="DZ71" si="456">DY71+DZ72</f>
      </c>
      <c r="EA71" s="85">
        <f t="shared" ref="EA71" si="457">DZ71+EA72</f>
      </c>
      <c r="EB71" s="85">
        <f t="shared" ref="EB71" si="458">EA71+EB72</f>
      </c>
      <c r="EC71" s="176">
        <f t="shared" ref="EC71" si="459">EB71+EC72</f>
      </c>
      <c r="ED71" s="85">
        <f t="shared" ref="ED71" si="460">EC71+ED72</f>
      </c>
      <c r="EE71" s="85">
        <f t="shared" ref="EE71" si="461">ED71+EE72</f>
      </c>
      <c r="EF71" s="85">
        <f t="shared" ref="EF71" si="462">EE71+EF72</f>
      </c>
      <c r="EG71" s="176">
        <f t="shared" ref="EG71" si="463">EF71+EG72</f>
      </c>
      <c r="EH71" s="85">
        <f t="shared" ref="EH71" si="464">EG71+EH72</f>
      </c>
      <c r="EI71" s="85">
        <f t="shared" ref="EI71" si="465">EH71+EI72</f>
      </c>
      <c r="EJ71" s="85">
        <f t="shared" ref="EJ71" si="466">EI71+EJ72</f>
      </c>
      <c r="EK71" s="176">
        <f t="shared" ref="EK71" si="467">EJ71+EK72</f>
      </c>
      <c r="FB71" s="62"/>
      <c r="FC71" s="62"/>
      <c r="FD71" s="62"/>
      <c r="FE71" s="62"/>
      <c r="FF71" s="88"/>
      <c r="FG71" s="972"/>
      <c r="FH71" s="972">
        <f>CK71</f>
      </c>
      <c r="FI71" s="972">
        <f>CO71</f>
      </c>
      <c r="FJ71" s="972">
        <f>CS71</f>
      </c>
      <c r="FK71" s="972">
        <f>CW71</f>
      </c>
      <c r="FL71" s="972">
        <f>DA71</f>
      </c>
      <c r="FM71" s="972">
        <f>DE71</f>
      </c>
      <c r="FN71" s="972">
        <f>DI71</f>
      </c>
      <c r="FO71" s="972">
        <f>DM71</f>
      </c>
      <c r="FP71" s="972">
        <f>DQ71</f>
      </c>
      <c r="FQ71" s="972">
        <f>DU71</f>
      </c>
      <c r="FR71" s="972">
        <f>DY71</f>
      </c>
      <c r="FS71" s="972">
        <f>EC71</f>
      </c>
      <c r="FT71" s="972">
        <f>EG71</f>
      </c>
      <c r="FU71" s="972">
        <f>EK71</f>
      </c>
      <c r="GL71" s="62"/>
      <c r="GM71" s="62"/>
      <c r="GN71" s="62"/>
      <c r="GO71" s="62"/>
      <c r="GP71" s="970">
        <f>+CD71</f>
      </c>
      <c r="GQ71" s="970">
        <f>+CH71</f>
      </c>
      <c r="GR71" s="970">
        <f>CL71</f>
      </c>
      <c r="GS71" s="970">
        <f>CP71</f>
      </c>
      <c r="GT71" s="970">
        <f>CT71</f>
      </c>
      <c r="GU71" s="970">
        <f>CX71</f>
      </c>
      <c r="GV71" s="970">
        <f>DB71</f>
      </c>
      <c r="GW71" s="970">
        <f>DF71</f>
      </c>
      <c r="GX71" s="970">
        <f>DJ71</f>
      </c>
      <c r="GY71" s="970">
        <f>DN71</f>
      </c>
      <c r="GZ71" s="970">
        <f>DR71</f>
      </c>
      <c r="HA71" s="970">
        <f t="shared" ref="HA71:HC71" si="468">DS71</f>
      </c>
      <c r="HB71" s="970">
        <f>DZ71</f>
      </c>
      <c r="HC71" s="970">
        <f t="shared" si="468"/>
      </c>
      <c r="HD71" s="970">
        <f>EH71</f>
      </c>
    </row>
    <row r="72" spans="1:212" s="89" customFormat="1" ht="10.199999999999999">
      <c r="A72" s="910" t="s">
        <v>1489</v>
      </c>
      <c r="B72" s="137"/>
      <c r="C72" s="137"/>
      <c r="D72" s="137"/>
      <c r="E72" s="860"/>
      <c r="F72" s="137"/>
      <c r="G72" s="137"/>
      <c r="H72" s="137"/>
      <c r="I72" s="860"/>
      <c r="J72" s="137"/>
      <c r="K72" s="137"/>
      <c r="L72" s="137"/>
      <c r="M72" s="860"/>
      <c r="N72" s="137"/>
      <c r="O72" s="137"/>
      <c r="P72" s="137"/>
      <c r="Q72" s="860"/>
      <c r="R72" s="137"/>
      <c r="S72" s="137"/>
      <c r="T72" s="137"/>
      <c r="U72" s="860"/>
      <c r="V72" s="137"/>
      <c r="W72" s="137"/>
      <c r="X72" s="137"/>
      <c r="Y72" s="860"/>
      <c r="Z72" s="137"/>
      <c r="AA72" s="137"/>
      <c r="AB72" s="137"/>
      <c r="AC72" s="860"/>
      <c r="AD72" s="137"/>
      <c r="AE72" s="137"/>
      <c r="AF72" s="137"/>
      <c r="AG72" s="232"/>
      <c r="AH72" s="71"/>
      <c r="AI72" s="71"/>
      <c r="AJ72" s="71"/>
      <c r="AK72" s="232"/>
      <c r="AL72" s="71"/>
      <c r="AM72" s="71"/>
      <c r="AN72" s="71"/>
      <c r="AO72" s="232"/>
      <c r="AP72" s="71"/>
      <c r="AQ72" s="71"/>
      <c r="AR72" s="71"/>
      <c r="AS72" s="232"/>
      <c r="AT72" s="71"/>
      <c r="AU72" s="71"/>
      <c r="AV72" s="71"/>
      <c r="AW72" s="232"/>
      <c r="AX72" s="71"/>
      <c r="AY72" s="71"/>
      <c r="AZ72" s="71"/>
      <c r="BA72" s="232"/>
      <c r="BB72" s="71"/>
      <c r="BC72" s="71"/>
      <c r="BD72" s="71"/>
      <c r="BE72" s="232"/>
      <c r="BF72" s="71"/>
      <c r="BG72" s="71"/>
      <c r="BH72" s="71"/>
      <c r="BI72" s="232"/>
      <c r="BJ72" s="77"/>
      <c r="BK72" s="77"/>
      <c r="BL72" s="77"/>
      <c r="BM72" s="192"/>
      <c r="BN72" s="77"/>
      <c r="BO72" s="77"/>
      <c r="BP72" s="77"/>
      <c r="BQ72" s="192"/>
      <c r="BR72" s="77"/>
      <c r="BS72" s="77"/>
      <c r="BT72" s="77"/>
      <c r="BU72" s="192"/>
      <c r="BV72" s="77"/>
      <c r="BW72" s="77"/>
      <c r="BX72" s="77"/>
      <c r="BY72" s="192"/>
      <c r="BZ72" s="77"/>
      <c r="CA72" s="77"/>
      <c r="CB72" s="77"/>
      <c r="CC72" s="192"/>
      <c r="CD72" s="77"/>
      <c r="CE72" s="77"/>
      <c r="CF72" s="77"/>
      <c r="CG72" s="192"/>
      <c r="CH72" s="77"/>
      <c r="CI72" s="85"/>
      <c r="CJ72" s="85">
        <f t="shared" ref="CJ72:DH72" si="469">CJ71-CI71</f>
      </c>
      <c r="CK72" s="176">
        <f t="shared" si="469"/>
      </c>
      <c r="CL72" s="85">
        <f t="shared" si="469"/>
      </c>
      <c r="CM72" s="85">
        <f t="shared" si="469"/>
      </c>
      <c r="CN72" s="85">
        <f t="shared" si="469"/>
      </c>
      <c r="CO72" s="176">
        <f t="shared" si="469"/>
      </c>
      <c r="CP72" s="85">
        <f t="shared" si="469"/>
      </c>
      <c r="CQ72" s="85">
        <f t="shared" si="469"/>
      </c>
      <c r="CR72" s="85">
        <f t="shared" si="469"/>
      </c>
      <c r="CS72" s="176">
        <f t="shared" si="469"/>
      </c>
      <c r="CT72" s="85">
        <f t="shared" si="469"/>
      </c>
      <c r="CU72" s="85">
        <f t="shared" si="469"/>
      </c>
      <c r="CV72" s="85">
        <f t="shared" si="469"/>
      </c>
      <c r="CW72" s="176">
        <f t="shared" si="469"/>
      </c>
      <c r="CX72" s="85">
        <f t="shared" si="469"/>
      </c>
      <c r="CY72" s="85">
        <f t="shared" si="469"/>
      </c>
      <c r="CZ72" s="85">
        <f t="shared" si="469"/>
      </c>
      <c r="DA72" s="176">
        <f t="shared" si="469"/>
      </c>
      <c r="DB72" s="85">
        <f t="shared" si="469"/>
      </c>
      <c r="DC72" s="85">
        <f t="shared" si="469"/>
      </c>
      <c r="DD72" s="85">
        <f t="shared" si="469"/>
      </c>
      <c r="DE72" s="176">
        <f>DE71-DD71</f>
      </c>
      <c r="DF72" s="85">
        <f t="shared" si="469"/>
      </c>
      <c r="DG72" s="85">
        <f t="shared" si="469"/>
      </c>
      <c r="DH72" s="85">
        <f t="shared" si="469"/>
      </c>
      <c r="DI72" s="689">
        <v>25</v>
      </c>
      <c r="DJ72" s="1184">
        <v>25</v>
      </c>
      <c r="DK72" s="1184">
        <v>25</v>
      </c>
      <c r="DL72" s="1184">
        <v>25</v>
      </c>
      <c r="DM72" s="689">
        <v>25</v>
      </c>
      <c r="DN72" s="1184">
        <v>25</v>
      </c>
      <c r="DO72" s="1184">
        <v>25</v>
      </c>
      <c r="DP72" s="1184">
        <v>25</v>
      </c>
      <c r="DQ72" s="689">
        <v>25</v>
      </c>
      <c r="DR72" s="1184">
        <v>25</v>
      </c>
      <c r="DS72" s="1184">
        <v>25</v>
      </c>
      <c r="DT72" s="1184">
        <v>25</v>
      </c>
      <c r="DU72" s="689">
        <v>25</v>
      </c>
      <c r="DV72" s="1184">
        <v>25</v>
      </c>
      <c r="DW72" s="1184">
        <v>25</v>
      </c>
      <c r="DX72" s="1184">
        <v>25</v>
      </c>
      <c r="DY72" s="689">
        <v>25</v>
      </c>
      <c r="DZ72" s="1184">
        <v>25</v>
      </c>
      <c r="EA72" s="1184">
        <v>25</v>
      </c>
      <c r="EB72" s="1184">
        <v>25</v>
      </c>
      <c r="EC72" s="689">
        <v>25</v>
      </c>
      <c r="ED72" s="1184">
        <v>25</v>
      </c>
      <c r="EE72" s="1184">
        <v>25</v>
      </c>
      <c r="EF72" s="1184">
        <v>25</v>
      </c>
      <c r="EG72" s="689">
        <v>25</v>
      </c>
      <c r="EH72" s="1184">
        <v>25</v>
      </c>
      <c r="EI72" s="1184">
        <v>25</v>
      </c>
      <c r="EJ72" s="1184">
        <v>25</v>
      </c>
      <c r="EK72" s="689">
        <v>25</v>
      </c>
      <c r="FB72" s="62"/>
      <c r="FC72" s="62"/>
      <c r="FD72" s="62"/>
      <c r="FE72" s="2261"/>
      <c r="FF72" s="2261"/>
      <c r="FG72" s="2261"/>
      <c r="FH72" s="2261">
        <f t="shared" ref="FH72" si="470">SUM(CH72:CK72)</f>
      </c>
      <c r="FI72" s="997">
        <f t="shared" ref="FI72" si="471">SUM(CL72:CO72)</f>
      </c>
      <c r="FJ72" s="997">
        <f t="shared" ref="FJ72" si="472">SUM(CP72:CS72)</f>
      </c>
      <c r="FK72" s="997">
        <f t="shared" ref="FK72" si="473">SUM(CT72:CW72)</f>
      </c>
      <c r="FL72" s="997">
        <f t="shared" ref="FL72" si="474">SUM(CX72:DA72)</f>
      </c>
      <c r="FM72" s="997">
        <f t="shared" ref="FM72" si="475">SUM(DB72:DE72)</f>
      </c>
      <c r="FN72" s="997">
        <f t="shared" ref="FN72" si="476">SUM(DF72:DI72)</f>
      </c>
      <c r="FO72" s="997">
        <f t="shared" ref="FO72" si="477">SUM(DJ72:DM72)</f>
      </c>
      <c r="FP72" s="997">
        <f>SUM(DN72:DQ72)</f>
      </c>
      <c r="FQ72" s="997">
        <f>SUM(DR72:DU72)</f>
      </c>
      <c r="FR72" s="997">
        <f>SUM(DV72:DY72)</f>
      </c>
      <c r="FS72" s="997">
        <f>SUM(DZ72:EC72)</f>
      </c>
      <c r="FT72" s="997">
        <f>SUM(ED72:EG72)</f>
      </c>
      <c r="FU72" s="997">
        <f>SUM(EH72:EK72)</f>
      </c>
      <c r="GL72" s="62"/>
      <c r="GM72" s="62"/>
      <c r="GN72" s="62"/>
      <c r="GO72" s="62"/>
      <c r="GP72" s="62"/>
      <c r="GQ72" s="62"/>
      <c r="GR72" s="62"/>
      <c r="GS72" s="62">
        <f t="shared" ref="GS72" si="478">GS71-GR71</f>
      </c>
      <c r="GT72" s="62">
        <f t="shared" ref="GT72" si="479">GT71-GS71</f>
      </c>
      <c r="GU72" s="62">
        <f t="shared" ref="GU72" si="480">GU71-GT71</f>
      </c>
      <c r="GV72" s="62">
        <f t="shared" ref="GV72" si="481">GV71-GU71</f>
      </c>
      <c r="GW72" s="62">
        <f t="shared" ref="GW72" si="482">GW71-GV71</f>
      </c>
      <c r="GX72" s="62">
        <f t="shared" ref="GX72" si="483">GX71-GW71</f>
      </c>
      <c r="GY72" s="62">
        <f t="shared" ref="GY72" si="484">GY71-GX71</f>
      </c>
      <c r="GZ72" s="62">
        <f>GZ71-GY71</f>
      </c>
      <c r="HA72" s="62">
        <f t="shared" ref="HA72:HD72" si="485">HA71-GZ71</f>
      </c>
      <c r="HB72" s="62">
        <f t="shared" si="485"/>
      </c>
      <c r="HC72" s="62">
        <f t="shared" si="485"/>
      </c>
      <c r="HD72" s="62">
        <f t="shared" si="485"/>
      </c>
    </row>
    <row r="73" spans="1:212" s="89" customFormat="1" ht="10.199999999999999">
      <c r="A73" s="910"/>
      <c r="B73" s="137"/>
      <c r="C73" s="137"/>
      <c r="D73" s="137"/>
      <c r="E73" s="860"/>
      <c r="F73" s="137"/>
      <c r="G73" s="137"/>
      <c r="H73" s="137"/>
      <c r="I73" s="860"/>
      <c r="J73" s="137"/>
      <c r="K73" s="137"/>
      <c r="L73" s="137"/>
      <c r="M73" s="860"/>
      <c r="N73" s="137"/>
      <c r="O73" s="137"/>
      <c r="P73" s="137"/>
      <c r="Q73" s="860"/>
      <c r="R73" s="137"/>
      <c r="S73" s="137"/>
      <c r="T73" s="137"/>
      <c r="U73" s="860"/>
      <c r="V73" s="137"/>
      <c r="W73" s="137"/>
      <c r="X73" s="137"/>
      <c r="Y73" s="860"/>
      <c r="Z73" s="137"/>
      <c r="AA73" s="137"/>
      <c r="AB73" s="137"/>
      <c r="AC73" s="860"/>
      <c r="AD73" s="137"/>
      <c r="AE73" s="137"/>
      <c r="AF73" s="137"/>
      <c r="AG73" s="232"/>
      <c r="AH73" s="71"/>
      <c r="AI73" s="71"/>
      <c r="AJ73" s="71"/>
      <c r="AK73" s="232"/>
      <c r="AL73" s="71"/>
      <c r="AM73" s="71"/>
      <c r="AN73" s="71"/>
      <c r="AO73" s="232"/>
      <c r="AP73" s="71"/>
      <c r="AQ73" s="71"/>
      <c r="AR73" s="71"/>
      <c r="AS73" s="232"/>
      <c r="AT73" s="71"/>
      <c r="AU73" s="71"/>
      <c r="AV73" s="71"/>
      <c r="AW73" s="232"/>
      <c r="AX73" s="71"/>
      <c r="AY73" s="71"/>
      <c r="AZ73" s="71"/>
      <c r="BA73" s="232"/>
      <c r="BB73" s="71"/>
      <c r="BC73" s="71"/>
      <c r="BD73" s="71"/>
      <c r="BE73" s="232"/>
      <c r="BF73" s="71"/>
      <c r="BG73" s="71"/>
      <c r="BH73" s="71"/>
      <c r="BI73" s="232"/>
      <c r="BJ73" s="77"/>
      <c r="BK73" s="77"/>
      <c r="BL73" s="77"/>
      <c r="BM73" s="192"/>
      <c r="BN73" s="77"/>
      <c r="BO73" s="77"/>
      <c r="BP73" s="77"/>
      <c r="BQ73" s="192"/>
      <c r="BR73" s="77"/>
      <c r="BS73" s="77"/>
      <c r="BT73" s="77"/>
      <c r="BU73" s="192"/>
      <c r="BV73" s="77"/>
      <c r="BW73" s="77"/>
      <c r="BX73" s="77"/>
      <c r="BY73" s="192"/>
      <c r="BZ73" s="77"/>
      <c r="CA73" s="77"/>
      <c r="CB73" s="77"/>
      <c r="CC73" s="192"/>
      <c r="CD73" s="77"/>
      <c r="CE73" s="77"/>
      <c r="CF73" s="77"/>
      <c r="CG73" s="192"/>
      <c r="CH73" s="77"/>
      <c r="CI73" s="77"/>
      <c r="CJ73" s="77"/>
      <c r="CK73" s="192"/>
      <c r="CL73" s="77"/>
      <c r="CM73" s="77"/>
      <c r="CN73" s="85"/>
      <c r="CO73" s="176"/>
      <c r="CP73" s="85"/>
      <c r="CQ73" s="85"/>
      <c r="CR73" s="85"/>
      <c r="CS73" s="176"/>
      <c r="CT73" s="85"/>
      <c r="CU73" s="2076"/>
      <c r="CV73" s="85"/>
      <c r="CW73" s="176"/>
      <c r="CX73" s="85"/>
      <c r="CY73" s="85"/>
      <c r="CZ73" s="85"/>
      <c r="DA73" s="176"/>
      <c r="DB73" s="85"/>
      <c r="DC73" s="85"/>
      <c r="DD73" s="316"/>
      <c r="DE73" s="317"/>
      <c r="DF73" s="316"/>
      <c r="DG73" s="316"/>
      <c r="DH73" s="316"/>
      <c r="DI73" s="317"/>
      <c r="DJ73" s="316"/>
      <c r="DK73" s="316"/>
      <c r="DL73" s="316"/>
      <c r="DM73" s="317"/>
      <c r="DN73" s="316"/>
      <c r="DO73" s="316"/>
      <c r="DP73" s="316"/>
      <c r="DQ73" s="317"/>
      <c r="DR73" s="316"/>
      <c r="DS73" s="316"/>
      <c r="DT73" s="316"/>
      <c r="DU73" s="317"/>
      <c r="DV73" s="316"/>
      <c r="DW73" s="316"/>
      <c r="DX73" s="316"/>
      <c r="DY73" s="317"/>
      <c r="DZ73" s="316"/>
      <c r="EA73" s="316"/>
      <c r="EB73" s="316"/>
      <c r="EC73" s="317"/>
      <c r="ED73" s="316"/>
      <c r="EE73" s="316"/>
      <c r="EF73" s="316"/>
      <c r="EG73" s="317"/>
      <c r="EH73" s="316"/>
      <c r="EI73" s="316"/>
      <c r="EJ73" s="316"/>
      <c r="EK73" s="317"/>
      <c r="FB73" s="62"/>
      <c r="FC73" s="62"/>
      <c r="FD73" s="62"/>
      <c r="FE73" s="62"/>
      <c r="FF73" s="88"/>
      <c r="FG73" s="88"/>
      <c r="FH73" s="88"/>
      <c r="FI73" s="88"/>
      <c r="FJ73" s="88"/>
      <c r="FK73" s="88"/>
      <c r="FL73" s="88"/>
      <c r="FM73" s="88"/>
      <c r="FN73" s="88"/>
      <c r="FO73" s="88"/>
      <c r="FP73" s="88"/>
      <c r="FQ73" s="88"/>
      <c r="FR73" s="88"/>
      <c r="FS73" s="88"/>
      <c r="FT73" s="88"/>
      <c r="FU73" s="88"/>
      <c r="GL73" s="62"/>
      <c r="GM73" s="62"/>
      <c r="GN73" s="62"/>
      <c r="GO73" s="62"/>
      <c r="GP73" s="62"/>
      <c r="GQ73" s="62"/>
      <c r="GR73" s="62"/>
      <c r="GS73" s="62"/>
      <c r="GT73" s="62"/>
      <c r="GU73" s="62"/>
      <c r="GV73" s="62"/>
      <c r="GW73" s="62"/>
      <c r="GX73" s="62"/>
      <c r="GY73" s="62"/>
      <c r="GZ73" s="62"/>
      <c r="HA73" s="62"/>
      <c r="HB73" s="62"/>
      <c r="HC73" s="62"/>
      <c r="HD73" s="62"/>
    </row>
    <row r="74" spans="1:212" s="16" customFormat="1" ht="10.199999999999999">
      <c r="A74" s="708" t="s">
        <v>1192</v>
      </c>
      <c r="B74" s="706" t="str">
        <f>'Revenue summary'!B$8</f>
      </c>
      <c r="C74" s="706" t="str">
        <f>'Revenue summary'!C$8</f>
      </c>
      <c r="D74" s="706" t="str">
        <f>'Revenue summary'!D$8</f>
      </c>
      <c r="E74" s="707" t="str">
        <f>'Revenue summary'!E$8</f>
      </c>
      <c r="F74" s="706" t="str">
        <f>'Revenue summary'!F$8</f>
      </c>
      <c r="G74" s="706" t="str">
        <f>'Revenue summary'!G$8</f>
      </c>
      <c r="H74" s="706" t="str">
        <f>'Revenue summary'!H$8</f>
      </c>
      <c r="I74" s="707" t="str">
        <f>'Revenue summary'!I$8</f>
      </c>
      <c r="J74" s="706" t="str">
        <f>'Revenue summary'!J$8</f>
      </c>
      <c r="K74" s="706" t="str">
        <f>'Revenue summary'!K$8</f>
      </c>
      <c r="L74" s="706" t="str">
        <f>'Revenue summary'!L$8</f>
      </c>
      <c r="M74" s="707" t="str">
        <f>'Revenue summary'!M$8</f>
      </c>
      <c r="N74" s="706" t="str">
        <f>'Revenue summary'!N$8</f>
      </c>
      <c r="O74" s="706" t="str">
        <f>'Revenue summary'!O$8</f>
      </c>
      <c r="P74" s="706" t="str">
        <f>'Revenue summary'!P$8</f>
      </c>
      <c r="Q74" s="707" t="str">
        <f>'Revenue summary'!Q$8</f>
      </c>
      <c r="R74" s="706" t="str">
        <f>'Revenue summary'!R$8</f>
      </c>
      <c r="S74" s="706" t="str">
        <f>'Revenue summary'!S$8</f>
      </c>
      <c r="T74" s="706" t="str">
        <f>'Revenue summary'!T$8</f>
      </c>
      <c r="U74" s="707" t="str">
        <f>'Revenue summary'!U$8</f>
      </c>
      <c r="V74" s="706" t="str">
        <f>'Revenue summary'!V$8</f>
      </c>
      <c r="W74" s="706" t="str">
        <f>'Revenue summary'!W$8</f>
      </c>
      <c r="X74" s="706" t="str">
        <f>'Revenue summary'!X$8</f>
      </c>
      <c r="Y74" s="707" t="str">
        <f>'Revenue summary'!Y$8</f>
      </c>
      <c r="Z74" s="706" t="str">
        <f>'Revenue summary'!Z$8</f>
      </c>
      <c r="AA74" s="706" t="str">
        <f>'Revenue summary'!AA$8</f>
      </c>
      <c r="AB74" s="706" t="str">
        <f>'Revenue summary'!AB$8</f>
      </c>
      <c r="AC74" s="707" t="str">
        <f>'Revenue summary'!AC$8</f>
      </c>
      <c r="AD74" s="706" t="str">
        <f>'Revenue summary'!AD$8</f>
      </c>
      <c r="AE74" s="706" t="str">
        <f>'Revenue summary'!AE$8</f>
      </c>
      <c r="AF74" s="706" t="str">
        <f>'Revenue summary'!AF$8</f>
      </c>
      <c r="AG74" s="707" t="str">
        <f>'Revenue summary'!AG$8</f>
      </c>
      <c r="AH74" s="706" t="str">
        <f>'Revenue summary'!AH$8</f>
      </c>
      <c r="AI74" s="706" t="str">
        <f>'Revenue summary'!AI$8</f>
      </c>
      <c r="AJ74" s="706" t="str">
        <f>'Revenue summary'!AJ$8</f>
      </c>
      <c r="AK74" s="707" t="str">
        <f>'Revenue summary'!AK$8</f>
      </c>
      <c r="AL74" s="706" t="str">
        <f>'Revenue summary'!AL$8</f>
      </c>
      <c r="AM74" s="706" t="str">
        <f>'Revenue summary'!AM$8</f>
      </c>
      <c r="AN74" s="706" t="str">
        <f>'Revenue summary'!AN$8</f>
      </c>
      <c r="AO74" s="707" t="str">
        <f>'Revenue summary'!AO$8</f>
      </c>
      <c r="AP74" s="706" t="str">
        <f>'Revenue summary'!AP$8</f>
      </c>
      <c r="AQ74" s="706" t="str">
        <f>'Revenue summary'!AQ$8</f>
      </c>
      <c r="AR74" s="706" t="str">
        <f>'Revenue summary'!AR$8</f>
      </c>
      <c r="AS74" s="707" t="str">
        <f>'Revenue summary'!AS$8</f>
      </c>
      <c r="AT74" s="706" t="str">
        <f>'Revenue summary'!AT$8</f>
      </c>
      <c r="AU74" s="706" t="str">
        <f>'Revenue summary'!AU$8</f>
      </c>
      <c r="AV74" s="706" t="str">
        <f>'Revenue summary'!AV$8</f>
      </c>
      <c r="AW74" s="707" t="str">
        <f>'Revenue summary'!AW$8</f>
      </c>
      <c r="AX74" s="706" t="str">
        <f>'Revenue summary'!AX$8</f>
      </c>
      <c r="AY74" s="706" t="str">
        <f>'Revenue summary'!AY$8</f>
      </c>
      <c r="AZ74" s="706" t="str">
        <f>'Revenue summary'!AZ$8</f>
      </c>
      <c r="BA74" s="707" t="str">
        <f>'Revenue summary'!BA$8</f>
      </c>
      <c r="BB74" s="706" t="str">
        <f>'Revenue summary'!BB$8</f>
      </c>
      <c r="BC74" s="706" t="str">
        <f>'Revenue summary'!BC$8</f>
      </c>
      <c r="BD74" s="706" t="str">
        <f>'Revenue summary'!BD$8</f>
      </c>
      <c r="BE74" s="707" t="str">
        <f>'Revenue summary'!BE$8</f>
      </c>
      <c r="BF74" s="706" t="str">
        <f>'Revenue summary'!BF$8</f>
      </c>
      <c r="BG74" s="706" t="str">
        <f>'Revenue summary'!BG$8</f>
      </c>
      <c r="BH74" s="706" t="str">
        <f>'Revenue summary'!BH$8</f>
      </c>
      <c r="BI74" s="707" t="str">
        <f>'Revenue summary'!BI$8</f>
      </c>
      <c r="BJ74" s="706" t="str">
        <f>'Revenue summary'!BJ$8</f>
      </c>
      <c r="BK74" s="706" t="str">
        <f>'Revenue summary'!BK$8</f>
      </c>
      <c r="BL74" s="706" t="str">
        <f>'Revenue summary'!BL$8</f>
      </c>
      <c r="BM74" s="707" t="str">
        <f>'Revenue summary'!BM$8</f>
      </c>
      <c r="BN74" s="706" t="str">
        <f>'Revenue summary'!BN$8</f>
      </c>
      <c r="BO74" s="706" t="str">
        <f>'Revenue summary'!BO$8</f>
      </c>
      <c r="BP74" s="706" t="str">
        <f>'Revenue summary'!BP$8</f>
      </c>
      <c r="BQ74" s="707" t="str">
        <f>'Revenue summary'!BQ$8</f>
      </c>
      <c r="BR74" s="706" t="str">
        <f>'Revenue summary'!BR$8</f>
      </c>
      <c r="BS74" s="706" t="str">
        <f>'Revenue summary'!BS$8</f>
      </c>
      <c r="BT74" s="706" t="str">
        <f>'Revenue summary'!BT$8</f>
      </c>
      <c r="BU74" s="707" t="str">
        <f>'Revenue summary'!BU$8</f>
      </c>
      <c r="BV74" s="706" t="str">
        <f>'Revenue summary'!BV$8</f>
      </c>
      <c r="BW74" s="706" t="str">
        <f>'Revenue summary'!BW$8</f>
      </c>
      <c r="BX74" s="706" t="str">
        <f>'Revenue summary'!BX$8</f>
      </c>
      <c r="BY74" s="707" t="str">
        <f>'Revenue summary'!BY$8</f>
      </c>
      <c r="BZ74" s="706" t="str">
        <f>'Revenue summary'!BZ$8</f>
      </c>
      <c r="CA74" s="706" t="str">
        <f>'Revenue summary'!CA$8</f>
      </c>
      <c r="CB74" s="706" t="str">
        <f>'Revenue summary'!CB$8</f>
      </c>
      <c r="CC74" s="707" t="str">
        <f>'Revenue summary'!CC$8</f>
      </c>
      <c r="CD74" s="706" t="str">
        <f>'Revenue summary'!CD$8</f>
      </c>
      <c r="CE74" s="706" t="str">
        <f>'Revenue summary'!CE$8</f>
      </c>
      <c r="CF74" s="706" t="str">
        <f>'Revenue summary'!CF$8</f>
      </c>
      <c r="CG74" s="707" t="str">
        <f>'Revenue summary'!CG$8</f>
      </c>
      <c r="CH74" s="706" t="str">
        <f>'Revenue summary'!CH$8</f>
      </c>
      <c r="CI74" s="706" t="str">
        <f>'Revenue summary'!CI$8</f>
      </c>
      <c r="CJ74" s="706" t="str">
        <f>'Revenue summary'!CJ$8</f>
      </c>
      <c r="CK74" s="707" t="str">
        <f>'Revenue summary'!CK$8</f>
      </c>
      <c r="CL74" s="706" t="str">
        <f>'Revenue summary'!CL$8</f>
      </c>
      <c r="CM74" s="706" t="str">
        <f>'Revenue summary'!CM$8</f>
      </c>
      <c r="CN74" s="706" t="str">
        <f>'Revenue summary'!CN$8</f>
      </c>
      <c r="CO74" s="707" t="str">
        <f>'Revenue summary'!CO$8</f>
      </c>
      <c r="CP74" s="706" t="str">
        <f>'Revenue summary'!CP$8</f>
      </c>
      <c r="CQ74" s="706" t="str">
        <f>'Revenue summary'!CQ$8</f>
      </c>
      <c r="CR74" s="706" t="str">
        <f>'Revenue summary'!CR$8</f>
      </c>
      <c r="CS74" s="707" t="str">
        <f>'Revenue summary'!CS$8</f>
      </c>
      <c r="CT74" s="706" t="str">
        <f>'Revenue summary'!CT$8</f>
      </c>
      <c r="CU74" s="706" t="str">
        <f>'Revenue summary'!CU$8</f>
      </c>
      <c r="CV74" s="706" t="str">
        <f>'Revenue summary'!CV$8</f>
      </c>
      <c r="CW74" s="707" t="str">
        <f>'Revenue summary'!CW$8</f>
      </c>
      <c r="CX74" s="706" t="str">
        <f>'Revenue summary'!CX$8</f>
      </c>
      <c r="CY74" s="706" t="str">
        <f>'Revenue summary'!CY$8</f>
      </c>
      <c r="CZ74" s="706" t="str">
        <f>'Revenue summary'!CZ$8</f>
      </c>
      <c r="DA74" s="707" t="str">
        <f>'Revenue summary'!DA$8</f>
      </c>
      <c r="DB74" s="706" t="str">
        <f>'Revenue summary'!DB$8</f>
      </c>
      <c r="DC74" s="706" t="str">
        <f>'Revenue summary'!DC$8</f>
      </c>
      <c r="DD74" s="706" t="str">
        <f>'Revenue summary'!DD$8</f>
      </c>
      <c r="DE74" s="707" t="str">
        <f>'Revenue summary'!DE$8</f>
      </c>
      <c r="DF74" s="706" t="str">
        <f>'Revenue summary'!DF$8</f>
      </c>
      <c r="DG74" s="706" t="str">
        <f>'Revenue summary'!DG$8</f>
      </c>
      <c r="DH74" s="706" t="str">
        <f>'Revenue summary'!DH$8</f>
      </c>
      <c r="DI74" s="707" t="str">
        <f>'Revenue summary'!DI$8</f>
      </c>
      <c r="DJ74" s="706" t="str">
        <f>'Revenue summary'!DJ$8</f>
      </c>
      <c r="DK74" s="706" t="str">
        <f>'Revenue summary'!DK$8</f>
      </c>
      <c r="DL74" s="706" t="str">
        <f>'Revenue summary'!DL$8</f>
      </c>
      <c r="DM74" s="707" t="str">
        <f>'Revenue summary'!DM$8</f>
      </c>
      <c r="DN74" s="706" t="str">
        <f>'Revenue summary'!DN$8</f>
      </c>
      <c r="DO74" s="706" t="str">
        <f>'Revenue summary'!DO$8</f>
      </c>
      <c r="DP74" s="706" t="str">
        <f>'Revenue summary'!DP$8</f>
      </c>
      <c r="DQ74" s="707" t="str">
        <f>'Revenue summary'!DQ$8</f>
      </c>
      <c r="DR74" s="706" t="str">
        <f>'Revenue summary'!DR$8</f>
      </c>
      <c r="DS74" s="706" t="str">
        <f>'Revenue summary'!DS$8</f>
      </c>
      <c r="DT74" s="706" t="str">
        <f>'Revenue summary'!DT$8</f>
      </c>
      <c r="DU74" s="707" t="str">
        <f>'Revenue summary'!DU$8</f>
      </c>
      <c r="DV74" s="706" t="str">
        <f>'Revenue summary'!DV$8</f>
      </c>
      <c r="DW74" s="706" t="str">
        <f>'Revenue summary'!DW$8</f>
      </c>
      <c r="DX74" s="706" t="str">
        <f>'Revenue summary'!DX$8</f>
      </c>
      <c r="DY74" s="707" t="str">
        <f>'Revenue summary'!DY$8</f>
      </c>
      <c r="DZ74" s="706" t="str">
        <f>'Revenue summary'!DZ$8</f>
      </c>
      <c r="EA74" s="706" t="str">
        <f>'Revenue summary'!EA$8</f>
      </c>
      <c r="EB74" s="706" t="str">
        <f>'Revenue summary'!EB$8</f>
      </c>
      <c r="EC74" s="707" t="str">
        <f>'Revenue summary'!EC$8</f>
      </c>
      <c r="ED74" s="706" t="str">
        <f>'Revenue summary'!ED$8</f>
      </c>
      <c r="EE74" s="706" t="str">
        <f>'Revenue summary'!EE$8</f>
      </c>
      <c r="EF74" s="706" t="str">
        <f>'Revenue summary'!EF$8</f>
      </c>
      <c r="EG74" s="707" t="str">
        <f>'Revenue summary'!EG$8</f>
      </c>
      <c r="EH74" s="706" t="str">
        <f>'Revenue summary'!EH$8</f>
      </c>
      <c r="EI74" s="706" t="str">
        <f>'Revenue summary'!EI$8</f>
      </c>
      <c r="EJ74" s="706" t="str">
        <f>'Revenue summary'!EJ$8</f>
      </c>
      <c r="EK74" s="707" t="str">
        <f>'Revenue summary'!EK$8</f>
      </c>
      <c r="EL74" s="320"/>
      <c r="EM74" s="706">
        <f t="shared" ref="EM74:FH74" si="486">EM$9</f>
      </c>
      <c r="EN74" s="706">
        <f t="shared" si="486"/>
      </c>
      <c r="EO74" s="706">
        <f t="shared" si="486"/>
      </c>
      <c r="EP74" s="706">
        <f t="shared" si="486"/>
      </c>
      <c r="EQ74" s="706">
        <f t="shared" si="486"/>
      </c>
      <c r="ER74" s="706">
        <f t="shared" si="486"/>
      </c>
      <c r="ES74" s="706">
        <f t="shared" si="486"/>
      </c>
      <c r="ET74" s="706">
        <f t="shared" si="486"/>
      </c>
      <c r="EU74" s="706">
        <f t="shared" si="486"/>
      </c>
      <c r="EV74" s="706">
        <f t="shared" si="486"/>
      </c>
      <c r="EW74" s="706">
        <f t="shared" si="486"/>
      </c>
      <c r="EX74" s="706">
        <f t="shared" si="486"/>
      </c>
      <c r="EY74" s="706">
        <f t="shared" si="486"/>
      </c>
      <c r="EZ74" s="706">
        <f t="shared" si="486"/>
      </c>
      <c r="FA74" s="706">
        <f t="shared" si="486"/>
      </c>
      <c r="FB74" s="706">
        <f t="shared" si="486"/>
      </c>
      <c r="FC74" s="706">
        <f t="shared" si="486"/>
      </c>
      <c r="FD74" s="706">
        <f t="shared" si="486"/>
      </c>
      <c r="FE74" s="706" t="str">
        <f t="shared" si="486"/>
      </c>
      <c r="FF74" s="706" t="str">
        <f t="shared" si="486"/>
      </c>
      <c r="FG74" s="706" t="str">
        <f t="shared" si="486"/>
      </c>
      <c r="FH74" s="706" t="str">
        <f t="shared" si="486"/>
      </c>
      <c r="FI74" s="706" t="str">
        <f>FI$9</f>
      </c>
      <c r="FJ74" s="706" t="str">
        <f t="shared" ref="FJ74:FU74" si="487">FJ$9</f>
      </c>
      <c r="FK74" s="706" t="str">
        <f t="shared" si="487"/>
      </c>
      <c r="FL74" s="706" t="str">
        <f t="shared" si="487"/>
      </c>
      <c r="FM74" s="706" t="str">
        <f t="shared" si="487"/>
      </c>
      <c r="FN74" s="706" t="str">
        <f t="shared" si="487"/>
      </c>
      <c r="FO74" s="706" t="str">
        <f t="shared" si="487"/>
      </c>
      <c r="FP74" s="706" t="str">
        <f t="shared" si="487"/>
      </c>
      <c r="FQ74" s="706" t="str">
        <f t="shared" si="487"/>
      </c>
      <c r="FR74" s="706" t="str">
        <f t="shared" si="487"/>
      </c>
      <c r="FS74" s="706" t="str">
        <f t="shared" si="487"/>
      </c>
      <c r="FT74" s="706" t="str">
        <f t="shared" si="487"/>
      </c>
      <c r="FU74" s="706" t="str">
        <f t="shared" si="487"/>
      </c>
      <c r="FV74" s="706"/>
      <c r="FW74" s="706" t="str">
        <f t="shared" ref="FW74:GX74" si="488">FW$10</f>
      </c>
      <c r="FX74" s="706" t="str">
        <f t="shared" si="488"/>
      </c>
      <c r="FY74" s="706" t="str">
        <f t="shared" si="488"/>
      </c>
      <c r="FZ74" s="706" t="str">
        <f t="shared" si="488"/>
      </c>
      <c r="GA74" s="706" t="str">
        <f t="shared" si="488"/>
      </c>
      <c r="GB74" s="706" t="str">
        <f t="shared" si="488"/>
      </c>
      <c r="GC74" s="706" t="str">
        <f t="shared" si="488"/>
      </c>
      <c r="GD74" s="706" t="str">
        <f t="shared" si="488"/>
      </c>
      <c r="GE74" s="706" t="str">
        <f t="shared" si="488"/>
      </c>
      <c r="GF74" s="706" t="str">
        <f t="shared" si="488"/>
      </c>
      <c r="GG74" s="706" t="str">
        <f t="shared" si="488"/>
      </c>
      <c r="GH74" s="706" t="str">
        <f t="shared" si="488"/>
      </c>
      <c r="GI74" s="706" t="str">
        <f t="shared" si="488"/>
      </c>
      <c r="GJ74" s="706" t="str">
        <f t="shared" si="488"/>
      </c>
      <c r="GK74" s="706" t="str">
        <f t="shared" si="488"/>
      </c>
      <c r="GL74" s="706" t="str">
        <f t="shared" si="488"/>
      </c>
      <c r="GM74" s="706" t="str">
        <f t="shared" si="488"/>
      </c>
      <c r="GN74" s="706" t="str">
        <f t="shared" si="488"/>
      </c>
      <c r="GO74" s="706" t="str">
        <f t="shared" si="488"/>
      </c>
      <c r="GP74" s="706" t="str">
        <f t="shared" si="488"/>
      </c>
      <c r="GQ74" s="706" t="str">
        <f t="shared" si="488"/>
      </c>
      <c r="GR74" s="706" t="str">
        <f t="shared" si="488"/>
      </c>
      <c r="GS74" s="706" t="str">
        <f t="shared" si="488"/>
      </c>
      <c r="GT74" s="706" t="str">
        <f t="shared" si="488"/>
      </c>
      <c r="GU74" s="706" t="str">
        <f t="shared" si="488"/>
      </c>
      <c r="GV74" s="706" t="str">
        <f t="shared" si="488"/>
      </c>
      <c r="GW74" s="706" t="str">
        <f t="shared" si="488"/>
      </c>
      <c r="GX74" s="706" t="str">
        <f t="shared" si="488"/>
      </c>
      <c r="GY74" s="706" t="str">
        <f t="shared" ref="GY74" si="489">GY$10</f>
      </c>
      <c r="GZ74" s="706" t="str">
        <f t="shared" ref="GZ74:HD74" si="490">GZ$10</f>
      </c>
      <c r="HA74" s="706" t="str">
        <f t="shared" si="490"/>
      </c>
      <c r="HB74" s="706" t="str">
        <f t="shared" si="490"/>
      </c>
      <c r="HC74" s="706" t="str">
        <f t="shared" si="490"/>
      </c>
      <c r="HD74" s="706" t="str">
        <f t="shared" si="490"/>
      </c>
    </row>
    <row r="75" spans="1:212" s="390" customFormat="1" ht="10.8" thickBot="1">
      <c r="A75" s="946" t="s">
        <v>1191</v>
      </c>
      <c r="B75" s="947"/>
      <c r="C75" s="947"/>
      <c r="D75" s="947"/>
      <c r="E75" s="948"/>
      <c r="F75" s="947"/>
      <c r="G75" s="947"/>
      <c r="H75" s="947"/>
      <c r="I75" s="948"/>
      <c r="J75" s="947"/>
      <c r="K75" s="947"/>
      <c r="L75" s="947"/>
      <c r="M75" s="948"/>
      <c r="N75" s="947"/>
      <c r="O75" s="947"/>
      <c r="P75" s="947"/>
      <c r="Q75" s="948"/>
      <c r="R75" s="947"/>
      <c r="S75" s="947"/>
      <c r="T75" s="947"/>
      <c r="U75" s="948"/>
      <c r="V75" s="947"/>
      <c r="W75" s="947"/>
      <c r="X75" s="947"/>
      <c r="Y75" s="948"/>
      <c r="Z75" s="947"/>
      <c r="AA75" s="947"/>
      <c r="AB75" s="947"/>
      <c r="AC75" s="948"/>
      <c r="AD75" s="947"/>
      <c r="AE75" s="947"/>
      <c r="AF75" s="947"/>
      <c r="AG75" s="948"/>
      <c r="AH75" s="947"/>
      <c r="AI75" s="947"/>
      <c r="AJ75" s="947"/>
      <c r="AK75" s="948"/>
      <c r="AL75" s="947"/>
      <c r="AM75" s="947"/>
      <c r="AN75" s="947"/>
      <c r="AO75" s="948"/>
      <c r="AP75" s="947"/>
      <c r="AQ75" s="947"/>
      <c r="AR75" s="947"/>
      <c r="AS75" s="948"/>
      <c r="AT75" s="947"/>
      <c r="AU75" s="947"/>
      <c r="AV75" s="947"/>
      <c r="AW75" s="948"/>
      <c r="AX75" s="947"/>
      <c r="AY75" s="947"/>
      <c r="AZ75" s="947"/>
      <c r="BA75" s="948"/>
      <c r="BB75" s="947"/>
      <c r="BC75" s="947"/>
      <c r="BD75" s="947"/>
      <c r="BE75" s="948"/>
      <c r="BF75" s="947"/>
      <c r="BG75" s="947"/>
      <c r="BH75" s="947"/>
      <c r="BI75" s="948"/>
      <c r="BJ75" s="947"/>
      <c r="BK75" s="947"/>
      <c r="BL75" s="947"/>
      <c r="BM75" s="948"/>
      <c r="BN75" s="947"/>
      <c r="BO75" s="947"/>
      <c r="BP75" s="947">
        <f t="shared" ref="BP75:CO75" si="491">BP11</f>
      </c>
      <c r="BQ75" s="948">
        <f t="shared" si="491"/>
      </c>
      <c r="BR75" s="947">
        <f t="shared" si="491"/>
      </c>
      <c r="BS75" s="947">
        <f t="shared" si="491"/>
      </c>
      <c r="BT75" s="947">
        <f t="shared" si="491"/>
      </c>
      <c r="BU75" s="948">
        <f t="shared" si="491"/>
      </c>
      <c r="BV75" s="949">
        <f t="shared" si="491"/>
      </c>
      <c r="BW75" s="947">
        <f t="shared" si="491"/>
      </c>
      <c r="BX75" s="947">
        <f t="shared" si="491"/>
      </c>
      <c r="BY75" s="948">
        <f t="shared" si="491"/>
      </c>
      <c r="BZ75" s="949">
        <f t="shared" si="491"/>
      </c>
      <c r="CA75" s="947">
        <f t="shared" si="491"/>
      </c>
      <c r="CB75" s="947">
        <f t="shared" si="491"/>
      </c>
      <c r="CC75" s="948">
        <f t="shared" si="491"/>
      </c>
      <c r="CD75" s="949">
        <f t="shared" si="491"/>
      </c>
      <c r="CE75" s="947">
        <f t="shared" si="491"/>
      </c>
      <c r="CF75" s="947">
        <f t="shared" si="491"/>
      </c>
      <c r="CG75" s="948">
        <f t="shared" si="491"/>
      </c>
      <c r="CH75" s="949">
        <f t="shared" si="491"/>
      </c>
      <c r="CI75" s="947">
        <f t="shared" si="491"/>
      </c>
      <c r="CJ75" s="947">
        <f t="shared" si="491"/>
      </c>
      <c r="CK75" s="948">
        <f t="shared" si="491"/>
      </c>
      <c r="CL75" s="949">
        <f t="shared" si="491"/>
      </c>
      <c r="CM75" s="947">
        <f t="shared" si="491"/>
      </c>
      <c r="CN75" s="947">
        <f t="shared" si="491"/>
      </c>
      <c r="CO75" s="948">
        <f t="shared" si="491"/>
      </c>
      <c r="CP75" s="947">
        <f t="shared" ref="CP75:DU75" si="492">CP76*CP77</f>
      </c>
      <c r="CQ75" s="950">
        <f t="shared" si="492"/>
      </c>
      <c r="CR75" s="950">
        <f t="shared" si="492"/>
      </c>
      <c r="CS75" s="948">
        <f t="shared" si="492"/>
      </c>
      <c r="CT75" s="947">
        <f t="shared" si="492"/>
      </c>
      <c r="CU75" s="950">
        <f t="shared" si="492"/>
      </c>
      <c r="CV75" s="950">
        <f t="shared" si="492"/>
      </c>
      <c r="CW75" s="948">
        <f t="shared" si="492"/>
      </c>
      <c r="CX75" s="950">
        <f t="shared" si="492"/>
      </c>
      <c r="CY75" s="950">
        <f t="shared" si="492"/>
      </c>
      <c r="CZ75" s="950">
        <f t="shared" si="492"/>
      </c>
      <c r="DA75" s="951">
        <f t="shared" si="492"/>
      </c>
      <c r="DB75" s="950">
        <f t="shared" si="492"/>
      </c>
      <c r="DC75" s="950">
        <f t="shared" si="492"/>
      </c>
      <c r="DD75" s="950">
        <f t="shared" si="492"/>
      </c>
      <c r="DE75" s="951">
        <f t="shared" si="492"/>
      </c>
      <c r="DF75" s="949">
        <f t="shared" si="492"/>
      </c>
      <c r="DG75" s="950">
        <f t="shared" si="492"/>
      </c>
      <c r="DH75" s="950">
        <f t="shared" si="492"/>
      </c>
      <c r="DI75" s="951">
        <f t="shared" si="492"/>
      </c>
      <c r="DJ75" s="949">
        <f t="shared" si="492"/>
      </c>
      <c r="DK75" s="950">
        <f t="shared" si="492"/>
      </c>
      <c r="DL75" s="950">
        <f t="shared" si="492"/>
      </c>
      <c r="DM75" s="951">
        <f t="shared" si="492"/>
      </c>
      <c r="DN75" s="949">
        <f t="shared" si="492"/>
      </c>
      <c r="DO75" s="950">
        <f t="shared" si="492"/>
      </c>
      <c r="DP75" s="950">
        <f t="shared" si="492"/>
      </c>
      <c r="DQ75" s="951">
        <f t="shared" si="492"/>
      </c>
      <c r="DR75" s="949">
        <f t="shared" si="492"/>
      </c>
      <c r="DS75" s="950">
        <f t="shared" si="492"/>
      </c>
      <c r="DT75" s="950">
        <f t="shared" si="492"/>
      </c>
      <c r="DU75" s="952">
        <f t="shared" si="492"/>
      </c>
      <c r="DV75" s="949">
        <f t="shared" ref="DV75:EK75" si="493">DV76*DV77</f>
      </c>
      <c r="DW75" s="950">
        <f t="shared" si="493"/>
      </c>
      <c r="DX75" s="950">
        <f t="shared" si="493"/>
      </c>
      <c r="DY75" s="952">
        <f t="shared" si="493"/>
      </c>
      <c r="DZ75" s="949">
        <f t="shared" si="493"/>
      </c>
      <c r="EA75" s="950">
        <f t="shared" si="493"/>
      </c>
      <c r="EB75" s="950">
        <f t="shared" si="493"/>
      </c>
      <c r="EC75" s="952">
        <f t="shared" si="493"/>
      </c>
      <c r="ED75" s="949">
        <f t="shared" si="493"/>
      </c>
      <c r="EE75" s="950">
        <f t="shared" si="493"/>
      </c>
      <c r="EF75" s="950">
        <f t="shared" si="493"/>
      </c>
      <c r="EG75" s="952">
        <f t="shared" si="493"/>
      </c>
      <c r="EH75" s="949">
        <f t="shared" si="493"/>
      </c>
      <c r="EI75" s="950">
        <f t="shared" si="493"/>
      </c>
      <c r="EJ75" s="950">
        <f t="shared" si="493"/>
      </c>
      <c r="EK75" s="952">
        <f t="shared" si="493"/>
      </c>
      <c r="EM75" s="950"/>
      <c r="EN75" s="950"/>
      <c r="EO75" s="950"/>
      <c r="EP75" s="950"/>
      <c r="EQ75" s="950"/>
      <c r="ER75" s="950"/>
      <c r="ES75" s="950"/>
      <c r="ET75" s="950"/>
      <c r="EU75" s="950"/>
      <c r="EV75" s="950"/>
      <c r="EW75" s="950"/>
      <c r="EX75" s="950"/>
      <c r="EY75" s="950"/>
      <c r="EZ75" s="950"/>
      <c r="FA75" s="950"/>
      <c r="FB75" s="950"/>
      <c r="FC75" s="950">
        <f>SUM(BN75:BQ75)</f>
      </c>
      <c r="FD75" s="950">
        <f>SUM(BR75:BU75)</f>
      </c>
      <c r="FE75" s="950">
        <f>SUM(BV75:BY75)</f>
      </c>
      <c r="FF75" s="950">
        <f>SUM(BZ75:CC75)</f>
      </c>
      <c r="FG75" s="950">
        <f>SUM(CD75:CG75)</f>
      </c>
      <c r="FH75" s="950">
        <f>SUM(CH75:CK75)</f>
      </c>
      <c r="FI75" s="950">
        <f>SUM(CL75:CO75)</f>
      </c>
      <c r="FJ75" s="950">
        <f t="shared" ref="FJ75" si="494">SUM(CP75:CS75)</f>
      </c>
      <c r="FK75" s="950">
        <f t="shared" ref="FK75" si="495">SUM(CT75:CW75)</f>
      </c>
      <c r="FL75" s="950">
        <f t="shared" ref="FL75" si="496">SUM(CX75:DA75)</f>
      </c>
      <c r="FM75" s="950">
        <f t="shared" ref="FM75" si="497">SUM(DB75:DE75)</f>
      </c>
      <c r="FN75" s="950">
        <f t="shared" ref="FN75" si="498">SUM(DF75:DI75)</f>
      </c>
      <c r="FO75" s="950">
        <f t="shared" ref="FO75" si="499">SUM(DJ75:DM75)</f>
      </c>
      <c r="FP75" s="950">
        <f>SUM(DN75:DQ75)</f>
      </c>
      <c r="FQ75" s="950">
        <f>SUM(DR75:DU75)</f>
      </c>
      <c r="FR75" s="950">
        <f>SUM(DV75:DY75)</f>
      </c>
      <c r="FS75" s="950">
        <f>SUM(DZ75:EC75)</f>
      </c>
      <c r="FT75" s="950">
        <f>SUM(ED75:EG75)</f>
      </c>
      <c r="FU75" s="950">
        <f>SUM(EH75:EK75)</f>
      </c>
      <c r="FV75" s="950"/>
      <c r="FW75" s="950"/>
      <c r="FX75" s="950"/>
      <c r="FY75" s="950"/>
      <c r="FZ75" s="950"/>
      <c r="GA75" s="950"/>
      <c r="GB75" s="950"/>
      <c r="GC75" s="950"/>
      <c r="GD75" s="950"/>
      <c r="GE75" s="950"/>
      <c r="GF75" s="950"/>
      <c r="GG75" s="950"/>
      <c r="GH75" s="950"/>
      <c r="GI75" s="950"/>
      <c r="GJ75" s="950"/>
      <c r="GK75" s="950"/>
      <c r="GL75" s="950"/>
      <c r="GM75" s="950">
        <f>SUM(BO75:BR75)</f>
      </c>
      <c r="GN75" s="950">
        <f>SUM(BS75:BV75)</f>
      </c>
      <c r="GO75" s="950">
        <f>SUM(BW75:BZ75)</f>
      </c>
      <c r="GP75" s="950">
        <f>SUM(CA75:CD75)</f>
      </c>
      <c r="GQ75" s="950">
        <f>SUM(CE75:CH75)</f>
      </c>
      <c r="GR75" s="950">
        <f>SUM(CI75:CL75)</f>
      </c>
      <c r="GS75" s="950">
        <f>SUM(CM75:CP75)</f>
      </c>
      <c r="GT75" s="950">
        <f>SUM(CQ75:CT75)</f>
      </c>
      <c r="GU75" s="950">
        <f>SUM(CU75:CX75)</f>
      </c>
      <c r="GV75" s="950">
        <f>SUM(CY75:DB75)</f>
      </c>
      <c r="GW75" s="950">
        <f>SUM(DC75:DF75)</f>
      </c>
      <c r="GX75" s="950">
        <f>SUM(DG75:DJ75)</f>
      </c>
      <c r="GY75" s="950">
        <f>SUM(DK75:DN75)</f>
      </c>
      <c r="GZ75" s="950">
        <f>SUM(DO75:DR75)</f>
      </c>
      <c r="HA75" s="950">
        <f>SUM(DS75:DV75)</f>
      </c>
      <c r="HB75" s="950">
        <f>SUM(DW75:DZ75)</f>
      </c>
      <c r="HC75" s="950">
        <f>SUM(EA75:ED75)</f>
      </c>
      <c r="HD75" s="950">
        <f>SUM(EE75:EH75)</f>
      </c>
    </row>
    <row r="76" spans="1:212" s="370" customFormat="1" ht="10.8" thickTop="1">
      <c r="A76" s="953" t="s">
        <v>1196</v>
      </c>
      <c r="B76" s="954"/>
      <c r="C76" s="954"/>
      <c r="D76" s="954"/>
      <c r="E76" s="955"/>
      <c r="F76" s="954"/>
      <c r="G76" s="954"/>
      <c r="H76" s="954"/>
      <c r="I76" s="955"/>
      <c r="J76" s="954"/>
      <c r="K76" s="954"/>
      <c r="L76" s="954"/>
      <c r="M76" s="955"/>
      <c r="N76" s="954"/>
      <c r="O76" s="954"/>
      <c r="P76" s="954"/>
      <c r="Q76" s="955"/>
      <c r="R76" s="954"/>
      <c r="S76" s="954"/>
      <c r="T76" s="954"/>
      <c r="U76" s="955"/>
      <c r="V76" s="954"/>
      <c r="W76" s="954"/>
      <c r="X76" s="954"/>
      <c r="Y76" s="955"/>
      <c r="Z76" s="954"/>
      <c r="AA76" s="954"/>
      <c r="AB76" s="954"/>
      <c r="AC76" s="955"/>
      <c r="AD76" s="954"/>
      <c r="AE76" s="954"/>
      <c r="AF76" s="954"/>
      <c r="AG76" s="955"/>
      <c r="AH76" s="954"/>
      <c r="AI76" s="954"/>
      <c r="AJ76" s="954"/>
      <c r="AK76" s="955"/>
      <c r="AL76" s="954"/>
      <c r="AM76" s="954"/>
      <c r="AN76" s="954"/>
      <c r="AO76" s="955"/>
      <c r="AP76" s="954"/>
      <c r="AQ76" s="954"/>
      <c r="AR76" s="954"/>
      <c r="AS76" s="955"/>
      <c r="AT76" s="954"/>
      <c r="AU76" s="954"/>
      <c r="AV76" s="954"/>
      <c r="AW76" s="955"/>
      <c r="AX76" s="954"/>
      <c r="AY76" s="954"/>
      <c r="AZ76" s="954"/>
      <c r="BA76" s="955"/>
      <c r="BB76" s="954"/>
      <c r="BC76" s="954"/>
      <c r="BD76" s="954"/>
      <c r="BE76" s="955"/>
      <c r="BF76" s="954"/>
      <c r="BG76" s="954"/>
      <c r="BH76" s="954"/>
      <c r="BI76" s="955"/>
      <c r="BJ76" s="954"/>
      <c r="BK76" s="954"/>
      <c r="BL76" s="954"/>
      <c r="BM76" s="955"/>
      <c r="BN76" s="954"/>
      <c r="BO76" s="954"/>
      <c r="BP76" s="956">
        <f t="shared" ref="BP76:CO76" si="500">BP75/BP77</f>
      </c>
      <c r="BQ76" s="957">
        <f t="shared" si="500"/>
      </c>
      <c r="BR76" s="956">
        <f t="shared" si="500"/>
      </c>
      <c r="BS76" s="956">
        <f t="shared" si="500"/>
      </c>
      <c r="BT76" s="956">
        <f t="shared" si="500"/>
      </c>
      <c r="BU76" s="957">
        <f t="shared" si="500"/>
      </c>
      <c r="BV76" s="958">
        <f t="shared" si="500"/>
      </c>
      <c r="BW76" s="956">
        <f t="shared" si="500"/>
      </c>
      <c r="BX76" s="956">
        <f t="shared" si="500"/>
      </c>
      <c r="BY76" s="957">
        <f t="shared" si="500"/>
      </c>
      <c r="BZ76" s="958">
        <f t="shared" si="500"/>
      </c>
      <c r="CA76" s="956">
        <f t="shared" si="500"/>
      </c>
      <c r="CB76" s="956">
        <f t="shared" si="500"/>
      </c>
      <c r="CC76" s="957">
        <f t="shared" si="500"/>
      </c>
      <c r="CD76" s="958">
        <f t="shared" si="500"/>
      </c>
      <c r="CE76" s="956">
        <f t="shared" si="500"/>
      </c>
      <c r="CF76" s="956">
        <f t="shared" si="500"/>
      </c>
      <c r="CG76" s="957">
        <f t="shared" si="500"/>
      </c>
      <c r="CH76" s="958">
        <f t="shared" si="500"/>
      </c>
      <c r="CI76" s="956">
        <f t="shared" si="500"/>
      </c>
      <c r="CJ76" s="956">
        <f t="shared" si="500"/>
      </c>
      <c r="CK76" s="957">
        <f t="shared" si="500"/>
      </c>
      <c r="CL76" s="958">
        <f t="shared" si="500"/>
      </c>
      <c r="CM76" s="956">
        <f t="shared" si="500"/>
      </c>
      <c r="CN76" s="956">
        <f t="shared" si="500"/>
      </c>
      <c r="CO76" s="957">
        <f t="shared" si="500"/>
      </c>
      <c r="CP76" s="959">
        <f>CO76-0.05%</f>
      </c>
      <c r="CQ76" s="959">
        <f t="shared" ref="CQ76:CW76" si="501">CP76-0.05%</f>
      </c>
      <c r="CR76" s="959">
        <f t="shared" si="501"/>
      </c>
      <c r="CS76" s="960">
        <f t="shared" si="501"/>
      </c>
      <c r="CT76" s="959">
        <v>0.26</v>
      </c>
      <c r="CU76" s="959">
        <v>0.26</v>
      </c>
      <c r="CV76" s="959">
        <v>0.26</v>
      </c>
      <c r="CW76" s="960">
        <f t="shared" si="501"/>
      </c>
      <c r="CX76" s="959">
        <v>0.25</v>
      </c>
      <c r="CY76" s="959">
        <v>0.25</v>
      </c>
      <c r="CZ76" s="959">
        <v>0.25</v>
      </c>
      <c r="DA76" s="960">
        <v>0.25</v>
      </c>
      <c r="DB76" s="959">
        <v>0.248</v>
      </c>
      <c r="DC76" s="959">
        <f>DB76</f>
      </c>
      <c r="DD76" s="959">
        <f t="shared" ref="DD76" si="502">DC76</f>
      </c>
      <c r="DE76" s="960">
        <v>0.255</v>
      </c>
      <c r="DF76" s="959">
        <v>0.255</v>
      </c>
      <c r="DG76" s="2865">
        <v>0.255</v>
      </c>
      <c r="DH76" s="959">
        <f t="shared" ref="DH76:DK76" si="503">DG76-0.05%</f>
      </c>
      <c r="DI76" s="3169">
        <f t="shared" si="503"/>
      </c>
      <c r="DJ76" s="959">
        <f t="shared" si="503"/>
      </c>
      <c r="DK76" s="959">
        <f t="shared" si="503"/>
      </c>
      <c r="DL76" s="959">
        <f>DK76</f>
      </c>
      <c r="DM76" s="960">
        <f>DL76</f>
      </c>
      <c r="DN76" s="959">
        <f t="shared" ref="DN76:DU76" si="504">DM76</f>
      </c>
      <c r="DO76" s="959">
        <f t="shared" si="504"/>
      </c>
      <c r="DP76" s="959">
        <f t="shared" si="504"/>
      </c>
      <c r="DQ76" s="960">
        <f t="shared" si="504"/>
      </c>
      <c r="DR76" s="959">
        <f t="shared" si="504"/>
      </c>
      <c r="DS76" s="959">
        <f t="shared" si="504"/>
      </c>
      <c r="DT76" s="959">
        <f t="shared" si="504"/>
      </c>
      <c r="DU76" s="961">
        <f t="shared" si="504"/>
      </c>
      <c r="DV76" s="959">
        <f t="shared" ref="DV76" si="505">DU76</f>
      </c>
      <c r="DW76" s="959">
        <f t="shared" ref="DW76" si="506">DV76</f>
      </c>
      <c r="DX76" s="959">
        <f t="shared" ref="DX76" si="507">DW76</f>
      </c>
      <c r="DY76" s="961">
        <f t="shared" ref="DY76" si="508">DX76</f>
      </c>
      <c r="DZ76" s="959">
        <f t="shared" ref="DZ76" si="509">DY76</f>
      </c>
      <c r="EA76" s="959">
        <f t="shared" ref="EA76" si="510">DZ76</f>
      </c>
      <c r="EB76" s="959">
        <f t="shared" ref="EB76" si="511">EA76</f>
      </c>
      <c r="EC76" s="961">
        <f t="shared" ref="EC76" si="512">EB76</f>
      </c>
      <c r="ED76" s="959">
        <f t="shared" ref="ED76" si="513">EC76</f>
      </c>
      <c r="EE76" s="959">
        <f t="shared" ref="EE76" si="514">ED76</f>
      </c>
      <c r="EF76" s="959">
        <f t="shared" ref="EF76" si="515">EE76</f>
      </c>
      <c r="EG76" s="961">
        <f t="shared" ref="EG76" si="516">EF76</f>
      </c>
      <c r="EH76" s="959">
        <f t="shared" ref="EH76" si="517">EG76</f>
      </c>
      <c r="EI76" s="959">
        <f t="shared" ref="EI76" si="518">EH76</f>
      </c>
      <c r="EJ76" s="959">
        <f t="shared" ref="EJ76" si="519">EI76</f>
      </c>
      <c r="EK76" s="961">
        <f t="shared" ref="EK76" si="520">EJ76</f>
      </c>
      <c r="EM76" s="959"/>
      <c r="EN76" s="959"/>
      <c r="EO76" s="959"/>
      <c r="EP76" s="959"/>
      <c r="EQ76" s="959"/>
      <c r="ER76" s="959"/>
      <c r="ES76" s="959"/>
      <c r="ET76" s="959"/>
      <c r="EU76" s="959"/>
      <c r="EV76" s="959"/>
      <c r="EW76" s="959"/>
      <c r="EX76" s="959"/>
      <c r="EY76" s="959"/>
      <c r="EZ76" s="959"/>
      <c r="FA76" s="959"/>
      <c r="FB76" s="959"/>
      <c r="FC76" s="1304">
        <f>FC75/FC77</f>
      </c>
      <c r="FD76" s="1304">
        <f t="shared" ref="FD76:FO76" si="521">FD75/FD77</f>
      </c>
      <c r="FE76" s="1304">
        <f t="shared" si="521"/>
      </c>
      <c r="FF76" s="1304">
        <f t="shared" si="521"/>
      </c>
      <c r="FG76" s="1304">
        <f t="shared" si="521"/>
      </c>
      <c r="FH76" s="1304">
        <f t="shared" si="521"/>
      </c>
      <c r="FI76" s="1304">
        <f t="shared" si="521"/>
      </c>
      <c r="FJ76" s="1304">
        <f t="shared" si="521"/>
      </c>
      <c r="FK76" s="1304">
        <f t="shared" si="521"/>
      </c>
      <c r="FL76" s="1304">
        <f t="shared" si="521"/>
      </c>
      <c r="FM76" s="1304">
        <f t="shared" si="521"/>
      </c>
      <c r="FN76" s="1304">
        <f t="shared" si="521"/>
      </c>
      <c r="FO76" s="1304">
        <f t="shared" si="521"/>
      </c>
      <c r="FP76" s="1304">
        <f t="shared" ref="FP76" si="522">FP75/FP77</f>
      </c>
      <c r="FQ76" s="1304">
        <f t="shared" ref="FQ76" si="523">FQ75/FQ77</f>
      </c>
      <c r="FR76" s="1304">
        <f t="shared" ref="FR76:FU76" si="524">FR75/FR77</f>
      </c>
      <c r="FS76" s="1304">
        <f t="shared" si="524"/>
      </c>
      <c r="FT76" s="1304">
        <f t="shared" si="524"/>
      </c>
      <c r="FU76" s="1304">
        <f t="shared" si="524"/>
      </c>
      <c r="FV76" s="959"/>
      <c r="FW76" s="959"/>
      <c r="FX76" s="959"/>
      <c r="FY76" s="959"/>
      <c r="FZ76" s="959"/>
      <c r="GA76" s="959"/>
      <c r="GB76" s="959"/>
      <c r="GC76" s="959"/>
      <c r="GD76" s="959"/>
      <c r="GE76" s="959"/>
      <c r="GF76" s="959"/>
      <c r="GG76" s="959"/>
      <c r="GH76" s="959"/>
      <c r="GI76" s="959"/>
      <c r="GJ76" s="959"/>
      <c r="GK76" s="959"/>
      <c r="GL76" s="959"/>
      <c r="GM76" s="1304">
        <f t="shared" ref="GM76" si="525">GM75/GM77</f>
      </c>
      <c r="GN76" s="1304">
        <f t="shared" ref="GN76" si="526">GN75/GN77</f>
      </c>
      <c r="GO76" s="1304">
        <f t="shared" ref="GO76" si="527">GO75/GO77</f>
      </c>
      <c r="GP76" s="1304">
        <f t="shared" ref="GP76" si="528">GP75/GP77</f>
      </c>
      <c r="GQ76" s="1304">
        <f t="shared" ref="GQ76" si="529">GQ75/GQ77</f>
      </c>
      <c r="GR76" s="1304">
        <f t="shared" ref="GR76" si="530">GR75/GR77</f>
      </c>
      <c r="GS76" s="1304">
        <f t="shared" ref="GS76" si="531">GS75/GS77</f>
      </c>
      <c r="GT76" s="1304">
        <f t="shared" ref="GT76" si="532">GT75/GT77</f>
      </c>
      <c r="GU76" s="1304">
        <f t="shared" ref="GU76" si="533">GU75/GU77</f>
      </c>
      <c r="GV76" s="1304">
        <f t="shared" ref="GV76" si="534">GV75/GV77</f>
      </c>
      <c r="GW76" s="1304">
        <f t="shared" ref="GW76" si="535">GW75/GW77</f>
      </c>
      <c r="GX76" s="1304">
        <f t="shared" ref="GX76" si="536">GX75/GX77</f>
      </c>
      <c r="GY76" s="1304">
        <f t="shared" ref="GY76" si="537">GY75/GY77</f>
      </c>
      <c r="GZ76" s="1304">
        <f t="shared" ref="GZ76:HD76" si="538">GZ75/GZ77</f>
      </c>
      <c r="HA76" s="1304">
        <f t="shared" si="538"/>
      </c>
      <c r="HB76" s="1304">
        <f t="shared" si="538"/>
      </c>
      <c r="HC76" s="1304">
        <f t="shared" si="538"/>
      </c>
      <c r="HD76" s="1304">
        <f t="shared" si="538"/>
      </c>
    </row>
    <row r="77" spans="1:212" s="370" customFormat="1" ht="10.199999999999999">
      <c r="A77" s="953" t="s">
        <v>1195</v>
      </c>
      <c r="B77" s="954"/>
      <c r="C77" s="954"/>
      <c r="D77" s="954"/>
      <c r="E77" s="955"/>
      <c r="F77" s="954"/>
      <c r="G77" s="954"/>
      <c r="H77" s="954"/>
      <c r="I77" s="955"/>
      <c r="J77" s="954"/>
      <c r="K77" s="954"/>
      <c r="L77" s="954"/>
      <c r="M77" s="955"/>
      <c r="N77" s="954"/>
      <c r="O77" s="954"/>
      <c r="P77" s="954"/>
      <c r="Q77" s="955"/>
      <c r="R77" s="954"/>
      <c r="S77" s="954"/>
      <c r="T77" s="954"/>
      <c r="U77" s="955"/>
      <c r="V77" s="954"/>
      <c r="W77" s="954"/>
      <c r="X77" s="954"/>
      <c r="Y77" s="955"/>
      <c r="Z77" s="954"/>
      <c r="AA77" s="954"/>
      <c r="AB77" s="954"/>
      <c r="AC77" s="955"/>
      <c r="AD77" s="954"/>
      <c r="AE77" s="954"/>
      <c r="AF77" s="954"/>
      <c r="AG77" s="955"/>
      <c r="AH77" s="954"/>
      <c r="AI77" s="954"/>
      <c r="AJ77" s="954"/>
      <c r="AK77" s="955"/>
      <c r="AL77" s="954"/>
      <c r="AM77" s="954"/>
      <c r="AN77" s="954"/>
      <c r="AO77" s="955"/>
      <c r="AP77" s="954"/>
      <c r="AQ77" s="954"/>
      <c r="AR77" s="954"/>
      <c r="AS77" s="955"/>
      <c r="AT77" s="954"/>
      <c r="AU77" s="954"/>
      <c r="AV77" s="954"/>
      <c r="AW77" s="955"/>
      <c r="AX77" s="954"/>
      <c r="AY77" s="954"/>
      <c r="AZ77" s="954"/>
      <c r="BA77" s="955"/>
      <c r="BB77" s="954"/>
      <c r="BC77" s="954"/>
      <c r="BD77" s="954"/>
      <c r="BE77" s="955"/>
      <c r="BF77" s="954"/>
      <c r="BG77" s="954"/>
      <c r="BH77" s="954"/>
      <c r="BI77" s="955"/>
      <c r="BJ77" s="954"/>
      <c r="BK77" s="954"/>
      <c r="BL77" s="954"/>
      <c r="BM77" s="955"/>
      <c r="BN77" s="954"/>
      <c r="BO77" s="954"/>
      <c r="BP77" s="962">
        <f t="shared" ref="BP77:CO77" si="539">BP85+BP11</f>
      </c>
      <c r="BQ77" s="963">
        <f t="shared" si="539"/>
      </c>
      <c r="BR77" s="962">
        <f t="shared" si="539"/>
      </c>
      <c r="BS77" s="962">
        <f t="shared" si="539"/>
      </c>
      <c r="BT77" s="962">
        <f t="shared" si="539"/>
      </c>
      <c r="BU77" s="963">
        <f t="shared" si="539"/>
      </c>
      <c r="BV77" s="964">
        <f t="shared" si="539"/>
      </c>
      <c r="BW77" s="962">
        <f t="shared" si="539"/>
      </c>
      <c r="BX77" s="962">
        <f t="shared" si="539"/>
      </c>
      <c r="BY77" s="963">
        <f t="shared" si="539"/>
      </c>
      <c r="BZ77" s="964">
        <f t="shared" si="539"/>
      </c>
      <c r="CA77" s="962">
        <f t="shared" si="539"/>
      </c>
      <c r="CB77" s="962">
        <f t="shared" si="539"/>
      </c>
      <c r="CC77" s="963">
        <f t="shared" si="539"/>
      </c>
      <c r="CD77" s="964">
        <f t="shared" si="539"/>
      </c>
      <c r="CE77" s="962">
        <f t="shared" si="539"/>
      </c>
      <c r="CF77" s="962">
        <f t="shared" si="539"/>
      </c>
      <c r="CG77" s="963">
        <f t="shared" si="539"/>
      </c>
      <c r="CH77" s="964">
        <f t="shared" si="539"/>
      </c>
      <c r="CI77" s="962">
        <f t="shared" si="539"/>
      </c>
      <c r="CJ77" s="962">
        <f t="shared" si="539"/>
      </c>
      <c r="CK77" s="963">
        <f t="shared" si="539"/>
      </c>
      <c r="CL77" s="964">
        <f t="shared" si="539"/>
      </c>
      <c r="CM77" s="962">
        <f t="shared" si="539"/>
      </c>
      <c r="CN77" s="962">
        <f t="shared" si="539"/>
      </c>
      <c r="CO77" s="963">
        <f t="shared" si="539"/>
      </c>
      <c r="CP77" s="822">
        <f t="shared" ref="CP77:DP77" si="540">SUM(CL77:CO77)/SUM(CL83:CO83)*CP83</f>
      </c>
      <c r="CQ77" s="822">
        <f t="shared" si="540"/>
      </c>
      <c r="CR77" s="822">
        <f t="shared" si="540"/>
      </c>
      <c r="CS77" s="823">
        <f t="shared" si="540"/>
      </c>
      <c r="CT77" s="822">
        <f t="shared" si="540"/>
      </c>
      <c r="CU77" s="822">
        <f t="shared" si="540"/>
      </c>
      <c r="CV77" s="822">
        <f t="shared" si="540"/>
      </c>
      <c r="CW77" s="823">
        <f t="shared" si="540"/>
      </c>
      <c r="CX77" s="822">
        <f t="shared" si="540"/>
      </c>
      <c r="CY77" s="822">
        <f t="shared" si="540"/>
      </c>
      <c r="CZ77" s="822">
        <f t="shared" si="540"/>
      </c>
      <c r="DA77" s="823">
        <f t="shared" si="540"/>
      </c>
      <c r="DB77" s="822">
        <f t="shared" si="540"/>
      </c>
      <c r="DC77" s="822">
        <f t="shared" si="540"/>
      </c>
      <c r="DD77" s="822">
        <f t="shared" si="540"/>
      </c>
      <c r="DE77" s="823">
        <f t="shared" si="540"/>
      </c>
      <c r="DF77" s="822">
        <f>SUM(DB77:DE77)/SUM(DB83:DE83)*DF83</f>
      </c>
      <c r="DG77" s="822">
        <f t="shared" si="540"/>
      </c>
      <c r="DH77" s="822">
        <f t="shared" si="540"/>
      </c>
      <c r="DI77" s="823">
        <f t="shared" si="540"/>
      </c>
      <c r="DJ77" s="822">
        <f t="shared" si="540"/>
      </c>
      <c r="DK77" s="822">
        <f t="shared" si="540"/>
      </c>
      <c r="DL77" s="822">
        <f t="shared" si="540"/>
      </c>
      <c r="DM77" s="823">
        <f>SUM(DI77:DL77)/SUM(DI83:DL83)*DM83</f>
      </c>
      <c r="DN77" s="822">
        <f t="shared" si="540"/>
      </c>
      <c r="DO77" s="822">
        <f t="shared" si="540"/>
      </c>
      <c r="DP77" s="822">
        <f t="shared" si="540"/>
      </c>
      <c r="DQ77" s="963">
        <f t="shared" ref="DQ77" si="541">DM77*(1+DQ78)</f>
      </c>
      <c r="DR77" s="964">
        <f t="shared" ref="DR77" si="542">DN77*(1+DR78)</f>
      </c>
      <c r="DS77" s="962">
        <f t="shared" ref="DS77" si="543">DO77*(1+DS78)</f>
      </c>
      <c r="DT77" s="962">
        <f t="shared" ref="DT77" si="544">DP77*(1+DT78)</f>
      </c>
      <c r="DU77" s="965">
        <f t="shared" ref="DU77" si="545">DQ77*(1+DU78)</f>
      </c>
      <c r="DV77" s="964">
        <f t="shared" ref="DV77" si="546">DR77*(1+DV78)</f>
      </c>
      <c r="DW77" s="962">
        <f t="shared" ref="DW77" si="547">DS77*(1+DW78)</f>
      </c>
      <c r="DX77" s="962">
        <f t="shared" ref="DX77" si="548">DT77*(1+DX78)</f>
      </c>
      <c r="DY77" s="965">
        <f t="shared" ref="DY77" si="549">DU77*(1+DY78)</f>
      </c>
      <c r="DZ77" s="964">
        <f t="shared" ref="DZ77" si="550">DV77*(1+DZ78)</f>
      </c>
      <c r="EA77" s="962">
        <f t="shared" ref="EA77" si="551">DW77*(1+EA78)</f>
      </c>
      <c r="EB77" s="962">
        <f t="shared" ref="EB77" si="552">DX77*(1+EB78)</f>
      </c>
      <c r="EC77" s="965">
        <f t="shared" ref="EC77" si="553">DY77*(1+EC78)</f>
      </c>
      <c r="ED77" s="964">
        <f t="shared" ref="ED77" si="554">DZ77*(1+ED78)</f>
      </c>
      <c r="EE77" s="962">
        <f t="shared" ref="EE77" si="555">EA77*(1+EE78)</f>
      </c>
      <c r="EF77" s="962">
        <f t="shared" ref="EF77" si="556">EB77*(1+EF78)</f>
      </c>
      <c r="EG77" s="965">
        <f t="shared" ref="EG77" si="557">EC77*(1+EG78)</f>
      </c>
      <c r="EH77" s="964">
        <f t="shared" ref="EH77" si="558">ED77*(1+EH78)</f>
      </c>
      <c r="EI77" s="962">
        <f t="shared" ref="EI77" si="559">EE77*(1+EI78)</f>
      </c>
      <c r="EJ77" s="962">
        <f t="shared" ref="EJ77" si="560">EF77*(1+EJ78)</f>
      </c>
      <c r="EK77" s="965">
        <f t="shared" ref="EK77" si="561">EG77*(1+EK78)</f>
      </c>
      <c r="EM77" s="962"/>
      <c r="EN77" s="962"/>
      <c r="EO77" s="962"/>
      <c r="EP77" s="962"/>
      <c r="EQ77" s="962"/>
      <c r="ER77" s="962"/>
      <c r="ES77" s="962"/>
      <c r="ET77" s="962"/>
      <c r="EU77" s="962"/>
      <c r="EV77" s="962"/>
      <c r="EW77" s="962"/>
      <c r="EX77" s="962"/>
      <c r="EY77" s="962"/>
      <c r="EZ77" s="962"/>
      <c r="FA77" s="962"/>
      <c r="FB77" s="962"/>
      <c r="FC77" s="962">
        <f>SUM(BN77:BQ77)</f>
      </c>
      <c r="FD77" s="962">
        <f>SUM(BR77:BU77)</f>
      </c>
      <c r="FE77" s="962">
        <f>SUM(BV77:BY77)</f>
      </c>
      <c r="FF77" s="962">
        <f>SUM(BZ77:CC77)</f>
      </c>
      <c r="FG77" s="962">
        <f>SUM(CD77:CG77)</f>
      </c>
      <c r="FH77" s="962">
        <f>SUM(CH77:CK77)</f>
      </c>
      <c r="FI77" s="962">
        <f>SUM(CL77:CO77)</f>
      </c>
      <c r="FJ77" s="962">
        <f t="shared" ref="FJ77" si="562">SUM(CP77:CS77)</f>
      </c>
      <c r="FK77" s="962">
        <f t="shared" ref="FK77" si="563">SUM(CT77:CW77)</f>
      </c>
      <c r="FL77" s="962">
        <f t="shared" ref="FL77" si="564">SUM(CX77:DA77)</f>
      </c>
      <c r="FM77" s="962">
        <f t="shared" ref="FM77" si="565">SUM(DB77:DE77)</f>
      </c>
      <c r="FN77" s="962">
        <f t="shared" ref="FN77" si="566">SUM(DF77:DI77)</f>
      </c>
      <c r="FO77" s="962">
        <f t="shared" ref="FO77" si="567">SUM(DJ77:DM77)</f>
      </c>
      <c r="FP77" s="962">
        <f>SUM(DN77:DQ77)</f>
      </c>
      <c r="FQ77" s="962">
        <f>SUM(DR77:DU77)</f>
      </c>
      <c r="FR77" s="962">
        <f>SUM(DV77:DY77)</f>
      </c>
      <c r="FS77" s="962">
        <f>SUM(DZ77:EC77)</f>
      </c>
      <c r="FT77" s="962">
        <f>SUM(ED77:EG77)</f>
      </c>
      <c r="FU77" s="962">
        <f>SUM(EH77:EK77)</f>
      </c>
      <c r="FV77" s="962"/>
      <c r="FW77" s="962"/>
      <c r="FX77" s="962"/>
      <c r="FY77" s="962"/>
      <c r="FZ77" s="962"/>
      <c r="GA77" s="962"/>
      <c r="GB77" s="962"/>
      <c r="GC77" s="962"/>
      <c r="GD77" s="962"/>
      <c r="GE77" s="962"/>
      <c r="GF77" s="962"/>
      <c r="GG77" s="962"/>
      <c r="GH77" s="962"/>
      <c r="GI77" s="962"/>
      <c r="GJ77" s="962"/>
      <c r="GK77" s="962"/>
      <c r="GL77" s="962"/>
      <c r="GM77" s="962">
        <f>SUM(BO77:BR77)</f>
      </c>
      <c r="GN77" s="962">
        <f>SUM(BS77:BV77)</f>
      </c>
      <c r="GO77" s="962">
        <f>SUM(BW77:BZ77)</f>
      </c>
      <c r="GP77" s="962">
        <f>SUM(CA77:CD77)</f>
      </c>
      <c r="GQ77" s="962">
        <f>SUM(CE77:CH77)</f>
      </c>
      <c r="GR77" s="962">
        <f>SUM(CI77:CL77)</f>
      </c>
      <c r="GS77" s="962">
        <f>SUM(CM77:CP77)</f>
      </c>
      <c r="GT77" s="962">
        <f>SUM(CQ77:CT77)</f>
      </c>
      <c r="GU77" s="962">
        <f>SUM(CU77:CX77)</f>
      </c>
      <c r="GV77" s="962">
        <f>SUM(CY77:DB77)</f>
      </c>
      <c r="GW77" s="962">
        <f>SUM(DC77:DF77)</f>
      </c>
      <c r="GX77" s="962">
        <f>SUM(DG77:DJ77)</f>
      </c>
      <c r="GY77" s="962">
        <f>SUM(DK77:DN77)</f>
      </c>
      <c r="GZ77" s="962">
        <f>SUM(DO77:DR77)</f>
      </c>
      <c r="HA77" s="962">
        <f>SUM(DS77:DV77)</f>
      </c>
      <c r="HB77" s="962">
        <f>SUM(DW77:DZ77)</f>
      </c>
      <c r="HC77" s="962">
        <f>SUM(EA77:ED77)</f>
      </c>
      <c r="HD77" s="962">
        <f>SUM(EE77:EH77)</f>
      </c>
    </row>
    <row r="78" spans="1:212" s="141" customFormat="1" ht="10.199999999999999">
      <c r="A78" s="927" t="s">
        <v>1197</v>
      </c>
      <c r="E78" s="267"/>
      <c r="I78" s="267"/>
      <c r="M78" s="267"/>
      <c r="Q78" s="267"/>
      <c r="U78" s="267"/>
      <c r="Y78" s="267"/>
      <c r="AC78" s="267"/>
      <c r="AG78" s="267"/>
      <c r="AK78" s="267"/>
      <c r="AO78" s="267"/>
      <c r="AS78" s="267"/>
      <c r="AW78" s="267"/>
      <c r="BA78" s="267"/>
      <c r="BE78" s="267"/>
      <c r="BI78" s="267"/>
      <c r="BM78" s="267"/>
      <c r="BQ78" s="267"/>
      <c r="BT78" s="141">
        <f t="shared" ref="BT78:DC78" si="568">BT77/BP77-1</f>
      </c>
      <c r="BU78" s="267">
        <f t="shared" si="568"/>
      </c>
      <c r="BV78" s="920">
        <f t="shared" si="568"/>
      </c>
      <c r="BW78" s="141">
        <f t="shared" si="568"/>
      </c>
      <c r="BX78" s="141">
        <f t="shared" si="568"/>
      </c>
      <c r="BY78" s="267">
        <f t="shared" si="568"/>
      </c>
      <c r="BZ78" s="920">
        <f t="shared" si="568"/>
      </c>
      <c r="CA78" s="141">
        <f t="shared" si="568"/>
      </c>
      <c r="CB78" s="141">
        <f t="shared" si="568"/>
      </c>
      <c r="CC78" s="267">
        <f t="shared" si="568"/>
      </c>
      <c r="CD78" s="920">
        <f t="shared" si="568"/>
      </c>
      <c r="CE78" s="141">
        <f t="shared" si="568"/>
      </c>
      <c r="CF78" s="141">
        <f t="shared" si="568"/>
      </c>
      <c r="CG78" s="267">
        <f t="shared" si="568"/>
      </c>
      <c r="CH78" s="920">
        <f t="shared" si="568"/>
      </c>
      <c r="CI78" s="141">
        <f t="shared" si="568"/>
      </c>
      <c r="CJ78" s="141">
        <f t="shared" si="568"/>
      </c>
      <c r="CK78" s="267">
        <f t="shared" si="568"/>
      </c>
      <c r="CL78" s="920">
        <f t="shared" si="568"/>
      </c>
      <c r="CM78" s="141">
        <f t="shared" si="568"/>
      </c>
      <c r="CN78" s="141">
        <f t="shared" si="568"/>
      </c>
      <c r="CO78" s="267">
        <f t="shared" si="568"/>
      </c>
      <c r="CP78" s="141">
        <f t="shared" si="568"/>
      </c>
      <c r="CQ78" s="919">
        <f t="shared" si="568"/>
      </c>
      <c r="CR78" s="919">
        <f t="shared" si="568"/>
      </c>
      <c r="CS78" s="267">
        <f t="shared" si="568"/>
      </c>
      <c r="CT78" s="141">
        <f t="shared" si="568"/>
      </c>
      <c r="CU78" s="919">
        <f t="shared" si="568"/>
      </c>
      <c r="CV78" s="919">
        <f t="shared" si="568"/>
      </c>
      <c r="CW78" s="411">
        <f t="shared" si="568"/>
      </c>
      <c r="CX78" s="919">
        <f t="shared" si="568"/>
      </c>
      <c r="CY78" s="919">
        <f t="shared" si="568"/>
      </c>
      <c r="CZ78" s="919">
        <f t="shared" si="568"/>
      </c>
      <c r="DA78" s="411">
        <f t="shared" si="568"/>
      </c>
      <c r="DB78" s="919">
        <f t="shared" si="568"/>
      </c>
      <c r="DC78" s="919">
        <f t="shared" si="568"/>
      </c>
      <c r="DD78" s="919">
        <f>DD77/CZ77-1</f>
      </c>
      <c r="DE78" s="411">
        <f>DE77/DA77-1</f>
      </c>
      <c r="DF78" s="919">
        <f t="shared" ref="DF78:DJ78" si="569">DF77/DB77-1</f>
      </c>
      <c r="DG78" s="919">
        <f t="shared" si="569"/>
      </c>
      <c r="DH78" s="919">
        <f t="shared" si="569"/>
      </c>
      <c r="DI78" s="411">
        <f t="shared" si="569"/>
      </c>
      <c r="DJ78" s="919">
        <f t="shared" si="569"/>
      </c>
      <c r="DK78" s="919">
        <f>DK77/DG77-1</f>
      </c>
      <c r="DL78" s="919">
        <f>DL77/DH77-1</f>
      </c>
      <c r="DM78" s="411">
        <f>DM77/DI77-1</f>
      </c>
      <c r="DN78" s="919">
        <f t="shared" ref="DN78" si="570">DN77/DJ77-1</f>
      </c>
      <c r="DO78" s="919">
        <f>DO77/DK77-1</f>
      </c>
      <c r="DP78" s="919">
        <f>DP77/DL77-1</f>
      </c>
      <c r="DQ78" s="811">
        <v>0.13</v>
      </c>
      <c r="DR78" s="926">
        <v>0.13</v>
      </c>
      <c r="DS78" s="812">
        <v>0.13</v>
      </c>
      <c r="DT78" s="812">
        <v>0.13</v>
      </c>
      <c r="DU78" s="928">
        <v>0.13</v>
      </c>
      <c r="DV78" s="926">
        <v>0.12</v>
      </c>
      <c r="DW78" s="812">
        <v>0.12</v>
      </c>
      <c r="DX78" s="812">
        <v>0.12</v>
      </c>
      <c r="DY78" s="928">
        <v>0.12</v>
      </c>
      <c r="DZ78" s="926">
        <v>0.11</v>
      </c>
      <c r="EA78" s="812">
        <v>0.11</v>
      </c>
      <c r="EB78" s="812">
        <v>0.11</v>
      </c>
      <c r="EC78" s="928">
        <v>0.11</v>
      </c>
      <c r="ED78" s="926">
        <v>0.1</v>
      </c>
      <c r="EE78" s="812">
        <v>0.1</v>
      </c>
      <c r="EF78" s="812">
        <v>0.1</v>
      </c>
      <c r="EG78" s="928">
        <v>0.1</v>
      </c>
      <c r="EH78" s="926">
        <v>0.1</v>
      </c>
      <c r="EI78" s="812">
        <v>0.1</v>
      </c>
      <c r="EJ78" s="812">
        <v>0.1</v>
      </c>
      <c r="EK78" s="928">
        <v>0.1</v>
      </c>
      <c r="EM78" s="812"/>
      <c r="EN78" s="812"/>
      <c r="EO78" s="812"/>
      <c r="EP78" s="812"/>
      <c r="EQ78" s="812"/>
      <c r="ER78" s="812"/>
      <c r="ES78" s="812"/>
      <c r="ET78" s="812"/>
      <c r="EU78" s="812"/>
      <c r="EV78" s="812"/>
      <c r="EW78" s="812"/>
      <c r="EX78" s="812"/>
      <c r="EY78" s="812"/>
      <c r="EZ78" s="812"/>
      <c r="FA78" s="812"/>
      <c r="FB78" s="812"/>
      <c r="FC78" s="812"/>
      <c r="FD78" s="2180">
        <f t="shared" ref="FD78" si="571">FD77/FC77-1</f>
      </c>
      <c r="FE78" s="2180">
        <f t="shared" ref="FE78" si="572">FE77/FD77-1</f>
      </c>
      <c r="FF78" s="2180">
        <f t="shared" ref="FF78" si="573">FF77/FE77-1</f>
      </c>
      <c r="FG78" s="2180">
        <f t="shared" ref="FG78" si="574">FG77/FF77-1</f>
      </c>
      <c r="FH78" s="2180">
        <f t="shared" ref="FH78" si="575">FH77/FG77-1</f>
      </c>
      <c r="FI78" s="2180">
        <f t="shared" ref="FI78:FP78" si="576">FI77/FH77-1</f>
      </c>
      <c r="FJ78" s="2180">
        <f t="shared" si="576"/>
      </c>
      <c r="FK78" s="2180">
        <f t="shared" si="576"/>
      </c>
      <c r="FL78" s="2180">
        <f t="shared" si="576"/>
      </c>
      <c r="FM78" s="2180">
        <f t="shared" si="576"/>
      </c>
      <c r="FN78" s="2180">
        <f t="shared" si="576"/>
      </c>
      <c r="FO78" s="2180">
        <f t="shared" si="576"/>
      </c>
      <c r="FP78" s="2180">
        <f t="shared" si="576"/>
      </c>
      <c r="FQ78" s="2180">
        <f>FQ77/FP77-1</f>
      </c>
      <c r="FR78" s="2180">
        <f t="shared" ref="FR78:FU78" si="577">FR77/FQ77-1</f>
      </c>
      <c r="FS78" s="2180">
        <f t="shared" si="577"/>
      </c>
      <c r="FT78" s="2180">
        <f t="shared" si="577"/>
      </c>
      <c r="FU78" s="2180">
        <f t="shared" si="577"/>
      </c>
      <c r="FV78" s="812"/>
      <c r="FW78" s="812"/>
      <c r="FX78" s="812"/>
      <c r="FY78" s="812"/>
      <c r="FZ78" s="812"/>
      <c r="GA78" s="812"/>
      <c r="GB78" s="812"/>
      <c r="GC78" s="812"/>
      <c r="GD78" s="812"/>
      <c r="GE78" s="812"/>
      <c r="GF78" s="812"/>
      <c r="GG78" s="812"/>
      <c r="GH78" s="812"/>
      <c r="GI78" s="812"/>
      <c r="GJ78" s="812"/>
      <c r="GK78" s="812"/>
      <c r="GL78" s="812"/>
      <c r="GM78" s="812"/>
      <c r="GN78" s="812"/>
      <c r="GO78" s="812"/>
      <c r="GP78" s="812"/>
      <c r="GQ78" s="812"/>
      <c r="GR78" s="812"/>
      <c r="GS78" s="2180">
        <f t="shared" ref="GS78" si="578">GS77/GR77-1</f>
      </c>
      <c r="GT78" s="2180">
        <f t="shared" ref="GT78" si="579">GT77/GS77-1</f>
      </c>
      <c r="GU78" s="2180">
        <f t="shared" ref="GU78" si="580">GU77/GT77-1</f>
      </c>
      <c r="GV78" s="2180">
        <f t="shared" ref="GV78" si="581">GV77/GU77-1</f>
      </c>
      <c r="GW78" s="2180">
        <f t="shared" ref="GW78" si="582">GW77/GV77-1</f>
      </c>
      <c r="GX78" s="2180">
        <f t="shared" ref="GX78" si="583">GX77/GW77-1</f>
      </c>
      <c r="GY78" s="2180">
        <f t="shared" ref="GY78" si="584">GY77/GX77-1</f>
      </c>
      <c r="GZ78" s="2180">
        <f t="shared" ref="GZ78" si="585">GZ77/GY77-1</f>
      </c>
      <c r="HA78" s="2180">
        <f t="shared" ref="HA78" si="586">HA77/GZ77-1</f>
      </c>
      <c r="HB78" s="2180">
        <f t="shared" ref="HB78" si="587">HB77/HA77-1</f>
      </c>
      <c r="HC78" s="2180">
        <f t="shared" ref="HC78" si="588">HC77/HB77-1</f>
      </c>
      <c r="HD78" s="2180">
        <f t="shared" ref="HD78" si="589">HD77/HC77-1</f>
      </c>
    </row>
    <row r="79" spans="1:212" s="141" customFormat="1" ht="10.199999999999999">
      <c r="A79" s="927" t="s">
        <v>1198</v>
      </c>
      <c r="E79" s="267"/>
      <c r="I79" s="267"/>
      <c r="M79" s="267"/>
      <c r="Q79" s="267"/>
      <c r="U79" s="267"/>
      <c r="Y79" s="267"/>
      <c r="AC79" s="267"/>
      <c r="AG79" s="267"/>
      <c r="AK79" s="267"/>
      <c r="AO79" s="267"/>
      <c r="AS79" s="267"/>
      <c r="AW79" s="267"/>
      <c r="BA79" s="267"/>
      <c r="BE79" s="267"/>
      <c r="BI79" s="267"/>
      <c r="BM79" s="267"/>
      <c r="BQ79" s="267">
        <f t="shared" ref="BQ79:DC79" si="590">BQ77/BP77-1</f>
      </c>
      <c r="BR79" s="141">
        <f t="shared" si="590"/>
      </c>
      <c r="BS79" s="141">
        <f t="shared" si="590"/>
      </c>
      <c r="BT79" s="141">
        <f t="shared" si="590"/>
      </c>
      <c r="BU79" s="267">
        <f t="shared" si="590"/>
      </c>
      <c r="BV79" s="920">
        <f t="shared" si="590"/>
      </c>
      <c r="BW79" s="141">
        <f t="shared" si="590"/>
      </c>
      <c r="BX79" s="141">
        <f t="shared" si="590"/>
      </c>
      <c r="BY79" s="267">
        <f t="shared" si="590"/>
      </c>
      <c r="BZ79" s="920">
        <f t="shared" si="590"/>
      </c>
      <c r="CA79" s="141">
        <f t="shared" si="590"/>
      </c>
      <c r="CB79" s="141">
        <f t="shared" si="590"/>
      </c>
      <c r="CC79" s="267">
        <f t="shared" si="590"/>
      </c>
      <c r="CD79" s="920">
        <f t="shared" si="590"/>
      </c>
      <c r="CE79" s="141">
        <f t="shared" si="590"/>
      </c>
      <c r="CF79" s="141">
        <f t="shared" si="590"/>
      </c>
      <c r="CG79" s="267">
        <f t="shared" si="590"/>
      </c>
      <c r="CH79" s="920">
        <f t="shared" si="590"/>
      </c>
      <c r="CI79" s="141">
        <f t="shared" si="590"/>
      </c>
      <c r="CJ79" s="141">
        <f t="shared" si="590"/>
      </c>
      <c r="CK79" s="267">
        <f t="shared" si="590"/>
      </c>
      <c r="CL79" s="920">
        <f t="shared" si="590"/>
      </c>
      <c r="CM79" s="141">
        <f t="shared" si="590"/>
      </c>
      <c r="CN79" s="141">
        <f t="shared" si="590"/>
      </c>
      <c r="CO79" s="267">
        <f t="shared" si="590"/>
      </c>
      <c r="CP79" s="141">
        <f t="shared" si="590"/>
      </c>
      <c r="CQ79" s="919">
        <f t="shared" si="590"/>
      </c>
      <c r="CR79" s="919">
        <f t="shared" si="590"/>
      </c>
      <c r="CS79" s="267">
        <f t="shared" si="590"/>
      </c>
      <c r="CT79" s="141">
        <f t="shared" si="590"/>
      </c>
      <c r="CU79" s="919">
        <f t="shared" si="590"/>
      </c>
      <c r="CV79" s="919">
        <f t="shared" si="590"/>
      </c>
      <c r="CW79" s="411">
        <f t="shared" si="590"/>
      </c>
      <c r="CX79" s="919">
        <f t="shared" si="590"/>
      </c>
      <c r="CY79" s="919">
        <f t="shared" si="590"/>
      </c>
      <c r="CZ79" s="919">
        <f t="shared" si="590"/>
      </c>
      <c r="DA79" s="411">
        <f t="shared" si="590"/>
      </c>
      <c r="DB79" s="919">
        <f t="shared" si="590"/>
      </c>
      <c r="DC79" s="919">
        <f t="shared" si="590"/>
      </c>
      <c r="DD79" s="919">
        <f>DD77/DC77-1</f>
      </c>
      <c r="DE79" s="411">
        <f>DE77/DD77-1</f>
      </c>
      <c r="DF79" s="919">
        <f t="shared" ref="DF79:DU79" si="591">DF77/DE77-1</f>
      </c>
      <c r="DG79" s="919">
        <f t="shared" si="591"/>
      </c>
      <c r="DH79" s="919">
        <f t="shared" si="591"/>
      </c>
      <c r="DI79" s="411">
        <f t="shared" si="591"/>
      </c>
      <c r="DJ79" s="919">
        <f t="shared" si="591"/>
      </c>
      <c r="DK79" s="919">
        <f>DK77/DJ77-1</f>
      </c>
      <c r="DL79" s="919">
        <f t="shared" si="591"/>
      </c>
      <c r="DM79" s="411">
        <f t="shared" si="591"/>
      </c>
      <c r="DN79" s="919">
        <f t="shared" si="591"/>
      </c>
      <c r="DO79" s="919">
        <f>DO77/DN77-1</f>
      </c>
      <c r="DP79" s="919">
        <f>DP77/DO77-1</f>
      </c>
      <c r="DQ79" s="411">
        <f t="shared" si="591"/>
      </c>
      <c r="DR79" s="919">
        <f t="shared" si="591"/>
      </c>
      <c r="DS79" s="919">
        <f t="shared" si="591"/>
      </c>
      <c r="DT79" s="919">
        <f t="shared" si="591"/>
      </c>
      <c r="DU79" s="929">
        <f t="shared" si="591"/>
      </c>
      <c r="DV79" s="919">
        <f t="shared" ref="DV79" si="592">DV77/DU77-1</f>
      </c>
      <c r="DW79" s="919">
        <f t="shared" ref="DW79" si="593">DW77/DV77-1</f>
      </c>
      <c r="DX79" s="919">
        <f t="shared" ref="DX79" si="594">DX77/DW77-1</f>
      </c>
      <c r="DY79" s="929">
        <f t="shared" ref="DY79" si="595">DY77/DX77-1</f>
      </c>
      <c r="DZ79" s="919">
        <f t="shared" ref="DZ79" si="596">DZ77/DY77-1</f>
      </c>
      <c r="EA79" s="919">
        <f t="shared" ref="EA79" si="597">EA77/DZ77-1</f>
      </c>
      <c r="EB79" s="919">
        <f t="shared" ref="EB79" si="598">EB77/EA77-1</f>
      </c>
      <c r="EC79" s="929">
        <f t="shared" ref="EC79" si="599">EC77/EB77-1</f>
      </c>
      <c r="ED79" s="919">
        <f t="shared" ref="ED79" si="600">ED77/EC77-1</f>
      </c>
      <c r="EE79" s="919">
        <f t="shared" ref="EE79" si="601">EE77/ED77-1</f>
      </c>
      <c r="EF79" s="919">
        <f t="shared" ref="EF79" si="602">EF77/EE77-1</f>
      </c>
      <c r="EG79" s="929">
        <f t="shared" ref="EG79" si="603">EG77/EF77-1</f>
      </c>
      <c r="EH79" s="919">
        <f t="shared" ref="EH79" si="604">EH77/EG77-1</f>
      </c>
      <c r="EI79" s="919">
        <f t="shared" ref="EI79" si="605">EI77/EH77-1</f>
      </c>
      <c r="EJ79" s="919">
        <f t="shared" ref="EJ79" si="606">EJ77/EI77-1</f>
      </c>
      <c r="EK79" s="929">
        <f t="shared" ref="EK79" si="607">EK77/EJ77-1</f>
      </c>
      <c r="EM79" s="919"/>
      <c r="EN79" s="919"/>
      <c r="EO79" s="919"/>
      <c r="EP79" s="919"/>
      <c r="EQ79" s="919"/>
      <c r="ER79" s="919"/>
      <c r="ES79" s="919"/>
      <c r="ET79" s="919"/>
      <c r="EU79" s="919"/>
      <c r="EV79" s="919"/>
      <c r="EW79" s="919"/>
      <c r="EX79" s="919"/>
      <c r="EY79" s="919"/>
      <c r="EZ79" s="919"/>
      <c r="FA79" s="919"/>
      <c r="FB79" s="919"/>
      <c r="FC79" s="919"/>
      <c r="FD79" s="919"/>
      <c r="FE79" s="919"/>
      <c r="FF79" s="919"/>
      <c r="FG79" s="919"/>
      <c r="FH79" s="919"/>
      <c r="FI79" s="919"/>
      <c r="FJ79" s="919"/>
      <c r="FK79" s="919"/>
      <c r="FL79" s="919"/>
      <c r="FM79" s="919"/>
      <c r="FN79" s="919"/>
      <c r="FO79" s="919"/>
      <c r="FP79" s="919"/>
      <c r="FQ79" s="919"/>
      <c r="FR79" s="919"/>
      <c r="FS79" s="919"/>
      <c r="FT79" s="919"/>
      <c r="FU79" s="919"/>
      <c r="FV79" s="919"/>
      <c r="FW79" s="919"/>
      <c r="FX79" s="919"/>
      <c r="FY79" s="919"/>
      <c r="FZ79" s="919"/>
      <c r="GA79" s="919"/>
      <c r="GB79" s="919"/>
      <c r="GC79" s="919"/>
      <c r="GD79" s="919"/>
      <c r="GE79" s="919"/>
      <c r="GF79" s="919"/>
      <c r="GG79" s="919"/>
      <c r="GH79" s="919"/>
      <c r="GI79" s="919"/>
      <c r="GJ79" s="919"/>
      <c r="GK79" s="919"/>
      <c r="GL79" s="919"/>
      <c r="GM79" s="919"/>
      <c r="GN79" s="919"/>
      <c r="GO79" s="919"/>
      <c r="GP79" s="919"/>
      <c r="GQ79" s="919"/>
      <c r="GR79" s="919"/>
      <c r="GS79" s="919"/>
      <c r="GT79" s="919"/>
      <c r="GU79" s="919"/>
      <c r="GV79" s="919"/>
      <c r="GW79" s="919"/>
      <c r="GX79" s="919"/>
      <c r="GY79" s="919"/>
      <c r="GZ79" s="919"/>
      <c r="HA79" s="919"/>
      <c r="HB79" s="919"/>
      <c r="HC79" s="919"/>
      <c r="HD79" s="919"/>
    </row>
    <row r="80" spans="1:212" s="141" customFormat="1" ht="10.199999999999999">
      <c r="A80" s="927" t="s">
        <v>1199</v>
      </c>
      <c r="E80" s="267"/>
      <c r="I80" s="267"/>
      <c r="M80" s="267"/>
      <c r="Q80" s="267"/>
      <c r="U80" s="267"/>
      <c r="Y80" s="267"/>
      <c r="AC80" s="267"/>
      <c r="AG80" s="267"/>
      <c r="AK80" s="267"/>
      <c r="AO80" s="267"/>
      <c r="AS80" s="267"/>
      <c r="AW80" s="267"/>
      <c r="BA80" s="267"/>
      <c r="BE80" s="267"/>
      <c r="BI80" s="267"/>
      <c r="BM80" s="267"/>
      <c r="BQ80" s="267"/>
      <c r="BU80" s="267"/>
      <c r="BV80" s="920"/>
      <c r="BY80" s="267"/>
      <c r="BZ80" s="920"/>
      <c r="CC80" s="267"/>
      <c r="CD80" s="920"/>
      <c r="CF80" s="141">
        <f t="shared" ref="CF80:DH80" si="608">(CF77/BP77)^(1/4)-1</f>
      </c>
      <c r="CG80" s="267">
        <f t="shared" si="608"/>
      </c>
      <c r="CH80" s="920">
        <f t="shared" si="608"/>
      </c>
      <c r="CI80" s="141">
        <f t="shared" si="608"/>
      </c>
      <c r="CJ80" s="141">
        <f t="shared" si="608"/>
      </c>
      <c r="CK80" s="267">
        <f t="shared" si="608"/>
      </c>
      <c r="CL80" s="920">
        <f t="shared" si="608"/>
      </c>
      <c r="CM80" s="141">
        <f t="shared" si="608"/>
      </c>
      <c r="CN80" s="141">
        <f t="shared" si="608"/>
      </c>
      <c r="CO80" s="267">
        <f t="shared" si="608"/>
      </c>
      <c r="CP80" s="141">
        <f t="shared" si="608"/>
      </c>
      <c r="CQ80" s="919">
        <f t="shared" si="608"/>
      </c>
      <c r="CR80" s="919">
        <f t="shared" si="608"/>
      </c>
      <c r="CS80" s="267">
        <f t="shared" si="608"/>
      </c>
      <c r="CT80" s="141">
        <f t="shared" si="608"/>
      </c>
      <c r="CU80" s="919">
        <f t="shared" si="608"/>
      </c>
      <c r="CV80" s="919">
        <f t="shared" si="608"/>
      </c>
      <c r="CW80" s="411">
        <f t="shared" si="608"/>
      </c>
      <c r="CX80" s="919">
        <f t="shared" si="608"/>
      </c>
      <c r="CY80" s="919">
        <f t="shared" si="608"/>
      </c>
      <c r="CZ80" s="919">
        <f t="shared" si="608"/>
      </c>
      <c r="DA80" s="411">
        <f t="shared" si="608"/>
      </c>
      <c r="DB80" s="919">
        <f t="shared" si="608"/>
      </c>
      <c r="DC80" s="919">
        <f t="shared" si="608"/>
      </c>
      <c r="DD80" s="919">
        <f t="shared" si="608"/>
      </c>
      <c r="DE80" s="411">
        <f t="shared" si="608"/>
      </c>
      <c r="DF80" s="919">
        <f t="shared" si="608"/>
      </c>
      <c r="DG80" s="919">
        <f t="shared" si="608"/>
      </c>
      <c r="DH80" s="919">
        <f t="shared" si="608"/>
      </c>
      <c r="DI80" s="411">
        <f>(DI77/CS77)^(1/4)-1</f>
      </c>
      <c r="DJ80" s="919">
        <f t="shared" ref="DJ80:DU80" si="609">(DJ77/CT77)^(1/4)-1</f>
      </c>
      <c r="DK80" s="919">
        <f t="shared" si="609"/>
      </c>
      <c r="DL80" s="919">
        <f t="shared" si="609"/>
      </c>
      <c r="DM80" s="411">
        <f t="shared" si="609"/>
      </c>
      <c r="DN80" s="919">
        <f t="shared" si="609"/>
      </c>
      <c r="DO80" s="919">
        <f t="shared" si="609"/>
      </c>
      <c r="DP80" s="919">
        <f t="shared" si="609"/>
      </c>
      <c r="DQ80" s="411">
        <f t="shared" si="609"/>
      </c>
      <c r="DR80" s="919">
        <f t="shared" si="609"/>
      </c>
      <c r="DS80" s="919">
        <f t="shared" si="609"/>
      </c>
      <c r="DT80" s="919">
        <f t="shared" si="609"/>
      </c>
      <c r="DU80" s="929">
        <f t="shared" si="609"/>
      </c>
      <c r="DV80" s="919">
        <f t="shared" ref="DV80" si="610">(DV77/DF77)^(1/4)-1</f>
      </c>
      <c r="DW80" s="919">
        <f t="shared" ref="DW80" si="611">(DW77/DG77)^(1/4)-1</f>
      </c>
      <c r="DX80" s="919">
        <f t="shared" ref="DX80" si="612">(DX77/DH77)^(1/4)-1</f>
      </c>
      <c r="DY80" s="929">
        <f t="shared" ref="DY80" si="613">(DY77/DI77)^(1/4)-1</f>
      </c>
      <c r="DZ80" s="919">
        <f t="shared" ref="DZ80" si="614">(DZ77/DJ77)^(1/4)-1</f>
      </c>
      <c r="EA80" s="919">
        <f t="shared" ref="EA80" si="615">(EA77/DK77)^(1/4)-1</f>
      </c>
      <c r="EB80" s="919">
        <f t="shared" ref="EB80" si="616">(EB77/DL77)^(1/4)-1</f>
      </c>
      <c r="EC80" s="929">
        <f t="shared" ref="EC80" si="617">(EC77/DM77)^(1/4)-1</f>
      </c>
      <c r="ED80" s="919">
        <f t="shared" ref="ED80" si="618">(ED77/DN77)^(1/4)-1</f>
      </c>
      <c r="EE80" s="919">
        <f t="shared" ref="EE80" si="619">(EE77/DO77)^(1/4)-1</f>
      </c>
      <c r="EF80" s="919">
        <f t="shared" ref="EF80" si="620">(EF77/DP77)^(1/4)-1</f>
      </c>
      <c r="EG80" s="929">
        <f t="shared" ref="EG80" si="621">(EG77/DQ77)^(1/4)-1</f>
      </c>
      <c r="EH80" s="919">
        <f t="shared" ref="EH80" si="622">(EH77/DR77)^(1/4)-1</f>
      </c>
      <c r="EI80" s="919">
        <f t="shared" ref="EI80" si="623">(EI77/DS77)^(1/4)-1</f>
      </c>
      <c r="EJ80" s="919">
        <f t="shared" ref="EJ80" si="624">(EJ77/DT77)^(1/4)-1</f>
      </c>
      <c r="EK80" s="929">
        <f t="shared" ref="EK80" si="625">(EK77/DU77)^(1/4)-1</f>
      </c>
      <c r="EM80" s="919"/>
      <c r="EN80" s="919"/>
      <c r="EO80" s="919"/>
      <c r="EP80" s="919"/>
      <c r="EQ80" s="919"/>
      <c r="ER80" s="919"/>
      <c r="ES80" s="919"/>
      <c r="ET80" s="919"/>
      <c r="EU80" s="919"/>
      <c r="EV80" s="919"/>
      <c r="EW80" s="919"/>
      <c r="EX80" s="919"/>
      <c r="EY80" s="919"/>
      <c r="EZ80" s="919"/>
      <c r="FA80" s="919"/>
      <c r="FB80" s="919"/>
      <c r="FC80" s="919"/>
      <c r="FD80" s="919"/>
      <c r="FE80" s="919"/>
      <c r="FF80" s="919"/>
      <c r="FG80" s="919"/>
      <c r="FH80" s="919"/>
      <c r="FI80" s="919"/>
      <c r="FJ80" s="919"/>
      <c r="FK80" s="919"/>
      <c r="FL80" s="919"/>
      <c r="FM80" s="919"/>
      <c r="FN80" s="919"/>
      <c r="FO80" s="919"/>
      <c r="FP80" s="919"/>
      <c r="FQ80" s="919"/>
      <c r="FR80" s="919"/>
      <c r="FS80" s="919"/>
      <c r="FT80" s="919"/>
      <c r="FU80" s="919"/>
      <c r="FV80" s="919"/>
      <c r="FW80" s="919"/>
      <c r="FX80" s="919"/>
      <c r="FY80" s="919"/>
      <c r="FZ80" s="919"/>
      <c r="GA80" s="919"/>
      <c r="GB80" s="919"/>
      <c r="GC80" s="919"/>
      <c r="GD80" s="919"/>
      <c r="GE80" s="919"/>
      <c r="GF80" s="919"/>
      <c r="GG80" s="919"/>
      <c r="GH80" s="919"/>
      <c r="GI80" s="919"/>
      <c r="GJ80" s="919"/>
      <c r="GK80" s="919"/>
      <c r="GL80" s="919"/>
      <c r="GM80" s="919"/>
      <c r="GN80" s="919"/>
      <c r="GO80" s="919"/>
      <c r="GP80" s="919"/>
      <c r="GQ80" s="919"/>
      <c r="GR80" s="919"/>
      <c r="GS80" s="919"/>
      <c r="GT80" s="919"/>
      <c r="GU80" s="919"/>
      <c r="GV80" s="919"/>
      <c r="GW80" s="919"/>
      <c r="GX80" s="919"/>
      <c r="GY80" s="919"/>
      <c r="GZ80" s="919"/>
      <c r="HA80" s="919"/>
      <c r="HB80" s="919"/>
      <c r="HC80" s="919"/>
      <c r="HD80" s="919"/>
    </row>
    <row r="81" spans="1:212" s="89" customFormat="1" ht="10.199999999999999">
      <c r="A81" s="930"/>
      <c r="E81" s="260"/>
      <c r="I81" s="260"/>
      <c r="M81" s="260"/>
      <c r="Q81" s="260"/>
      <c r="U81" s="260"/>
      <c r="Y81" s="260"/>
      <c r="AC81" s="260"/>
      <c r="AG81" s="260"/>
      <c r="AJ81" s="72"/>
      <c r="AK81" s="227"/>
      <c r="AL81" s="72"/>
      <c r="AM81" s="72"/>
      <c r="AN81" s="72"/>
      <c r="AO81" s="227"/>
      <c r="AP81" s="72"/>
      <c r="AQ81" s="72"/>
      <c r="AR81" s="72"/>
      <c r="AS81" s="227"/>
      <c r="AT81" s="72"/>
      <c r="AU81" s="72"/>
      <c r="AV81" s="72"/>
      <c r="AW81" s="227"/>
      <c r="AX81" s="72"/>
      <c r="AY81" s="72"/>
      <c r="AZ81" s="72"/>
      <c r="BA81" s="227"/>
      <c r="BB81" s="72"/>
      <c r="BC81" s="72"/>
      <c r="BD81" s="72"/>
      <c r="BE81" s="227"/>
      <c r="BF81" s="72"/>
      <c r="BG81" s="72"/>
      <c r="BH81" s="72"/>
      <c r="BI81" s="227"/>
      <c r="BJ81" s="72"/>
      <c r="BK81" s="72"/>
      <c r="BL81" s="72"/>
      <c r="BM81" s="227"/>
      <c r="BN81" s="72"/>
      <c r="BO81" s="72"/>
      <c r="BP81" s="72"/>
      <c r="BQ81" s="227"/>
      <c r="BR81" s="72"/>
      <c r="BS81" s="72"/>
      <c r="BT81" s="72"/>
      <c r="BU81" s="227"/>
      <c r="BV81" s="355"/>
      <c r="BW81" s="72"/>
      <c r="BX81" s="72"/>
      <c r="BY81" s="227"/>
      <c r="BZ81" s="355"/>
      <c r="CA81" s="72"/>
      <c r="CB81" s="72"/>
      <c r="CC81" s="227"/>
      <c r="CD81" s="355"/>
      <c r="CE81" s="72"/>
      <c r="CF81" s="72"/>
      <c r="CG81" s="227"/>
      <c r="CH81" s="355"/>
      <c r="CI81" s="72"/>
      <c r="CJ81" s="72"/>
      <c r="CK81" s="227"/>
      <c r="CL81" s="355"/>
      <c r="CM81" s="72"/>
      <c r="CN81" s="72"/>
      <c r="CO81" s="227"/>
      <c r="CP81" s="72"/>
      <c r="CQ81" s="87"/>
      <c r="CR81" s="87"/>
      <c r="CS81" s="227"/>
      <c r="CT81" s="72"/>
      <c r="CU81" s="87"/>
      <c r="CV81" s="87"/>
      <c r="CW81" s="416"/>
      <c r="CX81" s="87"/>
      <c r="CY81" s="1057"/>
      <c r="CZ81" s="1057"/>
      <c r="DA81" s="2259"/>
      <c r="DB81" s="1057"/>
      <c r="DC81" s="1057"/>
      <c r="DD81" s="1057"/>
      <c r="DE81" s="780"/>
      <c r="DF81" s="1060"/>
      <c r="DG81" s="779"/>
      <c r="DH81" s="71"/>
      <c r="DI81" s="232"/>
      <c r="DJ81" s="419"/>
      <c r="DK81" s="1073"/>
      <c r="DL81" s="71"/>
      <c r="DM81" s="232"/>
      <c r="DN81" s="419"/>
      <c r="DO81" s="71"/>
      <c r="DP81" s="71"/>
      <c r="DQ81" s="232"/>
      <c r="DR81" s="419"/>
      <c r="DS81" s="71"/>
      <c r="DT81" s="71"/>
      <c r="DU81" s="931"/>
      <c r="DV81" s="419"/>
      <c r="DW81" s="71"/>
      <c r="DX81" s="71"/>
      <c r="DY81" s="931"/>
      <c r="DZ81" s="419"/>
      <c r="EA81" s="71"/>
      <c r="EB81" s="71"/>
      <c r="EC81" s="931"/>
      <c r="ED81" s="419"/>
      <c r="EE81" s="71"/>
      <c r="EF81" s="71"/>
      <c r="EG81" s="931"/>
      <c r="EH81" s="419"/>
      <c r="EI81" s="71"/>
      <c r="EJ81" s="71"/>
      <c r="EK81" s="931"/>
      <c r="EM81" s="71"/>
      <c r="EN81" s="71"/>
      <c r="EO81" s="71"/>
      <c r="EP81" s="71"/>
      <c r="EQ81" s="71"/>
      <c r="ER81" s="71"/>
      <c r="ES81" s="71"/>
      <c r="ET81" s="71"/>
      <c r="EU81" s="71"/>
      <c r="EV81" s="71"/>
      <c r="EW81" s="71"/>
      <c r="EX81" s="71"/>
      <c r="EY81" s="71"/>
      <c r="EZ81" s="71"/>
      <c r="FA81" s="71"/>
      <c r="FB81" s="71"/>
      <c r="FC81" s="71"/>
      <c r="FD81" s="71"/>
      <c r="FE81" s="71"/>
      <c r="FF81" s="71"/>
      <c r="FG81" s="71"/>
      <c r="FH81" s="71"/>
      <c r="FI81" s="71"/>
      <c r="FJ81" s="71"/>
      <c r="FK81" s="71"/>
      <c r="FL81" s="71"/>
      <c r="FM81" s="71"/>
      <c r="FN81" s="71"/>
      <c r="FO81" s="71"/>
      <c r="FP81" s="71"/>
      <c r="FQ81" s="71"/>
      <c r="FR81" s="71"/>
      <c r="FS81" s="71"/>
      <c r="FT81" s="71"/>
      <c r="FU81" s="71"/>
      <c r="FV81" s="71"/>
      <c r="FW81" s="71"/>
      <c r="FX81" s="71"/>
      <c r="FY81" s="71"/>
      <c r="FZ81" s="71"/>
      <c r="GA81" s="71"/>
      <c r="GB81" s="71"/>
      <c r="GC81" s="71"/>
      <c r="GD81" s="71"/>
      <c r="GE81" s="71"/>
      <c r="GF81" s="71"/>
      <c r="GG81" s="71"/>
      <c r="GH81" s="71"/>
      <c r="GI81" s="71"/>
      <c r="GJ81" s="71"/>
      <c r="GK81" s="71"/>
      <c r="GL81" s="71"/>
      <c r="GM81" s="71"/>
      <c r="GN81" s="71"/>
      <c r="GO81" s="71"/>
      <c r="GP81" s="71"/>
      <c r="GQ81" s="71"/>
      <c r="GR81" s="71"/>
      <c r="GS81" s="71"/>
      <c r="GT81" s="71"/>
      <c r="GU81" s="71"/>
      <c r="GV81" s="71"/>
      <c r="GW81" s="71"/>
      <c r="GX81" s="71"/>
      <c r="GY81" s="71"/>
      <c r="GZ81" s="71"/>
      <c r="HA81" s="71"/>
      <c r="HB81" s="71"/>
      <c r="HC81" s="71"/>
      <c r="HD81" s="71"/>
    </row>
    <row r="82" spans="1:212" s="905" customFormat="1" ht="10.199999999999999">
      <c r="A82" s="1125" t="s">
        <v>1469</v>
      </c>
      <c r="E82" s="1058"/>
      <c r="I82" s="1058"/>
      <c r="M82" s="1058"/>
      <c r="Q82" s="1058"/>
      <c r="U82" s="1058"/>
      <c r="Y82" s="1058"/>
      <c r="AC82" s="1058"/>
      <c r="AG82" s="1058"/>
      <c r="AK82" s="1058"/>
      <c r="AO82" s="1058"/>
      <c r="AS82" s="1058"/>
      <c r="AW82" s="1058"/>
      <c r="BA82" s="1058"/>
      <c r="BE82" s="1058"/>
      <c r="BI82" s="1058"/>
      <c r="BM82" s="1058"/>
      <c r="BN82" s="779"/>
      <c r="BO82" s="779">
        <v>625.60560799999996</v>
      </c>
      <c r="BP82" s="779">
        <v>703.03109700000005</v>
      </c>
      <c r="BQ82" s="780">
        <v>766.49552700000004</v>
      </c>
      <c r="BR82" s="779">
        <v>939.93786999999998</v>
      </c>
      <c r="BS82" s="779">
        <v>1208.893217</v>
      </c>
      <c r="BT82" s="779">
        <v>1348.586086</v>
      </c>
      <c r="BU82" s="780">
        <v>1454.7964360000001</v>
      </c>
      <c r="BV82" s="1060">
        <v>1710.1585700000001</v>
      </c>
      <c r="BW82" s="779">
        <v>2140.314813</v>
      </c>
      <c r="BX82" s="779">
        <v>2348.6531829999999</v>
      </c>
      <c r="BY82" s="780">
        <v>2473.4494249999998</v>
      </c>
      <c r="BZ82" s="1060">
        <v>2614.8673290000002</v>
      </c>
      <c r="CA82" s="779">
        <v>2924.6108079999999</v>
      </c>
      <c r="CB82" s="779">
        <v>3011.4164559999999</v>
      </c>
      <c r="CC82" s="780">
        <v>3306.9554549999998</v>
      </c>
      <c r="CD82" s="1060">
        <v>3663.0850690000002</v>
      </c>
      <c r="CE82" s="779">
        <v>4339.9167989999996</v>
      </c>
      <c r="CF82" s="779">
        <v>4619.7694849999998</v>
      </c>
      <c r="CG82" s="780">
        <v>5285.6458510000002</v>
      </c>
      <c r="CH82" s="1060">
        <v>5811.174199</v>
      </c>
      <c r="CI82" s="779">
        <v>6183.0366240000003</v>
      </c>
      <c r="CJ82" s="779">
        <v>6265.4187810000003</v>
      </c>
      <c r="CK82" s="780">
        <v>6918.7578569999996</v>
      </c>
      <c r="CL82" s="1060">
        <v>7239.1332899999998</v>
      </c>
      <c r="CM82" s="779">
        <v>7623.7173489999996</v>
      </c>
      <c r="CN82" s="779">
        <v>7714.9658499999996</v>
      </c>
      <c r="CO82" s="780">
        <v>8189.3580970000003</v>
      </c>
      <c r="CP82" s="779">
        <v>8469.1480530000008</v>
      </c>
      <c r="CQ82" s="779">
        <v>8646.2714950000009</v>
      </c>
      <c r="CR82" s="779">
        <v>8847.9834640000008</v>
      </c>
      <c r="CS82" s="780">
        <v>9803.784936</v>
      </c>
      <c r="CT82" s="779">
        <v>10075.851729</v>
      </c>
      <c r="CU82" s="779">
        <v>11255.263148</v>
      </c>
      <c r="CV82" s="779">
        <v>12366.152414</v>
      </c>
      <c r="CW82" s="780">
        <v>12714.023064999999</v>
      </c>
      <c r="CX82" s="779">
        <v>13032.964246</v>
      </c>
      <c r="CY82" s="779">
        <v>14013.319965000001</v>
      </c>
      <c r="CZ82" s="779">
        <v>13936.605087</v>
      </c>
      <c r="DA82" s="780">
        <v>14482.475152000001</v>
      </c>
      <c r="DB82" s="779">
        <v>14434.741416999999</v>
      </c>
      <c r="DC82" s="779">
        <v>14951.576392000001</v>
      </c>
      <c r="DD82" s="779">
        <v>14301.543564</v>
      </c>
      <c r="DE82" s="780">
        <v>14432.437664999999</v>
      </c>
      <c r="DF82" s="1060">
        <v>14576.028667</v>
      </c>
      <c r="DG82" s="779">
        <v>15366.869490999999</v>
      </c>
      <c r="DH82" s="779">
        <v>15519.340201000001</v>
      </c>
      <c r="DI82" s="780">
        <v>16202.525525999999</v>
      </c>
      <c r="DJ82" s="1060">
        <v>16700.598608</v>
      </c>
      <c r="DK82" s="779">
        <v>17441.169683</v>
      </c>
      <c r="DL82" s="779">
        <v>17509.106447999999</v>
      </c>
      <c r="DM82" s="780">
        <v>18184.994422</v>
      </c>
      <c r="DN82" s="1060">
        <v>18563.783180999999</v>
      </c>
      <c r="DO82" s="779">
        <v>18885.714573000001</v>
      </c>
      <c r="DP82" s="779">
        <v>19535.83627</v>
      </c>
      <c r="DQ82" s="780"/>
      <c r="DR82" s="1060"/>
      <c r="DS82" s="779"/>
      <c r="DT82" s="779"/>
      <c r="DU82" s="1124"/>
      <c r="DV82" s="1060"/>
      <c r="DW82" s="779"/>
      <c r="DX82" s="779"/>
      <c r="DY82" s="1124"/>
      <c r="DZ82" s="1060"/>
      <c r="EA82" s="779"/>
      <c r="EB82" s="779"/>
      <c r="EC82" s="1124"/>
      <c r="ED82" s="1060"/>
      <c r="EE82" s="779"/>
      <c r="EF82" s="779"/>
      <c r="EG82" s="1124"/>
      <c r="EH82" s="1060"/>
      <c r="EI82" s="779"/>
      <c r="EJ82" s="779"/>
      <c r="EK82" s="1124"/>
      <c r="EM82" s="779"/>
      <c r="EN82" s="779"/>
      <c r="EO82" s="779"/>
      <c r="EP82" s="779"/>
      <c r="EQ82" s="779"/>
      <c r="ER82" s="779"/>
      <c r="ES82" s="779"/>
      <c r="ET82" s="779"/>
      <c r="EU82" s="779"/>
      <c r="EV82" s="779"/>
      <c r="EW82" s="779"/>
      <c r="EX82" s="779"/>
      <c r="EY82" s="779"/>
      <c r="EZ82" s="779"/>
      <c r="FA82" s="779"/>
      <c r="FB82" s="779"/>
      <c r="FC82" s="1057">
        <f>SUM(BN82:BQ82)</f>
      </c>
      <c r="FD82" s="1057">
        <f>SUM(BR82:BU82)</f>
      </c>
      <c r="FE82" s="1057">
        <f>SUM(BV82:BY82)</f>
      </c>
      <c r="FF82" s="1057">
        <f>SUM(BZ82:CC82)</f>
      </c>
      <c r="FG82" s="1057">
        <f>SUM(CD82:CG82)</f>
      </c>
      <c r="FH82" s="1057">
        <f>SUM(CH82:CK82)</f>
      </c>
      <c r="FI82" s="1057">
        <f>SUM(CL82:CO82)</f>
      </c>
      <c r="FJ82" s="1057">
        <f t="shared" ref="FJ82" si="626">SUM(CP82:CS82)</f>
      </c>
      <c r="FK82" s="1057">
        <f t="shared" ref="FK82" si="627">SUM(CT82:CW82)</f>
      </c>
      <c r="FL82" s="1057">
        <f t="shared" ref="FL82" si="628">SUM(CX82:DA82)</f>
      </c>
      <c r="FM82" s="1057">
        <f t="shared" ref="FM82" si="629">SUM(DB82:DE82)</f>
      </c>
      <c r="FN82" s="1057">
        <f t="shared" ref="FN82" si="630">SUM(DF82:DI82)</f>
      </c>
      <c r="FO82" s="1057">
        <f t="shared" ref="FO82" si="631">SUM(DJ82:DM82)</f>
      </c>
      <c r="FP82" s="1057">
        <f>SUM(DN82:DQ82)</f>
      </c>
      <c r="FQ82" s="1057">
        <f>SUM(DR82:DU82)</f>
      </c>
      <c r="FR82" s="1057">
        <f>SUM(DV82:DY82)</f>
      </c>
      <c r="FS82" s="1057">
        <f>SUM(DZ82:EC82)</f>
      </c>
      <c r="FT82" s="1057">
        <f>SUM(ED82:EG82)</f>
      </c>
      <c r="FU82" s="1057">
        <f>SUM(EH82:EK82)</f>
      </c>
      <c r="FV82" s="779"/>
      <c r="FW82" s="779"/>
      <c r="FX82" s="779"/>
      <c r="FY82" s="779"/>
      <c r="FZ82" s="779"/>
      <c r="GA82" s="779"/>
      <c r="GB82" s="779"/>
      <c r="GC82" s="779"/>
      <c r="GD82" s="779"/>
      <c r="GE82" s="779"/>
      <c r="GF82" s="779"/>
      <c r="GG82" s="779"/>
      <c r="GH82" s="779"/>
      <c r="GI82" s="779"/>
      <c r="GJ82" s="779"/>
      <c r="GK82" s="779"/>
      <c r="GL82" s="779"/>
      <c r="GM82" s="1057">
        <f>SUM(BO82:BR82)</f>
      </c>
      <c r="GN82" s="1057">
        <f>SUM(BS82:BV82)</f>
      </c>
      <c r="GO82" s="1057">
        <f>SUM(BW82:BZ82)</f>
      </c>
      <c r="GP82" s="1057">
        <f>SUM(CA82:CD82)</f>
      </c>
      <c r="GQ82" s="1057">
        <f>SUM(CE82:CH82)</f>
      </c>
      <c r="GR82" s="1057">
        <f>SUM(CI82:CL82)</f>
      </c>
      <c r="GS82" s="1057">
        <f>SUM(CM82:CP82)</f>
      </c>
      <c r="GT82" s="1057">
        <f>SUM(CQ82:CT82)</f>
      </c>
      <c r="GU82" s="1057">
        <f>SUM(CU82:CX82)</f>
      </c>
      <c r="GV82" s="1057">
        <f>SUM(CY82:DB82)</f>
      </c>
      <c r="GW82" s="1057">
        <f>SUM(DC82:DF82)</f>
      </c>
      <c r="GX82" s="1057">
        <f>SUM(DG82:DJ82)</f>
      </c>
      <c r="GY82" s="1057">
        <f>SUM(DK82:DN82)</f>
      </c>
      <c r="GZ82" s="1057">
        <f>SUM(DO82:DR82)</f>
      </c>
      <c r="HA82" s="1057">
        <f>SUM(DS82:DV82)</f>
      </c>
      <c r="HB82" s="1057">
        <f>SUM(DW82:DZ82)</f>
      </c>
      <c r="HC82" s="1057">
        <f>SUM(EA82:ED82)</f>
      </c>
      <c r="HD82" s="1057">
        <f>SUM(EE82:EH82)</f>
      </c>
    </row>
    <row r="83" spans="1:212" s="905" customFormat="1" ht="10.199999999999999">
      <c r="A83" s="1125" t="s">
        <v>1468</v>
      </c>
      <c r="E83" s="1058"/>
      <c r="I83" s="1058"/>
      <c r="M83" s="1058"/>
      <c r="Q83" s="1058"/>
      <c r="U83" s="1058"/>
      <c r="Y83" s="1058"/>
      <c r="AC83" s="1058"/>
      <c r="AG83" s="1058"/>
      <c r="AK83" s="1058"/>
      <c r="AO83" s="1058"/>
      <c r="AS83" s="1058"/>
      <c r="AW83" s="1058"/>
      <c r="BA83" s="1058"/>
      <c r="BE83" s="1058"/>
      <c r="BI83" s="1058"/>
      <c r="BM83" s="1058"/>
      <c r="BN83" s="672"/>
      <c r="BO83" s="672">
        <f t="shared" ref="BO83:DU83" si="632">BO82/0.7</f>
      </c>
      <c r="BP83" s="672">
        <f t="shared" si="632"/>
      </c>
      <c r="BQ83" s="671">
        <f t="shared" si="632"/>
      </c>
      <c r="BR83" s="672">
        <f t="shared" si="632"/>
      </c>
      <c r="BS83" s="672">
        <f t="shared" si="632"/>
      </c>
      <c r="BT83" s="672">
        <f t="shared" si="632"/>
      </c>
      <c r="BU83" s="671">
        <f t="shared" si="632"/>
      </c>
      <c r="BV83" s="1305">
        <f t="shared" si="632"/>
      </c>
      <c r="BW83" s="672">
        <f t="shared" si="632"/>
      </c>
      <c r="BX83" s="672">
        <f t="shared" si="632"/>
      </c>
      <c r="BY83" s="671">
        <f t="shared" si="632"/>
      </c>
      <c r="BZ83" s="1305">
        <f t="shared" si="632"/>
      </c>
      <c r="CA83" s="672">
        <f t="shared" si="632"/>
      </c>
      <c r="CB83" s="672">
        <f t="shared" si="632"/>
      </c>
      <c r="CC83" s="671">
        <f t="shared" si="632"/>
      </c>
      <c r="CD83" s="1305">
        <f t="shared" si="632"/>
      </c>
      <c r="CE83" s="672">
        <f t="shared" si="632"/>
      </c>
      <c r="CF83" s="672">
        <f t="shared" si="632"/>
      </c>
      <c r="CG83" s="671">
        <f t="shared" si="632"/>
      </c>
      <c r="CH83" s="1305">
        <f t="shared" si="632"/>
      </c>
      <c r="CI83" s="672">
        <f t="shared" si="632"/>
      </c>
      <c r="CJ83" s="672">
        <f t="shared" si="632"/>
      </c>
      <c r="CK83" s="671">
        <f t="shared" si="632"/>
      </c>
      <c r="CL83" s="1305">
        <f t="shared" si="632"/>
      </c>
      <c r="CM83" s="672">
        <f t="shared" si="632"/>
      </c>
      <c r="CN83" s="672">
        <f t="shared" si="632"/>
      </c>
      <c r="CO83" s="671">
        <f t="shared" si="632"/>
      </c>
      <c r="CP83" s="672">
        <f t="shared" si="632"/>
      </c>
      <c r="CQ83" s="672">
        <f t="shared" si="632"/>
      </c>
      <c r="CR83" s="672">
        <f t="shared" si="632"/>
      </c>
      <c r="CS83" s="671">
        <f t="shared" si="632"/>
      </c>
      <c r="CT83" s="672">
        <f t="shared" si="632"/>
      </c>
      <c r="CU83" s="672">
        <f t="shared" si="632"/>
      </c>
      <c r="CV83" s="672">
        <f t="shared" si="632"/>
      </c>
      <c r="CW83" s="671">
        <f t="shared" si="632"/>
      </c>
      <c r="CX83" s="672">
        <f t="shared" si="632"/>
      </c>
      <c r="CY83" s="672">
        <f t="shared" si="632"/>
      </c>
      <c r="CZ83" s="672">
        <f t="shared" si="632"/>
      </c>
      <c r="DA83" s="671">
        <f t="shared" si="632"/>
      </c>
      <c r="DB83" s="672">
        <f t="shared" si="632"/>
      </c>
      <c r="DC83" s="672">
        <f t="shared" si="632"/>
      </c>
      <c r="DD83" s="672">
        <f t="shared" si="632"/>
      </c>
      <c r="DE83" s="671">
        <f>DE82/0.7</f>
      </c>
      <c r="DF83" s="672">
        <f t="shared" si="632"/>
      </c>
      <c r="DG83" s="672">
        <f t="shared" si="632"/>
      </c>
      <c r="DH83" s="672">
        <f t="shared" si="632"/>
      </c>
      <c r="DI83" s="671">
        <f t="shared" si="632"/>
      </c>
      <c r="DJ83" s="672">
        <f t="shared" si="632"/>
      </c>
      <c r="DK83" s="672">
        <f t="shared" si="632"/>
      </c>
      <c r="DL83" s="672">
        <f t="shared" si="632"/>
      </c>
      <c r="DM83" s="671">
        <f t="shared" si="632"/>
      </c>
      <c r="DN83" s="672">
        <f t="shared" ref="DN83" si="633">DN82/0.7</f>
      </c>
      <c r="DO83" s="672">
        <f t="shared" si="632"/>
      </c>
      <c r="DP83" s="672">
        <f t="shared" si="632"/>
      </c>
      <c r="DQ83" s="671">
        <f t="shared" si="632"/>
      </c>
      <c r="DR83" s="672">
        <f t="shared" si="632"/>
      </c>
      <c r="DS83" s="672">
        <f t="shared" si="632"/>
      </c>
      <c r="DT83" s="672">
        <f t="shared" si="632"/>
      </c>
      <c r="DU83" s="671">
        <f t="shared" si="632"/>
      </c>
      <c r="DV83" s="672">
        <f t="shared" ref="DV83:EK83" si="634">DV82/0.7</f>
      </c>
      <c r="DW83" s="672">
        <f t="shared" si="634"/>
      </c>
      <c r="DX83" s="672">
        <f t="shared" si="634"/>
      </c>
      <c r="DY83" s="671">
        <f t="shared" si="634"/>
      </c>
      <c r="DZ83" s="672">
        <f t="shared" si="634"/>
      </c>
      <c r="EA83" s="672">
        <f t="shared" si="634"/>
      </c>
      <c r="EB83" s="672">
        <f t="shared" si="634"/>
      </c>
      <c r="EC83" s="671">
        <f t="shared" si="634"/>
      </c>
      <c r="ED83" s="672">
        <f t="shared" si="634"/>
      </c>
      <c r="EE83" s="672">
        <f t="shared" si="634"/>
      </c>
      <c r="EF83" s="672">
        <f t="shared" si="634"/>
      </c>
      <c r="EG83" s="671">
        <f t="shared" si="634"/>
      </c>
      <c r="EH83" s="672">
        <f t="shared" si="634"/>
      </c>
      <c r="EI83" s="672">
        <f t="shared" si="634"/>
      </c>
      <c r="EJ83" s="672">
        <f t="shared" si="634"/>
      </c>
      <c r="EK83" s="671">
        <f t="shared" si="634"/>
      </c>
      <c r="EM83" s="779"/>
      <c r="EN83" s="779"/>
      <c r="EO83" s="779"/>
      <c r="EP83" s="779"/>
      <c r="EQ83" s="779"/>
      <c r="ER83" s="779"/>
      <c r="ES83" s="779"/>
      <c r="ET83" s="779"/>
      <c r="EU83" s="779"/>
      <c r="EV83" s="779"/>
      <c r="EW83" s="779"/>
      <c r="EX83" s="779"/>
      <c r="EY83" s="779"/>
      <c r="EZ83" s="779"/>
      <c r="FA83" s="779"/>
      <c r="FB83" s="779"/>
      <c r="FC83" s="1057">
        <f>SUM(BN83:BQ83)</f>
      </c>
      <c r="FD83" s="1057">
        <f>SUM(BR83:BU83)</f>
      </c>
      <c r="FE83" s="1057">
        <f>SUM(BV83:BY83)</f>
      </c>
      <c r="FF83" s="1057">
        <f>SUM(BZ83:CC83)</f>
      </c>
      <c r="FG83" s="1057">
        <f>SUM(CD83:CG83)</f>
      </c>
      <c r="FH83" s="1057">
        <f>SUM(CH83:CK83)</f>
      </c>
      <c r="FI83" s="1057">
        <f>SUM(CL83:CO83)</f>
      </c>
      <c r="FJ83" s="1057">
        <f t="shared" ref="FJ83" si="635">SUM(CP83:CS83)</f>
      </c>
      <c r="FK83" s="1057">
        <f t="shared" ref="FK83" si="636">SUM(CT83:CW83)</f>
      </c>
      <c r="FL83" s="1057">
        <f t="shared" ref="FL83" si="637">SUM(CX83:DA83)</f>
      </c>
      <c r="FM83" s="1057">
        <f t="shared" ref="FM83" si="638">SUM(DB83:DE83)</f>
      </c>
      <c r="FN83" s="1057">
        <f t="shared" ref="FN83" si="639">SUM(DF83:DI83)</f>
      </c>
      <c r="FO83" s="1057">
        <f t="shared" ref="FO83" si="640">SUM(DJ83:DM83)</f>
      </c>
      <c r="FP83" s="1057">
        <f>SUM(DN83:DQ83)</f>
      </c>
      <c r="FQ83" s="1057">
        <f>SUM(DR83:DU83)</f>
      </c>
      <c r="FR83" s="1057">
        <f>SUM(DV83:DY83)</f>
      </c>
      <c r="FS83" s="1057">
        <f>SUM(DZ83:EC83)</f>
      </c>
      <c r="FT83" s="1057">
        <f>SUM(ED83:EG83)</f>
      </c>
      <c r="FU83" s="1057">
        <f>SUM(EH83:EK83)</f>
      </c>
      <c r="FV83" s="779"/>
      <c r="FW83" s="779"/>
      <c r="FX83" s="779"/>
      <c r="FY83" s="779"/>
      <c r="FZ83" s="779"/>
      <c r="GA83" s="779"/>
      <c r="GB83" s="779"/>
      <c r="GC83" s="779"/>
      <c r="GD83" s="779"/>
      <c r="GE83" s="779"/>
      <c r="GF83" s="779"/>
      <c r="GG83" s="779"/>
      <c r="GH83" s="779"/>
      <c r="GI83" s="779"/>
      <c r="GJ83" s="779"/>
      <c r="GK83" s="779"/>
      <c r="GL83" s="779"/>
      <c r="GM83" s="1057">
        <f>SUM(BO83:BR83)</f>
      </c>
      <c r="GN83" s="1057">
        <f>SUM(BS83:BV83)</f>
      </c>
      <c r="GO83" s="1057">
        <f>SUM(BW83:BZ83)</f>
      </c>
      <c r="GP83" s="1057">
        <f>SUM(CA83:CD83)</f>
      </c>
      <c r="GQ83" s="1057">
        <f>SUM(CE83:CH83)</f>
      </c>
      <c r="GR83" s="1057">
        <f>SUM(CI83:CL83)</f>
      </c>
      <c r="GS83" s="1057">
        <f>SUM(CM83:CP83)</f>
      </c>
      <c r="GT83" s="1057">
        <f>SUM(CQ83:CT83)</f>
      </c>
      <c r="GU83" s="1057">
        <f>SUM(CU83:CX83)</f>
      </c>
      <c r="GV83" s="1057">
        <f>SUM(CY83:DB83)</f>
      </c>
      <c r="GW83" s="1057">
        <f>SUM(DC83:DF83)</f>
      </c>
      <c r="GX83" s="1057">
        <f>SUM(DG83:DJ83)</f>
      </c>
      <c r="GY83" s="1057">
        <f>SUM(DK83:DN83)</f>
      </c>
      <c r="GZ83" s="1057">
        <f>SUM(DO83:DR83)</f>
      </c>
      <c r="HA83" s="1057">
        <f>SUM(DS83:DV83)</f>
      </c>
      <c r="HB83" s="1057">
        <f>SUM(DW83:DZ83)</f>
      </c>
      <c r="HC83" s="1057">
        <f>SUM(EA83:ED83)</f>
      </c>
      <c r="HD83" s="1057">
        <f>SUM(EE83:EH83)</f>
      </c>
    </row>
    <row r="84" spans="1:212" s="89" customFormat="1" ht="10.199999999999999">
      <c r="A84" s="932"/>
      <c r="E84" s="260"/>
      <c r="I84" s="260"/>
      <c r="M84" s="260"/>
      <c r="Q84" s="260"/>
      <c r="U84" s="260"/>
      <c r="Y84" s="260"/>
      <c r="AC84" s="260"/>
      <c r="AG84" s="260"/>
      <c r="AJ84" s="72"/>
      <c r="AK84" s="227"/>
      <c r="AL84" s="72"/>
      <c r="AM84" s="72"/>
      <c r="AN84" s="72"/>
      <c r="AO84" s="227"/>
      <c r="AP84" s="72"/>
      <c r="AQ84" s="72"/>
      <c r="AR84" s="72"/>
      <c r="AS84" s="227"/>
      <c r="AT84" s="72"/>
      <c r="AU84" s="72"/>
      <c r="AV84" s="72"/>
      <c r="AW84" s="227"/>
      <c r="AX84" s="72"/>
      <c r="AY84" s="72"/>
      <c r="AZ84" s="72"/>
      <c r="BA84" s="227"/>
      <c r="BB84" s="72"/>
      <c r="BC84" s="72"/>
      <c r="BD84" s="72"/>
      <c r="BE84" s="227"/>
      <c r="BF84" s="72"/>
      <c r="BG84" s="72"/>
      <c r="BH84" s="72"/>
      <c r="BI84" s="227"/>
      <c r="BJ84" s="72"/>
      <c r="BK84" s="72"/>
      <c r="BL84" s="72"/>
      <c r="BM84" s="227"/>
      <c r="BN84" s="820"/>
      <c r="BO84" s="820"/>
      <c r="BP84" s="820"/>
      <c r="BQ84" s="821"/>
      <c r="BR84" s="820"/>
      <c r="BS84" s="820"/>
      <c r="BT84" s="820"/>
      <c r="BU84" s="821"/>
      <c r="BV84" s="924"/>
      <c r="BW84" s="820"/>
      <c r="BX84" s="820"/>
      <c r="BY84" s="821"/>
      <c r="BZ84" s="924"/>
      <c r="CA84" s="820"/>
      <c r="CB84" s="820"/>
      <c r="CC84" s="821"/>
      <c r="CD84" s="924"/>
      <c r="CE84" s="820"/>
      <c r="CF84" s="820"/>
      <c r="CG84" s="821"/>
      <c r="CH84" s="924"/>
      <c r="CI84" s="820"/>
      <c r="CJ84" s="820"/>
      <c r="CK84" s="821"/>
      <c r="CL84" s="924"/>
      <c r="CM84" s="820"/>
      <c r="CN84" s="820"/>
      <c r="CO84" s="821"/>
      <c r="CP84" s="820"/>
      <c r="CQ84" s="820"/>
      <c r="CR84" s="820"/>
      <c r="CS84" s="821"/>
      <c r="CT84" s="820"/>
      <c r="CU84" s="820"/>
      <c r="CV84" s="820"/>
      <c r="CW84" s="821"/>
      <c r="CX84" s="820"/>
      <c r="CY84" s="820"/>
      <c r="CZ84" s="820"/>
      <c r="DA84" s="821"/>
      <c r="DB84" s="820"/>
      <c r="DC84" s="820"/>
      <c r="DD84" s="1073"/>
      <c r="DE84" s="232"/>
      <c r="DF84" s="419"/>
      <c r="DG84" s="71"/>
      <c r="DH84" s="71"/>
      <c r="DI84" s="3180"/>
      <c r="DJ84" s="2650"/>
      <c r="DK84" s="71"/>
      <c r="DL84" s="71"/>
      <c r="DM84" s="232"/>
      <c r="DN84" s="419"/>
      <c r="DO84" s="71"/>
      <c r="DP84" s="71"/>
      <c r="DQ84" s="232"/>
      <c r="DR84" s="419"/>
      <c r="DS84" s="71"/>
      <c r="DT84" s="71"/>
      <c r="DU84" s="931"/>
      <c r="DV84" s="419"/>
      <c r="DW84" s="71"/>
      <c r="DX84" s="71"/>
      <c r="DY84" s="931"/>
      <c r="DZ84" s="419"/>
      <c r="EA84" s="71"/>
      <c r="EB84" s="71"/>
      <c r="EC84" s="931"/>
      <c r="ED84" s="419"/>
      <c r="EE84" s="71"/>
      <c r="EF84" s="71"/>
      <c r="EG84" s="931"/>
      <c r="EH84" s="419"/>
      <c r="EI84" s="71"/>
      <c r="EJ84" s="71"/>
      <c r="EK84" s="931"/>
      <c r="EM84" s="71"/>
      <c r="EN84" s="71"/>
      <c r="EO84" s="71"/>
      <c r="EP84" s="71"/>
      <c r="EQ84" s="71"/>
      <c r="ER84" s="71"/>
      <c r="ES84" s="71"/>
      <c r="ET84" s="71"/>
      <c r="EU84" s="71"/>
      <c r="EV84" s="71"/>
      <c r="EW84" s="71"/>
      <c r="EX84" s="71"/>
      <c r="EY84" s="71"/>
      <c r="EZ84" s="71"/>
      <c r="FA84" s="71"/>
      <c r="FB84" s="71"/>
      <c r="FC84" s="71"/>
      <c r="FD84" s="71"/>
      <c r="FE84" s="71"/>
      <c r="FF84" s="71"/>
      <c r="FG84" s="71"/>
      <c r="FH84" s="71"/>
      <c r="FI84" s="71"/>
      <c r="FJ84" s="71"/>
      <c r="FK84" s="71"/>
      <c r="FL84" s="71"/>
      <c r="FM84" s="71"/>
      <c r="FN84" s="71"/>
      <c r="FO84" s="71"/>
      <c r="FP84" s="71"/>
      <c r="FQ84" s="71"/>
      <c r="FR84" s="71"/>
      <c r="FS84" s="71"/>
      <c r="FT84" s="71"/>
      <c r="FU84" s="71"/>
      <c r="FV84" s="71"/>
      <c r="FW84" s="71"/>
      <c r="FX84" s="71"/>
      <c r="FY84" s="71"/>
      <c r="FZ84" s="71"/>
      <c r="GA84" s="71"/>
      <c r="GB84" s="71"/>
      <c r="GC84" s="71"/>
      <c r="GD84" s="71"/>
      <c r="GE84" s="71"/>
      <c r="GF84" s="71"/>
      <c r="GG84" s="71"/>
      <c r="GH84" s="71"/>
      <c r="GI84" s="71"/>
      <c r="GJ84" s="71"/>
      <c r="GK84" s="71"/>
      <c r="GL84" s="71"/>
      <c r="GM84" s="71"/>
      <c r="GN84" s="71"/>
      <c r="GO84" s="71"/>
      <c r="GP84" s="71"/>
      <c r="GQ84" s="71"/>
      <c r="GR84" s="71"/>
      <c r="GS84" s="71"/>
      <c r="GT84" s="71"/>
      <c r="GU84" s="71"/>
      <c r="GV84" s="71"/>
      <c r="GW84" s="71"/>
      <c r="GX84" s="71"/>
      <c r="GY84" s="71"/>
      <c r="GZ84" s="71"/>
      <c r="HA84" s="71"/>
      <c r="HB84" s="71"/>
      <c r="HC84" s="71"/>
      <c r="HD84" s="71"/>
    </row>
    <row r="85" spans="1:212" s="370" customFormat="1" ht="10.199999999999999">
      <c r="A85" s="933" t="s">
        <v>1194</v>
      </c>
      <c r="B85" s="820"/>
      <c r="C85" s="820"/>
      <c r="D85" s="820"/>
      <c r="E85" s="821"/>
      <c r="F85" s="820"/>
      <c r="G85" s="820"/>
      <c r="H85" s="820"/>
      <c r="I85" s="821"/>
      <c r="J85" s="820"/>
      <c r="K85" s="820"/>
      <c r="L85" s="820"/>
      <c r="M85" s="821"/>
      <c r="N85" s="820"/>
      <c r="O85" s="820"/>
      <c r="P85" s="820"/>
      <c r="Q85" s="821"/>
      <c r="R85" s="820"/>
      <c r="S85" s="820"/>
      <c r="T85" s="820"/>
      <c r="U85" s="821"/>
      <c r="V85" s="820"/>
      <c r="W85" s="820"/>
      <c r="X85" s="820"/>
      <c r="Y85" s="821"/>
      <c r="Z85" s="820"/>
      <c r="AA85" s="820"/>
      <c r="AB85" s="820"/>
      <c r="AC85" s="821"/>
      <c r="AD85" s="820"/>
      <c r="AE85" s="820"/>
      <c r="AF85" s="820"/>
      <c r="AG85" s="821"/>
      <c r="AH85" s="820"/>
      <c r="AI85" s="820"/>
      <c r="AJ85" s="820"/>
      <c r="AK85" s="821"/>
      <c r="AL85" s="820"/>
      <c r="AM85" s="820"/>
      <c r="AN85" s="820"/>
      <c r="AO85" s="821"/>
      <c r="AP85" s="820"/>
      <c r="AQ85" s="820"/>
      <c r="AR85" s="820"/>
      <c r="AS85" s="821"/>
      <c r="AT85" s="820"/>
      <c r="AU85" s="820"/>
      <c r="AV85" s="820"/>
      <c r="AW85" s="821"/>
      <c r="AX85" s="820"/>
      <c r="AY85" s="820"/>
      <c r="AZ85" s="820"/>
      <c r="BA85" s="821"/>
      <c r="BB85" s="820"/>
      <c r="BC85" s="820"/>
      <c r="BD85" s="820"/>
      <c r="BE85" s="821"/>
      <c r="BF85" s="820"/>
      <c r="BG85" s="820"/>
      <c r="BH85" s="820"/>
      <c r="BI85" s="821"/>
      <c r="BJ85" s="820"/>
      <c r="BK85" s="820"/>
      <c r="BL85" s="820"/>
      <c r="BM85" s="821"/>
      <c r="BN85" s="820"/>
      <c r="BO85" s="820"/>
      <c r="BP85" s="818">
        <f t="shared" ref="BP85:BU85" si="641">BP11/0.3*0.7</f>
      </c>
      <c r="BQ85" s="819">
        <f t="shared" si="641"/>
      </c>
      <c r="BR85" s="818">
        <f t="shared" si="641"/>
      </c>
      <c r="BS85" s="818">
        <f t="shared" si="641"/>
      </c>
      <c r="BT85" s="818">
        <f t="shared" si="641"/>
      </c>
      <c r="BU85" s="819">
        <f t="shared" si="641"/>
      </c>
      <c r="BV85" s="818">
        <f>BV11/(0.29)*(1-0.29)</f>
      </c>
      <c r="BW85" s="818">
        <f>BW11/(0.29)*(1-0.29)</f>
      </c>
      <c r="BX85" s="818">
        <f>BX11/(0.29)*(1-0.29)</f>
      </c>
      <c r="BY85" s="819">
        <f>BY11/(0.29)*(1-0.29)</f>
      </c>
      <c r="BZ85" s="818">
        <f>BZ11/(0.28)*(1-0.28)</f>
      </c>
      <c r="CA85" s="818">
        <f>CA11/(0.28)*(1-0.28)</f>
      </c>
      <c r="CB85" s="818">
        <f>CB11/(0.28)*(1-0.28)</f>
      </c>
      <c r="CC85" s="819">
        <f>CC11/(0.28)*(1-0.28)</f>
      </c>
      <c r="CD85" s="818">
        <f t="shared" ref="CD85:CO85" si="642">CD11/(0.27)*(1-0.27)</f>
      </c>
      <c r="CE85" s="818">
        <f t="shared" si="642"/>
      </c>
      <c r="CF85" s="818">
        <f t="shared" si="642"/>
      </c>
      <c r="CG85" s="819">
        <f t="shared" si="642"/>
      </c>
      <c r="CH85" s="818">
        <f t="shared" si="642"/>
      </c>
      <c r="CI85" s="818">
        <f t="shared" si="642"/>
      </c>
      <c r="CJ85" s="818">
        <f t="shared" si="642"/>
      </c>
      <c r="CK85" s="819">
        <f t="shared" si="642"/>
      </c>
      <c r="CL85" s="818">
        <f>CL11/(0.27)*(1-0.27)</f>
      </c>
      <c r="CM85" s="818">
        <f t="shared" si="642"/>
      </c>
      <c r="CN85" s="818">
        <f t="shared" si="642"/>
      </c>
      <c r="CO85" s="819">
        <f t="shared" si="642"/>
      </c>
      <c r="CP85" s="370">
        <f t="shared" ref="CP85:DU85" si="643">CP77*(1-CP76)</f>
      </c>
      <c r="CQ85" s="370">
        <f t="shared" si="643"/>
      </c>
      <c r="CR85" s="370">
        <f t="shared" si="643"/>
      </c>
      <c r="CS85" s="423">
        <f t="shared" si="643"/>
      </c>
      <c r="CT85" s="370">
        <f t="shared" si="643"/>
      </c>
      <c r="CU85" s="370">
        <f t="shared" si="643"/>
      </c>
      <c r="CV85" s="370">
        <f t="shared" si="643"/>
      </c>
      <c r="CW85" s="423">
        <f t="shared" si="643"/>
      </c>
      <c r="CX85" s="370">
        <f t="shared" si="643"/>
      </c>
      <c r="CY85" s="370">
        <f t="shared" si="643"/>
      </c>
      <c r="CZ85" s="370">
        <f t="shared" si="643"/>
      </c>
      <c r="DA85" s="423">
        <f t="shared" si="643"/>
      </c>
      <c r="DB85" s="370">
        <f t="shared" si="643"/>
      </c>
      <c r="DC85" s="370">
        <f t="shared" si="643"/>
      </c>
      <c r="DD85" s="370">
        <f t="shared" si="643"/>
      </c>
      <c r="DE85" s="423">
        <f t="shared" si="643"/>
      </c>
      <c r="DF85" s="370">
        <f t="shared" si="643"/>
      </c>
      <c r="DG85" s="370">
        <f t="shared" si="643"/>
      </c>
      <c r="DH85" s="370">
        <f t="shared" si="643"/>
      </c>
      <c r="DI85" s="423">
        <f t="shared" si="643"/>
      </c>
      <c r="DJ85" s="370">
        <f t="shared" si="643"/>
      </c>
      <c r="DK85" s="370">
        <f t="shared" si="643"/>
      </c>
      <c r="DL85" s="370">
        <f t="shared" si="643"/>
      </c>
      <c r="DM85" s="423">
        <f t="shared" si="643"/>
      </c>
      <c r="DN85" s="370">
        <f t="shared" si="643"/>
      </c>
      <c r="DO85" s="370">
        <f t="shared" si="643"/>
      </c>
      <c r="DP85" s="370">
        <f t="shared" si="643"/>
      </c>
      <c r="DQ85" s="423">
        <f t="shared" si="643"/>
      </c>
      <c r="DR85" s="370">
        <f t="shared" si="643"/>
      </c>
      <c r="DS85" s="370">
        <f t="shared" si="643"/>
      </c>
      <c r="DT85" s="370">
        <f t="shared" si="643"/>
      </c>
      <c r="DU85" s="934">
        <f t="shared" si="643"/>
      </c>
      <c r="DV85" s="370">
        <f t="shared" ref="DV85:EK85" si="644">DV77*(1-DV76)</f>
      </c>
      <c r="DW85" s="370">
        <f t="shared" si="644"/>
      </c>
      <c r="DX85" s="370">
        <f t="shared" si="644"/>
      </c>
      <c r="DY85" s="934">
        <f t="shared" si="644"/>
      </c>
      <c r="DZ85" s="370">
        <f t="shared" si="644"/>
      </c>
      <c r="EA85" s="370">
        <f t="shared" si="644"/>
      </c>
      <c r="EB85" s="370">
        <f t="shared" si="644"/>
      </c>
      <c r="EC85" s="934">
        <f t="shared" si="644"/>
      </c>
      <c r="ED85" s="370">
        <f t="shared" si="644"/>
      </c>
      <c r="EE85" s="370">
        <f t="shared" si="644"/>
      </c>
      <c r="EF85" s="370">
        <f t="shared" si="644"/>
      </c>
      <c r="EG85" s="934">
        <f t="shared" si="644"/>
      </c>
      <c r="EH85" s="370">
        <f t="shared" si="644"/>
      </c>
      <c r="EI85" s="370">
        <f t="shared" si="644"/>
      </c>
      <c r="EJ85" s="370">
        <f t="shared" si="644"/>
      </c>
      <c r="EK85" s="934">
        <f t="shared" si="644"/>
      </c>
      <c r="FC85" s="370">
        <f>SUM(BN85:BQ85)</f>
      </c>
      <c r="FD85" s="370">
        <f>SUM(BR85:BU85)</f>
      </c>
      <c r="FE85" s="370">
        <f>SUM(BV85:BY85)</f>
      </c>
      <c r="FF85" s="370">
        <f>SUM(BZ85:CC85)</f>
      </c>
      <c r="FG85" s="370">
        <f>SUM(CD85:CG85)</f>
      </c>
      <c r="FH85" s="370">
        <f>SUM(CH85:CK85)</f>
      </c>
      <c r="FI85" s="370">
        <f>SUM(CL85:CO85)</f>
      </c>
      <c r="FJ85" s="370">
        <f t="shared" ref="FJ85" si="645">SUM(CP85:CS85)</f>
      </c>
      <c r="FK85" s="370">
        <f t="shared" ref="FK85" si="646">SUM(CT85:CW85)</f>
      </c>
      <c r="FL85" s="370">
        <f t="shared" ref="FL85" si="647">SUM(CX85:DA85)</f>
      </c>
      <c r="FM85" s="370">
        <f t="shared" ref="FM85" si="648">SUM(DB85:DE85)</f>
      </c>
      <c r="FN85" s="370">
        <f t="shared" ref="FN85" si="649">SUM(DF85:DI85)</f>
      </c>
      <c r="FO85" s="370">
        <f t="shared" ref="FO85" si="650">SUM(DJ85:DM85)</f>
      </c>
      <c r="FP85" s="370">
        <f>SUM(DN85:DQ85)</f>
      </c>
      <c r="FQ85" s="370">
        <f>SUM(DR85:DU85)</f>
      </c>
      <c r="FR85" s="370">
        <f>SUM(DV85:DY85)</f>
      </c>
      <c r="FS85" s="370">
        <f>SUM(DZ85:EC85)</f>
      </c>
      <c r="FT85" s="370">
        <f>SUM(ED85:EG85)</f>
      </c>
      <c r="FU85" s="370">
        <f>SUM(EH85:EK85)</f>
      </c>
      <c r="GM85" s="370">
        <f>SUM(BO85:BR85)</f>
      </c>
      <c r="GN85" s="370">
        <f>SUM(BS85:BV85)</f>
      </c>
      <c r="GO85" s="370">
        <f>SUM(BW85:BZ85)</f>
      </c>
      <c r="GP85" s="370">
        <f>SUM(CA85:CD85)</f>
      </c>
      <c r="GQ85" s="370">
        <f>SUM(CE85:CH85)</f>
      </c>
      <c r="GR85" s="370">
        <f>SUM(CI85:CL85)</f>
      </c>
      <c r="GS85" s="370">
        <f>SUM(CM85:CP85)</f>
      </c>
      <c r="GT85" s="370">
        <f>SUM(CQ85:CT85)</f>
      </c>
      <c r="GU85" s="370">
        <f>SUM(CU85:CX85)</f>
      </c>
      <c r="GV85" s="370">
        <f>SUM(CY85:DB85)</f>
      </c>
      <c r="GW85" s="370">
        <f>SUM(DC85:DF85)</f>
      </c>
      <c r="GX85" s="370">
        <f>SUM(DG85:DJ85)</f>
      </c>
      <c r="GY85" s="370">
        <f>SUM(DK85:DN85)</f>
      </c>
      <c r="GZ85" s="370">
        <f>SUM(DO85:DR85)</f>
      </c>
      <c r="HA85" s="370">
        <f>SUM(DS85:DV85)</f>
      </c>
      <c r="HB85" s="370">
        <f>SUM(DW85:DZ85)</f>
      </c>
      <c r="HC85" s="370">
        <f>SUM(EA85:ED85)</f>
      </c>
      <c r="HD85" s="370">
        <f>SUM(EE85:EH85)</f>
      </c>
    </row>
    <row r="86" spans="1:212" s="370" customFormat="1" ht="10.199999999999999">
      <c r="A86" s="935" t="s">
        <v>1193</v>
      </c>
      <c r="B86" s="936"/>
      <c r="C86" s="936"/>
      <c r="D86" s="936"/>
      <c r="E86" s="937"/>
      <c r="F86" s="936"/>
      <c r="G86" s="936"/>
      <c r="H86" s="936"/>
      <c r="I86" s="937"/>
      <c r="J86" s="936"/>
      <c r="K86" s="936"/>
      <c r="L86" s="936"/>
      <c r="M86" s="937"/>
      <c r="N86" s="936"/>
      <c r="O86" s="936"/>
      <c r="P86" s="936"/>
      <c r="Q86" s="937"/>
      <c r="R86" s="936"/>
      <c r="S86" s="936"/>
      <c r="T86" s="936"/>
      <c r="U86" s="937"/>
      <c r="V86" s="936"/>
      <c r="W86" s="936"/>
      <c r="X86" s="936"/>
      <c r="Y86" s="937"/>
      <c r="Z86" s="936"/>
      <c r="AA86" s="936"/>
      <c r="AB86" s="936"/>
      <c r="AC86" s="937"/>
      <c r="AD86" s="936"/>
      <c r="AE86" s="936"/>
      <c r="AF86" s="936"/>
      <c r="AG86" s="937"/>
      <c r="AH86" s="936"/>
      <c r="AI86" s="936"/>
      <c r="AJ86" s="936"/>
      <c r="AK86" s="937"/>
      <c r="AL86" s="936"/>
      <c r="AM86" s="936"/>
      <c r="AN86" s="936"/>
      <c r="AO86" s="937"/>
      <c r="AP86" s="936"/>
      <c r="AQ86" s="936"/>
      <c r="AR86" s="936"/>
      <c r="AS86" s="937"/>
      <c r="AT86" s="936"/>
      <c r="AU86" s="936"/>
      <c r="AV86" s="936"/>
      <c r="AW86" s="937"/>
      <c r="AX86" s="936"/>
      <c r="AY86" s="936"/>
      <c r="AZ86" s="936"/>
      <c r="BA86" s="937"/>
      <c r="BB86" s="936"/>
      <c r="BC86" s="936"/>
      <c r="BD86" s="936"/>
      <c r="BE86" s="937"/>
      <c r="BF86" s="936"/>
      <c r="BG86" s="936"/>
      <c r="BH86" s="936"/>
      <c r="BI86" s="937"/>
      <c r="BJ86" s="936"/>
      <c r="BK86" s="936"/>
      <c r="BL86" s="936"/>
      <c r="BM86" s="937"/>
      <c r="BN86" s="936"/>
      <c r="BO86" s="938">
        <v>5500</v>
      </c>
      <c r="BP86" s="936">
        <f>+BO86+BP85</f>
      </c>
      <c r="BQ86" s="937">
        <f t="shared" ref="BQ86:CB86" si="651">+BP86+BQ85</f>
      </c>
      <c r="BR86" s="936">
        <f t="shared" si="651"/>
      </c>
      <c r="BS86" s="936">
        <f t="shared" si="651"/>
      </c>
      <c r="BT86" s="936">
        <f t="shared" si="651"/>
      </c>
      <c r="BU86" s="937">
        <f t="shared" si="651"/>
      </c>
      <c r="BV86" s="936">
        <f t="shared" si="651"/>
      </c>
      <c r="BW86" s="939">
        <f t="shared" si="651"/>
      </c>
      <c r="BX86" s="936">
        <f t="shared" si="651"/>
      </c>
      <c r="BY86" s="937">
        <f t="shared" si="651"/>
      </c>
      <c r="BZ86" s="936">
        <f t="shared" si="651"/>
      </c>
      <c r="CA86" s="936">
        <f t="shared" si="651"/>
      </c>
      <c r="CB86" s="936">
        <f t="shared" si="651"/>
      </c>
      <c r="CC86" s="937">
        <f t="shared" ref="CC86:CO86" si="652">+CB86+CC85</f>
      </c>
      <c r="CD86" s="936">
        <f t="shared" si="652"/>
      </c>
      <c r="CE86" s="936">
        <f t="shared" si="652"/>
      </c>
      <c r="CF86" s="936">
        <f t="shared" si="652"/>
      </c>
      <c r="CG86" s="937">
        <f t="shared" si="652"/>
      </c>
      <c r="CH86" s="936">
        <f t="shared" si="652"/>
      </c>
      <c r="CI86" s="936">
        <f t="shared" si="652"/>
      </c>
      <c r="CJ86" s="936">
        <f t="shared" si="652"/>
      </c>
      <c r="CK86" s="937">
        <f t="shared" si="652"/>
      </c>
      <c r="CL86" s="936">
        <f t="shared" si="652"/>
      </c>
      <c r="CM86" s="936">
        <f t="shared" si="652"/>
      </c>
      <c r="CN86" s="936">
        <f t="shared" si="652"/>
      </c>
      <c r="CO86" s="937">
        <f t="shared" si="652"/>
      </c>
      <c r="CP86" s="936">
        <f t="shared" ref="CP86:DU86" si="653">+CO86+CP85</f>
      </c>
      <c r="CQ86" s="936">
        <f t="shared" si="653"/>
      </c>
      <c r="CR86" s="936">
        <f t="shared" si="653"/>
      </c>
      <c r="CS86" s="937">
        <f t="shared" si="653"/>
      </c>
      <c r="CT86" s="936">
        <f t="shared" si="653"/>
      </c>
      <c r="CU86" s="936">
        <f t="shared" si="653"/>
      </c>
      <c r="CV86" s="936">
        <f t="shared" si="653"/>
      </c>
      <c r="CW86" s="937">
        <f t="shared" si="653"/>
      </c>
      <c r="CX86" s="936">
        <f t="shared" si="653"/>
      </c>
      <c r="CY86" s="936">
        <f t="shared" si="653"/>
      </c>
      <c r="CZ86" s="936">
        <f t="shared" si="653"/>
      </c>
      <c r="DA86" s="937">
        <f t="shared" si="653"/>
      </c>
      <c r="DB86" s="936">
        <f t="shared" si="653"/>
      </c>
      <c r="DC86" s="936">
        <f t="shared" si="653"/>
      </c>
      <c r="DD86" s="936">
        <f t="shared" si="653"/>
      </c>
      <c r="DE86" s="937">
        <f t="shared" si="653"/>
      </c>
      <c r="DF86" s="936">
        <f t="shared" si="653"/>
      </c>
      <c r="DG86" s="936">
        <f t="shared" si="653"/>
      </c>
      <c r="DH86" s="936">
        <f t="shared" si="653"/>
      </c>
      <c r="DI86" s="937">
        <f t="shared" si="653"/>
      </c>
      <c r="DJ86" s="936">
        <f t="shared" si="653"/>
      </c>
      <c r="DK86" s="936">
        <f t="shared" si="653"/>
      </c>
      <c r="DL86" s="936">
        <f t="shared" si="653"/>
      </c>
      <c r="DM86" s="937">
        <f t="shared" si="653"/>
      </c>
      <c r="DN86" s="936">
        <f t="shared" si="653"/>
      </c>
      <c r="DO86" s="936">
        <f t="shared" si="653"/>
      </c>
      <c r="DP86" s="936">
        <f t="shared" si="653"/>
      </c>
      <c r="DQ86" s="937">
        <f t="shared" si="653"/>
      </c>
      <c r="DR86" s="936">
        <f t="shared" si="653"/>
      </c>
      <c r="DS86" s="936">
        <f t="shared" si="653"/>
      </c>
      <c r="DT86" s="936">
        <f t="shared" si="653"/>
      </c>
      <c r="DU86" s="940">
        <f t="shared" si="653"/>
      </c>
      <c r="DV86" s="936">
        <f t="shared" ref="DV86" si="654">+DU86+DV85</f>
      </c>
      <c r="DW86" s="936">
        <f t="shared" ref="DW86" si="655">+DV86+DW85</f>
      </c>
      <c r="DX86" s="936">
        <f t="shared" ref="DX86" si="656">+DW86+DX85</f>
      </c>
      <c r="DY86" s="940">
        <f t="shared" ref="DY86" si="657">+DX86+DY85</f>
      </c>
      <c r="DZ86" s="936">
        <f t="shared" ref="DZ86" si="658">+DY86+DZ85</f>
      </c>
      <c r="EA86" s="936">
        <f t="shared" ref="EA86" si="659">+DZ86+EA85</f>
      </c>
      <c r="EB86" s="936">
        <f t="shared" ref="EB86" si="660">+EA86+EB85</f>
      </c>
      <c r="EC86" s="940">
        <f t="shared" ref="EC86" si="661">+EB86+EC85</f>
      </c>
      <c r="ED86" s="936">
        <f t="shared" ref="ED86" si="662">+EC86+ED85</f>
      </c>
      <c r="EE86" s="936">
        <f t="shared" ref="EE86" si="663">+ED86+EE85</f>
      </c>
      <c r="EF86" s="936">
        <f t="shared" ref="EF86" si="664">+EE86+EF85</f>
      </c>
      <c r="EG86" s="940">
        <f t="shared" ref="EG86" si="665">+EF86+EG85</f>
      </c>
      <c r="EH86" s="936">
        <f t="shared" ref="EH86" si="666">+EG86+EH85</f>
      </c>
      <c r="EI86" s="936">
        <f t="shared" ref="EI86" si="667">+EH86+EI85</f>
      </c>
      <c r="EJ86" s="936">
        <f t="shared" ref="EJ86" si="668">+EI86+EJ85</f>
      </c>
      <c r="EK86" s="940">
        <f t="shared" ref="EK86" si="669">+EJ86+EK85</f>
      </c>
      <c r="EM86" s="936"/>
      <c r="EN86" s="936"/>
      <c r="EO86" s="936"/>
      <c r="EP86" s="936"/>
      <c r="EQ86" s="936"/>
      <c r="ER86" s="936"/>
      <c r="ES86" s="936"/>
      <c r="ET86" s="936"/>
      <c r="EU86" s="936"/>
      <c r="EV86" s="936"/>
      <c r="EW86" s="936"/>
      <c r="EX86" s="936"/>
      <c r="EY86" s="936"/>
      <c r="EZ86" s="936"/>
      <c r="FA86" s="936"/>
      <c r="FB86" s="936"/>
      <c r="FC86" s="936">
        <f>FC85</f>
      </c>
      <c r="FD86" s="936">
        <f>FC86+FD85</f>
      </c>
      <c r="FE86" s="936">
        <f t="shared" ref="FE86:FQ86" si="670">FD86+FE85</f>
      </c>
      <c r="FF86" s="936">
        <f t="shared" si="670"/>
      </c>
      <c r="FG86" s="936">
        <f t="shared" si="670"/>
      </c>
      <c r="FH86" s="936">
        <f t="shared" si="670"/>
      </c>
      <c r="FI86" s="936">
        <f t="shared" si="670"/>
      </c>
      <c r="FJ86" s="936">
        <f t="shared" si="670"/>
      </c>
      <c r="FK86" s="936">
        <f t="shared" si="670"/>
      </c>
      <c r="FL86" s="936">
        <f t="shared" si="670"/>
      </c>
      <c r="FM86" s="936">
        <f t="shared" si="670"/>
      </c>
      <c r="FN86" s="936">
        <f t="shared" si="670"/>
      </c>
      <c r="FO86" s="936">
        <f t="shared" si="670"/>
      </c>
      <c r="FP86" s="936">
        <f t="shared" si="670"/>
      </c>
      <c r="FQ86" s="936">
        <f t="shared" si="670"/>
      </c>
      <c r="FR86" s="936">
        <f t="shared" ref="FR86" si="671">FQ86+FR85</f>
      </c>
      <c r="FS86" s="936">
        <f t="shared" ref="FS86" si="672">FR86+FS85</f>
      </c>
      <c r="FT86" s="936">
        <f t="shared" ref="FT86" si="673">FS86+FT85</f>
      </c>
      <c r="FU86" s="936">
        <f t="shared" ref="FU86" si="674">FT86+FU85</f>
      </c>
      <c r="FV86" s="936"/>
      <c r="FW86" s="936"/>
      <c r="FX86" s="936"/>
      <c r="FY86" s="936"/>
      <c r="FZ86" s="936"/>
      <c r="GA86" s="936"/>
      <c r="GB86" s="936"/>
      <c r="GC86" s="936"/>
      <c r="GD86" s="936"/>
      <c r="GE86" s="936"/>
      <c r="GF86" s="936"/>
      <c r="GG86" s="936"/>
      <c r="GH86" s="936"/>
      <c r="GI86" s="936"/>
      <c r="GJ86" s="936"/>
      <c r="GK86" s="936"/>
      <c r="GL86" s="936"/>
      <c r="GM86" s="936">
        <f>GM85</f>
      </c>
      <c r="GN86" s="936">
        <f>GM86+GN85</f>
      </c>
      <c r="GO86" s="936">
        <f t="shared" ref="GO86:GX86" si="675">GN86+GO85</f>
      </c>
      <c r="GP86" s="936">
        <f t="shared" si="675"/>
      </c>
      <c r="GQ86" s="936">
        <f t="shared" si="675"/>
      </c>
      <c r="GR86" s="936">
        <f t="shared" si="675"/>
      </c>
      <c r="GS86" s="936">
        <f t="shared" si="675"/>
      </c>
      <c r="GT86" s="936">
        <f t="shared" si="675"/>
      </c>
      <c r="GU86" s="936">
        <f t="shared" si="675"/>
      </c>
      <c r="GV86" s="936">
        <f t="shared" si="675"/>
      </c>
      <c r="GW86" s="936">
        <f t="shared" si="675"/>
      </c>
      <c r="GX86" s="936">
        <f t="shared" si="675"/>
      </c>
      <c r="GY86" s="936">
        <f t="shared" ref="GY86" si="676">GX86+GY85</f>
      </c>
      <c r="GZ86" s="936">
        <f t="shared" ref="GZ86" si="677">GY86+GZ85</f>
      </c>
      <c r="HA86" s="936">
        <f t="shared" ref="HA86" si="678">GZ86+HA85</f>
      </c>
      <c r="HB86" s="936">
        <f t="shared" ref="HB86" si="679">HA86+HB85</f>
      </c>
      <c r="HC86" s="936">
        <f t="shared" ref="HC86" si="680">HB86+HC85</f>
      </c>
      <c r="HD86" s="936">
        <f t="shared" ref="HD86" si="681">HC86+HD85</f>
      </c>
    </row>
    <row r="87" spans="1:212" s="89" customFormat="1" ht="10.199999999999999">
      <c r="A87" s="152"/>
      <c r="E87" s="260"/>
      <c r="I87" s="260"/>
      <c r="M87" s="260"/>
      <c r="Q87" s="260"/>
      <c r="U87" s="260"/>
      <c r="Y87" s="260"/>
      <c r="AC87" s="260"/>
      <c r="AG87" s="260"/>
      <c r="AJ87" s="72"/>
      <c r="AK87" s="227"/>
      <c r="AL87" s="72"/>
      <c r="AM87" s="72"/>
      <c r="AN87" s="72"/>
      <c r="AO87" s="227"/>
      <c r="AP87" s="72"/>
      <c r="AQ87" s="72"/>
      <c r="AR87" s="72"/>
      <c r="AS87" s="227"/>
      <c r="AT87" s="72"/>
      <c r="AU87" s="72"/>
      <c r="AV87" s="72"/>
      <c r="AW87" s="227"/>
      <c r="AX87" s="72"/>
      <c r="AY87" s="72"/>
      <c r="AZ87" s="72"/>
      <c r="BA87" s="227"/>
      <c r="BB87" s="72"/>
      <c r="BC87" s="72"/>
      <c r="BD87" s="72"/>
      <c r="BE87" s="227"/>
      <c r="BF87" s="72"/>
      <c r="BG87" s="72"/>
      <c r="BH87" s="72"/>
      <c r="BI87" s="227"/>
      <c r="BJ87" s="72"/>
      <c r="BK87" s="72"/>
      <c r="BL87" s="72"/>
      <c r="BM87" s="227"/>
      <c r="BN87" s="72"/>
      <c r="BO87" s="72"/>
      <c r="BP87" s="72"/>
      <c r="BQ87" s="227"/>
      <c r="BR87" s="72"/>
      <c r="BS87" s="72"/>
      <c r="BT87" s="72"/>
      <c r="BU87" s="227"/>
      <c r="BV87" s="355"/>
      <c r="BW87" s="72"/>
      <c r="BX87" s="72"/>
      <c r="BY87" s="227"/>
      <c r="BZ87" s="355"/>
      <c r="CA87" s="72"/>
      <c r="CB87" s="72"/>
      <c r="CC87" s="923"/>
      <c r="CD87" s="925"/>
      <c r="CE87" s="72"/>
      <c r="CF87" s="72"/>
      <c r="CG87" s="227"/>
      <c r="CH87" s="355"/>
      <c r="CI87" s="72"/>
      <c r="CJ87" s="72"/>
      <c r="CK87" s="227"/>
      <c r="CL87" s="355"/>
      <c r="CM87" s="88"/>
      <c r="CN87" s="72"/>
      <c r="CO87" s="227"/>
      <c r="CP87" s="72"/>
      <c r="CQ87" s="87"/>
      <c r="CR87" s="87"/>
      <c r="CS87" s="227"/>
      <c r="CT87" s="72"/>
      <c r="CU87" s="87"/>
      <c r="CV87" s="87"/>
      <c r="CW87" s="416"/>
      <c r="CX87" s="87"/>
      <c r="CY87" s="87"/>
      <c r="CZ87" s="87"/>
      <c r="DA87" s="416"/>
      <c r="DB87" s="87"/>
      <c r="DC87" s="87"/>
      <c r="DD87" s="87"/>
      <c r="DE87" s="232"/>
      <c r="DF87" s="419"/>
      <c r="DG87" s="1073"/>
      <c r="DH87" s="71"/>
      <c r="DI87" s="232"/>
      <c r="DJ87" s="419"/>
      <c r="DK87" s="71"/>
      <c r="DL87" s="71"/>
      <c r="DM87" s="232"/>
      <c r="DN87" s="419"/>
      <c r="DO87" s="71"/>
      <c r="DP87" s="71"/>
      <c r="DQ87" s="232"/>
      <c r="DR87" s="419"/>
      <c r="DS87" s="71"/>
      <c r="DT87" s="71"/>
      <c r="DU87" s="232"/>
      <c r="DV87" s="419"/>
      <c r="DW87" s="71"/>
      <c r="DX87" s="71"/>
      <c r="DY87" s="232"/>
      <c r="DZ87" s="419"/>
      <c r="EA87" s="71"/>
      <c r="EB87" s="71"/>
      <c r="EC87" s="232"/>
      <c r="ED87" s="419"/>
      <c r="EE87" s="71"/>
      <c r="EF87" s="71"/>
      <c r="EG87" s="232"/>
      <c r="EH87" s="419"/>
      <c r="EI87" s="71"/>
      <c r="EJ87" s="71"/>
      <c r="EK87" s="232"/>
      <c r="EU87" s="72"/>
      <c r="EV87" s="72"/>
      <c r="EW87" s="72"/>
      <c r="EX87" s="72"/>
      <c r="EY87" s="72"/>
      <c r="EZ87" s="72"/>
      <c r="FA87" s="72"/>
      <c r="FB87" s="72"/>
      <c r="FC87" s="72"/>
      <c r="FD87" s="72"/>
      <c r="FE87" s="72"/>
      <c r="FF87" s="72"/>
      <c r="FG87" s="72"/>
      <c r="FH87" s="72"/>
      <c r="FI87" s="72"/>
      <c r="FJ87" s="72"/>
      <c r="FK87" s="72"/>
      <c r="FL87" s="72"/>
      <c r="FM87" s="72"/>
      <c r="FN87" s="72"/>
      <c r="FO87" s="72"/>
      <c r="FP87" s="72"/>
      <c r="FQ87" s="72"/>
      <c r="FR87" s="72"/>
      <c r="FS87" s="72"/>
      <c r="FT87" s="72"/>
      <c r="FU87" s="72"/>
      <c r="FV87" s="88"/>
      <c r="GE87" s="72"/>
      <c r="GF87" s="72"/>
      <c r="GG87" s="72"/>
      <c r="GH87" s="72"/>
      <c r="GI87" s="72"/>
      <c r="GJ87" s="72"/>
      <c r="GK87" s="72"/>
      <c r="GL87" s="72"/>
      <c r="GM87" s="72"/>
      <c r="GN87" s="72"/>
      <c r="GO87" s="72"/>
      <c r="GP87" s="72"/>
      <c r="GQ87" s="72"/>
      <c r="GR87" s="72"/>
      <c r="GS87" s="72"/>
      <c r="GT87" s="72"/>
      <c r="GU87" s="72"/>
      <c r="GV87" s="72"/>
      <c r="GW87" s="72"/>
      <c r="GX87" s="72"/>
      <c r="GY87" s="72"/>
      <c r="GZ87" s="72"/>
      <c r="HA87" s="72"/>
      <c r="HB87" s="72"/>
      <c r="HC87" s="72"/>
      <c r="HD87" s="72"/>
    </row>
    <row r="88" spans="1:212" s="16" customFormat="1" ht="10.199999999999999">
      <c r="A88" s="1003" t="s">
        <v>1205</v>
      </c>
      <c r="B88" s="706" t="str">
        <f>'Revenue summary'!B$8</f>
      </c>
      <c r="C88" s="706" t="str">
        <f>'Revenue summary'!C$8</f>
      </c>
      <c r="D88" s="706" t="str">
        <f>'Revenue summary'!D$8</f>
      </c>
      <c r="E88" s="707" t="str">
        <f>'Revenue summary'!E$8</f>
      </c>
      <c r="F88" s="706" t="str">
        <f>'Revenue summary'!F$8</f>
      </c>
      <c r="G88" s="706" t="str">
        <f>'Revenue summary'!G$8</f>
      </c>
      <c r="H88" s="706" t="str">
        <f>'Revenue summary'!H$8</f>
      </c>
      <c r="I88" s="707" t="str">
        <f>'Revenue summary'!I$8</f>
      </c>
      <c r="J88" s="706" t="str">
        <f>'Revenue summary'!J$8</f>
      </c>
      <c r="K88" s="706" t="str">
        <f>'Revenue summary'!K$8</f>
      </c>
      <c r="L88" s="706" t="str">
        <f>'Revenue summary'!L$8</f>
      </c>
      <c r="M88" s="707" t="str">
        <f>'Revenue summary'!M$8</f>
      </c>
      <c r="N88" s="706" t="str">
        <f>'Revenue summary'!N$8</f>
      </c>
      <c r="O88" s="706" t="str">
        <f>'Revenue summary'!O$8</f>
      </c>
      <c r="P88" s="706" t="str">
        <f>'Revenue summary'!P$8</f>
      </c>
      <c r="Q88" s="707" t="str">
        <f>'Revenue summary'!Q$8</f>
      </c>
      <c r="R88" s="706" t="str">
        <f>'Revenue summary'!R$8</f>
      </c>
      <c r="S88" s="706" t="str">
        <f>'Revenue summary'!S$8</f>
      </c>
      <c r="T88" s="706" t="str">
        <f>'Revenue summary'!T$8</f>
      </c>
      <c r="U88" s="707" t="str">
        <f>'Revenue summary'!U$8</f>
      </c>
      <c r="V88" s="706" t="str">
        <f>'Revenue summary'!V$8</f>
      </c>
      <c r="W88" s="706" t="str">
        <f>'Revenue summary'!W$8</f>
      </c>
      <c r="X88" s="706" t="str">
        <f>'Revenue summary'!X$8</f>
      </c>
      <c r="Y88" s="707" t="str">
        <f>'Revenue summary'!Y$8</f>
      </c>
      <c r="Z88" s="706" t="str">
        <f>'Revenue summary'!Z$8</f>
      </c>
      <c r="AA88" s="706" t="str">
        <f>'Revenue summary'!AA$8</f>
      </c>
      <c r="AB88" s="706" t="str">
        <f>'Revenue summary'!AB$8</f>
      </c>
      <c r="AC88" s="707" t="str">
        <f>'Revenue summary'!AC$8</f>
      </c>
      <c r="AD88" s="706" t="str">
        <f>'Revenue summary'!AD$8</f>
      </c>
      <c r="AE88" s="706" t="str">
        <f>'Revenue summary'!AE$8</f>
      </c>
      <c r="AF88" s="706" t="str">
        <f>'Revenue summary'!AF$8</f>
      </c>
      <c r="AG88" s="707" t="str">
        <f>'Revenue summary'!AG$8</f>
      </c>
      <c r="AH88" s="706" t="str">
        <f>'Revenue summary'!AH$8</f>
      </c>
      <c r="AI88" s="706" t="str">
        <f>'Revenue summary'!AI$8</f>
      </c>
      <c r="AJ88" s="706" t="str">
        <f>'Revenue summary'!AJ$8</f>
      </c>
      <c r="AK88" s="707" t="str">
        <f>'Revenue summary'!AK$8</f>
      </c>
      <c r="AL88" s="706" t="str">
        <f>'Revenue summary'!AL$8</f>
      </c>
      <c r="AM88" s="706" t="str">
        <f>'Revenue summary'!AM$8</f>
      </c>
      <c r="AN88" s="706" t="str">
        <f>'Revenue summary'!AN$8</f>
      </c>
      <c r="AO88" s="707" t="str">
        <f>'Revenue summary'!AO$8</f>
      </c>
      <c r="AP88" s="706" t="str">
        <f>'Revenue summary'!AP$8</f>
      </c>
      <c r="AQ88" s="706" t="str">
        <f>'Revenue summary'!AQ$8</f>
      </c>
      <c r="AR88" s="706" t="str">
        <f>'Revenue summary'!AR$8</f>
      </c>
      <c r="AS88" s="707" t="str">
        <f>'Revenue summary'!AS$8</f>
      </c>
      <c r="AT88" s="706" t="str">
        <f>'Revenue summary'!AT$8</f>
      </c>
      <c r="AU88" s="706" t="str">
        <f>'Revenue summary'!AU$8</f>
      </c>
      <c r="AV88" s="706" t="str">
        <f>'Revenue summary'!AV$8</f>
      </c>
      <c r="AW88" s="707" t="str">
        <f>'Revenue summary'!AW$8</f>
      </c>
      <c r="AX88" s="706" t="str">
        <f>'Revenue summary'!AX$8</f>
      </c>
      <c r="AY88" s="706" t="str">
        <f>'Revenue summary'!AY$8</f>
      </c>
      <c r="AZ88" s="706" t="str">
        <f>'Revenue summary'!AZ$8</f>
      </c>
      <c r="BA88" s="707" t="str">
        <f>'Revenue summary'!BA$8</f>
      </c>
      <c r="BB88" s="706" t="str">
        <f>'Revenue summary'!BB$8</f>
      </c>
      <c r="BC88" s="706" t="str">
        <f>'Revenue summary'!BC$8</f>
      </c>
      <c r="BD88" s="706" t="str">
        <f>'Revenue summary'!BD$8</f>
      </c>
      <c r="BE88" s="707" t="str">
        <f>'Revenue summary'!BE$8</f>
      </c>
      <c r="BF88" s="706" t="str">
        <f>'Revenue summary'!BF$8</f>
      </c>
      <c r="BG88" s="706" t="str">
        <f>'Revenue summary'!BG$8</f>
      </c>
      <c r="BH88" s="706" t="str">
        <f>'Revenue summary'!BH$8</f>
      </c>
      <c r="BI88" s="707" t="str">
        <f>'Revenue summary'!BI$8</f>
      </c>
      <c r="BJ88" s="706" t="str">
        <f>'Revenue summary'!BJ$8</f>
      </c>
      <c r="BK88" s="706" t="str">
        <f>'Revenue summary'!BK$8</f>
      </c>
      <c r="BL88" s="706" t="str">
        <f>'Revenue summary'!BL$8</f>
      </c>
      <c r="BM88" s="707" t="str">
        <f>'Revenue summary'!BM$8</f>
      </c>
      <c r="BN88" s="706" t="str">
        <f>'Revenue summary'!BN$8</f>
      </c>
      <c r="BO88" s="706" t="str">
        <f>'Revenue summary'!BO$8</f>
      </c>
      <c r="BP88" s="706" t="str">
        <f>'Revenue summary'!BP$8</f>
      </c>
      <c r="BQ88" s="707" t="str">
        <f>'Revenue summary'!BQ$8</f>
      </c>
      <c r="BR88" s="706" t="str">
        <f>'Revenue summary'!BR$8</f>
      </c>
      <c r="BS88" s="706" t="str">
        <f>'Revenue summary'!BS$8</f>
      </c>
      <c r="BT88" s="706" t="str">
        <f>'Revenue summary'!BT$8</f>
      </c>
      <c r="BU88" s="707" t="str">
        <f>'Revenue summary'!BU$8</f>
      </c>
      <c r="BV88" s="706" t="str">
        <f>'Revenue summary'!BV$8</f>
      </c>
      <c r="BW88" s="706" t="str">
        <f>'Revenue summary'!BW$8</f>
      </c>
      <c r="BX88" s="706" t="str">
        <f>'Revenue summary'!BX$8</f>
      </c>
      <c r="BY88" s="707" t="str">
        <f>'Revenue summary'!BY$8</f>
      </c>
      <c r="BZ88" s="706" t="str">
        <f>'Revenue summary'!BZ$8</f>
      </c>
      <c r="CA88" s="706" t="str">
        <f>'Revenue summary'!CA$8</f>
      </c>
      <c r="CB88" s="706" t="str">
        <f>'Revenue summary'!CB$8</f>
      </c>
      <c r="CC88" s="707" t="str">
        <f>'Revenue summary'!CC$8</f>
      </c>
      <c r="CD88" s="706" t="str">
        <f>'Revenue summary'!CD$8</f>
      </c>
      <c r="CE88" s="706" t="str">
        <f>'Revenue summary'!CE$8</f>
      </c>
      <c r="CF88" s="706" t="str">
        <f>'Revenue summary'!CF$8</f>
      </c>
      <c r="CG88" s="707" t="str">
        <f>'Revenue summary'!CG$8</f>
      </c>
      <c r="CH88" s="706" t="str">
        <f>'Revenue summary'!CH$8</f>
      </c>
      <c r="CI88" s="706" t="str">
        <f>'Revenue summary'!CI$8</f>
      </c>
      <c r="CJ88" s="706" t="str">
        <f>'Revenue summary'!CJ$8</f>
      </c>
      <c r="CK88" s="707" t="str">
        <f>'Revenue summary'!CK$8</f>
      </c>
      <c r="CL88" s="706" t="str">
        <f>'Revenue summary'!CL$8</f>
      </c>
      <c r="CM88" s="706" t="str">
        <f>'Revenue summary'!CM$8</f>
      </c>
      <c r="CN88" s="706" t="str">
        <f>'Revenue summary'!CN$8</f>
      </c>
      <c r="CO88" s="707" t="str">
        <f>'Revenue summary'!CO$8</f>
      </c>
      <c r="CP88" s="706" t="str">
        <f>'Revenue summary'!CP$8</f>
      </c>
      <c r="CQ88" s="706" t="str">
        <f>'Revenue summary'!CQ$8</f>
      </c>
      <c r="CR88" s="706" t="str">
        <f>'Revenue summary'!CR$8</f>
      </c>
      <c r="CS88" s="707" t="str">
        <f>'Revenue summary'!CS$8</f>
      </c>
      <c r="CT88" s="706" t="str">
        <f>'Revenue summary'!CT$8</f>
      </c>
      <c r="CU88" s="706" t="str">
        <f>'Revenue summary'!CU$8</f>
      </c>
      <c r="CV88" s="706" t="str">
        <f>'Revenue summary'!CV$8</f>
      </c>
      <c r="CW88" s="707" t="str">
        <f>'Revenue summary'!CW$8</f>
      </c>
      <c r="CX88" s="706" t="str">
        <f>'Revenue summary'!CX$8</f>
      </c>
      <c r="CY88" s="706" t="str">
        <f>'Revenue summary'!CY$8</f>
      </c>
      <c r="CZ88" s="706" t="str">
        <f>'Revenue summary'!CZ$8</f>
      </c>
      <c r="DA88" s="707" t="str">
        <f>'Revenue summary'!DA$8</f>
      </c>
      <c r="DB88" s="706" t="str">
        <f>'Revenue summary'!DB$8</f>
      </c>
      <c r="DC88" s="706" t="str">
        <f>'Revenue summary'!DC$8</f>
      </c>
      <c r="DD88" s="706" t="str">
        <f>'Revenue summary'!DD$8</f>
      </c>
      <c r="DE88" s="707" t="str">
        <f>'Revenue summary'!DE$8</f>
      </c>
      <c r="DF88" s="706" t="str">
        <f>'Revenue summary'!DF$8</f>
      </c>
      <c r="DG88" s="706" t="str">
        <f>'Revenue summary'!DG$8</f>
      </c>
      <c r="DH88" s="706" t="str">
        <f>'Revenue summary'!DH$8</f>
      </c>
      <c r="DI88" s="707" t="str">
        <f>'Revenue summary'!DI$8</f>
      </c>
      <c r="DJ88" s="706" t="str">
        <f>'Revenue summary'!DJ$8</f>
      </c>
      <c r="DK88" s="706" t="str">
        <f>'Revenue summary'!DK$8</f>
      </c>
      <c r="DL88" s="706" t="str">
        <f>'Revenue summary'!DL$8</f>
      </c>
      <c r="DM88" s="707" t="str">
        <f>'Revenue summary'!DM$8</f>
      </c>
      <c r="DN88" s="706" t="str">
        <f>'Revenue summary'!DN$8</f>
      </c>
      <c r="DO88" s="706" t="str">
        <f>'Revenue summary'!DO$8</f>
      </c>
      <c r="DP88" s="706" t="str">
        <f>'Revenue summary'!DP$8</f>
      </c>
      <c r="DQ88" s="707" t="str">
        <f>'Revenue summary'!DQ$8</f>
      </c>
      <c r="DR88" s="706" t="str">
        <f>'Revenue summary'!DR$8</f>
      </c>
      <c r="DS88" s="706" t="str">
        <f>'Revenue summary'!DS$8</f>
      </c>
      <c r="DT88" s="706" t="str">
        <f>'Revenue summary'!DT$8</f>
      </c>
      <c r="DU88" s="1004" t="str">
        <f>'Revenue summary'!DU$8</f>
      </c>
      <c r="DV88" s="706" t="str">
        <f>'Revenue summary'!DV$8</f>
      </c>
      <c r="DW88" s="706" t="str">
        <f>'Revenue summary'!DW$8</f>
      </c>
      <c r="DX88" s="706" t="str">
        <f>'Revenue summary'!DX$8</f>
      </c>
      <c r="DY88" s="1004" t="str">
        <f>'Revenue summary'!DY$8</f>
      </c>
      <c r="DZ88" s="706" t="str">
        <f>'Revenue summary'!DZ$8</f>
      </c>
      <c r="EA88" s="706" t="str">
        <f>'Revenue summary'!EA$8</f>
      </c>
      <c r="EB88" s="706" t="str">
        <f>'Revenue summary'!EB$8</f>
      </c>
      <c r="EC88" s="1004" t="str">
        <f>'Revenue summary'!EC$8</f>
      </c>
      <c r="ED88" s="706" t="str">
        <f>'Revenue summary'!ED$8</f>
      </c>
      <c r="EE88" s="706" t="str">
        <f>'Revenue summary'!EE$8</f>
      </c>
      <c r="EF88" s="706" t="str">
        <f>'Revenue summary'!EF$8</f>
      </c>
      <c r="EG88" s="1004" t="str">
        <f>'Revenue summary'!EG$8</f>
      </c>
      <c r="EH88" s="706" t="str">
        <f>'Revenue summary'!EH$8</f>
      </c>
      <c r="EI88" s="706" t="str">
        <f>'Revenue summary'!EI$8</f>
      </c>
      <c r="EJ88" s="706" t="str">
        <f>'Revenue summary'!EJ$8</f>
      </c>
      <c r="EK88" s="1004" t="str">
        <f>'Revenue summary'!EK$8</f>
      </c>
      <c r="EL88" s="320"/>
      <c r="EM88" s="706">
        <f t="shared" ref="EM88:FH88" si="682">EM$9</f>
      </c>
      <c r="EN88" s="706">
        <f t="shared" si="682"/>
      </c>
      <c r="EO88" s="706">
        <f t="shared" si="682"/>
      </c>
      <c r="EP88" s="706">
        <f t="shared" si="682"/>
      </c>
      <c r="EQ88" s="706">
        <f t="shared" si="682"/>
      </c>
      <c r="ER88" s="706">
        <f t="shared" si="682"/>
      </c>
      <c r="ES88" s="706">
        <f t="shared" si="682"/>
      </c>
      <c r="ET88" s="706">
        <f t="shared" si="682"/>
      </c>
      <c r="EU88" s="706">
        <f t="shared" si="682"/>
      </c>
      <c r="EV88" s="706">
        <f t="shared" si="682"/>
      </c>
      <c r="EW88" s="706">
        <f t="shared" si="682"/>
      </c>
      <c r="EX88" s="706">
        <f t="shared" si="682"/>
      </c>
      <c r="EY88" s="706">
        <f t="shared" si="682"/>
      </c>
      <c r="EZ88" s="706">
        <f t="shared" si="682"/>
      </c>
      <c r="FA88" s="706">
        <f t="shared" si="682"/>
      </c>
      <c r="FB88" s="706">
        <f t="shared" si="682"/>
      </c>
      <c r="FC88" s="706">
        <f t="shared" si="682"/>
      </c>
      <c r="FD88" s="706">
        <f t="shared" si="682"/>
      </c>
      <c r="FE88" s="706" t="str">
        <f t="shared" si="682"/>
      </c>
      <c r="FF88" s="706" t="str">
        <f t="shared" si="682"/>
      </c>
      <c r="FG88" s="706" t="str">
        <f t="shared" si="682"/>
      </c>
      <c r="FH88" s="706" t="str">
        <f t="shared" si="682"/>
      </c>
      <c r="FI88" s="706" t="str">
        <f>FI$9</f>
      </c>
      <c r="FJ88" s="706" t="str">
        <f t="shared" ref="FJ88:FU88" si="683">FJ$9</f>
      </c>
      <c r="FK88" s="706" t="str">
        <f t="shared" si="683"/>
      </c>
      <c r="FL88" s="706" t="str">
        <f t="shared" si="683"/>
      </c>
      <c r="FM88" s="706" t="str">
        <f t="shared" si="683"/>
      </c>
      <c r="FN88" s="706" t="str">
        <f t="shared" si="683"/>
      </c>
      <c r="FO88" s="706" t="str">
        <f t="shared" si="683"/>
      </c>
      <c r="FP88" s="706" t="str">
        <f t="shared" si="683"/>
      </c>
      <c r="FQ88" s="706" t="str">
        <f t="shared" si="683"/>
      </c>
      <c r="FR88" s="706" t="str">
        <f t="shared" si="683"/>
      </c>
      <c r="FS88" s="706" t="str">
        <f t="shared" si="683"/>
      </c>
      <c r="FT88" s="706" t="str">
        <f t="shared" si="683"/>
      </c>
      <c r="FU88" s="706" t="str">
        <f t="shared" si="683"/>
      </c>
      <c r="FV88" s="706"/>
      <c r="FW88" s="706" t="str">
        <f t="shared" ref="FW88:GX88" si="684">FW$10</f>
      </c>
      <c r="FX88" s="706" t="str">
        <f t="shared" si="684"/>
      </c>
      <c r="FY88" s="706" t="str">
        <f t="shared" si="684"/>
      </c>
      <c r="FZ88" s="706" t="str">
        <f t="shared" si="684"/>
      </c>
      <c r="GA88" s="706" t="str">
        <f t="shared" si="684"/>
      </c>
      <c r="GB88" s="706" t="str">
        <f t="shared" si="684"/>
      </c>
      <c r="GC88" s="706" t="str">
        <f t="shared" si="684"/>
      </c>
      <c r="GD88" s="706" t="str">
        <f t="shared" si="684"/>
      </c>
      <c r="GE88" s="706" t="str">
        <f t="shared" si="684"/>
      </c>
      <c r="GF88" s="706" t="str">
        <f t="shared" si="684"/>
      </c>
      <c r="GG88" s="706" t="str">
        <f t="shared" si="684"/>
      </c>
      <c r="GH88" s="706" t="str">
        <f t="shared" si="684"/>
      </c>
      <c r="GI88" s="706" t="str">
        <f t="shared" si="684"/>
      </c>
      <c r="GJ88" s="706" t="str">
        <f t="shared" si="684"/>
      </c>
      <c r="GK88" s="706" t="str">
        <f t="shared" si="684"/>
      </c>
      <c r="GL88" s="706" t="str">
        <f t="shared" si="684"/>
      </c>
      <c r="GM88" s="706" t="str">
        <f t="shared" si="684"/>
      </c>
      <c r="GN88" s="706" t="str">
        <f t="shared" si="684"/>
      </c>
      <c r="GO88" s="706" t="str">
        <f t="shared" si="684"/>
      </c>
      <c r="GP88" s="706" t="str">
        <f t="shared" si="684"/>
      </c>
      <c r="GQ88" s="706" t="str">
        <f t="shared" si="684"/>
      </c>
      <c r="GR88" s="706" t="str">
        <f t="shared" si="684"/>
      </c>
      <c r="GS88" s="706" t="str">
        <f t="shared" si="684"/>
      </c>
      <c r="GT88" s="706" t="str">
        <f t="shared" si="684"/>
      </c>
      <c r="GU88" s="706" t="str">
        <f t="shared" si="684"/>
      </c>
      <c r="GV88" s="706" t="str">
        <f t="shared" si="684"/>
      </c>
      <c r="GW88" s="706" t="str">
        <f t="shared" si="684"/>
      </c>
      <c r="GX88" s="706" t="str">
        <f t="shared" si="684"/>
      </c>
      <c r="GY88" s="706" t="str">
        <f t="shared" ref="GY88" si="685">GY$10</f>
      </c>
      <c r="GZ88" s="706" t="str">
        <f t="shared" ref="GZ88:HD88" si="686">GZ$10</f>
      </c>
      <c r="HA88" s="706" t="str">
        <f t="shared" si="686"/>
      </c>
      <c r="HB88" s="706" t="str">
        <f t="shared" si="686"/>
      </c>
      <c r="HC88" s="706" t="str">
        <f t="shared" si="686"/>
      </c>
      <c r="HD88" s="706" t="str">
        <f t="shared" si="686"/>
      </c>
    </row>
    <row r="89" spans="1:212" s="370" customFormat="1" ht="10.8" thickBot="1">
      <c r="A89" s="946" t="s">
        <v>1206</v>
      </c>
      <c r="B89" s="974"/>
      <c r="C89" s="974"/>
      <c r="D89" s="974"/>
      <c r="E89" s="975"/>
      <c r="F89" s="974"/>
      <c r="G89" s="974"/>
      <c r="H89" s="974"/>
      <c r="I89" s="975"/>
      <c r="J89" s="974"/>
      <c r="K89" s="974"/>
      <c r="L89" s="974"/>
      <c r="M89" s="975"/>
      <c r="N89" s="974"/>
      <c r="O89" s="974"/>
      <c r="P89" s="974"/>
      <c r="Q89" s="975"/>
      <c r="R89" s="974"/>
      <c r="S89" s="974"/>
      <c r="T89" s="974"/>
      <c r="U89" s="975"/>
      <c r="V89" s="974"/>
      <c r="W89" s="974"/>
      <c r="X89" s="974"/>
      <c r="Y89" s="975"/>
      <c r="Z89" s="974"/>
      <c r="AA89" s="974"/>
      <c r="AB89" s="974"/>
      <c r="AC89" s="975"/>
      <c r="AD89" s="974"/>
      <c r="AE89" s="974"/>
      <c r="AF89" s="974"/>
      <c r="AG89" s="975"/>
      <c r="AH89" s="974"/>
      <c r="AI89" s="974"/>
      <c r="AJ89" s="974"/>
      <c r="AK89" s="975"/>
      <c r="AL89" s="974"/>
      <c r="AM89" s="974"/>
      <c r="AN89" s="974"/>
      <c r="AO89" s="975"/>
      <c r="AP89" s="974"/>
      <c r="AQ89" s="974"/>
      <c r="AR89" s="974"/>
      <c r="AS89" s="975"/>
      <c r="AT89" s="974"/>
      <c r="AU89" s="974"/>
      <c r="AV89" s="974"/>
      <c r="AW89" s="975"/>
      <c r="AX89" s="974"/>
      <c r="AY89" s="974"/>
      <c r="AZ89" s="974"/>
      <c r="BA89" s="975"/>
      <c r="BB89" s="974"/>
      <c r="BC89" s="974"/>
      <c r="BD89" s="974"/>
      <c r="BE89" s="975"/>
      <c r="BF89" s="974"/>
      <c r="BG89" s="974"/>
      <c r="BH89" s="974"/>
      <c r="BI89" s="975"/>
      <c r="BJ89" s="974"/>
      <c r="BK89" s="974"/>
      <c r="BL89" s="974"/>
      <c r="BM89" s="975"/>
      <c r="BN89" s="974"/>
      <c r="BO89" s="974"/>
      <c r="BP89" s="974"/>
      <c r="BQ89" s="975"/>
      <c r="BR89" s="974"/>
      <c r="BS89" s="974"/>
      <c r="BT89" s="974"/>
      <c r="BU89" s="975"/>
      <c r="BV89" s="974"/>
      <c r="BW89" s="974"/>
      <c r="BX89" s="974"/>
      <c r="BY89" s="975"/>
      <c r="BZ89" s="974"/>
      <c r="CA89" s="974"/>
      <c r="CB89" s="974"/>
      <c r="CC89" s="948"/>
      <c r="CD89" s="947">
        <f t="shared" ref="CD89:CG89" si="687">+AVERAGE(CD90,CC90)*CD91*3</f>
      </c>
      <c r="CE89" s="947">
        <f t="shared" si="687"/>
      </c>
      <c r="CF89" s="947">
        <f t="shared" si="687"/>
      </c>
      <c r="CG89" s="976">
        <f t="shared" si="687"/>
      </c>
      <c r="CH89" s="977">
        <f>+AVERAGE(CH90,CG90)*CH91*3</f>
      </c>
      <c r="CI89" s="977">
        <f>+AVERAGE(CI90,CH90)*CI91*3</f>
      </c>
      <c r="CJ89" s="977">
        <f>+AVERAGE(CJ90,CI90)*CJ91*3</f>
      </c>
      <c r="CK89" s="976">
        <f>+AVERAGE(CK90,CJ90)*CK91*3</f>
      </c>
      <c r="CL89" s="977">
        <f t="shared" ref="CL89" si="688">+AVERAGE(CL90,CK90)*CL91*3</f>
      </c>
      <c r="CM89" s="977">
        <f t="shared" ref="CM89" si="689">+AVERAGE(CM90,CL90)*CM91*3</f>
      </c>
      <c r="CN89" s="977">
        <f t="shared" ref="CN89" si="690">+AVERAGE(CN90,CM90)*CN91*3</f>
      </c>
      <c r="CO89" s="976">
        <f t="shared" ref="CO89" si="691">+AVERAGE(CO90,CN90)*CO91*3</f>
      </c>
      <c r="CP89" s="977">
        <f t="shared" ref="CP89" si="692">+AVERAGE(CP90,CO90)*CP91*3</f>
      </c>
      <c r="CQ89" s="977">
        <f t="shared" ref="CQ89" si="693">+AVERAGE(CQ90,CP90)*CQ91*3</f>
      </c>
      <c r="CR89" s="977">
        <f t="shared" ref="CR89" si="694">+AVERAGE(CR90,CQ90)*CR91*3</f>
      </c>
      <c r="CS89" s="976">
        <f t="shared" ref="CS89" si="695">+AVERAGE(CS90,CR90)*CS91*3</f>
      </c>
      <c r="CT89" s="977">
        <f t="shared" ref="CT89" si="696">+AVERAGE(CT90,CS90)*CT91*3</f>
      </c>
      <c r="CU89" s="977">
        <f t="shared" ref="CU89" si="697">+AVERAGE(CU90,CT90)*CU91*3</f>
      </c>
      <c r="CV89" s="977">
        <f t="shared" ref="CV89" si="698">+AVERAGE(CV90,CU90)*CV91*3</f>
      </c>
      <c r="CW89" s="976">
        <f t="shared" ref="CW89" si="699">+AVERAGE(CW90,CV90)*CW91*3</f>
      </c>
      <c r="CX89" s="977">
        <f t="shared" ref="CX89" si="700">+AVERAGE(CX90,CW90)*CX91*3</f>
      </c>
      <c r="CY89" s="977">
        <f t="shared" ref="CY89" si="701">+AVERAGE(CY90,CX90)*CY91*3</f>
      </c>
      <c r="CZ89" s="977">
        <f t="shared" ref="CZ89" si="702">+AVERAGE(CZ90,CY90)*CZ91*3</f>
      </c>
      <c r="DA89" s="976">
        <f t="shared" ref="DA89" si="703">+AVERAGE(DA90,CZ90)*DA91*3</f>
      </c>
      <c r="DB89" s="977">
        <f t="shared" ref="DB89" si="704">+AVERAGE(DB90,DA90)*DB91*3</f>
      </c>
      <c r="DC89" s="977">
        <f t="shared" ref="DC89" si="705">+AVERAGE(DC90,DB90)*DC91*3</f>
      </c>
      <c r="DD89" s="977">
        <f t="shared" ref="DD89" si="706">+AVERAGE(DD90,DC90)*DD91*3</f>
      </c>
      <c r="DE89" s="976">
        <f t="shared" ref="DE89" si="707">+AVERAGE(DE90,DD90)*DE91*3</f>
      </c>
      <c r="DF89" s="977">
        <f t="shared" ref="DF89" si="708">+AVERAGE(DF90,DE90)*DF91*3</f>
      </c>
      <c r="DG89" s="977">
        <f t="shared" ref="DG89" si="709">+AVERAGE(DG90,DF90)*DG91*3</f>
      </c>
      <c r="DH89" s="977">
        <f t="shared" ref="DH89" si="710">+AVERAGE(DH90,DG90)*DH91*3</f>
      </c>
      <c r="DI89" s="976">
        <f t="shared" ref="DI89" si="711">+AVERAGE(DI90,DH90)*DI91*3</f>
      </c>
      <c r="DJ89" s="977">
        <f t="shared" ref="DJ89" si="712">+AVERAGE(DJ90,DI90)*DJ91*3</f>
      </c>
      <c r="DK89" s="977">
        <f t="shared" ref="DK89" si="713">+AVERAGE(DK90,DJ90)*DK91*3</f>
      </c>
      <c r="DL89" s="977">
        <f t="shared" ref="DL89" si="714">+AVERAGE(DL90,DK90)*DL91*3</f>
      </c>
      <c r="DM89" s="976">
        <f t="shared" ref="DM89" si="715">+AVERAGE(DM90,DL90)*DM91*3</f>
      </c>
      <c r="DN89" s="977">
        <f t="shared" ref="DN89" si="716">+AVERAGE(DN90,DM90)*DN91*3</f>
      </c>
      <c r="DO89" s="977">
        <f t="shared" ref="DO89" si="717">+AVERAGE(DO90,DN90)*DO91*3</f>
      </c>
      <c r="DP89" s="977">
        <f t="shared" ref="DP89" si="718">+AVERAGE(DP90,DO90)*DP91*3</f>
      </c>
      <c r="DQ89" s="976">
        <f t="shared" ref="DQ89" si="719">+AVERAGE(DQ90,DP90)*DQ91*3</f>
      </c>
      <c r="DR89" s="977">
        <f t="shared" ref="DR89" si="720">+AVERAGE(DR90,DQ90)*DR91*3</f>
      </c>
      <c r="DS89" s="977">
        <f t="shared" ref="DS89" si="721">+AVERAGE(DS90,DR90)*DS91*3</f>
      </c>
      <c r="DT89" s="977">
        <f t="shared" ref="DT89" si="722">+AVERAGE(DT90,DS90)*DT91*3</f>
      </c>
      <c r="DU89" s="979">
        <f t="shared" ref="DU89" si="723">+AVERAGE(DU90,DT90)*DU91*3</f>
      </c>
      <c r="DV89" s="977">
        <f t="shared" ref="DV89" si="724">+AVERAGE(DV90,DU90)*DV91*3</f>
      </c>
      <c r="DW89" s="977">
        <f t="shared" ref="DW89" si="725">+AVERAGE(DW90,DV90)*DW91*3</f>
      </c>
      <c r="DX89" s="977">
        <f t="shared" ref="DX89" si="726">+AVERAGE(DX90,DW90)*DX91*3</f>
      </c>
      <c r="DY89" s="979">
        <f t="shared" ref="DY89" si="727">+AVERAGE(DY90,DX90)*DY91*3</f>
      </c>
      <c r="DZ89" s="977">
        <f t="shared" ref="DZ89" si="728">+AVERAGE(DZ90,DY90)*DZ91*3</f>
      </c>
      <c r="EA89" s="977">
        <f t="shared" ref="EA89" si="729">+AVERAGE(EA90,DZ90)*EA91*3</f>
      </c>
      <c r="EB89" s="977">
        <f t="shared" ref="EB89" si="730">+AVERAGE(EB90,EA90)*EB91*3</f>
      </c>
      <c r="EC89" s="979">
        <f t="shared" ref="EC89" si="731">+AVERAGE(EC90,EB90)*EC91*3</f>
      </c>
      <c r="ED89" s="977">
        <f t="shared" ref="ED89" si="732">+AVERAGE(ED90,EC90)*ED91*3</f>
      </c>
      <c r="EE89" s="977">
        <f t="shared" ref="EE89" si="733">+AVERAGE(EE90,ED90)*EE91*3</f>
      </c>
      <c r="EF89" s="977">
        <f t="shared" ref="EF89" si="734">+AVERAGE(EF90,EE90)*EF91*3</f>
      </c>
      <c r="EG89" s="979">
        <f t="shared" ref="EG89" si="735">+AVERAGE(EG90,EF90)*EG91*3</f>
      </c>
      <c r="EH89" s="977">
        <f t="shared" ref="EH89" si="736">+AVERAGE(EH90,EG90)*EH91*3</f>
      </c>
      <c r="EI89" s="977">
        <f t="shared" ref="EI89" si="737">+AVERAGE(EI90,EH90)*EI91*3</f>
      </c>
      <c r="EJ89" s="977">
        <f t="shared" ref="EJ89" si="738">+AVERAGE(EJ90,EI90)*EJ91*3</f>
      </c>
      <c r="EK89" s="979">
        <f t="shared" ref="EK89" si="739">+AVERAGE(EK90,EJ90)*EK91*3</f>
      </c>
      <c r="EM89" s="977"/>
      <c r="EN89" s="977"/>
      <c r="EO89" s="977"/>
      <c r="EP89" s="977"/>
      <c r="EQ89" s="977"/>
      <c r="ER89" s="977"/>
      <c r="ES89" s="977"/>
      <c r="ET89" s="977"/>
      <c r="EU89" s="977"/>
      <c r="EV89" s="977"/>
      <c r="EW89" s="977"/>
      <c r="EX89" s="977"/>
      <c r="EY89" s="977"/>
      <c r="EZ89" s="977"/>
      <c r="FA89" s="977"/>
      <c r="FB89" s="977"/>
      <c r="FC89" s="977"/>
      <c r="FD89" s="977"/>
      <c r="FE89" s="977"/>
      <c r="FF89" s="977"/>
      <c r="FG89" s="977">
        <f>SUM(CD89:CG89)</f>
      </c>
      <c r="FH89" s="977">
        <f>SUM(CH89:CK89)</f>
      </c>
      <c r="FI89" s="977">
        <f>SUM(CL89:CO89)</f>
      </c>
      <c r="FJ89" s="977">
        <f t="shared" ref="FJ89" si="740">SUM(CP89:CS89)</f>
      </c>
      <c r="FK89" s="977">
        <f t="shared" ref="FK89" si="741">SUM(CT89:CW89)</f>
      </c>
      <c r="FL89" s="977">
        <f t="shared" ref="FL89" si="742">SUM(CX89:DA89)</f>
      </c>
      <c r="FM89" s="977">
        <f t="shared" ref="FM89" si="743">SUM(DB89:DE89)</f>
      </c>
      <c r="FN89" s="977">
        <f t="shared" ref="FN89" si="744">SUM(DF89:DI89)</f>
      </c>
      <c r="FO89" s="977">
        <f t="shared" ref="FO89" si="745">SUM(DJ89:DM89)</f>
      </c>
      <c r="FP89" s="977">
        <f>SUM(DN89:DQ89)</f>
      </c>
      <c r="FQ89" s="977">
        <f>SUM(DR89:DU89)</f>
      </c>
      <c r="FR89" s="977">
        <f>SUM(DV89:DY89)</f>
      </c>
      <c r="FS89" s="977">
        <f>SUM(DZ89:EC89)</f>
      </c>
      <c r="FT89" s="977">
        <f>SUM(ED89:EG89)</f>
      </c>
      <c r="FU89" s="977">
        <f>SUM(EH89:EK89)</f>
      </c>
      <c r="FV89" s="2391"/>
      <c r="FW89" s="977"/>
      <c r="FX89" s="977"/>
      <c r="FY89" s="977"/>
      <c r="FZ89" s="977"/>
      <c r="GA89" s="977"/>
      <c r="GB89" s="977"/>
      <c r="GC89" s="977"/>
      <c r="GD89" s="977"/>
      <c r="GE89" s="977"/>
      <c r="GF89" s="977"/>
      <c r="GG89" s="977"/>
      <c r="GH89" s="977"/>
      <c r="GI89" s="977"/>
      <c r="GJ89" s="977"/>
      <c r="GK89" s="977"/>
      <c r="GL89" s="977"/>
      <c r="GM89" s="977"/>
      <c r="GN89" s="977"/>
      <c r="GO89" s="977"/>
      <c r="GP89" s="977">
        <f>SUM(CA89:CD89)</f>
      </c>
      <c r="GQ89" s="977">
        <f>SUM(CE89:CH89)</f>
      </c>
      <c r="GR89" s="977">
        <f>SUM(CI89:CL89)</f>
      </c>
      <c r="GS89" s="977">
        <f>SUM(CM89:CP89)</f>
      </c>
      <c r="GT89" s="977">
        <f>SUM(CQ89:CT89)</f>
      </c>
      <c r="GU89" s="977">
        <f>SUM(CU89:CX89)</f>
      </c>
      <c r="GV89" s="977">
        <f>SUM(CY89:DB89)</f>
      </c>
      <c r="GW89" s="977">
        <f>SUM(DC89:DF89)</f>
      </c>
      <c r="GX89" s="977">
        <f>SUM(DG89:DJ89)</f>
      </c>
      <c r="GY89" s="977">
        <f>SUM(DK89:DN89)</f>
      </c>
      <c r="GZ89" s="977">
        <f>SUM(DO89:DR89)</f>
      </c>
      <c r="HA89" s="977">
        <f>SUM(DS89:DV89)</f>
      </c>
      <c r="HB89" s="977">
        <f>SUM(DW89:DZ89)</f>
      </c>
      <c r="HC89" s="977">
        <f>SUM(EA89:ED89)</f>
      </c>
      <c r="HD89" s="977">
        <f>SUM(EE89:EH89)</f>
      </c>
    </row>
    <row r="90" spans="1:212" s="970" customFormat="1" ht="10.8" thickTop="1">
      <c r="A90" s="980" t="s">
        <v>1203</v>
      </c>
      <c r="B90" s="967"/>
      <c r="C90" s="967"/>
      <c r="D90" s="967"/>
      <c r="E90" s="966"/>
      <c r="F90" s="967"/>
      <c r="G90" s="967"/>
      <c r="H90" s="967"/>
      <c r="I90" s="966"/>
      <c r="J90" s="967"/>
      <c r="K90" s="967"/>
      <c r="L90" s="967"/>
      <c r="M90" s="966"/>
      <c r="N90" s="967"/>
      <c r="O90" s="967"/>
      <c r="P90" s="967"/>
      <c r="Q90" s="966"/>
      <c r="R90" s="967"/>
      <c r="S90" s="967"/>
      <c r="T90" s="967"/>
      <c r="U90" s="966"/>
      <c r="V90" s="967"/>
      <c r="W90" s="967"/>
      <c r="X90" s="967"/>
      <c r="Y90" s="966"/>
      <c r="Z90" s="967"/>
      <c r="AA90" s="967"/>
      <c r="AB90" s="967"/>
      <c r="AC90" s="966"/>
      <c r="AD90" s="967"/>
      <c r="AE90" s="967"/>
      <c r="AF90" s="967"/>
      <c r="AG90" s="966"/>
      <c r="AH90" s="967"/>
      <c r="AI90" s="967"/>
      <c r="AJ90" s="967"/>
      <c r="AK90" s="966"/>
      <c r="AL90" s="967"/>
      <c r="AM90" s="967"/>
      <c r="AN90" s="967"/>
      <c r="AO90" s="966"/>
      <c r="AP90" s="967"/>
      <c r="AQ90" s="967"/>
      <c r="AR90" s="967"/>
      <c r="AS90" s="966"/>
      <c r="AT90" s="967"/>
      <c r="AU90" s="967"/>
      <c r="AV90" s="967"/>
      <c r="AW90" s="966"/>
      <c r="AX90" s="967"/>
      <c r="AY90" s="967"/>
      <c r="AZ90" s="967"/>
      <c r="BA90" s="966"/>
      <c r="BB90" s="967"/>
      <c r="BC90" s="967"/>
      <c r="BD90" s="967"/>
      <c r="BE90" s="966"/>
      <c r="BF90" s="967"/>
      <c r="BG90" s="967"/>
      <c r="BH90" s="967"/>
      <c r="BI90" s="966"/>
      <c r="BJ90" s="967"/>
      <c r="BK90" s="967"/>
      <c r="BL90" s="967"/>
      <c r="BM90" s="966"/>
      <c r="BN90" s="967"/>
      <c r="BO90" s="967"/>
      <c r="BP90" s="967"/>
      <c r="BQ90" s="966"/>
      <c r="BR90" s="967"/>
      <c r="BS90" s="967"/>
      <c r="BT90" s="967"/>
      <c r="BU90" s="966"/>
      <c r="BV90" s="967"/>
      <c r="BW90" s="967"/>
      <c r="BX90" s="967"/>
      <c r="BY90" s="966"/>
      <c r="BZ90" s="967"/>
      <c r="CA90" s="967"/>
      <c r="CB90" s="968"/>
      <c r="CC90" s="969"/>
      <c r="CD90" s="972">
        <f>CE90-CD92</f>
      </c>
      <c r="CE90" s="972">
        <f>CF90-CE92</f>
      </c>
      <c r="CF90" s="972">
        <f>CG90-CF92</f>
      </c>
      <c r="CG90" s="1012">
        <f>CH90-CG92</f>
      </c>
      <c r="CH90" s="972">
        <f>CI90-CH92</f>
      </c>
      <c r="CI90" s="967">
        <v>59</v>
      </c>
      <c r="CJ90" s="967">
        <v>67</v>
      </c>
      <c r="CK90" s="966">
        <v>75</v>
      </c>
      <c r="CL90" s="967">
        <v>85</v>
      </c>
      <c r="CM90" s="967">
        <v>95</v>
      </c>
      <c r="CN90" s="967">
        <v>102</v>
      </c>
      <c r="CO90" s="966">
        <v>110</v>
      </c>
      <c r="CP90" s="970">
        <f t="shared" ref="CP90:DU90" si="746">CO90+CP92</f>
      </c>
      <c r="CQ90" s="970">
        <f t="shared" si="746"/>
      </c>
      <c r="CR90" s="970">
        <f t="shared" si="746"/>
      </c>
      <c r="CS90" s="971">
        <f t="shared" si="746"/>
      </c>
      <c r="CT90" s="970">
        <f t="shared" si="746"/>
      </c>
      <c r="CU90" s="970">
        <f t="shared" si="746"/>
      </c>
      <c r="CV90" s="970">
        <f t="shared" si="746"/>
      </c>
      <c r="CW90" s="971">
        <f t="shared" si="746"/>
      </c>
      <c r="CX90" s="970">
        <f t="shared" si="746"/>
      </c>
      <c r="CY90" s="970">
        <f t="shared" si="746"/>
      </c>
      <c r="CZ90" s="970">
        <f t="shared" si="746"/>
      </c>
      <c r="DA90" s="971">
        <f t="shared" si="746"/>
      </c>
      <c r="DB90" s="970">
        <f t="shared" si="746"/>
      </c>
      <c r="DC90" s="970">
        <f t="shared" si="746"/>
      </c>
      <c r="DD90" s="970">
        <f t="shared" si="746"/>
      </c>
      <c r="DE90" s="971">
        <f t="shared" si="746"/>
      </c>
      <c r="DF90" s="970">
        <f t="shared" si="746"/>
      </c>
      <c r="DG90" s="970">
        <f t="shared" si="746"/>
      </c>
      <c r="DH90" s="970">
        <f t="shared" si="746"/>
      </c>
      <c r="DI90" s="971">
        <f t="shared" si="746"/>
      </c>
      <c r="DJ90" s="970">
        <f t="shared" si="746"/>
      </c>
      <c r="DK90" s="970">
        <f t="shared" si="746"/>
      </c>
      <c r="DL90" s="970">
        <f t="shared" si="746"/>
      </c>
      <c r="DM90" s="971">
        <f t="shared" si="746"/>
      </c>
      <c r="DN90" s="970">
        <f t="shared" si="746"/>
      </c>
      <c r="DO90" s="970">
        <f t="shared" si="746"/>
      </c>
      <c r="DP90" s="970">
        <f t="shared" si="746"/>
      </c>
      <c r="DQ90" s="971">
        <f t="shared" si="746"/>
      </c>
      <c r="DR90" s="970">
        <f t="shared" si="746"/>
      </c>
      <c r="DS90" s="970">
        <f t="shared" si="746"/>
      </c>
      <c r="DT90" s="970">
        <f t="shared" si="746"/>
      </c>
      <c r="DU90" s="981">
        <f t="shared" si="746"/>
      </c>
      <c r="DV90" s="970">
        <f t="shared" ref="DV90" si="747">DU90+DV92</f>
      </c>
      <c r="DW90" s="970">
        <f t="shared" ref="DW90" si="748">DV90+DW92</f>
      </c>
      <c r="DX90" s="970">
        <f t="shared" ref="DX90" si="749">DW90+DX92</f>
      </c>
      <c r="DY90" s="981">
        <f t="shared" ref="DY90" si="750">DX90+DY92</f>
      </c>
      <c r="DZ90" s="970">
        <f t="shared" ref="DZ90" si="751">DY90+DZ92</f>
      </c>
      <c r="EA90" s="970">
        <f t="shared" ref="EA90" si="752">DZ90+EA92</f>
      </c>
      <c r="EB90" s="970">
        <f t="shared" ref="EB90" si="753">EA90+EB92</f>
      </c>
      <c r="EC90" s="981">
        <f t="shared" ref="EC90" si="754">EB90+EC92</f>
      </c>
      <c r="ED90" s="970">
        <f t="shared" ref="ED90" si="755">EC90+ED92</f>
      </c>
      <c r="EE90" s="970">
        <f t="shared" ref="EE90" si="756">ED90+EE92</f>
      </c>
      <c r="EF90" s="970">
        <f t="shared" ref="EF90" si="757">EE90+EF92</f>
      </c>
      <c r="EG90" s="981">
        <f t="shared" ref="EG90" si="758">EF90+EG92</f>
      </c>
      <c r="EH90" s="970">
        <f t="shared" ref="EH90" si="759">EG90+EH92</f>
      </c>
      <c r="EI90" s="970">
        <f t="shared" ref="EI90" si="760">EH90+EI92</f>
      </c>
      <c r="EJ90" s="970">
        <f t="shared" ref="EJ90" si="761">EI90+EJ92</f>
      </c>
      <c r="EK90" s="981">
        <f t="shared" ref="EK90" si="762">EJ90+EK92</f>
      </c>
      <c r="EL90" s="88"/>
      <c r="FG90" s="972">
        <f>CG90</f>
      </c>
      <c r="FH90" s="972">
        <f>CK90</f>
      </c>
      <c r="FI90" s="972">
        <f>CO90</f>
      </c>
      <c r="FJ90" s="972">
        <f>CS90</f>
      </c>
      <c r="FK90" s="972">
        <f>CW90</f>
      </c>
      <c r="FL90" s="972">
        <f>DA90</f>
      </c>
      <c r="FM90" s="972">
        <f>DE90</f>
      </c>
      <c r="FN90" s="972">
        <f>DI90</f>
      </c>
      <c r="FO90" s="972">
        <f>DM90</f>
      </c>
      <c r="FP90" s="972">
        <f>DQ90</f>
      </c>
      <c r="FQ90" s="972">
        <f>DU90</f>
      </c>
      <c r="FR90" s="972">
        <f>DY90</f>
      </c>
      <c r="FS90" s="972">
        <f>EC90</f>
      </c>
      <c r="FT90" s="972">
        <f>EG90</f>
      </c>
      <c r="FU90" s="972">
        <f>EK90</f>
      </c>
      <c r="FV90" s="1073"/>
      <c r="GP90" s="970">
        <f>+CD90</f>
      </c>
      <c r="GQ90" s="970">
        <f>+CH90</f>
      </c>
      <c r="GR90" s="970">
        <f>CL90</f>
      </c>
      <c r="GS90" s="970">
        <f>CP90</f>
      </c>
      <c r="GT90" s="970">
        <f>CT90</f>
      </c>
      <c r="GU90" s="970">
        <f>CX90</f>
      </c>
      <c r="GV90" s="970">
        <f>DB90</f>
      </c>
      <c r="GW90" s="970">
        <f>DF90</f>
      </c>
      <c r="GX90" s="970">
        <f>DJ90</f>
      </c>
      <c r="GY90" s="970">
        <f>DN90</f>
      </c>
      <c r="GZ90" s="970">
        <f>DR90</f>
      </c>
      <c r="HA90" s="970">
        <f t="shared" ref="HA90:HC90" si="763">DS90</f>
      </c>
      <c r="HB90" s="970">
        <f>DZ90</f>
      </c>
      <c r="HC90" s="970">
        <f t="shared" si="763"/>
      </c>
      <c r="HD90" s="970">
        <f>EH90</f>
      </c>
    </row>
    <row r="91" spans="1:212" s="943" customFormat="1" ht="10.199999999999999">
      <c r="A91" s="982" t="s">
        <v>823</v>
      </c>
      <c r="B91" s="942"/>
      <c r="C91" s="942"/>
      <c r="D91" s="942"/>
      <c r="E91" s="941"/>
      <c r="F91" s="942"/>
      <c r="G91" s="942"/>
      <c r="H91" s="942"/>
      <c r="I91" s="941"/>
      <c r="J91" s="942"/>
      <c r="K91" s="942"/>
      <c r="L91" s="942"/>
      <c r="M91" s="941"/>
      <c r="N91" s="942"/>
      <c r="O91" s="942"/>
      <c r="P91" s="942"/>
      <c r="Q91" s="941"/>
      <c r="R91" s="942"/>
      <c r="S91" s="942"/>
      <c r="T91" s="942"/>
      <c r="U91" s="941"/>
      <c r="V91" s="942"/>
      <c r="W91" s="942"/>
      <c r="X91" s="942"/>
      <c r="Y91" s="941"/>
      <c r="Z91" s="942"/>
      <c r="AA91" s="942"/>
      <c r="AB91" s="942"/>
      <c r="AC91" s="941"/>
      <c r="AD91" s="942"/>
      <c r="AE91" s="942"/>
      <c r="AF91" s="942"/>
      <c r="AG91" s="941"/>
      <c r="AH91" s="942"/>
      <c r="AI91" s="942"/>
      <c r="AJ91" s="942"/>
      <c r="AK91" s="941"/>
      <c r="AL91" s="942"/>
      <c r="AM91" s="942"/>
      <c r="AN91" s="942"/>
      <c r="AO91" s="941"/>
      <c r="AP91" s="942"/>
      <c r="AQ91" s="942"/>
      <c r="AR91" s="942"/>
      <c r="AS91" s="941"/>
      <c r="AT91" s="942"/>
      <c r="AU91" s="942"/>
      <c r="AV91" s="942"/>
      <c r="AW91" s="941"/>
      <c r="AX91" s="942"/>
      <c r="AY91" s="942"/>
      <c r="AZ91" s="942"/>
      <c r="BA91" s="941"/>
      <c r="BB91" s="942"/>
      <c r="BC91" s="942"/>
      <c r="BD91" s="942"/>
      <c r="BE91" s="941"/>
      <c r="BF91" s="942"/>
      <c r="BG91" s="942"/>
      <c r="BH91" s="942"/>
      <c r="BI91" s="941"/>
      <c r="BJ91" s="942"/>
      <c r="BK91" s="942"/>
      <c r="BL91" s="942"/>
      <c r="BM91" s="941"/>
      <c r="BN91" s="942"/>
      <c r="BO91" s="942"/>
      <c r="BP91" s="942"/>
      <c r="BQ91" s="941"/>
      <c r="BR91" s="942"/>
      <c r="BS91" s="942"/>
      <c r="BT91" s="942"/>
      <c r="BU91" s="941"/>
      <c r="BV91" s="942"/>
      <c r="BW91" s="942"/>
      <c r="BX91" s="942"/>
      <c r="BY91" s="941"/>
      <c r="BZ91" s="942"/>
      <c r="CA91" s="942"/>
      <c r="CB91" s="944"/>
      <c r="CC91" s="945">
        <v>3</v>
      </c>
      <c r="CD91" s="944">
        <f>CC91+0.05</f>
      </c>
      <c r="CE91" s="944">
        <f t="shared" ref="CE91:CW91" si="764">CD91+0.05</f>
      </c>
      <c r="CF91" s="944">
        <f t="shared" si="764"/>
      </c>
      <c r="CG91" s="945">
        <f t="shared" si="764"/>
      </c>
      <c r="CH91" s="944">
        <v>3.2</v>
      </c>
      <c r="CI91" s="944">
        <v>3.2</v>
      </c>
      <c r="CJ91" s="944">
        <v>3.2</v>
      </c>
      <c r="CK91" s="945">
        <v>3.2</v>
      </c>
      <c r="CL91" s="944">
        <v>3.2</v>
      </c>
      <c r="CM91" s="944">
        <v>3.2</v>
      </c>
      <c r="CN91" s="944">
        <v>3.2</v>
      </c>
      <c r="CO91" s="945">
        <v>3.2</v>
      </c>
      <c r="CP91" s="944">
        <f t="shared" si="764"/>
      </c>
      <c r="CQ91" s="944">
        <f t="shared" si="764"/>
      </c>
      <c r="CR91" s="944">
        <f t="shared" si="764"/>
      </c>
      <c r="CS91" s="945">
        <f t="shared" si="764"/>
      </c>
      <c r="CT91" s="944">
        <f t="shared" si="764"/>
      </c>
      <c r="CU91" s="944">
        <f t="shared" si="764"/>
      </c>
      <c r="CV91" s="944">
        <f t="shared" si="764"/>
      </c>
      <c r="CW91" s="945">
        <f t="shared" si="764"/>
      </c>
      <c r="CX91" s="944">
        <f>CW91+0.025</f>
      </c>
      <c r="CY91" s="944">
        <f t="shared" ref="CY91:DU91" si="765">CX91+0.025</f>
      </c>
      <c r="CZ91" s="944">
        <f t="shared" si="765"/>
      </c>
      <c r="DA91" s="945">
        <f t="shared" si="765"/>
      </c>
      <c r="DB91" s="944">
        <f>DA91+0.025</f>
      </c>
      <c r="DC91" s="944">
        <f t="shared" si="765"/>
      </c>
      <c r="DD91" s="944">
        <f t="shared" si="765"/>
      </c>
      <c r="DE91" s="945">
        <f t="shared" si="765"/>
      </c>
      <c r="DF91" s="944">
        <f>(DE91+0.025)*14/13</f>
      </c>
      <c r="DG91" s="944">
        <f>(DF91*13/14)+0.025</f>
      </c>
      <c r="DH91" s="944">
        <f t="shared" si="765"/>
      </c>
      <c r="DI91" s="945">
        <f t="shared" si="765"/>
      </c>
      <c r="DJ91" s="944">
        <v>4</v>
      </c>
      <c r="DK91" s="944">
        <v>4</v>
      </c>
      <c r="DL91" s="944">
        <f t="shared" si="765"/>
      </c>
      <c r="DM91" s="945">
        <f t="shared" si="765"/>
      </c>
      <c r="DN91" s="944">
        <f t="shared" si="765"/>
      </c>
      <c r="DO91" s="944">
        <f t="shared" si="765"/>
      </c>
      <c r="DP91" s="944">
        <f>DO91+0.05</f>
      </c>
      <c r="DQ91" s="945">
        <f>DP91+0.05</f>
      </c>
      <c r="DR91" s="944">
        <f t="shared" si="765"/>
      </c>
      <c r="DS91" s="944">
        <f t="shared" si="765"/>
      </c>
      <c r="DT91" s="944">
        <f t="shared" si="765"/>
      </c>
      <c r="DU91" s="983">
        <f t="shared" si="765"/>
      </c>
      <c r="DV91" s="944">
        <f t="shared" ref="DV91" si="766">DU91+0.025</f>
      </c>
      <c r="DW91" s="944">
        <f t="shared" ref="DW91" si="767">DV91+0.025</f>
      </c>
      <c r="DX91" s="944">
        <f t="shared" ref="DX91" si="768">DW91+0.025</f>
      </c>
      <c r="DY91" s="983">
        <f t="shared" ref="DY91" si="769">DX91+0.025</f>
      </c>
      <c r="DZ91" s="944">
        <f t="shared" ref="DZ91" si="770">DY91+0.025</f>
      </c>
      <c r="EA91" s="944">
        <f t="shared" ref="EA91" si="771">DZ91+0.025</f>
      </c>
      <c r="EB91" s="944">
        <f t="shared" ref="EB91" si="772">EA91+0.025</f>
      </c>
      <c r="EC91" s="983">
        <f t="shared" ref="EC91" si="773">EB91+0.025</f>
      </c>
      <c r="ED91" s="944">
        <f t="shared" ref="ED91" si="774">EC91+0.025</f>
      </c>
      <c r="EE91" s="944">
        <f t="shared" ref="EE91" si="775">ED91+0.025</f>
      </c>
      <c r="EF91" s="944">
        <f t="shared" ref="EF91" si="776">EE91+0.025</f>
      </c>
      <c r="EG91" s="983">
        <f t="shared" ref="EG91" si="777">EF91+0.025</f>
      </c>
      <c r="EH91" s="944">
        <f t="shared" ref="EH91" si="778">EG91+0.025</f>
      </c>
      <c r="EI91" s="944">
        <f t="shared" ref="EI91" si="779">EH91+0.025</f>
      </c>
      <c r="EJ91" s="944">
        <f t="shared" ref="EJ91" si="780">EI91+0.025</f>
      </c>
      <c r="EK91" s="983">
        <f t="shared" ref="EK91" si="781">EJ91+0.025</f>
      </c>
      <c r="EL91" s="88"/>
      <c r="EM91" s="944"/>
      <c r="EN91" s="944"/>
      <c r="EO91" s="944"/>
      <c r="EP91" s="944"/>
      <c r="EQ91" s="944"/>
      <c r="ER91" s="944"/>
      <c r="ES91" s="944"/>
      <c r="ET91" s="944"/>
      <c r="EU91" s="944"/>
      <c r="EV91" s="944"/>
      <c r="EW91" s="944"/>
      <c r="EX91" s="944"/>
      <c r="EY91" s="944"/>
      <c r="EZ91" s="944"/>
      <c r="FA91" s="944"/>
      <c r="FB91" s="944"/>
      <c r="FC91" s="944"/>
      <c r="FD91" s="944"/>
      <c r="FE91" s="944"/>
      <c r="FF91" s="944"/>
      <c r="FG91" s="1467">
        <f t="shared" ref="FG91" si="782">FG89/AVERAGE(FF90:FG90)/12</f>
      </c>
      <c r="FH91" s="1467">
        <f t="shared" ref="FH91" si="783">FH89/AVERAGE(FG90:FH90)/12</f>
      </c>
      <c r="FI91" s="1467">
        <f t="shared" ref="FI91" si="784">FI89/AVERAGE(FH90:FI90)/12</f>
      </c>
      <c r="FJ91" s="1467">
        <f t="shared" ref="FJ91" si="785">FJ89/AVERAGE(FI90:FJ90)/12</f>
      </c>
      <c r="FK91" s="1467">
        <f t="shared" ref="FK91" si="786">FK89/AVERAGE(FJ90:FK90)/12</f>
      </c>
      <c r="FL91" s="1467">
        <f t="shared" ref="FL91" si="787">FL89/AVERAGE(FK90:FL90)/12</f>
      </c>
      <c r="FM91" s="1467">
        <f t="shared" ref="FM91" si="788">FM89/AVERAGE(FL90:FM90)/12</f>
      </c>
      <c r="FN91" s="1467">
        <f t="shared" ref="FN91" si="789">FN89/AVERAGE(FM90:FN90)/12</f>
      </c>
      <c r="FO91" s="1467">
        <f t="shared" ref="FO91" si="790">FO89/AVERAGE(FN90:FO90)/12</f>
      </c>
      <c r="FP91" s="1467">
        <f t="shared" ref="FP91" si="791">FP89/AVERAGE(FO90:FP90)/12</f>
      </c>
      <c r="FQ91" s="1467">
        <f>FQ89/AVERAGE(FP90:FQ90)/12</f>
      </c>
      <c r="FR91" s="1467">
        <f t="shared" ref="FR91:FU91" si="792">FR89/AVERAGE(FQ90:FR90)/12</f>
      </c>
      <c r="FS91" s="1467">
        <f t="shared" si="792"/>
      </c>
      <c r="FT91" s="1467">
        <f t="shared" si="792"/>
      </c>
      <c r="FU91" s="1467">
        <f t="shared" si="792"/>
      </c>
      <c r="FV91" s="1073"/>
      <c r="FW91" s="944"/>
      <c r="FX91" s="944"/>
      <c r="FY91" s="944"/>
      <c r="FZ91" s="944"/>
      <c r="GA91" s="944"/>
      <c r="GB91" s="944"/>
      <c r="GC91" s="944"/>
      <c r="GD91" s="944"/>
      <c r="GE91" s="944"/>
      <c r="GF91" s="944"/>
      <c r="GG91" s="944"/>
      <c r="GH91" s="944"/>
      <c r="GI91" s="944"/>
      <c r="GJ91" s="944"/>
      <c r="GK91" s="944"/>
      <c r="GL91" s="944"/>
      <c r="GM91" s="944"/>
      <c r="GN91" s="944"/>
      <c r="GO91" s="944"/>
      <c r="GP91" s="1467"/>
      <c r="GQ91" s="1467">
        <f t="shared" ref="GQ91:GY91" si="793">GQ89/AVERAGE(GP90:GQ90)/12</f>
      </c>
      <c r="GR91" s="1467">
        <f t="shared" si="793"/>
      </c>
      <c r="GS91" s="1467">
        <f t="shared" si="793"/>
      </c>
      <c r="GT91" s="1467">
        <f t="shared" si="793"/>
      </c>
      <c r="GU91" s="1467">
        <f t="shared" si="793"/>
      </c>
      <c r="GV91" s="1467">
        <f t="shared" si="793"/>
      </c>
      <c r="GW91" s="1467">
        <f t="shared" si="793"/>
      </c>
      <c r="GX91" s="1467">
        <f t="shared" si="793"/>
      </c>
      <c r="GY91" s="1467">
        <f t="shared" si="793"/>
      </c>
      <c r="GZ91" s="1467">
        <f>GZ89/AVERAGE(GY90:GZ90)/12</f>
      </c>
      <c r="HA91" s="1467">
        <f t="shared" ref="HA91:HD91" si="794">HA89/AVERAGE(GZ90:HA90)/12</f>
      </c>
      <c r="HB91" s="1467">
        <f t="shared" si="794"/>
      </c>
      <c r="HC91" s="1467">
        <f t="shared" si="794"/>
      </c>
      <c r="HD91" s="1467">
        <f t="shared" si="794"/>
      </c>
    </row>
    <row r="92" spans="1:212" s="970" customFormat="1" ht="10.199999999999999">
      <c r="A92" s="994" t="s">
        <v>1207</v>
      </c>
      <c r="E92" s="971"/>
      <c r="I92" s="971"/>
      <c r="M92" s="971"/>
      <c r="Q92" s="971"/>
      <c r="U92" s="971"/>
      <c r="Y92" s="971"/>
      <c r="AC92" s="971"/>
      <c r="AG92" s="971"/>
      <c r="AK92" s="971"/>
      <c r="AO92" s="971"/>
      <c r="AS92" s="971"/>
      <c r="AW92" s="971"/>
      <c r="BA92" s="971"/>
      <c r="BE92" s="971"/>
      <c r="BI92" s="971"/>
      <c r="BM92" s="971"/>
      <c r="BQ92" s="971"/>
      <c r="BU92" s="971"/>
      <c r="BV92" s="925"/>
      <c r="BY92" s="971"/>
      <c r="BZ92" s="925"/>
      <c r="CC92" s="971"/>
      <c r="CD92" s="968">
        <v>8</v>
      </c>
      <c r="CE92" s="968">
        <v>8</v>
      </c>
      <c r="CF92" s="968">
        <v>8</v>
      </c>
      <c r="CG92" s="969">
        <v>8</v>
      </c>
      <c r="CH92" s="968">
        <v>8</v>
      </c>
      <c r="CI92" s="970">
        <f t="shared" ref="CI92:CO92" si="795">CI90-CH90</f>
      </c>
      <c r="CJ92" s="970">
        <f t="shared" si="795"/>
      </c>
      <c r="CK92" s="971">
        <f t="shared" si="795"/>
      </c>
      <c r="CL92" s="925">
        <f t="shared" si="795"/>
      </c>
      <c r="CM92" s="970">
        <f t="shared" si="795"/>
      </c>
      <c r="CN92" s="970">
        <f t="shared" si="795"/>
      </c>
      <c r="CO92" s="971">
        <f t="shared" si="795"/>
      </c>
      <c r="CP92" s="968">
        <f>CP94</f>
      </c>
      <c r="CQ92" s="968">
        <f t="shared" ref="CQ92:DU92" si="796">CQ94</f>
      </c>
      <c r="CR92" s="968">
        <f t="shared" si="796"/>
      </c>
      <c r="CS92" s="969">
        <f t="shared" si="796"/>
      </c>
      <c r="CT92" s="968">
        <f t="shared" si="796"/>
      </c>
      <c r="CU92" s="968">
        <f t="shared" si="796"/>
      </c>
      <c r="CV92" s="968">
        <f t="shared" si="796"/>
      </c>
      <c r="CW92" s="969">
        <f t="shared" si="796"/>
      </c>
      <c r="CX92" s="968">
        <f t="shared" si="796"/>
      </c>
      <c r="CY92" s="968">
        <f t="shared" si="796"/>
      </c>
      <c r="CZ92" s="968">
        <f t="shared" si="796"/>
      </c>
      <c r="DA92" s="969">
        <f t="shared" si="796"/>
      </c>
      <c r="DB92" s="968">
        <f t="shared" si="796"/>
      </c>
      <c r="DC92" s="968">
        <f t="shared" si="796"/>
      </c>
      <c r="DD92" s="968">
        <f t="shared" si="796"/>
      </c>
      <c r="DE92" s="969">
        <f t="shared" si="796"/>
      </c>
      <c r="DF92" s="968">
        <f t="shared" si="796"/>
      </c>
      <c r="DG92" s="968">
        <f t="shared" si="796"/>
      </c>
      <c r="DH92" s="968">
        <f t="shared" si="796"/>
      </c>
      <c r="DI92" s="969">
        <f t="shared" si="796"/>
      </c>
      <c r="DJ92" s="968">
        <f t="shared" si="796"/>
      </c>
      <c r="DK92" s="968">
        <f t="shared" si="796"/>
      </c>
      <c r="DL92" s="968">
        <f t="shared" si="796"/>
      </c>
      <c r="DM92" s="969">
        <f t="shared" si="796"/>
      </c>
      <c r="DN92" s="968">
        <f t="shared" si="796"/>
      </c>
      <c r="DO92" s="968">
        <f t="shared" si="796"/>
      </c>
      <c r="DP92" s="968">
        <f t="shared" si="796"/>
      </c>
      <c r="DQ92" s="969">
        <f t="shared" si="796"/>
      </c>
      <c r="DR92" s="968">
        <f t="shared" si="796"/>
      </c>
      <c r="DS92" s="968">
        <f t="shared" si="796"/>
      </c>
      <c r="DT92" s="968">
        <f t="shared" si="796"/>
      </c>
      <c r="DU92" s="995">
        <f t="shared" si="796"/>
      </c>
      <c r="DV92" s="968">
        <f t="shared" ref="DV92:EK92" si="797">DV94</f>
      </c>
      <c r="DW92" s="968">
        <f t="shared" si="797"/>
      </c>
      <c r="DX92" s="968">
        <f t="shared" si="797"/>
      </c>
      <c r="DY92" s="995">
        <f t="shared" si="797"/>
      </c>
      <c r="DZ92" s="968">
        <f t="shared" si="797"/>
      </c>
      <c r="EA92" s="968">
        <f t="shared" si="797"/>
      </c>
      <c r="EB92" s="968">
        <f t="shared" si="797"/>
      </c>
      <c r="EC92" s="995">
        <f t="shared" si="797"/>
      </c>
      <c r="ED92" s="968">
        <f t="shared" si="797"/>
      </c>
      <c r="EE92" s="968">
        <f t="shared" si="797"/>
      </c>
      <c r="EF92" s="968">
        <f t="shared" si="797"/>
      </c>
      <c r="EG92" s="995">
        <f t="shared" si="797"/>
      </c>
      <c r="EH92" s="968">
        <f t="shared" si="797"/>
      </c>
      <c r="EI92" s="968">
        <f t="shared" si="797"/>
      </c>
      <c r="EJ92" s="968">
        <f t="shared" si="797"/>
      </c>
      <c r="EK92" s="995">
        <f t="shared" si="797"/>
      </c>
      <c r="EM92" s="968"/>
      <c r="EN92" s="968"/>
      <c r="EO92" s="968"/>
      <c r="EP92" s="968"/>
      <c r="EQ92" s="968"/>
      <c r="ER92" s="968"/>
      <c r="ES92" s="968"/>
      <c r="ET92" s="968"/>
      <c r="EU92" s="968"/>
      <c r="EV92" s="968"/>
      <c r="EW92" s="968"/>
      <c r="EX92" s="968"/>
      <c r="EY92" s="968"/>
      <c r="EZ92" s="968"/>
      <c r="FA92" s="968"/>
      <c r="FB92" s="968"/>
      <c r="FC92" s="968"/>
      <c r="FD92" s="968"/>
      <c r="FE92" s="2261">
        <f t="shared" ref="FE92" si="798">SUM(BV92:BY92)</f>
      </c>
      <c r="FF92" s="2261">
        <f t="shared" ref="FF92" si="799">SUM(BZ92:CC92)</f>
      </c>
      <c r="FG92" s="2261">
        <f t="shared" ref="FG92" si="800">SUM(CD92:CG92)</f>
      </c>
      <c r="FH92" s="2261">
        <f t="shared" ref="FH92" si="801">SUM(CH92:CK92)</f>
      </c>
      <c r="FI92" s="2261">
        <f t="shared" ref="FI92" si="802">SUM(CL92:CO92)</f>
      </c>
      <c r="FJ92" s="2261">
        <f t="shared" ref="FJ92" si="803">SUM(CP92:CS92)</f>
      </c>
      <c r="FK92" s="2261">
        <f t="shared" ref="FK92" si="804">SUM(CT92:CW92)</f>
      </c>
      <c r="FL92" s="2261">
        <f t="shared" ref="FL92" si="805">SUM(CX92:DA92)</f>
      </c>
      <c r="FM92" s="2261">
        <f t="shared" ref="FM92" si="806">SUM(DB92:DE92)</f>
      </c>
      <c r="FN92" s="2261">
        <f t="shared" ref="FN92" si="807">SUM(DF92:DI92)</f>
      </c>
      <c r="FO92" s="2261">
        <f t="shared" ref="FO92" si="808">SUM(DJ92:DM92)</f>
      </c>
      <c r="FP92" s="2261">
        <f>SUM(DN92:DQ92)</f>
      </c>
      <c r="FQ92" s="2261">
        <f>SUM(DR92:DU92)</f>
      </c>
      <c r="FR92" s="2261">
        <f>SUM(DV92:DY92)</f>
      </c>
      <c r="FS92" s="2261">
        <f>SUM(DZ92:EC92)</f>
      </c>
      <c r="FT92" s="2261">
        <f>SUM(ED92:EG92)</f>
      </c>
      <c r="FU92" s="2261">
        <f>SUM(EH92:EK92)</f>
      </c>
      <c r="FV92" s="967"/>
      <c r="FW92" s="968"/>
      <c r="FX92" s="968"/>
      <c r="FY92" s="968"/>
      <c r="FZ92" s="968"/>
      <c r="GA92" s="968"/>
      <c r="GB92" s="968"/>
      <c r="GC92" s="968"/>
      <c r="GD92" s="968"/>
      <c r="GE92" s="968"/>
      <c r="GF92" s="968"/>
      <c r="GG92" s="968"/>
      <c r="GH92" s="968"/>
      <c r="GI92" s="968"/>
      <c r="GJ92" s="968"/>
      <c r="GK92" s="968"/>
      <c r="GL92" s="968"/>
      <c r="GM92" s="968"/>
      <c r="GN92" s="968"/>
      <c r="GO92" s="968"/>
      <c r="GP92" s="972">
        <f t="shared" ref="GP92:GY92" si="809">GP90-GO90</f>
      </c>
      <c r="GQ92" s="972">
        <f t="shared" si="809"/>
      </c>
      <c r="GR92" s="972">
        <f t="shared" si="809"/>
      </c>
      <c r="GS92" s="972">
        <f t="shared" si="809"/>
      </c>
      <c r="GT92" s="972">
        <f t="shared" si="809"/>
      </c>
      <c r="GU92" s="972">
        <f t="shared" si="809"/>
      </c>
      <c r="GV92" s="972">
        <f t="shared" si="809"/>
      </c>
      <c r="GW92" s="972">
        <f t="shared" si="809"/>
      </c>
      <c r="GX92" s="972">
        <f t="shared" si="809"/>
      </c>
      <c r="GY92" s="972">
        <f t="shared" si="809"/>
      </c>
      <c r="GZ92" s="972">
        <f>GZ90-GY90</f>
      </c>
      <c r="HA92" s="972">
        <f t="shared" ref="HA92:HD92" si="810">HA90-GZ90</f>
      </c>
      <c r="HB92" s="972">
        <f t="shared" si="810"/>
      </c>
      <c r="HC92" s="972">
        <f t="shared" si="810"/>
      </c>
      <c r="HD92" s="972">
        <f t="shared" si="810"/>
      </c>
    </row>
    <row r="93" spans="1:212" s="997" customFormat="1" ht="10.199999999999999">
      <c r="A93" s="1005" t="s">
        <v>1208</v>
      </c>
      <c r="E93" s="998"/>
      <c r="I93" s="998"/>
      <c r="M93" s="998"/>
      <c r="Q93" s="998"/>
      <c r="U93" s="998"/>
      <c r="Y93" s="998"/>
      <c r="AC93" s="998"/>
      <c r="AG93" s="998"/>
      <c r="AK93" s="998"/>
      <c r="AO93" s="998"/>
      <c r="AS93" s="998"/>
      <c r="AW93" s="998"/>
      <c r="BA93" s="998"/>
      <c r="BE93" s="998"/>
      <c r="BI93" s="998"/>
      <c r="BM93" s="998"/>
      <c r="BQ93" s="998"/>
      <c r="BU93" s="998"/>
      <c r="BV93" s="999"/>
      <c r="BY93" s="998"/>
      <c r="BZ93" s="999"/>
      <c r="CC93" s="998"/>
      <c r="CD93" s="999"/>
      <c r="CG93" s="998"/>
      <c r="CH93" s="999"/>
      <c r="CI93" s="1000">
        <v>667</v>
      </c>
      <c r="CJ93" s="1000">
        <v>687</v>
      </c>
      <c r="CK93" s="1001">
        <v>704</v>
      </c>
      <c r="CL93" s="1000">
        <v>744</v>
      </c>
      <c r="CM93" s="1000">
        <v>766</v>
      </c>
      <c r="CN93" s="1000">
        <v>784</v>
      </c>
      <c r="CO93" s="1001">
        <v>801</v>
      </c>
      <c r="CP93" s="997">
        <f>CO93+CP94</f>
      </c>
      <c r="CQ93" s="996">
        <f t="shared" ref="CQ93:DU93" si="811">CP93+CQ94</f>
      </c>
      <c r="CR93" s="996">
        <f t="shared" si="811"/>
      </c>
      <c r="CS93" s="998">
        <f t="shared" si="811"/>
      </c>
      <c r="CT93" s="997">
        <f t="shared" si="811"/>
      </c>
      <c r="CU93" s="996">
        <f t="shared" si="811"/>
      </c>
      <c r="CV93" s="996">
        <f t="shared" si="811"/>
      </c>
      <c r="CW93" s="1002">
        <f t="shared" si="811"/>
      </c>
      <c r="CX93" s="996">
        <f t="shared" si="811"/>
      </c>
      <c r="CY93" s="996">
        <f t="shared" si="811"/>
      </c>
      <c r="CZ93" s="996">
        <f t="shared" si="811"/>
      </c>
      <c r="DA93" s="1002">
        <f t="shared" si="811"/>
      </c>
      <c r="DB93" s="996">
        <f t="shared" si="811"/>
      </c>
      <c r="DC93" s="996">
        <f t="shared" si="811"/>
      </c>
      <c r="DD93" s="996">
        <f t="shared" si="811"/>
      </c>
      <c r="DE93" s="1002">
        <f t="shared" si="811"/>
      </c>
      <c r="DF93" s="999">
        <f t="shared" si="811"/>
      </c>
      <c r="DG93" s="996">
        <f t="shared" si="811"/>
      </c>
      <c r="DH93" s="996">
        <f t="shared" si="811"/>
      </c>
      <c r="DI93" s="1002">
        <f t="shared" si="811"/>
      </c>
      <c r="DJ93" s="999">
        <f t="shared" si="811"/>
      </c>
      <c r="DK93" s="996">
        <f t="shared" si="811"/>
      </c>
      <c r="DL93" s="996">
        <f t="shared" si="811"/>
      </c>
      <c r="DM93" s="1002">
        <f t="shared" si="811"/>
      </c>
      <c r="DN93" s="999">
        <f t="shared" si="811"/>
      </c>
      <c r="DO93" s="996">
        <f t="shared" si="811"/>
      </c>
      <c r="DP93" s="996">
        <f t="shared" si="811"/>
      </c>
      <c r="DQ93" s="1002">
        <f t="shared" si="811"/>
      </c>
      <c r="DR93" s="999">
        <f t="shared" si="811"/>
      </c>
      <c r="DS93" s="996">
        <f t="shared" si="811"/>
      </c>
      <c r="DT93" s="996">
        <f t="shared" si="811"/>
      </c>
      <c r="DU93" s="2061">
        <f t="shared" si="811"/>
      </c>
      <c r="DV93" s="999">
        <f t="shared" ref="DV93" si="812">DU93+DV94</f>
      </c>
      <c r="DW93" s="996">
        <f t="shared" ref="DW93" si="813">DV93+DW94</f>
      </c>
      <c r="DX93" s="996">
        <f t="shared" ref="DX93" si="814">DW93+DX94</f>
      </c>
      <c r="DY93" s="2061">
        <f t="shared" ref="DY93" si="815">DX93+DY94</f>
      </c>
      <c r="DZ93" s="999">
        <f t="shared" ref="DZ93" si="816">DY93+DZ94</f>
      </c>
      <c r="EA93" s="996">
        <f t="shared" ref="EA93" si="817">DZ93+EA94</f>
      </c>
      <c r="EB93" s="996">
        <f t="shared" ref="EB93" si="818">EA93+EB94</f>
      </c>
      <c r="EC93" s="2061">
        <f t="shared" ref="EC93" si="819">EB93+EC94</f>
      </c>
      <c r="ED93" s="999">
        <f t="shared" ref="ED93" si="820">EC93+ED94</f>
      </c>
      <c r="EE93" s="996">
        <f t="shared" ref="EE93" si="821">ED93+EE94</f>
      </c>
      <c r="EF93" s="996">
        <f t="shared" ref="EF93" si="822">EE93+EF94</f>
      </c>
      <c r="EG93" s="2061">
        <f t="shared" ref="EG93" si="823">EF93+EG94</f>
      </c>
      <c r="EH93" s="999">
        <f t="shared" ref="EH93" si="824">EG93+EH94</f>
      </c>
      <c r="EI93" s="996">
        <f t="shared" ref="EI93" si="825">EH93+EI94</f>
      </c>
      <c r="EJ93" s="996">
        <f t="shared" ref="EJ93" si="826">EI93+EJ94</f>
      </c>
      <c r="EK93" s="2061">
        <f t="shared" ref="EK93" si="827">EJ93+EK94</f>
      </c>
      <c r="EM93" s="1000"/>
      <c r="EN93" s="1000"/>
      <c r="EO93" s="1000"/>
      <c r="EP93" s="1000"/>
      <c r="EQ93" s="1000"/>
      <c r="ER93" s="1000"/>
      <c r="ES93" s="1000"/>
      <c r="ET93" s="1000"/>
      <c r="EU93" s="1000"/>
      <c r="EV93" s="1000"/>
      <c r="EW93" s="1000"/>
      <c r="EX93" s="1000"/>
      <c r="EY93" s="1000"/>
      <c r="EZ93" s="1000"/>
      <c r="FA93" s="1000"/>
      <c r="FB93" s="1000"/>
      <c r="FC93" s="1000"/>
      <c r="FD93" s="1000"/>
      <c r="FE93" s="1000"/>
      <c r="FF93" s="970">
        <f>+CC93</f>
      </c>
      <c r="FG93" s="972">
        <f>CG93</f>
      </c>
      <c r="FH93" s="972">
        <f>CK93</f>
      </c>
      <c r="FI93" s="972">
        <f>CO93</f>
      </c>
      <c r="FJ93" s="972">
        <f>CS93</f>
      </c>
      <c r="FK93" s="972">
        <f>CW93</f>
      </c>
      <c r="FL93" s="972">
        <f>DA93</f>
      </c>
      <c r="FM93" s="972">
        <f>DE93</f>
      </c>
      <c r="FN93" s="972">
        <f>DI93</f>
      </c>
      <c r="FO93" s="972">
        <f>DM93</f>
      </c>
      <c r="FP93" s="972">
        <f>DQ93</f>
      </c>
      <c r="FQ93" s="972">
        <f>DU93</f>
      </c>
      <c r="FR93" s="972">
        <f>DY93</f>
      </c>
      <c r="FS93" s="972">
        <f>EC93</f>
      </c>
      <c r="FT93" s="972">
        <f>EG93</f>
      </c>
      <c r="FU93" s="972">
        <f>EK93</f>
      </c>
      <c r="FV93" s="1073"/>
      <c r="FW93" s="1000"/>
      <c r="FX93" s="1000"/>
      <c r="FY93" s="1000"/>
      <c r="FZ93" s="1000"/>
      <c r="GA93" s="1000"/>
      <c r="GB93" s="1000"/>
      <c r="GC93" s="1000"/>
      <c r="GD93" s="1000"/>
      <c r="GE93" s="1000"/>
      <c r="GF93" s="1000"/>
      <c r="GG93" s="1000"/>
      <c r="GH93" s="1000"/>
      <c r="GI93" s="1000"/>
      <c r="GJ93" s="1000"/>
      <c r="GK93" s="1000"/>
      <c r="GL93" s="1000"/>
      <c r="GM93" s="1000"/>
      <c r="GN93" s="1000"/>
      <c r="GO93" s="1000"/>
      <c r="GP93" s="970"/>
      <c r="GQ93" s="970"/>
      <c r="GR93" s="970">
        <f>CL93</f>
      </c>
      <c r="GS93" s="970">
        <f>CP93</f>
      </c>
      <c r="GT93" s="970">
        <f>CT93</f>
      </c>
      <c r="GU93" s="970">
        <f>CX93</f>
      </c>
      <c r="GV93" s="970">
        <f>DB93</f>
      </c>
      <c r="GW93" s="970">
        <f>DF93</f>
      </c>
      <c r="GX93" s="970">
        <f>DJ93</f>
      </c>
      <c r="GY93" s="970">
        <f>DN93</f>
      </c>
      <c r="GZ93" s="970">
        <f>DR93</f>
      </c>
      <c r="HA93" s="970">
        <f t="shared" ref="HA93:HC93" si="828">DS93</f>
      </c>
      <c r="HB93" s="970">
        <f>DZ93</f>
      </c>
      <c r="HC93" s="970">
        <f t="shared" si="828"/>
      </c>
      <c r="HD93" s="970">
        <f>EH93</f>
      </c>
    </row>
    <row r="94" spans="1:212" s="970" customFormat="1" ht="10.199999999999999">
      <c r="A94" s="994" t="s">
        <v>1209</v>
      </c>
      <c r="E94" s="971"/>
      <c r="I94" s="971"/>
      <c r="M94" s="971"/>
      <c r="Q94" s="971"/>
      <c r="U94" s="971"/>
      <c r="Y94" s="971"/>
      <c r="AC94" s="971"/>
      <c r="AG94" s="971"/>
      <c r="AK94" s="971"/>
      <c r="AO94" s="971"/>
      <c r="AS94" s="971"/>
      <c r="AW94" s="971"/>
      <c r="BA94" s="971"/>
      <c r="BE94" s="971"/>
      <c r="BI94" s="971"/>
      <c r="BM94" s="971"/>
      <c r="BQ94" s="971"/>
      <c r="BU94" s="971"/>
      <c r="BV94" s="925"/>
      <c r="BY94" s="971"/>
      <c r="BZ94" s="925"/>
      <c r="CC94" s="971"/>
      <c r="CD94" s="925"/>
      <c r="CG94" s="971"/>
      <c r="CH94" s="925"/>
      <c r="CJ94" s="970">
        <f t="shared" ref="CJ94:CO94" si="829">CJ93-CI93</f>
      </c>
      <c r="CK94" s="971">
        <f t="shared" si="829"/>
      </c>
      <c r="CL94" s="925">
        <f t="shared" si="829"/>
      </c>
      <c r="CM94" s="970">
        <f t="shared" si="829"/>
      </c>
      <c r="CN94" s="970">
        <f t="shared" si="829"/>
      </c>
      <c r="CO94" s="971">
        <f t="shared" si="829"/>
      </c>
      <c r="CP94" s="973">
        <f>MAX(('Segment - Products'!CP231-'Segment - Products'!CO231)*0.4,0)</f>
      </c>
      <c r="CQ94" s="968">
        <f>MAX(('Segment - Products'!CQ231-'Segment - Products'!CP231)*0.4,0)</f>
      </c>
      <c r="CR94" s="968">
        <f>MAX(('Segment - Products'!CR231-'Segment - Products'!CQ231)*0.4,0)</f>
      </c>
      <c r="CS94" s="969">
        <f>MAX(('Segment - Products'!CS231-'Segment - Products'!CR231)*0.4,0)</f>
      </c>
      <c r="CT94" s="973">
        <f>MAX(('Segment - Products'!CT231-'Segment - Products'!CS231)*0.4,0)</f>
      </c>
      <c r="CU94" s="968">
        <f>MAX(('Segment - Products'!CU231-'Segment - Products'!CT231)*0.4,0)</f>
      </c>
      <c r="CV94" s="968">
        <f>MAX(('Segment - Products'!CV231-'Segment - Products'!CU231)*0.4,0)</f>
      </c>
      <c r="CW94" s="969">
        <f>MAX(('Segment - Products'!CW231-'Segment - Products'!CV231)*0.4,0)</f>
      </c>
      <c r="CX94" s="973">
        <f>MAX(('Segment - Products'!CX231-'Segment - Products'!CW231)*0.4,0)</f>
      </c>
      <c r="CY94" s="968">
        <f>MAX(('Segment - Products'!CY231-'Segment - Products'!CX231)*0.4,0)</f>
      </c>
      <c r="CZ94" s="968">
        <f>MAX(('Segment - Products'!CZ231-'Segment - Products'!CY231)*0.4,0)</f>
      </c>
      <c r="DA94" s="969">
        <f>MAX(('Segment - Products'!DA231-'Segment - Products'!CZ231)*0.4,0)</f>
      </c>
      <c r="DB94" s="973">
        <f>MAX(('Segment - Products'!DB231-'Segment - Products'!DA231)*0.4,0)</f>
      </c>
      <c r="DC94" s="968">
        <f>MAX(('Segment - Products'!DC231-'Segment - Products'!DB231)*0.4,0)</f>
      </c>
      <c r="DD94" s="968">
        <f>MAX(('Segment - Products'!DD231-'Segment - Products'!DC231)*0.4,0)</f>
      </c>
      <c r="DE94" s="969">
        <f>MAX(('Segment - Products'!DE231-'Segment - Products'!DD231)*0.4,0)</f>
      </c>
      <c r="DF94" s="973">
        <f>MAX(('Segment - Products'!DF231-'Segment - Products'!DE231)*0.4,0)</f>
      </c>
      <c r="DG94" s="968">
        <f>MAX(('Segment - Products'!DG231-'Segment - Products'!DF231)*0.4,0)</f>
      </c>
      <c r="DH94" s="968">
        <f>MAX(('Segment - Products'!DH231-'Segment - Products'!DG231)*0.4,0)</f>
      </c>
      <c r="DI94" s="969">
        <f>MAX(('Segment - Products'!DI231-'Segment - Products'!DH231)*0.4,0)</f>
      </c>
      <c r="DJ94" s="973">
        <v>8</v>
      </c>
      <c r="DK94" s="968">
        <f>MAX(('Segment - Products'!DK231-'Segment - Products'!DJ231)*0.4,0)</f>
      </c>
      <c r="DL94" s="968">
        <f>MAX(('Segment - Products'!DL231-'Segment - Products'!DK231)*0.4,0)</f>
      </c>
      <c r="DM94" s="969">
        <f>MAX(('Segment - Products'!DM231-'Segment - Products'!DL231)*0.4,0)</f>
      </c>
      <c r="DN94" s="973">
        <f>MAX(('Segment - Products'!DN231-'Segment - Products'!DM231)*0.4,0)</f>
      </c>
      <c r="DO94" s="968">
        <f>MAX(('Segment - Products'!DO231-'Segment - Products'!DN231)*0.4,0)</f>
      </c>
      <c r="DP94" s="968">
        <f>MAX(('Segment - Products'!DP231-'Segment - Products'!DO231)*0.4,0)</f>
      </c>
      <c r="DQ94" s="969">
        <f>MAX(('Segment - Products'!DQ231-'Segment - Products'!DP231)*0.4,0)</f>
      </c>
      <c r="DR94" s="973">
        <f>MAX(('Segment - Products'!DR231-'Segment - Products'!DQ231)*0.4,0)</f>
      </c>
      <c r="DS94" s="968">
        <f>MAX(('Segment - Products'!DS231-'Segment - Products'!DR231)*0.4,0)</f>
      </c>
      <c r="DT94" s="968">
        <f>MAX(('Segment - Products'!DT231-'Segment - Products'!DS231)*0.4,0)</f>
      </c>
      <c r="DU94" s="995">
        <f>MAX(('Segment - Products'!DU231-'Segment - Products'!DT231)*0.4,0)</f>
      </c>
      <c r="DV94" s="973">
        <f>MAX(('Segment - Products'!DV231-'Segment - Products'!DU231)*0.4,0)</f>
      </c>
      <c r="DW94" s="968">
        <f>MAX(('Segment - Products'!DW231-'Segment - Products'!DV231)*0.4,0)</f>
      </c>
      <c r="DX94" s="968">
        <f>MAX(('Segment - Products'!DX231-'Segment - Products'!DW231)*0.4,0)</f>
      </c>
      <c r="DY94" s="995">
        <f>MAX(('Segment - Products'!DY231-'Segment - Products'!DX231)*0.4,0)</f>
      </c>
      <c r="DZ94" s="973">
        <f>MAX(('Segment - Products'!DZ231-'Segment - Products'!DY231)*0.4,0)</f>
      </c>
      <c r="EA94" s="968">
        <f>MAX(('Segment - Products'!EA231-'Segment - Products'!DZ231)*0.4,0)</f>
      </c>
      <c r="EB94" s="968">
        <f>MAX(('Segment - Products'!EB231-'Segment - Products'!EA231)*0.4,0)</f>
      </c>
      <c r="EC94" s="995">
        <f>MAX(('Segment - Products'!EC231-'Segment - Products'!EB231)*0.4,0)</f>
      </c>
      <c r="ED94" s="973">
        <f>MAX(('Segment - Products'!ED231-'Segment - Products'!EC231)*0.4,0)</f>
      </c>
      <c r="EE94" s="968">
        <f>MAX(('Segment - Products'!EE231-'Segment - Products'!ED231)*0.4,0)</f>
      </c>
      <c r="EF94" s="968">
        <f>MAX(('Segment - Products'!EF231-'Segment - Products'!EE231)*0.4,0)</f>
      </c>
      <c r="EG94" s="995">
        <f>MAX(('Segment - Products'!EG231-'Segment - Products'!EF231)*0.4,0)</f>
      </c>
      <c r="EH94" s="973">
        <f>MAX(('Segment - Products'!EH231-'Segment - Products'!EG231)*0.4,0)</f>
      </c>
      <c r="EI94" s="968">
        <f>MAX(('Segment - Products'!EI231-'Segment - Products'!EH231)*0.4,0)</f>
      </c>
      <c r="EJ94" s="968">
        <f>MAX(('Segment - Products'!EJ231-'Segment - Products'!EI231)*0.4,0)</f>
      </c>
      <c r="EK94" s="995">
        <f>MAX(('Segment - Products'!EK231-'Segment - Products'!EJ231)*0.4,0)</f>
      </c>
      <c r="EM94" s="968"/>
      <c r="EN94" s="968"/>
      <c r="EO94" s="968"/>
      <c r="EP94" s="968"/>
      <c r="EQ94" s="968"/>
      <c r="ER94" s="968"/>
      <c r="ES94" s="968"/>
      <c r="ET94" s="968"/>
      <c r="EU94" s="968"/>
      <c r="EV94" s="968"/>
      <c r="EW94" s="968"/>
      <c r="EX94" s="968"/>
      <c r="EY94" s="968"/>
      <c r="EZ94" s="968"/>
      <c r="FA94" s="968"/>
      <c r="FB94" s="968"/>
      <c r="FC94" s="968"/>
      <c r="FD94" s="968"/>
      <c r="FE94" s="985">
        <f t="shared" ref="FE94" si="830">SUM(BV94:BY94)</f>
      </c>
      <c r="FF94" s="985">
        <f t="shared" ref="FF94" si="831">SUM(BZ94:CC94)</f>
      </c>
      <c r="FG94" s="985">
        <f t="shared" ref="FG94" si="832">SUM(CD94:CG94)</f>
      </c>
      <c r="FH94" s="985">
        <f t="shared" ref="FH94" si="833">SUM(CH94:CK94)</f>
      </c>
      <c r="FI94" s="985">
        <f t="shared" ref="FI94" si="834">SUM(CL94:CO94)</f>
      </c>
      <c r="FJ94" s="985">
        <f t="shared" ref="FJ94" si="835">SUM(CP94:CS94)</f>
      </c>
      <c r="FK94" s="985">
        <f t="shared" ref="FK94" si="836">SUM(CT94:CW94)</f>
      </c>
      <c r="FL94" s="985">
        <f t="shared" ref="FL94" si="837">SUM(CX94:DA94)</f>
      </c>
      <c r="FM94" s="985">
        <f t="shared" ref="FM94" si="838">SUM(DB94:DE94)</f>
      </c>
      <c r="FN94" s="985">
        <f t="shared" ref="FN94" si="839">SUM(DF94:DI94)</f>
      </c>
      <c r="FO94" s="985">
        <f t="shared" ref="FO94" si="840">SUM(DJ94:DM94)</f>
      </c>
      <c r="FP94" s="985">
        <f>SUM(DN94:DQ94)</f>
      </c>
      <c r="FQ94" s="985">
        <f>SUM(DR94:DU94)</f>
      </c>
      <c r="FR94" s="985">
        <f>SUM(DV94:DY94)</f>
      </c>
      <c r="FS94" s="985">
        <f>SUM(DZ94:EC94)</f>
      </c>
      <c r="FT94" s="985">
        <f>SUM(ED94:EG94)</f>
      </c>
      <c r="FU94" s="985">
        <f>SUM(EH94:EK94)</f>
      </c>
      <c r="FV94" s="967"/>
      <c r="FW94" s="968"/>
      <c r="FX94" s="968"/>
      <c r="FY94" s="968"/>
      <c r="FZ94" s="968"/>
      <c r="GA94" s="968"/>
      <c r="GB94" s="968"/>
      <c r="GC94" s="968"/>
      <c r="GD94" s="968"/>
      <c r="GE94" s="968"/>
      <c r="GF94" s="968"/>
      <c r="GG94" s="968"/>
      <c r="GH94" s="968"/>
      <c r="GI94" s="968"/>
      <c r="GJ94" s="968"/>
      <c r="GK94" s="968"/>
      <c r="GL94" s="968"/>
      <c r="GM94" s="968"/>
      <c r="GN94" s="968"/>
      <c r="GO94" s="968"/>
      <c r="GP94" s="972"/>
      <c r="GQ94" s="972"/>
      <c r="GR94" s="972">
        <f t="shared" ref="GR94:GZ94" si="841">GR93-GQ93</f>
      </c>
      <c r="GS94" s="972">
        <f t="shared" si="841"/>
      </c>
      <c r="GT94" s="972">
        <f t="shared" si="841"/>
      </c>
      <c r="GU94" s="972">
        <f t="shared" si="841"/>
      </c>
      <c r="GV94" s="972">
        <f t="shared" si="841"/>
      </c>
      <c r="GW94" s="972">
        <f t="shared" si="841"/>
      </c>
      <c r="GX94" s="972">
        <f t="shared" si="841"/>
      </c>
      <c r="GY94" s="972">
        <f t="shared" si="841"/>
      </c>
      <c r="GZ94" s="972">
        <f t="shared" si="841"/>
      </c>
      <c r="HA94" s="972">
        <f t="shared" ref="HA94" si="842">HA93-GZ93</f>
      </c>
      <c r="HB94" s="972">
        <f t="shared" ref="HB94" si="843">HB93-HA93</f>
      </c>
      <c r="HC94" s="972">
        <f t="shared" ref="HC94" si="844">HC93-HB93</f>
      </c>
      <c r="HD94" s="972">
        <f t="shared" ref="HD94" si="845">HD93-HC93</f>
      </c>
    </row>
    <row r="95" spans="1:212" s="89" customFormat="1" ht="10.199999999999999">
      <c r="A95" s="1006" t="s">
        <v>1241</v>
      </c>
      <c r="B95" s="144"/>
      <c r="C95" s="144"/>
      <c r="D95" s="144"/>
      <c r="E95" s="261"/>
      <c r="F95" s="144"/>
      <c r="G95" s="144"/>
      <c r="H95" s="144"/>
      <c r="I95" s="261"/>
      <c r="J95" s="144"/>
      <c r="K95" s="144"/>
      <c r="L95" s="144"/>
      <c r="M95" s="261"/>
      <c r="N95" s="144"/>
      <c r="O95" s="144"/>
      <c r="P95" s="144"/>
      <c r="Q95" s="261"/>
      <c r="R95" s="144"/>
      <c r="S95" s="144"/>
      <c r="T95" s="144"/>
      <c r="U95" s="261"/>
      <c r="V95" s="144"/>
      <c r="W95" s="144"/>
      <c r="X95" s="144"/>
      <c r="Y95" s="261"/>
      <c r="Z95" s="144"/>
      <c r="AA95" s="144"/>
      <c r="AB95" s="144"/>
      <c r="AC95" s="261"/>
      <c r="AD95" s="144"/>
      <c r="AE95" s="144"/>
      <c r="AF95" s="144"/>
      <c r="AG95" s="261"/>
      <c r="AH95" s="144"/>
      <c r="AI95" s="144"/>
      <c r="AJ95" s="782"/>
      <c r="AK95" s="781"/>
      <c r="AL95" s="782"/>
      <c r="AM95" s="782"/>
      <c r="AN95" s="782"/>
      <c r="AO95" s="781"/>
      <c r="AP95" s="782"/>
      <c r="AQ95" s="782"/>
      <c r="AR95" s="782"/>
      <c r="AS95" s="781"/>
      <c r="AT95" s="782"/>
      <c r="AU95" s="782"/>
      <c r="AV95" s="782"/>
      <c r="AW95" s="781"/>
      <c r="AX95" s="782"/>
      <c r="AY95" s="782"/>
      <c r="AZ95" s="782"/>
      <c r="BA95" s="781"/>
      <c r="BB95" s="782"/>
      <c r="BC95" s="782"/>
      <c r="BD95" s="782"/>
      <c r="BE95" s="781"/>
      <c r="BF95" s="782"/>
      <c r="BG95" s="782"/>
      <c r="BH95" s="782"/>
      <c r="BI95" s="781"/>
      <c r="BJ95" s="782"/>
      <c r="BK95" s="782"/>
      <c r="BL95" s="782"/>
      <c r="BM95" s="781"/>
      <c r="BN95" s="782"/>
      <c r="BO95" s="782"/>
      <c r="BP95" s="782"/>
      <c r="BQ95" s="781"/>
      <c r="BR95" s="782"/>
      <c r="BS95" s="782"/>
      <c r="BT95" s="782"/>
      <c r="BU95" s="781"/>
      <c r="BV95" s="1007"/>
      <c r="BW95" s="782"/>
      <c r="BX95" s="782"/>
      <c r="BY95" s="781"/>
      <c r="BZ95" s="1007"/>
      <c r="CA95" s="782"/>
      <c r="CB95" s="782"/>
      <c r="CC95" s="781"/>
      <c r="CD95" s="1007"/>
      <c r="CE95" s="782"/>
      <c r="CF95" s="782"/>
      <c r="CG95" s="781"/>
      <c r="CH95" s="1007"/>
      <c r="CI95" s="782">
        <f t="shared" ref="CI95:CN95" si="846">CI90/CI93</f>
      </c>
      <c r="CJ95" s="782">
        <f t="shared" si="846"/>
      </c>
      <c r="CK95" s="781">
        <f t="shared" si="846"/>
      </c>
      <c r="CL95" s="1007">
        <f t="shared" si="846"/>
      </c>
      <c r="CM95" s="782">
        <f t="shared" si="846"/>
      </c>
      <c r="CN95" s="782">
        <f t="shared" si="846"/>
      </c>
      <c r="CO95" s="1008">
        <f>CO90/CO93</f>
      </c>
      <c r="CP95" s="782">
        <f t="shared" ref="CP95:DU95" si="847">CP90/CP93</f>
      </c>
      <c r="CQ95" s="1009">
        <f t="shared" si="847"/>
      </c>
      <c r="CR95" s="1009">
        <f t="shared" si="847"/>
      </c>
      <c r="CS95" s="781">
        <f t="shared" si="847"/>
      </c>
      <c r="CT95" s="782">
        <f t="shared" si="847"/>
      </c>
      <c r="CU95" s="1009">
        <f t="shared" si="847"/>
      </c>
      <c r="CV95" s="1009">
        <f t="shared" si="847"/>
      </c>
      <c r="CW95" s="1010">
        <f t="shared" si="847"/>
      </c>
      <c r="CX95" s="1009">
        <f t="shared" si="847"/>
      </c>
      <c r="CY95" s="1009">
        <f t="shared" si="847"/>
      </c>
      <c r="CZ95" s="1009">
        <f t="shared" si="847"/>
      </c>
      <c r="DA95" s="1010">
        <f t="shared" si="847"/>
      </c>
      <c r="DB95" s="1009">
        <f t="shared" si="847"/>
      </c>
      <c r="DC95" s="1009">
        <f t="shared" si="847"/>
      </c>
      <c r="DD95" s="1009">
        <f t="shared" si="847"/>
      </c>
      <c r="DE95" s="1010">
        <f t="shared" si="847"/>
      </c>
      <c r="DF95" s="1007">
        <f t="shared" si="847"/>
      </c>
      <c r="DG95" s="1009">
        <f t="shared" si="847"/>
      </c>
      <c r="DH95" s="1009">
        <f t="shared" si="847"/>
      </c>
      <c r="DI95" s="1010">
        <f t="shared" si="847"/>
      </c>
      <c r="DJ95" s="1007">
        <f t="shared" si="847"/>
      </c>
      <c r="DK95" s="1009">
        <f t="shared" si="847"/>
      </c>
      <c r="DL95" s="1009">
        <f t="shared" si="847"/>
      </c>
      <c r="DM95" s="1010">
        <f t="shared" si="847"/>
      </c>
      <c r="DN95" s="1007">
        <f t="shared" si="847"/>
      </c>
      <c r="DO95" s="1009">
        <f t="shared" si="847"/>
      </c>
      <c r="DP95" s="1009">
        <f t="shared" si="847"/>
      </c>
      <c r="DQ95" s="1010">
        <f t="shared" si="847"/>
      </c>
      <c r="DR95" s="1007">
        <f t="shared" si="847"/>
      </c>
      <c r="DS95" s="1009">
        <f t="shared" si="847"/>
      </c>
      <c r="DT95" s="1009">
        <f t="shared" si="847"/>
      </c>
      <c r="DU95" s="1011">
        <f t="shared" si="847"/>
      </c>
      <c r="DV95" s="1007">
        <f t="shared" ref="DV95:EK95" si="848">DV90/DV93</f>
      </c>
      <c r="DW95" s="1009">
        <f t="shared" si="848"/>
      </c>
      <c r="DX95" s="1009">
        <f t="shared" si="848"/>
      </c>
      <c r="DY95" s="1011">
        <f t="shared" si="848"/>
      </c>
      <c r="DZ95" s="1007">
        <f t="shared" si="848"/>
      </c>
      <c r="EA95" s="1009">
        <f t="shared" si="848"/>
      </c>
      <c r="EB95" s="1009">
        <f t="shared" si="848"/>
      </c>
      <c r="EC95" s="1011">
        <f t="shared" si="848"/>
      </c>
      <c r="ED95" s="1007">
        <f t="shared" si="848"/>
      </c>
      <c r="EE95" s="1009">
        <f t="shared" si="848"/>
      </c>
      <c r="EF95" s="1009">
        <f t="shared" si="848"/>
      </c>
      <c r="EG95" s="1011">
        <f t="shared" si="848"/>
      </c>
      <c r="EH95" s="1007">
        <f t="shared" si="848"/>
      </c>
      <c r="EI95" s="1009">
        <f t="shared" si="848"/>
      </c>
      <c r="EJ95" s="1009">
        <f t="shared" si="848"/>
      </c>
      <c r="EK95" s="1011">
        <f t="shared" si="848"/>
      </c>
      <c r="EM95" s="1009"/>
      <c r="EN95" s="1009"/>
      <c r="EO95" s="1009"/>
      <c r="EP95" s="1009"/>
      <c r="EQ95" s="1009"/>
      <c r="ER95" s="1009"/>
      <c r="ES95" s="1009"/>
      <c r="ET95" s="1009"/>
      <c r="EU95" s="1009"/>
      <c r="EV95" s="1009"/>
      <c r="EW95" s="1009"/>
      <c r="EX95" s="1009"/>
      <c r="EY95" s="1009"/>
      <c r="EZ95" s="1009"/>
      <c r="FA95" s="1009"/>
      <c r="FB95" s="1009"/>
      <c r="FC95" s="1009"/>
      <c r="FD95" s="1009"/>
      <c r="FE95" s="1009"/>
      <c r="FF95" s="1009"/>
      <c r="FG95" s="1009"/>
      <c r="FH95" s="1009"/>
      <c r="FI95" s="1009"/>
      <c r="FJ95" s="1009"/>
      <c r="FK95" s="1009"/>
      <c r="FL95" s="1009"/>
      <c r="FM95" s="1009"/>
      <c r="FN95" s="1009"/>
      <c r="FO95" s="1009"/>
      <c r="FP95" s="1009"/>
      <c r="FQ95" s="1009"/>
      <c r="FR95" s="1009"/>
      <c r="FS95" s="1009"/>
      <c r="FT95" s="1009"/>
      <c r="FU95" s="1009"/>
      <c r="FV95" s="1009"/>
      <c r="FW95" s="1009"/>
      <c r="FX95" s="1009"/>
      <c r="FY95" s="1009"/>
      <c r="FZ95" s="1009"/>
      <c r="GA95" s="1009"/>
      <c r="GB95" s="1009"/>
      <c r="GC95" s="1009"/>
      <c r="GD95" s="1009"/>
      <c r="GE95" s="1009"/>
      <c r="GF95" s="1009"/>
      <c r="GG95" s="1009"/>
      <c r="GH95" s="1009"/>
      <c r="GI95" s="1009"/>
      <c r="GJ95" s="1009"/>
      <c r="GK95" s="1009"/>
      <c r="GL95" s="1009"/>
      <c r="GM95" s="1009"/>
      <c r="GN95" s="1009"/>
      <c r="GO95" s="1009"/>
      <c r="GP95" s="1009"/>
      <c r="GQ95" s="1009"/>
      <c r="GR95" s="1009">
        <f t="shared" ref="GR95:GY95" si="849">GR90/GR93</f>
      </c>
      <c r="GS95" s="1009">
        <f t="shared" si="849"/>
      </c>
      <c r="GT95" s="1009">
        <f t="shared" si="849"/>
      </c>
      <c r="GU95" s="1009">
        <f t="shared" si="849"/>
      </c>
      <c r="GV95" s="1009">
        <f t="shared" si="849"/>
      </c>
      <c r="GW95" s="1009">
        <f t="shared" si="849"/>
      </c>
      <c r="GX95" s="1009">
        <f t="shared" si="849"/>
      </c>
      <c r="GY95" s="1009">
        <f t="shared" si="849"/>
      </c>
      <c r="GZ95" s="1009">
        <f>GZ90/GZ93</f>
      </c>
      <c r="HA95" s="1009">
        <f t="shared" ref="HA95:HD95" si="850">HA90/HA93</f>
      </c>
      <c r="HB95" s="1009">
        <f t="shared" si="850"/>
      </c>
      <c r="HC95" s="1009">
        <f t="shared" si="850"/>
      </c>
      <c r="HD95" s="1009">
        <f t="shared" si="850"/>
      </c>
    </row>
    <row r="96" spans="1:212" s="89" customFormat="1" ht="10.199999999999999">
      <c r="A96" s="152"/>
      <c r="E96" s="260"/>
      <c r="I96" s="260"/>
      <c r="M96" s="260"/>
      <c r="Q96" s="260"/>
      <c r="U96" s="260"/>
      <c r="Y96" s="260"/>
      <c r="AC96" s="260"/>
      <c r="AG96" s="260"/>
      <c r="AJ96" s="72"/>
      <c r="AK96" s="227"/>
      <c r="AL96" s="72"/>
      <c r="AM96" s="72"/>
      <c r="AN96" s="72"/>
      <c r="AO96" s="227"/>
      <c r="AP96" s="72"/>
      <c r="AQ96" s="72"/>
      <c r="AR96" s="72"/>
      <c r="AS96" s="227"/>
      <c r="AT96" s="72"/>
      <c r="AU96" s="72"/>
      <c r="AV96" s="72"/>
      <c r="AW96" s="227"/>
      <c r="AX96" s="72"/>
      <c r="AY96" s="72"/>
      <c r="AZ96" s="72"/>
      <c r="BA96" s="227"/>
      <c r="BB96" s="72"/>
      <c r="BC96" s="72"/>
      <c r="BD96" s="72"/>
      <c r="BE96" s="227"/>
      <c r="BF96" s="72"/>
      <c r="BG96" s="72"/>
      <c r="BH96" s="72"/>
      <c r="BI96" s="227"/>
      <c r="BJ96" s="72"/>
      <c r="BK96" s="72"/>
      <c r="BL96" s="72"/>
      <c r="BM96" s="227"/>
      <c r="BN96" s="72"/>
      <c r="BO96" s="72"/>
      <c r="BP96" s="72"/>
      <c r="BQ96" s="227"/>
      <c r="BR96" s="72"/>
      <c r="BS96" s="72"/>
      <c r="BT96" s="72"/>
      <c r="BU96" s="227"/>
      <c r="BV96" s="355"/>
      <c r="BW96" s="72"/>
      <c r="BX96" s="72"/>
      <c r="BY96" s="227"/>
      <c r="BZ96" s="355"/>
      <c r="CA96" s="72"/>
      <c r="CB96" s="72"/>
      <c r="CC96" s="227"/>
      <c r="CD96" s="355"/>
      <c r="CE96" s="72"/>
      <c r="CF96" s="72"/>
      <c r="CG96" s="227"/>
      <c r="CH96" s="355"/>
      <c r="CI96" s="72"/>
      <c r="CJ96" s="72"/>
      <c r="CK96" s="227"/>
      <c r="CL96" s="355"/>
      <c r="CM96" s="72"/>
      <c r="CN96" s="72"/>
      <c r="CO96" s="227"/>
      <c r="CP96" s="72"/>
      <c r="CQ96" s="87"/>
      <c r="CR96" s="87"/>
      <c r="CS96" s="227"/>
      <c r="CT96" s="72"/>
      <c r="CU96" s="87"/>
      <c r="CV96" s="87"/>
      <c r="CW96" s="416"/>
      <c r="CX96" s="87"/>
      <c r="CY96" s="87"/>
      <c r="CZ96" s="87"/>
      <c r="DA96" s="416"/>
      <c r="DB96" s="87"/>
      <c r="DC96" s="87"/>
      <c r="DD96" s="87"/>
      <c r="DE96" s="232"/>
      <c r="DF96" s="419"/>
      <c r="DG96" s="71"/>
      <c r="DH96" s="71"/>
      <c r="DI96" s="232"/>
      <c r="DJ96" s="419"/>
      <c r="DK96" s="71"/>
      <c r="DL96" s="71"/>
      <c r="DM96" s="232"/>
      <c r="DN96" s="419"/>
      <c r="DO96" s="71"/>
      <c r="DP96" s="71"/>
      <c r="DQ96" s="232"/>
      <c r="DR96" s="419"/>
      <c r="DS96" s="71"/>
      <c r="DT96" s="71"/>
      <c r="DU96" s="232"/>
      <c r="DV96" s="419"/>
      <c r="DW96" s="71"/>
      <c r="DX96" s="71"/>
      <c r="DY96" s="232"/>
      <c r="DZ96" s="419"/>
      <c r="EA96" s="71"/>
      <c r="EB96" s="71"/>
      <c r="EC96" s="232"/>
      <c r="ED96" s="419"/>
      <c r="EE96" s="71"/>
      <c r="EF96" s="71"/>
      <c r="EG96" s="232"/>
      <c r="EH96" s="419"/>
      <c r="EI96" s="71"/>
      <c r="EJ96" s="71"/>
      <c r="EK96" s="232"/>
      <c r="EU96" s="72"/>
      <c r="EV96" s="72"/>
      <c r="EW96" s="72"/>
      <c r="EX96" s="72"/>
      <c r="EY96" s="72"/>
      <c r="EZ96" s="72"/>
      <c r="FA96" s="72"/>
      <c r="FB96" s="72"/>
      <c r="FC96" s="72"/>
      <c r="FD96" s="72"/>
      <c r="FE96" s="72"/>
      <c r="FF96" s="72"/>
      <c r="FG96" s="72"/>
      <c r="FH96" s="72"/>
      <c r="FI96" s="72"/>
      <c r="FJ96" s="72"/>
      <c r="FK96" s="72"/>
      <c r="FL96" s="72"/>
      <c r="FM96" s="72"/>
      <c r="FN96" s="72"/>
      <c r="FO96" s="72"/>
      <c r="FP96" s="72"/>
      <c r="FQ96" s="72"/>
      <c r="FR96" s="72"/>
      <c r="FS96" s="72"/>
      <c r="FT96" s="72"/>
      <c r="FU96" s="72"/>
      <c r="FV96" s="88"/>
      <c r="GE96" s="72"/>
      <c r="GF96" s="72"/>
      <c r="GG96" s="72"/>
      <c r="GH96" s="72"/>
      <c r="GI96" s="72"/>
      <c r="GJ96" s="72"/>
      <c r="GK96" s="72"/>
      <c r="GL96" s="72"/>
      <c r="GM96" s="72"/>
      <c r="GN96" s="72"/>
      <c r="GO96" s="72"/>
      <c r="GP96" s="72"/>
      <c r="GQ96" s="72"/>
      <c r="GR96" s="72"/>
      <c r="GS96" s="72"/>
      <c r="GT96" s="72"/>
      <c r="GU96" s="72"/>
      <c r="GV96" s="72"/>
      <c r="GW96" s="72"/>
      <c r="GX96" s="72"/>
      <c r="GY96" s="72"/>
      <c r="GZ96" s="72"/>
      <c r="HA96" s="72"/>
      <c r="HB96" s="72"/>
      <c r="HC96" s="72"/>
      <c r="HD96" s="72"/>
    </row>
    <row r="97" spans="1:212" s="16" customFormat="1" ht="10.199999999999999">
      <c r="A97" s="708" t="s">
        <v>1213</v>
      </c>
      <c r="B97" s="706" t="str">
        <f>'Revenue summary'!B$8</f>
      </c>
      <c r="C97" s="706" t="str">
        <f>'Revenue summary'!C$8</f>
      </c>
      <c r="D97" s="706" t="str">
        <f>'Revenue summary'!D$8</f>
      </c>
      <c r="E97" s="707" t="str">
        <f>'Revenue summary'!E$8</f>
      </c>
      <c r="F97" s="706" t="str">
        <f>'Revenue summary'!F$8</f>
      </c>
      <c r="G97" s="706" t="str">
        <f>'Revenue summary'!G$8</f>
      </c>
      <c r="H97" s="706" t="str">
        <f>'Revenue summary'!H$8</f>
      </c>
      <c r="I97" s="707" t="str">
        <f>'Revenue summary'!I$8</f>
      </c>
      <c r="J97" s="706" t="str">
        <f>'Revenue summary'!J$8</f>
      </c>
      <c r="K97" s="706" t="str">
        <f>'Revenue summary'!K$8</f>
      </c>
      <c r="L97" s="706" t="str">
        <f>'Revenue summary'!L$8</f>
      </c>
      <c r="M97" s="707" t="str">
        <f>'Revenue summary'!M$8</f>
      </c>
      <c r="N97" s="706" t="str">
        <f>'Revenue summary'!N$8</f>
      </c>
      <c r="O97" s="706" t="str">
        <f>'Revenue summary'!O$8</f>
      </c>
      <c r="P97" s="706" t="str">
        <f>'Revenue summary'!P$8</f>
      </c>
      <c r="Q97" s="707" t="str">
        <f>'Revenue summary'!Q$8</f>
      </c>
      <c r="R97" s="706" t="str">
        <f>'Revenue summary'!R$8</f>
      </c>
      <c r="S97" s="706" t="str">
        <f>'Revenue summary'!S$8</f>
      </c>
      <c r="T97" s="706" t="str">
        <f>'Revenue summary'!T$8</f>
      </c>
      <c r="U97" s="707" t="str">
        <f>'Revenue summary'!U$8</f>
      </c>
      <c r="V97" s="706" t="str">
        <f>'Revenue summary'!V$8</f>
      </c>
      <c r="W97" s="706" t="str">
        <f>'Revenue summary'!W$8</f>
      </c>
      <c r="X97" s="706" t="str">
        <f>'Revenue summary'!X$8</f>
      </c>
      <c r="Y97" s="707" t="str">
        <f>'Revenue summary'!Y$8</f>
      </c>
      <c r="Z97" s="706" t="str">
        <f>'Revenue summary'!Z$8</f>
      </c>
      <c r="AA97" s="706" t="str">
        <f>'Revenue summary'!AA$8</f>
      </c>
      <c r="AB97" s="706" t="str">
        <f>'Revenue summary'!AB$8</f>
      </c>
      <c r="AC97" s="707" t="str">
        <f>'Revenue summary'!AC$8</f>
      </c>
      <c r="AD97" s="706" t="str">
        <f>'Revenue summary'!AD$8</f>
      </c>
      <c r="AE97" s="706" t="str">
        <f>'Revenue summary'!AE$8</f>
      </c>
      <c r="AF97" s="706" t="str">
        <f>'Revenue summary'!AF$8</f>
      </c>
      <c r="AG97" s="707" t="str">
        <f>'Revenue summary'!AG$8</f>
      </c>
      <c r="AH97" s="706" t="str">
        <f>'Revenue summary'!AH$8</f>
      </c>
      <c r="AI97" s="706" t="str">
        <f>'Revenue summary'!AI$8</f>
      </c>
      <c r="AJ97" s="706" t="str">
        <f>'Revenue summary'!AJ$8</f>
      </c>
      <c r="AK97" s="707" t="str">
        <f>'Revenue summary'!AK$8</f>
      </c>
      <c r="AL97" s="706" t="str">
        <f>'Revenue summary'!AL$8</f>
      </c>
      <c r="AM97" s="706" t="str">
        <f>'Revenue summary'!AM$8</f>
      </c>
      <c r="AN97" s="706" t="str">
        <f>'Revenue summary'!AN$8</f>
      </c>
      <c r="AO97" s="707" t="str">
        <f>'Revenue summary'!AO$8</f>
      </c>
      <c r="AP97" s="706" t="str">
        <f>'Revenue summary'!AP$8</f>
      </c>
      <c r="AQ97" s="706" t="str">
        <f>'Revenue summary'!AQ$8</f>
      </c>
      <c r="AR97" s="706" t="str">
        <f>'Revenue summary'!AR$8</f>
      </c>
      <c r="AS97" s="707" t="str">
        <f>'Revenue summary'!AS$8</f>
      </c>
      <c r="AT97" s="706" t="str">
        <f>'Revenue summary'!AT$8</f>
      </c>
      <c r="AU97" s="706" t="str">
        <f>'Revenue summary'!AU$8</f>
      </c>
      <c r="AV97" s="706" t="str">
        <f>'Revenue summary'!AV$8</f>
      </c>
      <c r="AW97" s="707" t="str">
        <f>'Revenue summary'!AW$8</f>
      </c>
      <c r="AX97" s="706" t="str">
        <f>'Revenue summary'!AX$8</f>
      </c>
      <c r="AY97" s="706" t="str">
        <f>'Revenue summary'!AY$8</f>
      </c>
      <c r="AZ97" s="706" t="str">
        <f>'Revenue summary'!AZ$8</f>
      </c>
      <c r="BA97" s="707" t="str">
        <f>'Revenue summary'!BA$8</f>
      </c>
      <c r="BB97" s="706" t="str">
        <f>'Revenue summary'!BB$8</f>
      </c>
      <c r="BC97" s="706" t="str">
        <f>'Revenue summary'!BC$8</f>
      </c>
      <c r="BD97" s="706" t="str">
        <f>'Revenue summary'!BD$8</f>
      </c>
      <c r="BE97" s="707" t="str">
        <f>'Revenue summary'!BE$8</f>
      </c>
      <c r="BF97" s="706" t="str">
        <f>'Revenue summary'!BF$8</f>
      </c>
      <c r="BG97" s="706" t="str">
        <f>'Revenue summary'!BG$8</f>
      </c>
      <c r="BH97" s="706" t="str">
        <f>'Revenue summary'!BH$8</f>
      </c>
      <c r="BI97" s="707" t="str">
        <f>'Revenue summary'!BI$8</f>
      </c>
      <c r="BJ97" s="706" t="str">
        <f>'Revenue summary'!BJ$8</f>
      </c>
      <c r="BK97" s="706" t="str">
        <f>'Revenue summary'!BK$8</f>
      </c>
      <c r="BL97" s="706" t="str">
        <f>'Revenue summary'!BL$8</f>
      </c>
      <c r="BM97" s="707" t="str">
        <f>'Revenue summary'!BM$8</f>
      </c>
      <c r="BN97" s="706" t="str">
        <f>'Revenue summary'!BN$8</f>
      </c>
      <c r="BO97" s="706" t="str">
        <f>'Revenue summary'!BO$8</f>
      </c>
      <c r="BP97" s="706" t="str">
        <f>'Revenue summary'!BP$8</f>
      </c>
      <c r="BQ97" s="707" t="str">
        <f>'Revenue summary'!BQ$8</f>
      </c>
      <c r="BR97" s="706" t="str">
        <f>'Revenue summary'!BR$8</f>
      </c>
      <c r="BS97" s="706" t="str">
        <f>'Revenue summary'!BS$8</f>
      </c>
      <c r="BT97" s="706" t="str">
        <f>'Revenue summary'!BT$8</f>
      </c>
      <c r="BU97" s="707" t="str">
        <f>'Revenue summary'!BU$8</f>
      </c>
      <c r="BV97" s="706" t="str">
        <f>'Revenue summary'!BV$8</f>
      </c>
      <c r="BW97" s="706" t="str">
        <f>'Revenue summary'!BW$8</f>
      </c>
      <c r="BX97" s="706" t="str">
        <f>'Revenue summary'!BX$8</f>
      </c>
      <c r="BY97" s="707" t="str">
        <f>'Revenue summary'!BY$8</f>
      </c>
      <c r="BZ97" s="706" t="str">
        <f>'Revenue summary'!BZ$8</f>
      </c>
      <c r="CA97" s="706" t="str">
        <f>'Revenue summary'!CA$8</f>
      </c>
      <c r="CB97" s="706" t="str">
        <f>'Revenue summary'!CB$8</f>
      </c>
      <c r="CC97" s="707" t="str">
        <f>'Revenue summary'!CC$8</f>
      </c>
      <c r="CD97" s="706" t="str">
        <f>'Revenue summary'!CD$8</f>
      </c>
      <c r="CE97" s="706" t="str">
        <f>'Revenue summary'!CE$8</f>
      </c>
      <c r="CF97" s="706" t="str">
        <f>'Revenue summary'!CF$8</f>
      </c>
      <c r="CG97" s="707" t="str">
        <f>'Revenue summary'!CG$8</f>
      </c>
      <c r="CH97" s="706" t="str">
        <f>'Revenue summary'!CH$8</f>
      </c>
      <c r="CI97" s="706" t="str">
        <f>'Revenue summary'!CI$8</f>
      </c>
      <c r="CJ97" s="706" t="str">
        <f>'Revenue summary'!CJ$8</f>
      </c>
      <c r="CK97" s="707" t="str">
        <f>'Revenue summary'!CK$8</f>
      </c>
      <c r="CL97" s="706" t="str">
        <f>'Revenue summary'!CL$8</f>
      </c>
      <c r="CM97" s="706" t="str">
        <f>'Revenue summary'!CM$8</f>
      </c>
      <c r="CN97" s="706" t="str">
        <f>'Revenue summary'!CN$8</f>
      </c>
      <c r="CO97" s="707" t="str">
        <f>'Revenue summary'!CO$8</f>
      </c>
      <c r="CP97" s="706" t="str">
        <f>'Revenue summary'!CP$8</f>
      </c>
      <c r="CQ97" s="706" t="str">
        <f>'Revenue summary'!CQ$8</f>
      </c>
      <c r="CR97" s="706" t="str">
        <f>'Revenue summary'!CR$8</f>
      </c>
      <c r="CS97" s="707" t="str">
        <f>'Revenue summary'!CS$8</f>
      </c>
      <c r="CT97" s="706" t="str">
        <f>'Revenue summary'!CT$8</f>
      </c>
      <c r="CU97" s="706" t="str">
        <f>'Revenue summary'!CU$8</f>
      </c>
      <c r="CV97" s="706" t="str">
        <f>'Revenue summary'!CV$8</f>
      </c>
      <c r="CW97" s="707" t="str">
        <f>'Revenue summary'!CW$8</f>
      </c>
      <c r="CX97" s="706" t="str">
        <f>'Revenue summary'!CX$8</f>
      </c>
      <c r="CY97" s="706" t="str">
        <f>'Revenue summary'!CY$8</f>
      </c>
      <c r="CZ97" s="706" t="str">
        <f>'Revenue summary'!CZ$8</f>
      </c>
      <c r="DA97" s="707" t="str">
        <f>'Revenue summary'!DA$8</f>
      </c>
      <c r="DB97" s="706" t="str">
        <f>'Revenue summary'!DB$8</f>
      </c>
      <c r="DC97" s="706" t="str">
        <f>'Revenue summary'!DC$8</f>
      </c>
      <c r="DD97" s="706" t="str">
        <f>'Revenue summary'!DD$8</f>
      </c>
      <c r="DE97" s="707" t="str">
        <f>'Revenue summary'!DE$8</f>
      </c>
      <c r="DF97" s="706" t="str">
        <f>'Revenue summary'!DF$8</f>
      </c>
      <c r="DG97" s="706" t="str">
        <f>'Revenue summary'!DG$8</f>
      </c>
      <c r="DH97" s="706" t="str">
        <f>'Revenue summary'!DH$8</f>
      </c>
      <c r="DI97" s="707" t="str">
        <f>'Revenue summary'!DI$8</f>
      </c>
      <c r="DJ97" s="706" t="str">
        <f>'Revenue summary'!DJ$8</f>
      </c>
      <c r="DK97" s="706" t="str">
        <f>'Revenue summary'!DK$8</f>
      </c>
      <c r="DL97" s="706" t="str">
        <f>'Revenue summary'!DL$8</f>
      </c>
      <c r="DM97" s="707" t="str">
        <f>'Revenue summary'!DM$8</f>
      </c>
      <c r="DN97" s="706" t="str">
        <f>'Revenue summary'!DN$8</f>
      </c>
      <c r="DO97" s="706" t="str">
        <f>'Revenue summary'!DO$8</f>
      </c>
      <c r="DP97" s="706" t="str">
        <f>'Revenue summary'!DP$8</f>
      </c>
      <c r="DQ97" s="707" t="str">
        <f>'Revenue summary'!DQ$8</f>
      </c>
      <c r="DR97" s="706" t="str">
        <f>'Revenue summary'!DR$8</f>
      </c>
      <c r="DS97" s="706" t="str">
        <f>'Revenue summary'!DS$8</f>
      </c>
      <c r="DT97" s="706" t="str">
        <f>'Revenue summary'!DT$8</f>
      </c>
      <c r="DU97" s="707" t="str">
        <f>'Revenue summary'!DU$8</f>
      </c>
      <c r="DV97" s="706" t="str">
        <f>'Revenue summary'!DV$8</f>
      </c>
      <c r="DW97" s="706" t="str">
        <f>'Revenue summary'!DW$8</f>
      </c>
      <c r="DX97" s="706" t="str">
        <f>'Revenue summary'!DX$8</f>
      </c>
      <c r="DY97" s="707" t="str">
        <f>'Revenue summary'!DY$8</f>
      </c>
      <c r="DZ97" s="706" t="str">
        <f>'Revenue summary'!DZ$8</f>
      </c>
      <c r="EA97" s="706" t="str">
        <f>'Revenue summary'!EA$8</f>
      </c>
      <c r="EB97" s="706" t="str">
        <f>'Revenue summary'!EB$8</f>
      </c>
      <c r="EC97" s="707" t="str">
        <f>'Revenue summary'!EC$8</f>
      </c>
      <c r="ED97" s="706" t="str">
        <f>'Revenue summary'!ED$8</f>
      </c>
      <c r="EE97" s="706" t="str">
        <f>'Revenue summary'!EE$8</f>
      </c>
      <c r="EF97" s="706" t="str">
        <f>'Revenue summary'!EF$8</f>
      </c>
      <c r="EG97" s="707" t="str">
        <f>'Revenue summary'!EG$8</f>
      </c>
      <c r="EH97" s="706" t="str">
        <f>'Revenue summary'!EH$8</f>
      </c>
      <c r="EI97" s="706" t="str">
        <f>'Revenue summary'!EI$8</f>
      </c>
      <c r="EJ97" s="706" t="str">
        <f>'Revenue summary'!EJ$8</f>
      </c>
      <c r="EK97" s="707" t="str">
        <f>'Revenue summary'!EK$8</f>
      </c>
      <c r="EL97" s="320"/>
      <c r="EM97" s="706">
        <f t="shared" ref="EM97:FH97" si="851">EM$9</f>
      </c>
      <c r="EN97" s="706">
        <f t="shared" si="851"/>
      </c>
      <c r="EO97" s="706">
        <f t="shared" si="851"/>
      </c>
      <c r="EP97" s="706">
        <f t="shared" si="851"/>
      </c>
      <c r="EQ97" s="706">
        <f t="shared" si="851"/>
      </c>
      <c r="ER97" s="706">
        <f t="shared" si="851"/>
      </c>
      <c r="ES97" s="706">
        <f t="shared" si="851"/>
      </c>
      <c r="ET97" s="706">
        <f t="shared" si="851"/>
      </c>
      <c r="EU97" s="706">
        <f t="shared" si="851"/>
      </c>
      <c r="EV97" s="706">
        <f t="shared" si="851"/>
      </c>
      <c r="EW97" s="706">
        <f t="shared" si="851"/>
      </c>
      <c r="EX97" s="706">
        <f t="shared" si="851"/>
      </c>
      <c r="EY97" s="706">
        <f t="shared" si="851"/>
      </c>
      <c r="EZ97" s="706">
        <f t="shared" si="851"/>
      </c>
      <c r="FA97" s="706">
        <f t="shared" si="851"/>
      </c>
      <c r="FB97" s="706">
        <f t="shared" si="851"/>
      </c>
      <c r="FC97" s="706">
        <f t="shared" si="851"/>
      </c>
      <c r="FD97" s="706">
        <f t="shared" si="851"/>
      </c>
      <c r="FE97" s="706" t="str">
        <f t="shared" si="851"/>
      </c>
      <c r="FF97" s="706" t="str">
        <f t="shared" si="851"/>
      </c>
      <c r="FG97" s="706" t="str">
        <f t="shared" si="851"/>
      </c>
      <c r="FH97" s="706" t="str">
        <f t="shared" si="851"/>
      </c>
      <c r="FI97" s="706" t="str">
        <f>FI$9</f>
      </c>
      <c r="FJ97" s="706" t="str">
        <f t="shared" ref="FJ97:FU97" si="852">FJ$9</f>
      </c>
      <c r="FK97" s="706" t="str">
        <f t="shared" si="852"/>
      </c>
      <c r="FL97" s="706" t="str">
        <f t="shared" si="852"/>
      </c>
      <c r="FM97" s="706" t="str">
        <f t="shared" si="852"/>
      </c>
      <c r="FN97" s="706" t="str">
        <f t="shared" si="852"/>
      </c>
      <c r="FO97" s="706" t="str">
        <f t="shared" si="852"/>
      </c>
      <c r="FP97" s="706" t="str">
        <f t="shared" si="852"/>
      </c>
      <c r="FQ97" s="706" t="str">
        <f t="shared" si="852"/>
      </c>
      <c r="FR97" s="706" t="str">
        <f t="shared" si="852"/>
      </c>
      <c r="FS97" s="706" t="str">
        <f t="shared" si="852"/>
      </c>
      <c r="FT97" s="706" t="str">
        <f t="shared" si="852"/>
      </c>
      <c r="FU97" s="706" t="str">
        <f t="shared" si="852"/>
      </c>
      <c r="FV97" s="706"/>
      <c r="FW97" s="706" t="str">
        <f t="shared" ref="FW97:GX97" si="853">FW$10</f>
      </c>
      <c r="FX97" s="706" t="str">
        <f t="shared" si="853"/>
      </c>
      <c r="FY97" s="706" t="str">
        <f t="shared" si="853"/>
      </c>
      <c r="FZ97" s="706" t="str">
        <f t="shared" si="853"/>
      </c>
      <c r="GA97" s="706" t="str">
        <f t="shared" si="853"/>
      </c>
      <c r="GB97" s="706" t="str">
        <f t="shared" si="853"/>
      </c>
      <c r="GC97" s="706" t="str">
        <f t="shared" si="853"/>
      </c>
      <c r="GD97" s="706" t="str">
        <f t="shared" si="853"/>
      </c>
      <c r="GE97" s="706" t="str">
        <f t="shared" si="853"/>
      </c>
      <c r="GF97" s="706" t="str">
        <f t="shared" si="853"/>
      </c>
      <c r="GG97" s="706" t="str">
        <f t="shared" si="853"/>
      </c>
      <c r="GH97" s="706" t="str">
        <f t="shared" si="853"/>
      </c>
      <c r="GI97" s="706" t="str">
        <f t="shared" si="853"/>
      </c>
      <c r="GJ97" s="706" t="str">
        <f t="shared" si="853"/>
      </c>
      <c r="GK97" s="706" t="str">
        <f t="shared" si="853"/>
      </c>
      <c r="GL97" s="706" t="str">
        <f t="shared" si="853"/>
      </c>
      <c r="GM97" s="706" t="str">
        <f t="shared" si="853"/>
      </c>
      <c r="GN97" s="706" t="str">
        <f t="shared" si="853"/>
      </c>
      <c r="GO97" s="706" t="str">
        <f t="shared" si="853"/>
      </c>
      <c r="GP97" s="706" t="str">
        <f t="shared" si="853"/>
      </c>
      <c r="GQ97" s="706" t="str">
        <f t="shared" si="853"/>
      </c>
      <c r="GR97" s="706" t="str">
        <f t="shared" si="853"/>
      </c>
      <c r="GS97" s="706" t="str">
        <f t="shared" si="853"/>
      </c>
      <c r="GT97" s="706" t="str">
        <f t="shared" si="853"/>
      </c>
      <c r="GU97" s="706" t="str">
        <f t="shared" si="853"/>
      </c>
      <c r="GV97" s="706" t="str">
        <f t="shared" si="853"/>
      </c>
      <c r="GW97" s="706" t="str">
        <f t="shared" si="853"/>
      </c>
      <c r="GX97" s="706" t="str">
        <f t="shared" si="853"/>
      </c>
      <c r="GY97" s="706" t="str">
        <f t="shared" ref="GY97" si="854">GY$10</f>
      </c>
      <c r="GZ97" s="706" t="str">
        <f t="shared" ref="GZ97:HD97" si="855">GZ$10</f>
      </c>
      <c r="HA97" s="706" t="str">
        <f t="shared" si="855"/>
      </c>
      <c r="HB97" s="706" t="str">
        <f t="shared" si="855"/>
      </c>
      <c r="HC97" s="706" t="str">
        <f t="shared" si="855"/>
      </c>
      <c r="HD97" s="706" t="str">
        <f t="shared" si="855"/>
      </c>
    </row>
    <row r="98" spans="1:212" s="370" customFormat="1" ht="10.199999999999999">
      <c r="A98" s="1013" t="s">
        <v>84</v>
      </c>
      <c r="B98" s="1014"/>
      <c r="C98" s="1014"/>
      <c r="D98" s="1014"/>
      <c r="E98" s="1015"/>
      <c r="F98" s="1014"/>
      <c r="G98" s="1014"/>
      <c r="H98" s="1014"/>
      <c r="I98" s="1015"/>
      <c r="J98" s="1014"/>
      <c r="K98" s="1014"/>
      <c r="L98" s="1014"/>
      <c r="M98" s="1015"/>
      <c r="N98" s="1014"/>
      <c r="O98" s="1014"/>
      <c r="P98" s="1014"/>
      <c r="Q98" s="1015"/>
      <c r="R98" s="1014"/>
      <c r="S98" s="1014"/>
      <c r="T98" s="1014"/>
      <c r="U98" s="1015"/>
      <c r="V98" s="1014"/>
      <c r="W98" s="1014"/>
      <c r="X98" s="1014"/>
      <c r="Y98" s="1015"/>
      <c r="Z98" s="1014"/>
      <c r="AA98" s="1014"/>
      <c r="AB98" s="1014"/>
      <c r="AC98" s="1015"/>
      <c r="AD98" s="1014"/>
      <c r="AE98" s="1014"/>
      <c r="AF98" s="1014"/>
      <c r="AG98" s="1015"/>
      <c r="AH98" s="1014"/>
      <c r="AI98" s="1014"/>
      <c r="AJ98" s="1014"/>
      <c r="AK98" s="1015"/>
      <c r="AL98" s="1014"/>
      <c r="AM98" s="1014"/>
      <c r="AN98" s="1014"/>
      <c r="AO98" s="1015"/>
      <c r="AP98" s="1014"/>
      <c r="AQ98" s="1014"/>
      <c r="AR98" s="1014"/>
      <c r="AS98" s="1015"/>
      <c r="AT98" s="1014"/>
      <c r="AU98" s="1014"/>
      <c r="AV98" s="1014"/>
      <c r="AW98" s="1015"/>
      <c r="AX98" s="1014"/>
      <c r="AY98" s="1014"/>
      <c r="AZ98" s="1014"/>
      <c r="BA98" s="1015"/>
      <c r="BB98" s="1014"/>
      <c r="BC98" s="1014"/>
      <c r="BD98" s="1014"/>
      <c r="BE98" s="1015"/>
      <c r="BF98" s="1014"/>
      <c r="BG98" s="1014"/>
      <c r="BH98" s="1014"/>
      <c r="BI98" s="1015"/>
      <c r="BJ98" s="1014"/>
      <c r="BK98" s="1014"/>
      <c r="BL98" s="1014"/>
      <c r="BM98" s="1015"/>
      <c r="BN98" s="1014"/>
      <c r="BO98" s="1014"/>
      <c r="BP98" s="1014"/>
      <c r="BQ98" s="1015"/>
      <c r="BR98" s="1014"/>
      <c r="BS98" s="1014"/>
      <c r="BT98" s="1014"/>
      <c r="BU98" s="1015"/>
      <c r="BV98" s="1014">
        <f>'Segment - Products'!BV11*'Segment - Services'!BV105</f>
      </c>
      <c r="BW98" s="1014">
        <f>'Segment - Products'!BW11*'Segment - Services'!BW105</f>
      </c>
      <c r="BX98" s="1014">
        <f>'Segment - Products'!BX11*'Segment - Services'!BX105</f>
      </c>
      <c r="BY98" s="1015">
        <f>'Segment - Products'!BY11*'Segment - Services'!BY105</f>
      </c>
      <c r="BZ98" s="1014">
        <f>'Segment - Products'!BZ11*'Segment - Services'!BZ105</f>
      </c>
      <c r="CA98" s="1014">
        <f>'Segment - Products'!CA11*'Segment - Services'!CA105</f>
      </c>
      <c r="CB98" s="1014">
        <f>'Segment - Products'!CB11*'Segment - Services'!CB105</f>
      </c>
      <c r="CC98" s="1015">
        <f>'Segment - Products'!CC11*'Segment - Services'!CC105</f>
      </c>
      <c r="CD98" s="1014">
        <f>'Segment - Products'!CD11*'Segment - Services'!CD105</f>
      </c>
      <c r="CE98" s="1014">
        <f>'Segment - Products'!CE11*'Segment - Services'!CE105</f>
      </c>
      <c r="CF98" s="1014">
        <f>'Segment - Products'!CF11*'Segment - Services'!CF105</f>
      </c>
      <c r="CG98" s="1015">
        <f>'Segment - Products'!CG11*'Segment - Services'!CG105</f>
      </c>
      <c r="CH98" s="1014">
        <f>'Segment - Products'!CH11*'Segment - Services'!CH105</f>
      </c>
      <c r="CI98" s="1014">
        <f>'Segment - Products'!CI11*'Segment - Services'!CI105</f>
      </c>
      <c r="CJ98" s="1014">
        <f>'Segment - Products'!CJ11*'Segment - Services'!CJ105</f>
      </c>
      <c r="CK98" s="1015">
        <f>'Segment - Products'!CK11*'Segment - Services'!CK105</f>
      </c>
      <c r="CL98" s="1016">
        <v>472</v>
      </c>
      <c r="CM98" s="1016">
        <v>473</v>
      </c>
      <c r="CN98" s="1016">
        <v>436</v>
      </c>
      <c r="CO98" s="1017">
        <v>430</v>
      </c>
      <c r="CP98" s="1014">
        <f>'Segment - Products'!CP11*'Segment - Services'!CP105</f>
      </c>
      <c r="CQ98" s="1014">
        <f>'Segment - Products'!CQ11*'Segment - Services'!CQ105</f>
      </c>
      <c r="CR98" s="1014">
        <f>'Segment - Products'!CR11*'Segment - Services'!CR105</f>
      </c>
      <c r="CS98" s="1015">
        <f>'Segment - Products'!CS11*'Segment - Services'!CS105</f>
      </c>
      <c r="CT98" s="1014">
        <f>'Segment - Products'!CT11*'Segment - Services'!CT105</f>
      </c>
      <c r="CU98" s="1014">
        <f>'Segment - Products'!CU11*'Segment - Services'!CU105</f>
      </c>
      <c r="CV98" s="1014">
        <f>'Segment - Products'!CV11*'Segment - Services'!CV105</f>
      </c>
      <c r="CW98" s="1015">
        <f>'Segment - Products'!CW11*'Segment - Services'!CW105</f>
      </c>
      <c r="CX98" s="1014">
        <f>'Segment - Products'!CX11*'Segment - Services'!CX105</f>
      </c>
      <c r="CY98" s="1014">
        <f>'Segment - Products'!CY11*'Segment - Services'!CY105</f>
      </c>
      <c r="CZ98" s="1014">
        <f>'Segment - Products'!CZ11*'Segment - Services'!CZ105</f>
      </c>
      <c r="DA98" s="1015">
        <f>'Segment - Products'!DA11*'Segment - Services'!DA105</f>
      </c>
      <c r="DB98" s="1014">
        <f>'Segment - Products'!DB11*'Segment - Services'!DB105</f>
      </c>
      <c r="DC98" s="1014">
        <f>'Segment - Products'!DC11*'Segment - Services'!DC105</f>
      </c>
      <c r="DD98" s="1014">
        <f>'Segment - Products'!DD11*'Segment - Services'!DD105</f>
      </c>
      <c r="DE98" s="1015">
        <f>'Segment - Products'!DE11*'Segment - Services'!DE105</f>
      </c>
      <c r="DF98" s="1014">
        <f>'Segment - Products'!DF11*'Segment - Services'!DF105</f>
      </c>
      <c r="DG98" s="1014">
        <f>'Segment - Products'!DG11*'Segment - Services'!DG105</f>
      </c>
      <c r="DH98" s="1014">
        <f>'Segment - Products'!DH11*'Segment - Services'!DH105</f>
      </c>
      <c r="DI98" s="1015">
        <f>'Segment - Products'!DI11*'Segment - Services'!DI105</f>
      </c>
      <c r="DJ98" s="1014">
        <f>'Segment - Products'!DJ11*'Segment - Services'!DJ105</f>
      </c>
      <c r="DK98" s="1014">
        <f>'Segment - Products'!DK11*'Segment - Services'!DK105</f>
      </c>
      <c r="DL98" s="1014">
        <f>'Segment - Products'!DL11*'Segment - Services'!DL105</f>
      </c>
      <c r="DM98" s="1015">
        <f>'Segment - Products'!DM11*'Segment - Services'!DM105</f>
      </c>
      <c r="DN98" s="1014">
        <f>'Segment - Products'!DN11*'Segment - Services'!DN105</f>
      </c>
      <c r="DO98" s="1014">
        <f>'Segment - Products'!DO11*'Segment - Services'!DO105</f>
      </c>
      <c r="DP98" s="1014">
        <f>'Segment - Products'!DP11*'Segment - Services'!DP105</f>
      </c>
      <c r="DQ98" s="1015">
        <f>'Segment - Products'!DQ11*'Segment - Services'!DQ105</f>
      </c>
      <c r="DR98" s="1014">
        <f>'Segment - Products'!DR11*'Segment - Services'!DR105</f>
      </c>
      <c r="DS98" s="1014">
        <f>'Segment - Products'!DS11*'Segment - Services'!DS105</f>
      </c>
      <c r="DT98" s="1014">
        <f>'Segment - Products'!DT11*'Segment - Services'!DT105</f>
      </c>
      <c r="DU98" s="1015">
        <f>'Segment - Products'!DU11*'Segment - Services'!DU105</f>
      </c>
      <c r="DV98" s="1014">
        <f>'Segment - Products'!DV11*'Segment - Services'!DV105</f>
      </c>
      <c r="DW98" s="1014">
        <f>'Segment - Products'!DW11*'Segment - Services'!DW105</f>
      </c>
      <c r="DX98" s="1014">
        <f>'Segment - Products'!DX11*'Segment - Services'!DX105</f>
      </c>
      <c r="DY98" s="1015">
        <f>'Segment - Products'!DY11*'Segment - Services'!DY105</f>
      </c>
      <c r="DZ98" s="1014">
        <f>'Segment - Products'!DZ11*'Segment - Services'!DZ105</f>
      </c>
      <c r="EA98" s="1014">
        <f>'Segment - Products'!EA11*'Segment - Services'!EA105</f>
      </c>
      <c r="EB98" s="1014">
        <f>'Segment - Products'!EB11*'Segment - Services'!EB105</f>
      </c>
      <c r="EC98" s="1015">
        <f>'Segment - Products'!EC11*'Segment - Services'!EC105</f>
      </c>
      <c r="ED98" s="1014">
        <f>'Segment - Products'!ED11*'Segment - Services'!ED105</f>
      </c>
      <c r="EE98" s="1014">
        <f>'Segment - Products'!EE11*'Segment - Services'!EE105</f>
      </c>
      <c r="EF98" s="1014">
        <f>'Segment - Products'!EF11*'Segment - Services'!EF105</f>
      </c>
      <c r="EG98" s="1015">
        <f>'Segment - Products'!EG11*'Segment - Services'!EG105</f>
      </c>
      <c r="EH98" s="1014">
        <f>'Segment - Products'!EH11*'Segment - Services'!EH105</f>
      </c>
      <c r="EI98" s="1014">
        <f>'Segment - Products'!EI11*'Segment - Services'!EI105</f>
      </c>
      <c r="EJ98" s="1014">
        <f>'Segment - Products'!EJ11*'Segment - Services'!EJ105</f>
      </c>
      <c r="EK98" s="1015">
        <f>'Segment - Products'!EK11*'Segment - Services'!EK105</f>
      </c>
      <c r="EM98" s="1014"/>
      <c r="EN98" s="1014"/>
      <c r="EO98" s="1014"/>
      <c r="EP98" s="1014"/>
      <c r="EQ98" s="1014"/>
      <c r="ER98" s="1014"/>
      <c r="ES98" s="1014"/>
      <c r="ET98" s="1014"/>
      <c r="EU98" s="1014"/>
      <c r="EV98" s="1014"/>
      <c r="EW98" s="1014"/>
      <c r="EX98" s="1014"/>
      <c r="EY98" s="1014"/>
      <c r="EZ98" s="1014"/>
      <c r="FA98" s="1014"/>
      <c r="FB98" s="1014"/>
      <c r="FC98" s="1014"/>
      <c r="FD98" s="1014"/>
      <c r="FE98" s="1014">
        <f>SUM(BV98:BY98)</f>
      </c>
      <c r="FF98" s="1014">
        <f>SUM(BZ98:CC98)</f>
      </c>
      <c r="FG98" s="1014">
        <f>SUM(CD98:CG98)</f>
      </c>
      <c r="FH98" s="1014">
        <f>SUM(CH98:CK98)</f>
      </c>
      <c r="FI98" s="1014">
        <f>SUM(CL98:CO98)</f>
      </c>
      <c r="FJ98" s="1014">
        <f t="shared" ref="FJ98" si="856">SUM(CP98:CS98)</f>
      </c>
      <c r="FK98" s="1014">
        <f t="shared" ref="FK98" si="857">SUM(CT98:CW98)</f>
      </c>
      <c r="FL98" s="1014">
        <f t="shared" ref="FL98" si="858">SUM(CX98:DA98)</f>
      </c>
      <c r="FM98" s="1014">
        <f t="shared" ref="FM98" si="859">SUM(DB98:DE98)</f>
      </c>
      <c r="FN98" s="1014">
        <f t="shared" ref="FN98" si="860">SUM(DF98:DI98)</f>
      </c>
      <c r="FO98" s="1014">
        <f t="shared" ref="FO98" si="861">SUM(DJ98:DM98)</f>
      </c>
      <c r="FP98" s="1014">
        <f>SUM(DN98:DQ98)</f>
      </c>
      <c r="FQ98" s="1014">
        <f>SUM(DR98:DU98)</f>
      </c>
      <c r="FR98" s="1014">
        <f>SUM(DV98:DY98)</f>
      </c>
      <c r="FS98" s="1014">
        <f>SUM(DZ98:EC98)</f>
      </c>
      <c r="FT98" s="1014">
        <f>SUM(ED98:EG98)</f>
      </c>
      <c r="FU98" s="1014">
        <f>SUM(EH98:EK98)</f>
      </c>
      <c r="FV98" s="1014"/>
      <c r="FW98" s="1014"/>
      <c r="FX98" s="1014"/>
      <c r="FY98" s="1014"/>
      <c r="FZ98" s="1014"/>
      <c r="GA98" s="1014"/>
      <c r="GB98" s="1014"/>
      <c r="GC98" s="1014"/>
      <c r="GD98" s="1014"/>
      <c r="GE98" s="1014"/>
      <c r="GF98" s="1014"/>
      <c r="GG98" s="1014"/>
      <c r="GH98" s="1014"/>
      <c r="GI98" s="1014"/>
      <c r="GJ98" s="1014"/>
      <c r="GK98" s="1014"/>
      <c r="GL98" s="1014"/>
      <c r="GM98" s="1014"/>
      <c r="GN98" s="1014">
        <f>SUM(BS98:BV98)</f>
      </c>
      <c r="GO98" s="1014">
        <f>SUM(BW98:BZ98)</f>
      </c>
      <c r="GP98" s="1014">
        <f>SUM(CA98:CD98)</f>
      </c>
      <c r="GQ98" s="1014">
        <f>SUM(CE98:CH98)</f>
      </c>
      <c r="GR98" s="1014">
        <f>SUM(CI98:CL98)</f>
      </c>
      <c r="GS98" s="1014">
        <f>SUM(CM98:CP98)</f>
      </c>
      <c r="GT98" s="1014">
        <f>SUM(CQ98:CT98)</f>
      </c>
      <c r="GU98" s="1014">
        <f>SUM(CU98:CX98)</f>
      </c>
      <c r="GV98" s="1014">
        <f>SUM(CY98:DB98)</f>
      </c>
      <c r="GW98" s="1014">
        <f>SUM(DC98:DF98)</f>
      </c>
      <c r="GX98" s="1014">
        <f>SUM(DG98:DJ98)</f>
      </c>
      <c r="GY98" s="1014">
        <f>SUM(DK98:DN98)</f>
      </c>
      <c r="GZ98" s="1014">
        <f>SUM(DO98:DR98)</f>
      </c>
      <c r="HA98" s="1014">
        <f>SUM(DS98:DV98)</f>
      </c>
      <c r="HB98" s="1014">
        <f>SUM(DW98:DZ98)</f>
      </c>
      <c r="HC98" s="1014">
        <f>SUM(EA98:ED98)</f>
      </c>
      <c r="HD98" s="1014">
        <f>SUM(EE98:EH98)</f>
      </c>
    </row>
    <row r="99" spans="1:212" s="370" customFormat="1" ht="10.199999999999999">
      <c r="A99" s="906" t="s">
        <v>85</v>
      </c>
      <c r="B99" s="1018"/>
      <c r="C99" s="1018"/>
      <c r="D99" s="1018"/>
      <c r="E99" s="1019"/>
      <c r="F99" s="1018"/>
      <c r="G99" s="1018"/>
      <c r="H99" s="1018"/>
      <c r="I99" s="1019"/>
      <c r="J99" s="1018"/>
      <c r="K99" s="1018"/>
      <c r="L99" s="1018"/>
      <c r="M99" s="1019"/>
      <c r="N99" s="1018"/>
      <c r="O99" s="1018"/>
      <c r="P99" s="1018"/>
      <c r="Q99" s="1019"/>
      <c r="R99" s="1018"/>
      <c r="S99" s="1018"/>
      <c r="T99" s="1018"/>
      <c r="U99" s="1019"/>
      <c r="V99" s="1018"/>
      <c r="W99" s="1018"/>
      <c r="X99" s="1018"/>
      <c r="Y99" s="1019"/>
      <c r="Z99" s="1018"/>
      <c r="AA99" s="1018"/>
      <c r="AB99" s="1018"/>
      <c r="AC99" s="1019"/>
      <c r="AD99" s="1018"/>
      <c r="AE99" s="1018"/>
      <c r="AF99" s="1018"/>
      <c r="AG99" s="1019"/>
      <c r="AH99" s="1018"/>
      <c r="AI99" s="1018"/>
      <c r="AJ99" s="1018"/>
      <c r="AK99" s="1019"/>
      <c r="AL99" s="1018"/>
      <c r="AM99" s="1018"/>
      <c r="AN99" s="1018"/>
      <c r="AO99" s="1019"/>
      <c r="AP99" s="1018"/>
      <c r="AQ99" s="1018"/>
      <c r="AR99" s="1018"/>
      <c r="AS99" s="1019"/>
      <c r="AT99" s="1018"/>
      <c r="AU99" s="1018"/>
      <c r="AV99" s="1018"/>
      <c r="AW99" s="1019"/>
      <c r="AX99" s="1018"/>
      <c r="AY99" s="1018"/>
      <c r="AZ99" s="1018"/>
      <c r="BA99" s="1019"/>
      <c r="BB99" s="1018"/>
      <c r="BC99" s="1018"/>
      <c r="BD99" s="1018"/>
      <c r="BE99" s="1019"/>
      <c r="BF99" s="1018"/>
      <c r="BG99" s="1018"/>
      <c r="BH99" s="1018"/>
      <c r="BI99" s="1019"/>
      <c r="BJ99" s="1018"/>
      <c r="BK99" s="1018"/>
      <c r="BL99" s="1018"/>
      <c r="BM99" s="1019"/>
      <c r="BN99" s="1018"/>
      <c r="BO99" s="1018"/>
      <c r="BP99" s="1018"/>
      <c r="BQ99" s="1019"/>
      <c r="BR99" s="1018"/>
      <c r="BS99" s="1018"/>
      <c r="BT99" s="1018"/>
      <c r="BU99" s="1019"/>
      <c r="BV99" s="1018">
        <f>'Segment - Products'!BV13*'Segment - Services'!BV106</f>
      </c>
      <c r="BW99" s="1018">
        <f>'Segment - Products'!BW13*'Segment - Services'!BW106</f>
      </c>
      <c r="BX99" s="1018">
        <f>'Segment - Products'!BX13*'Segment - Services'!BX106</f>
      </c>
      <c r="BY99" s="1019">
        <f>'Segment - Products'!BY13*'Segment - Services'!BY106</f>
      </c>
      <c r="BZ99" s="1018">
        <f>'Segment - Products'!BZ13*'Segment - Services'!BZ106</f>
      </c>
      <c r="CA99" s="1018">
        <f>'Segment - Products'!CA13*'Segment - Services'!CA106</f>
      </c>
      <c r="CB99" s="1018">
        <f>'Segment - Products'!CB13*'Segment - Services'!CB106</f>
      </c>
      <c r="CC99" s="1019">
        <f>'Segment - Products'!CC13*'Segment - Services'!CC106</f>
      </c>
      <c r="CD99" s="1018">
        <f>'Segment - Products'!CD13*'Segment - Services'!CD106</f>
      </c>
      <c r="CE99" s="1018">
        <f>'Segment - Products'!CE13*'Segment - Services'!CE106</f>
      </c>
      <c r="CF99" s="1018">
        <f>'Segment - Products'!CF13*'Segment - Services'!CF106</f>
      </c>
      <c r="CG99" s="1019">
        <f>'Segment - Products'!CG13*'Segment - Services'!CG106</f>
      </c>
      <c r="CH99" s="1018">
        <f>'Segment - Products'!CH13*'Segment - Services'!CH106</f>
      </c>
      <c r="CI99" s="1018">
        <f>'Segment - Products'!CI13*'Segment - Services'!CI106</f>
      </c>
      <c r="CJ99" s="1018">
        <f>'Segment - Products'!CJ13*'Segment - Services'!CJ106</f>
      </c>
      <c r="CK99" s="1019">
        <f>'Segment - Products'!CK13*'Segment - Services'!CK106</f>
      </c>
      <c r="CL99" s="1020">
        <v>107</v>
      </c>
      <c r="CM99" s="1020">
        <v>105</v>
      </c>
      <c r="CN99" s="1020">
        <v>107</v>
      </c>
      <c r="CO99" s="1021">
        <v>106</v>
      </c>
      <c r="CP99" s="1018">
        <f>'Segment - Products'!CP13*'Segment - Services'!CP106</f>
      </c>
      <c r="CQ99" s="1018">
        <f>'Segment - Products'!CQ13*'Segment - Services'!CQ106</f>
      </c>
      <c r="CR99" s="1018">
        <f>'Segment - Products'!CR13*'Segment - Services'!CR106</f>
      </c>
      <c r="CS99" s="1019">
        <f>'Segment - Products'!CS13*'Segment - Services'!CS106</f>
      </c>
      <c r="CT99" s="1018">
        <f>'Segment - Products'!CT13*'Segment - Services'!CT106</f>
      </c>
      <c r="CU99" s="1018">
        <f>'Segment - Products'!CU13*'Segment - Services'!CU106</f>
      </c>
      <c r="CV99" s="1018">
        <f>'Segment - Products'!CV13*'Segment - Services'!CV106</f>
      </c>
      <c r="CW99" s="1019">
        <f>'Segment - Products'!CW13*'Segment - Services'!CW106</f>
      </c>
      <c r="CX99" s="1018">
        <f>'Segment - Products'!CX13*'Segment - Services'!CX106</f>
      </c>
      <c r="CY99" s="1018">
        <f>'Segment - Products'!CY13*'Segment - Services'!CY106</f>
      </c>
      <c r="CZ99" s="1018">
        <f>'Segment - Products'!CZ13*'Segment - Services'!CZ106</f>
      </c>
      <c r="DA99" s="1019">
        <f>'Segment - Products'!DA13*'Segment - Services'!DA106</f>
      </c>
      <c r="DB99" s="1018">
        <f>'Segment - Products'!DB13*'Segment - Services'!DB106</f>
      </c>
      <c r="DC99" s="1018">
        <f>'Segment - Products'!DC13*'Segment - Services'!DC106</f>
      </c>
      <c r="DD99" s="1018">
        <f>'Segment - Products'!DD13*'Segment - Services'!DD106</f>
      </c>
      <c r="DE99" s="1019">
        <f>'Segment - Products'!DE13*'Segment - Services'!DE106</f>
      </c>
      <c r="DF99" s="1018">
        <f>'Segment - Products'!DF13*'Segment - Services'!DF106</f>
      </c>
      <c r="DG99" s="1018">
        <f>'Segment - Products'!DG13*'Segment - Services'!DG106</f>
      </c>
      <c r="DH99" s="1018">
        <f>'Segment - Products'!DH13*'Segment - Services'!DH106</f>
      </c>
      <c r="DI99" s="1019">
        <f>'Segment - Products'!DI13*'Segment - Services'!DI106</f>
      </c>
      <c r="DJ99" s="1018">
        <f>'Segment - Products'!DJ13*'Segment - Services'!DJ106</f>
      </c>
      <c r="DK99" s="1018">
        <f>'Segment - Products'!DK13*'Segment - Services'!DK106</f>
      </c>
      <c r="DL99" s="1018">
        <f>'Segment - Products'!DL13*'Segment - Services'!DL106</f>
      </c>
      <c r="DM99" s="1019">
        <f>'Segment - Products'!DM13*'Segment - Services'!DM106</f>
      </c>
      <c r="DN99" s="1018">
        <f>'Segment - Products'!DN13*'Segment - Services'!DN106</f>
      </c>
      <c r="DO99" s="1018">
        <f>'Segment - Products'!DO13*'Segment - Services'!DO106</f>
      </c>
      <c r="DP99" s="1018">
        <f>'Segment - Products'!DP13*'Segment - Services'!DP106</f>
      </c>
      <c r="DQ99" s="1019">
        <f>'Segment - Products'!DQ13*'Segment - Services'!DQ106</f>
      </c>
      <c r="DR99" s="1018">
        <f>'Segment - Products'!DR13*'Segment - Services'!DR106</f>
      </c>
      <c r="DS99" s="1018">
        <f>'Segment - Products'!DS13*'Segment - Services'!DS106</f>
      </c>
      <c r="DT99" s="1018">
        <f>'Segment - Products'!DT13*'Segment - Services'!DT106</f>
      </c>
      <c r="DU99" s="1019">
        <f>'Segment - Products'!DU13*'Segment - Services'!DU106</f>
      </c>
      <c r="DV99" s="1018">
        <f>'Segment - Products'!DV13*'Segment - Services'!DV106</f>
      </c>
      <c r="DW99" s="1018">
        <f>'Segment - Products'!DW13*'Segment - Services'!DW106</f>
      </c>
      <c r="DX99" s="1018">
        <f>'Segment - Products'!DX13*'Segment - Services'!DX106</f>
      </c>
      <c r="DY99" s="1019">
        <f>'Segment - Products'!DY13*'Segment - Services'!DY106</f>
      </c>
      <c r="DZ99" s="1018">
        <f>'Segment - Products'!DZ13*'Segment - Services'!DZ106</f>
      </c>
      <c r="EA99" s="1018">
        <f>'Segment - Products'!EA13*'Segment - Services'!EA106</f>
      </c>
      <c r="EB99" s="1018">
        <f>'Segment - Products'!EB13*'Segment - Services'!EB106</f>
      </c>
      <c r="EC99" s="1019">
        <f>'Segment - Products'!EC13*'Segment - Services'!EC106</f>
      </c>
      <c r="ED99" s="1018">
        <f>'Segment - Products'!ED13*'Segment - Services'!ED106</f>
      </c>
      <c r="EE99" s="1018">
        <f>'Segment - Products'!EE13*'Segment - Services'!EE106</f>
      </c>
      <c r="EF99" s="1018">
        <f>'Segment - Products'!EF13*'Segment - Services'!EF106</f>
      </c>
      <c r="EG99" s="1019">
        <f>'Segment - Products'!EG13*'Segment - Services'!EG106</f>
      </c>
      <c r="EH99" s="1018">
        <f>'Segment - Products'!EH13*'Segment - Services'!EH106</f>
      </c>
      <c r="EI99" s="1018">
        <f>'Segment - Products'!EI13*'Segment - Services'!EI106</f>
      </c>
      <c r="EJ99" s="1018">
        <f>'Segment - Products'!EJ13*'Segment - Services'!EJ106</f>
      </c>
      <c r="EK99" s="1019">
        <f>'Segment - Products'!EK13*'Segment - Services'!EK106</f>
      </c>
      <c r="EM99" s="1018"/>
      <c r="EN99" s="1018"/>
      <c r="EO99" s="1018"/>
      <c r="EP99" s="1018"/>
      <c r="EQ99" s="1018"/>
      <c r="ER99" s="1018"/>
      <c r="ES99" s="1018"/>
      <c r="ET99" s="1018"/>
      <c r="EU99" s="1018"/>
      <c r="EV99" s="1018"/>
      <c r="EW99" s="1018"/>
      <c r="EX99" s="1018"/>
      <c r="EY99" s="1018"/>
      <c r="EZ99" s="1018"/>
      <c r="FA99" s="1018"/>
      <c r="FB99" s="1018"/>
      <c r="FC99" s="1018"/>
      <c r="FD99" s="1018"/>
      <c r="FE99" s="1018">
        <f t="shared" ref="FE99:FE102" si="862">SUM(BV99:BY99)</f>
      </c>
      <c r="FF99" s="1018">
        <f t="shared" ref="FF99:FF102" si="863">SUM(BZ99:CC99)</f>
      </c>
      <c r="FG99" s="1018">
        <f t="shared" ref="FG99:FG102" si="864">SUM(CD99:CG99)</f>
      </c>
      <c r="FH99" s="1018">
        <f t="shared" ref="FH99:FH102" si="865">SUM(CH99:CK99)</f>
      </c>
      <c r="FI99" s="1018">
        <f t="shared" ref="FI99:FI102" si="866">SUM(CL99:CO99)</f>
      </c>
      <c r="FJ99" s="1018">
        <f t="shared" ref="FJ99:FJ102" si="867">SUM(CP99:CS99)</f>
      </c>
      <c r="FK99" s="1018">
        <f t="shared" ref="FK99:FK102" si="868">SUM(CT99:CW99)</f>
      </c>
      <c r="FL99" s="1018">
        <f t="shared" ref="FL99:FL102" si="869">SUM(CX99:DA99)</f>
      </c>
      <c r="FM99" s="1018">
        <f t="shared" ref="FM99:FM102" si="870">SUM(DB99:DE99)</f>
      </c>
      <c r="FN99" s="1018">
        <f t="shared" ref="FN99:FN102" si="871">SUM(DF99:DI99)</f>
      </c>
      <c r="FO99" s="1018">
        <f t="shared" ref="FO99:FO102" si="872">SUM(DJ99:DM99)</f>
      </c>
      <c r="FP99" s="1018">
        <f>SUM(DN99:DQ99)</f>
      </c>
      <c r="FQ99" s="1018">
        <f>SUM(DR99:DU99)</f>
      </c>
      <c r="FR99" s="1018">
        <f>SUM(DV99:DY99)</f>
      </c>
      <c r="FS99" s="1018">
        <f>SUM(DZ99:EC99)</f>
      </c>
      <c r="FT99" s="1018">
        <f>SUM(ED99:EG99)</f>
      </c>
      <c r="FU99" s="1018">
        <f>SUM(EH99:EK99)</f>
      </c>
      <c r="FV99" s="1018"/>
      <c r="FW99" s="1018"/>
      <c r="FX99" s="1018"/>
      <c r="FY99" s="1018"/>
      <c r="FZ99" s="1018"/>
      <c r="GA99" s="1018"/>
      <c r="GB99" s="1018"/>
      <c r="GC99" s="1018"/>
      <c r="GD99" s="1018"/>
      <c r="GE99" s="1018"/>
      <c r="GF99" s="1018"/>
      <c r="GG99" s="1018"/>
      <c r="GH99" s="1018"/>
      <c r="GI99" s="1018"/>
      <c r="GJ99" s="1018"/>
      <c r="GK99" s="1018"/>
      <c r="GL99" s="1018"/>
      <c r="GM99" s="1018"/>
      <c r="GN99" s="1018">
        <f>SUM(BS99:BV99)</f>
      </c>
      <c r="GO99" s="1018">
        <f>SUM(BW99:BZ99)</f>
      </c>
      <c r="GP99" s="1018">
        <f>SUM(CA99:CD99)</f>
      </c>
      <c r="GQ99" s="1018">
        <f>SUM(CE99:CH99)</f>
      </c>
      <c r="GR99" s="1018">
        <f>SUM(CI99:CL99)</f>
      </c>
      <c r="GS99" s="1018">
        <f>SUM(CM99:CP99)</f>
      </c>
      <c r="GT99" s="1018">
        <f>SUM(CQ99:CT99)</f>
      </c>
      <c r="GU99" s="1018">
        <f>SUM(CU99:CX99)</f>
      </c>
      <c r="GV99" s="1018">
        <f>SUM(CY99:DB99)</f>
      </c>
      <c r="GW99" s="1018">
        <f>SUM(DC99:DF99)</f>
      </c>
      <c r="GX99" s="1018">
        <f>SUM(DG99:DJ99)</f>
      </c>
      <c r="GY99" s="1018">
        <f>SUM(DK99:DN99)</f>
      </c>
      <c r="GZ99" s="1018">
        <f>SUM(DO99:DR99)</f>
      </c>
      <c r="HA99" s="1018">
        <f>SUM(DS99:DV99)</f>
      </c>
      <c r="HB99" s="1018">
        <f>SUM(DW99:DZ99)</f>
      </c>
      <c r="HC99" s="1018">
        <f>SUM(EA99:ED99)</f>
      </c>
      <c r="HD99" s="1018">
        <f>SUM(EE99:EH99)</f>
      </c>
    </row>
    <row r="100" spans="1:212" s="370" customFormat="1" ht="10.199999999999999">
      <c r="A100" s="906" t="s">
        <v>86</v>
      </c>
      <c r="B100" s="1018"/>
      <c r="C100" s="1018"/>
      <c r="D100" s="1018"/>
      <c r="E100" s="1019"/>
      <c r="F100" s="1018"/>
      <c r="G100" s="1018"/>
      <c r="H100" s="1018"/>
      <c r="I100" s="1019"/>
      <c r="J100" s="1018"/>
      <c r="K100" s="1018"/>
      <c r="L100" s="1018"/>
      <c r="M100" s="1019"/>
      <c r="N100" s="1018"/>
      <c r="O100" s="1018"/>
      <c r="P100" s="1018"/>
      <c r="Q100" s="1019"/>
      <c r="R100" s="1018"/>
      <c r="S100" s="1018"/>
      <c r="T100" s="1018"/>
      <c r="U100" s="1019"/>
      <c r="V100" s="1018"/>
      <c r="W100" s="1018"/>
      <c r="X100" s="1018"/>
      <c r="Y100" s="1019"/>
      <c r="Z100" s="1018"/>
      <c r="AA100" s="1018"/>
      <c r="AB100" s="1018"/>
      <c r="AC100" s="1019"/>
      <c r="AD100" s="1018"/>
      <c r="AE100" s="1018"/>
      <c r="AF100" s="1018"/>
      <c r="AG100" s="1019"/>
      <c r="AH100" s="1018"/>
      <c r="AI100" s="1018"/>
      <c r="AJ100" s="1018"/>
      <c r="AK100" s="1019"/>
      <c r="AL100" s="1018"/>
      <c r="AM100" s="1018"/>
      <c r="AN100" s="1018"/>
      <c r="AO100" s="1019"/>
      <c r="AP100" s="1018"/>
      <c r="AQ100" s="1018"/>
      <c r="AR100" s="1018"/>
      <c r="AS100" s="1019"/>
      <c r="AT100" s="1018"/>
      <c r="AU100" s="1018"/>
      <c r="AV100" s="1018"/>
      <c r="AW100" s="1019"/>
      <c r="AX100" s="1018"/>
      <c r="AY100" s="1018"/>
      <c r="AZ100" s="1018"/>
      <c r="BA100" s="1019"/>
      <c r="BB100" s="1018"/>
      <c r="BC100" s="1018"/>
      <c r="BD100" s="1018"/>
      <c r="BE100" s="1019"/>
      <c r="BF100" s="1018"/>
      <c r="BG100" s="1018"/>
      <c r="BH100" s="1018"/>
      <c r="BI100" s="1019"/>
      <c r="BJ100" s="1018"/>
      <c r="BK100" s="1018"/>
      <c r="BL100" s="1018"/>
      <c r="BM100" s="1019"/>
      <c r="BN100" s="1018"/>
      <c r="BO100" s="1018"/>
      <c r="BP100" s="1018"/>
      <c r="BQ100" s="1019"/>
      <c r="BR100" s="1018"/>
      <c r="BS100" s="1018"/>
      <c r="BT100" s="1018"/>
      <c r="BU100" s="1019"/>
      <c r="BV100" s="1018">
        <f>'Segment - Products'!BV12*'Segment - Services'!BV107</f>
      </c>
      <c r="BW100" s="1018">
        <f>'Segment - Products'!BW12*'Segment - Services'!BW107</f>
      </c>
      <c r="BX100" s="1018">
        <f>'Segment - Products'!BX12*'Segment - Services'!BX107</f>
      </c>
      <c r="BY100" s="1019">
        <f>'Segment - Products'!BY12*'Segment - Services'!BY107</f>
      </c>
      <c r="BZ100" s="1018">
        <f>'Segment - Products'!BZ12*'Segment - Services'!BZ107</f>
      </c>
      <c r="CA100" s="1018">
        <f>'Segment - Products'!CA12*'Segment - Services'!CA107</f>
      </c>
      <c r="CB100" s="1018">
        <f>'Segment - Products'!CB12*'Segment - Services'!CB107</f>
      </c>
      <c r="CC100" s="1019">
        <f>'Segment - Products'!CC12*'Segment - Services'!CC107</f>
      </c>
      <c r="CD100" s="1018">
        <f>'Segment - Products'!CD12*'Segment - Services'!CD107</f>
      </c>
      <c r="CE100" s="1018">
        <f>'Segment - Products'!CE12*'Segment - Services'!CE107</f>
      </c>
      <c r="CF100" s="1018">
        <f>'Segment - Products'!CF12*'Segment - Services'!CF107</f>
      </c>
      <c r="CG100" s="1019">
        <f>'Segment - Products'!CG12*'Segment - Services'!CG107</f>
      </c>
      <c r="CH100" s="1018">
        <f>'Segment - Products'!CH12*'Segment - Services'!CH107</f>
      </c>
      <c r="CI100" s="1018">
        <f>'Segment - Products'!CI12*'Segment - Services'!CI107</f>
      </c>
      <c r="CJ100" s="1018">
        <f>'Segment - Products'!CJ12*'Segment - Services'!CJ107</f>
      </c>
      <c r="CK100" s="1019">
        <f>'Segment - Products'!CK12*'Segment - Services'!CK107</f>
      </c>
      <c r="CL100" s="1020">
        <v>71</v>
      </c>
      <c r="CM100" s="1020">
        <v>72</v>
      </c>
      <c r="CN100" s="1020">
        <v>72</v>
      </c>
      <c r="CO100" s="1021">
        <v>71</v>
      </c>
      <c r="CP100" s="1018">
        <f>'Segment - Products'!CP12*'Segment - Services'!CP107</f>
      </c>
      <c r="CQ100" s="1018">
        <f>'Segment - Products'!CQ12*'Segment - Services'!CQ107</f>
      </c>
      <c r="CR100" s="1018">
        <f>'Segment - Products'!CR12*'Segment - Services'!CR107</f>
      </c>
      <c r="CS100" s="1019">
        <f>'Segment - Products'!CS12*'Segment - Services'!CS107</f>
      </c>
      <c r="CT100" s="1018">
        <f>'Segment - Products'!CT12*'Segment - Services'!CT107</f>
      </c>
      <c r="CU100" s="1018">
        <f>'Segment - Products'!CU12*'Segment - Services'!CU107</f>
      </c>
      <c r="CV100" s="1018">
        <f>'Segment - Products'!CV12*'Segment - Services'!CV107</f>
      </c>
      <c r="CW100" s="1019">
        <f>'Segment - Products'!CW12*'Segment - Services'!CW107</f>
      </c>
      <c r="CX100" s="1018">
        <f>'Segment - Products'!CX12*'Segment - Services'!CX107</f>
      </c>
      <c r="CY100" s="1018">
        <f>'Segment - Products'!CY12*'Segment - Services'!CY107</f>
      </c>
      <c r="CZ100" s="1018">
        <f>'Segment - Products'!CZ12*'Segment - Services'!CZ107</f>
      </c>
      <c r="DA100" s="1019">
        <f>'Segment - Products'!DA12*'Segment - Services'!DA107</f>
      </c>
      <c r="DB100" s="1018">
        <f>'Segment - Products'!DB12*'Segment - Services'!DB107</f>
      </c>
      <c r="DC100" s="1018">
        <f>'Segment - Products'!DC12*'Segment - Services'!DC107</f>
      </c>
      <c r="DD100" s="1018">
        <f>'Segment - Products'!DD12*'Segment - Services'!DD107</f>
      </c>
      <c r="DE100" s="1019">
        <f>'Segment - Products'!DE12*'Segment - Services'!DE107</f>
      </c>
      <c r="DF100" s="1018">
        <f>'Segment - Products'!DF12*'Segment - Services'!DF107</f>
      </c>
      <c r="DG100" s="1018">
        <f>'Segment - Products'!DG12*'Segment - Services'!DG107</f>
      </c>
      <c r="DH100" s="1018">
        <f>'Segment - Products'!DH12*'Segment - Services'!DH107</f>
      </c>
      <c r="DI100" s="1019">
        <f>'Segment - Products'!DI12*'Segment - Services'!DI107</f>
      </c>
      <c r="DJ100" s="1018">
        <f>'Segment - Products'!DJ12*'Segment - Services'!DJ107</f>
      </c>
      <c r="DK100" s="1018">
        <f>'Segment - Products'!DK12*'Segment - Services'!DK107</f>
      </c>
      <c r="DL100" s="1018">
        <f>'Segment - Products'!DL12*'Segment - Services'!DL107</f>
      </c>
      <c r="DM100" s="1019">
        <f>'Segment - Products'!DM12*'Segment - Services'!DM107</f>
      </c>
      <c r="DN100" s="1018">
        <f>'Segment - Products'!DN12*'Segment - Services'!DN107</f>
      </c>
      <c r="DO100" s="1018">
        <f>'Segment - Products'!DO12*'Segment - Services'!DO107</f>
      </c>
      <c r="DP100" s="1018">
        <f>'Segment - Products'!DP12*'Segment - Services'!DP107</f>
      </c>
      <c r="DQ100" s="1019">
        <f>'Segment - Products'!DQ12*'Segment - Services'!DQ107</f>
      </c>
      <c r="DR100" s="1018">
        <f>'Segment - Products'!DR12*'Segment - Services'!DR107</f>
      </c>
      <c r="DS100" s="1018">
        <f>'Segment - Products'!DS12*'Segment - Services'!DS107</f>
      </c>
      <c r="DT100" s="1018">
        <f>'Segment - Products'!DT12*'Segment - Services'!DT107</f>
      </c>
      <c r="DU100" s="1019">
        <f>'Segment - Products'!DU12*'Segment - Services'!DU107</f>
      </c>
      <c r="DV100" s="1018">
        <f>'Segment - Products'!DV12*'Segment - Services'!DV107</f>
      </c>
      <c r="DW100" s="1018">
        <f>'Segment - Products'!DW12*'Segment - Services'!DW107</f>
      </c>
      <c r="DX100" s="1018">
        <f>'Segment - Products'!DX12*'Segment - Services'!DX107</f>
      </c>
      <c r="DY100" s="1019">
        <f>'Segment - Products'!DY12*'Segment - Services'!DY107</f>
      </c>
      <c r="DZ100" s="1018">
        <f>'Segment - Products'!DZ12*'Segment - Services'!DZ107</f>
      </c>
      <c r="EA100" s="1018">
        <f>'Segment - Products'!EA12*'Segment - Services'!EA107</f>
      </c>
      <c r="EB100" s="1018">
        <f>'Segment - Products'!EB12*'Segment - Services'!EB107</f>
      </c>
      <c r="EC100" s="1019">
        <f>'Segment - Products'!EC12*'Segment - Services'!EC107</f>
      </c>
      <c r="ED100" s="1018">
        <f>'Segment - Products'!ED12*'Segment - Services'!ED107</f>
      </c>
      <c r="EE100" s="1018">
        <f>'Segment - Products'!EE12*'Segment - Services'!EE107</f>
      </c>
      <c r="EF100" s="1018">
        <f>'Segment - Products'!EF12*'Segment - Services'!EF107</f>
      </c>
      <c r="EG100" s="1019">
        <f>'Segment - Products'!EG12*'Segment - Services'!EG107</f>
      </c>
      <c r="EH100" s="1018">
        <f>'Segment - Products'!EH12*'Segment - Services'!EH107</f>
      </c>
      <c r="EI100" s="1018">
        <f>'Segment - Products'!EI12*'Segment - Services'!EI107</f>
      </c>
      <c r="EJ100" s="1018">
        <f>'Segment - Products'!EJ12*'Segment - Services'!EJ107</f>
      </c>
      <c r="EK100" s="1019">
        <f>'Segment - Products'!EK12*'Segment - Services'!EK107</f>
      </c>
      <c r="EM100" s="1018"/>
      <c r="EN100" s="1018"/>
      <c r="EO100" s="1018"/>
      <c r="EP100" s="1018"/>
      <c r="EQ100" s="1018"/>
      <c r="ER100" s="1018"/>
      <c r="ES100" s="1018"/>
      <c r="ET100" s="1018"/>
      <c r="EU100" s="1018"/>
      <c r="EV100" s="1018"/>
      <c r="EW100" s="1018"/>
      <c r="EX100" s="1018"/>
      <c r="EY100" s="1018"/>
      <c r="EZ100" s="1018"/>
      <c r="FA100" s="1018"/>
      <c r="FB100" s="1018"/>
      <c r="FC100" s="1018"/>
      <c r="FD100" s="1018"/>
      <c r="FE100" s="1018">
        <f t="shared" si="862"/>
      </c>
      <c r="FF100" s="1018">
        <f t="shared" si="863"/>
      </c>
      <c r="FG100" s="1018">
        <f t="shared" si="864"/>
      </c>
      <c r="FH100" s="1018">
        <f t="shared" si="865"/>
      </c>
      <c r="FI100" s="1018">
        <f t="shared" si="866"/>
      </c>
      <c r="FJ100" s="1018">
        <f t="shared" si="867"/>
      </c>
      <c r="FK100" s="1018">
        <f t="shared" si="868"/>
      </c>
      <c r="FL100" s="1018">
        <f t="shared" si="869"/>
      </c>
      <c r="FM100" s="1018">
        <f t="shared" si="870"/>
      </c>
      <c r="FN100" s="1018">
        <f t="shared" si="871"/>
      </c>
      <c r="FO100" s="1018">
        <f t="shared" si="872"/>
      </c>
      <c r="FP100" s="1018">
        <f>SUM(DN100:DQ100)</f>
      </c>
      <c r="FQ100" s="1018">
        <f>SUM(DR100:DU100)</f>
      </c>
      <c r="FR100" s="1018">
        <f>SUM(DV100:DY100)</f>
      </c>
      <c r="FS100" s="1018">
        <f>SUM(DZ100:EC100)</f>
      </c>
      <c r="FT100" s="1018">
        <f>SUM(ED100:EG100)</f>
      </c>
      <c r="FU100" s="1018">
        <f>SUM(EH100:EK100)</f>
      </c>
      <c r="FV100" s="1018"/>
      <c r="FW100" s="1018"/>
      <c r="FX100" s="1018"/>
      <c r="FY100" s="1018"/>
      <c r="FZ100" s="1018"/>
      <c r="GA100" s="1018"/>
      <c r="GB100" s="1018"/>
      <c r="GC100" s="1018"/>
      <c r="GD100" s="1018"/>
      <c r="GE100" s="1018"/>
      <c r="GF100" s="1018"/>
      <c r="GG100" s="1018"/>
      <c r="GH100" s="1018"/>
      <c r="GI100" s="1018"/>
      <c r="GJ100" s="1018"/>
      <c r="GK100" s="1018"/>
      <c r="GL100" s="1018"/>
      <c r="GM100" s="1018"/>
      <c r="GN100" s="1018">
        <f>SUM(BS100:BV100)</f>
      </c>
      <c r="GO100" s="1018">
        <f>SUM(BW100:BZ100)</f>
      </c>
      <c r="GP100" s="1018">
        <f>SUM(CA100:CD100)</f>
      </c>
      <c r="GQ100" s="1018">
        <f>SUM(CE100:CH100)</f>
      </c>
      <c r="GR100" s="1018">
        <f>SUM(CI100:CL100)</f>
      </c>
      <c r="GS100" s="1018">
        <f>SUM(CM100:CP100)</f>
      </c>
      <c r="GT100" s="1018">
        <f>SUM(CQ100:CT100)</f>
      </c>
      <c r="GU100" s="1018">
        <f>SUM(CU100:CX100)</f>
      </c>
      <c r="GV100" s="1018">
        <f>SUM(CY100:DB100)</f>
      </c>
      <c r="GW100" s="1018">
        <f>SUM(DC100:DF100)</f>
      </c>
      <c r="GX100" s="1018">
        <f>SUM(DG100:DJ100)</f>
      </c>
      <c r="GY100" s="1018">
        <f>SUM(DK100:DN100)</f>
      </c>
      <c r="GZ100" s="1018">
        <f>SUM(DO100:DR100)</f>
      </c>
      <c r="HA100" s="1018">
        <f>SUM(DS100:DV100)</f>
      </c>
      <c r="HB100" s="1018">
        <f>SUM(DW100:DZ100)</f>
      </c>
      <c r="HC100" s="1018">
        <f>SUM(EA100:ED100)</f>
      </c>
      <c r="HD100" s="1018">
        <f>SUM(EE100:EH100)</f>
      </c>
    </row>
    <row r="101" spans="1:212" s="370" customFormat="1" ht="10.199999999999999">
      <c r="A101" s="906" t="s">
        <v>140</v>
      </c>
      <c r="B101" s="1018"/>
      <c r="C101" s="1018"/>
      <c r="D101" s="1018"/>
      <c r="E101" s="1019"/>
      <c r="F101" s="1018"/>
      <c r="G101" s="1018"/>
      <c r="H101" s="1018"/>
      <c r="I101" s="1019"/>
      <c r="J101" s="1018"/>
      <c r="K101" s="1018"/>
      <c r="L101" s="1018"/>
      <c r="M101" s="1019"/>
      <c r="N101" s="1018"/>
      <c r="O101" s="1018"/>
      <c r="P101" s="1018"/>
      <c r="Q101" s="1019"/>
      <c r="R101" s="1018"/>
      <c r="S101" s="1018"/>
      <c r="T101" s="1018"/>
      <c r="U101" s="1019"/>
      <c r="V101" s="1018"/>
      <c r="W101" s="1018"/>
      <c r="X101" s="1018"/>
      <c r="Y101" s="1019"/>
      <c r="Z101" s="1018"/>
      <c r="AA101" s="1018"/>
      <c r="AB101" s="1018"/>
      <c r="AC101" s="1019"/>
      <c r="AD101" s="1018"/>
      <c r="AE101" s="1018"/>
      <c r="AF101" s="1018"/>
      <c r="AG101" s="1019"/>
      <c r="AH101" s="1018"/>
      <c r="AI101" s="1018"/>
      <c r="AJ101" s="1018"/>
      <c r="AK101" s="1019"/>
      <c r="AL101" s="1018"/>
      <c r="AM101" s="1018"/>
      <c r="AN101" s="1018"/>
      <c r="AO101" s="1019"/>
      <c r="AP101" s="1018"/>
      <c r="AQ101" s="1018"/>
      <c r="AR101" s="1018"/>
      <c r="AS101" s="1019"/>
      <c r="AT101" s="1018"/>
      <c r="AU101" s="1018"/>
      <c r="AV101" s="1018"/>
      <c r="AW101" s="1019"/>
      <c r="AX101" s="1018"/>
      <c r="AY101" s="1018"/>
      <c r="AZ101" s="1018"/>
      <c r="BA101" s="1019"/>
      <c r="BB101" s="1018"/>
      <c r="BC101" s="1018"/>
      <c r="BD101" s="1018"/>
      <c r="BE101" s="1019"/>
      <c r="BF101" s="1018"/>
      <c r="BG101" s="1018"/>
      <c r="BH101" s="1018"/>
      <c r="BI101" s="1019"/>
      <c r="BJ101" s="1018"/>
      <c r="BK101" s="1018"/>
      <c r="BL101" s="1018"/>
      <c r="BM101" s="1019"/>
      <c r="BN101" s="1018"/>
      <c r="BO101" s="1018"/>
      <c r="BP101" s="1018"/>
      <c r="BQ101" s="1019"/>
      <c r="BR101" s="1018"/>
      <c r="BS101" s="1018"/>
      <c r="BT101" s="1018"/>
      <c r="BU101" s="1019"/>
      <c r="BV101" s="1018">
        <f>'Segment - Products'!BV14*'Segment - Services'!BV108</f>
      </c>
      <c r="BW101" s="1018">
        <f>'Segment - Products'!BW14*'Segment - Services'!BW108</f>
      </c>
      <c r="BX101" s="1018">
        <f>'Segment - Products'!BX14*'Segment - Services'!BX108</f>
      </c>
      <c r="BY101" s="1019">
        <f>'Segment - Products'!BY14*'Segment - Services'!BY108</f>
      </c>
      <c r="BZ101" s="1018">
        <f>'Segment - Products'!BZ14*'Segment - Services'!BZ108</f>
      </c>
      <c r="CA101" s="1018">
        <f>'Segment - Products'!CA14*'Segment - Services'!CA108</f>
      </c>
      <c r="CB101" s="1018">
        <f>'Segment - Products'!CB14*'Segment - Services'!CB108</f>
      </c>
      <c r="CC101" s="1019">
        <f>'Segment - Products'!CC14*'Segment - Services'!CC108</f>
      </c>
      <c r="CD101" s="1018">
        <f>'Segment - Products'!CD14*'Segment - Services'!CD108</f>
      </c>
      <c r="CE101" s="1018">
        <f>'Segment - Products'!CE14*'Segment - Services'!CE108</f>
      </c>
      <c r="CF101" s="1018">
        <f>'Segment - Products'!CF14*'Segment - Services'!CF108</f>
      </c>
      <c r="CG101" s="1019">
        <f>'Segment - Products'!CG14*'Segment - Services'!CG108</f>
      </c>
      <c r="CH101" s="1018">
        <f>'Segment - Products'!CH14*'Segment - Services'!CH108</f>
      </c>
      <c r="CI101" s="1018">
        <f>'Segment - Products'!CI14*'Segment - Services'!CI108</f>
      </c>
      <c r="CJ101" s="1018">
        <f>'Segment - Products'!CJ14*'Segment - Services'!CJ108</f>
      </c>
      <c r="CK101" s="1019">
        <f>'Segment - Products'!CK14*'Segment - Services'!CK108</f>
      </c>
      <c r="CL101" s="1020">
        <v>8</v>
      </c>
      <c r="CM101" s="1020">
        <v>10</v>
      </c>
      <c r="CN101" s="1020">
        <v>7</v>
      </c>
      <c r="CO101" s="1021">
        <v>11</v>
      </c>
      <c r="CP101" s="1018">
        <f>'Segment - Products'!CP14*'Segment - Services'!CP108</f>
      </c>
      <c r="CQ101" s="1018">
        <f>'Segment - Products'!CQ14*'Segment - Services'!CQ108</f>
      </c>
      <c r="CR101" s="1018">
        <f>'Segment - Products'!CR14*'Segment - Services'!CR108</f>
      </c>
      <c r="CS101" s="1019">
        <f>'Segment - Products'!CS14*'Segment - Services'!CS108</f>
      </c>
      <c r="CT101" s="1018">
        <f>'Segment - Products'!CT14*'Segment - Services'!CT108</f>
      </c>
      <c r="CU101" s="1018">
        <f>'Segment - Products'!CU14*'Segment - Services'!CU108</f>
      </c>
      <c r="CV101" s="1018">
        <f>'Segment - Products'!CV14*'Segment - Services'!CV108</f>
      </c>
      <c r="CW101" s="1019">
        <f>'Segment - Products'!CW14*'Segment - Services'!CW108</f>
      </c>
      <c r="CX101" s="1018">
        <f>'Segment - Products'!CX14*'Segment - Services'!CX108</f>
      </c>
      <c r="CY101" s="1018">
        <f>'Segment - Products'!CY14*'Segment - Services'!CY108</f>
      </c>
      <c r="CZ101" s="1018">
        <f>'Segment - Products'!CZ14*'Segment - Services'!CZ108</f>
      </c>
      <c r="DA101" s="1019">
        <f>'Segment - Products'!DA14*'Segment - Services'!DA108</f>
      </c>
      <c r="DB101" s="1018">
        <f>'Segment - Products'!DB14*'Segment - Services'!DB108</f>
      </c>
      <c r="DC101" s="1018">
        <f>'Segment - Products'!DC14*'Segment - Services'!DC108</f>
      </c>
      <c r="DD101" s="1018">
        <f>'Segment - Products'!DD14*'Segment - Services'!DD108</f>
      </c>
      <c r="DE101" s="1019">
        <f>'Segment - Products'!DE14*'Segment - Services'!DE108</f>
      </c>
      <c r="DF101" s="1018">
        <f>'Segment - Products'!DF14*'Segment - Services'!DF108</f>
      </c>
      <c r="DG101" s="1018">
        <f>'Segment - Products'!DG14*'Segment - Services'!DG108</f>
      </c>
      <c r="DH101" s="1018">
        <f>'Segment - Products'!DH14*'Segment - Services'!DH108</f>
      </c>
      <c r="DI101" s="1019">
        <f>'Segment - Products'!DI14*'Segment - Services'!DI108</f>
      </c>
      <c r="DJ101" s="1018">
        <f>'Segment - Products'!DJ14*'Segment - Services'!DJ108</f>
      </c>
      <c r="DK101" s="1018">
        <f>'Segment - Products'!DK14*'Segment - Services'!DK108</f>
      </c>
      <c r="DL101" s="1018">
        <f>'Segment - Products'!DL14*'Segment - Services'!DL108</f>
      </c>
      <c r="DM101" s="1019">
        <f>'Segment - Products'!DM14*'Segment - Services'!DM108</f>
      </c>
      <c r="DN101" s="1018">
        <f>'Segment - Products'!DN14*'Segment - Services'!DN108</f>
      </c>
      <c r="DO101" s="1018">
        <f>'Segment - Products'!DO14*'Segment - Services'!DO108</f>
      </c>
      <c r="DP101" s="1018">
        <f>'Segment - Products'!DP14*'Segment - Services'!DP108</f>
      </c>
      <c r="DQ101" s="1019">
        <f>'Segment - Products'!DQ14*'Segment - Services'!DQ108</f>
      </c>
      <c r="DR101" s="1018">
        <f>'Segment - Products'!DR14*'Segment - Services'!DR108</f>
      </c>
      <c r="DS101" s="1018">
        <f>'Segment - Products'!DS14*'Segment - Services'!DS108</f>
      </c>
      <c r="DT101" s="1018">
        <f>'Segment - Products'!DT14*'Segment - Services'!DT108</f>
      </c>
      <c r="DU101" s="1019">
        <f>'Segment - Products'!DU14*'Segment - Services'!DU108</f>
      </c>
      <c r="DV101" s="1018">
        <f>'Segment - Products'!DV14*'Segment - Services'!DV108</f>
      </c>
      <c r="DW101" s="1018">
        <f>'Segment - Products'!DW14*'Segment - Services'!DW108</f>
      </c>
      <c r="DX101" s="1018">
        <f>'Segment - Products'!DX14*'Segment - Services'!DX108</f>
      </c>
      <c r="DY101" s="1019">
        <f>'Segment - Products'!DY14*'Segment - Services'!DY108</f>
      </c>
      <c r="DZ101" s="1018">
        <f>'Segment - Products'!DZ14*'Segment - Services'!DZ108</f>
      </c>
      <c r="EA101" s="1018">
        <f>'Segment - Products'!EA14*'Segment - Services'!EA108</f>
      </c>
      <c r="EB101" s="1018">
        <f>'Segment - Products'!EB14*'Segment - Services'!EB108</f>
      </c>
      <c r="EC101" s="1019">
        <f>'Segment - Products'!EC14*'Segment - Services'!EC108</f>
      </c>
      <c r="ED101" s="1018">
        <f>'Segment - Products'!ED14*'Segment - Services'!ED108</f>
      </c>
      <c r="EE101" s="1018">
        <f>'Segment - Products'!EE14*'Segment - Services'!EE108</f>
      </c>
      <c r="EF101" s="1018">
        <f>'Segment - Products'!EF14*'Segment - Services'!EF108</f>
      </c>
      <c r="EG101" s="1019">
        <f>'Segment - Products'!EG14*'Segment - Services'!EG108</f>
      </c>
      <c r="EH101" s="1018">
        <f>'Segment - Products'!EH14*'Segment - Services'!EH108</f>
      </c>
      <c r="EI101" s="1018">
        <f>'Segment - Products'!EI14*'Segment - Services'!EI108</f>
      </c>
      <c r="EJ101" s="1018">
        <f>'Segment - Products'!EJ14*'Segment - Services'!EJ108</f>
      </c>
      <c r="EK101" s="1019">
        <f>'Segment - Products'!EK14*'Segment - Services'!EK108</f>
      </c>
      <c r="EM101" s="1018"/>
      <c r="EN101" s="1018"/>
      <c r="EO101" s="1018"/>
      <c r="EP101" s="1018"/>
      <c r="EQ101" s="1018"/>
      <c r="ER101" s="1018"/>
      <c r="ES101" s="1018"/>
      <c r="ET101" s="1018"/>
      <c r="EU101" s="1018"/>
      <c r="EV101" s="1018"/>
      <c r="EW101" s="1018"/>
      <c r="EX101" s="1018"/>
      <c r="EY101" s="1018"/>
      <c r="EZ101" s="1018"/>
      <c r="FA101" s="1018"/>
      <c r="FB101" s="1018"/>
      <c r="FC101" s="1018"/>
      <c r="FD101" s="1018"/>
      <c r="FE101" s="1018">
        <f t="shared" si="862"/>
      </c>
      <c r="FF101" s="1018">
        <f t="shared" si="863"/>
      </c>
      <c r="FG101" s="1018">
        <f t="shared" si="864"/>
      </c>
      <c r="FH101" s="1018">
        <f t="shared" si="865"/>
      </c>
      <c r="FI101" s="1018">
        <f t="shared" si="866"/>
      </c>
      <c r="FJ101" s="1018">
        <f t="shared" si="867"/>
      </c>
      <c r="FK101" s="1018">
        <f t="shared" si="868"/>
      </c>
      <c r="FL101" s="1018">
        <f t="shared" si="869"/>
      </c>
      <c r="FM101" s="1018">
        <f t="shared" si="870"/>
      </c>
      <c r="FN101" s="1018">
        <f t="shared" si="871"/>
      </c>
      <c r="FO101" s="1018">
        <f t="shared" si="872"/>
      </c>
      <c r="FP101" s="1018">
        <f>SUM(DN101:DQ101)</f>
      </c>
      <c r="FQ101" s="1018">
        <f>SUM(DR101:DU101)</f>
      </c>
      <c r="FR101" s="1018">
        <f>SUM(DV101:DY101)</f>
      </c>
      <c r="FS101" s="1018">
        <f>SUM(DZ101:EC101)</f>
      </c>
      <c r="FT101" s="1018">
        <f>SUM(ED101:EG101)</f>
      </c>
      <c r="FU101" s="1018">
        <f>SUM(EH101:EK101)</f>
      </c>
      <c r="FV101" s="1018"/>
      <c r="FW101" s="1018"/>
      <c r="FX101" s="1018"/>
      <c r="FY101" s="1018"/>
      <c r="FZ101" s="1018"/>
      <c r="GA101" s="1018"/>
      <c r="GB101" s="1018"/>
      <c r="GC101" s="1018"/>
      <c r="GD101" s="1018"/>
      <c r="GE101" s="1018"/>
      <c r="GF101" s="1018"/>
      <c r="GG101" s="1018"/>
      <c r="GH101" s="1018"/>
      <c r="GI101" s="1018"/>
      <c r="GJ101" s="1018"/>
      <c r="GK101" s="1018"/>
      <c r="GL101" s="1018"/>
      <c r="GM101" s="1018"/>
      <c r="GN101" s="1018">
        <f>SUM(BS101:BV101)</f>
      </c>
      <c r="GO101" s="1018">
        <f>SUM(BW101:BZ101)</f>
      </c>
      <c r="GP101" s="1018">
        <f>SUM(CA101:CD101)</f>
      </c>
      <c r="GQ101" s="1018">
        <f>SUM(CE101:CH101)</f>
      </c>
      <c r="GR101" s="1018">
        <f>SUM(CI101:CL101)</f>
      </c>
      <c r="GS101" s="1018">
        <f>SUM(CM101:CP101)</f>
      </c>
      <c r="GT101" s="1018">
        <f>SUM(CQ101:CT101)</f>
      </c>
      <c r="GU101" s="1018">
        <f>SUM(CU101:CX101)</f>
      </c>
      <c r="GV101" s="1018">
        <f>SUM(CY101:DB101)</f>
      </c>
      <c r="GW101" s="1018">
        <f>SUM(DC101:DF101)</f>
      </c>
      <c r="GX101" s="1018">
        <f>SUM(DG101:DJ101)</f>
      </c>
      <c r="GY101" s="1018">
        <f>SUM(DK101:DN101)</f>
      </c>
      <c r="GZ101" s="1018">
        <f>SUM(DO101:DR101)</f>
      </c>
      <c r="HA101" s="1018">
        <f>SUM(DS101:DV101)</f>
      </c>
      <c r="HB101" s="1018">
        <f>SUM(DW101:DZ101)</f>
      </c>
      <c r="HC101" s="1018">
        <f>SUM(EA101:ED101)</f>
      </c>
      <c r="HD101" s="1018">
        <f>SUM(EE101:EH101)</f>
      </c>
    </row>
    <row r="102" spans="1:212" s="370" customFormat="1" ht="10.8" thickBot="1">
      <c r="A102" s="946" t="s">
        <v>1211</v>
      </c>
      <c r="B102" s="974"/>
      <c r="C102" s="974"/>
      <c r="D102" s="974"/>
      <c r="E102" s="975"/>
      <c r="F102" s="974"/>
      <c r="G102" s="974"/>
      <c r="H102" s="974"/>
      <c r="I102" s="975"/>
      <c r="J102" s="974"/>
      <c r="K102" s="974"/>
      <c r="L102" s="974"/>
      <c r="M102" s="975"/>
      <c r="N102" s="974"/>
      <c r="O102" s="974"/>
      <c r="P102" s="974"/>
      <c r="Q102" s="975"/>
      <c r="R102" s="974"/>
      <c r="S102" s="974"/>
      <c r="T102" s="974"/>
      <c r="U102" s="975"/>
      <c r="V102" s="974"/>
      <c r="W102" s="974"/>
      <c r="X102" s="974"/>
      <c r="Y102" s="975"/>
      <c r="Z102" s="974"/>
      <c r="AA102" s="974"/>
      <c r="AB102" s="974"/>
      <c r="AC102" s="975"/>
      <c r="AD102" s="974"/>
      <c r="AE102" s="974"/>
      <c r="AF102" s="974"/>
      <c r="AG102" s="975"/>
      <c r="AH102" s="974"/>
      <c r="AI102" s="974"/>
      <c r="AJ102" s="974"/>
      <c r="AK102" s="975"/>
      <c r="AL102" s="974"/>
      <c r="AM102" s="974"/>
      <c r="AN102" s="974"/>
      <c r="AO102" s="975"/>
      <c r="AP102" s="974"/>
      <c r="AQ102" s="974"/>
      <c r="AR102" s="974"/>
      <c r="AS102" s="975"/>
      <c r="AT102" s="974"/>
      <c r="AU102" s="974"/>
      <c r="AV102" s="974"/>
      <c r="AW102" s="975"/>
      <c r="AX102" s="974"/>
      <c r="AY102" s="974"/>
      <c r="AZ102" s="974"/>
      <c r="BA102" s="975"/>
      <c r="BB102" s="974"/>
      <c r="BC102" s="974"/>
      <c r="BD102" s="974"/>
      <c r="BE102" s="975"/>
      <c r="BF102" s="974"/>
      <c r="BG102" s="974"/>
      <c r="BH102" s="974"/>
      <c r="BI102" s="975"/>
      <c r="BJ102" s="974"/>
      <c r="BK102" s="974"/>
      <c r="BL102" s="974"/>
      <c r="BM102" s="975"/>
      <c r="BN102" s="974"/>
      <c r="BO102" s="974"/>
      <c r="BP102" s="974"/>
      <c r="BQ102" s="975"/>
      <c r="BR102" s="974"/>
      <c r="BS102" s="974"/>
      <c r="BT102" s="974"/>
      <c r="BU102" s="975"/>
      <c r="BV102" s="977">
        <f>SUM(BV98:BV101)</f>
      </c>
      <c r="BW102" s="977">
        <f t="shared" ref="BW102" si="873">SUM(BW98:BW101)</f>
      </c>
      <c r="BX102" s="977">
        <f t="shared" ref="BX102" si="874">SUM(BX98:BX101)</f>
      </c>
      <c r="BY102" s="976">
        <f t="shared" ref="BY102" si="875">SUM(BY98:BY101)</f>
      </c>
      <c r="BZ102" s="977">
        <f>SUM(BZ98:BZ101)</f>
      </c>
      <c r="CA102" s="977">
        <f t="shared" ref="CA102" si="876">SUM(CA98:CA101)</f>
      </c>
      <c r="CB102" s="977">
        <f t="shared" ref="CB102" si="877">SUM(CB98:CB101)</f>
      </c>
      <c r="CC102" s="976">
        <f t="shared" ref="CC102" si="878">SUM(CC98:CC101)</f>
      </c>
      <c r="CD102" s="977">
        <f>SUM(CD98:CD101)</f>
      </c>
      <c r="CE102" s="977">
        <f t="shared" ref="CE102" si="879">SUM(CE98:CE101)</f>
      </c>
      <c r="CF102" s="977">
        <f t="shared" ref="CF102" si="880">SUM(CF98:CF101)</f>
      </c>
      <c r="CG102" s="976">
        <f t="shared" ref="CG102" si="881">SUM(CG98:CG101)</f>
      </c>
      <c r="CH102" s="977">
        <f>SUM(CH98:CH101)</f>
      </c>
      <c r="CI102" s="977">
        <f t="shared" ref="CI102" si="882">SUM(CI98:CI101)</f>
      </c>
      <c r="CJ102" s="977">
        <f t="shared" ref="CJ102" si="883">SUM(CJ98:CJ101)</f>
      </c>
      <c r="CK102" s="976">
        <f t="shared" ref="CK102" si="884">SUM(CK98:CK101)</f>
      </c>
      <c r="CL102" s="977">
        <f>SUM(CL98:CL101)</f>
      </c>
      <c r="CM102" s="977">
        <f t="shared" ref="CM102:CO102" si="885">SUM(CM98:CM101)</f>
      </c>
      <c r="CN102" s="977">
        <f t="shared" si="885"/>
      </c>
      <c r="CO102" s="976">
        <f t="shared" si="885"/>
      </c>
      <c r="CP102" s="977">
        <f>SUM(CP98:CP101)</f>
      </c>
      <c r="CQ102" s="977">
        <f t="shared" ref="CQ102:CS102" si="886">SUM(CQ98:CQ101)</f>
      </c>
      <c r="CR102" s="977">
        <f t="shared" si="886"/>
      </c>
      <c r="CS102" s="976">
        <f t="shared" si="886"/>
      </c>
      <c r="CT102" s="977">
        <f>SUM(CT98:CT101)</f>
      </c>
      <c r="CU102" s="977">
        <f t="shared" ref="CU102" si="887">SUM(CU98:CU101)</f>
      </c>
      <c r="CV102" s="977">
        <f t="shared" ref="CV102" si="888">SUM(CV98:CV101)</f>
      </c>
      <c r="CW102" s="976">
        <f t="shared" ref="CW102" si="889">SUM(CW98:CW101)</f>
      </c>
      <c r="CX102" s="977">
        <f>SUM(CX98:CX101)</f>
      </c>
      <c r="CY102" s="977">
        <f t="shared" ref="CY102" si="890">SUM(CY98:CY101)</f>
      </c>
      <c r="CZ102" s="977">
        <f t="shared" ref="CZ102" si="891">SUM(CZ98:CZ101)</f>
      </c>
      <c r="DA102" s="976">
        <f t="shared" ref="DA102" si="892">SUM(DA98:DA101)</f>
      </c>
      <c r="DB102" s="977">
        <f>SUM(DB98:DB101)</f>
      </c>
      <c r="DC102" s="977">
        <f t="shared" ref="DC102" si="893">SUM(DC98:DC101)</f>
      </c>
      <c r="DD102" s="977">
        <f t="shared" ref="DD102" si="894">SUM(DD98:DD101)</f>
      </c>
      <c r="DE102" s="976">
        <f t="shared" ref="DE102" si="895">SUM(DE98:DE101)</f>
      </c>
      <c r="DF102" s="977">
        <f>SUM(DF98:DF101)</f>
      </c>
      <c r="DG102" s="977">
        <f t="shared" ref="DG102" si="896">SUM(DG98:DG101)</f>
      </c>
      <c r="DH102" s="977">
        <f t="shared" ref="DH102" si="897">SUM(DH98:DH101)</f>
      </c>
      <c r="DI102" s="976">
        <f t="shared" ref="DI102" si="898">SUM(DI98:DI101)</f>
      </c>
      <c r="DJ102" s="977">
        <f>SUM(DJ98:DJ101)</f>
      </c>
      <c r="DK102" s="977">
        <f t="shared" ref="DK102" si="899">SUM(DK98:DK101)</f>
      </c>
      <c r="DL102" s="977">
        <f t="shared" ref="DL102" si="900">SUM(DL98:DL101)</f>
      </c>
      <c r="DM102" s="976">
        <f t="shared" ref="DM102" si="901">SUM(DM98:DM101)</f>
      </c>
      <c r="DN102" s="977">
        <f>SUM(DN98:DN101)</f>
      </c>
      <c r="DO102" s="977">
        <f t="shared" ref="DO102" si="902">SUM(DO98:DO101)</f>
      </c>
      <c r="DP102" s="977">
        <f t="shared" ref="DP102" si="903">SUM(DP98:DP101)</f>
      </c>
      <c r="DQ102" s="976">
        <f t="shared" ref="DQ102" si="904">SUM(DQ98:DQ101)</f>
      </c>
      <c r="DR102" s="977">
        <f>SUM(DR98:DR101)</f>
      </c>
      <c r="DS102" s="977">
        <f t="shared" ref="DS102" si="905">SUM(DS98:DS101)</f>
      </c>
      <c r="DT102" s="977">
        <f t="shared" ref="DT102" si="906">SUM(DT98:DT101)</f>
      </c>
      <c r="DU102" s="976">
        <f t="shared" ref="DU102" si="907">SUM(DU98:DU101)</f>
      </c>
      <c r="DV102" s="977">
        <f>SUM(DV98:DV101)</f>
      </c>
      <c r="DW102" s="977">
        <f t="shared" ref="DW102:DY102" si="908">SUM(DW98:DW101)</f>
      </c>
      <c r="DX102" s="977">
        <f t="shared" si="908"/>
      </c>
      <c r="DY102" s="976">
        <f t="shared" si="908"/>
      </c>
      <c r="DZ102" s="977">
        <f>SUM(DZ98:DZ101)</f>
      </c>
      <c r="EA102" s="977">
        <f t="shared" ref="EA102:EC102" si="909">SUM(EA98:EA101)</f>
      </c>
      <c r="EB102" s="977">
        <f t="shared" si="909"/>
      </c>
      <c r="EC102" s="976">
        <f t="shared" si="909"/>
      </c>
      <c r="ED102" s="977">
        <f>SUM(ED98:ED101)</f>
      </c>
      <c r="EE102" s="977">
        <f t="shared" ref="EE102:EG102" si="910">SUM(EE98:EE101)</f>
      </c>
      <c r="EF102" s="977">
        <f t="shared" si="910"/>
      </c>
      <c r="EG102" s="976">
        <f t="shared" si="910"/>
      </c>
      <c r="EH102" s="977">
        <f>SUM(EH98:EH101)</f>
      </c>
      <c r="EI102" s="977">
        <f t="shared" ref="EI102:EK102" si="911">SUM(EI98:EI101)</f>
      </c>
      <c r="EJ102" s="977">
        <f t="shared" si="911"/>
      </c>
      <c r="EK102" s="976">
        <f t="shared" si="911"/>
      </c>
      <c r="EM102" s="977"/>
      <c r="EN102" s="977"/>
      <c r="EO102" s="977"/>
      <c r="EP102" s="977"/>
      <c r="EQ102" s="977"/>
      <c r="ER102" s="977"/>
      <c r="ES102" s="977"/>
      <c r="ET102" s="977"/>
      <c r="EU102" s="977"/>
      <c r="EV102" s="977"/>
      <c r="EW102" s="977"/>
      <c r="EX102" s="977"/>
      <c r="EY102" s="977"/>
      <c r="EZ102" s="977"/>
      <c r="FA102" s="977"/>
      <c r="FB102" s="977"/>
      <c r="FC102" s="977"/>
      <c r="FD102" s="977"/>
      <c r="FE102" s="977">
        <f t="shared" si="862"/>
      </c>
      <c r="FF102" s="977">
        <f t="shared" si="863"/>
      </c>
      <c r="FG102" s="977">
        <f t="shared" si="864"/>
      </c>
      <c r="FH102" s="977">
        <f t="shared" si="865"/>
      </c>
      <c r="FI102" s="977">
        <f t="shared" si="866"/>
      </c>
      <c r="FJ102" s="977">
        <f t="shared" si="867"/>
      </c>
      <c r="FK102" s="977">
        <f t="shared" si="868"/>
      </c>
      <c r="FL102" s="977">
        <f t="shared" si="869"/>
      </c>
      <c r="FM102" s="977">
        <f t="shared" si="870"/>
      </c>
      <c r="FN102" s="977">
        <f t="shared" si="871"/>
      </c>
      <c r="FO102" s="977">
        <f t="shared" si="872"/>
      </c>
      <c r="FP102" s="977">
        <f>SUM(DN102:DQ102)</f>
      </c>
      <c r="FQ102" s="977">
        <f>SUM(DR102:DU102)</f>
      </c>
      <c r="FR102" s="977">
        <f>SUM(DV102:DY102)</f>
      </c>
      <c r="FS102" s="977">
        <f>SUM(DZ102:EC102)</f>
      </c>
      <c r="FT102" s="977">
        <f>SUM(ED102:EG102)</f>
      </c>
      <c r="FU102" s="977">
        <f>SUM(EH102:EK102)</f>
      </c>
      <c r="FV102" s="977"/>
      <c r="FW102" s="977"/>
      <c r="FX102" s="977"/>
      <c r="FY102" s="977"/>
      <c r="FZ102" s="977"/>
      <c r="GA102" s="977"/>
      <c r="GB102" s="977"/>
      <c r="GC102" s="977"/>
      <c r="GD102" s="977"/>
      <c r="GE102" s="977"/>
      <c r="GF102" s="977"/>
      <c r="GG102" s="977"/>
      <c r="GH102" s="977"/>
      <c r="GI102" s="977"/>
      <c r="GJ102" s="977"/>
      <c r="GK102" s="977"/>
      <c r="GL102" s="977"/>
      <c r="GM102" s="977"/>
      <c r="GN102" s="977">
        <f>SUM(BS102:BV102)</f>
      </c>
      <c r="GO102" s="977">
        <f>SUM(BW102:BZ102)</f>
      </c>
      <c r="GP102" s="977">
        <f>SUM(CA102:CD102)</f>
      </c>
      <c r="GQ102" s="977">
        <f>SUM(CE102:CH102)</f>
      </c>
      <c r="GR102" s="977">
        <f>SUM(CI102:CL102)</f>
      </c>
      <c r="GS102" s="977">
        <f>SUM(CM102:CP102)</f>
      </c>
      <c r="GT102" s="977">
        <f>SUM(CQ102:CT102)</f>
      </c>
      <c r="GU102" s="977">
        <f>SUM(CU102:CX102)</f>
      </c>
      <c r="GV102" s="977">
        <f>SUM(CY102:DB102)</f>
      </c>
      <c r="GW102" s="977">
        <f>SUM(DC102:DF102)</f>
      </c>
      <c r="GX102" s="977">
        <f>SUM(DG102:DJ102)</f>
      </c>
      <c r="GY102" s="977">
        <f>SUM(DK102:DN102)</f>
      </c>
      <c r="GZ102" s="977">
        <f>SUM(DO102:DR102)</f>
      </c>
      <c r="HA102" s="977">
        <f>SUM(DS102:DV102)</f>
      </c>
      <c r="HB102" s="977">
        <f>SUM(DW102:DZ102)</f>
      </c>
      <c r="HC102" s="977">
        <f>SUM(EA102:ED102)</f>
      </c>
      <c r="HD102" s="977">
        <f>SUM(EE102:EH102)</f>
      </c>
    </row>
    <row r="103" spans="1:212" s="89" customFormat="1" ht="10.8" thickTop="1">
      <c r="A103" s="152"/>
      <c r="E103" s="260"/>
      <c r="I103" s="260"/>
      <c r="M103" s="260"/>
      <c r="Q103" s="260"/>
      <c r="U103" s="260"/>
      <c r="Y103" s="260"/>
      <c r="AC103" s="260"/>
      <c r="AG103" s="260"/>
      <c r="AJ103" s="72"/>
      <c r="AK103" s="227"/>
      <c r="AL103" s="72"/>
      <c r="AM103" s="72"/>
      <c r="AN103" s="72"/>
      <c r="AO103" s="227"/>
      <c r="AP103" s="72"/>
      <c r="AQ103" s="72"/>
      <c r="AR103" s="72"/>
      <c r="AS103" s="227"/>
      <c r="AT103" s="72"/>
      <c r="AU103" s="72"/>
      <c r="AV103" s="72"/>
      <c r="AW103" s="227"/>
      <c r="AX103" s="72"/>
      <c r="AY103" s="72"/>
      <c r="AZ103" s="72"/>
      <c r="BA103" s="227"/>
      <c r="BB103" s="72"/>
      <c r="BC103" s="72"/>
      <c r="BD103" s="72"/>
      <c r="BE103" s="227"/>
      <c r="BF103" s="72"/>
      <c r="BG103" s="72"/>
      <c r="BH103" s="72"/>
      <c r="BI103" s="227"/>
      <c r="BJ103" s="72"/>
      <c r="BK103" s="72"/>
      <c r="BL103" s="72"/>
      <c r="BM103" s="227"/>
      <c r="BN103" s="72"/>
      <c r="BO103" s="72"/>
      <c r="BP103" s="72"/>
      <c r="BQ103" s="227"/>
      <c r="BR103" s="72"/>
      <c r="BS103" s="72"/>
      <c r="BT103" s="72"/>
      <c r="BU103" s="227"/>
      <c r="BV103" s="355"/>
      <c r="BW103" s="72"/>
      <c r="BX103" s="72"/>
      <c r="BY103" s="227"/>
      <c r="BZ103" s="355"/>
      <c r="CA103" s="72"/>
      <c r="CB103" s="72"/>
      <c r="CC103" s="227"/>
      <c r="CD103" s="355"/>
      <c r="CE103" s="72"/>
      <c r="CF103" s="72"/>
      <c r="CG103" s="227"/>
      <c r="CH103" s="355"/>
      <c r="CI103" s="72"/>
      <c r="CJ103" s="72"/>
      <c r="CK103" s="227"/>
      <c r="CL103" s="355"/>
      <c r="CM103" s="72"/>
      <c r="CN103" s="72"/>
      <c r="CO103" s="227"/>
      <c r="CP103" s="72"/>
      <c r="CQ103" s="87"/>
      <c r="CR103" s="87"/>
      <c r="CS103" s="227"/>
      <c r="CT103" s="72"/>
      <c r="CU103" s="87"/>
      <c r="CV103" s="87"/>
      <c r="CW103" s="416"/>
      <c r="CX103" s="87"/>
      <c r="CY103" s="87"/>
      <c r="CZ103" s="87"/>
      <c r="DA103" s="416"/>
      <c r="DB103" s="87"/>
      <c r="DC103" s="87"/>
      <c r="DD103" s="87"/>
      <c r="DE103" s="232"/>
      <c r="DF103" s="419"/>
      <c r="DG103" s="71"/>
      <c r="DH103" s="71"/>
      <c r="DI103" s="232"/>
      <c r="DJ103" s="419"/>
      <c r="DK103" s="71"/>
      <c r="DL103" s="71"/>
      <c r="DM103" s="232"/>
      <c r="DN103" s="419"/>
      <c r="DO103" s="71"/>
      <c r="DP103" s="71"/>
      <c r="DQ103" s="232"/>
      <c r="DR103" s="419"/>
      <c r="DS103" s="71"/>
      <c r="DT103" s="71"/>
      <c r="DU103" s="931"/>
      <c r="DV103" s="419"/>
      <c r="DW103" s="71"/>
      <c r="DX103" s="71"/>
      <c r="DY103" s="931"/>
      <c r="DZ103" s="419"/>
      <c r="EA103" s="71"/>
      <c r="EB103" s="71"/>
      <c r="EC103" s="931"/>
      <c r="ED103" s="419"/>
      <c r="EE103" s="71"/>
      <c r="EF103" s="71"/>
      <c r="EG103" s="931"/>
      <c r="EH103" s="419"/>
      <c r="EI103" s="71"/>
      <c r="EJ103" s="71"/>
      <c r="EK103" s="931"/>
      <c r="EU103" s="72"/>
      <c r="EV103" s="72"/>
      <c r="EW103" s="72"/>
      <c r="EX103" s="72"/>
      <c r="EY103" s="72"/>
      <c r="EZ103" s="72"/>
      <c r="FA103" s="72"/>
      <c r="FB103" s="72"/>
      <c r="FC103" s="72"/>
      <c r="FD103" s="72"/>
      <c r="FE103" s="72"/>
      <c r="FF103" s="72"/>
      <c r="FG103" s="72"/>
      <c r="FH103" s="72"/>
      <c r="FI103" s="72"/>
      <c r="FJ103" s="72"/>
      <c r="FK103" s="72"/>
      <c r="FL103" s="72"/>
      <c r="FM103" s="72"/>
      <c r="FN103" s="72"/>
      <c r="FO103" s="72"/>
      <c r="FP103" s="72"/>
      <c r="FQ103" s="72"/>
      <c r="FR103" s="72"/>
      <c r="FS103" s="72"/>
      <c r="FT103" s="72"/>
      <c r="FU103" s="72"/>
      <c r="FV103" s="88"/>
      <c r="GE103" s="72"/>
      <c r="GF103" s="72"/>
      <c r="GG103" s="72"/>
      <c r="GH103" s="72"/>
      <c r="GI103" s="72"/>
      <c r="GJ103" s="72"/>
      <c r="GK103" s="72"/>
      <c r="GL103" s="72"/>
      <c r="GM103" s="72"/>
      <c r="GN103" s="72"/>
      <c r="GO103" s="72"/>
      <c r="GP103" s="72"/>
      <c r="GQ103" s="72"/>
      <c r="GR103" s="72"/>
      <c r="GS103" s="72"/>
      <c r="GT103" s="72"/>
      <c r="GU103" s="72"/>
      <c r="GV103" s="72"/>
      <c r="GW103" s="72"/>
      <c r="GX103" s="72"/>
      <c r="GY103" s="72"/>
      <c r="GZ103" s="72"/>
      <c r="HA103" s="72"/>
      <c r="HB103" s="72"/>
      <c r="HC103" s="72"/>
      <c r="HD103" s="72"/>
    </row>
    <row r="104" spans="1:212" s="16" customFormat="1" ht="10.199999999999999">
      <c r="A104" s="1022" t="s">
        <v>1502</v>
      </c>
      <c r="B104" s="1023"/>
      <c r="C104" s="1023"/>
      <c r="D104" s="1023"/>
      <c r="E104" s="1024"/>
      <c r="F104" s="1023"/>
      <c r="G104" s="1023"/>
      <c r="H104" s="1023"/>
      <c r="I104" s="1024"/>
      <c r="J104" s="1023"/>
      <c r="K104" s="1023"/>
      <c r="L104" s="1023"/>
      <c r="M104" s="1024"/>
      <c r="N104" s="1023"/>
      <c r="O104" s="1023"/>
      <c r="P104" s="1023"/>
      <c r="Q104" s="1024"/>
      <c r="R104" s="1023"/>
      <c r="S104" s="1023"/>
      <c r="T104" s="1023"/>
      <c r="U104" s="1024"/>
      <c r="V104" s="1023"/>
      <c r="W104" s="1023"/>
      <c r="X104" s="1023"/>
      <c r="Y104" s="1024"/>
      <c r="Z104" s="1023"/>
      <c r="AA104" s="1023"/>
      <c r="AB104" s="1023"/>
      <c r="AC104" s="1024"/>
      <c r="AD104" s="1023"/>
      <c r="AE104" s="1023"/>
      <c r="AF104" s="1023"/>
      <c r="AG104" s="1024"/>
      <c r="AH104" s="1023"/>
      <c r="AI104" s="1023"/>
      <c r="AJ104" s="1023"/>
      <c r="AK104" s="1024"/>
      <c r="AL104" s="1023"/>
      <c r="AM104" s="1023"/>
      <c r="AN104" s="1023"/>
      <c r="AO104" s="1024"/>
      <c r="AP104" s="1023"/>
      <c r="AQ104" s="1023"/>
      <c r="AR104" s="1023"/>
      <c r="AS104" s="1024"/>
      <c r="AT104" s="1023"/>
      <c r="AU104" s="1023"/>
      <c r="AV104" s="1023"/>
      <c r="AW104" s="1024"/>
      <c r="AX104" s="1023"/>
      <c r="AY104" s="1023"/>
      <c r="AZ104" s="1023"/>
      <c r="BA104" s="1024"/>
      <c r="BB104" s="1023"/>
      <c r="BC104" s="1023"/>
      <c r="BD104" s="1023"/>
      <c r="BE104" s="1024"/>
      <c r="BF104" s="1023"/>
      <c r="BG104" s="1023"/>
      <c r="BH104" s="1023"/>
      <c r="BI104" s="1024"/>
      <c r="BJ104" s="1023"/>
      <c r="BK104" s="1023"/>
      <c r="BL104" s="1023"/>
      <c r="BM104" s="1024"/>
      <c r="BN104" s="1023"/>
      <c r="BO104" s="1023"/>
      <c r="BP104" s="1023"/>
      <c r="BQ104" s="1024"/>
      <c r="BR104" s="1023"/>
      <c r="BS104" s="1023"/>
      <c r="BT104" s="1023"/>
      <c r="BU104" s="1024"/>
      <c r="BV104" s="1023"/>
      <c r="BW104" s="1023"/>
      <c r="BX104" s="1023"/>
      <c r="BY104" s="1024"/>
      <c r="BZ104" s="1023"/>
      <c r="CA104" s="1023"/>
      <c r="CB104" s="1023"/>
      <c r="CC104" s="1024"/>
      <c r="CD104" s="1023"/>
      <c r="CE104" s="1023"/>
      <c r="CF104" s="1023"/>
      <c r="CG104" s="1024"/>
      <c r="CH104" s="1023"/>
      <c r="CI104" s="1023"/>
      <c r="CJ104" s="1023"/>
      <c r="CK104" s="1024"/>
      <c r="CL104" s="1023"/>
      <c r="CM104" s="1023"/>
      <c r="CN104" s="1023"/>
      <c r="CO104" s="1024"/>
      <c r="CP104" s="1023"/>
      <c r="CQ104" s="1023"/>
      <c r="CR104" s="1023"/>
      <c r="CS104" s="1024"/>
      <c r="CT104" s="1023"/>
      <c r="CU104" s="1023"/>
      <c r="CV104" s="1023"/>
      <c r="CW104" s="1024"/>
      <c r="CX104" s="1023"/>
      <c r="CY104" s="1023"/>
      <c r="CZ104" s="1023"/>
      <c r="DA104" s="1024"/>
      <c r="DB104" s="1023"/>
      <c r="DC104" s="1023"/>
      <c r="DD104" s="1023"/>
      <c r="DE104" s="1024"/>
      <c r="DF104" s="1023"/>
      <c r="DG104" s="1023"/>
      <c r="DH104" s="1023"/>
      <c r="DI104" s="1024"/>
      <c r="DJ104" s="1023"/>
      <c r="DK104" s="1023"/>
      <c r="DL104" s="1023"/>
      <c r="DM104" s="1024"/>
      <c r="DN104" s="1023"/>
      <c r="DO104" s="1023"/>
      <c r="DP104" s="1023"/>
      <c r="DQ104" s="1024"/>
      <c r="DR104" s="1023"/>
      <c r="DS104" s="1023"/>
      <c r="DT104" s="1023"/>
      <c r="DU104" s="1025"/>
      <c r="DV104" s="1023"/>
      <c r="DW104" s="1023"/>
      <c r="DX104" s="1023"/>
      <c r="DY104" s="1025"/>
      <c r="DZ104" s="1023"/>
      <c r="EA104" s="1023"/>
      <c r="EB104" s="1023"/>
      <c r="EC104" s="1025"/>
      <c r="ED104" s="1023"/>
      <c r="EE104" s="1023"/>
      <c r="EF104" s="1023"/>
      <c r="EG104" s="1025"/>
      <c r="EH104" s="1023"/>
      <c r="EI104" s="1023"/>
      <c r="EJ104" s="1023"/>
      <c r="EK104" s="1025"/>
      <c r="EL104" s="320"/>
      <c r="EM104" s="1023"/>
      <c r="EN104" s="1023"/>
      <c r="EO104" s="1023"/>
      <c r="EP104" s="1023"/>
      <c r="EQ104" s="1023"/>
      <c r="ER104" s="1023"/>
      <c r="ES104" s="1023"/>
      <c r="ET104" s="1023"/>
      <c r="EU104" s="1023"/>
      <c r="EV104" s="1023"/>
      <c r="EW104" s="1023"/>
      <c r="EX104" s="1023"/>
      <c r="EY104" s="1023"/>
      <c r="EZ104" s="1023"/>
      <c r="FA104" s="1023"/>
      <c r="FB104" s="1023"/>
      <c r="FC104" s="1023"/>
      <c r="FD104" s="1023"/>
      <c r="FE104" s="1023"/>
      <c r="FF104" s="1023"/>
      <c r="FG104" s="1023"/>
      <c r="FH104" s="1023"/>
      <c r="FI104" s="1023"/>
      <c r="FJ104" s="1023"/>
      <c r="FK104" s="1023"/>
      <c r="FL104" s="1023"/>
      <c r="FM104" s="1023"/>
      <c r="FN104" s="1023"/>
      <c r="FO104" s="1023"/>
      <c r="FP104" s="1023"/>
      <c r="FQ104" s="1023"/>
      <c r="FR104" s="1023"/>
      <c r="FS104" s="1023"/>
      <c r="FT104" s="1023"/>
      <c r="FU104" s="1023"/>
      <c r="FV104" s="1023"/>
      <c r="FW104" s="1023"/>
      <c r="FX104" s="1023"/>
      <c r="FY104" s="1023"/>
      <c r="FZ104" s="1023"/>
      <c r="GA104" s="1023"/>
      <c r="GB104" s="1023"/>
      <c r="GC104" s="1023"/>
      <c r="GD104" s="1023"/>
      <c r="GE104" s="1023"/>
      <c r="GF104" s="1023"/>
      <c r="GG104" s="1023"/>
      <c r="GH104" s="1023"/>
      <c r="GI104" s="1023"/>
      <c r="GJ104" s="1023"/>
      <c r="GK104" s="1023"/>
      <c r="GL104" s="1023"/>
      <c r="GM104" s="1023"/>
      <c r="GN104" s="1023"/>
      <c r="GO104" s="1023"/>
      <c r="GP104" s="1023"/>
      <c r="GQ104" s="1023"/>
      <c r="GR104" s="1023"/>
      <c r="GS104" s="1023"/>
      <c r="GT104" s="1023"/>
      <c r="GU104" s="1023"/>
      <c r="GV104" s="1023"/>
      <c r="GW104" s="1023"/>
      <c r="GX104" s="1023"/>
      <c r="GY104" s="1023"/>
      <c r="GZ104" s="1023"/>
      <c r="HA104" s="1023"/>
      <c r="HB104" s="1023"/>
      <c r="HC104" s="1023"/>
      <c r="HD104" s="1023"/>
    </row>
    <row r="105" spans="1:212" s="89" customFormat="1" ht="10.199999999999999">
      <c r="A105" s="152" t="s">
        <v>84</v>
      </c>
      <c r="E105" s="260"/>
      <c r="I105" s="260"/>
      <c r="M105" s="260"/>
      <c r="Q105" s="260"/>
      <c r="U105" s="260"/>
      <c r="Y105" s="260"/>
      <c r="AC105" s="260"/>
      <c r="AG105" s="260"/>
      <c r="AJ105" s="72"/>
      <c r="AK105" s="227"/>
      <c r="AL105" s="72"/>
      <c r="AM105" s="72"/>
      <c r="AN105" s="72"/>
      <c r="AO105" s="227"/>
      <c r="AP105" s="72"/>
      <c r="AQ105" s="72"/>
      <c r="AR105" s="72"/>
      <c r="AS105" s="227"/>
      <c r="AT105" s="72"/>
      <c r="AU105" s="72"/>
      <c r="AV105" s="72"/>
      <c r="AW105" s="227"/>
      <c r="AX105" s="72"/>
      <c r="AY105" s="72"/>
      <c r="AZ105" s="72"/>
      <c r="BA105" s="227"/>
      <c r="BB105" s="72"/>
      <c r="BC105" s="72"/>
      <c r="BD105" s="72"/>
      <c r="BE105" s="227"/>
      <c r="BF105" s="72"/>
      <c r="BG105" s="72"/>
      <c r="BH105" s="72"/>
      <c r="BI105" s="227"/>
      <c r="BJ105" s="72"/>
      <c r="BK105" s="72"/>
      <c r="BL105" s="72"/>
      <c r="BM105" s="227"/>
      <c r="BN105" s="72"/>
      <c r="BO105" s="72"/>
      <c r="BP105" s="72"/>
      <c r="BQ105" s="227"/>
      <c r="BR105" s="72"/>
      <c r="BS105" s="72"/>
      <c r="BT105" s="72"/>
      <c r="BU105" s="227"/>
      <c r="BV105" s="775">
        <v>1.2E-2</v>
      </c>
      <c r="BW105" s="775">
        <v>1.2E-2</v>
      </c>
      <c r="BX105" s="775">
        <v>1.2E-2</v>
      </c>
      <c r="BY105" s="774">
        <v>1.2E-2</v>
      </c>
      <c r="BZ105" s="775">
        <v>1.2E-2</v>
      </c>
      <c r="CA105" s="775">
        <v>1.2E-2</v>
      </c>
      <c r="CB105" s="775">
        <v>1.2E-2</v>
      </c>
      <c r="CC105" s="774">
        <v>1.2E-2</v>
      </c>
      <c r="CD105" s="775">
        <v>1.2E-2</v>
      </c>
      <c r="CE105" s="775">
        <v>1.2E-2</v>
      </c>
      <c r="CF105" s="775">
        <v>1.2E-2</v>
      </c>
      <c r="CG105" s="774">
        <v>1.2E-2</v>
      </c>
      <c r="CH105" s="775">
        <v>1.2E-2</v>
      </c>
      <c r="CI105" s="775">
        <v>1.2E-2</v>
      </c>
      <c r="CJ105" s="775">
        <v>1.2E-2</v>
      </c>
      <c r="CK105" s="774">
        <v>1.2E-2</v>
      </c>
      <c r="CL105" s="355">
        <f>CL98/'Segment - Products'!CL11</f>
      </c>
      <c r="CM105" s="72">
        <f>CM98/'Segment - Products'!CM11</f>
      </c>
      <c r="CN105" s="72">
        <f>CN98/'Segment - Products'!CN11</f>
      </c>
      <c r="CO105" s="227">
        <f>CO98/'Segment - Products'!CO11</f>
      </c>
      <c r="CP105" s="775">
        <v>1.2E-2</v>
      </c>
      <c r="CQ105" s="775">
        <v>1.2E-2</v>
      </c>
      <c r="CR105" s="775">
        <v>1.2E-2</v>
      </c>
      <c r="CS105" s="774">
        <v>1.2E-2</v>
      </c>
      <c r="CT105" s="775">
        <v>1.2E-2</v>
      </c>
      <c r="CU105" s="775">
        <v>1.2E-2</v>
      </c>
      <c r="CV105" s="775">
        <v>1.2E-2</v>
      </c>
      <c r="CW105" s="774">
        <v>1.2E-2</v>
      </c>
      <c r="CX105" s="775">
        <v>1.2E-2</v>
      </c>
      <c r="CY105" s="775">
        <v>1.2E-2</v>
      </c>
      <c r="CZ105" s="775">
        <v>1.2E-2</v>
      </c>
      <c r="DA105" s="774">
        <v>1.2E-2</v>
      </c>
      <c r="DB105" s="775">
        <v>1.2E-2</v>
      </c>
      <c r="DC105" s="775">
        <v>1.2E-2</v>
      </c>
      <c r="DD105" s="775">
        <v>1.2E-2</v>
      </c>
      <c r="DE105" s="774">
        <v>1.2E-2</v>
      </c>
      <c r="DF105" s="775">
        <v>1.2E-2</v>
      </c>
      <c r="DG105" s="775">
        <v>1.2E-2</v>
      </c>
      <c r="DH105" s="775">
        <v>1.2E-2</v>
      </c>
      <c r="DI105" s="774">
        <v>1.2E-2</v>
      </c>
      <c r="DJ105" s="775">
        <v>1.2E-2</v>
      </c>
      <c r="DK105" s="775">
        <v>1.2E-2</v>
      </c>
      <c r="DL105" s="775">
        <v>1.2E-2</v>
      </c>
      <c r="DM105" s="774">
        <v>1.2E-2</v>
      </c>
      <c r="DN105" s="775">
        <v>1.2E-2</v>
      </c>
      <c r="DO105" s="775">
        <v>1.2E-2</v>
      </c>
      <c r="DP105" s="775">
        <v>1.2E-2</v>
      </c>
      <c r="DQ105" s="774">
        <v>1.2E-2</v>
      </c>
      <c r="DR105" s="775">
        <v>1.2E-2</v>
      </c>
      <c r="DS105" s="775">
        <v>1.2E-2</v>
      </c>
      <c r="DT105" s="775">
        <v>1.2E-2</v>
      </c>
      <c r="DU105" s="774">
        <v>1.2E-2</v>
      </c>
      <c r="DV105" s="775">
        <v>1.2E-2</v>
      </c>
      <c r="DW105" s="775">
        <v>1.2E-2</v>
      </c>
      <c r="DX105" s="775">
        <v>1.2E-2</v>
      </c>
      <c r="DY105" s="774">
        <v>1.2E-2</v>
      </c>
      <c r="DZ105" s="775">
        <v>1.2E-2</v>
      </c>
      <c r="EA105" s="775">
        <v>1.2E-2</v>
      </c>
      <c r="EB105" s="775">
        <v>1.2E-2</v>
      </c>
      <c r="EC105" s="774">
        <v>1.2E-2</v>
      </c>
      <c r="ED105" s="775">
        <v>1.2E-2</v>
      </c>
      <c r="EE105" s="775">
        <v>1.2E-2</v>
      </c>
      <c r="EF105" s="775">
        <v>1.2E-2</v>
      </c>
      <c r="EG105" s="774">
        <v>1.2E-2</v>
      </c>
      <c r="EH105" s="775">
        <v>1.2E-2</v>
      </c>
      <c r="EI105" s="775">
        <v>1.2E-2</v>
      </c>
      <c r="EJ105" s="775">
        <v>1.2E-2</v>
      </c>
      <c r="EK105" s="774">
        <v>1.2E-2</v>
      </c>
      <c r="EM105" s="72"/>
      <c r="EN105" s="72"/>
      <c r="EO105" s="72"/>
      <c r="EP105" s="72"/>
      <c r="EQ105" s="72"/>
      <c r="ER105" s="72"/>
      <c r="ES105" s="72"/>
      <c r="ET105" s="72"/>
      <c r="EU105" s="72"/>
      <c r="EV105" s="72"/>
      <c r="EW105" s="72"/>
      <c r="EX105" s="72"/>
      <c r="EY105" s="72"/>
      <c r="EZ105" s="72"/>
      <c r="FA105" s="72"/>
      <c r="FB105" s="72"/>
      <c r="FC105" s="72"/>
      <c r="FD105" s="72"/>
      <c r="FE105" s="72">
        <f>FE98/'Segment - Products'!FE11</f>
      </c>
      <c r="FF105" s="72">
        <f>FF98/'Segment - Products'!FF11</f>
      </c>
      <c r="FG105" s="72">
        <f>FG98/'Segment - Products'!FG11</f>
      </c>
      <c r="FH105" s="72">
        <f>FH98/'Segment - Products'!FH11</f>
      </c>
      <c r="FI105" s="72">
        <f>FI98/'Segment - Products'!FI11</f>
      </c>
      <c r="FJ105" s="72">
        <f>FJ98/'Segment - Products'!FJ11</f>
      </c>
      <c r="FK105" s="72">
        <f>FK98/'Segment - Products'!FK11</f>
      </c>
      <c r="FL105" s="72">
        <f>FL98/'Segment - Products'!FL11</f>
      </c>
      <c r="FM105" s="72">
        <f>FM98/'Segment - Products'!FM11</f>
      </c>
      <c r="FN105" s="72">
        <f>FN98/'Segment - Products'!FN11</f>
      </c>
      <c r="FO105" s="72">
        <f>FO98/'Segment - Products'!FO11</f>
      </c>
      <c r="FP105" s="72">
        <f>FP98/'Segment - Products'!FP11</f>
      </c>
      <c r="FQ105" s="72">
        <f>FQ98/'Segment - Products'!FQ11</f>
      </c>
      <c r="FR105" s="72">
        <f>FR98/'Segment - Products'!FR11</f>
      </c>
      <c r="FS105" s="72">
        <f>FS98/'Segment - Products'!FS11</f>
      </c>
      <c r="FT105" s="72">
        <f>FT98/'Segment - Products'!FT11</f>
      </c>
      <c r="FU105" s="72">
        <f>FU98/'Segment - Products'!FU11</f>
      </c>
      <c r="FV105" s="72"/>
      <c r="FW105" s="72"/>
      <c r="FX105" s="72"/>
      <c r="FY105" s="72"/>
      <c r="FZ105" s="72"/>
      <c r="GA105" s="72"/>
      <c r="GB105" s="72"/>
      <c r="GC105" s="72"/>
      <c r="GD105" s="72"/>
      <c r="GE105" s="72"/>
      <c r="GF105" s="72"/>
      <c r="GG105" s="72"/>
      <c r="GH105" s="72"/>
      <c r="GI105" s="72"/>
      <c r="GJ105" s="72"/>
      <c r="GK105" s="72"/>
      <c r="GL105" s="72"/>
      <c r="GM105" s="72"/>
      <c r="GN105" s="72">
        <f>GN98/'Segment - Products'!GL11</f>
      </c>
      <c r="GO105" s="72">
        <f>GO98/'Segment - Products'!GM11</f>
      </c>
      <c r="GP105" s="72">
        <f>GP98/'Segment - Products'!GN11</f>
      </c>
      <c r="GQ105" s="72">
        <f>GQ98/'Segment - Products'!GO11</f>
      </c>
      <c r="GR105" s="72">
        <f>GR98/'Segment - Products'!GP11</f>
      </c>
      <c r="GS105" s="72">
        <f>GS98/'Segment - Products'!GQ11</f>
      </c>
      <c r="GT105" s="72">
        <f>GT98/'Segment - Products'!GR11</f>
      </c>
      <c r="GU105" s="72">
        <f>GU98/'Segment - Products'!GS11</f>
      </c>
      <c r="GV105" s="72">
        <f>GV98/'Segment - Products'!GT11</f>
      </c>
      <c r="GW105" s="72">
        <f>GW98/'Segment - Products'!GU11</f>
      </c>
      <c r="GX105" s="72">
        <f>GX98/'Segment - Products'!GV11</f>
      </c>
      <c r="GY105" s="72">
        <f>GY98/'Segment - Products'!GW11</f>
      </c>
      <c r="GZ105" s="72">
        <f>GZ98/'Segment - Products'!GX11</f>
      </c>
      <c r="HA105" s="72">
        <f>HA98/'Segment - Products'!GY11</f>
      </c>
      <c r="HB105" s="72">
        <f>HB98/'Segment - Products'!GZ11</f>
      </c>
      <c r="HC105" s="72">
        <f>HC98/'Segment - Products'!HA11</f>
      </c>
      <c r="HD105" s="72">
        <f>HD98/'Segment - Products'!HB11</f>
      </c>
    </row>
    <row r="106" spans="1:212" s="89" customFormat="1" ht="10.199999999999999">
      <c r="A106" s="152" t="s">
        <v>85</v>
      </c>
      <c r="E106" s="260"/>
      <c r="I106" s="260"/>
      <c r="M106" s="260"/>
      <c r="Q106" s="260"/>
      <c r="U106" s="260"/>
      <c r="Y106" s="260"/>
      <c r="AC106" s="260"/>
      <c r="AG106" s="260"/>
      <c r="AJ106" s="72"/>
      <c r="AK106" s="227"/>
      <c r="AL106" s="72"/>
      <c r="AM106" s="72"/>
      <c r="AN106" s="72"/>
      <c r="AO106" s="227"/>
      <c r="AP106" s="72"/>
      <c r="AQ106" s="72"/>
      <c r="AR106" s="72"/>
      <c r="AS106" s="227"/>
      <c r="AT106" s="72"/>
      <c r="AU106" s="72"/>
      <c r="AV106" s="72"/>
      <c r="AW106" s="227"/>
      <c r="AX106" s="72"/>
      <c r="AY106" s="72"/>
      <c r="AZ106" s="72"/>
      <c r="BA106" s="227"/>
      <c r="BB106" s="72"/>
      <c r="BC106" s="72"/>
      <c r="BD106" s="72"/>
      <c r="BE106" s="227"/>
      <c r="BF106" s="72"/>
      <c r="BG106" s="72"/>
      <c r="BH106" s="72"/>
      <c r="BI106" s="227"/>
      <c r="BJ106" s="72"/>
      <c r="BK106" s="72"/>
      <c r="BL106" s="72"/>
      <c r="BM106" s="227"/>
      <c r="BN106" s="72"/>
      <c r="BO106" s="72"/>
      <c r="BP106" s="72"/>
      <c r="BQ106" s="227"/>
      <c r="BR106" s="72"/>
      <c r="BS106" s="72"/>
      <c r="BT106" s="72"/>
      <c r="BU106" s="227"/>
      <c r="BV106" s="775">
        <v>2.5000000000000001E-2</v>
      </c>
      <c r="BW106" s="775">
        <v>2.5000000000000001E-2</v>
      </c>
      <c r="BX106" s="775">
        <v>2.5000000000000001E-2</v>
      </c>
      <c r="BY106" s="774">
        <v>2.5000000000000001E-2</v>
      </c>
      <c r="BZ106" s="775">
        <v>2.5000000000000001E-2</v>
      </c>
      <c r="CA106" s="775">
        <v>2.5000000000000001E-2</v>
      </c>
      <c r="CB106" s="775">
        <v>2.5000000000000001E-2</v>
      </c>
      <c r="CC106" s="774">
        <v>2.5000000000000001E-2</v>
      </c>
      <c r="CD106" s="775">
        <v>2.5000000000000001E-2</v>
      </c>
      <c r="CE106" s="775">
        <v>2.5000000000000001E-2</v>
      </c>
      <c r="CF106" s="775">
        <v>2.5000000000000001E-2</v>
      </c>
      <c r="CG106" s="774">
        <v>2.5000000000000001E-2</v>
      </c>
      <c r="CH106" s="775">
        <v>2.5000000000000001E-2</v>
      </c>
      <c r="CI106" s="775">
        <v>2.5000000000000001E-2</v>
      </c>
      <c r="CJ106" s="775">
        <v>2.5000000000000001E-2</v>
      </c>
      <c r="CK106" s="774">
        <v>2.5000000000000001E-2</v>
      </c>
      <c r="CL106" s="355">
        <f>CL99/'Segment - Products'!CL13</f>
      </c>
      <c r="CM106" s="72">
        <f>CM99/'Segment - Products'!CM13</f>
      </c>
      <c r="CN106" s="72">
        <f>CN99/'Segment - Products'!CN13</f>
      </c>
      <c r="CO106" s="227">
        <f>CO99/'Segment - Products'!CO13</f>
      </c>
      <c r="CP106" s="775">
        <v>2.5000000000000001E-2</v>
      </c>
      <c r="CQ106" s="775">
        <v>2.5000000000000001E-2</v>
      </c>
      <c r="CR106" s="775">
        <v>2.5000000000000001E-2</v>
      </c>
      <c r="CS106" s="774">
        <v>2.5000000000000001E-2</v>
      </c>
      <c r="CT106" s="775">
        <v>2.5000000000000001E-2</v>
      </c>
      <c r="CU106" s="775">
        <v>2.5000000000000001E-2</v>
      </c>
      <c r="CV106" s="775">
        <v>2.5000000000000001E-2</v>
      </c>
      <c r="CW106" s="774">
        <v>2.5000000000000001E-2</v>
      </c>
      <c r="CX106" s="775">
        <v>2.5000000000000001E-2</v>
      </c>
      <c r="CY106" s="775">
        <v>2.5000000000000001E-2</v>
      </c>
      <c r="CZ106" s="775">
        <v>2.5000000000000001E-2</v>
      </c>
      <c r="DA106" s="774">
        <v>2.5000000000000001E-2</v>
      </c>
      <c r="DB106" s="775">
        <v>2.5000000000000001E-2</v>
      </c>
      <c r="DC106" s="775">
        <v>2.5000000000000001E-2</v>
      </c>
      <c r="DD106" s="775">
        <v>2.5000000000000001E-2</v>
      </c>
      <c r="DE106" s="774">
        <v>2.5000000000000001E-2</v>
      </c>
      <c r="DF106" s="775">
        <v>2.5000000000000001E-2</v>
      </c>
      <c r="DG106" s="775">
        <v>2.5000000000000001E-2</v>
      </c>
      <c r="DH106" s="775">
        <v>2.5000000000000001E-2</v>
      </c>
      <c r="DI106" s="774">
        <v>2.5000000000000001E-2</v>
      </c>
      <c r="DJ106" s="775">
        <v>2.5000000000000001E-2</v>
      </c>
      <c r="DK106" s="775">
        <v>2.5000000000000001E-2</v>
      </c>
      <c r="DL106" s="775">
        <v>2.5000000000000001E-2</v>
      </c>
      <c r="DM106" s="774">
        <v>2.5000000000000001E-2</v>
      </c>
      <c r="DN106" s="775">
        <v>2.5000000000000001E-2</v>
      </c>
      <c r="DO106" s="775">
        <v>2.5000000000000001E-2</v>
      </c>
      <c r="DP106" s="775">
        <v>2.5000000000000001E-2</v>
      </c>
      <c r="DQ106" s="774">
        <v>2.5000000000000001E-2</v>
      </c>
      <c r="DR106" s="775">
        <v>2.5000000000000001E-2</v>
      </c>
      <c r="DS106" s="775">
        <v>2.5000000000000001E-2</v>
      </c>
      <c r="DT106" s="775">
        <v>2.5000000000000001E-2</v>
      </c>
      <c r="DU106" s="774">
        <v>2.5000000000000001E-2</v>
      </c>
      <c r="DV106" s="775">
        <v>2.5000000000000001E-2</v>
      </c>
      <c r="DW106" s="775">
        <v>2.5000000000000001E-2</v>
      </c>
      <c r="DX106" s="775">
        <v>2.5000000000000001E-2</v>
      </c>
      <c r="DY106" s="774">
        <v>2.5000000000000001E-2</v>
      </c>
      <c r="DZ106" s="775">
        <v>2.5000000000000001E-2</v>
      </c>
      <c r="EA106" s="775">
        <v>2.5000000000000001E-2</v>
      </c>
      <c r="EB106" s="775">
        <v>2.5000000000000001E-2</v>
      </c>
      <c r="EC106" s="774">
        <v>2.5000000000000001E-2</v>
      </c>
      <c r="ED106" s="775">
        <v>2.5000000000000001E-2</v>
      </c>
      <c r="EE106" s="775">
        <v>2.5000000000000001E-2</v>
      </c>
      <c r="EF106" s="775">
        <v>2.5000000000000001E-2</v>
      </c>
      <c r="EG106" s="774">
        <v>2.5000000000000001E-2</v>
      </c>
      <c r="EH106" s="775">
        <v>2.5000000000000001E-2</v>
      </c>
      <c r="EI106" s="775">
        <v>2.5000000000000001E-2</v>
      </c>
      <c r="EJ106" s="775">
        <v>2.5000000000000001E-2</v>
      </c>
      <c r="EK106" s="774">
        <v>2.5000000000000001E-2</v>
      </c>
      <c r="EM106" s="72"/>
      <c r="EN106" s="72"/>
      <c r="EO106" s="72"/>
      <c r="EP106" s="72"/>
      <c r="EQ106" s="72"/>
      <c r="ER106" s="72"/>
      <c r="ES106" s="72"/>
      <c r="ET106" s="72"/>
      <c r="EU106" s="72"/>
      <c r="EV106" s="72"/>
      <c r="EW106" s="72"/>
      <c r="EX106" s="72"/>
      <c r="EY106" s="72"/>
      <c r="EZ106" s="72"/>
      <c r="FA106" s="72"/>
      <c r="FB106" s="72"/>
      <c r="FC106" s="72"/>
      <c r="FD106" s="72"/>
      <c r="FE106" s="72">
        <f>FE99/'Segment - Products'!FE13</f>
      </c>
      <c r="FF106" s="72">
        <f>FF99/'Segment - Products'!FF13</f>
      </c>
      <c r="FG106" s="72">
        <f>FG99/'Segment - Products'!FG13</f>
      </c>
      <c r="FH106" s="72">
        <f>FH99/'Segment - Products'!FH13</f>
      </c>
      <c r="FI106" s="72">
        <f>FI99/'Segment - Products'!FI13</f>
      </c>
      <c r="FJ106" s="72">
        <f>FJ99/'Segment - Products'!FJ13</f>
      </c>
      <c r="FK106" s="72">
        <f>FK99/'Segment - Products'!FK13</f>
      </c>
      <c r="FL106" s="72">
        <f>FL99/'Segment - Products'!FL13</f>
      </c>
      <c r="FM106" s="72">
        <f>FM99/'Segment - Products'!FM13</f>
      </c>
      <c r="FN106" s="72">
        <f>FN99/'Segment - Products'!FN13</f>
      </c>
      <c r="FO106" s="72">
        <f>FO99/'Segment - Products'!FO13</f>
      </c>
      <c r="FP106" s="72">
        <f>FP99/'Segment - Products'!FP13</f>
      </c>
      <c r="FQ106" s="72">
        <f>FQ99/'Segment - Products'!FQ13</f>
      </c>
      <c r="FR106" s="72">
        <f>FR99/'Segment - Products'!FR13</f>
      </c>
      <c r="FS106" s="72">
        <f>FS99/'Segment - Products'!FS13</f>
      </c>
      <c r="FT106" s="72">
        <f>FT99/'Segment - Products'!FT13</f>
      </c>
      <c r="FU106" s="72">
        <f>FU99/'Segment - Products'!FU13</f>
      </c>
      <c r="FV106" s="72"/>
      <c r="FW106" s="72"/>
      <c r="FX106" s="72"/>
      <c r="FY106" s="72"/>
      <c r="FZ106" s="72"/>
      <c r="GA106" s="72"/>
      <c r="GB106" s="72"/>
      <c r="GC106" s="72"/>
      <c r="GD106" s="72"/>
      <c r="GE106" s="72"/>
      <c r="GF106" s="72"/>
      <c r="GG106" s="72"/>
      <c r="GH106" s="72"/>
      <c r="GI106" s="72"/>
      <c r="GJ106" s="72"/>
      <c r="GK106" s="72"/>
      <c r="GL106" s="72"/>
      <c r="GM106" s="72"/>
      <c r="GN106" s="72"/>
      <c r="GO106" s="72">
        <f>GO99/'Segment - Products'!GM13</f>
      </c>
      <c r="GP106" s="72">
        <f>GP99/'Segment - Products'!GN13</f>
      </c>
      <c r="GQ106" s="72">
        <f>GQ99/'Segment - Products'!GO13</f>
      </c>
      <c r="GR106" s="72">
        <f>GR99/'Segment - Products'!GP13</f>
      </c>
      <c r="GS106" s="72">
        <f>GS99/'Segment - Products'!GQ13</f>
      </c>
      <c r="GT106" s="72">
        <f>GT99/'Segment - Products'!GR13</f>
      </c>
      <c r="GU106" s="72">
        <f>GU99/'Segment - Products'!GS13</f>
      </c>
      <c r="GV106" s="72">
        <f>GV99/'Segment - Products'!GT13</f>
      </c>
      <c r="GW106" s="72">
        <f>GW99/'Segment - Products'!GU13</f>
      </c>
      <c r="GX106" s="72">
        <f>GX99/'Segment - Products'!GV13</f>
      </c>
      <c r="GY106" s="72">
        <f>GY99/'Segment - Products'!GW13</f>
      </c>
      <c r="GZ106" s="72">
        <f>GZ99/'Segment - Products'!GX13</f>
      </c>
      <c r="HA106" s="72">
        <f>HA99/'Segment - Products'!GY13</f>
      </c>
      <c r="HB106" s="72">
        <f>HB99/'Segment - Products'!GZ13</f>
      </c>
      <c r="HC106" s="72">
        <f>HC99/'Segment - Products'!HA13</f>
      </c>
      <c r="HD106" s="72">
        <f>HD99/'Segment - Products'!HB13</f>
      </c>
    </row>
    <row r="107" spans="1:212" s="89" customFormat="1" ht="10.199999999999999">
      <c r="A107" s="152" t="s">
        <v>86</v>
      </c>
      <c r="E107" s="260"/>
      <c r="I107" s="260"/>
      <c r="M107" s="260"/>
      <c r="Q107" s="260"/>
      <c r="U107" s="260"/>
      <c r="Y107" s="260"/>
      <c r="AC107" s="260"/>
      <c r="AG107" s="260"/>
      <c r="AJ107" s="72"/>
      <c r="AK107" s="227"/>
      <c r="AL107" s="72"/>
      <c r="AM107" s="72"/>
      <c r="AN107" s="72"/>
      <c r="AO107" s="227"/>
      <c r="AP107" s="72"/>
      <c r="AQ107" s="72"/>
      <c r="AR107" s="72"/>
      <c r="AS107" s="227"/>
      <c r="AT107" s="72"/>
      <c r="AU107" s="72"/>
      <c r="AV107" s="72"/>
      <c r="AW107" s="227"/>
      <c r="AX107" s="72"/>
      <c r="AY107" s="72"/>
      <c r="AZ107" s="72"/>
      <c r="BA107" s="227"/>
      <c r="BB107" s="72"/>
      <c r="BC107" s="72"/>
      <c r="BD107" s="72"/>
      <c r="BE107" s="227"/>
      <c r="BF107" s="72"/>
      <c r="BG107" s="72"/>
      <c r="BH107" s="72"/>
      <c r="BI107" s="227"/>
      <c r="BJ107" s="72"/>
      <c r="BK107" s="72"/>
      <c r="BL107" s="72"/>
      <c r="BM107" s="227"/>
      <c r="BN107" s="72"/>
      <c r="BO107" s="72"/>
      <c r="BP107" s="72"/>
      <c r="BQ107" s="227"/>
      <c r="BR107" s="72"/>
      <c r="BS107" s="72"/>
      <c r="BT107" s="72"/>
      <c r="BU107" s="227"/>
      <c r="BV107" s="775">
        <v>0.01</v>
      </c>
      <c r="BW107" s="775">
        <v>0.01</v>
      </c>
      <c r="BX107" s="775">
        <v>0.01</v>
      </c>
      <c r="BY107" s="774">
        <v>0.01</v>
      </c>
      <c r="BZ107" s="775">
        <v>0.01</v>
      </c>
      <c r="CA107" s="775">
        <v>0.01</v>
      </c>
      <c r="CB107" s="775">
        <v>0.01</v>
      </c>
      <c r="CC107" s="774">
        <v>0.01</v>
      </c>
      <c r="CD107" s="775">
        <v>0.01</v>
      </c>
      <c r="CE107" s="775">
        <v>0.01</v>
      </c>
      <c r="CF107" s="775">
        <v>0.01</v>
      </c>
      <c r="CG107" s="774">
        <v>0.01</v>
      </c>
      <c r="CH107" s="775">
        <v>0.01</v>
      </c>
      <c r="CI107" s="775">
        <v>0.01</v>
      </c>
      <c r="CJ107" s="775">
        <v>0.01</v>
      </c>
      <c r="CK107" s="774">
        <v>0.01</v>
      </c>
      <c r="CL107" s="355">
        <f>CL100/'Segment - Products'!CL12</f>
      </c>
      <c r="CM107" s="72">
        <f>CM100/'Segment - Products'!CM12</f>
      </c>
      <c r="CN107" s="72">
        <f>CN100/'Segment - Products'!CN12</f>
      </c>
      <c r="CO107" s="227">
        <f>CO100/'Segment - Products'!CO12</f>
      </c>
      <c r="CP107" s="775">
        <v>0.01</v>
      </c>
      <c r="CQ107" s="775">
        <v>0.01</v>
      </c>
      <c r="CR107" s="775">
        <v>0.01</v>
      </c>
      <c r="CS107" s="774">
        <v>0.01</v>
      </c>
      <c r="CT107" s="775">
        <v>0.01</v>
      </c>
      <c r="CU107" s="775">
        <v>0.01</v>
      </c>
      <c r="CV107" s="775">
        <v>0.01</v>
      </c>
      <c r="CW107" s="774">
        <v>0.01</v>
      </c>
      <c r="CX107" s="775">
        <v>0.01</v>
      </c>
      <c r="CY107" s="775">
        <v>0.01</v>
      </c>
      <c r="CZ107" s="775">
        <v>0.01</v>
      </c>
      <c r="DA107" s="774">
        <v>0.01</v>
      </c>
      <c r="DB107" s="775">
        <v>0.01</v>
      </c>
      <c r="DC107" s="775">
        <v>0.01</v>
      </c>
      <c r="DD107" s="775">
        <v>0.01</v>
      </c>
      <c r="DE107" s="774">
        <v>0.01</v>
      </c>
      <c r="DF107" s="775">
        <v>0.01</v>
      </c>
      <c r="DG107" s="775">
        <v>0.01</v>
      </c>
      <c r="DH107" s="775">
        <v>0.01</v>
      </c>
      <c r="DI107" s="774">
        <v>0.01</v>
      </c>
      <c r="DJ107" s="775">
        <v>0.01</v>
      </c>
      <c r="DK107" s="775">
        <v>0.01</v>
      </c>
      <c r="DL107" s="775">
        <v>0.01</v>
      </c>
      <c r="DM107" s="774">
        <v>0.01</v>
      </c>
      <c r="DN107" s="775">
        <v>0.01</v>
      </c>
      <c r="DO107" s="775">
        <v>0.01</v>
      </c>
      <c r="DP107" s="775">
        <v>0.01</v>
      </c>
      <c r="DQ107" s="774">
        <v>0.01</v>
      </c>
      <c r="DR107" s="775">
        <v>0.01</v>
      </c>
      <c r="DS107" s="775">
        <v>0.01</v>
      </c>
      <c r="DT107" s="775">
        <v>0.01</v>
      </c>
      <c r="DU107" s="774">
        <v>0.01</v>
      </c>
      <c r="DV107" s="775">
        <v>0.01</v>
      </c>
      <c r="DW107" s="775">
        <v>0.01</v>
      </c>
      <c r="DX107" s="775">
        <v>0.01</v>
      </c>
      <c r="DY107" s="774">
        <v>0.01</v>
      </c>
      <c r="DZ107" s="775">
        <v>0.01</v>
      </c>
      <c r="EA107" s="775">
        <v>0.01</v>
      </c>
      <c r="EB107" s="775">
        <v>0.01</v>
      </c>
      <c r="EC107" s="774">
        <v>0.01</v>
      </c>
      <c r="ED107" s="775">
        <v>0.01</v>
      </c>
      <c r="EE107" s="775">
        <v>0.01</v>
      </c>
      <c r="EF107" s="775">
        <v>0.01</v>
      </c>
      <c r="EG107" s="774">
        <v>0.01</v>
      </c>
      <c r="EH107" s="775">
        <v>0.01</v>
      </c>
      <c r="EI107" s="775">
        <v>0.01</v>
      </c>
      <c r="EJ107" s="775">
        <v>0.01</v>
      </c>
      <c r="EK107" s="774">
        <v>0.01</v>
      </c>
      <c r="EM107" s="72"/>
      <c r="EN107" s="72"/>
      <c r="EO107" s="72"/>
      <c r="EP107" s="72"/>
      <c r="EQ107" s="72"/>
      <c r="ER107" s="72"/>
      <c r="ES107" s="72"/>
      <c r="ET107" s="72"/>
      <c r="EU107" s="72"/>
      <c r="EV107" s="72"/>
      <c r="EW107" s="72"/>
      <c r="EX107" s="72"/>
      <c r="EY107" s="72"/>
      <c r="EZ107" s="72"/>
      <c r="FA107" s="72"/>
      <c r="FB107" s="72"/>
      <c r="FC107" s="72"/>
      <c r="FD107" s="72"/>
      <c r="FE107" s="72">
        <f>FE100/'Segment - Products'!FE12</f>
      </c>
      <c r="FF107" s="72">
        <f>FF100/'Segment - Products'!FF12</f>
      </c>
      <c r="FG107" s="72">
        <f>FG100/'Segment - Products'!FG12</f>
      </c>
      <c r="FH107" s="72">
        <f>FH100/'Segment - Products'!FH12</f>
      </c>
      <c r="FI107" s="72">
        <f>FI100/'Segment - Products'!FI12</f>
      </c>
      <c r="FJ107" s="72">
        <f>FJ100/'Segment - Products'!FJ12</f>
      </c>
      <c r="FK107" s="72">
        <f>FK100/'Segment - Products'!FK12</f>
      </c>
      <c r="FL107" s="72">
        <f>FL100/'Segment - Products'!FL12</f>
      </c>
      <c r="FM107" s="72">
        <f>FM100/'Segment - Products'!FM12</f>
      </c>
      <c r="FN107" s="72">
        <f>FN100/'Segment - Products'!FN12</f>
      </c>
      <c r="FO107" s="72">
        <f>FO100/'Segment - Products'!FO12</f>
      </c>
      <c r="FP107" s="72">
        <f>FP100/'Segment - Products'!FP12</f>
      </c>
      <c r="FQ107" s="72">
        <f>FQ100/'Segment - Products'!FQ12</f>
      </c>
      <c r="FR107" s="72">
        <f>FR100/'Segment - Products'!FR12</f>
      </c>
      <c r="FS107" s="72">
        <f>FS100/'Segment - Products'!FS12</f>
      </c>
      <c r="FT107" s="72">
        <f>FT100/'Segment - Products'!FT12</f>
      </c>
      <c r="FU107" s="72">
        <f>FU100/'Segment - Products'!FU12</f>
      </c>
      <c r="FV107" s="72"/>
      <c r="FW107" s="72"/>
      <c r="FX107" s="72"/>
      <c r="FY107" s="72"/>
      <c r="FZ107" s="72"/>
      <c r="GA107" s="72"/>
      <c r="GB107" s="72"/>
      <c r="GC107" s="72"/>
      <c r="GD107" s="72"/>
      <c r="GE107" s="72"/>
      <c r="GF107" s="72"/>
      <c r="GG107" s="72"/>
      <c r="GH107" s="72"/>
      <c r="GI107" s="72"/>
      <c r="GJ107" s="72"/>
      <c r="GK107" s="72"/>
      <c r="GL107" s="72"/>
      <c r="GM107" s="72"/>
      <c r="GN107" s="72">
        <f>GN100/'Segment - Products'!GL12</f>
      </c>
      <c r="GO107" s="72">
        <f>GO100/'Segment - Products'!GM12</f>
      </c>
      <c r="GP107" s="72">
        <f>GP100/'Segment - Products'!GN12</f>
      </c>
      <c r="GQ107" s="72">
        <f>GQ100/'Segment - Products'!GO12</f>
      </c>
      <c r="GR107" s="72">
        <f>GR100/'Segment - Products'!GP12</f>
      </c>
      <c r="GS107" s="72">
        <f>GS100/'Segment - Products'!GQ12</f>
      </c>
      <c r="GT107" s="72">
        <f>GT100/'Segment - Products'!GR12</f>
      </c>
      <c r="GU107" s="72">
        <f>GU100/'Segment - Products'!GS12</f>
      </c>
      <c r="GV107" s="72">
        <f>GV100/'Segment - Products'!GT12</f>
      </c>
      <c r="GW107" s="72">
        <f>GW100/'Segment - Products'!GU12</f>
      </c>
      <c r="GX107" s="72">
        <f>GX100/'Segment - Products'!GV12</f>
      </c>
      <c r="GY107" s="72">
        <f>GY100/'Segment - Products'!GW12</f>
      </c>
      <c r="GZ107" s="72">
        <f>GZ100/'Segment - Products'!GX12</f>
      </c>
      <c r="HA107" s="72">
        <f>HA100/'Segment - Products'!GY12</f>
      </c>
      <c r="HB107" s="72">
        <f>HB100/'Segment - Products'!GZ12</f>
      </c>
      <c r="HC107" s="72">
        <f>HC100/'Segment - Products'!HA12</f>
      </c>
      <c r="HD107" s="72">
        <f>HD100/'Segment - Products'!HB12</f>
      </c>
    </row>
    <row r="108" spans="1:212" s="89" customFormat="1" ht="10.199999999999999">
      <c r="A108" s="152" t="s">
        <v>140</v>
      </c>
      <c r="E108" s="260"/>
      <c r="I108" s="260"/>
      <c r="M108" s="260"/>
      <c r="Q108" s="260"/>
      <c r="U108" s="260"/>
      <c r="Y108" s="260"/>
      <c r="AC108" s="260"/>
      <c r="AG108" s="260"/>
      <c r="AJ108" s="72"/>
      <c r="AK108" s="227"/>
      <c r="AL108" s="72"/>
      <c r="AM108" s="72"/>
      <c r="AN108" s="72"/>
      <c r="AO108" s="227"/>
      <c r="AP108" s="72"/>
      <c r="AQ108" s="72"/>
      <c r="AR108" s="72"/>
      <c r="AS108" s="227"/>
      <c r="AT108" s="72"/>
      <c r="AU108" s="72"/>
      <c r="AV108" s="72"/>
      <c r="AW108" s="227"/>
      <c r="AX108" s="72"/>
      <c r="AY108" s="72"/>
      <c r="AZ108" s="72"/>
      <c r="BA108" s="227"/>
      <c r="BB108" s="72"/>
      <c r="BC108" s="72"/>
      <c r="BD108" s="72"/>
      <c r="BE108" s="227"/>
      <c r="BF108" s="72"/>
      <c r="BG108" s="72"/>
      <c r="BH108" s="72"/>
      <c r="BI108" s="227"/>
      <c r="BJ108" s="72"/>
      <c r="BK108" s="72"/>
      <c r="BL108" s="72"/>
      <c r="BM108" s="227"/>
      <c r="BN108" s="72"/>
      <c r="BO108" s="72"/>
      <c r="BP108" s="72"/>
      <c r="BQ108" s="227"/>
      <c r="BR108" s="72"/>
      <c r="BS108" s="72"/>
      <c r="BT108" s="72"/>
      <c r="BU108" s="227"/>
      <c r="BV108" s="775">
        <v>2.5000000000000001E-3</v>
      </c>
      <c r="BW108" s="775">
        <v>2.5000000000000001E-3</v>
      </c>
      <c r="BX108" s="775">
        <v>2.5000000000000001E-3</v>
      </c>
      <c r="BY108" s="774">
        <v>2.5000000000000001E-3</v>
      </c>
      <c r="BZ108" s="775">
        <v>2.5000000000000001E-3</v>
      </c>
      <c r="CA108" s="775">
        <v>2.5000000000000001E-3</v>
      </c>
      <c r="CB108" s="775">
        <v>2.5000000000000001E-3</v>
      </c>
      <c r="CC108" s="774">
        <v>2.5000000000000001E-3</v>
      </c>
      <c r="CD108" s="775">
        <v>2.5000000000000001E-3</v>
      </c>
      <c r="CE108" s="775">
        <v>2.5000000000000001E-3</v>
      </c>
      <c r="CF108" s="775">
        <v>2.5000000000000001E-3</v>
      </c>
      <c r="CG108" s="774">
        <v>2.5000000000000001E-3</v>
      </c>
      <c r="CH108" s="775">
        <v>2.5000000000000001E-3</v>
      </c>
      <c r="CI108" s="775">
        <v>2.5000000000000001E-3</v>
      </c>
      <c r="CJ108" s="775">
        <v>2.5000000000000001E-3</v>
      </c>
      <c r="CK108" s="774">
        <v>2.5000000000000001E-3</v>
      </c>
      <c r="CL108" s="355">
        <f>CL101/'Segment - Products'!CL14</f>
      </c>
      <c r="CM108" s="72">
        <f>CM101/'Segment - Products'!CM14</f>
      </c>
      <c r="CN108" s="72">
        <f>CN101/'Segment - Products'!CN14</f>
      </c>
      <c r="CO108" s="227">
        <f>CO101/'Segment - Products'!CO14</f>
      </c>
      <c r="CP108" s="775">
        <v>2.5000000000000001E-3</v>
      </c>
      <c r="CQ108" s="775">
        <v>2.5000000000000001E-3</v>
      </c>
      <c r="CR108" s="775">
        <v>2.5000000000000001E-3</v>
      </c>
      <c r="CS108" s="774">
        <v>2.5000000000000001E-3</v>
      </c>
      <c r="CT108" s="775">
        <v>2.5000000000000001E-3</v>
      </c>
      <c r="CU108" s="775">
        <v>2.5000000000000001E-3</v>
      </c>
      <c r="CV108" s="775">
        <v>2.5000000000000001E-3</v>
      </c>
      <c r="CW108" s="774">
        <v>2.5000000000000001E-3</v>
      </c>
      <c r="CX108" s="775">
        <v>2.5000000000000001E-3</v>
      </c>
      <c r="CY108" s="775">
        <v>2.5000000000000001E-3</v>
      </c>
      <c r="CZ108" s="775">
        <v>2.5000000000000001E-3</v>
      </c>
      <c r="DA108" s="774">
        <v>2.5000000000000001E-3</v>
      </c>
      <c r="DB108" s="775">
        <v>2.5000000000000001E-3</v>
      </c>
      <c r="DC108" s="775">
        <v>2.5000000000000001E-3</v>
      </c>
      <c r="DD108" s="775">
        <v>2.5000000000000001E-3</v>
      </c>
      <c r="DE108" s="774">
        <v>2.5000000000000001E-3</v>
      </c>
      <c r="DF108" s="775">
        <v>2.5000000000000001E-3</v>
      </c>
      <c r="DG108" s="775">
        <v>2.5000000000000001E-3</v>
      </c>
      <c r="DH108" s="775">
        <v>2.5000000000000001E-3</v>
      </c>
      <c r="DI108" s="774">
        <v>2.5000000000000001E-3</v>
      </c>
      <c r="DJ108" s="775">
        <v>2.5000000000000001E-3</v>
      </c>
      <c r="DK108" s="775">
        <v>2.5000000000000001E-3</v>
      </c>
      <c r="DL108" s="775">
        <v>2.5000000000000001E-3</v>
      </c>
      <c r="DM108" s="774">
        <v>2.5000000000000001E-3</v>
      </c>
      <c r="DN108" s="775">
        <v>2.5000000000000001E-3</v>
      </c>
      <c r="DO108" s="775">
        <v>2.5000000000000001E-3</v>
      </c>
      <c r="DP108" s="775">
        <v>2.5000000000000001E-3</v>
      </c>
      <c r="DQ108" s="774">
        <v>2.5000000000000001E-3</v>
      </c>
      <c r="DR108" s="775">
        <v>2.5000000000000001E-3</v>
      </c>
      <c r="DS108" s="775">
        <v>2.5000000000000001E-3</v>
      </c>
      <c r="DT108" s="775">
        <v>2.5000000000000001E-3</v>
      </c>
      <c r="DU108" s="774">
        <v>2.5000000000000001E-3</v>
      </c>
      <c r="DV108" s="775">
        <v>2.5000000000000001E-3</v>
      </c>
      <c r="DW108" s="775">
        <v>2.5000000000000001E-3</v>
      </c>
      <c r="DX108" s="775">
        <v>2.5000000000000001E-3</v>
      </c>
      <c r="DY108" s="774">
        <v>2.5000000000000001E-3</v>
      </c>
      <c r="DZ108" s="775">
        <v>2.5000000000000001E-3</v>
      </c>
      <c r="EA108" s="775">
        <v>2.5000000000000001E-3</v>
      </c>
      <c r="EB108" s="775">
        <v>2.5000000000000001E-3</v>
      </c>
      <c r="EC108" s="774">
        <v>2.5000000000000001E-3</v>
      </c>
      <c r="ED108" s="775">
        <v>2.5000000000000001E-3</v>
      </c>
      <c r="EE108" s="775">
        <v>2.5000000000000001E-3</v>
      </c>
      <c r="EF108" s="775">
        <v>2.5000000000000001E-3</v>
      </c>
      <c r="EG108" s="774">
        <v>2.5000000000000001E-3</v>
      </c>
      <c r="EH108" s="775">
        <v>2.5000000000000001E-3</v>
      </c>
      <c r="EI108" s="775">
        <v>2.5000000000000001E-3</v>
      </c>
      <c r="EJ108" s="775">
        <v>2.5000000000000001E-3</v>
      </c>
      <c r="EK108" s="774">
        <v>2.5000000000000001E-3</v>
      </c>
      <c r="EM108" s="72"/>
      <c r="EN108" s="72"/>
      <c r="EO108" s="72"/>
      <c r="EP108" s="72"/>
      <c r="EQ108" s="72"/>
      <c r="ER108" s="72"/>
      <c r="ES108" s="72"/>
      <c r="ET108" s="72"/>
      <c r="EU108" s="72"/>
      <c r="EV108" s="72"/>
      <c r="EW108" s="72"/>
      <c r="EX108" s="72"/>
      <c r="EY108" s="72"/>
      <c r="EZ108" s="72"/>
      <c r="FA108" s="72"/>
      <c r="FB108" s="72"/>
      <c r="FC108" s="72"/>
      <c r="FD108" s="72"/>
      <c r="FE108" s="72">
        <f>FE101/'Segment - Products'!FE14</f>
      </c>
      <c r="FF108" s="72">
        <f>FF101/'Segment - Products'!FF14</f>
      </c>
      <c r="FG108" s="72">
        <f>FG101/'Segment - Products'!FG14</f>
      </c>
      <c r="FH108" s="72">
        <f>FH101/'Segment - Products'!FH14</f>
      </c>
      <c r="FI108" s="72">
        <f>FI101/'Segment - Products'!FI14</f>
      </c>
      <c r="FJ108" s="72">
        <f>FJ101/'Segment - Products'!FJ14</f>
      </c>
      <c r="FK108" s="72">
        <f>FK101/'Segment - Products'!FK14</f>
      </c>
      <c r="FL108" s="72">
        <f>FL101/'Segment - Products'!FL14</f>
      </c>
      <c r="FM108" s="72">
        <f>FM101/'Segment - Products'!FM14</f>
      </c>
      <c r="FN108" s="72">
        <f>FN101/'Segment - Products'!FN14</f>
      </c>
      <c r="FO108" s="72">
        <f>FO101/'Segment - Products'!FO14</f>
      </c>
      <c r="FP108" s="72">
        <f>FP101/'Segment - Products'!FP14</f>
      </c>
      <c r="FQ108" s="72">
        <f>FQ101/'Segment - Products'!FQ14</f>
      </c>
      <c r="FR108" s="72">
        <f>FR101/'Segment - Products'!FR14</f>
      </c>
      <c r="FS108" s="72">
        <f>FS101/'Segment - Products'!FS14</f>
      </c>
      <c r="FT108" s="72">
        <f>FT101/'Segment - Products'!FT14</f>
      </c>
      <c r="FU108" s="72">
        <f>FU101/'Segment - Products'!FU14</f>
      </c>
      <c r="FV108" s="72"/>
      <c r="FW108" s="72"/>
      <c r="FX108" s="72"/>
      <c r="FY108" s="72"/>
      <c r="FZ108" s="72"/>
      <c r="GA108" s="72"/>
      <c r="GB108" s="72"/>
      <c r="GC108" s="72"/>
      <c r="GD108" s="72"/>
      <c r="GE108" s="72"/>
      <c r="GF108" s="72"/>
      <c r="GG108" s="72"/>
      <c r="GH108" s="72"/>
      <c r="GI108" s="72"/>
      <c r="GJ108" s="72"/>
      <c r="GK108" s="72"/>
      <c r="GL108" s="72"/>
      <c r="GM108" s="72"/>
      <c r="GN108" s="72">
        <f>GN101/'Segment - Products'!GL14</f>
      </c>
      <c r="GO108" s="72">
        <f>GO101/'Segment - Products'!GM14</f>
      </c>
      <c r="GP108" s="72">
        <f>GP101/'Segment - Products'!GN14</f>
      </c>
      <c r="GQ108" s="72">
        <f>GQ101/'Segment - Products'!GO14</f>
      </c>
      <c r="GR108" s="72">
        <f>GR101/'Segment - Products'!GP14</f>
      </c>
      <c r="GS108" s="72">
        <f>GS101/'Segment - Products'!GQ14</f>
      </c>
      <c r="GT108" s="72">
        <f>GT101/'Segment - Products'!GR14</f>
      </c>
      <c r="GU108" s="72">
        <f>GU101/'Segment - Products'!GS14</f>
      </c>
      <c r="GV108" s="72">
        <f>GV101/'Segment - Products'!GT14</f>
      </c>
      <c r="GW108" s="72">
        <f>GW101/'Segment - Products'!GU14</f>
      </c>
      <c r="GX108" s="72">
        <f>GX101/'Segment - Products'!GV14</f>
      </c>
      <c r="GY108" s="72">
        <f>GY101/'Segment - Products'!GW14</f>
      </c>
      <c r="GZ108" s="72">
        <f>GZ101/'Segment - Products'!GX14</f>
      </c>
      <c r="HA108" s="72">
        <f>HA101/'Segment - Products'!GY14</f>
      </c>
      <c r="HB108" s="72">
        <f>HB101/'Segment - Products'!GZ14</f>
      </c>
      <c r="HC108" s="72">
        <f>HC101/'Segment - Products'!HA14</f>
      </c>
      <c r="HD108" s="72">
        <f>HD101/'Segment - Products'!HB14</f>
      </c>
    </row>
    <row r="109" spans="1:212" s="139" customFormat="1" ht="10.8" thickBot="1">
      <c r="A109" s="1026" t="s">
        <v>1185</v>
      </c>
      <c r="B109" s="1027"/>
      <c r="C109" s="1027"/>
      <c r="D109" s="1027"/>
      <c r="E109" s="1028"/>
      <c r="F109" s="1027"/>
      <c r="G109" s="1027"/>
      <c r="H109" s="1027"/>
      <c r="I109" s="1028"/>
      <c r="J109" s="1027"/>
      <c r="K109" s="1027"/>
      <c r="L109" s="1027"/>
      <c r="M109" s="1028"/>
      <c r="N109" s="1027"/>
      <c r="O109" s="1027"/>
      <c r="P109" s="1027"/>
      <c r="Q109" s="1028"/>
      <c r="R109" s="1027"/>
      <c r="S109" s="1027"/>
      <c r="T109" s="1027"/>
      <c r="U109" s="1028"/>
      <c r="V109" s="1027"/>
      <c r="W109" s="1027"/>
      <c r="X109" s="1027"/>
      <c r="Y109" s="1028"/>
      <c r="Z109" s="1027"/>
      <c r="AA109" s="1027"/>
      <c r="AB109" s="1027"/>
      <c r="AC109" s="1028"/>
      <c r="AD109" s="1027"/>
      <c r="AE109" s="1027"/>
      <c r="AF109" s="1027"/>
      <c r="AG109" s="1028"/>
      <c r="AH109" s="1027"/>
      <c r="AI109" s="1027"/>
      <c r="AJ109" s="1029"/>
      <c r="AK109" s="1030"/>
      <c r="AL109" s="1029"/>
      <c r="AM109" s="1029"/>
      <c r="AN109" s="1029"/>
      <c r="AO109" s="1030"/>
      <c r="AP109" s="1029"/>
      <c r="AQ109" s="1029"/>
      <c r="AR109" s="1029"/>
      <c r="AS109" s="1030"/>
      <c r="AT109" s="1029"/>
      <c r="AU109" s="1029"/>
      <c r="AV109" s="1029"/>
      <c r="AW109" s="1030"/>
      <c r="AX109" s="1029"/>
      <c r="AY109" s="1029"/>
      <c r="AZ109" s="1029"/>
      <c r="BA109" s="1030"/>
      <c r="BB109" s="1029"/>
      <c r="BC109" s="1029"/>
      <c r="BD109" s="1029"/>
      <c r="BE109" s="1030"/>
      <c r="BF109" s="1029"/>
      <c r="BG109" s="1029"/>
      <c r="BH109" s="1029"/>
      <c r="BI109" s="1030"/>
      <c r="BJ109" s="1029"/>
      <c r="BK109" s="1029"/>
      <c r="BL109" s="1029"/>
      <c r="BM109" s="1030"/>
      <c r="BN109" s="1029"/>
      <c r="BO109" s="1029"/>
      <c r="BP109" s="1029"/>
      <c r="BQ109" s="1030"/>
      <c r="BR109" s="1029"/>
      <c r="BS109" s="1029"/>
      <c r="BT109" s="1029"/>
      <c r="BU109" s="1030"/>
      <c r="BV109" s="1031">
        <f>BV102/'Segment - Products'!BV19</f>
      </c>
      <c r="BW109" s="1029">
        <f>BW102/'Segment - Products'!BW19</f>
      </c>
      <c r="BX109" s="1029">
        <f>BX102/'Segment - Products'!BX19</f>
      </c>
      <c r="BY109" s="1030">
        <f>BY102/'Segment - Products'!BY19</f>
      </c>
      <c r="BZ109" s="1031">
        <f>BZ102/'Segment - Products'!BZ19</f>
      </c>
      <c r="CA109" s="1029">
        <f>CA102/'Segment - Products'!CA19</f>
      </c>
      <c r="CB109" s="1029">
        <f>CB102/'Segment - Products'!CB19</f>
      </c>
      <c r="CC109" s="1030">
        <f>CC102/'Segment - Products'!CC19</f>
      </c>
      <c r="CD109" s="1031">
        <f>CD102/'Segment - Products'!CD19</f>
      </c>
      <c r="CE109" s="1029">
        <f>CE102/'Segment - Products'!CE19</f>
      </c>
      <c r="CF109" s="1029">
        <f>CF102/'Segment - Products'!CF19</f>
      </c>
      <c r="CG109" s="1030">
        <f>CG102/'Segment - Products'!CG19</f>
      </c>
      <c r="CH109" s="1031">
        <f>CH102/'Segment - Products'!CH19</f>
      </c>
      <c r="CI109" s="1029">
        <f>CI102/'Segment - Products'!CI19</f>
      </c>
      <c r="CJ109" s="1029">
        <f>CJ102/'Segment - Products'!CJ19</f>
      </c>
      <c r="CK109" s="1030">
        <f>CK102/'Segment - Products'!CK19</f>
      </c>
      <c r="CL109" s="1031">
        <f>CL102/'Segment - Products'!CL19</f>
      </c>
      <c r="CM109" s="1029">
        <f>CM102/'Segment - Products'!CM19</f>
      </c>
      <c r="CN109" s="1029">
        <f>CN102/'Segment - Products'!CN19</f>
      </c>
      <c r="CO109" s="1030">
        <f>CO102/'Segment - Products'!CO19</f>
      </c>
      <c r="CP109" s="1031">
        <f>CP102/'Segment - Products'!CP19</f>
      </c>
      <c r="CQ109" s="1029">
        <f>CQ102/'Segment - Products'!CQ19</f>
      </c>
      <c r="CR109" s="1029">
        <f>CR102/'Segment - Products'!CR19</f>
      </c>
      <c r="CS109" s="1030">
        <f>CS102/'Segment - Products'!CS19</f>
      </c>
      <c r="CT109" s="1031">
        <f>CT102/'Segment - Products'!CT19</f>
      </c>
      <c r="CU109" s="1029">
        <f>CU102/'Segment - Products'!CU19</f>
      </c>
      <c r="CV109" s="1029">
        <f>CV102/'Segment - Products'!CV19</f>
      </c>
      <c r="CW109" s="1030">
        <f>CW102/'Segment - Products'!CW19</f>
      </c>
      <c r="CX109" s="1031">
        <f>CX102/'Segment - Products'!CX19</f>
      </c>
      <c r="CY109" s="1029">
        <f>CY102/'Segment - Products'!CY19</f>
      </c>
      <c r="CZ109" s="1029">
        <f>CZ102/'Segment - Products'!CZ19</f>
      </c>
      <c r="DA109" s="1030">
        <f>DA102/'Segment - Products'!DA19</f>
      </c>
      <c r="DB109" s="1031">
        <f>DB102/'Segment - Products'!DB19</f>
      </c>
      <c r="DC109" s="1029">
        <f>DC102/'Segment - Products'!DC19</f>
      </c>
      <c r="DD109" s="1029">
        <f>DD102/'Segment - Products'!DD19</f>
      </c>
      <c r="DE109" s="1030">
        <f>DE102/'Segment - Products'!DE19</f>
      </c>
      <c r="DF109" s="1031">
        <f>DF102/'Segment - Products'!DF19</f>
      </c>
      <c r="DG109" s="1029">
        <f>DG102/'Segment - Products'!DG19</f>
      </c>
      <c r="DH109" s="1029">
        <f>DH102/'Segment - Products'!DH19</f>
      </c>
      <c r="DI109" s="1030">
        <f>DI102/'Segment - Products'!DI19</f>
      </c>
      <c r="DJ109" s="1031">
        <f>DJ102/'Segment - Products'!DJ19</f>
      </c>
      <c r="DK109" s="1029">
        <f>DK102/'Segment - Products'!DK19</f>
      </c>
      <c r="DL109" s="1029">
        <f>DL102/'Segment - Products'!DL19</f>
      </c>
      <c r="DM109" s="1030">
        <f>DM102/'Segment - Products'!DM19</f>
      </c>
      <c r="DN109" s="1031">
        <f>DN102/'Segment - Products'!DN19</f>
      </c>
      <c r="DO109" s="1029">
        <f>DO102/'Segment - Products'!DO19</f>
      </c>
      <c r="DP109" s="1029">
        <f>DP102/'Segment - Products'!DP19</f>
      </c>
      <c r="DQ109" s="1030">
        <f>DQ102/'Segment - Products'!DQ19</f>
      </c>
      <c r="DR109" s="1031">
        <f>DR102/'Segment - Products'!DR19</f>
      </c>
      <c r="DS109" s="1029">
        <f>DS102/'Segment - Products'!DS19</f>
      </c>
      <c r="DT109" s="1029">
        <f>DT102/'Segment - Products'!DT19</f>
      </c>
      <c r="DU109" s="1030">
        <f>DU102/'Segment - Products'!DU19</f>
      </c>
      <c r="DV109" s="1031">
        <f>DV102/'Segment - Products'!DV19</f>
      </c>
      <c r="DW109" s="1029">
        <f>DW102/'Segment - Products'!DW19</f>
      </c>
      <c r="DX109" s="1029">
        <f>DX102/'Segment - Products'!DX19</f>
      </c>
      <c r="DY109" s="1030">
        <f>DY102/'Segment - Products'!DY19</f>
      </c>
      <c r="DZ109" s="1031">
        <f>DZ102/'Segment - Products'!DZ19</f>
      </c>
      <c r="EA109" s="1029">
        <f>EA102/'Segment - Products'!EA19</f>
      </c>
      <c r="EB109" s="1029">
        <f>EB102/'Segment - Products'!EB19</f>
      </c>
      <c r="EC109" s="1030">
        <f>EC102/'Segment - Products'!EC19</f>
      </c>
      <c r="ED109" s="1031">
        <f>ED102/'Segment - Products'!ED19</f>
      </c>
      <c r="EE109" s="1029">
        <f>EE102/'Segment - Products'!EE19</f>
      </c>
      <c r="EF109" s="1029">
        <f>EF102/'Segment - Products'!EF19</f>
      </c>
      <c r="EG109" s="1030">
        <f>EG102/'Segment - Products'!EG19</f>
      </c>
      <c r="EH109" s="1031">
        <f>EH102/'Segment - Products'!EH19</f>
      </c>
      <c r="EI109" s="1029">
        <f>EI102/'Segment - Products'!EI19</f>
      </c>
      <c r="EJ109" s="1029">
        <f>EJ102/'Segment - Products'!EJ19</f>
      </c>
      <c r="EK109" s="1030">
        <f>EK102/'Segment - Products'!EK19</f>
      </c>
      <c r="EM109" s="1029"/>
      <c r="EN109" s="1029"/>
      <c r="EO109" s="1029"/>
      <c r="EP109" s="1029"/>
      <c r="EQ109" s="1029"/>
      <c r="ER109" s="1029"/>
      <c r="ES109" s="1029"/>
      <c r="ET109" s="1029"/>
      <c r="EU109" s="1029"/>
      <c r="EV109" s="1029"/>
      <c r="EW109" s="1029"/>
      <c r="EX109" s="1029"/>
      <c r="EY109" s="1029"/>
      <c r="EZ109" s="1029"/>
      <c r="FA109" s="1029"/>
      <c r="FB109" s="1029"/>
      <c r="FC109" s="1029"/>
      <c r="FD109" s="1029"/>
      <c r="FE109" s="1029">
        <f>FE102/'Segment - Products'!FE19</f>
      </c>
      <c r="FF109" s="1029">
        <f>FF102/'Segment - Products'!FF19</f>
      </c>
      <c r="FG109" s="1029">
        <f>FG102/'Segment - Products'!FG19</f>
      </c>
      <c r="FH109" s="1029">
        <f>FH102/'Segment - Products'!FH19</f>
      </c>
      <c r="FI109" s="1029">
        <f>FI102/'Segment - Products'!FI19</f>
      </c>
      <c r="FJ109" s="1029">
        <f>FJ102/'Segment - Products'!FJ19</f>
      </c>
      <c r="FK109" s="1029">
        <f>FK102/'Segment - Products'!FK19</f>
      </c>
      <c r="FL109" s="1029">
        <f>FL102/'Segment - Products'!FL19</f>
      </c>
      <c r="FM109" s="1029">
        <f>FM102/'Segment - Products'!FM19</f>
      </c>
      <c r="FN109" s="1029">
        <f>FN102/'Segment - Products'!FN19</f>
      </c>
      <c r="FO109" s="1029">
        <f>FO102/'Segment - Products'!FO19</f>
      </c>
      <c r="FP109" s="1029">
        <f>FP102/'Segment - Products'!FP19</f>
      </c>
      <c r="FQ109" s="1029">
        <f>FQ102/'Segment - Products'!FQ19</f>
      </c>
      <c r="FR109" s="1029">
        <f>FR102/'Segment - Products'!FR19</f>
      </c>
      <c r="FS109" s="1029">
        <f>FS102/'Segment - Products'!FS19</f>
      </c>
      <c r="FT109" s="1029">
        <f>FT102/'Segment - Products'!FT19</f>
      </c>
      <c r="FU109" s="1029">
        <f>FU102/'Segment - Products'!FU19</f>
      </c>
      <c r="FV109" s="1029"/>
      <c r="FW109" s="1029"/>
      <c r="FX109" s="1029"/>
      <c r="FY109" s="1029"/>
      <c r="FZ109" s="1029"/>
      <c r="GA109" s="1029"/>
      <c r="GB109" s="1029"/>
      <c r="GC109" s="1029"/>
      <c r="GD109" s="1029"/>
      <c r="GE109" s="1029"/>
      <c r="GF109" s="1029"/>
      <c r="GG109" s="1029"/>
      <c r="GH109" s="1029"/>
      <c r="GI109" s="1029"/>
      <c r="GJ109" s="1029"/>
      <c r="GK109" s="1029"/>
      <c r="GL109" s="1029"/>
      <c r="GM109" s="1029"/>
      <c r="GN109" s="1029">
        <f>GN102/'Segment - Products'!GL19</f>
      </c>
      <c r="GO109" s="1029">
        <f>GO102/'Segment - Products'!GM19</f>
      </c>
      <c r="GP109" s="1029">
        <f>GP102/'Segment - Products'!GN19</f>
      </c>
      <c r="GQ109" s="1029">
        <f>GQ102/'Segment - Products'!GO19</f>
      </c>
      <c r="GR109" s="1029">
        <f>GR102/'Segment - Products'!GP19</f>
      </c>
      <c r="GS109" s="1029">
        <f>GS102/'Segment - Products'!GQ19</f>
      </c>
      <c r="GT109" s="1029">
        <f>GT102/'Segment - Products'!GR19</f>
      </c>
      <c r="GU109" s="1029">
        <f>GU102/'Segment - Products'!GS19</f>
      </c>
      <c r="GV109" s="1029">
        <f>GV102/'Segment - Products'!GT19</f>
      </c>
      <c r="GW109" s="1029">
        <f>GW102/'Segment - Products'!GU19</f>
      </c>
      <c r="GX109" s="1029">
        <f>GX102/'Segment - Products'!GV19</f>
      </c>
      <c r="GY109" s="1029">
        <f>GY102/'Segment - Products'!GW19</f>
      </c>
      <c r="GZ109" s="1029">
        <f>GZ102/'Segment - Products'!GX19</f>
      </c>
      <c r="HA109" s="1029">
        <f>HA102/'Segment - Products'!GY19</f>
      </c>
      <c r="HB109" s="1029">
        <f>HB102/'Segment - Products'!GZ19</f>
      </c>
      <c r="HC109" s="1029">
        <f>HC102/'Segment - Products'!HA19</f>
      </c>
      <c r="HD109" s="1029">
        <f>HD102/'Segment - Products'!HB19</f>
      </c>
    </row>
    <row r="110" spans="1:212" s="89" customFormat="1" ht="10.8" thickTop="1">
      <c r="A110" s="152"/>
      <c r="E110" s="260"/>
      <c r="I110" s="260"/>
      <c r="M110" s="260"/>
      <c r="Q110" s="260"/>
      <c r="U110" s="260"/>
      <c r="Y110" s="260"/>
      <c r="AC110" s="260"/>
      <c r="AG110" s="260"/>
      <c r="AJ110" s="72"/>
      <c r="AK110" s="227"/>
      <c r="AL110" s="72"/>
      <c r="AM110" s="72"/>
      <c r="AN110" s="72"/>
      <c r="AO110" s="227"/>
      <c r="AP110" s="72"/>
      <c r="AQ110" s="72"/>
      <c r="AR110" s="72"/>
      <c r="AS110" s="227"/>
      <c r="AT110" s="72"/>
      <c r="AU110" s="72"/>
      <c r="AV110" s="72"/>
      <c r="AW110" s="227"/>
      <c r="AX110" s="72"/>
      <c r="AY110" s="72"/>
      <c r="AZ110" s="72"/>
      <c r="BA110" s="227"/>
      <c r="BB110" s="72"/>
      <c r="BC110" s="72"/>
      <c r="BD110" s="72"/>
      <c r="BE110" s="227"/>
      <c r="BF110" s="72"/>
      <c r="BG110" s="72"/>
      <c r="BH110" s="72"/>
      <c r="BI110" s="227"/>
      <c r="BJ110" s="72"/>
      <c r="BK110" s="72"/>
      <c r="BL110" s="72"/>
      <c r="BM110" s="227"/>
      <c r="BN110" s="72"/>
      <c r="BO110" s="72"/>
      <c r="BP110" s="72"/>
      <c r="BQ110" s="227"/>
      <c r="BR110" s="72"/>
      <c r="BS110" s="72"/>
      <c r="BT110" s="72"/>
      <c r="BU110" s="227"/>
      <c r="BV110" s="355"/>
      <c r="BW110" s="72"/>
      <c r="BX110" s="72"/>
      <c r="BY110" s="227"/>
      <c r="BZ110" s="355"/>
      <c r="CA110" s="72"/>
      <c r="CB110" s="72"/>
      <c r="CC110" s="227"/>
      <c r="CD110" s="355"/>
      <c r="CE110" s="72"/>
      <c r="CF110" s="72"/>
      <c r="CG110" s="227"/>
      <c r="CH110" s="355"/>
      <c r="CI110" s="72"/>
      <c r="CJ110" s="72"/>
      <c r="CK110" s="227"/>
      <c r="CL110" s="355"/>
      <c r="CM110" s="72"/>
      <c r="CN110" s="72"/>
      <c r="CO110" s="227"/>
      <c r="CP110" s="72"/>
      <c r="CQ110" s="87"/>
      <c r="CR110" s="87"/>
      <c r="CS110" s="227"/>
      <c r="CT110" s="72"/>
      <c r="CU110" s="87"/>
      <c r="CV110" s="87"/>
      <c r="CW110" s="416"/>
      <c r="CX110" s="87"/>
      <c r="CY110" s="87"/>
      <c r="CZ110" s="87"/>
      <c r="DA110" s="416"/>
      <c r="DB110" s="87"/>
      <c r="DC110" s="87"/>
      <c r="DD110" s="87"/>
      <c r="DE110" s="232"/>
      <c r="DF110" s="419"/>
      <c r="DG110" s="71"/>
      <c r="DH110" s="71"/>
      <c r="DI110" s="232"/>
      <c r="DJ110" s="419"/>
      <c r="DK110" s="71"/>
      <c r="DL110" s="71"/>
      <c r="DM110" s="232"/>
      <c r="DN110" s="419"/>
      <c r="DO110" s="71"/>
      <c r="DP110" s="71"/>
      <c r="DQ110" s="232"/>
      <c r="DR110" s="419"/>
      <c r="DS110" s="71"/>
      <c r="DT110" s="71"/>
      <c r="DU110" s="232"/>
      <c r="DV110" s="419"/>
      <c r="DW110" s="71"/>
      <c r="DX110" s="71"/>
      <c r="DY110" s="232"/>
      <c r="DZ110" s="419"/>
      <c r="EA110" s="71"/>
      <c r="EB110" s="71"/>
      <c r="EC110" s="232"/>
      <c r="ED110" s="419"/>
      <c r="EE110" s="71"/>
      <c r="EF110" s="71"/>
      <c r="EG110" s="232"/>
      <c r="EH110" s="419"/>
      <c r="EI110" s="71"/>
      <c r="EJ110" s="71"/>
      <c r="EK110" s="232"/>
      <c r="EU110" s="72"/>
      <c r="EV110" s="72"/>
      <c r="EW110" s="72"/>
      <c r="EX110" s="72"/>
      <c r="EY110" s="72"/>
      <c r="EZ110" s="72"/>
      <c r="FA110" s="72"/>
      <c r="FB110" s="72"/>
      <c r="FC110" s="72"/>
      <c r="FD110" s="72"/>
      <c r="FE110" s="72"/>
      <c r="FF110" s="72"/>
      <c r="FG110" s="72"/>
      <c r="FH110" s="72"/>
      <c r="FI110" s="72"/>
      <c r="FJ110" s="72"/>
      <c r="FK110" s="72"/>
      <c r="FL110" s="72"/>
      <c r="FM110" s="72"/>
      <c r="FN110" s="72"/>
      <c r="FO110" s="72"/>
      <c r="FP110" s="72"/>
      <c r="FQ110" s="72"/>
      <c r="FR110" s="72"/>
      <c r="FS110" s="72"/>
      <c r="FT110" s="72"/>
      <c r="FU110" s="72"/>
      <c r="FV110" s="88"/>
      <c r="GE110" s="72"/>
      <c r="GF110" s="72"/>
      <c r="GG110" s="72"/>
      <c r="GH110" s="72"/>
      <c r="GI110" s="72"/>
      <c r="GJ110" s="72"/>
      <c r="GK110" s="72"/>
      <c r="GL110" s="72"/>
      <c r="GM110" s="72"/>
      <c r="GN110" s="72"/>
      <c r="GO110" s="72"/>
      <c r="GP110" s="72"/>
      <c r="GQ110" s="72"/>
      <c r="GR110" s="72"/>
      <c r="GS110" s="72"/>
      <c r="GT110" s="72"/>
      <c r="GU110" s="72"/>
      <c r="GV110" s="72"/>
      <c r="GW110" s="72"/>
      <c r="GX110" s="72"/>
      <c r="GY110" s="72"/>
      <c r="GZ110" s="72"/>
      <c r="HA110" s="72"/>
      <c r="HB110" s="72"/>
      <c r="HC110" s="72"/>
      <c r="HD110" s="72"/>
    </row>
    <row r="111" spans="1:212" s="16" customFormat="1" ht="10.199999999999999">
      <c r="A111" s="708" t="s">
        <v>1200</v>
      </c>
      <c r="B111" s="706" t="str">
        <f>'Revenue summary'!B$8</f>
      </c>
      <c r="C111" s="706" t="str">
        <f>'Revenue summary'!C$8</f>
      </c>
      <c r="D111" s="706" t="str">
        <f>'Revenue summary'!D$8</f>
      </c>
      <c r="E111" s="707" t="str">
        <f>'Revenue summary'!E$8</f>
      </c>
      <c r="F111" s="706" t="str">
        <f>'Revenue summary'!F$8</f>
      </c>
      <c r="G111" s="706" t="str">
        <f>'Revenue summary'!G$8</f>
      </c>
      <c r="H111" s="706" t="str">
        <f>'Revenue summary'!H$8</f>
      </c>
      <c r="I111" s="707" t="str">
        <f>'Revenue summary'!I$8</f>
      </c>
      <c r="J111" s="706" t="str">
        <f>'Revenue summary'!J$8</f>
      </c>
      <c r="K111" s="706" t="str">
        <f>'Revenue summary'!K$8</f>
      </c>
      <c r="L111" s="706" t="str">
        <f>'Revenue summary'!L$8</f>
      </c>
      <c r="M111" s="707" t="str">
        <f>'Revenue summary'!M$8</f>
      </c>
      <c r="N111" s="706" t="str">
        <f>'Revenue summary'!N$8</f>
      </c>
      <c r="O111" s="706" t="str">
        <f>'Revenue summary'!O$8</f>
      </c>
      <c r="P111" s="706" t="str">
        <f>'Revenue summary'!P$8</f>
      </c>
      <c r="Q111" s="707" t="str">
        <f>'Revenue summary'!Q$8</f>
      </c>
      <c r="R111" s="706" t="str">
        <f>'Revenue summary'!R$8</f>
      </c>
      <c r="S111" s="706" t="str">
        <f>'Revenue summary'!S$8</f>
      </c>
      <c r="T111" s="706" t="str">
        <f>'Revenue summary'!T$8</f>
      </c>
      <c r="U111" s="707" t="str">
        <f>'Revenue summary'!U$8</f>
      </c>
      <c r="V111" s="706" t="str">
        <f>'Revenue summary'!V$8</f>
      </c>
      <c r="W111" s="706" t="str">
        <f>'Revenue summary'!W$8</f>
      </c>
      <c r="X111" s="706" t="str">
        <f>'Revenue summary'!X$8</f>
      </c>
      <c r="Y111" s="707" t="str">
        <f>'Revenue summary'!Y$8</f>
      </c>
      <c r="Z111" s="706" t="str">
        <f>'Revenue summary'!Z$8</f>
      </c>
      <c r="AA111" s="706" t="str">
        <f>'Revenue summary'!AA$8</f>
      </c>
      <c r="AB111" s="706" t="str">
        <f>'Revenue summary'!AB$8</f>
      </c>
      <c r="AC111" s="707" t="str">
        <f>'Revenue summary'!AC$8</f>
      </c>
      <c r="AD111" s="706" t="str">
        <f>'Revenue summary'!AD$8</f>
      </c>
      <c r="AE111" s="706" t="str">
        <f>'Revenue summary'!AE$8</f>
      </c>
      <c r="AF111" s="706" t="str">
        <f>'Revenue summary'!AF$8</f>
      </c>
      <c r="AG111" s="707" t="str">
        <f>'Revenue summary'!AG$8</f>
      </c>
      <c r="AH111" s="706" t="str">
        <f>'Revenue summary'!AH$8</f>
      </c>
      <c r="AI111" s="706" t="str">
        <f>'Revenue summary'!AI$8</f>
      </c>
      <c r="AJ111" s="706" t="str">
        <f>'Revenue summary'!AJ$8</f>
      </c>
      <c r="AK111" s="707" t="str">
        <f>'Revenue summary'!AK$8</f>
      </c>
      <c r="AL111" s="706" t="str">
        <f>'Revenue summary'!AL$8</f>
      </c>
      <c r="AM111" s="706" t="str">
        <f>'Revenue summary'!AM$8</f>
      </c>
      <c r="AN111" s="706" t="str">
        <f>'Revenue summary'!AN$8</f>
      </c>
      <c r="AO111" s="707" t="str">
        <f>'Revenue summary'!AO$8</f>
      </c>
      <c r="AP111" s="706" t="str">
        <f>'Revenue summary'!AP$8</f>
      </c>
      <c r="AQ111" s="706" t="str">
        <f>'Revenue summary'!AQ$8</f>
      </c>
      <c r="AR111" s="706" t="str">
        <f>'Revenue summary'!AR$8</f>
      </c>
      <c r="AS111" s="707" t="str">
        <f>'Revenue summary'!AS$8</f>
      </c>
      <c r="AT111" s="706" t="str">
        <f>'Revenue summary'!AT$8</f>
      </c>
      <c r="AU111" s="706" t="str">
        <f>'Revenue summary'!AU$8</f>
      </c>
      <c r="AV111" s="706" t="str">
        <f>'Revenue summary'!AV$8</f>
      </c>
      <c r="AW111" s="707" t="str">
        <f>'Revenue summary'!AW$8</f>
      </c>
      <c r="AX111" s="706" t="str">
        <f>'Revenue summary'!AX$8</f>
      </c>
      <c r="AY111" s="706" t="str">
        <f>'Revenue summary'!AY$8</f>
      </c>
      <c r="AZ111" s="706" t="str">
        <f>'Revenue summary'!AZ$8</f>
      </c>
      <c r="BA111" s="707" t="str">
        <f>'Revenue summary'!BA$8</f>
      </c>
      <c r="BB111" s="706" t="str">
        <f>'Revenue summary'!BB$8</f>
      </c>
      <c r="BC111" s="706" t="str">
        <f>'Revenue summary'!BC$8</f>
      </c>
      <c r="BD111" s="706" t="str">
        <f>'Revenue summary'!BD$8</f>
      </c>
      <c r="BE111" s="707" t="str">
        <f>'Revenue summary'!BE$8</f>
      </c>
      <c r="BF111" s="706" t="str">
        <f>'Revenue summary'!BF$8</f>
      </c>
      <c r="BG111" s="706" t="str">
        <f>'Revenue summary'!BG$8</f>
      </c>
      <c r="BH111" s="706" t="str">
        <f>'Revenue summary'!BH$8</f>
      </c>
      <c r="BI111" s="707" t="str">
        <f>'Revenue summary'!BI$8</f>
      </c>
      <c r="BJ111" s="706" t="str">
        <f>'Revenue summary'!BJ$8</f>
      </c>
      <c r="BK111" s="706" t="str">
        <f>'Revenue summary'!BK$8</f>
      </c>
      <c r="BL111" s="706" t="str">
        <f>'Revenue summary'!BL$8</f>
      </c>
      <c r="BM111" s="707" t="str">
        <f>'Revenue summary'!BM$8</f>
      </c>
      <c r="BN111" s="706" t="str">
        <f>'Revenue summary'!BN$8</f>
      </c>
      <c r="BO111" s="706" t="str">
        <f>'Revenue summary'!BO$8</f>
      </c>
      <c r="BP111" s="706" t="str">
        <f>'Revenue summary'!BP$8</f>
      </c>
      <c r="BQ111" s="707" t="str">
        <f>'Revenue summary'!BQ$8</f>
      </c>
      <c r="BR111" s="706" t="str">
        <f>'Revenue summary'!BR$8</f>
      </c>
      <c r="BS111" s="706" t="str">
        <f>'Revenue summary'!BS$8</f>
      </c>
      <c r="BT111" s="706" t="str">
        <f>'Revenue summary'!BT$8</f>
      </c>
      <c r="BU111" s="707" t="str">
        <f>'Revenue summary'!BU$8</f>
      </c>
      <c r="BV111" s="706" t="str">
        <f>'Revenue summary'!BV$8</f>
      </c>
      <c r="BW111" s="706" t="str">
        <f>'Revenue summary'!BW$8</f>
      </c>
      <c r="BX111" s="706" t="str">
        <f>'Revenue summary'!BX$8</f>
      </c>
      <c r="BY111" s="707" t="str">
        <f>'Revenue summary'!BY$8</f>
      </c>
      <c r="BZ111" s="706" t="str">
        <f>'Revenue summary'!BZ$8</f>
      </c>
      <c r="CA111" s="706" t="str">
        <f>'Revenue summary'!CA$8</f>
      </c>
      <c r="CB111" s="706" t="str">
        <f>'Revenue summary'!CB$8</f>
      </c>
      <c r="CC111" s="707" t="str">
        <f>'Revenue summary'!CC$8</f>
      </c>
      <c r="CD111" s="706" t="str">
        <f>'Revenue summary'!CD$8</f>
      </c>
      <c r="CE111" s="706" t="str">
        <f>'Revenue summary'!CE$8</f>
      </c>
      <c r="CF111" s="706" t="str">
        <f>'Revenue summary'!CF$8</f>
      </c>
      <c r="CG111" s="707" t="str">
        <f>'Revenue summary'!CG$8</f>
      </c>
      <c r="CH111" s="706" t="str">
        <f>'Revenue summary'!CH$8</f>
      </c>
      <c r="CI111" s="706" t="str">
        <f>'Revenue summary'!CI$8</f>
      </c>
      <c r="CJ111" s="706" t="str">
        <f>'Revenue summary'!CJ$8</f>
      </c>
      <c r="CK111" s="707" t="str">
        <f>'Revenue summary'!CK$8</f>
      </c>
      <c r="CL111" s="706" t="str">
        <f>'Revenue summary'!CL$8</f>
      </c>
      <c r="CM111" s="706" t="str">
        <f>'Revenue summary'!CM$8</f>
      </c>
      <c r="CN111" s="706" t="str">
        <f>'Revenue summary'!CN$8</f>
      </c>
      <c r="CO111" s="707" t="str">
        <f>'Revenue summary'!CO$8</f>
      </c>
      <c r="CP111" s="706" t="str">
        <f>'Revenue summary'!CP$8</f>
      </c>
      <c r="CQ111" s="706" t="str">
        <f>'Revenue summary'!CQ$8</f>
      </c>
      <c r="CR111" s="706" t="str">
        <f>'Revenue summary'!CR$8</f>
      </c>
      <c r="CS111" s="707" t="str">
        <f>'Revenue summary'!CS$8</f>
      </c>
      <c r="CT111" s="706" t="str">
        <f>'Revenue summary'!CT$8</f>
      </c>
      <c r="CU111" s="706" t="str">
        <f>'Revenue summary'!CU$8</f>
      </c>
      <c r="CV111" s="706" t="str">
        <f>'Revenue summary'!CV$8</f>
      </c>
      <c r="CW111" s="707" t="str">
        <f>'Revenue summary'!CW$8</f>
      </c>
      <c r="CX111" s="706" t="str">
        <f>'Revenue summary'!CX$8</f>
      </c>
      <c r="CY111" s="706" t="str">
        <f>'Revenue summary'!CY$8</f>
      </c>
      <c r="CZ111" s="706" t="str">
        <f>'Revenue summary'!CZ$8</f>
      </c>
      <c r="DA111" s="707" t="str">
        <f>'Revenue summary'!DA$8</f>
      </c>
      <c r="DB111" s="706" t="str">
        <f>'Revenue summary'!DB$8</f>
      </c>
      <c r="DC111" s="706" t="str">
        <f>'Revenue summary'!DC$8</f>
      </c>
      <c r="DD111" s="706" t="str">
        <f>'Revenue summary'!DD$8</f>
      </c>
      <c r="DE111" s="707" t="str">
        <f>'Revenue summary'!DE$8</f>
      </c>
      <c r="DF111" s="706" t="str">
        <f>'Revenue summary'!DF$8</f>
      </c>
      <c r="DG111" s="706" t="str">
        <f>'Revenue summary'!DG$8</f>
      </c>
      <c r="DH111" s="706" t="str">
        <f>'Revenue summary'!DH$8</f>
      </c>
      <c r="DI111" s="707" t="str">
        <f>'Revenue summary'!DI$8</f>
      </c>
      <c r="DJ111" s="706" t="str">
        <f>'Revenue summary'!DJ$8</f>
      </c>
      <c r="DK111" s="706" t="str">
        <f>'Revenue summary'!DK$8</f>
      </c>
      <c r="DL111" s="706" t="str">
        <f>'Revenue summary'!DL$8</f>
      </c>
      <c r="DM111" s="707" t="str">
        <f>'Revenue summary'!DM$8</f>
      </c>
      <c r="DN111" s="706" t="str">
        <f>'Revenue summary'!DN$8</f>
      </c>
      <c r="DO111" s="706" t="str">
        <f>'Revenue summary'!DO$8</f>
      </c>
      <c r="DP111" s="706" t="str">
        <f>'Revenue summary'!DP$8</f>
      </c>
      <c r="DQ111" s="707" t="str">
        <f>'Revenue summary'!DQ$8</f>
      </c>
      <c r="DR111" s="706" t="str">
        <f>'Revenue summary'!DR$8</f>
      </c>
      <c r="DS111" s="706" t="str">
        <f>'Revenue summary'!DS$8</f>
      </c>
      <c r="DT111" s="706" t="str">
        <f>'Revenue summary'!DT$8</f>
      </c>
      <c r="DU111" s="707" t="str">
        <f>'Revenue summary'!DU$8</f>
      </c>
      <c r="DV111" s="706" t="str">
        <f>'Revenue summary'!DV$8</f>
      </c>
      <c r="DW111" s="706" t="str">
        <f>'Revenue summary'!DW$8</f>
      </c>
      <c r="DX111" s="706" t="str">
        <f>'Revenue summary'!DX$8</f>
      </c>
      <c r="DY111" s="707" t="str">
        <f>'Revenue summary'!DY$8</f>
      </c>
      <c r="DZ111" s="706" t="str">
        <f>'Revenue summary'!DZ$8</f>
      </c>
      <c r="EA111" s="706" t="str">
        <f>'Revenue summary'!EA$8</f>
      </c>
      <c r="EB111" s="706" t="str">
        <f>'Revenue summary'!EB$8</f>
      </c>
      <c r="EC111" s="707" t="str">
        <f>'Revenue summary'!EC$8</f>
      </c>
      <c r="ED111" s="706" t="str">
        <f>'Revenue summary'!ED$8</f>
      </c>
      <c r="EE111" s="706" t="str">
        <f>'Revenue summary'!EE$8</f>
      </c>
      <c r="EF111" s="706" t="str">
        <f>'Revenue summary'!EF$8</f>
      </c>
      <c r="EG111" s="707" t="str">
        <f>'Revenue summary'!EG$8</f>
      </c>
      <c r="EH111" s="706" t="str">
        <f>'Revenue summary'!EH$8</f>
      </c>
      <c r="EI111" s="706" t="str">
        <f>'Revenue summary'!EI$8</f>
      </c>
      <c r="EJ111" s="706" t="str">
        <f>'Revenue summary'!EJ$8</f>
      </c>
      <c r="EK111" s="707" t="str">
        <f>'Revenue summary'!EK$8</f>
      </c>
      <c r="EL111" s="320"/>
      <c r="EM111" s="706">
        <f t="shared" ref="EM111:FH111" si="912">EM$9</f>
      </c>
      <c r="EN111" s="706">
        <f t="shared" si="912"/>
      </c>
      <c r="EO111" s="706">
        <f t="shared" si="912"/>
      </c>
      <c r="EP111" s="706">
        <f t="shared" si="912"/>
      </c>
      <c r="EQ111" s="706">
        <f t="shared" si="912"/>
      </c>
      <c r="ER111" s="706">
        <f t="shared" si="912"/>
      </c>
      <c r="ES111" s="706">
        <f t="shared" si="912"/>
      </c>
      <c r="ET111" s="706">
        <f t="shared" si="912"/>
      </c>
      <c r="EU111" s="706">
        <f t="shared" si="912"/>
      </c>
      <c r="EV111" s="706">
        <f t="shared" si="912"/>
      </c>
      <c r="EW111" s="706">
        <f t="shared" si="912"/>
      </c>
      <c r="EX111" s="706">
        <f t="shared" si="912"/>
      </c>
      <c r="EY111" s="706">
        <f t="shared" si="912"/>
      </c>
      <c r="EZ111" s="706">
        <f t="shared" si="912"/>
      </c>
      <c r="FA111" s="706">
        <f t="shared" si="912"/>
      </c>
      <c r="FB111" s="706">
        <f t="shared" si="912"/>
      </c>
      <c r="FC111" s="706">
        <f t="shared" si="912"/>
      </c>
      <c r="FD111" s="706">
        <f t="shared" si="912"/>
      </c>
      <c r="FE111" s="706" t="str">
        <f t="shared" si="912"/>
      </c>
      <c r="FF111" s="706" t="str">
        <f t="shared" si="912"/>
      </c>
      <c r="FG111" s="706" t="str">
        <f t="shared" si="912"/>
      </c>
      <c r="FH111" s="706" t="str">
        <f t="shared" si="912"/>
      </c>
      <c r="FI111" s="706" t="str">
        <f>FI$9</f>
      </c>
      <c r="FJ111" s="706" t="str">
        <f t="shared" ref="FJ111:FU111" si="913">FJ$9</f>
      </c>
      <c r="FK111" s="706" t="str">
        <f t="shared" si="913"/>
      </c>
      <c r="FL111" s="706" t="str">
        <f t="shared" si="913"/>
      </c>
      <c r="FM111" s="706" t="str">
        <f t="shared" si="913"/>
      </c>
      <c r="FN111" s="706" t="str">
        <f t="shared" si="913"/>
      </c>
      <c r="FO111" s="706" t="str">
        <f t="shared" si="913"/>
      </c>
      <c r="FP111" s="706" t="str">
        <f t="shared" si="913"/>
      </c>
      <c r="FQ111" s="706" t="str">
        <f t="shared" si="913"/>
      </c>
      <c r="FR111" s="706" t="str">
        <f t="shared" si="913"/>
      </c>
      <c r="FS111" s="706" t="str">
        <f t="shared" si="913"/>
      </c>
      <c r="FT111" s="706" t="str">
        <f t="shared" si="913"/>
      </c>
      <c r="FU111" s="706" t="str">
        <f t="shared" si="913"/>
      </c>
      <c r="FV111" s="706"/>
      <c r="FW111" s="706" t="str">
        <f t="shared" ref="FW111:GX111" si="914">FW$10</f>
      </c>
      <c r="FX111" s="706" t="str">
        <f t="shared" si="914"/>
      </c>
      <c r="FY111" s="706" t="str">
        <f t="shared" si="914"/>
      </c>
      <c r="FZ111" s="706" t="str">
        <f t="shared" si="914"/>
      </c>
      <c r="GA111" s="706" t="str">
        <f t="shared" si="914"/>
      </c>
      <c r="GB111" s="706" t="str">
        <f t="shared" si="914"/>
      </c>
      <c r="GC111" s="706" t="str">
        <f t="shared" si="914"/>
      </c>
      <c r="GD111" s="706" t="str">
        <f t="shared" si="914"/>
      </c>
      <c r="GE111" s="706" t="str">
        <f t="shared" si="914"/>
      </c>
      <c r="GF111" s="706" t="str">
        <f t="shared" si="914"/>
      </c>
      <c r="GG111" s="706" t="str">
        <f t="shared" si="914"/>
      </c>
      <c r="GH111" s="706" t="str">
        <f t="shared" si="914"/>
      </c>
      <c r="GI111" s="706" t="str">
        <f t="shared" si="914"/>
      </c>
      <c r="GJ111" s="706" t="str">
        <f t="shared" si="914"/>
      </c>
      <c r="GK111" s="706" t="str">
        <f t="shared" si="914"/>
      </c>
      <c r="GL111" s="706" t="str">
        <f t="shared" si="914"/>
      </c>
      <c r="GM111" s="706" t="str">
        <f t="shared" si="914"/>
      </c>
      <c r="GN111" s="706" t="str">
        <f t="shared" si="914"/>
      </c>
      <c r="GO111" s="706" t="str">
        <f t="shared" si="914"/>
      </c>
      <c r="GP111" s="706" t="str">
        <f t="shared" si="914"/>
      </c>
      <c r="GQ111" s="706" t="str">
        <f t="shared" si="914"/>
      </c>
      <c r="GR111" s="706" t="str">
        <f t="shared" si="914"/>
      </c>
      <c r="GS111" s="706" t="str">
        <f t="shared" si="914"/>
      </c>
      <c r="GT111" s="706" t="str">
        <f t="shared" si="914"/>
      </c>
      <c r="GU111" s="706" t="str">
        <f t="shared" si="914"/>
      </c>
      <c r="GV111" s="706" t="str">
        <f t="shared" si="914"/>
      </c>
      <c r="GW111" s="706" t="str">
        <f t="shared" si="914"/>
      </c>
      <c r="GX111" s="706" t="str">
        <f t="shared" si="914"/>
      </c>
      <c r="GY111" s="706" t="str">
        <f t="shared" ref="GY111" si="915">GY$10</f>
      </c>
      <c r="GZ111" s="706" t="str">
        <f t="shared" ref="GZ111:HD111" si="916">GZ$10</f>
      </c>
      <c r="HA111" s="706" t="str">
        <f t="shared" si="916"/>
      </c>
      <c r="HB111" s="706" t="str">
        <f t="shared" si="916"/>
      </c>
      <c r="HC111" s="706" t="str">
        <f t="shared" si="916"/>
      </c>
      <c r="HD111" s="706" t="str">
        <f t="shared" si="916"/>
      </c>
    </row>
    <row r="112" spans="1:212" s="370" customFormat="1" ht="10.8" thickBot="1">
      <c r="A112" s="946" t="s">
        <v>1201</v>
      </c>
      <c r="B112" s="974"/>
      <c r="C112" s="974"/>
      <c r="D112" s="974"/>
      <c r="E112" s="975"/>
      <c r="F112" s="974"/>
      <c r="G112" s="974"/>
      <c r="H112" s="974"/>
      <c r="I112" s="975"/>
      <c r="J112" s="974"/>
      <c r="K112" s="974"/>
      <c r="L112" s="974"/>
      <c r="M112" s="975"/>
      <c r="N112" s="974"/>
      <c r="O112" s="974"/>
      <c r="P112" s="974"/>
      <c r="Q112" s="975"/>
      <c r="R112" s="974"/>
      <c r="S112" s="974"/>
      <c r="T112" s="974"/>
      <c r="U112" s="975"/>
      <c r="V112" s="974"/>
      <c r="W112" s="974"/>
      <c r="X112" s="974"/>
      <c r="Y112" s="975"/>
      <c r="Z112" s="974"/>
      <c r="AA112" s="974"/>
      <c r="AB112" s="974"/>
      <c r="AC112" s="975"/>
      <c r="AD112" s="974"/>
      <c r="AE112" s="974"/>
      <c r="AF112" s="974"/>
      <c r="AG112" s="975"/>
      <c r="AH112" s="974"/>
      <c r="AI112" s="974"/>
      <c r="AJ112" s="974"/>
      <c r="AK112" s="975"/>
      <c r="AL112" s="974"/>
      <c r="AM112" s="974"/>
      <c r="AN112" s="974"/>
      <c r="AO112" s="975"/>
      <c r="AP112" s="974"/>
      <c r="AQ112" s="974"/>
      <c r="AR112" s="974"/>
      <c r="AS112" s="975"/>
      <c r="AT112" s="974"/>
      <c r="AU112" s="974"/>
      <c r="AV112" s="974"/>
      <c r="AW112" s="975"/>
      <c r="AX112" s="974"/>
      <c r="AY112" s="974"/>
      <c r="AZ112" s="974"/>
      <c r="BA112" s="975"/>
      <c r="BB112" s="974"/>
      <c r="BC112" s="974"/>
      <c r="BD112" s="974"/>
      <c r="BE112" s="975"/>
      <c r="BF112" s="974"/>
      <c r="BG112" s="974"/>
      <c r="BH112" s="974"/>
      <c r="BI112" s="975"/>
      <c r="BJ112" s="974"/>
      <c r="BK112" s="974"/>
      <c r="BL112" s="974"/>
      <c r="BM112" s="975"/>
      <c r="BN112" s="974"/>
      <c r="BO112" s="974"/>
      <c r="BP112" s="974"/>
      <c r="BQ112" s="975"/>
      <c r="BR112" s="974"/>
      <c r="BS112" s="974"/>
      <c r="BT112" s="974"/>
      <c r="BU112" s="975"/>
      <c r="BV112" s="974"/>
      <c r="BW112" s="974"/>
      <c r="BX112" s="974"/>
      <c r="BY112" s="975"/>
      <c r="BZ112" s="974"/>
      <c r="CA112" s="974"/>
      <c r="CB112" s="974"/>
      <c r="CC112" s="948">
        <f t="shared" ref="CC112:CK112" si="917">+AVERAGE(CC113,CB113)*CC114*3</f>
      </c>
      <c r="CD112" s="947">
        <f t="shared" si="917"/>
      </c>
      <c r="CE112" s="947">
        <f t="shared" si="917"/>
      </c>
      <c r="CF112" s="947">
        <f t="shared" si="917"/>
      </c>
      <c r="CG112" s="976">
        <f t="shared" si="917"/>
      </c>
      <c r="CH112" s="977">
        <f t="shared" si="917"/>
      </c>
      <c r="CI112" s="977">
        <f t="shared" si="917"/>
      </c>
      <c r="CJ112" s="977">
        <f t="shared" si="917"/>
      </c>
      <c r="CK112" s="976">
        <f t="shared" si="917"/>
      </c>
      <c r="CL112" s="977">
        <f t="shared" ref="CL112:CO112" si="918">+AVERAGE(CL113,CK113)*CL114*3</f>
      </c>
      <c r="CM112" s="977">
        <f t="shared" si="918"/>
      </c>
      <c r="CN112" s="977">
        <f t="shared" si="918"/>
      </c>
      <c r="CO112" s="976">
        <f t="shared" si="918"/>
      </c>
      <c r="CP112" s="977">
        <f t="shared" ref="CP112" si="919">+AVERAGE(CP113,CO113)*CP114*3</f>
      </c>
      <c r="CQ112" s="977">
        <f t="shared" ref="CQ112" si="920">+AVERAGE(CQ113,CP113)*CQ114*3</f>
      </c>
      <c r="CR112" s="977">
        <f t="shared" ref="CR112" si="921">+AVERAGE(CR113,CQ113)*CR114*3</f>
      </c>
      <c r="CS112" s="976">
        <f t="shared" ref="CS112" si="922">+AVERAGE(CS113,CR113)*CS114*3</f>
      </c>
      <c r="CT112" s="977">
        <f t="shared" ref="CT112" si="923">+AVERAGE(CT113,CS113)*CT114*3</f>
      </c>
      <c r="CU112" s="977">
        <f t="shared" ref="CU112" si="924">+AVERAGE(CU113,CT113)*CU114*3</f>
      </c>
      <c r="CV112" s="977">
        <f t="shared" ref="CV112" si="925">+AVERAGE(CV113,CU113)*CV114*3</f>
      </c>
      <c r="CW112" s="976">
        <f t="shared" ref="CW112" si="926">+AVERAGE(CW113,CV113)*CW114*3</f>
      </c>
      <c r="CX112" s="977">
        <f t="shared" ref="CX112" si="927">+AVERAGE(CX113,CW113)*CX114*3</f>
      </c>
      <c r="CY112" s="977">
        <f t="shared" ref="CY112" si="928">+AVERAGE(CY113,CX113)*CY114*3</f>
      </c>
      <c r="CZ112" s="977">
        <f t="shared" ref="CZ112" si="929">+AVERAGE(CZ113,CY113)*CZ114*3</f>
      </c>
      <c r="DA112" s="976">
        <f t="shared" ref="DA112" si="930">+AVERAGE(DA113,CZ113)*DA114*3</f>
      </c>
      <c r="DB112" s="977">
        <f t="shared" ref="DB112" si="931">+AVERAGE(DB113,DA113)*DB114*3</f>
      </c>
      <c r="DC112" s="977">
        <f t="shared" ref="DC112" si="932">+AVERAGE(DC113,DB113)*DC114*3</f>
      </c>
      <c r="DD112" s="977">
        <f t="shared" ref="DD112" si="933">+AVERAGE(DD113,DC113)*DD114*3</f>
      </c>
      <c r="DE112" s="976">
        <f t="shared" ref="DE112" si="934">+AVERAGE(DE113,DD113)*DE114*3</f>
      </c>
      <c r="DF112" s="977">
        <f t="shared" ref="DF112" si="935">+AVERAGE(DF113,DE113)*DF114*3</f>
      </c>
      <c r="DG112" s="977">
        <f t="shared" ref="DG112" si="936">+AVERAGE(DG113,DF113)*DG114*3</f>
      </c>
      <c r="DH112" s="977">
        <f t="shared" ref="DH112" si="937">+AVERAGE(DH113,DG113)*DH114*3</f>
      </c>
      <c r="DI112" s="976">
        <f t="shared" ref="DI112" si="938">+AVERAGE(DI113,DH113)*DI114*3</f>
      </c>
      <c r="DJ112" s="977">
        <f t="shared" ref="DJ112" si="939">+AVERAGE(DJ113,DI113)*DJ114*3</f>
      </c>
      <c r="DK112" s="977">
        <f t="shared" ref="DK112" si="940">+AVERAGE(DK113,DJ113)*DK114*3</f>
      </c>
      <c r="DL112" s="977">
        <f t="shared" ref="DL112" si="941">+AVERAGE(DL113,DK113)*DL114*3</f>
      </c>
      <c r="DM112" s="976">
        <f t="shared" ref="DM112" si="942">+AVERAGE(DM113,DL113)*DM114*3</f>
      </c>
      <c r="DN112" s="977">
        <f t="shared" ref="DN112" si="943">+AVERAGE(DN113,DM113)*DN114*3</f>
      </c>
      <c r="DO112" s="977">
        <f t="shared" ref="DO112" si="944">+AVERAGE(DO113,DN113)*DO114*3</f>
      </c>
      <c r="DP112" s="977">
        <f t="shared" ref="DP112" si="945">+AVERAGE(DP113,DO113)*DP114*3</f>
      </c>
      <c r="DQ112" s="976">
        <f t="shared" ref="DQ112" si="946">+AVERAGE(DQ113,DP113)*DQ114*3</f>
      </c>
      <c r="DR112" s="977">
        <f t="shared" ref="DR112" si="947">+AVERAGE(DR113,DQ113)*DR114*3</f>
      </c>
      <c r="DS112" s="977">
        <f t="shared" ref="DS112" si="948">+AVERAGE(DS113,DR113)*DS114*3</f>
      </c>
      <c r="DT112" s="977">
        <f t="shared" ref="DT112" si="949">+AVERAGE(DT113,DS113)*DT114*3</f>
      </c>
      <c r="DU112" s="979">
        <f t="shared" ref="DU112" si="950">+AVERAGE(DU113,DT113)*DU114*3</f>
      </c>
      <c r="DV112" s="977">
        <f t="shared" ref="DV112" si="951">+AVERAGE(DV113,DU113)*DV114*3</f>
      </c>
      <c r="DW112" s="977">
        <f t="shared" ref="DW112" si="952">+AVERAGE(DW113,DV113)*DW114*3</f>
      </c>
      <c r="DX112" s="977">
        <f t="shared" ref="DX112" si="953">+AVERAGE(DX113,DW113)*DX114*3</f>
      </c>
      <c r="DY112" s="979">
        <f t="shared" ref="DY112" si="954">+AVERAGE(DY113,DX113)*DY114*3</f>
      </c>
      <c r="DZ112" s="977">
        <f t="shared" ref="DZ112" si="955">+AVERAGE(DZ113,DY113)*DZ114*3</f>
      </c>
      <c r="EA112" s="977">
        <f t="shared" ref="EA112" si="956">+AVERAGE(EA113,DZ113)*EA114*3</f>
      </c>
      <c r="EB112" s="977">
        <f t="shared" ref="EB112" si="957">+AVERAGE(EB113,EA113)*EB114*3</f>
      </c>
      <c r="EC112" s="979">
        <f t="shared" ref="EC112" si="958">+AVERAGE(EC113,EB113)*EC114*3</f>
      </c>
      <c r="ED112" s="977">
        <f t="shared" ref="ED112" si="959">+AVERAGE(ED113,EC113)*ED114*3</f>
      </c>
      <c r="EE112" s="977">
        <f t="shared" ref="EE112" si="960">+AVERAGE(EE113,ED113)*EE114*3</f>
      </c>
      <c r="EF112" s="977">
        <f t="shared" ref="EF112" si="961">+AVERAGE(EF113,EE113)*EF114*3</f>
      </c>
      <c r="EG112" s="979">
        <f t="shared" ref="EG112" si="962">+AVERAGE(EG113,EF113)*EG114*3</f>
      </c>
      <c r="EH112" s="977">
        <f t="shared" ref="EH112" si="963">+AVERAGE(EH113,EG113)*EH114*3</f>
      </c>
      <c r="EI112" s="977">
        <f t="shared" ref="EI112" si="964">+AVERAGE(EI113,EH113)*EI114*3</f>
      </c>
      <c r="EJ112" s="977">
        <f t="shared" ref="EJ112" si="965">+AVERAGE(EJ113,EI113)*EJ114*3</f>
      </c>
      <c r="EK112" s="979">
        <f t="shared" ref="EK112" si="966">+AVERAGE(EK113,EJ113)*EK114*3</f>
      </c>
      <c r="EM112" s="977"/>
      <c r="EN112" s="977"/>
      <c r="EO112" s="977"/>
      <c r="EP112" s="977"/>
      <c r="EQ112" s="977"/>
      <c r="ER112" s="977"/>
      <c r="ES112" s="977"/>
      <c r="ET112" s="977"/>
      <c r="EU112" s="977"/>
      <c r="EV112" s="977"/>
      <c r="EW112" s="977"/>
      <c r="EX112" s="977"/>
      <c r="EY112" s="977"/>
      <c r="EZ112" s="977"/>
      <c r="FA112" s="977"/>
      <c r="FB112" s="977"/>
      <c r="FC112" s="977"/>
      <c r="FD112" s="977"/>
      <c r="FE112" s="977">
        <f t="shared" ref="FE112" si="967">SUM(BV112:BY112)</f>
      </c>
      <c r="FF112" s="977">
        <f t="shared" ref="FF112" si="968">SUM(BZ112:CC112)</f>
      </c>
      <c r="FG112" s="977">
        <f t="shared" ref="FG112" si="969">SUM(CD112:CG112)</f>
      </c>
      <c r="FH112" s="977">
        <f t="shared" ref="FH112" si="970">SUM(CH112:CK112)</f>
      </c>
      <c r="FI112" s="977">
        <f t="shared" ref="FI112" si="971">SUM(CL112:CO112)</f>
      </c>
      <c r="FJ112" s="977">
        <f t="shared" ref="FJ112" si="972">SUM(CP112:CS112)</f>
      </c>
      <c r="FK112" s="977">
        <f t="shared" ref="FK112" si="973">SUM(CT112:CW112)</f>
      </c>
      <c r="FL112" s="977">
        <f t="shared" ref="FL112" si="974">SUM(CX112:DA112)</f>
      </c>
      <c r="FM112" s="977">
        <f t="shared" ref="FM112" si="975">SUM(DB112:DE112)</f>
      </c>
      <c r="FN112" s="977">
        <f t="shared" ref="FN112" si="976">SUM(DF112:DI112)</f>
      </c>
      <c r="FO112" s="977">
        <f t="shared" ref="FO112" si="977">SUM(DJ112:DM112)</f>
      </c>
      <c r="FP112" s="977">
        <f>SUM(DN112:DQ112)</f>
      </c>
      <c r="FQ112" s="977">
        <f>SUM(DR112:DU112)</f>
      </c>
      <c r="FR112" s="977">
        <f>SUM(DV112:DY112)</f>
      </c>
      <c r="FS112" s="977">
        <f>SUM(DZ112:EC112)</f>
      </c>
      <c r="FT112" s="977">
        <f>SUM(ED112:EG112)</f>
      </c>
      <c r="FU112" s="977">
        <f>SUM(EH112:EK112)</f>
      </c>
      <c r="FV112" s="977"/>
      <c r="FW112" s="977"/>
      <c r="FX112" s="977"/>
      <c r="FY112" s="977"/>
      <c r="FZ112" s="977"/>
      <c r="GA112" s="977"/>
      <c r="GB112" s="977"/>
      <c r="GC112" s="977"/>
      <c r="GD112" s="977"/>
      <c r="GE112" s="977"/>
      <c r="GF112" s="977"/>
      <c r="GG112" s="977"/>
      <c r="GH112" s="977"/>
      <c r="GI112" s="977"/>
      <c r="GJ112" s="977"/>
      <c r="GK112" s="977"/>
      <c r="GL112" s="977"/>
      <c r="GM112" s="977"/>
      <c r="GN112" s="977"/>
      <c r="GO112" s="977"/>
      <c r="GP112" s="977">
        <f>SUM(CA112:CD112)</f>
      </c>
      <c r="GQ112" s="977">
        <f>SUM(CE112:CH112)</f>
      </c>
      <c r="GR112" s="977">
        <f>SUM(CI112:CL112)</f>
      </c>
      <c r="GS112" s="977">
        <f>SUM(CM112:CP112)</f>
      </c>
      <c r="GT112" s="977">
        <f>SUM(CQ112:CT112)</f>
      </c>
      <c r="GU112" s="977">
        <f>SUM(CU112:CX112)</f>
      </c>
      <c r="GV112" s="977">
        <f>SUM(CY112:DB112)</f>
      </c>
      <c r="GW112" s="977">
        <f>SUM(DC112:DF112)</f>
      </c>
      <c r="GX112" s="977">
        <f>SUM(DG112:DJ112)</f>
      </c>
      <c r="GY112" s="977">
        <f>SUM(DK112:DN112)</f>
      </c>
      <c r="GZ112" s="977">
        <f>SUM(DO112:DR112)</f>
      </c>
      <c r="HA112" s="977">
        <f>SUM(DS112:DV112)</f>
      </c>
      <c r="HB112" s="977">
        <f>SUM(DW112:DZ112)</f>
      </c>
      <c r="HC112" s="977">
        <f>SUM(EA112:ED112)</f>
      </c>
      <c r="HD112" s="977">
        <f>SUM(EE112:EH112)</f>
      </c>
    </row>
    <row r="113" spans="1:214" s="970" customFormat="1" ht="10.8" thickTop="1">
      <c r="A113" s="980" t="s">
        <v>1499</v>
      </c>
      <c r="B113" s="967"/>
      <c r="C113" s="967"/>
      <c r="D113" s="967"/>
      <c r="E113" s="966"/>
      <c r="F113" s="967"/>
      <c r="G113" s="967"/>
      <c r="H113" s="967"/>
      <c r="I113" s="966"/>
      <c r="J113" s="967"/>
      <c r="K113" s="967"/>
      <c r="L113" s="967"/>
      <c r="M113" s="966"/>
      <c r="N113" s="967"/>
      <c r="O113" s="967"/>
      <c r="P113" s="967"/>
      <c r="Q113" s="966"/>
      <c r="R113" s="967"/>
      <c r="S113" s="967"/>
      <c r="T113" s="967"/>
      <c r="U113" s="966"/>
      <c r="V113" s="967"/>
      <c r="W113" s="967"/>
      <c r="X113" s="967"/>
      <c r="Y113" s="966"/>
      <c r="Z113" s="967"/>
      <c r="AA113" s="967"/>
      <c r="AB113" s="967"/>
      <c r="AC113" s="966"/>
      <c r="AD113" s="967"/>
      <c r="AE113" s="967"/>
      <c r="AF113" s="967"/>
      <c r="AG113" s="966"/>
      <c r="AH113" s="967"/>
      <c r="AI113" s="967"/>
      <c r="AJ113" s="967"/>
      <c r="AK113" s="966"/>
      <c r="AL113" s="967"/>
      <c r="AM113" s="967"/>
      <c r="AN113" s="967"/>
      <c r="AO113" s="966"/>
      <c r="AP113" s="967"/>
      <c r="AQ113" s="967"/>
      <c r="AR113" s="967"/>
      <c r="AS113" s="966"/>
      <c r="AT113" s="967"/>
      <c r="AU113" s="967"/>
      <c r="AV113" s="967"/>
      <c r="AW113" s="966"/>
      <c r="AX113" s="967"/>
      <c r="AY113" s="967"/>
      <c r="AZ113" s="967"/>
      <c r="BA113" s="966"/>
      <c r="BB113" s="967"/>
      <c r="BC113" s="967"/>
      <c r="BD113" s="967"/>
      <c r="BE113" s="966"/>
      <c r="BF113" s="967"/>
      <c r="BG113" s="967"/>
      <c r="BH113" s="967"/>
      <c r="BI113" s="966"/>
      <c r="BJ113" s="967"/>
      <c r="BK113" s="967"/>
      <c r="BL113" s="967"/>
      <c r="BM113" s="966"/>
      <c r="BN113" s="967"/>
      <c r="BO113" s="967"/>
      <c r="BP113" s="967"/>
      <c r="BQ113" s="966"/>
      <c r="BR113" s="967"/>
      <c r="BS113" s="967"/>
      <c r="BT113" s="967"/>
      <c r="BU113" s="966"/>
      <c r="BV113" s="967"/>
      <c r="BW113" s="967"/>
      <c r="BX113" s="967"/>
      <c r="BY113" s="966"/>
      <c r="BZ113" s="967"/>
      <c r="CA113" s="967"/>
      <c r="CB113" s="968">
        <v>0</v>
      </c>
      <c r="CC113" s="969">
        <v>6.5</v>
      </c>
      <c r="CD113" s="968">
        <v>10</v>
      </c>
      <c r="CE113" s="968">
        <v>13</v>
      </c>
      <c r="CF113" s="968">
        <v>15</v>
      </c>
      <c r="CG113" s="969">
        <v>17</v>
      </c>
      <c r="CH113" s="968">
        <v>20</v>
      </c>
      <c r="CI113" s="967">
        <v>24.9</v>
      </c>
      <c r="CJ113" s="967">
        <v>27.9</v>
      </c>
      <c r="CK113" s="966">
        <v>31.8</v>
      </c>
      <c r="CL113" s="967">
        <v>35.799999999999997</v>
      </c>
      <c r="CM113" s="967">
        <v>39.9</v>
      </c>
      <c r="CN113" s="967">
        <v>43.3</v>
      </c>
      <c r="CO113" s="966">
        <v>47.2</v>
      </c>
      <c r="CP113" s="970">
        <f t="shared" ref="CP113:DU113" si="978">CO113+CP115</f>
      </c>
      <c r="CQ113" s="970">
        <f t="shared" si="978"/>
      </c>
      <c r="CR113" s="970">
        <f t="shared" si="978"/>
      </c>
      <c r="CS113" s="971">
        <f t="shared" si="978"/>
      </c>
      <c r="CT113" s="970">
        <f t="shared" si="978"/>
      </c>
      <c r="CU113" s="970">
        <f t="shared" si="978"/>
      </c>
      <c r="CV113" s="970">
        <f t="shared" si="978"/>
      </c>
      <c r="CW113" s="971">
        <f t="shared" si="978"/>
      </c>
      <c r="CX113" s="970">
        <f t="shared" si="978"/>
      </c>
      <c r="CY113" s="970">
        <f t="shared" si="978"/>
      </c>
      <c r="CZ113" s="970">
        <f t="shared" si="978"/>
      </c>
      <c r="DA113" s="971">
        <f t="shared" si="978"/>
      </c>
      <c r="DB113" s="970">
        <f t="shared" si="978"/>
      </c>
      <c r="DC113" s="970">
        <f t="shared" si="978"/>
      </c>
      <c r="DD113" s="970">
        <f t="shared" si="978"/>
      </c>
      <c r="DE113" s="971">
        <f t="shared" si="978"/>
      </c>
      <c r="DF113" s="970">
        <f t="shared" si="978"/>
      </c>
      <c r="DG113" s="970">
        <f t="shared" si="978"/>
      </c>
      <c r="DH113" s="970">
        <f t="shared" si="978"/>
      </c>
      <c r="DI113" s="971">
        <f t="shared" si="978"/>
      </c>
      <c r="DJ113" s="970">
        <f t="shared" si="978"/>
      </c>
      <c r="DK113" s="970">
        <f t="shared" si="978"/>
      </c>
      <c r="DL113" s="970">
        <f t="shared" si="978"/>
      </c>
      <c r="DM113" s="971">
        <f t="shared" si="978"/>
      </c>
      <c r="DN113" s="970">
        <f t="shared" si="978"/>
      </c>
      <c r="DO113" s="970">
        <f t="shared" si="978"/>
      </c>
      <c r="DP113" s="970">
        <f t="shared" si="978"/>
      </c>
      <c r="DQ113" s="971">
        <f t="shared" si="978"/>
      </c>
      <c r="DR113" s="970">
        <f t="shared" si="978"/>
      </c>
      <c r="DS113" s="970">
        <f t="shared" si="978"/>
      </c>
      <c r="DT113" s="970">
        <f t="shared" si="978"/>
      </c>
      <c r="DU113" s="981">
        <f t="shared" si="978"/>
      </c>
      <c r="DV113" s="970">
        <f t="shared" ref="DV113" si="979">DU113+DV115</f>
      </c>
      <c r="DW113" s="970">
        <f t="shared" ref="DW113" si="980">DV113+DW115</f>
      </c>
      <c r="DX113" s="970">
        <f t="shared" ref="DX113" si="981">DW113+DX115</f>
      </c>
      <c r="DY113" s="981">
        <f t="shared" ref="DY113" si="982">DX113+DY115</f>
      </c>
      <c r="DZ113" s="970">
        <f t="shared" ref="DZ113" si="983">DY113+DZ115</f>
      </c>
      <c r="EA113" s="970">
        <f t="shared" ref="EA113" si="984">DZ113+EA115</f>
      </c>
      <c r="EB113" s="970">
        <f t="shared" ref="EB113" si="985">EA113+EB115</f>
      </c>
      <c r="EC113" s="981">
        <f t="shared" ref="EC113" si="986">EB113+EC115</f>
      </c>
      <c r="ED113" s="970">
        <f t="shared" ref="ED113" si="987">EC113+ED115</f>
      </c>
      <c r="EE113" s="970">
        <f t="shared" ref="EE113" si="988">ED113+EE115</f>
      </c>
      <c r="EF113" s="970">
        <f t="shared" ref="EF113" si="989">EE113+EF115</f>
      </c>
      <c r="EG113" s="981">
        <f t="shared" ref="EG113" si="990">EF113+EG115</f>
      </c>
      <c r="EH113" s="970">
        <f t="shared" ref="EH113" si="991">EG113+EH115</f>
      </c>
      <c r="EI113" s="970">
        <f t="shared" ref="EI113" si="992">EH113+EI115</f>
      </c>
      <c r="EJ113" s="970">
        <f t="shared" ref="EJ113" si="993">EI113+EJ115</f>
      </c>
      <c r="EK113" s="981">
        <f t="shared" ref="EK113" si="994">EJ113+EK115</f>
      </c>
      <c r="FF113" s="970">
        <f>+CC113</f>
      </c>
      <c r="FG113" s="972">
        <f>CG113</f>
      </c>
      <c r="FH113" s="972">
        <f>CK113</f>
      </c>
      <c r="FI113" s="972">
        <f>CO113</f>
      </c>
      <c r="FJ113" s="972">
        <f>CS113</f>
      </c>
      <c r="FK113" s="972">
        <f>CW113</f>
      </c>
      <c r="FL113" s="972">
        <f>DA113</f>
      </c>
      <c r="FM113" s="972">
        <f>DE113</f>
      </c>
      <c r="FN113" s="972">
        <f>DI113</f>
      </c>
      <c r="FO113" s="972">
        <f>DM113</f>
      </c>
      <c r="FP113" s="972">
        <f>DQ113</f>
      </c>
      <c r="FQ113" s="972">
        <f>DU113</f>
      </c>
      <c r="FR113" s="972">
        <f>DY113</f>
      </c>
      <c r="FS113" s="972">
        <f>EC113</f>
      </c>
      <c r="FT113" s="972">
        <f>EG113</f>
      </c>
      <c r="FU113" s="972">
        <f>EK113</f>
      </c>
      <c r="GP113" s="970">
        <f>+CD113</f>
      </c>
      <c r="GQ113" s="970">
        <f>+CH113</f>
      </c>
      <c r="GR113" s="970">
        <f>CL113</f>
      </c>
      <c r="GS113" s="970">
        <f>CP113</f>
      </c>
      <c r="GT113" s="970">
        <f>CT113</f>
      </c>
      <c r="GU113" s="970">
        <f>CX113</f>
      </c>
      <c r="GV113" s="970">
        <f>DB113</f>
      </c>
      <c r="GW113" s="970">
        <f>DF113</f>
      </c>
      <c r="GX113" s="970">
        <f>DJ113</f>
      </c>
      <c r="GY113" s="970">
        <f>DN113</f>
      </c>
      <c r="GZ113" s="970">
        <f>DR113</f>
      </c>
      <c r="HA113" s="970">
        <f t="shared" ref="HA113:HC113" si="995">DS113</f>
      </c>
      <c r="HB113" s="970">
        <f>DZ113</f>
      </c>
      <c r="HC113" s="970">
        <f t="shared" si="995"/>
      </c>
      <c r="HD113" s="970">
        <f>EH113</f>
      </c>
    </row>
    <row r="114" spans="1:214" s="943" customFormat="1" ht="10.199999999999999">
      <c r="A114" s="982" t="s">
        <v>823</v>
      </c>
      <c r="B114" s="942"/>
      <c r="C114" s="942"/>
      <c r="D114" s="942"/>
      <c r="E114" s="941"/>
      <c r="F114" s="942"/>
      <c r="G114" s="942"/>
      <c r="H114" s="942"/>
      <c r="I114" s="941"/>
      <c r="J114" s="942"/>
      <c r="K114" s="942"/>
      <c r="L114" s="942"/>
      <c r="M114" s="941"/>
      <c r="N114" s="942"/>
      <c r="O114" s="942"/>
      <c r="P114" s="942"/>
      <c r="Q114" s="941"/>
      <c r="R114" s="942"/>
      <c r="S114" s="942"/>
      <c r="T114" s="942"/>
      <c r="U114" s="941"/>
      <c r="V114" s="942"/>
      <c r="W114" s="942"/>
      <c r="X114" s="942"/>
      <c r="Y114" s="941"/>
      <c r="Z114" s="942"/>
      <c r="AA114" s="942"/>
      <c r="AB114" s="942"/>
      <c r="AC114" s="941"/>
      <c r="AD114" s="942"/>
      <c r="AE114" s="942"/>
      <c r="AF114" s="942"/>
      <c r="AG114" s="941"/>
      <c r="AH114" s="942"/>
      <c r="AI114" s="942"/>
      <c r="AJ114" s="942"/>
      <c r="AK114" s="941"/>
      <c r="AL114" s="942"/>
      <c r="AM114" s="942"/>
      <c r="AN114" s="942"/>
      <c r="AO114" s="941"/>
      <c r="AP114" s="942"/>
      <c r="AQ114" s="942"/>
      <c r="AR114" s="942"/>
      <c r="AS114" s="941"/>
      <c r="AT114" s="942"/>
      <c r="AU114" s="942"/>
      <c r="AV114" s="942"/>
      <c r="AW114" s="941"/>
      <c r="AX114" s="942"/>
      <c r="AY114" s="942"/>
      <c r="AZ114" s="942"/>
      <c r="BA114" s="941"/>
      <c r="BB114" s="942"/>
      <c r="BC114" s="942"/>
      <c r="BD114" s="942"/>
      <c r="BE114" s="941"/>
      <c r="BF114" s="942"/>
      <c r="BG114" s="942"/>
      <c r="BH114" s="942"/>
      <c r="BI114" s="941"/>
      <c r="BJ114" s="942"/>
      <c r="BK114" s="942"/>
      <c r="BL114" s="942"/>
      <c r="BM114" s="941"/>
      <c r="BN114" s="942"/>
      <c r="BO114" s="942"/>
      <c r="BP114" s="942"/>
      <c r="BQ114" s="941"/>
      <c r="BR114" s="942"/>
      <c r="BS114" s="942"/>
      <c r="BT114" s="942"/>
      <c r="BU114" s="941"/>
      <c r="BV114" s="942"/>
      <c r="BW114" s="942"/>
      <c r="BX114" s="942"/>
      <c r="BY114" s="941"/>
      <c r="BZ114" s="942"/>
      <c r="CA114" s="942"/>
      <c r="CB114" s="944"/>
      <c r="CC114" s="945">
        <f>2/3*15/4+1/3*10</f>
      </c>
      <c r="CD114" s="944">
        <f t="shared" ref="CD114:CP114" si="996">2/3*15/4+1/3*10</f>
      </c>
      <c r="CE114" s="944">
        <f t="shared" si="996"/>
      </c>
      <c r="CF114" s="944">
        <f t="shared" si="996"/>
      </c>
      <c r="CG114" s="945">
        <f t="shared" si="996"/>
      </c>
      <c r="CH114" s="944">
        <f t="shared" si="996"/>
      </c>
      <c r="CI114" s="944">
        <f t="shared" si="996"/>
      </c>
      <c r="CJ114" s="944">
        <f t="shared" si="996"/>
      </c>
      <c r="CK114" s="945">
        <f t="shared" si="996"/>
      </c>
      <c r="CL114" s="944">
        <f t="shared" si="996"/>
      </c>
      <c r="CM114" s="944">
        <f t="shared" si="996"/>
      </c>
      <c r="CN114" s="944">
        <f t="shared" si="996"/>
      </c>
      <c r="CO114" s="945">
        <f t="shared" si="996"/>
      </c>
      <c r="CP114" s="944">
        <f t="shared" si="996"/>
      </c>
      <c r="CQ114" s="944">
        <f>CP114-0.025</f>
      </c>
      <c r="CR114" s="944">
        <f t="shared" ref="CR114:DU114" si="997">CQ114-0.025</f>
      </c>
      <c r="CS114" s="945">
        <f t="shared" si="997"/>
      </c>
      <c r="CT114" s="944">
        <f t="shared" si="997"/>
      </c>
      <c r="CU114" s="944">
        <f t="shared" si="997"/>
      </c>
      <c r="CV114" s="944">
        <f t="shared" si="997"/>
      </c>
      <c r="CW114" s="945">
        <f t="shared" si="997"/>
      </c>
      <c r="CX114" s="944">
        <f t="shared" si="997"/>
      </c>
      <c r="CY114" s="944">
        <f t="shared" si="997"/>
      </c>
      <c r="CZ114" s="944">
        <f t="shared" si="997"/>
      </c>
      <c r="DA114" s="945">
        <f t="shared" si="997"/>
      </c>
      <c r="DB114" s="944">
        <f t="shared" si="997"/>
      </c>
      <c r="DC114" s="944">
        <f t="shared" si="997"/>
      </c>
      <c r="DD114" s="944">
        <f t="shared" si="997"/>
      </c>
      <c r="DE114" s="945">
        <f t="shared" si="997"/>
      </c>
      <c r="DF114" s="944">
        <f>(DE114-0.025)*14/13*(1+0.1*1/3)</f>
      </c>
      <c r="DG114" s="944">
        <f>(DF114*13/14)*(1+0.1*2/3)</f>
      </c>
      <c r="DH114" s="944">
        <f t="shared" si="997"/>
      </c>
      <c r="DI114" s="945">
        <f t="shared" si="997"/>
      </c>
      <c r="DJ114" s="944">
        <f t="shared" si="997"/>
      </c>
      <c r="DK114" s="944">
        <f t="shared" si="997"/>
      </c>
      <c r="DL114" s="944">
        <f t="shared" si="997"/>
      </c>
      <c r="DM114" s="945">
        <f t="shared" si="997"/>
      </c>
      <c r="DN114" s="944">
        <f t="shared" si="997"/>
      </c>
      <c r="DO114" s="944">
        <f t="shared" si="997"/>
      </c>
      <c r="DP114" s="944">
        <f t="shared" si="997"/>
      </c>
      <c r="DQ114" s="945">
        <f t="shared" si="997"/>
      </c>
      <c r="DR114" s="944">
        <f t="shared" si="997"/>
      </c>
      <c r="DS114" s="944">
        <f t="shared" si="997"/>
      </c>
      <c r="DT114" s="944">
        <f t="shared" si="997"/>
      </c>
      <c r="DU114" s="983">
        <f t="shared" si="997"/>
      </c>
      <c r="DV114" s="944">
        <f t="shared" ref="DV114" si="998">DU114-0.025</f>
      </c>
      <c r="DW114" s="944">
        <f t="shared" ref="DW114" si="999">DV114-0.025</f>
      </c>
      <c r="DX114" s="944">
        <f t="shared" ref="DX114" si="1000">DW114-0.025</f>
      </c>
      <c r="DY114" s="983">
        <f t="shared" ref="DY114" si="1001">DX114-0.025</f>
      </c>
      <c r="DZ114" s="944">
        <f t="shared" ref="DZ114" si="1002">DY114-0.025</f>
      </c>
      <c r="EA114" s="944">
        <f t="shared" ref="EA114" si="1003">DZ114-0.025</f>
      </c>
      <c r="EB114" s="944">
        <f t="shared" ref="EB114" si="1004">EA114-0.025</f>
      </c>
      <c r="EC114" s="983">
        <f t="shared" ref="EC114" si="1005">EB114-0.025</f>
      </c>
      <c r="ED114" s="944">
        <f t="shared" ref="ED114" si="1006">EC114-0.025</f>
      </c>
      <c r="EE114" s="944">
        <f t="shared" ref="EE114" si="1007">ED114-0.025</f>
      </c>
      <c r="EF114" s="944">
        <f t="shared" ref="EF114" si="1008">EE114-0.025</f>
      </c>
      <c r="EG114" s="983">
        <f t="shared" ref="EG114" si="1009">EF114-0.025</f>
      </c>
      <c r="EH114" s="944">
        <f t="shared" ref="EH114" si="1010">EG114-0.025</f>
      </c>
      <c r="EI114" s="944">
        <f t="shared" ref="EI114" si="1011">EH114-0.025</f>
      </c>
      <c r="EJ114" s="944">
        <f t="shared" ref="EJ114" si="1012">EI114-0.025</f>
      </c>
      <c r="EK114" s="983">
        <f t="shared" ref="EK114" si="1013">EJ114-0.025</f>
      </c>
      <c r="EM114" s="944"/>
      <c r="EN114" s="944"/>
      <c r="EO114" s="944"/>
      <c r="EP114" s="944"/>
      <c r="EQ114" s="944"/>
      <c r="ER114" s="944"/>
      <c r="ES114" s="944"/>
      <c r="ET114" s="944"/>
      <c r="EU114" s="944"/>
      <c r="EV114" s="944"/>
      <c r="EW114" s="944"/>
      <c r="EX114" s="944"/>
      <c r="EY114" s="944"/>
      <c r="EZ114" s="944"/>
      <c r="FA114" s="944"/>
      <c r="FB114" s="944"/>
      <c r="FC114" s="944"/>
      <c r="FD114" s="944"/>
      <c r="FE114" s="944"/>
      <c r="FF114" s="944"/>
      <c r="FG114" s="944"/>
      <c r="FH114" s="944"/>
      <c r="FI114" s="944"/>
      <c r="FJ114" s="1467">
        <f t="shared" ref="FJ114" si="1014">FJ112/AVERAGE(FI113:FJ113)/12</f>
      </c>
      <c r="FK114" s="1467">
        <f t="shared" ref="FK114" si="1015">FK112/AVERAGE(FJ113:FK113)/12</f>
      </c>
      <c r="FL114" s="1467">
        <f t="shared" ref="FL114" si="1016">FL112/AVERAGE(FK113:FL113)/12</f>
      </c>
      <c r="FM114" s="1467">
        <f t="shared" ref="FM114" si="1017">FM112/AVERAGE(FL113:FM113)/12</f>
      </c>
      <c r="FN114" s="1467">
        <f t="shared" ref="FN114" si="1018">FN112/AVERAGE(FM113:FN113)/12</f>
      </c>
      <c r="FO114" s="1467">
        <f t="shared" ref="FO114" si="1019">FO112/AVERAGE(FN113:FO113)/12</f>
      </c>
      <c r="FP114" s="1467">
        <f t="shared" ref="FP114" si="1020">FP112/AVERAGE(FO113:FP113)/12</f>
      </c>
      <c r="FQ114" s="1467">
        <f>FQ112/AVERAGE(FP113:FQ113)/12</f>
      </c>
      <c r="FR114" s="1467">
        <f t="shared" ref="FR114:FU114" si="1021">FR112/AVERAGE(FQ113:FR113)/12</f>
      </c>
      <c r="FS114" s="1467">
        <f t="shared" si="1021"/>
      </c>
      <c r="FT114" s="1467">
        <f t="shared" si="1021"/>
      </c>
      <c r="FU114" s="1467">
        <f t="shared" si="1021"/>
      </c>
      <c r="FV114" s="942"/>
      <c r="FW114" s="944"/>
      <c r="FX114" s="944"/>
      <c r="FY114" s="944"/>
      <c r="FZ114" s="944"/>
      <c r="GA114" s="944"/>
      <c r="GB114" s="944"/>
      <c r="GC114" s="944"/>
      <c r="GD114" s="944"/>
      <c r="GE114" s="944"/>
      <c r="GF114" s="944"/>
      <c r="GG114" s="944"/>
      <c r="GH114" s="944"/>
      <c r="GI114" s="944"/>
      <c r="GJ114" s="944"/>
      <c r="GK114" s="944"/>
      <c r="GL114" s="944"/>
      <c r="GM114" s="944"/>
      <c r="GN114" s="944"/>
      <c r="GO114" s="944"/>
      <c r="GP114" s="1467">
        <f t="shared" ref="GP114:GY114" si="1022">GP112/AVERAGE(GO113:GP113)/12</f>
      </c>
      <c r="GQ114" s="1467">
        <f t="shared" si="1022"/>
      </c>
      <c r="GR114" s="1467">
        <f t="shared" si="1022"/>
      </c>
      <c r="GS114" s="1467">
        <f t="shared" si="1022"/>
      </c>
      <c r="GT114" s="1467">
        <f t="shared" si="1022"/>
      </c>
      <c r="GU114" s="1467">
        <f t="shared" si="1022"/>
      </c>
      <c r="GV114" s="1467">
        <f t="shared" si="1022"/>
      </c>
      <c r="GW114" s="1467">
        <f t="shared" si="1022"/>
      </c>
      <c r="GX114" s="1467">
        <f t="shared" si="1022"/>
      </c>
      <c r="GY114" s="1467">
        <f t="shared" si="1022"/>
      </c>
      <c r="GZ114" s="1467">
        <f>GZ112/AVERAGE(GY113:GZ113)/12</f>
      </c>
      <c r="HA114" s="1467">
        <f t="shared" ref="HA114:HD114" si="1023">HA112/AVERAGE(GZ113:HA113)/12</f>
      </c>
      <c r="HB114" s="1467">
        <f t="shared" si="1023"/>
      </c>
      <c r="HC114" s="1467">
        <f t="shared" si="1023"/>
      </c>
      <c r="HD114" s="1467">
        <f t="shared" si="1023"/>
      </c>
      <c r="HF114" s="88"/>
    </row>
    <row r="115" spans="1:214" s="970" customFormat="1" ht="10.199999999999999">
      <c r="A115" s="984" t="s">
        <v>1202</v>
      </c>
      <c r="B115" s="985"/>
      <c r="C115" s="985"/>
      <c r="D115" s="985"/>
      <c r="E115" s="986"/>
      <c r="F115" s="985"/>
      <c r="G115" s="985"/>
      <c r="H115" s="985"/>
      <c r="I115" s="986"/>
      <c r="J115" s="985"/>
      <c r="K115" s="985"/>
      <c r="L115" s="985"/>
      <c r="M115" s="986"/>
      <c r="N115" s="985"/>
      <c r="O115" s="985"/>
      <c r="P115" s="985"/>
      <c r="Q115" s="986"/>
      <c r="R115" s="985"/>
      <c r="S115" s="985"/>
      <c r="T115" s="985"/>
      <c r="U115" s="986"/>
      <c r="V115" s="985"/>
      <c r="W115" s="985"/>
      <c r="X115" s="985"/>
      <c r="Y115" s="986"/>
      <c r="Z115" s="985"/>
      <c r="AA115" s="985"/>
      <c r="AB115" s="985"/>
      <c r="AC115" s="986"/>
      <c r="AD115" s="985"/>
      <c r="AE115" s="985"/>
      <c r="AF115" s="985"/>
      <c r="AG115" s="986"/>
      <c r="AH115" s="985"/>
      <c r="AI115" s="985"/>
      <c r="AJ115" s="985"/>
      <c r="AK115" s="986"/>
      <c r="AL115" s="985"/>
      <c r="AM115" s="985"/>
      <c r="AN115" s="985"/>
      <c r="AO115" s="986"/>
      <c r="AP115" s="985"/>
      <c r="AQ115" s="985"/>
      <c r="AR115" s="985"/>
      <c r="AS115" s="986"/>
      <c r="AT115" s="985"/>
      <c r="AU115" s="985"/>
      <c r="AV115" s="985"/>
      <c r="AW115" s="986"/>
      <c r="AX115" s="985"/>
      <c r="AY115" s="985"/>
      <c r="AZ115" s="985"/>
      <c r="BA115" s="986"/>
      <c r="BB115" s="985"/>
      <c r="BC115" s="985"/>
      <c r="BD115" s="985"/>
      <c r="BE115" s="986"/>
      <c r="BF115" s="985"/>
      <c r="BG115" s="985"/>
      <c r="BH115" s="985"/>
      <c r="BI115" s="986"/>
      <c r="BJ115" s="985"/>
      <c r="BK115" s="985"/>
      <c r="BL115" s="985"/>
      <c r="BM115" s="986"/>
      <c r="BN115" s="985"/>
      <c r="BO115" s="985"/>
      <c r="BP115" s="985"/>
      <c r="BQ115" s="986"/>
      <c r="BR115" s="985"/>
      <c r="BS115" s="985"/>
      <c r="BT115" s="985"/>
      <c r="BU115" s="986"/>
      <c r="BV115" s="987"/>
      <c r="BW115" s="985"/>
      <c r="BX115" s="985"/>
      <c r="BY115" s="986"/>
      <c r="BZ115" s="987"/>
      <c r="CA115" s="985"/>
      <c r="CB115" s="985"/>
      <c r="CC115" s="986"/>
      <c r="CD115" s="987"/>
      <c r="CE115" s="985"/>
      <c r="CF115" s="985">
        <f t="shared" ref="CF115:CO115" si="1024">CF113-CE113</f>
      </c>
      <c r="CG115" s="986">
        <f t="shared" si="1024"/>
      </c>
      <c r="CH115" s="987">
        <f t="shared" si="1024"/>
      </c>
      <c r="CI115" s="985">
        <f t="shared" si="1024"/>
      </c>
      <c r="CJ115" s="985">
        <f t="shared" si="1024"/>
      </c>
      <c r="CK115" s="986">
        <f t="shared" si="1024"/>
      </c>
      <c r="CL115" s="987">
        <f t="shared" si="1024"/>
      </c>
      <c r="CM115" s="985">
        <f t="shared" si="1024"/>
      </c>
      <c r="CN115" s="985">
        <f t="shared" si="1024"/>
      </c>
      <c r="CO115" s="986">
        <f t="shared" si="1024"/>
      </c>
      <c r="CP115" s="988">
        <v>2</v>
      </c>
      <c r="CQ115" s="988">
        <v>4</v>
      </c>
      <c r="CR115" s="988">
        <v>4</v>
      </c>
      <c r="CS115" s="989">
        <v>4</v>
      </c>
      <c r="CT115" s="988">
        <v>5</v>
      </c>
      <c r="CU115" s="988">
        <v>5</v>
      </c>
      <c r="CV115" s="988">
        <v>5</v>
      </c>
      <c r="CW115" s="989">
        <v>5</v>
      </c>
      <c r="CX115" s="988">
        <v>5</v>
      </c>
      <c r="CY115" s="988">
        <v>3</v>
      </c>
      <c r="CZ115" s="988">
        <v>3</v>
      </c>
      <c r="DA115" s="989">
        <v>3</v>
      </c>
      <c r="DB115" s="988">
        <v>2</v>
      </c>
      <c r="DC115" s="988">
        <v>1</v>
      </c>
      <c r="DD115" s="988">
        <v>2</v>
      </c>
      <c r="DE115" s="988">
        <v>2</v>
      </c>
      <c r="DF115" s="990">
        <v>3</v>
      </c>
      <c r="DG115" s="988">
        <v>1</v>
      </c>
      <c r="DH115" s="988">
        <v>2</v>
      </c>
      <c r="DI115" s="989">
        <v>2</v>
      </c>
      <c r="DJ115" s="990">
        <v>3</v>
      </c>
      <c r="DK115" s="988">
        <v>1</v>
      </c>
      <c r="DL115" s="988">
        <v>2</v>
      </c>
      <c r="DM115" s="989">
        <v>1</v>
      </c>
      <c r="DN115" s="990">
        <v>3</v>
      </c>
      <c r="DO115" s="988">
        <v>1</v>
      </c>
      <c r="DP115" s="988">
        <v>2</v>
      </c>
      <c r="DQ115" s="989">
        <v>2</v>
      </c>
      <c r="DR115" s="990">
        <v>3</v>
      </c>
      <c r="DS115" s="988">
        <v>1</v>
      </c>
      <c r="DT115" s="988">
        <v>2</v>
      </c>
      <c r="DU115" s="989">
        <v>2</v>
      </c>
      <c r="DV115" s="990">
        <v>3</v>
      </c>
      <c r="DW115" s="988">
        <v>1</v>
      </c>
      <c r="DX115" s="988">
        <v>2</v>
      </c>
      <c r="DY115" s="989">
        <v>2</v>
      </c>
      <c r="DZ115" s="990">
        <v>3</v>
      </c>
      <c r="EA115" s="988">
        <v>1</v>
      </c>
      <c r="EB115" s="988">
        <v>2</v>
      </c>
      <c r="EC115" s="989">
        <v>2</v>
      </c>
      <c r="ED115" s="990">
        <v>3</v>
      </c>
      <c r="EE115" s="988">
        <v>1</v>
      </c>
      <c r="EF115" s="988">
        <v>2</v>
      </c>
      <c r="EG115" s="989">
        <v>2</v>
      </c>
      <c r="EH115" s="990">
        <v>3</v>
      </c>
      <c r="EI115" s="988">
        <v>1</v>
      </c>
      <c r="EJ115" s="988">
        <v>2</v>
      </c>
      <c r="EK115" s="989">
        <v>2</v>
      </c>
      <c r="EM115" s="988"/>
      <c r="EN115" s="988"/>
      <c r="EO115" s="988"/>
      <c r="EP115" s="988"/>
      <c r="EQ115" s="988"/>
      <c r="ER115" s="988"/>
      <c r="ES115" s="988"/>
      <c r="ET115" s="988"/>
      <c r="EU115" s="988"/>
      <c r="EV115" s="988"/>
      <c r="EW115" s="988"/>
      <c r="EX115" s="988"/>
      <c r="EY115" s="988"/>
      <c r="EZ115" s="988"/>
      <c r="FA115" s="988"/>
      <c r="FB115" s="988"/>
      <c r="FC115" s="988"/>
      <c r="FD115" s="988"/>
      <c r="FE115" s="985">
        <f t="shared" ref="FE115" si="1025">SUM(BV115:BY115)</f>
      </c>
      <c r="FF115" s="985">
        <f t="shared" ref="FF115" si="1026">SUM(BZ115:CC115)</f>
      </c>
      <c r="FG115" s="985">
        <f t="shared" ref="FG115" si="1027">SUM(CD115:CG115)</f>
      </c>
      <c r="FH115" s="985">
        <f t="shared" ref="FH115" si="1028">SUM(CH115:CK115)</f>
      </c>
      <c r="FI115" s="985">
        <f t="shared" ref="FI115" si="1029">SUM(CL115:CO115)</f>
      </c>
      <c r="FJ115" s="985">
        <f t="shared" ref="FJ115" si="1030">SUM(CP115:CS115)</f>
      </c>
      <c r="FK115" s="985">
        <f t="shared" ref="FK115" si="1031">SUM(CT115:CW115)</f>
      </c>
      <c r="FL115" s="985">
        <f t="shared" ref="FL115" si="1032">SUM(CX115:DA115)</f>
      </c>
      <c r="FM115" s="985">
        <f t="shared" ref="FM115" si="1033">SUM(DB115:DE115)</f>
      </c>
      <c r="FN115" s="985">
        <f t="shared" ref="FN115" si="1034">SUM(DF115:DI115)</f>
      </c>
      <c r="FO115" s="985">
        <f t="shared" ref="FO115" si="1035">SUM(DJ115:DM115)</f>
      </c>
      <c r="FP115" s="985">
        <f>SUM(DN115:DQ115)</f>
      </c>
      <c r="FQ115" s="985">
        <f>SUM(DR115:DU115)</f>
      </c>
      <c r="FR115" s="985">
        <f>SUM(DV115:DY115)</f>
      </c>
      <c r="FS115" s="985">
        <f>SUM(DZ115:EC115)</f>
      </c>
      <c r="FT115" s="985">
        <f>SUM(ED115:EG115)</f>
      </c>
      <c r="FU115" s="985">
        <f>SUM(EH115:EK115)</f>
      </c>
      <c r="FV115" s="1492"/>
      <c r="FW115" s="988"/>
      <c r="FX115" s="988"/>
      <c r="FY115" s="988"/>
      <c r="FZ115" s="988"/>
      <c r="GA115" s="988"/>
      <c r="GB115" s="988"/>
      <c r="GC115" s="988"/>
      <c r="GD115" s="988"/>
      <c r="GE115" s="988"/>
      <c r="GF115" s="988"/>
      <c r="GG115" s="988"/>
      <c r="GH115" s="988"/>
      <c r="GI115" s="988"/>
      <c r="GJ115" s="988"/>
      <c r="GK115" s="988"/>
      <c r="GL115" s="988"/>
      <c r="GM115" s="988"/>
      <c r="GN115" s="988"/>
      <c r="GO115" s="988"/>
      <c r="GP115" s="2278">
        <f t="shared" ref="GP115:GY115" si="1036">GP113-GO113</f>
      </c>
      <c r="GQ115" s="2278">
        <f t="shared" si="1036"/>
      </c>
      <c r="GR115" s="2278">
        <f t="shared" si="1036"/>
      </c>
      <c r="GS115" s="2278">
        <f t="shared" si="1036"/>
      </c>
      <c r="GT115" s="2278">
        <f t="shared" si="1036"/>
      </c>
      <c r="GU115" s="2278">
        <f t="shared" si="1036"/>
      </c>
      <c r="GV115" s="2278">
        <f t="shared" si="1036"/>
      </c>
      <c r="GW115" s="2278">
        <f t="shared" si="1036"/>
      </c>
      <c r="GX115" s="2278">
        <f t="shared" si="1036"/>
      </c>
      <c r="GY115" s="2278">
        <f t="shared" si="1036"/>
      </c>
      <c r="GZ115" s="2278">
        <f>GZ113-GY113</f>
      </c>
      <c r="HA115" s="2278">
        <f t="shared" ref="HA115:HD115" si="1037">HA113-GZ113</f>
      </c>
      <c r="HB115" s="2278">
        <f t="shared" si="1037"/>
      </c>
      <c r="HC115" s="2278">
        <f t="shared" si="1037"/>
      </c>
      <c r="HD115" s="2278">
        <f t="shared" si="1037"/>
      </c>
    </row>
    <row r="116" spans="1:214" s="89" customFormat="1" ht="10.199999999999999">
      <c r="A116" s="152"/>
      <c r="E116" s="260"/>
      <c r="I116" s="260"/>
      <c r="M116" s="260"/>
      <c r="Q116" s="260"/>
      <c r="U116" s="260"/>
      <c r="Y116" s="260"/>
      <c r="AC116" s="260"/>
      <c r="AG116" s="260"/>
      <c r="AJ116" s="72"/>
      <c r="AK116" s="227"/>
      <c r="AL116" s="72"/>
      <c r="AM116" s="72"/>
      <c r="AN116" s="72"/>
      <c r="AO116" s="227"/>
      <c r="AP116" s="72"/>
      <c r="AQ116" s="72"/>
      <c r="AR116" s="72"/>
      <c r="AS116" s="227"/>
      <c r="AT116" s="72"/>
      <c r="AU116" s="72"/>
      <c r="AV116" s="72"/>
      <c r="AW116" s="227"/>
      <c r="AX116" s="72"/>
      <c r="AY116" s="72"/>
      <c r="AZ116" s="72"/>
      <c r="BA116" s="227"/>
      <c r="BB116" s="72"/>
      <c r="BC116" s="72"/>
      <c r="BD116" s="72"/>
      <c r="BE116" s="227"/>
      <c r="BF116" s="72"/>
      <c r="BG116" s="72"/>
      <c r="BH116" s="72"/>
      <c r="BI116" s="227"/>
      <c r="BJ116" s="72"/>
      <c r="BK116" s="72"/>
      <c r="BL116" s="72"/>
      <c r="BM116" s="227"/>
      <c r="BN116" s="72"/>
      <c r="BO116" s="72"/>
      <c r="BP116" s="72"/>
      <c r="BQ116" s="227"/>
      <c r="BR116" s="72"/>
      <c r="BS116" s="72"/>
      <c r="BT116" s="72"/>
      <c r="BU116" s="227"/>
      <c r="BV116" s="355"/>
      <c r="BW116" s="72"/>
      <c r="BX116" s="72"/>
      <c r="BY116" s="227"/>
      <c r="BZ116" s="355"/>
      <c r="CA116" s="72"/>
      <c r="CB116" s="72"/>
      <c r="CC116" s="227"/>
      <c r="CD116" s="355"/>
      <c r="CE116" s="72"/>
      <c r="CF116" s="72"/>
      <c r="CG116" s="227"/>
      <c r="CH116" s="355"/>
      <c r="CI116" s="72"/>
      <c r="CJ116" s="72"/>
      <c r="CK116" s="227"/>
      <c r="CL116" s="355"/>
      <c r="CM116" s="72"/>
      <c r="CN116" s="72"/>
      <c r="CO116" s="227"/>
      <c r="CP116" s="72"/>
      <c r="CQ116" s="87"/>
      <c r="CR116" s="87"/>
      <c r="CS116" s="227"/>
      <c r="CT116" s="72"/>
      <c r="CU116" s="87"/>
      <c r="CV116" s="87"/>
      <c r="CW116" s="416"/>
      <c r="CX116" s="87"/>
      <c r="CY116" s="87"/>
      <c r="CZ116" s="87"/>
      <c r="DA116" s="416"/>
      <c r="DB116" s="87"/>
      <c r="DC116" s="87"/>
      <c r="DD116" s="87"/>
      <c r="DE116" s="232"/>
      <c r="DF116" s="419"/>
      <c r="DG116" s="3105"/>
      <c r="DH116" s="779"/>
      <c r="DI116" s="1474"/>
      <c r="DJ116" s="419"/>
      <c r="DK116" s="71"/>
      <c r="DL116" s="71"/>
      <c r="DM116" s="232"/>
      <c r="DN116" s="419"/>
      <c r="DO116" s="71"/>
      <c r="DP116" s="71"/>
      <c r="DQ116" s="232"/>
      <c r="DR116" s="419"/>
      <c r="DS116" s="71"/>
      <c r="DT116" s="71"/>
      <c r="DU116" s="232"/>
      <c r="DV116" s="419"/>
      <c r="DW116" s="71"/>
      <c r="DX116" s="71"/>
      <c r="DY116" s="232"/>
      <c r="DZ116" s="419"/>
      <c r="EA116" s="71"/>
      <c r="EB116" s="71"/>
      <c r="EC116" s="232"/>
      <c r="ED116" s="419"/>
      <c r="EE116" s="71"/>
      <c r="EF116" s="71"/>
      <c r="EG116" s="232"/>
      <c r="EH116" s="419"/>
      <c r="EI116" s="71"/>
      <c r="EJ116" s="71"/>
      <c r="EK116" s="232"/>
      <c r="EU116" s="72"/>
      <c r="EV116" s="72"/>
      <c r="EW116" s="72"/>
      <c r="EX116" s="72"/>
      <c r="EY116" s="72"/>
      <c r="EZ116" s="72"/>
      <c r="FA116" s="72"/>
      <c r="FB116" s="72"/>
      <c r="FC116" s="72"/>
      <c r="FD116" s="72"/>
      <c r="FE116" s="72"/>
      <c r="FF116" s="72"/>
      <c r="FG116" s="72"/>
      <c r="FH116" s="72"/>
      <c r="FI116" s="72"/>
      <c r="FJ116" s="72"/>
      <c r="FK116" s="72"/>
      <c r="FL116" s="72"/>
      <c r="FM116" s="72"/>
      <c r="FN116" s="72"/>
      <c r="FO116" s="72"/>
      <c r="FP116" s="72"/>
      <c r="FQ116" s="72"/>
      <c r="FR116" s="72"/>
      <c r="FS116" s="72"/>
      <c r="FT116" s="72"/>
      <c r="FU116" s="72"/>
      <c r="FV116" s="88"/>
      <c r="GE116" s="72"/>
      <c r="GF116" s="72"/>
      <c r="GG116" s="72"/>
      <c r="GH116" s="72"/>
      <c r="GI116" s="72"/>
      <c r="GJ116" s="72"/>
      <c r="GK116" s="72"/>
      <c r="GL116" s="72"/>
      <c r="GM116" s="72"/>
      <c r="GN116" s="72"/>
      <c r="GO116" s="72"/>
      <c r="GP116" s="72"/>
      <c r="GQ116" s="72"/>
      <c r="GR116" s="72"/>
      <c r="GS116" s="72"/>
      <c r="GT116" s="72"/>
      <c r="GU116" s="72"/>
      <c r="GV116" s="72"/>
      <c r="GW116" s="72"/>
      <c r="GX116" s="72"/>
      <c r="GY116" s="72"/>
      <c r="GZ116" s="72"/>
      <c r="HA116" s="72"/>
      <c r="HB116" s="72"/>
      <c r="HC116" s="72"/>
      <c r="HD116" s="72"/>
    </row>
    <row r="117" spans="1:214" s="16" customFormat="1" ht="10.199999999999999">
      <c r="A117" s="708" t="s">
        <v>1225</v>
      </c>
      <c r="B117" s="706" t="str">
        <f>'Revenue summary'!B$8</f>
      </c>
      <c r="C117" s="706" t="str">
        <f>'Revenue summary'!C$8</f>
      </c>
      <c r="D117" s="706" t="str">
        <f>'Revenue summary'!D$8</f>
      </c>
      <c r="E117" s="707" t="str">
        <f>'Revenue summary'!E$8</f>
      </c>
      <c r="F117" s="706" t="str">
        <f>'Revenue summary'!F$8</f>
      </c>
      <c r="G117" s="706" t="str">
        <f>'Revenue summary'!G$8</f>
      </c>
      <c r="H117" s="706" t="str">
        <f>'Revenue summary'!H$8</f>
      </c>
      <c r="I117" s="707" t="str">
        <f>'Revenue summary'!I$8</f>
      </c>
      <c r="J117" s="706" t="str">
        <f>'Revenue summary'!J$8</f>
      </c>
      <c r="K117" s="706" t="str">
        <f>'Revenue summary'!K$8</f>
      </c>
      <c r="L117" s="706" t="str">
        <f>'Revenue summary'!L$8</f>
      </c>
      <c r="M117" s="707" t="str">
        <f>'Revenue summary'!M$8</f>
      </c>
      <c r="N117" s="706" t="str">
        <f>'Revenue summary'!N$8</f>
      </c>
      <c r="O117" s="706" t="str">
        <f>'Revenue summary'!O$8</f>
      </c>
      <c r="P117" s="706" t="str">
        <f>'Revenue summary'!P$8</f>
      </c>
      <c r="Q117" s="707" t="str">
        <f>'Revenue summary'!Q$8</f>
      </c>
      <c r="R117" s="706" t="str">
        <f>'Revenue summary'!R$8</f>
      </c>
      <c r="S117" s="706" t="str">
        <f>'Revenue summary'!S$8</f>
      </c>
      <c r="T117" s="706" t="str">
        <f>'Revenue summary'!T$8</f>
      </c>
      <c r="U117" s="707" t="str">
        <f>'Revenue summary'!U$8</f>
      </c>
      <c r="V117" s="706" t="str">
        <f>'Revenue summary'!V$8</f>
      </c>
      <c r="W117" s="706" t="str">
        <f>'Revenue summary'!W$8</f>
      </c>
      <c r="X117" s="706" t="str">
        <f>'Revenue summary'!X$8</f>
      </c>
      <c r="Y117" s="707" t="str">
        <f>'Revenue summary'!Y$8</f>
      </c>
      <c r="Z117" s="706" t="str">
        <f>'Revenue summary'!Z$8</f>
      </c>
      <c r="AA117" s="706" t="str">
        <f>'Revenue summary'!AA$8</f>
      </c>
      <c r="AB117" s="706" t="str">
        <f>'Revenue summary'!AB$8</f>
      </c>
      <c r="AC117" s="707" t="str">
        <f>'Revenue summary'!AC$8</f>
      </c>
      <c r="AD117" s="706" t="str">
        <f>'Revenue summary'!AD$8</f>
      </c>
      <c r="AE117" s="706" t="str">
        <f>'Revenue summary'!AE$8</f>
      </c>
      <c r="AF117" s="706" t="str">
        <f>'Revenue summary'!AF$8</f>
      </c>
      <c r="AG117" s="707" t="str">
        <f>'Revenue summary'!AG$8</f>
      </c>
      <c r="AH117" s="706" t="str">
        <f>'Revenue summary'!AH$8</f>
      </c>
      <c r="AI117" s="706" t="str">
        <f>'Revenue summary'!AI$8</f>
      </c>
      <c r="AJ117" s="706" t="str">
        <f>'Revenue summary'!AJ$8</f>
      </c>
      <c r="AK117" s="707" t="str">
        <f>'Revenue summary'!AK$8</f>
      </c>
      <c r="AL117" s="706" t="str">
        <f>'Revenue summary'!AL$8</f>
      </c>
      <c r="AM117" s="706" t="str">
        <f>'Revenue summary'!AM$8</f>
      </c>
      <c r="AN117" s="706" t="str">
        <f>'Revenue summary'!AN$8</f>
      </c>
      <c r="AO117" s="707" t="str">
        <f>'Revenue summary'!AO$8</f>
      </c>
      <c r="AP117" s="706" t="str">
        <f>'Revenue summary'!AP$8</f>
      </c>
      <c r="AQ117" s="706" t="str">
        <f>'Revenue summary'!AQ$8</f>
      </c>
      <c r="AR117" s="706" t="str">
        <f>'Revenue summary'!AR$8</f>
      </c>
      <c r="AS117" s="707" t="str">
        <f>'Revenue summary'!AS$8</f>
      </c>
      <c r="AT117" s="706" t="str">
        <f>'Revenue summary'!AT$8</f>
      </c>
      <c r="AU117" s="706" t="str">
        <f>'Revenue summary'!AU$8</f>
      </c>
      <c r="AV117" s="706" t="str">
        <f>'Revenue summary'!AV$8</f>
      </c>
      <c r="AW117" s="707" t="str">
        <f>'Revenue summary'!AW$8</f>
      </c>
      <c r="AX117" s="706" t="str">
        <f>'Revenue summary'!AX$8</f>
      </c>
      <c r="AY117" s="706" t="str">
        <f>'Revenue summary'!AY$8</f>
      </c>
      <c r="AZ117" s="706" t="str">
        <f>'Revenue summary'!AZ$8</f>
      </c>
      <c r="BA117" s="707" t="str">
        <f>'Revenue summary'!BA$8</f>
      </c>
      <c r="BB117" s="706" t="str">
        <f>'Revenue summary'!BB$8</f>
      </c>
      <c r="BC117" s="706" t="str">
        <f>'Revenue summary'!BC$8</f>
      </c>
      <c r="BD117" s="706" t="str">
        <f>'Revenue summary'!BD$8</f>
      </c>
      <c r="BE117" s="707" t="str">
        <f>'Revenue summary'!BE$8</f>
      </c>
      <c r="BF117" s="706" t="str">
        <f>'Revenue summary'!BF$8</f>
      </c>
      <c r="BG117" s="706" t="str">
        <f>'Revenue summary'!BG$8</f>
      </c>
      <c r="BH117" s="706" t="str">
        <f>'Revenue summary'!BH$8</f>
      </c>
      <c r="BI117" s="707" t="str">
        <f>'Revenue summary'!BI$8</f>
      </c>
      <c r="BJ117" s="706" t="str">
        <f>'Revenue summary'!BJ$8</f>
      </c>
      <c r="BK117" s="706" t="str">
        <f>'Revenue summary'!BK$8</f>
      </c>
      <c r="BL117" s="706" t="str">
        <f>'Revenue summary'!BL$8</f>
      </c>
      <c r="BM117" s="707" t="str">
        <f>'Revenue summary'!BM$8</f>
      </c>
      <c r="BN117" s="706" t="str">
        <f>'Revenue summary'!BN$8</f>
      </c>
      <c r="BO117" s="706" t="str">
        <f>'Revenue summary'!BO$8</f>
      </c>
      <c r="BP117" s="706" t="str">
        <f>'Revenue summary'!BP$8</f>
      </c>
      <c r="BQ117" s="707" t="str">
        <f>'Revenue summary'!BQ$8</f>
      </c>
      <c r="BR117" s="706" t="str">
        <f>'Revenue summary'!BR$8</f>
      </c>
      <c r="BS117" s="706" t="str">
        <f>'Revenue summary'!BS$8</f>
      </c>
      <c r="BT117" s="706" t="str">
        <f>'Revenue summary'!BT$8</f>
      </c>
      <c r="BU117" s="707" t="str">
        <f>'Revenue summary'!BU$8</f>
      </c>
      <c r="BV117" s="706" t="str">
        <f>'Revenue summary'!BV$8</f>
      </c>
      <c r="BW117" s="706" t="str">
        <f>'Revenue summary'!BW$8</f>
      </c>
      <c r="BX117" s="706" t="str">
        <f>'Revenue summary'!BX$8</f>
      </c>
      <c r="BY117" s="707" t="str">
        <f>'Revenue summary'!BY$8</f>
      </c>
      <c r="BZ117" s="706" t="str">
        <f>'Revenue summary'!BZ$8</f>
      </c>
      <c r="CA117" s="706" t="str">
        <f>'Revenue summary'!CA$8</f>
      </c>
      <c r="CB117" s="706" t="str">
        <f>'Revenue summary'!CB$8</f>
      </c>
      <c r="CC117" s="707" t="str">
        <f>'Revenue summary'!CC$8</f>
      </c>
      <c r="CD117" s="706" t="str">
        <f>'Revenue summary'!CD$8</f>
      </c>
      <c r="CE117" s="706" t="str">
        <f>'Revenue summary'!CE$8</f>
      </c>
      <c r="CF117" s="706" t="str">
        <f>'Revenue summary'!CF$8</f>
      </c>
      <c r="CG117" s="707" t="str">
        <f>'Revenue summary'!CG$8</f>
      </c>
      <c r="CH117" s="706" t="str">
        <f>'Revenue summary'!CH$8</f>
      </c>
      <c r="CI117" s="706" t="str">
        <f>'Revenue summary'!CI$8</f>
      </c>
      <c r="CJ117" s="706" t="str">
        <f>'Revenue summary'!CJ$8</f>
      </c>
      <c r="CK117" s="707" t="str">
        <f>'Revenue summary'!CK$8</f>
      </c>
      <c r="CL117" s="706" t="str">
        <f>'Revenue summary'!CL$8</f>
      </c>
      <c r="CM117" s="706" t="str">
        <f>'Revenue summary'!CM$8</f>
      </c>
      <c r="CN117" s="706" t="str">
        <f>'Revenue summary'!CN$8</f>
      </c>
      <c r="CO117" s="707" t="str">
        <f>'Revenue summary'!CO$8</f>
      </c>
      <c r="CP117" s="706" t="str">
        <f>'Revenue summary'!CP$8</f>
      </c>
      <c r="CQ117" s="706" t="str">
        <f>'Revenue summary'!CQ$8</f>
      </c>
      <c r="CR117" s="706" t="str">
        <f>'Revenue summary'!CR$8</f>
      </c>
      <c r="CS117" s="707" t="str">
        <f>'Revenue summary'!CS$8</f>
      </c>
      <c r="CT117" s="706" t="str">
        <f>'Revenue summary'!CT$8</f>
      </c>
      <c r="CU117" s="706" t="str">
        <f>'Revenue summary'!CU$8</f>
      </c>
      <c r="CV117" s="706" t="str">
        <f>'Revenue summary'!CV$8</f>
      </c>
      <c r="CW117" s="707" t="str">
        <f>'Revenue summary'!CW$8</f>
      </c>
      <c r="CX117" s="706" t="str">
        <f>'Revenue summary'!CX$8</f>
      </c>
      <c r="CY117" s="706" t="str">
        <f>'Revenue summary'!CY$8</f>
      </c>
      <c r="CZ117" s="706" t="str">
        <f>'Revenue summary'!CZ$8</f>
      </c>
      <c r="DA117" s="707" t="str">
        <f>'Revenue summary'!DA$8</f>
      </c>
      <c r="DB117" s="706" t="str">
        <f>'Revenue summary'!DB$8</f>
      </c>
      <c r="DC117" s="706" t="str">
        <f>'Revenue summary'!DC$8</f>
      </c>
      <c r="DD117" s="706" t="str">
        <f>'Revenue summary'!DD$8</f>
      </c>
      <c r="DE117" s="707" t="str">
        <f>'Revenue summary'!DE$8</f>
      </c>
      <c r="DF117" s="706" t="str">
        <f>'Revenue summary'!DF$8</f>
      </c>
      <c r="DG117" s="706" t="str">
        <f>'Revenue summary'!DG$8</f>
      </c>
      <c r="DH117" s="706" t="str">
        <f>'Revenue summary'!DH$8</f>
      </c>
      <c r="DI117" s="707" t="str">
        <f>'Revenue summary'!DI$8</f>
      </c>
      <c r="DJ117" s="706" t="str">
        <f>'Revenue summary'!DJ$8</f>
      </c>
      <c r="DK117" s="706" t="str">
        <f>'Revenue summary'!DK$8</f>
      </c>
      <c r="DL117" s="706" t="str">
        <f>'Revenue summary'!DL$8</f>
      </c>
      <c r="DM117" s="707" t="str">
        <f>'Revenue summary'!DM$8</f>
      </c>
      <c r="DN117" s="706" t="str">
        <f>'Revenue summary'!DN$8</f>
      </c>
      <c r="DO117" s="706" t="str">
        <f>'Revenue summary'!DO$8</f>
      </c>
      <c r="DP117" s="706" t="str">
        <f>'Revenue summary'!DP$8</f>
      </c>
      <c r="DQ117" s="707" t="str">
        <f>'Revenue summary'!DQ$8</f>
      </c>
      <c r="DR117" s="706" t="str">
        <f>'Revenue summary'!DR$8</f>
      </c>
      <c r="DS117" s="706" t="str">
        <f>'Revenue summary'!DS$8</f>
      </c>
      <c r="DT117" s="706" t="str">
        <f>'Revenue summary'!DT$8</f>
      </c>
      <c r="DU117" s="707" t="str">
        <f>'Revenue summary'!DU$8</f>
      </c>
      <c r="DV117" s="706" t="str">
        <f>'Revenue summary'!DV$8</f>
      </c>
      <c r="DW117" s="706" t="str">
        <f>'Revenue summary'!DW$8</f>
      </c>
      <c r="DX117" s="706" t="str">
        <f>'Revenue summary'!DX$8</f>
      </c>
      <c r="DY117" s="707" t="str">
        <f>'Revenue summary'!DY$8</f>
      </c>
      <c r="DZ117" s="706" t="str">
        <f>'Revenue summary'!DZ$8</f>
      </c>
      <c r="EA117" s="706" t="str">
        <f>'Revenue summary'!EA$8</f>
      </c>
      <c r="EB117" s="706" t="str">
        <f>'Revenue summary'!EB$8</f>
      </c>
      <c r="EC117" s="707" t="str">
        <f>'Revenue summary'!EC$8</f>
      </c>
      <c r="ED117" s="706" t="str">
        <f>'Revenue summary'!ED$8</f>
      </c>
      <c r="EE117" s="706" t="str">
        <f>'Revenue summary'!EE$8</f>
      </c>
      <c r="EF117" s="706" t="str">
        <f>'Revenue summary'!EF$8</f>
      </c>
      <c r="EG117" s="707" t="str">
        <f>'Revenue summary'!EG$8</f>
      </c>
      <c r="EH117" s="706" t="str">
        <f>'Revenue summary'!EH$8</f>
      </c>
      <c r="EI117" s="706" t="str">
        <f>'Revenue summary'!EI$8</f>
      </c>
      <c r="EJ117" s="706" t="str">
        <f>'Revenue summary'!EJ$8</f>
      </c>
      <c r="EK117" s="707" t="str">
        <f>'Revenue summary'!EK$8</f>
      </c>
      <c r="EL117" s="320"/>
      <c r="EM117" s="706">
        <f t="shared" ref="EM117:FH117" si="1038">EM$9</f>
      </c>
      <c r="EN117" s="706">
        <f t="shared" si="1038"/>
      </c>
      <c r="EO117" s="706">
        <f t="shared" si="1038"/>
      </c>
      <c r="EP117" s="706">
        <f t="shared" si="1038"/>
      </c>
      <c r="EQ117" s="706">
        <f t="shared" si="1038"/>
      </c>
      <c r="ER117" s="706">
        <f t="shared" si="1038"/>
      </c>
      <c r="ES117" s="706">
        <f t="shared" si="1038"/>
      </c>
      <c r="ET117" s="706">
        <f t="shared" si="1038"/>
      </c>
      <c r="EU117" s="706">
        <f t="shared" si="1038"/>
      </c>
      <c r="EV117" s="706">
        <f t="shared" si="1038"/>
      </c>
      <c r="EW117" s="706">
        <f t="shared" si="1038"/>
      </c>
      <c r="EX117" s="706">
        <f t="shared" si="1038"/>
      </c>
      <c r="EY117" s="706">
        <f t="shared" si="1038"/>
      </c>
      <c r="EZ117" s="706">
        <f t="shared" si="1038"/>
      </c>
      <c r="FA117" s="706">
        <f t="shared" si="1038"/>
      </c>
      <c r="FB117" s="706">
        <f t="shared" si="1038"/>
      </c>
      <c r="FC117" s="706">
        <f t="shared" si="1038"/>
      </c>
      <c r="FD117" s="706">
        <f t="shared" si="1038"/>
      </c>
      <c r="FE117" s="706" t="str">
        <f t="shared" si="1038"/>
      </c>
      <c r="FF117" s="706" t="str">
        <f t="shared" si="1038"/>
      </c>
      <c r="FG117" s="706" t="str">
        <f t="shared" si="1038"/>
      </c>
      <c r="FH117" s="706" t="str">
        <f t="shared" si="1038"/>
      </c>
      <c r="FI117" s="706" t="str">
        <f>FI$9</f>
      </c>
      <c r="FJ117" s="706" t="str">
        <f t="shared" ref="FJ117:FU117" si="1039">FJ$9</f>
      </c>
      <c r="FK117" s="706" t="str">
        <f t="shared" si="1039"/>
      </c>
      <c r="FL117" s="706" t="str">
        <f t="shared" si="1039"/>
      </c>
      <c r="FM117" s="706" t="str">
        <f t="shared" si="1039"/>
      </c>
      <c r="FN117" s="706" t="str">
        <f t="shared" si="1039"/>
      </c>
      <c r="FO117" s="706" t="str">
        <f t="shared" si="1039"/>
      </c>
      <c r="FP117" s="706" t="str">
        <f t="shared" si="1039"/>
      </c>
      <c r="FQ117" s="706" t="str">
        <f t="shared" si="1039"/>
      </c>
      <c r="FR117" s="706" t="str">
        <f t="shared" si="1039"/>
      </c>
      <c r="FS117" s="706" t="str">
        <f t="shared" si="1039"/>
      </c>
      <c r="FT117" s="706" t="str">
        <f t="shared" si="1039"/>
      </c>
      <c r="FU117" s="706" t="str">
        <f t="shared" si="1039"/>
      </c>
      <c r="FV117" s="706"/>
      <c r="FW117" s="706" t="str">
        <f t="shared" ref="FW117:GX117" si="1040">FW$10</f>
      </c>
      <c r="FX117" s="706" t="str">
        <f t="shared" si="1040"/>
      </c>
      <c r="FY117" s="706" t="str">
        <f t="shared" si="1040"/>
      </c>
      <c r="FZ117" s="706" t="str">
        <f t="shared" si="1040"/>
      </c>
      <c r="GA117" s="706" t="str">
        <f t="shared" si="1040"/>
      </c>
      <c r="GB117" s="706" t="str">
        <f t="shared" si="1040"/>
      </c>
      <c r="GC117" s="706" t="str">
        <f t="shared" si="1040"/>
      </c>
      <c r="GD117" s="706" t="str">
        <f t="shared" si="1040"/>
      </c>
      <c r="GE117" s="706" t="str">
        <f t="shared" si="1040"/>
      </c>
      <c r="GF117" s="706" t="str">
        <f t="shared" si="1040"/>
      </c>
      <c r="GG117" s="706" t="str">
        <f t="shared" si="1040"/>
      </c>
      <c r="GH117" s="706" t="str">
        <f t="shared" si="1040"/>
      </c>
      <c r="GI117" s="706" t="str">
        <f t="shared" si="1040"/>
      </c>
      <c r="GJ117" s="706" t="str">
        <f t="shared" si="1040"/>
      </c>
      <c r="GK117" s="706" t="str">
        <f t="shared" si="1040"/>
      </c>
      <c r="GL117" s="706" t="str">
        <f t="shared" si="1040"/>
      </c>
      <c r="GM117" s="706" t="str">
        <f t="shared" si="1040"/>
      </c>
      <c r="GN117" s="706" t="str">
        <f t="shared" si="1040"/>
      </c>
      <c r="GO117" s="706" t="str">
        <f t="shared" si="1040"/>
      </c>
      <c r="GP117" s="706" t="str">
        <f t="shared" si="1040"/>
      </c>
      <c r="GQ117" s="706" t="str">
        <f t="shared" si="1040"/>
      </c>
      <c r="GR117" s="706" t="str">
        <f t="shared" si="1040"/>
      </c>
      <c r="GS117" s="706" t="str">
        <f t="shared" si="1040"/>
      </c>
      <c r="GT117" s="706" t="str">
        <f t="shared" si="1040"/>
      </c>
      <c r="GU117" s="706" t="str">
        <f t="shared" si="1040"/>
      </c>
      <c r="GV117" s="706" t="str">
        <f t="shared" si="1040"/>
      </c>
      <c r="GW117" s="706" t="str">
        <f t="shared" si="1040"/>
      </c>
      <c r="GX117" s="706" t="str">
        <f t="shared" si="1040"/>
      </c>
      <c r="GY117" s="706" t="str">
        <f t="shared" ref="GY117" si="1041">GY$10</f>
      </c>
      <c r="GZ117" s="706" t="str">
        <f t="shared" ref="GZ117:HD117" si="1042">GZ$10</f>
      </c>
      <c r="HA117" s="706" t="str">
        <f t="shared" si="1042"/>
      </c>
      <c r="HB117" s="706" t="str">
        <f t="shared" si="1042"/>
      </c>
      <c r="HC117" s="706" t="str">
        <f t="shared" si="1042"/>
      </c>
      <c r="HD117" s="706" t="str">
        <f t="shared" si="1042"/>
      </c>
    </row>
    <row r="118" spans="1:214" s="370" customFormat="1" ht="10.8" thickBot="1">
      <c r="A118" s="946" t="s">
        <v>1214</v>
      </c>
      <c r="B118" s="974"/>
      <c r="C118" s="974"/>
      <c r="D118" s="974"/>
      <c r="E118" s="975"/>
      <c r="F118" s="974"/>
      <c r="G118" s="974"/>
      <c r="H118" s="974"/>
      <c r="I118" s="975"/>
      <c r="J118" s="974"/>
      <c r="K118" s="974"/>
      <c r="L118" s="974"/>
      <c r="M118" s="975"/>
      <c r="N118" s="974"/>
      <c r="O118" s="974"/>
      <c r="P118" s="974"/>
      <c r="Q118" s="975"/>
      <c r="R118" s="974"/>
      <c r="S118" s="974"/>
      <c r="T118" s="974"/>
      <c r="U118" s="975"/>
      <c r="V118" s="974"/>
      <c r="W118" s="974"/>
      <c r="X118" s="974"/>
      <c r="Y118" s="975"/>
      <c r="Z118" s="974"/>
      <c r="AA118" s="974"/>
      <c r="AB118" s="974"/>
      <c r="AC118" s="975"/>
      <c r="AD118" s="974"/>
      <c r="AE118" s="974"/>
      <c r="AF118" s="974"/>
      <c r="AG118" s="975"/>
      <c r="AH118" s="974"/>
      <c r="AI118" s="974"/>
      <c r="AJ118" s="974"/>
      <c r="AK118" s="975"/>
      <c r="AL118" s="974"/>
      <c r="AM118" s="974"/>
      <c r="AN118" s="974"/>
      <c r="AO118" s="975"/>
      <c r="AP118" s="974"/>
      <c r="AQ118" s="974"/>
      <c r="AR118" s="974"/>
      <c r="AS118" s="975"/>
      <c r="AT118" s="974"/>
      <c r="AU118" s="974"/>
      <c r="AV118" s="974"/>
      <c r="AW118" s="975"/>
      <c r="AX118" s="974"/>
      <c r="AY118" s="974"/>
      <c r="AZ118" s="974"/>
      <c r="BA118" s="975"/>
      <c r="BB118" s="974"/>
      <c r="BC118" s="974"/>
      <c r="BD118" s="974"/>
      <c r="BE118" s="975"/>
      <c r="BF118" s="974"/>
      <c r="BG118" s="974"/>
      <c r="BH118" s="974"/>
      <c r="BI118" s="975"/>
      <c r="BJ118" s="974"/>
      <c r="BK118" s="974"/>
      <c r="BL118" s="974"/>
      <c r="BM118" s="975"/>
      <c r="BN118" s="974"/>
      <c r="BO118" s="974"/>
      <c r="BP118" s="974"/>
      <c r="BQ118" s="975"/>
      <c r="BR118" s="974"/>
      <c r="BS118" s="974"/>
      <c r="BT118" s="974"/>
      <c r="BU118" s="975"/>
      <c r="BV118" s="974"/>
      <c r="BW118" s="974"/>
      <c r="BX118" s="974"/>
      <c r="BY118" s="975"/>
      <c r="BZ118" s="974"/>
      <c r="CA118" s="974"/>
      <c r="CB118" s="974"/>
      <c r="CC118" s="948"/>
      <c r="CD118" s="947"/>
      <c r="CE118" s="947"/>
      <c r="CF118" s="947"/>
      <c r="CG118" s="976"/>
      <c r="CH118" s="977"/>
      <c r="CI118" s="977"/>
      <c r="CJ118" s="977"/>
      <c r="CK118" s="976"/>
      <c r="CL118" s="977"/>
      <c r="CM118" s="977"/>
      <c r="CN118" s="977"/>
      <c r="CO118" s="976"/>
      <c r="CP118" s="977"/>
      <c r="CQ118" s="977"/>
      <c r="CR118" s="977"/>
      <c r="CS118" s="976">
        <f t="shared" ref="CS118" si="1043">+AVERAGE(CS119,CR119)*CS120*3</f>
      </c>
      <c r="CT118" s="977">
        <f t="shared" ref="CT118" si="1044">+AVERAGE(CT119,CS119)*CT120*3</f>
      </c>
      <c r="CU118" s="977">
        <f t="shared" ref="CU118" si="1045">+AVERAGE(CU119,CT119)*CU120*3</f>
      </c>
      <c r="CV118" s="977">
        <f t="shared" ref="CV118" si="1046">+AVERAGE(CV119,CU119)*CV120*3</f>
      </c>
      <c r="CW118" s="976">
        <f t="shared" ref="CW118" si="1047">+AVERAGE(CW119,CV119)*CW120*3</f>
      </c>
      <c r="CX118" s="977">
        <f t="shared" ref="CX118" si="1048">+AVERAGE(CX119,CW119)*CX120*3</f>
      </c>
      <c r="CY118" s="977">
        <f t="shared" ref="CY118" si="1049">+AVERAGE(CY119,CX119)*CY120*3</f>
      </c>
      <c r="CZ118" s="977">
        <f t="shared" ref="CZ118" si="1050">+AVERAGE(CZ119,CY119)*CZ120*3</f>
      </c>
      <c r="DA118" s="976">
        <f t="shared" ref="DA118" si="1051">+AVERAGE(DA119,CZ119)*DA120*3</f>
      </c>
      <c r="DB118" s="977">
        <f t="shared" ref="DB118" si="1052">+AVERAGE(DB119,DA119)*DB120*3</f>
      </c>
      <c r="DC118" s="977">
        <f t="shared" ref="DC118" si="1053">+AVERAGE(DC119,DB119)*DC120*3</f>
      </c>
      <c r="DD118" s="977">
        <f t="shared" ref="DD118" si="1054">+AVERAGE(DD119,DC119)*DD120*3</f>
      </c>
      <c r="DE118" s="976">
        <f t="shared" ref="DE118" si="1055">+AVERAGE(DE119,DD119)*DE120*3</f>
      </c>
      <c r="DF118" s="977">
        <f t="shared" ref="DF118" si="1056">+AVERAGE(DF119,DE119)*DF120*3</f>
      </c>
      <c r="DG118" s="977">
        <f t="shared" ref="DG118" si="1057">+AVERAGE(DG119,DF119)*DG120*3</f>
      </c>
      <c r="DH118" s="977">
        <f t="shared" ref="DH118" si="1058">+AVERAGE(DH119,DG119)*DH120*3</f>
      </c>
      <c r="DI118" s="976">
        <f t="shared" ref="DI118" si="1059">+AVERAGE(DI119,DH119)*DI120*3</f>
      </c>
      <c r="DJ118" s="977">
        <f t="shared" ref="DJ118" si="1060">+AVERAGE(DJ119,DI119)*DJ120*3</f>
      </c>
      <c r="DK118" s="977">
        <f t="shared" ref="DK118" si="1061">+AVERAGE(DK119,DJ119)*DK120*3</f>
      </c>
      <c r="DL118" s="977">
        <f t="shared" ref="DL118" si="1062">+AVERAGE(DL119,DK119)*DL120*3</f>
      </c>
      <c r="DM118" s="976">
        <f t="shared" ref="DM118" si="1063">+AVERAGE(DM119,DL119)*DM120*3</f>
      </c>
      <c r="DN118" s="977">
        <f t="shared" ref="DN118" si="1064">+AVERAGE(DN119,DM119)*DN120*3</f>
      </c>
      <c r="DO118" s="977">
        <f t="shared" ref="DO118" si="1065">+AVERAGE(DO119,DN119)*DO120*3</f>
      </c>
      <c r="DP118" s="977">
        <f t="shared" ref="DP118" si="1066">+AVERAGE(DP119,DO119)*DP120*3</f>
      </c>
      <c r="DQ118" s="976">
        <f t="shared" ref="DQ118" si="1067">+AVERAGE(DQ119,DP119)*DQ120*3</f>
      </c>
      <c r="DR118" s="977">
        <f t="shared" ref="DR118" si="1068">+AVERAGE(DR119,DQ119)*DR120*3</f>
      </c>
      <c r="DS118" s="977">
        <f t="shared" ref="DS118" si="1069">+AVERAGE(DS119,DR119)*DS120*3</f>
      </c>
      <c r="DT118" s="977">
        <f t="shared" ref="DT118" si="1070">+AVERAGE(DT119,DS119)*DT120*3</f>
      </c>
      <c r="DU118" s="979">
        <f t="shared" ref="DU118" si="1071">+AVERAGE(DU119,DT119)*DU120*3</f>
      </c>
      <c r="DV118" s="977">
        <f t="shared" ref="DV118" si="1072">+AVERAGE(DV119,DU119)*DV120*3</f>
      </c>
      <c r="DW118" s="977">
        <f t="shared" ref="DW118" si="1073">+AVERAGE(DW119,DV119)*DW120*3</f>
      </c>
      <c r="DX118" s="977">
        <f t="shared" ref="DX118" si="1074">+AVERAGE(DX119,DW119)*DX120*3</f>
      </c>
      <c r="DY118" s="979">
        <f t="shared" ref="DY118" si="1075">+AVERAGE(DY119,DX119)*DY120*3</f>
      </c>
      <c r="DZ118" s="977">
        <f t="shared" ref="DZ118" si="1076">+AVERAGE(DZ119,DY119)*DZ120*3</f>
      </c>
      <c r="EA118" s="977">
        <f t="shared" ref="EA118" si="1077">+AVERAGE(EA119,DZ119)*EA120*3</f>
      </c>
      <c r="EB118" s="977">
        <f t="shared" ref="EB118" si="1078">+AVERAGE(EB119,EA119)*EB120*3</f>
      </c>
      <c r="EC118" s="979">
        <f t="shared" ref="EC118" si="1079">+AVERAGE(EC119,EB119)*EC120*3</f>
      </c>
      <c r="ED118" s="977">
        <f t="shared" ref="ED118" si="1080">+AVERAGE(ED119,EC119)*ED120*3</f>
      </c>
      <c r="EE118" s="977">
        <f t="shared" ref="EE118" si="1081">+AVERAGE(EE119,ED119)*EE120*3</f>
      </c>
      <c r="EF118" s="977">
        <f t="shared" ref="EF118" si="1082">+AVERAGE(EF119,EE119)*EF120*3</f>
      </c>
      <c r="EG118" s="979">
        <f t="shared" ref="EG118" si="1083">+AVERAGE(EG119,EF119)*EG120*3</f>
      </c>
      <c r="EH118" s="977">
        <f t="shared" ref="EH118" si="1084">+AVERAGE(EH119,EG119)*EH120*3</f>
      </c>
      <c r="EI118" s="977">
        <f t="shared" ref="EI118" si="1085">+AVERAGE(EI119,EH119)*EI120*3</f>
      </c>
      <c r="EJ118" s="977">
        <f t="shared" ref="EJ118" si="1086">+AVERAGE(EJ119,EI119)*EJ120*3</f>
      </c>
      <c r="EK118" s="979">
        <f t="shared" ref="EK118" si="1087">+AVERAGE(EK119,EJ119)*EK120*3</f>
      </c>
      <c r="EL118" s="943"/>
      <c r="EM118" s="977"/>
      <c r="EN118" s="977"/>
      <c r="EO118" s="977"/>
      <c r="EP118" s="977"/>
      <c r="EQ118" s="977"/>
      <c r="ER118" s="977"/>
      <c r="ES118" s="977"/>
      <c r="ET118" s="977"/>
      <c r="EU118" s="977"/>
      <c r="EV118" s="977"/>
      <c r="EW118" s="977"/>
      <c r="EX118" s="977"/>
      <c r="EY118" s="977"/>
      <c r="EZ118" s="977"/>
      <c r="FA118" s="977"/>
      <c r="FB118" s="977"/>
      <c r="FC118" s="977"/>
      <c r="FD118" s="977"/>
      <c r="FE118" s="977">
        <f t="shared" ref="FE118" si="1088">SUM(BV118:BY118)</f>
      </c>
      <c r="FF118" s="977">
        <f t="shared" ref="FF118" si="1089">SUM(BZ118:CC118)</f>
      </c>
      <c r="FG118" s="977">
        <f t="shared" ref="FG118" si="1090">SUM(CD118:CG118)</f>
      </c>
      <c r="FH118" s="977">
        <f t="shared" ref="FH118" si="1091">SUM(CH118:CK118)</f>
      </c>
      <c r="FI118" s="977">
        <f t="shared" ref="FI118" si="1092">SUM(CL118:CO118)</f>
      </c>
      <c r="FJ118" s="977">
        <f t="shared" ref="FJ118" si="1093">SUM(CP118:CS118)</f>
      </c>
      <c r="FK118" s="977">
        <f t="shared" ref="FK118" si="1094">SUM(CT118:CW118)</f>
      </c>
      <c r="FL118" s="977">
        <f t="shared" ref="FL118" si="1095">SUM(CX118:DA118)</f>
      </c>
      <c r="FM118" s="977">
        <f t="shared" ref="FM118" si="1096">SUM(DB118:DE118)</f>
      </c>
      <c r="FN118" s="977">
        <f t="shared" ref="FN118" si="1097">SUM(DF118:DI118)</f>
      </c>
      <c r="FO118" s="977">
        <f t="shared" ref="FO118" si="1098">SUM(DJ118:DM118)</f>
      </c>
      <c r="FP118" s="977">
        <f>SUM(DN118:DQ118)</f>
      </c>
      <c r="FQ118" s="977">
        <f>SUM(DR118:DU118)</f>
      </c>
      <c r="FR118" s="977">
        <f>SUM(DV118:DY118)</f>
      </c>
      <c r="FS118" s="977">
        <f>SUM(DZ118:EC118)</f>
      </c>
      <c r="FT118" s="977">
        <f>SUM(ED118:EG118)</f>
      </c>
      <c r="FU118" s="977">
        <f>SUM(EH118:EK118)</f>
      </c>
      <c r="FV118" s="977"/>
      <c r="FW118" s="977"/>
      <c r="FX118" s="977"/>
      <c r="FY118" s="977"/>
      <c r="FZ118" s="977"/>
      <c r="GA118" s="977"/>
      <c r="GB118" s="977"/>
      <c r="GC118" s="977"/>
      <c r="GD118" s="977"/>
      <c r="GE118" s="977"/>
      <c r="GF118" s="977"/>
      <c r="GG118" s="977"/>
      <c r="GH118" s="977"/>
      <c r="GI118" s="977"/>
      <c r="GJ118" s="977"/>
      <c r="GK118" s="977"/>
      <c r="GL118" s="977"/>
      <c r="GM118" s="977"/>
      <c r="GN118" s="977"/>
      <c r="GO118" s="977"/>
      <c r="GP118" s="977"/>
      <c r="GQ118" s="977"/>
      <c r="GR118" s="977"/>
      <c r="GS118" s="977"/>
      <c r="GT118" s="977">
        <f>SUM(CQ118:CT118)</f>
      </c>
      <c r="GU118" s="977">
        <f>SUM(CU118:CX118)</f>
      </c>
      <c r="GV118" s="977">
        <f>SUM(CY118:DB118)</f>
      </c>
      <c r="GW118" s="977">
        <f>SUM(DC118:DF118)</f>
      </c>
      <c r="GX118" s="977">
        <f>SUM(DG118:DJ118)</f>
      </c>
      <c r="GY118" s="977">
        <f>SUM(DK118:DN118)</f>
      </c>
      <c r="GZ118" s="977">
        <f>SUM(DO118:DR118)</f>
      </c>
      <c r="HA118" s="977">
        <f>SUM(DS118:DV118)</f>
      </c>
      <c r="HB118" s="977">
        <f>SUM(DW118:DZ118)</f>
      </c>
      <c r="HC118" s="977">
        <f>SUM(EA118:ED118)</f>
      </c>
      <c r="HD118" s="977">
        <f>SUM(EE118:EH118)</f>
      </c>
    </row>
    <row r="119" spans="1:214" s="970" customFormat="1" ht="10.8" thickTop="1">
      <c r="A119" s="980" t="s">
        <v>1203</v>
      </c>
      <c r="B119" s="967"/>
      <c r="C119" s="967"/>
      <c r="D119" s="967"/>
      <c r="E119" s="966"/>
      <c r="F119" s="967"/>
      <c r="G119" s="967"/>
      <c r="H119" s="967"/>
      <c r="I119" s="966"/>
      <c r="J119" s="967"/>
      <c r="K119" s="967"/>
      <c r="L119" s="967"/>
      <c r="M119" s="966"/>
      <c r="N119" s="967"/>
      <c r="O119" s="967"/>
      <c r="P119" s="967"/>
      <c r="Q119" s="966"/>
      <c r="R119" s="967"/>
      <c r="S119" s="967"/>
      <c r="T119" s="967"/>
      <c r="U119" s="966"/>
      <c r="V119" s="967"/>
      <c r="W119" s="967"/>
      <c r="X119" s="967"/>
      <c r="Y119" s="966"/>
      <c r="Z119" s="967"/>
      <c r="AA119" s="967"/>
      <c r="AB119" s="967"/>
      <c r="AC119" s="966"/>
      <c r="AD119" s="967"/>
      <c r="AE119" s="967"/>
      <c r="AF119" s="967"/>
      <c r="AG119" s="966"/>
      <c r="AH119" s="967"/>
      <c r="AI119" s="967"/>
      <c r="AJ119" s="967"/>
      <c r="AK119" s="966"/>
      <c r="AL119" s="967"/>
      <c r="AM119" s="967"/>
      <c r="AN119" s="967"/>
      <c r="AO119" s="966"/>
      <c r="AP119" s="967"/>
      <c r="AQ119" s="967"/>
      <c r="AR119" s="967"/>
      <c r="AS119" s="966"/>
      <c r="AT119" s="967"/>
      <c r="AU119" s="967"/>
      <c r="AV119" s="967"/>
      <c r="AW119" s="966"/>
      <c r="AX119" s="967"/>
      <c r="AY119" s="967"/>
      <c r="AZ119" s="967"/>
      <c r="BA119" s="966"/>
      <c r="BB119" s="967"/>
      <c r="BC119" s="967"/>
      <c r="BD119" s="967"/>
      <c r="BE119" s="966"/>
      <c r="BF119" s="967"/>
      <c r="BG119" s="967"/>
      <c r="BH119" s="967"/>
      <c r="BI119" s="966"/>
      <c r="BJ119" s="967"/>
      <c r="BK119" s="967"/>
      <c r="BL119" s="967"/>
      <c r="BM119" s="966"/>
      <c r="BN119" s="967"/>
      <c r="BO119" s="967"/>
      <c r="BP119" s="967"/>
      <c r="BQ119" s="966"/>
      <c r="BR119" s="967"/>
      <c r="BS119" s="967"/>
      <c r="BT119" s="967"/>
      <c r="BU119" s="966"/>
      <c r="BV119" s="967"/>
      <c r="BW119" s="967"/>
      <c r="BX119" s="967"/>
      <c r="BY119" s="966"/>
      <c r="BZ119" s="967"/>
      <c r="CA119" s="967"/>
      <c r="CB119" s="967"/>
      <c r="CC119" s="966"/>
      <c r="CD119" s="967"/>
      <c r="CE119" s="967"/>
      <c r="CF119" s="967"/>
      <c r="CG119" s="966"/>
      <c r="CH119" s="967"/>
      <c r="CI119" s="967"/>
      <c r="CJ119" s="967"/>
      <c r="CK119" s="966"/>
      <c r="CL119" s="967"/>
      <c r="CM119" s="967"/>
      <c r="CN119" s="967"/>
      <c r="CO119" s="966"/>
      <c r="CS119" s="971">
        <f t="shared" ref="CS119:DU119" si="1099">CR119+CS121</f>
      </c>
      <c r="CT119" s="970">
        <f t="shared" si="1099"/>
      </c>
      <c r="CU119" s="970">
        <f t="shared" si="1099"/>
      </c>
      <c r="CV119" s="970">
        <f t="shared" si="1099"/>
      </c>
      <c r="CW119" s="971">
        <f t="shared" si="1099"/>
      </c>
      <c r="CX119" s="970">
        <f t="shared" si="1099"/>
      </c>
      <c r="CY119" s="970">
        <f t="shared" si="1099"/>
      </c>
      <c r="CZ119" s="970">
        <f t="shared" si="1099"/>
      </c>
      <c r="DA119" s="971">
        <f t="shared" si="1099"/>
      </c>
      <c r="DB119" s="970">
        <f t="shared" si="1099"/>
      </c>
      <c r="DC119" s="970">
        <f t="shared" si="1099"/>
      </c>
      <c r="DD119" s="970">
        <f t="shared" si="1099"/>
      </c>
      <c r="DE119" s="971">
        <f t="shared" si="1099"/>
      </c>
      <c r="DF119" s="970">
        <f t="shared" si="1099"/>
      </c>
      <c r="DG119" s="970">
        <f t="shared" si="1099"/>
      </c>
      <c r="DH119" s="970">
        <f t="shared" si="1099"/>
      </c>
      <c r="DI119" s="971">
        <f t="shared" si="1099"/>
      </c>
      <c r="DJ119" s="970">
        <f t="shared" si="1099"/>
      </c>
      <c r="DK119" s="970">
        <f t="shared" si="1099"/>
      </c>
      <c r="DL119" s="970">
        <f t="shared" si="1099"/>
      </c>
      <c r="DM119" s="971">
        <f t="shared" si="1099"/>
      </c>
      <c r="DN119" s="970">
        <f t="shared" si="1099"/>
      </c>
      <c r="DO119" s="970">
        <f t="shared" si="1099"/>
      </c>
      <c r="DP119" s="970">
        <f t="shared" si="1099"/>
      </c>
      <c r="DQ119" s="971">
        <f t="shared" si="1099"/>
      </c>
      <c r="DR119" s="970">
        <f t="shared" si="1099"/>
      </c>
      <c r="DS119" s="970">
        <f t="shared" si="1099"/>
      </c>
      <c r="DT119" s="970">
        <f t="shared" si="1099"/>
      </c>
      <c r="DU119" s="981">
        <f t="shared" si="1099"/>
      </c>
      <c r="DV119" s="970">
        <f t="shared" ref="DV119" si="1100">DU119+DV121</f>
      </c>
      <c r="DW119" s="970">
        <f t="shared" ref="DW119" si="1101">DV119+DW121</f>
      </c>
      <c r="DX119" s="970">
        <f t="shared" ref="DX119" si="1102">DW119+DX121</f>
      </c>
      <c r="DY119" s="981">
        <f t="shared" ref="DY119" si="1103">DX119+DY121</f>
      </c>
      <c r="DZ119" s="970">
        <f t="shared" ref="DZ119" si="1104">DY119+DZ121</f>
      </c>
      <c r="EA119" s="970">
        <f t="shared" ref="EA119" si="1105">DZ119+EA121</f>
      </c>
      <c r="EB119" s="970">
        <f t="shared" ref="EB119" si="1106">EA119+EB121</f>
      </c>
      <c r="EC119" s="981">
        <f t="shared" ref="EC119" si="1107">EB119+EC121</f>
      </c>
      <c r="ED119" s="970">
        <f t="shared" ref="ED119" si="1108">EC119+ED121</f>
      </c>
      <c r="EE119" s="970">
        <f t="shared" ref="EE119" si="1109">ED119+EE121</f>
      </c>
      <c r="EF119" s="970">
        <f t="shared" ref="EF119" si="1110">EE119+EF121</f>
      </c>
      <c r="EG119" s="981">
        <f t="shared" ref="EG119" si="1111">EF119+EG121</f>
      </c>
      <c r="EH119" s="970">
        <f t="shared" ref="EH119" si="1112">EG119+EH121</f>
      </c>
      <c r="EI119" s="970">
        <f t="shared" ref="EI119" si="1113">EH119+EI121</f>
      </c>
      <c r="EJ119" s="970">
        <f t="shared" ref="EJ119" si="1114">EI119+EJ121</f>
      </c>
      <c r="EK119" s="981">
        <f t="shared" ref="EK119" si="1115">EJ119+EK121</f>
      </c>
      <c r="FF119" s="970">
        <f>+CC119</f>
      </c>
      <c r="FG119" s="972">
        <f>CG119</f>
      </c>
      <c r="FH119" s="972">
        <f>CK119</f>
      </c>
      <c r="FI119" s="972">
        <f>CO119</f>
      </c>
      <c r="FJ119" s="972">
        <f>CS119</f>
      </c>
      <c r="FK119" s="972">
        <f>CW119</f>
      </c>
      <c r="FL119" s="972">
        <f>DA119</f>
      </c>
      <c r="FM119" s="972">
        <f>DE119</f>
      </c>
      <c r="FN119" s="972">
        <f>DI119</f>
      </c>
      <c r="FO119" s="972">
        <f>DM119</f>
      </c>
      <c r="FP119" s="972">
        <f>DQ119</f>
      </c>
      <c r="FQ119" s="972">
        <f>DU119</f>
      </c>
      <c r="FR119" s="972">
        <f>DY119</f>
      </c>
      <c r="FS119" s="972">
        <f>EC119</f>
      </c>
      <c r="FT119" s="972">
        <f>EG119</f>
      </c>
      <c r="FU119" s="972">
        <f>EK119</f>
      </c>
      <c r="GT119" s="970">
        <f>CT119</f>
      </c>
      <c r="GU119" s="970">
        <f>CX119</f>
      </c>
      <c r="GV119" s="970">
        <f>DB119</f>
      </c>
      <c r="GW119" s="970">
        <f>DF119</f>
      </c>
      <c r="GX119" s="970">
        <f>DJ119</f>
      </c>
      <c r="GY119" s="970">
        <f>DN119</f>
      </c>
      <c r="GZ119" s="970">
        <f>DR119</f>
      </c>
      <c r="HA119" s="970">
        <f t="shared" ref="HA119:HC119" si="1116">DS119</f>
      </c>
      <c r="HB119" s="970">
        <f>DZ119</f>
      </c>
      <c r="HC119" s="970">
        <f t="shared" si="1116"/>
      </c>
      <c r="HD119" s="970">
        <f>EH119</f>
      </c>
    </row>
    <row r="120" spans="1:214" s="943" customFormat="1" ht="10.199999999999999">
      <c r="A120" s="982" t="s">
        <v>823</v>
      </c>
      <c r="B120" s="942"/>
      <c r="C120" s="942"/>
      <c r="D120" s="942"/>
      <c r="E120" s="941"/>
      <c r="F120" s="942"/>
      <c r="G120" s="942"/>
      <c r="H120" s="942"/>
      <c r="I120" s="941"/>
      <c r="J120" s="942"/>
      <c r="K120" s="942"/>
      <c r="L120" s="942"/>
      <c r="M120" s="941"/>
      <c r="N120" s="942"/>
      <c r="O120" s="942"/>
      <c r="P120" s="942"/>
      <c r="Q120" s="941"/>
      <c r="R120" s="942"/>
      <c r="S120" s="942"/>
      <c r="T120" s="942"/>
      <c r="U120" s="941"/>
      <c r="V120" s="942"/>
      <c r="W120" s="942"/>
      <c r="X120" s="942"/>
      <c r="Y120" s="941"/>
      <c r="Z120" s="942"/>
      <c r="AA120" s="942"/>
      <c r="AB120" s="942"/>
      <c r="AC120" s="941"/>
      <c r="AD120" s="942"/>
      <c r="AE120" s="942"/>
      <c r="AF120" s="942"/>
      <c r="AG120" s="941"/>
      <c r="AH120" s="942"/>
      <c r="AI120" s="942"/>
      <c r="AJ120" s="942"/>
      <c r="AK120" s="941"/>
      <c r="AL120" s="942"/>
      <c r="AM120" s="942"/>
      <c r="AN120" s="942"/>
      <c r="AO120" s="941"/>
      <c r="AP120" s="942"/>
      <c r="AQ120" s="942"/>
      <c r="AR120" s="942"/>
      <c r="AS120" s="941"/>
      <c r="AT120" s="942"/>
      <c r="AU120" s="942"/>
      <c r="AV120" s="942"/>
      <c r="AW120" s="941"/>
      <c r="AX120" s="942"/>
      <c r="AY120" s="942"/>
      <c r="AZ120" s="942"/>
      <c r="BA120" s="941"/>
      <c r="BB120" s="942"/>
      <c r="BC120" s="942"/>
      <c r="BD120" s="942"/>
      <c r="BE120" s="941"/>
      <c r="BF120" s="942"/>
      <c r="BG120" s="942"/>
      <c r="BH120" s="942"/>
      <c r="BI120" s="941"/>
      <c r="BJ120" s="942"/>
      <c r="BK120" s="942"/>
      <c r="BL120" s="942"/>
      <c r="BM120" s="941"/>
      <c r="BN120" s="942"/>
      <c r="BO120" s="942"/>
      <c r="BP120" s="942"/>
      <c r="BQ120" s="941"/>
      <c r="BR120" s="942"/>
      <c r="BS120" s="942"/>
      <c r="BT120" s="942"/>
      <c r="BU120" s="941"/>
      <c r="BV120" s="942"/>
      <c r="BW120" s="942"/>
      <c r="BX120" s="942"/>
      <c r="BY120" s="941"/>
      <c r="BZ120" s="942"/>
      <c r="CA120" s="942"/>
      <c r="CB120" s="942"/>
      <c r="CC120" s="941"/>
      <c r="CD120" s="942"/>
      <c r="CE120" s="942"/>
      <c r="CF120" s="942"/>
      <c r="CG120" s="941"/>
      <c r="CH120" s="942"/>
      <c r="CI120" s="942"/>
      <c r="CJ120" s="942"/>
      <c r="CK120" s="941"/>
      <c r="CL120" s="942"/>
      <c r="CM120" s="942"/>
      <c r="CN120" s="942"/>
      <c r="CO120" s="941"/>
      <c r="CP120" s="942"/>
      <c r="CQ120" s="942"/>
      <c r="CR120" s="942"/>
      <c r="CS120" s="945">
        <v>5</v>
      </c>
      <c r="CT120" s="944">
        <f t="shared" ref="CT120:CV120" si="1117">CS120-0.025</f>
      </c>
      <c r="CU120" s="944">
        <f t="shared" si="1117"/>
      </c>
      <c r="CV120" s="944">
        <f t="shared" si="1117"/>
      </c>
      <c r="CW120" s="945">
        <f>CV120*0.9</f>
      </c>
      <c r="CX120" s="944">
        <f>CW120-0.025</f>
      </c>
      <c r="CY120" s="944">
        <f t="shared" ref="CY120:DU120" si="1118">CX120-0.025</f>
      </c>
      <c r="CZ120" s="944">
        <f t="shared" si="1118"/>
      </c>
      <c r="DA120" s="945">
        <f t="shared" si="1118"/>
      </c>
      <c r="DB120" s="944">
        <f t="shared" si="1118"/>
      </c>
      <c r="DC120" s="944">
        <f t="shared" si="1118"/>
      </c>
      <c r="DD120" s="944">
        <f t="shared" si="1118"/>
      </c>
      <c r="DE120" s="945">
        <f t="shared" si="1118"/>
      </c>
      <c r="DF120" s="944">
        <f>(DE120-0.025)*14/13*(1+0.4*1/3)</f>
      </c>
      <c r="DG120" s="944">
        <f>(DF120*13/14)*(1+0.4*2/3)</f>
      </c>
      <c r="DH120" s="944">
        <f t="shared" si="1118"/>
      </c>
      <c r="DI120" s="945">
        <f>DH120-0.025</f>
      </c>
      <c r="DJ120" s="944">
        <f>DI120-0.05</f>
      </c>
      <c r="DK120" s="944">
        <f>DJ120-0.025+3</f>
      </c>
      <c r="DL120" s="944">
        <f t="shared" si="1118"/>
      </c>
      <c r="DM120" s="945">
        <f t="shared" si="1118"/>
      </c>
      <c r="DN120" s="944">
        <f t="shared" si="1118"/>
      </c>
      <c r="DO120" s="944">
        <f t="shared" si="1118"/>
      </c>
      <c r="DP120" s="944">
        <f t="shared" si="1118"/>
      </c>
      <c r="DQ120" s="945">
        <f t="shared" si="1118"/>
      </c>
      <c r="DR120" s="944">
        <f t="shared" si="1118"/>
      </c>
      <c r="DS120" s="944">
        <f t="shared" si="1118"/>
      </c>
      <c r="DT120" s="944">
        <f t="shared" si="1118"/>
      </c>
      <c r="DU120" s="983">
        <f t="shared" si="1118"/>
      </c>
      <c r="DV120" s="944">
        <f t="shared" ref="DV120" si="1119">DU120-0.025</f>
      </c>
      <c r="DW120" s="944">
        <f t="shared" ref="DW120" si="1120">DV120-0.025</f>
      </c>
      <c r="DX120" s="944">
        <f t="shared" ref="DX120" si="1121">DW120-0.025</f>
      </c>
      <c r="DY120" s="983">
        <f t="shared" ref="DY120" si="1122">DX120-0.025</f>
      </c>
      <c r="DZ120" s="944">
        <f t="shared" ref="DZ120" si="1123">DY120-0.025</f>
      </c>
      <c r="EA120" s="944">
        <f t="shared" ref="EA120" si="1124">DZ120-0.025</f>
      </c>
      <c r="EB120" s="944">
        <f t="shared" ref="EB120" si="1125">EA120-0.025</f>
      </c>
      <c r="EC120" s="983">
        <f t="shared" ref="EC120" si="1126">EB120-0.025</f>
      </c>
      <c r="ED120" s="944">
        <f t="shared" ref="ED120" si="1127">EC120-0.025</f>
      </c>
      <c r="EE120" s="944">
        <f t="shared" ref="EE120" si="1128">ED120-0.025</f>
      </c>
      <c r="EF120" s="944">
        <f t="shared" ref="EF120" si="1129">EE120-0.025</f>
      </c>
      <c r="EG120" s="983">
        <f t="shared" ref="EG120" si="1130">EF120-0.025</f>
      </c>
      <c r="EH120" s="944">
        <f t="shared" ref="EH120" si="1131">EG120-0.025</f>
      </c>
      <c r="EI120" s="944">
        <f t="shared" ref="EI120" si="1132">EH120-0.025</f>
      </c>
      <c r="EJ120" s="944">
        <f t="shared" ref="EJ120" si="1133">EI120-0.025</f>
      </c>
      <c r="EK120" s="983">
        <f t="shared" ref="EK120" si="1134">EJ120-0.025</f>
      </c>
      <c r="EM120" s="944"/>
      <c r="EN120" s="944"/>
      <c r="EO120" s="944"/>
      <c r="EP120" s="944"/>
      <c r="EQ120" s="944"/>
      <c r="ER120" s="944"/>
      <c r="ES120" s="944"/>
      <c r="ET120" s="944"/>
      <c r="EU120" s="944"/>
      <c r="EV120" s="944"/>
      <c r="EW120" s="944"/>
      <c r="EX120" s="944"/>
      <c r="EY120" s="944"/>
      <c r="EZ120" s="944"/>
      <c r="FA120" s="944"/>
      <c r="FB120" s="944"/>
      <c r="FC120" s="944"/>
      <c r="FD120" s="944"/>
      <c r="FE120" s="944"/>
      <c r="FF120" s="944"/>
      <c r="FG120" s="944"/>
      <c r="FH120" s="944"/>
      <c r="FI120" s="944"/>
      <c r="FJ120" s="1467">
        <f t="shared" ref="FJ120" si="1135">FJ118/AVERAGE(FI119:FJ119)/12</f>
      </c>
      <c r="FK120" s="1467">
        <f t="shared" ref="FK120" si="1136">FK118/AVERAGE(FJ119:FK119)/12</f>
      </c>
      <c r="FL120" s="1467">
        <f t="shared" ref="FL120" si="1137">FL118/AVERAGE(FK119:FL119)/12</f>
      </c>
      <c r="FM120" s="1467">
        <f t="shared" ref="FM120" si="1138">FM118/AVERAGE(FL119:FM119)/12</f>
      </c>
      <c r="FN120" s="1467">
        <f t="shared" ref="FN120" si="1139">FN118/AVERAGE(FM119:FN119)/12</f>
      </c>
      <c r="FO120" s="1467">
        <f t="shared" ref="FO120" si="1140">FO118/AVERAGE(FN119:FO119)/12</f>
      </c>
      <c r="FP120" s="1467">
        <f t="shared" ref="FP120" si="1141">FP118/AVERAGE(FO119:FP119)/12</f>
      </c>
      <c r="FQ120" s="1467">
        <f>FQ118/AVERAGE(FP119:FQ119)/12</f>
      </c>
      <c r="FR120" s="1467">
        <f t="shared" ref="FR120:FU120" si="1142">FR118/AVERAGE(FQ119:FR119)/12</f>
      </c>
      <c r="FS120" s="1467">
        <f t="shared" si="1142"/>
      </c>
      <c r="FT120" s="1467">
        <f t="shared" si="1142"/>
      </c>
      <c r="FU120" s="1467">
        <f t="shared" si="1142"/>
      </c>
      <c r="FV120" s="942"/>
      <c r="FW120" s="944"/>
      <c r="FX120" s="944"/>
      <c r="FY120" s="944"/>
      <c r="FZ120" s="944"/>
      <c r="GA120" s="944"/>
      <c r="GB120" s="944"/>
      <c r="GC120" s="944"/>
      <c r="GD120" s="944"/>
      <c r="GE120" s="944"/>
      <c r="GF120" s="944"/>
      <c r="GG120" s="944"/>
      <c r="GH120" s="944"/>
      <c r="GI120" s="944"/>
      <c r="GJ120" s="944"/>
      <c r="GK120" s="944"/>
      <c r="GL120" s="944"/>
      <c r="GM120" s="944"/>
      <c r="GN120" s="944"/>
      <c r="GO120" s="944"/>
      <c r="GP120" s="1467"/>
      <c r="GQ120" s="1467"/>
      <c r="GR120" s="1467"/>
      <c r="GS120" s="1467"/>
      <c r="GT120" s="1467">
        <f t="shared" ref="GT120" si="1143">GT118/AVERAGE(GS119:GT119)/12</f>
      </c>
      <c r="GU120" s="1467">
        <f t="shared" ref="GU120" si="1144">GU118/AVERAGE(GT119:GU119)/12</f>
      </c>
      <c r="GV120" s="1467">
        <f t="shared" ref="GV120" si="1145">GV118/AVERAGE(GU119:GV119)/12</f>
      </c>
      <c r="GW120" s="1467">
        <f t="shared" ref="GW120" si="1146">GW118/AVERAGE(GV119:GW119)/12</f>
      </c>
      <c r="GX120" s="1467">
        <f t="shared" ref="GX120" si="1147">GX118/AVERAGE(GW119:GX119)/12</f>
      </c>
      <c r="GY120" s="1467">
        <f t="shared" ref="GY120" si="1148">GY118/AVERAGE(GX119:GY119)/12</f>
      </c>
      <c r="GZ120" s="1467">
        <f>GZ118/AVERAGE(GY119:GZ119)/12</f>
      </c>
      <c r="HA120" s="1467">
        <f t="shared" ref="HA120:HD120" si="1149">HA118/AVERAGE(GZ119:HA119)/12</f>
      </c>
      <c r="HB120" s="1467">
        <f t="shared" si="1149"/>
      </c>
      <c r="HC120" s="1467">
        <f t="shared" si="1149"/>
      </c>
      <c r="HD120" s="1467">
        <f t="shared" si="1149"/>
      </c>
    </row>
    <row r="121" spans="1:214" s="970" customFormat="1" ht="10.199999999999999">
      <c r="A121" s="984" t="s">
        <v>1215</v>
      </c>
      <c r="B121" s="985"/>
      <c r="C121" s="985"/>
      <c r="D121" s="985"/>
      <c r="E121" s="986"/>
      <c r="F121" s="985"/>
      <c r="G121" s="985"/>
      <c r="H121" s="985"/>
      <c r="I121" s="986"/>
      <c r="J121" s="985"/>
      <c r="K121" s="985"/>
      <c r="L121" s="985"/>
      <c r="M121" s="986"/>
      <c r="N121" s="985"/>
      <c r="O121" s="985"/>
      <c r="P121" s="985"/>
      <c r="Q121" s="986"/>
      <c r="R121" s="985"/>
      <c r="S121" s="985"/>
      <c r="T121" s="985"/>
      <c r="U121" s="986"/>
      <c r="V121" s="985"/>
      <c r="W121" s="985"/>
      <c r="X121" s="985"/>
      <c r="Y121" s="986"/>
      <c r="Z121" s="985"/>
      <c r="AA121" s="985"/>
      <c r="AB121" s="985"/>
      <c r="AC121" s="986"/>
      <c r="AD121" s="985"/>
      <c r="AE121" s="985"/>
      <c r="AF121" s="985"/>
      <c r="AG121" s="986"/>
      <c r="AH121" s="985"/>
      <c r="AI121" s="985"/>
      <c r="AJ121" s="985"/>
      <c r="AK121" s="986"/>
      <c r="AL121" s="985"/>
      <c r="AM121" s="985"/>
      <c r="AN121" s="985"/>
      <c r="AO121" s="986"/>
      <c r="AP121" s="985"/>
      <c r="AQ121" s="985"/>
      <c r="AR121" s="985"/>
      <c r="AS121" s="986"/>
      <c r="AT121" s="985"/>
      <c r="AU121" s="985"/>
      <c r="AV121" s="985"/>
      <c r="AW121" s="986"/>
      <c r="AX121" s="985"/>
      <c r="AY121" s="985"/>
      <c r="AZ121" s="985"/>
      <c r="BA121" s="986"/>
      <c r="BB121" s="985"/>
      <c r="BC121" s="985"/>
      <c r="BD121" s="985"/>
      <c r="BE121" s="986"/>
      <c r="BF121" s="985"/>
      <c r="BG121" s="985"/>
      <c r="BH121" s="985"/>
      <c r="BI121" s="986"/>
      <c r="BJ121" s="985"/>
      <c r="BK121" s="985"/>
      <c r="BL121" s="985"/>
      <c r="BM121" s="986"/>
      <c r="BN121" s="985"/>
      <c r="BO121" s="985"/>
      <c r="BP121" s="985"/>
      <c r="BQ121" s="986"/>
      <c r="BR121" s="985"/>
      <c r="BS121" s="985"/>
      <c r="BT121" s="985"/>
      <c r="BU121" s="986"/>
      <c r="BV121" s="987"/>
      <c r="BW121" s="985"/>
      <c r="BX121" s="985"/>
      <c r="BY121" s="986"/>
      <c r="BZ121" s="987"/>
      <c r="CA121" s="985"/>
      <c r="CB121" s="985"/>
      <c r="CC121" s="986"/>
      <c r="CD121" s="987"/>
      <c r="CE121" s="985"/>
      <c r="CF121" s="985"/>
      <c r="CG121" s="986"/>
      <c r="CH121" s="987"/>
      <c r="CI121" s="985"/>
      <c r="CJ121" s="985"/>
      <c r="CK121" s="986"/>
      <c r="CL121" s="987"/>
      <c r="CM121" s="985"/>
      <c r="CN121" s="985"/>
      <c r="CO121" s="986"/>
      <c r="CP121" s="1042"/>
      <c r="CQ121" s="1042"/>
      <c r="CR121" s="1042"/>
      <c r="CS121" s="989">
        <v>3</v>
      </c>
      <c r="CT121" s="988">
        <v>3</v>
      </c>
      <c r="CU121" s="988">
        <v>1</v>
      </c>
      <c r="CV121" s="988">
        <v>1</v>
      </c>
      <c r="CW121" s="989">
        <v>2</v>
      </c>
      <c r="CX121" s="988">
        <v>2.5</v>
      </c>
      <c r="CY121" s="988">
        <v>2.5</v>
      </c>
      <c r="CZ121" s="988">
        <v>2.5</v>
      </c>
      <c r="DA121" s="989">
        <v>2.5</v>
      </c>
      <c r="DB121" s="988">
        <v>2.5</v>
      </c>
      <c r="DC121" s="988">
        <v>2.5</v>
      </c>
      <c r="DD121" s="988">
        <v>2</v>
      </c>
      <c r="DE121" s="988">
        <v>2</v>
      </c>
      <c r="DF121" s="990">
        <v>2</v>
      </c>
      <c r="DG121" s="988">
        <v>3</v>
      </c>
      <c r="DH121" s="988">
        <v>5</v>
      </c>
      <c r="DI121" s="989">
        <v>3</v>
      </c>
      <c r="DJ121" s="990">
        <v>3</v>
      </c>
      <c r="DK121" s="988">
        <v>3</v>
      </c>
      <c r="DL121" s="988">
        <v>3</v>
      </c>
      <c r="DM121" s="989">
        <v>3</v>
      </c>
      <c r="DN121" s="990">
        <v>3</v>
      </c>
      <c r="DO121" s="988">
        <v>3</v>
      </c>
      <c r="DP121" s="988">
        <v>3</v>
      </c>
      <c r="DQ121" s="989">
        <v>3</v>
      </c>
      <c r="DR121" s="990">
        <v>3</v>
      </c>
      <c r="DS121" s="988">
        <v>3</v>
      </c>
      <c r="DT121" s="988">
        <v>3</v>
      </c>
      <c r="DU121" s="991">
        <v>3</v>
      </c>
      <c r="DV121" s="990">
        <v>3</v>
      </c>
      <c r="DW121" s="988">
        <v>3</v>
      </c>
      <c r="DX121" s="988">
        <v>3</v>
      </c>
      <c r="DY121" s="991">
        <v>3</v>
      </c>
      <c r="DZ121" s="990">
        <v>3</v>
      </c>
      <c r="EA121" s="988">
        <v>3</v>
      </c>
      <c r="EB121" s="988">
        <v>3</v>
      </c>
      <c r="EC121" s="991">
        <v>3</v>
      </c>
      <c r="ED121" s="990">
        <v>3</v>
      </c>
      <c r="EE121" s="988">
        <v>3</v>
      </c>
      <c r="EF121" s="988">
        <v>3</v>
      </c>
      <c r="EG121" s="991">
        <v>3</v>
      </c>
      <c r="EH121" s="990">
        <v>3</v>
      </c>
      <c r="EI121" s="988">
        <v>3</v>
      </c>
      <c r="EJ121" s="988">
        <v>3</v>
      </c>
      <c r="EK121" s="991">
        <v>3</v>
      </c>
      <c r="EM121" s="988"/>
      <c r="EN121" s="988"/>
      <c r="EO121" s="988"/>
      <c r="EP121" s="988"/>
      <c r="EQ121" s="988"/>
      <c r="ER121" s="988"/>
      <c r="ES121" s="988"/>
      <c r="ET121" s="988"/>
      <c r="EU121" s="988"/>
      <c r="EV121" s="988"/>
      <c r="EW121" s="988"/>
      <c r="EX121" s="988"/>
      <c r="EY121" s="988"/>
      <c r="EZ121" s="988"/>
      <c r="FA121" s="988"/>
      <c r="FB121" s="988"/>
      <c r="FC121" s="988"/>
      <c r="FD121" s="988"/>
      <c r="FE121" s="985">
        <f t="shared" ref="FE121" si="1150">SUM(BV121:BY121)</f>
      </c>
      <c r="FF121" s="985">
        <f t="shared" ref="FF121" si="1151">SUM(BZ121:CC121)</f>
      </c>
      <c r="FG121" s="985">
        <f t="shared" ref="FG121" si="1152">SUM(CD121:CG121)</f>
      </c>
      <c r="FH121" s="985">
        <f t="shared" ref="FH121" si="1153">SUM(CH121:CK121)</f>
      </c>
      <c r="FI121" s="985">
        <f t="shared" ref="FI121" si="1154">SUM(CL121:CO121)</f>
      </c>
      <c r="FJ121" s="985">
        <f t="shared" ref="FJ121" si="1155">SUM(CP121:CS121)</f>
      </c>
      <c r="FK121" s="985">
        <f t="shared" ref="FK121" si="1156">SUM(CT121:CW121)</f>
      </c>
      <c r="FL121" s="985">
        <f t="shared" ref="FL121" si="1157">SUM(CX121:DA121)</f>
      </c>
      <c r="FM121" s="985">
        <f t="shared" ref="FM121" si="1158">SUM(DB121:DE121)</f>
      </c>
      <c r="FN121" s="985">
        <f t="shared" ref="FN121" si="1159">SUM(DF121:DI121)</f>
      </c>
      <c r="FO121" s="985">
        <f t="shared" ref="FO121" si="1160">SUM(DJ121:DM121)</f>
      </c>
      <c r="FP121" s="985">
        <f>SUM(DN121:DQ121)</f>
      </c>
      <c r="FQ121" s="985">
        <f>SUM(DR121:DU121)</f>
      </c>
      <c r="FR121" s="985">
        <f>SUM(DV121:DY121)</f>
      </c>
      <c r="FS121" s="985">
        <f>SUM(DZ121:EC121)</f>
      </c>
      <c r="FT121" s="985">
        <f>SUM(ED121:EG121)</f>
      </c>
      <c r="FU121" s="985">
        <f>SUM(EH121:EK121)</f>
      </c>
      <c r="FV121" s="1492"/>
      <c r="FW121" s="988"/>
      <c r="FX121" s="988"/>
      <c r="FY121" s="988"/>
      <c r="FZ121" s="988"/>
      <c r="GA121" s="988"/>
      <c r="GB121" s="988"/>
      <c r="GC121" s="988"/>
      <c r="GD121" s="988"/>
      <c r="GE121" s="988"/>
      <c r="GF121" s="988"/>
      <c r="GG121" s="988"/>
      <c r="GH121" s="988"/>
      <c r="GI121" s="988"/>
      <c r="GJ121" s="988"/>
      <c r="GK121" s="988"/>
      <c r="GL121" s="988"/>
      <c r="GM121" s="988"/>
      <c r="GN121" s="988"/>
      <c r="GO121" s="988"/>
      <c r="GP121" s="2278"/>
      <c r="GQ121" s="2278"/>
      <c r="GR121" s="2278"/>
      <c r="GS121" s="2278"/>
      <c r="GT121" s="2278">
        <f t="shared" ref="GT121:GY121" si="1161">GT119-GS119</f>
      </c>
      <c r="GU121" s="2278">
        <f t="shared" si="1161"/>
      </c>
      <c r="GV121" s="2278">
        <f t="shared" si="1161"/>
      </c>
      <c r="GW121" s="2278">
        <f t="shared" si="1161"/>
      </c>
      <c r="GX121" s="2278">
        <f t="shared" si="1161"/>
      </c>
      <c r="GY121" s="2278">
        <f t="shared" si="1161"/>
      </c>
      <c r="GZ121" s="2278">
        <f>GZ119-GY119</f>
      </c>
      <c r="HA121" s="2278">
        <f t="shared" ref="HA121:HD121" si="1162">HA119-GZ119</f>
      </c>
      <c r="HB121" s="2278">
        <f t="shared" si="1162"/>
      </c>
      <c r="HC121" s="2278">
        <f t="shared" si="1162"/>
      </c>
      <c r="HD121" s="2278">
        <f t="shared" si="1162"/>
      </c>
    </row>
    <row r="122" spans="1:214" s="89" customFormat="1" ht="10.199999999999999">
      <c r="A122" s="152"/>
      <c r="E122" s="260"/>
      <c r="I122" s="260"/>
      <c r="M122" s="260"/>
      <c r="Q122" s="260"/>
      <c r="U122" s="260"/>
      <c r="Y122" s="260"/>
      <c r="AC122" s="260"/>
      <c r="AG122" s="260"/>
      <c r="AJ122" s="72"/>
      <c r="AK122" s="227"/>
      <c r="AL122" s="72"/>
      <c r="AM122" s="72"/>
      <c r="AN122" s="72"/>
      <c r="AO122" s="227"/>
      <c r="AP122" s="72"/>
      <c r="AQ122" s="72"/>
      <c r="AR122" s="72"/>
      <c r="AS122" s="227"/>
      <c r="AT122" s="72"/>
      <c r="AU122" s="72"/>
      <c r="AV122" s="72"/>
      <c r="AW122" s="227"/>
      <c r="AX122" s="72"/>
      <c r="AY122" s="72"/>
      <c r="AZ122" s="72"/>
      <c r="BA122" s="227"/>
      <c r="BB122" s="72"/>
      <c r="BC122" s="72"/>
      <c r="BD122" s="72"/>
      <c r="BE122" s="227"/>
      <c r="BF122" s="72"/>
      <c r="BG122" s="72"/>
      <c r="BH122" s="72"/>
      <c r="BI122" s="227"/>
      <c r="BJ122" s="72"/>
      <c r="BK122" s="72"/>
      <c r="BL122" s="72"/>
      <c r="BM122" s="227"/>
      <c r="BN122" s="72"/>
      <c r="BO122" s="72"/>
      <c r="BP122" s="72"/>
      <c r="BQ122" s="227"/>
      <c r="BR122" s="72"/>
      <c r="BS122" s="72"/>
      <c r="BT122" s="72"/>
      <c r="BU122" s="227"/>
      <c r="BV122" s="355"/>
      <c r="BW122" s="72"/>
      <c r="BX122" s="72"/>
      <c r="BY122" s="227"/>
      <c r="BZ122" s="355"/>
      <c r="CA122" s="72"/>
      <c r="CB122" s="72"/>
      <c r="CC122" s="227"/>
      <c r="CD122" s="355"/>
      <c r="CE122" s="72"/>
      <c r="CF122" s="72"/>
      <c r="CG122" s="227"/>
      <c r="CH122" s="355"/>
      <c r="CI122" s="72"/>
      <c r="CJ122" s="72"/>
      <c r="CK122" s="227"/>
      <c r="CL122" s="355"/>
      <c r="CM122" s="72"/>
      <c r="CN122" s="72"/>
      <c r="CO122" s="227"/>
      <c r="CP122" s="72"/>
      <c r="CQ122" s="87"/>
      <c r="CR122" s="87"/>
      <c r="CS122" s="227"/>
      <c r="CT122" s="72"/>
      <c r="CU122" s="87"/>
      <c r="CV122" s="87"/>
      <c r="CW122" s="416"/>
      <c r="CX122" s="87"/>
      <c r="CY122" s="87"/>
      <c r="CZ122" s="87"/>
      <c r="DA122" s="416"/>
      <c r="DB122" s="87"/>
      <c r="DC122" s="87"/>
      <c r="DD122" s="87"/>
      <c r="DE122" s="232"/>
      <c r="DF122" s="419"/>
      <c r="DG122" s="71"/>
      <c r="DH122" s="71"/>
      <c r="DI122" s="232"/>
      <c r="DJ122" s="419"/>
      <c r="DK122" s="71"/>
      <c r="DL122" s="71"/>
      <c r="DM122" s="232"/>
      <c r="DN122" s="419"/>
      <c r="DO122" s="71"/>
      <c r="DP122" s="71"/>
      <c r="DQ122" s="232"/>
      <c r="DR122" s="419"/>
      <c r="DS122" s="71"/>
      <c r="DT122" s="71"/>
      <c r="DU122" s="232"/>
      <c r="DV122" s="419"/>
      <c r="DW122" s="71"/>
      <c r="DX122" s="71"/>
      <c r="DY122" s="232"/>
      <c r="DZ122" s="419"/>
      <c r="EA122" s="71"/>
      <c r="EB122" s="71"/>
      <c r="EC122" s="232"/>
      <c r="ED122" s="419"/>
      <c r="EE122" s="71"/>
      <c r="EF122" s="71"/>
      <c r="EG122" s="232"/>
      <c r="EH122" s="419"/>
      <c r="EI122" s="71"/>
      <c r="EJ122" s="71"/>
      <c r="EK122" s="232"/>
      <c r="EU122" s="72"/>
      <c r="EV122" s="72"/>
      <c r="EW122" s="72"/>
      <c r="EX122" s="72"/>
      <c r="EY122" s="72"/>
      <c r="EZ122" s="72"/>
      <c r="FA122" s="72"/>
      <c r="FB122" s="72"/>
      <c r="FC122" s="72"/>
      <c r="FD122" s="72"/>
      <c r="FE122" s="72"/>
      <c r="FF122" s="72"/>
      <c r="FG122" s="72"/>
      <c r="FH122" s="72"/>
      <c r="FI122" s="72"/>
      <c r="FJ122" s="72"/>
      <c r="FK122" s="72"/>
      <c r="FL122" s="72"/>
      <c r="FM122" s="72"/>
      <c r="FN122" s="72"/>
      <c r="FO122" s="72"/>
      <c r="FP122" s="72"/>
      <c r="FQ122" s="72"/>
      <c r="FR122" s="72"/>
      <c r="FS122" s="72"/>
      <c r="FT122" s="72"/>
      <c r="FU122" s="72"/>
      <c r="FV122" s="88"/>
      <c r="GE122" s="72"/>
      <c r="GF122" s="72"/>
      <c r="GG122" s="72"/>
      <c r="GH122" s="72"/>
      <c r="GI122" s="72"/>
      <c r="GJ122" s="72"/>
      <c r="GK122" s="72"/>
      <c r="GL122" s="72"/>
      <c r="GM122" s="72"/>
      <c r="GN122" s="72"/>
      <c r="GO122" s="72"/>
      <c r="GP122" s="72"/>
      <c r="GQ122" s="72"/>
      <c r="GR122" s="72"/>
      <c r="GS122" s="72"/>
      <c r="GT122" s="72"/>
      <c r="GU122" s="72"/>
      <c r="GV122" s="72"/>
      <c r="GW122" s="72"/>
      <c r="GX122" s="72"/>
      <c r="GY122" s="72"/>
      <c r="GZ122" s="72"/>
      <c r="HA122" s="72"/>
      <c r="HB122" s="72"/>
      <c r="HC122" s="72"/>
      <c r="HD122" s="72"/>
    </row>
    <row r="123" spans="1:214" s="16" customFormat="1" ht="10.199999999999999">
      <c r="A123" s="708" t="s">
        <v>1218</v>
      </c>
      <c r="B123" s="706" t="str">
        <f>'Revenue summary'!B$8</f>
      </c>
      <c r="C123" s="706" t="str">
        <f>'Revenue summary'!C$8</f>
      </c>
      <c r="D123" s="706" t="str">
        <f>'Revenue summary'!D$8</f>
      </c>
      <c r="E123" s="707" t="str">
        <f>'Revenue summary'!E$8</f>
      </c>
      <c r="F123" s="706" t="str">
        <f>'Revenue summary'!F$8</f>
      </c>
      <c r="G123" s="706" t="str">
        <f>'Revenue summary'!G$8</f>
      </c>
      <c r="H123" s="706" t="str">
        <f>'Revenue summary'!H$8</f>
      </c>
      <c r="I123" s="707" t="str">
        <f>'Revenue summary'!I$8</f>
      </c>
      <c r="J123" s="706" t="str">
        <f>'Revenue summary'!J$8</f>
      </c>
      <c r="K123" s="706" t="str">
        <f>'Revenue summary'!K$8</f>
      </c>
      <c r="L123" s="706" t="str">
        <f>'Revenue summary'!L$8</f>
      </c>
      <c r="M123" s="707" t="str">
        <f>'Revenue summary'!M$8</f>
      </c>
      <c r="N123" s="706" t="str">
        <f>'Revenue summary'!N$8</f>
      </c>
      <c r="O123" s="706" t="str">
        <f>'Revenue summary'!O$8</f>
      </c>
      <c r="P123" s="706" t="str">
        <f>'Revenue summary'!P$8</f>
      </c>
      <c r="Q123" s="707" t="str">
        <f>'Revenue summary'!Q$8</f>
      </c>
      <c r="R123" s="706" t="str">
        <f>'Revenue summary'!R$8</f>
      </c>
      <c r="S123" s="706" t="str">
        <f>'Revenue summary'!S$8</f>
      </c>
      <c r="T123" s="706" t="str">
        <f>'Revenue summary'!T$8</f>
      </c>
      <c r="U123" s="707" t="str">
        <f>'Revenue summary'!U$8</f>
      </c>
      <c r="V123" s="706" t="str">
        <f>'Revenue summary'!V$8</f>
      </c>
      <c r="W123" s="706" t="str">
        <f>'Revenue summary'!W$8</f>
      </c>
      <c r="X123" s="706" t="str">
        <f>'Revenue summary'!X$8</f>
      </c>
      <c r="Y123" s="707" t="str">
        <f>'Revenue summary'!Y$8</f>
      </c>
      <c r="Z123" s="706" t="str">
        <f>'Revenue summary'!Z$8</f>
      </c>
      <c r="AA123" s="706" t="str">
        <f>'Revenue summary'!AA$8</f>
      </c>
      <c r="AB123" s="706" t="str">
        <f>'Revenue summary'!AB$8</f>
      </c>
      <c r="AC123" s="707" t="str">
        <f>'Revenue summary'!AC$8</f>
      </c>
      <c r="AD123" s="706" t="str">
        <f>'Revenue summary'!AD$8</f>
      </c>
      <c r="AE123" s="706" t="str">
        <f>'Revenue summary'!AE$8</f>
      </c>
      <c r="AF123" s="706" t="str">
        <f>'Revenue summary'!AF$8</f>
      </c>
      <c r="AG123" s="707" t="str">
        <f>'Revenue summary'!AG$8</f>
      </c>
      <c r="AH123" s="706" t="str">
        <f>'Revenue summary'!AH$8</f>
      </c>
      <c r="AI123" s="706" t="str">
        <f>'Revenue summary'!AI$8</f>
      </c>
      <c r="AJ123" s="706" t="str">
        <f>'Revenue summary'!AJ$8</f>
      </c>
      <c r="AK123" s="707" t="str">
        <f>'Revenue summary'!AK$8</f>
      </c>
      <c r="AL123" s="706" t="str">
        <f>'Revenue summary'!AL$8</f>
      </c>
      <c r="AM123" s="706" t="str">
        <f>'Revenue summary'!AM$8</f>
      </c>
      <c r="AN123" s="706" t="str">
        <f>'Revenue summary'!AN$8</f>
      </c>
      <c r="AO123" s="707" t="str">
        <f>'Revenue summary'!AO$8</f>
      </c>
      <c r="AP123" s="706" t="str">
        <f>'Revenue summary'!AP$8</f>
      </c>
      <c r="AQ123" s="706" t="str">
        <f>'Revenue summary'!AQ$8</f>
      </c>
      <c r="AR123" s="706" t="str">
        <f>'Revenue summary'!AR$8</f>
      </c>
      <c r="AS123" s="707" t="str">
        <f>'Revenue summary'!AS$8</f>
      </c>
      <c r="AT123" s="706" t="str">
        <f>'Revenue summary'!AT$8</f>
      </c>
      <c r="AU123" s="706" t="str">
        <f>'Revenue summary'!AU$8</f>
      </c>
      <c r="AV123" s="706" t="str">
        <f>'Revenue summary'!AV$8</f>
      </c>
      <c r="AW123" s="707" t="str">
        <f>'Revenue summary'!AW$8</f>
      </c>
      <c r="AX123" s="706" t="str">
        <f>'Revenue summary'!AX$8</f>
      </c>
      <c r="AY123" s="706" t="str">
        <f>'Revenue summary'!AY$8</f>
      </c>
      <c r="AZ123" s="706" t="str">
        <f>'Revenue summary'!AZ$8</f>
      </c>
      <c r="BA123" s="707" t="str">
        <f>'Revenue summary'!BA$8</f>
      </c>
      <c r="BB123" s="706" t="str">
        <f>'Revenue summary'!BB$8</f>
      </c>
      <c r="BC123" s="706" t="str">
        <f>'Revenue summary'!BC$8</f>
      </c>
      <c r="BD123" s="706" t="str">
        <f>'Revenue summary'!BD$8</f>
      </c>
      <c r="BE123" s="707" t="str">
        <f>'Revenue summary'!BE$8</f>
      </c>
      <c r="BF123" s="706" t="str">
        <f>'Revenue summary'!BF$8</f>
      </c>
      <c r="BG123" s="706" t="str">
        <f>'Revenue summary'!BG$8</f>
      </c>
      <c r="BH123" s="706" t="str">
        <f>'Revenue summary'!BH$8</f>
      </c>
      <c r="BI123" s="707" t="str">
        <f>'Revenue summary'!BI$8</f>
      </c>
      <c r="BJ123" s="706" t="str">
        <f>'Revenue summary'!BJ$8</f>
      </c>
      <c r="BK123" s="706" t="str">
        <f>'Revenue summary'!BK$8</f>
      </c>
      <c r="BL123" s="706" t="str">
        <f>'Revenue summary'!BL$8</f>
      </c>
      <c r="BM123" s="707" t="str">
        <f>'Revenue summary'!BM$8</f>
      </c>
      <c r="BN123" s="706" t="str">
        <f>'Revenue summary'!BN$8</f>
      </c>
      <c r="BO123" s="706" t="str">
        <f>'Revenue summary'!BO$8</f>
      </c>
      <c r="BP123" s="706" t="str">
        <f>'Revenue summary'!BP$8</f>
      </c>
      <c r="BQ123" s="707" t="str">
        <f>'Revenue summary'!BQ$8</f>
      </c>
      <c r="BR123" s="706" t="str">
        <f>'Revenue summary'!BR$8</f>
      </c>
      <c r="BS123" s="706" t="str">
        <f>'Revenue summary'!BS$8</f>
      </c>
      <c r="BT123" s="706" t="str">
        <f>'Revenue summary'!BT$8</f>
      </c>
      <c r="BU123" s="707" t="str">
        <f>'Revenue summary'!BU$8</f>
      </c>
      <c r="BV123" s="706" t="str">
        <f>'Revenue summary'!BV$8</f>
      </c>
      <c r="BW123" s="706" t="str">
        <f>'Revenue summary'!BW$8</f>
      </c>
      <c r="BX123" s="706" t="str">
        <f>'Revenue summary'!BX$8</f>
      </c>
      <c r="BY123" s="707" t="str">
        <f>'Revenue summary'!BY$8</f>
      </c>
      <c r="BZ123" s="706" t="str">
        <f>'Revenue summary'!BZ$8</f>
      </c>
      <c r="CA123" s="706" t="str">
        <f>'Revenue summary'!CA$8</f>
      </c>
      <c r="CB123" s="706" t="str">
        <f>'Revenue summary'!CB$8</f>
      </c>
      <c r="CC123" s="707" t="str">
        <f>'Revenue summary'!CC$8</f>
      </c>
      <c r="CD123" s="706" t="str">
        <f>'Revenue summary'!CD$8</f>
      </c>
      <c r="CE123" s="706" t="str">
        <f>'Revenue summary'!CE$8</f>
      </c>
      <c r="CF123" s="706" t="str">
        <f>'Revenue summary'!CF$8</f>
      </c>
      <c r="CG123" s="707" t="str">
        <f>'Revenue summary'!CG$8</f>
      </c>
      <c r="CH123" s="706" t="str">
        <f>'Revenue summary'!CH$8</f>
      </c>
      <c r="CI123" s="706" t="str">
        <f>'Revenue summary'!CI$8</f>
      </c>
      <c r="CJ123" s="706" t="str">
        <f>'Revenue summary'!CJ$8</f>
      </c>
      <c r="CK123" s="707" t="str">
        <f>'Revenue summary'!CK$8</f>
      </c>
      <c r="CL123" s="706" t="str">
        <f>'Revenue summary'!CL$8</f>
      </c>
      <c r="CM123" s="706" t="str">
        <f>'Revenue summary'!CM$8</f>
      </c>
      <c r="CN123" s="706" t="str">
        <f>'Revenue summary'!CN$8</f>
      </c>
      <c r="CO123" s="707" t="str">
        <f>'Revenue summary'!CO$8</f>
      </c>
      <c r="CP123" s="706" t="str">
        <f>'Revenue summary'!CP$8</f>
      </c>
      <c r="CQ123" s="706" t="str">
        <f>'Revenue summary'!CQ$8</f>
      </c>
      <c r="CR123" s="706" t="str">
        <f>'Revenue summary'!CR$8</f>
      </c>
      <c r="CS123" s="707" t="str">
        <f>'Revenue summary'!CS$8</f>
      </c>
      <c r="CT123" s="706" t="str">
        <f>'Revenue summary'!CT$8</f>
      </c>
      <c r="CU123" s="706" t="str">
        <f>'Revenue summary'!CU$8</f>
      </c>
      <c r="CV123" s="706" t="str">
        <f>'Revenue summary'!CV$8</f>
      </c>
      <c r="CW123" s="707" t="str">
        <f>'Revenue summary'!CW$8</f>
      </c>
      <c r="CX123" s="706" t="str">
        <f>'Revenue summary'!CX$8</f>
      </c>
      <c r="CY123" s="706" t="str">
        <f>'Revenue summary'!CY$8</f>
      </c>
      <c r="CZ123" s="706" t="str">
        <f>'Revenue summary'!CZ$8</f>
      </c>
      <c r="DA123" s="707" t="str">
        <f>'Revenue summary'!DA$8</f>
      </c>
      <c r="DB123" s="706" t="str">
        <f>'Revenue summary'!DB$8</f>
      </c>
      <c r="DC123" s="706" t="str">
        <f>'Revenue summary'!DC$8</f>
      </c>
      <c r="DD123" s="706" t="str">
        <f>'Revenue summary'!DD$8</f>
      </c>
      <c r="DE123" s="707" t="str">
        <f>'Revenue summary'!DE$8</f>
      </c>
      <c r="DF123" s="706" t="str">
        <f>'Revenue summary'!DF$8</f>
      </c>
      <c r="DG123" s="706" t="str">
        <f>'Revenue summary'!DG$8</f>
      </c>
      <c r="DH123" s="706" t="str">
        <f>'Revenue summary'!DH$8</f>
      </c>
      <c r="DI123" s="707" t="str">
        <f>'Revenue summary'!DI$8</f>
      </c>
      <c r="DJ123" s="706" t="str">
        <f>'Revenue summary'!DJ$8</f>
      </c>
      <c r="DK123" s="706" t="str">
        <f>'Revenue summary'!DK$8</f>
      </c>
      <c r="DL123" s="706" t="str">
        <f>'Revenue summary'!DL$8</f>
      </c>
      <c r="DM123" s="707" t="str">
        <f>'Revenue summary'!DM$8</f>
      </c>
      <c r="DN123" s="706" t="str">
        <f>'Revenue summary'!DN$8</f>
      </c>
      <c r="DO123" s="706" t="str">
        <f>'Revenue summary'!DO$8</f>
      </c>
      <c r="DP123" s="706" t="str">
        <f>'Revenue summary'!DP$8</f>
      </c>
      <c r="DQ123" s="707" t="str">
        <f>'Revenue summary'!DQ$8</f>
      </c>
      <c r="DR123" s="706" t="str">
        <f>'Revenue summary'!DR$8</f>
      </c>
      <c r="DS123" s="706" t="str">
        <f>'Revenue summary'!DS$8</f>
      </c>
      <c r="DT123" s="706" t="str">
        <f>'Revenue summary'!DT$8</f>
      </c>
      <c r="DU123" s="707" t="str">
        <f>'Revenue summary'!DU$8</f>
      </c>
      <c r="DV123" s="706" t="str">
        <f>'Revenue summary'!DV$8</f>
      </c>
      <c r="DW123" s="706" t="str">
        <f>'Revenue summary'!DW$8</f>
      </c>
      <c r="DX123" s="706" t="str">
        <f>'Revenue summary'!DX$8</f>
      </c>
      <c r="DY123" s="707" t="str">
        <f>'Revenue summary'!DY$8</f>
      </c>
      <c r="DZ123" s="706" t="str">
        <f>'Revenue summary'!DZ$8</f>
      </c>
      <c r="EA123" s="706" t="str">
        <f>'Revenue summary'!EA$8</f>
      </c>
      <c r="EB123" s="706" t="str">
        <f>'Revenue summary'!EB$8</f>
      </c>
      <c r="EC123" s="707" t="str">
        <f>'Revenue summary'!EC$8</f>
      </c>
      <c r="ED123" s="706" t="str">
        <f>'Revenue summary'!ED$8</f>
      </c>
      <c r="EE123" s="706" t="str">
        <f>'Revenue summary'!EE$8</f>
      </c>
      <c r="EF123" s="706" t="str">
        <f>'Revenue summary'!EF$8</f>
      </c>
      <c r="EG123" s="707" t="str">
        <f>'Revenue summary'!EG$8</f>
      </c>
      <c r="EH123" s="706" t="str">
        <f>'Revenue summary'!EH$8</f>
      </c>
      <c r="EI123" s="706" t="str">
        <f>'Revenue summary'!EI$8</f>
      </c>
      <c r="EJ123" s="706" t="str">
        <f>'Revenue summary'!EJ$8</f>
      </c>
      <c r="EK123" s="707" t="str">
        <f>'Revenue summary'!EK$8</f>
      </c>
      <c r="EL123" s="320"/>
      <c r="EM123" s="706">
        <f t="shared" ref="EM123:FH123" si="1163">EM$9</f>
      </c>
      <c r="EN123" s="706">
        <f t="shared" si="1163"/>
      </c>
      <c r="EO123" s="706">
        <f t="shared" si="1163"/>
      </c>
      <c r="EP123" s="706">
        <f t="shared" si="1163"/>
      </c>
      <c r="EQ123" s="706">
        <f t="shared" si="1163"/>
      </c>
      <c r="ER123" s="706">
        <f t="shared" si="1163"/>
      </c>
      <c r="ES123" s="706">
        <f t="shared" si="1163"/>
      </c>
      <c r="ET123" s="706">
        <f t="shared" si="1163"/>
      </c>
      <c r="EU123" s="706">
        <f t="shared" si="1163"/>
      </c>
      <c r="EV123" s="706">
        <f t="shared" si="1163"/>
      </c>
      <c r="EW123" s="706">
        <f t="shared" si="1163"/>
      </c>
      <c r="EX123" s="706">
        <f t="shared" si="1163"/>
      </c>
      <c r="EY123" s="706">
        <f t="shared" si="1163"/>
      </c>
      <c r="EZ123" s="706">
        <f t="shared" si="1163"/>
      </c>
      <c r="FA123" s="706">
        <f t="shared" si="1163"/>
      </c>
      <c r="FB123" s="706">
        <f t="shared" si="1163"/>
      </c>
      <c r="FC123" s="706">
        <f t="shared" si="1163"/>
      </c>
      <c r="FD123" s="706">
        <f t="shared" si="1163"/>
      </c>
      <c r="FE123" s="706" t="str">
        <f t="shared" si="1163"/>
      </c>
      <c r="FF123" s="706" t="str">
        <f t="shared" si="1163"/>
      </c>
      <c r="FG123" s="706" t="str">
        <f t="shared" si="1163"/>
      </c>
      <c r="FH123" s="706" t="str">
        <f t="shared" si="1163"/>
      </c>
      <c r="FI123" s="706" t="str">
        <f>FI$9</f>
      </c>
      <c r="FJ123" s="706" t="str">
        <f t="shared" ref="FJ123:FU123" si="1164">FJ$9</f>
      </c>
      <c r="FK123" s="706" t="str">
        <f t="shared" si="1164"/>
      </c>
      <c r="FL123" s="706" t="str">
        <f t="shared" si="1164"/>
      </c>
      <c r="FM123" s="706" t="str">
        <f t="shared" si="1164"/>
      </c>
      <c r="FN123" s="706" t="str">
        <f t="shared" si="1164"/>
      </c>
      <c r="FO123" s="706" t="str">
        <f t="shared" si="1164"/>
      </c>
      <c r="FP123" s="706" t="str">
        <f t="shared" si="1164"/>
      </c>
      <c r="FQ123" s="706" t="str">
        <f t="shared" si="1164"/>
      </c>
      <c r="FR123" s="706" t="str">
        <f t="shared" si="1164"/>
      </c>
      <c r="FS123" s="706" t="str">
        <f t="shared" si="1164"/>
      </c>
      <c r="FT123" s="706" t="str">
        <f t="shared" si="1164"/>
      </c>
      <c r="FU123" s="706" t="str">
        <f t="shared" si="1164"/>
      </c>
      <c r="FV123" s="706"/>
      <c r="FW123" s="706" t="str">
        <f t="shared" ref="FW123:GX123" si="1165">FW$10</f>
      </c>
      <c r="FX123" s="706" t="str">
        <f t="shared" si="1165"/>
      </c>
      <c r="FY123" s="706" t="str">
        <f t="shared" si="1165"/>
      </c>
      <c r="FZ123" s="706" t="str">
        <f t="shared" si="1165"/>
      </c>
      <c r="GA123" s="706" t="str">
        <f t="shared" si="1165"/>
      </c>
      <c r="GB123" s="706" t="str">
        <f t="shared" si="1165"/>
      </c>
      <c r="GC123" s="706" t="str">
        <f t="shared" si="1165"/>
      </c>
      <c r="GD123" s="706" t="str">
        <f t="shared" si="1165"/>
      </c>
      <c r="GE123" s="706" t="str">
        <f t="shared" si="1165"/>
      </c>
      <c r="GF123" s="706" t="str">
        <f t="shared" si="1165"/>
      </c>
      <c r="GG123" s="706" t="str">
        <f t="shared" si="1165"/>
      </c>
      <c r="GH123" s="706" t="str">
        <f t="shared" si="1165"/>
      </c>
      <c r="GI123" s="706" t="str">
        <f t="shared" si="1165"/>
      </c>
      <c r="GJ123" s="706" t="str">
        <f t="shared" si="1165"/>
      </c>
      <c r="GK123" s="706" t="str">
        <f t="shared" si="1165"/>
      </c>
      <c r="GL123" s="706" t="str">
        <f t="shared" si="1165"/>
      </c>
      <c r="GM123" s="706" t="str">
        <f t="shared" si="1165"/>
      </c>
      <c r="GN123" s="706" t="str">
        <f t="shared" si="1165"/>
      </c>
      <c r="GO123" s="706" t="str">
        <f t="shared" si="1165"/>
      </c>
      <c r="GP123" s="706" t="str">
        <f t="shared" si="1165"/>
      </c>
      <c r="GQ123" s="706" t="str">
        <f t="shared" si="1165"/>
      </c>
      <c r="GR123" s="706" t="str">
        <f t="shared" si="1165"/>
      </c>
      <c r="GS123" s="706" t="str">
        <f t="shared" si="1165"/>
      </c>
      <c r="GT123" s="706" t="str">
        <f t="shared" si="1165"/>
      </c>
      <c r="GU123" s="706" t="str">
        <f t="shared" si="1165"/>
      </c>
      <c r="GV123" s="706" t="str">
        <f t="shared" si="1165"/>
      </c>
      <c r="GW123" s="706" t="str">
        <f t="shared" si="1165"/>
      </c>
      <c r="GX123" s="706" t="str">
        <f t="shared" si="1165"/>
      </c>
      <c r="GY123" s="706" t="str">
        <f t="shared" ref="GY123" si="1166">GY$10</f>
      </c>
      <c r="GZ123" s="706" t="str">
        <f t="shared" ref="GZ123:HD123" si="1167">GZ$10</f>
      </c>
      <c r="HA123" s="706" t="str">
        <f t="shared" si="1167"/>
      </c>
      <c r="HB123" s="706" t="str">
        <f t="shared" si="1167"/>
      </c>
      <c r="HC123" s="706" t="str">
        <f t="shared" si="1167"/>
      </c>
      <c r="HD123" s="706" t="str">
        <f t="shared" si="1167"/>
      </c>
    </row>
    <row r="124" spans="1:214" s="370" customFormat="1" ht="10.8" thickBot="1">
      <c r="A124" s="946" t="s">
        <v>1216</v>
      </c>
      <c r="B124" s="974"/>
      <c r="C124" s="974"/>
      <c r="D124" s="974"/>
      <c r="E124" s="975"/>
      <c r="F124" s="974"/>
      <c r="G124" s="974"/>
      <c r="H124" s="974"/>
      <c r="I124" s="975"/>
      <c r="J124" s="974"/>
      <c r="K124" s="974"/>
      <c r="L124" s="974"/>
      <c r="M124" s="975"/>
      <c r="N124" s="974"/>
      <c r="O124" s="974"/>
      <c r="P124" s="974"/>
      <c r="Q124" s="975"/>
      <c r="R124" s="974"/>
      <c r="S124" s="974"/>
      <c r="T124" s="974"/>
      <c r="U124" s="975"/>
      <c r="V124" s="974"/>
      <c r="W124" s="974"/>
      <c r="X124" s="974"/>
      <c r="Y124" s="975"/>
      <c r="Z124" s="974"/>
      <c r="AA124" s="974"/>
      <c r="AB124" s="974"/>
      <c r="AC124" s="975"/>
      <c r="AD124" s="974"/>
      <c r="AE124" s="974"/>
      <c r="AF124" s="974"/>
      <c r="AG124" s="975"/>
      <c r="AH124" s="974"/>
      <c r="AI124" s="974"/>
      <c r="AJ124" s="974"/>
      <c r="AK124" s="975"/>
      <c r="AL124" s="974"/>
      <c r="AM124" s="974"/>
      <c r="AN124" s="974"/>
      <c r="AO124" s="975"/>
      <c r="AP124" s="974"/>
      <c r="AQ124" s="974"/>
      <c r="AR124" s="974"/>
      <c r="AS124" s="975"/>
      <c r="AT124" s="974"/>
      <c r="AU124" s="974"/>
      <c r="AV124" s="974"/>
      <c r="AW124" s="975"/>
      <c r="AX124" s="974"/>
      <c r="AY124" s="974"/>
      <c r="AZ124" s="974"/>
      <c r="BA124" s="975"/>
      <c r="BB124" s="974"/>
      <c r="BC124" s="974"/>
      <c r="BD124" s="974"/>
      <c r="BE124" s="975"/>
      <c r="BF124" s="974"/>
      <c r="BG124" s="974"/>
      <c r="BH124" s="974"/>
      <c r="BI124" s="975"/>
      <c r="BJ124" s="974"/>
      <c r="BK124" s="974"/>
      <c r="BL124" s="974"/>
      <c r="BM124" s="975"/>
      <c r="BN124" s="974"/>
      <c r="BO124" s="974"/>
      <c r="BP124" s="974"/>
      <c r="BQ124" s="975"/>
      <c r="BR124" s="974"/>
      <c r="BS124" s="974"/>
      <c r="BT124" s="974"/>
      <c r="BU124" s="975"/>
      <c r="BV124" s="974"/>
      <c r="BW124" s="974"/>
      <c r="BX124" s="974"/>
      <c r="BY124" s="975"/>
      <c r="BZ124" s="974"/>
      <c r="CA124" s="974"/>
      <c r="CB124" s="974"/>
      <c r="CC124" s="948"/>
      <c r="CD124" s="947"/>
      <c r="CE124" s="947"/>
      <c r="CF124" s="947"/>
      <c r="CG124" s="976"/>
      <c r="CH124" s="977"/>
      <c r="CI124" s="977"/>
      <c r="CJ124" s="977"/>
      <c r="CK124" s="976"/>
      <c r="CL124" s="977"/>
      <c r="CM124" s="977"/>
      <c r="CN124" s="977"/>
      <c r="CO124" s="976"/>
      <c r="CP124" s="977">
        <f t="shared" ref="CP124" si="1168">+AVERAGE(CP125,CO125)*CP126*3</f>
      </c>
      <c r="CQ124" s="977">
        <f t="shared" ref="CQ124" si="1169">+AVERAGE(CQ125,CP125)*CQ126*3</f>
      </c>
      <c r="CR124" s="977">
        <f t="shared" ref="CR124" si="1170">+AVERAGE(CR125,CQ125)*CR126*3</f>
      </c>
      <c r="CS124" s="976">
        <f t="shared" ref="CS124" si="1171">+AVERAGE(CS125,CR125)*CS126*3</f>
      </c>
      <c r="CT124" s="977">
        <f t="shared" ref="CT124" si="1172">+AVERAGE(CT125,CS125)*CT126*3</f>
      </c>
      <c r="CU124" s="977">
        <f t="shared" ref="CU124" si="1173">+AVERAGE(CU125,CT125)*CU126*3</f>
      </c>
      <c r="CV124" s="977">
        <f t="shared" ref="CV124" si="1174">+AVERAGE(CV125,CU125)*CV126*3</f>
      </c>
      <c r="CW124" s="976">
        <f t="shared" ref="CW124" si="1175">+AVERAGE(CW125,CV125)*CW126*3</f>
      </c>
      <c r="CX124" s="977">
        <f t="shared" ref="CX124" si="1176">+AVERAGE(CX125,CW125)*CX126*3</f>
      </c>
      <c r="CY124" s="977">
        <f t="shared" ref="CY124" si="1177">+AVERAGE(CY125,CX125)*CY126*3</f>
      </c>
      <c r="CZ124" s="977">
        <f t="shared" ref="CZ124" si="1178">+AVERAGE(CZ125,CY125)*CZ126*3</f>
      </c>
      <c r="DA124" s="976">
        <f t="shared" ref="DA124" si="1179">+AVERAGE(DA125,CZ125)*DA126*3</f>
      </c>
      <c r="DB124" s="977">
        <f t="shared" ref="DB124" si="1180">+AVERAGE(DB125,DA125)*DB126*3</f>
      </c>
      <c r="DC124" s="977">
        <f t="shared" ref="DC124" si="1181">+AVERAGE(DC125,DB125)*DC126*3</f>
      </c>
      <c r="DD124" s="977">
        <f t="shared" ref="DD124" si="1182">+AVERAGE(DD125,DC125)*DD126*3</f>
      </c>
      <c r="DE124" s="976">
        <f t="shared" ref="DE124" si="1183">+AVERAGE(DE125,DD125)*DE126*3</f>
      </c>
      <c r="DF124" s="977">
        <f t="shared" ref="DF124" si="1184">+AVERAGE(DF125,DE125)*DF126*3</f>
      </c>
      <c r="DG124" s="977">
        <f t="shared" ref="DG124" si="1185">+AVERAGE(DG125,DF125)*DG126*3</f>
      </c>
      <c r="DH124" s="977">
        <f t="shared" ref="DH124" si="1186">+AVERAGE(DH125,DG125)*DH126*3</f>
      </c>
      <c r="DI124" s="976">
        <f t="shared" ref="DI124" si="1187">+AVERAGE(DI125,DH125)*DI126*3</f>
      </c>
      <c r="DJ124" s="977">
        <f t="shared" ref="DJ124" si="1188">+AVERAGE(DJ125,DI125)*DJ126*3</f>
      </c>
      <c r="DK124" s="977">
        <f t="shared" ref="DK124" si="1189">+AVERAGE(DK125,DJ125)*DK126*3</f>
      </c>
      <c r="DL124" s="977">
        <f t="shared" ref="DL124" si="1190">+AVERAGE(DL125,DK125)*DL126*3</f>
      </c>
      <c r="DM124" s="976">
        <f t="shared" ref="DM124" si="1191">+AVERAGE(DM125,DL125)*DM126*3</f>
      </c>
      <c r="DN124" s="977">
        <f t="shared" ref="DN124" si="1192">+AVERAGE(DN125,DM125)*DN126*3</f>
      </c>
      <c r="DO124" s="977">
        <f t="shared" ref="DO124" si="1193">+AVERAGE(DO125,DN125)*DO126*3</f>
      </c>
      <c r="DP124" s="977">
        <f t="shared" ref="DP124" si="1194">+AVERAGE(DP125,DO125)*DP126*3</f>
      </c>
      <c r="DQ124" s="976">
        <f t="shared" ref="DQ124" si="1195">+AVERAGE(DQ125,DP125)*DQ126*3</f>
      </c>
      <c r="DR124" s="977">
        <f t="shared" ref="DR124" si="1196">+AVERAGE(DR125,DQ125)*DR126*3</f>
      </c>
      <c r="DS124" s="977">
        <f t="shared" ref="DS124" si="1197">+AVERAGE(DS125,DR125)*DS126*3</f>
      </c>
      <c r="DT124" s="977">
        <f t="shared" ref="DT124" si="1198">+AVERAGE(DT125,DS125)*DT126*3</f>
      </c>
      <c r="DU124" s="979">
        <f t="shared" ref="DU124" si="1199">+AVERAGE(DU125,DT125)*DU126*3</f>
      </c>
      <c r="DV124" s="977">
        <f t="shared" ref="DV124" si="1200">+AVERAGE(DV125,DU125)*DV126*3</f>
      </c>
      <c r="DW124" s="977">
        <f t="shared" ref="DW124" si="1201">+AVERAGE(DW125,DV125)*DW126*3</f>
      </c>
      <c r="DX124" s="977">
        <f t="shared" ref="DX124" si="1202">+AVERAGE(DX125,DW125)*DX126*3</f>
      </c>
      <c r="DY124" s="979">
        <f t="shared" ref="DY124" si="1203">+AVERAGE(DY125,DX125)*DY126*3</f>
      </c>
      <c r="DZ124" s="977">
        <f t="shared" ref="DZ124" si="1204">+AVERAGE(DZ125,DY125)*DZ126*3</f>
      </c>
      <c r="EA124" s="977">
        <f t="shared" ref="EA124" si="1205">+AVERAGE(EA125,DZ125)*EA126*3</f>
      </c>
      <c r="EB124" s="977">
        <f t="shared" ref="EB124" si="1206">+AVERAGE(EB125,EA125)*EB126*3</f>
      </c>
      <c r="EC124" s="979">
        <f t="shared" ref="EC124" si="1207">+AVERAGE(EC125,EB125)*EC126*3</f>
      </c>
      <c r="ED124" s="977">
        <f t="shared" ref="ED124" si="1208">+AVERAGE(ED125,EC125)*ED126*3</f>
      </c>
      <c r="EE124" s="977">
        <f t="shared" ref="EE124" si="1209">+AVERAGE(EE125,ED125)*EE126*3</f>
      </c>
      <c r="EF124" s="977">
        <f t="shared" ref="EF124" si="1210">+AVERAGE(EF125,EE125)*EF126*3</f>
      </c>
      <c r="EG124" s="979">
        <f t="shared" ref="EG124" si="1211">+AVERAGE(EG125,EF125)*EG126*3</f>
      </c>
      <c r="EH124" s="977">
        <f t="shared" ref="EH124" si="1212">+AVERAGE(EH125,EG125)*EH126*3</f>
      </c>
      <c r="EI124" s="977">
        <f t="shared" ref="EI124" si="1213">+AVERAGE(EI125,EH125)*EI126*3</f>
      </c>
      <c r="EJ124" s="977">
        <f t="shared" ref="EJ124" si="1214">+AVERAGE(EJ125,EI125)*EJ126*3</f>
      </c>
      <c r="EK124" s="979">
        <f t="shared" ref="EK124" si="1215">+AVERAGE(EK125,EJ125)*EK126*3</f>
      </c>
      <c r="EM124" s="977"/>
      <c r="EN124" s="977"/>
      <c r="EO124" s="977"/>
      <c r="EP124" s="977"/>
      <c r="EQ124" s="977"/>
      <c r="ER124" s="977"/>
      <c r="ES124" s="977"/>
      <c r="ET124" s="977"/>
      <c r="EU124" s="977"/>
      <c r="EV124" s="977"/>
      <c r="EW124" s="977"/>
      <c r="EX124" s="977"/>
      <c r="EY124" s="977"/>
      <c r="EZ124" s="977"/>
      <c r="FA124" s="977"/>
      <c r="FB124" s="977"/>
      <c r="FC124" s="977"/>
      <c r="FD124" s="977"/>
      <c r="FE124" s="977">
        <f t="shared" ref="FE124" si="1216">SUM(BV124:BY124)</f>
      </c>
      <c r="FF124" s="977">
        <f t="shared" ref="FF124" si="1217">SUM(BZ124:CC124)</f>
      </c>
      <c r="FG124" s="977">
        <f t="shared" ref="FG124" si="1218">SUM(CD124:CG124)</f>
      </c>
      <c r="FH124" s="977">
        <f t="shared" ref="FH124" si="1219">SUM(CH124:CK124)</f>
      </c>
      <c r="FI124" s="977">
        <f t="shared" ref="FI124" si="1220">SUM(CL124:CO124)</f>
      </c>
      <c r="FJ124" s="977">
        <f t="shared" ref="FJ124" si="1221">SUM(CP124:CS124)</f>
      </c>
      <c r="FK124" s="977">
        <f t="shared" ref="FK124" si="1222">SUM(CT124:CW124)</f>
      </c>
      <c r="FL124" s="977">
        <f t="shared" ref="FL124" si="1223">SUM(CX124:DA124)</f>
      </c>
      <c r="FM124" s="977">
        <f t="shared" ref="FM124" si="1224">SUM(DB124:DE124)</f>
      </c>
      <c r="FN124" s="977">
        <f t="shared" ref="FN124" si="1225">SUM(DF124:DI124)</f>
      </c>
      <c r="FO124" s="977">
        <f t="shared" ref="FO124" si="1226">SUM(DJ124:DM124)</f>
      </c>
      <c r="FP124" s="977">
        <f>SUM(DN124:DQ124)</f>
      </c>
      <c r="FQ124" s="977">
        <f>SUM(DR124:DU124)</f>
      </c>
      <c r="FR124" s="977">
        <f>SUM(DV124:DY124)</f>
      </c>
      <c r="FS124" s="977">
        <f>SUM(DZ124:EC124)</f>
      </c>
      <c r="FT124" s="977">
        <f>SUM(ED124:EG124)</f>
      </c>
      <c r="FU124" s="977">
        <f>SUM(EH124:EK124)</f>
      </c>
      <c r="FV124" s="977"/>
      <c r="FW124" s="977"/>
      <c r="FX124" s="977"/>
      <c r="FY124" s="977"/>
      <c r="FZ124" s="977"/>
      <c r="GA124" s="977"/>
      <c r="GB124" s="977"/>
      <c r="GC124" s="977"/>
      <c r="GD124" s="977"/>
      <c r="GE124" s="977"/>
      <c r="GF124" s="977"/>
      <c r="GG124" s="977"/>
      <c r="GH124" s="977"/>
      <c r="GI124" s="977"/>
      <c r="GJ124" s="977"/>
      <c r="GK124" s="977"/>
      <c r="GL124" s="977"/>
      <c r="GM124" s="977"/>
      <c r="GN124" s="977"/>
      <c r="GO124" s="977"/>
      <c r="GP124" s="977"/>
      <c r="GQ124" s="977"/>
      <c r="GR124" s="977"/>
      <c r="GS124" s="977"/>
      <c r="GT124" s="977">
        <f>SUM(CQ124:CT124)</f>
      </c>
      <c r="GU124" s="977">
        <f>SUM(CU124:CX124)</f>
      </c>
      <c r="GV124" s="977">
        <f>SUM(CY124:DB124)</f>
      </c>
      <c r="GW124" s="977">
        <f>SUM(DC124:DF124)</f>
      </c>
      <c r="GX124" s="977">
        <f>SUM(DG124:DJ124)</f>
      </c>
      <c r="GY124" s="977">
        <f>SUM(DK124:DN124)</f>
      </c>
      <c r="GZ124" s="977">
        <f>SUM(DO124:DR124)</f>
      </c>
      <c r="HA124" s="977">
        <f>SUM(DS124:DV124)</f>
      </c>
      <c r="HB124" s="977">
        <f>SUM(DW124:DZ124)</f>
      </c>
      <c r="HC124" s="977">
        <f>SUM(EA124:ED124)</f>
      </c>
      <c r="HD124" s="977">
        <f>SUM(EE124:EH124)</f>
      </c>
    </row>
    <row r="125" spans="1:214" s="970" customFormat="1" ht="10.8" thickTop="1">
      <c r="A125" s="980" t="s">
        <v>1203</v>
      </c>
      <c r="B125" s="967"/>
      <c r="C125" s="967"/>
      <c r="D125" s="967"/>
      <c r="E125" s="966"/>
      <c r="F125" s="967"/>
      <c r="G125" s="967"/>
      <c r="H125" s="967"/>
      <c r="I125" s="966"/>
      <c r="J125" s="967"/>
      <c r="K125" s="967"/>
      <c r="L125" s="967"/>
      <c r="M125" s="966"/>
      <c r="N125" s="967"/>
      <c r="O125" s="967"/>
      <c r="P125" s="967"/>
      <c r="Q125" s="966"/>
      <c r="R125" s="967"/>
      <c r="S125" s="967"/>
      <c r="T125" s="967"/>
      <c r="U125" s="966"/>
      <c r="V125" s="967"/>
      <c r="W125" s="967"/>
      <c r="X125" s="967"/>
      <c r="Y125" s="966"/>
      <c r="Z125" s="967"/>
      <c r="AA125" s="967"/>
      <c r="AB125" s="967"/>
      <c r="AC125" s="966"/>
      <c r="AD125" s="967"/>
      <c r="AE125" s="967"/>
      <c r="AF125" s="967"/>
      <c r="AG125" s="966"/>
      <c r="AH125" s="967"/>
      <c r="AI125" s="967"/>
      <c r="AJ125" s="967"/>
      <c r="AK125" s="966"/>
      <c r="AL125" s="967"/>
      <c r="AM125" s="967"/>
      <c r="AN125" s="967"/>
      <c r="AO125" s="966"/>
      <c r="AP125" s="967"/>
      <c r="AQ125" s="967"/>
      <c r="AR125" s="967"/>
      <c r="AS125" s="966"/>
      <c r="AT125" s="967"/>
      <c r="AU125" s="967"/>
      <c r="AV125" s="967"/>
      <c r="AW125" s="966"/>
      <c r="AX125" s="967"/>
      <c r="AY125" s="967"/>
      <c r="AZ125" s="967"/>
      <c r="BA125" s="966"/>
      <c r="BB125" s="967"/>
      <c r="BC125" s="967"/>
      <c r="BD125" s="967"/>
      <c r="BE125" s="966"/>
      <c r="BF125" s="967"/>
      <c r="BG125" s="967"/>
      <c r="BH125" s="967"/>
      <c r="BI125" s="966"/>
      <c r="BJ125" s="967"/>
      <c r="BK125" s="967"/>
      <c r="BL125" s="967"/>
      <c r="BM125" s="966"/>
      <c r="BN125" s="967"/>
      <c r="BO125" s="967"/>
      <c r="BP125" s="967"/>
      <c r="BQ125" s="966"/>
      <c r="BR125" s="967"/>
      <c r="BS125" s="967"/>
      <c r="BT125" s="967"/>
      <c r="BU125" s="966"/>
      <c r="BV125" s="967"/>
      <c r="BW125" s="967"/>
      <c r="BX125" s="967"/>
      <c r="BY125" s="966"/>
      <c r="BZ125" s="967"/>
      <c r="CA125" s="967"/>
      <c r="CB125" s="967"/>
      <c r="CC125" s="966"/>
      <c r="CD125" s="967"/>
      <c r="CE125" s="967"/>
      <c r="CF125" s="967"/>
      <c r="CG125" s="966"/>
      <c r="CH125" s="967"/>
      <c r="CI125" s="967"/>
      <c r="CJ125" s="967"/>
      <c r="CK125" s="966"/>
      <c r="CL125" s="967"/>
      <c r="CM125" s="967"/>
      <c r="CN125" s="967"/>
      <c r="CO125" s="966"/>
      <c r="CP125" s="970">
        <f t="shared" ref="CP125:DU125" si="1227">CO125+CP127</f>
      </c>
      <c r="CQ125" s="970">
        <f t="shared" si="1227"/>
      </c>
      <c r="CR125" s="970">
        <f t="shared" si="1227"/>
      </c>
      <c r="CS125" s="971">
        <f t="shared" si="1227"/>
      </c>
      <c r="CT125" s="970">
        <f t="shared" si="1227"/>
      </c>
      <c r="CU125" s="970">
        <f t="shared" si="1227"/>
      </c>
      <c r="CV125" s="970">
        <f t="shared" si="1227"/>
      </c>
      <c r="CW125" s="971">
        <f t="shared" si="1227"/>
      </c>
      <c r="CX125" s="970">
        <f t="shared" si="1227"/>
      </c>
      <c r="CY125" s="970">
        <f t="shared" si="1227"/>
      </c>
      <c r="CZ125" s="970">
        <f t="shared" si="1227"/>
      </c>
      <c r="DA125" s="971">
        <f t="shared" si="1227"/>
      </c>
      <c r="DB125" s="970">
        <f t="shared" si="1227"/>
      </c>
      <c r="DC125" s="970">
        <f t="shared" si="1227"/>
      </c>
      <c r="DD125" s="970">
        <f t="shared" si="1227"/>
      </c>
      <c r="DE125" s="971">
        <f t="shared" si="1227"/>
      </c>
      <c r="DF125" s="970">
        <f t="shared" si="1227"/>
      </c>
      <c r="DG125" s="970">
        <f t="shared" si="1227"/>
      </c>
      <c r="DH125" s="970">
        <f t="shared" si="1227"/>
      </c>
      <c r="DI125" s="971">
        <f t="shared" si="1227"/>
      </c>
      <c r="DJ125" s="970">
        <f t="shared" si="1227"/>
      </c>
      <c r="DK125" s="970">
        <f t="shared" si="1227"/>
      </c>
      <c r="DL125" s="970">
        <f t="shared" si="1227"/>
      </c>
      <c r="DM125" s="971">
        <f t="shared" si="1227"/>
      </c>
      <c r="DN125" s="970">
        <f t="shared" si="1227"/>
      </c>
      <c r="DO125" s="970">
        <f t="shared" si="1227"/>
      </c>
      <c r="DP125" s="970">
        <f t="shared" si="1227"/>
      </c>
      <c r="DQ125" s="971">
        <f t="shared" si="1227"/>
      </c>
      <c r="DR125" s="970">
        <f t="shared" si="1227"/>
      </c>
      <c r="DS125" s="970">
        <f t="shared" si="1227"/>
      </c>
      <c r="DT125" s="970">
        <f t="shared" si="1227"/>
      </c>
      <c r="DU125" s="981">
        <f t="shared" si="1227"/>
      </c>
      <c r="DV125" s="970">
        <f t="shared" ref="DV125" si="1228">DU125+DV127</f>
      </c>
      <c r="DW125" s="970">
        <f t="shared" ref="DW125" si="1229">DV125+DW127</f>
      </c>
      <c r="DX125" s="970">
        <f t="shared" ref="DX125" si="1230">DW125+DX127</f>
      </c>
      <c r="DY125" s="981">
        <f t="shared" ref="DY125" si="1231">DX125+DY127</f>
      </c>
      <c r="DZ125" s="970">
        <f t="shared" ref="DZ125" si="1232">DY125+DZ127</f>
      </c>
      <c r="EA125" s="970">
        <f t="shared" ref="EA125" si="1233">DZ125+EA127</f>
      </c>
      <c r="EB125" s="970">
        <f t="shared" ref="EB125" si="1234">EA125+EB127</f>
      </c>
      <c r="EC125" s="981">
        <f t="shared" ref="EC125" si="1235">EB125+EC127</f>
      </c>
      <c r="ED125" s="970">
        <f t="shared" ref="ED125" si="1236">EC125+ED127</f>
      </c>
      <c r="EE125" s="970">
        <f t="shared" ref="EE125" si="1237">ED125+EE127</f>
      </c>
      <c r="EF125" s="970">
        <f t="shared" ref="EF125" si="1238">EE125+EF127</f>
      </c>
      <c r="EG125" s="981">
        <f t="shared" ref="EG125" si="1239">EF125+EG127</f>
      </c>
      <c r="EH125" s="970">
        <f t="shared" ref="EH125" si="1240">EG125+EH127</f>
      </c>
      <c r="EI125" s="970">
        <f t="shared" ref="EI125" si="1241">EH125+EI127</f>
      </c>
      <c r="EJ125" s="970">
        <f t="shared" ref="EJ125" si="1242">EI125+EJ127</f>
      </c>
      <c r="EK125" s="981">
        <f t="shared" ref="EK125" si="1243">EJ125+EK127</f>
      </c>
      <c r="FF125" s="970">
        <f>+CC125</f>
      </c>
      <c r="FG125" s="972">
        <f>CG125</f>
      </c>
      <c r="FH125" s="972">
        <f>CK125</f>
      </c>
      <c r="FI125" s="972">
        <f>CO125</f>
      </c>
      <c r="FJ125" s="972">
        <f>CS125</f>
      </c>
      <c r="FK125" s="972">
        <f>CW125</f>
      </c>
      <c r="FL125" s="972">
        <f>DA125</f>
      </c>
      <c r="FM125" s="972">
        <f>DE125</f>
      </c>
      <c r="FN125" s="972">
        <f>DI125</f>
      </c>
      <c r="FO125" s="972">
        <f>DM125</f>
      </c>
      <c r="FP125" s="972">
        <f>DQ125</f>
      </c>
      <c r="FQ125" s="972">
        <f>DU125</f>
      </c>
      <c r="FR125" s="972">
        <f>DY125</f>
      </c>
      <c r="FS125" s="972">
        <f>EC125</f>
      </c>
      <c r="FT125" s="972">
        <f>EG125</f>
      </c>
      <c r="FU125" s="972">
        <f>EK125</f>
      </c>
      <c r="GT125" s="970">
        <f>CT125</f>
      </c>
      <c r="GU125" s="970">
        <f>CX125</f>
      </c>
      <c r="GV125" s="970">
        <f>DB125</f>
      </c>
      <c r="GW125" s="970">
        <f>DF125</f>
      </c>
      <c r="GX125" s="970">
        <f>DJ125</f>
      </c>
      <c r="GY125" s="970">
        <f>DN125</f>
      </c>
      <c r="GZ125" s="970">
        <f>DR125</f>
      </c>
      <c r="HA125" s="970">
        <f t="shared" ref="HA125:HC125" si="1244">DS125</f>
      </c>
      <c r="HB125" s="970">
        <f>DZ125</f>
      </c>
      <c r="HC125" s="970">
        <f t="shared" si="1244"/>
      </c>
      <c r="HD125" s="970">
        <f>EH125</f>
      </c>
    </row>
    <row r="126" spans="1:214" s="943" customFormat="1" ht="10.199999999999999">
      <c r="A126" s="982" t="s">
        <v>823</v>
      </c>
      <c r="B126" s="942"/>
      <c r="C126" s="942"/>
      <c r="D126" s="942"/>
      <c r="E126" s="941"/>
      <c r="F126" s="942"/>
      <c r="G126" s="942"/>
      <c r="H126" s="942"/>
      <c r="I126" s="941"/>
      <c r="J126" s="942"/>
      <c r="K126" s="942"/>
      <c r="L126" s="942"/>
      <c r="M126" s="941"/>
      <c r="N126" s="942"/>
      <c r="O126" s="942"/>
      <c r="P126" s="942"/>
      <c r="Q126" s="941"/>
      <c r="R126" s="942"/>
      <c r="S126" s="942"/>
      <c r="T126" s="942"/>
      <c r="U126" s="941"/>
      <c r="V126" s="942"/>
      <c r="W126" s="942"/>
      <c r="X126" s="942"/>
      <c r="Y126" s="941"/>
      <c r="Z126" s="942"/>
      <c r="AA126" s="942"/>
      <c r="AB126" s="942"/>
      <c r="AC126" s="941"/>
      <c r="AD126" s="942"/>
      <c r="AE126" s="942"/>
      <c r="AF126" s="942"/>
      <c r="AG126" s="941"/>
      <c r="AH126" s="942"/>
      <c r="AI126" s="942"/>
      <c r="AJ126" s="942"/>
      <c r="AK126" s="941"/>
      <c r="AL126" s="942"/>
      <c r="AM126" s="942"/>
      <c r="AN126" s="942"/>
      <c r="AO126" s="941"/>
      <c r="AP126" s="942"/>
      <c r="AQ126" s="942"/>
      <c r="AR126" s="942"/>
      <c r="AS126" s="941"/>
      <c r="AT126" s="942"/>
      <c r="AU126" s="942"/>
      <c r="AV126" s="942"/>
      <c r="AW126" s="941"/>
      <c r="AX126" s="942"/>
      <c r="AY126" s="942"/>
      <c r="AZ126" s="942"/>
      <c r="BA126" s="941"/>
      <c r="BB126" s="942"/>
      <c r="BC126" s="942"/>
      <c r="BD126" s="942"/>
      <c r="BE126" s="941"/>
      <c r="BF126" s="942"/>
      <c r="BG126" s="942"/>
      <c r="BH126" s="942"/>
      <c r="BI126" s="941"/>
      <c r="BJ126" s="942"/>
      <c r="BK126" s="942"/>
      <c r="BL126" s="942"/>
      <c r="BM126" s="941"/>
      <c r="BN126" s="942"/>
      <c r="BO126" s="942"/>
      <c r="BP126" s="942"/>
      <c r="BQ126" s="941"/>
      <c r="BR126" s="942"/>
      <c r="BS126" s="942"/>
      <c r="BT126" s="942"/>
      <c r="BU126" s="941"/>
      <c r="BV126" s="942"/>
      <c r="BW126" s="942"/>
      <c r="BX126" s="942"/>
      <c r="BY126" s="941"/>
      <c r="BZ126" s="942"/>
      <c r="CA126" s="942"/>
      <c r="CB126" s="942"/>
      <c r="CC126" s="941"/>
      <c r="CD126" s="942"/>
      <c r="CE126" s="942"/>
      <c r="CF126" s="942"/>
      <c r="CG126" s="941"/>
      <c r="CH126" s="942"/>
      <c r="CI126" s="942"/>
      <c r="CJ126" s="942"/>
      <c r="CK126" s="941"/>
      <c r="CL126" s="942"/>
      <c r="CM126" s="942"/>
      <c r="CN126" s="942"/>
      <c r="CO126" s="941"/>
      <c r="CP126" s="942"/>
      <c r="CQ126" s="942"/>
      <c r="CR126" s="944">
        <v>5</v>
      </c>
      <c r="CS126" s="945">
        <v>5</v>
      </c>
      <c r="CT126" s="944">
        <v>5</v>
      </c>
      <c r="CU126" s="944">
        <v>5</v>
      </c>
      <c r="CV126" s="944">
        <v>5</v>
      </c>
      <c r="CW126" s="945">
        <f>CV126*0.9</f>
      </c>
      <c r="CX126" s="944">
        <f>CW126-0.05</f>
      </c>
      <c r="CY126" s="944">
        <f t="shared" ref="CY126:DU126" si="1245">CX126-0.05</f>
      </c>
      <c r="CZ126" s="944">
        <f t="shared" si="1245"/>
      </c>
      <c r="DA126" s="945">
        <f t="shared" si="1245"/>
      </c>
      <c r="DB126" s="944">
        <f t="shared" si="1245"/>
      </c>
      <c r="DC126" s="944">
        <f t="shared" si="1245"/>
      </c>
      <c r="DD126" s="944">
        <f t="shared" si="1245"/>
      </c>
      <c r="DE126" s="945">
        <f t="shared" si="1245"/>
      </c>
      <c r="DF126" s="944">
        <f>(DE126-0.05)*14/13</f>
      </c>
      <c r="DG126" s="944">
        <f>(DF126*13/14)-0.05</f>
      </c>
      <c r="DH126" s="944">
        <f t="shared" si="1245"/>
      </c>
      <c r="DI126" s="945">
        <f>DH126-0.05</f>
      </c>
      <c r="DJ126" s="944">
        <f>DI126-0.05</f>
      </c>
      <c r="DK126" s="944">
        <f>DJ126-0.05+2</f>
      </c>
      <c r="DL126" s="944">
        <f t="shared" si="1245"/>
      </c>
      <c r="DM126" s="945">
        <f t="shared" si="1245"/>
      </c>
      <c r="DN126" s="944">
        <f t="shared" si="1245"/>
      </c>
      <c r="DO126" s="944">
        <f t="shared" si="1245"/>
      </c>
      <c r="DP126" s="944">
        <f t="shared" si="1245"/>
      </c>
      <c r="DQ126" s="945">
        <f t="shared" si="1245"/>
      </c>
      <c r="DR126" s="944">
        <f t="shared" si="1245"/>
      </c>
      <c r="DS126" s="944">
        <f t="shared" si="1245"/>
      </c>
      <c r="DT126" s="944">
        <f t="shared" si="1245"/>
      </c>
      <c r="DU126" s="983">
        <f t="shared" si="1245"/>
      </c>
      <c r="DV126" s="944">
        <f t="shared" ref="DV126" si="1246">DU126-0.05</f>
      </c>
      <c r="DW126" s="944">
        <f t="shared" ref="DW126" si="1247">DV126-0.05</f>
      </c>
      <c r="DX126" s="944">
        <f t="shared" ref="DX126" si="1248">DW126-0.05</f>
      </c>
      <c r="DY126" s="983">
        <f t="shared" ref="DY126" si="1249">DX126-0.05</f>
      </c>
      <c r="DZ126" s="944">
        <f t="shared" ref="DZ126" si="1250">DY126-0.05</f>
      </c>
      <c r="EA126" s="944">
        <f t="shared" ref="EA126" si="1251">DZ126-0.05</f>
      </c>
      <c r="EB126" s="944">
        <f t="shared" ref="EB126" si="1252">EA126-0.05</f>
      </c>
      <c r="EC126" s="983">
        <f t="shared" ref="EC126" si="1253">EB126-0.05</f>
      </c>
      <c r="ED126" s="944">
        <f t="shared" ref="ED126" si="1254">EC126-0.05</f>
      </c>
      <c r="EE126" s="944">
        <f t="shared" ref="EE126" si="1255">ED126-0.05</f>
      </c>
      <c r="EF126" s="944">
        <f t="shared" ref="EF126" si="1256">EE126-0.05</f>
      </c>
      <c r="EG126" s="983">
        <f t="shared" ref="EG126" si="1257">EF126-0.05</f>
      </c>
      <c r="EH126" s="944">
        <f t="shared" ref="EH126" si="1258">EG126-0.05</f>
      </c>
      <c r="EI126" s="944">
        <f t="shared" ref="EI126" si="1259">EH126-0.05</f>
      </c>
      <c r="EJ126" s="944">
        <f t="shared" ref="EJ126" si="1260">EI126-0.05</f>
      </c>
      <c r="EK126" s="983">
        <f t="shared" ref="EK126" si="1261">EJ126-0.05</f>
      </c>
      <c r="EM126" s="944"/>
      <c r="EN126" s="944"/>
      <c r="EO126" s="944"/>
      <c r="EP126" s="944"/>
      <c r="EQ126" s="944"/>
      <c r="ER126" s="944"/>
      <c r="ES126" s="944"/>
      <c r="ET126" s="944"/>
      <c r="EU126" s="944"/>
      <c r="EV126" s="944"/>
      <c r="EW126" s="944"/>
      <c r="EX126" s="944"/>
      <c r="EY126" s="944"/>
      <c r="EZ126" s="944"/>
      <c r="FA126" s="944"/>
      <c r="FB126" s="944"/>
      <c r="FC126" s="944"/>
      <c r="FD126" s="944"/>
      <c r="FE126" s="944"/>
      <c r="FF126" s="944"/>
      <c r="FG126" s="944"/>
      <c r="FH126" s="944"/>
      <c r="FI126" s="944"/>
      <c r="FJ126" s="1467">
        <f t="shared" ref="FJ126:FL126" si="1262">FJ124/AVERAGE(FI125:FJ125)/12</f>
      </c>
      <c r="FK126" s="1467">
        <f t="shared" si="1262"/>
      </c>
      <c r="FL126" s="1467">
        <f t="shared" si="1262"/>
      </c>
      <c r="FM126" s="1467">
        <f t="shared" ref="FM126" si="1263">FM124/AVERAGE(FL125:FM125)/12</f>
      </c>
      <c r="FN126" s="1467">
        <f t="shared" ref="FN126" si="1264">FN124/AVERAGE(FM125:FN125)/12</f>
      </c>
      <c r="FO126" s="1467">
        <f t="shared" ref="FO126" si="1265">FO124/AVERAGE(FN125:FO125)/12</f>
      </c>
      <c r="FP126" s="1467">
        <f t="shared" ref="FP126" si="1266">FP124/AVERAGE(FO125:FP125)/12</f>
      </c>
      <c r="FQ126" s="1467">
        <f>FQ124/AVERAGE(FP125:FQ125)/12</f>
      </c>
      <c r="FR126" s="1467">
        <f t="shared" ref="FR126:FU126" si="1267">FR124/AVERAGE(FQ125:FR125)/12</f>
      </c>
      <c r="FS126" s="1467">
        <f t="shared" si="1267"/>
      </c>
      <c r="FT126" s="1467">
        <f t="shared" si="1267"/>
      </c>
      <c r="FU126" s="1467">
        <f t="shared" si="1267"/>
      </c>
      <c r="FV126" s="942"/>
      <c r="FW126" s="944"/>
      <c r="FX126" s="944"/>
      <c r="FY126" s="944"/>
      <c r="FZ126" s="944"/>
      <c r="GA126" s="944"/>
      <c r="GB126" s="944"/>
      <c r="GC126" s="944"/>
      <c r="GD126" s="944"/>
      <c r="GE126" s="944"/>
      <c r="GF126" s="944"/>
      <c r="GG126" s="944"/>
      <c r="GH126" s="944"/>
      <c r="GI126" s="944"/>
      <c r="GJ126" s="944"/>
      <c r="GK126" s="944"/>
      <c r="GL126" s="944"/>
      <c r="GM126" s="944"/>
      <c r="GN126" s="944"/>
      <c r="GO126" s="944"/>
      <c r="GP126" s="1467"/>
      <c r="GQ126" s="1467"/>
      <c r="GR126" s="1467"/>
      <c r="GS126" s="1467"/>
      <c r="GT126" s="1467">
        <f t="shared" ref="GT126" si="1268">GT124/AVERAGE(GS125:GT125)/12</f>
      </c>
      <c r="GU126" s="1467">
        <f t="shared" ref="GU126" si="1269">GU124/AVERAGE(GT125:GU125)/12</f>
      </c>
      <c r="GV126" s="1467">
        <f t="shared" ref="GV126" si="1270">GV124/AVERAGE(GU125:GV125)/12</f>
      </c>
      <c r="GW126" s="1467">
        <f t="shared" ref="GW126" si="1271">GW124/AVERAGE(GV125:GW125)/12</f>
      </c>
      <c r="GX126" s="1467">
        <f t="shared" ref="GX126" si="1272">GX124/AVERAGE(GW125:GX125)/12</f>
      </c>
      <c r="GY126" s="1467">
        <f t="shared" ref="GY126" si="1273">GY124/AVERAGE(GX125:GY125)/12</f>
      </c>
      <c r="GZ126" s="1467">
        <f>GZ124/AVERAGE(GY125:GZ125)/12</f>
      </c>
      <c r="HA126" s="1467">
        <f t="shared" ref="HA126:HD126" si="1274">HA124/AVERAGE(GZ125:HA125)/12</f>
      </c>
      <c r="HB126" s="1467">
        <f t="shared" si="1274"/>
      </c>
      <c r="HC126" s="1467">
        <f t="shared" si="1274"/>
      </c>
      <c r="HD126" s="1467">
        <f t="shared" si="1274"/>
      </c>
    </row>
    <row r="127" spans="1:214" s="970" customFormat="1" ht="10.199999999999999">
      <c r="A127" s="984" t="s">
        <v>1217</v>
      </c>
      <c r="B127" s="985"/>
      <c r="C127" s="985"/>
      <c r="D127" s="985"/>
      <c r="E127" s="986"/>
      <c r="F127" s="985"/>
      <c r="G127" s="985"/>
      <c r="H127" s="985"/>
      <c r="I127" s="986"/>
      <c r="J127" s="985"/>
      <c r="K127" s="985"/>
      <c r="L127" s="985"/>
      <c r="M127" s="986"/>
      <c r="N127" s="985"/>
      <c r="O127" s="985"/>
      <c r="P127" s="985"/>
      <c r="Q127" s="986"/>
      <c r="R127" s="985"/>
      <c r="S127" s="985"/>
      <c r="T127" s="985"/>
      <c r="U127" s="986"/>
      <c r="V127" s="985"/>
      <c r="W127" s="985"/>
      <c r="X127" s="985"/>
      <c r="Y127" s="986"/>
      <c r="Z127" s="985"/>
      <c r="AA127" s="985"/>
      <c r="AB127" s="985"/>
      <c r="AC127" s="986"/>
      <c r="AD127" s="985"/>
      <c r="AE127" s="985"/>
      <c r="AF127" s="985"/>
      <c r="AG127" s="986"/>
      <c r="AH127" s="985"/>
      <c r="AI127" s="985"/>
      <c r="AJ127" s="985"/>
      <c r="AK127" s="986"/>
      <c r="AL127" s="985"/>
      <c r="AM127" s="985"/>
      <c r="AN127" s="985"/>
      <c r="AO127" s="986"/>
      <c r="AP127" s="985"/>
      <c r="AQ127" s="985"/>
      <c r="AR127" s="985"/>
      <c r="AS127" s="986"/>
      <c r="AT127" s="985"/>
      <c r="AU127" s="985"/>
      <c r="AV127" s="985"/>
      <c r="AW127" s="986"/>
      <c r="AX127" s="985"/>
      <c r="AY127" s="985"/>
      <c r="AZ127" s="985"/>
      <c r="BA127" s="986"/>
      <c r="BB127" s="985"/>
      <c r="BC127" s="985"/>
      <c r="BD127" s="985"/>
      <c r="BE127" s="986"/>
      <c r="BF127" s="985"/>
      <c r="BG127" s="985"/>
      <c r="BH127" s="985"/>
      <c r="BI127" s="986"/>
      <c r="BJ127" s="985"/>
      <c r="BK127" s="985"/>
      <c r="BL127" s="985"/>
      <c r="BM127" s="986"/>
      <c r="BN127" s="985"/>
      <c r="BO127" s="985"/>
      <c r="BP127" s="985"/>
      <c r="BQ127" s="986"/>
      <c r="BR127" s="985"/>
      <c r="BS127" s="985"/>
      <c r="BT127" s="985"/>
      <c r="BU127" s="986"/>
      <c r="BV127" s="987"/>
      <c r="BW127" s="985"/>
      <c r="BX127" s="985"/>
      <c r="BY127" s="986"/>
      <c r="BZ127" s="987"/>
      <c r="CA127" s="985"/>
      <c r="CB127" s="985"/>
      <c r="CC127" s="986"/>
      <c r="CD127" s="987"/>
      <c r="CE127" s="985"/>
      <c r="CF127" s="985"/>
      <c r="CG127" s="986"/>
      <c r="CH127" s="987"/>
      <c r="CI127" s="985"/>
      <c r="CJ127" s="985"/>
      <c r="CK127" s="986"/>
      <c r="CL127" s="987"/>
      <c r="CM127" s="985"/>
      <c r="CN127" s="985"/>
      <c r="CO127" s="986"/>
      <c r="CP127" s="1042"/>
      <c r="CQ127" s="1042"/>
      <c r="CR127" s="988">
        <v>0.25</v>
      </c>
      <c r="CS127" s="989">
        <v>0.25</v>
      </c>
      <c r="CT127" s="988">
        <v>0.25</v>
      </c>
      <c r="CU127" s="988">
        <v>0.25</v>
      </c>
      <c r="CV127" s="988">
        <v>0.25</v>
      </c>
      <c r="CW127" s="989">
        <v>0.5</v>
      </c>
      <c r="CX127" s="988">
        <v>0.5</v>
      </c>
      <c r="CY127" s="988">
        <v>0.5</v>
      </c>
      <c r="CZ127" s="988">
        <v>0.5</v>
      </c>
      <c r="DA127" s="989">
        <v>0.5</v>
      </c>
      <c r="DB127" s="988">
        <v>0.2</v>
      </c>
      <c r="DC127" s="988">
        <v>0.2</v>
      </c>
      <c r="DD127" s="988">
        <v>0.2</v>
      </c>
      <c r="DE127" s="988">
        <v>0.2</v>
      </c>
      <c r="DF127" s="990">
        <v>2</v>
      </c>
      <c r="DG127" s="988">
        <v>2</v>
      </c>
      <c r="DH127" s="988">
        <v>2</v>
      </c>
      <c r="DI127" s="989">
        <v>2</v>
      </c>
      <c r="DJ127" s="990">
        <v>2</v>
      </c>
      <c r="DK127" s="988">
        <v>2</v>
      </c>
      <c r="DL127" s="988">
        <v>2</v>
      </c>
      <c r="DM127" s="989">
        <v>2</v>
      </c>
      <c r="DN127" s="990">
        <v>2</v>
      </c>
      <c r="DO127" s="988">
        <v>2</v>
      </c>
      <c r="DP127" s="988">
        <v>2</v>
      </c>
      <c r="DQ127" s="989">
        <v>2</v>
      </c>
      <c r="DR127" s="990">
        <v>2</v>
      </c>
      <c r="DS127" s="988">
        <v>2</v>
      </c>
      <c r="DT127" s="988">
        <v>2</v>
      </c>
      <c r="DU127" s="991">
        <v>2</v>
      </c>
      <c r="DV127" s="990">
        <v>2</v>
      </c>
      <c r="DW127" s="988">
        <v>2</v>
      </c>
      <c r="DX127" s="988">
        <v>2</v>
      </c>
      <c r="DY127" s="991">
        <v>2</v>
      </c>
      <c r="DZ127" s="990">
        <v>2</v>
      </c>
      <c r="EA127" s="988">
        <v>2</v>
      </c>
      <c r="EB127" s="988">
        <v>2</v>
      </c>
      <c r="EC127" s="991">
        <v>2</v>
      </c>
      <c r="ED127" s="990">
        <v>2</v>
      </c>
      <c r="EE127" s="988">
        <v>2</v>
      </c>
      <c r="EF127" s="988">
        <v>2</v>
      </c>
      <c r="EG127" s="991">
        <v>2</v>
      </c>
      <c r="EH127" s="990">
        <v>2</v>
      </c>
      <c r="EI127" s="988">
        <v>2</v>
      </c>
      <c r="EJ127" s="988">
        <v>2</v>
      </c>
      <c r="EK127" s="991">
        <v>2</v>
      </c>
      <c r="EM127" s="988"/>
      <c r="EN127" s="988"/>
      <c r="EO127" s="988"/>
      <c r="EP127" s="988"/>
      <c r="EQ127" s="988"/>
      <c r="ER127" s="988"/>
      <c r="ES127" s="988"/>
      <c r="ET127" s="988"/>
      <c r="EU127" s="988"/>
      <c r="EV127" s="988"/>
      <c r="EW127" s="988"/>
      <c r="EX127" s="988"/>
      <c r="EY127" s="988"/>
      <c r="EZ127" s="988"/>
      <c r="FA127" s="988"/>
      <c r="FB127" s="988"/>
      <c r="FC127" s="988"/>
      <c r="FD127" s="988"/>
      <c r="FE127" s="985">
        <f t="shared" ref="FE127" si="1275">SUM(BV127:BY127)</f>
      </c>
      <c r="FF127" s="985">
        <f t="shared" ref="FF127" si="1276">SUM(BZ127:CC127)</f>
      </c>
      <c r="FG127" s="985">
        <f t="shared" ref="FG127" si="1277">SUM(CD127:CG127)</f>
      </c>
      <c r="FH127" s="985">
        <f t="shared" ref="FH127" si="1278">SUM(CH127:CK127)</f>
      </c>
      <c r="FI127" s="985">
        <f t="shared" ref="FI127" si="1279">SUM(CL127:CO127)</f>
      </c>
      <c r="FJ127" s="985">
        <f t="shared" ref="FJ127" si="1280">SUM(CP127:CS127)</f>
      </c>
      <c r="FK127" s="985">
        <f t="shared" ref="FK127" si="1281">SUM(CT127:CW127)</f>
      </c>
      <c r="FL127" s="985">
        <f t="shared" ref="FL127" si="1282">SUM(CX127:DA127)</f>
      </c>
      <c r="FM127" s="985">
        <f t="shared" ref="FM127" si="1283">SUM(DB127:DE127)</f>
      </c>
      <c r="FN127" s="985">
        <f t="shared" ref="FN127" si="1284">SUM(DF127:DI127)</f>
      </c>
      <c r="FO127" s="985">
        <f t="shared" ref="FO127" si="1285">SUM(DJ127:DM127)</f>
      </c>
      <c r="FP127" s="985">
        <f>SUM(DN127:DQ127)</f>
      </c>
      <c r="FQ127" s="985">
        <f>SUM(DR127:DU127)</f>
      </c>
      <c r="FR127" s="985">
        <f>SUM(DV127:DY127)</f>
      </c>
      <c r="FS127" s="985">
        <f>SUM(DZ127:EC127)</f>
      </c>
      <c r="FT127" s="985">
        <f>SUM(ED127:EG127)</f>
      </c>
      <c r="FU127" s="985">
        <f>SUM(EH127:EK127)</f>
      </c>
      <c r="FV127" s="1492"/>
      <c r="FW127" s="988"/>
      <c r="FX127" s="988"/>
      <c r="FY127" s="988"/>
      <c r="FZ127" s="988"/>
      <c r="GA127" s="988"/>
      <c r="GB127" s="988"/>
      <c r="GC127" s="988"/>
      <c r="GD127" s="988"/>
      <c r="GE127" s="988"/>
      <c r="GF127" s="988"/>
      <c r="GG127" s="988"/>
      <c r="GH127" s="988"/>
      <c r="GI127" s="988"/>
      <c r="GJ127" s="988"/>
      <c r="GK127" s="988"/>
      <c r="GL127" s="988"/>
      <c r="GM127" s="988"/>
      <c r="GN127" s="988"/>
      <c r="GO127" s="988"/>
      <c r="GP127" s="2278"/>
      <c r="GQ127" s="2278"/>
      <c r="GR127" s="2278"/>
      <c r="GS127" s="2278"/>
      <c r="GT127" s="2278">
        <f t="shared" ref="GT127:GY127" si="1286">GT125-GS125</f>
      </c>
      <c r="GU127" s="2278">
        <f t="shared" si="1286"/>
      </c>
      <c r="GV127" s="2278">
        <f t="shared" si="1286"/>
      </c>
      <c r="GW127" s="2278">
        <f t="shared" si="1286"/>
      </c>
      <c r="GX127" s="2278">
        <f t="shared" si="1286"/>
      </c>
      <c r="GY127" s="2278">
        <f t="shared" si="1286"/>
      </c>
      <c r="GZ127" s="2278">
        <f>GZ125-GY125</f>
      </c>
      <c r="HA127" s="2278">
        <f t="shared" ref="HA127:HD127" si="1287">HA125-GZ125</f>
      </c>
      <c r="HB127" s="2278">
        <f t="shared" si="1287"/>
      </c>
      <c r="HC127" s="2278">
        <f t="shared" si="1287"/>
      </c>
      <c r="HD127" s="2278">
        <f t="shared" si="1287"/>
      </c>
    </row>
    <row r="128" spans="1:214" s="89" customFormat="1" ht="10.199999999999999">
      <c r="A128" s="152"/>
      <c r="E128" s="260"/>
      <c r="I128" s="260"/>
      <c r="M128" s="260"/>
      <c r="Q128" s="260"/>
      <c r="U128" s="260"/>
      <c r="Y128" s="260"/>
      <c r="AC128" s="260"/>
      <c r="AG128" s="260"/>
      <c r="AJ128" s="72"/>
      <c r="AK128" s="227"/>
      <c r="AL128" s="72"/>
      <c r="AM128" s="72"/>
      <c r="AN128" s="72"/>
      <c r="AO128" s="227"/>
      <c r="AP128" s="72"/>
      <c r="AQ128" s="72"/>
      <c r="AR128" s="72"/>
      <c r="AS128" s="227"/>
      <c r="AT128" s="72"/>
      <c r="AU128" s="72"/>
      <c r="AV128" s="72"/>
      <c r="AW128" s="227"/>
      <c r="AX128" s="72"/>
      <c r="AY128" s="72"/>
      <c r="AZ128" s="72"/>
      <c r="BA128" s="227"/>
      <c r="BB128" s="72"/>
      <c r="BC128" s="72"/>
      <c r="BD128" s="72"/>
      <c r="BE128" s="227"/>
      <c r="BF128" s="72"/>
      <c r="BG128" s="72"/>
      <c r="BH128" s="72"/>
      <c r="BI128" s="227"/>
      <c r="BJ128" s="72"/>
      <c r="BK128" s="72"/>
      <c r="BL128" s="72"/>
      <c r="BM128" s="227"/>
      <c r="BN128" s="72"/>
      <c r="BO128" s="72"/>
      <c r="BP128" s="72"/>
      <c r="BQ128" s="227"/>
      <c r="BR128" s="72"/>
      <c r="BS128" s="72"/>
      <c r="BT128" s="72"/>
      <c r="BU128" s="227"/>
      <c r="BV128" s="355"/>
      <c r="BW128" s="72"/>
      <c r="BX128" s="72"/>
      <c r="BY128" s="227"/>
      <c r="BZ128" s="355"/>
      <c r="CA128" s="72"/>
      <c r="CB128" s="72"/>
      <c r="CC128" s="227"/>
      <c r="CD128" s="355"/>
      <c r="CE128" s="72"/>
      <c r="CF128" s="72"/>
      <c r="CG128" s="227"/>
      <c r="CH128" s="355"/>
      <c r="CI128" s="72"/>
      <c r="CJ128" s="72"/>
      <c r="CK128" s="227"/>
      <c r="CL128" s="355"/>
      <c r="CM128" s="72"/>
      <c r="CN128" s="72"/>
      <c r="CO128" s="227"/>
      <c r="CP128" s="72"/>
      <c r="CQ128" s="87"/>
      <c r="CR128" s="87"/>
      <c r="CS128" s="227"/>
      <c r="CT128" s="72"/>
      <c r="CU128" s="87"/>
      <c r="CV128" s="87"/>
      <c r="CW128" s="416"/>
      <c r="CX128" s="87"/>
      <c r="CY128" s="87"/>
      <c r="CZ128" s="87"/>
      <c r="DA128" s="416"/>
      <c r="DB128" s="87"/>
      <c r="DC128" s="87"/>
      <c r="DD128" s="87"/>
      <c r="DE128" s="232"/>
      <c r="DF128" s="419"/>
      <c r="DG128" s="71"/>
      <c r="DH128" s="71"/>
      <c r="DI128" s="232"/>
      <c r="DJ128" s="419"/>
      <c r="DK128" s="71"/>
      <c r="DL128" s="71"/>
      <c r="DM128" s="232"/>
      <c r="DN128" s="419"/>
      <c r="DO128" s="71"/>
      <c r="DP128" s="71"/>
      <c r="DQ128" s="232"/>
      <c r="DR128" s="419"/>
      <c r="DS128" s="71"/>
      <c r="DT128" s="71"/>
      <c r="DU128" s="232"/>
      <c r="DV128" s="419"/>
      <c r="DW128" s="71"/>
      <c r="DX128" s="71"/>
      <c r="DY128" s="232"/>
      <c r="DZ128" s="419"/>
      <c r="EA128" s="71"/>
      <c r="EB128" s="71"/>
      <c r="EC128" s="232"/>
      <c r="ED128" s="419"/>
      <c r="EE128" s="71"/>
      <c r="EF128" s="71"/>
      <c r="EG128" s="232"/>
      <c r="EH128" s="419"/>
      <c r="EI128" s="71"/>
      <c r="EJ128" s="71"/>
      <c r="EK128" s="232"/>
      <c r="EU128" s="72"/>
      <c r="EV128" s="72"/>
      <c r="EW128" s="72"/>
      <c r="EX128" s="72"/>
      <c r="EY128" s="72"/>
      <c r="EZ128" s="72"/>
      <c r="FA128" s="72"/>
      <c r="FB128" s="72"/>
      <c r="FC128" s="72"/>
      <c r="FD128" s="72"/>
      <c r="FE128" s="72"/>
      <c r="FF128" s="72"/>
      <c r="FG128" s="72"/>
      <c r="FH128" s="72"/>
      <c r="FI128" s="72"/>
      <c r="FJ128" s="72"/>
      <c r="FK128" s="72"/>
      <c r="FL128" s="72"/>
      <c r="FM128" s="72"/>
      <c r="FN128" s="72"/>
      <c r="FO128" s="72"/>
      <c r="FP128" s="72"/>
      <c r="FQ128" s="72"/>
      <c r="FR128" s="72"/>
      <c r="FS128" s="72"/>
      <c r="FT128" s="72"/>
      <c r="FU128" s="72"/>
      <c r="FV128" s="88"/>
      <c r="GE128" s="72"/>
      <c r="GF128" s="72"/>
      <c r="GG128" s="72"/>
      <c r="GH128" s="72"/>
      <c r="GI128" s="72"/>
      <c r="GJ128" s="72"/>
      <c r="GK128" s="72"/>
      <c r="GL128" s="72"/>
      <c r="GM128" s="72"/>
      <c r="GN128" s="72"/>
      <c r="GO128" s="72"/>
      <c r="GP128" s="72"/>
      <c r="GQ128" s="72"/>
      <c r="GR128" s="72"/>
      <c r="GS128" s="72"/>
      <c r="GT128" s="72"/>
      <c r="GU128" s="72"/>
      <c r="GV128" s="72"/>
      <c r="GW128" s="72"/>
      <c r="GX128" s="72"/>
      <c r="GY128" s="72"/>
      <c r="GZ128" s="72"/>
      <c r="HA128" s="72"/>
      <c r="HB128" s="72"/>
      <c r="HC128" s="72"/>
      <c r="HD128" s="72"/>
    </row>
    <row r="129" spans="1:212" s="16" customFormat="1" ht="10.199999999999999">
      <c r="A129" s="708" t="s">
        <v>1221</v>
      </c>
      <c r="B129" s="706" t="str">
        <f>'Revenue summary'!B$8</f>
      </c>
      <c r="C129" s="706" t="str">
        <f>'Revenue summary'!C$8</f>
      </c>
      <c r="D129" s="706" t="str">
        <f>'Revenue summary'!D$8</f>
      </c>
      <c r="E129" s="707" t="str">
        <f>'Revenue summary'!E$8</f>
      </c>
      <c r="F129" s="706" t="str">
        <f>'Revenue summary'!F$8</f>
      </c>
      <c r="G129" s="706" t="str">
        <f>'Revenue summary'!G$8</f>
      </c>
      <c r="H129" s="706" t="str">
        <f>'Revenue summary'!H$8</f>
      </c>
      <c r="I129" s="707" t="str">
        <f>'Revenue summary'!I$8</f>
      </c>
      <c r="J129" s="706" t="str">
        <f>'Revenue summary'!J$8</f>
      </c>
      <c r="K129" s="706" t="str">
        <f>'Revenue summary'!K$8</f>
      </c>
      <c r="L129" s="706" t="str">
        <f>'Revenue summary'!L$8</f>
      </c>
      <c r="M129" s="707" t="str">
        <f>'Revenue summary'!M$8</f>
      </c>
      <c r="N129" s="706" t="str">
        <f>'Revenue summary'!N$8</f>
      </c>
      <c r="O129" s="706" t="str">
        <f>'Revenue summary'!O$8</f>
      </c>
      <c r="P129" s="706" t="str">
        <f>'Revenue summary'!P$8</f>
      </c>
      <c r="Q129" s="707" t="str">
        <f>'Revenue summary'!Q$8</f>
      </c>
      <c r="R129" s="706" t="str">
        <f>'Revenue summary'!R$8</f>
      </c>
      <c r="S129" s="706" t="str">
        <f>'Revenue summary'!S$8</f>
      </c>
      <c r="T129" s="706" t="str">
        <f>'Revenue summary'!T$8</f>
      </c>
      <c r="U129" s="707" t="str">
        <f>'Revenue summary'!U$8</f>
      </c>
      <c r="V129" s="706" t="str">
        <f>'Revenue summary'!V$8</f>
      </c>
      <c r="W129" s="706" t="str">
        <f>'Revenue summary'!W$8</f>
      </c>
      <c r="X129" s="706" t="str">
        <f>'Revenue summary'!X$8</f>
      </c>
      <c r="Y129" s="707" t="str">
        <f>'Revenue summary'!Y$8</f>
      </c>
      <c r="Z129" s="706" t="str">
        <f>'Revenue summary'!Z$8</f>
      </c>
      <c r="AA129" s="706" t="str">
        <f>'Revenue summary'!AA$8</f>
      </c>
      <c r="AB129" s="706" t="str">
        <f>'Revenue summary'!AB$8</f>
      </c>
      <c r="AC129" s="707" t="str">
        <f>'Revenue summary'!AC$8</f>
      </c>
      <c r="AD129" s="706" t="str">
        <f>'Revenue summary'!AD$8</f>
      </c>
      <c r="AE129" s="706" t="str">
        <f>'Revenue summary'!AE$8</f>
      </c>
      <c r="AF129" s="706" t="str">
        <f>'Revenue summary'!AF$8</f>
      </c>
      <c r="AG129" s="707" t="str">
        <f>'Revenue summary'!AG$8</f>
      </c>
      <c r="AH129" s="706" t="str">
        <f>'Revenue summary'!AH$8</f>
      </c>
      <c r="AI129" s="706" t="str">
        <f>'Revenue summary'!AI$8</f>
      </c>
      <c r="AJ129" s="706" t="str">
        <f>'Revenue summary'!AJ$8</f>
      </c>
      <c r="AK129" s="707" t="str">
        <f>'Revenue summary'!AK$8</f>
      </c>
      <c r="AL129" s="706" t="str">
        <f>'Revenue summary'!AL$8</f>
      </c>
      <c r="AM129" s="706" t="str">
        <f>'Revenue summary'!AM$8</f>
      </c>
      <c r="AN129" s="706" t="str">
        <f>'Revenue summary'!AN$8</f>
      </c>
      <c r="AO129" s="707" t="str">
        <f>'Revenue summary'!AO$8</f>
      </c>
      <c r="AP129" s="706" t="str">
        <f>'Revenue summary'!AP$8</f>
      </c>
      <c r="AQ129" s="706" t="str">
        <f>'Revenue summary'!AQ$8</f>
      </c>
      <c r="AR129" s="706" t="str">
        <f>'Revenue summary'!AR$8</f>
      </c>
      <c r="AS129" s="707" t="str">
        <f>'Revenue summary'!AS$8</f>
      </c>
      <c r="AT129" s="706" t="str">
        <f>'Revenue summary'!AT$8</f>
      </c>
      <c r="AU129" s="706" t="str">
        <f>'Revenue summary'!AU$8</f>
      </c>
      <c r="AV129" s="706" t="str">
        <f>'Revenue summary'!AV$8</f>
      </c>
      <c r="AW129" s="707" t="str">
        <f>'Revenue summary'!AW$8</f>
      </c>
      <c r="AX129" s="706" t="str">
        <f>'Revenue summary'!AX$8</f>
      </c>
      <c r="AY129" s="706" t="str">
        <f>'Revenue summary'!AY$8</f>
      </c>
      <c r="AZ129" s="706" t="str">
        <f>'Revenue summary'!AZ$8</f>
      </c>
      <c r="BA129" s="707" t="str">
        <f>'Revenue summary'!BA$8</f>
      </c>
      <c r="BB129" s="706" t="str">
        <f>'Revenue summary'!BB$8</f>
      </c>
      <c r="BC129" s="706" t="str">
        <f>'Revenue summary'!BC$8</f>
      </c>
      <c r="BD129" s="706" t="str">
        <f>'Revenue summary'!BD$8</f>
      </c>
      <c r="BE129" s="707" t="str">
        <f>'Revenue summary'!BE$8</f>
      </c>
      <c r="BF129" s="706" t="str">
        <f>'Revenue summary'!BF$8</f>
      </c>
      <c r="BG129" s="706" t="str">
        <f>'Revenue summary'!BG$8</f>
      </c>
      <c r="BH129" s="706" t="str">
        <f>'Revenue summary'!BH$8</f>
      </c>
      <c r="BI129" s="707" t="str">
        <f>'Revenue summary'!BI$8</f>
      </c>
      <c r="BJ129" s="706" t="str">
        <f>'Revenue summary'!BJ$8</f>
      </c>
      <c r="BK129" s="706" t="str">
        <f>'Revenue summary'!BK$8</f>
      </c>
      <c r="BL129" s="706" t="str">
        <f>'Revenue summary'!BL$8</f>
      </c>
      <c r="BM129" s="707" t="str">
        <f>'Revenue summary'!BM$8</f>
      </c>
      <c r="BN129" s="706" t="str">
        <f>'Revenue summary'!BN$8</f>
      </c>
      <c r="BO129" s="706" t="str">
        <f>'Revenue summary'!BO$8</f>
      </c>
      <c r="BP129" s="706" t="str">
        <f>'Revenue summary'!BP$8</f>
      </c>
      <c r="BQ129" s="707" t="str">
        <f>'Revenue summary'!BQ$8</f>
      </c>
      <c r="BR129" s="706" t="str">
        <f>'Revenue summary'!BR$8</f>
      </c>
      <c r="BS129" s="706" t="str">
        <f>'Revenue summary'!BS$8</f>
      </c>
      <c r="BT129" s="706" t="str">
        <f>'Revenue summary'!BT$8</f>
      </c>
      <c r="BU129" s="707" t="str">
        <f>'Revenue summary'!BU$8</f>
      </c>
      <c r="BV129" s="706" t="str">
        <f>'Revenue summary'!BV$8</f>
      </c>
      <c r="BW129" s="706" t="str">
        <f>'Revenue summary'!BW$8</f>
      </c>
      <c r="BX129" s="706" t="str">
        <f>'Revenue summary'!BX$8</f>
      </c>
      <c r="BY129" s="707" t="str">
        <f>'Revenue summary'!BY$8</f>
      </c>
      <c r="BZ129" s="706" t="str">
        <f>'Revenue summary'!BZ$8</f>
      </c>
      <c r="CA129" s="706" t="str">
        <f>'Revenue summary'!CA$8</f>
      </c>
      <c r="CB129" s="706" t="str">
        <f>'Revenue summary'!CB$8</f>
      </c>
      <c r="CC129" s="707" t="str">
        <f>'Revenue summary'!CC$8</f>
      </c>
      <c r="CD129" s="706" t="str">
        <f>'Revenue summary'!CD$8</f>
      </c>
      <c r="CE129" s="706" t="str">
        <f>'Revenue summary'!CE$8</f>
      </c>
      <c r="CF129" s="706" t="str">
        <f>'Revenue summary'!CF$8</f>
      </c>
      <c r="CG129" s="707" t="str">
        <f>'Revenue summary'!CG$8</f>
      </c>
      <c r="CH129" s="706" t="str">
        <f>'Revenue summary'!CH$8</f>
      </c>
      <c r="CI129" s="706" t="str">
        <f>'Revenue summary'!CI$8</f>
      </c>
      <c r="CJ129" s="706" t="str">
        <f>'Revenue summary'!CJ$8</f>
      </c>
      <c r="CK129" s="707" t="str">
        <f>'Revenue summary'!CK$8</f>
      </c>
      <c r="CL129" s="706" t="str">
        <f>'Revenue summary'!CL$8</f>
      </c>
      <c r="CM129" s="706" t="str">
        <f>'Revenue summary'!CM$8</f>
      </c>
      <c r="CN129" s="706" t="str">
        <f>'Revenue summary'!CN$8</f>
      </c>
      <c r="CO129" s="707" t="str">
        <f>'Revenue summary'!CO$8</f>
      </c>
      <c r="CP129" s="706" t="str">
        <f>'Revenue summary'!CP$8</f>
      </c>
      <c r="CQ129" s="706" t="str">
        <f>'Revenue summary'!CQ$8</f>
      </c>
      <c r="CR129" s="706" t="str">
        <f>'Revenue summary'!CR$8</f>
      </c>
      <c r="CS129" s="707" t="str">
        <f>'Revenue summary'!CS$8</f>
      </c>
      <c r="CT129" s="706" t="str">
        <f>'Revenue summary'!CT$8</f>
      </c>
      <c r="CU129" s="706" t="str">
        <f>'Revenue summary'!CU$8</f>
      </c>
      <c r="CV129" s="706" t="str">
        <f>'Revenue summary'!CV$8</f>
      </c>
      <c r="CW129" s="707" t="str">
        <f>'Revenue summary'!CW$8</f>
      </c>
      <c r="CX129" s="706" t="str">
        <f>'Revenue summary'!CX$8</f>
      </c>
      <c r="CY129" s="706" t="str">
        <f>'Revenue summary'!CY$8</f>
      </c>
      <c r="CZ129" s="706" t="str">
        <f>'Revenue summary'!CZ$8</f>
      </c>
      <c r="DA129" s="707" t="str">
        <f>'Revenue summary'!DA$8</f>
      </c>
      <c r="DB129" s="706" t="str">
        <f>'Revenue summary'!DB$8</f>
      </c>
      <c r="DC129" s="706" t="str">
        <f>'Revenue summary'!DC$8</f>
      </c>
      <c r="DD129" s="706" t="str">
        <f>'Revenue summary'!DD$8</f>
      </c>
      <c r="DE129" s="707" t="str">
        <f>'Revenue summary'!DE$8</f>
      </c>
      <c r="DF129" s="706" t="str">
        <f>'Revenue summary'!DF$8</f>
      </c>
      <c r="DG129" s="706" t="str">
        <f>'Revenue summary'!DG$8</f>
      </c>
      <c r="DH129" s="706" t="str">
        <f>'Revenue summary'!DH$8</f>
      </c>
      <c r="DI129" s="707" t="str">
        <f>'Revenue summary'!DI$8</f>
      </c>
      <c r="DJ129" s="706" t="str">
        <f>'Revenue summary'!DJ$8</f>
      </c>
      <c r="DK129" s="706" t="str">
        <f>'Revenue summary'!DK$8</f>
      </c>
      <c r="DL129" s="706" t="str">
        <f>'Revenue summary'!DL$8</f>
      </c>
      <c r="DM129" s="707" t="str">
        <f>'Revenue summary'!DM$8</f>
      </c>
      <c r="DN129" s="706" t="str">
        <f>'Revenue summary'!DN$8</f>
      </c>
      <c r="DO129" s="706" t="str">
        <f>'Revenue summary'!DO$8</f>
      </c>
      <c r="DP129" s="706" t="str">
        <f>'Revenue summary'!DP$8</f>
      </c>
      <c r="DQ129" s="707" t="str">
        <f>'Revenue summary'!DQ$8</f>
      </c>
      <c r="DR129" s="706" t="str">
        <f>'Revenue summary'!DR$8</f>
      </c>
      <c r="DS129" s="706" t="str">
        <f>'Revenue summary'!DS$8</f>
      </c>
      <c r="DT129" s="706" t="str">
        <f>'Revenue summary'!DT$8</f>
      </c>
      <c r="DU129" s="707" t="str">
        <f>'Revenue summary'!DU$8</f>
      </c>
      <c r="DV129" s="706" t="str">
        <f>'Revenue summary'!DV$8</f>
      </c>
      <c r="DW129" s="706" t="str">
        <f>'Revenue summary'!DW$8</f>
      </c>
      <c r="DX129" s="706" t="str">
        <f>'Revenue summary'!DX$8</f>
      </c>
      <c r="DY129" s="707" t="str">
        <f>'Revenue summary'!DY$8</f>
      </c>
      <c r="DZ129" s="706" t="str">
        <f>'Revenue summary'!DZ$8</f>
      </c>
      <c r="EA129" s="706" t="str">
        <f>'Revenue summary'!EA$8</f>
      </c>
      <c r="EB129" s="706" t="str">
        <f>'Revenue summary'!EB$8</f>
      </c>
      <c r="EC129" s="707" t="str">
        <f>'Revenue summary'!EC$8</f>
      </c>
      <c r="ED129" s="706" t="str">
        <f>'Revenue summary'!ED$8</f>
      </c>
      <c r="EE129" s="706" t="str">
        <f>'Revenue summary'!EE$8</f>
      </c>
      <c r="EF129" s="706" t="str">
        <f>'Revenue summary'!EF$8</f>
      </c>
      <c r="EG129" s="707" t="str">
        <f>'Revenue summary'!EG$8</f>
      </c>
      <c r="EH129" s="706" t="str">
        <f>'Revenue summary'!EH$8</f>
      </c>
      <c r="EI129" s="706" t="str">
        <f>'Revenue summary'!EI$8</f>
      </c>
      <c r="EJ129" s="706" t="str">
        <f>'Revenue summary'!EJ$8</f>
      </c>
      <c r="EK129" s="707" t="str">
        <f>'Revenue summary'!EK$8</f>
      </c>
      <c r="EL129" s="320"/>
      <c r="EM129" s="706">
        <f t="shared" ref="EM129:FH129" si="1288">EM$9</f>
      </c>
      <c r="EN129" s="706">
        <f t="shared" si="1288"/>
      </c>
      <c r="EO129" s="706">
        <f t="shared" si="1288"/>
      </c>
      <c r="EP129" s="706">
        <f t="shared" si="1288"/>
      </c>
      <c r="EQ129" s="706">
        <f t="shared" si="1288"/>
      </c>
      <c r="ER129" s="706">
        <f t="shared" si="1288"/>
      </c>
      <c r="ES129" s="706">
        <f t="shared" si="1288"/>
      </c>
      <c r="ET129" s="706">
        <f t="shared" si="1288"/>
      </c>
      <c r="EU129" s="706">
        <f t="shared" si="1288"/>
      </c>
      <c r="EV129" s="706">
        <f t="shared" si="1288"/>
      </c>
      <c r="EW129" s="706">
        <f t="shared" si="1288"/>
      </c>
      <c r="EX129" s="706">
        <f t="shared" si="1288"/>
      </c>
      <c r="EY129" s="706">
        <f t="shared" si="1288"/>
      </c>
      <c r="EZ129" s="706">
        <f t="shared" si="1288"/>
      </c>
      <c r="FA129" s="706">
        <f t="shared" si="1288"/>
      </c>
      <c r="FB129" s="706">
        <f t="shared" si="1288"/>
      </c>
      <c r="FC129" s="706">
        <f t="shared" si="1288"/>
      </c>
      <c r="FD129" s="706">
        <f t="shared" si="1288"/>
      </c>
      <c r="FE129" s="706" t="str">
        <f t="shared" si="1288"/>
      </c>
      <c r="FF129" s="706" t="str">
        <f t="shared" si="1288"/>
      </c>
      <c r="FG129" s="706" t="str">
        <f t="shared" si="1288"/>
      </c>
      <c r="FH129" s="706" t="str">
        <f t="shared" si="1288"/>
      </c>
      <c r="FI129" s="706" t="str">
        <f>FI$9</f>
      </c>
      <c r="FJ129" s="706" t="str">
        <f t="shared" ref="FJ129:FU129" si="1289">FJ$9</f>
      </c>
      <c r="FK129" s="706" t="str">
        <f t="shared" si="1289"/>
      </c>
      <c r="FL129" s="706" t="str">
        <f t="shared" si="1289"/>
      </c>
      <c r="FM129" s="706" t="str">
        <f t="shared" si="1289"/>
      </c>
      <c r="FN129" s="706" t="str">
        <f t="shared" si="1289"/>
      </c>
      <c r="FO129" s="706" t="str">
        <f t="shared" si="1289"/>
      </c>
      <c r="FP129" s="706" t="str">
        <f t="shared" si="1289"/>
      </c>
      <c r="FQ129" s="706" t="str">
        <f t="shared" si="1289"/>
      </c>
      <c r="FR129" s="706" t="str">
        <f t="shared" si="1289"/>
      </c>
      <c r="FS129" s="706" t="str">
        <f t="shared" si="1289"/>
      </c>
      <c r="FT129" s="706" t="str">
        <f t="shared" si="1289"/>
      </c>
      <c r="FU129" s="706" t="str">
        <f t="shared" si="1289"/>
      </c>
      <c r="FV129" s="706"/>
      <c r="FW129" s="706" t="str">
        <f t="shared" ref="FW129:GX129" si="1290">FW$10</f>
      </c>
      <c r="FX129" s="706" t="str">
        <f t="shared" si="1290"/>
      </c>
      <c r="FY129" s="706" t="str">
        <f t="shared" si="1290"/>
      </c>
      <c r="FZ129" s="706" t="str">
        <f t="shared" si="1290"/>
      </c>
      <c r="GA129" s="706" t="str">
        <f t="shared" si="1290"/>
      </c>
      <c r="GB129" s="706" t="str">
        <f t="shared" si="1290"/>
      </c>
      <c r="GC129" s="706" t="str">
        <f t="shared" si="1290"/>
      </c>
      <c r="GD129" s="706" t="str">
        <f t="shared" si="1290"/>
      </c>
      <c r="GE129" s="706" t="str">
        <f t="shared" si="1290"/>
      </c>
      <c r="GF129" s="706" t="str">
        <f t="shared" si="1290"/>
      </c>
      <c r="GG129" s="706" t="str">
        <f t="shared" si="1290"/>
      </c>
      <c r="GH129" s="706" t="str">
        <f t="shared" si="1290"/>
      </c>
      <c r="GI129" s="706" t="str">
        <f t="shared" si="1290"/>
      </c>
      <c r="GJ129" s="706" t="str">
        <f t="shared" si="1290"/>
      </c>
      <c r="GK129" s="706" t="str">
        <f t="shared" si="1290"/>
      </c>
      <c r="GL129" s="706" t="str">
        <f t="shared" si="1290"/>
      </c>
      <c r="GM129" s="706" t="str">
        <f t="shared" si="1290"/>
      </c>
      <c r="GN129" s="706" t="str">
        <f t="shared" si="1290"/>
      </c>
      <c r="GO129" s="706" t="str">
        <f t="shared" si="1290"/>
      </c>
      <c r="GP129" s="706" t="str">
        <f t="shared" si="1290"/>
      </c>
      <c r="GQ129" s="706" t="str">
        <f t="shared" si="1290"/>
      </c>
      <c r="GR129" s="706" t="str">
        <f t="shared" si="1290"/>
      </c>
      <c r="GS129" s="706" t="str">
        <f t="shared" si="1290"/>
      </c>
      <c r="GT129" s="706" t="str">
        <f t="shared" si="1290"/>
      </c>
      <c r="GU129" s="706" t="str">
        <f t="shared" si="1290"/>
      </c>
      <c r="GV129" s="706" t="str">
        <f t="shared" si="1290"/>
      </c>
      <c r="GW129" s="706" t="str">
        <f t="shared" si="1290"/>
      </c>
      <c r="GX129" s="706" t="str">
        <f t="shared" si="1290"/>
      </c>
      <c r="GY129" s="706" t="str">
        <f t="shared" ref="GY129" si="1291">GY$10</f>
      </c>
      <c r="GZ129" s="706" t="str">
        <f t="shared" ref="GZ129:HD129" si="1292">GZ$10</f>
      </c>
      <c r="HA129" s="706" t="str">
        <f t="shared" si="1292"/>
      </c>
      <c r="HB129" s="706" t="str">
        <f t="shared" si="1292"/>
      </c>
      <c r="HC129" s="706" t="str">
        <f t="shared" si="1292"/>
      </c>
      <c r="HD129" s="706" t="str">
        <f t="shared" si="1292"/>
      </c>
    </row>
    <row r="130" spans="1:212" s="370" customFormat="1" ht="10.8" thickBot="1">
      <c r="A130" s="946" t="s">
        <v>1219</v>
      </c>
      <c r="B130" s="974"/>
      <c r="C130" s="974"/>
      <c r="D130" s="974"/>
      <c r="E130" s="975"/>
      <c r="F130" s="974"/>
      <c r="G130" s="974"/>
      <c r="H130" s="974"/>
      <c r="I130" s="975"/>
      <c r="J130" s="974"/>
      <c r="K130" s="974"/>
      <c r="L130" s="974"/>
      <c r="M130" s="975"/>
      <c r="N130" s="974"/>
      <c r="O130" s="974"/>
      <c r="P130" s="974"/>
      <c r="Q130" s="975"/>
      <c r="R130" s="974"/>
      <c r="S130" s="974"/>
      <c r="T130" s="974"/>
      <c r="U130" s="975"/>
      <c r="V130" s="974"/>
      <c r="W130" s="974"/>
      <c r="X130" s="974"/>
      <c r="Y130" s="975"/>
      <c r="Z130" s="974"/>
      <c r="AA130" s="974"/>
      <c r="AB130" s="974"/>
      <c r="AC130" s="975"/>
      <c r="AD130" s="974"/>
      <c r="AE130" s="974"/>
      <c r="AF130" s="974"/>
      <c r="AG130" s="975"/>
      <c r="AH130" s="974"/>
      <c r="AI130" s="974"/>
      <c r="AJ130" s="974"/>
      <c r="AK130" s="975"/>
      <c r="AL130" s="974"/>
      <c r="AM130" s="974"/>
      <c r="AN130" s="974"/>
      <c r="AO130" s="975"/>
      <c r="AP130" s="974"/>
      <c r="AQ130" s="974"/>
      <c r="AR130" s="974"/>
      <c r="AS130" s="975"/>
      <c r="AT130" s="974"/>
      <c r="AU130" s="974"/>
      <c r="AV130" s="974"/>
      <c r="AW130" s="975"/>
      <c r="AX130" s="974"/>
      <c r="AY130" s="974"/>
      <c r="AZ130" s="974"/>
      <c r="BA130" s="975"/>
      <c r="BB130" s="974"/>
      <c r="BC130" s="974"/>
      <c r="BD130" s="974"/>
      <c r="BE130" s="975"/>
      <c r="BF130" s="974"/>
      <c r="BG130" s="974"/>
      <c r="BH130" s="974"/>
      <c r="BI130" s="975"/>
      <c r="BJ130" s="974"/>
      <c r="BK130" s="974"/>
      <c r="BL130" s="974"/>
      <c r="BM130" s="975"/>
      <c r="BN130" s="974"/>
      <c r="BO130" s="974"/>
      <c r="BP130" s="974"/>
      <c r="BQ130" s="975"/>
      <c r="BR130" s="974"/>
      <c r="BS130" s="974"/>
      <c r="BT130" s="974"/>
      <c r="BU130" s="975"/>
      <c r="BV130" s="974"/>
      <c r="BW130" s="974"/>
      <c r="BX130" s="974"/>
      <c r="BY130" s="975"/>
      <c r="BZ130" s="974"/>
      <c r="CA130" s="974"/>
      <c r="CB130" s="974"/>
      <c r="CC130" s="948"/>
      <c r="CD130" s="947"/>
      <c r="CE130" s="947"/>
      <c r="CF130" s="947"/>
      <c r="CG130" s="976"/>
      <c r="CH130" s="977"/>
      <c r="CI130" s="977"/>
      <c r="CJ130" s="977"/>
      <c r="CK130" s="976"/>
      <c r="CL130" s="977"/>
      <c r="CM130" s="977"/>
      <c r="CN130" s="977"/>
      <c r="CO130" s="976"/>
      <c r="CP130" s="977"/>
      <c r="CQ130" s="977">
        <f t="shared" ref="CQ130" si="1293">+AVERAGE(CQ131,CP131)*CQ132*3</f>
      </c>
      <c r="CR130" s="977">
        <f t="shared" ref="CR130" si="1294">+AVERAGE(CR131,CQ131)*CR132*3</f>
      </c>
      <c r="CS130" s="976">
        <f t="shared" ref="CS130" si="1295">+AVERAGE(CS131,CR131)*CS132*3</f>
      </c>
      <c r="CT130" s="977">
        <f t="shared" ref="CT130" si="1296">+AVERAGE(CT131,CS131)*CT132*3</f>
      </c>
      <c r="CU130" s="977">
        <f t="shared" ref="CU130" si="1297">+AVERAGE(CU131,CT131)*CU132*3</f>
      </c>
      <c r="CV130" s="977">
        <f t="shared" ref="CV130" si="1298">+AVERAGE(CV131,CU131)*CV132*3</f>
      </c>
      <c r="CW130" s="976">
        <f t="shared" ref="CW130" si="1299">+AVERAGE(CW131,CV131)*CW132*3</f>
      </c>
      <c r="CX130" s="977">
        <f t="shared" ref="CX130" si="1300">+AVERAGE(CX131,CW131)*CX132*3</f>
      </c>
      <c r="CY130" s="977">
        <f t="shared" ref="CY130" si="1301">+AVERAGE(CY131,CX131)*CY132*3</f>
      </c>
      <c r="CZ130" s="977">
        <f t="shared" ref="CZ130" si="1302">+AVERAGE(CZ131,CY131)*CZ132*3</f>
      </c>
      <c r="DA130" s="976">
        <f t="shared" ref="DA130" si="1303">+AVERAGE(DA131,CZ131)*DA132*3</f>
      </c>
      <c r="DB130" s="977">
        <f t="shared" ref="DB130" si="1304">+AVERAGE(DB131,DA131)*DB132*3</f>
      </c>
      <c r="DC130" s="977">
        <f t="shared" ref="DC130" si="1305">+AVERAGE(DC131,DB131)*DC132*3</f>
      </c>
      <c r="DD130" s="977">
        <f t="shared" ref="DD130" si="1306">+AVERAGE(DD131,DC131)*DD132*3</f>
      </c>
      <c r="DE130" s="976">
        <f t="shared" ref="DE130" si="1307">+AVERAGE(DE131,DD131)*DE132*3</f>
      </c>
      <c r="DF130" s="977">
        <f t="shared" ref="DF130" si="1308">+AVERAGE(DF131,DE131)*DF132*3</f>
      </c>
      <c r="DG130" s="977">
        <f t="shared" ref="DG130" si="1309">+AVERAGE(DG131,DF131)*DG132*3</f>
      </c>
      <c r="DH130" s="977">
        <f t="shared" ref="DH130" si="1310">+AVERAGE(DH131,DG131)*DH132*3</f>
      </c>
      <c r="DI130" s="976">
        <f t="shared" ref="DI130" si="1311">+AVERAGE(DI131,DH131)*DI132*3</f>
      </c>
      <c r="DJ130" s="977">
        <f t="shared" ref="DJ130" si="1312">+AVERAGE(DJ131,DI131)*DJ132*3</f>
      </c>
      <c r="DK130" s="977">
        <f t="shared" ref="DK130" si="1313">+AVERAGE(DK131,DJ131)*DK132*3</f>
      </c>
      <c r="DL130" s="977">
        <f t="shared" ref="DL130" si="1314">+AVERAGE(DL131,DK131)*DL132*3</f>
      </c>
      <c r="DM130" s="976">
        <f t="shared" ref="DM130" si="1315">+AVERAGE(DM131,DL131)*DM132*3</f>
      </c>
      <c r="DN130" s="977">
        <f t="shared" ref="DN130" si="1316">+AVERAGE(DN131,DM131)*DN132*3</f>
      </c>
      <c r="DO130" s="977">
        <f t="shared" ref="DO130" si="1317">+AVERAGE(DO131,DN131)*DO132*3</f>
      </c>
      <c r="DP130" s="977">
        <f t="shared" ref="DP130" si="1318">+AVERAGE(DP131,DO131)*DP132*3</f>
      </c>
      <c r="DQ130" s="976">
        <f t="shared" ref="DQ130" si="1319">+AVERAGE(DQ131,DP131)*DQ132*3</f>
      </c>
      <c r="DR130" s="977">
        <f t="shared" ref="DR130" si="1320">+AVERAGE(DR131,DQ131)*DR132*3</f>
      </c>
      <c r="DS130" s="977">
        <f t="shared" ref="DS130" si="1321">+AVERAGE(DS131,DR131)*DS132*3</f>
      </c>
      <c r="DT130" s="977">
        <f t="shared" ref="DT130" si="1322">+AVERAGE(DT131,DS131)*DT132*3</f>
      </c>
      <c r="DU130" s="979">
        <f t="shared" ref="DU130" si="1323">+AVERAGE(DU131,DT131)*DU132*3</f>
      </c>
      <c r="DV130" s="977">
        <f t="shared" ref="DV130" si="1324">+AVERAGE(DV131,DU131)*DV132*3</f>
      </c>
      <c r="DW130" s="977">
        <f t="shared" ref="DW130" si="1325">+AVERAGE(DW131,DV131)*DW132*3</f>
      </c>
      <c r="DX130" s="977">
        <f t="shared" ref="DX130" si="1326">+AVERAGE(DX131,DW131)*DX132*3</f>
      </c>
      <c r="DY130" s="979">
        <f t="shared" ref="DY130" si="1327">+AVERAGE(DY131,DX131)*DY132*3</f>
      </c>
      <c r="DZ130" s="977">
        <f t="shared" ref="DZ130" si="1328">+AVERAGE(DZ131,DY131)*DZ132*3</f>
      </c>
      <c r="EA130" s="977">
        <f t="shared" ref="EA130" si="1329">+AVERAGE(EA131,DZ131)*EA132*3</f>
      </c>
      <c r="EB130" s="977">
        <f t="shared" ref="EB130" si="1330">+AVERAGE(EB131,EA131)*EB132*3</f>
      </c>
      <c r="EC130" s="979">
        <f t="shared" ref="EC130" si="1331">+AVERAGE(EC131,EB131)*EC132*3</f>
      </c>
      <c r="ED130" s="977">
        <f t="shared" ref="ED130" si="1332">+AVERAGE(ED131,EC131)*ED132*3</f>
      </c>
      <c r="EE130" s="977">
        <f t="shared" ref="EE130" si="1333">+AVERAGE(EE131,ED131)*EE132*3</f>
      </c>
      <c r="EF130" s="977">
        <f t="shared" ref="EF130" si="1334">+AVERAGE(EF131,EE131)*EF132*3</f>
      </c>
      <c r="EG130" s="979">
        <f t="shared" ref="EG130" si="1335">+AVERAGE(EG131,EF131)*EG132*3</f>
      </c>
      <c r="EH130" s="977">
        <f t="shared" ref="EH130" si="1336">+AVERAGE(EH131,EG131)*EH132*3</f>
      </c>
      <c r="EI130" s="977">
        <f t="shared" ref="EI130" si="1337">+AVERAGE(EI131,EH131)*EI132*3</f>
      </c>
      <c r="EJ130" s="977">
        <f t="shared" ref="EJ130" si="1338">+AVERAGE(EJ131,EI131)*EJ132*3</f>
      </c>
      <c r="EK130" s="979">
        <f t="shared" ref="EK130" si="1339">+AVERAGE(EK131,EJ131)*EK132*3</f>
      </c>
      <c r="EM130" s="977"/>
      <c r="EN130" s="977"/>
      <c r="EO130" s="977"/>
      <c r="EP130" s="977"/>
      <c r="EQ130" s="977"/>
      <c r="ER130" s="977"/>
      <c r="ES130" s="977"/>
      <c r="ET130" s="977"/>
      <c r="EU130" s="977"/>
      <c r="EV130" s="977"/>
      <c r="EW130" s="977"/>
      <c r="EX130" s="977"/>
      <c r="EY130" s="977"/>
      <c r="EZ130" s="977"/>
      <c r="FA130" s="977"/>
      <c r="FB130" s="977"/>
      <c r="FC130" s="977"/>
      <c r="FD130" s="977"/>
      <c r="FE130" s="977">
        <f t="shared" ref="FE130" si="1340">SUM(BV130:BY130)</f>
      </c>
      <c r="FF130" s="977">
        <f t="shared" ref="FF130" si="1341">SUM(BZ130:CC130)</f>
      </c>
      <c r="FG130" s="977">
        <f t="shared" ref="FG130" si="1342">SUM(CD130:CG130)</f>
      </c>
      <c r="FH130" s="977">
        <f t="shared" ref="FH130" si="1343">SUM(CH130:CK130)</f>
      </c>
      <c r="FI130" s="977">
        <f t="shared" ref="FI130" si="1344">SUM(CL130:CO130)</f>
      </c>
      <c r="FJ130" s="977">
        <f t="shared" ref="FJ130" si="1345">SUM(CP130:CS130)</f>
      </c>
      <c r="FK130" s="977">
        <f t="shared" ref="FK130" si="1346">SUM(CT130:CW130)</f>
      </c>
      <c r="FL130" s="977">
        <f t="shared" ref="FL130" si="1347">SUM(CX130:DA130)</f>
      </c>
      <c r="FM130" s="977">
        <f t="shared" ref="FM130" si="1348">SUM(DB130:DE130)</f>
      </c>
      <c r="FN130" s="977">
        <f t="shared" ref="FN130" si="1349">SUM(DF130:DI130)</f>
      </c>
      <c r="FO130" s="977">
        <f t="shared" ref="FO130" si="1350">SUM(DJ130:DM130)</f>
      </c>
      <c r="FP130" s="977">
        <f>SUM(DN130:DQ130)</f>
      </c>
      <c r="FQ130" s="977">
        <f>SUM(DR130:DU130)</f>
      </c>
      <c r="FR130" s="977">
        <f>SUM(DV130:DY130)</f>
      </c>
      <c r="FS130" s="977">
        <f>SUM(DZ130:EC130)</f>
      </c>
      <c r="FT130" s="977">
        <f>SUM(ED130:EG130)</f>
      </c>
      <c r="FU130" s="977">
        <f>SUM(EH130:EK130)</f>
      </c>
      <c r="FV130" s="977"/>
      <c r="FW130" s="977"/>
      <c r="FX130" s="977"/>
      <c r="FY130" s="977"/>
      <c r="FZ130" s="977"/>
      <c r="GA130" s="977"/>
      <c r="GB130" s="977"/>
      <c r="GC130" s="977"/>
      <c r="GD130" s="977"/>
      <c r="GE130" s="977"/>
      <c r="GF130" s="977"/>
      <c r="GG130" s="977"/>
      <c r="GH130" s="977"/>
      <c r="GI130" s="977"/>
      <c r="GJ130" s="977"/>
      <c r="GK130" s="977"/>
      <c r="GL130" s="977"/>
      <c r="GM130" s="977"/>
      <c r="GN130" s="977"/>
      <c r="GO130" s="977"/>
      <c r="GP130" s="977"/>
      <c r="GQ130" s="977"/>
      <c r="GR130" s="977"/>
      <c r="GS130" s="977"/>
      <c r="GT130" s="977">
        <f>SUM(CQ130:CT130)</f>
      </c>
      <c r="GU130" s="977">
        <f>SUM(CU130:CX130)</f>
      </c>
      <c r="GV130" s="977">
        <f>SUM(CY130:DB130)</f>
      </c>
      <c r="GW130" s="977">
        <f>SUM(DC130:DF130)</f>
      </c>
      <c r="GX130" s="977">
        <f>SUM(DG130:DJ130)</f>
      </c>
      <c r="GY130" s="977">
        <f>SUM(DK130:DN130)</f>
      </c>
      <c r="GZ130" s="977">
        <f>SUM(DO130:DR130)</f>
      </c>
      <c r="HA130" s="977">
        <f>SUM(DS130:DV130)</f>
      </c>
      <c r="HB130" s="977">
        <f>SUM(DW130:DZ130)</f>
      </c>
      <c r="HC130" s="977">
        <f>SUM(EA130:ED130)</f>
      </c>
      <c r="HD130" s="977">
        <f>SUM(EE130:EH130)</f>
      </c>
    </row>
    <row r="131" spans="1:212" s="89" customFormat="1" ht="10.8" thickTop="1">
      <c r="A131" s="2270" t="s">
        <v>1203</v>
      </c>
      <c r="B131" s="137"/>
      <c r="C131" s="137"/>
      <c r="D131" s="137"/>
      <c r="E131" s="860"/>
      <c r="F131" s="137"/>
      <c r="G131" s="137"/>
      <c r="H131" s="137"/>
      <c r="I131" s="860"/>
      <c r="J131" s="137"/>
      <c r="K131" s="137"/>
      <c r="L131" s="137"/>
      <c r="M131" s="860"/>
      <c r="N131" s="137"/>
      <c r="O131" s="137"/>
      <c r="P131" s="137"/>
      <c r="Q131" s="860"/>
      <c r="R131" s="137"/>
      <c r="S131" s="137"/>
      <c r="T131" s="137"/>
      <c r="U131" s="860"/>
      <c r="V131" s="137"/>
      <c r="W131" s="137"/>
      <c r="X131" s="137"/>
      <c r="Y131" s="860"/>
      <c r="Z131" s="137"/>
      <c r="AA131" s="137"/>
      <c r="AB131" s="137"/>
      <c r="AC131" s="860"/>
      <c r="AD131" s="137"/>
      <c r="AE131" s="137"/>
      <c r="AF131" s="137"/>
      <c r="AG131" s="860"/>
      <c r="AH131" s="137"/>
      <c r="AI131" s="137"/>
      <c r="AJ131" s="137"/>
      <c r="AK131" s="860"/>
      <c r="AL131" s="137"/>
      <c r="AM131" s="137"/>
      <c r="AN131" s="137"/>
      <c r="AO131" s="860"/>
      <c r="AP131" s="137"/>
      <c r="AQ131" s="137"/>
      <c r="AR131" s="137"/>
      <c r="AS131" s="860"/>
      <c r="AT131" s="137"/>
      <c r="AU131" s="137"/>
      <c r="AV131" s="137"/>
      <c r="AW131" s="860"/>
      <c r="AX131" s="137"/>
      <c r="AY131" s="137"/>
      <c r="AZ131" s="137"/>
      <c r="BA131" s="860"/>
      <c r="BB131" s="137"/>
      <c r="BC131" s="137"/>
      <c r="BD131" s="137"/>
      <c r="BE131" s="860"/>
      <c r="BF131" s="137"/>
      <c r="BG131" s="137"/>
      <c r="BH131" s="137"/>
      <c r="BI131" s="860"/>
      <c r="BJ131" s="137"/>
      <c r="BK131" s="137"/>
      <c r="BL131" s="137"/>
      <c r="BM131" s="860"/>
      <c r="BN131" s="137"/>
      <c r="BO131" s="137"/>
      <c r="BP131" s="137"/>
      <c r="BQ131" s="860"/>
      <c r="BR131" s="137"/>
      <c r="BS131" s="137"/>
      <c r="BT131" s="137"/>
      <c r="BU131" s="860"/>
      <c r="BV131" s="137"/>
      <c r="BW131" s="137"/>
      <c r="BX131" s="137"/>
      <c r="BY131" s="860"/>
      <c r="BZ131" s="137"/>
      <c r="CA131" s="137"/>
      <c r="CB131" s="137"/>
      <c r="CC131" s="860"/>
      <c r="CD131" s="137"/>
      <c r="CE131" s="137"/>
      <c r="CF131" s="137"/>
      <c r="CG131" s="860"/>
      <c r="CH131" s="137"/>
      <c r="CI131" s="137"/>
      <c r="CJ131" s="137"/>
      <c r="CK131" s="860"/>
      <c r="CL131" s="137"/>
      <c r="CM131" s="137"/>
      <c r="CN131" s="137"/>
      <c r="CO131" s="860"/>
      <c r="CQ131" s="89">
        <f t="shared" ref="CQ131:DU131" si="1351">CP131+CQ133</f>
      </c>
      <c r="CR131" s="89">
        <f t="shared" si="1351"/>
      </c>
      <c r="CS131" s="260">
        <f t="shared" si="1351"/>
      </c>
      <c r="CT131" s="89">
        <f t="shared" si="1351"/>
      </c>
      <c r="CU131" s="89">
        <f t="shared" si="1351"/>
      </c>
      <c r="CV131" s="89">
        <f t="shared" si="1351"/>
      </c>
      <c r="CW131" s="260">
        <f t="shared" si="1351"/>
      </c>
      <c r="CX131" s="89">
        <f t="shared" si="1351"/>
      </c>
      <c r="CY131" s="89">
        <f t="shared" si="1351"/>
      </c>
      <c r="CZ131" s="89">
        <f t="shared" si="1351"/>
      </c>
      <c r="DA131" s="260">
        <f t="shared" si="1351"/>
      </c>
      <c r="DB131" s="89">
        <f t="shared" si="1351"/>
      </c>
      <c r="DC131" s="89">
        <f t="shared" si="1351"/>
      </c>
      <c r="DD131" s="89">
        <f t="shared" si="1351"/>
      </c>
      <c r="DE131" s="260">
        <f t="shared" si="1351"/>
      </c>
      <c r="DF131" s="89">
        <f t="shared" si="1351"/>
      </c>
      <c r="DG131" s="89">
        <f t="shared" si="1351"/>
      </c>
      <c r="DH131" s="89">
        <f t="shared" si="1351"/>
      </c>
      <c r="DI131" s="260">
        <f t="shared" si="1351"/>
      </c>
      <c r="DJ131" s="89">
        <f t="shared" si="1351"/>
      </c>
      <c r="DK131" s="89">
        <f t="shared" si="1351"/>
      </c>
      <c r="DL131" s="89">
        <f t="shared" si="1351"/>
      </c>
      <c r="DM131" s="260">
        <f t="shared" si="1351"/>
      </c>
      <c r="DN131" s="89">
        <f t="shared" si="1351"/>
      </c>
      <c r="DO131" s="89">
        <f t="shared" si="1351"/>
      </c>
      <c r="DP131" s="89">
        <f t="shared" si="1351"/>
      </c>
      <c r="DQ131" s="260">
        <f t="shared" si="1351"/>
      </c>
      <c r="DR131" s="89">
        <f t="shared" si="1351"/>
      </c>
      <c r="DS131" s="89">
        <f t="shared" si="1351"/>
      </c>
      <c r="DT131" s="89">
        <f t="shared" si="1351"/>
      </c>
      <c r="DU131" s="2271">
        <f t="shared" si="1351"/>
      </c>
      <c r="DV131" s="89">
        <f t="shared" ref="DV131" si="1352">DU131+DV133</f>
      </c>
      <c r="DW131" s="89">
        <f t="shared" ref="DW131" si="1353">DV131+DW133</f>
      </c>
      <c r="DX131" s="89">
        <f t="shared" ref="DX131" si="1354">DW131+DX133</f>
      </c>
      <c r="DY131" s="2271">
        <f t="shared" ref="DY131" si="1355">DX131+DY133</f>
      </c>
      <c r="DZ131" s="89">
        <f t="shared" ref="DZ131" si="1356">DY131+DZ133</f>
      </c>
      <c r="EA131" s="89">
        <f t="shared" ref="EA131" si="1357">DZ131+EA133</f>
      </c>
      <c r="EB131" s="89">
        <f t="shared" ref="EB131" si="1358">EA131+EB133</f>
      </c>
      <c r="EC131" s="2271">
        <f t="shared" ref="EC131" si="1359">EB131+EC133</f>
      </c>
      <c r="ED131" s="89">
        <f t="shared" ref="ED131" si="1360">EC131+ED133</f>
      </c>
      <c r="EE131" s="89">
        <f t="shared" ref="EE131" si="1361">ED131+EE133</f>
      </c>
      <c r="EF131" s="89">
        <f t="shared" ref="EF131" si="1362">EE131+EF133</f>
      </c>
      <c r="EG131" s="2271">
        <f t="shared" ref="EG131" si="1363">EF131+EG133</f>
      </c>
      <c r="EH131" s="89">
        <f t="shared" ref="EH131" si="1364">EG131+EH133</f>
      </c>
      <c r="EI131" s="89">
        <f t="shared" ref="EI131" si="1365">EH131+EI133</f>
      </c>
      <c r="EJ131" s="89">
        <f t="shared" ref="EJ131" si="1366">EI131+EJ133</f>
      </c>
      <c r="EK131" s="2271">
        <f t="shared" ref="EK131" si="1367">EJ131+EK133</f>
      </c>
      <c r="FF131" s="89">
        <f>+CC131</f>
      </c>
      <c r="FG131" s="152">
        <f>CG131</f>
      </c>
      <c r="FH131" s="152">
        <f>CK131</f>
      </c>
      <c r="FI131" s="152">
        <f>CO131</f>
      </c>
      <c r="FJ131" s="152">
        <f>CS131</f>
      </c>
      <c r="FK131" s="152">
        <f>CW131</f>
      </c>
      <c r="FL131" s="152">
        <f>DA131</f>
      </c>
      <c r="FM131" s="152">
        <f>DE131</f>
      </c>
      <c r="FN131" s="152">
        <f>DI131</f>
      </c>
      <c r="FO131" s="152">
        <f>DM131</f>
      </c>
      <c r="FP131" s="152">
        <f>DQ131</f>
      </c>
      <c r="FQ131" s="152">
        <f>DU131</f>
      </c>
      <c r="FR131" s="152">
        <f>DY131</f>
      </c>
      <c r="FS131" s="152">
        <f>EC131</f>
      </c>
      <c r="FT131" s="152">
        <f>EG131</f>
      </c>
      <c r="FU131" s="152">
        <f>EK131</f>
      </c>
      <c r="GP131" s="970"/>
      <c r="GQ131" s="970"/>
      <c r="GR131" s="970"/>
      <c r="GS131" s="970"/>
      <c r="GT131" s="970">
        <f>CT131</f>
      </c>
      <c r="GU131" s="970">
        <f>CX131</f>
      </c>
      <c r="GV131" s="970">
        <f>DB131</f>
      </c>
      <c r="GW131" s="970">
        <f>DF131</f>
      </c>
      <c r="GX131" s="970">
        <f>DJ131</f>
      </c>
      <c r="GY131" s="970">
        <f>DN131</f>
      </c>
      <c r="GZ131" s="970">
        <f>DR131</f>
      </c>
      <c r="HA131" s="970">
        <f t="shared" ref="HA131:HC131" si="1368">DS131</f>
      </c>
      <c r="HB131" s="970">
        <f>DZ131</f>
      </c>
      <c r="HC131" s="970">
        <f t="shared" si="1368"/>
      </c>
      <c r="HD131" s="970">
        <f>EH131</f>
      </c>
    </row>
    <row r="132" spans="1:212" s="943" customFormat="1" ht="10.199999999999999">
      <c r="A132" s="982" t="s">
        <v>823</v>
      </c>
      <c r="B132" s="942"/>
      <c r="C132" s="942"/>
      <c r="D132" s="942"/>
      <c r="E132" s="941"/>
      <c r="F132" s="942"/>
      <c r="G132" s="942"/>
      <c r="H132" s="942"/>
      <c r="I132" s="941"/>
      <c r="J132" s="942"/>
      <c r="K132" s="942"/>
      <c r="L132" s="942"/>
      <c r="M132" s="941"/>
      <c r="N132" s="942"/>
      <c r="O132" s="942"/>
      <c r="P132" s="942"/>
      <c r="Q132" s="941"/>
      <c r="R132" s="942"/>
      <c r="S132" s="942"/>
      <c r="T132" s="942"/>
      <c r="U132" s="941"/>
      <c r="V132" s="942"/>
      <c r="W132" s="942"/>
      <c r="X132" s="942"/>
      <c r="Y132" s="941"/>
      <c r="Z132" s="942"/>
      <c r="AA132" s="942"/>
      <c r="AB132" s="942"/>
      <c r="AC132" s="941"/>
      <c r="AD132" s="942"/>
      <c r="AE132" s="942"/>
      <c r="AF132" s="942"/>
      <c r="AG132" s="941"/>
      <c r="AH132" s="942"/>
      <c r="AI132" s="942"/>
      <c r="AJ132" s="942"/>
      <c r="AK132" s="941"/>
      <c r="AL132" s="942"/>
      <c r="AM132" s="942"/>
      <c r="AN132" s="942"/>
      <c r="AO132" s="941"/>
      <c r="AP132" s="942"/>
      <c r="AQ132" s="942"/>
      <c r="AR132" s="942"/>
      <c r="AS132" s="941"/>
      <c r="AT132" s="942"/>
      <c r="AU132" s="942"/>
      <c r="AV132" s="942"/>
      <c r="AW132" s="941"/>
      <c r="AX132" s="942"/>
      <c r="AY132" s="942"/>
      <c r="AZ132" s="942"/>
      <c r="BA132" s="941"/>
      <c r="BB132" s="942"/>
      <c r="BC132" s="942"/>
      <c r="BD132" s="942"/>
      <c r="BE132" s="941"/>
      <c r="BF132" s="942"/>
      <c r="BG132" s="942"/>
      <c r="BH132" s="942"/>
      <c r="BI132" s="941"/>
      <c r="BJ132" s="942"/>
      <c r="BK132" s="942"/>
      <c r="BL132" s="942"/>
      <c r="BM132" s="941"/>
      <c r="BN132" s="942"/>
      <c r="BO132" s="942"/>
      <c r="BP132" s="942"/>
      <c r="BQ132" s="941"/>
      <c r="BR132" s="942"/>
      <c r="BS132" s="942"/>
      <c r="BT132" s="942"/>
      <c r="BU132" s="941"/>
      <c r="BV132" s="942"/>
      <c r="BW132" s="942"/>
      <c r="BX132" s="942"/>
      <c r="BY132" s="941"/>
      <c r="BZ132" s="942"/>
      <c r="CA132" s="942"/>
      <c r="CB132" s="942"/>
      <c r="CC132" s="941"/>
      <c r="CD132" s="942"/>
      <c r="CE132" s="942"/>
      <c r="CF132" s="942"/>
      <c r="CG132" s="941"/>
      <c r="CH132" s="942"/>
      <c r="CI132" s="942"/>
      <c r="CJ132" s="942"/>
      <c r="CK132" s="941"/>
      <c r="CL132" s="942"/>
      <c r="CM132" s="942"/>
      <c r="CN132" s="942"/>
      <c r="CO132" s="941"/>
      <c r="CP132" s="942"/>
      <c r="CQ132" s="944">
        <v>10</v>
      </c>
      <c r="CR132" s="944">
        <v>10</v>
      </c>
      <c r="CS132" s="945">
        <v>10</v>
      </c>
      <c r="CT132" s="944">
        <v>10</v>
      </c>
      <c r="CU132" s="944">
        <v>10</v>
      </c>
      <c r="CV132" s="944">
        <v>10</v>
      </c>
      <c r="CW132" s="945">
        <f>CV132-0.5</f>
      </c>
      <c r="CX132" s="944">
        <f>CW132*0.8</f>
      </c>
      <c r="CY132" s="944">
        <f>CX132-0.05</f>
      </c>
      <c r="CZ132" s="944">
        <f t="shared" ref="CZ132:DU132" si="1369">CY132-0.05</f>
      </c>
      <c r="DA132" s="945">
        <f t="shared" si="1369"/>
      </c>
      <c r="DB132" s="944">
        <f t="shared" si="1369"/>
      </c>
      <c r="DC132" s="944">
        <f t="shared" si="1369"/>
      </c>
      <c r="DD132" s="944">
        <f t="shared" si="1369"/>
      </c>
      <c r="DE132" s="945">
        <f t="shared" si="1369"/>
      </c>
      <c r="DF132" s="944">
        <f>(DE132-0.05)*14/13</f>
      </c>
      <c r="DG132" s="944">
        <f>(DF132*13/14)-0.05</f>
      </c>
      <c r="DH132" s="944">
        <f t="shared" si="1369"/>
      </c>
      <c r="DI132" s="945">
        <f>DH132-0.05</f>
      </c>
      <c r="DJ132" s="944">
        <f>DI132-0.05</f>
      </c>
      <c r="DK132" s="944">
        <f>DJ132-0.05+3</f>
      </c>
      <c r="DL132" s="944">
        <f t="shared" si="1369"/>
      </c>
      <c r="DM132" s="945">
        <f t="shared" si="1369"/>
      </c>
      <c r="DN132" s="944">
        <f t="shared" si="1369"/>
      </c>
      <c r="DO132" s="944">
        <f t="shared" si="1369"/>
      </c>
      <c r="DP132" s="944">
        <f t="shared" si="1369"/>
      </c>
      <c r="DQ132" s="945">
        <f t="shared" si="1369"/>
      </c>
      <c r="DR132" s="944">
        <f t="shared" si="1369"/>
      </c>
      <c r="DS132" s="944">
        <f t="shared" si="1369"/>
      </c>
      <c r="DT132" s="944">
        <f t="shared" si="1369"/>
      </c>
      <c r="DU132" s="983">
        <f t="shared" si="1369"/>
      </c>
      <c r="DV132" s="944">
        <f t="shared" ref="DV132" si="1370">DU132-0.05</f>
      </c>
      <c r="DW132" s="944">
        <f t="shared" ref="DW132" si="1371">DV132-0.05</f>
      </c>
      <c r="DX132" s="944">
        <f t="shared" ref="DX132" si="1372">DW132-0.05</f>
      </c>
      <c r="DY132" s="983">
        <f t="shared" ref="DY132" si="1373">DX132-0.05</f>
      </c>
      <c r="DZ132" s="944">
        <f t="shared" ref="DZ132" si="1374">DY132-0.05</f>
      </c>
      <c r="EA132" s="944">
        <f t="shared" ref="EA132" si="1375">DZ132-0.05</f>
      </c>
      <c r="EB132" s="944">
        <f t="shared" ref="EB132" si="1376">EA132-0.05</f>
      </c>
      <c r="EC132" s="983">
        <f t="shared" ref="EC132" si="1377">EB132-0.05</f>
      </c>
      <c r="ED132" s="944">
        <f t="shared" ref="ED132" si="1378">EC132-0.05</f>
      </c>
      <c r="EE132" s="944">
        <f t="shared" ref="EE132" si="1379">ED132-0.05</f>
      </c>
      <c r="EF132" s="944">
        <f t="shared" ref="EF132" si="1380">EE132-0.05</f>
      </c>
      <c r="EG132" s="983">
        <f t="shared" ref="EG132" si="1381">EF132-0.05</f>
      </c>
      <c r="EH132" s="944">
        <f t="shared" ref="EH132" si="1382">EG132-0.05</f>
      </c>
      <c r="EI132" s="944">
        <f t="shared" ref="EI132" si="1383">EH132-0.05</f>
      </c>
      <c r="EJ132" s="944">
        <f t="shared" ref="EJ132" si="1384">EI132-0.05</f>
      </c>
      <c r="EK132" s="983">
        <f t="shared" ref="EK132" si="1385">EJ132-0.05</f>
      </c>
      <c r="EM132" s="944"/>
      <c r="EN132" s="944"/>
      <c r="EO132" s="944"/>
      <c r="EP132" s="944"/>
      <c r="EQ132" s="944"/>
      <c r="ER132" s="944"/>
      <c r="ES132" s="944"/>
      <c r="ET132" s="944"/>
      <c r="EU132" s="944"/>
      <c r="EV132" s="944"/>
      <c r="EW132" s="944"/>
      <c r="EX132" s="944"/>
      <c r="EY132" s="944"/>
      <c r="EZ132" s="944"/>
      <c r="FA132" s="944"/>
      <c r="FB132" s="944"/>
      <c r="FC132" s="944"/>
      <c r="FD132" s="944"/>
      <c r="FE132" s="944"/>
      <c r="FF132" s="944"/>
      <c r="FG132" s="944"/>
      <c r="FH132" s="944"/>
      <c r="FI132" s="944"/>
      <c r="FJ132" s="944"/>
      <c r="FK132" s="944"/>
      <c r="FL132" s="1467">
        <f t="shared" ref="FL132" si="1386">FL130/AVERAGE(FK131:FL131)/12</f>
      </c>
      <c r="FM132" s="1467">
        <f t="shared" ref="FM132" si="1387">FM130/AVERAGE(FL131:FM131)/12</f>
      </c>
      <c r="FN132" s="1467">
        <f t="shared" ref="FN132" si="1388">FN130/AVERAGE(FM131:FN131)/12</f>
      </c>
      <c r="FO132" s="1467">
        <f t="shared" ref="FO132" si="1389">FO130/AVERAGE(FN131:FO131)/12</f>
      </c>
      <c r="FP132" s="1467">
        <f t="shared" ref="FP132" si="1390">FP130/AVERAGE(FO131:FP131)/12</f>
      </c>
      <c r="FQ132" s="1467">
        <f>FQ130/AVERAGE(FP131:FQ131)/12</f>
      </c>
      <c r="FR132" s="1467">
        <f t="shared" ref="FR132:FU132" si="1391">FR130/AVERAGE(FQ131:FR131)/12</f>
      </c>
      <c r="FS132" s="1467">
        <f t="shared" si="1391"/>
      </c>
      <c r="FT132" s="1467">
        <f t="shared" si="1391"/>
      </c>
      <c r="FU132" s="1467">
        <f t="shared" si="1391"/>
      </c>
      <c r="FV132" s="942"/>
      <c r="FW132" s="944"/>
      <c r="FX132" s="944"/>
      <c r="FY132" s="944"/>
      <c r="FZ132" s="944"/>
      <c r="GA132" s="944"/>
      <c r="GB132" s="944"/>
      <c r="GC132" s="944"/>
      <c r="GD132" s="944"/>
      <c r="GE132" s="944"/>
      <c r="GF132" s="944"/>
      <c r="GG132" s="944"/>
      <c r="GH132" s="944"/>
      <c r="GI132" s="944"/>
      <c r="GJ132" s="944"/>
      <c r="GK132" s="944"/>
      <c r="GL132" s="944"/>
      <c r="GM132" s="944"/>
      <c r="GN132" s="944"/>
      <c r="GO132" s="944"/>
      <c r="GP132" s="1467"/>
      <c r="GQ132" s="1467"/>
      <c r="GR132" s="1467"/>
      <c r="GS132" s="1467"/>
      <c r="GT132" s="1467">
        <f t="shared" ref="GT132" si="1392">GT130/AVERAGE(GS131:GT131)/12</f>
      </c>
      <c r="GU132" s="1467">
        <f t="shared" ref="GU132" si="1393">GU130/AVERAGE(GT131:GU131)/12</f>
      </c>
      <c r="GV132" s="1467">
        <f t="shared" ref="GV132" si="1394">GV130/AVERAGE(GU131:GV131)/12</f>
      </c>
      <c r="GW132" s="1467">
        <f t="shared" ref="GW132" si="1395">GW130/AVERAGE(GV131:GW131)/12</f>
      </c>
      <c r="GX132" s="1467">
        <f t="shared" ref="GX132" si="1396">GX130/AVERAGE(GW131:GX131)/12</f>
      </c>
      <c r="GY132" s="1467">
        <f t="shared" ref="GY132" si="1397">GY130/AVERAGE(GX131:GY131)/12</f>
      </c>
      <c r="GZ132" s="1467">
        <f>GZ130/AVERAGE(GY131:GZ131)/12</f>
      </c>
      <c r="HA132" s="1467">
        <f t="shared" ref="HA132:HD132" si="1398">HA130/AVERAGE(GZ131:HA131)/12</f>
      </c>
      <c r="HB132" s="1467">
        <f t="shared" si="1398"/>
      </c>
      <c r="HC132" s="1467">
        <f t="shared" si="1398"/>
      </c>
      <c r="HD132" s="1467">
        <f t="shared" si="1398"/>
      </c>
    </row>
    <row r="133" spans="1:212" s="89" customFormat="1" ht="10.199999999999999">
      <c r="A133" s="1006" t="s">
        <v>1220</v>
      </c>
      <c r="B133" s="144"/>
      <c r="C133" s="144"/>
      <c r="D133" s="144"/>
      <c r="E133" s="261"/>
      <c r="F133" s="144"/>
      <c r="G133" s="144"/>
      <c r="H133" s="144"/>
      <c r="I133" s="261"/>
      <c r="J133" s="144"/>
      <c r="K133" s="144"/>
      <c r="L133" s="144"/>
      <c r="M133" s="261"/>
      <c r="N133" s="144"/>
      <c r="O133" s="144"/>
      <c r="P133" s="144"/>
      <c r="Q133" s="261"/>
      <c r="R133" s="144"/>
      <c r="S133" s="144"/>
      <c r="T133" s="144"/>
      <c r="U133" s="261"/>
      <c r="V133" s="144"/>
      <c r="W133" s="144"/>
      <c r="X133" s="144"/>
      <c r="Y133" s="261"/>
      <c r="Z133" s="144"/>
      <c r="AA133" s="144"/>
      <c r="AB133" s="144"/>
      <c r="AC133" s="261"/>
      <c r="AD133" s="144"/>
      <c r="AE133" s="144"/>
      <c r="AF133" s="144"/>
      <c r="AG133" s="261"/>
      <c r="AH133" s="144"/>
      <c r="AI133" s="144"/>
      <c r="AJ133" s="144"/>
      <c r="AK133" s="261"/>
      <c r="AL133" s="144"/>
      <c r="AM133" s="144"/>
      <c r="AN133" s="144"/>
      <c r="AO133" s="261"/>
      <c r="AP133" s="144"/>
      <c r="AQ133" s="144"/>
      <c r="AR133" s="144"/>
      <c r="AS133" s="261"/>
      <c r="AT133" s="144"/>
      <c r="AU133" s="144"/>
      <c r="AV133" s="144"/>
      <c r="AW133" s="261"/>
      <c r="AX133" s="144"/>
      <c r="AY133" s="144"/>
      <c r="AZ133" s="144"/>
      <c r="BA133" s="261"/>
      <c r="BB133" s="144"/>
      <c r="BC133" s="144"/>
      <c r="BD133" s="144"/>
      <c r="BE133" s="261"/>
      <c r="BF133" s="144"/>
      <c r="BG133" s="144"/>
      <c r="BH133" s="144"/>
      <c r="BI133" s="261"/>
      <c r="BJ133" s="144"/>
      <c r="BK133" s="144"/>
      <c r="BL133" s="144"/>
      <c r="BM133" s="261"/>
      <c r="BN133" s="144"/>
      <c r="BO133" s="144"/>
      <c r="BP133" s="144"/>
      <c r="BQ133" s="261"/>
      <c r="BR133" s="144"/>
      <c r="BS133" s="144"/>
      <c r="BT133" s="144"/>
      <c r="BU133" s="261"/>
      <c r="BV133" s="2265"/>
      <c r="BW133" s="144"/>
      <c r="BX133" s="144"/>
      <c r="BY133" s="261"/>
      <c r="BZ133" s="2265"/>
      <c r="CA133" s="144"/>
      <c r="CB133" s="144"/>
      <c r="CC133" s="261"/>
      <c r="CD133" s="2265"/>
      <c r="CE133" s="144"/>
      <c r="CF133" s="144"/>
      <c r="CG133" s="261"/>
      <c r="CH133" s="2265"/>
      <c r="CI133" s="144"/>
      <c r="CJ133" s="144"/>
      <c r="CK133" s="261"/>
      <c r="CL133" s="2265"/>
      <c r="CM133" s="144"/>
      <c r="CN133" s="144"/>
      <c r="CO133" s="261"/>
      <c r="CP133" s="1492"/>
      <c r="CQ133" s="2266">
        <v>0.05</v>
      </c>
      <c r="CR133" s="2266">
        <v>0.05</v>
      </c>
      <c r="CS133" s="2267">
        <v>0.05</v>
      </c>
      <c r="CT133" s="2266">
        <v>0.05</v>
      </c>
      <c r="CU133" s="2266">
        <v>0.05</v>
      </c>
      <c r="CV133" s="2266">
        <v>0.05</v>
      </c>
      <c r="CW133" s="2267">
        <v>0.1</v>
      </c>
      <c r="CX133" s="2266">
        <v>0.1</v>
      </c>
      <c r="CY133" s="2266">
        <v>0.1</v>
      </c>
      <c r="CZ133" s="2266">
        <v>0.1</v>
      </c>
      <c r="DA133" s="2267">
        <v>0.1</v>
      </c>
      <c r="DB133" s="2266">
        <v>0.1</v>
      </c>
      <c r="DC133" s="2266">
        <v>0.1</v>
      </c>
      <c r="DD133" s="2266">
        <v>0.1</v>
      </c>
      <c r="DE133" s="2266">
        <v>0.1</v>
      </c>
      <c r="DF133" s="2268">
        <v>0.1</v>
      </c>
      <c r="DG133" s="2266">
        <v>0.1</v>
      </c>
      <c r="DH133" s="2266">
        <v>0.1</v>
      </c>
      <c r="DI133" s="2267">
        <v>0.1</v>
      </c>
      <c r="DJ133" s="2268">
        <v>0.1</v>
      </c>
      <c r="DK133" s="2266">
        <v>0.1</v>
      </c>
      <c r="DL133" s="2266">
        <v>0.1</v>
      </c>
      <c r="DM133" s="2267">
        <v>0.1</v>
      </c>
      <c r="DN133" s="2268">
        <v>0.1</v>
      </c>
      <c r="DO133" s="2266">
        <v>0.1</v>
      </c>
      <c r="DP133" s="2266">
        <v>0.1</v>
      </c>
      <c r="DQ133" s="2267">
        <v>0.1</v>
      </c>
      <c r="DR133" s="2268">
        <v>0.1</v>
      </c>
      <c r="DS133" s="2266">
        <v>0.1</v>
      </c>
      <c r="DT133" s="2266">
        <v>0.1</v>
      </c>
      <c r="DU133" s="2269">
        <v>0.1</v>
      </c>
      <c r="DV133" s="2268">
        <v>0.1</v>
      </c>
      <c r="DW133" s="2266">
        <v>0.1</v>
      </c>
      <c r="DX133" s="2266">
        <v>0.1</v>
      </c>
      <c r="DY133" s="2269">
        <v>0.1</v>
      </c>
      <c r="DZ133" s="2268">
        <v>0.1</v>
      </c>
      <c r="EA133" s="2266">
        <v>0.1</v>
      </c>
      <c r="EB133" s="2266">
        <v>0.1</v>
      </c>
      <c r="EC133" s="2269">
        <v>0.1</v>
      </c>
      <c r="ED133" s="2268">
        <v>0.1</v>
      </c>
      <c r="EE133" s="2266">
        <v>0.1</v>
      </c>
      <c r="EF133" s="2266">
        <v>0.1</v>
      </c>
      <c r="EG133" s="2269">
        <v>0.1</v>
      </c>
      <c r="EH133" s="2268">
        <v>0.1</v>
      </c>
      <c r="EI133" s="2266">
        <v>0.1</v>
      </c>
      <c r="EJ133" s="2266">
        <v>0.1</v>
      </c>
      <c r="EK133" s="2269">
        <v>0.1</v>
      </c>
      <c r="EM133" s="2266"/>
      <c r="EN133" s="2266"/>
      <c r="EO133" s="2266"/>
      <c r="EP133" s="2266"/>
      <c r="EQ133" s="2266"/>
      <c r="ER133" s="2266"/>
      <c r="ES133" s="2266"/>
      <c r="ET133" s="2266"/>
      <c r="EU133" s="2266"/>
      <c r="EV133" s="2266"/>
      <c r="EW133" s="2266"/>
      <c r="EX133" s="2266"/>
      <c r="EY133" s="2266"/>
      <c r="EZ133" s="2266"/>
      <c r="FA133" s="2266"/>
      <c r="FB133" s="2266"/>
      <c r="FC133" s="2266"/>
      <c r="FD133" s="2266"/>
      <c r="FE133" s="985">
        <f t="shared" ref="FE133" si="1399">SUM(BV133:BY133)</f>
      </c>
      <c r="FF133" s="985">
        <f t="shared" ref="FF133" si="1400">SUM(BZ133:CC133)</f>
      </c>
      <c r="FG133" s="985">
        <f t="shared" ref="FG133" si="1401">SUM(CD133:CG133)</f>
      </c>
      <c r="FH133" s="985">
        <f t="shared" ref="FH133" si="1402">SUM(CH133:CK133)</f>
      </c>
      <c r="FI133" s="985">
        <f t="shared" ref="FI133" si="1403">SUM(CL133:CO133)</f>
      </c>
      <c r="FJ133" s="985">
        <f t="shared" ref="FJ133" si="1404">SUM(CP133:CS133)</f>
      </c>
      <c r="FK133" s="985">
        <f t="shared" ref="FK133" si="1405">SUM(CT133:CW133)</f>
      </c>
      <c r="FL133" s="985">
        <f t="shared" ref="FL133" si="1406">SUM(CX133:DA133)</f>
      </c>
      <c r="FM133" s="985">
        <f t="shared" ref="FM133" si="1407">SUM(DB133:DE133)</f>
      </c>
      <c r="FN133" s="985">
        <f t="shared" ref="FN133" si="1408">SUM(DF133:DI133)</f>
      </c>
      <c r="FO133" s="985">
        <f t="shared" ref="FO133" si="1409">SUM(DJ133:DM133)</f>
      </c>
      <c r="FP133" s="985">
        <f>SUM(DN133:DQ133)</f>
      </c>
      <c r="FQ133" s="985">
        <f>SUM(DR133:DU133)</f>
      </c>
      <c r="FR133" s="985">
        <f>SUM(DV133:DY133)</f>
      </c>
      <c r="FS133" s="985">
        <f>SUM(DZ133:EC133)</f>
      </c>
      <c r="FT133" s="985">
        <f>SUM(ED133:EG133)</f>
      </c>
      <c r="FU133" s="985">
        <f>SUM(EH133:EK133)</f>
      </c>
      <c r="FV133" s="1492"/>
      <c r="FW133" s="2266"/>
      <c r="FX133" s="2266"/>
      <c r="FY133" s="2266"/>
      <c r="FZ133" s="2266"/>
      <c r="GA133" s="2266"/>
      <c r="GB133" s="2266"/>
      <c r="GC133" s="2266"/>
      <c r="GD133" s="2266"/>
      <c r="GE133" s="2266"/>
      <c r="GF133" s="2266"/>
      <c r="GG133" s="2266"/>
      <c r="GH133" s="2266"/>
      <c r="GI133" s="2266"/>
      <c r="GJ133" s="2266"/>
      <c r="GK133" s="2266"/>
      <c r="GL133" s="2266"/>
      <c r="GM133" s="2266"/>
      <c r="GN133" s="2266"/>
      <c r="GO133" s="2266"/>
      <c r="GP133" s="2278"/>
      <c r="GQ133" s="2278"/>
      <c r="GR133" s="2278"/>
      <c r="GS133" s="2278"/>
      <c r="GT133" s="2278">
        <f t="shared" ref="GT133:GY133" si="1410">GT131-GS131</f>
      </c>
      <c r="GU133" s="2278">
        <f t="shared" si="1410"/>
      </c>
      <c r="GV133" s="2278">
        <f t="shared" si="1410"/>
      </c>
      <c r="GW133" s="2278">
        <f t="shared" si="1410"/>
      </c>
      <c r="GX133" s="2278">
        <f t="shared" si="1410"/>
      </c>
      <c r="GY133" s="2278">
        <f t="shared" si="1410"/>
      </c>
      <c r="GZ133" s="2278">
        <f>GZ131-GY131</f>
      </c>
      <c r="HA133" s="2278">
        <f t="shared" ref="HA133:HD133" si="1411">HA131-GZ131</f>
      </c>
      <c r="HB133" s="2278">
        <f t="shared" si="1411"/>
      </c>
      <c r="HC133" s="2278">
        <f t="shared" si="1411"/>
      </c>
      <c r="HD133" s="2278">
        <f t="shared" si="1411"/>
      </c>
    </row>
    <row r="134" spans="1:212" s="89" customFormat="1" ht="10.199999999999999">
      <c r="A134" s="152"/>
      <c r="E134" s="260"/>
      <c r="I134" s="260"/>
      <c r="M134" s="260"/>
      <c r="Q134" s="260"/>
      <c r="U134" s="260"/>
      <c r="Y134" s="260"/>
      <c r="AC134" s="260"/>
      <c r="AG134" s="260"/>
      <c r="AJ134" s="72"/>
      <c r="AK134" s="227"/>
      <c r="AL134" s="72"/>
      <c r="AM134" s="72"/>
      <c r="AN134" s="72"/>
      <c r="AO134" s="227"/>
      <c r="AP134" s="72"/>
      <c r="AQ134" s="72"/>
      <c r="AR134" s="72"/>
      <c r="AS134" s="227"/>
      <c r="AT134" s="72"/>
      <c r="AU134" s="72"/>
      <c r="AV134" s="72"/>
      <c r="AW134" s="227"/>
      <c r="AX134" s="72"/>
      <c r="AY134" s="72"/>
      <c r="AZ134" s="72"/>
      <c r="BA134" s="227"/>
      <c r="BB134" s="72"/>
      <c r="BC134" s="72"/>
      <c r="BD134" s="72"/>
      <c r="BE134" s="227"/>
      <c r="BF134" s="72"/>
      <c r="BG134" s="72"/>
      <c r="BH134" s="72"/>
      <c r="BI134" s="227"/>
      <c r="BJ134" s="72"/>
      <c r="BK134" s="72"/>
      <c r="BL134" s="72"/>
      <c r="BM134" s="227"/>
      <c r="BN134" s="72"/>
      <c r="BO134" s="72"/>
      <c r="BP134" s="72"/>
      <c r="BQ134" s="227"/>
      <c r="BR134" s="72"/>
      <c r="BS134" s="72"/>
      <c r="BT134" s="72"/>
      <c r="BU134" s="227"/>
      <c r="BV134" s="355"/>
      <c r="BW134" s="72"/>
      <c r="BX134" s="72"/>
      <c r="BY134" s="227"/>
      <c r="BZ134" s="355"/>
      <c r="CA134" s="72"/>
      <c r="CB134" s="72"/>
      <c r="CC134" s="227"/>
      <c r="CD134" s="355"/>
      <c r="CE134" s="72"/>
      <c r="CF134" s="72"/>
      <c r="CG134" s="227"/>
      <c r="CH134" s="355"/>
      <c r="CI134" s="72"/>
      <c r="CJ134" s="72"/>
      <c r="CK134" s="227"/>
      <c r="CL134" s="355"/>
      <c r="CM134" s="72"/>
      <c r="CN134" s="72"/>
      <c r="CO134" s="227"/>
      <c r="CP134" s="72"/>
      <c r="CQ134" s="87"/>
      <c r="CR134" s="87"/>
      <c r="CS134" s="227"/>
      <c r="CT134" s="72"/>
      <c r="CU134" s="87"/>
      <c r="CV134" s="87"/>
      <c r="CW134" s="416"/>
      <c r="CX134" s="87"/>
      <c r="CY134" s="87"/>
      <c r="CZ134" s="87"/>
      <c r="DA134" s="416"/>
      <c r="DB134" s="87"/>
      <c r="DC134" s="87"/>
      <c r="DD134" s="87"/>
      <c r="DE134" s="232"/>
      <c r="DF134" s="419"/>
      <c r="DG134" s="71"/>
      <c r="DH134" s="71"/>
      <c r="DI134" s="232"/>
      <c r="DJ134" s="419"/>
      <c r="DK134" s="71"/>
      <c r="DL134" s="71"/>
      <c r="DM134" s="232"/>
      <c r="DN134" s="419"/>
      <c r="DO134" s="71"/>
      <c r="DP134" s="71"/>
      <c r="DQ134" s="232"/>
      <c r="DR134" s="419"/>
      <c r="DS134" s="71"/>
      <c r="DT134" s="71"/>
      <c r="DU134" s="232"/>
      <c r="DV134" s="419"/>
      <c r="DW134" s="71"/>
      <c r="DX134" s="71"/>
      <c r="DY134" s="232"/>
      <c r="DZ134" s="419"/>
      <c r="EA134" s="71"/>
      <c r="EB134" s="71"/>
      <c r="EC134" s="232"/>
      <c r="ED134" s="419"/>
      <c r="EE134" s="71"/>
      <c r="EF134" s="71"/>
      <c r="EG134" s="232"/>
      <c r="EH134" s="419"/>
      <c r="EI134" s="71"/>
      <c r="EJ134" s="71"/>
      <c r="EK134" s="232"/>
      <c r="EU134" s="72"/>
      <c r="EV134" s="72"/>
      <c r="EW134" s="72"/>
      <c r="EX134" s="72"/>
      <c r="EY134" s="72"/>
      <c r="EZ134" s="72"/>
      <c r="FA134" s="72"/>
      <c r="FB134" s="72"/>
      <c r="FC134" s="72"/>
      <c r="FD134" s="72"/>
      <c r="FE134" s="72"/>
      <c r="FF134" s="72"/>
      <c r="FG134" s="72"/>
      <c r="FH134" s="72"/>
      <c r="FI134" s="72"/>
      <c r="FJ134" s="72"/>
      <c r="FK134" s="72"/>
      <c r="FL134" s="72"/>
      <c r="FM134" s="72"/>
      <c r="FN134" s="72"/>
      <c r="FO134" s="72"/>
      <c r="FP134" s="72"/>
      <c r="FQ134" s="72"/>
      <c r="FR134" s="72"/>
      <c r="FS134" s="72"/>
      <c r="FT134" s="72"/>
      <c r="FU134" s="72"/>
      <c r="FV134" s="88"/>
      <c r="GE134" s="72"/>
      <c r="GF134" s="72"/>
      <c r="GG134" s="72"/>
      <c r="GH134" s="72"/>
      <c r="GI134" s="72"/>
      <c r="GJ134" s="72"/>
      <c r="GK134" s="72"/>
      <c r="GL134" s="72"/>
      <c r="GM134" s="72"/>
      <c r="GN134" s="72"/>
      <c r="GO134" s="72"/>
      <c r="GP134" s="72"/>
      <c r="GQ134" s="72"/>
      <c r="GR134" s="72"/>
      <c r="GS134" s="72"/>
      <c r="GT134" s="72"/>
      <c r="GU134" s="72"/>
      <c r="GV134" s="72"/>
      <c r="GW134" s="72"/>
      <c r="GX134" s="72"/>
      <c r="GY134" s="72"/>
      <c r="GZ134" s="72"/>
      <c r="HA134" s="72"/>
      <c r="HB134" s="72"/>
      <c r="HC134" s="72"/>
      <c r="HD134" s="72"/>
    </row>
    <row r="135" spans="1:212" s="16" customFormat="1" ht="10.199999999999999">
      <c r="A135" s="708" t="s">
        <v>1224</v>
      </c>
      <c r="B135" s="706" t="str">
        <f>'Revenue summary'!B$8</f>
      </c>
      <c r="C135" s="706" t="str">
        <f>'Revenue summary'!C$8</f>
      </c>
      <c r="D135" s="706" t="str">
        <f>'Revenue summary'!D$8</f>
      </c>
      <c r="E135" s="707" t="str">
        <f>'Revenue summary'!E$8</f>
      </c>
      <c r="F135" s="706" t="str">
        <f>'Revenue summary'!F$8</f>
      </c>
      <c r="G135" s="706" t="str">
        <f>'Revenue summary'!G$8</f>
      </c>
      <c r="H135" s="706" t="str">
        <f>'Revenue summary'!H$8</f>
      </c>
      <c r="I135" s="707" t="str">
        <f>'Revenue summary'!I$8</f>
      </c>
      <c r="J135" s="706" t="str">
        <f>'Revenue summary'!J$8</f>
      </c>
      <c r="K135" s="706" t="str">
        <f>'Revenue summary'!K$8</f>
      </c>
      <c r="L135" s="706" t="str">
        <f>'Revenue summary'!L$8</f>
      </c>
      <c r="M135" s="707" t="str">
        <f>'Revenue summary'!M$8</f>
      </c>
      <c r="N135" s="706" t="str">
        <f>'Revenue summary'!N$8</f>
      </c>
      <c r="O135" s="706" t="str">
        <f>'Revenue summary'!O$8</f>
      </c>
      <c r="P135" s="706" t="str">
        <f>'Revenue summary'!P$8</f>
      </c>
      <c r="Q135" s="707" t="str">
        <f>'Revenue summary'!Q$8</f>
      </c>
      <c r="R135" s="706" t="str">
        <f>'Revenue summary'!R$8</f>
      </c>
      <c r="S135" s="706" t="str">
        <f>'Revenue summary'!S$8</f>
      </c>
      <c r="T135" s="706" t="str">
        <f>'Revenue summary'!T$8</f>
      </c>
      <c r="U135" s="707" t="str">
        <f>'Revenue summary'!U$8</f>
      </c>
      <c r="V135" s="706" t="str">
        <f>'Revenue summary'!V$8</f>
      </c>
      <c r="W135" s="706" t="str">
        <f>'Revenue summary'!W$8</f>
      </c>
      <c r="X135" s="706" t="str">
        <f>'Revenue summary'!X$8</f>
      </c>
      <c r="Y135" s="707" t="str">
        <f>'Revenue summary'!Y$8</f>
      </c>
      <c r="Z135" s="706" t="str">
        <f>'Revenue summary'!Z$8</f>
      </c>
      <c r="AA135" s="706" t="str">
        <f>'Revenue summary'!AA$8</f>
      </c>
      <c r="AB135" s="706" t="str">
        <f>'Revenue summary'!AB$8</f>
      </c>
      <c r="AC135" s="707" t="str">
        <f>'Revenue summary'!AC$8</f>
      </c>
      <c r="AD135" s="706" t="str">
        <f>'Revenue summary'!AD$8</f>
      </c>
      <c r="AE135" s="706" t="str">
        <f>'Revenue summary'!AE$8</f>
      </c>
      <c r="AF135" s="706" t="str">
        <f>'Revenue summary'!AF$8</f>
      </c>
      <c r="AG135" s="707" t="str">
        <f>'Revenue summary'!AG$8</f>
      </c>
      <c r="AH135" s="706" t="str">
        <f>'Revenue summary'!AH$8</f>
      </c>
      <c r="AI135" s="706" t="str">
        <f>'Revenue summary'!AI$8</f>
      </c>
      <c r="AJ135" s="706" t="str">
        <f>'Revenue summary'!AJ$8</f>
      </c>
      <c r="AK135" s="707" t="str">
        <f>'Revenue summary'!AK$8</f>
      </c>
      <c r="AL135" s="706" t="str">
        <f>'Revenue summary'!AL$8</f>
      </c>
      <c r="AM135" s="706" t="str">
        <f>'Revenue summary'!AM$8</f>
      </c>
      <c r="AN135" s="706" t="str">
        <f>'Revenue summary'!AN$8</f>
      </c>
      <c r="AO135" s="707" t="str">
        <f>'Revenue summary'!AO$8</f>
      </c>
      <c r="AP135" s="706" t="str">
        <f>'Revenue summary'!AP$8</f>
      </c>
      <c r="AQ135" s="706" t="str">
        <f>'Revenue summary'!AQ$8</f>
      </c>
      <c r="AR135" s="706" t="str">
        <f>'Revenue summary'!AR$8</f>
      </c>
      <c r="AS135" s="707" t="str">
        <f>'Revenue summary'!AS$8</f>
      </c>
      <c r="AT135" s="706" t="str">
        <f>'Revenue summary'!AT$8</f>
      </c>
      <c r="AU135" s="706" t="str">
        <f>'Revenue summary'!AU$8</f>
      </c>
      <c r="AV135" s="706" t="str">
        <f>'Revenue summary'!AV$8</f>
      </c>
      <c r="AW135" s="707" t="str">
        <f>'Revenue summary'!AW$8</f>
      </c>
      <c r="AX135" s="706" t="str">
        <f>'Revenue summary'!AX$8</f>
      </c>
      <c r="AY135" s="706" t="str">
        <f>'Revenue summary'!AY$8</f>
      </c>
      <c r="AZ135" s="706" t="str">
        <f>'Revenue summary'!AZ$8</f>
      </c>
      <c r="BA135" s="707" t="str">
        <f>'Revenue summary'!BA$8</f>
      </c>
      <c r="BB135" s="706" t="str">
        <f>'Revenue summary'!BB$8</f>
      </c>
      <c r="BC135" s="706" t="str">
        <f>'Revenue summary'!BC$8</f>
      </c>
      <c r="BD135" s="706" t="str">
        <f>'Revenue summary'!BD$8</f>
      </c>
      <c r="BE135" s="707" t="str">
        <f>'Revenue summary'!BE$8</f>
      </c>
      <c r="BF135" s="706" t="str">
        <f>'Revenue summary'!BF$8</f>
      </c>
      <c r="BG135" s="706" t="str">
        <f>'Revenue summary'!BG$8</f>
      </c>
      <c r="BH135" s="706" t="str">
        <f>'Revenue summary'!BH$8</f>
      </c>
      <c r="BI135" s="707" t="str">
        <f>'Revenue summary'!BI$8</f>
      </c>
      <c r="BJ135" s="706" t="str">
        <f>'Revenue summary'!BJ$8</f>
      </c>
      <c r="BK135" s="706" t="str">
        <f>'Revenue summary'!BK$8</f>
      </c>
      <c r="BL135" s="706" t="str">
        <f>'Revenue summary'!BL$8</f>
      </c>
      <c r="BM135" s="707" t="str">
        <f>'Revenue summary'!BM$8</f>
      </c>
      <c r="BN135" s="706" t="str">
        <f>'Revenue summary'!BN$8</f>
      </c>
      <c r="BO135" s="706" t="str">
        <f>'Revenue summary'!BO$8</f>
      </c>
      <c r="BP135" s="706" t="str">
        <f>'Revenue summary'!BP$8</f>
      </c>
      <c r="BQ135" s="707" t="str">
        <f>'Revenue summary'!BQ$8</f>
      </c>
      <c r="BR135" s="706" t="str">
        <f>'Revenue summary'!BR$8</f>
      </c>
      <c r="BS135" s="706" t="str">
        <f>'Revenue summary'!BS$8</f>
      </c>
      <c r="BT135" s="706" t="str">
        <f>'Revenue summary'!BT$8</f>
      </c>
      <c r="BU135" s="707" t="str">
        <f>'Revenue summary'!BU$8</f>
      </c>
      <c r="BV135" s="706" t="str">
        <f>'Revenue summary'!BV$8</f>
      </c>
      <c r="BW135" s="706" t="str">
        <f>'Revenue summary'!BW$8</f>
      </c>
      <c r="BX135" s="706" t="str">
        <f>'Revenue summary'!BX$8</f>
      </c>
      <c r="BY135" s="707" t="str">
        <f>'Revenue summary'!BY$8</f>
      </c>
      <c r="BZ135" s="706" t="str">
        <f>'Revenue summary'!BZ$8</f>
      </c>
      <c r="CA135" s="706" t="str">
        <f>'Revenue summary'!CA$8</f>
      </c>
      <c r="CB135" s="706" t="str">
        <f>'Revenue summary'!CB$8</f>
      </c>
      <c r="CC135" s="707" t="str">
        <f>'Revenue summary'!CC$8</f>
      </c>
      <c r="CD135" s="706" t="str">
        <f>'Revenue summary'!CD$8</f>
      </c>
      <c r="CE135" s="706" t="str">
        <f>'Revenue summary'!CE$8</f>
      </c>
      <c r="CF135" s="706" t="str">
        <f>'Revenue summary'!CF$8</f>
      </c>
      <c r="CG135" s="707" t="str">
        <f>'Revenue summary'!CG$8</f>
      </c>
      <c r="CH135" s="706" t="str">
        <f>'Revenue summary'!CH$8</f>
      </c>
      <c r="CI135" s="706" t="str">
        <f>'Revenue summary'!CI$8</f>
      </c>
      <c r="CJ135" s="706" t="str">
        <f>'Revenue summary'!CJ$8</f>
      </c>
      <c r="CK135" s="707" t="str">
        <f>'Revenue summary'!CK$8</f>
      </c>
      <c r="CL135" s="706" t="str">
        <f>'Revenue summary'!CL$8</f>
      </c>
      <c r="CM135" s="706" t="str">
        <f>'Revenue summary'!CM$8</f>
      </c>
      <c r="CN135" s="706" t="str">
        <f>'Revenue summary'!CN$8</f>
      </c>
      <c r="CO135" s="707" t="str">
        <f>'Revenue summary'!CO$8</f>
      </c>
      <c r="CP135" s="706" t="str">
        <f>'Revenue summary'!CP$8</f>
      </c>
      <c r="CQ135" s="706" t="str">
        <f>'Revenue summary'!CQ$8</f>
      </c>
      <c r="CR135" s="706" t="str">
        <f>'Revenue summary'!CR$8</f>
      </c>
      <c r="CS135" s="707" t="str">
        <f>'Revenue summary'!CS$8</f>
      </c>
      <c r="CT135" s="706" t="str">
        <f>'Revenue summary'!CT$8</f>
      </c>
      <c r="CU135" s="706" t="str">
        <f>'Revenue summary'!CU$8</f>
      </c>
      <c r="CV135" s="706" t="str">
        <f>'Revenue summary'!CV$8</f>
      </c>
      <c r="CW135" s="707" t="str">
        <f>'Revenue summary'!CW$8</f>
      </c>
      <c r="CX135" s="706" t="str">
        <f>'Revenue summary'!CX$8</f>
      </c>
      <c r="CY135" s="706" t="str">
        <f>'Revenue summary'!CY$8</f>
      </c>
      <c r="CZ135" s="706" t="str">
        <f>'Revenue summary'!CZ$8</f>
      </c>
      <c r="DA135" s="707" t="str">
        <f>'Revenue summary'!DA$8</f>
      </c>
      <c r="DB135" s="706" t="str">
        <f>'Revenue summary'!DB$8</f>
      </c>
      <c r="DC135" s="706" t="str">
        <f>'Revenue summary'!DC$8</f>
      </c>
      <c r="DD135" s="706" t="str">
        <f>'Revenue summary'!DD$8</f>
      </c>
      <c r="DE135" s="707" t="str">
        <f>'Revenue summary'!DE$8</f>
      </c>
      <c r="DF135" s="706" t="str">
        <f>'Revenue summary'!DF$8</f>
      </c>
      <c r="DG135" s="706" t="str">
        <f>'Revenue summary'!DG$8</f>
      </c>
      <c r="DH135" s="706" t="str">
        <f>'Revenue summary'!DH$8</f>
      </c>
      <c r="DI135" s="707" t="str">
        <f>'Revenue summary'!DI$8</f>
      </c>
      <c r="DJ135" s="706" t="str">
        <f>'Revenue summary'!DJ$8</f>
      </c>
      <c r="DK135" s="706" t="str">
        <f>'Revenue summary'!DK$8</f>
      </c>
      <c r="DL135" s="706" t="str">
        <f>'Revenue summary'!DL$8</f>
      </c>
      <c r="DM135" s="707" t="str">
        <f>'Revenue summary'!DM$8</f>
      </c>
      <c r="DN135" s="706" t="str">
        <f>'Revenue summary'!DN$8</f>
      </c>
      <c r="DO135" s="706" t="str">
        <f>'Revenue summary'!DO$8</f>
      </c>
      <c r="DP135" s="706" t="str">
        <f>'Revenue summary'!DP$8</f>
      </c>
      <c r="DQ135" s="707" t="str">
        <f>'Revenue summary'!DQ$8</f>
      </c>
      <c r="DR135" s="706" t="str">
        <f>'Revenue summary'!DR$8</f>
      </c>
      <c r="DS135" s="706" t="str">
        <f>'Revenue summary'!DS$8</f>
      </c>
      <c r="DT135" s="706" t="str">
        <f>'Revenue summary'!DT$8</f>
      </c>
      <c r="DU135" s="707" t="str">
        <f>'Revenue summary'!DU$8</f>
      </c>
      <c r="DV135" s="706" t="str">
        <f>'Revenue summary'!DV$8</f>
      </c>
      <c r="DW135" s="706" t="str">
        <f>'Revenue summary'!DW$8</f>
      </c>
      <c r="DX135" s="706" t="str">
        <f>'Revenue summary'!DX$8</f>
      </c>
      <c r="DY135" s="707" t="str">
        <f>'Revenue summary'!DY$8</f>
      </c>
      <c r="DZ135" s="706" t="str">
        <f>'Revenue summary'!DZ$8</f>
      </c>
      <c r="EA135" s="706" t="str">
        <f>'Revenue summary'!EA$8</f>
      </c>
      <c r="EB135" s="706" t="str">
        <f>'Revenue summary'!EB$8</f>
      </c>
      <c r="EC135" s="707" t="str">
        <f>'Revenue summary'!EC$8</f>
      </c>
      <c r="ED135" s="706" t="str">
        <f>'Revenue summary'!ED$8</f>
      </c>
      <c r="EE135" s="706" t="str">
        <f>'Revenue summary'!EE$8</f>
      </c>
      <c r="EF135" s="706" t="str">
        <f>'Revenue summary'!EF$8</f>
      </c>
      <c r="EG135" s="707" t="str">
        <f>'Revenue summary'!EG$8</f>
      </c>
      <c r="EH135" s="706" t="str">
        <f>'Revenue summary'!EH$8</f>
      </c>
      <c r="EI135" s="706" t="str">
        <f>'Revenue summary'!EI$8</f>
      </c>
      <c r="EJ135" s="706" t="str">
        <f>'Revenue summary'!EJ$8</f>
      </c>
      <c r="EK135" s="707" t="str">
        <f>'Revenue summary'!EK$8</f>
      </c>
      <c r="EL135" s="320"/>
      <c r="EM135" s="706">
        <f t="shared" ref="EM135:FH135" si="1412">EM$9</f>
      </c>
      <c r="EN135" s="706">
        <f t="shared" si="1412"/>
      </c>
      <c r="EO135" s="706">
        <f t="shared" si="1412"/>
      </c>
      <c r="EP135" s="706">
        <f t="shared" si="1412"/>
      </c>
      <c r="EQ135" s="706">
        <f t="shared" si="1412"/>
      </c>
      <c r="ER135" s="706">
        <f t="shared" si="1412"/>
      </c>
      <c r="ES135" s="706">
        <f t="shared" si="1412"/>
      </c>
      <c r="ET135" s="706">
        <f t="shared" si="1412"/>
      </c>
      <c r="EU135" s="706">
        <f t="shared" si="1412"/>
      </c>
      <c r="EV135" s="706">
        <f t="shared" si="1412"/>
      </c>
      <c r="EW135" s="706">
        <f t="shared" si="1412"/>
      </c>
      <c r="EX135" s="706">
        <f t="shared" si="1412"/>
      </c>
      <c r="EY135" s="706">
        <f t="shared" si="1412"/>
      </c>
      <c r="EZ135" s="706">
        <f t="shared" si="1412"/>
      </c>
      <c r="FA135" s="706">
        <f t="shared" si="1412"/>
      </c>
      <c r="FB135" s="706">
        <f t="shared" si="1412"/>
      </c>
      <c r="FC135" s="706">
        <f t="shared" si="1412"/>
      </c>
      <c r="FD135" s="706">
        <f t="shared" si="1412"/>
      </c>
      <c r="FE135" s="706" t="str">
        <f t="shared" si="1412"/>
      </c>
      <c r="FF135" s="706" t="str">
        <f t="shared" si="1412"/>
      </c>
      <c r="FG135" s="706" t="str">
        <f t="shared" si="1412"/>
      </c>
      <c r="FH135" s="706" t="str">
        <f t="shared" si="1412"/>
      </c>
      <c r="FI135" s="706" t="str">
        <f>FI$9</f>
      </c>
      <c r="FJ135" s="706" t="str">
        <f t="shared" ref="FJ135:FU135" si="1413">FJ$9</f>
      </c>
      <c r="FK135" s="706" t="str">
        <f t="shared" si="1413"/>
      </c>
      <c r="FL135" s="706" t="str">
        <f t="shared" si="1413"/>
      </c>
      <c r="FM135" s="706" t="str">
        <f t="shared" si="1413"/>
      </c>
      <c r="FN135" s="706" t="str">
        <f t="shared" si="1413"/>
      </c>
      <c r="FO135" s="706" t="str">
        <f t="shared" si="1413"/>
      </c>
      <c r="FP135" s="706" t="str">
        <f t="shared" si="1413"/>
      </c>
      <c r="FQ135" s="706" t="str">
        <f t="shared" si="1413"/>
      </c>
      <c r="FR135" s="706" t="str">
        <f t="shared" si="1413"/>
      </c>
      <c r="FS135" s="706" t="str">
        <f t="shared" si="1413"/>
      </c>
      <c r="FT135" s="706" t="str">
        <f t="shared" si="1413"/>
      </c>
      <c r="FU135" s="706" t="str">
        <f t="shared" si="1413"/>
      </c>
      <c r="FV135" s="706"/>
      <c r="FW135" s="706" t="str">
        <f t="shared" ref="FW135:GX135" si="1414">FW$10</f>
      </c>
      <c r="FX135" s="706" t="str">
        <f t="shared" si="1414"/>
      </c>
      <c r="FY135" s="706" t="str">
        <f t="shared" si="1414"/>
      </c>
      <c r="FZ135" s="706" t="str">
        <f t="shared" si="1414"/>
      </c>
      <c r="GA135" s="706" t="str">
        <f t="shared" si="1414"/>
      </c>
      <c r="GB135" s="706" t="str">
        <f t="shared" si="1414"/>
      </c>
      <c r="GC135" s="706" t="str">
        <f t="shared" si="1414"/>
      </c>
      <c r="GD135" s="706" t="str">
        <f t="shared" si="1414"/>
      </c>
      <c r="GE135" s="706" t="str">
        <f t="shared" si="1414"/>
      </c>
      <c r="GF135" s="706" t="str">
        <f t="shared" si="1414"/>
      </c>
      <c r="GG135" s="706" t="str">
        <f t="shared" si="1414"/>
      </c>
      <c r="GH135" s="706" t="str">
        <f t="shared" si="1414"/>
      </c>
      <c r="GI135" s="706" t="str">
        <f t="shared" si="1414"/>
      </c>
      <c r="GJ135" s="706" t="str">
        <f t="shared" si="1414"/>
      </c>
      <c r="GK135" s="706" t="str">
        <f t="shared" si="1414"/>
      </c>
      <c r="GL135" s="706" t="str">
        <f t="shared" si="1414"/>
      </c>
      <c r="GM135" s="706" t="str">
        <f t="shared" si="1414"/>
      </c>
      <c r="GN135" s="706" t="str">
        <f t="shared" si="1414"/>
      </c>
      <c r="GO135" s="706" t="str">
        <f t="shared" si="1414"/>
      </c>
      <c r="GP135" s="706" t="str">
        <f t="shared" si="1414"/>
      </c>
      <c r="GQ135" s="706" t="str">
        <f t="shared" si="1414"/>
      </c>
      <c r="GR135" s="706" t="str">
        <f t="shared" si="1414"/>
      </c>
      <c r="GS135" s="706" t="str">
        <f t="shared" si="1414"/>
      </c>
      <c r="GT135" s="706" t="str">
        <f t="shared" si="1414"/>
      </c>
      <c r="GU135" s="706" t="str">
        <f t="shared" si="1414"/>
      </c>
      <c r="GV135" s="706" t="str">
        <f t="shared" si="1414"/>
      </c>
      <c r="GW135" s="706" t="str">
        <f t="shared" si="1414"/>
      </c>
      <c r="GX135" s="706" t="str">
        <f t="shared" si="1414"/>
      </c>
      <c r="GY135" s="706" t="str">
        <f t="shared" ref="GY135" si="1415">GY$10</f>
      </c>
      <c r="GZ135" s="706" t="str">
        <f t="shared" ref="GZ135:HD135" si="1416">GZ$10</f>
      </c>
      <c r="HA135" s="706" t="str">
        <f t="shared" si="1416"/>
      </c>
      <c r="HB135" s="706" t="str">
        <f t="shared" si="1416"/>
      </c>
      <c r="HC135" s="706" t="str">
        <f t="shared" si="1416"/>
      </c>
      <c r="HD135" s="706" t="str">
        <f t="shared" si="1416"/>
      </c>
    </row>
    <row r="136" spans="1:212" s="370" customFormat="1" ht="10.8" thickBot="1">
      <c r="A136" s="946" t="s">
        <v>1222</v>
      </c>
      <c r="B136" s="974"/>
      <c r="C136" s="974"/>
      <c r="D136" s="974"/>
      <c r="E136" s="975"/>
      <c r="F136" s="974"/>
      <c r="G136" s="974"/>
      <c r="H136" s="974"/>
      <c r="I136" s="975"/>
      <c r="J136" s="974"/>
      <c r="K136" s="974"/>
      <c r="L136" s="974"/>
      <c r="M136" s="975"/>
      <c r="N136" s="974"/>
      <c r="O136" s="974"/>
      <c r="P136" s="974"/>
      <c r="Q136" s="975"/>
      <c r="R136" s="974"/>
      <c r="S136" s="974"/>
      <c r="T136" s="974"/>
      <c r="U136" s="975"/>
      <c r="V136" s="974"/>
      <c r="W136" s="974"/>
      <c r="X136" s="974"/>
      <c r="Y136" s="975"/>
      <c r="Z136" s="974"/>
      <c r="AA136" s="974"/>
      <c r="AB136" s="974"/>
      <c r="AC136" s="975"/>
      <c r="AD136" s="974"/>
      <c r="AE136" s="974"/>
      <c r="AF136" s="974"/>
      <c r="AG136" s="975"/>
      <c r="AH136" s="974"/>
      <c r="AI136" s="974"/>
      <c r="AJ136" s="974"/>
      <c r="AK136" s="975"/>
      <c r="AL136" s="974"/>
      <c r="AM136" s="974"/>
      <c r="AN136" s="974"/>
      <c r="AO136" s="975"/>
      <c r="AP136" s="974"/>
      <c r="AQ136" s="974"/>
      <c r="AR136" s="974"/>
      <c r="AS136" s="975"/>
      <c r="AT136" s="974"/>
      <c r="AU136" s="974"/>
      <c r="AV136" s="974"/>
      <c r="AW136" s="975"/>
      <c r="AX136" s="974"/>
      <c r="AY136" s="974"/>
      <c r="AZ136" s="974"/>
      <c r="BA136" s="975"/>
      <c r="BB136" s="974"/>
      <c r="BC136" s="974"/>
      <c r="BD136" s="974"/>
      <c r="BE136" s="975"/>
      <c r="BF136" s="974"/>
      <c r="BG136" s="974"/>
      <c r="BH136" s="974"/>
      <c r="BI136" s="975"/>
      <c r="BJ136" s="974"/>
      <c r="BK136" s="974"/>
      <c r="BL136" s="974"/>
      <c r="BM136" s="975"/>
      <c r="BN136" s="974"/>
      <c r="BO136" s="974"/>
      <c r="BP136" s="974"/>
      <c r="BQ136" s="975"/>
      <c r="BR136" s="974"/>
      <c r="BS136" s="974"/>
      <c r="BT136" s="974"/>
      <c r="BU136" s="975"/>
      <c r="BV136" s="974"/>
      <c r="BW136" s="974"/>
      <c r="BX136" s="974"/>
      <c r="BY136" s="975"/>
      <c r="BZ136" s="974"/>
      <c r="CA136" s="974"/>
      <c r="CB136" s="974"/>
      <c r="CC136" s="948"/>
      <c r="CD136" s="947"/>
      <c r="CE136" s="947"/>
      <c r="CF136" s="947"/>
      <c r="CG136" s="976"/>
      <c r="CH136" s="977"/>
      <c r="CI136" s="977"/>
      <c r="CJ136" s="977"/>
      <c r="CK136" s="976"/>
      <c r="CL136" s="977"/>
      <c r="CM136" s="977"/>
      <c r="CN136" s="977"/>
      <c r="CO136" s="976"/>
      <c r="CP136" s="977"/>
      <c r="CQ136" s="977"/>
      <c r="CR136" s="977"/>
      <c r="CS136" s="976"/>
      <c r="CT136" s="977"/>
      <c r="CU136" s="977"/>
      <c r="CV136" s="977"/>
      <c r="CW136" s="976"/>
      <c r="CX136" s="977">
        <f t="shared" ref="CX136" si="1417">+AVERAGE(CX137,CW137)*CX138*3</f>
      </c>
      <c r="CY136" s="977">
        <f t="shared" ref="CY136" si="1418">+AVERAGE(CY137,CX137)*CY138*3</f>
      </c>
      <c r="CZ136" s="977">
        <f t="shared" ref="CZ136" si="1419">+AVERAGE(CZ137,CY137)*CZ138*3</f>
      </c>
      <c r="DA136" s="976">
        <f t="shared" ref="DA136" si="1420">+AVERAGE(DA137,CZ137)*DA138*3</f>
      </c>
      <c r="DB136" s="977">
        <f t="shared" ref="DB136" si="1421">+AVERAGE(DB137,DA137)*DB138*3</f>
      </c>
      <c r="DC136" s="977">
        <f t="shared" ref="DC136" si="1422">+AVERAGE(DC137,DB137)*DC138*3</f>
      </c>
      <c r="DD136" s="977">
        <f t="shared" ref="DD136" si="1423">+AVERAGE(DD137,DC137)*DD138*3</f>
      </c>
      <c r="DE136" s="976">
        <f t="shared" ref="DE136" si="1424">+AVERAGE(DE137,DD137)*DE138*3</f>
      </c>
      <c r="DF136" s="977">
        <f t="shared" ref="DF136" si="1425">+AVERAGE(DF137,DE137)*DF138*3</f>
      </c>
      <c r="DG136" s="977">
        <f t="shared" ref="DG136" si="1426">+AVERAGE(DG137,DF137)*DG138*3</f>
      </c>
      <c r="DH136" s="977">
        <f t="shared" ref="DH136" si="1427">+AVERAGE(DH137,DG137)*DH138*3</f>
      </c>
      <c r="DI136" s="976">
        <f t="shared" ref="DI136" si="1428">+AVERAGE(DI137,DH137)*DI138*3</f>
      </c>
      <c r="DJ136" s="977">
        <f t="shared" ref="DJ136" si="1429">+AVERAGE(DJ137,DI137)*DJ138*3</f>
      </c>
      <c r="DK136" s="977">
        <f t="shared" ref="DK136" si="1430">+AVERAGE(DK137,DJ137)*DK138*3</f>
      </c>
      <c r="DL136" s="977">
        <f t="shared" ref="DL136" si="1431">+AVERAGE(DL137,DK137)*DL138*3</f>
      </c>
      <c r="DM136" s="976">
        <f t="shared" ref="DM136" si="1432">+AVERAGE(DM137,DL137)*DM138*3</f>
      </c>
      <c r="DN136" s="977">
        <f t="shared" ref="DN136" si="1433">+AVERAGE(DN137,DM137)*DN138*3</f>
      </c>
      <c r="DO136" s="977">
        <f t="shared" ref="DO136" si="1434">+AVERAGE(DO137,DN137)*DO138*3</f>
      </c>
      <c r="DP136" s="977">
        <f t="shared" ref="DP136" si="1435">+AVERAGE(DP137,DO137)*DP138*3</f>
      </c>
      <c r="DQ136" s="976">
        <f t="shared" ref="DQ136" si="1436">+AVERAGE(DQ137,DP137)*DQ138*3</f>
      </c>
      <c r="DR136" s="977">
        <f t="shared" ref="DR136" si="1437">+AVERAGE(DR137,DQ137)*DR138*3</f>
      </c>
      <c r="DS136" s="977">
        <f t="shared" ref="DS136" si="1438">+AVERAGE(DS137,DR137)*DS138*3</f>
      </c>
      <c r="DT136" s="977">
        <f t="shared" ref="DT136" si="1439">+AVERAGE(DT137,DS137)*DT138*3</f>
      </c>
      <c r="DU136" s="979">
        <f t="shared" ref="DU136" si="1440">+AVERAGE(DU137,DT137)*DU138*3</f>
      </c>
      <c r="DV136" s="977">
        <f t="shared" ref="DV136" si="1441">+AVERAGE(DV137,DU137)*DV138*3</f>
      </c>
      <c r="DW136" s="977">
        <f t="shared" ref="DW136" si="1442">+AVERAGE(DW137,DV137)*DW138*3</f>
      </c>
      <c r="DX136" s="977">
        <f t="shared" ref="DX136" si="1443">+AVERAGE(DX137,DW137)*DX138*3</f>
      </c>
      <c r="DY136" s="979">
        <f t="shared" ref="DY136" si="1444">+AVERAGE(DY137,DX137)*DY138*3</f>
      </c>
      <c r="DZ136" s="977">
        <f t="shared" ref="DZ136" si="1445">+AVERAGE(DZ137,DY137)*DZ138*3</f>
      </c>
      <c r="EA136" s="977">
        <f t="shared" ref="EA136" si="1446">+AVERAGE(EA137,DZ137)*EA138*3</f>
      </c>
      <c r="EB136" s="977">
        <f t="shared" ref="EB136" si="1447">+AVERAGE(EB137,EA137)*EB138*3</f>
      </c>
      <c r="EC136" s="979">
        <f t="shared" ref="EC136" si="1448">+AVERAGE(EC137,EB137)*EC138*3</f>
      </c>
      <c r="ED136" s="977">
        <f t="shared" ref="ED136" si="1449">+AVERAGE(ED137,EC137)*ED138*3</f>
      </c>
      <c r="EE136" s="977">
        <f t="shared" ref="EE136" si="1450">+AVERAGE(EE137,ED137)*EE138*3</f>
      </c>
      <c r="EF136" s="977">
        <f t="shared" ref="EF136" si="1451">+AVERAGE(EF137,EE137)*EF138*3</f>
      </c>
      <c r="EG136" s="979">
        <f t="shared" ref="EG136" si="1452">+AVERAGE(EG137,EF137)*EG138*3</f>
      </c>
      <c r="EH136" s="977">
        <f t="shared" ref="EH136" si="1453">+AVERAGE(EH137,EG137)*EH138*3</f>
      </c>
      <c r="EI136" s="977">
        <f t="shared" ref="EI136" si="1454">+AVERAGE(EI137,EH137)*EI138*3</f>
      </c>
      <c r="EJ136" s="977">
        <f t="shared" ref="EJ136" si="1455">+AVERAGE(EJ137,EI137)*EJ138*3</f>
      </c>
      <c r="EK136" s="979">
        <f t="shared" ref="EK136" si="1456">+AVERAGE(EK137,EJ137)*EK138*3</f>
      </c>
      <c r="EM136" s="977"/>
      <c r="EN136" s="977"/>
      <c r="EO136" s="977"/>
      <c r="EP136" s="977"/>
      <c r="EQ136" s="977"/>
      <c r="ER136" s="977"/>
      <c r="ES136" s="977"/>
      <c r="ET136" s="977"/>
      <c r="EU136" s="977"/>
      <c r="EV136" s="977"/>
      <c r="EW136" s="977"/>
      <c r="EX136" s="977"/>
      <c r="EY136" s="977"/>
      <c r="EZ136" s="977"/>
      <c r="FA136" s="977"/>
      <c r="FB136" s="977"/>
      <c r="FC136" s="977"/>
      <c r="FD136" s="977"/>
      <c r="FE136" s="977">
        <f t="shared" ref="FE136" si="1457">SUM(BV136:BY136)</f>
      </c>
      <c r="FF136" s="977">
        <f t="shared" ref="FF136" si="1458">SUM(BZ136:CC136)</f>
      </c>
      <c r="FG136" s="977">
        <f t="shared" ref="FG136" si="1459">SUM(CD136:CG136)</f>
      </c>
      <c r="FH136" s="977">
        <f t="shared" ref="FH136" si="1460">SUM(CH136:CK136)</f>
      </c>
      <c r="FI136" s="977">
        <f t="shared" ref="FI136" si="1461">SUM(CL136:CO136)</f>
      </c>
      <c r="FJ136" s="977">
        <f t="shared" ref="FJ136" si="1462">SUM(CP136:CS136)</f>
      </c>
      <c r="FK136" s="977">
        <f t="shared" ref="FK136" si="1463">SUM(CT136:CW136)</f>
      </c>
      <c r="FL136" s="977">
        <f t="shared" ref="FL136" si="1464">SUM(CX136:DA136)</f>
      </c>
      <c r="FM136" s="977">
        <f t="shared" ref="FM136" si="1465">SUM(DB136:DE136)</f>
      </c>
      <c r="FN136" s="977">
        <f t="shared" ref="FN136" si="1466">SUM(DF136:DI136)</f>
      </c>
      <c r="FO136" s="977">
        <f t="shared" ref="FO136" si="1467">SUM(DJ136:DM136)</f>
      </c>
      <c r="FP136" s="977">
        <f>SUM(DN136:DQ136)</f>
      </c>
      <c r="FQ136" s="977">
        <f>SUM(DR136:DU136)</f>
      </c>
      <c r="FR136" s="977">
        <f>SUM(DV136:DY136)</f>
      </c>
      <c r="FS136" s="977">
        <f>SUM(DZ136:EC136)</f>
      </c>
      <c r="FT136" s="977">
        <f>SUM(ED136:EG136)</f>
      </c>
      <c r="FU136" s="977">
        <f>SUM(EH136:EK136)</f>
      </c>
      <c r="FV136" s="977"/>
      <c r="FW136" s="977"/>
      <c r="FX136" s="977"/>
      <c r="FY136" s="977"/>
      <c r="FZ136" s="977"/>
      <c r="GA136" s="977"/>
      <c r="GB136" s="977"/>
      <c r="GC136" s="977"/>
      <c r="GD136" s="977"/>
      <c r="GE136" s="977"/>
      <c r="GF136" s="977"/>
      <c r="GG136" s="977"/>
      <c r="GH136" s="977"/>
      <c r="GI136" s="977"/>
      <c r="GJ136" s="977"/>
      <c r="GK136" s="977"/>
      <c r="GL136" s="977"/>
      <c r="GM136" s="977"/>
      <c r="GN136" s="977"/>
      <c r="GO136" s="977"/>
      <c r="GP136" s="977"/>
      <c r="GQ136" s="977"/>
      <c r="GR136" s="977"/>
      <c r="GS136" s="977"/>
      <c r="GT136" s="977">
        <f>SUM(CQ136:CT136)</f>
      </c>
      <c r="GU136" s="977">
        <f>SUM(CU136:CX136)</f>
      </c>
      <c r="GV136" s="977">
        <f>SUM(CY136:DB136)</f>
      </c>
      <c r="GW136" s="977">
        <f>SUM(DC136:DF136)</f>
      </c>
      <c r="GX136" s="977">
        <f>SUM(DG136:DJ136)</f>
      </c>
      <c r="GY136" s="977">
        <f>SUM(DK136:DN136)</f>
      </c>
      <c r="GZ136" s="977">
        <f>SUM(DO136:DR136)</f>
      </c>
      <c r="HA136" s="977">
        <f>SUM(DS136:DV136)</f>
      </c>
      <c r="HB136" s="977">
        <f>SUM(DW136:DZ136)</f>
      </c>
      <c r="HC136" s="977">
        <f>SUM(EA136:ED136)</f>
      </c>
      <c r="HD136" s="977">
        <f>SUM(EE136:EH136)</f>
      </c>
    </row>
    <row r="137" spans="1:212" s="970" customFormat="1" ht="10.8" thickTop="1">
      <c r="A137" s="980" t="s">
        <v>1203</v>
      </c>
      <c r="B137" s="967"/>
      <c r="C137" s="967"/>
      <c r="D137" s="967"/>
      <c r="E137" s="966"/>
      <c r="F137" s="967"/>
      <c r="G137" s="967"/>
      <c r="H137" s="967"/>
      <c r="I137" s="966"/>
      <c r="J137" s="967"/>
      <c r="K137" s="967"/>
      <c r="L137" s="967"/>
      <c r="M137" s="966"/>
      <c r="N137" s="967"/>
      <c r="O137" s="967"/>
      <c r="P137" s="967"/>
      <c r="Q137" s="966"/>
      <c r="R137" s="967"/>
      <c r="S137" s="967"/>
      <c r="T137" s="967"/>
      <c r="U137" s="966"/>
      <c r="V137" s="967"/>
      <c r="W137" s="967"/>
      <c r="X137" s="967"/>
      <c r="Y137" s="966"/>
      <c r="Z137" s="967"/>
      <c r="AA137" s="967"/>
      <c r="AB137" s="967"/>
      <c r="AC137" s="966"/>
      <c r="AD137" s="967"/>
      <c r="AE137" s="967"/>
      <c r="AF137" s="967"/>
      <c r="AG137" s="966"/>
      <c r="AH137" s="967"/>
      <c r="AI137" s="967"/>
      <c r="AJ137" s="967"/>
      <c r="AK137" s="966"/>
      <c r="AL137" s="967"/>
      <c r="AM137" s="967"/>
      <c r="AN137" s="967"/>
      <c r="AO137" s="966"/>
      <c r="AP137" s="967"/>
      <c r="AQ137" s="967"/>
      <c r="AR137" s="967"/>
      <c r="AS137" s="966"/>
      <c r="AT137" s="967"/>
      <c r="AU137" s="967"/>
      <c r="AV137" s="967"/>
      <c r="AW137" s="966"/>
      <c r="AX137" s="967"/>
      <c r="AY137" s="967"/>
      <c r="AZ137" s="967"/>
      <c r="BA137" s="966"/>
      <c r="BB137" s="967"/>
      <c r="BC137" s="967"/>
      <c r="BD137" s="967"/>
      <c r="BE137" s="966"/>
      <c r="BF137" s="967"/>
      <c r="BG137" s="967"/>
      <c r="BH137" s="967"/>
      <c r="BI137" s="966"/>
      <c r="BJ137" s="967"/>
      <c r="BK137" s="967"/>
      <c r="BL137" s="967"/>
      <c r="BM137" s="966"/>
      <c r="BN137" s="967"/>
      <c r="BO137" s="967"/>
      <c r="BP137" s="967"/>
      <c r="BQ137" s="966"/>
      <c r="BR137" s="967"/>
      <c r="BS137" s="967"/>
      <c r="BT137" s="967"/>
      <c r="BU137" s="966"/>
      <c r="BV137" s="967"/>
      <c r="BW137" s="967"/>
      <c r="BX137" s="967"/>
      <c r="BY137" s="966"/>
      <c r="BZ137" s="967"/>
      <c r="CA137" s="967"/>
      <c r="CB137" s="967"/>
      <c r="CC137" s="966"/>
      <c r="CD137" s="967"/>
      <c r="CE137" s="967"/>
      <c r="CF137" s="967"/>
      <c r="CG137" s="966"/>
      <c r="CH137" s="967"/>
      <c r="CI137" s="967"/>
      <c r="CJ137" s="967"/>
      <c r="CK137" s="966"/>
      <c r="CL137" s="967"/>
      <c r="CM137" s="967"/>
      <c r="CN137" s="967"/>
      <c r="CO137" s="966"/>
      <c r="CS137" s="971"/>
      <c r="CW137" s="971"/>
      <c r="CX137" s="970">
        <f t="shared" ref="CX137:DU137" si="1468">CW137+CX139</f>
      </c>
      <c r="CY137" s="970">
        <f t="shared" si="1468"/>
      </c>
      <c r="CZ137" s="970">
        <f t="shared" si="1468"/>
      </c>
      <c r="DA137" s="971">
        <f t="shared" si="1468"/>
      </c>
      <c r="DB137" s="970">
        <f t="shared" si="1468"/>
      </c>
      <c r="DC137" s="970">
        <f t="shared" si="1468"/>
      </c>
      <c r="DD137" s="970">
        <f t="shared" si="1468"/>
      </c>
      <c r="DE137" s="971">
        <f t="shared" si="1468"/>
      </c>
      <c r="DF137" s="970">
        <f t="shared" si="1468"/>
      </c>
      <c r="DG137" s="970">
        <f t="shared" si="1468"/>
      </c>
      <c r="DH137" s="970">
        <f t="shared" si="1468"/>
      </c>
      <c r="DI137" s="971">
        <f t="shared" si="1468"/>
      </c>
      <c r="DJ137" s="970">
        <f t="shared" si="1468"/>
      </c>
      <c r="DK137" s="970">
        <f t="shared" si="1468"/>
      </c>
      <c r="DL137" s="970">
        <f t="shared" si="1468"/>
      </c>
      <c r="DM137" s="971">
        <f t="shared" si="1468"/>
      </c>
      <c r="DN137" s="970">
        <f t="shared" si="1468"/>
      </c>
      <c r="DO137" s="970">
        <f t="shared" si="1468"/>
      </c>
      <c r="DP137" s="970">
        <f t="shared" si="1468"/>
      </c>
      <c r="DQ137" s="971">
        <f t="shared" si="1468"/>
      </c>
      <c r="DR137" s="970">
        <f t="shared" si="1468"/>
      </c>
      <c r="DS137" s="970">
        <f t="shared" si="1468"/>
      </c>
      <c r="DT137" s="970">
        <f t="shared" si="1468"/>
      </c>
      <c r="DU137" s="981">
        <f t="shared" si="1468"/>
      </c>
      <c r="DV137" s="970">
        <f t="shared" ref="DV137" si="1469">DU137+DV139</f>
      </c>
      <c r="DW137" s="970">
        <f t="shared" ref="DW137" si="1470">DV137+DW139</f>
      </c>
      <c r="DX137" s="970">
        <f t="shared" ref="DX137" si="1471">DW137+DX139</f>
      </c>
      <c r="DY137" s="981">
        <f t="shared" ref="DY137" si="1472">DX137+DY139</f>
      </c>
      <c r="DZ137" s="970">
        <f t="shared" ref="DZ137" si="1473">DY137+DZ139</f>
      </c>
      <c r="EA137" s="970">
        <f t="shared" ref="EA137" si="1474">DZ137+EA139</f>
      </c>
      <c r="EB137" s="970">
        <f t="shared" ref="EB137" si="1475">EA137+EB139</f>
      </c>
      <c r="EC137" s="981">
        <f t="shared" ref="EC137" si="1476">EB137+EC139</f>
      </c>
      <c r="ED137" s="970">
        <f t="shared" ref="ED137" si="1477">EC137+ED139</f>
      </c>
      <c r="EE137" s="970">
        <f t="shared" ref="EE137" si="1478">ED137+EE139</f>
      </c>
      <c r="EF137" s="970">
        <f t="shared" ref="EF137" si="1479">EE137+EF139</f>
      </c>
      <c r="EG137" s="981">
        <f t="shared" ref="EG137" si="1480">EF137+EG139</f>
      </c>
      <c r="EH137" s="970">
        <f t="shared" ref="EH137" si="1481">EG137+EH139</f>
      </c>
      <c r="EI137" s="970">
        <f t="shared" ref="EI137" si="1482">EH137+EI139</f>
      </c>
      <c r="EJ137" s="970">
        <f t="shared" ref="EJ137" si="1483">EI137+EJ139</f>
      </c>
      <c r="EK137" s="981">
        <f t="shared" ref="EK137" si="1484">EJ137+EK139</f>
      </c>
      <c r="FG137" s="972">
        <f>CG137</f>
      </c>
      <c r="FH137" s="972">
        <f>CK137</f>
      </c>
      <c r="FI137" s="972">
        <f>CO137</f>
      </c>
      <c r="FJ137" s="972">
        <f>CS137</f>
      </c>
      <c r="FK137" s="972">
        <f>CW137</f>
      </c>
      <c r="FL137" s="972">
        <f>DA137</f>
      </c>
      <c r="FM137" s="972">
        <f>DE137</f>
      </c>
      <c r="FN137" s="972">
        <f>DI137</f>
      </c>
      <c r="FO137" s="972">
        <f>DM137</f>
      </c>
      <c r="FP137" s="972">
        <f>DQ137</f>
      </c>
      <c r="FQ137" s="972">
        <f>DU137</f>
      </c>
      <c r="FR137" s="972">
        <f>DY137</f>
      </c>
      <c r="FS137" s="972">
        <f>EC137</f>
      </c>
      <c r="FT137" s="972">
        <f>EG137</f>
      </c>
      <c r="FU137" s="972">
        <f>EK137</f>
      </c>
      <c r="GU137" s="970">
        <f>CX137</f>
      </c>
      <c r="GV137" s="970">
        <f>DB137</f>
      </c>
      <c r="GW137" s="970">
        <f>DF137</f>
      </c>
      <c r="GX137" s="970">
        <f>DJ137</f>
      </c>
      <c r="GY137" s="970">
        <f>DN137</f>
      </c>
      <c r="GZ137" s="970">
        <f>DR137</f>
      </c>
      <c r="HA137" s="970">
        <f t="shared" ref="HA137:HC137" si="1485">DS137</f>
      </c>
      <c r="HB137" s="970">
        <f>DZ137</f>
      </c>
      <c r="HC137" s="970">
        <f t="shared" si="1485"/>
      </c>
      <c r="HD137" s="970">
        <f>EH137</f>
      </c>
    </row>
    <row r="138" spans="1:212" s="943" customFormat="1" ht="10.199999999999999">
      <c r="A138" s="982" t="s">
        <v>823</v>
      </c>
      <c r="B138" s="942"/>
      <c r="C138" s="942"/>
      <c r="D138" s="942"/>
      <c r="E138" s="941"/>
      <c r="F138" s="942"/>
      <c r="G138" s="942"/>
      <c r="H138" s="942"/>
      <c r="I138" s="941"/>
      <c r="J138" s="942"/>
      <c r="K138" s="942"/>
      <c r="L138" s="942"/>
      <c r="M138" s="941"/>
      <c r="N138" s="942"/>
      <c r="O138" s="942"/>
      <c r="P138" s="942"/>
      <c r="Q138" s="941"/>
      <c r="R138" s="942"/>
      <c r="S138" s="942"/>
      <c r="T138" s="942"/>
      <c r="U138" s="941"/>
      <c r="V138" s="942"/>
      <c r="W138" s="942"/>
      <c r="X138" s="942"/>
      <c r="Y138" s="941"/>
      <c r="Z138" s="942"/>
      <c r="AA138" s="942"/>
      <c r="AB138" s="942"/>
      <c r="AC138" s="941"/>
      <c r="AD138" s="942"/>
      <c r="AE138" s="942"/>
      <c r="AF138" s="942"/>
      <c r="AG138" s="941"/>
      <c r="AH138" s="942"/>
      <c r="AI138" s="942"/>
      <c r="AJ138" s="942"/>
      <c r="AK138" s="941"/>
      <c r="AL138" s="942"/>
      <c r="AM138" s="942"/>
      <c r="AN138" s="942"/>
      <c r="AO138" s="941"/>
      <c r="AP138" s="942"/>
      <c r="AQ138" s="942"/>
      <c r="AR138" s="942"/>
      <c r="AS138" s="941"/>
      <c r="AT138" s="942"/>
      <c r="AU138" s="942"/>
      <c r="AV138" s="942"/>
      <c r="AW138" s="941"/>
      <c r="AX138" s="942"/>
      <c r="AY138" s="942"/>
      <c r="AZ138" s="942"/>
      <c r="BA138" s="941"/>
      <c r="BB138" s="942"/>
      <c r="BC138" s="942"/>
      <c r="BD138" s="942"/>
      <c r="BE138" s="941"/>
      <c r="BF138" s="942"/>
      <c r="BG138" s="942"/>
      <c r="BH138" s="942"/>
      <c r="BI138" s="941"/>
      <c r="BJ138" s="942"/>
      <c r="BK138" s="942"/>
      <c r="BL138" s="942"/>
      <c r="BM138" s="941"/>
      <c r="BN138" s="942"/>
      <c r="BO138" s="942"/>
      <c r="BP138" s="942"/>
      <c r="BQ138" s="941"/>
      <c r="BR138" s="942"/>
      <c r="BS138" s="942"/>
      <c r="BT138" s="942"/>
      <c r="BU138" s="941"/>
      <c r="BV138" s="942"/>
      <c r="BW138" s="942"/>
      <c r="BX138" s="942"/>
      <c r="BY138" s="941"/>
      <c r="BZ138" s="942"/>
      <c r="CA138" s="942"/>
      <c r="CB138" s="942"/>
      <c r="CC138" s="941"/>
      <c r="CD138" s="942"/>
      <c r="CE138" s="942"/>
      <c r="CF138" s="942"/>
      <c r="CG138" s="941"/>
      <c r="CH138" s="942"/>
      <c r="CI138" s="942"/>
      <c r="CJ138" s="942"/>
      <c r="CK138" s="941"/>
      <c r="CL138" s="942"/>
      <c r="CM138" s="942"/>
      <c r="CN138" s="942"/>
      <c r="CO138" s="941"/>
      <c r="CP138" s="942"/>
      <c r="CQ138" s="942"/>
      <c r="CR138" s="942"/>
      <c r="CS138" s="941"/>
      <c r="CT138" s="942"/>
      <c r="CU138" s="942"/>
      <c r="CV138" s="942"/>
      <c r="CW138" s="941"/>
      <c r="CX138" s="944">
        <v>7.5</v>
      </c>
      <c r="CY138" s="944">
        <f>CX138-0.05</f>
      </c>
      <c r="CZ138" s="944">
        <f t="shared" ref="CZ138:DT138" si="1486">CY138-0.05</f>
      </c>
      <c r="DA138" s="945">
        <f t="shared" si="1486"/>
      </c>
      <c r="DB138" s="944">
        <f t="shared" si="1486"/>
      </c>
      <c r="DC138" s="944">
        <f t="shared" si="1486"/>
      </c>
      <c r="DD138" s="944">
        <f t="shared" si="1486"/>
      </c>
      <c r="DE138" s="945">
        <f t="shared" si="1486"/>
      </c>
      <c r="DF138" s="944">
        <f>(DE138*14/13)-0.05</f>
      </c>
      <c r="DG138" s="944">
        <f>(DF138*13/14)-0.05</f>
      </c>
      <c r="DH138" s="944">
        <f t="shared" si="1486"/>
      </c>
      <c r="DI138" s="945">
        <f t="shared" si="1486"/>
      </c>
      <c r="DJ138" s="944">
        <f t="shared" si="1486"/>
      </c>
      <c r="DK138" s="944">
        <f t="shared" si="1486"/>
      </c>
      <c r="DL138" s="944">
        <f t="shared" si="1486"/>
      </c>
      <c r="DM138" s="945">
        <f t="shared" si="1486"/>
      </c>
      <c r="DN138" s="944">
        <f t="shared" si="1486"/>
      </c>
      <c r="DO138" s="944">
        <f t="shared" si="1486"/>
      </c>
      <c r="DP138" s="944">
        <f t="shared" si="1486"/>
      </c>
      <c r="DQ138" s="945">
        <f t="shared" si="1486"/>
      </c>
      <c r="DR138" s="944">
        <f t="shared" si="1486"/>
      </c>
      <c r="DS138" s="944">
        <f t="shared" si="1486"/>
      </c>
      <c r="DT138" s="944">
        <f t="shared" si="1486"/>
      </c>
      <c r="DU138" s="983">
        <f>DT138-0.05</f>
      </c>
      <c r="DV138" s="944">
        <f t="shared" ref="DV138" si="1487">DU138-0.05</f>
      </c>
      <c r="DW138" s="944">
        <f t="shared" ref="DW138" si="1488">DV138-0.05</f>
      </c>
      <c r="DX138" s="944">
        <f t="shared" ref="DX138" si="1489">DW138-0.05</f>
      </c>
      <c r="DY138" s="983">
        <f>DX138-0.05</f>
      </c>
      <c r="DZ138" s="944">
        <f t="shared" ref="DZ138" si="1490">DY138-0.05</f>
      </c>
      <c r="EA138" s="944">
        <f t="shared" ref="EA138" si="1491">DZ138-0.05</f>
      </c>
      <c r="EB138" s="944">
        <f t="shared" ref="EB138" si="1492">EA138-0.05</f>
      </c>
      <c r="EC138" s="983">
        <f>EB138-0.05</f>
      </c>
      <c r="ED138" s="944">
        <f t="shared" ref="ED138" si="1493">EC138-0.05</f>
      </c>
      <c r="EE138" s="944">
        <f t="shared" ref="EE138" si="1494">ED138-0.05</f>
      </c>
      <c r="EF138" s="944">
        <f t="shared" ref="EF138" si="1495">EE138-0.05</f>
      </c>
      <c r="EG138" s="983">
        <f>EF138-0.05</f>
      </c>
      <c r="EH138" s="944">
        <f t="shared" ref="EH138" si="1496">EG138-0.05</f>
      </c>
      <c r="EI138" s="944">
        <f t="shared" ref="EI138" si="1497">EH138-0.05</f>
      </c>
      <c r="EJ138" s="944">
        <f t="shared" ref="EJ138" si="1498">EI138-0.05</f>
      </c>
      <c r="EK138" s="983">
        <f>EJ138-0.05</f>
      </c>
      <c r="EM138" s="944"/>
      <c r="EN138" s="944"/>
      <c r="EO138" s="944"/>
      <c r="EP138" s="944"/>
      <c r="EQ138" s="944"/>
      <c r="ER138" s="944"/>
      <c r="ES138" s="944"/>
      <c r="ET138" s="944"/>
      <c r="EU138" s="944"/>
      <c r="EV138" s="944"/>
      <c r="EW138" s="944"/>
      <c r="EX138" s="944"/>
      <c r="EY138" s="944"/>
      <c r="EZ138" s="944"/>
      <c r="FA138" s="944"/>
      <c r="FB138" s="944"/>
      <c r="FC138" s="944"/>
      <c r="FD138" s="944"/>
      <c r="FE138" s="944"/>
      <c r="FF138" s="944"/>
      <c r="FG138" s="944"/>
      <c r="FH138" s="2264"/>
      <c r="FI138" s="2264"/>
      <c r="FJ138" s="2264"/>
      <c r="FK138" s="2264"/>
      <c r="FL138" s="1467">
        <f t="shared" ref="FL138:FP138" si="1499">FL136/AVERAGE(FK137:FL137)/12</f>
      </c>
      <c r="FM138" s="1467">
        <f t="shared" si="1499"/>
      </c>
      <c r="FN138" s="1467">
        <f t="shared" si="1499"/>
      </c>
      <c r="FO138" s="1467">
        <f t="shared" si="1499"/>
      </c>
      <c r="FP138" s="1467">
        <f t="shared" si="1499"/>
      </c>
      <c r="FQ138" s="1467">
        <f>FQ136/AVERAGE(FP137:FQ137)/12</f>
      </c>
      <c r="FR138" s="1467">
        <f t="shared" ref="FR138:FU138" si="1500">FR136/AVERAGE(FQ137:FR137)/12</f>
      </c>
      <c r="FS138" s="1467">
        <f t="shared" si="1500"/>
      </c>
      <c r="FT138" s="1467">
        <f t="shared" si="1500"/>
      </c>
      <c r="FU138" s="1467">
        <f t="shared" si="1500"/>
      </c>
      <c r="FV138" s="942"/>
      <c r="FW138" s="944"/>
      <c r="FX138" s="944"/>
      <c r="FY138" s="944"/>
      <c r="FZ138" s="944"/>
      <c r="GA138" s="944"/>
      <c r="GB138" s="944"/>
      <c r="GC138" s="944"/>
      <c r="GD138" s="944"/>
      <c r="GE138" s="944"/>
      <c r="GF138" s="944"/>
      <c r="GG138" s="944"/>
      <c r="GH138" s="944"/>
      <c r="GI138" s="944"/>
      <c r="GJ138" s="944"/>
      <c r="GK138" s="944"/>
      <c r="GL138" s="944"/>
      <c r="GM138" s="944"/>
      <c r="GN138" s="944"/>
      <c r="GO138" s="944"/>
      <c r="GP138" s="1467"/>
      <c r="GQ138" s="1467"/>
      <c r="GR138" s="1467"/>
      <c r="GS138" s="1467"/>
      <c r="GT138" s="1467"/>
      <c r="GU138" s="1467">
        <f t="shared" ref="GU138" si="1501">GU136/AVERAGE(GT137:GU137)/12</f>
      </c>
      <c r="GV138" s="1467">
        <f t="shared" ref="GV138" si="1502">GV136/AVERAGE(GU137:GV137)/12</f>
      </c>
      <c r="GW138" s="1467">
        <f t="shared" ref="GW138" si="1503">GW136/AVERAGE(GV137:GW137)/12</f>
      </c>
      <c r="GX138" s="1467">
        <f t="shared" ref="GX138" si="1504">GX136/AVERAGE(GW137:GX137)/12</f>
      </c>
      <c r="GY138" s="1467">
        <f t="shared" ref="GY138" si="1505">GY136/AVERAGE(GX137:GY137)/12</f>
      </c>
      <c r="GZ138" s="1467">
        <f>GZ136/AVERAGE(GY137:GZ137)/12</f>
      </c>
      <c r="HA138" s="1467">
        <f t="shared" ref="HA138:HD138" si="1506">HA136/AVERAGE(GZ137:HA137)/12</f>
      </c>
      <c r="HB138" s="1467">
        <f t="shared" si="1506"/>
      </c>
      <c r="HC138" s="1467">
        <f t="shared" si="1506"/>
      </c>
      <c r="HD138" s="1467">
        <f t="shared" si="1506"/>
      </c>
    </row>
    <row r="139" spans="1:212" s="970" customFormat="1" ht="10.199999999999999">
      <c r="A139" s="984" t="s">
        <v>1223</v>
      </c>
      <c r="B139" s="985"/>
      <c r="C139" s="985"/>
      <c r="D139" s="985"/>
      <c r="E139" s="986"/>
      <c r="F139" s="985"/>
      <c r="G139" s="985"/>
      <c r="H139" s="985"/>
      <c r="I139" s="986"/>
      <c r="J139" s="985"/>
      <c r="K139" s="985"/>
      <c r="L139" s="985"/>
      <c r="M139" s="986"/>
      <c r="N139" s="985"/>
      <c r="O139" s="985"/>
      <c r="P139" s="985"/>
      <c r="Q139" s="986"/>
      <c r="R139" s="985"/>
      <c r="S139" s="985"/>
      <c r="T139" s="985"/>
      <c r="U139" s="986"/>
      <c r="V139" s="985"/>
      <c r="W139" s="985"/>
      <c r="X139" s="985"/>
      <c r="Y139" s="986"/>
      <c r="Z139" s="985"/>
      <c r="AA139" s="985"/>
      <c r="AB139" s="985"/>
      <c r="AC139" s="986"/>
      <c r="AD139" s="985"/>
      <c r="AE139" s="985"/>
      <c r="AF139" s="985"/>
      <c r="AG139" s="986"/>
      <c r="AH139" s="985"/>
      <c r="AI139" s="985"/>
      <c r="AJ139" s="985"/>
      <c r="AK139" s="986"/>
      <c r="AL139" s="985"/>
      <c r="AM139" s="985"/>
      <c r="AN139" s="985"/>
      <c r="AO139" s="986"/>
      <c r="AP139" s="985"/>
      <c r="AQ139" s="985"/>
      <c r="AR139" s="985"/>
      <c r="AS139" s="986"/>
      <c r="AT139" s="985"/>
      <c r="AU139" s="985"/>
      <c r="AV139" s="985"/>
      <c r="AW139" s="986"/>
      <c r="AX139" s="985"/>
      <c r="AY139" s="985"/>
      <c r="AZ139" s="985"/>
      <c r="BA139" s="986"/>
      <c r="BB139" s="985"/>
      <c r="BC139" s="985"/>
      <c r="BD139" s="985"/>
      <c r="BE139" s="986"/>
      <c r="BF139" s="985"/>
      <c r="BG139" s="985"/>
      <c r="BH139" s="985"/>
      <c r="BI139" s="986"/>
      <c r="BJ139" s="985"/>
      <c r="BK139" s="985"/>
      <c r="BL139" s="985"/>
      <c r="BM139" s="986"/>
      <c r="BN139" s="985"/>
      <c r="BO139" s="985"/>
      <c r="BP139" s="985"/>
      <c r="BQ139" s="986"/>
      <c r="BR139" s="985"/>
      <c r="BS139" s="985"/>
      <c r="BT139" s="985"/>
      <c r="BU139" s="986"/>
      <c r="BV139" s="987"/>
      <c r="BW139" s="985"/>
      <c r="BX139" s="985"/>
      <c r="BY139" s="986"/>
      <c r="BZ139" s="987"/>
      <c r="CA139" s="985"/>
      <c r="CB139" s="985"/>
      <c r="CC139" s="986"/>
      <c r="CD139" s="987"/>
      <c r="CE139" s="985"/>
      <c r="CF139" s="985"/>
      <c r="CG139" s="986"/>
      <c r="CH139" s="987"/>
      <c r="CI139" s="985"/>
      <c r="CJ139" s="985"/>
      <c r="CK139" s="986"/>
      <c r="CL139" s="987"/>
      <c r="CM139" s="985"/>
      <c r="CN139" s="985"/>
      <c r="CO139" s="986"/>
      <c r="CP139" s="1042"/>
      <c r="CQ139" s="1042"/>
      <c r="CR139" s="1042"/>
      <c r="CS139" s="1043"/>
      <c r="CT139" s="1042"/>
      <c r="CU139" s="1042"/>
      <c r="CV139" s="1042"/>
      <c r="CW139" s="1043"/>
      <c r="CX139" s="988">
        <v>0.1</v>
      </c>
      <c r="CY139" s="988">
        <v>0.1</v>
      </c>
      <c r="CZ139" s="988">
        <v>0.1</v>
      </c>
      <c r="DA139" s="989">
        <v>0.1</v>
      </c>
      <c r="DB139" s="988">
        <v>0.1</v>
      </c>
      <c r="DC139" s="988">
        <v>0.1</v>
      </c>
      <c r="DD139" s="1041">
        <v>0.1</v>
      </c>
      <c r="DE139" s="988">
        <v>0.1</v>
      </c>
      <c r="DF139" s="990">
        <v>0.5</v>
      </c>
      <c r="DG139" s="988">
        <v>0.5</v>
      </c>
      <c r="DH139" s="988">
        <v>0.5</v>
      </c>
      <c r="DI139" s="989">
        <v>0.5</v>
      </c>
      <c r="DJ139" s="990">
        <v>0.5</v>
      </c>
      <c r="DK139" s="988">
        <v>0.5</v>
      </c>
      <c r="DL139" s="988">
        <v>0.5</v>
      </c>
      <c r="DM139" s="989">
        <v>0.5</v>
      </c>
      <c r="DN139" s="990">
        <v>0.5</v>
      </c>
      <c r="DO139" s="988">
        <v>0.5</v>
      </c>
      <c r="DP139" s="988">
        <v>0.5</v>
      </c>
      <c r="DQ139" s="989">
        <v>0.5</v>
      </c>
      <c r="DR139" s="990">
        <v>0.5</v>
      </c>
      <c r="DS139" s="988">
        <v>0.5</v>
      </c>
      <c r="DT139" s="988">
        <v>0.5</v>
      </c>
      <c r="DU139" s="991">
        <v>0.5</v>
      </c>
      <c r="DV139" s="990">
        <v>0.5</v>
      </c>
      <c r="DW139" s="988">
        <v>0.5</v>
      </c>
      <c r="DX139" s="988">
        <v>0.5</v>
      </c>
      <c r="DY139" s="991">
        <v>0.5</v>
      </c>
      <c r="DZ139" s="990">
        <v>0.5</v>
      </c>
      <c r="EA139" s="988">
        <v>0.5</v>
      </c>
      <c r="EB139" s="988">
        <v>0.5</v>
      </c>
      <c r="EC139" s="991">
        <v>0.5</v>
      </c>
      <c r="ED139" s="990">
        <v>0.5</v>
      </c>
      <c r="EE139" s="988">
        <v>0.5</v>
      </c>
      <c r="EF139" s="988">
        <v>0.5</v>
      </c>
      <c r="EG139" s="991">
        <v>0.5</v>
      </c>
      <c r="EH139" s="990">
        <v>0.5</v>
      </c>
      <c r="EI139" s="988">
        <v>0.5</v>
      </c>
      <c r="EJ139" s="988">
        <v>0.5</v>
      </c>
      <c r="EK139" s="991">
        <v>0.5</v>
      </c>
      <c r="EM139" s="988"/>
      <c r="EN139" s="988"/>
      <c r="EO139" s="988"/>
      <c r="EP139" s="988"/>
      <c r="EQ139" s="988"/>
      <c r="ER139" s="988"/>
      <c r="ES139" s="988"/>
      <c r="ET139" s="988"/>
      <c r="EU139" s="988"/>
      <c r="EV139" s="988"/>
      <c r="EW139" s="988"/>
      <c r="EX139" s="988"/>
      <c r="EY139" s="988"/>
      <c r="EZ139" s="988"/>
      <c r="FA139" s="988"/>
      <c r="FB139" s="988"/>
      <c r="FC139" s="988"/>
      <c r="FD139" s="988"/>
      <c r="FE139" s="985">
        <f t="shared" ref="FE139" si="1507">SUM(BV139:BY139)</f>
      </c>
      <c r="FF139" s="985">
        <f t="shared" ref="FF139" si="1508">SUM(BZ139:CC139)</f>
      </c>
      <c r="FG139" s="985">
        <f t="shared" ref="FG139" si="1509">SUM(CD139:CG139)</f>
      </c>
      <c r="FH139" s="985">
        <f t="shared" ref="FH139" si="1510">SUM(CH139:CK139)</f>
      </c>
      <c r="FI139" s="985">
        <f t="shared" ref="FI139" si="1511">SUM(CL139:CO139)</f>
      </c>
      <c r="FJ139" s="985">
        <f t="shared" ref="FJ139" si="1512">SUM(CP139:CS139)</f>
      </c>
      <c r="FK139" s="985">
        <f t="shared" ref="FK139" si="1513">SUM(CT139:CW139)</f>
      </c>
      <c r="FL139" s="985">
        <f t="shared" ref="FL139" si="1514">SUM(CX139:DA139)</f>
      </c>
      <c r="FM139" s="985">
        <f t="shared" ref="FM139" si="1515">SUM(DB139:DE139)</f>
      </c>
      <c r="FN139" s="985">
        <f t="shared" ref="FN139" si="1516">SUM(DF139:DI139)</f>
      </c>
      <c r="FO139" s="985">
        <f t="shared" ref="FO139" si="1517">SUM(DJ139:DM139)</f>
      </c>
      <c r="FP139" s="985">
        <f>SUM(DN139:DQ139)</f>
      </c>
      <c r="FQ139" s="985">
        <f>SUM(DR139:DU139)</f>
      </c>
      <c r="FR139" s="985">
        <f>SUM(DV139:DY139)</f>
      </c>
      <c r="FS139" s="985">
        <f>SUM(DZ139:EC139)</f>
      </c>
      <c r="FT139" s="985">
        <f>SUM(ED139:EG139)</f>
      </c>
      <c r="FU139" s="985">
        <f>SUM(EH139:EK139)</f>
      </c>
      <c r="FV139" s="1492"/>
      <c r="FW139" s="988"/>
      <c r="FX139" s="988"/>
      <c r="FY139" s="988"/>
      <c r="FZ139" s="988"/>
      <c r="GA139" s="988"/>
      <c r="GB139" s="988"/>
      <c r="GC139" s="988"/>
      <c r="GD139" s="988"/>
      <c r="GE139" s="988"/>
      <c r="GF139" s="988"/>
      <c r="GG139" s="988"/>
      <c r="GH139" s="988"/>
      <c r="GI139" s="988"/>
      <c r="GJ139" s="988"/>
      <c r="GK139" s="988"/>
      <c r="GL139" s="988"/>
      <c r="GM139" s="988"/>
      <c r="GN139" s="988"/>
      <c r="GO139" s="988"/>
      <c r="GP139" s="2278"/>
      <c r="GQ139" s="2278"/>
      <c r="GR139" s="2278"/>
      <c r="GS139" s="2278"/>
      <c r="GT139" s="2278"/>
      <c r="GU139" s="2278">
        <f t="shared" ref="GU139:GY139" si="1518">GU137-GT137</f>
      </c>
      <c r="GV139" s="2278">
        <f t="shared" si="1518"/>
      </c>
      <c r="GW139" s="2278">
        <f t="shared" si="1518"/>
      </c>
      <c r="GX139" s="2278">
        <f t="shared" si="1518"/>
      </c>
      <c r="GY139" s="2278">
        <f t="shared" si="1518"/>
      </c>
      <c r="GZ139" s="2278">
        <f>GZ137-GY137</f>
      </c>
      <c r="HA139" s="2278">
        <f t="shared" ref="HA139:HD139" si="1519">HA137-GZ137</f>
      </c>
      <c r="HB139" s="2278">
        <f t="shared" si="1519"/>
      </c>
      <c r="HC139" s="2278">
        <f t="shared" si="1519"/>
      </c>
      <c r="HD139" s="2278">
        <f t="shared" si="1519"/>
      </c>
    </row>
    <row r="140" spans="1:212" s="89" customFormat="1" ht="10.199999999999999">
      <c r="A140" s="152"/>
      <c r="E140" s="260"/>
      <c r="I140" s="260"/>
      <c r="M140" s="260"/>
      <c r="Q140" s="260"/>
      <c r="U140" s="260"/>
      <c r="Y140" s="260"/>
      <c r="AC140" s="260"/>
      <c r="AG140" s="260"/>
      <c r="AJ140" s="72"/>
      <c r="AK140" s="227"/>
      <c r="AL140" s="72"/>
      <c r="AM140" s="72"/>
      <c r="AN140" s="72"/>
      <c r="AO140" s="227"/>
      <c r="AP140" s="72"/>
      <c r="AQ140" s="72"/>
      <c r="AR140" s="72"/>
      <c r="AS140" s="227"/>
      <c r="AT140" s="72"/>
      <c r="AU140" s="72"/>
      <c r="AV140" s="72"/>
      <c r="AW140" s="227"/>
      <c r="AX140" s="72"/>
      <c r="AY140" s="72"/>
      <c r="AZ140" s="72"/>
      <c r="BA140" s="227"/>
      <c r="BB140" s="72"/>
      <c r="BC140" s="72"/>
      <c r="BD140" s="72"/>
      <c r="BE140" s="227"/>
      <c r="BF140" s="72"/>
      <c r="BG140" s="72"/>
      <c r="BH140" s="72"/>
      <c r="BI140" s="227"/>
      <c r="BJ140" s="72"/>
      <c r="BK140" s="72"/>
      <c r="BL140" s="72"/>
      <c r="BM140" s="227"/>
      <c r="BN140" s="72"/>
      <c r="BO140" s="72"/>
      <c r="BP140" s="72"/>
      <c r="BQ140" s="227"/>
      <c r="BR140" s="72"/>
      <c r="BS140" s="72"/>
      <c r="BT140" s="72"/>
      <c r="BU140" s="227"/>
      <c r="BV140" s="355"/>
      <c r="BW140" s="72"/>
      <c r="BX140" s="72"/>
      <c r="BY140" s="227"/>
      <c r="BZ140" s="355"/>
      <c r="CA140" s="72"/>
      <c r="CB140" s="72"/>
      <c r="CC140" s="227"/>
      <c r="CD140" s="355"/>
      <c r="CE140" s="72"/>
      <c r="CF140" s="72"/>
      <c r="CG140" s="227"/>
      <c r="CH140" s="355"/>
      <c r="CI140" s="72"/>
      <c r="CJ140" s="72"/>
      <c r="CK140" s="227"/>
      <c r="CL140" s="355"/>
      <c r="CM140" s="88"/>
      <c r="CN140" s="72"/>
      <c r="CO140" s="227"/>
      <c r="CP140" s="72"/>
      <c r="CQ140" s="87"/>
      <c r="CR140" s="87"/>
      <c r="CS140" s="227"/>
      <c r="CT140" s="72"/>
      <c r="CU140" s="87"/>
      <c r="CV140" s="87"/>
      <c r="CW140" s="416"/>
      <c r="CX140" s="87"/>
      <c r="CY140" s="87"/>
      <c r="CZ140" s="87"/>
      <c r="DA140" s="416"/>
      <c r="DB140" s="87"/>
      <c r="DC140" s="87"/>
      <c r="DD140" s="87"/>
      <c r="DE140" s="232"/>
      <c r="DF140" s="419"/>
      <c r="DG140" s="71"/>
      <c r="DH140" s="71"/>
      <c r="DI140" s="232"/>
      <c r="DJ140" s="419"/>
      <c r="DK140" s="71"/>
      <c r="DL140" s="71"/>
      <c r="DM140" s="232"/>
      <c r="DN140" s="419"/>
      <c r="DO140" s="71"/>
      <c r="DP140" s="71"/>
      <c r="DQ140" s="232"/>
      <c r="DR140" s="419"/>
      <c r="DS140" s="71"/>
      <c r="DT140" s="71"/>
      <c r="DU140" s="232"/>
      <c r="DV140" s="419"/>
      <c r="DW140" s="71"/>
      <c r="DX140" s="71"/>
      <c r="DY140" s="232"/>
      <c r="DZ140" s="419"/>
      <c r="EA140" s="71"/>
      <c r="EB140" s="71"/>
      <c r="EC140" s="232"/>
      <c r="ED140" s="419"/>
      <c r="EE140" s="71"/>
      <c r="EF140" s="71"/>
      <c r="EG140" s="232"/>
      <c r="EH140" s="419"/>
      <c r="EI140" s="71"/>
      <c r="EJ140" s="71"/>
      <c r="EK140" s="232"/>
      <c r="EU140" s="72"/>
      <c r="EV140" s="72"/>
      <c r="EW140" s="72"/>
      <c r="EX140" s="72"/>
      <c r="EY140" s="72"/>
      <c r="EZ140" s="72"/>
      <c r="FA140" s="72"/>
      <c r="FB140" s="72"/>
      <c r="FC140" s="72"/>
      <c r="FD140" s="72"/>
      <c r="FE140" s="72"/>
      <c r="FF140" s="72"/>
      <c r="FG140" s="72"/>
      <c r="FH140" s="72"/>
      <c r="FI140" s="72"/>
      <c r="FJ140" s="72"/>
      <c r="FK140" s="72"/>
      <c r="FL140" s="72"/>
      <c r="FM140" s="72"/>
      <c r="FN140" s="72"/>
      <c r="FO140" s="72"/>
      <c r="FP140" s="72"/>
      <c r="FQ140" s="72"/>
      <c r="FR140" s="72"/>
      <c r="FS140" s="72"/>
      <c r="FT140" s="72"/>
      <c r="FU140" s="72"/>
      <c r="FV140" s="88"/>
      <c r="GE140" s="72"/>
      <c r="GF140" s="72"/>
      <c r="GG140" s="72"/>
      <c r="GH140" s="72"/>
      <c r="GI140" s="72"/>
      <c r="GJ140" s="72"/>
      <c r="GK140" s="72"/>
      <c r="GL140" s="72"/>
      <c r="GM140" s="72"/>
      <c r="GN140" s="72"/>
      <c r="GO140" s="72"/>
      <c r="GP140" s="72"/>
      <c r="GQ140" s="72"/>
      <c r="GR140" s="72"/>
      <c r="GS140" s="72"/>
      <c r="GT140" s="72"/>
      <c r="GU140" s="72"/>
      <c r="GV140" s="72"/>
      <c r="GW140" s="72"/>
      <c r="GX140" s="72"/>
      <c r="GY140" s="72"/>
      <c r="GZ140" s="72"/>
      <c r="HA140" s="72"/>
      <c r="HB140" s="72"/>
      <c r="HC140" s="72"/>
      <c r="HD140" s="72"/>
    </row>
    <row r="141" spans="1:212" s="16" customFormat="1" ht="10.199999999999999">
      <c r="A141" s="708" t="s">
        <v>1226</v>
      </c>
      <c r="B141" s="706" t="str">
        <f>'Revenue summary'!B$8</f>
      </c>
      <c r="C141" s="706" t="str">
        <f>'Revenue summary'!C$8</f>
      </c>
      <c r="D141" s="706" t="str">
        <f>'Revenue summary'!D$8</f>
      </c>
      <c r="E141" s="707" t="str">
        <f>'Revenue summary'!E$8</f>
      </c>
      <c r="F141" s="706" t="str">
        <f>'Revenue summary'!F$8</f>
      </c>
      <c r="G141" s="706" t="str">
        <f>'Revenue summary'!G$8</f>
      </c>
      <c r="H141" s="706" t="str">
        <f>'Revenue summary'!H$8</f>
      </c>
      <c r="I141" s="707" t="str">
        <f>'Revenue summary'!I$8</f>
      </c>
      <c r="J141" s="706" t="str">
        <f>'Revenue summary'!J$8</f>
      </c>
      <c r="K141" s="706" t="str">
        <f>'Revenue summary'!K$8</f>
      </c>
      <c r="L141" s="706" t="str">
        <f>'Revenue summary'!L$8</f>
      </c>
      <c r="M141" s="707" t="str">
        <f>'Revenue summary'!M$8</f>
      </c>
      <c r="N141" s="706" t="str">
        <f>'Revenue summary'!N$8</f>
      </c>
      <c r="O141" s="706" t="str">
        <f>'Revenue summary'!O$8</f>
      </c>
      <c r="P141" s="706" t="str">
        <f>'Revenue summary'!P$8</f>
      </c>
      <c r="Q141" s="707" t="str">
        <f>'Revenue summary'!Q$8</f>
      </c>
      <c r="R141" s="706" t="str">
        <f>'Revenue summary'!R$8</f>
      </c>
      <c r="S141" s="706" t="str">
        <f>'Revenue summary'!S$8</f>
      </c>
      <c r="T141" s="706" t="str">
        <f>'Revenue summary'!T$8</f>
      </c>
      <c r="U141" s="707" t="str">
        <f>'Revenue summary'!U$8</f>
      </c>
      <c r="V141" s="706" t="str">
        <f>'Revenue summary'!V$8</f>
      </c>
      <c r="W141" s="706" t="str">
        <f>'Revenue summary'!W$8</f>
      </c>
      <c r="X141" s="706" t="str">
        <f>'Revenue summary'!X$8</f>
      </c>
      <c r="Y141" s="707" t="str">
        <f>'Revenue summary'!Y$8</f>
      </c>
      <c r="Z141" s="706" t="str">
        <f>'Revenue summary'!Z$8</f>
      </c>
      <c r="AA141" s="706" t="str">
        <f>'Revenue summary'!AA$8</f>
      </c>
      <c r="AB141" s="706" t="str">
        <f>'Revenue summary'!AB$8</f>
      </c>
      <c r="AC141" s="707" t="str">
        <f>'Revenue summary'!AC$8</f>
      </c>
      <c r="AD141" s="706" t="str">
        <f>'Revenue summary'!AD$8</f>
      </c>
      <c r="AE141" s="706" t="str">
        <f>'Revenue summary'!AE$8</f>
      </c>
      <c r="AF141" s="706" t="str">
        <f>'Revenue summary'!AF$8</f>
      </c>
      <c r="AG141" s="707" t="str">
        <f>'Revenue summary'!AG$8</f>
      </c>
      <c r="AH141" s="706" t="str">
        <f>'Revenue summary'!AH$8</f>
      </c>
      <c r="AI141" s="706" t="str">
        <f>'Revenue summary'!AI$8</f>
      </c>
      <c r="AJ141" s="706" t="str">
        <f>'Revenue summary'!AJ$8</f>
      </c>
      <c r="AK141" s="707" t="str">
        <f>'Revenue summary'!AK$8</f>
      </c>
      <c r="AL141" s="706" t="str">
        <f>'Revenue summary'!AL$8</f>
      </c>
      <c r="AM141" s="706" t="str">
        <f>'Revenue summary'!AM$8</f>
      </c>
      <c r="AN141" s="706" t="str">
        <f>'Revenue summary'!AN$8</f>
      </c>
      <c r="AO141" s="707" t="str">
        <f>'Revenue summary'!AO$8</f>
      </c>
      <c r="AP141" s="706" t="str">
        <f>'Revenue summary'!AP$8</f>
      </c>
      <c r="AQ141" s="706" t="str">
        <f>'Revenue summary'!AQ$8</f>
      </c>
      <c r="AR141" s="706" t="str">
        <f>'Revenue summary'!AR$8</f>
      </c>
      <c r="AS141" s="707" t="str">
        <f>'Revenue summary'!AS$8</f>
      </c>
      <c r="AT141" s="706" t="str">
        <f>'Revenue summary'!AT$8</f>
      </c>
      <c r="AU141" s="706" t="str">
        <f>'Revenue summary'!AU$8</f>
      </c>
      <c r="AV141" s="706" t="str">
        <f>'Revenue summary'!AV$8</f>
      </c>
      <c r="AW141" s="707" t="str">
        <f>'Revenue summary'!AW$8</f>
      </c>
      <c r="AX141" s="706" t="str">
        <f>'Revenue summary'!AX$8</f>
      </c>
      <c r="AY141" s="706" t="str">
        <f>'Revenue summary'!AY$8</f>
      </c>
      <c r="AZ141" s="706" t="str">
        <f>'Revenue summary'!AZ$8</f>
      </c>
      <c r="BA141" s="707" t="str">
        <f>'Revenue summary'!BA$8</f>
      </c>
      <c r="BB141" s="706" t="str">
        <f>'Revenue summary'!BB$8</f>
      </c>
      <c r="BC141" s="706" t="str">
        <f>'Revenue summary'!BC$8</f>
      </c>
      <c r="BD141" s="706" t="str">
        <f>'Revenue summary'!BD$8</f>
      </c>
      <c r="BE141" s="707" t="str">
        <f>'Revenue summary'!BE$8</f>
      </c>
      <c r="BF141" s="706" t="str">
        <f>'Revenue summary'!BF$8</f>
      </c>
      <c r="BG141" s="706" t="str">
        <f>'Revenue summary'!BG$8</f>
      </c>
      <c r="BH141" s="706" t="str">
        <f>'Revenue summary'!BH$8</f>
      </c>
      <c r="BI141" s="707" t="str">
        <f>'Revenue summary'!BI$8</f>
      </c>
      <c r="BJ141" s="706" t="str">
        <f>'Revenue summary'!BJ$8</f>
      </c>
      <c r="BK141" s="706" t="str">
        <f>'Revenue summary'!BK$8</f>
      </c>
      <c r="BL141" s="706" t="str">
        <f>'Revenue summary'!BL$8</f>
      </c>
      <c r="BM141" s="707" t="str">
        <f>'Revenue summary'!BM$8</f>
      </c>
      <c r="BN141" s="706" t="str">
        <f>'Revenue summary'!BN$8</f>
      </c>
      <c r="BO141" s="706" t="str">
        <f>'Revenue summary'!BO$8</f>
      </c>
      <c r="BP141" s="706" t="str">
        <f>'Revenue summary'!BP$8</f>
      </c>
      <c r="BQ141" s="707" t="str">
        <f>'Revenue summary'!BQ$8</f>
      </c>
      <c r="BR141" s="706" t="str">
        <f>'Revenue summary'!BR$8</f>
      </c>
      <c r="BS141" s="706" t="str">
        <f>'Revenue summary'!BS$8</f>
      </c>
      <c r="BT141" s="706" t="str">
        <f>'Revenue summary'!BT$8</f>
      </c>
      <c r="BU141" s="707" t="str">
        <f>'Revenue summary'!BU$8</f>
      </c>
      <c r="BV141" s="706" t="str">
        <f>'Revenue summary'!BV$8</f>
      </c>
      <c r="BW141" s="706" t="str">
        <f>'Revenue summary'!BW$8</f>
      </c>
      <c r="BX141" s="706" t="str">
        <f>'Revenue summary'!BX$8</f>
      </c>
      <c r="BY141" s="707" t="str">
        <f>'Revenue summary'!BY$8</f>
      </c>
      <c r="BZ141" s="706" t="str">
        <f>'Revenue summary'!BZ$8</f>
      </c>
      <c r="CA141" s="706" t="str">
        <f>'Revenue summary'!CA$8</f>
      </c>
      <c r="CB141" s="706" t="str">
        <f>'Revenue summary'!CB$8</f>
      </c>
      <c r="CC141" s="707" t="str">
        <f>'Revenue summary'!CC$8</f>
      </c>
      <c r="CD141" s="706" t="str">
        <f>'Revenue summary'!CD$8</f>
      </c>
      <c r="CE141" s="706" t="str">
        <f>'Revenue summary'!CE$8</f>
      </c>
      <c r="CF141" s="706" t="str">
        <f>'Revenue summary'!CF$8</f>
      </c>
      <c r="CG141" s="707" t="str">
        <f>'Revenue summary'!CG$8</f>
      </c>
      <c r="CH141" s="706" t="str">
        <f>'Revenue summary'!CH$8</f>
      </c>
      <c r="CI141" s="706" t="str">
        <f>'Revenue summary'!CI$8</f>
      </c>
      <c r="CJ141" s="706" t="str">
        <f>'Revenue summary'!CJ$8</f>
      </c>
      <c r="CK141" s="707" t="str">
        <f>'Revenue summary'!CK$8</f>
      </c>
      <c r="CL141" s="706" t="str">
        <f>'Revenue summary'!CL$8</f>
      </c>
      <c r="CM141" s="706" t="str">
        <f>'Revenue summary'!CM$8</f>
      </c>
      <c r="CN141" s="706" t="str">
        <f>'Revenue summary'!CN$8</f>
      </c>
      <c r="CO141" s="707" t="str">
        <f>'Revenue summary'!CO$8</f>
      </c>
      <c r="CP141" s="706" t="str">
        <f>'Revenue summary'!CP$8</f>
      </c>
      <c r="CQ141" s="706" t="str">
        <f>'Revenue summary'!CQ$8</f>
      </c>
      <c r="CR141" s="706" t="str">
        <f>'Revenue summary'!CR$8</f>
      </c>
      <c r="CS141" s="707" t="str">
        <f>'Revenue summary'!CS$8</f>
      </c>
      <c r="CT141" s="706" t="str">
        <f>'Revenue summary'!CT$8</f>
      </c>
      <c r="CU141" s="706" t="str">
        <f>'Revenue summary'!CU$8</f>
      </c>
      <c r="CV141" s="706" t="str">
        <f>'Revenue summary'!CV$8</f>
      </c>
      <c r="CW141" s="707" t="str">
        <f>'Revenue summary'!CW$8</f>
      </c>
      <c r="CX141" s="706" t="str">
        <f>'Revenue summary'!CX$8</f>
      </c>
      <c r="CY141" s="706" t="str">
        <f>'Revenue summary'!CY$8</f>
      </c>
      <c r="CZ141" s="706" t="str">
        <f>'Revenue summary'!CZ$8</f>
      </c>
      <c r="DA141" s="707" t="str">
        <f>'Revenue summary'!DA$8</f>
      </c>
      <c r="DB141" s="706" t="str">
        <f>'Revenue summary'!DB$8</f>
      </c>
      <c r="DC141" s="706" t="str">
        <f>'Revenue summary'!DC$8</f>
      </c>
      <c r="DD141" s="706" t="str">
        <f>'Revenue summary'!DD$8</f>
      </c>
      <c r="DE141" s="707" t="str">
        <f>'Revenue summary'!DE$8</f>
      </c>
      <c r="DF141" s="706" t="str">
        <f>'Revenue summary'!DF$8</f>
      </c>
      <c r="DG141" s="706" t="str">
        <f>'Revenue summary'!DG$8</f>
      </c>
      <c r="DH141" s="706" t="str">
        <f>'Revenue summary'!DH$8</f>
      </c>
      <c r="DI141" s="707" t="str">
        <f>'Revenue summary'!DI$8</f>
      </c>
      <c r="DJ141" s="706" t="str">
        <f>'Revenue summary'!DJ$8</f>
      </c>
      <c r="DK141" s="706" t="str">
        <f>'Revenue summary'!DK$8</f>
      </c>
      <c r="DL141" s="706" t="str">
        <f>'Revenue summary'!DL$8</f>
      </c>
      <c r="DM141" s="707" t="str">
        <f>'Revenue summary'!DM$8</f>
      </c>
      <c r="DN141" s="706" t="str">
        <f>'Revenue summary'!DN$8</f>
      </c>
      <c r="DO141" s="706" t="str">
        <f>'Revenue summary'!DO$8</f>
      </c>
      <c r="DP141" s="706" t="str">
        <f>'Revenue summary'!DP$8</f>
      </c>
      <c r="DQ141" s="707" t="str">
        <f>'Revenue summary'!DQ$8</f>
      </c>
      <c r="DR141" s="706" t="str">
        <f>'Revenue summary'!DR$8</f>
      </c>
      <c r="DS141" s="706" t="str">
        <f>'Revenue summary'!DS$8</f>
      </c>
      <c r="DT141" s="706" t="str">
        <f>'Revenue summary'!DT$8</f>
      </c>
      <c r="DU141" s="707" t="str">
        <f>'Revenue summary'!DU$8</f>
      </c>
      <c r="DV141" s="706" t="str">
        <f>'Revenue summary'!DV$8</f>
      </c>
      <c r="DW141" s="706" t="str">
        <f>'Revenue summary'!DW$8</f>
      </c>
      <c r="DX141" s="706" t="str">
        <f>'Revenue summary'!DX$8</f>
      </c>
      <c r="DY141" s="707" t="str">
        <f>'Revenue summary'!DY$8</f>
      </c>
      <c r="DZ141" s="706" t="str">
        <f>'Revenue summary'!DZ$8</f>
      </c>
      <c r="EA141" s="706" t="str">
        <f>'Revenue summary'!EA$8</f>
      </c>
      <c r="EB141" s="706" t="str">
        <f>'Revenue summary'!EB$8</f>
      </c>
      <c r="EC141" s="707" t="str">
        <f>'Revenue summary'!EC$8</f>
      </c>
      <c r="ED141" s="706" t="str">
        <f>'Revenue summary'!ED$8</f>
      </c>
      <c r="EE141" s="706" t="str">
        <f>'Revenue summary'!EE$8</f>
      </c>
      <c r="EF141" s="706" t="str">
        <f>'Revenue summary'!EF$8</f>
      </c>
      <c r="EG141" s="707" t="str">
        <f>'Revenue summary'!EG$8</f>
      </c>
      <c r="EH141" s="706" t="str">
        <f>'Revenue summary'!EH$8</f>
      </c>
      <c r="EI141" s="706" t="str">
        <f>'Revenue summary'!EI$8</f>
      </c>
      <c r="EJ141" s="706" t="str">
        <f>'Revenue summary'!EJ$8</f>
      </c>
      <c r="EK141" s="707" t="str">
        <f>'Revenue summary'!EK$8</f>
      </c>
      <c r="EL141" s="320"/>
      <c r="EM141" s="706">
        <f t="shared" ref="EM141:FH141" si="1520">EM$9</f>
      </c>
      <c r="EN141" s="706">
        <f t="shared" si="1520"/>
      </c>
      <c r="EO141" s="706">
        <f t="shared" si="1520"/>
      </c>
      <c r="EP141" s="706">
        <f t="shared" si="1520"/>
      </c>
      <c r="EQ141" s="706">
        <f t="shared" si="1520"/>
      </c>
      <c r="ER141" s="706">
        <f t="shared" si="1520"/>
      </c>
      <c r="ES141" s="706">
        <f t="shared" si="1520"/>
      </c>
      <c r="ET141" s="706">
        <f t="shared" si="1520"/>
      </c>
      <c r="EU141" s="706">
        <f t="shared" si="1520"/>
      </c>
      <c r="EV141" s="706">
        <f t="shared" si="1520"/>
      </c>
      <c r="EW141" s="706">
        <f t="shared" si="1520"/>
      </c>
      <c r="EX141" s="706">
        <f t="shared" si="1520"/>
      </c>
      <c r="EY141" s="706">
        <f t="shared" si="1520"/>
      </c>
      <c r="EZ141" s="706">
        <f t="shared" si="1520"/>
      </c>
      <c r="FA141" s="706">
        <f t="shared" si="1520"/>
      </c>
      <c r="FB141" s="706">
        <f t="shared" si="1520"/>
      </c>
      <c r="FC141" s="706">
        <f t="shared" si="1520"/>
      </c>
      <c r="FD141" s="706">
        <f t="shared" si="1520"/>
      </c>
      <c r="FE141" s="706" t="str">
        <f t="shared" si="1520"/>
      </c>
      <c r="FF141" s="706" t="str">
        <f t="shared" si="1520"/>
      </c>
      <c r="FG141" s="706" t="str">
        <f t="shared" si="1520"/>
      </c>
      <c r="FH141" s="706" t="str">
        <f t="shared" si="1520"/>
      </c>
      <c r="FI141" s="706" t="str">
        <f>FI$9</f>
      </c>
      <c r="FJ141" s="706" t="str">
        <f t="shared" ref="FJ141:FU141" si="1521">FJ$9</f>
      </c>
      <c r="FK141" s="706" t="str">
        <f t="shared" si="1521"/>
      </c>
      <c r="FL141" s="706" t="str">
        <f t="shared" si="1521"/>
      </c>
      <c r="FM141" s="706" t="str">
        <f t="shared" si="1521"/>
      </c>
      <c r="FN141" s="706" t="str">
        <f t="shared" si="1521"/>
      </c>
      <c r="FO141" s="706" t="str">
        <f t="shared" si="1521"/>
      </c>
      <c r="FP141" s="706" t="str">
        <f t="shared" si="1521"/>
      </c>
      <c r="FQ141" s="706" t="str">
        <f t="shared" si="1521"/>
      </c>
      <c r="FR141" s="706" t="str">
        <f t="shared" si="1521"/>
      </c>
      <c r="FS141" s="706" t="str">
        <f t="shared" si="1521"/>
      </c>
      <c r="FT141" s="706" t="str">
        <f t="shared" si="1521"/>
      </c>
      <c r="FU141" s="706" t="str">
        <f t="shared" si="1521"/>
      </c>
      <c r="FV141" s="706"/>
      <c r="FW141" s="706" t="str">
        <f t="shared" ref="FW141:GX141" si="1522">FW$10</f>
      </c>
      <c r="FX141" s="706" t="str">
        <f t="shared" si="1522"/>
      </c>
      <c r="FY141" s="706" t="str">
        <f t="shared" si="1522"/>
      </c>
      <c r="FZ141" s="706" t="str">
        <f t="shared" si="1522"/>
      </c>
      <c r="GA141" s="706" t="str">
        <f t="shared" si="1522"/>
      </c>
      <c r="GB141" s="706" t="str">
        <f t="shared" si="1522"/>
      </c>
      <c r="GC141" s="706" t="str">
        <f t="shared" si="1522"/>
      </c>
      <c r="GD141" s="706" t="str">
        <f t="shared" si="1522"/>
      </c>
      <c r="GE141" s="706" t="str">
        <f t="shared" si="1522"/>
      </c>
      <c r="GF141" s="706" t="str">
        <f t="shared" si="1522"/>
      </c>
      <c r="GG141" s="706" t="str">
        <f t="shared" si="1522"/>
      </c>
      <c r="GH141" s="706" t="str">
        <f t="shared" si="1522"/>
      </c>
      <c r="GI141" s="706" t="str">
        <f t="shared" si="1522"/>
      </c>
      <c r="GJ141" s="706" t="str">
        <f t="shared" si="1522"/>
      </c>
      <c r="GK141" s="706" t="str">
        <f t="shared" si="1522"/>
      </c>
      <c r="GL141" s="706" t="str">
        <f t="shared" si="1522"/>
      </c>
      <c r="GM141" s="706" t="str">
        <f t="shared" si="1522"/>
      </c>
      <c r="GN141" s="706" t="str">
        <f t="shared" si="1522"/>
      </c>
      <c r="GO141" s="706" t="str">
        <f t="shared" si="1522"/>
      </c>
      <c r="GP141" s="706" t="str">
        <f t="shared" si="1522"/>
      </c>
      <c r="GQ141" s="706" t="str">
        <f t="shared" si="1522"/>
      </c>
      <c r="GR141" s="706" t="str">
        <f t="shared" si="1522"/>
      </c>
      <c r="GS141" s="706" t="str">
        <f t="shared" si="1522"/>
      </c>
      <c r="GT141" s="706" t="str">
        <f t="shared" si="1522"/>
      </c>
      <c r="GU141" s="706" t="str">
        <f t="shared" si="1522"/>
      </c>
      <c r="GV141" s="706" t="str">
        <f t="shared" si="1522"/>
      </c>
      <c r="GW141" s="706" t="str">
        <f t="shared" si="1522"/>
      </c>
      <c r="GX141" s="706" t="str">
        <f t="shared" si="1522"/>
      </c>
      <c r="GY141" s="706" t="str">
        <f t="shared" ref="GY141" si="1523">GY$10</f>
      </c>
      <c r="GZ141" s="706" t="str">
        <f t="shared" ref="GZ141:HD141" si="1524">GZ$10</f>
      </c>
      <c r="HA141" s="706" t="str">
        <f t="shared" si="1524"/>
      </c>
      <c r="HB141" s="706" t="str">
        <f t="shared" si="1524"/>
      </c>
      <c r="HC141" s="706" t="str">
        <f t="shared" si="1524"/>
      </c>
      <c r="HD141" s="706" t="str">
        <f t="shared" si="1524"/>
      </c>
    </row>
    <row r="142" spans="1:212" s="370" customFormat="1" ht="10.8" thickBot="1">
      <c r="A142" s="946" t="s">
        <v>1227</v>
      </c>
      <c r="B142" s="974"/>
      <c r="C142" s="974"/>
      <c r="D142" s="974"/>
      <c r="E142" s="975"/>
      <c r="F142" s="974"/>
      <c r="G142" s="974"/>
      <c r="H142" s="974"/>
      <c r="I142" s="975"/>
      <c r="J142" s="974"/>
      <c r="K142" s="974"/>
      <c r="L142" s="974"/>
      <c r="M142" s="975"/>
      <c r="N142" s="974"/>
      <c r="O142" s="974"/>
      <c r="P142" s="974"/>
      <c r="Q142" s="975"/>
      <c r="R142" s="974"/>
      <c r="S142" s="974"/>
      <c r="T142" s="974"/>
      <c r="U142" s="975"/>
      <c r="V142" s="974"/>
      <c r="W142" s="974"/>
      <c r="X142" s="974"/>
      <c r="Y142" s="975"/>
      <c r="Z142" s="974"/>
      <c r="AA142" s="974"/>
      <c r="AB142" s="974"/>
      <c r="AC142" s="975"/>
      <c r="AD142" s="974"/>
      <c r="AE142" s="974"/>
      <c r="AF142" s="974"/>
      <c r="AG142" s="975"/>
      <c r="AH142" s="974"/>
      <c r="AI142" s="974"/>
      <c r="AJ142" s="974"/>
      <c r="AK142" s="975"/>
      <c r="AL142" s="974"/>
      <c r="AM142" s="974"/>
      <c r="AN142" s="974"/>
      <c r="AO142" s="975"/>
      <c r="AP142" s="974"/>
      <c r="AQ142" s="974"/>
      <c r="AR142" s="974"/>
      <c r="AS142" s="975"/>
      <c r="AT142" s="974"/>
      <c r="AU142" s="974"/>
      <c r="AV142" s="974"/>
      <c r="AW142" s="975"/>
      <c r="AX142" s="974"/>
      <c r="AY142" s="974"/>
      <c r="AZ142" s="974"/>
      <c r="BA142" s="975"/>
      <c r="BB142" s="974"/>
      <c r="BC142" s="974"/>
      <c r="BD142" s="974"/>
      <c r="BE142" s="975"/>
      <c r="BF142" s="974"/>
      <c r="BG142" s="974"/>
      <c r="BH142" s="974"/>
      <c r="BI142" s="975"/>
      <c r="BJ142" s="974"/>
      <c r="BK142" s="974"/>
      <c r="BL142" s="974"/>
      <c r="BM142" s="975"/>
      <c r="BN142" s="974"/>
      <c r="BO142" s="974"/>
      <c r="BP142" s="974"/>
      <c r="BQ142" s="975"/>
      <c r="BR142" s="974"/>
      <c r="BS142" s="974"/>
      <c r="BT142" s="974"/>
      <c r="BU142" s="975"/>
      <c r="BV142" s="974"/>
      <c r="BW142" s="974"/>
      <c r="BX142" s="974"/>
      <c r="BY142" s="975"/>
      <c r="BZ142" s="974"/>
      <c r="CA142" s="974"/>
      <c r="CB142" s="974"/>
      <c r="CC142" s="948"/>
      <c r="CD142" s="947"/>
      <c r="CE142" s="947"/>
      <c r="CF142" s="947"/>
      <c r="CG142" s="976"/>
      <c r="CH142" s="977">
        <f t="shared" ref="CH142:CI142" si="1525">+AVERAGE(CH143,CG143)*CH144*3</f>
      </c>
      <c r="CI142" s="977">
        <f t="shared" si="1525"/>
      </c>
      <c r="CJ142" s="977">
        <f t="shared" ref="CJ142" si="1526">+AVERAGE(CJ143,CI143)*CJ144*3</f>
      </c>
      <c r="CK142" s="976">
        <f t="shared" ref="CK142" si="1527">+AVERAGE(CK143,CJ143)*CK144*3</f>
      </c>
      <c r="CL142" s="977">
        <f t="shared" ref="CL142" si="1528">+AVERAGE(CL143,CK143)*CL144*3</f>
      </c>
      <c r="CM142" s="977">
        <f t="shared" ref="CM142" si="1529">+AVERAGE(CM143,CL143)*CM144*3</f>
      </c>
      <c r="CN142" s="977">
        <f t="shared" ref="CN142" si="1530">+AVERAGE(CN143,CM143)*CN144*3</f>
      </c>
      <c r="CO142" s="976">
        <f t="shared" ref="CO142" si="1531">+AVERAGE(CO143,CN143)*CO144*3</f>
      </c>
      <c r="CP142" s="977">
        <f t="shared" ref="CP142" si="1532">+AVERAGE(CP143,CO143)*CP144*3</f>
      </c>
      <c r="CQ142" s="977">
        <f t="shared" ref="CQ142" si="1533">+AVERAGE(CQ143,CP143)*CQ144*3</f>
      </c>
      <c r="CR142" s="977">
        <f t="shared" ref="CR142" si="1534">+AVERAGE(CR143,CQ143)*CR144*3</f>
      </c>
      <c r="CS142" s="976">
        <f t="shared" ref="CS142" si="1535">+AVERAGE(CS143,CR143)*CS144*3</f>
      </c>
      <c r="CT142" s="977">
        <f t="shared" ref="CT142" si="1536">+AVERAGE(CT143,CS143)*CT144*3</f>
      </c>
      <c r="CU142" s="977">
        <f t="shared" ref="CU142" si="1537">+AVERAGE(CU143,CT143)*CU144*3</f>
      </c>
      <c r="CV142" s="977">
        <f t="shared" ref="CV142" si="1538">+AVERAGE(CV143,CU143)*CV144*3</f>
      </c>
      <c r="CW142" s="976">
        <f t="shared" ref="CW142" si="1539">+AVERAGE(CW143,CV143)*CW144*3</f>
      </c>
      <c r="CX142" s="977">
        <f t="shared" ref="CX142" si="1540">+AVERAGE(CX143,CW143)*CX144*3</f>
      </c>
      <c r="CY142" s="977">
        <f t="shared" ref="CY142" si="1541">+AVERAGE(CY143,CX143)*CY144*3</f>
      </c>
      <c r="CZ142" s="977">
        <f t="shared" ref="CZ142" si="1542">+AVERAGE(CZ143,CY143)*CZ144*3</f>
      </c>
      <c r="DA142" s="976">
        <f t="shared" ref="DA142" si="1543">+AVERAGE(DA143,CZ143)*DA144*3</f>
      </c>
      <c r="DB142" s="977">
        <f t="shared" ref="DB142" si="1544">+AVERAGE(DB143,DA143)*DB144*3</f>
      </c>
      <c r="DC142" s="977">
        <f t="shared" ref="DC142" si="1545">+AVERAGE(DC143,DB143)*DC144*3</f>
      </c>
      <c r="DD142" s="977">
        <f t="shared" ref="DD142" si="1546">+AVERAGE(DD143,DC143)*DD144*3</f>
      </c>
      <c r="DE142" s="976">
        <f t="shared" ref="DE142" si="1547">+AVERAGE(DE143,DD143)*DE144*3</f>
      </c>
      <c r="DF142" s="977">
        <f t="shared" ref="DF142" si="1548">+AVERAGE(DF143,DE143)*DF144*3</f>
      </c>
      <c r="DG142" s="977">
        <f t="shared" ref="DG142" si="1549">+AVERAGE(DG143,DF143)*DG144*3</f>
      </c>
      <c r="DH142" s="977">
        <f t="shared" ref="DH142" si="1550">+AVERAGE(DH143,DG143)*DH144*3</f>
      </c>
      <c r="DI142" s="976">
        <f t="shared" ref="DI142" si="1551">+AVERAGE(DI143,DH143)*DI144*3</f>
      </c>
      <c r="DJ142" s="977">
        <f t="shared" ref="DJ142" si="1552">+AVERAGE(DJ143,DI143)*DJ144*3</f>
      </c>
      <c r="DK142" s="977">
        <f t="shared" ref="DK142" si="1553">+AVERAGE(DK143,DJ143)*DK144*3</f>
      </c>
      <c r="DL142" s="977">
        <f t="shared" ref="DL142" si="1554">+AVERAGE(DL143,DK143)*DL144*3</f>
      </c>
      <c r="DM142" s="976">
        <f t="shared" ref="DM142" si="1555">+AVERAGE(DM143,DL143)*DM144*3</f>
      </c>
      <c r="DN142" s="977">
        <f t="shared" ref="DN142" si="1556">+AVERAGE(DN143,DM143)*DN144*3</f>
      </c>
      <c r="DO142" s="977">
        <f t="shared" ref="DO142" si="1557">+AVERAGE(DO143,DN143)*DO144*3</f>
      </c>
      <c r="DP142" s="977">
        <f t="shared" ref="DP142" si="1558">+AVERAGE(DP143,DO143)*DP144*3</f>
      </c>
      <c r="DQ142" s="976">
        <f t="shared" ref="DQ142" si="1559">+AVERAGE(DQ143,DP143)*DQ144*3</f>
      </c>
      <c r="DR142" s="977">
        <f t="shared" ref="DR142" si="1560">+AVERAGE(DR143,DQ143)*DR144*3</f>
      </c>
      <c r="DS142" s="977">
        <f t="shared" ref="DS142" si="1561">+AVERAGE(DS143,DR143)*DS144*3</f>
      </c>
      <c r="DT142" s="977">
        <f t="shared" ref="DT142" si="1562">+AVERAGE(DT143,DS143)*DT144*3</f>
      </c>
      <c r="DU142" s="976">
        <f t="shared" ref="DU142" si="1563">+AVERAGE(DU143,DT143)*DU144*3</f>
      </c>
      <c r="DV142" s="977">
        <f t="shared" ref="DV142" si="1564">+AVERAGE(DV143,DU143)*DV144*3</f>
      </c>
      <c r="DW142" s="977">
        <f t="shared" ref="DW142" si="1565">+AVERAGE(DW143,DV143)*DW144*3</f>
      </c>
      <c r="DX142" s="977">
        <f t="shared" ref="DX142" si="1566">+AVERAGE(DX143,DW143)*DX144*3</f>
      </c>
      <c r="DY142" s="976">
        <f t="shared" ref="DY142" si="1567">+AVERAGE(DY143,DX143)*DY144*3</f>
      </c>
      <c r="DZ142" s="977">
        <f t="shared" ref="DZ142" si="1568">+AVERAGE(DZ143,DY143)*DZ144*3</f>
      </c>
      <c r="EA142" s="977">
        <f t="shared" ref="EA142" si="1569">+AVERAGE(EA143,DZ143)*EA144*3</f>
      </c>
      <c r="EB142" s="977">
        <f t="shared" ref="EB142" si="1570">+AVERAGE(EB143,EA143)*EB144*3</f>
      </c>
      <c r="EC142" s="976">
        <f t="shared" ref="EC142" si="1571">+AVERAGE(EC143,EB143)*EC144*3</f>
      </c>
      <c r="ED142" s="977">
        <f t="shared" ref="ED142" si="1572">+AVERAGE(ED143,EC143)*ED144*3</f>
      </c>
      <c r="EE142" s="977">
        <f t="shared" ref="EE142" si="1573">+AVERAGE(EE143,ED143)*EE144*3</f>
      </c>
      <c r="EF142" s="977">
        <f t="shared" ref="EF142" si="1574">+AVERAGE(EF143,EE143)*EF144*3</f>
      </c>
      <c r="EG142" s="976">
        <f t="shared" ref="EG142" si="1575">+AVERAGE(EG143,EF143)*EG144*3</f>
      </c>
      <c r="EH142" s="977">
        <f t="shared" ref="EH142" si="1576">+AVERAGE(EH143,EG143)*EH144*3</f>
      </c>
      <c r="EI142" s="977">
        <f t="shared" ref="EI142" si="1577">+AVERAGE(EI143,EH143)*EI144*3</f>
      </c>
      <c r="EJ142" s="977">
        <f t="shared" ref="EJ142" si="1578">+AVERAGE(EJ143,EI143)*EJ144*3</f>
      </c>
      <c r="EK142" s="976">
        <f t="shared" ref="EK142" si="1579">+AVERAGE(EK143,EJ143)*EK144*3</f>
      </c>
      <c r="EM142" s="977"/>
      <c r="EN142" s="977"/>
      <c r="EO142" s="977"/>
      <c r="EP142" s="977"/>
      <c r="EQ142" s="977"/>
      <c r="ER142" s="977"/>
      <c r="ES142" s="977"/>
      <c r="ET142" s="977"/>
      <c r="EU142" s="977"/>
      <c r="EV142" s="977"/>
      <c r="EW142" s="977"/>
      <c r="EX142" s="977"/>
      <c r="EY142" s="977"/>
      <c r="EZ142" s="977"/>
      <c r="FA142" s="977"/>
      <c r="FB142" s="977"/>
      <c r="FC142" s="977"/>
      <c r="FD142" s="977"/>
      <c r="FE142" s="977">
        <f t="shared" ref="FE142" si="1580">SUM(BV142:BY142)</f>
      </c>
      <c r="FF142" s="977">
        <f t="shared" ref="FF142" si="1581">SUM(BZ142:CC142)</f>
      </c>
      <c r="FG142" s="977">
        <f t="shared" ref="FG142" si="1582">SUM(CD142:CG142)</f>
      </c>
      <c r="FH142" s="977">
        <f t="shared" ref="FH142" si="1583">SUM(CH142:CK142)</f>
      </c>
      <c r="FI142" s="977">
        <f t="shared" ref="FI142" si="1584">SUM(CL142:CO142)</f>
      </c>
      <c r="FJ142" s="977">
        <f t="shared" ref="FJ142" si="1585">SUM(CP142:CS142)</f>
      </c>
      <c r="FK142" s="977">
        <f t="shared" ref="FK142" si="1586">SUM(CT142:CW142)</f>
      </c>
      <c r="FL142" s="977">
        <f t="shared" ref="FL142" si="1587">SUM(CX142:DA142)</f>
      </c>
      <c r="FM142" s="977">
        <f t="shared" ref="FM142" si="1588">SUM(DB142:DE142)</f>
      </c>
      <c r="FN142" s="977">
        <f t="shared" ref="FN142" si="1589">SUM(DF142:DI142)</f>
      </c>
      <c r="FO142" s="977">
        <f t="shared" ref="FO142" si="1590">SUM(DJ142:DM142)</f>
      </c>
      <c r="FP142" s="977">
        <f>SUM(DN142:DQ142)</f>
      </c>
      <c r="FQ142" s="977">
        <f>SUM(DR142:DU142)</f>
      </c>
      <c r="FR142" s="977">
        <f>SUM(DV142:DY142)</f>
      </c>
      <c r="FS142" s="977">
        <f>SUM(DZ142:EC142)</f>
      </c>
      <c r="FT142" s="977">
        <f>SUM(ED142:EG142)</f>
      </c>
      <c r="FU142" s="977">
        <f>SUM(EH142:EK142)</f>
      </c>
      <c r="FV142" s="977"/>
      <c r="FW142" s="977"/>
      <c r="FX142" s="977"/>
      <c r="FY142" s="977"/>
      <c r="FZ142" s="977"/>
      <c r="GA142" s="977"/>
      <c r="GB142" s="977"/>
      <c r="GC142" s="977"/>
      <c r="GD142" s="977"/>
      <c r="GE142" s="977"/>
      <c r="GF142" s="977"/>
      <c r="GG142" s="977"/>
      <c r="GH142" s="977"/>
      <c r="GI142" s="977"/>
      <c r="GJ142" s="977"/>
      <c r="GK142" s="977"/>
      <c r="GL142" s="977"/>
      <c r="GM142" s="977"/>
      <c r="GN142" s="977"/>
      <c r="GO142" s="977"/>
      <c r="GP142" s="977"/>
      <c r="GQ142" s="977">
        <f>SUM(CE142:CH142)</f>
      </c>
      <c r="GR142" s="977">
        <f>SUM(CI142:CL142)</f>
      </c>
      <c r="GS142" s="977">
        <f>SUM(CM142:CP142)</f>
      </c>
      <c r="GT142" s="977">
        <f>SUM(CQ142:CT142)</f>
      </c>
      <c r="GU142" s="977">
        <f>SUM(CU142:CX142)</f>
      </c>
      <c r="GV142" s="977">
        <f>SUM(CY142:DB142)</f>
      </c>
      <c r="GW142" s="977">
        <f>SUM(DC142:DF142)</f>
      </c>
      <c r="GX142" s="977">
        <f>SUM(DG142:DJ142)</f>
      </c>
      <c r="GY142" s="977">
        <f>SUM(DK142:DN142)</f>
      </c>
      <c r="GZ142" s="977">
        <f>SUM(DO142:DR142)</f>
      </c>
      <c r="HA142" s="977">
        <f>SUM(DS142:DV142)</f>
      </c>
      <c r="HB142" s="977">
        <f>SUM(DW142:DZ142)</f>
      </c>
      <c r="HC142" s="977">
        <f>SUM(EA142:ED142)</f>
      </c>
      <c r="HD142" s="977">
        <f>SUM(EE142:EH142)</f>
      </c>
    </row>
    <row r="143" spans="1:212" s="970" customFormat="1" ht="10.8" thickTop="1">
      <c r="A143" s="980" t="s">
        <v>1203</v>
      </c>
      <c r="B143" s="967"/>
      <c r="C143" s="967"/>
      <c r="D143" s="967"/>
      <c r="E143" s="966"/>
      <c r="F143" s="967"/>
      <c r="G143" s="967"/>
      <c r="H143" s="967"/>
      <c r="I143" s="966"/>
      <c r="J143" s="967"/>
      <c r="K143" s="967"/>
      <c r="L143" s="967"/>
      <c r="M143" s="966"/>
      <c r="N143" s="967"/>
      <c r="O143" s="967"/>
      <c r="P143" s="967"/>
      <c r="Q143" s="966"/>
      <c r="R143" s="967"/>
      <c r="S143" s="967"/>
      <c r="T143" s="967"/>
      <c r="U143" s="966"/>
      <c r="V143" s="967"/>
      <c r="W143" s="967"/>
      <c r="X143" s="967"/>
      <c r="Y143" s="966"/>
      <c r="Z143" s="967"/>
      <c r="AA143" s="967"/>
      <c r="AB143" s="967"/>
      <c r="AC143" s="966"/>
      <c r="AD143" s="967"/>
      <c r="AE143" s="967"/>
      <c r="AF143" s="967"/>
      <c r="AG143" s="966"/>
      <c r="AH143" s="967"/>
      <c r="AI143" s="967"/>
      <c r="AJ143" s="967"/>
      <c r="AK143" s="966"/>
      <c r="AL143" s="967"/>
      <c r="AM143" s="967"/>
      <c r="AN143" s="967"/>
      <c r="AO143" s="966"/>
      <c r="AP143" s="967"/>
      <c r="AQ143" s="967"/>
      <c r="AR143" s="967"/>
      <c r="AS143" s="966"/>
      <c r="AT143" s="967"/>
      <c r="AU143" s="967"/>
      <c r="AV143" s="967"/>
      <c r="AW143" s="966"/>
      <c r="AX143" s="967"/>
      <c r="AY143" s="967"/>
      <c r="AZ143" s="967"/>
      <c r="BA143" s="966"/>
      <c r="BB143" s="967"/>
      <c r="BC143" s="967"/>
      <c r="BD143" s="967"/>
      <c r="BE143" s="966"/>
      <c r="BF143" s="967"/>
      <c r="BG143" s="967"/>
      <c r="BH143" s="967"/>
      <c r="BI143" s="966"/>
      <c r="BJ143" s="967"/>
      <c r="BK143" s="967"/>
      <c r="BL143" s="967"/>
      <c r="BM143" s="966"/>
      <c r="BN143" s="967"/>
      <c r="BO143" s="967"/>
      <c r="BP143" s="967"/>
      <c r="BQ143" s="966"/>
      <c r="BR143" s="967"/>
      <c r="BS143" s="967"/>
      <c r="BT143" s="967"/>
      <c r="BU143" s="966"/>
      <c r="BV143" s="967"/>
      <c r="BW143" s="967"/>
      <c r="BX143" s="967"/>
      <c r="BY143" s="966"/>
      <c r="BZ143" s="967"/>
      <c r="CA143" s="967"/>
      <c r="CB143" s="967"/>
      <c r="CC143" s="966"/>
      <c r="CD143" s="967"/>
      <c r="CE143" s="967"/>
      <c r="CF143" s="967"/>
      <c r="CG143" s="966"/>
      <c r="CH143" s="968">
        <f>'Segment - Products'!CH231*0.05</f>
      </c>
      <c r="CI143" s="2062">
        <f>CH143+CI145</f>
      </c>
      <c r="CJ143" s="972">
        <f t="shared" ref="CJ143:DU143" si="1591">CI143+CJ145</f>
      </c>
      <c r="CK143" s="1166">
        <f t="shared" si="1591"/>
      </c>
      <c r="CL143" s="972">
        <f t="shared" si="1591"/>
      </c>
      <c r="CM143" s="972">
        <f t="shared" si="1591"/>
      </c>
      <c r="CN143" s="972">
        <f t="shared" si="1591"/>
      </c>
      <c r="CO143" s="1166">
        <f t="shared" si="1591"/>
      </c>
      <c r="CP143" s="972">
        <f t="shared" si="1591"/>
      </c>
      <c r="CQ143" s="972">
        <f t="shared" si="1591"/>
      </c>
      <c r="CR143" s="972">
        <f t="shared" si="1591"/>
      </c>
      <c r="CS143" s="1166">
        <f t="shared" si="1591"/>
      </c>
      <c r="CT143" s="972">
        <f t="shared" si="1591"/>
      </c>
      <c r="CU143" s="972">
        <f t="shared" si="1591"/>
      </c>
      <c r="CV143" s="972">
        <f t="shared" si="1591"/>
      </c>
      <c r="CW143" s="1166">
        <f t="shared" si="1591"/>
      </c>
      <c r="CX143" s="972">
        <f t="shared" si="1591"/>
      </c>
      <c r="CY143" s="972">
        <f t="shared" si="1591"/>
      </c>
      <c r="CZ143" s="972">
        <f t="shared" si="1591"/>
      </c>
      <c r="DA143" s="1166">
        <f t="shared" si="1591"/>
      </c>
      <c r="DB143" s="972">
        <f t="shared" si="1591"/>
      </c>
      <c r="DC143" s="972">
        <f t="shared" si="1591"/>
      </c>
      <c r="DD143" s="972">
        <f t="shared" si="1591"/>
      </c>
      <c r="DE143" s="1166">
        <f t="shared" si="1591"/>
      </c>
      <c r="DF143" s="972">
        <f t="shared" si="1591"/>
      </c>
      <c r="DG143" s="972">
        <f t="shared" si="1591"/>
      </c>
      <c r="DH143" s="972">
        <f t="shared" si="1591"/>
      </c>
      <c r="DI143" s="1166">
        <f t="shared" si="1591"/>
      </c>
      <c r="DJ143" s="972">
        <f t="shared" si="1591"/>
      </c>
      <c r="DK143" s="972">
        <f t="shared" si="1591"/>
      </c>
      <c r="DL143" s="972">
        <f t="shared" si="1591"/>
      </c>
      <c r="DM143" s="1166">
        <f t="shared" si="1591"/>
      </c>
      <c r="DN143" s="972">
        <f t="shared" si="1591"/>
      </c>
      <c r="DO143" s="972">
        <f t="shared" si="1591"/>
      </c>
      <c r="DP143" s="972">
        <f t="shared" si="1591"/>
      </c>
      <c r="DQ143" s="1166">
        <f t="shared" si="1591"/>
      </c>
      <c r="DR143" s="972">
        <f t="shared" si="1591"/>
      </c>
      <c r="DS143" s="972">
        <f t="shared" si="1591"/>
      </c>
      <c r="DT143" s="972">
        <f t="shared" si="1591"/>
      </c>
      <c r="DU143" s="1166">
        <f t="shared" si="1591"/>
      </c>
      <c r="DV143" s="972">
        <f t="shared" ref="DV143" si="1592">DU143+DV145</f>
      </c>
      <c r="DW143" s="972">
        <f t="shared" ref="DW143" si="1593">DV143+DW145</f>
      </c>
      <c r="DX143" s="972">
        <f t="shared" ref="DX143" si="1594">DW143+DX145</f>
      </c>
      <c r="DY143" s="1166">
        <f t="shared" ref="DY143" si="1595">DX143+DY145</f>
      </c>
      <c r="DZ143" s="972">
        <f t="shared" ref="DZ143" si="1596">DY143+DZ145</f>
      </c>
      <c r="EA143" s="972">
        <f t="shared" ref="EA143" si="1597">DZ143+EA145</f>
      </c>
      <c r="EB143" s="972">
        <f t="shared" ref="EB143" si="1598">EA143+EB145</f>
      </c>
      <c r="EC143" s="1166">
        <f t="shared" ref="EC143" si="1599">EB143+EC145</f>
      </c>
      <c r="ED143" s="972">
        <f t="shared" ref="ED143" si="1600">EC143+ED145</f>
      </c>
      <c r="EE143" s="972">
        <f t="shared" ref="EE143" si="1601">ED143+EE145</f>
      </c>
      <c r="EF143" s="972">
        <f t="shared" ref="EF143" si="1602">EE143+EF145</f>
      </c>
      <c r="EG143" s="1166">
        <f t="shared" ref="EG143" si="1603">EF143+EG145</f>
      </c>
      <c r="EH143" s="972">
        <f t="shared" ref="EH143" si="1604">EG143+EH145</f>
      </c>
      <c r="EI143" s="972">
        <f t="shared" ref="EI143" si="1605">EH143+EI145</f>
      </c>
      <c r="EJ143" s="972">
        <f t="shared" ref="EJ143" si="1606">EI143+EJ145</f>
      </c>
      <c r="EK143" s="1166">
        <f t="shared" ref="EK143" si="1607">EJ143+EK145</f>
      </c>
      <c r="FG143" s="996">
        <f>CG143</f>
      </c>
      <c r="FH143" s="996">
        <f>CK143</f>
      </c>
      <c r="FI143" s="996">
        <f>CO143</f>
      </c>
      <c r="FJ143" s="996">
        <f>CS143</f>
      </c>
      <c r="FK143" s="996">
        <f>CW143</f>
      </c>
      <c r="FL143" s="996">
        <f>DA143</f>
      </c>
      <c r="FM143" s="996">
        <f>DE143</f>
      </c>
      <c r="FN143" s="996">
        <f>DI143</f>
      </c>
      <c r="FO143" s="996">
        <f>DM143</f>
      </c>
      <c r="FP143" s="996">
        <f>DQ143</f>
      </c>
      <c r="FQ143" s="996">
        <f>DU143</f>
      </c>
      <c r="FR143" s="996">
        <f>DY143</f>
      </c>
      <c r="FS143" s="996">
        <f>EC143</f>
      </c>
      <c r="FT143" s="996">
        <f>EG143</f>
      </c>
      <c r="FU143" s="996">
        <f>EK143</f>
      </c>
      <c r="FV143" s="88"/>
      <c r="GP143" s="970">
        <f>+CD143</f>
      </c>
      <c r="GQ143" s="970">
        <f>+CH143</f>
      </c>
      <c r="GR143" s="970">
        <f>CL143</f>
      </c>
      <c r="GS143" s="970">
        <f>CP143</f>
      </c>
      <c r="GT143" s="970">
        <f>CT143</f>
      </c>
      <c r="GU143" s="970">
        <f>CX143</f>
      </c>
      <c r="GV143" s="970">
        <f>DB143</f>
      </c>
      <c r="GW143" s="970">
        <f>DF143</f>
      </c>
      <c r="GX143" s="970">
        <f>DJ143</f>
      </c>
      <c r="GY143" s="970">
        <f>DN143</f>
      </c>
      <c r="GZ143" s="970">
        <f>DR143</f>
      </c>
      <c r="HA143" s="970">
        <f t="shared" ref="HA143:HC143" si="1608">DS143</f>
      </c>
      <c r="HB143" s="970">
        <f>DZ143</f>
      </c>
      <c r="HC143" s="970">
        <f t="shared" si="1608"/>
      </c>
      <c r="HD143" s="970">
        <f>EH143</f>
      </c>
    </row>
    <row r="144" spans="1:212" s="943" customFormat="1" ht="10.199999999999999">
      <c r="A144" s="982" t="s">
        <v>823</v>
      </c>
      <c r="B144" s="942"/>
      <c r="C144" s="942"/>
      <c r="D144" s="942"/>
      <c r="E144" s="941"/>
      <c r="F144" s="942"/>
      <c r="G144" s="942"/>
      <c r="H144" s="942"/>
      <c r="I144" s="941"/>
      <c r="J144" s="942"/>
      <c r="K144" s="942"/>
      <c r="L144" s="942"/>
      <c r="M144" s="941"/>
      <c r="N144" s="942"/>
      <c r="O144" s="942"/>
      <c r="P144" s="942"/>
      <c r="Q144" s="941"/>
      <c r="R144" s="942"/>
      <c r="S144" s="942"/>
      <c r="T144" s="942"/>
      <c r="U144" s="941"/>
      <c r="V144" s="942"/>
      <c r="W144" s="942"/>
      <c r="X144" s="942"/>
      <c r="Y144" s="941"/>
      <c r="Z144" s="942"/>
      <c r="AA144" s="942"/>
      <c r="AB144" s="942"/>
      <c r="AC144" s="941"/>
      <c r="AD144" s="942"/>
      <c r="AE144" s="942"/>
      <c r="AF144" s="942"/>
      <c r="AG144" s="941"/>
      <c r="AH144" s="942"/>
      <c r="AI144" s="942"/>
      <c r="AJ144" s="942"/>
      <c r="AK144" s="941"/>
      <c r="AL144" s="942"/>
      <c r="AM144" s="942"/>
      <c r="AN144" s="942"/>
      <c r="AO144" s="941"/>
      <c r="AP144" s="942"/>
      <c r="AQ144" s="942"/>
      <c r="AR144" s="942"/>
      <c r="AS144" s="941"/>
      <c r="AT144" s="942"/>
      <c r="AU144" s="942"/>
      <c r="AV144" s="942"/>
      <c r="AW144" s="941"/>
      <c r="AX144" s="942"/>
      <c r="AY144" s="942"/>
      <c r="AZ144" s="942"/>
      <c r="BA144" s="941"/>
      <c r="BB144" s="942"/>
      <c r="BC144" s="942"/>
      <c r="BD144" s="942"/>
      <c r="BE144" s="941"/>
      <c r="BF144" s="942"/>
      <c r="BG144" s="942"/>
      <c r="BH144" s="942"/>
      <c r="BI144" s="941"/>
      <c r="BJ144" s="942"/>
      <c r="BK144" s="942"/>
      <c r="BL144" s="942"/>
      <c r="BM144" s="941"/>
      <c r="BN144" s="942"/>
      <c r="BO144" s="942"/>
      <c r="BP144" s="942"/>
      <c r="BQ144" s="941"/>
      <c r="BR144" s="942"/>
      <c r="BS144" s="942"/>
      <c r="BT144" s="942"/>
      <c r="BU144" s="941"/>
      <c r="BV144" s="942"/>
      <c r="BW144" s="942"/>
      <c r="BX144" s="942"/>
      <c r="BY144" s="941"/>
      <c r="BZ144" s="942"/>
      <c r="CA144" s="942"/>
      <c r="CB144" s="942"/>
      <c r="CC144" s="941"/>
      <c r="CD144" s="942"/>
      <c r="CE144" s="942"/>
      <c r="CF144" s="942"/>
      <c r="CG144" s="941"/>
      <c r="CH144" s="944">
        <v>2</v>
      </c>
      <c r="CI144" s="944">
        <v>2</v>
      </c>
      <c r="CJ144" s="1083">
        <v>2</v>
      </c>
      <c r="CK144" s="945">
        <v>2</v>
      </c>
      <c r="CL144" s="944">
        <v>3</v>
      </c>
      <c r="CM144" s="944">
        <v>3.5</v>
      </c>
      <c r="CN144" s="944">
        <v>4</v>
      </c>
      <c r="CO144" s="945">
        <v>4</v>
      </c>
      <c r="CP144" s="1083">
        <v>4.25</v>
      </c>
      <c r="CQ144" s="944">
        <v>4.25</v>
      </c>
      <c r="CR144" s="944">
        <v>4.25</v>
      </c>
      <c r="CS144" s="945">
        <v>4.25</v>
      </c>
      <c r="CT144" s="944">
        <v>4.25</v>
      </c>
      <c r="CU144" s="944">
        <v>4.25</v>
      </c>
      <c r="CV144" s="944">
        <v>4.25</v>
      </c>
      <c r="CW144" s="945">
        <v>4.25</v>
      </c>
      <c r="CX144" s="944">
        <v>4.25</v>
      </c>
      <c r="CY144" s="944">
        <v>4.25</v>
      </c>
      <c r="CZ144" s="944">
        <v>4.25</v>
      </c>
      <c r="DA144" s="945">
        <v>4.25</v>
      </c>
      <c r="DB144" s="944">
        <v>4.25</v>
      </c>
      <c r="DC144" s="944">
        <v>4.25</v>
      </c>
      <c r="DD144" s="944">
        <v>4.5</v>
      </c>
      <c r="DE144" s="945">
        <v>4.75</v>
      </c>
      <c r="DF144" s="944">
        <f>4.25*14/13</f>
      </c>
      <c r="DG144" s="944">
        <f>(DF144*13/14)</f>
      </c>
      <c r="DH144" s="944">
        <v>4.5</v>
      </c>
      <c r="DI144" s="945">
        <v>4.5</v>
      </c>
      <c r="DJ144" s="944">
        <v>4.25</v>
      </c>
      <c r="DK144" s="944">
        <v>4.25</v>
      </c>
      <c r="DL144" s="944">
        <v>4.5</v>
      </c>
      <c r="DM144" s="945">
        <v>4.75</v>
      </c>
      <c r="DN144" s="944">
        <v>4.25</v>
      </c>
      <c r="DO144" s="944">
        <v>4.5</v>
      </c>
      <c r="DP144" s="944">
        <v>4.5</v>
      </c>
      <c r="DQ144" s="945">
        <v>4.75</v>
      </c>
      <c r="DR144" s="944">
        <v>4.25</v>
      </c>
      <c r="DS144" s="944">
        <v>4.5</v>
      </c>
      <c r="DT144" s="944">
        <v>4.5</v>
      </c>
      <c r="DU144" s="945">
        <v>4.75</v>
      </c>
      <c r="DV144" s="944">
        <v>4.25</v>
      </c>
      <c r="DW144" s="944">
        <v>4.5</v>
      </c>
      <c r="DX144" s="944">
        <v>4.5</v>
      </c>
      <c r="DY144" s="945">
        <v>4.75</v>
      </c>
      <c r="DZ144" s="944">
        <v>4.25</v>
      </c>
      <c r="EA144" s="944">
        <v>4.5</v>
      </c>
      <c r="EB144" s="944">
        <v>4.5</v>
      </c>
      <c r="EC144" s="945">
        <v>4.75</v>
      </c>
      <c r="ED144" s="944">
        <v>4.25</v>
      </c>
      <c r="EE144" s="944">
        <v>4.5</v>
      </c>
      <c r="EF144" s="944">
        <v>4.5</v>
      </c>
      <c r="EG144" s="945">
        <v>4.75</v>
      </c>
      <c r="EH144" s="944">
        <v>4.25</v>
      </c>
      <c r="EI144" s="944">
        <v>4.5</v>
      </c>
      <c r="EJ144" s="944">
        <v>4.5</v>
      </c>
      <c r="EK144" s="945">
        <v>4.75</v>
      </c>
      <c r="EM144" s="970"/>
      <c r="EN144" s="970"/>
      <c r="EO144" s="970"/>
      <c r="EP144" s="970"/>
      <c r="EQ144" s="970"/>
      <c r="ER144" s="970"/>
      <c r="ES144" s="970"/>
      <c r="ET144" s="970"/>
      <c r="EU144" s="970"/>
      <c r="EV144" s="970"/>
      <c r="EW144" s="970"/>
      <c r="EX144" s="970"/>
      <c r="EY144" s="970"/>
      <c r="EZ144" s="970"/>
      <c r="FA144" s="970"/>
      <c r="FB144" s="970"/>
      <c r="FC144" s="970"/>
      <c r="FD144" s="970"/>
      <c r="FE144" s="970"/>
      <c r="FF144" s="970"/>
      <c r="FH144" s="943">
        <f t="shared" ref="FH144:FP144" si="1609">FH142/AVERAGE(FG143:FH143)/12</f>
      </c>
      <c r="FI144" s="943">
        <f t="shared" si="1609"/>
      </c>
      <c r="FJ144" s="943">
        <f t="shared" si="1609"/>
      </c>
      <c r="FK144" s="943">
        <f t="shared" si="1609"/>
      </c>
      <c r="FL144" s="943">
        <f t="shared" si="1609"/>
      </c>
      <c r="FM144" s="943">
        <f t="shared" si="1609"/>
      </c>
      <c r="FN144" s="943">
        <f t="shared" si="1609"/>
      </c>
      <c r="FO144" s="943">
        <f t="shared" si="1609"/>
      </c>
      <c r="FP144" s="943">
        <f t="shared" si="1609"/>
      </c>
      <c r="FQ144" s="943">
        <f>FQ142/AVERAGE(FP143:FQ143)/12</f>
      </c>
      <c r="FR144" s="943">
        <f t="shared" ref="FR144:FU144" si="1610">FR142/AVERAGE(FQ143:FR143)/12</f>
      </c>
      <c r="FS144" s="943">
        <f t="shared" si="1610"/>
      </c>
      <c r="FT144" s="943">
        <f t="shared" si="1610"/>
      </c>
      <c r="FU144" s="943">
        <f t="shared" si="1610"/>
      </c>
      <c r="FV144" s="970"/>
      <c r="FW144" s="970"/>
      <c r="FX144" s="970"/>
      <c r="FY144" s="970"/>
      <c r="FZ144" s="970"/>
      <c r="GA144" s="970"/>
      <c r="GB144" s="970"/>
      <c r="GC144" s="970"/>
      <c r="GD144" s="970"/>
      <c r="GE144" s="970"/>
      <c r="GF144" s="970"/>
      <c r="GG144" s="970"/>
      <c r="GH144" s="970"/>
      <c r="GI144" s="970"/>
      <c r="GJ144" s="970"/>
      <c r="GK144" s="970"/>
      <c r="GL144" s="970"/>
      <c r="GM144" s="970"/>
      <c r="GN144" s="970"/>
      <c r="GO144" s="970"/>
      <c r="GP144" s="970"/>
      <c r="GQ144" s="1467">
        <f t="shared" ref="GQ144:GZ144" si="1611">GQ142/AVERAGE(GP143:GQ143)/12</f>
      </c>
      <c r="GR144" s="1467">
        <f t="shared" si="1611"/>
      </c>
      <c r="GS144" s="1467">
        <f t="shared" si="1611"/>
      </c>
      <c r="GT144" s="1467">
        <f t="shared" si="1611"/>
      </c>
      <c r="GU144" s="1467">
        <f t="shared" si="1611"/>
      </c>
      <c r="GV144" s="1467">
        <f t="shared" si="1611"/>
      </c>
      <c r="GW144" s="1467">
        <f t="shared" si="1611"/>
      </c>
      <c r="GX144" s="1467">
        <f t="shared" si="1611"/>
      </c>
      <c r="GY144" s="1467">
        <f t="shared" si="1611"/>
      </c>
      <c r="GZ144" s="1467">
        <f t="shared" si="1611"/>
      </c>
      <c r="HA144" s="1467">
        <f t="shared" ref="HA144" si="1612">HA142/AVERAGE(GZ143:HA143)/12</f>
      </c>
      <c r="HB144" s="1467">
        <f t="shared" ref="HB144" si="1613">HB142/AVERAGE(HA143:HB143)/12</f>
      </c>
      <c r="HC144" s="1467">
        <f t="shared" ref="HC144" si="1614">HC142/AVERAGE(HB143:HC143)/12</f>
      </c>
      <c r="HD144" s="1467">
        <f t="shared" ref="HD144" si="1615">HD142/AVERAGE(HC143:HD143)/12</f>
      </c>
    </row>
    <row r="145" spans="1:212" s="970" customFormat="1" ht="10.199999999999999">
      <c r="A145" s="994" t="s">
        <v>1228</v>
      </c>
      <c r="E145" s="971"/>
      <c r="I145" s="971"/>
      <c r="M145" s="971"/>
      <c r="Q145" s="971"/>
      <c r="U145" s="971"/>
      <c r="Y145" s="971"/>
      <c r="AC145" s="971"/>
      <c r="AG145" s="971"/>
      <c r="AK145" s="971"/>
      <c r="AO145" s="971"/>
      <c r="AS145" s="971"/>
      <c r="AW145" s="971"/>
      <c r="BA145" s="971"/>
      <c r="BE145" s="971"/>
      <c r="BI145" s="971"/>
      <c r="BM145" s="971"/>
      <c r="BQ145" s="971"/>
      <c r="BU145" s="971"/>
      <c r="BV145" s="925"/>
      <c r="BY145" s="971"/>
      <c r="BZ145" s="925"/>
      <c r="CC145" s="971"/>
      <c r="CD145" s="925"/>
      <c r="CG145" s="971"/>
      <c r="CI145" s="968">
        <f>MAX(('Segment - Products'!CI232-'Segment - Products'!CH232)*0.15,0)</f>
      </c>
      <c r="CJ145" s="968">
        <f>MAX(('Segment - Products'!CJ232-'Segment - Products'!CI232)*0.15,0)</f>
      </c>
      <c r="CK145" s="969">
        <f>MAX(('Segment - Products'!CK232-'Segment - Products'!CJ232)*0.15,0)</f>
      </c>
      <c r="CL145" s="1052">
        <f>MAX(('Segment - Products'!CL232-'Segment - Products'!CK232)*0.15,0)</f>
      </c>
      <c r="CM145" s="968">
        <f>MAX(('Segment - Products'!CM232-'Segment - Products'!CL232)*0.15,0)</f>
      </c>
      <c r="CN145" s="968">
        <f>MAX(('Segment - Products'!CN232-'Segment - Products'!CM232)*0.15,0)</f>
      </c>
      <c r="CO145" s="969">
        <f>MAX(('Segment - Products'!CO232-'Segment - Products'!CN232)*0.15,0)</f>
      </c>
      <c r="CP145" s="1052">
        <f>MAX(('Segment - Products'!CP232-'Segment - Products'!CO232)*0.15,0)</f>
      </c>
      <c r="CQ145" s="968">
        <f>MAX(('Segment - Products'!CQ232-'Segment - Products'!CP232)*0.15,0)</f>
      </c>
      <c r="CR145" s="968">
        <f>MAX(('Segment - Products'!CR232-'Segment - Products'!CQ232)*0.15,0)</f>
      </c>
      <c r="CS145" s="969">
        <f>MAX(('Segment - Products'!CS232-'Segment - Products'!CR232)*0.15,0)</f>
      </c>
      <c r="CT145" s="1052">
        <f>MAX(('Segment - Products'!CT232-'Segment - Products'!CS232)*0.15,0)</f>
      </c>
      <c r="CU145" s="968">
        <f>MAX(('Segment - Products'!CU232-'Segment - Products'!CT232)*0.15,0)</f>
      </c>
      <c r="CV145" s="968">
        <f>-CU143*0.02</f>
      </c>
      <c r="CW145" s="969">
        <f>MAX(('Segment - Products'!CW232-'Segment - Products'!CV232)*0.15,0)</f>
      </c>
      <c r="CX145" s="1052">
        <f>MAX(('Segment - Products'!CX232-'Segment - Products'!CW232)*0.15,0)</f>
      </c>
      <c r="CY145" s="968">
        <f>MAX(('Segment - Products'!CY232-'Segment - Products'!CX232)*0.15,0)</f>
      </c>
      <c r="CZ145" s="968">
        <f>MAX(('Segment - Products'!CZ232-'Segment - Products'!CY232)*0.15,0)</f>
      </c>
      <c r="DA145" s="969">
        <f>MAX(('Segment - Products'!DA232-'Segment - Products'!CZ232)*0.15,0)</f>
      </c>
      <c r="DB145" s="1052">
        <f>MAX(('Segment - Products'!DB232-'Segment - Products'!DA232)*0.15,0)</f>
      </c>
      <c r="DC145" s="968">
        <f>MAX(('Segment - Products'!DC232-'Segment - Products'!DB232)*0.15,0)</f>
      </c>
      <c r="DD145" s="968">
        <f>MAX(('Segment - Products'!DD232-'Segment - Products'!DC232)*0.2,0)</f>
      </c>
      <c r="DE145" s="969">
        <f>MAX(('Segment - Products'!DE232-'Segment - Products'!DD232)*0.2,0)</f>
      </c>
      <c r="DF145" s="973">
        <f>MAX(('Segment - Products'!DF232-'Segment - Products'!DE232)*0.05,0)</f>
      </c>
      <c r="DG145" s="968">
        <f>MAX(('Segment - Products'!DG232-'Segment - Products'!DF232)*0.2,0)</f>
      </c>
      <c r="DH145" s="968">
        <f>MAX(('Segment - Products'!DH232-'Segment - Products'!DG232)*0.2,0)</f>
      </c>
      <c r="DI145" s="969">
        <f>MAX(('Segment - Products'!DI232-'Segment - Products'!DH232)*0.2,0)</f>
      </c>
      <c r="DJ145" s="973">
        <v>10</v>
      </c>
      <c r="DK145" s="968">
        <v>-5</v>
      </c>
      <c r="DL145" s="968">
        <f>MAX(('Segment - Products'!DL232-'Segment - Products'!DK232)*0.2,0)</f>
      </c>
      <c r="DM145" s="969">
        <f>MAX(('Segment - Products'!DM232-'Segment - Products'!DL232)*0.2,0)</f>
      </c>
      <c r="DN145" s="973">
        <f>MAX(('Segment - Products'!DN232-'Segment - Products'!DM232)*0.2,0)</f>
      </c>
      <c r="DO145" s="968">
        <f>MAX(('Segment - Products'!DO232-'Segment - Products'!DN232)*0.2,0)</f>
      </c>
      <c r="DP145" s="968">
        <f>MAX(('Segment - Products'!DP232-'Segment - Products'!DO232)*0.2,0)</f>
      </c>
      <c r="DQ145" s="969">
        <f>MAX(('Segment - Products'!DQ232-'Segment - Products'!DP232)*0.2,0)</f>
      </c>
      <c r="DR145" s="973">
        <f>MAX(('Segment - Products'!DR232-'Segment - Products'!DQ232)*0.2,0)</f>
      </c>
      <c r="DS145" s="968">
        <f>MAX(('Segment - Products'!DS232-'Segment - Products'!DR232)*0.2,0)</f>
      </c>
      <c r="DT145" s="968">
        <f>MAX(('Segment - Products'!DT232-'Segment - Products'!DS232)*0.2,0)</f>
      </c>
      <c r="DU145" s="969">
        <f>MAX(('Segment - Products'!DU232-'Segment - Products'!DT232)*0.2,0)</f>
      </c>
      <c r="DV145" s="973">
        <f>MAX(('Segment - Products'!DV232-'Segment - Products'!DU232)*0.2,0)</f>
      </c>
      <c r="DW145" s="968">
        <f>MAX(('Segment - Products'!DW232-'Segment - Products'!DV232)*0.2,0)</f>
      </c>
      <c r="DX145" s="968">
        <f>MAX(('Segment - Products'!DX232-'Segment - Products'!DW232)*0.2,0)</f>
      </c>
      <c r="DY145" s="969">
        <f>MAX(('Segment - Products'!DY232-'Segment - Products'!DX232)*0.2,0)</f>
      </c>
      <c r="DZ145" s="973">
        <f>MAX(('Segment - Products'!DZ232-'Segment - Products'!DY232)*0.2,0)</f>
      </c>
      <c r="EA145" s="968">
        <f>MAX(('Segment - Products'!EA232-'Segment - Products'!DZ232)*0.2,0)</f>
      </c>
      <c r="EB145" s="968">
        <f>MAX(('Segment - Products'!EB232-'Segment - Products'!EA232)*0.2,0)</f>
      </c>
      <c r="EC145" s="969">
        <f>MAX(('Segment - Products'!EC232-'Segment - Products'!EB232)*0.2,0)</f>
      </c>
      <c r="ED145" s="973">
        <f>MAX(('Segment - Products'!ED232-'Segment - Products'!EC232)*0.2,0)</f>
      </c>
      <c r="EE145" s="968">
        <f>MAX(('Segment - Products'!EE232-'Segment - Products'!ED232)*0.2,0)</f>
      </c>
      <c r="EF145" s="968">
        <f>MAX(('Segment - Products'!EF232-'Segment - Products'!EE232)*0.2,0)</f>
      </c>
      <c r="EG145" s="969">
        <f>MAX(('Segment - Products'!EG232-'Segment - Products'!EF232)*0.2,0)</f>
      </c>
      <c r="EH145" s="973">
        <f>MAX(('Segment - Products'!EH232-'Segment - Products'!EG232)*0.2,0)</f>
      </c>
      <c r="EI145" s="968">
        <f>MAX(('Segment - Products'!EI232-'Segment - Products'!EH232)*0.2,0)</f>
      </c>
      <c r="EJ145" s="968">
        <f>MAX(('Segment - Products'!EJ232-'Segment - Products'!EI232)*0.2,0)</f>
      </c>
      <c r="EK145" s="969">
        <f>MAX(('Segment - Products'!EK232-'Segment - Products'!EJ232)*0.2,0)</f>
      </c>
      <c r="FE145" s="970">
        <f t="shared" ref="FE145" si="1616">SUM(BV145:BY145)</f>
      </c>
      <c r="FF145" s="970">
        <f t="shared" ref="FF145" si="1617">SUM(BZ145:CC145)</f>
      </c>
      <c r="FG145" s="970">
        <f t="shared" ref="FG145" si="1618">SUM(CD145:CG145)</f>
      </c>
      <c r="FH145" s="970">
        <f t="shared" ref="FH145" si="1619">SUM(CH145:CK145)</f>
      </c>
      <c r="FI145" s="970">
        <f t="shared" ref="FI145" si="1620">SUM(CL145:CO145)</f>
      </c>
      <c r="FJ145" s="970">
        <f t="shared" ref="FJ145" si="1621">SUM(CP145:CS145)</f>
      </c>
      <c r="FK145" s="970">
        <f t="shared" ref="FK145" si="1622">SUM(CT145:CW145)</f>
      </c>
      <c r="FL145" s="970">
        <f t="shared" ref="FL145" si="1623">SUM(CX145:DA145)</f>
      </c>
      <c r="FM145" s="970">
        <f t="shared" ref="FM145" si="1624">SUM(DB145:DE145)</f>
      </c>
      <c r="FN145" s="970">
        <f t="shared" ref="FN145" si="1625">SUM(DF145:DI145)</f>
      </c>
      <c r="FO145" s="970">
        <f t="shared" ref="FO145" si="1626">SUM(DJ145:DM145)</f>
      </c>
      <c r="FP145" s="970">
        <f>SUM(DN145:DQ145)</f>
      </c>
      <c r="FQ145" s="970">
        <f>SUM(DR145:DU145)</f>
      </c>
      <c r="FR145" s="970">
        <f>SUM(DV145:DY145)</f>
      </c>
      <c r="FS145" s="970">
        <f>SUM(DZ145:EC145)</f>
      </c>
      <c r="FT145" s="970">
        <f>SUM(ED145:EG145)</f>
      </c>
      <c r="FU145" s="970">
        <f>SUM(EH145:EK145)</f>
      </c>
      <c r="GQ145" s="972">
        <f t="shared" ref="GQ145:GZ145" si="1627">GQ143-GP143</f>
      </c>
      <c r="GR145" s="972">
        <f t="shared" si="1627"/>
      </c>
      <c r="GS145" s="972">
        <f t="shared" si="1627"/>
      </c>
      <c r="GT145" s="972">
        <f t="shared" si="1627"/>
      </c>
      <c r="GU145" s="972">
        <f t="shared" si="1627"/>
      </c>
      <c r="GV145" s="972">
        <f t="shared" si="1627"/>
      </c>
      <c r="GW145" s="972">
        <f t="shared" si="1627"/>
      </c>
      <c r="GX145" s="972">
        <f t="shared" si="1627"/>
      </c>
      <c r="GY145" s="972">
        <f t="shared" si="1627"/>
      </c>
      <c r="GZ145" s="972">
        <f t="shared" si="1627"/>
      </c>
      <c r="HA145" s="972">
        <f t="shared" ref="HA145" si="1628">HA143-GZ143</f>
      </c>
      <c r="HB145" s="972">
        <f t="shared" ref="HB145" si="1629">HB143-HA143</f>
      </c>
      <c r="HC145" s="972">
        <f t="shared" ref="HC145" si="1630">HC143-HB143</f>
      </c>
      <c r="HD145" s="972">
        <f t="shared" ref="HD145" si="1631">HD143-HC143</f>
      </c>
    </row>
    <row r="146" spans="1:212" s="88" customFormat="1" ht="10.199999999999999">
      <c r="A146" s="1050" t="s">
        <v>1229</v>
      </c>
      <c r="B146" s="1051"/>
      <c r="C146" s="1051"/>
      <c r="D146" s="1051"/>
      <c r="E146" s="1008"/>
      <c r="F146" s="1051"/>
      <c r="G146" s="1051"/>
      <c r="H146" s="1051"/>
      <c r="I146" s="1008"/>
      <c r="J146" s="1051"/>
      <c r="K146" s="1051"/>
      <c r="L146" s="1051"/>
      <c r="M146" s="1008"/>
      <c r="N146" s="1051"/>
      <c r="O146" s="1051"/>
      <c r="P146" s="1051"/>
      <c r="Q146" s="1008"/>
      <c r="R146" s="1051"/>
      <c r="S146" s="1051"/>
      <c r="T146" s="1051"/>
      <c r="U146" s="1008"/>
      <c r="V146" s="1051"/>
      <c r="W146" s="1051"/>
      <c r="X146" s="1051"/>
      <c r="Y146" s="1008"/>
      <c r="Z146" s="1051"/>
      <c r="AA146" s="1051"/>
      <c r="AB146" s="1051"/>
      <c r="AC146" s="1008"/>
      <c r="AD146" s="1051"/>
      <c r="AE146" s="1051"/>
      <c r="AF146" s="1051"/>
      <c r="AG146" s="1008"/>
      <c r="AH146" s="1051"/>
      <c r="AI146" s="1051"/>
      <c r="AJ146" s="1051"/>
      <c r="AK146" s="1008"/>
      <c r="AL146" s="1051"/>
      <c r="AM146" s="1051"/>
      <c r="AN146" s="1051"/>
      <c r="AO146" s="1008"/>
      <c r="AP146" s="1051"/>
      <c r="AQ146" s="1051"/>
      <c r="AR146" s="1051"/>
      <c r="AS146" s="1008"/>
      <c r="AT146" s="1051"/>
      <c r="AU146" s="1051"/>
      <c r="AV146" s="1051"/>
      <c r="AW146" s="1008"/>
      <c r="AX146" s="1051"/>
      <c r="AY146" s="1051"/>
      <c r="AZ146" s="1051"/>
      <c r="BA146" s="1008"/>
      <c r="BB146" s="1051"/>
      <c r="BC146" s="1051"/>
      <c r="BD146" s="1051"/>
      <c r="BE146" s="1008"/>
      <c r="BF146" s="1051"/>
      <c r="BG146" s="1051"/>
      <c r="BH146" s="1051"/>
      <c r="BI146" s="1008"/>
      <c r="BJ146" s="1051"/>
      <c r="BK146" s="1051"/>
      <c r="BL146" s="1051"/>
      <c r="BM146" s="1008"/>
      <c r="BN146" s="1051"/>
      <c r="BO146" s="1051"/>
      <c r="BP146" s="1051"/>
      <c r="BQ146" s="1008"/>
      <c r="BR146" s="1051"/>
      <c r="BS146" s="1051"/>
      <c r="BT146" s="1051"/>
      <c r="BU146" s="1008"/>
      <c r="BV146" s="1049"/>
      <c r="BW146" s="1051"/>
      <c r="BX146" s="1051"/>
      <c r="BY146" s="1008"/>
      <c r="BZ146" s="1049"/>
      <c r="CA146" s="1051"/>
      <c r="CB146" s="1051"/>
      <c r="CC146" s="1008"/>
      <c r="CD146" s="1049"/>
      <c r="CE146" s="1051"/>
      <c r="CF146" s="1051"/>
      <c r="CG146" s="1008"/>
      <c r="CH146" s="1051">
        <f>CH142/'Segment - Products'!CH19</f>
      </c>
      <c r="CI146" s="1051">
        <f>CI142/'Segment - Products'!CI19</f>
      </c>
      <c r="CJ146" s="1051">
        <f>CJ142/'Segment - Products'!CJ19</f>
      </c>
      <c r="CK146" s="1008">
        <f>CK142/'Segment - Products'!CK19</f>
      </c>
      <c r="CL146" s="1049">
        <f>CL142/'Segment - Products'!CL19</f>
      </c>
      <c r="CM146" s="1051">
        <f>CM142/'Segment - Products'!CM19</f>
      </c>
      <c r="CN146" s="1051">
        <f>CN142/'Segment - Products'!CN19</f>
      </c>
      <c r="CO146" s="1008">
        <f>CO142/'Segment - Products'!CO19</f>
      </c>
      <c r="CP146" s="1049">
        <f>CP142/'Segment - Products'!CP19</f>
      </c>
      <c r="CQ146" s="1051">
        <f>CQ142/'Segment - Products'!CQ19</f>
      </c>
      <c r="CR146" s="1051">
        <f>CR142/'Segment - Products'!CR19</f>
      </c>
      <c r="CS146" s="1008">
        <f>CS142/'Segment - Products'!CS19</f>
      </c>
      <c r="CT146" s="1049">
        <f>CT142/'Segment - Products'!CT19</f>
      </c>
      <c r="CU146" s="1051">
        <f>CU142/'Segment - Products'!CU19</f>
      </c>
      <c r="CV146" s="1051">
        <f>CV142/'Segment - Products'!CV19</f>
      </c>
      <c r="CW146" s="1008">
        <f>CW142/'Segment - Products'!CW19</f>
      </c>
      <c r="CX146" s="1049">
        <f>CX142/'Segment - Products'!CX19</f>
      </c>
      <c r="CY146" s="1051">
        <f>CY142/'Segment - Products'!CY19</f>
      </c>
      <c r="CZ146" s="1051">
        <f>CZ142/'Segment - Products'!CZ19</f>
      </c>
      <c r="DA146" s="1008">
        <f>DA142/'Segment - Products'!DA19</f>
      </c>
      <c r="DB146" s="1049">
        <f>DB142/'Segment - Products'!DB19</f>
      </c>
      <c r="DC146" s="1051">
        <f>DC142/'Segment - Products'!DC19</f>
      </c>
      <c r="DD146" s="1051">
        <f>DD142/'Segment - Products'!DD19</f>
      </c>
      <c r="DE146" s="1008">
        <f>DE142/'Segment - Products'!DE19</f>
      </c>
      <c r="DF146" s="1049">
        <f>DF142/'Segment - Products'!DF19</f>
      </c>
      <c r="DG146" s="1051">
        <f>DG142/'Segment - Products'!DG19</f>
      </c>
      <c r="DH146" s="1051">
        <f>DH142/'Segment - Products'!DH19</f>
      </c>
      <c r="DI146" s="1008">
        <f>DI142/'Segment - Products'!DI19</f>
      </c>
      <c r="DJ146" s="1049">
        <f>DJ142/'Segment - Products'!DJ19</f>
      </c>
      <c r="DK146" s="1051">
        <f>DK142/'Segment - Products'!DK19</f>
      </c>
      <c r="DL146" s="1051">
        <f>DL142/'Segment - Products'!DL19</f>
      </c>
      <c r="DM146" s="1008">
        <f>DM142/'Segment - Products'!DM19</f>
      </c>
      <c r="DN146" s="1049">
        <f>DN142/'Segment - Products'!DN19</f>
      </c>
      <c r="DO146" s="1051">
        <f>DO142/'Segment - Products'!DO19</f>
      </c>
      <c r="DP146" s="1051">
        <f>DP142/'Segment - Products'!DP19</f>
      </c>
      <c r="DQ146" s="1008">
        <f>DQ142/'Segment - Products'!DQ19</f>
      </c>
      <c r="DR146" s="1049">
        <f>DR142/'Segment - Products'!DR19</f>
      </c>
      <c r="DS146" s="1051">
        <f>DS142/'Segment - Products'!DS19</f>
      </c>
      <c r="DT146" s="1051">
        <f>DT142/'Segment - Products'!DT19</f>
      </c>
      <c r="DU146" s="1008">
        <f>DU142/'Segment - Products'!DU19</f>
      </c>
      <c r="DV146" s="1049">
        <f>DV142/'Segment - Products'!DV19</f>
      </c>
      <c r="DW146" s="1051">
        <f>DW142/'Segment - Products'!DW19</f>
      </c>
      <c r="DX146" s="1051">
        <f>DX142/'Segment - Products'!DX19</f>
      </c>
      <c r="DY146" s="1008">
        <f>DY142/'Segment - Products'!DY19</f>
      </c>
      <c r="DZ146" s="1049">
        <f>DZ142/'Segment - Products'!DZ19</f>
      </c>
      <c r="EA146" s="1051">
        <f>EA142/'Segment - Products'!EA19</f>
      </c>
      <c r="EB146" s="1051">
        <f>EB142/'Segment - Products'!EB19</f>
      </c>
      <c r="EC146" s="1008">
        <f>EC142/'Segment - Products'!EC19</f>
      </c>
      <c r="ED146" s="1049">
        <f>ED142/'Segment - Products'!ED19</f>
      </c>
      <c r="EE146" s="1051">
        <f>EE142/'Segment - Products'!EE19</f>
      </c>
      <c r="EF146" s="1051">
        <f>EF142/'Segment - Products'!EF19</f>
      </c>
      <c r="EG146" s="1008">
        <f>EG142/'Segment - Products'!EG19</f>
      </c>
      <c r="EH146" s="1049">
        <f>EH142/'Segment - Products'!EH19</f>
      </c>
      <c r="EI146" s="1051">
        <f>EI142/'Segment - Products'!EI19</f>
      </c>
      <c r="EJ146" s="1051">
        <f>EJ142/'Segment - Products'!EJ19</f>
      </c>
      <c r="EK146" s="1008">
        <f>EK142/'Segment - Products'!EK19</f>
      </c>
      <c r="FE146" s="88">
        <f>FE142/'Segment - Products'!FE19</f>
      </c>
      <c r="FF146" s="88">
        <f>FF142/'Segment - Products'!FF19</f>
      </c>
      <c r="FG146" s="88">
        <f>FG142/'Segment - Products'!FG19</f>
      </c>
      <c r="FH146" s="88">
        <f>FH142/'Segment - Products'!FH19</f>
      </c>
      <c r="FI146" s="88">
        <f>FI142/'Segment - Products'!FI19</f>
      </c>
      <c r="FJ146" s="88">
        <f>FJ142/'Segment - Products'!FJ19</f>
      </c>
      <c r="FK146" s="88">
        <f>FK142/'Segment - Products'!FK19</f>
      </c>
      <c r="FL146" s="88">
        <f>FL142/'Segment - Products'!FL19</f>
      </c>
      <c r="FM146" s="88">
        <f>FM142/'Segment - Products'!FM19</f>
      </c>
      <c r="FN146" s="88">
        <f>FN142/'Segment - Products'!FN19</f>
      </c>
      <c r="FO146" s="88">
        <f>FO142/'Segment - Products'!FO19</f>
      </c>
      <c r="FP146" s="88">
        <f>FP142/'Segment - Products'!FP19</f>
      </c>
      <c r="FQ146" s="88">
        <f>FQ142/'Segment - Products'!FQ19</f>
      </c>
      <c r="FR146" s="88">
        <f>FR142/'Segment - Products'!FR19</f>
      </c>
      <c r="FS146" s="88">
        <f>FS142/'Segment - Products'!FS19</f>
      </c>
      <c r="FT146" s="88">
        <f>FT142/'Segment - Products'!FT19</f>
      </c>
      <c r="FU146" s="88">
        <f>FU142/'Segment - Products'!FU19</f>
      </c>
      <c r="GQ146" s="88">
        <f>GQ142/'Segment - Products'!GS19</f>
      </c>
      <c r="GR146" s="88">
        <f>GR142/'Segment - Products'!GT19</f>
      </c>
      <c r="GS146" s="88">
        <f>GS142/'Segment - Products'!GU19</f>
      </c>
      <c r="GT146" s="88">
        <f>GT142/'Segment - Products'!GV19</f>
      </c>
      <c r="GU146" s="88">
        <f>GU142/'Segment - Products'!GW19</f>
      </c>
      <c r="GV146" s="88">
        <f>GV142/'Segment - Products'!GX19</f>
      </c>
      <c r="GW146" s="88">
        <f>GW142/'Segment - Products'!GY19</f>
      </c>
      <c r="GX146" s="88">
        <f>GX142/'Segment - Products'!GZ19</f>
      </c>
      <c r="GY146" s="88">
        <f>GY142/'Segment - Products'!HA19</f>
      </c>
      <c r="GZ146" s="88">
        <f>GZ142/'Segment - Products'!HB19</f>
      </c>
      <c r="HA146" s="88">
        <f>HA142/'Segment - Products'!HC19</f>
      </c>
      <c r="HB146" s="88">
        <f>HB142/'Segment - Products'!HD19</f>
      </c>
      <c r="HC146" s="88">
        <f>HC142/'Segment - Products'!HE19</f>
      </c>
      <c r="HD146" s="88">
        <f>HD142/'Segment - Products'!HF19</f>
      </c>
    </row>
    <row r="147" spans="1:212" s="89" customFormat="1" ht="10.199999999999999">
      <c r="A147" s="152"/>
      <c r="E147" s="260"/>
      <c r="I147" s="260"/>
      <c r="M147" s="260"/>
      <c r="Q147" s="260"/>
      <c r="U147" s="260"/>
      <c r="Y147" s="260"/>
      <c r="AC147" s="260"/>
      <c r="AG147" s="260"/>
      <c r="AJ147" s="72"/>
      <c r="AK147" s="227"/>
      <c r="AL147" s="72"/>
      <c r="AM147" s="72"/>
      <c r="AN147" s="72"/>
      <c r="AO147" s="227"/>
      <c r="AP147" s="72"/>
      <c r="AQ147" s="72"/>
      <c r="AR147" s="72"/>
      <c r="AS147" s="227"/>
      <c r="AT147" s="72"/>
      <c r="AU147" s="72"/>
      <c r="AV147" s="72"/>
      <c r="AW147" s="227"/>
      <c r="AX147" s="72"/>
      <c r="AY147" s="72"/>
      <c r="AZ147" s="72"/>
      <c r="BA147" s="227"/>
      <c r="BB147" s="72"/>
      <c r="BC147" s="72"/>
      <c r="BD147" s="72"/>
      <c r="BE147" s="227"/>
      <c r="BF147" s="72"/>
      <c r="BG147" s="72"/>
      <c r="BH147" s="72"/>
      <c r="BI147" s="227"/>
      <c r="BJ147" s="72"/>
      <c r="BK147" s="72"/>
      <c r="BL147" s="72"/>
      <c r="BM147" s="227"/>
      <c r="BN147" s="72"/>
      <c r="BO147" s="72"/>
      <c r="BP147" s="72"/>
      <c r="BQ147" s="227"/>
      <c r="BR147" s="72"/>
      <c r="BS147" s="72"/>
      <c r="BT147" s="72"/>
      <c r="BU147" s="227"/>
      <c r="BV147" s="355"/>
      <c r="BW147" s="72"/>
      <c r="BX147" s="72"/>
      <c r="BY147" s="227"/>
      <c r="BZ147" s="355"/>
      <c r="CA147" s="72"/>
      <c r="CB147" s="72"/>
      <c r="CC147" s="227"/>
      <c r="CD147" s="355"/>
      <c r="CE147" s="72"/>
      <c r="CF147" s="72"/>
      <c r="CG147" s="227"/>
      <c r="CH147" s="355"/>
      <c r="CI147" s="72"/>
      <c r="CJ147" s="72"/>
      <c r="CK147" s="227"/>
      <c r="CL147" s="355"/>
      <c r="CM147" s="72"/>
      <c r="CN147" s="72"/>
      <c r="CO147" s="227"/>
      <c r="CP147" s="72"/>
      <c r="CQ147" s="87"/>
      <c r="CR147" s="87"/>
      <c r="CS147" s="227"/>
      <c r="CT147" s="72"/>
      <c r="CU147" s="87"/>
      <c r="CV147" s="87"/>
      <c r="CW147" s="416"/>
      <c r="CX147" s="87"/>
      <c r="CY147" s="87"/>
      <c r="CZ147" s="87"/>
      <c r="DA147" s="416"/>
      <c r="DB147" s="87"/>
      <c r="DC147" s="87"/>
      <c r="DD147" s="87"/>
      <c r="DE147" s="1474"/>
      <c r="DF147" s="419"/>
      <c r="DG147" s="71"/>
      <c r="DH147" s="71"/>
      <c r="DI147" s="232"/>
      <c r="DJ147" s="419"/>
      <c r="DK147" s="71"/>
      <c r="DL147" s="71"/>
      <c r="DM147" s="232"/>
      <c r="DN147" s="419"/>
      <c r="DO147" s="71"/>
      <c r="DP147" s="71"/>
      <c r="DQ147" s="232"/>
      <c r="DR147" s="419"/>
      <c r="DS147" s="71"/>
      <c r="DT147" s="71"/>
      <c r="DU147" s="232"/>
      <c r="DV147" s="419"/>
      <c r="DW147" s="71"/>
      <c r="DX147" s="71"/>
      <c r="DY147" s="232"/>
      <c r="DZ147" s="419"/>
      <c r="EA147" s="71"/>
      <c r="EB147" s="71"/>
      <c r="EC147" s="232"/>
      <c r="ED147" s="419"/>
      <c r="EE147" s="71"/>
      <c r="EF147" s="71"/>
      <c r="EG147" s="232"/>
      <c r="EH147" s="419"/>
      <c r="EI147" s="71"/>
      <c r="EJ147" s="71"/>
      <c r="EK147" s="232"/>
      <c r="EU147" s="72"/>
      <c r="EV147" s="72"/>
      <c r="EW147" s="72"/>
      <c r="EX147" s="72"/>
      <c r="EY147" s="72"/>
      <c r="EZ147" s="72"/>
      <c r="FA147" s="72"/>
      <c r="FB147" s="72"/>
      <c r="FC147" s="72"/>
      <c r="FD147" s="72"/>
      <c r="FE147" s="72"/>
      <c r="FF147" s="72"/>
      <c r="FG147" s="72"/>
      <c r="FH147" s="72"/>
      <c r="FI147" s="72"/>
      <c r="FJ147" s="72"/>
      <c r="FK147" s="72"/>
      <c r="FL147" s="72"/>
      <c r="FM147" s="72"/>
      <c r="FN147" s="72"/>
      <c r="FO147" s="72"/>
      <c r="FP147" s="72"/>
      <c r="FQ147" s="72"/>
      <c r="FR147" s="72"/>
      <c r="FS147" s="72"/>
      <c r="FT147" s="72"/>
      <c r="FU147" s="72"/>
      <c r="FV147" s="88"/>
      <c r="GE147" s="72"/>
      <c r="GF147" s="72"/>
      <c r="GG147" s="72"/>
      <c r="GH147" s="72"/>
      <c r="GI147" s="72"/>
      <c r="GJ147" s="72"/>
      <c r="GK147" s="72"/>
      <c r="GL147" s="72"/>
      <c r="GM147" s="72"/>
      <c r="GN147" s="72"/>
      <c r="GO147" s="72"/>
      <c r="GP147" s="72"/>
      <c r="GQ147" s="72"/>
      <c r="GR147" s="72"/>
      <c r="GS147" s="72"/>
      <c r="GT147" s="72"/>
      <c r="GU147" s="72"/>
      <c r="GV147" s="72"/>
      <c r="GW147" s="72"/>
      <c r="GX147" s="72"/>
      <c r="GY147" s="72"/>
      <c r="GZ147" s="72"/>
      <c r="HA147" s="72"/>
      <c r="HB147" s="72"/>
      <c r="HC147" s="72"/>
      <c r="HD147" s="72"/>
    </row>
    <row r="148" spans="1:212" s="16" customFormat="1" ht="10.199999999999999">
      <c r="A148" s="708" t="s">
        <v>1232</v>
      </c>
      <c r="B148" s="706" t="str">
        <f>'Revenue summary'!B$8</f>
      </c>
      <c r="C148" s="706" t="str">
        <f>'Revenue summary'!C$8</f>
      </c>
      <c r="D148" s="706" t="str">
        <f>'Revenue summary'!D$8</f>
      </c>
      <c r="E148" s="707" t="str">
        <f>'Revenue summary'!E$8</f>
      </c>
      <c r="F148" s="706" t="str">
        <f>'Revenue summary'!F$8</f>
      </c>
      <c r="G148" s="706" t="str">
        <f>'Revenue summary'!G$8</f>
      </c>
      <c r="H148" s="706" t="str">
        <f>'Revenue summary'!H$8</f>
      </c>
      <c r="I148" s="707" t="str">
        <f>'Revenue summary'!I$8</f>
      </c>
      <c r="J148" s="706" t="str">
        <f>'Revenue summary'!J$8</f>
      </c>
      <c r="K148" s="706" t="str">
        <f>'Revenue summary'!K$8</f>
      </c>
      <c r="L148" s="706" t="str">
        <f>'Revenue summary'!L$8</f>
      </c>
      <c r="M148" s="707" t="str">
        <f>'Revenue summary'!M$8</f>
      </c>
      <c r="N148" s="706" t="str">
        <f>'Revenue summary'!N$8</f>
      </c>
      <c r="O148" s="706" t="str">
        <f>'Revenue summary'!O$8</f>
      </c>
      <c r="P148" s="706" t="str">
        <f>'Revenue summary'!P$8</f>
      </c>
      <c r="Q148" s="707" t="str">
        <f>'Revenue summary'!Q$8</f>
      </c>
      <c r="R148" s="706" t="str">
        <f>'Revenue summary'!R$8</f>
      </c>
      <c r="S148" s="706" t="str">
        <f>'Revenue summary'!S$8</f>
      </c>
      <c r="T148" s="706" t="str">
        <f>'Revenue summary'!T$8</f>
      </c>
      <c r="U148" s="707" t="str">
        <f>'Revenue summary'!U$8</f>
      </c>
      <c r="V148" s="706" t="str">
        <f>'Revenue summary'!V$8</f>
      </c>
      <c r="W148" s="706" t="str">
        <f>'Revenue summary'!W$8</f>
      </c>
      <c r="X148" s="706" t="str">
        <f>'Revenue summary'!X$8</f>
      </c>
      <c r="Y148" s="707" t="str">
        <f>'Revenue summary'!Y$8</f>
      </c>
      <c r="Z148" s="706" t="str">
        <f>'Revenue summary'!Z$8</f>
      </c>
      <c r="AA148" s="706" t="str">
        <f>'Revenue summary'!AA$8</f>
      </c>
      <c r="AB148" s="706" t="str">
        <f>'Revenue summary'!AB$8</f>
      </c>
      <c r="AC148" s="707" t="str">
        <f>'Revenue summary'!AC$8</f>
      </c>
      <c r="AD148" s="706" t="str">
        <f>'Revenue summary'!AD$8</f>
      </c>
      <c r="AE148" s="706" t="str">
        <f>'Revenue summary'!AE$8</f>
      </c>
      <c r="AF148" s="706" t="str">
        <f>'Revenue summary'!AF$8</f>
      </c>
      <c r="AG148" s="707" t="str">
        <f>'Revenue summary'!AG$8</f>
      </c>
      <c r="AH148" s="706" t="str">
        <f>'Revenue summary'!AH$8</f>
      </c>
      <c r="AI148" s="706" t="str">
        <f>'Revenue summary'!AI$8</f>
      </c>
      <c r="AJ148" s="706" t="str">
        <f>'Revenue summary'!AJ$8</f>
      </c>
      <c r="AK148" s="707" t="str">
        <f>'Revenue summary'!AK$8</f>
      </c>
      <c r="AL148" s="706" t="str">
        <f>'Revenue summary'!AL$8</f>
      </c>
      <c r="AM148" s="706" t="str">
        <f>'Revenue summary'!AM$8</f>
      </c>
      <c r="AN148" s="706" t="str">
        <f>'Revenue summary'!AN$8</f>
      </c>
      <c r="AO148" s="707" t="str">
        <f>'Revenue summary'!AO$8</f>
      </c>
      <c r="AP148" s="706" t="str">
        <f>'Revenue summary'!AP$8</f>
      </c>
      <c r="AQ148" s="706" t="str">
        <f>'Revenue summary'!AQ$8</f>
      </c>
      <c r="AR148" s="706" t="str">
        <f>'Revenue summary'!AR$8</f>
      </c>
      <c r="AS148" s="707" t="str">
        <f>'Revenue summary'!AS$8</f>
      </c>
      <c r="AT148" s="706" t="str">
        <f>'Revenue summary'!AT$8</f>
      </c>
      <c r="AU148" s="706" t="str">
        <f>'Revenue summary'!AU$8</f>
      </c>
      <c r="AV148" s="706" t="str">
        <f>'Revenue summary'!AV$8</f>
      </c>
      <c r="AW148" s="707" t="str">
        <f>'Revenue summary'!AW$8</f>
      </c>
      <c r="AX148" s="706" t="str">
        <f>'Revenue summary'!AX$8</f>
      </c>
      <c r="AY148" s="706" t="str">
        <f>'Revenue summary'!AY$8</f>
      </c>
      <c r="AZ148" s="706" t="str">
        <f>'Revenue summary'!AZ$8</f>
      </c>
      <c r="BA148" s="707" t="str">
        <f>'Revenue summary'!BA$8</f>
      </c>
      <c r="BB148" s="706" t="str">
        <f>'Revenue summary'!BB$8</f>
      </c>
      <c r="BC148" s="706" t="str">
        <f>'Revenue summary'!BC$8</f>
      </c>
      <c r="BD148" s="706" t="str">
        <f>'Revenue summary'!BD$8</f>
      </c>
      <c r="BE148" s="707" t="str">
        <f>'Revenue summary'!BE$8</f>
      </c>
      <c r="BF148" s="706" t="str">
        <f>'Revenue summary'!BF$8</f>
      </c>
      <c r="BG148" s="706" t="str">
        <f>'Revenue summary'!BG$8</f>
      </c>
      <c r="BH148" s="706" t="str">
        <f>'Revenue summary'!BH$8</f>
      </c>
      <c r="BI148" s="707" t="str">
        <f>'Revenue summary'!BI$8</f>
      </c>
      <c r="BJ148" s="706" t="str">
        <f>'Revenue summary'!BJ$8</f>
      </c>
      <c r="BK148" s="706" t="str">
        <f>'Revenue summary'!BK$8</f>
      </c>
      <c r="BL148" s="706" t="str">
        <f>'Revenue summary'!BL$8</f>
      </c>
      <c r="BM148" s="707" t="str">
        <f>'Revenue summary'!BM$8</f>
      </c>
      <c r="BN148" s="706" t="str">
        <f>'Revenue summary'!BN$8</f>
      </c>
      <c r="BO148" s="706" t="str">
        <f>'Revenue summary'!BO$8</f>
      </c>
      <c r="BP148" s="706" t="str">
        <f>'Revenue summary'!BP$8</f>
      </c>
      <c r="BQ148" s="707" t="str">
        <f>'Revenue summary'!BQ$8</f>
      </c>
      <c r="BR148" s="706" t="str">
        <f>'Revenue summary'!BR$8</f>
      </c>
      <c r="BS148" s="706" t="str">
        <f>'Revenue summary'!BS$8</f>
      </c>
      <c r="BT148" s="706" t="str">
        <f>'Revenue summary'!BT$8</f>
      </c>
      <c r="BU148" s="707" t="str">
        <f>'Revenue summary'!BU$8</f>
      </c>
      <c r="BV148" s="706" t="str">
        <f>'Revenue summary'!BV$8</f>
      </c>
      <c r="BW148" s="706" t="str">
        <f>'Revenue summary'!BW$8</f>
      </c>
      <c r="BX148" s="706" t="str">
        <f>'Revenue summary'!BX$8</f>
      </c>
      <c r="BY148" s="707" t="str">
        <f>'Revenue summary'!BY$8</f>
      </c>
      <c r="BZ148" s="706" t="str">
        <f>'Revenue summary'!BZ$8</f>
      </c>
      <c r="CA148" s="706" t="str">
        <f>'Revenue summary'!CA$8</f>
      </c>
      <c r="CB148" s="706" t="str">
        <f>'Revenue summary'!CB$8</f>
      </c>
      <c r="CC148" s="707" t="str">
        <f>'Revenue summary'!CC$8</f>
      </c>
      <c r="CD148" s="706" t="str">
        <f>'Revenue summary'!CD$8</f>
      </c>
      <c r="CE148" s="706" t="str">
        <f>'Revenue summary'!CE$8</f>
      </c>
      <c r="CF148" s="706" t="str">
        <f>'Revenue summary'!CF$8</f>
      </c>
      <c r="CG148" s="707" t="str">
        <f>'Revenue summary'!CG$8</f>
      </c>
      <c r="CH148" s="706" t="str">
        <f>'Revenue summary'!CH$8</f>
      </c>
      <c r="CI148" s="706" t="str">
        <f>'Revenue summary'!CI$8</f>
      </c>
      <c r="CJ148" s="706" t="str">
        <f>'Revenue summary'!CJ$8</f>
      </c>
      <c r="CK148" s="707" t="str">
        <f>'Revenue summary'!CK$8</f>
      </c>
      <c r="CL148" s="706" t="str">
        <f>'Revenue summary'!CL$8</f>
      </c>
      <c r="CM148" s="706" t="str">
        <f>'Revenue summary'!CM$8</f>
      </c>
      <c r="CN148" s="706" t="str">
        <f>'Revenue summary'!CN$8</f>
      </c>
      <c r="CO148" s="707" t="str">
        <f>'Revenue summary'!CO$8</f>
      </c>
      <c r="CP148" s="706" t="str">
        <f>'Revenue summary'!CP$8</f>
      </c>
      <c r="CQ148" s="706" t="str">
        <f>'Revenue summary'!CQ$8</f>
      </c>
      <c r="CR148" s="706" t="str">
        <f>'Revenue summary'!CR$8</f>
      </c>
      <c r="CS148" s="707" t="str">
        <f>'Revenue summary'!CS$8</f>
      </c>
      <c r="CT148" s="706" t="str">
        <f>'Revenue summary'!CT$8</f>
      </c>
      <c r="CU148" s="706" t="str">
        <f>'Revenue summary'!CU$8</f>
      </c>
      <c r="CV148" s="706" t="str">
        <f>'Revenue summary'!CV$8</f>
      </c>
      <c r="CW148" s="707" t="str">
        <f>'Revenue summary'!CW$8</f>
      </c>
      <c r="CX148" s="706" t="str">
        <f>'Revenue summary'!CX$8</f>
      </c>
      <c r="CY148" s="706" t="str">
        <f>'Revenue summary'!CY$8</f>
      </c>
      <c r="CZ148" s="706" t="str">
        <f>'Revenue summary'!CZ$8</f>
      </c>
      <c r="DA148" s="707" t="str">
        <f>'Revenue summary'!DA$8</f>
      </c>
      <c r="DB148" s="706" t="str">
        <f>'Revenue summary'!DB$8</f>
      </c>
      <c r="DC148" s="706" t="str">
        <f>'Revenue summary'!DC$8</f>
      </c>
      <c r="DD148" s="706" t="str">
        <f>'Revenue summary'!DD$8</f>
      </c>
      <c r="DE148" s="707" t="str">
        <f>'Revenue summary'!DE$8</f>
      </c>
      <c r="DF148" s="706" t="str">
        <f>'Revenue summary'!DF$8</f>
      </c>
      <c r="DG148" s="706" t="str">
        <f>'Revenue summary'!DG$8</f>
      </c>
      <c r="DH148" s="706" t="str">
        <f>'Revenue summary'!DH$8</f>
      </c>
      <c r="DI148" s="707" t="str">
        <f>'Revenue summary'!DI$8</f>
      </c>
      <c r="DJ148" s="706" t="str">
        <f>'Revenue summary'!DJ$8</f>
      </c>
      <c r="DK148" s="706" t="str">
        <f>'Revenue summary'!DK$8</f>
      </c>
      <c r="DL148" s="706" t="str">
        <f>'Revenue summary'!DL$8</f>
      </c>
      <c r="DM148" s="707" t="str">
        <f>'Revenue summary'!DM$8</f>
      </c>
      <c r="DN148" s="706" t="str">
        <f>'Revenue summary'!DN$8</f>
      </c>
      <c r="DO148" s="706" t="str">
        <f>'Revenue summary'!DO$8</f>
      </c>
      <c r="DP148" s="706" t="str">
        <f>'Revenue summary'!DP$8</f>
      </c>
      <c r="DQ148" s="707" t="str">
        <f>'Revenue summary'!DQ$8</f>
      </c>
      <c r="DR148" s="706" t="str">
        <f>'Revenue summary'!DR$8</f>
      </c>
      <c r="DS148" s="706" t="str">
        <f>'Revenue summary'!DS$8</f>
      </c>
      <c r="DT148" s="706" t="str">
        <f>'Revenue summary'!DT$8</f>
      </c>
      <c r="DU148" s="707" t="str">
        <f>'Revenue summary'!DU$8</f>
      </c>
      <c r="DV148" s="706" t="str">
        <f>'Revenue summary'!DV$8</f>
      </c>
      <c r="DW148" s="706" t="str">
        <f>'Revenue summary'!DW$8</f>
      </c>
      <c r="DX148" s="706" t="str">
        <f>'Revenue summary'!DX$8</f>
      </c>
      <c r="DY148" s="707" t="str">
        <f>'Revenue summary'!DY$8</f>
      </c>
      <c r="DZ148" s="706" t="str">
        <f>'Revenue summary'!DZ$8</f>
      </c>
      <c r="EA148" s="706" t="str">
        <f>'Revenue summary'!EA$8</f>
      </c>
      <c r="EB148" s="706" t="str">
        <f>'Revenue summary'!EB$8</f>
      </c>
      <c r="EC148" s="707" t="str">
        <f>'Revenue summary'!EC$8</f>
      </c>
      <c r="ED148" s="706" t="str">
        <f>'Revenue summary'!ED$8</f>
      </c>
      <c r="EE148" s="706" t="str">
        <f>'Revenue summary'!EE$8</f>
      </c>
      <c r="EF148" s="706" t="str">
        <f>'Revenue summary'!EF$8</f>
      </c>
      <c r="EG148" s="707" t="str">
        <f>'Revenue summary'!EG$8</f>
      </c>
      <c r="EH148" s="706" t="str">
        <f>'Revenue summary'!EH$8</f>
      </c>
      <c r="EI148" s="706" t="str">
        <f>'Revenue summary'!EI$8</f>
      </c>
      <c r="EJ148" s="706" t="str">
        <f>'Revenue summary'!EJ$8</f>
      </c>
      <c r="EK148" s="707" t="str">
        <f>'Revenue summary'!EK$8</f>
      </c>
      <c r="EL148" s="320"/>
      <c r="EM148" s="706">
        <f t="shared" ref="EM148:FH148" si="1632">EM$9</f>
      </c>
      <c r="EN148" s="706">
        <f t="shared" si="1632"/>
      </c>
      <c r="EO148" s="706">
        <f t="shared" si="1632"/>
      </c>
      <c r="EP148" s="706">
        <f t="shared" si="1632"/>
      </c>
      <c r="EQ148" s="706">
        <f t="shared" si="1632"/>
      </c>
      <c r="ER148" s="706">
        <f t="shared" si="1632"/>
      </c>
      <c r="ES148" s="706">
        <f t="shared" si="1632"/>
      </c>
      <c r="ET148" s="706">
        <f t="shared" si="1632"/>
      </c>
      <c r="EU148" s="706">
        <f t="shared" si="1632"/>
      </c>
      <c r="EV148" s="706">
        <f t="shared" si="1632"/>
      </c>
      <c r="EW148" s="706">
        <f t="shared" si="1632"/>
      </c>
      <c r="EX148" s="706">
        <f t="shared" si="1632"/>
      </c>
      <c r="EY148" s="706">
        <f t="shared" si="1632"/>
      </c>
      <c r="EZ148" s="706">
        <f t="shared" si="1632"/>
      </c>
      <c r="FA148" s="706">
        <f t="shared" si="1632"/>
      </c>
      <c r="FB148" s="706">
        <f t="shared" si="1632"/>
      </c>
      <c r="FC148" s="706">
        <f t="shared" si="1632"/>
      </c>
      <c r="FD148" s="706">
        <f t="shared" si="1632"/>
      </c>
      <c r="FE148" s="706" t="str">
        <f t="shared" si="1632"/>
      </c>
      <c r="FF148" s="706" t="str">
        <f t="shared" si="1632"/>
      </c>
      <c r="FG148" s="706" t="str">
        <f t="shared" si="1632"/>
      </c>
      <c r="FH148" s="706" t="str">
        <f t="shared" si="1632"/>
      </c>
      <c r="FI148" s="706" t="str">
        <f>FI$9</f>
      </c>
      <c r="FJ148" s="706" t="str">
        <f t="shared" ref="FJ148:FU148" si="1633">FJ$9</f>
      </c>
      <c r="FK148" s="706" t="str">
        <f t="shared" si="1633"/>
      </c>
      <c r="FL148" s="706" t="str">
        <f t="shared" si="1633"/>
      </c>
      <c r="FM148" s="706" t="str">
        <f t="shared" si="1633"/>
      </c>
      <c r="FN148" s="706" t="str">
        <f t="shared" si="1633"/>
      </c>
      <c r="FO148" s="706" t="str">
        <f t="shared" si="1633"/>
      </c>
      <c r="FP148" s="706" t="str">
        <f t="shared" si="1633"/>
      </c>
      <c r="FQ148" s="706" t="str">
        <f t="shared" si="1633"/>
      </c>
      <c r="FR148" s="706" t="str">
        <f t="shared" si="1633"/>
      </c>
      <c r="FS148" s="706" t="str">
        <f t="shared" si="1633"/>
      </c>
      <c r="FT148" s="706" t="str">
        <f t="shared" si="1633"/>
      </c>
      <c r="FU148" s="706" t="str">
        <f t="shared" si="1633"/>
      </c>
      <c r="FV148" s="706"/>
      <c r="FW148" s="706" t="str">
        <f t="shared" ref="FW148:GX148" si="1634">FW$10</f>
      </c>
      <c r="FX148" s="706" t="str">
        <f t="shared" si="1634"/>
      </c>
      <c r="FY148" s="706" t="str">
        <f t="shared" si="1634"/>
      </c>
      <c r="FZ148" s="706" t="str">
        <f t="shared" si="1634"/>
      </c>
      <c r="GA148" s="706" t="str">
        <f t="shared" si="1634"/>
      </c>
      <c r="GB148" s="706" t="str">
        <f t="shared" si="1634"/>
      </c>
      <c r="GC148" s="706" t="str">
        <f t="shared" si="1634"/>
      </c>
      <c r="GD148" s="706" t="str">
        <f t="shared" si="1634"/>
      </c>
      <c r="GE148" s="706" t="str">
        <f t="shared" si="1634"/>
      </c>
      <c r="GF148" s="706" t="str">
        <f t="shared" si="1634"/>
      </c>
      <c r="GG148" s="706" t="str">
        <f t="shared" si="1634"/>
      </c>
      <c r="GH148" s="706" t="str">
        <f t="shared" si="1634"/>
      </c>
      <c r="GI148" s="706" t="str">
        <f t="shared" si="1634"/>
      </c>
      <c r="GJ148" s="706" t="str">
        <f t="shared" si="1634"/>
      </c>
      <c r="GK148" s="706" t="str">
        <f t="shared" si="1634"/>
      </c>
      <c r="GL148" s="706" t="str">
        <f t="shared" si="1634"/>
      </c>
      <c r="GM148" s="706" t="str">
        <f t="shared" si="1634"/>
      </c>
      <c r="GN148" s="706" t="str">
        <f t="shared" si="1634"/>
      </c>
      <c r="GO148" s="706" t="str">
        <f t="shared" si="1634"/>
      </c>
      <c r="GP148" s="706" t="str">
        <f t="shared" si="1634"/>
      </c>
      <c r="GQ148" s="706" t="str">
        <f t="shared" si="1634"/>
      </c>
      <c r="GR148" s="706" t="str">
        <f t="shared" si="1634"/>
      </c>
      <c r="GS148" s="706" t="str">
        <f t="shared" si="1634"/>
      </c>
      <c r="GT148" s="706" t="str">
        <f t="shared" si="1634"/>
      </c>
      <c r="GU148" s="706" t="str">
        <f t="shared" si="1634"/>
      </c>
      <c r="GV148" s="706" t="str">
        <f t="shared" si="1634"/>
      </c>
      <c r="GW148" s="706" t="str">
        <f t="shared" si="1634"/>
      </c>
      <c r="GX148" s="706" t="str">
        <f t="shared" si="1634"/>
      </c>
      <c r="GY148" s="706" t="str">
        <f t="shared" ref="GY148" si="1635">GY$10</f>
      </c>
      <c r="GZ148" s="706" t="str">
        <f t="shared" ref="GZ148:HD148" si="1636">GZ$10</f>
      </c>
      <c r="HA148" s="706" t="str">
        <f t="shared" si="1636"/>
      </c>
      <c r="HB148" s="706" t="str">
        <f t="shared" si="1636"/>
      </c>
      <c r="HC148" s="706" t="str">
        <f t="shared" si="1636"/>
      </c>
      <c r="HD148" s="706" t="str">
        <f t="shared" si="1636"/>
      </c>
    </row>
    <row r="149" spans="1:212" s="1078" customFormat="1" ht="10.8" thickBot="1">
      <c r="A149" s="1119" t="s">
        <v>1238</v>
      </c>
      <c r="B149" s="1075"/>
      <c r="C149" s="1075"/>
      <c r="D149" s="1075"/>
      <c r="E149" s="1076"/>
      <c r="F149" s="1075"/>
      <c r="G149" s="1075"/>
      <c r="H149" s="1075"/>
      <c r="I149" s="1076"/>
      <c r="J149" s="1075"/>
      <c r="K149" s="1075"/>
      <c r="L149" s="1075"/>
      <c r="M149" s="1076"/>
      <c r="N149" s="1075"/>
      <c r="O149" s="1075"/>
      <c r="P149" s="1075"/>
      <c r="Q149" s="1076"/>
      <c r="R149" s="1075"/>
      <c r="S149" s="1075"/>
      <c r="T149" s="1075"/>
      <c r="U149" s="1076"/>
      <c r="V149" s="1075"/>
      <c r="W149" s="1075"/>
      <c r="X149" s="1075"/>
      <c r="Y149" s="1076"/>
      <c r="Z149" s="1075"/>
      <c r="AA149" s="1075"/>
      <c r="AB149" s="1075"/>
      <c r="AC149" s="1076"/>
      <c r="AD149" s="1075"/>
      <c r="AE149" s="1075"/>
      <c r="AF149" s="1075"/>
      <c r="AG149" s="1076"/>
      <c r="AH149" s="1075"/>
      <c r="AI149" s="1075"/>
      <c r="AJ149" s="1075"/>
      <c r="AK149" s="1076"/>
      <c r="AL149" s="1075"/>
      <c r="AM149" s="1075"/>
      <c r="AN149" s="1075"/>
      <c r="AO149" s="1076"/>
      <c r="AP149" s="1075"/>
      <c r="AQ149" s="1075"/>
      <c r="AR149" s="1075"/>
      <c r="AS149" s="1076"/>
      <c r="AT149" s="1075"/>
      <c r="AU149" s="1075"/>
      <c r="AV149" s="1075"/>
      <c r="AW149" s="1076"/>
      <c r="AX149" s="1075"/>
      <c r="AY149" s="1075"/>
      <c r="AZ149" s="1075"/>
      <c r="BA149" s="1076"/>
      <c r="BB149" s="1075"/>
      <c r="BC149" s="1075"/>
      <c r="BD149" s="1075"/>
      <c r="BE149" s="1076"/>
      <c r="BF149" s="1075"/>
      <c r="BG149" s="1075"/>
      <c r="BH149" s="1075"/>
      <c r="BI149" s="1076"/>
      <c r="BJ149" s="1075"/>
      <c r="BK149" s="1075"/>
      <c r="BL149" s="1075"/>
      <c r="BM149" s="1076"/>
      <c r="BN149" s="1075"/>
      <c r="BO149" s="1075"/>
      <c r="BP149" s="1075"/>
      <c r="BQ149" s="1076"/>
      <c r="BR149" s="1075"/>
      <c r="BS149" s="1075"/>
      <c r="BT149" s="1075"/>
      <c r="BU149" s="1076"/>
      <c r="BV149" s="1077"/>
      <c r="BW149" s="1075"/>
      <c r="BX149" s="1075"/>
      <c r="BY149" s="1076"/>
      <c r="BZ149" s="1077"/>
      <c r="CA149" s="1075"/>
      <c r="CB149" s="1075"/>
      <c r="CC149" s="1076"/>
      <c r="CD149" s="1077">
        <f>CD150*CD152</f>
      </c>
      <c r="CE149" s="1075">
        <f t="shared" ref="CE149" si="1637">CE150*CE152</f>
      </c>
      <c r="CF149" s="1075">
        <f t="shared" ref="CF149" si="1638">CF150*CF152</f>
      </c>
      <c r="CG149" s="1076">
        <f t="shared" ref="CG149" si="1639">CG150*CG152</f>
      </c>
      <c r="CH149" s="1077">
        <f>CH150*CH152</f>
      </c>
      <c r="CI149" s="1075">
        <f t="shared" ref="CI149" si="1640">CI150*CI152</f>
      </c>
      <c r="CJ149" s="1075">
        <f t="shared" ref="CJ149" si="1641">CJ150*CJ152</f>
      </c>
      <c r="CK149" s="1076">
        <f t="shared" ref="CK149" si="1642">CK150*CK152</f>
      </c>
      <c r="CL149" s="1077">
        <f>CL150*CL152</f>
      </c>
      <c r="CM149" s="1075">
        <f t="shared" ref="CM149:CO149" si="1643">CM150*CM152</f>
      </c>
      <c r="CN149" s="1075">
        <f t="shared" si="1643"/>
      </c>
      <c r="CO149" s="1076">
        <f t="shared" si="1643"/>
      </c>
      <c r="CP149" s="1077">
        <f>CP150*CP152</f>
      </c>
      <c r="CQ149" s="1075">
        <f t="shared" ref="CQ149" si="1644">CQ150*CQ152</f>
      </c>
      <c r="CR149" s="1075">
        <f t="shared" ref="CR149" si="1645">CR150*CR152</f>
      </c>
      <c r="CS149" s="1076">
        <f t="shared" ref="CS149" si="1646">CS150*CS152</f>
      </c>
      <c r="CT149" s="1077">
        <f>CT150*CT152</f>
      </c>
      <c r="CU149" s="1075">
        <f t="shared" ref="CU149" si="1647">CU150*CU152</f>
      </c>
      <c r="CV149" s="1075">
        <f t="shared" ref="CV149" si="1648">CV150*CV152</f>
      </c>
      <c r="CW149" s="1076">
        <f t="shared" ref="CW149" si="1649">CW150*CW152</f>
      </c>
      <c r="CX149" s="1077">
        <f>CX150*CX152</f>
      </c>
      <c r="CY149" s="1075">
        <f t="shared" ref="CY149" si="1650">CY150*CY152</f>
      </c>
      <c r="CZ149" s="1075">
        <f t="shared" ref="CZ149" si="1651">CZ150*CZ152</f>
      </c>
      <c r="DA149" s="1076">
        <f t="shared" ref="DA149" si="1652">DA150*DA152</f>
      </c>
      <c r="DB149" s="1077">
        <f>DB150*DB152</f>
      </c>
      <c r="DC149" s="1075">
        <f t="shared" ref="DC149" si="1653">DC150*DC152</f>
      </c>
      <c r="DD149" s="1075">
        <f t="shared" ref="DD149" si="1654">DD150*DD152</f>
      </c>
      <c r="DE149" s="1076">
        <f t="shared" ref="DE149" si="1655">DE150*DE152</f>
      </c>
      <c r="DF149" s="1077">
        <f>DF150*DF152</f>
      </c>
      <c r="DG149" s="1075">
        <f t="shared" ref="DG149" si="1656">DG150*DG152</f>
      </c>
      <c r="DH149" s="1075">
        <f t="shared" ref="DH149" si="1657">DH150*DH152</f>
      </c>
      <c r="DI149" s="1076">
        <f t="shared" ref="DI149" si="1658">DI150*DI152</f>
      </c>
      <c r="DJ149" s="1077">
        <f>DJ150*DJ152</f>
      </c>
      <c r="DK149" s="1075">
        <f t="shared" ref="DK149" si="1659">DK150*DK152</f>
      </c>
      <c r="DL149" s="1075">
        <f t="shared" ref="DL149" si="1660">DL150*DL152</f>
      </c>
      <c r="DM149" s="1076">
        <f t="shared" ref="DM149" si="1661">DM150*DM152</f>
      </c>
      <c r="DN149" s="1077">
        <f>DN150*DN152</f>
      </c>
      <c r="DO149" s="1075">
        <f t="shared" ref="DO149" si="1662">DO150*DO152</f>
      </c>
      <c r="DP149" s="1075">
        <f t="shared" ref="DP149" si="1663">DP150*DP152</f>
      </c>
      <c r="DQ149" s="1076">
        <f t="shared" ref="DQ149" si="1664">DQ150*DQ152</f>
      </c>
      <c r="DR149" s="1077">
        <f>DR150*DR152</f>
      </c>
      <c r="DS149" s="1075">
        <f t="shared" ref="DS149" si="1665">DS150*DS152</f>
      </c>
      <c r="DT149" s="1075">
        <f t="shared" ref="DT149" si="1666">DT150*DT152</f>
      </c>
      <c r="DU149" s="1120">
        <f t="shared" ref="DU149" si="1667">DU150*DU152</f>
      </c>
      <c r="DV149" s="1077">
        <f>DV150*DV152</f>
      </c>
      <c r="DW149" s="1075">
        <f t="shared" ref="DW149:DY149" si="1668">DW150*DW152</f>
      </c>
      <c r="DX149" s="1075">
        <f t="shared" si="1668"/>
      </c>
      <c r="DY149" s="1120">
        <f t="shared" si="1668"/>
      </c>
      <c r="DZ149" s="1077">
        <f>DZ150*DZ152</f>
      </c>
      <c r="EA149" s="1075">
        <f t="shared" ref="EA149:EC149" si="1669">EA150*EA152</f>
      </c>
      <c r="EB149" s="1075">
        <f t="shared" si="1669"/>
      </c>
      <c r="EC149" s="1120">
        <f t="shared" si="1669"/>
      </c>
      <c r="ED149" s="1077">
        <f>ED150*ED152</f>
      </c>
      <c r="EE149" s="1075">
        <f t="shared" ref="EE149:EG149" si="1670">EE150*EE152</f>
      </c>
      <c r="EF149" s="1075">
        <f t="shared" si="1670"/>
      </c>
      <c r="EG149" s="1120">
        <f t="shared" si="1670"/>
      </c>
      <c r="EH149" s="1077">
        <f>EH150*EH152</f>
      </c>
      <c r="EI149" s="1075">
        <f t="shared" ref="EI149:EK149" si="1671">EI150*EI152</f>
      </c>
      <c r="EJ149" s="1075">
        <f t="shared" si="1671"/>
      </c>
      <c r="EK149" s="1120">
        <f t="shared" si="1671"/>
      </c>
      <c r="EM149" s="977"/>
      <c r="EN149" s="977"/>
      <c r="EO149" s="977"/>
      <c r="EP149" s="977"/>
      <c r="EQ149" s="977"/>
      <c r="ER149" s="977"/>
      <c r="ES149" s="977"/>
      <c r="ET149" s="977"/>
      <c r="EU149" s="977"/>
      <c r="EV149" s="977"/>
      <c r="EW149" s="977"/>
      <c r="EX149" s="977"/>
      <c r="EY149" s="977"/>
      <c r="EZ149" s="977"/>
      <c r="FA149" s="977"/>
      <c r="FB149" s="977"/>
      <c r="FC149" s="977"/>
      <c r="FD149" s="977"/>
      <c r="FE149" s="977">
        <f t="shared" ref="FE149" si="1672">SUM(BV149:BY149)</f>
      </c>
      <c r="FF149" s="977">
        <f t="shared" ref="FF149" si="1673">SUM(BZ149:CC149)</f>
      </c>
      <c r="FG149" s="977">
        <f t="shared" ref="FG149" si="1674">SUM(CD149:CG149)</f>
      </c>
      <c r="FH149" s="977">
        <f t="shared" ref="FH149" si="1675">SUM(CH149:CK149)</f>
      </c>
      <c r="FI149" s="977">
        <f t="shared" ref="FI149" si="1676">SUM(CL149:CO149)</f>
      </c>
      <c r="FJ149" s="977">
        <f t="shared" ref="FJ149" si="1677">SUM(CP149:CS149)</f>
      </c>
      <c r="FK149" s="977">
        <f t="shared" ref="FK149" si="1678">SUM(CT149:CW149)</f>
      </c>
      <c r="FL149" s="977">
        <f t="shared" ref="FL149" si="1679">SUM(CX149:DA149)</f>
      </c>
      <c r="FM149" s="977">
        <f t="shared" ref="FM149" si="1680">SUM(DB149:DE149)</f>
      </c>
      <c r="FN149" s="977">
        <f t="shared" ref="FN149" si="1681">SUM(DF149:DI149)</f>
      </c>
      <c r="FO149" s="977">
        <f t="shared" ref="FO149" si="1682">SUM(DJ149:DM149)</f>
      </c>
      <c r="FP149" s="977">
        <f>SUM(DN149:DQ149)</f>
      </c>
      <c r="FQ149" s="977">
        <f>SUM(DR149:DU149)</f>
      </c>
      <c r="FR149" s="977">
        <f>SUM(DV149:DY149)</f>
      </c>
      <c r="FS149" s="977">
        <f>SUM(DZ149:EC149)</f>
      </c>
      <c r="FT149" s="977">
        <f>SUM(ED149:EG149)</f>
      </c>
      <c r="FU149" s="977">
        <f>SUM(EH149:EK149)</f>
      </c>
      <c r="FV149" s="2279"/>
      <c r="FW149" s="977"/>
      <c r="FX149" s="977"/>
      <c r="FY149" s="977"/>
      <c r="FZ149" s="977"/>
      <c r="GA149" s="977"/>
      <c r="GB149" s="977"/>
      <c r="GC149" s="977"/>
      <c r="GD149" s="977"/>
      <c r="GE149" s="977"/>
      <c r="GF149" s="977"/>
      <c r="GG149" s="977"/>
      <c r="GH149" s="977"/>
      <c r="GI149" s="977"/>
      <c r="GJ149" s="977"/>
      <c r="GK149" s="977"/>
      <c r="GL149" s="977"/>
      <c r="GM149" s="977"/>
      <c r="GN149" s="977"/>
      <c r="GO149" s="977"/>
      <c r="GP149" s="977">
        <f>SUM(CA149:CD149)</f>
      </c>
      <c r="GQ149" s="977">
        <f>SUM(CE149:CH149)</f>
      </c>
      <c r="GR149" s="977">
        <f>SUM(CI149:CL149)</f>
      </c>
      <c r="GS149" s="977">
        <f>SUM(CM149:CP149)</f>
      </c>
      <c r="GT149" s="977">
        <f>SUM(CQ149:CT149)</f>
      </c>
      <c r="GU149" s="977">
        <f>SUM(CU149:CX149)</f>
      </c>
      <c r="GV149" s="977">
        <f>SUM(CY149:DB149)</f>
      </c>
      <c r="GW149" s="977">
        <f>SUM(DC149:DF149)</f>
      </c>
      <c r="GX149" s="977">
        <f>SUM(DG149:DJ149)</f>
      </c>
      <c r="GY149" s="977">
        <f>SUM(DK149:DN149)</f>
      </c>
      <c r="GZ149" s="977">
        <f>SUM(DO149:DR149)</f>
      </c>
      <c r="HA149" s="977">
        <f>SUM(DS149:DV149)</f>
      </c>
      <c r="HB149" s="977">
        <f>SUM(DW149:DZ149)</f>
      </c>
      <c r="HC149" s="977">
        <f>SUM(EA149:ED149)</f>
      </c>
      <c r="HD149" s="977">
        <f>SUM(EE149:EH149)</f>
      </c>
    </row>
    <row r="150" spans="1:212" s="141" customFormat="1" ht="10.8" thickTop="1">
      <c r="A150" s="927" t="s">
        <v>1239</v>
      </c>
      <c r="E150" s="267"/>
      <c r="I150" s="267"/>
      <c r="M150" s="267"/>
      <c r="Q150" s="267"/>
      <c r="U150" s="267"/>
      <c r="Y150" s="267"/>
      <c r="AC150" s="267"/>
      <c r="AG150" s="267"/>
      <c r="AK150" s="267"/>
      <c r="AO150" s="267"/>
      <c r="AS150" s="267"/>
      <c r="AW150" s="267"/>
      <c r="BA150" s="267"/>
      <c r="BE150" s="267"/>
      <c r="BI150" s="267"/>
      <c r="BM150" s="267"/>
      <c r="BQ150" s="267"/>
      <c r="BU150" s="267"/>
      <c r="BV150" s="920"/>
      <c r="BY150" s="267"/>
      <c r="BZ150" s="920"/>
      <c r="CC150" s="267"/>
      <c r="CD150" s="1074">
        <v>0.8</v>
      </c>
      <c r="CE150" s="812">
        <v>0.8</v>
      </c>
      <c r="CF150" s="812">
        <v>0.8</v>
      </c>
      <c r="CG150" s="811">
        <v>0.8</v>
      </c>
      <c r="CH150" s="1074">
        <v>0.77</v>
      </c>
      <c r="CI150" s="812">
        <v>0.77</v>
      </c>
      <c r="CJ150" s="812">
        <v>0.77</v>
      </c>
      <c r="CK150" s="811">
        <v>0.77</v>
      </c>
      <c r="CL150" s="1074">
        <v>0.75</v>
      </c>
      <c r="CM150" s="812">
        <v>0.75</v>
      </c>
      <c r="CN150" s="812">
        <v>0.75</v>
      </c>
      <c r="CO150" s="811">
        <v>0.75</v>
      </c>
      <c r="CP150" s="1074">
        <f>CL150-1%</f>
      </c>
      <c r="CQ150" s="812">
        <f t="shared" ref="CQ150" si="1683">CM150-1%</f>
      </c>
      <c r="CR150" s="812">
        <f t="shared" ref="CR150" si="1684">CN150-1%</f>
      </c>
      <c r="CS150" s="811">
        <f t="shared" ref="CS150" si="1685">CO150-1%</f>
      </c>
      <c r="CT150" s="1074">
        <f>CP150-1%</f>
      </c>
      <c r="CU150" s="812">
        <f t="shared" ref="CU150" si="1686">CQ150-1%</f>
      </c>
      <c r="CV150" s="812">
        <f t="shared" ref="CV150" si="1687">CR150-1%</f>
      </c>
      <c r="CW150" s="811">
        <f t="shared" ref="CW150" si="1688">CS150-1%</f>
      </c>
      <c r="CX150" s="1074">
        <f>CT150-1%</f>
      </c>
      <c r="CY150" s="812">
        <f t="shared" ref="CY150" si="1689">CU150-1%</f>
      </c>
      <c r="CZ150" s="812">
        <f t="shared" ref="CZ150" si="1690">CV150-1%</f>
      </c>
      <c r="DA150" s="811">
        <f t="shared" ref="DA150" si="1691">CW150-1%</f>
      </c>
      <c r="DB150" s="1074">
        <f>CX150-1%</f>
      </c>
      <c r="DC150" s="812">
        <f t="shared" ref="DC150" si="1692">CY150-1%</f>
      </c>
      <c r="DD150" s="812">
        <f t="shared" ref="DD150" si="1693">CZ150-1%</f>
      </c>
      <c r="DE150" s="811">
        <f t="shared" ref="DE150" si="1694">DA150-1%</f>
      </c>
      <c r="DF150" s="1074">
        <f>DB150-1%</f>
      </c>
      <c r="DG150" s="812">
        <f t="shared" ref="DG150:DI150" si="1695">DC150-1%</f>
      </c>
      <c r="DH150" s="812">
        <f t="shared" si="1695"/>
      </c>
      <c r="DI150" s="811">
        <f t="shared" si="1695"/>
      </c>
      <c r="DJ150" s="1074">
        <f>DF150-0.5%</f>
      </c>
      <c r="DK150" s="812">
        <f t="shared" ref="DK150:EK150" si="1696">DG150-0.5%</f>
      </c>
      <c r="DL150" s="812">
        <f t="shared" si="1696"/>
      </c>
      <c r="DM150" s="811">
        <f t="shared" si="1696"/>
      </c>
      <c r="DN150" s="1074">
        <f t="shared" si="1696"/>
      </c>
      <c r="DO150" s="812">
        <f t="shared" si="1696"/>
      </c>
      <c r="DP150" s="812">
        <f t="shared" si="1696"/>
      </c>
      <c r="DQ150" s="811">
        <f t="shared" si="1696"/>
      </c>
      <c r="DR150" s="1074">
        <f t="shared" si="1696"/>
      </c>
      <c r="DS150" s="812">
        <f t="shared" si="1696"/>
      </c>
      <c r="DT150" s="812">
        <f t="shared" si="1696"/>
      </c>
      <c r="DU150" s="928">
        <f t="shared" si="1696"/>
      </c>
      <c r="DV150" s="1074">
        <f t="shared" si="1696"/>
      </c>
      <c r="DW150" s="812">
        <f t="shared" si="1696"/>
      </c>
      <c r="DX150" s="812">
        <f t="shared" si="1696"/>
      </c>
      <c r="DY150" s="928">
        <f t="shared" si="1696"/>
      </c>
      <c r="DZ150" s="1074">
        <f t="shared" si="1696"/>
      </c>
      <c r="EA150" s="812">
        <f t="shared" si="1696"/>
      </c>
      <c r="EB150" s="812">
        <f t="shared" si="1696"/>
      </c>
      <c r="EC150" s="928">
        <f t="shared" si="1696"/>
      </c>
      <c r="ED150" s="1074">
        <f t="shared" si="1696"/>
      </c>
      <c r="EE150" s="812">
        <f t="shared" si="1696"/>
      </c>
      <c r="EF150" s="812">
        <f t="shared" si="1696"/>
      </c>
      <c r="EG150" s="928">
        <f t="shared" si="1696"/>
      </c>
      <c r="EH150" s="1074">
        <f t="shared" si="1696"/>
      </c>
      <c r="EI150" s="812">
        <f t="shared" si="1696"/>
      </c>
      <c r="EJ150" s="812">
        <f t="shared" si="1696"/>
      </c>
      <c r="EK150" s="928">
        <f t="shared" si="1696"/>
      </c>
      <c r="EM150" s="970"/>
      <c r="EN150" s="970"/>
      <c r="EO150" s="970"/>
      <c r="EP150" s="970"/>
      <c r="EQ150" s="970"/>
      <c r="ER150" s="970"/>
      <c r="ES150" s="970"/>
      <c r="ET150" s="970"/>
      <c r="EU150" s="970"/>
      <c r="EV150" s="970"/>
      <c r="EW150" s="970"/>
      <c r="EX150" s="970"/>
      <c r="EY150" s="970"/>
      <c r="EZ150" s="970"/>
      <c r="FA150" s="970"/>
      <c r="FB150" s="970"/>
      <c r="FC150" s="970"/>
      <c r="FD150" s="970"/>
      <c r="FE150" s="970"/>
      <c r="FF150" s="970"/>
      <c r="FG150" s="141">
        <f>FG149/FG152</f>
      </c>
      <c r="FH150" s="141">
        <f>FH149/FH152</f>
      </c>
      <c r="FI150" s="141">
        <f>FI149/FI152</f>
      </c>
      <c r="FJ150" s="141">
        <f t="shared" ref="FJ150:FQ150" si="1697">FJ149/FJ152</f>
      </c>
      <c r="FK150" s="141">
        <f t="shared" si="1697"/>
      </c>
      <c r="FL150" s="141">
        <f t="shared" si="1697"/>
      </c>
      <c r="FM150" s="141">
        <f t="shared" si="1697"/>
      </c>
      <c r="FN150" s="141">
        <f t="shared" si="1697"/>
      </c>
      <c r="FO150" s="141">
        <f t="shared" si="1697"/>
      </c>
      <c r="FP150" s="141">
        <f t="shared" si="1697"/>
      </c>
      <c r="FQ150" s="141">
        <f t="shared" si="1697"/>
      </c>
      <c r="FR150" s="141">
        <f t="shared" ref="FR150:FU150" si="1698">FR149/FR152</f>
      </c>
      <c r="FS150" s="141">
        <f t="shared" si="1698"/>
      </c>
      <c r="FT150" s="141">
        <f t="shared" si="1698"/>
      </c>
      <c r="FU150" s="141">
        <f t="shared" si="1698"/>
      </c>
      <c r="FW150" s="970"/>
      <c r="FX150" s="970"/>
      <c r="FY150" s="970"/>
      <c r="FZ150" s="970"/>
      <c r="GA150" s="970"/>
      <c r="GB150" s="970"/>
      <c r="GC150" s="970"/>
      <c r="GD150" s="970"/>
      <c r="GE150" s="970"/>
      <c r="GF150" s="970"/>
      <c r="GG150" s="970"/>
      <c r="GH150" s="970"/>
      <c r="GI150" s="970"/>
      <c r="GJ150" s="970"/>
      <c r="GK150" s="970"/>
      <c r="GL150" s="970"/>
      <c r="GM150" s="970"/>
      <c r="GN150" s="970"/>
      <c r="GO150" s="970"/>
      <c r="GP150" s="2651">
        <f t="shared" ref="GP150:HD150" si="1699">GP149/GP152</f>
      </c>
      <c r="GQ150" s="2651">
        <f t="shared" si="1699"/>
      </c>
      <c r="GR150" s="2651">
        <f t="shared" si="1699"/>
      </c>
      <c r="GS150" s="2651">
        <f t="shared" si="1699"/>
      </c>
      <c r="GT150" s="2651">
        <f t="shared" si="1699"/>
      </c>
      <c r="GU150" s="2651">
        <f t="shared" si="1699"/>
      </c>
      <c r="GV150" s="2651">
        <f t="shared" si="1699"/>
      </c>
      <c r="GW150" s="2651">
        <f t="shared" si="1699"/>
      </c>
      <c r="GX150" s="2651">
        <f t="shared" si="1699"/>
      </c>
      <c r="GY150" s="2651">
        <f t="shared" si="1699"/>
      </c>
      <c r="GZ150" s="2651">
        <f t="shared" si="1699"/>
      </c>
      <c r="HA150" s="2651">
        <f t="shared" si="1699"/>
      </c>
      <c r="HB150" s="2651">
        <f t="shared" si="1699"/>
      </c>
      <c r="HC150" s="2651">
        <f t="shared" si="1699"/>
      </c>
      <c r="HD150" s="2651">
        <f t="shared" si="1699"/>
      </c>
    </row>
    <row r="151" spans="1:212" s="89" customFormat="1" ht="10.199999999999999">
      <c r="A151" s="930"/>
      <c r="E151" s="260"/>
      <c r="I151" s="260"/>
      <c r="M151" s="260"/>
      <c r="Q151" s="260"/>
      <c r="U151" s="260"/>
      <c r="Y151" s="260"/>
      <c r="AC151" s="260"/>
      <c r="AG151" s="260"/>
      <c r="AJ151" s="72"/>
      <c r="AK151" s="227"/>
      <c r="AL151" s="72"/>
      <c r="AM151" s="72"/>
      <c r="AN151" s="72"/>
      <c r="AO151" s="227"/>
      <c r="AP151" s="72"/>
      <c r="AQ151" s="72"/>
      <c r="AR151" s="72"/>
      <c r="AS151" s="227"/>
      <c r="AT151" s="72"/>
      <c r="AU151" s="72"/>
      <c r="AV151" s="72"/>
      <c r="AW151" s="227"/>
      <c r="AX151" s="72"/>
      <c r="AY151" s="72"/>
      <c r="AZ151" s="72"/>
      <c r="BA151" s="227"/>
      <c r="BB151" s="72"/>
      <c r="BC151" s="72"/>
      <c r="BD151" s="72"/>
      <c r="BE151" s="227"/>
      <c r="BF151" s="72"/>
      <c r="BG151" s="72"/>
      <c r="BH151" s="72"/>
      <c r="BI151" s="227"/>
      <c r="BJ151" s="72"/>
      <c r="BK151" s="72"/>
      <c r="BL151" s="72"/>
      <c r="BM151" s="227"/>
      <c r="BN151" s="72"/>
      <c r="BO151" s="72"/>
      <c r="BP151" s="72"/>
      <c r="BQ151" s="227"/>
      <c r="BR151" s="72"/>
      <c r="BS151" s="72"/>
      <c r="BT151" s="72"/>
      <c r="BU151" s="227"/>
      <c r="BV151" s="355"/>
      <c r="BW151" s="72"/>
      <c r="BX151" s="72"/>
      <c r="BY151" s="227"/>
      <c r="BZ151" s="355"/>
      <c r="CA151" s="72"/>
      <c r="CB151" s="72"/>
      <c r="CC151" s="227"/>
      <c r="CD151" s="355"/>
      <c r="CE151" s="72"/>
      <c r="CF151" s="72"/>
      <c r="CG151" s="227"/>
      <c r="CH151" s="355"/>
      <c r="CI151" s="72"/>
      <c r="CJ151" s="72"/>
      <c r="CK151" s="227"/>
      <c r="CL151" s="355"/>
      <c r="CM151" s="72"/>
      <c r="CN151" s="72"/>
      <c r="CO151" s="227"/>
      <c r="CP151" s="72"/>
      <c r="CQ151" s="87"/>
      <c r="CR151" s="87"/>
      <c r="CS151" s="227"/>
      <c r="CT151" s="72"/>
      <c r="CU151" s="87"/>
      <c r="CV151" s="87"/>
      <c r="CW151" s="416"/>
      <c r="CX151" s="87"/>
      <c r="CY151" s="87"/>
      <c r="CZ151" s="87"/>
      <c r="DA151" s="416"/>
      <c r="DB151" s="87"/>
      <c r="DC151" s="87"/>
      <c r="DD151" s="87"/>
      <c r="DE151" s="232"/>
      <c r="DF151" s="419"/>
      <c r="DG151" s="71"/>
      <c r="DH151" s="71"/>
      <c r="DI151" s="232"/>
      <c r="DJ151" s="419"/>
      <c r="DK151" s="71"/>
      <c r="DL151" s="71"/>
      <c r="DM151" s="232"/>
      <c r="DN151" s="419"/>
      <c r="DO151" s="71"/>
      <c r="DP151" s="71"/>
      <c r="DQ151" s="232"/>
      <c r="DR151" s="419"/>
      <c r="DS151" s="71"/>
      <c r="DT151" s="71"/>
      <c r="DU151" s="2288"/>
      <c r="DV151" s="419"/>
      <c r="DW151" s="71"/>
      <c r="DX151" s="71"/>
      <c r="DY151" s="931"/>
      <c r="DZ151" s="419"/>
      <c r="EA151" s="71"/>
      <c r="EB151" s="71"/>
      <c r="EC151" s="931"/>
      <c r="ED151" s="419"/>
      <c r="EE151" s="71"/>
      <c r="EF151" s="71"/>
      <c r="EG151" s="931"/>
      <c r="EH151" s="419"/>
      <c r="EI151" s="71"/>
      <c r="EJ151" s="71"/>
      <c r="EK151" s="931"/>
      <c r="EM151" s="970"/>
      <c r="EN151" s="970"/>
      <c r="EO151" s="970"/>
      <c r="EP151" s="970"/>
      <c r="EQ151" s="970"/>
      <c r="ER151" s="970"/>
      <c r="ES151" s="970"/>
      <c r="ET151" s="970"/>
      <c r="EU151" s="970"/>
      <c r="EV151" s="970"/>
      <c r="EW151" s="970"/>
      <c r="EX151" s="970"/>
      <c r="EY151" s="970"/>
      <c r="EZ151" s="970"/>
      <c r="FA151" s="970"/>
      <c r="FB151" s="970"/>
      <c r="FC151" s="970"/>
      <c r="FD151" s="970"/>
      <c r="FE151" s="970"/>
      <c r="FF151" s="970"/>
      <c r="FG151" s="970"/>
      <c r="FH151" s="970"/>
      <c r="FI151" s="970"/>
      <c r="FJ151" s="970"/>
      <c r="FK151" s="970"/>
      <c r="FL151" s="88"/>
      <c r="FM151" s="88"/>
      <c r="FN151" s="88"/>
      <c r="FO151" s="88"/>
      <c r="FP151" s="88"/>
      <c r="FQ151" s="88"/>
      <c r="FR151" s="88"/>
      <c r="FS151" s="88"/>
      <c r="FT151" s="88"/>
      <c r="FU151" s="88"/>
      <c r="FV151" s="970"/>
      <c r="FW151" s="970"/>
      <c r="FX151" s="970"/>
      <c r="FY151" s="970"/>
      <c r="FZ151" s="970"/>
      <c r="GA151" s="970"/>
      <c r="GB151" s="970"/>
      <c r="GC151" s="970"/>
      <c r="GD151" s="970"/>
      <c r="GE151" s="970"/>
      <c r="GF151" s="970"/>
      <c r="GG151" s="970"/>
      <c r="GH151" s="970"/>
      <c r="GI151" s="970"/>
      <c r="GJ151" s="970"/>
      <c r="GK151" s="970"/>
      <c r="GL151" s="970"/>
      <c r="GM151" s="970"/>
      <c r="GN151" s="970"/>
      <c r="GO151" s="970"/>
      <c r="GP151" s="970"/>
      <c r="GQ151" s="970"/>
      <c r="GR151" s="970"/>
      <c r="GS151" s="970"/>
      <c r="GT151" s="970"/>
      <c r="GU151" s="970"/>
      <c r="GV151" s="970"/>
      <c r="GW151" s="970"/>
      <c r="GX151" s="970"/>
      <c r="GY151" s="970"/>
      <c r="GZ151" s="970"/>
      <c r="HA151" s="970"/>
      <c r="HB151" s="970"/>
      <c r="HC151" s="970"/>
      <c r="HD151" s="970"/>
    </row>
    <row r="152" spans="1:212" s="905" customFormat="1" ht="10.199999999999999">
      <c r="A152" s="1123" t="s">
        <v>1234</v>
      </c>
      <c r="E152" s="1058"/>
      <c r="I152" s="1058"/>
      <c r="M152" s="1058"/>
      <c r="Q152" s="1058"/>
      <c r="U152" s="1058"/>
      <c r="Y152" s="1058"/>
      <c r="AC152" s="1058"/>
      <c r="AG152" s="1058"/>
      <c r="AK152" s="1058"/>
      <c r="AO152" s="1058"/>
      <c r="AS152" s="1058"/>
      <c r="AW152" s="1058"/>
      <c r="BA152" s="1058"/>
      <c r="BE152" s="1058"/>
      <c r="BG152" s="779">
        <v>265</v>
      </c>
      <c r="BH152" s="779">
        <v>269</v>
      </c>
      <c r="BI152" s="780">
        <v>285</v>
      </c>
      <c r="BJ152" s="779">
        <v>333</v>
      </c>
      <c r="BK152" s="779">
        <v>337</v>
      </c>
      <c r="BL152" s="779">
        <v>355</v>
      </c>
      <c r="BM152" s="780">
        <v>383</v>
      </c>
      <c r="BN152" s="779">
        <v>442</v>
      </c>
      <c r="BO152" s="779">
        <v>468</v>
      </c>
      <c r="BP152" s="779">
        <v>507</v>
      </c>
      <c r="BQ152" s="780">
        <v>556</v>
      </c>
      <c r="BR152" s="779">
        <v>634</v>
      </c>
      <c r="BS152" s="779">
        <v>680</v>
      </c>
      <c r="BT152" s="779">
        <v>706</v>
      </c>
      <c r="BU152" s="780">
        <v>755</v>
      </c>
      <c r="BV152" s="1060">
        <v>824</v>
      </c>
      <c r="BW152" s="779">
        <v>845</v>
      </c>
      <c r="BX152" s="779">
        <v>893</v>
      </c>
      <c r="BY152" s="780">
        <v>927</v>
      </c>
      <c r="BZ152" s="1060">
        <v>968</v>
      </c>
      <c r="CA152" s="779">
        <v>913</v>
      </c>
      <c r="CB152" s="779">
        <v>945</v>
      </c>
      <c r="CC152" s="780">
        <v>1052</v>
      </c>
      <c r="CD152" s="1060">
        <v>1191</v>
      </c>
      <c r="CE152" s="779">
        <v>1217</v>
      </c>
      <c r="CF152" s="779">
        <v>1352</v>
      </c>
      <c r="CG152" s="780">
        <v>1559</v>
      </c>
      <c r="CH152" s="1060">
        <v>1766</v>
      </c>
      <c r="CI152" s="779">
        <v>1805</v>
      </c>
      <c r="CJ152" s="779">
        <v>2049</v>
      </c>
      <c r="CK152" s="780">
        <v>2401</v>
      </c>
      <c r="CL152" s="1060">
        <v>2776</v>
      </c>
      <c r="CM152" s="779">
        <v>2902</v>
      </c>
      <c r="CN152" s="779">
        <v>3009</v>
      </c>
      <c r="CO152" s="780">
        <v>3155</v>
      </c>
      <c r="CP152" s="779">
        <v>3506</v>
      </c>
      <c r="CQ152" s="779">
        <v>3383</v>
      </c>
      <c r="CR152" s="779">
        <v>3617</v>
      </c>
      <c r="CS152" s="780">
        <v>3856</v>
      </c>
      <c r="CT152" s="905">
        <f>CT157*CT154</f>
      </c>
      <c r="CU152" s="1057">
        <f t="shared" ref="CU152:CW152" si="1700">CU157*CU154</f>
      </c>
      <c r="CV152" s="1057">
        <f t="shared" si="1700"/>
      </c>
      <c r="CW152" s="2259">
        <f t="shared" si="1700"/>
      </c>
      <c r="CX152" s="905">
        <f>CX157*CX154</f>
      </c>
      <c r="CY152" s="1057">
        <f t="shared" ref="CY152:DA152" si="1701">CY157*CY154</f>
      </c>
      <c r="CZ152" s="1057">
        <f t="shared" si="1701"/>
      </c>
      <c r="DA152" s="2259">
        <f t="shared" si="1701"/>
      </c>
      <c r="DB152" s="905">
        <f>DB157*DB154</f>
      </c>
      <c r="DC152" s="1057">
        <f t="shared" ref="DC152:DE152" si="1702">DC157*DC154</f>
      </c>
      <c r="DD152" s="1057">
        <f t="shared" si="1702"/>
      </c>
      <c r="DE152" s="2259">
        <f t="shared" si="1702"/>
      </c>
      <c r="DF152" s="905">
        <f>DF157*DF154</f>
      </c>
      <c r="DG152" s="1057">
        <f t="shared" ref="DG152:DU152" si="1703">DG157*DG154</f>
      </c>
      <c r="DH152" s="1057">
        <f t="shared" si="1703"/>
      </c>
      <c r="DI152" s="2259">
        <f t="shared" si="1703"/>
      </c>
      <c r="DJ152" s="1059">
        <f t="shared" si="1703"/>
      </c>
      <c r="DK152" s="1057">
        <f t="shared" si="1703"/>
      </c>
      <c r="DL152" s="1057">
        <f t="shared" si="1703"/>
      </c>
      <c r="DM152" s="2259">
        <f t="shared" si="1703"/>
      </c>
      <c r="DN152" s="1059">
        <f t="shared" si="1703"/>
      </c>
      <c r="DO152" s="1057">
        <f t="shared" si="1703"/>
      </c>
      <c r="DP152" s="1057">
        <f t="shared" si="1703"/>
      </c>
      <c r="DQ152" s="2259">
        <f t="shared" si="1703"/>
      </c>
      <c r="DR152" s="1059">
        <f t="shared" si="1703"/>
      </c>
      <c r="DS152" s="1057">
        <f t="shared" si="1703"/>
      </c>
      <c r="DT152" s="1057">
        <f t="shared" si="1703"/>
      </c>
      <c r="DU152" s="2260">
        <f t="shared" si="1703"/>
      </c>
      <c r="DV152" s="1059">
        <f t="shared" ref="DV152:EK152" si="1704">DV157*DV154</f>
      </c>
      <c r="DW152" s="1057">
        <f t="shared" si="1704"/>
      </c>
      <c r="DX152" s="1057">
        <f t="shared" si="1704"/>
      </c>
      <c r="DY152" s="2260">
        <f t="shared" si="1704"/>
      </c>
      <c r="DZ152" s="1059">
        <f t="shared" si="1704"/>
      </c>
      <c r="EA152" s="1057">
        <f t="shared" si="1704"/>
      </c>
      <c r="EB152" s="1057">
        <f t="shared" si="1704"/>
      </c>
      <c r="EC152" s="2260">
        <f t="shared" si="1704"/>
      </c>
      <c r="ED152" s="1059">
        <f t="shared" si="1704"/>
      </c>
      <c r="EE152" s="1057">
        <f t="shared" si="1704"/>
      </c>
      <c r="EF152" s="1057">
        <f t="shared" si="1704"/>
      </c>
      <c r="EG152" s="2260">
        <f t="shared" si="1704"/>
      </c>
      <c r="EH152" s="1059">
        <f t="shared" si="1704"/>
      </c>
      <c r="EI152" s="1057">
        <f t="shared" si="1704"/>
      </c>
      <c r="EJ152" s="1057">
        <f t="shared" si="1704"/>
      </c>
      <c r="EK152" s="2260">
        <f t="shared" si="1704"/>
      </c>
      <c r="FE152" s="905">
        <f t="shared" ref="FE152:FE154" si="1705">SUM(BV152:BY152)</f>
      </c>
      <c r="FF152" s="905">
        <f t="shared" ref="FF152:FF154" si="1706">SUM(BZ152:CC152)</f>
      </c>
      <c r="FG152" s="905">
        <f t="shared" ref="FG152:FG154" si="1707">SUM(CD152:CG152)</f>
      </c>
      <c r="FH152" s="905">
        <f>SUM(CH152:CK152)</f>
      </c>
      <c r="FI152" s="905">
        <f>SUM(CL152:CO152)</f>
      </c>
      <c r="FJ152" s="905">
        <f>SUM(CP152:CS152)</f>
      </c>
      <c r="FK152" s="905">
        <f>SUM(CT152:CW152)</f>
      </c>
      <c r="FL152" s="905">
        <f>SUM(CX152:DA152)</f>
      </c>
      <c r="FM152" s="905">
        <f>SUM(DB152:DE152)</f>
      </c>
      <c r="FN152" s="905">
        <f>SUM(DF152:DI152)</f>
      </c>
      <c r="FO152" s="905">
        <f>SUM(DJ152:DM152)</f>
      </c>
      <c r="FP152" s="905">
        <f>SUM(DN152:DQ152)</f>
      </c>
      <c r="FQ152" s="905">
        <f>SUM(DR152:DU152)</f>
      </c>
      <c r="FR152" s="905">
        <f>SUM(DV152:DY152)</f>
      </c>
      <c r="FS152" s="905">
        <f>SUM(DZ152:EC152)</f>
      </c>
      <c r="FT152" s="905">
        <f>SUM(ED152:EG152)</f>
      </c>
      <c r="FU152" s="905">
        <f>SUM(EH152:EK152)</f>
      </c>
      <c r="GP152" s="905">
        <f t="shared" ref="GP152:GP154" si="1708">SUM(CA152:CD152)</f>
      </c>
      <c r="GQ152" s="905">
        <f t="shared" ref="GQ152:GQ154" si="1709">SUM(CE152:CH152)</f>
      </c>
      <c r="GR152" s="905">
        <f t="shared" ref="GR152:GR154" si="1710">SUM(CI152:CL152)</f>
      </c>
      <c r="GS152" s="905">
        <f t="shared" ref="GS152:GS154" si="1711">SUM(CM152:CP152)</f>
      </c>
      <c r="GT152" s="905">
        <f t="shared" ref="GT152:GT154" si="1712">SUM(CQ152:CT152)</f>
      </c>
      <c r="GU152" s="905">
        <f t="shared" ref="GU152:GU154" si="1713">SUM(CU152:CX152)</f>
      </c>
      <c r="GV152" s="905">
        <f t="shared" ref="GV152:GV154" si="1714">SUM(CY152:DB152)</f>
      </c>
      <c r="GW152" s="905">
        <f t="shared" ref="GW152:GW154" si="1715">SUM(DC152:DF152)</f>
      </c>
      <c r="GX152" s="905">
        <f t="shared" ref="GX152:GX154" si="1716">SUM(DG152:DJ152)</f>
      </c>
      <c r="GY152" s="905">
        <f t="shared" ref="GY152:GY154" si="1717">SUM(DK152:DN152)</f>
      </c>
      <c r="GZ152" s="905">
        <f t="shared" ref="GZ152:GZ154" si="1718">SUM(DO152:DR152)</f>
      </c>
      <c r="HA152" s="905">
        <f>SUM(DS152:DV152)</f>
      </c>
      <c r="HB152" s="905">
        <f>SUM(DW152:DZ152)</f>
      </c>
      <c r="HC152" s="905">
        <f>SUM(EA152:ED152)</f>
      </c>
      <c r="HD152" s="905">
        <f>SUM(EE152:EH152)</f>
      </c>
    </row>
    <row r="153" spans="1:212" s="905" customFormat="1" ht="10.199999999999999">
      <c r="A153" s="1123" t="s">
        <v>1235</v>
      </c>
      <c r="E153" s="1058"/>
      <c r="I153" s="1058"/>
      <c r="M153" s="1058"/>
      <c r="Q153" s="1058"/>
      <c r="U153" s="1058"/>
      <c r="Y153" s="1058"/>
      <c r="AC153" s="1058"/>
      <c r="AG153" s="1058"/>
      <c r="AK153" s="1058"/>
      <c r="AO153" s="1058"/>
      <c r="AS153" s="1058"/>
      <c r="AW153" s="1058"/>
      <c r="BA153" s="1058"/>
      <c r="BE153" s="1058"/>
      <c r="BG153" s="779">
        <v>1446</v>
      </c>
      <c r="BH153" s="779">
        <v>1463</v>
      </c>
      <c r="BI153" s="780">
        <v>1520</v>
      </c>
      <c r="BJ153" s="779">
        <v>1736</v>
      </c>
      <c r="BK153" s="779">
        <v>1702</v>
      </c>
      <c r="BL153" s="779">
        <v>1757</v>
      </c>
      <c r="BM153" s="780">
        <v>1825</v>
      </c>
      <c r="BN153" s="779">
        <v>2010</v>
      </c>
      <c r="BO153" s="779">
        <v>2041</v>
      </c>
      <c r="BP153" s="779">
        <v>2096</v>
      </c>
      <c r="BQ153" s="780">
        <v>2218</v>
      </c>
      <c r="BR153" s="779">
        <v>2439</v>
      </c>
      <c r="BS153" s="779">
        <v>2284</v>
      </c>
      <c r="BT153" s="779">
        <v>2307</v>
      </c>
      <c r="BU153" s="780">
        <v>2218</v>
      </c>
      <c r="BV153" s="1060">
        <v>2484</v>
      </c>
      <c r="BW153" s="779">
        <v>2386</v>
      </c>
      <c r="BX153" s="779">
        <v>2401</v>
      </c>
      <c r="BY153" s="780">
        <v>2421</v>
      </c>
      <c r="BZ153" s="1060">
        <v>2656</v>
      </c>
      <c r="CA153" s="779">
        <v>2432</v>
      </c>
      <c r="CB153" s="779">
        <v>2432</v>
      </c>
      <c r="CC153" s="780">
        <v>2514</v>
      </c>
      <c r="CD153" s="1060">
        <v>2864</v>
      </c>
      <c r="CE153" s="779">
        <v>2571</v>
      </c>
      <c r="CF153" s="779">
        <v>2623</v>
      </c>
      <c r="CG153" s="780">
        <v>2623</v>
      </c>
      <c r="CH153" s="1060">
        <v>3082</v>
      </c>
      <c r="CI153" s="779">
        <v>2824</v>
      </c>
      <c r="CJ153" s="779">
        <v>3042</v>
      </c>
      <c r="CK153" s="780">
        <v>3101</v>
      </c>
      <c r="CL153" s="1060">
        <v>3674</v>
      </c>
      <c r="CM153" s="779">
        <v>3386</v>
      </c>
      <c r="CN153" s="779">
        <v>3411</v>
      </c>
      <c r="CO153" s="780">
        <v>3427</v>
      </c>
      <c r="CP153" s="779">
        <v>3930</v>
      </c>
      <c r="CQ153" s="779">
        <v>3477</v>
      </c>
      <c r="CR153" s="779">
        <v>3621</v>
      </c>
      <c r="CS153" s="780">
        <v>3634</v>
      </c>
      <c r="CT153" s="905">
        <f>CT154-CT152</f>
      </c>
      <c r="CU153" s="1057">
        <f t="shared" ref="CU153:CW153" si="1719">CU154-CU152</f>
      </c>
      <c r="CV153" s="1057">
        <f t="shared" si="1719"/>
      </c>
      <c r="CW153" s="2259">
        <f t="shared" si="1719"/>
      </c>
      <c r="CX153" s="905">
        <f>CX154-CX152</f>
      </c>
      <c r="CY153" s="1057">
        <f t="shared" ref="CY153" si="1720">CY154-CY152</f>
      </c>
      <c r="CZ153" s="1057">
        <f t="shared" ref="CZ153" si="1721">CZ154-CZ152</f>
      </c>
      <c r="DA153" s="2259">
        <f t="shared" ref="DA153" si="1722">DA154-DA152</f>
      </c>
      <c r="DB153" s="905">
        <f>DB154-DB152</f>
      </c>
      <c r="DC153" s="1057">
        <f t="shared" ref="DC153" si="1723">DC154-DC152</f>
      </c>
      <c r="DD153" s="1057">
        <f t="shared" ref="DD153" si="1724">DD154-DD152</f>
      </c>
      <c r="DE153" s="2259">
        <f t="shared" ref="DE153" si="1725">DE154-DE152</f>
      </c>
      <c r="DF153" s="905">
        <f>DF154-DF152</f>
      </c>
      <c r="DG153" s="1057">
        <f t="shared" ref="DG153" si="1726">DG154-DG152</f>
      </c>
      <c r="DH153" s="1057">
        <f t="shared" ref="DH153" si="1727">DH154-DH152</f>
      </c>
      <c r="DI153" s="2259">
        <f t="shared" ref="DI153" si="1728">DI154-DI152</f>
      </c>
      <c r="DJ153" s="1059">
        <f t="shared" ref="DJ153" si="1729">DJ154-DJ152</f>
      </c>
      <c r="DK153" s="1057">
        <f t="shared" ref="DK153" si="1730">DK154-DK152</f>
      </c>
      <c r="DL153" s="1057">
        <f t="shared" ref="DL153" si="1731">DL154-DL152</f>
      </c>
      <c r="DM153" s="2259">
        <f t="shared" ref="DM153" si="1732">DM154-DM152</f>
      </c>
      <c r="DN153" s="1059">
        <f t="shared" ref="DN153" si="1733">DN154-DN152</f>
      </c>
      <c r="DO153" s="1057">
        <f t="shared" ref="DO153" si="1734">DO154-DO152</f>
      </c>
      <c r="DP153" s="1057">
        <f t="shared" ref="DP153" si="1735">DP154-DP152</f>
      </c>
      <c r="DQ153" s="2259">
        <f t="shared" ref="DQ153" si="1736">DQ154-DQ152</f>
      </c>
      <c r="DR153" s="1059">
        <f t="shared" ref="DR153" si="1737">DR154-DR152</f>
      </c>
      <c r="DS153" s="1057">
        <f t="shared" ref="DS153" si="1738">DS154-DS152</f>
      </c>
      <c r="DT153" s="1057">
        <f t="shared" ref="DT153" si="1739">DT154-DT152</f>
      </c>
      <c r="DU153" s="2260">
        <f t="shared" ref="DU153:DX153" si="1740">DU154-DU152</f>
      </c>
      <c r="DV153" s="1059">
        <f t="shared" si="1740"/>
      </c>
      <c r="DW153" s="1057">
        <f t="shared" si="1740"/>
      </c>
      <c r="DX153" s="1057">
        <f t="shared" si="1740"/>
      </c>
      <c r="DY153" s="2260">
        <f t="shared" ref="DY153:EK153" si="1741">DY154-DY152</f>
      </c>
      <c r="DZ153" s="1059">
        <f t="shared" si="1741"/>
      </c>
      <c r="EA153" s="1057">
        <f t="shared" si="1741"/>
      </c>
      <c r="EB153" s="1057">
        <f t="shared" si="1741"/>
      </c>
      <c r="EC153" s="2260">
        <f t="shared" si="1741"/>
      </c>
      <c r="ED153" s="1059">
        <f t="shared" si="1741"/>
      </c>
      <c r="EE153" s="1057">
        <f t="shared" si="1741"/>
      </c>
      <c r="EF153" s="1057">
        <f t="shared" si="1741"/>
      </c>
      <c r="EG153" s="2260">
        <f t="shared" si="1741"/>
      </c>
      <c r="EH153" s="1059">
        <f t="shared" si="1741"/>
      </c>
      <c r="EI153" s="1057">
        <f t="shared" si="1741"/>
      </c>
      <c r="EJ153" s="1057">
        <f t="shared" si="1741"/>
      </c>
      <c r="EK153" s="2260">
        <f t="shared" si="1741"/>
      </c>
      <c r="FE153" s="905">
        <f t="shared" si="1705"/>
      </c>
      <c r="FF153" s="905">
        <f t="shared" si="1706"/>
      </c>
      <c r="FG153" s="905">
        <f t="shared" si="1707"/>
      </c>
      <c r="FH153" s="905">
        <f t="shared" ref="FH153:FH154" si="1742">SUM(CH153:CK153)</f>
      </c>
      <c r="FI153" s="905">
        <f t="shared" ref="FI153:FI154" si="1743">SUM(CL153:CO153)</f>
      </c>
      <c r="FJ153" s="905">
        <f t="shared" ref="FJ153:FJ154" si="1744">SUM(CP153:CS153)</f>
      </c>
      <c r="FK153" s="905">
        <f t="shared" ref="FK153:FK154" si="1745">SUM(CT153:CW153)</f>
      </c>
      <c r="FL153" s="905">
        <f t="shared" ref="FL153:FL154" si="1746">SUM(CX153:DA153)</f>
      </c>
      <c r="FM153" s="905">
        <f t="shared" ref="FM153:FM154" si="1747">SUM(DB153:DE153)</f>
      </c>
      <c r="FN153" s="905">
        <f t="shared" ref="FN153:FN154" si="1748">SUM(DF153:DI153)</f>
      </c>
      <c r="FO153" s="905">
        <f t="shared" ref="FO153:FO154" si="1749">SUM(DJ153:DM153)</f>
      </c>
      <c r="FP153" s="905">
        <f t="shared" ref="FP153:FP154" si="1750">SUM(DN153:DQ153)</f>
      </c>
      <c r="FQ153" s="905">
        <f t="shared" ref="FQ153:FQ154" si="1751">SUM(DR153:DU153)</f>
      </c>
      <c r="FR153" s="905">
        <f>SUM(DV153:DY153)</f>
      </c>
      <c r="FS153" s="905">
        <f>SUM(DZ153:EC153)</f>
      </c>
      <c r="FT153" s="905">
        <f>SUM(ED153:EG153)</f>
      </c>
      <c r="FU153" s="905">
        <f>SUM(EH153:EK153)</f>
      </c>
      <c r="GP153" s="905">
        <f t="shared" si="1708"/>
      </c>
      <c r="GQ153" s="905">
        <f t="shared" si="1709"/>
      </c>
      <c r="GR153" s="905">
        <f t="shared" si="1710"/>
      </c>
      <c r="GS153" s="905">
        <f t="shared" si="1711"/>
      </c>
      <c r="GT153" s="905">
        <f t="shared" si="1712"/>
      </c>
      <c r="GU153" s="905">
        <f t="shared" si="1713"/>
      </c>
      <c r="GV153" s="905">
        <f t="shared" si="1714"/>
      </c>
      <c r="GW153" s="905">
        <f t="shared" si="1715"/>
      </c>
      <c r="GX153" s="905">
        <f t="shared" si="1716"/>
      </c>
      <c r="GY153" s="905">
        <f t="shared" si="1717"/>
      </c>
      <c r="GZ153" s="905">
        <f t="shared" si="1718"/>
      </c>
      <c r="HA153" s="905">
        <f>SUM(DS153:DV153)</f>
      </c>
      <c r="HB153" s="905">
        <f>SUM(DW153:DZ153)</f>
      </c>
      <c r="HC153" s="905">
        <f>SUM(EA153:ED153)</f>
      </c>
      <c r="HD153" s="905">
        <f>SUM(EE153:EH153)</f>
      </c>
    </row>
    <row r="154" spans="1:212" s="905" customFormat="1" ht="10.199999999999999">
      <c r="A154" s="1121" t="s">
        <v>1236</v>
      </c>
      <c r="B154" s="1062"/>
      <c r="C154" s="1062"/>
      <c r="D154" s="1062"/>
      <c r="E154" s="1063"/>
      <c r="F154" s="1062"/>
      <c r="G154" s="1062"/>
      <c r="H154" s="1062"/>
      <c r="I154" s="1063"/>
      <c r="J154" s="1062"/>
      <c r="K154" s="1062"/>
      <c r="L154" s="1062"/>
      <c r="M154" s="1063"/>
      <c r="N154" s="1062"/>
      <c r="O154" s="1062"/>
      <c r="P154" s="1062"/>
      <c r="Q154" s="1063"/>
      <c r="R154" s="1062"/>
      <c r="S154" s="1062"/>
      <c r="T154" s="1062"/>
      <c r="U154" s="1063"/>
      <c r="V154" s="1062"/>
      <c r="W154" s="1062"/>
      <c r="X154" s="1062"/>
      <c r="Y154" s="1063"/>
      <c r="Z154" s="1062"/>
      <c r="AA154" s="1062"/>
      <c r="AB154" s="1062"/>
      <c r="AC154" s="1063"/>
      <c r="AD154" s="1062"/>
      <c r="AE154" s="1062"/>
      <c r="AF154" s="1062"/>
      <c r="AG154" s="1063"/>
      <c r="AH154" s="1062"/>
      <c r="AI154" s="1062"/>
      <c r="AJ154" s="1062"/>
      <c r="AK154" s="1063"/>
      <c r="AL154" s="1062"/>
      <c r="AM154" s="1062"/>
      <c r="AN154" s="1062"/>
      <c r="AO154" s="1063"/>
      <c r="AP154" s="1062"/>
      <c r="AQ154" s="1062"/>
      <c r="AR154" s="1062"/>
      <c r="AS154" s="1063"/>
      <c r="AT154" s="1062"/>
      <c r="AU154" s="1062"/>
      <c r="AV154" s="1062"/>
      <c r="AW154" s="1063"/>
      <c r="AX154" s="1062"/>
      <c r="AY154" s="1062"/>
      <c r="AZ154" s="1062"/>
      <c r="BA154" s="1063"/>
      <c r="BB154" s="1062"/>
      <c r="BC154" s="1062"/>
      <c r="BD154" s="1062"/>
      <c r="BE154" s="1063"/>
      <c r="BF154" s="1062"/>
      <c r="BG154" s="1062">
        <f t="shared" ref="BG154:CR154" si="1752">SUM(BG152:BG153)</f>
      </c>
      <c r="BH154" s="1062">
        <f t="shared" si="1752"/>
      </c>
      <c r="BI154" s="1063">
        <f t="shared" si="1752"/>
      </c>
      <c r="BJ154" s="1062">
        <f t="shared" si="1752"/>
      </c>
      <c r="BK154" s="1062">
        <f t="shared" si="1752"/>
      </c>
      <c r="BL154" s="1062">
        <f t="shared" si="1752"/>
      </c>
      <c r="BM154" s="1063">
        <f t="shared" si="1752"/>
      </c>
      <c r="BN154" s="1062">
        <f t="shared" si="1752"/>
      </c>
      <c r="BO154" s="1062">
        <f t="shared" si="1752"/>
      </c>
      <c r="BP154" s="1062">
        <f t="shared" si="1752"/>
      </c>
      <c r="BQ154" s="1063">
        <f t="shared" si="1752"/>
      </c>
      <c r="BR154" s="1062">
        <f t="shared" si="1752"/>
      </c>
      <c r="BS154" s="1062">
        <f t="shared" si="1752"/>
      </c>
      <c r="BT154" s="1062">
        <f t="shared" si="1752"/>
      </c>
      <c r="BU154" s="1063">
        <f t="shared" si="1752"/>
      </c>
      <c r="BV154" s="1064">
        <f t="shared" si="1752"/>
      </c>
      <c r="BW154" s="1062">
        <f t="shared" si="1752"/>
      </c>
      <c r="BX154" s="1062">
        <f t="shared" si="1752"/>
      </c>
      <c r="BY154" s="1063">
        <f t="shared" si="1752"/>
      </c>
      <c r="BZ154" s="1064">
        <f t="shared" si="1752"/>
      </c>
      <c r="CA154" s="1062">
        <f t="shared" si="1752"/>
      </c>
      <c r="CB154" s="1062">
        <f t="shared" si="1752"/>
      </c>
      <c r="CC154" s="1063">
        <f t="shared" si="1752"/>
      </c>
      <c r="CD154" s="1064">
        <f t="shared" si="1752"/>
      </c>
      <c r="CE154" s="1062">
        <f t="shared" si="1752"/>
      </c>
      <c r="CF154" s="1062">
        <f t="shared" si="1752"/>
      </c>
      <c r="CG154" s="1063">
        <f t="shared" si="1752"/>
      </c>
      <c r="CH154" s="1064">
        <f t="shared" si="1752"/>
      </c>
      <c r="CI154" s="1062">
        <f t="shared" si="1752"/>
      </c>
      <c r="CJ154" s="1062">
        <f t="shared" si="1752"/>
      </c>
      <c r="CK154" s="1063">
        <f t="shared" si="1752"/>
      </c>
      <c r="CL154" s="1064">
        <f t="shared" si="1752"/>
      </c>
      <c r="CM154" s="1062">
        <f t="shared" si="1752"/>
      </c>
      <c r="CN154" s="1062">
        <f t="shared" si="1752"/>
      </c>
      <c r="CO154" s="1063">
        <f t="shared" si="1752"/>
      </c>
      <c r="CP154" s="1062">
        <f t="shared" si="1752"/>
      </c>
      <c r="CQ154" s="1061">
        <f t="shared" si="1752"/>
      </c>
      <c r="CR154" s="1061">
        <f t="shared" si="1752"/>
      </c>
      <c r="CS154" s="1063">
        <f>SUM(CS152:CS153)</f>
      </c>
      <c r="CT154" s="1065">
        <v>8501</v>
      </c>
      <c r="CU154" s="1065">
        <v>7452</v>
      </c>
      <c r="CV154" s="1065">
        <v>6694</v>
      </c>
      <c r="CW154" s="1066">
        <v>8166</v>
      </c>
      <c r="CX154" s="1065">
        <v>10466</v>
      </c>
      <c r="CY154" s="1065">
        <v>9712</v>
      </c>
      <c r="CZ154" s="1065">
        <v>10929</v>
      </c>
      <c r="DA154" s="1066">
        <v>11498</v>
      </c>
      <c r="DB154" s="1065">
        <v>13427</v>
      </c>
      <c r="DC154" s="1065">
        <v>11990</v>
      </c>
      <c r="DD154" s="1065">
        <v>12214</v>
      </c>
      <c r="DE154" s="1066">
        <v>11826</v>
      </c>
      <c r="DF154" s="1065">
        <v>12925</v>
      </c>
      <c r="DG154" s="1065">
        <v>11721</v>
      </c>
      <c r="DH154" s="1065">
        <v>12537</v>
      </c>
      <c r="DI154" s="1066">
        <v>12642</v>
      </c>
      <c r="DJ154" s="1065">
        <v>13986</v>
      </c>
      <c r="DK154" s="1065">
        <v>12946</v>
      </c>
      <c r="DL154" s="1065">
        <v>13387</v>
      </c>
      <c r="DM154" s="3358">
        <v>13719</v>
      </c>
      <c r="DN154" s="3359">
        <v>14848</v>
      </c>
      <c r="DO154" s="1069">
        <v>13748</v>
      </c>
      <c r="DP154" s="1069">
        <v>14128.327745805404</v>
      </c>
      <c r="DQ154" s="1067">
        <v>14163.427481299757</v>
      </c>
      <c r="DR154" s="1068">
        <v>15483.533243526208</v>
      </c>
      <c r="DS154" s="1069">
        <v>14030.522465780205</v>
      </c>
      <c r="DT154" s="1069">
        <v>14836.937872358994</v>
      </c>
      <c r="DU154" s="1122">
        <v>15192.470231751378</v>
      </c>
      <c r="DV154" s="1068">
        <v>16756.530998319085</v>
      </c>
      <c r="DW154" s="1069">
        <v>14611.539635093621</v>
      </c>
      <c r="DX154" s="1069">
        <v>15631.289273820737</v>
      </c>
      <c r="DY154" s="1122">
        <v>16292.989587484326</v>
      </c>
      <c r="DZ154" s="1068">
        <v>18106.872705007569</v>
      </c>
      <c r="EA154" s="1069">
        <v>15562.585032360697</v>
      </c>
      <c r="EB154" s="1069">
        <v>16543.927772075822</v>
      </c>
      <c r="EC154" s="1122">
        <v>17370.375390160669</v>
      </c>
      <c r="ED154" s="1068">
        <v>19385.329875640553</v>
      </c>
      <c r="EE154" s="1069">
        <v>16495.626587262621</v>
      </c>
      <c r="EF154" s="1069">
        <v>17421.956400567469</v>
      </c>
      <c r="EG154" s="1122">
        <v>18426.958444912561</v>
      </c>
      <c r="EH154" s="1068">
        <v>20649.431537549182</v>
      </c>
      <c r="EI154" s="1069">
        <v>17403.270089819922</v>
      </c>
      <c r="EJ154" s="1069">
        <v>18257.759860302885</v>
      </c>
      <c r="EK154" s="1122">
        <v>19454.252142516507</v>
      </c>
      <c r="FE154" s="1062">
        <f t="shared" si="1705"/>
      </c>
      <c r="FF154" s="1062">
        <f t="shared" si="1706"/>
      </c>
      <c r="FG154" s="1062">
        <f t="shared" si="1707"/>
      </c>
      <c r="FH154" s="1062">
        <f t="shared" si="1742"/>
      </c>
      <c r="FI154" s="1062">
        <f t="shared" si="1743"/>
      </c>
      <c r="FJ154" s="1062">
        <f t="shared" si="1744"/>
      </c>
      <c r="FK154" s="1062">
        <f t="shared" si="1745"/>
      </c>
      <c r="FL154" s="1062">
        <f t="shared" si="1746"/>
      </c>
      <c r="FM154" s="1062">
        <f t="shared" si="1747"/>
      </c>
      <c r="FN154" s="1062">
        <f t="shared" si="1748"/>
      </c>
      <c r="FO154" s="1062">
        <f t="shared" si="1749"/>
      </c>
      <c r="FP154" s="1062">
        <f t="shared" si="1750"/>
      </c>
      <c r="FQ154" s="1062">
        <f t="shared" si="1751"/>
      </c>
      <c r="FR154" s="1062">
        <f>SUM(DV154:DY154)</f>
      </c>
      <c r="FS154" s="1062">
        <f>SUM(DZ154:EC154)</f>
      </c>
      <c r="FT154" s="1062">
        <f>SUM(ED154:EG154)</f>
      </c>
      <c r="FU154" s="1062">
        <f>SUM(EH154:EK154)</f>
      </c>
      <c r="FV154" s="2279"/>
      <c r="FW154" s="1062"/>
      <c r="FX154" s="1062"/>
      <c r="FY154" s="1062"/>
      <c r="FZ154" s="1062"/>
      <c r="GA154" s="1062"/>
      <c r="GB154" s="1062"/>
      <c r="GC154" s="1062"/>
      <c r="GD154" s="1062"/>
      <c r="GE154" s="1062"/>
      <c r="GF154" s="1062"/>
      <c r="GG154" s="1062"/>
      <c r="GH154" s="1062"/>
      <c r="GI154" s="1062"/>
      <c r="GJ154" s="1062"/>
      <c r="GK154" s="1062"/>
      <c r="GL154" s="1062"/>
      <c r="GM154" s="1062"/>
      <c r="GN154" s="1062"/>
      <c r="GO154" s="1062"/>
      <c r="GP154" s="1062">
        <f t="shared" si="1708"/>
      </c>
      <c r="GQ154" s="1062">
        <f t="shared" si="1709"/>
      </c>
      <c r="GR154" s="1062">
        <f t="shared" si="1710"/>
      </c>
      <c r="GS154" s="1062">
        <f t="shared" si="1711"/>
      </c>
      <c r="GT154" s="1062">
        <f t="shared" si="1712"/>
      </c>
      <c r="GU154" s="1062">
        <f t="shared" si="1713"/>
      </c>
      <c r="GV154" s="1062">
        <f t="shared" si="1714"/>
      </c>
      <c r="GW154" s="1062">
        <f t="shared" si="1715"/>
      </c>
      <c r="GX154" s="1062">
        <f t="shared" si="1716"/>
      </c>
      <c r="GY154" s="1062">
        <f t="shared" si="1717"/>
      </c>
      <c r="GZ154" s="1062">
        <f t="shared" si="1718"/>
      </c>
      <c r="HA154" s="1062">
        <f>SUM(DS154:DV154)</f>
      </c>
      <c r="HB154" s="1062">
        <f>SUM(DW154:DZ154)</f>
      </c>
      <c r="HC154" s="1062">
        <f>SUM(EA154:ED154)</f>
      </c>
      <c r="HD154" s="1062">
        <f>SUM(EE154:EH154)</f>
      </c>
    </row>
    <row r="155" spans="1:212" s="905" customFormat="1" ht="10.199999999999999">
      <c r="A155" s="1123"/>
      <c r="E155" s="1058"/>
      <c r="I155" s="1058"/>
      <c r="M155" s="1058"/>
      <c r="Q155" s="1058"/>
      <c r="U155" s="1058"/>
      <c r="Y155" s="1058"/>
      <c r="AC155" s="1058"/>
      <c r="AG155" s="1058"/>
      <c r="AK155" s="1058"/>
      <c r="AO155" s="1058"/>
      <c r="AS155" s="1058"/>
      <c r="AW155" s="1058"/>
      <c r="BA155" s="1058"/>
      <c r="BE155" s="1058"/>
      <c r="BI155" s="1058"/>
      <c r="BM155" s="1058"/>
      <c r="BQ155" s="1058"/>
      <c r="BU155" s="1058"/>
      <c r="BV155" s="1059"/>
      <c r="BY155" s="1058"/>
      <c r="BZ155" s="1059"/>
      <c r="CC155" s="1058"/>
      <c r="CD155" s="1059"/>
      <c r="CG155" s="1058"/>
      <c r="CH155" s="1059"/>
      <c r="CK155" s="1058"/>
      <c r="CL155" s="1059"/>
      <c r="CO155" s="1058"/>
      <c r="CQ155" s="1057"/>
      <c r="CR155" s="1057"/>
      <c r="CS155" s="1058"/>
      <c r="CT155" s="779"/>
      <c r="CU155" s="779"/>
      <c r="CV155" s="779"/>
      <c r="CW155" s="780"/>
      <c r="CX155" s="779"/>
      <c r="CY155" s="779"/>
      <c r="CZ155" s="779"/>
      <c r="DA155" s="780"/>
      <c r="DB155" s="779"/>
      <c r="DC155" s="779"/>
      <c r="DD155" s="779"/>
      <c r="DE155" s="780"/>
      <c r="DF155" s="1060"/>
      <c r="DG155" s="779"/>
      <c r="DH155" s="779"/>
      <c r="DI155" s="780"/>
      <c r="DJ155" s="1060"/>
      <c r="DK155" s="779"/>
      <c r="DL155" s="779"/>
      <c r="DM155" s="780"/>
      <c r="DN155" s="1060"/>
      <c r="DO155" s="779"/>
      <c r="DP155" s="779"/>
      <c r="DQ155" s="780"/>
      <c r="DR155" s="1060"/>
      <c r="DS155" s="779"/>
      <c r="DT155" s="779"/>
      <c r="DU155" s="1124"/>
      <c r="DV155" s="1060"/>
      <c r="DW155" s="779"/>
      <c r="DX155" s="779"/>
      <c r="DY155" s="1124"/>
      <c r="DZ155" s="2650"/>
      <c r="EA155" s="779"/>
      <c r="EB155" s="779"/>
      <c r="EC155" s="1124"/>
      <c r="ED155" s="1060"/>
      <c r="EE155" s="779"/>
      <c r="EF155" s="779"/>
      <c r="EG155" s="1124"/>
      <c r="EH155" s="1060"/>
      <c r="EI155" s="779"/>
      <c r="EJ155" s="779"/>
      <c r="EK155" s="1124"/>
      <c r="FI155" s="141"/>
      <c r="FJ155" s="141"/>
      <c r="FK155" s="141"/>
      <c r="FL155" s="141"/>
      <c r="FM155" s="141"/>
      <c r="FN155" s="141"/>
      <c r="FO155" s="141"/>
      <c r="FP155" s="141"/>
      <c r="FQ155" s="141"/>
      <c r="FR155" s="141"/>
      <c r="FS155" s="141"/>
      <c r="FT155" s="141"/>
      <c r="FU155" s="141"/>
    </row>
    <row r="156" spans="1:212" s="905" customFormat="1" ht="10.199999999999999">
      <c r="A156" s="1125" t="s">
        <v>1237</v>
      </c>
      <c r="E156" s="1058"/>
      <c r="I156" s="1058"/>
      <c r="M156" s="1058"/>
      <c r="Q156" s="1058"/>
      <c r="U156" s="1058"/>
      <c r="Y156" s="1058"/>
      <c r="AC156" s="1058"/>
      <c r="AG156" s="1058"/>
      <c r="AK156" s="1058"/>
      <c r="AO156" s="1058"/>
      <c r="AS156" s="1058"/>
      <c r="AW156" s="1058"/>
      <c r="BA156" s="1058"/>
      <c r="BE156" s="1058"/>
      <c r="BI156" s="1058"/>
      <c r="BM156" s="1058"/>
      <c r="BQ156" s="1058"/>
      <c r="BU156" s="1058"/>
      <c r="BV156" s="1059"/>
      <c r="BY156" s="1058"/>
      <c r="BZ156" s="1059"/>
      <c r="CC156" s="1058"/>
      <c r="CD156" s="1059"/>
      <c r="CG156" s="1058"/>
      <c r="CH156" s="1059"/>
      <c r="CK156" s="1058"/>
      <c r="CL156" s="1059"/>
      <c r="CO156" s="1058"/>
      <c r="CQ156" s="1057"/>
      <c r="CR156" s="1057"/>
      <c r="CS156" s="1058"/>
      <c r="CT156" s="779"/>
      <c r="CU156" s="779"/>
      <c r="CV156" s="779"/>
      <c r="CW156" s="780"/>
      <c r="CX156" s="779"/>
      <c r="CY156" s="779"/>
      <c r="CZ156" s="779"/>
      <c r="DA156" s="780"/>
      <c r="DB156" s="779"/>
      <c r="DC156" s="779"/>
      <c r="DD156" s="779"/>
      <c r="DE156" s="780"/>
      <c r="DF156" s="1060"/>
      <c r="DG156" s="779"/>
      <c r="DH156" s="779"/>
      <c r="DI156" s="780"/>
      <c r="DJ156" s="1060"/>
      <c r="DK156" s="779"/>
      <c r="DL156" s="779"/>
      <c r="DM156" s="780"/>
      <c r="DN156" s="1060"/>
      <c r="DO156" s="779"/>
      <c r="DP156" s="779"/>
      <c r="DQ156" s="780"/>
      <c r="DR156" s="1060"/>
      <c r="DS156" s="779"/>
      <c r="DT156" s="779"/>
      <c r="DU156" s="1124"/>
      <c r="DV156" s="1060"/>
      <c r="DW156" s="779"/>
      <c r="DX156" s="779"/>
      <c r="DY156" s="1124"/>
      <c r="DZ156" s="1060"/>
      <c r="EA156" s="779"/>
      <c r="EB156" s="779"/>
      <c r="EC156" s="1124"/>
      <c r="ED156" s="1060"/>
      <c r="EE156" s="779"/>
      <c r="EF156" s="779"/>
      <c r="EG156" s="1124"/>
      <c r="EH156" s="1060"/>
      <c r="EI156" s="779"/>
      <c r="EJ156" s="779"/>
      <c r="EK156" s="1124"/>
    </row>
    <row r="157" spans="1:212" s="141" customFormat="1" ht="10.199999999999999">
      <c r="A157" s="927" t="s">
        <v>1234</v>
      </c>
      <c r="E157" s="267"/>
      <c r="I157" s="267"/>
      <c r="M157" s="267"/>
      <c r="Q157" s="267"/>
      <c r="U157" s="267"/>
      <c r="Y157" s="267"/>
      <c r="AC157" s="267"/>
      <c r="AG157" s="267"/>
      <c r="AK157" s="267"/>
      <c r="AO157" s="267"/>
      <c r="AS157" s="267"/>
      <c r="AW157" s="267"/>
      <c r="BA157" s="267"/>
      <c r="BE157" s="267"/>
      <c r="BG157" s="141">
        <f>BG152/BG$154</f>
      </c>
      <c r="BH157" s="141">
        <f t="shared" ref="BH157:CS157" si="1753">BH152/BH$154</f>
      </c>
      <c r="BI157" s="267">
        <f t="shared" si="1753"/>
      </c>
      <c r="BJ157" s="141">
        <f t="shared" si="1753"/>
      </c>
      <c r="BK157" s="141">
        <f t="shared" si="1753"/>
      </c>
      <c r="BL157" s="141">
        <f t="shared" si="1753"/>
      </c>
      <c r="BM157" s="267">
        <f t="shared" si="1753"/>
      </c>
      <c r="BN157" s="141">
        <f t="shared" si="1753"/>
      </c>
      <c r="BO157" s="141">
        <f t="shared" si="1753"/>
      </c>
      <c r="BP157" s="141">
        <f t="shared" si="1753"/>
      </c>
      <c r="BQ157" s="267">
        <f t="shared" si="1753"/>
      </c>
      <c r="BR157" s="141">
        <f t="shared" si="1753"/>
      </c>
      <c r="BS157" s="141">
        <f t="shared" si="1753"/>
      </c>
      <c r="BT157" s="141">
        <f t="shared" si="1753"/>
      </c>
      <c r="BU157" s="267">
        <f t="shared" si="1753"/>
      </c>
      <c r="BV157" s="920">
        <f t="shared" si="1753"/>
      </c>
      <c r="BW157" s="141">
        <f t="shared" si="1753"/>
      </c>
      <c r="BX157" s="141">
        <f t="shared" si="1753"/>
      </c>
      <c r="BY157" s="267">
        <f t="shared" si="1753"/>
      </c>
      <c r="BZ157" s="920">
        <f t="shared" si="1753"/>
      </c>
      <c r="CA157" s="141">
        <f t="shared" si="1753"/>
      </c>
      <c r="CB157" s="141">
        <f t="shared" si="1753"/>
      </c>
      <c r="CC157" s="267">
        <f t="shared" si="1753"/>
      </c>
      <c r="CD157" s="920">
        <f t="shared" si="1753"/>
      </c>
      <c r="CE157" s="141">
        <f t="shared" si="1753"/>
      </c>
      <c r="CF157" s="141">
        <f t="shared" si="1753"/>
      </c>
      <c r="CG157" s="267">
        <f t="shared" si="1753"/>
      </c>
      <c r="CH157" s="920">
        <f t="shared" si="1753"/>
      </c>
      <c r="CI157" s="141">
        <f t="shared" si="1753"/>
      </c>
      <c r="CJ157" s="141">
        <f t="shared" si="1753"/>
      </c>
      <c r="CK157" s="267">
        <f t="shared" si="1753"/>
      </c>
      <c r="CL157" s="920">
        <f t="shared" si="1753"/>
      </c>
      <c r="CM157" s="141">
        <f t="shared" si="1753"/>
      </c>
      <c r="CN157" s="141">
        <f t="shared" si="1753"/>
      </c>
      <c r="CO157" s="267">
        <f t="shared" si="1753"/>
      </c>
      <c r="CP157" s="141">
        <f t="shared" si="1753"/>
      </c>
      <c r="CQ157" s="919">
        <f t="shared" si="1753"/>
      </c>
      <c r="CR157" s="919">
        <f t="shared" si="1753"/>
      </c>
      <c r="CS157" s="267">
        <f t="shared" si="1753"/>
      </c>
      <c r="CT157" s="812">
        <f>CS157+0.5%</f>
      </c>
      <c r="CU157" s="812">
        <f t="shared" ref="CU157:CW157" si="1754">CT157+0.5%</f>
      </c>
      <c r="CV157" s="812">
        <f t="shared" si="1754"/>
      </c>
      <c r="CW157" s="811">
        <f t="shared" si="1754"/>
      </c>
      <c r="CX157" s="812">
        <f>CW157+0.5%</f>
      </c>
      <c r="CY157" s="812">
        <f t="shared" ref="CY157:DA157" si="1755">CX157+0.5%</f>
      </c>
      <c r="CZ157" s="812">
        <f t="shared" si="1755"/>
      </c>
      <c r="DA157" s="811">
        <f t="shared" si="1755"/>
      </c>
      <c r="DB157" s="812">
        <f>DA157+0.5%</f>
      </c>
      <c r="DC157" s="812">
        <f t="shared" ref="DC157:DE157" si="1756">DB157+0.5%</f>
      </c>
      <c r="DD157" s="812">
        <f t="shared" si="1756"/>
      </c>
      <c r="DE157" s="811">
        <f t="shared" si="1756"/>
      </c>
      <c r="DF157" s="812">
        <f>DE157+0.5%</f>
      </c>
      <c r="DG157" s="812">
        <f t="shared" ref="DG157:DI157" si="1757">DF157+0.5%</f>
      </c>
      <c r="DH157" s="812">
        <f t="shared" si="1757"/>
      </c>
      <c r="DI157" s="811">
        <f t="shared" si="1757"/>
      </c>
      <c r="DJ157" s="812">
        <f>DI157+0.5%</f>
      </c>
      <c r="DK157" s="812">
        <f t="shared" ref="DK157:DM157" si="1758">DJ157+0.5%</f>
      </c>
      <c r="DL157" s="812">
        <f t="shared" si="1758"/>
      </c>
      <c r="DM157" s="811">
        <f t="shared" si="1758"/>
      </c>
      <c r="DN157" s="812">
        <f>DM157+0.5%</f>
      </c>
      <c r="DO157" s="812">
        <f t="shared" ref="DO157:DQ157" si="1759">DN157+0.5%</f>
      </c>
      <c r="DP157" s="812">
        <f t="shared" si="1759"/>
      </c>
      <c r="DQ157" s="811">
        <f t="shared" si="1759"/>
      </c>
      <c r="DR157" s="812">
        <f>DQ157+0.5%</f>
      </c>
      <c r="DS157" s="812">
        <f t="shared" ref="DS157:DU157" si="1760">DR157+0.5%</f>
      </c>
      <c r="DT157" s="812">
        <f t="shared" si="1760"/>
      </c>
      <c r="DU157" s="928">
        <f t="shared" si="1760"/>
      </c>
      <c r="DV157" s="812">
        <f>DU157+0.5%</f>
      </c>
      <c r="DW157" s="812">
        <f t="shared" ref="DW157" si="1761">DV157+0.5%</f>
      </c>
      <c r="DX157" s="812">
        <f t="shared" ref="DX157" si="1762">DW157+0.5%</f>
      </c>
      <c r="DY157" s="928">
        <f t="shared" ref="DY157" si="1763">DX157+0.5%</f>
      </c>
      <c r="DZ157" s="812">
        <f>DY157+0.5%</f>
      </c>
      <c r="EA157" s="812">
        <f t="shared" ref="EA157" si="1764">DZ157+0.5%</f>
      </c>
      <c r="EB157" s="812">
        <f t="shared" ref="EB157" si="1765">EA157+0.5%</f>
      </c>
      <c r="EC157" s="928">
        <f t="shared" ref="EC157" si="1766">EB157+0.5%</f>
      </c>
      <c r="ED157" s="812">
        <f>EC157+0.5%</f>
      </c>
      <c r="EE157" s="812">
        <f t="shared" ref="EE157" si="1767">ED157+0.5%</f>
      </c>
      <c r="EF157" s="812">
        <f t="shared" ref="EF157" si="1768">EE157+0.5%</f>
      </c>
      <c r="EG157" s="928">
        <f t="shared" ref="EG157" si="1769">EF157+0.5%</f>
      </c>
      <c r="EH157" s="812">
        <f>EG157+0.5%</f>
      </c>
      <c r="EI157" s="812">
        <f t="shared" ref="EI157" si="1770">EH157+0.5%</f>
      </c>
      <c r="EJ157" s="812">
        <f t="shared" ref="EJ157" si="1771">EI157+0.5%</f>
      </c>
      <c r="EK157" s="928">
        <f t="shared" ref="EK157" si="1772">EJ157+0.5%</f>
      </c>
      <c r="FE157" s="141">
        <f>FE152/FE$154</f>
      </c>
      <c r="FF157" s="141">
        <f>FF152/FF$154</f>
      </c>
      <c r="FG157" s="141">
        <f>FG152/FG$154</f>
      </c>
      <c r="FH157" s="141">
        <f>FH152/FH$154</f>
      </c>
      <c r="FI157" s="141">
        <f t="shared" ref="FI157:FQ157" si="1773">FI152/FI$154</f>
      </c>
      <c r="FJ157" s="141">
        <f t="shared" si="1773"/>
      </c>
      <c r="FK157" s="141">
        <f t="shared" si="1773"/>
      </c>
      <c r="FL157" s="141">
        <f t="shared" si="1773"/>
      </c>
      <c r="FM157" s="141">
        <f t="shared" si="1773"/>
      </c>
      <c r="FN157" s="141">
        <f t="shared" si="1773"/>
      </c>
      <c r="FO157" s="141">
        <f t="shared" si="1773"/>
      </c>
      <c r="FP157" s="141">
        <f t="shared" si="1773"/>
      </c>
      <c r="FQ157" s="141">
        <f t="shared" si="1773"/>
      </c>
      <c r="FR157" s="141">
        <f t="shared" ref="FR157:FU157" si="1774">FR152/FR$154</f>
      </c>
      <c r="FS157" s="141">
        <f t="shared" si="1774"/>
      </c>
      <c r="FT157" s="141">
        <f t="shared" si="1774"/>
      </c>
      <c r="FU157" s="141">
        <f t="shared" si="1774"/>
      </c>
      <c r="GP157" s="141">
        <f t="shared" ref="GP157:GY157" si="1775">GP152/GP$154</f>
      </c>
      <c r="GQ157" s="141">
        <f t="shared" si="1775"/>
      </c>
      <c r="GR157" s="141">
        <f t="shared" si="1775"/>
      </c>
      <c r="GS157" s="141">
        <f t="shared" si="1775"/>
      </c>
      <c r="GT157" s="141">
        <f t="shared" si="1775"/>
      </c>
      <c r="GU157" s="141">
        <f t="shared" si="1775"/>
      </c>
      <c r="GV157" s="141">
        <f t="shared" si="1775"/>
      </c>
      <c r="GW157" s="141">
        <f t="shared" si="1775"/>
      </c>
      <c r="GX157" s="141">
        <f t="shared" si="1775"/>
      </c>
      <c r="GY157" s="141">
        <f t="shared" si="1775"/>
      </c>
      <c r="GZ157" s="141">
        <f>GZ152/GZ$154</f>
      </c>
      <c r="HA157" s="141">
        <f t="shared" ref="HA157:HD157" si="1776">HA152/HA$154</f>
      </c>
      <c r="HB157" s="141">
        <f t="shared" si="1776"/>
      </c>
      <c r="HC157" s="141">
        <f t="shared" si="1776"/>
      </c>
      <c r="HD157" s="141">
        <f t="shared" si="1776"/>
      </c>
    </row>
    <row r="158" spans="1:212" s="141" customFormat="1" ht="10.199999999999999">
      <c r="A158" s="927" t="s">
        <v>1235</v>
      </c>
      <c r="E158" s="267"/>
      <c r="I158" s="267"/>
      <c r="M158" s="267"/>
      <c r="Q158" s="267"/>
      <c r="U158" s="267"/>
      <c r="Y158" s="267"/>
      <c r="AC158" s="267"/>
      <c r="AG158" s="267"/>
      <c r="AK158" s="267"/>
      <c r="AO158" s="267"/>
      <c r="AS158" s="267"/>
      <c r="AW158" s="267"/>
      <c r="BA158" s="267"/>
      <c r="BE158" s="267"/>
      <c r="BG158" s="141">
        <f t="shared" ref="BG158:CS158" si="1777">BG153/BG$154</f>
      </c>
      <c r="BH158" s="141">
        <f t="shared" si="1777"/>
      </c>
      <c r="BI158" s="267">
        <f t="shared" si="1777"/>
      </c>
      <c r="BJ158" s="141">
        <f t="shared" si="1777"/>
      </c>
      <c r="BK158" s="141">
        <f t="shared" si="1777"/>
      </c>
      <c r="BL158" s="141">
        <f t="shared" si="1777"/>
      </c>
      <c r="BM158" s="267">
        <f t="shared" si="1777"/>
      </c>
      <c r="BN158" s="141">
        <f t="shared" si="1777"/>
      </c>
      <c r="BO158" s="141">
        <f t="shared" si="1777"/>
      </c>
      <c r="BP158" s="141">
        <f t="shared" si="1777"/>
      </c>
      <c r="BQ158" s="267">
        <f t="shared" si="1777"/>
      </c>
      <c r="BR158" s="141">
        <f t="shared" si="1777"/>
      </c>
      <c r="BS158" s="141">
        <f t="shared" si="1777"/>
      </c>
      <c r="BT158" s="141">
        <f t="shared" si="1777"/>
      </c>
      <c r="BU158" s="267">
        <f t="shared" si="1777"/>
      </c>
      <c r="BV158" s="920">
        <f t="shared" si="1777"/>
      </c>
      <c r="BW158" s="141">
        <f t="shared" si="1777"/>
      </c>
      <c r="BX158" s="141">
        <f t="shared" si="1777"/>
      </c>
      <c r="BY158" s="267">
        <f t="shared" si="1777"/>
      </c>
      <c r="BZ158" s="920">
        <f t="shared" si="1777"/>
      </c>
      <c r="CA158" s="141">
        <f t="shared" si="1777"/>
      </c>
      <c r="CB158" s="141">
        <f t="shared" si="1777"/>
      </c>
      <c r="CC158" s="267">
        <f t="shared" si="1777"/>
      </c>
      <c r="CD158" s="920">
        <f t="shared" si="1777"/>
      </c>
      <c r="CE158" s="141">
        <f t="shared" si="1777"/>
      </c>
      <c r="CF158" s="141">
        <f t="shared" si="1777"/>
      </c>
      <c r="CG158" s="267">
        <f t="shared" si="1777"/>
      </c>
      <c r="CH158" s="920">
        <f t="shared" si="1777"/>
      </c>
      <c r="CI158" s="141">
        <f t="shared" si="1777"/>
      </c>
      <c r="CJ158" s="141">
        <f t="shared" si="1777"/>
      </c>
      <c r="CK158" s="267">
        <f t="shared" si="1777"/>
      </c>
      <c r="CL158" s="920">
        <f t="shared" si="1777"/>
      </c>
      <c r="CM158" s="141">
        <f t="shared" si="1777"/>
      </c>
      <c r="CN158" s="141">
        <f t="shared" si="1777"/>
      </c>
      <c r="CO158" s="267">
        <f t="shared" si="1777"/>
      </c>
      <c r="CP158" s="141">
        <f t="shared" si="1777"/>
      </c>
      <c r="CQ158" s="919">
        <f t="shared" si="1777"/>
      </c>
      <c r="CR158" s="919">
        <f t="shared" si="1777"/>
      </c>
      <c r="CS158" s="267">
        <f t="shared" si="1777"/>
      </c>
      <c r="CT158" s="141">
        <f t="shared" ref="CT158:CW158" si="1778">CT153/CT$154</f>
      </c>
      <c r="CU158" s="919">
        <f t="shared" si="1778"/>
      </c>
      <c r="CV158" s="919">
        <f t="shared" si="1778"/>
      </c>
      <c r="CW158" s="267">
        <f t="shared" si="1778"/>
      </c>
      <c r="CX158" s="141">
        <f t="shared" ref="CX158:DA158" si="1779">CX153/CX$154</f>
      </c>
      <c r="CY158" s="919">
        <f t="shared" si="1779"/>
      </c>
      <c r="CZ158" s="919">
        <f t="shared" si="1779"/>
      </c>
      <c r="DA158" s="267">
        <f t="shared" si="1779"/>
      </c>
      <c r="DB158" s="141">
        <f t="shared" ref="DB158:DE158" si="1780">DB153/DB$154</f>
      </c>
      <c r="DC158" s="919">
        <f t="shared" si="1780"/>
      </c>
      <c r="DD158" s="919">
        <f t="shared" si="1780"/>
      </c>
      <c r="DE158" s="267">
        <f t="shared" si="1780"/>
      </c>
      <c r="DF158" s="141">
        <f t="shared" ref="DF158:DI158" si="1781">DF153/DF$154</f>
      </c>
      <c r="DG158" s="919">
        <f t="shared" si="1781"/>
      </c>
      <c r="DH158" s="919">
        <f t="shared" si="1781"/>
      </c>
      <c r="DI158" s="267">
        <f t="shared" si="1781"/>
      </c>
      <c r="DJ158" s="141">
        <f t="shared" ref="DJ158:DM158" si="1782">DJ153/DJ$154</f>
      </c>
      <c r="DK158" s="919">
        <f t="shared" si="1782"/>
      </c>
      <c r="DL158" s="919">
        <f t="shared" si="1782"/>
      </c>
      <c r="DM158" s="267">
        <f t="shared" si="1782"/>
      </c>
      <c r="DN158" s="141">
        <f t="shared" ref="DN158:DU158" si="1783">DN153/DN$154</f>
      </c>
      <c r="DO158" s="919">
        <f t="shared" si="1783"/>
      </c>
      <c r="DP158" s="919">
        <f t="shared" si="1783"/>
      </c>
      <c r="DQ158" s="267">
        <f t="shared" si="1783"/>
      </c>
      <c r="DR158" s="141">
        <f t="shared" si="1783"/>
      </c>
      <c r="DS158" s="919">
        <f t="shared" si="1783"/>
      </c>
      <c r="DT158" s="919">
        <f t="shared" si="1783"/>
      </c>
      <c r="DU158" s="1126">
        <f t="shared" si="1783"/>
      </c>
      <c r="DV158" s="141">
        <f t="shared" ref="DV158:EK158" si="1784">DV153/DV$154</f>
      </c>
      <c r="DW158" s="919">
        <f t="shared" si="1784"/>
      </c>
      <c r="DX158" s="919">
        <f t="shared" si="1784"/>
      </c>
      <c r="DY158" s="1126">
        <f t="shared" si="1784"/>
      </c>
      <c r="DZ158" s="141">
        <f t="shared" si="1784"/>
      </c>
      <c r="EA158" s="919">
        <f t="shared" si="1784"/>
      </c>
      <c r="EB158" s="919">
        <f t="shared" si="1784"/>
      </c>
      <c r="EC158" s="1126">
        <f t="shared" si="1784"/>
      </c>
      <c r="ED158" s="141">
        <f t="shared" si="1784"/>
      </c>
      <c r="EE158" s="919">
        <f t="shared" si="1784"/>
      </c>
      <c r="EF158" s="919">
        <f t="shared" si="1784"/>
      </c>
      <c r="EG158" s="1126">
        <f t="shared" si="1784"/>
      </c>
      <c r="EH158" s="141">
        <f t="shared" si="1784"/>
      </c>
      <c r="EI158" s="919">
        <f t="shared" si="1784"/>
      </c>
      <c r="EJ158" s="919">
        <f t="shared" si="1784"/>
      </c>
      <c r="EK158" s="1126">
        <f t="shared" si="1784"/>
      </c>
      <c r="FE158" s="141">
        <f t="shared" ref="FE158" si="1785">FE153/FE$154</f>
      </c>
      <c r="FF158" s="141">
        <f t="shared" ref="FF158:FG158" si="1786">FF153/FF$154</f>
      </c>
      <c r="FG158" s="141">
        <f t="shared" si="1786"/>
      </c>
      <c r="FH158" s="141">
        <f t="shared" ref="FH158:FQ158" si="1787">FH153/FH$154</f>
      </c>
      <c r="FI158" s="141">
        <f t="shared" si="1787"/>
      </c>
      <c r="FJ158" s="141">
        <f t="shared" si="1787"/>
      </c>
      <c r="FK158" s="141">
        <f t="shared" si="1787"/>
      </c>
      <c r="FL158" s="141">
        <f t="shared" si="1787"/>
      </c>
      <c r="FM158" s="141">
        <f t="shared" si="1787"/>
      </c>
      <c r="FN158" s="141">
        <f t="shared" si="1787"/>
      </c>
      <c r="FO158" s="141">
        <f t="shared" si="1787"/>
      </c>
      <c r="FP158" s="141">
        <f t="shared" si="1787"/>
      </c>
      <c r="FQ158" s="141">
        <f t="shared" si="1787"/>
      </c>
      <c r="FR158" s="141">
        <f t="shared" ref="FR158:FU158" si="1788">FR153/FR$154</f>
      </c>
      <c r="FS158" s="141">
        <f t="shared" si="1788"/>
      </c>
      <c r="FT158" s="141">
        <f t="shared" si="1788"/>
      </c>
      <c r="FU158" s="141">
        <f t="shared" si="1788"/>
      </c>
      <c r="GP158" s="141">
        <f t="shared" ref="GP158:GZ158" si="1789">GP153/GP$154</f>
      </c>
      <c r="GQ158" s="141">
        <f t="shared" si="1789"/>
      </c>
      <c r="GR158" s="141">
        <f t="shared" si="1789"/>
      </c>
      <c r="GS158" s="141">
        <f t="shared" si="1789"/>
      </c>
      <c r="GT158" s="141">
        <f t="shared" si="1789"/>
      </c>
      <c r="GU158" s="141">
        <f t="shared" si="1789"/>
      </c>
      <c r="GV158" s="141">
        <f t="shared" si="1789"/>
      </c>
      <c r="GW158" s="141">
        <f t="shared" si="1789"/>
      </c>
      <c r="GX158" s="141">
        <f t="shared" si="1789"/>
      </c>
      <c r="GY158" s="141">
        <f t="shared" si="1789"/>
      </c>
      <c r="GZ158" s="141">
        <f t="shared" si="1789"/>
      </c>
      <c r="HA158" s="141">
        <f t="shared" ref="HA158:HD158" si="1790">HA153/HA$154</f>
      </c>
      <c r="HB158" s="141">
        <f t="shared" si="1790"/>
      </c>
      <c r="HC158" s="141">
        <f t="shared" si="1790"/>
      </c>
      <c r="HD158" s="141">
        <f t="shared" si="1790"/>
      </c>
    </row>
    <row r="159" spans="1:212" s="141" customFormat="1" ht="10.199999999999999">
      <c r="A159" s="1127" t="s">
        <v>1236</v>
      </c>
      <c r="B159" s="1128"/>
      <c r="C159" s="1128"/>
      <c r="D159" s="1128"/>
      <c r="E159" s="1129"/>
      <c r="F159" s="1128"/>
      <c r="G159" s="1128"/>
      <c r="H159" s="1128"/>
      <c r="I159" s="1129"/>
      <c r="J159" s="1128"/>
      <c r="K159" s="1128"/>
      <c r="L159" s="1128"/>
      <c r="M159" s="1129"/>
      <c r="N159" s="1128"/>
      <c r="O159" s="1128"/>
      <c r="P159" s="1128"/>
      <c r="Q159" s="1129"/>
      <c r="R159" s="1128"/>
      <c r="S159" s="1128"/>
      <c r="T159" s="1128"/>
      <c r="U159" s="1129"/>
      <c r="V159" s="1128"/>
      <c r="W159" s="1128"/>
      <c r="X159" s="1128"/>
      <c r="Y159" s="1129"/>
      <c r="Z159" s="1128"/>
      <c r="AA159" s="1128"/>
      <c r="AB159" s="1128"/>
      <c r="AC159" s="1129"/>
      <c r="AD159" s="1128"/>
      <c r="AE159" s="1128"/>
      <c r="AF159" s="1128"/>
      <c r="AG159" s="1129"/>
      <c r="AH159" s="1128"/>
      <c r="AI159" s="1128"/>
      <c r="AJ159" s="1128"/>
      <c r="AK159" s="1129"/>
      <c r="AL159" s="1128"/>
      <c r="AM159" s="1128"/>
      <c r="AN159" s="1128"/>
      <c r="AO159" s="1129"/>
      <c r="AP159" s="1128"/>
      <c r="AQ159" s="1128"/>
      <c r="AR159" s="1128"/>
      <c r="AS159" s="1129"/>
      <c r="AT159" s="1128"/>
      <c r="AU159" s="1128"/>
      <c r="AV159" s="1128"/>
      <c r="AW159" s="1129"/>
      <c r="AX159" s="1128"/>
      <c r="AY159" s="1128"/>
      <c r="AZ159" s="1128"/>
      <c r="BA159" s="1129"/>
      <c r="BB159" s="1128"/>
      <c r="BC159" s="1128"/>
      <c r="BD159" s="1128"/>
      <c r="BE159" s="1129"/>
      <c r="BF159" s="1128"/>
      <c r="BG159" s="1128">
        <f t="shared" ref="BG159:CS159" si="1791">BG154/BG$154</f>
      </c>
      <c r="BH159" s="1128">
        <f t="shared" si="1791"/>
      </c>
      <c r="BI159" s="1129">
        <f t="shared" si="1791"/>
      </c>
      <c r="BJ159" s="1128">
        <f t="shared" si="1791"/>
      </c>
      <c r="BK159" s="1128">
        <f t="shared" si="1791"/>
      </c>
      <c r="BL159" s="1128">
        <f t="shared" si="1791"/>
      </c>
      <c r="BM159" s="1129">
        <f t="shared" si="1791"/>
      </c>
      <c r="BN159" s="1128">
        <f t="shared" si="1791"/>
      </c>
      <c r="BO159" s="1128">
        <f t="shared" si="1791"/>
      </c>
      <c r="BP159" s="1128">
        <f t="shared" si="1791"/>
      </c>
      <c r="BQ159" s="1129">
        <f t="shared" si="1791"/>
      </c>
      <c r="BR159" s="1128">
        <f t="shared" si="1791"/>
      </c>
      <c r="BS159" s="1128">
        <f t="shared" si="1791"/>
      </c>
      <c r="BT159" s="1128">
        <f t="shared" si="1791"/>
      </c>
      <c r="BU159" s="1129">
        <f t="shared" si="1791"/>
      </c>
      <c r="BV159" s="1130">
        <f t="shared" si="1791"/>
      </c>
      <c r="BW159" s="1128">
        <f t="shared" si="1791"/>
      </c>
      <c r="BX159" s="1128">
        <f t="shared" si="1791"/>
      </c>
      <c r="BY159" s="1129">
        <f t="shared" si="1791"/>
      </c>
      <c r="BZ159" s="1130">
        <f t="shared" si="1791"/>
      </c>
      <c r="CA159" s="1128">
        <f t="shared" si="1791"/>
      </c>
      <c r="CB159" s="1128">
        <f t="shared" si="1791"/>
      </c>
      <c r="CC159" s="1129">
        <f t="shared" si="1791"/>
      </c>
      <c r="CD159" s="1130">
        <f t="shared" si="1791"/>
      </c>
      <c r="CE159" s="1128">
        <f t="shared" si="1791"/>
      </c>
      <c r="CF159" s="1128">
        <f t="shared" si="1791"/>
      </c>
      <c r="CG159" s="1129">
        <f t="shared" si="1791"/>
      </c>
      <c r="CH159" s="1130">
        <f t="shared" si="1791"/>
      </c>
      <c r="CI159" s="1128">
        <f t="shared" si="1791"/>
      </c>
      <c r="CJ159" s="1128">
        <f t="shared" si="1791"/>
      </c>
      <c r="CK159" s="1129">
        <f t="shared" si="1791"/>
      </c>
      <c r="CL159" s="1130">
        <f t="shared" si="1791"/>
      </c>
      <c r="CM159" s="1128">
        <f t="shared" si="1791"/>
      </c>
      <c r="CN159" s="1128">
        <f t="shared" si="1791"/>
      </c>
      <c r="CO159" s="1129">
        <f t="shared" si="1791"/>
      </c>
      <c r="CP159" s="1128">
        <f t="shared" si="1791"/>
      </c>
      <c r="CQ159" s="1131">
        <f t="shared" si="1791"/>
      </c>
      <c r="CR159" s="1131">
        <f t="shared" si="1791"/>
      </c>
      <c r="CS159" s="1129">
        <f t="shared" si="1791"/>
      </c>
      <c r="CT159" s="1128">
        <f t="shared" ref="CT159:CW159" si="1792">CT154/CT$154</f>
      </c>
      <c r="CU159" s="1131">
        <f t="shared" si="1792"/>
      </c>
      <c r="CV159" s="1131">
        <f t="shared" si="1792"/>
      </c>
      <c r="CW159" s="1129">
        <f t="shared" si="1792"/>
      </c>
      <c r="CX159" s="1128">
        <f t="shared" ref="CX159:DA159" si="1793">CX154/CX$154</f>
      </c>
      <c r="CY159" s="1131">
        <f t="shared" si="1793"/>
      </c>
      <c r="CZ159" s="1131">
        <f t="shared" si="1793"/>
      </c>
      <c r="DA159" s="1129">
        <f t="shared" si="1793"/>
      </c>
      <c r="DB159" s="1128">
        <f t="shared" ref="DB159:DE159" si="1794">DB154/DB$154</f>
      </c>
      <c r="DC159" s="1131">
        <f t="shared" si="1794"/>
      </c>
      <c r="DD159" s="1131">
        <f t="shared" si="1794"/>
      </c>
      <c r="DE159" s="1129">
        <f t="shared" si="1794"/>
      </c>
      <c r="DF159" s="1128">
        <f t="shared" ref="DF159:DI159" si="1795">DF154/DF$154</f>
      </c>
      <c r="DG159" s="1131">
        <f t="shared" si="1795"/>
      </c>
      <c r="DH159" s="1131">
        <f t="shared" si="1795"/>
      </c>
      <c r="DI159" s="1129">
        <f t="shared" si="1795"/>
      </c>
      <c r="DJ159" s="1128">
        <f t="shared" ref="DJ159:DM159" si="1796">DJ154/DJ$154</f>
      </c>
      <c r="DK159" s="1131">
        <f t="shared" si="1796"/>
      </c>
      <c r="DL159" s="1131">
        <f t="shared" si="1796"/>
      </c>
      <c r="DM159" s="1129">
        <f t="shared" si="1796"/>
      </c>
      <c r="DN159" s="1128">
        <f t="shared" ref="DN159:DU159" si="1797">DN154/DN$154</f>
      </c>
      <c r="DO159" s="1131">
        <f t="shared" si="1797"/>
      </c>
      <c r="DP159" s="1131">
        <f t="shared" si="1797"/>
      </c>
      <c r="DQ159" s="1129">
        <f t="shared" si="1797"/>
      </c>
      <c r="DR159" s="1128">
        <f t="shared" si="1797"/>
      </c>
      <c r="DS159" s="1131">
        <f t="shared" si="1797"/>
      </c>
      <c r="DT159" s="1131">
        <f t="shared" si="1797"/>
      </c>
      <c r="DU159" s="1132">
        <f t="shared" si="1797"/>
      </c>
      <c r="DV159" s="1128">
        <f t="shared" ref="DV159:EK159" si="1798">DV154/DV$154</f>
      </c>
      <c r="DW159" s="1131">
        <f t="shared" si="1798"/>
      </c>
      <c r="DX159" s="1131">
        <f t="shared" si="1798"/>
      </c>
      <c r="DY159" s="1132">
        <f t="shared" si="1798"/>
      </c>
      <c r="DZ159" s="1128">
        <f t="shared" si="1798"/>
      </c>
      <c r="EA159" s="1131">
        <f t="shared" si="1798"/>
      </c>
      <c r="EB159" s="1131">
        <f t="shared" si="1798"/>
      </c>
      <c r="EC159" s="1132">
        <f t="shared" si="1798"/>
      </c>
      <c r="ED159" s="1128">
        <f t="shared" si="1798"/>
      </c>
      <c r="EE159" s="1131">
        <f t="shared" si="1798"/>
      </c>
      <c r="EF159" s="1131">
        <f t="shared" si="1798"/>
      </c>
      <c r="EG159" s="1132">
        <f t="shared" si="1798"/>
      </c>
      <c r="EH159" s="1128">
        <f t="shared" si="1798"/>
      </c>
      <c r="EI159" s="1131">
        <f t="shared" si="1798"/>
      </c>
      <c r="EJ159" s="1131">
        <f t="shared" si="1798"/>
      </c>
      <c r="EK159" s="1132">
        <f t="shared" si="1798"/>
      </c>
      <c r="FE159" s="1128">
        <f t="shared" ref="FE159" si="1799">FE154/FE$154</f>
      </c>
      <c r="FF159" s="1128">
        <f t="shared" ref="FF159:FG159" si="1800">FF154/FF$154</f>
      </c>
      <c r="FG159" s="1128">
        <f t="shared" si="1800"/>
      </c>
      <c r="FH159" s="1128">
        <f t="shared" ref="FH159:FQ159" si="1801">FH154/FH$154</f>
      </c>
      <c r="FI159" s="1128">
        <f t="shared" si="1801"/>
      </c>
      <c r="FJ159" s="1128">
        <f t="shared" si="1801"/>
      </c>
      <c r="FK159" s="1128">
        <f t="shared" si="1801"/>
      </c>
      <c r="FL159" s="1128">
        <f t="shared" si="1801"/>
      </c>
      <c r="FM159" s="1128">
        <f t="shared" si="1801"/>
      </c>
      <c r="FN159" s="1128">
        <f t="shared" si="1801"/>
      </c>
      <c r="FO159" s="1128">
        <f t="shared" si="1801"/>
      </c>
      <c r="FP159" s="1128">
        <f t="shared" si="1801"/>
      </c>
      <c r="FQ159" s="1128">
        <f t="shared" si="1801"/>
      </c>
      <c r="FR159" s="1128">
        <f t="shared" ref="FR159:FU159" si="1802">FR154/FR$154</f>
      </c>
      <c r="FS159" s="1128">
        <f t="shared" si="1802"/>
      </c>
      <c r="FT159" s="1128">
        <f t="shared" si="1802"/>
      </c>
      <c r="FU159" s="1128">
        <f t="shared" si="1802"/>
      </c>
      <c r="GP159" s="2279">
        <f t="shared" ref="GP159:GZ159" si="1803">GP154/GP$154</f>
      </c>
      <c r="GQ159" s="2279">
        <f t="shared" si="1803"/>
      </c>
      <c r="GR159" s="2279">
        <f t="shared" si="1803"/>
      </c>
      <c r="GS159" s="2279">
        <f t="shared" si="1803"/>
      </c>
      <c r="GT159" s="2279">
        <f t="shared" si="1803"/>
      </c>
      <c r="GU159" s="2279">
        <f t="shared" si="1803"/>
      </c>
      <c r="GV159" s="2279">
        <f t="shared" si="1803"/>
      </c>
      <c r="GW159" s="2279">
        <f t="shared" si="1803"/>
      </c>
      <c r="GX159" s="2279">
        <f t="shared" si="1803"/>
      </c>
      <c r="GY159" s="2279">
        <f t="shared" si="1803"/>
      </c>
      <c r="GZ159" s="2279">
        <f t="shared" si="1803"/>
      </c>
      <c r="HA159" s="2279">
        <f t="shared" ref="HA159:HD159" si="1804">HA154/HA$154</f>
      </c>
      <c r="HB159" s="2279">
        <f t="shared" si="1804"/>
      </c>
      <c r="HC159" s="2279">
        <f t="shared" si="1804"/>
      </c>
      <c r="HD159" s="2279">
        <f t="shared" si="1804"/>
      </c>
    </row>
    <row r="160" spans="1:212" s="141" customFormat="1" ht="10.199999999999999">
      <c r="A160" s="919"/>
      <c r="E160" s="267"/>
      <c r="I160" s="267"/>
      <c r="M160" s="267"/>
      <c r="Q160" s="267"/>
      <c r="U160" s="267"/>
      <c r="Y160" s="267"/>
      <c r="AC160" s="267"/>
      <c r="AG160" s="267"/>
      <c r="AK160" s="267"/>
      <c r="AO160" s="267"/>
      <c r="AS160" s="267"/>
      <c r="AW160" s="267"/>
      <c r="BA160" s="267"/>
      <c r="BE160" s="267"/>
      <c r="BI160" s="267"/>
      <c r="BM160" s="267"/>
      <c r="BQ160" s="267"/>
      <c r="BU160" s="267"/>
      <c r="BV160" s="920"/>
      <c r="BY160" s="267"/>
      <c r="BZ160" s="920"/>
      <c r="CC160" s="267"/>
      <c r="CD160" s="920"/>
      <c r="CG160" s="267"/>
      <c r="CH160" s="920"/>
      <c r="CK160" s="267"/>
      <c r="CL160" s="920"/>
      <c r="CO160" s="267"/>
      <c r="CQ160" s="919"/>
      <c r="CR160" s="919"/>
      <c r="CS160" s="267"/>
      <c r="CU160" s="919"/>
      <c r="CV160" s="919"/>
      <c r="CW160" s="267"/>
      <c r="CY160" s="919"/>
      <c r="CZ160" s="919"/>
      <c r="DA160" s="267"/>
      <c r="DC160" s="919"/>
      <c r="DD160" s="919"/>
      <c r="DE160" s="267"/>
      <c r="DG160" s="919"/>
      <c r="DH160" s="919"/>
      <c r="DI160" s="267"/>
      <c r="DK160" s="919"/>
      <c r="DL160" s="919"/>
      <c r="DM160" s="267"/>
      <c r="DO160" s="919"/>
      <c r="DP160" s="919"/>
      <c r="DQ160" s="267"/>
      <c r="DS160" s="919"/>
      <c r="DT160" s="919"/>
      <c r="DW160" s="919"/>
      <c r="DX160" s="919"/>
      <c r="EA160" s="919"/>
      <c r="EB160" s="919"/>
      <c r="EE160" s="919"/>
      <c r="EF160" s="919"/>
      <c r="EI160" s="919"/>
      <c r="EJ160" s="919"/>
    </row>
    <row r="161" spans="1:212" s="16" customFormat="1" ht="10.199999999999999">
      <c r="A161" s="708" t="s">
        <v>1242</v>
      </c>
      <c r="B161" s="706" t="str">
        <f>'Revenue summary'!B$8</f>
      </c>
      <c r="C161" s="706" t="str">
        <f>'Revenue summary'!C$8</f>
      </c>
      <c r="D161" s="706" t="str">
        <f>'Revenue summary'!D$8</f>
      </c>
      <c r="E161" s="707" t="str">
        <f>'Revenue summary'!E$8</f>
      </c>
      <c r="F161" s="706" t="str">
        <f>'Revenue summary'!F$8</f>
      </c>
      <c r="G161" s="706" t="str">
        <f>'Revenue summary'!G$8</f>
      </c>
      <c r="H161" s="706" t="str">
        <f>'Revenue summary'!H$8</f>
      </c>
      <c r="I161" s="707" t="str">
        <f>'Revenue summary'!I$8</f>
      </c>
      <c r="J161" s="706" t="str">
        <f>'Revenue summary'!J$8</f>
      </c>
      <c r="K161" s="706" t="str">
        <f>'Revenue summary'!K$8</f>
      </c>
      <c r="L161" s="706" t="str">
        <f>'Revenue summary'!L$8</f>
      </c>
      <c r="M161" s="707" t="str">
        <f>'Revenue summary'!M$8</f>
      </c>
      <c r="N161" s="706" t="str">
        <f>'Revenue summary'!N$8</f>
      </c>
      <c r="O161" s="706" t="str">
        <f>'Revenue summary'!O$8</f>
      </c>
      <c r="P161" s="706" t="str">
        <f>'Revenue summary'!P$8</f>
      </c>
      <c r="Q161" s="707" t="str">
        <f>'Revenue summary'!Q$8</f>
      </c>
      <c r="R161" s="706" t="str">
        <f>'Revenue summary'!R$8</f>
      </c>
      <c r="S161" s="706" t="str">
        <f>'Revenue summary'!S$8</f>
      </c>
      <c r="T161" s="706" t="str">
        <f>'Revenue summary'!T$8</f>
      </c>
      <c r="U161" s="707" t="str">
        <f>'Revenue summary'!U$8</f>
      </c>
      <c r="V161" s="706" t="str">
        <f>'Revenue summary'!V$8</f>
      </c>
      <c r="W161" s="706" t="str">
        <f>'Revenue summary'!W$8</f>
      </c>
      <c r="X161" s="706" t="str">
        <f>'Revenue summary'!X$8</f>
      </c>
      <c r="Y161" s="707" t="str">
        <f>'Revenue summary'!Y$8</f>
      </c>
      <c r="Z161" s="706" t="str">
        <f>'Revenue summary'!Z$8</f>
      </c>
      <c r="AA161" s="706" t="str">
        <f>'Revenue summary'!AA$8</f>
      </c>
      <c r="AB161" s="706" t="str">
        <f>'Revenue summary'!AB$8</f>
      </c>
      <c r="AC161" s="707" t="str">
        <f>'Revenue summary'!AC$8</f>
      </c>
      <c r="AD161" s="706" t="str">
        <f>'Revenue summary'!AD$8</f>
      </c>
      <c r="AE161" s="706" t="str">
        <f>'Revenue summary'!AE$8</f>
      </c>
      <c r="AF161" s="706" t="str">
        <f>'Revenue summary'!AF$8</f>
      </c>
      <c r="AG161" s="707" t="str">
        <f>'Revenue summary'!AG$8</f>
      </c>
      <c r="AH161" s="706" t="str">
        <f>'Revenue summary'!AH$8</f>
      </c>
      <c r="AI161" s="706" t="str">
        <f>'Revenue summary'!AI$8</f>
      </c>
      <c r="AJ161" s="706" t="str">
        <f>'Revenue summary'!AJ$8</f>
      </c>
      <c r="AK161" s="707" t="str">
        <f>'Revenue summary'!AK$8</f>
      </c>
      <c r="AL161" s="706" t="str">
        <f>'Revenue summary'!AL$8</f>
      </c>
      <c r="AM161" s="706" t="str">
        <f>'Revenue summary'!AM$8</f>
      </c>
      <c r="AN161" s="706" t="str">
        <f>'Revenue summary'!AN$8</f>
      </c>
      <c r="AO161" s="707" t="str">
        <f>'Revenue summary'!AO$8</f>
      </c>
      <c r="AP161" s="706" t="str">
        <f>'Revenue summary'!AP$8</f>
      </c>
      <c r="AQ161" s="706" t="str">
        <f>'Revenue summary'!AQ$8</f>
      </c>
      <c r="AR161" s="706" t="str">
        <f>'Revenue summary'!AR$8</f>
      </c>
      <c r="AS161" s="707" t="str">
        <f>'Revenue summary'!AS$8</f>
      </c>
      <c r="AT161" s="706" t="str">
        <f>'Revenue summary'!AT$8</f>
      </c>
      <c r="AU161" s="706" t="str">
        <f>'Revenue summary'!AU$8</f>
      </c>
      <c r="AV161" s="706" t="str">
        <f>'Revenue summary'!AV$8</f>
      </c>
      <c r="AW161" s="707" t="str">
        <f>'Revenue summary'!AW$8</f>
      </c>
      <c r="AX161" s="706" t="str">
        <f>'Revenue summary'!AX$8</f>
      </c>
      <c r="AY161" s="706" t="str">
        <f>'Revenue summary'!AY$8</f>
      </c>
      <c r="AZ161" s="706" t="str">
        <f>'Revenue summary'!AZ$8</f>
      </c>
      <c r="BA161" s="707" t="str">
        <f>'Revenue summary'!BA$8</f>
      </c>
      <c r="BB161" s="706" t="str">
        <f>'Revenue summary'!BB$8</f>
      </c>
      <c r="BC161" s="706" t="str">
        <f>'Revenue summary'!BC$8</f>
      </c>
      <c r="BD161" s="706" t="str">
        <f>'Revenue summary'!BD$8</f>
      </c>
      <c r="BE161" s="707" t="str">
        <f>'Revenue summary'!BE$8</f>
      </c>
      <c r="BF161" s="706" t="str">
        <f>'Revenue summary'!BF$8</f>
      </c>
      <c r="BG161" s="706" t="str">
        <f>'Revenue summary'!BG$8</f>
      </c>
      <c r="BH161" s="706" t="str">
        <f>'Revenue summary'!BH$8</f>
      </c>
      <c r="BI161" s="707" t="str">
        <f>'Revenue summary'!BI$8</f>
      </c>
      <c r="BJ161" s="706" t="str">
        <f>'Revenue summary'!BJ$8</f>
      </c>
      <c r="BK161" s="706" t="str">
        <f>'Revenue summary'!BK$8</f>
      </c>
      <c r="BL161" s="706" t="str">
        <f>'Revenue summary'!BL$8</f>
      </c>
      <c r="BM161" s="707" t="str">
        <f>'Revenue summary'!BM$8</f>
      </c>
      <c r="BN161" s="706" t="str">
        <f>'Revenue summary'!BN$8</f>
      </c>
      <c r="BO161" s="706" t="str">
        <f>'Revenue summary'!BO$8</f>
      </c>
      <c r="BP161" s="706" t="str">
        <f>'Revenue summary'!BP$8</f>
      </c>
      <c r="BQ161" s="707" t="str">
        <f>'Revenue summary'!BQ$8</f>
      </c>
      <c r="BR161" s="706" t="str">
        <f>'Revenue summary'!BR$8</f>
      </c>
      <c r="BS161" s="706" t="str">
        <f>'Revenue summary'!BS$8</f>
      </c>
      <c r="BT161" s="706" t="str">
        <f>'Revenue summary'!BT$8</f>
      </c>
      <c r="BU161" s="707" t="str">
        <f>'Revenue summary'!BU$8</f>
      </c>
      <c r="BV161" s="706" t="str">
        <f>'Revenue summary'!BV$8</f>
      </c>
      <c r="BW161" s="706" t="str">
        <f>'Revenue summary'!BW$8</f>
      </c>
      <c r="BX161" s="706" t="str">
        <f>'Revenue summary'!BX$8</f>
      </c>
      <c r="BY161" s="707" t="str">
        <f>'Revenue summary'!BY$8</f>
      </c>
      <c r="BZ161" s="706" t="str">
        <f>'Revenue summary'!BZ$8</f>
      </c>
      <c r="CA161" s="706" t="str">
        <f>'Revenue summary'!CA$8</f>
      </c>
      <c r="CB161" s="706" t="str">
        <f>'Revenue summary'!CB$8</f>
      </c>
      <c r="CC161" s="707" t="str">
        <f>'Revenue summary'!CC$8</f>
      </c>
      <c r="CD161" s="706" t="str">
        <f>'Revenue summary'!CD$8</f>
      </c>
      <c r="CE161" s="706" t="str">
        <f>'Revenue summary'!CE$8</f>
      </c>
      <c r="CF161" s="706" t="str">
        <f>'Revenue summary'!CF$8</f>
      </c>
      <c r="CG161" s="707" t="str">
        <f>'Revenue summary'!CG$8</f>
      </c>
      <c r="CH161" s="706" t="str">
        <f>'Revenue summary'!CH$8</f>
      </c>
      <c r="CI161" s="706" t="str">
        <f>'Revenue summary'!CI$8</f>
      </c>
      <c r="CJ161" s="706" t="str">
        <f>'Revenue summary'!CJ$8</f>
      </c>
      <c r="CK161" s="707" t="str">
        <f>'Revenue summary'!CK$8</f>
      </c>
      <c r="CL161" s="706" t="str">
        <f>'Revenue summary'!CL$8</f>
      </c>
      <c r="CM161" s="706" t="str">
        <f>'Revenue summary'!CM$8</f>
      </c>
      <c r="CN161" s="706" t="str">
        <f>'Revenue summary'!CN$8</f>
      </c>
      <c r="CO161" s="707" t="str">
        <f>'Revenue summary'!CO$8</f>
      </c>
      <c r="CP161" s="706" t="str">
        <f>'Revenue summary'!CP$8</f>
      </c>
      <c r="CQ161" s="706" t="str">
        <f>'Revenue summary'!CQ$8</f>
      </c>
      <c r="CR161" s="706" t="str">
        <f>'Revenue summary'!CR$8</f>
      </c>
      <c r="CS161" s="707" t="str">
        <f>'Revenue summary'!CS$8</f>
      </c>
      <c r="CT161" s="706" t="str">
        <f>'Revenue summary'!CT$8</f>
      </c>
      <c r="CU161" s="706" t="str">
        <f>'Revenue summary'!CU$8</f>
      </c>
      <c r="CV161" s="706" t="str">
        <f>'Revenue summary'!CV$8</f>
      </c>
      <c r="CW161" s="707" t="str">
        <f>'Revenue summary'!CW$8</f>
      </c>
      <c r="CX161" s="706" t="str">
        <f>'Revenue summary'!CX$8</f>
      </c>
      <c r="CY161" s="706" t="str">
        <f>'Revenue summary'!CY$8</f>
      </c>
      <c r="CZ161" s="706" t="str">
        <f>'Revenue summary'!CZ$8</f>
      </c>
      <c r="DA161" s="707" t="str">
        <f>'Revenue summary'!DA$8</f>
      </c>
      <c r="DB161" s="706" t="str">
        <f>'Revenue summary'!DB$8</f>
      </c>
      <c r="DC161" s="706" t="str">
        <f>'Revenue summary'!DC$8</f>
      </c>
      <c r="DD161" s="706" t="str">
        <f>'Revenue summary'!DD$8</f>
      </c>
      <c r="DE161" s="707" t="str">
        <f>'Revenue summary'!DE$8</f>
      </c>
      <c r="DF161" s="706" t="str">
        <f>'Revenue summary'!DF$8</f>
      </c>
      <c r="DG161" s="706" t="str">
        <f>'Revenue summary'!DG$8</f>
      </c>
      <c r="DH161" s="706" t="str">
        <f>'Revenue summary'!DH$8</f>
      </c>
      <c r="DI161" s="707" t="str">
        <f>'Revenue summary'!DI$8</f>
      </c>
      <c r="DJ161" s="706" t="str">
        <f>'Revenue summary'!DJ$8</f>
      </c>
      <c r="DK161" s="706" t="str">
        <f>'Revenue summary'!DK$8</f>
      </c>
      <c r="DL161" s="706" t="str">
        <f>'Revenue summary'!DL$8</f>
      </c>
      <c r="DM161" s="707" t="str">
        <f>'Revenue summary'!DM$8</f>
      </c>
      <c r="DN161" s="706" t="str">
        <f>'Revenue summary'!DN$8</f>
      </c>
      <c r="DO161" s="706" t="str">
        <f>'Revenue summary'!DO$8</f>
      </c>
      <c r="DP161" s="706" t="str">
        <f>'Revenue summary'!DP$8</f>
      </c>
      <c r="DQ161" s="707" t="str">
        <f>'Revenue summary'!DQ$8</f>
      </c>
      <c r="DR161" s="706" t="str">
        <f>'Revenue summary'!DR$8</f>
      </c>
      <c r="DS161" s="706" t="str">
        <f>'Revenue summary'!DS$8</f>
      </c>
      <c r="DT161" s="706" t="str">
        <f>'Revenue summary'!DT$8</f>
      </c>
      <c r="DU161" s="707" t="str">
        <f>'Revenue summary'!DU$8</f>
      </c>
      <c r="DV161" s="706" t="str">
        <f>'Revenue summary'!DV$8</f>
      </c>
      <c r="DW161" s="706" t="str">
        <f>'Revenue summary'!DW$8</f>
      </c>
      <c r="DX161" s="706" t="str">
        <f>'Revenue summary'!DX$8</f>
      </c>
      <c r="DY161" s="707" t="str">
        <f>'Revenue summary'!DY$8</f>
      </c>
      <c r="DZ161" s="706" t="str">
        <f>'Revenue summary'!DZ$8</f>
      </c>
      <c r="EA161" s="706" t="str">
        <f>'Revenue summary'!EA$8</f>
      </c>
      <c r="EB161" s="706" t="str">
        <f>'Revenue summary'!EB$8</f>
      </c>
      <c r="EC161" s="707" t="str">
        <f>'Revenue summary'!EC$8</f>
      </c>
      <c r="ED161" s="706" t="str">
        <f>'Revenue summary'!ED$8</f>
      </c>
      <c r="EE161" s="706" t="str">
        <f>'Revenue summary'!EE$8</f>
      </c>
      <c r="EF161" s="706" t="str">
        <f>'Revenue summary'!EF$8</f>
      </c>
      <c r="EG161" s="707" t="str">
        <f>'Revenue summary'!EG$8</f>
      </c>
      <c r="EH161" s="706" t="str">
        <f>'Revenue summary'!EH$8</f>
      </c>
      <c r="EI161" s="706" t="str">
        <f>'Revenue summary'!EI$8</f>
      </c>
      <c r="EJ161" s="706" t="str">
        <f>'Revenue summary'!EJ$8</f>
      </c>
      <c r="EK161" s="707" t="str">
        <f>'Revenue summary'!EK$8</f>
      </c>
      <c r="EL161" s="320"/>
      <c r="EM161" s="706">
        <f t="shared" ref="EM161:FH161" si="1805">EM$9</f>
      </c>
      <c r="EN161" s="706">
        <f t="shared" si="1805"/>
      </c>
      <c r="EO161" s="706">
        <f t="shared" si="1805"/>
      </c>
      <c r="EP161" s="706">
        <f t="shared" si="1805"/>
      </c>
      <c r="EQ161" s="706">
        <f t="shared" si="1805"/>
      </c>
      <c r="ER161" s="706">
        <f t="shared" si="1805"/>
      </c>
      <c r="ES161" s="706">
        <f t="shared" si="1805"/>
      </c>
      <c r="ET161" s="706">
        <f t="shared" si="1805"/>
      </c>
      <c r="EU161" s="706">
        <f t="shared" si="1805"/>
      </c>
      <c r="EV161" s="706">
        <f t="shared" si="1805"/>
      </c>
      <c r="EW161" s="706">
        <f t="shared" si="1805"/>
      </c>
      <c r="EX161" s="706">
        <f t="shared" si="1805"/>
      </c>
      <c r="EY161" s="706">
        <f t="shared" si="1805"/>
      </c>
      <c r="EZ161" s="706">
        <f t="shared" si="1805"/>
      </c>
      <c r="FA161" s="706">
        <f t="shared" si="1805"/>
      </c>
      <c r="FB161" s="706">
        <f t="shared" si="1805"/>
      </c>
      <c r="FC161" s="706">
        <f t="shared" si="1805"/>
      </c>
      <c r="FD161" s="706">
        <f t="shared" si="1805"/>
      </c>
      <c r="FE161" s="706" t="str">
        <f t="shared" si="1805"/>
      </c>
      <c r="FF161" s="706" t="str">
        <f t="shared" si="1805"/>
      </c>
      <c r="FG161" s="706" t="str">
        <f t="shared" si="1805"/>
      </c>
      <c r="FH161" s="706" t="str">
        <f t="shared" si="1805"/>
      </c>
      <c r="FI161" s="706" t="str">
        <f>FI$9</f>
      </c>
      <c r="FJ161" s="706" t="str">
        <f t="shared" ref="FJ161:FU161" si="1806">FJ$9</f>
      </c>
      <c r="FK161" s="706" t="str">
        <f t="shared" si="1806"/>
      </c>
      <c r="FL161" s="706" t="str">
        <f t="shared" si="1806"/>
      </c>
      <c r="FM161" s="706" t="str">
        <f t="shared" si="1806"/>
      </c>
      <c r="FN161" s="706" t="str">
        <f t="shared" si="1806"/>
      </c>
      <c r="FO161" s="706" t="str">
        <f t="shared" si="1806"/>
      </c>
      <c r="FP161" s="706" t="str">
        <f t="shared" si="1806"/>
      </c>
      <c r="FQ161" s="706" t="str">
        <f t="shared" si="1806"/>
      </c>
      <c r="FR161" s="706" t="str">
        <f t="shared" si="1806"/>
      </c>
      <c r="FS161" s="706" t="str">
        <f t="shared" si="1806"/>
      </c>
      <c r="FT161" s="706" t="str">
        <f t="shared" si="1806"/>
      </c>
      <c r="FU161" s="706" t="str">
        <f t="shared" si="1806"/>
      </c>
      <c r="FV161" s="706"/>
      <c r="FW161" s="706" t="str">
        <f t="shared" ref="FW161:GX161" si="1807">FW$10</f>
      </c>
      <c r="FX161" s="706" t="str">
        <f t="shared" si="1807"/>
      </c>
      <c r="FY161" s="706" t="str">
        <f t="shared" si="1807"/>
      </c>
      <c r="FZ161" s="706" t="str">
        <f t="shared" si="1807"/>
      </c>
      <c r="GA161" s="706" t="str">
        <f t="shared" si="1807"/>
      </c>
      <c r="GB161" s="706" t="str">
        <f t="shared" si="1807"/>
      </c>
      <c r="GC161" s="706" t="str">
        <f t="shared" si="1807"/>
      </c>
      <c r="GD161" s="706" t="str">
        <f t="shared" si="1807"/>
      </c>
      <c r="GE161" s="706" t="str">
        <f t="shared" si="1807"/>
      </c>
      <c r="GF161" s="706" t="str">
        <f t="shared" si="1807"/>
      </c>
      <c r="GG161" s="706" t="str">
        <f t="shared" si="1807"/>
      </c>
      <c r="GH161" s="706" t="str">
        <f t="shared" si="1807"/>
      </c>
      <c r="GI161" s="706" t="str">
        <f t="shared" si="1807"/>
      </c>
      <c r="GJ161" s="706" t="str">
        <f t="shared" si="1807"/>
      </c>
      <c r="GK161" s="706" t="str">
        <f t="shared" si="1807"/>
      </c>
      <c r="GL161" s="706" t="str">
        <f t="shared" si="1807"/>
      </c>
      <c r="GM161" s="706" t="str">
        <f t="shared" si="1807"/>
      </c>
      <c r="GN161" s="706" t="str">
        <f t="shared" si="1807"/>
      </c>
      <c r="GO161" s="706" t="str">
        <f t="shared" si="1807"/>
      </c>
      <c r="GP161" s="706" t="str">
        <f t="shared" si="1807"/>
      </c>
      <c r="GQ161" s="706" t="str">
        <f t="shared" si="1807"/>
      </c>
      <c r="GR161" s="706" t="str">
        <f t="shared" si="1807"/>
      </c>
      <c r="GS161" s="706" t="str">
        <f t="shared" si="1807"/>
      </c>
      <c r="GT161" s="706" t="str">
        <f t="shared" si="1807"/>
      </c>
      <c r="GU161" s="706" t="str">
        <f t="shared" si="1807"/>
      </c>
      <c r="GV161" s="706" t="str">
        <f t="shared" si="1807"/>
      </c>
      <c r="GW161" s="706" t="str">
        <f t="shared" si="1807"/>
      </c>
      <c r="GX161" s="706" t="str">
        <f t="shared" si="1807"/>
      </c>
      <c r="GY161" s="706" t="str">
        <f t="shared" ref="GY161" si="1808">GY$10</f>
      </c>
      <c r="GZ161" s="706" t="str">
        <f t="shared" ref="GZ161:HD161" si="1809">GZ$10</f>
      </c>
      <c r="HA161" s="706" t="str">
        <f t="shared" si="1809"/>
      </c>
      <c r="HB161" s="706" t="str">
        <f t="shared" si="1809"/>
      </c>
      <c r="HC161" s="706" t="str">
        <f t="shared" si="1809"/>
      </c>
      <c r="HD161" s="706" t="str">
        <f t="shared" si="1809"/>
      </c>
    </row>
    <row r="162" spans="1:212" s="1078" customFormat="1" ht="10.8" thickBot="1">
      <c r="A162" s="1119" t="s">
        <v>1244</v>
      </c>
      <c r="B162" s="1075"/>
      <c r="C162" s="1075"/>
      <c r="D162" s="1075"/>
      <c r="E162" s="1076"/>
      <c r="F162" s="1075"/>
      <c r="G162" s="1075"/>
      <c r="H162" s="1075"/>
      <c r="I162" s="1076"/>
      <c r="J162" s="1075"/>
      <c r="K162" s="1075"/>
      <c r="L162" s="1075"/>
      <c r="M162" s="1076"/>
      <c r="N162" s="1075"/>
      <c r="O162" s="1075"/>
      <c r="P162" s="1075"/>
      <c r="Q162" s="1076"/>
      <c r="R162" s="1075"/>
      <c r="S162" s="1075"/>
      <c r="T162" s="1075"/>
      <c r="U162" s="1076"/>
      <c r="V162" s="1075"/>
      <c r="W162" s="1075"/>
      <c r="X162" s="1075"/>
      <c r="Y162" s="1076"/>
      <c r="Z162" s="1075"/>
      <c r="AA162" s="1075"/>
      <c r="AB162" s="1075"/>
      <c r="AC162" s="1076"/>
      <c r="AD162" s="1075"/>
      <c r="AE162" s="1075"/>
      <c r="AF162" s="1075"/>
      <c r="AG162" s="1076"/>
      <c r="AH162" s="1075"/>
      <c r="AI162" s="1075"/>
      <c r="AJ162" s="1075"/>
      <c r="AK162" s="1076"/>
      <c r="AL162" s="1075"/>
      <c r="AM162" s="1075"/>
      <c r="AN162" s="1075"/>
      <c r="AO162" s="1076"/>
      <c r="AP162" s="1075"/>
      <c r="AQ162" s="1075"/>
      <c r="AR162" s="1075"/>
      <c r="AS162" s="1076"/>
      <c r="AT162" s="1075"/>
      <c r="AU162" s="1075"/>
      <c r="AV162" s="1075"/>
      <c r="AW162" s="1076"/>
      <c r="AX162" s="1075"/>
      <c r="AY162" s="1075"/>
      <c r="AZ162" s="1075"/>
      <c r="BA162" s="1076"/>
      <c r="BB162" s="1075"/>
      <c r="BC162" s="1075"/>
      <c r="BD162" s="1075"/>
      <c r="BE162" s="1076"/>
      <c r="BF162" s="1075"/>
      <c r="BG162" s="1075"/>
      <c r="BH162" s="1075"/>
      <c r="BI162" s="1076"/>
      <c r="BJ162" s="1075"/>
      <c r="BK162" s="1075"/>
      <c r="BL162" s="1075"/>
      <c r="BM162" s="1076"/>
      <c r="BN162" s="1075"/>
      <c r="BO162" s="1075"/>
      <c r="BP162" s="1075"/>
      <c r="BQ162" s="1076"/>
      <c r="BR162" s="1075"/>
      <c r="BS162" s="1075"/>
      <c r="BT162" s="1075"/>
      <c r="BU162" s="1076"/>
      <c r="BV162" s="1077"/>
      <c r="BW162" s="1075"/>
      <c r="BX162" s="1075"/>
      <c r="BY162" s="1076"/>
      <c r="BZ162" s="1077"/>
      <c r="CA162" s="1075"/>
      <c r="CB162" s="1075"/>
      <c r="CC162" s="1076"/>
      <c r="CD162" s="1077">
        <f t="shared" ref="CD162:CK162" si="1810">CD163*CD169</f>
      </c>
      <c r="CE162" s="1075">
        <f t="shared" si="1810"/>
      </c>
      <c r="CF162" s="1075">
        <f t="shared" si="1810"/>
      </c>
      <c r="CG162" s="1076">
        <f t="shared" si="1810"/>
      </c>
      <c r="CH162" s="1077">
        <f t="shared" si="1810"/>
      </c>
      <c r="CI162" s="1075">
        <f t="shared" si="1810"/>
      </c>
      <c r="CJ162" s="1075">
        <f t="shared" si="1810"/>
      </c>
      <c r="CK162" s="1076">
        <f t="shared" si="1810"/>
      </c>
      <c r="CL162" s="1077">
        <f>CL163*CL169</f>
      </c>
      <c r="CM162" s="1075">
        <f t="shared" ref="CM162:DU162" si="1811">CM163*CM169</f>
      </c>
      <c r="CN162" s="1075">
        <f t="shared" si="1811"/>
      </c>
      <c r="CO162" s="1076">
        <f t="shared" si="1811"/>
      </c>
      <c r="CP162" s="1077">
        <f t="shared" si="1811"/>
      </c>
      <c r="CQ162" s="1075">
        <f t="shared" si="1811"/>
      </c>
      <c r="CR162" s="1075">
        <f t="shared" si="1811"/>
      </c>
      <c r="CS162" s="1076">
        <f t="shared" si="1811"/>
      </c>
      <c r="CT162" s="1077">
        <f t="shared" si="1811"/>
      </c>
      <c r="CU162" s="1075">
        <f t="shared" si="1811"/>
      </c>
      <c r="CV162" s="1075">
        <f t="shared" si="1811"/>
      </c>
      <c r="CW162" s="1076">
        <f t="shared" si="1811"/>
      </c>
      <c r="CX162" s="1077">
        <f t="shared" si="1811"/>
      </c>
      <c r="CY162" s="1075">
        <f t="shared" si="1811"/>
      </c>
      <c r="CZ162" s="1075">
        <f t="shared" si="1811"/>
      </c>
      <c r="DA162" s="1076">
        <f t="shared" si="1811"/>
      </c>
      <c r="DB162" s="1077">
        <f t="shared" si="1811"/>
      </c>
      <c r="DC162" s="1075">
        <f t="shared" si="1811"/>
      </c>
      <c r="DD162" s="1075">
        <f t="shared" si="1811"/>
      </c>
      <c r="DE162" s="1076">
        <f t="shared" si="1811"/>
      </c>
      <c r="DF162" s="1077">
        <f t="shared" si="1811"/>
      </c>
      <c r="DG162" s="1075">
        <f t="shared" si="1811"/>
      </c>
      <c r="DH162" s="1075">
        <f t="shared" si="1811"/>
      </c>
      <c r="DI162" s="1076">
        <f t="shared" si="1811"/>
      </c>
      <c r="DJ162" s="1077">
        <f t="shared" si="1811"/>
      </c>
      <c r="DK162" s="1075">
        <f t="shared" si="1811"/>
      </c>
      <c r="DL162" s="1075">
        <f t="shared" si="1811"/>
      </c>
      <c r="DM162" s="1076">
        <f t="shared" si="1811"/>
      </c>
      <c r="DN162" s="1077">
        <f t="shared" si="1811"/>
      </c>
      <c r="DO162" s="1075">
        <f t="shared" si="1811"/>
      </c>
      <c r="DP162" s="1075">
        <f t="shared" si="1811"/>
      </c>
      <c r="DQ162" s="1076">
        <f t="shared" si="1811"/>
      </c>
      <c r="DR162" s="1077">
        <f t="shared" si="1811"/>
      </c>
      <c r="DS162" s="1075">
        <f t="shared" si="1811"/>
      </c>
      <c r="DT162" s="1075">
        <f t="shared" si="1811"/>
      </c>
      <c r="DU162" s="1120">
        <f t="shared" si="1811"/>
      </c>
      <c r="DV162" s="1077">
        <f t="shared" ref="DV162:EK162" si="1812">DV163*DV169</f>
      </c>
      <c r="DW162" s="1075">
        <f t="shared" si="1812"/>
      </c>
      <c r="DX162" s="1075">
        <f t="shared" si="1812"/>
      </c>
      <c r="DY162" s="1120">
        <f t="shared" si="1812"/>
      </c>
      <c r="DZ162" s="1077">
        <f t="shared" si="1812"/>
      </c>
      <c r="EA162" s="1075">
        <f t="shared" si="1812"/>
      </c>
      <c r="EB162" s="1075">
        <f t="shared" si="1812"/>
      </c>
      <c r="EC162" s="1120">
        <f t="shared" si="1812"/>
      </c>
      <c r="ED162" s="1077">
        <f t="shared" si="1812"/>
      </c>
      <c r="EE162" s="1075">
        <f t="shared" si="1812"/>
      </c>
      <c r="EF162" s="1075">
        <f t="shared" si="1812"/>
      </c>
      <c r="EG162" s="1120">
        <f t="shared" si="1812"/>
      </c>
      <c r="EH162" s="1077">
        <f t="shared" si="1812"/>
      </c>
      <c r="EI162" s="1075">
        <f t="shared" si="1812"/>
      </c>
      <c r="EJ162" s="1075">
        <f t="shared" si="1812"/>
      </c>
      <c r="EK162" s="1120">
        <f t="shared" si="1812"/>
      </c>
      <c r="EM162" s="1075"/>
      <c r="EN162" s="1075"/>
      <c r="EO162" s="1075"/>
      <c r="EP162" s="1075"/>
      <c r="EQ162" s="1075"/>
      <c r="ER162" s="1075"/>
      <c r="ES162" s="1075"/>
      <c r="ET162" s="1075"/>
      <c r="EU162" s="1075"/>
      <c r="EV162" s="1075"/>
      <c r="EW162" s="1075"/>
      <c r="EX162" s="1075"/>
      <c r="EY162" s="1075"/>
      <c r="EZ162" s="1075"/>
      <c r="FA162" s="1075"/>
      <c r="FB162" s="1075"/>
      <c r="FC162" s="1075"/>
      <c r="FD162" s="1075"/>
      <c r="FE162" s="1075">
        <f t="shared" ref="FE162" si="1813">SUM(BV162:BY162)</f>
      </c>
      <c r="FF162" s="1075">
        <f t="shared" ref="FF162" si="1814">SUM(BZ162:CC162)</f>
      </c>
      <c r="FG162" s="1075">
        <f t="shared" ref="FG162" si="1815">SUM(CD162:CG162)</f>
      </c>
      <c r="FH162" s="1075">
        <f t="shared" ref="FH162" si="1816">SUM(CH162:CK162)</f>
      </c>
      <c r="FI162" s="1075">
        <f t="shared" ref="FI162" si="1817">SUM(CL162:CO162)</f>
      </c>
      <c r="FJ162" s="1075">
        <f t="shared" ref="FJ162" si="1818">SUM(CP162:CS162)</f>
      </c>
      <c r="FK162" s="1075">
        <f t="shared" ref="FK162" si="1819">SUM(CT162:CW162)</f>
      </c>
      <c r="FL162" s="1075">
        <f t="shared" ref="FL162" si="1820">SUM(CX162:DA162)</f>
      </c>
      <c r="FM162" s="1075">
        <f t="shared" ref="FM162" si="1821">SUM(DB162:DE162)</f>
      </c>
      <c r="FN162" s="1075">
        <f t="shared" ref="FN162" si="1822">SUM(DF162:DI162)</f>
      </c>
      <c r="FO162" s="1075">
        <f t="shared" ref="FO162" si="1823">SUM(DJ162:DM162)</f>
      </c>
      <c r="FP162" s="1075">
        <f>SUM(DN162:DQ162)</f>
      </c>
      <c r="FQ162" s="1075">
        <f>SUM(DR162:DU162)</f>
      </c>
      <c r="FR162" s="1075">
        <f>SUM(DV162:DY162)</f>
      </c>
      <c r="FS162" s="1075">
        <f>SUM(DZ162:EC162)</f>
      </c>
      <c r="FT162" s="1075">
        <f>SUM(ED162:EG162)</f>
      </c>
      <c r="FU162" s="1075">
        <f>SUM(EH162:EK162)</f>
      </c>
      <c r="FV162" s="1075"/>
      <c r="FW162" s="1075"/>
      <c r="FX162" s="1075"/>
      <c r="FY162" s="1075"/>
      <c r="FZ162" s="1075"/>
      <c r="GA162" s="1075"/>
      <c r="GB162" s="1075"/>
      <c r="GC162" s="1075"/>
      <c r="GD162" s="1075"/>
      <c r="GE162" s="1075"/>
      <c r="GF162" s="1075"/>
      <c r="GG162" s="1075"/>
      <c r="GH162" s="1075"/>
      <c r="GI162" s="1075"/>
      <c r="GJ162" s="1075"/>
      <c r="GK162" s="1075"/>
      <c r="GL162" s="1075"/>
      <c r="GM162" s="1075"/>
      <c r="GN162" s="1075"/>
      <c r="GO162" s="1075"/>
      <c r="GP162" s="1075">
        <f>SUM(CA162:CD162)</f>
      </c>
      <c r="GQ162" s="1075">
        <f>SUM(CE162:CH162)</f>
      </c>
      <c r="GR162" s="1075">
        <f>SUM(CI162:CL162)</f>
      </c>
      <c r="GS162" s="1075">
        <f>SUM(CM162:CP162)</f>
      </c>
      <c r="GT162" s="1075">
        <f>SUM(CQ162:CT162)</f>
      </c>
      <c r="GU162" s="1075">
        <f>SUM(CU162:CX162)</f>
      </c>
      <c r="GV162" s="1075">
        <f>SUM(CY162:DB162)</f>
      </c>
      <c r="GW162" s="1075">
        <f>SUM(DC162:DF162)</f>
      </c>
      <c r="GX162" s="1075">
        <f>SUM(DG162:DJ162)</f>
      </c>
      <c r="GY162" s="1075">
        <f>SUM(DK162:DN162)</f>
      </c>
      <c r="GZ162" s="1075">
        <f>SUM(DO162:DR162)</f>
      </c>
      <c r="HA162" s="1075">
        <f>SUM(DS162:DV162)</f>
      </c>
      <c r="HB162" s="1075">
        <f>SUM(DW162:DZ162)</f>
      </c>
      <c r="HC162" s="1075">
        <f>SUM(EA162:ED162)</f>
      </c>
      <c r="HD162" s="1075">
        <f>SUM(EE162:EH162)</f>
      </c>
    </row>
    <row r="163" spans="1:212" s="141" customFormat="1" ht="10.8" thickTop="1">
      <c r="A163" s="927" t="s">
        <v>1243</v>
      </c>
      <c r="E163" s="267"/>
      <c r="I163" s="267"/>
      <c r="M163" s="267"/>
      <c r="Q163" s="267"/>
      <c r="U163" s="267"/>
      <c r="Y163" s="267"/>
      <c r="AC163" s="267"/>
      <c r="AG163" s="267"/>
      <c r="AK163" s="267"/>
      <c r="AO163" s="267"/>
      <c r="AS163" s="267"/>
      <c r="AW163" s="267"/>
      <c r="BA163" s="267"/>
      <c r="BE163" s="267"/>
      <c r="BI163" s="267"/>
      <c r="BM163" s="267"/>
      <c r="BQ163" s="267"/>
      <c r="BU163" s="267"/>
      <c r="BV163" s="920"/>
      <c r="BY163" s="267"/>
      <c r="BZ163" s="920"/>
      <c r="CC163" s="267"/>
      <c r="CD163" s="1138">
        <v>1.1999999999999999E-3</v>
      </c>
      <c r="CE163" s="1139">
        <v>1.1999999999999999E-3</v>
      </c>
      <c r="CF163" s="1139">
        <v>1.1999999999999999E-3</v>
      </c>
      <c r="CG163" s="1140">
        <v>1.1999999999999999E-3</v>
      </c>
      <c r="CH163" s="1138">
        <v>1.1999999999999999E-3</v>
      </c>
      <c r="CI163" s="1139">
        <v>1.1999999999999999E-3</v>
      </c>
      <c r="CJ163" s="1139">
        <v>1.1999999999999999E-3</v>
      </c>
      <c r="CK163" s="1140">
        <v>1.1999999999999999E-3</v>
      </c>
      <c r="CL163" s="1138">
        <v>1.1999999999999999E-3</v>
      </c>
      <c r="CM163" s="1139">
        <v>1.1999999999999999E-3</v>
      </c>
      <c r="CN163" s="1139">
        <v>1.1999999999999999E-3</v>
      </c>
      <c r="CO163" s="1140">
        <v>1.1999999999999999E-3</v>
      </c>
      <c r="CP163" s="1138">
        <v>1.1999999999999999E-3</v>
      </c>
      <c r="CQ163" s="1139">
        <v>1.1999999999999999E-3</v>
      </c>
      <c r="CR163" s="1139">
        <v>1.1999999999999999E-3</v>
      </c>
      <c r="CS163" s="1140">
        <v>1.1999999999999999E-3</v>
      </c>
      <c r="CT163" s="1138">
        <v>1.1999999999999999E-3</v>
      </c>
      <c r="CU163" s="1139">
        <v>1.1999999999999999E-3</v>
      </c>
      <c r="CV163" s="1139">
        <v>1.1999999999999999E-3</v>
      </c>
      <c r="CW163" s="1140">
        <v>1.1999999999999999E-3</v>
      </c>
      <c r="CX163" s="1138">
        <v>1.1999999999999999E-3</v>
      </c>
      <c r="CY163" s="1139">
        <v>1.1999999999999999E-3</v>
      </c>
      <c r="CZ163" s="1139">
        <v>1.1999999999999999E-3</v>
      </c>
      <c r="DA163" s="1140">
        <v>1.1999999999999999E-3</v>
      </c>
      <c r="DB163" s="1138">
        <v>1.1999999999999999E-3</v>
      </c>
      <c r="DC163" s="1139">
        <v>1.1999999999999999E-3</v>
      </c>
      <c r="DD163" s="1139">
        <v>1.1999999999999999E-3</v>
      </c>
      <c r="DE163" s="1140">
        <v>1.1999999999999999E-3</v>
      </c>
      <c r="DF163" s="1138">
        <v>1.1999999999999999E-3</v>
      </c>
      <c r="DG163" s="1139">
        <v>1.1999999999999999E-3</v>
      </c>
      <c r="DH163" s="1139">
        <v>1.1999999999999999E-3</v>
      </c>
      <c r="DI163" s="1140">
        <v>1.1999999999999999E-3</v>
      </c>
      <c r="DJ163" s="1138">
        <v>1.1999999999999999E-3</v>
      </c>
      <c r="DK163" s="1139">
        <v>1.1999999999999999E-3</v>
      </c>
      <c r="DL163" s="1139">
        <v>1.1999999999999999E-3</v>
      </c>
      <c r="DM163" s="1140">
        <v>1.1999999999999999E-3</v>
      </c>
      <c r="DN163" s="1138">
        <v>1.1999999999999999E-3</v>
      </c>
      <c r="DO163" s="1139">
        <v>1.1999999999999999E-3</v>
      </c>
      <c r="DP163" s="1139">
        <v>1.1999999999999999E-3</v>
      </c>
      <c r="DQ163" s="1140">
        <v>1.1999999999999999E-3</v>
      </c>
      <c r="DR163" s="1138">
        <v>1.1999999999999999E-3</v>
      </c>
      <c r="DS163" s="1139">
        <v>1.1999999999999999E-3</v>
      </c>
      <c r="DT163" s="1139">
        <v>1.1999999999999999E-3</v>
      </c>
      <c r="DU163" s="1141">
        <v>1.1999999999999999E-3</v>
      </c>
      <c r="DV163" s="1138">
        <v>1.1999999999999999E-3</v>
      </c>
      <c r="DW163" s="1139">
        <v>1.1999999999999999E-3</v>
      </c>
      <c r="DX163" s="1139">
        <v>1.1999999999999999E-3</v>
      </c>
      <c r="DY163" s="1141">
        <v>1.1999999999999999E-3</v>
      </c>
      <c r="DZ163" s="1138">
        <v>1.1999999999999999E-3</v>
      </c>
      <c r="EA163" s="1139">
        <v>1.1999999999999999E-3</v>
      </c>
      <c r="EB163" s="1139">
        <v>1.1999999999999999E-3</v>
      </c>
      <c r="EC163" s="1141">
        <v>1.1999999999999999E-3</v>
      </c>
      <c r="ED163" s="1138">
        <v>1.1999999999999999E-3</v>
      </c>
      <c r="EE163" s="1139">
        <v>1.1999999999999999E-3</v>
      </c>
      <c r="EF163" s="1139">
        <v>1.1999999999999999E-3</v>
      </c>
      <c r="EG163" s="1141">
        <v>1.1999999999999999E-3</v>
      </c>
      <c r="EH163" s="1138">
        <v>1.1999999999999999E-3</v>
      </c>
      <c r="EI163" s="1139">
        <v>1.1999999999999999E-3</v>
      </c>
      <c r="EJ163" s="1139">
        <v>1.1999999999999999E-3</v>
      </c>
      <c r="EK163" s="1141">
        <v>1.1999999999999999E-3</v>
      </c>
      <c r="EM163" s="1139"/>
      <c r="EN163" s="1139"/>
      <c r="EO163" s="1139"/>
      <c r="EP163" s="1139"/>
      <c r="EQ163" s="1139"/>
      <c r="ER163" s="1139"/>
      <c r="ES163" s="1139"/>
      <c r="ET163" s="1139"/>
      <c r="EU163" s="1139"/>
      <c r="EV163" s="1139"/>
      <c r="EW163" s="1139"/>
      <c r="EX163" s="1139"/>
      <c r="EY163" s="1139"/>
      <c r="EZ163" s="1139"/>
      <c r="FA163" s="1139"/>
      <c r="FB163" s="1139"/>
      <c r="FC163" s="1139"/>
      <c r="FD163" s="1139"/>
      <c r="FE163" s="2263"/>
      <c r="FF163" s="2263"/>
      <c r="FG163" s="2263">
        <f t="shared" ref="FG163:FP163" si="1824">FG162/FG169</f>
      </c>
      <c r="FH163" s="2263">
        <f t="shared" si="1824"/>
      </c>
      <c r="FI163" s="2263">
        <f t="shared" si="1824"/>
      </c>
      <c r="FJ163" s="2263">
        <f t="shared" si="1824"/>
      </c>
      <c r="FK163" s="2263">
        <f t="shared" si="1824"/>
      </c>
      <c r="FL163" s="2263">
        <f t="shared" si="1824"/>
      </c>
      <c r="FM163" s="2263">
        <f t="shared" si="1824"/>
      </c>
      <c r="FN163" s="2263">
        <f t="shared" si="1824"/>
      </c>
      <c r="FO163" s="2263">
        <f t="shared" si="1824"/>
      </c>
      <c r="FP163" s="2263">
        <f t="shared" si="1824"/>
      </c>
      <c r="FQ163" s="2263">
        <f>FQ162/FQ169</f>
      </c>
      <c r="FR163" s="2263">
        <f t="shared" ref="FR163:FU163" si="1825">FR162/FR169</f>
      </c>
      <c r="FS163" s="2263">
        <f t="shared" si="1825"/>
      </c>
      <c r="FT163" s="2263">
        <f t="shared" si="1825"/>
      </c>
      <c r="FU163" s="2263">
        <f t="shared" si="1825"/>
      </c>
      <c r="FV163" s="2280"/>
      <c r="FW163" s="1139"/>
      <c r="FX163" s="1139"/>
      <c r="FY163" s="1139"/>
      <c r="FZ163" s="1139"/>
      <c r="GA163" s="1139"/>
      <c r="GB163" s="1139"/>
      <c r="GC163" s="1139"/>
      <c r="GD163" s="1139"/>
      <c r="GE163" s="1139"/>
      <c r="GF163" s="1139"/>
      <c r="GG163" s="1139"/>
      <c r="GH163" s="1139"/>
      <c r="GI163" s="1139"/>
      <c r="GJ163" s="1139"/>
      <c r="GK163" s="1139"/>
      <c r="GL163" s="1139"/>
      <c r="GM163" s="1139"/>
      <c r="GN163" s="1139"/>
      <c r="GO163" s="1139"/>
      <c r="GP163" s="2262">
        <f t="shared" ref="GP163:GY163" si="1826">GP162/GP169</f>
      </c>
      <c r="GQ163" s="2262">
        <f t="shared" si="1826"/>
      </c>
      <c r="GR163" s="2262">
        <f t="shared" si="1826"/>
      </c>
      <c r="GS163" s="2262">
        <f t="shared" si="1826"/>
      </c>
      <c r="GT163" s="2262">
        <f t="shared" si="1826"/>
      </c>
      <c r="GU163" s="2262">
        <f t="shared" si="1826"/>
      </c>
      <c r="GV163" s="2262">
        <f t="shared" si="1826"/>
      </c>
      <c r="GW163" s="2262">
        <f t="shared" si="1826"/>
      </c>
      <c r="GX163" s="2262">
        <f t="shared" si="1826"/>
      </c>
      <c r="GY163" s="2262">
        <f t="shared" si="1826"/>
      </c>
      <c r="GZ163" s="2262">
        <f>GZ162/GZ169</f>
      </c>
      <c r="HA163" s="2262">
        <f t="shared" ref="HA163:HD163" si="1827">HA162/HA169</f>
      </c>
      <c r="HB163" s="2262">
        <f t="shared" si="1827"/>
      </c>
      <c r="HC163" s="2262">
        <f t="shared" si="1827"/>
      </c>
      <c r="HD163" s="2262">
        <f t="shared" si="1827"/>
      </c>
    </row>
    <row r="164" spans="1:212" s="141" customFormat="1" ht="10.199999999999999">
      <c r="A164" s="919"/>
      <c r="E164" s="267"/>
      <c r="I164" s="267"/>
      <c r="M164" s="267"/>
      <c r="Q164" s="267"/>
      <c r="U164" s="267"/>
      <c r="Y164" s="267"/>
      <c r="AC164" s="267"/>
      <c r="AG164" s="267"/>
      <c r="AK164" s="267"/>
      <c r="AO164" s="267"/>
      <c r="AS164" s="267"/>
      <c r="AW164" s="267"/>
      <c r="BA164" s="267"/>
      <c r="BE164" s="267"/>
      <c r="BI164" s="267"/>
      <c r="BM164" s="267"/>
      <c r="BQ164" s="267"/>
      <c r="BU164" s="267"/>
      <c r="BV164" s="920"/>
      <c r="BY164" s="267"/>
      <c r="BZ164" s="920"/>
      <c r="CC164" s="267"/>
      <c r="CD164" s="920"/>
      <c r="CG164" s="267"/>
      <c r="CH164" s="920"/>
      <c r="CK164" s="267"/>
      <c r="CL164" s="920"/>
      <c r="CO164" s="267"/>
      <c r="CQ164" s="919"/>
      <c r="CR164" s="919"/>
      <c r="CS164" s="267"/>
      <c r="CU164" s="919"/>
      <c r="CV164" s="919"/>
      <c r="CW164" s="267"/>
      <c r="CY164" s="919"/>
      <c r="CZ164" s="919"/>
      <c r="DA164" s="267"/>
      <c r="DC164" s="919"/>
      <c r="DD164" s="919"/>
      <c r="DE164" s="267"/>
      <c r="DG164" s="919"/>
      <c r="DH164" s="919"/>
      <c r="DI164" s="267"/>
      <c r="DK164" s="919"/>
      <c r="DL164" s="919"/>
      <c r="DM164" s="267"/>
      <c r="DO164" s="919"/>
      <c r="DP164" s="919"/>
      <c r="DQ164" s="267"/>
      <c r="DS164" s="919"/>
      <c r="DT164" s="919"/>
      <c r="DU164" s="1126"/>
      <c r="DW164" s="919"/>
      <c r="DX164" s="919"/>
      <c r="DY164" s="1126"/>
      <c r="EA164" s="919"/>
      <c r="EB164" s="919"/>
      <c r="EC164" s="1126"/>
      <c r="EE164" s="919"/>
      <c r="EF164" s="919"/>
      <c r="EG164" s="1126"/>
      <c r="EI164" s="919"/>
      <c r="EJ164" s="919"/>
      <c r="EK164" s="1126"/>
      <c r="EM164" s="919"/>
      <c r="EN164" s="919"/>
      <c r="EO164" s="919"/>
      <c r="EP164" s="919"/>
      <c r="EQ164" s="919"/>
      <c r="ER164" s="919"/>
      <c r="ES164" s="919"/>
      <c r="ET164" s="919"/>
      <c r="EU164" s="919"/>
      <c r="EV164" s="919"/>
      <c r="EW164" s="919"/>
      <c r="EX164" s="919"/>
      <c r="EY164" s="919"/>
      <c r="EZ164" s="919"/>
      <c r="FA164" s="919"/>
      <c r="FB164" s="919"/>
      <c r="FC164" s="919"/>
      <c r="FD164" s="919"/>
      <c r="FE164" s="919"/>
      <c r="FF164" s="919"/>
      <c r="FG164" s="919"/>
      <c r="FH164" s="919"/>
      <c r="FI164" s="919"/>
      <c r="FJ164" s="919"/>
      <c r="FK164" s="919"/>
      <c r="FL164" s="919"/>
      <c r="FM164" s="919"/>
      <c r="FN164" s="919"/>
      <c r="FO164" s="919"/>
      <c r="FP164" s="919"/>
      <c r="FQ164" s="919"/>
      <c r="FR164" s="919"/>
      <c r="FS164" s="919"/>
      <c r="FT164" s="919"/>
      <c r="FU164" s="919"/>
      <c r="FV164" s="919"/>
      <c r="FW164" s="919"/>
      <c r="FX164" s="919"/>
      <c r="FY164" s="919"/>
      <c r="FZ164" s="919"/>
      <c r="GA164" s="919"/>
      <c r="GB164" s="919"/>
      <c r="GC164" s="919"/>
      <c r="GD164" s="919"/>
      <c r="GE164" s="919"/>
      <c r="GF164" s="919"/>
      <c r="GG164" s="919"/>
      <c r="GH164" s="919"/>
      <c r="GI164" s="919"/>
      <c r="GJ164" s="919"/>
      <c r="GK164" s="919"/>
      <c r="GL164" s="919"/>
      <c r="GM164" s="919"/>
      <c r="GN164" s="919"/>
      <c r="GO164" s="919"/>
      <c r="GP164" s="919"/>
      <c r="GQ164" s="919"/>
      <c r="GR164" s="919"/>
      <c r="GS164" s="919"/>
      <c r="GT164" s="919"/>
      <c r="GU164" s="919"/>
      <c r="GV164" s="919"/>
      <c r="GW164" s="919"/>
      <c r="GX164" s="919"/>
      <c r="GY164" s="919"/>
      <c r="GZ164" s="919"/>
      <c r="HA164" s="919"/>
      <c r="HB164" s="919"/>
      <c r="HC164" s="919"/>
      <c r="HD164" s="919"/>
    </row>
    <row r="165" spans="1:212" s="970" customFormat="1" ht="10.199999999999999">
      <c r="A165" s="972" t="s">
        <v>1245</v>
      </c>
      <c r="E165" s="971"/>
      <c r="I165" s="971"/>
      <c r="M165" s="971"/>
      <c r="Q165" s="971"/>
      <c r="U165" s="971"/>
      <c r="Y165" s="971"/>
      <c r="AC165" s="971"/>
      <c r="AG165" s="971"/>
      <c r="AK165" s="971"/>
      <c r="AO165" s="971"/>
      <c r="AS165" s="971"/>
      <c r="AW165" s="971"/>
      <c r="BA165" s="971"/>
      <c r="BE165" s="971"/>
      <c r="BI165" s="971"/>
      <c r="BM165" s="971"/>
      <c r="BQ165" s="971"/>
      <c r="BU165" s="971"/>
      <c r="BV165" s="925"/>
      <c r="BY165" s="971"/>
      <c r="BZ165" s="925"/>
      <c r="CC165" s="971"/>
      <c r="CD165" s="925">
        <f t="shared" ref="CD165:CG165" si="1828">CE165-CE166</f>
      </c>
      <c r="CE165" s="970">
        <f t="shared" si="1828"/>
      </c>
      <c r="CF165" s="970">
        <f t="shared" si="1828"/>
      </c>
      <c r="CG165" s="971">
        <f t="shared" si="1828"/>
      </c>
      <c r="CH165" s="925">
        <f>CI165-CI166</f>
      </c>
      <c r="CI165" s="967">
        <v>39.299999999999997</v>
      </c>
      <c r="CJ165" s="967">
        <v>43.9</v>
      </c>
      <c r="CK165" s="966">
        <v>48.7</v>
      </c>
      <c r="CL165" s="1172">
        <v>59.4</v>
      </c>
      <c r="CM165" s="967">
        <v>67.7</v>
      </c>
      <c r="CN165" s="967">
        <v>76.400000000000006</v>
      </c>
      <c r="CO165" s="966">
        <v>83.5</v>
      </c>
      <c r="CP165" s="970">
        <f>CO165+CP166</f>
      </c>
      <c r="CQ165" s="972">
        <f t="shared" ref="CQ165:CS165" si="1829">CP165+CQ166</f>
      </c>
      <c r="CR165" s="972">
        <f t="shared" si="1829"/>
      </c>
      <c r="CS165" s="971">
        <f t="shared" si="1829"/>
      </c>
      <c r="CT165" s="970">
        <f>CS165+CT166</f>
      </c>
      <c r="CU165" s="972">
        <f t="shared" ref="CU165" si="1830">CT165+CU166</f>
      </c>
      <c r="CV165" s="972">
        <f t="shared" ref="CV165" si="1831">CU165+CV166</f>
      </c>
      <c r="CW165" s="971">
        <f t="shared" ref="CW165" si="1832">CV165+CW166</f>
      </c>
      <c r="CX165" s="970">
        <f>CW165+CX166</f>
      </c>
      <c r="CY165" s="972">
        <f t="shared" ref="CY165" si="1833">CX165+CY166</f>
      </c>
      <c r="CZ165" s="972">
        <f t="shared" ref="CZ165" si="1834">CY165+CZ166</f>
      </c>
      <c r="DA165" s="971">
        <f t="shared" ref="DA165" si="1835">CZ165+DA166</f>
      </c>
      <c r="DB165" s="970">
        <f>DA165+DB166</f>
      </c>
      <c r="DC165" s="972">
        <f t="shared" ref="DC165" si="1836">DB165+DC166</f>
      </c>
      <c r="DD165" s="972">
        <f t="shared" ref="DD165" si="1837">DC165+DD166</f>
      </c>
      <c r="DE165" s="971">
        <f t="shared" ref="DE165" si="1838">DD165+DE166</f>
      </c>
      <c r="DF165" s="970">
        <f>DE165+DF166</f>
      </c>
      <c r="DG165" s="972">
        <f t="shared" ref="DG165" si="1839">DF165+DG166</f>
      </c>
      <c r="DH165" s="972">
        <f t="shared" ref="DH165" si="1840">DG165+DH166</f>
      </c>
      <c r="DI165" s="971">
        <f t="shared" ref="DI165" si="1841">DH165+DI166</f>
      </c>
      <c r="DJ165" s="970">
        <f>DI165+DJ166</f>
      </c>
      <c r="DK165" s="972">
        <f t="shared" ref="DK165" si="1842">DJ165+DK166</f>
      </c>
      <c r="DL165" s="972">
        <f t="shared" ref="DL165" si="1843">DK165+DL166</f>
      </c>
      <c r="DM165" s="971">
        <f t="shared" ref="DM165" si="1844">DL165+DM166</f>
      </c>
      <c r="DN165" s="970">
        <f>DM165+DN166</f>
      </c>
      <c r="DO165" s="972">
        <f t="shared" ref="DO165" si="1845">DN165+DO166</f>
      </c>
      <c r="DP165" s="972">
        <f t="shared" ref="DP165" si="1846">DO165+DP166</f>
      </c>
      <c r="DQ165" s="971">
        <f t="shared" ref="DQ165" si="1847">DP165+DQ166</f>
      </c>
      <c r="DR165" s="970">
        <f>DQ165+DR166</f>
      </c>
      <c r="DS165" s="972">
        <f t="shared" ref="DS165" si="1848">DR165+DS166</f>
      </c>
      <c r="DT165" s="972">
        <f t="shared" ref="DT165" si="1849">DS165+DT166</f>
      </c>
      <c r="DU165" s="971">
        <f t="shared" ref="DU165" si="1850">DT165+DU166</f>
      </c>
      <c r="DV165" s="970">
        <f>DU165+DV166</f>
      </c>
      <c r="DW165" s="972">
        <f t="shared" ref="DW165" si="1851">DV165+DW166</f>
      </c>
      <c r="DX165" s="972">
        <f t="shared" ref="DX165" si="1852">DW165+DX166</f>
      </c>
      <c r="DY165" s="971">
        <f t="shared" ref="DY165" si="1853">DX165+DY166</f>
      </c>
      <c r="DZ165" s="970">
        <f>DY165+DZ166</f>
      </c>
      <c r="EA165" s="972">
        <f t="shared" ref="EA165" si="1854">DZ165+EA166</f>
      </c>
      <c r="EB165" s="972">
        <f t="shared" ref="EB165" si="1855">EA165+EB166</f>
      </c>
      <c r="EC165" s="971">
        <f t="shared" ref="EC165" si="1856">EB165+EC166</f>
      </c>
      <c r="ED165" s="970">
        <f>EC165+ED166</f>
      </c>
      <c r="EE165" s="972">
        <f t="shared" ref="EE165" si="1857">ED165+EE166</f>
      </c>
      <c r="EF165" s="972">
        <f t="shared" ref="EF165" si="1858">EE165+EF166</f>
      </c>
      <c r="EG165" s="971">
        <f t="shared" ref="EG165" si="1859">EF165+EG166</f>
      </c>
      <c r="EH165" s="970">
        <f>EG165+EH166</f>
      </c>
      <c r="EI165" s="972">
        <f t="shared" ref="EI165" si="1860">EH165+EI166</f>
      </c>
      <c r="EJ165" s="972">
        <f t="shared" ref="EJ165" si="1861">EI165+EJ166</f>
      </c>
      <c r="EK165" s="971">
        <f t="shared" ref="EK165" si="1862">EJ165+EK166</f>
      </c>
      <c r="EM165" s="972"/>
      <c r="EN165" s="972"/>
      <c r="EO165" s="972"/>
      <c r="EP165" s="972"/>
      <c r="EQ165" s="972"/>
      <c r="ER165" s="972"/>
      <c r="ES165" s="972"/>
      <c r="ET165" s="972"/>
      <c r="EU165" s="972"/>
      <c r="EV165" s="972"/>
      <c r="EW165" s="972"/>
      <c r="EX165" s="972"/>
      <c r="EY165" s="972"/>
      <c r="EZ165" s="972"/>
      <c r="FA165" s="972"/>
      <c r="FB165" s="972"/>
      <c r="FC165" s="972"/>
      <c r="FD165" s="972"/>
      <c r="FE165" s="972"/>
      <c r="FF165" s="972"/>
      <c r="FG165" s="972">
        <f>CG165</f>
      </c>
      <c r="FH165" s="972">
        <f>CK165</f>
      </c>
      <c r="FI165" s="972">
        <f>CO165</f>
      </c>
      <c r="FJ165" s="972">
        <f>CS165</f>
      </c>
      <c r="FK165" s="972">
        <f>CW165</f>
      </c>
      <c r="FL165" s="972">
        <f>DA165</f>
      </c>
      <c r="FM165" s="972">
        <f>DE165</f>
      </c>
      <c r="FN165" s="972">
        <f>DI165</f>
      </c>
      <c r="FO165" s="972">
        <f>DM165</f>
      </c>
      <c r="FP165" s="972">
        <f>DQ165</f>
      </c>
      <c r="FQ165" s="972">
        <f>DU165</f>
      </c>
      <c r="FR165" s="972">
        <f>DY165</f>
      </c>
      <c r="FS165" s="972">
        <f>EC165</f>
      </c>
      <c r="FT165" s="972">
        <f>EG165</f>
      </c>
      <c r="FU165" s="972">
        <f>EK165</f>
      </c>
      <c r="FV165" s="972"/>
      <c r="FW165" s="972"/>
      <c r="FX165" s="972"/>
      <c r="FY165" s="972"/>
      <c r="FZ165" s="972"/>
      <c r="GA165" s="972"/>
      <c r="GB165" s="972"/>
      <c r="GC165" s="972"/>
      <c r="GD165" s="972"/>
      <c r="GE165" s="972"/>
      <c r="GF165" s="972"/>
      <c r="GG165" s="972"/>
      <c r="GH165" s="972"/>
      <c r="GI165" s="972"/>
      <c r="GJ165" s="972"/>
      <c r="GK165" s="972"/>
      <c r="GL165" s="972"/>
      <c r="GM165" s="972"/>
      <c r="GN165" s="972"/>
      <c r="GO165" s="972"/>
      <c r="GP165" s="970">
        <f>+CD165</f>
      </c>
      <c r="GQ165" s="970">
        <f>+CH165</f>
      </c>
      <c r="GR165" s="970">
        <f>CL165</f>
      </c>
      <c r="GS165" s="970">
        <f>CP165</f>
      </c>
      <c r="GT165" s="970">
        <f>CT165</f>
      </c>
      <c r="GU165" s="970">
        <f>CX165</f>
      </c>
      <c r="GV165" s="970">
        <f>DB165</f>
      </c>
      <c r="GW165" s="970">
        <f>DF165</f>
      </c>
      <c r="GX165" s="970">
        <f>DJ165</f>
      </c>
      <c r="GY165" s="970">
        <f>DN165</f>
      </c>
      <c r="GZ165" s="970">
        <f>DR165</f>
      </c>
      <c r="HA165" s="970">
        <f t="shared" ref="HA165:HC165" si="1863">DS165</f>
      </c>
      <c r="HB165" s="970">
        <f>DZ165</f>
      </c>
      <c r="HC165" s="970">
        <f t="shared" si="1863"/>
      </c>
      <c r="HD165" s="970">
        <f>EH165</f>
      </c>
    </row>
    <row r="166" spans="1:212" s="970" customFormat="1" ht="10.199999999999999">
      <c r="A166" s="972" t="s">
        <v>1247</v>
      </c>
      <c r="E166" s="971"/>
      <c r="I166" s="971"/>
      <c r="M166" s="971"/>
      <c r="Q166" s="971"/>
      <c r="U166" s="971"/>
      <c r="Y166" s="971"/>
      <c r="AC166" s="971"/>
      <c r="AG166" s="971"/>
      <c r="AK166" s="971"/>
      <c r="AO166" s="971"/>
      <c r="AS166" s="971"/>
      <c r="AW166" s="971"/>
      <c r="BA166" s="971"/>
      <c r="BE166" s="971"/>
      <c r="BI166" s="971"/>
      <c r="BM166" s="971"/>
      <c r="BQ166" s="971"/>
      <c r="BU166" s="971"/>
      <c r="BV166" s="925"/>
      <c r="BY166" s="971"/>
      <c r="BZ166" s="925"/>
      <c r="CC166" s="971"/>
      <c r="CD166" s="1172"/>
      <c r="CE166" s="968">
        <v>10</v>
      </c>
      <c r="CF166" s="968">
        <v>10</v>
      </c>
      <c r="CG166" s="969">
        <v>7</v>
      </c>
      <c r="CH166" s="1052">
        <v>4</v>
      </c>
      <c r="CI166" s="968">
        <v>4</v>
      </c>
      <c r="CJ166" s="972">
        <f>CJ165-CI165</f>
      </c>
      <c r="CK166" s="1166">
        <f t="shared" ref="CK166:CO166" si="1864">CK165-CJ165</f>
      </c>
      <c r="CL166" s="925">
        <f t="shared" si="1864"/>
      </c>
      <c r="CM166" s="972">
        <f t="shared" si="1864"/>
      </c>
      <c r="CN166" s="972">
        <f t="shared" si="1864"/>
      </c>
      <c r="CO166" s="1166">
        <f t="shared" si="1864"/>
      </c>
      <c r="CP166" s="968">
        <v>7</v>
      </c>
      <c r="CQ166" s="968">
        <v>7</v>
      </c>
      <c r="CR166" s="968">
        <v>7</v>
      </c>
      <c r="CS166" s="969">
        <v>7</v>
      </c>
      <c r="CT166" s="968">
        <v>0</v>
      </c>
      <c r="CU166" s="968">
        <v>0</v>
      </c>
      <c r="CV166" s="968">
        <v>5</v>
      </c>
      <c r="CW166" s="969">
        <v>5</v>
      </c>
      <c r="CX166" s="968">
        <v>7</v>
      </c>
      <c r="CY166" s="968">
        <v>6</v>
      </c>
      <c r="CZ166" s="968">
        <v>8</v>
      </c>
      <c r="DA166" s="969">
        <v>3</v>
      </c>
      <c r="DB166" s="968">
        <v>10</v>
      </c>
      <c r="DC166" s="968">
        <v>18</v>
      </c>
      <c r="DD166" s="968">
        <v>18</v>
      </c>
      <c r="DE166" s="969">
        <v>17</v>
      </c>
      <c r="DF166" s="1171">
        <v>12</v>
      </c>
      <c r="DG166" s="1171">
        <v>5</v>
      </c>
      <c r="DH166" s="1171">
        <v>5</v>
      </c>
      <c r="DI166" s="1173">
        <v>5</v>
      </c>
      <c r="DJ166" s="1171">
        <v>5</v>
      </c>
      <c r="DK166" s="1171">
        <v>5</v>
      </c>
      <c r="DL166" s="1171">
        <v>5</v>
      </c>
      <c r="DM166" s="1173">
        <v>5</v>
      </c>
      <c r="DN166" s="1171">
        <v>5</v>
      </c>
      <c r="DO166" s="1171">
        <v>5</v>
      </c>
      <c r="DP166" s="1171">
        <v>5</v>
      </c>
      <c r="DQ166" s="1173">
        <v>5</v>
      </c>
      <c r="DR166" s="1171">
        <v>5</v>
      </c>
      <c r="DS166" s="1171">
        <v>5</v>
      </c>
      <c r="DT166" s="1171">
        <v>5</v>
      </c>
      <c r="DU166" s="1173">
        <v>5</v>
      </c>
      <c r="DV166" s="1171">
        <v>5</v>
      </c>
      <c r="DW166" s="1171">
        <v>5</v>
      </c>
      <c r="DX166" s="1171">
        <v>5</v>
      </c>
      <c r="DY166" s="1173">
        <v>5</v>
      </c>
      <c r="DZ166" s="1171">
        <v>5</v>
      </c>
      <c r="EA166" s="1171">
        <v>5</v>
      </c>
      <c r="EB166" s="1171">
        <v>5</v>
      </c>
      <c r="EC166" s="1173">
        <v>5</v>
      </c>
      <c r="ED166" s="1171">
        <v>5</v>
      </c>
      <c r="EE166" s="1171">
        <v>5</v>
      </c>
      <c r="EF166" s="1171">
        <v>5</v>
      </c>
      <c r="EG166" s="1173">
        <v>5</v>
      </c>
      <c r="EH166" s="1171">
        <v>5</v>
      </c>
      <c r="EI166" s="1171">
        <v>5</v>
      </c>
      <c r="EJ166" s="1171">
        <v>5</v>
      </c>
      <c r="EK166" s="1173">
        <v>5</v>
      </c>
      <c r="EM166" s="1171"/>
      <c r="EN166" s="1171"/>
      <c r="EO166" s="1171"/>
      <c r="EP166" s="1171"/>
      <c r="EQ166" s="1171"/>
      <c r="ER166" s="1171"/>
      <c r="ES166" s="1171"/>
      <c r="ET166" s="1171"/>
      <c r="EU166" s="1171"/>
      <c r="EV166" s="1171"/>
      <c r="EW166" s="1171"/>
      <c r="EX166" s="1171"/>
      <c r="EY166" s="1171"/>
      <c r="EZ166" s="1171"/>
      <c r="FA166" s="1171"/>
      <c r="FB166" s="1171"/>
      <c r="FC166" s="1171"/>
      <c r="FD166" s="1171"/>
      <c r="FE166" s="985">
        <f t="shared" ref="FE166" si="1865">SUM(BV166:BY166)</f>
      </c>
      <c r="FF166" s="985">
        <f t="shared" ref="FF166" si="1866">SUM(BZ166:CC166)</f>
      </c>
      <c r="FG166" s="985">
        <f t="shared" ref="FG166" si="1867">SUM(CD166:CG166)</f>
      </c>
      <c r="FH166" s="985">
        <f t="shared" ref="FH166" si="1868">SUM(CH166:CK166)</f>
      </c>
      <c r="FI166" s="985">
        <f t="shared" ref="FI166" si="1869">SUM(CL166:CO166)</f>
      </c>
      <c r="FJ166" s="985">
        <f t="shared" ref="FJ166" si="1870">SUM(CP166:CS166)</f>
      </c>
      <c r="FK166" s="985">
        <f t="shared" ref="FK166" si="1871">SUM(CT166:CW166)</f>
      </c>
      <c r="FL166" s="985">
        <f t="shared" ref="FL166" si="1872">SUM(CX166:DA166)</f>
      </c>
      <c r="FM166" s="985">
        <f t="shared" ref="FM166" si="1873">SUM(DB166:DE166)</f>
      </c>
      <c r="FN166" s="985">
        <f t="shared" ref="FN166" si="1874">SUM(DF166:DI166)</f>
      </c>
      <c r="FO166" s="985">
        <f t="shared" ref="FO166" si="1875">SUM(DJ166:DM166)</f>
      </c>
      <c r="FP166" s="985">
        <f>SUM(DN166:DQ166)</f>
      </c>
      <c r="FQ166" s="985">
        <f>SUM(DR166:DU166)</f>
      </c>
      <c r="FR166" s="985">
        <f>SUM(DV166:DY166)</f>
      </c>
      <c r="FS166" s="985">
        <f>SUM(DZ166:EC166)</f>
      </c>
      <c r="FT166" s="985">
        <f>SUM(ED166:EG166)</f>
      </c>
      <c r="FU166" s="985">
        <f>SUM(EH166:EK166)</f>
      </c>
      <c r="FV166" s="2281"/>
      <c r="FW166" s="1171"/>
      <c r="FX166" s="1171"/>
      <c r="FY166" s="1171"/>
      <c r="FZ166" s="1171"/>
      <c r="GA166" s="1171"/>
      <c r="GB166" s="1171"/>
      <c r="GC166" s="1171"/>
      <c r="GD166" s="1171"/>
      <c r="GE166" s="1171"/>
      <c r="GF166" s="1171"/>
      <c r="GG166" s="1171"/>
      <c r="GH166" s="1171"/>
      <c r="GI166" s="1171"/>
      <c r="GJ166" s="1171"/>
      <c r="GK166" s="1171"/>
      <c r="GL166" s="1171"/>
      <c r="GM166" s="1171"/>
      <c r="GN166" s="1171"/>
      <c r="GO166" s="1171"/>
      <c r="GP166" s="2062">
        <f t="shared" ref="GP166:GY166" si="1876">GP165-GO165</f>
      </c>
      <c r="GQ166" s="2062">
        <f t="shared" si="1876"/>
      </c>
      <c r="GR166" s="2062">
        <f t="shared" si="1876"/>
      </c>
      <c r="GS166" s="2062">
        <f t="shared" si="1876"/>
      </c>
      <c r="GT166" s="2062">
        <f t="shared" si="1876"/>
      </c>
      <c r="GU166" s="2062">
        <f t="shared" si="1876"/>
      </c>
      <c r="GV166" s="2062">
        <f t="shared" si="1876"/>
      </c>
      <c r="GW166" s="2062">
        <f t="shared" si="1876"/>
      </c>
      <c r="GX166" s="2062">
        <f t="shared" si="1876"/>
      </c>
      <c r="GY166" s="2062">
        <f t="shared" si="1876"/>
      </c>
      <c r="GZ166" s="2062">
        <f>GZ165-GY165</f>
      </c>
      <c r="HA166" s="2062">
        <f t="shared" ref="HA166:HD166" si="1877">HA165-GZ165</f>
      </c>
      <c r="HB166" s="2062">
        <f t="shared" si="1877"/>
      </c>
      <c r="HC166" s="2062">
        <f t="shared" si="1877"/>
      </c>
      <c r="HD166" s="2062">
        <f t="shared" si="1877"/>
      </c>
    </row>
    <row r="167" spans="1:212" s="970" customFormat="1" ht="10.199999999999999">
      <c r="A167" s="972"/>
      <c r="E167" s="971"/>
      <c r="I167" s="971"/>
      <c r="M167" s="971"/>
      <c r="Q167" s="971"/>
      <c r="U167" s="971"/>
      <c r="Y167" s="971"/>
      <c r="AC167" s="971"/>
      <c r="AG167" s="971"/>
      <c r="AK167" s="971"/>
      <c r="AO167" s="971"/>
      <c r="AS167" s="971"/>
      <c r="AW167" s="971"/>
      <c r="BA167" s="971"/>
      <c r="BE167" s="971"/>
      <c r="BI167" s="971"/>
      <c r="BM167" s="971"/>
      <c r="BQ167" s="971"/>
      <c r="BU167" s="971"/>
      <c r="BV167" s="925"/>
      <c r="BY167" s="971"/>
      <c r="BZ167" s="925"/>
      <c r="CC167" s="971"/>
      <c r="CD167" s="925"/>
      <c r="CG167" s="971"/>
      <c r="CH167" s="925"/>
      <c r="CI167" s="967"/>
      <c r="CJ167" s="972"/>
      <c r="CK167" s="1166"/>
      <c r="CL167" s="925"/>
      <c r="CM167" s="972"/>
      <c r="CN167" s="972"/>
      <c r="CO167" s="1166"/>
      <c r="CP167" s="967"/>
      <c r="CQ167" s="967"/>
      <c r="CR167" s="967"/>
      <c r="CS167" s="966"/>
      <c r="CT167" s="967"/>
      <c r="CU167" s="967"/>
      <c r="CV167" s="967"/>
      <c r="CW167" s="966"/>
      <c r="CX167" s="967"/>
      <c r="CY167" s="967"/>
      <c r="CZ167" s="967"/>
      <c r="DA167" s="966"/>
      <c r="DB167" s="967"/>
      <c r="DC167" s="967"/>
      <c r="DD167" s="967"/>
      <c r="DE167" s="966"/>
      <c r="DF167" s="967"/>
      <c r="DG167" s="967"/>
      <c r="DH167" s="967"/>
      <c r="DI167" s="966"/>
      <c r="DJ167" s="967"/>
      <c r="DK167" s="967"/>
      <c r="DL167" s="967"/>
      <c r="DM167" s="966"/>
      <c r="DN167" s="967"/>
      <c r="DO167" s="967"/>
      <c r="DP167" s="967"/>
      <c r="DQ167" s="966"/>
      <c r="DR167" s="967"/>
      <c r="DS167" s="967"/>
      <c r="DT167" s="967"/>
      <c r="DU167" s="967"/>
      <c r="DV167" s="967"/>
      <c r="DW167" s="967"/>
      <c r="DX167" s="967"/>
      <c r="DY167" s="967"/>
      <c r="DZ167" s="967"/>
      <c r="EA167" s="967"/>
      <c r="EB167" s="967"/>
      <c r="EC167" s="967"/>
      <c r="ED167" s="967"/>
      <c r="EE167" s="967"/>
      <c r="EF167" s="967"/>
      <c r="EG167" s="967"/>
      <c r="EH167" s="967"/>
      <c r="EI167" s="967"/>
      <c r="EJ167" s="967"/>
      <c r="EK167" s="967"/>
      <c r="EM167" s="967"/>
      <c r="EN167" s="967"/>
      <c r="EO167" s="967"/>
      <c r="EP167" s="967"/>
      <c r="EQ167" s="967"/>
      <c r="ER167" s="967"/>
      <c r="ES167" s="967"/>
      <c r="ET167" s="967"/>
      <c r="EU167" s="967"/>
      <c r="EV167" s="967"/>
      <c r="EW167" s="967"/>
      <c r="EX167" s="967"/>
      <c r="EY167" s="967"/>
      <c r="EZ167" s="967"/>
      <c r="FA167" s="967"/>
      <c r="FB167" s="967"/>
      <c r="FC167" s="967"/>
      <c r="FD167" s="967"/>
      <c r="FE167" s="967"/>
      <c r="FF167" s="967"/>
      <c r="FG167" s="967"/>
      <c r="FH167" s="967"/>
      <c r="FI167" s="967"/>
      <c r="FJ167" s="967"/>
      <c r="FK167" s="967"/>
      <c r="FL167" s="967"/>
      <c r="FM167" s="967"/>
      <c r="FN167" s="967"/>
      <c r="FO167" s="967"/>
      <c r="FP167" s="967"/>
      <c r="FQ167" s="967"/>
      <c r="FR167" s="967"/>
      <c r="FS167" s="967"/>
      <c r="FT167" s="967"/>
      <c r="FU167" s="967"/>
      <c r="FV167" s="967"/>
      <c r="FW167" s="967"/>
      <c r="FX167" s="967"/>
      <c r="FY167" s="967"/>
      <c r="FZ167" s="967"/>
      <c r="GA167" s="967"/>
      <c r="GB167" s="967"/>
      <c r="GC167" s="967"/>
      <c r="GD167" s="967"/>
      <c r="GE167" s="967"/>
      <c r="GF167" s="967"/>
      <c r="GG167" s="967"/>
      <c r="GH167" s="967"/>
      <c r="GI167" s="967"/>
      <c r="GJ167" s="967"/>
      <c r="GK167" s="967"/>
      <c r="GL167" s="967"/>
      <c r="GM167" s="967"/>
      <c r="GN167" s="967"/>
      <c r="GO167" s="967"/>
      <c r="GP167" s="967"/>
      <c r="GQ167" s="967"/>
      <c r="GR167" s="967"/>
      <c r="GS167" s="967"/>
      <c r="GT167" s="967"/>
      <c r="GU167" s="967"/>
      <c r="GV167" s="967"/>
      <c r="GW167" s="967"/>
      <c r="GX167" s="967"/>
      <c r="GY167" s="967"/>
      <c r="GZ167" s="967"/>
      <c r="HA167" s="967"/>
      <c r="HB167" s="967"/>
      <c r="HC167" s="967"/>
      <c r="HD167" s="967"/>
    </row>
    <row r="168" spans="1:212" s="905" customFormat="1" ht="10.199999999999999">
      <c r="A168" s="1057" t="s">
        <v>1248</v>
      </c>
      <c r="E168" s="1058"/>
      <c r="I168" s="1058"/>
      <c r="M168" s="1058"/>
      <c r="Q168" s="1058"/>
      <c r="U168" s="1058"/>
      <c r="Y168" s="1058"/>
      <c r="AC168" s="1058"/>
      <c r="AG168" s="1058"/>
      <c r="AK168" s="1058"/>
      <c r="AO168" s="1058"/>
      <c r="AS168" s="1058"/>
      <c r="AW168" s="1058"/>
      <c r="BA168" s="1058"/>
      <c r="BE168" s="1058"/>
      <c r="BI168" s="1058"/>
      <c r="BM168" s="1058"/>
      <c r="BQ168" s="1058"/>
      <c r="BU168" s="1058"/>
      <c r="BV168" s="1059"/>
      <c r="BY168" s="1058"/>
      <c r="BZ168" s="1059"/>
      <c r="CC168" s="1058"/>
      <c r="CD168" s="672">
        <f t="shared" ref="CD168:CF168" si="1878">CE168-2</f>
      </c>
      <c r="CE168" s="672">
        <f t="shared" si="1878"/>
      </c>
      <c r="CF168" s="672">
        <f t="shared" si="1878"/>
      </c>
      <c r="CG168" s="671">
        <f>CH168-2</f>
      </c>
      <c r="CH168" s="672">
        <f t="shared" ref="CH168:CJ168" si="1879">CI168-2</f>
      </c>
      <c r="CI168" s="672">
        <f t="shared" si="1879"/>
      </c>
      <c r="CJ168" s="672">
        <f t="shared" si="1879"/>
      </c>
      <c r="CK168" s="671">
        <f>CL168-2</f>
      </c>
      <c r="CL168" s="672">
        <f t="shared" ref="CL168:CN168" si="1880">CM168-2</f>
      </c>
      <c r="CM168" s="672">
        <f t="shared" si="1880"/>
      </c>
      <c r="CN168" s="672">
        <f t="shared" si="1880"/>
      </c>
      <c r="CO168" s="671">
        <f>CP168-2</f>
      </c>
      <c r="CP168" s="672">
        <v>32</v>
      </c>
      <c r="CQ168" s="672">
        <f>CP168+2</f>
      </c>
      <c r="CR168" s="672">
        <f t="shared" ref="CR168:DA168" si="1881">CQ168+2</f>
      </c>
      <c r="CS168" s="671">
        <f t="shared" si="1881"/>
      </c>
      <c r="CT168" s="672">
        <f t="shared" si="1881"/>
      </c>
      <c r="CU168" s="672">
        <v>35</v>
      </c>
      <c r="CV168" s="672">
        <v>35</v>
      </c>
      <c r="CW168" s="671">
        <f t="shared" si="1881"/>
      </c>
      <c r="CX168" s="672">
        <f t="shared" si="1881"/>
      </c>
      <c r="CY168" s="672">
        <v>50</v>
      </c>
      <c r="CZ168" s="672">
        <f t="shared" si="1881"/>
      </c>
      <c r="DA168" s="671">
        <f t="shared" si="1881"/>
      </c>
      <c r="DB168" s="672">
        <f t="shared" ref="DB168" si="1882">DA168+2</f>
      </c>
      <c r="DC168" s="672">
        <v>65</v>
      </c>
      <c r="DD168" s="672">
        <v>80</v>
      </c>
      <c r="DE168" s="671">
        <v>90</v>
      </c>
      <c r="DF168" s="672">
        <f>95*14/13</f>
      </c>
      <c r="DG168" s="672">
        <f>(DF168*13/14)+2</f>
      </c>
      <c r="DH168" s="672">
        <f t="shared" ref="DH168:DI168" si="1883">DG168+2</f>
      </c>
      <c r="DI168" s="671">
        <f t="shared" si="1883"/>
      </c>
      <c r="DJ168" s="672">
        <f>DI168+5</f>
      </c>
      <c r="DK168" s="672">
        <f t="shared" ref="DK168:DU168" si="1884">DJ168+5</f>
      </c>
      <c r="DL168" s="672">
        <f t="shared" si="1884"/>
      </c>
      <c r="DM168" s="671">
        <f t="shared" si="1884"/>
      </c>
      <c r="DN168" s="672">
        <f t="shared" si="1884"/>
      </c>
      <c r="DO168" s="672">
        <f t="shared" si="1884"/>
      </c>
      <c r="DP168" s="672">
        <f t="shared" si="1884"/>
      </c>
      <c r="DQ168" s="671">
        <f t="shared" si="1884"/>
      </c>
      <c r="DR168" s="672">
        <f t="shared" si="1884"/>
      </c>
      <c r="DS168" s="672">
        <f t="shared" si="1884"/>
      </c>
      <c r="DT168" s="672">
        <f t="shared" si="1884"/>
      </c>
      <c r="DU168" s="671">
        <f t="shared" si="1884"/>
      </c>
      <c r="DV168" s="672">
        <f t="shared" ref="DV168" si="1885">DU168+5</f>
      </c>
      <c r="DW168" s="672">
        <f t="shared" ref="DW168" si="1886">DV168+5</f>
      </c>
      <c r="DX168" s="672">
        <f t="shared" ref="DX168" si="1887">DW168+5</f>
      </c>
      <c r="DY168" s="671">
        <f t="shared" ref="DY168" si="1888">DX168+5</f>
      </c>
      <c r="DZ168" s="672">
        <f t="shared" ref="DZ168" si="1889">DY168+5</f>
      </c>
      <c r="EA168" s="672">
        <f t="shared" ref="EA168" si="1890">DZ168+5</f>
      </c>
      <c r="EB168" s="672">
        <f t="shared" ref="EB168" si="1891">EA168+5</f>
      </c>
      <c r="EC168" s="671">
        <f t="shared" ref="EC168" si="1892">EB168+5</f>
      </c>
      <c r="ED168" s="672">
        <f t="shared" ref="ED168" si="1893">EC168+5</f>
      </c>
      <c r="EE168" s="672">
        <f t="shared" ref="EE168" si="1894">ED168+5</f>
      </c>
      <c r="EF168" s="672">
        <f t="shared" ref="EF168" si="1895">EE168+5</f>
      </c>
      <c r="EG168" s="671">
        <f t="shared" ref="EG168" si="1896">EF168+5</f>
      </c>
      <c r="EH168" s="672">
        <f t="shared" ref="EH168" si="1897">EG168+5</f>
      </c>
      <c r="EI168" s="672">
        <f t="shared" ref="EI168" si="1898">EH168+5</f>
      </c>
      <c r="EJ168" s="672">
        <f t="shared" ref="EJ168" si="1899">EI168+5</f>
      </c>
      <c r="EK168" s="671">
        <f t="shared" ref="EK168" si="1900">EJ168+5</f>
      </c>
      <c r="EM168" s="672"/>
      <c r="EN168" s="672"/>
      <c r="EO168" s="672"/>
      <c r="EP168" s="672"/>
      <c r="EQ168" s="672"/>
      <c r="ER168" s="672"/>
      <c r="ES168" s="672"/>
      <c r="ET168" s="672"/>
      <c r="EU168" s="672"/>
      <c r="EV168" s="672"/>
      <c r="EW168" s="672"/>
      <c r="EX168" s="672"/>
      <c r="EY168" s="672"/>
      <c r="EZ168" s="672"/>
      <c r="FA168" s="672"/>
      <c r="FB168" s="672"/>
      <c r="FC168" s="672"/>
      <c r="FD168" s="672"/>
      <c r="FE168" s="1057"/>
      <c r="FF168" s="1057"/>
      <c r="FG168" s="1057">
        <f t="shared" ref="FG168:FP168" si="1901">FG169/FG165/12</f>
      </c>
      <c r="FH168" s="1057">
        <f t="shared" si="1901"/>
      </c>
      <c r="FI168" s="1057">
        <f t="shared" si="1901"/>
      </c>
      <c r="FJ168" s="1057">
        <f t="shared" si="1901"/>
      </c>
      <c r="FK168" s="1057">
        <f t="shared" si="1901"/>
      </c>
      <c r="FL168" s="1057">
        <f t="shared" si="1901"/>
      </c>
      <c r="FM168" s="1057">
        <f t="shared" si="1901"/>
      </c>
      <c r="FN168" s="1057">
        <f t="shared" si="1901"/>
      </c>
      <c r="FO168" s="1057">
        <f t="shared" si="1901"/>
      </c>
      <c r="FP168" s="1057">
        <f t="shared" si="1901"/>
      </c>
      <c r="FQ168" s="1057">
        <f>FQ169/FQ165/12</f>
      </c>
      <c r="FR168" s="1057">
        <f t="shared" ref="FR168:FU168" si="1902">FR169/FR165/12</f>
      </c>
      <c r="FS168" s="1057">
        <f t="shared" si="1902"/>
      </c>
      <c r="FT168" s="1057">
        <f t="shared" si="1902"/>
      </c>
      <c r="FU168" s="1057">
        <f t="shared" si="1902"/>
      </c>
      <c r="FV168" s="779"/>
      <c r="FW168" s="672"/>
      <c r="FX168" s="672"/>
      <c r="FY168" s="672"/>
      <c r="FZ168" s="672"/>
      <c r="GA168" s="672"/>
      <c r="GB168" s="672"/>
      <c r="GC168" s="672"/>
      <c r="GD168" s="672"/>
      <c r="GE168" s="672"/>
      <c r="GF168" s="672"/>
      <c r="GG168" s="672"/>
      <c r="GH168" s="672"/>
      <c r="GI168" s="672"/>
      <c r="GJ168" s="672"/>
      <c r="GK168" s="672"/>
      <c r="GL168" s="672"/>
      <c r="GM168" s="672"/>
      <c r="GN168" s="672"/>
      <c r="GO168" s="672"/>
      <c r="GP168" s="1057">
        <f t="shared" ref="GP168:GY168" si="1903">GP169/AVERAGE(GO165:GP165)/12</f>
      </c>
      <c r="GQ168" s="1057">
        <f t="shared" si="1903"/>
      </c>
      <c r="GR168" s="1057">
        <f t="shared" si="1903"/>
      </c>
      <c r="GS168" s="1057">
        <f t="shared" si="1903"/>
      </c>
      <c r="GT168" s="1057">
        <f t="shared" si="1903"/>
      </c>
      <c r="GU168" s="1057">
        <f t="shared" si="1903"/>
      </c>
      <c r="GV168" s="1057">
        <f t="shared" si="1903"/>
      </c>
      <c r="GW168" s="1057">
        <f t="shared" si="1903"/>
      </c>
      <c r="GX168" s="1057">
        <f t="shared" si="1903"/>
      </c>
      <c r="GY168" s="1057">
        <f t="shared" si="1903"/>
      </c>
      <c r="GZ168" s="1057">
        <f>GZ169/AVERAGE(GY165:GZ165)/12</f>
      </c>
      <c r="HA168" s="1057">
        <f t="shared" ref="HA168:HD168" si="1904">HA169/AVERAGE(GZ165:HA165)/12</f>
      </c>
      <c r="HB168" s="1057">
        <f t="shared" si="1904"/>
      </c>
      <c r="HC168" s="1057">
        <f t="shared" si="1904"/>
      </c>
      <c r="HD168" s="1057">
        <f t="shared" si="1904"/>
      </c>
    </row>
    <row r="169" spans="1:212" s="905" customFormat="1" ht="10.199999999999999">
      <c r="A169" s="1167" t="s">
        <v>2203</v>
      </c>
      <c r="B169" s="1168"/>
      <c r="C169" s="1168"/>
      <c r="D169" s="1168"/>
      <c r="E169" s="1169"/>
      <c r="F169" s="1168"/>
      <c r="G169" s="1168"/>
      <c r="H169" s="1168"/>
      <c r="I169" s="1169"/>
      <c r="J169" s="1168"/>
      <c r="K169" s="1168"/>
      <c r="L169" s="1168"/>
      <c r="M169" s="1169"/>
      <c r="N169" s="1168"/>
      <c r="O169" s="1168"/>
      <c r="P169" s="1168"/>
      <c r="Q169" s="1169"/>
      <c r="R169" s="1168"/>
      <c r="S169" s="1168"/>
      <c r="T169" s="1168"/>
      <c r="U169" s="1169"/>
      <c r="V169" s="1168"/>
      <c r="W169" s="1168"/>
      <c r="X169" s="1168"/>
      <c r="Y169" s="1169"/>
      <c r="Z169" s="1168"/>
      <c r="AA169" s="1168"/>
      <c r="AB169" s="1168"/>
      <c r="AC169" s="1169"/>
      <c r="AD169" s="1168"/>
      <c r="AE169" s="1168"/>
      <c r="AF169" s="1168"/>
      <c r="AG169" s="1169"/>
      <c r="AH169" s="1168"/>
      <c r="AI169" s="1168"/>
      <c r="AJ169" s="1168"/>
      <c r="AK169" s="1169"/>
      <c r="AL169" s="1168"/>
      <c r="AM169" s="1168"/>
      <c r="AN169" s="1168"/>
      <c r="AO169" s="1169"/>
      <c r="AP169" s="1168"/>
      <c r="AQ169" s="1168"/>
      <c r="AR169" s="1168"/>
      <c r="AS169" s="1169"/>
      <c r="AT169" s="1168"/>
      <c r="AU169" s="1168"/>
      <c r="AV169" s="1168"/>
      <c r="AW169" s="1169"/>
      <c r="AX169" s="1168"/>
      <c r="AY169" s="1168"/>
      <c r="AZ169" s="1168"/>
      <c r="BA169" s="1169"/>
      <c r="BB169" s="1168"/>
      <c r="BC169" s="1168"/>
      <c r="BD169" s="1168"/>
      <c r="BE169" s="1169"/>
      <c r="BF169" s="1168"/>
      <c r="BG169" s="1168"/>
      <c r="BH169" s="1168"/>
      <c r="BI169" s="1169"/>
      <c r="BJ169" s="1168"/>
      <c r="BK169" s="1168"/>
      <c r="BL169" s="1168"/>
      <c r="BM169" s="1169"/>
      <c r="BN169" s="1168"/>
      <c r="BO169" s="1168"/>
      <c r="BP169" s="1168"/>
      <c r="BQ169" s="1169"/>
      <c r="BR169" s="1168"/>
      <c r="BS169" s="1168"/>
      <c r="BT169" s="1168"/>
      <c r="BU169" s="1169"/>
      <c r="BV169" s="1170"/>
      <c r="BW169" s="1168"/>
      <c r="BX169" s="1168"/>
      <c r="BY169" s="1169"/>
      <c r="BZ169" s="1170"/>
      <c r="CA169" s="1168"/>
      <c r="CB169" s="1168"/>
      <c r="CC169" s="1169"/>
      <c r="CD169" s="1170">
        <f>CD165*CD168*3</f>
      </c>
      <c r="CE169" s="1168">
        <f t="shared" ref="CE169" si="1905">CE165*CE168*3</f>
      </c>
      <c r="CF169" s="1168">
        <f t="shared" ref="CF169" si="1906">CF165*CF168*3</f>
      </c>
      <c r="CG169" s="1169">
        <f t="shared" ref="CG169" si="1907">CG165*CG168*3</f>
      </c>
      <c r="CH169" s="1170">
        <f>CH165*CH168*3</f>
      </c>
      <c r="CI169" s="1168">
        <f t="shared" ref="CI169" si="1908">CI165*CI168*3</f>
      </c>
      <c r="CJ169" s="1168">
        <f t="shared" ref="CJ169" si="1909">CJ165*CJ168*3</f>
      </c>
      <c r="CK169" s="1169">
        <f t="shared" ref="CK169" si="1910">CK165*CK168*3</f>
      </c>
      <c r="CL169" s="1170">
        <f>CL165*CL168*3</f>
      </c>
      <c r="CM169" s="1168">
        <f t="shared" ref="CM169" si="1911">CM165*CM168*3</f>
      </c>
      <c r="CN169" s="1168">
        <f t="shared" ref="CN169" si="1912">CN165*CN168*3</f>
      </c>
      <c r="CO169" s="1169">
        <f t="shared" ref="CO169" si="1913">CO165*CO168*3</f>
      </c>
      <c r="CP169" s="1168">
        <f>CP165*CP168*3</f>
      </c>
      <c r="CQ169" s="1167">
        <f t="shared" ref="CQ169:CS169" si="1914">CQ165*CQ168*3</f>
      </c>
      <c r="CR169" s="1167">
        <f t="shared" si="1914"/>
      </c>
      <c r="CS169" s="1169">
        <f t="shared" si="1914"/>
      </c>
      <c r="CT169" s="1168">
        <f t="shared" ref="CT169" si="1915">CT165*CT168*3</f>
      </c>
      <c r="CU169" s="1167">
        <f t="shared" ref="CU169" si="1916">CU165*CU168*3</f>
      </c>
      <c r="CV169" s="1167">
        <f t="shared" ref="CV169" si="1917">CV165*CV168*3</f>
      </c>
      <c r="CW169" s="1169">
        <f t="shared" ref="CW169" si="1918">CW165*CW168*3</f>
      </c>
      <c r="CX169" s="1168">
        <f t="shared" ref="CX169" si="1919">CX165*CX168*3</f>
      </c>
      <c r="CY169" s="1167">
        <f t="shared" ref="CY169" si="1920">CY165*CY168*3</f>
      </c>
      <c r="CZ169" s="1167">
        <f t="shared" ref="CZ169" si="1921">CZ165*CZ168*3</f>
      </c>
      <c r="DA169" s="1169">
        <f t="shared" ref="DA169" si="1922">DA165*DA168*3</f>
      </c>
      <c r="DB169" s="1168">
        <f t="shared" ref="DB169" si="1923">DB165*DB168*3</f>
      </c>
      <c r="DC169" s="1167">
        <f t="shared" ref="DC169" si="1924">DC165*DC168*3</f>
      </c>
      <c r="DD169" s="1167">
        <f t="shared" ref="DD169" si="1925">DD165*DD168*3</f>
      </c>
      <c r="DE169" s="1169">
        <f t="shared" ref="DE169" si="1926">DE165*DE168*3</f>
      </c>
      <c r="DF169" s="1168">
        <f t="shared" ref="DF169" si="1927">DF165*DF168*3</f>
      </c>
      <c r="DG169" s="1167">
        <f t="shared" ref="DG169" si="1928">DG165*DG168*3</f>
      </c>
      <c r="DH169" s="1167">
        <f t="shared" ref="DH169" si="1929">DH165*DH168*3</f>
      </c>
      <c r="DI169" s="1169">
        <f t="shared" ref="DI169" si="1930">DI165*DI168*3</f>
      </c>
      <c r="DJ169" s="1168">
        <f t="shared" ref="DJ169" si="1931">DJ165*DJ168*3</f>
      </c>
      <c r="DK169" s="1167">
        <f t="shared" ref="DK169" si="1932">DK165*DK168*3</f>
      </c>
      <c r="DL169" s="1167">
        <f t="shared" ref="DL169" si="1933">DL165*DL168*3</f>
      </c>
      <c r="DM169" s="1169">
        <f t="shared" ref="DM169" si="1934">DM165*DM168*3</f>
      </c>
      <c r="DN169" s="1168">
        <f t="shared" ref="DN169" si="1935">DN165*DN168*3</f>
      </c>
      <c r="DO169" s="1167">
        <f t="shared" ref="DO169" si="1936">DO165*DO168*3</f>
      </c>
      <c r="DP169" s="1167">
        <f t="shared" ref="DP169" si="1937">DP165*DP168*3</f>
      </c>
      <c r="DQ169" s="1169">
        <f t="shared" ref="DQ169" si="1938">DQ165*DQ168*3</f>
      </c>
      <c r="DR169" s="1168">
        <f t="shared" ref="DR169" si="1939">DR165*DR168*3</f>
      </c>
      <c r="DS169" s="1167">
        <f t="shared" ref="DS169" si="1940">DS165*DS168*3</f>
      </c>
      <c r="DT169" s="1167">
        <f t="shared" ref="DT169" si="1941">DT165*DT168*3</f>
      </c>
      <c r="DU169" s="1169">
        <f t="shared" ref="DU169:DX169" si="1942">DU165*DU168*3</f>
      </c>
      <c r="DV169" s="1168">
        <f t="shared" si="1942"/>
      </c>
      <c r="DW169" s="1167">
        <f t="shared" si="1942"/>
      </c>
      <c r="DX169" s="1167">
        <f t="shared" si="1942"/>
      </c>
      <c r="DY169" s="1169">
        <f t="shared" ref="DY169:EK169" si="1943">DY165*DY168*3</f>
      </c>
      <c r="DZ169" s="1168">
        <f t="shared" si="1943"/>
      </c>
      <c r="EA169" s="1167">
        <f t="shared" si="1943"/>
      </c>
      <c r="EB169" s="1167">
        <f t="shared" si="1943"/>
      </c>
      <c r="EC169" s="1169">
        <f t="shared" si="1943"/>
      </c>
      <c r="ED169" s="1168">
        <f t="shared" si="1943"/>
      </c>
      <c r="EE169" s="1167">
        <f t="shared" si="1943"/>
      </c>
      <c r="EF169" s="1167">
        <f t="shared" si="1943"/>
      </c>
      <c r="EG169" s="1169">
        <f t="shared" si="1943"/>
      </c>
      <c r="EH169" s="1168">
        <f t="shared" si="1943"/>
      </c>
      <c r="EI169" s="1167">
        <f t="shared" si="1943"/>
      </c>
      <c r="EJ169" s="1167">
        <f t="shared" si="1943"/>
      </c>
      <c r="EK169" s="1169">
        <f t="shared" si="1943"/>
      </c>
      <c r="EM169" s="1167"/>
      <c r="EN169" s="1167"/>
      <c r="EO169" s="1167"/>
      <c r="EP169" s="1167"/>
      <c r="EQ169" s="1167"/>
      <c r="ER169" s="1167"/>
      <c r="ES169" s="1167"/>
      <c r="ET169" s="1167"/>
      <c r="EU169" s="1167"/>
      <c r="EV169" s="1167"/>
      <c r="EW169" s="1167"/>
      <c r="EX169" s="1167"/>
      <c r="EY169" s="1167"/>
      <c r="EZ169" s="1167"/>
      <c r="FA169" s="1167"/>
      <c r="FB169" s="1167"/>
      <c r="FC169" s="1167"/>
      <c r="FD169" s="1167"/>
      <c r="FE169" s="1167">
        <f t="shared" ref="FE169" si="1944">SUM(BV169:BY169)</f>
      </c>
      <c r="FF169" s="1167">
        <f t="shared" ref="FF169" si="1945">SUM(BZ169:CC169)</f>
      </c>
      <c r="FG169" s="1167">
        <f t="shared" ref="FG169" si="1946">SUM(CD169:CG169)</f>
      </c>
      <c r="FH169" s="1167">
        <f t="shared" ref="FH169" si="1947">SUM(CH169:CK169)</f>
      </c>
      <c r="FI169" s="1167">
        <f t="shared" ref="FI169" si="1948">SUM(CL169:CO169)</f>
      </c>
      <c r="FJ169" s="1167">
        <f t="shared" ref="FJ169" si="1949">SUM(CP169:CS169)</f>
      </c>
      <c r="FK169" s="1167">
        <f t="shared" ref="FK169" si="1950">SUM(CT169:CW169)</f>
      </c>
      <c r="FL169" s="1167">
        <f t="shared" ref="FL169" si="1951">SUM(CX169:DA169)</f>
      </c>
      <c r="FM169" s="1167">
        <f t="shared" ref="FM169" si="1952">SUM(DB169:DE169)</f>
      </c>
      <c r="FN169" s="1167">
        <f t="shared" ref="FN169" si="1953">SUM(DF169:DI169)</f>
      </c>
      <c r="FO169" s="1167">
        <f t="shared" ref="FO169" si="1954">SUM(DJ169:DM169)</f>
      </c>
      <c r="FP169" s="1167">
        <f>SUM(DN169:DQ169)</f>
      </c>
      <c r="FQ169" s="1167">
        <f>SUM(DR169:DU169)</f>
      </c>
      <c r="FR169" s="1167">
        <f>SUM(DV169:DY169)</f>
      </c>
      <c r="FS169" s="1167">
        <f>SUM(DZ169:EC169)</f>
      </c>
      <c r="FT169" s="1167">
        <f>SUM(ED169:EG169)</f>
      </c>
      <c r="FU169" s="1167">
        <f>SUM(EH169:EK169)</f>
      </c>
      <c r="FV169" s="1167"/>
      <c r="FW169" s="1167"/>
      <c r="FX169" s="1167"/>
      <c r="FY169" s="1167"/>
      <c r="FZ169" s="1167"/>
      <c r="GA169" s="1167"/>
      <c r="GB169" s="1167"/>
      <c r="GC169" s="1167"/>
      <c r="GD169" s="1167"/>
      <c r="GE169" s="1167"/>
      <c r="GF169" s="1167"/>
      <c r="GG169" s="1167"/>
      <c r="GH169" s="1167"/>
      <c r="GI169" s="1167"/>
      <c r="GJ169" s="1167"/>
      <c r="GK169" s="1167"/>
      <c r="GL169" s="1167"/>
      <c r="GM169" s="1167"/>
      <c r="GN169" s="1167"/>
      <c r="GO169" s="1167"/>
      <c r="GP169" s="1167">
        <f>SUM(CA169:CD169)</f>
      </c>
      <c r="GQ169" s="1167">
        <f>SUM(CE169:CH169)</f>
      </c>
      <c r="GR169" s="1167">
        <f>SUM(CI169:CL169)</f>
      </c>
      <c r="GS169" s="1167">
        <f>SUM(CM169:CP169)</f>
      </c>
      <c r="GT169" s="1167">
        <f>SUM(CQ169:CT169)</f>
      </c>
      <c r="GU169" s="1167">
        <f>SUM(CU169:CX169)</f>
      </c>
      <c r="GV169" s="1167">
        <f>SUM(CY169:DB169)</f>
      </c>
      <c r="GW169" s="1167">
        <f>SUM(DC169:DF169)</f>
      </c>
      <c r="GX169" s="1167">
        <f>SUM(DG169:DJ169)</f>
      </c>
      <c r="GY169" s="1167">
        <f>SUM(DK169:DN169)</f>
      </c>
      <c r="GZ169" s="1167">
        <f>SUM(DO169:DR169)</f>
      </c>
      <c r="HA169" s="1167">
        <f>SUM(DS169:DV169)</f>
      </c>
      <c r="HB169" s="1167">
        <f>SUM(DW169:DZ169)</f>
      </c>
      <c r="HC169" s="1167">
        <f>SUM(EA169:ED169)</f>
      </c>
      <c r="HD169" s="1167">
        <f>SUM(EE169:EH169)</f>
      </c>
    </row>
    <row r="170" spans="1:212" s="141" customFormat="1" ht="10.199999999999999">
      <c r="A170" s="919"/>
      <c r="E170" s="267"/>
      <c r="I170" s="267"/>
      <c r="M170" s="267"/>
      <c r="Q170" s="267"/>
      <c r="U170" s="267"/>
      <c r="Y170" s="267"/>
      <c r="AC170" s="267"/>
      <c r="AG170" s="267"/>
      <c r="AK170" s="267"/>
      <c r="AO170" s="267"/>
      <c r="AS170" s="267"/>
      <c r="AW170" s="267"/>
      <c r="BA170" s="267"/>
      <c r="BE170" s="267"/>
      <c r="BI170" s="267"/>
      <c r="BM170" s="267"/>
      <c r="BQ170" s="267"/>
      <c r="BU170" s="267"/>
      <c r="BV170" s="920"/>
      <c r="BY170" s="267"/>
      <c r="BZ170" s="920"/>
      <c r="CC170" s="267"/>
      <c r="CD170" s="920"/>
      <c r="CG170" s="267"/>
      <c r="CH170" s="920"/>
      <c r="CK170" s="267"/>
      <c r="CL170" s="920"/>
      <c r="CO170" s="267"/>
      <c r="CQ170" s="919"/>
      <c r="CR170" s="919"/>
      <c r="CS170" s="2738"/>
      <c r="CU170" s="919"/>
      <c r="CV170" s="919"/>
      <c r="CW170" s="267"/>
      <c r="CY170" s="919"/>
      <c r="CZ170" s="919"/>
      <c r="DA170" s="267"/>
      <c r="DC170" s="919"/>
      <c r="DD170" s="919"/>
      <c r="DE170" s="267"/>
      <c r="DG170" s="919"/>
      <c r="DH170" s="919"/>
      <c r="DI170" s="267"/>
      <c r="DK170" s="919"/>
      <c r="DL170" s="919"/>
      <c r="DM170" s="267"/>
      <c r="DO170" s="919"/>
      <c r="DP170" s="919"/>
      <c r="DQ170" s="267"/>
      <c r="DS170" s="919"/>
      <c r="DT170" s="919"/>
      <c r="DU170" s="780"/>
      <c r="DW170" s="919"/>
      <c r="DX170" s="919"/>
      <c r="DY170" s="780"/>
      <c r="EA170" s="919"/>
      <c r="EB170" s="919"/>
      <c r="EC170" s="780"/>
      <c r="EE170" s="919"/>
      <c r="EF170" s="919"/>
      <c r="EG170" s="780"/>
      <c r="EI170" s="919"/>
      <c r="EJ170" s="919"/>
      <c r="EK170" s="780"/>
      <c r="EL170" s="905"/>
    </row>
    <row r="171" spans="1:212" s="139" customFormat="1" ht="10.199999999999999" hidden="1" outlineLevel="1">
      <c r="A171" s="908" t="s">
        <v>815</v>
      </c>
      <c r="E171" s="262"/>
      <c r="I171" s="262"/>
      <c r="M171" s="262"/>
      <c r="Q171" s="262"/>
      <c r="U171" s="262"/>
      <c r="Y171" s="262"/>
      <c r="AC171" s="262"/>
      <c r="AF171" s="84"/>
      <c r="AG171" s="265"/>
      <c r="AH171" s="84"/>
      <c r="AI171" s="84"/>
      <c r="AJ171" s="84"/>
      <c r="AK171" s="265"/>
      <c r="AL171" s="84"/>
      <c r="AM171" s="84"/>
      <c r="AN171" s="84"/>
      <c r="AO171" s="265"/>
      <c r="AP171" s="84"/>
      <c r="AQ171" s="84"/>
      <c r="AR171" s="84"/>
      <c r="AS171" s="265"/>
      <c r="AT171" s="84"/>
      <c r="AU171" s="84"/>
      <c r="AV171" s="84"/>
      <c r="AW171" s="265"/>
      <c r="AX171" s="84"/>
      <c r="AY171" s="84"/>
      <c r="AZ171" s="84"/>
      <c r="BA171" s="265"/>
      <c r="BB171" s="84"/>
      <c r="BC171" s="84"/>
      <c r="BD171" s="84"/>
      <c r="BE171" s="265"/>
      <c r="BF171" s="84"/>
      <c r="BG171" s="84"/>
      <c r="BH171" s="84"/>
      <c r="BI171" s="265"/>
      <c r="BJ171" s="84"/>
      <c r="BK171" s="84"/>
      <c r="BL171" s="84"/>
      <c r="BM171" s="265"/>
      <c r="BN171" s="84"/>
      <c r="BO171" s="84"/>
      <c r="BP171" s="84"/>
      <c r="BQ171" s="265"/>
      <c r="BR171" s="84"/>
      <c r="BS171" s="84"/>
      <c r="BT171" s="84"/>
      <c r="BU171" s="265"/>
      <c r="BV171" s="90">
        <f>+BV173-BV172</f>
      </c>
      <c r="BW171" s="90">
        <f>+BW173-BW172</f>
      </c>
      <c r="BX171" s="90">
        <f>+BX173-BX172</f>
      </c>
      <c r="BY171" s="271">
        <f>+BY173-BY172</f>
      </c>
      <c r="BZ171" s="99">
        <v>3950</v>
      </c>
      <c r="CA171" s="99">
        <v>4200</v>
      </c>
      <c r="CB171" s="99">
        <v>4300</v>
      </c>
      <c r="CC171" s="462">
        <f>16850-SUM(BZ171:CB171)</f>
      </c>
      <c r="CD171" s="99">
        <v>4700</v>
      </c>
      <c r="CE171" s="99">
        <v>5100</v>
      </c>
      <c r="CF171" s="99">
        <v>5250</v>
      </c>
      <c r="CG171" s="415">
        <f>+CG21-CG192</f>
      </c>
      <c r="CH171" s="99"/>
      <c r="CI171" s="99"/>
      <c r="CJ171" s="84"/>
      <c r="CK171" s="265"/>
      <c r="CL171" s="84"/>
      <c r="CM171" s="84"/>
      <c r="CN171" s="84"/>
      <c r="CO171" s="265"/>
      <c r="CP171" s="84"/>
      <c r="CQ171" s="84"/>
      <c r="CR171" s="84"/>
      <c r="CS171" s="265"/>
      <c r="CT171" s="1056"/>
      <c r="CU171" s="84"/>
      <c r="CV171" s="84"/>
      <c r="CW171" s="265"/>
      <c r="CX171" s="84"/>
      <c r="CY171" s="84"/>
      <c r="CZ171" s="84"/>
      <c r="DA171" s="265"/>
      <c r="DB171" s="491"/>
      <c r="DC171" s="84"/>
      <c r="DD171" s="84"/>
      <c r="DE171" s="265"/>
      <c r="DF171" s="402"/>
      <c r="DG171" s="84"/>
      <c r="DH171" s="84"/>
      <c r="DI171" s="268"/>
      <c r="DJ171" s="141"/>
      <c r="DK171" s="84"/>
      <c r="DL171" s="84"/>
      <c r="DM171" s="268"/>
      <c r="DN171" s="402"/>
      <c r="DO171" s="84"/>
      <c r="DP171" s="84"/>
      <c r="DQ171" s="268"/>
      <c r="DR171" s="402"/>
      <c r="DS171" s="84"/>
      <c r="DT171" s="84"/>
      <c r="DU171" s="268"/>
      <c r="DV171" s="402"/>
      <c r="DW171" s="84"/>
      <c r="DX171" s="84"/>
      <c r="DY171" s="268"/>
      <c r="DZ171" s="402"/>
      <c r="EA171" s="84"/>
      <c r="EB171" s="84"/>
      <c r="EC171" s="268"/>
      <c r="ED171" s="402"/>
      <c r="EE171" s="84"/>
      <c r="EF171" s="84"/>
      <c r="EG171" s="268"/>
      <c r="EH171" s="402"/>
      <c r="EI171" s="84"/>
      <c r="EJ171" s="84"/>
      <c r="EK171" s="268"/>
      <c r="EY171" s="84"/>
      <c r="EZ171" s="84"/>
      <c r="FA171" s="84"/>
      <c r="FB171" s="84"/>
      <c r="FC171" s="84"/>
      <c r="FD171" s="90"/>
      <c r="FE171" s="90">
        <f>SUM(BV171:BY171)</f>
      </c>
      <c r="FF171" s="90">
        <f>SUM(BZ171:CC171)</f>
      </c>
      <c r="FG171" s="90">
        <f>SUM(CD171:CG171)</f>
      </c>
      <c r="FH171" s="90"/>
      <c r="FI171" s="90"/>
      <c r="FJ171" s="90"/>
      <c r="FK171" s="90"/>
      <c r="FL171" s="90"/>
      <c r="FM171" s="90"/>
      <c r="FN171" s="90"/>
      <c r="FO171" s="90"/>
      <c r="FP171" s="90"/>
      <c r="FQ171" s="90"/>
      <c r="FR171" s="90"/>
      <c r="FS171" s="90"/>
      <c r="FT171" s="90"/>
      <c r="FU171" s="90"/>
      <c r="GH171" s="84"/>
      <c r="GI171" s="84"/>
      <c r="GJ171" s="84"/>
      <c r="GK171" s="84"/>
      <c r="GL171" s="84"/>
      <c r="GM171" s="84"/>
      <c r="GN171" s="84"/>
      <c r="GO171" s="90">
        <f>SUM(BW171:BZ171)</f>
      </c>
      <c r="GP171" s="90">
        <f>SUM(CA171:CD171)</f>
      </c>
      <c r="GQ171" s="90">
        <f>SUM(CE171:CH171)</f>
      </c>
      <c r="GR171" s="90"/>
      <c r="GS171" s="90"/>
      <c r="GT171" s="90"/>
      <c r="GU171" s="90"/>
      <c r="GV171" s="90"/>
      <c r="GW171" s="90"/>
      <c r="GX171" s="90"/>
      <c r="GY171" s="90"/>
      <c r="GZ171" s="90"/>
      <c r="HA171" s="90"/>
      <c r="HB171" s="90"/>
      <c r="HC171" s="90"/>
      <c r="HD171" s="90"/>
    </row>
    <row r="172" spans="1:212" s="89" customFormat="1" ht="10.199999999999999" hidden="1" outlineLevel="1">
      <c r="A172" s="907" t="s">
        <v>816</v>
      </c>
      <c r="B172" s="137"/>
      <c r="C172" s="137"/>
      <c r="D172" s="137"/>
      <c r="E172" s="860"/>
      <c r="F172" s="137"/>
      <c r="G172" s="137"/>
      <c r="H172" s="137"/>
      <c r="I172" s="860"/>
      <c r="J172" s="137"/>
      <c r="K172" s="137"/>
      <c r="L172" s="137"/>
      <c r="M172" s="860"/>
      <c r="N172" s="137"/>
      <c r="O172" s="137"/>
      <c r="P172" s="137"/>
      <c r="Q172" s="860"/>
      <c r="R172" s="137"/>
      <c r="S172" s="137"/>
      <c r="T172" s="137"/>
      <c r="U172" s="860"/>
      <c r="V172" s="137"/>
      <c r="W172" s="137"/>
      <c r="X172" s="137"/>
      <c r="Y172" s="860"/>
      <c r="Z172" s="137"/>
      <c r="AA172" s="137"/>
      <c r="AB172" s="137"/>
      <c r="AC172" s="860"/>
      <c r="AD172" s="137"/>
      <c r="AE172" s="137"/>
      <c r="AF172" s="71"/>
      <c r="AG172" s="232"/>
      <c r="AH172" s="71"/>
      <c r="AI172" s="71"/>
      <c r="AJ172" s="71"/>
      <c r="AK172" s="232"/>
      <c r="AL172" s="71"/>
      <c r="AM172" s="71"/>
      <c r="AN172" s="71"/>
      <c r="AO172" s="232"/>
      <c r="AP172" s="71"/>
      <c r="AQ172" s="71"/>
      <c r="AR172" s="71"/>
      <c r="AS172" s="232"/>
      <c r="AT172" s="71"/>
      <c r="AU172" s="71"/>
      <c r="AV172" s="71"/>
      <c r="AW172" s="232"/>
      <c r="AX172" s="71"/>
      <c r="AY172" s="71"/>
      <c r="AZ172" s="71"/>
      <c r="BA172" s="232"/>
      <c r="BB172" s="71"/>
      <c r="BC172" s="71"/>
      <c r="BD172" s="71"/>
      <c r="BE172" s="232"/>
      <c r="BF172" s="71"/>
      <c r="BG172" s="71"/>
      <c r="BH172" s="71"/>
      <c r="BI172" s="232"/>
      <c r="BJ172" s="71"/>
      <c r="BK172" s="71"/>
      <c r="BL172" s="71"/>
      <c r="BM172" s="232"/>
      <c r="BN172" s="71"/>
      <c r="BO172" s="71"/>
      <c r="BP172" s="71"/>
      <c r="BQ172" s="232"/>
      <c r="BR172" s="71"/>
      <c r="BS172" s="71"/>
      <c r="BT172" s="71"/>
      <c r="BU172" s="192"/>
      <c r="BV172" s="77">
        <f>BV85+BV182</f>
      </c>
      <c r="BW172" s="77">
        <f>BW85+BW182</f>
      </c>
      <c r="BX172" s="77">
        <f>BX85+BX182</f>
      </c>
      <c r="BY172" s="192">
        <f>BY85+BY182</f>
      </c>
      <c r="BZ172" s="77">
        <v>3250</v>
      </c>
      <c r="CA172" s="77">
        <v>3600</v>
      </c>
      <c r="CB172" s="77">
        <v>3700</v>
      </c>
      <c r="CC172" s="192">
        <f>14350-SUM(BZ172:CB172)</f>
      </c>
      <c r="CD172" s="77">
        <v>4200</v>
      </c>
      <c r="CE172" s="77">
        <v>4800</v>
      </c>
      <c r="CF172" s="77">
        <v>5050</v>
      </c>
      <c r="CG172" s="226">
        <f>+CG85+CG182</f>
      </c>
      <c r="CH172" s="62"/>
      <c r="CI172" s="62"/>
      <c r="CJ172" s="72"/>
      <c r="CK172" s="227"/>
      <c r="CL172" s="72"/>
      <c r="CM172" s="72"/>
      <c r="CN172" s="72"/>
      <c r="CO172" s="227"/>
      <c r="CP172" s="72"/>
      <c r="CQ172" s="72"/>
      <c r="CR172" s="72"/>
      <c r="CS172" s="227"/>
      <c r="CT172" s="72"/>
      <c r="CU172" s="72"/>
      <c r="CV172" s="72"/>
      <c r="CW172" s="227"/>
      <c r="CX172" s="72"/>
      <c r="CY172" s="72"/>
      <c r="CZ172" s="72"/>
      <c r="DA172" s="227"/>
      <c r="DB172" s="72"/>
      <c r="DC172" s="72"/>
      <c r="DD172" s="72"/>
      <c r="DE172" s="227"/>
      <c r="DF172" s="72"/>
      <c r="DG172" s="72"/>
      <c r="DH172" s="72"/>
      <c r="DI172" s="227"/>
      <c r="DJ172" s="141"/>
      <c r="DK172" s="72"/>
      <c r="DL172" s="72"/>
      <c r="DM172" s="227"/>
      <c r="DN172" s="72"/>
      <c r="DO172" s="72"/>
      <c r="DP172" s="72"/>
      <c r="DQ172" s="227"/>
      <c r="DR172" s="72"/>
      <c r="DS172" s="72"/>
      <c r="DT172" s="72"/>
      <c r="DU172" s="227"/>
      <c r="DV172" s="72"/>
      <c r="DW172" s="72"/>
      <c r="DX172" s="72"/>
      <c r="DY172" s="227"/>
      <c r="DZ172" s="72"/>
      <c r="EA172" s="72"/>
      <c r="EB172" s="72"/>
      <c r="EC172" s="227"/>
      <c r="ED172" s="72"/>
      <c r="EE172" s="72"/>
      <c r="EF172" s="72"/>
      <c r="EG172" s="227"/>
      <c r="EH172" s="72"/>
      <c r="EI172" s="72"/>
      <c r="EJ172" s="72"/>
      <c r="EK172" s="227"/>
      <c r="EY172" s="72"/>
      <c r="EZ172" s="72"/>
      <c r="FA172" s="72"/>
      <c r="FB172" s="72"/>
      <c r="FC172" s="72"/>
      <c r="FD172" s="62"/>
      <c r="FE172" s="62">
        <f>SUM(BV172:BY172)</f>
      </c>
      <c r="FF172" s="62">
        <f>SUM(BZ172:CC172)</f>
      </c>
      <c r="FG172" s="62">
        <f>SUM(CD172:CG172)</f>
      </c>
      <c r="FH172" s="62"/>
      <c r="FI172" s="62"/>
      <c r="FJ172" s="62"/>
      <c r="FK172" s="62"/>
      <c r="FL172" s="62"/>
      <c r="FM172" s="62"/>
      <c r="FN172" s="62"/>
      <c r="FO172" s="62"/>
      <c r="FP172" s="62"/>
      <c r="FQ172" s="62"/>
      <c r="FR172" s="62"/>
      <c r="FS172" s="62"/>
      <c r="FT172" s="62"/>
      <c r="FU172" s="62"/>
      <c r="GH172" s="72"/>
      <c r="GI172" s="72"/>
      <c r="GJ172" s="72"/>
      <c r="GK172" s="72"/>
      <c r="GL172" s="72"/>
      <c r="GM172" s="72"/>
      <c r="GN172" s="72"/>
      <c r="GO172" s="62">
        <f>SUM(BW172:BZ172)</f>
      </c>
      <c r="GP172" s="62">
        <f>SUM(CA172:CD172)</f>
      </c>
      <c r="GQ172" s="62">
        <f>SUM(CE172:CH172)</f>
      </c>
      <c r="GR172" s="62"/>
      <c r="GS172" s="62"/>
      <c r="GT172" s="62"/>
      <c r="GU172" s="62"/>
      <c r="GV172" s="62"/>
      <c r="GW172" s="62"/>
      <c r="GX172" s="62"/>
      <c r="GY172" s="62"/>
      <c r="GZ172" s="62"/>
      <c r="HA172" s="62"/>
      <c r="HB172" s="62"/>
      <c r="HC172" s="62"/>
      <c r="HD172" s="62"/>
    </row>
    <row r="173" spans="1:212" s="139" customFormat="1" ht="10.199999999999999" hidden="1" outlineLevel="1">
      <c r="A173" s="2065" t="s">
        <v>817</v>
      </c>
      <c r="B173" s="2066"/>
      <c r="C173" s="2066"/>
      <c r="D173" s="2066"/>
      <c r="E173" s="2067"/>
      <c r="F173" s="2066"/>
      <c r="G173" s="2066"/>
      <c r="H173" s="2066"/>
      <c r="I173" s="2067"/>
      <c r="J173" s="2066"/>
      <c r="K173" s="2066"/>
      <c r="L173" s="2066"/>
      <c r="M173" s="2067"/>
      <c r="N173" s="2066"/>
      <c r="O173" s="2066"/>
      <c r="P173" s="2066"/>
      <c r="Q173" s="2067"/>
      <c r="R173" s="2066"/>
      <c r="S173" s="2066"/>
      <c r="T173" s="2066"/>
      <c r="U173" s="2067"/>
      <c r="V173" s="2066"/>
      <c r="W173" s="2066"/>
      <c r="X173" s="2066"/>
      <c r="Y173" s="2067"/>
      <c r="Z173" s="2066"/>
      <c r="AA173" s="2066"/>
      <c r="AB173" s="2066"/>
      <c r="AC173" s="2067"/>
      <c r="AD173" s="2066"/>
      <c r="AE173" s="2066"/>
      <c r="AF173" s="2068"/>
      <c r="AG173" s="2069"/>
      <c r="AH173" s="2068"/>
      <c r="AI173" s="2068"/>
      <c r="AJ173" s="2068"/>
      <c r="AK173" s="2069"/>
      <c r="AL173" s="2068"/>
      <c r="AM173" s="2068"/>
      <c r="AN173" s="2068"/>
      <c r="AO173" s="2069"/>
      <c r="AP173" s="2068"/>
      <c r="AQ173" s="2068"/>
      <c r="AR173" s="2068"/>
      <c r="AS173" s="2069"/>
      <c r="AT173" s="2068"/>
      <c r="AU173" s="2068"/>
      <c r="AV173" s="2068"/>
      <c r="AW173" s="2069"/>
      <c r="AX173" s="2068"/>
      <c r="AY173" s="2068"/>
      <c r="AZ173" s="2068"/>
      <c r="BA173" s="2069"/>
      <c r="BB173" s="2068"/>
      <c r="BC173" s="2068"/>
      <c r="BD173" s="2068"/>
      <c r="BE173" s="2069"/>
      <c r="BF173" s="2068"/>
      <c r="BG173" s="2068"/>
      <c r="BH173" s="2068"/>
      <c r="BI173" s="2069"/>
      <c r="BJ173" s="2068"/>
      <c r="BK173" s="2068"/>
      <c r="BL173" s="2068"/>
      <c r="BM173" s="2069"/>
      <c r="BN173" s="2068"/>
      <c r="BO173" s="2068"/>
      <c r="BP173" s="2068"/>
      <c r="BQ173" s="2069"/>
      <c r="BR173" s="2068"/>
      <c r="BS173" s="2068"/>
      <c r="BT173" s="2068"/>
      <c r="BU173" s="2069"/>
      <c r="BV173" s="2070">
        <f>+BZ173/(1+BZ174)</f>
      </c>
      <c r="BW173" s="2070">
        <f>+CA173/(1+CA174)</f>
      </c>
      <c r="BX173" s="2070">
        <f>+CB173/(1+CB174)</f>
      </c>
      <c r="BY173" s="2071">
        <f>+CC173/(1+CC174)</f>
      </c>
      <c r="BZ173" s="2070">
        <f t="shared" ref="BZ173:CF173" si="1955">+BZ172+BZ171</f>
      </c>
      <c r="CA173" s="2070">
        <f t="shared" si="1955"/>
      </c>
      <c r="CB173" s="2070">
        <f t="shared" si="1955"/>
      </c>
      <c r="CC173" s="2071">
        <f t="shared" si="1955"/>
      </c>
      <c r="CD173" s="2070">
        <f t="shared" si="1955"/>
      </c>
      <c r="CE173" s="2070">
        <f t="shared" si="1955"/>
      </c>
      <c r="CF173" s="2070">
        <f t="shared" si="1955"/>
      </c>
      <c r="CG173" s="2071">
        <f>+CG171+CG172</f>
      </c>
      <c r="CH173" s="90"/>
      <c r="CI173" s="90"/>
      <c r="CJ173" s="84"/>
      <c r="CK173" s="265"/>
      <c r="CL173" s="84"/>
      <c r="CM173" s="84"/>
      <c r="CN173" s="84"/>
      <c r="CO173" s="265"/>
      <c r="CP173" s="84"/>
      <c r="CQ173" s="84"/>
      <c r="CR173" s="84"/>
      <c r="CS173" s="265"/>
      <c r="CT173" s="84"/>
      <c r="CU173" s="84"/>
      <c r="CV173" s="84"/>
      <c r="CW173" s="265"/>
      <c r="CX173" s="84"/>
      <c r="CY173" s="84"/>
      <c r="CZ173" s="84"/>
      <c r="DA173" s="265"/>
      <c r="DB173" s="84"/>
      <c r="DC173" s="84"/>
      <c r="DD173" s="84"/>
      <c r="DE173" s="265"/>
      <c r="DF173" s="84"/>
      <c r="DG173" s="84"/>
      <c r="DH173" s="84"/>
      <c r="DI173" s="265"/>
      <c r="DJ173" s="141"/>
      <c r="DK173" s="84"/>
      <c r="DL173" s="84"/>
      <c r="DM173" s="265"/>
      <c r="DN173" s="84"/>
      <c r="DO173" s="84"/>
      <c r="DP173" s="84"/>
      <c r="DQ173" s="265"/>
      <c r="DR173" s="84"/>
      <c r="DS173" s="84"/>
      <c r="DT173" s="84"/>
      <c r="DU173" s="265"/>
      <c r="DV173" s="84"/>
      <c r="DW173" s="84"/>
      <c r="DX173" s="84"/>
      <c r="DY173" s="265"/>
      <c r="DZ173" s="84"/>
      <c r="EA173" s="84"/>
      <c r="EB173" s="84"/>
      <c r="EC173" s="265"/>
      <c r="ED173" s="84"/>
      <c r="EE173" s="84"/>
      <c r="EF173" s="84"/>
      <c r="EG173" s="265"/>
      <c r="EH173" s="84"/>
      <c r="EI173" s="84"/>
      <c r="EJ173" s="84"/>
      <c r="EK173" s="265"/>
      <c r="EY173" s="84"/>
      <c r="EZ173" s="84"/>
      <c r="FA173" s="84"/>
      <c r="FB173" s="84"/>
      <c r="FC173" s="84"/>
      <c r="FD173" s="90"/>
      <c r="FE173" s="90">
        <f>SUM(BV173:BY173)</f>
      </c>
      <c r="FF173" s="90">
        <f>SUM(BZ173:CC173)</f>
      </c>
      <c r="FG173" s="90">
        <f>SUM(CD173:CG173)</f>
      </c>
      <c r="FH173" s="90"/>
      <c r="FI173" s="90"/>
      <c r="FJ173" s="90"/>
      <c r="FK173" s="90"/>
      <c r="FL173" s="90"/>
      <c r="FM173" s="90"/>
      <c r="FN173" s="90"/>
      <c r="FO173" s="90"/>
      <c r="FP173" s="90"/>
      <c r="FQ173" s="90"/>
      <c r="FR173" s="90"/>
      <c r="FS173" s="90"/>
      <c r="FT173" s="90"/>
      <c r="FU173" s="90"/>
      <c r="GH173" s="84"/>
      <c r="GI173" s="84"/>
      <c r="GJ173" s="84"/>
      <c r="GK173" s="84"/>
      <c r="GL173" s="84"/>
      <c r="GM173" s="84"/>
      <c r="GN173" s="84"/>
      <c r="GO173" s="90">
        <f>SUM(BW173:BZ173)</f>
      </c>
      <c r="GP173" s="90">
        <f>SUM(CA173:CD173)</f>
      </c>
      <c r="GQ173" s="90">
        <f>SUM(CE173:CH173)</f>
      </c>
      <c r="GR173" s="90"/>
      <c r="GS173" s="90"/>
      <c r="GT173" s="90"/>
      <c r="GU173" s="90"/>
      <c r="GV173" s="90"/>
      <c r="GW173" s="90"/>
      <c r="GX173" s="90"/>
      <c r="GY173" s="90"/>
      <c r="GZ173" s="90"/>
      <c r="HA173" s="90"/>
      <c r="HB173" s="90"/>
      <c r="HC173" s="90"/>
      <c r="HD173" s="90"/>
    </row>
    <row r="174" spans="1:212" s="89" customFormat="1" ht="10.199999999999999" hidden="1" outlineLevel="1">
      <c r="A174" s="152" t="s">
        <v>64</v>
      </c>
      <c r="E174" s="260"/>
      <c r="I174" s="260"/>
      <c r="M174" s="260"/>
      <c r="Q174" s="260"/>
      <c r="U174" s="260"/>
      <c r="Y174" s="260"/>
      <c r="AC174" s="260"/>
      <c r="AF174" s="72"/>
      <c r="AG174" s="227"/>
      <c r="AH174" s="72"/>
      <c r="AI174" s="72"/>
      <c r="AJ174" s="72"/>
      <c r="AK174" s="227"/>
      <c r="AL174" s="72"/>
      <c r="AM174" s="72"/>
      <c r="AN174" s="72"/>
      <c r="AO174" s="227"/>
      <c r="AP174" s="72"/>
      <c r="AQ174" s="72"/>
      <c r="AR174" s="72"/>
      <c r="AS174" s="227"/>
      <c r="AT174" s="72"/>
      <c r="AU174" s="72"/>
      <c r="AV174" s="72"/>
      <c r="AW174" s="227"/>
      <c r="AX174" s="72"/>
      <c r="AY174" s="72"/>
      <c r="AZ174" s="72"/>
      <c r="BA174" s="227"/>
      <c r="BB174" s="72"/>
      <c r="BC174" s="72"/>
      <c r="BD174" s="72"/>
      <c r="BE174" s="227"/>
      <c r="BF174" s="72"/>
      <c r="BG174" s="72"/>
      <c r="BH174" s="72"/>
      <c r="BI174" s="227"/>
      <c r="BJ174" s="72"/>
      <c r="BK174" s="72"/>
      <c r="BL174" s="72"/>
      <c r="BM174" s="227"/>
      <c r="BN174" s="72"/>
      <c r="BO174" s="72"/>
      <c r="BP174" s="72"/>
      <c r="BQ174" s="227"/>
      <c r="BR174" s="72"/>
      <c r="BS174" s="72"/>
      <c r="BT174" s="72"/>
      <c r="BU174" s="227"/>
      <c r="BV174" s="72"/>
      <c r="BW174" s="72"/>
      <c r="BX174" s="72"/>
      <c r="BY174" s="227"/>
      <c r="BZ174" s="71">
        <v>0.23</v>
      </c>
      <c r="CA174" s="71">
        <v>0.23</v>
      </c>
      <c r="CB174" s="71">
        <v>0.23</v>
      </c>
      <c r="CC174" s="232">
        <v>0.23</v>
      </c>
      <c r="CD174" s="71">
        <v>0.24</v>
      </c>
      <c r="CE174" s="71">
        <v>0.27</v>
      </c>
      <c r="CF174" s="71">
        <v>0.28999999999999998</v>
      </c>
      <c r="CG174" s="227">
        <f>+CG173/CC173-1</f>
      </c>
      <c r="CH174" s="72"/>
      <c r="CI174" s="72"/>
      <c r="CJ174" s="72"/>
      <c r="CK174" s="227"/>
      <c r="CL174" s="72"/>
      <c r="CM174" s="72"/>
      <c r="CN174" s="72"/>
      <c r="CO174" s="227"/>
      <c r="CP174" s="72"/>
      <c r="CQ174" s="72"/>
      <c r="CR174" s="72"/>
      <c r="CS174" s="227"/>
      <c r="CT174" s="72"/>
      <c r="CU174" s="72"/>
      <c r="CV174" s="72"/>
      <c r="CW174" s="227"/>
      <c r="CX174" s="72"/>
      <c r="CY174" s="72"/>
      <c r="CZ174" s="72"/>
      <c r="DA174" s="227"/>
      <c r="DB174" s="72"/>
      <c r="DC174" s="72"/>
      <c r="DD174" s="72"/>
      <c r="DE174" s="227"/>
      <c r="DF174" s="72"/>
      <c r="DG174" s="72"/>
      <c r="DH174" s="72"/>
      <c r="DI174" s="227"/>
      <c r="DJ174" s="141"/>
      <c r="DK174" s="72"/>
      <c r="DL174" s="72"/>
      <c r="DM174" s="227"/>
      <c r="DN174" s="72"/>
      <c r="DO174" s="72"/>
      <c r="DP174" s="72"/>
      <c r="DQ174" s="227"/>
      <c r="DR174" s="72"/>
      <c r="DS174" s="72"/>
      <c r="DT174" s="72"/>
      <c r="DU174" s="227"/>
      <c r="DV174" s="72"/>
      <c r="DW174" s="72"/>
      <c r="DX174" s="72"/>
      <c r="DY174" s="227"/>
      <c r="DZ174" s="72"/>
      <c r="EA174" s="72"/>
      <c r="EB174" s="72"/>
      <c r="EC174" s="227"/>
      <c r="ED174" s="72"/>
      <c r="EE174" s="72"/>
      <c r="EF174" s="72"/>
      <c r="EG174" s="227"/>
      <c r="EH174" s="72"/>
      <c r="EI174" s="72"/>
      <c r="EJ174" s="72"/>
      <c r="EK174" s="227"/>
      <c r="EY174" s="72"/>
      <c r="EZ174" s="72"/>
      <c r="FA174" s="72"/>
      <c r="FB174" s="72"/>
      <c r="FC174" s="72"/>
      <c r="FD174" s="72"/>
      <c r="FE174" s="72"/>
      <c r="FF174" s="72">
        <f>+FF173/FE173-1</f>
      </c>
      <c r="FG174" s="72">
        <f>+FG173/FF173-1</f>
      </c>
      <c r="FH174" s="72"/>
      <c r="FI174" s="72"/>
      <c r="FJ174" s="72"/>
      <c r="FK174" s="72"/>
      <c r="FL174" s="72"/>
      <c r="FM174" s="72"/>
      <c r="FN174" s="72"/>
      <c r="FO174" s="72"/>
      <c r="FP174" s="72"/>
      <c r="FQ174" s="72"/>
      <c r="FR174" s="72"/>
      <c r="FS174" s="72"/>
      <c r="FT174" s="72"/>
      <c r="FU174" s="72"/>
      <c r="GH174" s="72"/>
      <c r="GI174" s="72"/>
      <c r="GJ174" s="72"/>
      <c r="GK174" s="72"/>
      <c r="GL174" s="72"/>
      <c r="GM174" s="72"/>
      <c r="GN174" s="72"/>
      <c r="GO174" s="72"/>
      <c r="GP174" s="72">
        <f>+GP173/GO173-1</f>
      </c>
      <c r="GQ174" s="72">
        <f>+GQ173/GP173-1</f>
      </c>
      <c r="GR174" s="72"/>
      <c r="GS174" s="72"/>
      <c r="GT174" s="72"/>
      <c r="GU174" s="72"/>
      <c r="GV174" s="72"/>
      <c r="GW174" s="72"/>
      <c r="GX174" s="72"/>
      <c r="GY174" s="72"/>
      <c r="GZ174" s="72"/>
      <c r="HA174" s="72"/>
      <c r="HB174" s="72"/>
      <c r="HC174" s="72"/>
      <c r="HD174" s="72"/>
    </row>
    <row r="175" spans="1:212" s="89" customFormat="1" ht="10.199999999999999" hidden="1" outlineLevel="1">
      <c r="A175" s="152" t="s">
        <v>65</v>
      </c>
      <c r="E175" s="260"/>
      <c r="I175" s="260"/>
      <c r="M175" s="260"/>
      <c r="Q175" s="260"/>
      <c r="U175" s="260"/>
      <c r="Y175" s="260"/>
      <c r="AC175" s="260"/>
      <c r="AF175" s="72"/>
      <c r="AG175" s="227"/>
      <c r="AH175" s="72"/>
      <c r="AI175" s="72"/>
      <c r="AJ175" s="72"/>
      <c r="AK175" s="227"/>
      <c r="AL175" s="72"/>
      <c r="AM175" s="72"/>
      <c r="AN175" s="72"/>
      <c r="AO175" s="227"/>
      <c r="AP175" s="72"/>
      <c r="AQ175" s="72"/>
      <c r="AR175" s="72"/>
      <c r="AS175" s="227"/>
      <c r="AT175" s="72"/>
      <c r="AU175" s="72"/>
      <c r="AV175" s="72"/>
      <c r="AW175" s="227"/>
      <c r="AX175" s="72"/>
      <c r="AY175" s="72"/>
      <c r="AZ175" s="72"/>
      <c r="BA175" s="227"/>
      <c r="BB175" s="72"/>
      <c r="BC175" s="72"/>
      <c r="BD175" s="72"/>
      <c r="BE175" s="227"/>
      <c r="BF175" s="72"/>
      <c r="BG175" s="72"/>
      <c r="BH175" s="72"/>
      <c r="BI175" s="227"/>
      <c r="BJ175" s="72"/>
      <c r="BK175" s="72"/>
      <c r="BL175" s="72"/>
      <c r="BM175" s="227"/>
      <c r="BN175" s="72"/>
      <c r="BO175" s="72"/>
      <c r="BP175" s="72"/>
      <c r="BQ175" s="227"/>
      <c r="BR175" s="72"/>
      <c r="BS175" s="72"/>
      <c r="BT175" s="72"/>
      <c r="BU175" s="227"/>
      <c r="BV175" s="72"/>
      <c r="BW175" s="72">
        <f t="shared" ref="BW175:CG175" si="1956">+BW173/BV173-1</f>
      </c>
      <c r="BX175" s="72">
        <f t="shared" si="1956"/>
      </c>
      <c r="BY175" s="227">
        <f t="shared" si="1956"/>
      </c>
      <c r="BZ175" s="72">
        <f t="shared" si="1956"/>
      </c>
      <c r="CA175" s="72">
        <f t="shared" si="1956"/>
      </c>
      <c r="CB175" s="72">
        <f t="shared" si="1956"/>
      </c>
      <c r="CC175" s="227">
        <f t="shared" si="1956"/>
      </c>
      <c r="CD175" s="72">
        <f t="shared" si="1956"/>
      </c>
      <c r="CE175" s="72">
        <f t="shared" si="1956"/>
      </c>
      <c r="CF175" s="72">
        <f t="shared" si="1956"/>
      </c>
      <c r="CG175" s="227">
        <f t="shared" si="1956"/>
      </c>
      <c r="CH175" s="72"/>
      <c r="CI175" s="72"/>
      <c r="CJ175" s="72"/>
      <c r="CK175" s="227"/>
      <c r="CL175" s="72"/>
      <c r="CM175" s="72"/>
      <c r="CN175" s="72"/>
      <c r="CO175" s="227"/>
      <c r="CP175" s="72"/>
      <c r="CQ175" s="72"/>
      <c r="CR175" s="72"/>
      <c r="CS175" s="227"/>
      <c r="CT175" s="72"/>
      <c r="CU175" s="72"/>
      <c r="CV175" s="72"/>
      <c r="CW175" s="227"/>
      <c r="CX175" s="72"/>
      <c r="CY175" s="72"/>
      <c r="CZ175" s="72"/>
      <c r="DA175" s="227"/>
      <c r="DB175" s="72"/>
      <c r="DC175" s="72"/>
      <c r="DD175" s="72"/>
      <c r="DE175" s="227"/>
      <c r="DF175" s="72"/>
      <c r="DG175" s="72"/>
      <c r="DH175" s="72"/>
      <c r="DI175" s="227"/>
      <c r="DJ175" s="141"/>
      <c r="DK175" s="72"/>
      <c r="DL175" s="72"/>
      <c r="DM175" s="227"/>
      <c r="DN175" s="72"/>
      <c r="DO175" s="72"/>
      <c r="DP175" s="72"/>
      <c r="DQ175" s="227"/>
      <c r="DR175" s="72"/>
      <c r="DS175" s="72"/>
      <c r="DT175" s="72"/>
      <c r="DU175" s="227"/>
      <c r="DV175" s="72"/>
      <c r="DW175" s="72"/>
      <c r="DX175" s="72"/>
      <c r="DY175" s="227"/>
      <c r="DZ175" s="72"/>
      <c r="EA175" s="72"/>
      <c r="EB175" s="72"/>
      <c r="EC175" s="227"/>
      <c r="ED175" s="72"/>
      <c r="EE175" s="72"/>
      <c r="EF175" s="72"/>
      <c r="EG175" s="227"/>
      <c r="EH175" s="72"/>
      <c r="EI175" s="72"/>
      <c r="EJ175" s="72"/>
      <c r="EK175" s="227"/>
      <c r="EY175" s="72"/>
      <c r="EZ175" s="72"/>
      <c r="FA175" s="72"/>
      <c r="FB175" s="72"/>
      <c r="FC175" s="72"/>
      <c r="FD175" s="72"/>
      <c r="FE175" s="72"/>
      <c r="FF175" s="72"/>
      <c r="FG175" s="72"/>
      <c r="FH175" s="72"/>
      <c r="FI175" s="72"/>
      <c r="FJ175" s="72"/>
      <c r="FK175" s="72"/>
      <c r="FL175" s="72"/>
      <c r="FM175" s="72"/>
      <c r="FN175" s="72"/>
      <c r="FO175" s="72"/>
      <c r="FP175" s="72"/>
      <c r="FQ175" s="72"/>
      <c r="FR175" s="72"/>
      <c r="FS175" s="72"/>
      <c r="FT175" s="72"/>
      <c r="FU175" s="72"/>
      <c r="GH175" s="72"/>
      <c r="GI175" s="72"/>
      <c r="GJ175" s="72"/>
      <c r="GK175" s="72"/>
      <c r="GL175" s="72"/>
      <c r="GM175" s="72"/>
      <c r="GN175" s="72"/>
      <c r="GO175" s="72"/>
      <c r="GP175" s="72"/>
      <c r="GQ175" s="72"/>
      <c r="GR175" s="72"/>
      <c r="GS175" s="72"/>
      <c r="GT175" s="72"/>
      <c r="GU175" s="72"/>
      <c r="GV175" s="72"/>
      <c r="GW175" s="72"/>
      <c r="GX175" s="72"/>
      <c r="GY175" s="72"/>
      <c r="GZ175" s="72"/>
      <c r="HA175" s="72"/>
      <c r="HB175" s="72"/>
      <c r="HC175" s="72"/>
      <c r="HD175" s="72"/>
    </row>
    <row r="176" spans="1:212" s="89" customFormat="1" ht="10.199999999999999" hidden="1" outlineLevel="1">
      <c r="A176" s="152" t="s">
        <v>82</v>
      </c>
      <c r="E176" s="260"/>
      <c r="I176" s="260"/>
      <c r="M176" s="260"/>
      <c r="Q176" s="260"/>
      <c r="U176" s="260"/>
      <c r="Y176" s="260"/>
      <c r="AC176" s="260"/>
      <c r="AF176" s="72"/>
      <c r="AG176" s="227"/>
      <c r="AH176" s="72"/>
      <c r="AI176" s="72"/>
      <c r="AJ176" s="72"/>
      <c r="AK176" s="227"/>
      <c r="AL176" s="72"/>
      <c r="AM176" s="72"/>
      <c r="AN176" s="72"/>
      <c r="AO176" s="227"/>
      <c r="AP176" s="72"/>
      <c r="AQ176" s="72"/>
      <c r="AR176" s="72"/>
      <c r="AS176" s="227"/>
      <c r="AT176" s="72"/>
      <c r="AU176" s="72"/>
      <c r="AV176" s="72"/>
      <c r="AW176" s="227"/>
      <c r="AX176" s="72"/>
      <c r="AY176" s="72"/>
      <c r="AZ176" s="72"/>
      <c r="BA176" s="227"/>
      <c r="BB176" s="72"/>
      <c r="BC176" s="72"/>
      <c r="BD176" s="72"/>
      <c r="BE176" s="227"/>
      <c r="BF176" s="72"/>
      <c r="BG176" s="72"/>
      <c r="BH176" s="72"/>
      <c r="BI176" s="227"/>
      <c r="BJ176" s="72"/>
      <c r="BK176" s="72"/>
      <c r="BL176" s="72"/>
      <c r="BM176" s="227"/>
      <c r="BN176" s="72"/>
      <c r="BO176" s="72"/>
      <c r="BP176" s="72"/>
      <c r="BQ176" s="227"/>
      <c r="BR176" s="72"/>
      <c r="BS176" s="72"/>
      <c r="BT176" s="72"/>
      <c r="BU176" s="227"/>
      <c r="BV176" s="72"/>
      <c r="BW176" s="72"/>
      <c r="BX176" s="72"/>
      <c r="BY176" s="227"/>
      <c r="BZ176" s="158">
        <f t="shared" ref="BZ176:CG176" si="1957">+BZ173-(BZ179+BZ112+BZ184+BZ185)-(BZ85+BZ182)+BZ16</f>
      </c>
      <c r="CA176" s="158">
        <f t="shared" si="1957"/>
      </c>
      <c r="CB176" s="158">
        <f t="shared" si="1957"/>
      </c>
      <c r="CC176" s="263">
        <f t="shared" si="1957"/>
      </c>
      <c r="CD176" s="158">
        <f t="shared" si="1957"/>
      </c>
      <c r="CE176" s="158">
        <f t="shared" si="1957"/>
      </c>
      <c r="CF176" s="158">
        <f t="shared" si="1957"/>
      </c>
      <c r="CG176" s="263">
        <f t="shared" si="1957"/>
      </c>
      <c r="CH176" s="158"/>
      <c r="CI176" s="158"/>
      <c r="CJ176" s="72"/>
      <c r="CK176" s="227"/>
      <c r="CL176" s="72"/>
      <c r="CM176" s="72"/>
      <c r="CN176" s="72"/>
      <c r="CO176" s="227"/>
      <c r="CP176" s="72"/>
      <c r="CQ176" s="72"/>
      <c r="CR176" s="72"/>
      <c r="CS176" s="227"/>
      <c r="CT176" s="72"/>
      <c r="CU176" s="72"/>
      <c r="CV176" s="72"/>
      <c r="CW176" s="227"/>
      <c r="CX176" s="72"/>
      <c r="CY176" s="72"/>
      <c r="CZ176" s="72"/>
      <c r="DA176" s="227"/>
      <c r="DB176" s="72"/>
      <c r="DC176" s="72"/>
      <c r="DD176" s="72"/>
      <c r="DE176" s="227"/>
      <c r="DF176" s="72"/>
      <c r="DG176" s="72"/>
      <c r="DH176" s="72"/>
      <c r="DI176" s="227"/>
      <c r="DJ176" s="141"/>
      <c r="DK176" s="72"/>
      <c r="DL176" s="72"/>
      <c r="DM176" s="227"/>
      <c r="DN176" s="72"/>
      <c r="DO176" s="72"/>
      <c r="DP176" s="72"/>
      <c r="DQ176" s="227"/>
      <c r="DR176" s="72"/>
      <c r="DS176" s="72"/>
      <c r="DT176" s="72"/>
      <c r="DU176" s="227"/>
      <c r="DV176" s="72"/>
      <c r="DW176" s="72"/>
      <c r="DX176" s="72"/>
      <c r="DY176" s="227"/>
      <c r="DZ176" s="72"/>
      <c r="EA176" s="72"/>
      <c r="EB176" s="72"/>
      <c r="EC176" s="227"/>
      <c r="ED176" s="72"/>
      <c r="EE176" s="72"/>
      <c r="EF176" s="72"/>
      <c r="EG176" s="227"/>
      <c r="EH176" s="72"/>
      <c r="EI176" s="72"/>
      <c r="EJ176" s="72"/>
      <c r="EK176" s="227"/>
      <c r="EY176" s="72"/>
      <c r="EZ176" s="72"/>
      <c r="FA176" s="72"/>
      <c r="FB176" s="72"/>
      <c r="FC176" s="72"/>
      <c r="FD176" s="72"/>
      <c r="FE176" s="72"/>
      <c r="FF176" s="72"/>
      <c r="FG176" s="72"/>
      <c r="FH176" s="72"/>
      <c r="FI176" s="72"/>
      <c r="FJ176" s="72"/>
      <c r="FK176" s="72"/>
      <c r="FL176" s="72"/>
      <c r="FM176" s="72"/>
      <c r="FN176" s="72"/>
      <c r="FO176" s="72"/>
      <c r="FP176" s="72"/>
      <c r="FQ176" s="72"/>
      <c r="FR176" s="72"/>
      <c r="FS176" s="72"/>
      <c r="FT176" s="72"/>
      <c r="FU176" s="72"/>
      <c r="GH176" s="72"/>
      <c r="GI176" s="72"/>
      <c r="GJ176" s="72"/>
      <c r="GK176" s="72"/>
      <c r="GL176" s="72"/>
      <c r="GM176" s="72"/>
      <c r="GN176" s="72"/>
      <c r="GO176" s="72"/>
      <c r="GP176" s="72"/>
      <c r="GQ176" s="72"/>
      <c r="GR176" s="72"/>
      <c r="GS176" s="72"/>
      <c r="GT176" s="72"/>
      <c r="GU176" s="72"/>
      <c r="GV176" s="72"/>
      <c r="GW176" s="72"/>
      <c r="GX176" s="72"/>
      <c r="GY176" s="72"/>
      <c r="GZ176" s="72"/>
      <c r="HA176" s="72"/>
      <c r="HB176" s="72"/>
      <c r="HC176" s="72"/>
      <c r="HD176" s="72"/>
    </row>
    <row r="177" spans="1:212" s="89" customFormat="1" ht="10.199999999999999" hidden="1" outlineLevel="1">
      <c r="A177" s="152"/>
      <c r="E177" s="260"/>
      <c r="I177" s="260"/>
      <c r="M177" s="260"/>
      <c r="Q177" s="260"/>
      <c r="U177" s="260"/>
      <c r="Y177" s="260"/>
      <c r="AC177" s="260"/>
      <c r="AF177" s="72"/>
      <c r="AG177" s="227"/>
      <c r="AH177" s="72"/>
      <c r="AI177" s="72"/>
      <c r="AJ177" s="72"/>
      <c r="AK177" s="227"/>
      <c r="AL177" s="72"/>
      <c r="AM177" s="72"/>
      <c r="AN177" s="72"/>
      <c r="AO177" s="227"/>
      <c r="AP177" s="72"/>
      <c r="AQ177" s="72"/>
      <c r="AR177" s="72"/>
      <c r="AS177" s="227"/>
      <c r="AT177" s="72"/>
      <c r="AU177" s="72"/>
      <c r="AV177" s="72"/>
      <c r="AW177" s="227"/>
      <c r="AX177" s="72"/>
      <c r="AY177" s="72"/>
      <c r="AZ177" s="72"/>
      <c r="BA177" s="227"/>
      <c r="BB177" s="72"/>
      <c r="BC177" s="72"/>
      <c r="BD177" s="72"/>
      <c r="BE177" s="227"/>
      <c r="BF177" s="72"/>
      <c r="BG177" s="72"/>
      <c r="BH177" s="72"/>
      <c r="BI177" s="227"/>
      <c r="BJ177" s="72"/>
      <c r="BK177" s="72"/>
      <c r="BL177" s="72"/>
      <c r="BM177" s="227"/>
      <c r="BN177" s="72"/>
      <c r="BO177" s="72"/>
      <c r="BP177" s="72"/>
      <c r="BQ177" s="227"/>
      <c r="BR177" s="72"/>
      <c r="BS177" s="72"/>
      <c r="BT177" s="72"/>
      <c r="BU177" s="227"/>
      <c r="BV177" s="72"/>
      <c r="BW177" s="72"/>
      <c r="BX177" s="72"/>
      <c r="BY177" s="227"/>
      <c r="BZ177" s="72"/>
      <c r="CA177" s="72"/>
      <c r="CB177" s="72"/>
      <c r="CC177" s="227"/>
      <c r="CD177" s="72"/>
      <c r="CE177" s="72"/>
      <c r="CF177" s="72"/>
      <c r="CG177" s="227"/>
      <c r="CH177" s="72"/>
      <c r="CI177" s="72"/>
      <c r="CJ177" s="72"/>
      <c r="CK177" s="227"/>
      <c r="CL177" s="72"/>
      <c r="CM177" s="72"/>
      <c r="CN177" s="72"/>
      <c r="CO177" s="227"/>
      <c r="CP177" s="72"/>
      <c r="CQ177" s="72"/>
      <c r="CR177" s="72"/>
      <c r="CS177" s="227"/>
      <c r="CT177" s="72"/>
      <c r="CU177" s="72"/>
      <c r="CV177" s="72"/>
      <c r="CW177" s="227"/>
      <c r="CX177" s="72"/>
      <c r="CY177" s="72"/>
      <c r="CZ177" s="72"/>
      <c r="DA177" s="227"/>
      <c r="DB177" s="72"/>
      <c r="DC177" s="72"/>
      <c r="DD177" s="72"/>
      <c r="DE177" s="227"/>
      <c r="DF177" s="72"/>
      <c r="DG177" s="72"/>
      <c r="DH177" s="72"/>
      <c r="DI177" s="227"/>
      <c r="DJ177" s="141"/>
      <c r="DK177" s="72"/>
      <c r="DL177" s="72"/>
      <c r="DM177" s="227"/>
      <c r="DN177" s="72"/>
      <c r="DO177" s="72"/>
      <c r="DP177" s="72"/>
      <c r="DQ177" s="227"/>
      <c r="DR177" s="72"/>
      <c r="DS177" s="72"/>
      <c r="DT177" s="72"/>
      <c r="DU177" s="227"/>
      <c r="DV177" s="72"/>
      <c r="DW177" s="72"/>
      <c r="DX177" s="72"/>
      <c r="DY177" s="227"/>
      <c r="DZ177" s="72"/>
      <c r="EA177" s="72"/>
      <c r="EB177" s="72"/>
      <c r="EC177" s="227"/>
      <c r="ED177" s="72"/>
      <c r="EE177" s="72"/>
      <c r="EF177" s="72"/>
      <c r="EG177" s="227"/>
      <c r="EH177" s="72"/>
      <c r="EI177" s="72"/>
      <c r="EJ177" s="72"/>
      <c r="EK177" s="227"/>
      <c r="EY177" s="72"/>
      <c r="EZ177" s="72"/>
      <c r="FA177" s="72"/>
      <c r="FB177" s="72"/>
      <c r="FC177" s="72"/>
      <c r="FD177" s="72"/>
      <c r="FE177" s="72"/>
      <c r="FF177" s="72"/>
      <c r="FG177" s="72"/>
      <c r="FH177" s="72"/>
      <c r="FI177" s="72"/>
      <c r="FJ177" s="72"/>
      <c r="FK177" s="72"/>
      <c r="FL177" s="72"/>
      <c r="FM177" s="72"/>
      <c r="FN177" s="72"/>
      <c r="FO177" s="72"/>
      <c r="FP177" s="72"/>
      <c r="FQ177" s="72"/>
      <c r="FR177" s="72"/>
      <c r="FS177" s="72"/>
      <c r="FT177" s="72"/>
      <c r="FU177" s="72"/>
      <c r="GH177" s="72"/>
      <c r="GI177" s="72"/>
      <c r="GJ177" s="72"/>
      <c r="GK177" s="72"/>
      <c r="GL177" s="72"/>
      <c r="GM177" s="72"/>
      <c r="GN177" s="72"/>
      <c r="GO177" s="72"/>
      <c r="GP177" s="72"/>
      <c r="GQ177" s="72"/>
      <c r="GR177" s="72"/>
      <c r="GS177" s="72"/>
      <c r="GT177" s="72"/>
      <c r="GU177" s="72"/>
      <c r="GV177" s="72"/>
      <c r="GW177" s="72"/>
      <c r="GX177" s="72"/>
      <c r="GY177" s="72"/>
      <c r="GZ177" s="72"/>
      <c r="HA177" s="72"/>
      <c r="HB177" s="72"/>
      <c r="HC177" s="72"/>
      <c r="HD177" s="72"/>
    </row>
    <row r="178" spans="1:212" s="89" customFormat="1" ht="10.199999999999999" hidden="1" outlineLevel="1">
      <c r="A178" s="148" t="s">
        <v>818</v>
      </c>
      <c r="E178" s="260"/>
      <c r="I178" s="260"/>
      <c r="M178" s="260"/>
      <c r="Q178" s="260"/>
      <c r="U178" s="260"/>
      <c r="Y178" s="260"/>
      <c r="AC178" s="260"/>
      <c r="AF178" s="72"/>
      <c r="AG178" s="227"/>
      <c r="AH178" s="72"/>
      <c r="AI178" s="72"/>
      <c r="AJ178" s="72"/>
      <c r="AK178" s="227"/>
      <c r="AL178" s="72"/>
      <c r="AM178" s="72"/>
      <c r="AN178" s="72"/>
      <c r="AO178" s="227"/>
      <c r="AP178" s="72"/>
      <c r="AQ178" s="72"/>
      <c r="AR178" s="72"/>
      <c r="AS178" s="227"/>
      <c r="AT178" s="72"/>
      <c r="AU178" s="72"/>
      <c r="AV178" s="72"/>
      <c r="AW178" s="227"/>
      <c r="AX178" s="72"/>
      <c r="AY178" s="72"/>
      <c r="AZ178" s="72"/>
      <c r="BA178" s="227"/>
      <c r="BB178" s="72"/>
      <c r="BC178" s="72"/>
      <c r="BD178" s="72"/>
      <c r="BE178" s="227"/>
      <c r="BF178" s="72"/>
      <c r="BG178" s="72"/>
      <c r="BH178" s="72"/>
      <c r="BI178" s="227"/>
      <c r="BJ178" s="72"/>
      <c r="BK178" s="72"/>
      <c r="BL178" s="72"/>
      <c r="BM178" s="227"/>
      <c r="BN178" s="72"/>
      <c r="BO178" s="72"/>
      <c r="BP178" s="72"/>
      <c r="BQ178" s="227"/>
      <c r="BR178" s="72"/>
      <c r="BS178" s="72"/>
      <c r="BT178" s="72"/>
      <c r="BU178" s="227"/>
      <c r="BV178" s="72"/>
      <c r="BW178" s="72"/>
      <c r="BX178" s="72"/>
      <c r="BY178" s="227"/>
      <c r="BZ178" s="72"/>
      <c r="CA178" s="72"/>
      <c r="CB178" s="72"/>
      <c r="CC178" s="227"/>
      <c r="CD178" s="72"/>
      <c r="CE178" s="72"/>
      <c r="CF178" s="72"/>
      <c r="CG178" s="227"/>
      <c r="CH178" s="72"/>
      <c r="CI178" s="72"/>
      <c r="CJ178" s="72"/>
      <c r="CK178" s="227"/>
      <c r="CL178" s="72"/>
      <c r="CM178" s="72"/>
      <c r="CN178" s="72"/>
      <c r="CO178" s="227"/>
      <c r="CP178" s="72"/>
      <c r="CQ178" s="72"/>
      <c r="CR178" s="72"/>
      <c r="CS178" s="227"/>
      <c r="CT178" s="72"/>
      <c r="CU178" s="72"/>
      <c r="CV178" s="72"/>
      <c r="CW178" s="227"/>
      <c r="CX178" s="72"/>
      <c r="CY178" s="72"/>
      <c r="CZ178" s="72"/>
      <c r="DA178" s="227"/>
      <c r="DB178" s="72"/>
      <c r="DC178" s="72"/>
      <c r="DD178" s="72"/>
      <c r="DE178" s="227"/>
      <c r="DF178" s="72"/>
      <c r="DG178" s="72"/>
      <c r="DH178" s="72"/>
      <c r="DI178" s="227"/>
      <c r="DJ178" s="141"/>
      <c r="DK178" s="72"/>
      <c r="DL178" s="72"/>
      <c r="DM178" s="227"/>
      <c r="DN178" s="72"/>
      <c r="DO178" s="72"/>
      <c r="DP178" s="72"/>
      <c r="DQ178" s="227"/>
      <c r="DR178" s="72"/>
      <c r="DS178" s="72"/>
      <c r="DT178" s="72"/>
      <c r="DU178" s="227"/>
      <c r="DV178" s="72"/>
      <c r="DW178" s="72"/>
      <c r="DX178" s="72"/>
      <c r="DY178" s="227"/>
      <c r="DZ178" s="72"/>
      <c r="EA178" s="72"/>
      <c r="EB178" s="72"/>
      <c r="EC178" s="227"/>
      <c r="ED178" s="72"/>
      <c r="EE178" s="72"/>
      <c r="EF178" s="72"/>
      <c r="EG178" s="227"/>
      <c r="EH178" s="72"/>
      <c r="EI178" s="72"/>
      <c r="EJ178" s="72"/>
      <c r="EK178" s="227"/>
      <c r="EY178" s="72"/>
      <c r="EZ178" s="72"/>
      <c r="FA178" s="72"/>
      <c r="FB178" s="72"/>
      <c r="FC178" s="72"/>
      <c r="FD178" s="72"/>
      <c r="FE178" s="72"/>
      <c r="FF178" s="72"/>
      <c r="FG178" s="72"/>
      <c r="FH178" s="72"/>
      <c r="FI178" s="72"/>
      <c r="FJ178" s="72"/>
      <c r="FK178" s="72"/>
      <c r="FL178" s="72"/>
      <c r="FM178" s="72"/>
      <c r="FN178" s="72"/>
      <c r="FO178" s="72"/>
      <c r="FP178" s="72"/>
      <c r="FQ178" s="72"/>
      <c r="FR178" s="72"/>
      <c r="FS178" s="72"/>
      <c r="FT178" s="72"/>
      <c r="FU178" s="72"/>
      <c r="GH178" s="72"/>
      <c r="GI178" s="72"/>
      <c r="GJ178" s="72"/>
      <c r="GK178" s="72"/>
      <c r="GL178" s="72"/>
      <c r="GM178" s="72"/>
      <c r="GN178" s="72"/>
      <c r="GO178" s="72"/>
      <c r="GP178" s="72"/>
      <c r="GQ178" s="72"/>
      <c r="GR178" s="72"/>
      <c r="GS178" s="72"/>
      <c r="GT178" s="72"/>
      <c r="GU178" s="72"/>
      <c r="GV178" s="72"/>
      <c r="GW178" s="72"/>
      <c r="GX178" s="72"/>
      <c r="GY178" s="72"/>
      <c r="GZ178" s="72"/>
      <c r="HA178" s="72"/>
      <c r="HB178" s="72"/>
      <c r="HC178" s="72"/>
      <c r="HD178" s="72"/>
    </row>
    <row r="179" spans="1:212" s="89" customFormat="1" ht="10.199999999999999" hidden="1" outlineLevel="1">
      <c r="A179" s="909" t="s">
        <v>819</v>
      </c>
      <c r="B179" s="137"/>
      <c r="C179" s="137"/>
      <c r="D179" s="137"/>
      <c r="E179" s="860"/>
      <c r="F179" s="137"/>
      <c r="G179" s="137"/>
      <c r="H179" s="137"/>
      <c r="I179" s="860"/>
      <c r="J179" s="137"/>
      <c r="K179" s="137"/>
      <c r="L179" s="137"/>
      <c r="M179" s="860"/>
      <c r="N179" s="137"/>
      <c r="O179" s="137"/>
      <c r="P179" s="137"/>
      <c r="Q179" s="860"/>
      <c r="R179" s="137"/>
      <c r="S179" s="137"/>
      <c r="T179" s="137"/>
      <c r="U179" s="860"/>
      <c r="V179" s="137"/>
      <c r="W179" s="137"/>
      <c r="X179" s="137"/>
      <c r="Y179" s="860"/>
      <c r="Z179" s="137"/>
      <c r="AA179" s="137"/>
      <c r="AB179" s="137"/>
      <c r="AC179" s="860"/>
      <c r="AD179" s="137"/>
      <c r="AE179" s="137"/>
      <c r="AF179" s="71"/>
      <c r="AG179" s="232"/>
      <c r="AH179" s="71"/>
      <c r="AI179" s="71"/>
      <c r="AJ179" s="71"/>
      <c r="AK179" s="232"/>
      <c r="AL179" s="71"/>
      <c r="AM179" s="71"/>
      <c r="AN179" s="71"/>
      <c r="AO179" s="232"/>
      <c r="AP179" s="71"/>
      <c r="AQ179" s="71"/>
      <c r="AR179" s="71"/>
      <c r="AS179" s="232"/>
      <c r="AT179" s="71"/>
      <c r="AU179" s="71"/>
      <c r="AV179" s="71"/>
      <c r="AW179" s="232"/>
      <c r="AX179" s="71"/>
      <c r="AY179" s="71"/>
      <c r="AZ179" s="71"/>
      <c r="BA179" s="232"/>
      <c r="BB179" s="71"/>
      <c r="BC179" s="71"/>
      <c r="BD179" s="71"/>
      <c r="BE179" s="232"/>
      <c r="BF179" s="99">
        <f>BG179-278</f>
      </c>
      <c r="BG179" s="99">
        <v>1100</v>
      </c>
      <c r="BH179" s="99">
        <v>1000</v>
      </c>
      <c r="BI179" s="462">
        <f>4100-SUM(BF179:BH179)</f>
      </c>
      <c r="BJ179" s="99">
        <v>1160</v>
      </c>
      <c r="BK179" s="99">
        <v>1400</v>
      </c>
      <c r="BL179" s="99">
        <v>1400</v>
      </c>
      <c r="BM179" s="462">
        <f>5400-SUM(BJ179:BL179)</f>
      </c>
      <c r="BN179" s="99">
        <v>1700</v>
      </c>
      <c r="BO179" s="99">
        <v>1900</v>
      </c>
      <c r="BP179" s="99">
        <v>1800</v>
      </c>
      <c r="BQ179" s="462">
        <f>7500-SUM(BN179:BP179)</f>
      </c>
      <c r="BR179" s="99">
        <v>2100</v>
      </c>
      <c r="BS179" s="99">
        <v>2400</v>
      </c>
      <c r="BT179" s="99">
        <v>2400</v>
      </c>
      <c r="BU179" s="462">
        <f>9300-SUM(BR179:BT179)</f>
      </c>
      <c r="BV179" s="99">
        <v>2400</v>
      </c>
      <c r="BW179" s="99">
        <v>2600</v>
      </c>
      <c r="BX179" s="99">
        <v>2600</v>
      </c>
      <c r="BY179" s="462">
        <f>10200-SUM(BV179:BX179)</f>
      </c>
      <c r="BZ179" s="99">
        <v>2600</v>
      </c>
      <c r="CA179" s="99">
        <v>2800</v>
      </c>
      <c r="CB179" s="99">
        <v>2700</v>
      </c>
      <c r="CC179" s="271">
        <f t="shared" ref="CC179:CI179" si="1958">+CC21-(CC192+CC185+CC19+CC112+CC184)</f>
      </c>
      <c r="CD179" s="90">
        <f t="shared" si="1958"/>
      </c>
      <c r="CE179" s="90">
        <f t="shared" si="1958"/>
      </c>
      <c r="CF179" s="90">
        <f t="shared" si="1958"/>
      </c>
      <c r="CG179" s="271">
        <f t="shared" si="1958"/>
      </c>
      <c r="CH179" s="90">
        <f t="shared" si="1958"/>
      </c>
      <c r="CI179" s="90">
        <f t="shared" si="1958"/>
      </c>
      <c r="CJ179" s="72"/>
      <c r="CK179" s="227"/>
      <c r="CL179" s="72"/>
      <c r="CM179" s="72"/>
      <c r="CN179" s="72"/>
      <c r="CO179" s="227"/>
      <c r="CP179" s="72"/>
      <c r="CQ179" s="72"/>
      <c r="CR179" s="72"/>
      <c r="CS179" s="227"/>
      <c r="CT179" s="72"/>
      <c r="CU179" s="72"/>
      <c r="CV179" s="72"/>
      <c r="CW179" s="227"/>
      <c r="CX179" s="72"/>
      <c r="CY179" s="72"/>
      <c r="CZ179" s="72"/>
      <c r="DA179" s="227"/>
      <c r="DB179" s="72"/>
      <c r="DC179" s="72"/>
      <c r="DD179" s="72"/>
      <c r="DE179" s="227"/>
      <c r="DF179" s="72"/>
      <c r="DG179" s="72"/>
      <c r="DH179" s="72"/>
      <c r="DI179" s="227"/>
      <c r="DJ179" s="141"/>
      <c r="DK179" s="72"/>
      <c r="DL179" s="72"/>
      <c r="DM179" s="227"/>
      <c r="DN179" s="72"/>
      <c r="DO179" s="72"/>
      <c r="DP179" s="72"/>
      <c r="DQ179" s="227"/>
      <c r="DR179" s="72"/>
      <c r="DS179" s="72"/>
      <c r="DT179" s="72"/>
      <c r="DU179" s="227"/>
      <c r="DV179" s="72"/>
      <c r="DW179" s="72"/>
      <c r="DX179" s="72"/>
      <c r="DY179" s="227"/>
      <c r="DZ179" s="72"/>
      <c r="EA179" s="72"/>
      <c r="EB179" s="72"/>
      <c r="EC179" s="227"/>
      <c r="ED179" s="72"/>
      <c r="EE179" s="72"/>
      <c r="EF179" s="72"/>
      <c r="EG179" s="227"/>
      <c r="EH179" s="72"/>
      <c r="EI179" s="72"/>
      <c r="EJ179" s="72"/>
      <c r="EK179" s="227"/>
      <c r="EY179" s="72"/>
      <c r="EZ179" s="72"/>
      <c r="FA179" s="72"/>
      <c r="FB179" s="72"/>
      <c r="FC179" s="72"/>
      <c r="FD179" s="72"/>
      <c r="FE179" s="90">
        <f>SUM(BV179:BY179)</f>
      </c>
      <c r="FF179" s="90">
        <f>SUM(BZ179:CC179)</f>
      </c>
      <c r="FG179" s="90">
        <f>SUM(CD179:CG179)</f>
      </c>
      <c r="FH179" s="90"/>
      <c r="FI179" s="90"/>
      <c r="FJ179" s="90"/>
      <c r="FK179" s="90"/>
      <c r="FL179" s="90"/>
      <c r="FM179" s="90"/>
      <c r="FN179" s="90"/>
      <c r="FO179" s="90"/>
      <c r="FP179" s="90"/>
      <c r="FQ179" s="90"/>
      <c r="FR179" s="90"/>
      <c r="FS179" s="90"/>
      <c r="FT179" s="90"/>
      <c r="FU179" s="90"/>
      <c r="GH179" s="72"/>
      <c r="GI179" s="72"/>
      <c r="GJ179" s="72"/>
      <c r="GK179" s="72"/>
      <c r="GL179" s="72"/>
      <c r="GM179" s="72"/>
      <c r="GN179" s="72"/>
      <c r="GO179" s="90">
        <f>SUM(BW179:BZ179)</f>
      </c>
      <c r="GP179" s="90">
        <f>SUM(CA179:CD179)</f>
      </c>
      <c r="GQ179" s="90">
        <f>SUM(CE179:CH179)</f>
      </c>
      <c r="GR179" s="90"/>
      <c r="GS179" s="90"/>
      <c r="GT179" s="90"/>
      <c r="GU179" s="90"/>
      <c r="GV179" s="90"/>
      <c r="GW179" s="90"/>
      <c r="GX179" s="90"/>
      <c r="GY179" s="90"/>
      <c r="GZ179" s="90"/>
      <c r="HA179" s="90"/>
      <c r="HB179" s="90"/>
      <c r="HC179" s="90"/>
      <c r="HD179" s="90"/>
    </row>
    <row r="180" spans="1:212" s="89" customFormat="1" ht="10.199999999999999" hidden="1" outlineLevel="1">
      <c r="A180" s="911" t="s">
        <v>820</v>
      </c>
      <c r="B180" s="138"/>
      <c r="C180" s="138"/>
      <c r="D180" s="138"/>
      <c r="E180" s="273"/>
      <c r="F180" s="138"/>
      <c r="G180" s="138"/>
      <c r="H180" s="138"/>
      <c r="I180" s="273"/>
      <c r="J180" s="138"/>
      <c r="K180" s="138"/>
      <c r="L180" s="138"/>
      <c r="M180" s="273"/>
      <c r="N180" s="138"/>
      <c r="O180" s="138"/>
      <c r="P180" s="138"/>
      <c r="Q180" s="273"/>
      <c r="R180" s="138"/>
      <c r="S180" s="138"/>
      <c r="T180" s="138"/>
      <c r="U180" s="273"/>
      <c r="V180" s="138"/>
      <c r="W180" s="138"/>
      <c r="X180" s="138"/>
      <c r="Y180" s="273"/>
      <c r="Z180" s="138"/>
      <c r="AA180" s="138"/>
      <c r="AB180" s="138"/>
      <c r="AC180" s="273"/>
      <c r="AD180" s="138"/>
      <c r="AE180" s="138"/>
      <c r="AF180" s="138"/>
      <c r="AG180" s="912"/>
      <c r="AH180" s="913"/>
      <c r="AI180" s="913"/>
      <c r="AJ180" s="913"/>
      <c r="AK180" s="912"/>
      <c r="AL180" s="913"/>
      <c r="AM180" s="913"/>
      <c r="AN180" s="913"/>
      <c r="AO180" s="912"/>
      <c r="AP180" s="913"/>
      <c r="AQ180" s="913"/>
      <c r="AR180" s="913"/>
      <c r="AS180" s="912"/>
      <c r="AT180" s="913"/>
      <c r="AU180" s="913"/>
      <c r="AV180" s="913"/>
      <c r="AW180" s="912"/>
      <c r="AX180" s="913"/>
      <c r="AY180" s="913"/>
      <c r="AZ180" s="913"/>
      <c r="BA180" s="912"/>
      <c r="BB180" s="913"/>
      <c r="BC180" s="913"/>
      <c r="BD180" s="913"/>
      <c r="BE180" s="912"/>
      <c r="BF180" s="913"/>
      <c r="BG180" s="913"/>
      <c r="BH180" s="913"/>
      <c r="BI180" s="912"/>
      <c r="BJ180" s="913"/>
      <c r="BK180" s="913"/>
      <c r="BL180" s="913"/>
      <c r="BM180" s="912"/>
      <c r="BN180" s="913"/>
      <c r="BO180" s="913"/>
      <c r="BP180" s="99">
        <f t="shared" ref="BP180:BX180" si="1959">+(BP85/0.7)*0.3</f>
      </c>
      <c r="BQ180" s="462">
        <f t="shared" si="1959"/>
      </c>
      <c r="BR180" s="99">
        <f t="shared" si="1959"/>
      </c>
      <c r="BS180" s="99">
        <f t="shared" si="1959"/>
      </c>
      <c r="BT180" s="99">
        <f t="shared" si="1959"/>
      </c>
      <c r="BU180" s="462">
        <f t="shared" si="1959"/>
      </c>
      <c r="BV180" s="99">
        <f t="shared" si="1959"/>
      </c>
      <c r="BW180" s="99">
        <f t="shared" si="1959"/>
      </c>
      <c r="BX180" s="99">
        <f t="shared" si="1959"/>
      </c>
      <c r="BY180" s="462">
        <f>+BU180*(1+BY37)</f>
      </c>
      <c r="BZ180" s="99">
        <v>1198.6285714285705</v>
      </c>
      <c r="CA180" s="90">
        <f t="shared" ref="CA180:CI180" si="1960">+BW180*(1+CA37)</f>
      </c>
      <c r="CB180" s="90">
        <f t="shared" si="1960"/>
      </c>
      <c r="CC180" s="271">
        <f t="shared" si="1960"/>
      </c>
      <c r="CD180" s="90">
        <f t="shared" si="1960"/>
      </c>
      <c r="CE180" s="90">
        <f t="shared" si="1960"/>
      </c>
      <c r="CF180" s="90">
        <f t="shared" si="1960"/>
      </c>
      <c r="CG180" s="467">
        <f t="shared" si="1960"/>
      </c>
      <c r="CH180" s="495">
        <f t="shared" si="1960"/>
      </c>
      <c r="CI180" s="495">
        <f t="shared" si="1960"/>
      </c>
      <c r="CJ180" s="72"/>
      <c r="CK180" s="227"/>
      <c r="CL180" s="72"/>
      <c r="CM180" s="72"/>
      <c r="CN180" s="72"/>
      <c r="CO180" s="227"/>
      <c r="CP180" s="72"/>
      <c r="CQ180" s="72"/>
      <c r="CR180" s="72"/>
      <c r="CS180" s="227"/>
      <c r="CT180" s="72"/>
      <c r="CU180" s="72"/>
      <c r="CV180" s="72"/>
      <c r="CW180" s="227"/>
      <c r="CX180" s="72"/>
      <c r="CY180" s="72"/>
      <c r="CZ180" s="72"/>
      <c r="DA180" s="227"/>
      <c r="DB180" s="72"/>
      <c r="DC180" s="72"/>
      <c r="DD180" s="72"/>
      <c r="DE180" s="227"/>
      <c r="DF180" s="72"/>
      <c r="DG180" s="72"/>
      <c r="DH180" s="72"/>
      <c r="DI180" s="227"/>
      <c r="DJ180" s="141"/>
      <c r="DK180" s="72"/>
      <c r="DL180" s="72"/>
      <c r="DM180" s="227"/>
      <c r="DN180" s="72"/>
      <c r="DO180" s="72"/>
      <c r="DP180" s="72"/>
      <c r="DQ180" s="227"/>
      <c r="DR180" s="72"/>
      <c r="DS180" s="72"/>
      <c r="DT180" s="72"/>
      <c r="DU180" s="227"/>
      <c r="DV180" s="72"/>
      <c r="DW180" s="72"/>
      <c r="DX180" s="72"/>
      <c r="DY180" s="227"/>
      <c r="DZ180" s="72"/>
      <c r="EA180" s="72"/>
      <c r="EB180" s="72"/>
      <c r="EC180" s="227"/>
      <c r="ED180" s="72"/>
      <c r="EE180" s="72"/>
      <c r="EF180" s="72"/>
      <c r="EG180" s="227"/>
      <c r="EH180" s="72"/>
      <c r="EI180" s="72"/>
      <c r="EJ180" s="72"/>
      <c r="EK180" s="227"/>
      <c r="EY180" s="72"/>
      <c r="EZ180" s="72"/>
      <c r="FA180" s="72"/>
      <c r="FB180" s="72"/>
      <c r="FC180" s="72"/>
      <c r="FD180" s="72"/>
      <c r="FE180" s="90">
        <f>SUM(BV180:BY180)</f>
      </c>
      <c r="FF180" s="90">
        <f>SUM(BZ180:CC180)</f>
      </c>
      <c r="FG180" s="90">
        <f>SUM(CD180:CG180)</f>
      </c>
      <c r="FH180" s="90"/>
      <c r="FI180" s="90"/>
      <c r="FJ180" s="90"/>
      <c r="FK180" s="90"/>
      <c r="FL180" s="90"/>
      <c r="FM180" s="90"/>
      <c r="FN180" s="90"/>
      <c r="FO180" s="90"/>
      <c r="FP180" s="90"/>
      <c r="FQ180" s="90"/>
      <c r="FR180" s="90"/>
      <c r="FS180" s="90"/>
      <c r="FT180" s="90"/>
      <c r="FU180" s="90"/>
      <c r="GH180" s="72"/>
      <c r="GI180" s="72"/>
      <c r="GJ180" s="72"/>
      <c r="GK180" s="72"/>
      <c r="GL180" s="72"/>
      <c r="GM180" s="72"/>
      <c r="GN180" s="72"/>
      <c r="GO180" s="90">
        <f>SUM(BW180:BZ180)</f>
      </c>
      <c r="GP180" s="90">
        <f>SUM(CA180:CD180)</f>
      </c>
      <c r="GQ180" s="90">
        <f>SUM(CE180:CH180)</f>
      </c>
      <c r="GR180" s="90"/>
      <c r="GS180" s="90"/>
      <c r="GT180" s="90"/>
      <c r="GU180" s="90"/>
      <c r="GV180" s="90"/>
      <c r="GW180" s="90"/>
      <c r="GX180" s="90"/>
      <c r="GY180" s="90"/>
      <c r="GZ180" s="90"/>
      <c r="HA180" s="90"/>
      <c r="HB180" s="90"/>
      <c r="HC180" s="90"/>
      <c r="HD180" s="90"/>
    </row>
    <row r="181" spans="1:212" s="89" customFormat="1" ht="10.199999999999999" hidden="1" outlineLevel="1">
      <c r="A181" s="914" t="s">
        <v>88</v>
      </c>
      <c r="E181" s="260"/>
      <c r="I181" s="260"/>
      <c r="M181" s="260"/>
      <c r="Q181" s="260"/>
      <c r="U181" s="260"/>
      <c r="Y181" s="260"/>
      <c r="AC181" s="260"/>
      <c r="AG181" s="227"/>
      <c r="AH181" s="72"/>
      <c r="AI181" s="72"/>
      <c r="AJ181" s="72"/>
      <c r="AK181" s="227"/>
      <c r="AL181" s="72"/>
      <c r="AM181" s="72"/>
      <c r="AN181" s="72"/>
      <c r="AO181" s="227"/>
      <c r="AP181" s="72"/>
      <c r="AQ181" s="72"/>
      <c r="AR181" s="72"/>
      <c r="AS181" s="227"/>
      <c r="AT181" s="72"/>
      <c r="AU181" s="72"/>
      <c r="AV181" s="72"/>
      <c r="AW181" s="227"/>
      <c r="AX181" s="72"/>
      <c r="AY181" s="72"/>
      <c r="AZ181" s="72"/>
      <c r="BA181" s="227"/>
      <c r="BB181" s="72"/>
      <c r="BC181" s="72"/>
      <c r="BD181" s="72"/>
      <c r="BE181" s="227"/>
      <c r="BF181" s="72"/>
      <c r="BG181" s="72"/>
      <c r="BH181" s="72"/>
      <c r="BI181" s="227"/>
      <c r="BJ181" s="72"/>
      <c r="BK181" s="72"/>
      <c r="BL181" s="72"/>
      <c r="BM181" s="227"/>
      <c r="BN181" s="72"/>
      <c r="BO181" s="72"/>
      <c r="BP181" s="62"/>
      <c r="BQ181" s="267">
        <f t="shared" ref="BQ181:CI181" si="1961">+BQ180/BP180-1</f>
      </c>
      <c r="BR181" s="141">
        <f t="shared" si="1961"/>
      </c>
      <c r="BS181" s="141">
        <f t="shared" si="1961"/>
      </c>
      <c r="BT181" s="141">
        <f t="shared" si="1961"/>
      </c>
      <c r="BU181" s="267">
        <f t="shared" si="1961"/>
      </c>
      <c r="BV181" s="141">
        <f t="shared" si="1961"/>
      </c>
      <c r="BW181" s="141">
        <f t="shared" si="1961"/>
      </c>
      <c r="BX181" s="141">
        <f t="shared" si="1961"/>
      </c>
      <c r="BY181" s="267">
        <f t="shared" si="1961"/>
      </c>
      <c r="BZ181" s="141">
        <f t="shared" si="1961"/>
      </c>
      <c r="CA181" s="141">
        <f t="shared" si="1961"/>
      </c>
      <c r="CB181" s="141">
        <f t="shared" si="1961"/>
      </c>
      <c r="CC181" s="267">
        <f t="shared" si="1961"/>
      </c>
      <c r="CD181" s="141">
        <f t="shared" si="1961"/>
      </c>
      <c r="CE181" s="141">
        <f t="shared" si="1961"/>
      </c>
      <c r="CF181" s="141">
        <f t="shared" si="1961"/>
      </c>
      <c r="CG181" s="267">
        <f t="shared" si="1961"/>
      </c>
      <c r="CH181" s="141">
        <f t="shared" si="1961"/>
      </c>
      <c r="CI181" s="141">
        <f t="shared" si="1961"/>
      </c>
      <c r="CJ181" s="72"/>
      <c r="CK181" s="227"/>
      <c r="CL181" s="72"/>
      <c r="CM181" s="72"/>
      <c r="CN181" s="72"/>
      <c r="CO181" s="227"/>
      <c r="CP181" s="72"/>
      <c r="CQ181" s="72"/>
      <c r="CR181" s="72"/>
      <c r="CS181" s="227"/>
      <c r="CT181" s="72"/>
      <c r="CU181" s="72"/>
      <c r="CV181" s="72"/>
      <c r="CW181" s="227"/>
      <c r="CX181" s="72"/>
      <c r="CY181" s="72"/>
      <c r="CZ181" s="72"/>
      <c r="DA181" s="227"/>
      <c r="DB181" s="72"/>
      <c r="DC181" s="72"/>
      <c r="DD181" s="72"/>
      <c r="DE181" s="227"/>
      <c r="DF181" s="72"/>
      <c r="DG181" s="72"/>
      <c r="DH181" s="72"/>
      <c r="DI181" s="227"/>
      <c r="DJ181" s="141"/>
      <c r="DK181" s="72"/>
      <c r="DL181" s="72"/>
      <c r="DM181" s="227"/>
      <c r="DN181" s="72"/>
      <c r="DO181" s="72"/>
      <c r="DP181" s="72"/>
      <c r="DQ181" s="227"/>
      <c r="DR181" s="72"/>
      <c r="DS181" s="72"/>
      <c r="DT181" s="72"/>
      <c r="DU181" s="227"/>
      <c r="DV181" s="72"/>
      <c r="DW181" s="72"/>
      <c r="DX181" s="72"/>
      <c r="DY181" s="227"/>
      <c r="DZ181" s="72"/>
      <c r="EA181" s="72"/>
      <c r="EB181" s="72"/>
      <c r="EC181" s="227"/>
      <c r="ED181" s="72"/>
      <c r="EE181" s="72"/>
      <c r="EF181" s="72"/>
      <c r="EG181" s="227"/>
      <c r="EH181" s="72"/>
      <c r="EI181" s="72"/>
      <c r="EJ181" s="72"/>
      <c r="EK181" s="227"/>
      <c r="EY181" s="72"/>
      <c r="EZ181" s="72"/>
      <c r="FA181" s="72"/>
      <c r="FB181" s="72"/>
      <c r="FC181" s="72"/>
      <c r="FD181" s="72"/>
      <c r="FE181" s="72"/>
      <c r="FF181" s="72"/>
      <c r="FG181" s="72"/>
      <c r="FH181" s="72"/>
      <c r="FI181" s="72"/>
      <c r="FJ181" s="72"/>
      <c r="FK181" s="72"/>
      <c r="FL181" s="72"/>
      <c r="FM181" s="72"/>
      <c r="FN181" s="72"/>
      <c r="FO181" s="72"/>
      <c r="FP181" s="72"/>
      <c r="FQ181" s="72"/>
      <c r="FR181" s="72"/>
      <c r="FS181" s="72"/>
      <c r="FT181" s="72"/>
      <c r="FU181" s="72"/>
      <c r="GH181" s="72"/>
      <c r="GI181" s="72"/>
      <c r="GJ181" s="72"/>
      <c r="GK181" s="72"/>
      <c r="GL181" s="72"/>
      <c r="GM181" s="72"/>
      <c r="GN181" s="72"/>
      <c r="GO181" s="72"/>
      <c r="GP181" s="72"/>
      <c r="GQ181" s="72"/>
      <c r="GR181" s="72"/>
      <c r="GS181" s="72"/>
      <c r="GT181" s="72"/>
      <c r="GU181" s="72"/>
      <c r="GV181" s="72"/>
      <c r="GW181" s="72"/>
      <c r="GX181" s="72"/>
      <c r="GY181" s="72"/>
      <c r="GZ181" s="72"/>
      <c r="HA181" s="72"/>
      <c r="HB181" s="72"/>
      <c r="HC181" s="72"/>
      <c r="HD181" s="72"/>
    </row>
    <row r="182" spans="1:212" s="89" customFormat="1" ht="10.199999999999999" hidden="1" outlineLevel="1">
      <c r="A182" s="914" t="s">
        <v>821</v>
      </c>
      <c r="E182" s="260"/>
      <c r="I182" s="260"/>
      <c r="M182" s="260"/>
      <c r="Q182" s="260"/>
      <c r="U182" s="260"/>
      <c r="Y182" s="260"/>
      <c r="AC182" s="260"/>
      <c r="AG182" s="227"/>
      <c r="AH182" s="72"/>
      <c r="AI182" s="72"/>
      <c r="AJ182" s="72"/>
      <c r="AK182" s="227"/>
      <c r="AL182" s="72"/>
      <c r="AM182" s="72"/>
      <c r="AN182" s="72"/>
      <c r="AO182" s="227"/>
      <c r="AP182" s="72"/>
      <c r="AQ182" s="72"/>
      <c r="AR182" s="72"/>
      <c r="AS182" s="227"/>
      <c r="AT182" s="72"/>
      <c r="AU182" s="72"/>
      <c r="AV182" s="72"/>
      <c r="AW182" s="227"/>
      <c r="AX182" s="72"/>
      <c r="AY182" s="72"/>
      <c r="AZ182" s="72"/>
      <c r="BA182" s="227"/>
      <c r="BB182" s="72"/>
      <c r="BC182" s="72"/>
      <c r="BD182" s="72"/>
      <c r="BE182" s="227"/>
      <c r="BF182" s="72"/>
      <c r="BG182" s="72"/>
      <c r="BH182" s="72"/>
      <c r="BI182" s="227"/>
      <c r="BJ182" s="72"/>
      <c r="BK182" s="72"/>
      <c r="BL182" s="72"/>
      <c r="BM182" s="227"/>
      <c r="BN182" s="72"/>
      <c r="BO182" s="72"/>
      <c r="BP182" s="77"/>
      <c r="BQ182" s="192"/>
      <c r="BR182" s="77"/>
      <c r="BS182" s="62"/>
      <c r="BT182" s="62"/>
      <c r="BU182" s="226"/>
      <c r="BV182" s="77">
        <v>350</v>
      </c>
      <c r="BW182" s="77">
        <v>350</v>
      </c>
      <c r="BX182" s="77">
        <v>350</v>
      </c>
      <c r="BY182" s="192">
        <v>350</v>
      </c>
      <c r="BZ182" s="62">
        <f t="shared" ref="BZ182:CF182" si="1962">+BZ172-BZ85</f>
      </c>
      <c r="CA182" s="62">
        <f t="shared" si="1962"/>
      </c>
      <c r="CB182" s="62">
        <f t="shared" si="1962"/>
      </c>
      <c r="CC182" s="226">
        <f t="shared" si="1962"/>
      </c>
      <c r="CD182" s="62">
        <f t="shared" si="1962"/>
      </c>
      <c r="CE182" s="62">
        <f t="shared" si="1962"/>
      </c>
      <c r="CF182" s="62">
        <f t="shared" si="1962"/>
      </c>
      <c r="CG182" s="192">
        <v>200</v>
      </c>
      <c r="CH182" s="77">
        <v>300</v>
      </c>
      <c r="CI182" s="77">
        <v>225</v>
      </c>
      <c r="CJ182" s="72"/>
      <c r="CK182" s="227"/>
      <c r="CL182" s="72"/>
      <c r="CM182" s="72"/>
      <c r="CN182" s="72"/>
      <c r="CO182" s="227"/>
      <c r="CP182" s="72"/>
      <c r="CQ182" s="72"/>
      <c r="CR182" s="72"/>
      <c r="CS182" s="227"/>
      <c r="CT182" s="72"/>
      <c r="CU182" s="72"/>
      <c r="CV182" s="72"/>
      <c r="CW182" s="227"/>
      <c r="CX182" s="72"/>
      <c r="CY182" s="72"/>
      <c r="CZ182" s="72"/>
      <c r="DA182" s="227"/>
      <c r="DB182" s="72"/>
      <c r="DC182" s="72"/>
      <c r="DD182" s="72"/>
      <c r="DE182" s="227"/>
      <c r="DF182" s="72"/>
      <c r="DG182" s="72"/>
      <c r="DH182" s="72"/>
      <c r="DI182" s="227"/>
      <c r="DJ182" s="141"/>
      <c r="DK182" s="72"/>
      <c r="DL182" s="72"/>
      <c r="DM182" s="227"/>
      <c r="DN182" s="72"/>
      <c r="DO182" s="72"/>
      <c r="DP182" s="72"/>
      <c r="DQ182" s="227"/>
      <c r="DR182" s="72"/>
      <c r="DS182" s="72"/>
      <c r="DT182" s="72"/>
      <c r="DU182" s="227"/>
      <c r="DV182" s="72"/>
      <c r="DW182" s="72"/>
      <c r="DX182" s="72"/>
      <c r="DY182" s="227"/>
      <c r="DZ182" s="72"/>
      <c r="EA182" s="72"/>
      <c r="EB182" s="72"/>
      <c r="EC182" s="227"/>
      <c r="ED182" s="72"/>
      <c r="EE182" s="72"/>
      <c r="EF182" s="72"/>
      <c r="EG182" s="227"/>
      <c r="EH182" s="72"/>
      <c r="EI182" s="72"/>
      <c r="EJ182" s="72"/>
      <c r="EK182" s="227"/>
      <c r="EY182" s="72"/>
      <c r="EZ182" s="72"/>
      <c r="FA182" s="72"/>
      <c r="FB182" s="72"/>
      <c r="FC182" s="72"/>
      <c r="FD182" s="72"/>
      <c r="FE182" s="62">
        <f>SUM(BV182:BY182)</f>
      </c>
      <c r="FF182" s="62">
        <f>SUM(BZ182:CC182)</f>
      </c>
      <c r="FG182" s="62">
        <f>SUM(CD182:CG182)</f>
      </c>
      <c r="FH182" s="62"/>
      <c r="FI182" s="62"/>
      <c r="FJ182" s="62"/>
      <c r="FK182" s="62"/>
      <c r="FL182" s="62"/>
      <c r="FM182" s="62"/>
      <c r="FN182" s="62"/>
      <c r="FO182" s="62"/>
      <c r="FP182" s="62"/>
      <c r="FQ182" s="62"/>
      <c r="FR182" s="62"/>
      <c r="FS182" s="62"/>
      <c r="FT182" s="62"/>
      <c r="FU182" s="62"/>
      <c r="GH182" s="72"/>
      <c r="GI182" s="72"/>
      <c r="GJ182" s="72"/>
      <c r="GK182" s="72"/>
      <c r="GL182" s="72"/>
      <c r="GM182" s="72"/>
      <c r="GN182" s="72"/>
      <c r="GO182" s="62">
        <f>SUM(BW182:BZ182)</f>
      </c>
      <c r="GP182" s="62">
        <f>SUM(CA182:CD182)</f>
      </c>
      <c r="GQ182" s="62">
        <f>SUM(CE182:CH182)</f>
      </c>
      <c r="GR182" s="62"/>
      <c r="GS182" s="62"/>
      <c r="GT182" s="62"/>
      <c r="GU182" s="62"/>
      <c r="GV182" s="62"/>
      <c r="GW182" s="62"/>
      <c r="GX182" s="62"/>
      <c r="GY182" s="62"/>
      <c r="GZ182" s="62"/>
      <c r="HA182" s="62"/>
      <c r="HB182" s="62"/>
      <c r="HC182" s="62"/>
      <c r="HD182" s="62"/>
    </row>
    <row r="183" spans="1:212" s="89" customFormat="1" ht="10.199999999999999" hidden="1" outlineLevel="1">
      <c r="A183" s="911" t="s">
        <v>822</v>
      </c>
      <c r="B183" s="139"/>
      <c r="C183" s="139"/>
      <c r="D183" s="139"/>
      <c r="E183" s="262"/>
      <c r="F183" s="139"/>
      <c r="G183" s="139"/>
      <c r="H183" s="139"/>
      <c r="I183" s="262"/>
      <c r="J183" s="139"/>
      <c r="K183" s="139"/>
      <c r="L183" s="139"/>
      <c r="M183" s="262"/>
      <c r="N183" s="139"/>
      <c r="O183" s="139"/>
      <c r="P183" s="139"/>
      <c r="Q183" s="262"/>
      <c r="R183" s="139"/>
      <c r="S183" s="139"/>
      <c r="T183" s="139"/>
      <c r="U183" s="262"/>
      <c r="V183" s="139"/>
      <c r="W183" s="139"/>
      <c r="X183" s="139"/>
      <c r="Y183" s="262"/>
      <c r="Z183" s="139"/>
      <c r="AA183" s="139"/>
      <c r="AB183" s="139"/>
      <c r="AC183" s="262"/>
      <c r="AD183" s="139"/>
      <c r="AE183" s="139"/>
      <c r="AF183" s="139"/>
      <c r="AG183" s="265"/>
      <c r="AH183" s="84"/>
      <c r="AI183" s="84"/>
      <c r="AJ183" s="84"/>
      <c r="AK183" s="265"/>
      <c r="AL183" s="84"/>
      <c r="AM183" s="84"/>
      <c r="AN183" s="84"/>
      <c r="AO183" s="265"/>
      <c r="AP183" s="84"/>
      <c r="AQ183" s="84"/>
      <c r="AR183" s="84"/>
      <c r="AS183" s="265"/>
      <c r="AT183" s="84"/>
      <c r="AU183" s="84"/>
      <c r="AV183" s="84"/>
      <c r="AW183" s="265"/>
      <c r="AX183" s="84"/>
      <c r="AY183" s="84"/>
      <c r="AZ183" s="84"/>
      <c r="BA183" s="265"/>
      <c r="BB183" s="84"/>
      <c r="BC183" s="84"/>
      <c r="BD183" s="84"/>
      <c r="BE183" s="265"/>
      <c r="BF183" s="84"/>
      <c r="BG183" s="84"/>
      <c r="BH183" s="84"/>
      <c r="BI183" s="265"/>
      <c r="BJ183" s="84"/>
      <c r="BK183" s="84"/>
      <c r="BL183" s="84"/>
      <c r="BM183" s="265"/>
      <c r="BN183" s="84"/>
      <c r="BO183" s="84"/>
      <c r="BP183" s="90">
        <f t="shared" ref="BP183:CI183" si="1963">+BP179-BP180</f>
      </c>
      <c r="BQ183" s="271">
        <f t="shared" si="1963"/>
      </c>
      <c r="BR183" s="90">
        <f t="shared" si="1963"/>
      </c>
      <c r="BS183" s="90">
        <f t="shared" si="1963"/>
      </c>
      <c r="BT183" s="90">
        <f t="shared" si="1963"/>
      </c>
      <c r="BU183" s="271">
        <f t="shared" si="1963"/>
      </c>
      <c r="BV183" s="90">
        <f t="shared" si="1963"/>
      </c>
      <c r="BW183" s="90">
        <f t="shared" si="1963"/>
      </c>
      <c r="BX183" s="90">
        <f t="shared" si="1963"/>
      </c>
      <c r="BY183" s="271">
        <f t="shared" si="1963"/>
      </c>
      <c r="BZ183" s="90">
        <f t="shared" si="1963"/>
      </c>
      <c r="CA183" s="90">
        <f t="shared" si="1963"/>
      </c>
      <c r="CB183" s="90">
        <f t="shared" si="1963"/>
      </c>
      <c r="CC183" s="271">
        <f t="shared" si="1963"/>
      </c>
      <c r="CD183" s="90">
        <f t="shared" si="1963"/>
      </c>
      <c r="CE183" s="90">
        <f t="shared" si="1963"/>
      </c>
      <c r="CF183" s="90">
        <f t="shared" si="1963"/>
      </c>
      <c r="CG183" s="271">
        <f t="shared" si="1963"/>
      </c>
      <c r="CH183" s="90">
        <f t="shared" si="1963"/>
      </c>
      <c r="CI183" s="90">
        <f t="shared" si="1963"/>
      </c>
      <c r="CJ183" s="72"/>
      <c r="CK183" s="227"/>
      <c r="CL183" s="72"/>
      <c r="CM183" s="72"/>
      <c r="CN183" s="72"/>
      <c r="CO183" s="227"/>
      <c r="CP183" s="72"/>
      <c r="CQ183" s="72"/>
      <c r="CR183" s="72"/>
      <c r="CS183" s="227"/>
      <c r="CT183" s="72"/>
      <c r="CU183" s="72"/>
      <c r="CV183" s="72"/>
      <c r="CW183" s="227"/>
      <c r="CX183" s="72"/>
      <c r="CY183" s="72"/>
      <c r="CZ183" s="72"/>
      <c r="DA183" s="227"/>
      <c r="DB183" s="72"/>
      <c r="DC183" s="72"/>
      <c r="DD183" s="72"/>
      <c r="DE183" s="227"/>
      <c r="DF183" s="72"/>
      <c r="DG183" s="72"/>
      <c r="DH183" s="72"/>
      <c r="DI183" s="227"/>
      <c r="DJ183" s="141"/>
      <c r="DK183" s="72"/>
      <c r="DL183" s="72"/>
      <c r="DM183" s="227"/>
      <c r="DN183" s="72"/>
      <c r="DO183" s="72"/>
      <c r="DP183" s="72"/>
      <c r="DQ183" s="227"/>
      <c r="DR183" s="72"/>
      <c r="DS183" s="72"/>
      <c r="DT183" s="72"/>
      <c r="DU183" s="227"/>
      <c r="DV183" s="72"/>
      <c r="DW183" s="72"/>
      <c r="DX183" s="72"/>
      <c r="DY183" s="227"/>
      <c r="DZ183" s="72"/>
      <c r="EA183" s="72"/>
      <c r="EB183" s="72"/>
      <c r="EC183" s="227"/>
      <c r="ED183" s="72"/>
      <c r="EE183" s="72"/>
      <c r="EF183" s="72"/>
      <c r="EG183" s="227"/>
      <c r="EH183" s="72"/>
      <c r="EI183" s="72"/>
      <c r="EJ183" s="72"/>
      <c r="EK183" s="227"/>
      <c r="EY183" s="72"/>
      <c r="EZ183" s="72"/>
      <c r="FA183" s="72"/>
      <c r="FB183" s="72"/>
      <c r="FC183" s="72"/>
      <c r="FD183" s="72"/>
      <c r="FE183" s="90">
        <f>SUM(BV183:BY183)</f>
      </c>
      <c r="FF183" s="90">
        <f>SUM(BZ183:CC183)</f>
      </c>
      <c r="FG183" s="90">
        <f>SUM(CD183:CG183)</f>
      </c>
      <c r="FH183" s="90"/>
      <c r="FI183" s="90"/>
      <c r="FJ183" s="90"/>
      <c r="FK183" s="90"/>
      <c r="FL183" s="90"/>
      <c r="FM183" s="90"/>
      <c r="FN183" s="90"/>
      <c r="FO183" s="90"/>
      <c r="FP183" s="90"/>
      <c r="FQ183" s="90"/>
      <c r="FR183" s="90"/>
      <c r="FS183" s="90"/>
      <c r="FT183" s="90"/>
      <c r="FU183" s="90"/>
      <c r="GH183" s="72"/>
      <c r="GI183" s="72"/>
      <c r="GJ183" s="72"/>
      <c r="GK183" s="72"/>
      <c r="GL183" s="72"/>
      <c r="GM183" s="72"/>
      <c r="GN183" s="72"/>
      <c r="GO183" s="90">
        <f>SUM(BW183:BZ183)</f>
      </c>
      <c r="GP183" s="90">
        <f>SUM(CA183:CD183)</f>
      </c>
      <c r="GQ183" s="90">
        <f>SUM(CE183:CH183)</f>
      </c>
      <c r="GR183" s="90"/>
      <c r="GS183" s="90"/>
      <c r="GT183" s="90"/>
      <c r="GU183" s="90"/>
      <c r="GV183" s="90"/>
      <c r="GW183" s="90"/>
      <c r="GX183" s="90"/>
      <c r="GY183" s="90"/>
      <c r="GZ183" s="90"/>
      <c r="HA183" s="90"/>
      <c r="HB183" s="90"/>
      <c r="HC183" s="90"/>
      <c r="HD183" s="90"/>
    </row>
    <row r="184" spans="1:212" s="89" customFormat="1" ht="10.199999999999999" hidden="1" outlineLevel="1">
      <c r="A184" s="916" t="s">
        <v>824</v>
      </c>
      <c r="B184" s="138"/>
      <c r="C184" s="138"/>
      <c r="D184" s="138"/>
      <c r="E184" s="273"/>
      <c r="F184" s="138"/>
      <c r="G184" s="138"/>
      <c r="H184" s="138"/>
      <c r="I184" s="273"/>
      <c r="J184" s="138"/>
      <c r="K184" s="138"/>
      <c r="L184" s="138"/>
      <c r="M184" s="273"/>
      <c r="N184" s="138"/>
      <c r="O184" s="138"/>
      <c r="P184" s="138"/>
      <c r="Q184" s="273"/>
      <c r="R184" s="138"/>
      <c r="S184" s="138"/>
      <c r="T184" s="138"/>
      <c r="U184" s="273"/>
      <c r="V184" s="138"/>
      <c r="W184" s="138"/>
      <c r="X184" s="138"/>
      <c r="Y184" s="273"/>
      <c r="Z184" s="138"/>
      <c r="AA184" s="138"/>
      <c r="AB184" s="138"/>
      <c r="AC184" s="273"/>
      <c r="AD184" s="138"/>
      <c r="AE184" s="138"/>
      <c r="AF184" s="138"/>
      <c r="AG184" s="912"/>
      <c r="AH184" s="913"/>
      <c r="AI184" s="913"/>
      <c r="AJ184" s="913"/>
      <c r="AK184" s="912"/>
      <c r="AL184" s="913"/>
      <c r="AM184" s="913"/>
      <c r="AN184" s="913"/>
      <c r="AO184" s="912"/>
      <c r="AP184" s="913"/>
      <c r="AQ184" s="913"/>
      <c r="AR184" s="913"/>
      <c r="AS184" s="912"/>
      <c r="AT184" s="913"/>
      <c r="AU184" s="913"/>
      <c r="AV184" s="913"/>
      <c r="AW184" s="912"/>
      <c r="AX184" s="913"/>
      <c r="AY184" s="913"/>
      <c r="AZ184" s="913"/>
      <c r="BA184" s="912"/>
      <c r="BB184" s="913"/>
      <c r="BC184" s="913"/>
      <c r="BD184" s="913"/>
      <c r="BE184" s="912"/>
      <c r="BF184" s="913"/>
      <c r="BG184" s="913"/>
      <c r="BH184" s="913"/>
      <c r="BI184" s="912"/>
      <c r="BJ184" s="913"/>
      <c r="BK184" s="913"/>
      <c r="BL184" s="913"/>
      <c r="BM184" s="912"/>
      <c r="BN184" s="913"/>
      <c r="BO184" s="913"/>
      <c r="BP184" s="913"/>
      <c r="BQ184" s="912"/>
      <c r="BR184" s="913"/>
      <c r="BS184" s="913"/>
      <c r="BT184" s="913"/>
      <c r="BU184" s="912"/>
      <c r="BV184" s="913"/>
      <c r="BW184" s="913"/>
      <c r="BX184" s="913"/>
      <c r="BY184" s="912"/>
      <c r="BZ184" s="913"/>
      <c r="CA184" s="808">
        <v>0.5</v>
      </c>
      <c r="CB184" s="808">
        <v>1.5</v>
      </c>
      <c r="CC184" s="269">
        <v>2.5</v>
      </c>
      <c r="CD184" s="917">
        <v>5</v>
      </c>
      <c r="CE184" s="917">
        <v>10</v>
      </c>
      <c r="CF184" s="917">
        <v>10</v>
      </c>
      <c r="CG184" s="918">
        <v>15</v>
      </c>
      <c r="CH184" s="917">
        <v>30</v>
      </c>
      <c r="CI184" s="917">
        <v>55</v>
      </c>
      <c r="CJ184" s="72"/>
      <c r="CK184" s="227"/>
      <c r="CL184" s="72"/>
      <c r="CM184" s="72"/>
      <c r="CN184" s="72"/>
      <c r="CO184" s="227"/>
      <c r="CP184" s="72"/>
      <c r="CQ184" s="72"/>
      <c r="CR184" s="72"/>
      <c r="CS184" s="227"/>
      <c r="CT184" s="72"/>
      <c r="CU184" s="72"/>
      <c r="CV184" s="72"/>
      <c r="CW184" s="227"/>
      <c r="CX184" s="72"/>
      <c r="CY184" s="72"/>
      <c r="CZ184" s="72"/>
      <c r="DA184" s="227"/>
      <c r="DB184" s="72"/>
      <c r="DC184" s="72"/>
      <c r="DD184" s="72"/>
      <c r="DE184" s="227"/>
      <c r="DF184" s="72"/>
      <c r="DG184" s="72"/>
      <c r="DH184" s="72"/>
      <c r="DI184" s="227"/>
      <c r="DJ184" s="141"/>
      <c r="DK184" s="72"/>
      <c r="DL184" s="72"/>
      <c r="DM184" s="227"/>
      <c r="DN184" s="72"/>
      <c r="DO184" s="72"/>
      <c r="DP184" s="72"/>
      <c r="DQ184" s="227"/>
      <c r="DR184" s="72"/>
      <c r="DS184" s="72"/>
      <c r="DT184" s="72"/>
      <c r="DU184" s="227"/>
      <c r="DV184" s="72"/>
      <c r="DW184" s="72"/>
      <c r="DX184" s="72"/>
      <c r="DY184" s="227"/>
      <c r="DZ184" s="72"/>
      <c r="EA184" s="72"/>
      <c r="EB184" s="72"/>
      <c r="EC184" s="227"/>
      <c r="ED184" s="72"/>
      <c r="EE184" s="72"/>
      <c r="EF184" s="72"/>
      <c r="EG184" s="227"/>
      <c r="EH184" s="72"/>
      <c r="EI184" s="72"/>
      <c r="EJ184" s="72"/>
      <c r="EK184" s="227"/>
      <c r="EY184" s="72"/>
      <c r="EZ184" s="72"/>
      <c r="FA184" s="72"/>
      <c r="FB184" s="72"/>
      <c r="FC184" s="72"/>
      <c r="FD184" s="72"/>
      <c r="FE184" s="90">
        <f>SUM(BV184:BY184)</f>
      </c>
      <c r="FF184" s="90">
        <f>SUM(BZ184:CC184)</f>
      </c>
      <c r="FG184" s="90">
        <f>SUM(CD184:CG184)</f>
      </c>
      <c r="FH184" s="90"/>
      <c r="FI184" s="90"/>
      <c r="FJ184" s="90"/>
      <c r="FK184" s="90"/>
      <c r="FL184" s="90"/>
      <c r="FM184" s="90"/>
      <c r="FN184" s="90"/>
      <c r="FO184" s="90"/>
      <c r="FP184" s="90"/>
      <c r="FQ184" s="90"/>
      <c r="FR184" s="90"/>
      <c r="FS184" s="90"/>
      <c r="FT184" s="90"/>
      <c r="FU184" s="90"/>
      <c r="GH184" s="72"/>
      <c r="GI184" s="72"/>
      <c r="GJ184" s="72"/>
      <c r="GK184" s="72"/>
      <c r="GL184" s="72"/>
      <c r="GM184" s="72"/>
      <c r="GN184" s="72"/>
      <c r="GO184" s="90">
        <f>SUM(BW184:BZ184)</f>
      </c>
      <c r="GP184" s="90">
        <f>SUM(CA184:CD184)</f>
      </c>
      <c r="GQ184" s="90">
        <f>SUM(CE184:CH184)</f>
      </c>
      <c r="GR184" s="90"/>
      <c r="GS184" s="90"/>
      <c r="GT184" s="90"/>
      <c r="GU184" s="90"/>
      <c r="GV184" s="90"/>
      <c r="GW184" s="90"/>
      <c r="GX184" s="90"/>
      <c r="GY184" s="90"/>
      <c r="GZ184" s="90"/>
      <c r="HA184" s="90"/>
      <c r="HB184" s="90"/>
      <c r="HC184" s="90"/>
      <c r="HD184" s="90"/>
    </row>
    <row r="185" spans="1:212" s="89" customFormat="1" ht="10.199999999999999" hidden="1" outlineLevel="1">
      <c r="A185" s="916" t="s">
        <v>825</v>
      </c>
      <c r="B185" s="139"/>
      <c r="C185" s="139"/>
      <c r="D185" s="139"/>
      <c r="E185" s="262"/>
      <c r="F185" s="139"/>
      <c r="G185" s="139"/>
      <c r="H185" s="139"/>
      <c r="I185" s="262"/>
      <c r="J185" s="139"/>
      <c r="K185" s="139"/>
      <c r="L185" s="139"/>
      <c r="M185" s="262"/>
      <c r="N185" s="139"/>
      <c r="O185" s="139"/>
      <c r="P185" s="139"/>
      <c r="Q185" s="262"/>
      <c r="R185" s="139"/>
      <c r="S185" s="139"/>
      <c r="T185" s="139"/>
      <c r="U185" s="262"/>
      <c r="V185" s="139"/>
      <c r="W185" s="139"/>
      <c r="X185" s="139"/>
      <c r="Y185" s="262"/>
      <c r="Z185" s="139"/>
      <c r="AA185" s="139"/>
      <c r="AB185" s="139"/>
      <c r="AC185" s="262"/>
      <c r="AD185" s="139"/>
      <c r="AE185" s="139"/>
      <c r="AF185" s="139"/>
      <c r="AG185" s="265"/>
      <c r="AH185" s="84"/>
      <c r="AI185" s="84"/>
      <c r="AJ185" s="84"/>
      <c r="AK185" s="265"/>
      <c r="AL185" s="84"/>
      <c r="AM185" s="84"/>
      <c r="AN185" s="84"/>
      <c r="AO185" s="265"/>
      <c r="AP185" s="84"/>
      <c r="AQ185" s="84"/>
      <c r="AR185" s="84"/>
      <c r="AS185" s="265"/>
      <c r="AT185" s="84"/>
      <c r="AU185" s="84"/>
      <c r="AV185" s="84"/>
      <c r="AW185" s="265"/>
      <c r="AX185" s="84"/>
      <c r="AY185" s="84"/>
      <c r="AZ185" s="84"/>
      <c r="BA185" s="265"/>
      <c r="BB185" s="84"/>
      <c r="BC185" s="84"/>
      <c r="BD185" s="84"/>
      <c r="BE185" s="265"/>
      <c r="BF185" s="84"/>
      <c r="BG185" s="84"/>
      <c r="BH185" s="84"/>
      <c r="BI185" s="265"/>
      <c r="BJ185" s="84"/>
      <c r="BK185" s="84"/>
      <c r="BL185" s="84"/>
      <c r="BM185" s="265"/>
      <c r="BN185" s="84"/>
      <c r="BO185" s="84"/>
      <c r="BP185" s="84"/>
      <c r="BQ185" s="265"/>
      <c r="BR185" s="84"/>
      <c r="BS185" s="84"/>
      <c r="BT185" s="84"/>
      <c r="BU185" s="265"/>
      <c r="BV185" s="90">
        <f t="shared" ref="BV185:CB185" si="1964">+(BV21-BV179)-BV192</f>
      </c>
      <c r="BW185" s="90">
        <f t="shared" si="1964"/>
      </c>
      <c r="BX185" s="90">
        <f t="shared" si="1964"/>
      </c>
      <c r="BY185" s="271">
        <f t="shared" si="1964"/>
      </c>
      <c r="BZ185" s="90">
        <f t="shared" si="1964"/>
      </c>
      <c r="CA185" s="90">
        <f t="shared" si="1964"/>
      </c>
      <c r="CB185" s="90">
        <f t="shared" si="1964"/>
      </c>
      <c r="CC185" s="271">
        <f t="shared" ref="CC185:CI185" si="1965">+CC188*AVERAGE(CB191:CC191)</f>
      </c>
      <c r="CD185" s="90">
        <f t="shared" si="1965"/>
      </c>
      <c r="CE185" s="90">
        <f t="shared" si="1965"/>
      </c>
      <c r="CF185" s="90">
        <f t="shared" si="1965"/>
      </c>
      <c r="CG185" s="271">
        <f t="shared" si="1965"/>
      </c>
      <c r="CH185" s="90">
        <f t="shared" si="1965"/>
      </c>
      <c r="CI185" s="90">
        <f t="shared" si="1965"/>
      </c>
      <c r="CJ185" s="72"/>
      <c r="CK185" s="227"/>
      <c r="CL185" s="72"/>
      <c r="CM185" s="72"/>
      <c r="CN185" s="72"/>
      <c r="CO185" s="227"/>
      <c r="CP185" s="72"/>
      <c r="CQ185" s="72"/>
      <c r="CR185" s="72"/>
      <c r="CS185" s="227"/>
      <c r="CT185" s="72"/>
      <c r="CU185" s="72"/>
      <c r="CV185" s="72"/>
      <c r="CW185" s="227"/>
      <c r="CX185" s="72"/>
      <c r="CY185" s="72"/>
      <c r="CZ185" s="72"/>
      <c r="DA185" s="227"/>
      <c r="DB185" s="72"/>
      <c r="DC185" s="72"/>
      <c r="DD185" s="72"/>
      <c r="DE185" s="227"/>
      <c r="DF185" s="72"/>
      <c r="DG185" s="72"/>
      <c r="DH185" s="72"/>
      <c r="DI185" s="227"/>
      <c r="DJ185" s="141"/>
      <c r="DK185" s="72"/>
      <c r="DL185" s="72"/>
      <c r="DM185" s="227"/>
      <c r="DN185" s="72"/>
      <c r="DO185" s="72"/>
      <c r="DP185" s="72"/>
      <c r="DQ185" s="227"/>
      <c r="DR185" s="72"/>
      <c r="DS185" s="72"/>
      <c r="DT185" s="72"/>
      <c r="DU185" s="227"/>
      <c r="DV185" s="72"/>
      <c r="DW185" s="72"/>
      <c r="DX185" s="72"/>
      <c r="DY185" s="227"/>
      <c r="DZ185" s="72"/>
      <c r="EA185" s="72"/>
      <c r="EB185" s="72"/>
      <c r="EC185" s="227"/>
      <c r="ED185" s="72"/>
      <c r="EE185" s="72"/>
      <c r="EF185" s="72"/>
      <c r="EG185" s="227"/>
      <c r="EH185" s="72"/>
      <c r="EI185" s="72"/>
      <c r="EJ185" s="72"/>
      <c r="EK185" s="227"/>
      <c r="EY185" s="72"/>
      <c r="EZ185" s="72"/>
      <c r="FA185" s="72"/>
      <c r="FB185" s="72"/>
      <c r="FC185" s="72"/>
      <c r="FD185" s="72"/>
      <c r="FE185" s="90">
        <f>SUM(BV185:BY185)</f>
      </c>
      <c r="FF185" s="90">
        <f>SUM(BZ185:CC185)</f>
      </c>
      <c r="FG185" s="90">
        <f>SUM(CD185:CG185)</f>
      </c>
      <c r="FH185" s="90"/>
      <c r="FI185" s="90"/>
      <c r="FJ185" s="90"/>
      <c r="FK185" s="90"/>
      <c r="FL185" s="90"/>
      <c r="FM185" s="90"/>
      <c r="FN185" s="90"/>
      <c r="FO185" s="90"/>
      <c r="FP185" s="90"/>
      <c r="FQ185" s="90"/>
      <c r="FR185" s="90"/>
      <c r="FS185" s="90"/>
      <c r="FT185" s="90"/>
      <c r="FU185" s="90"/>
      <c r="GH185" s="72"/>
      <c r="GI185" s="72"/>
      <c r="GJ185" s="72"/>
      <c r="GK185" s="72"/>
      <c r="GL185" s="72"/>
      <c r="GM185" s="72"/>
      <c r="GN185" s="72"/>
      <c r="GO185" s="90">
        <f>SUM(BW185:BZ185)</f>
      </c>
      <c r="GP185" s="90">
        <f>SUM(CA185:CD185)</f>
      </c>
      <c r="GQ185" s="90">
        <f>SUM(CE185:CH185)</f>
      </c>
      <c r="GR185" s="90"/>
      <c r="GS185" s="90"/>
      <c r="GT185" s="90"/>
      <c r="GU185" s="90"/>
      <c r="GV185" s="90"/>
      <c r="GW185" s="90"/>
      <c r="GX185" s="90"/>
      <c r="GY185" s="90"/>
      <c r="GZ185" s="90"/>
      <c r="HA185" s="90"/>
      <c r="HB185" s="90"/>
      <c r="HC185" s="90"/>
      <c r="HD185" s="90"/>
    </row>
    <row r="186" spans="1:212" s="89" customFormat="1" ht="10.199999999999999" hidden="1" outlineLevel="1">
      <c r="A186" s="910" t="s">
        <v>64</v>
      </c>
      <c r="B186" s="139"/>
      <c r="C186" s="139"/>
      <c r="D186" s="139"/>
      <c r="E186" s="262"/>
      <c r="F186" s="139"/>
      <c r="G186" s="139"/>
      <c r="H186" s="139"/>
      <c r="I186" s="262"/>
      <c r="J186" s="139"/>
      <c r="K186" s="139"/>
      <c r="L186" s="139"/>
      <c r="M186" s="262"/>
      <c r="N186" s="139"/>
      <c r="O186" s="139"/>
      <c r="P186" s="139"/>
      <c r="Q186" s="262"/>
      <c r="R186" s="139"/>
      <c r="S186" s="139"/>
      <c r="T186" s="139"/>
      <c r="U186" s="262"/>
      <c r="V186" s="139"/>
      <c r="W186" s="139"/>
      <c r="X186" s="139"/>
      <c r="Y186" s="262"/>
      <c r="Z186" s="139"/>
      <c r="AA186" s="139"/>
      <c r="AB186" s="139"/>
      <c r="AC186" s="262"/>
      <c r="AD186" s="139"/>
      <c r="AE186" s="139"/>
      <c r="AF186" s="139"/>
      <c r="AG186" s="265"/>
      <c r="AH186" s="84"/>
      <c r="AI186" s="84"/>
      <c r="AJ186" s="84"/>
      <c r="AK186" s="265"/>
      <c r="AL186" s="84"/>
      <c r="AM186" s="84"/>
      <c r="AN186" s="84"/>
      <c r="AO186" s="265"/>
      <c r="AP186" s="84"/>
      <c r="AQ186" s="84"/>
      <c r="AR186" s="84"/>
      <c r="AS186" s="265"/>
      <c r="AT186" s="84"/>
      <c r="AU186" s="84"/>
      <c r="AV186" s="84"/>
      <c r="AW186" s="265"/>
      <c r="AX186" s="84"/>
      <c r="AY186" s="84"/>
      <c r="AZ186" s="84"/>
      <c r="BA186" s="265"/>
      <c r="BB186" s="84"/>
      <c r="BC186" s="84"/>
      <c r="BD186" s="84"/>
      <c r="BE186" s="265"/>
      <c r="BF186" s="84"/>
      <c r="BG186" s="84"/>
      <c r="BH186" s="84"/>
      <c r="BI186" s="265"/>
      <c r="BJ186" s="84"/>
      <c r="BK186" s="84"/>
      <c r="BL186" s="84"/>
      <c r="BM186" s="265"/>
      <c r="BN186" s="84"/>
      <c r="BO186" s="84"/>
      <c r="BP186" s="84"/>
      <c r="BQ186" s="265"/>
      <c r="BR186" s="84"/>
      <c r="BS186" s="84"/>
      <c r="BT186" s="84"/>
      <c r="BU186" s="265"/>
      <c r="BV186" s="84"/>
      <c r="BW186" s="141"/>
      <c r="BX186" s="141"/>
      <c r="BY186" s="267"/>
      <c r="BZ186" s="141">
        <f t="shared" ref="BZ186:CI186" si="1966">+BZ185/BV185-1</f>
      </c>
      <c r="CA186" s="141">
        <f t="shared" si="1966"/>
      </c>
      <c r="CB186" s="141">
        <f t="shared" si="1966"/>
      </c>
      <c r="CC186" s="267">
        <f t="shared" si="1966"/>
      </c>
      <c r="CD186" s="141">
        <f t="shared" si="1966"/>
      </c>
      <c r="CE186" s="141">
        <f t="shared" si="1966"/>
      </c>
      <c r="CF186" s="141">
        <f t="shared" si="1966"/>
      </c>
      <c r="CG186" s="267">
        <f t="shared" si="1966"/>
      </c>
      <c r="CH186" s="141">
        <f t="shared" si="1966"/>
      </c>
      <c r="CI186" s="141">
        <f t="shared" si="1966"/>
      </c>
      <c r="CJ186" s="72"/>
      <c r="CK186" s="227"/>
      <c r="CL186" s="72"/>
      <c r="CM186" s="72"/>
      <c r="CN186" s="72"/>
      <c r="CO186" s="227"/>
      <c r="CP186" s="72"/>
      <c r="CQ186" s="72"/>
      <c r="CR186" s="72"/>
      <c r="CS186" s="227"/>
      <c r="CT186" s="72"/>
      <c r="CU186" s="72"/>
      <c r="CV186" s="72"/>
      <c r="CW186" s="227"/>
      <c r="CX186" s="72"/>
      <c r="CY186" s="72"/>
      <c r="CZ186" s="72"/>
      <c r="DA186" s="227"/>
      <c r="DB186" s="72"/>
      <c r="DC186" s="72"/>
      <c r="DD186" s="72"/>
      <c r="DE186" s="227"/>
      <c r="DF186" s="72"/>
      <c r="DG186" s="72"/>
      <c r="DH186" s="72"/>
      <c r="DI186" s="227"/>
      <c r="DJ186" s="141"/>
      <c r="DK186" s="72"/>
      <c r="DL186" s="72"/>
      <c r="DM186" s="227"/>
      <c r="DN186" s="72"/>
      <c r="DO186" s="72"/>
      <c r="DP186" s="72"/>
      <c r="DQ186" s="227"/>
      <c r="DR186" s="72"/>
      <c r="DS186" s="72"/>
      <c r="DT186" s="72"/>
      <c r="DU186" s="227"/>
      <c r="DV186" s="72"/>
      <c r="DW186" s="72"/>
      <c r="DX186" s="72"/>
      <c r="DY186" s="227"/>
      <c r="DZ186" s="72"/>
      <c r="EA186" s="72"/>
      <c r="EB186" s="72"/>
      <c r="EC186" s="227"/>
      <c r="ED186" s="72"/>
      <c r="EE186" s="72"/>
      <c r="EF186" s="72"/>
      <c r="EG186" s="227"/>
      <c r="EH186" s="72"/>
      <c r="EI186" s="72"/>
      <c r="EJ186" s="72"/>
      <c r="EK186" s="227"/>
      <c r="EY186" s="72"/>
      <c r="EZ186" s="72"/>
      <c r="FA186" s="72"/>
      <c r="FB186" s="72"/>
      <c r="FC186" s="72"/>
      <c r="FD186" s="72"/>
      <c r="FE186" s="72"/>
      <c r="FF186" s="72">
        <f>+FF185/FE185-1</f>
      </c>
      <c r="FG186" s="72">
        <f>+FG185/FF185-1</f>
      </c>
      <c r="FH186" s="72"/>
      <c r="FI186" s="72"/>
      <c r="FJ186" s="72"/>
      <c r="FK186" s="72"/>
      <c r="FL186" s="72"/>
      <c r="FM186" s="72"/>
      <c r="FN186" s="72"/>
      <c r="FO186" s="72"/>
      <c r="FP186" s="72"/>
      <c r="FQ186" s="72"/>
      <c r="FR186" s="72"/>
      <c r="FS186" s="72"/>
      <c r="FT186" s="72"/>
      <c r="FU186" s="72"/>
      <c r="GH186" s="72"/>
      <c r="GI186" s="72"/>
      <c r="GJ186" s="72"/>
      <c r="GK186" s="72"/>
      <c r="GL186" s="72"/>
      <c r="GM186" s="72"/>
      <c r="GN186" s="72"/>
      <c r="GO186" s="72"/>
      <c r="GP186" s="72">
        <f>+GP185/GO185-1</f>
      </c>
      <c r="GQ186" s="72">
        <f>+GQ185/GP185-1</f>
      </c>
      <c r="GR186" s="72"/>
      <c r="GS186" s="72"/>
      <c r="GT186" s="72"/>
      <c r="GU186" s="72"/>
      <c r="GV186" s="72"/>
      <c r="GW186" s="72"/>
      <c r="GX186" s="72"/>
      <c r="GY186" s="72"/>
      <c r="GZ186" s="72"/>
      <c r="HA186" s="72"/>
      <c r="HB186" s="72"/>
      <c r="HC186" s="72"/>
      <c r="HD186" s="72"/>
    </row>
    <row r="187" spans="1:212" s="89" customFormat="1" ht="10.199999999999999" hidden="1" outlineLevel="1">
      <c r="A187" s="910" t="s">
        <v>65</v>
      </c>
      <c r="B187" s="139"/>
      <c r="C187" s="139"/>
      <c r="D187" s="139"/>
      <c r="E187" s="262"/>
      <c r="F187" s="139"/>
      <c r="G187" s="139"/>
      <c r="H187" s="139"/>
      <c r="I187" s="262"/>
      <c r="J187" s="139"/>
      <c r="K187" s="139"/>
      <c r="L187" s="139"/>
      <c r="M187" s="262"/>
      <c r="N187" s="139"/>
      <c r="O187" s="139"/>
      <c r="P187" s="139"/>
      <c r="Q187" s="262"/>
      <c r="R187" s="139"/>
      <c r="S187" s="139"/>
      <c r="T187" s="139"/>
      <c r="U187" s="262"/>
      <c r="V187" s="139"/>
      <c r="W187" s="139"/>
      <c r="X187" s="139"/>
      <c r="Y187" s="262"/>
      <c r="Z187" s="139"/>
      <c r="AA187" s="139"/>
      <c r="AB187" s="139"/>
      <c r="AC187" s="262"/>
      <c r="AD187" s="139"/>
      <c r="AE187" s="139"/>
      <c r="AF187" s="139"/>
      <c r="AG187" s="265"/>
      <c r="AH187" s="84"/>
      <c r="AI187" s="84"/>
      <c r="AJ187" s="84"/>
      <c r="AK187" s="265"/>
      <c r="AL187" s="84"/>
      <c r="AM187" s="84"/>
      <c r="AN187" s="84"/>
      <c r="AO187" s="265"/>
      <c r="AP187" s="84"/>
      <c r="AQ187" s="84"/>
      <c r="AR187" s="84"/>
      <c r="AS187" s="265"/>
      <c r="AT187" s="84"/>
      <c r="AU187" s="84"/>
      <c r="AV187" s="84"/>
      <c r="AW187" s="265"/>
      <c r="AX187" s="84"/>
      <c r="AY187" s="84"/>
      <c r="AZ187" s="84"/>
      <c r="BA187" s="265"/>
      <c r="BB187" s="84"/>
      <c r="BC187" s="84"/>
      <c r="BD187" s="84"/>
      <c r="BE187" s="265"/>
      <c r="BF187" s="84"/>
      <c r="BG187" s="84"/>
      <c r="BH187" s="84"/>
      <c r="BI187" s="265"/>
      <c r="BJ187" s="84"/>
      <c r="BK187" s="84"/>
      <c r="BL187" s="84"/>
      <c r="BM187" s="265"/>
      <c r="BN187" s="84"/>
      <c r="BO187" s="84"/>
      <c r="BP187" s="84"/>
      <c r="BQ187" s="265"/>
      <c r="BR187" s="84"/>
      <c r="BS187" s="84"/>
      <c r="BT187" s="84"/>
      <c r="BU187" s="265"/>
      <c r="BV187" s="84"/>
      <c r="BW187" s="141">
        <f t="shared" ref="BW187:CI187" si="1967">+BW185/BV185-1</f>
      </c>
      <c r="BX187" s="141">
        <f t="shared" si="1967"/>
      </c>
      <c r="BY187" s="267">
        <f t="shared" si="1967"/>
      </c>
      <c r="BZ187" s="141">
        <f t="shared" si="1967"/>
      </c>
      <c r="CA187" s="141">
        <f t="shared" si="1967"/>
      </c>
      <c r="CB187" s="141">
        <f t="shared" si="1967"/>
      </c>
      <c r="CC187" s="267">
        <f t="shared" si="1967"/>
      </c>
      <c r="CD187" s="141">
        <f t="shared" si="1967"/>
      </c>
      <c r="CE187" s="141">
        <f t="shared" si="1967"/>
      </c>
      <c r="CF187" s="141">
        <f t="shared" si="1967"/>
      </c>
      <c r="CG187" s="267">
        <f t="shared" si="1967"/>
      </c>
      <c r="CH187" s="141">
        <f t="shared" si="1967"/>
      </c>
      <c r="CI187" s="141">
        <f t="shared" si="1967"/>
      </c>
      <c r="CJ187" s="72"/>
      <c r="CK187" s="227"/>
      <c r="CL187" s="72"/>
      <c r="CM187" s="72"/>
      <c r="CN187" s="72"/>
      <c r="CO187" s="227"/>
      <c r="CP187" s="72"/>
      <c r="CQ187" s="72"/>
      <c r="CR187" s="72"/>
      <c r="CS187" s="227"/>
      <c r="CT187" s="72"/>
      <c r="CU187" s="72"/>
      <c r="CV187" s="72"/>
      <c r="CW187" s="227"/>
      <c r="CX187" s="72"/>
      <c r="CY187" s="72"/>
      <c r="CZ187" s="72"/>
      <c r="DA187" s="227"/>
      <c r="DB187" s="72"/>
      <c r="DC187" s="72"/>
      <c r="DD187" s="72"/>
      <c r="DE187" s="227"/>
      <c r="DF187" s="72"/>
      <c r="DG187" s="72"/>
      <c r="DH187" s="72"/>
      <c r="DI187" s="227"/>
      <c r="DJ187" s="141"/>
      <c r="DK187" s="72"/>
      <c r="DL187" s="72"/>
      <c r="DM187" s="227"/>
      <c r="DN187" s="72"/>
      <c r="DO187" s="72"/>
      <c r="DP187" s="72"/>
      <c r="DQ187" s="227"/>
      <c r="DR187" s="72"/>
      <c r="DS187" s="72"/>
      <c r="DT187" s="72"/>
      <c r="DU187" s="227"/>
      <c r="DV187" s="72"/>
      <c r="DW187" s="72"/>
      <c r="DX187" s="72"/>
      <c r="DY187" s="227"/>
      <c r="DZ187" s="72"/>
      <c r="EA187" s="72"/>
      <c r="EB187" s="72"/>
      <c r="EC187" s="227"/>
      <c r="ED187" s="72"/>
      <c r="EE187" s="72"/>
      <c r="EF187" s="72"/>
      <c r="EG187" s="227"/>
      <c r="EH187" s="72"/>
      <c r="EI187" s="72"/>
      <c r="EJ187" s="72"/>
      <c r="EK187" s="227"/>
      <c r="EY187" s="72"/>
      <c r="EZ187" s="72"/>
      <c r="FA187" s="72"/>
      <c r="FB187" s="72"/>
      <c r="FC187" s="72"/>
      <c r="FD187" s="72"/>
      <c r="FE187" s="72"/>
      <c r="FF187" s="72"/>
      <c r="FG187" s="72"/>
      <c r="FH187" s="72"/>
      <c r="FI187" s="72"/>
      <c r="FJ187" s="72"/>
      <c r="FK187" s="72"/>
      <c r="FL187" s="72"/>
      <c r="FM187" s="72"/>
      <c r="FN187" s="72"/>
      <c r="FO187" s="72"/>
      <c r="FP187" s="72"/>
      <c r="FQ187" s="72"/>
      <c r="FR187" s="72"/>
      <c r="FS187" s="72"/>
      <c r="FT187" s="72"/>
      <c r="FU187" s="72"/>
      <c r="GH187" s="72"/>
      <c r="GI187" s="72"/>
      <c r="GJ187" s="72"/>
      <c r="GK187" s="72"/>
      <c r="GL187" s="72"/>
      <c r="GM187" s="72"/>
      <c r="GN187" s="72"/>
      <c r="GO187" s="72"/>
      <c r="GP187" s="72"/>
      <c r="GQ187" s="72"/>
      <c r="GR187" s="72"/>
      <c r="GS187" s="72"/>
      <c r="GT187" s="72"/>
      <c r="GU187" s="72"/>
      <c r="GV187" s="72"/>
      <c r="GW187" s="72"/>
      <c r="GX187" s="72"/>
      <c r="GY187" s="72"/>
      <c r="GZ187" s="72"/>
      <c r="HA187" s="72"/>
      <c r="HB187" s="72"/>
      <c r="HC187" s="72"/>
      <c r="HD187" s="72"/>
    </row>
    <row r="188" spans="1:212" s="89" customFormat="1" ht="10.199999999999999" hidden="1" outlineLevel="1">
      <c r="A188" s="910" t="s">
        <v>826</v>
      </c>
      <c r="B188" s="139"/>
      <c r="C188" s="139"/>
      <c r="D188" s="139"/>
      <c r="E188" s="262"/>
      <c r="F188" s="139"/>
      <c r="G188" s="139"/>
      <c r="H188" s="139"/>
      <c r="I188" s="262"/>
      <c r="J188" s="139"/>
      <c r="K188" s="139"/>
      <c r="L188" s="139"/>
      <c r="M188" s="262"/>
      <c r="N188" s="139"/>
      <c r="O188" s="139"/>
      <c r="P188" s="139"/>
      <c r="Q188" s="262"/>
      <c r="R188" s="139"/>
      <c r="S188" s="139"/>
      <c r="T188" s="139"/>
      <c r="U188" s="262"/>
      <c r="V188" s="139"/>
      <c r="W188" s="139"/>
      <c r="X188" s="139"/>
      <c r="Y188" s="262"/>
      <c r="Z188" s="139"/>
      <c r="AA188" s="139"/>
      <c r="AB188" s="139"/>
      <c r="AC188" s="262"/>
      <c r="AD188" s="139"/>
      <c r="AE188" s="139"/>
      <c r="AF188" s="139"/>
      <c r="AG188" s="265"/>
      <c r="AH188" s="84"/>
      <c r="AI188" s="84"/>
      <c r="AJ188" s="84"/>
      <c r="AK188" s="265"/>
      <c r="AL188" s="84"/>
      <c r="AM188" s="84"/>
      <c r="AN188" s="84"/>
      <c r="AO188" s="265"/>
      <c r="AP188" s="84"/>
      <c r="AQ188" s="84"/>
      <c r="AR188" s="84"/>
      <c r="AS188" s="265"/>
      <c r="AT188" s="84"/>
      <c r="AU188" s="84"/>
      <c r="AV188" s="84"/>
      <c r="AW188" s="265"/>
      <c r="AX188" s="84"/>
      <c r="AY188" s="84"/>
      <c r="AZ188" s="84"/>
      <c r="BA188" s="265"/>
      <c r="BB188" s="84"/>
      <c r="BC188" s="84"/>
      <c r="BD188" s="84"/>
      <c r="BE188" s="265"/>
      <c r="BF188" s="84"/>
      <c r="BG188" s="84"/>
      <c r="BH188" s="84"/>
      <c r="BI188" s="265"/>
      <c r="BJ188" s="84"/>
      <c r="BK188" s="84"/>
      <c r="BL188" s="84"/>
      <c r="BM188" s="265"/>
      <c r="BN188" s="84"/>
      <c r="BO188" s="84"/>
      <c r="BP188" s="84"/>
      <c r="BQ188" s="265"/>
      <c r="BR188" s="84"/>
      <c r="BS188" s="84"/>
      <c r="BT188" s="84"/>
      <c r="BU188" s="265"/>
      <c r="BV188" s="361">
        <f t="shared" ref="BV188:CB188" si="1968">+BV185/AVERAGE(BU191:BV191)</f>
      </c>
      <c r="BW188" s="361">
        <f t="shared" si="1968"/>
      </c>
      <c r="BX188" s="361">
        <f t="shared" si="1968"/>
      </c>
      <c r="BY188" s="421">
        <f t="shared" si="1968"/>
      </c>
      <c r="BZ188" s="361">
        <f t="shared" si="1968"/>
      </c>
      <c r="CA188" s="361">
        <f t="shared" si="1968"/>
      </c>
      <c r="CB188" s="361">
        <f t="shared" si="1968"/>
      </c>
      <c r="CC188" s="421">
        <f t="shared" ref="CC188:CI188" si="1969">+CB188*(1+CC190)</f>
      </c>
      <c r="CD188" s="361">
        <f t="shared" si="1969"/>
      </c>
      <c r="CE188" s="361">
        <f t="shared" si="1969"/>
      </c>
      <c r="CF188" s="361">
        <f t="shared" si="1969"/>
      </c>
      <c r="CG188" s="421">
        <f t="shared" si="1969"/>
      </c>
      <c r="CH188" s="361">
        <f t="shared" si="1969"/>
      </c>
      <c r="CI188" s="361">
        <f t="shared" si="1969"/>
      </c>
      <c r="CJ188" s="72"/>
      <c r="CK188" s="227"/>
      <c r="CL188" s="72"/>
      <c r="CM188" s="72"/>
      <c r="CN188" s="72"/>
      <c r="CO188" s="227"/>
      <c r="CP188" s="72"/>
      <c r="CQ188" s="72"/>
      <c r="CR188" s="72"/>
      <c r="CS188" s="227"/>
      <c r="CT188" s="72"/>
      <c r="CU188" s="72"/>
      <c r="CV188" s="72"/>
      <c r="CW188" s="227"/>
      <c r="CX188" s="72"/>
      <c r="CY188" s="72"/>
      <c r="CZ188" s="72"/>
      <c r="DA188" s="227"/>
      <c r="DB188" s="72"/>
      <c r="DC188" s="72"/>
      <c r="DD188" s="72"/>
      <c r="DE188" s="227"/>
      <c r="DF188" s="72"/>
      <c r="DG188" s="72"/>
      <c r="DH188" s="72"/>
      <c r="DI188" s="227"/>
      <c r="DJ188" s="141"/>
      <c r="DK188" s="72"/>
      <c r="DL188" s="72"/>
      <c r="DM188" s="227"/>
      <c r="DN188" s="72"/>
      <c r="DO188" s="72"/>
      <c r="DP188" s="72"/>
      <c r="DQ188" s="227"/>
      <c r="DR188" s="72"/>
      <c r="DS188" s="72"/>
      <c r="DT188" s="72"/>
      <c r="DU188" s="227"/>
      <c r="DV188" s="72"/>
      <c r="DW188" s="72"/>
      <c r="DX188" s="72"/>
      <c r="DY188" s="227"/>
      <c r="DZ188" s="72"/>
      <c r="EA188" s="72"/>
      <c r="EB188" s="72"/>
      <c r="EC188" s="227"/>
      <c r="ED188" s="72"/>
      <c r="EE188" s="72"/>
      <c r="EF188" s="72"/>
      <c r="EG188" s="227"/>
      <c r="EH188" s="72"/>
      <c r="EI188" s="72"/>
      <c r="EJ188" s="72"/>
      <c r="EK188" s="227"/>
      <c r="EY188" s="72"/>
      <c r="EZ188" s="72"/>
      <c r="FA188" s="72"/>
      <c r="FB188" s="72"/>
      <c r="FC188" s="72"/>
      <c r="FD188" s="72"/>
      <c r="FE188" s="361">
        <f>+FE185/AVERAGE(FD191:FE191)</f>
      </c>
      <c r="FF188" s="361">
        <f>+FF185/AVERAGE(FE191:FF191)</f>
      </c>
      <c r="FG188" s="361">
        <f>+FG185/AVERAGE(FF191:FG191)</f>
      </c>
      <c r="FH188" s="72"/>
      <c r="FI188" s="72"/>
      <c r="FJ188" s="72"/>
      <c r="FK188" s="72"/>
      <c r="FL188" s="72"/>
      <c r="FM188" s="72"/>
      <c r="FN188" s="72"/>
      <c r="FO188" s="72"/>
      <c r="FP188" s="72"/>
      <c r="FQ188" s="72"/>
      <c r="FR188" s="72"/>
      <c r="FS188" s="72"/>
      <c r="FT188" s="72"/>
      <c r="FU188" s="72"/>
      <c r="GH188" s="72"/>
      <c r="GI188" s="72"/>
      <c r="GJ188" s="72"/>
      <c r="GK188" s="72"/>
      <c r="GL188" s="72"/>
      <c r="GM188" s="72"/>
      <c r="GN188" s="72"/>
      <c r="GO188" s="361">
        <f>+GO185/AVERAGE(GN191:GO191)</f>
      </c>
      <c r="GP188" s="361">
        <f>+GP185/AVERAGE(GO191:GP191)</f>
      </c>
      <c r="GQ188" s="361">
        <f>+GQ185/AVERAGE(GP191:GQ191)</f>
      </c>
      <c r="GR188" s="72"/>
      <c r="GS188" s="72"/>
      <c r="GT188" s="72"/>
      <c r="GU188" s="72"/>
      <c r="GV188" s="72"/>
      <c r="GW188" s="72"/>
      <c r="GX188" s="72"/>
      <c r="GY188" s="72"/>
      <c r="GZ188" s="72"/>
      <c r="HA188" s="72"/>
      <c r="HB188" s="72"/>
      <c r="HC188" s="72"/>
      <c r="HD188" s="72"/>
    </row>
    <row r="189" spans="1:212" s="89" customFormat="1" ht="10.199999999999999" hidden="1" outlineLevel="1">
      <c r="A189" s="910" t="s">
        <v>64</v>
      </c>
      <c r="B189" s="139"/>
      <c r="C189" s="139"/>
      <c r="D189" s="139"/>
      <c r="E189" s="262"/>
      <c r="F189" s="139"/>
      <c r="G189" s="139"/>
      <c r="H189" s="139"/>
      <c r="I189" s="262"/>
      <c r="J189" s="139"/>
      <c r="K189" s="139"/>
      <c r="L189" s="139"/>
      <c r="M189" s="262"/>
      <c r="N189" s="139"/>
      <c r="O189" s="139"/>
      <c r="P189" s="139"/>
      <c r="Q189" s="262"/>
      <c r="R189" s="139"/>
      <c r="S189" s="139"/>
      <c r="T189" s="139"/>
      <c r="U189" s="262"/>
      <c r="V189" s="139"/>
      <c r="W189" s="139"/>
      <c r="X189" s="139"/>
      <c r="Y189" s="262"/>
      <c r="Z189" s="139"/>
      <c r="AA189" s="139"/>
      <c r="AB189" s="139"/>
      <c r="AC189" s="262"/>
      <c r="AD189" s="139"/>
      <c r="AE189" s="139"/>
      <c r="AF189" s="139"/>
      <c r="AG189" s="265"/>
      <c r="AH189" s="84"/>
      <c r="AI189" s="84"/>
      <c r="AJ189" s="84"/>
      <c r="AK189" s="265"/>
      <c r="AL189" s="84"/>
      <c r="AM189" s="84"/>
      <c r="AN189" s="84"/>
      <c r="AO189" s="265"/>
      <c r="AP189" s="84"/>
      <c r="AQ189" s="84"/>
      <c r="AR189" s="84"/>
      <c r="AS189" s="265"/>
      <c r="AT189" s="84"/>
      <c r="AU189" s="84"/>
      <c r="AV189" s="84"/>
      <c r="AW189" s="265"/>
      <c r="AX189" s="84"/>
      <c r="AY189" s="84"/>
      <c r="AZ189" s="84"/>
      <c r="BA189" s="265"/>
      <c r="BB189" s="84"/>
      <c r="BC189" s="84"/>
      <c r="BD189" s="84"/>
      <c r="BE189" s="265"/>
      <c r="BF189" s="84"/>
      <c r="BG189" s="84"/>
      <c r="BH189" s="84"/>
      <c r="BI189" s="265"/>
      <c r="BJ189" s="84"/>
      <c r="BK189" s="84"/>
      <c r="BL189" s="84"/>
      <c r="BM189" s="265"/>
      <c r="BN189" s="84"/>
      <c r="BO189" s="84"/>
      <c r="BP189" s="84"/>
      <c r="BQ189" s="265"/>
      <c r="BR189" s="84"/>
      <c r="BS189" s="84"/>
      <c r="BT189" s="84"/>
      <c r="BU189" s="265"/>
      <c r="BV189" s="141"/>
      <c r="BW189" s="141"/>
      <c r="BX189" s="141"/>
      <c r="BY189" s="267"/>
      <c r="BZ189" s="141">
        <f t="shared" ref="BZ189:CI189" si="1970">+BZ188/BV188-1</f>
      </c>
      <c r="CA189" s="141">
        <f t="shared" si="1970"/>
      </c>
      <c r="CB189" s="141">
        <f t="shared" si="1970"/>
      </c>
      <c r="CC189" s="267">
        <f t="shared" si="1970"/>
      </c>
      <c r="CD189" s="141">
        <f t="shared" si="1970"/>
      </c>
      <c r="CE189" s="141">
        <f t="shared" si="1970"/>
      </c>
      <c r="CF189" s="141">
        <f t="shared" si="1970"/>
      </c>
      <c r="CG189" s="267">
        <f t="shared" si="1970"/>
      </c>
      <c r="CH189" s="141">
        <f t="shared" si="1970"/>
      </c>
      <c r="CI189" s="141">
        <f t="shared" si="1970"/>
      </c>
      <c r="CJ189" s="72"/>
      <c r="CK189" s="227"/>
      <c r="CL189" s="72"/>
      <c r="CM189" s="72"/>
      <c r="CN189" s="72"/>
      <c r="CO189" s="227"/>
      <c r="CP189" s="72"/>
      <c r="CQ189" s="72"/>
      <c r="CR189" s="72"/>
      <c r="CS189" s="227"/>
      <c r="CT189" s="72"/>
      <c r="CU189" s="72"/>
      <c r="CV189" s="72"/>
      <c r="CW189" s="227"/>
      <c r="CX189" s="72"/>
      <c r="CY189" s="72"/>
      <c r="CZ189" s="72"/>
      <c r="DA189" s="227"/>
      <c r="DB189" s="72"/>
      <c r="DC189" s="72"/>
      <c r="DD189" s="72"/>
      <c r="DE189" s="227"/>
      <c r="DF189" s="72"/>
      <c r="DG189" s="72"/>
      <c r="DH189" s="72"/>
      <c r="DI189" s="227"/>
      <c r="DJ189" s="141"/>
      <c r="DK189" s="72"/>
      <c r="DL189" s="72"/>
      <c r="DM189" s="227"/>
      <c r="DN189" s="72"/>
      <c r="DO189" s="72"/>
      <c r="DP189" s="72"/>
      <c r="DQ189" s="227"/>
      <c r="DR189" s="72"/>
      <c r="DS189" s="72"/>
      <c r="DT189" s="72"/>
      <c r="DU189" s="227"/>
      <c r="DV189" s="72"/>
      <c r="DW189" s="72"/>
      <c r="DX189" s="72"/>
      <c r="DY189" s="227"/>
      <c r="DZ189" s="72"/>
      <c r="EA189" s="72"/>
      <c r="EB189" s="72"/>
      <c r="EC189" s="227"/>
      <c r="ED189" s="72"/>
      <c r="EE189" s="72"/>
      <c r="EF189" s="72"/>
      <c r="EG189" s="227"/>
      <c r="EH189" s="72"/>
      <c r="EI189" s="72"/>
      <c r="EJ189" s="72"/>
      <c r="EK189" s="227"/>
      <c r="EY189" s="72"/>
      <c r="EZ189" s="72"/>
      <c r="FA189" s="72"/>
      <c r="FB189" s="72"/>
      <c r="FC189" s="72"/>
      <c r="FD189" s="72"/>
      <c r="FE189" s="72"/>
      <c r="FF189" s="72"/>
      <c r="FG189" s="72"/>
      <c r="FH189" s="72"/>
      <c r="FI189" s="72"/>
      <c r="FJ189" s="72"/>
      <c r="FK189" s="72"/>
      <c r="FL189" s="72"/>
      <c r="FM189" s="72"/>
      <c r="FN189" s="72"/>
      <c r="FO189" s="72"/>
      <c r="FP189" s="72"/>
      <c r="FQ189" s="72"/>
      <c r="FR189" s="72"/>
      <c r="FS189" s="72"/>
      <c r="FT189" s="72"/>
      <c r="FU189" s="72"/>
      <c r="GH189" s="72"/>
      <c r="GI189" s="72"/>
      <c r="GJ189" s="72"/>
      <c r="GK189" s="72"/>
      <c r="GL189" s="72"/>
      <c r="GM189" s="72"/>
      <c r="GN189" s="72"/>
      <c r="GO189" s="72"/>
      <c r="GP189" s="72"/>
      <c r="GQ189" s="72"/>
      <c r="GR189" s="72"/>
      <c r="GS189" s="72"/>
      <c r="GT189" s="72"/>
      <c r="GU189" s="72"/>
      <c r="GV189" s="72"/>
      <c r="GW189" s="72"/>
      <c r="GX189" s="72"/>
      <c r="GY189" s="72"/>
      <c r="GZ189" s="72"/>
      <c r="HA189" s="72"/>
      <c r="HB189" s="72"/>
      <c r="HC189" s="72"/>
      <c r="HD189" s="72"/>
    </row>
    <row r="190" spans="1:212" s="89" customFormat="1" ht="10.199999999999999" hidden="1" outlineLevel="1">
      <c r="A190" s="910" t="s">
        <v>65</v>
      </c>
      <c r="B190" s="139"/>
      <c r="C190" s="139"/>
      <c r="D190" s="139"/>
      <c r="E190" s="262"/>
      <c r="F190" s="139"/>
      <c r="G190" s="139"/>
      <c r="H190" s="139"/>
      <c r="I190" s="262"/>
      <c r="J190" s="139"/>
      <c r="K190" s="139"/>
      <c r="L190" s="139"/>
      <c r="M190" s="262"/>
      <c r="N190" s="139"/>
      <c r="O190" s="139"/>
      <c r="P190" s="139"/>
      <c r="Q190" s="262"/>
      <c r="R190" s="139"/>
      <c r="S190" s="139"/>
      <c r="T190" s="139"/>
      <c r="U190" s="262"/>
      <c r="V190" s="139"/>
      <c r="W190" s="139"/>
      <c r="X190" s="139"/>
      <c r="Y190" s="262"/>
      <c r="Z190" s="139"/>
      <c r="AA190" s="139"/>
      <c r="AB190" s="139"/>
      <c r="AC190" s="262"/>
      <c r="AD190" s="139"/>
      <c r="AE190" s="139"/>
      <c r="AF190" s="139"/>
      <c r="AG190" s="265"/>
      <c r="AH190" s="84"/>
      <c r="AI190" s="84"/>
      <c r="AJ190" s="84"/>
      <c r="AK190" s="265"/>
      <c r="AL190" s="84"/>
      <c r="AM190" s="84"/>
      <c r="AN190" s="84"/>
      <c r="AO190" s="265"/>
      <c r="AP190" s="84"/>
      <c r="AQ190" s="84"/>
      <c r="AR190" s="84"/>
      <c r="AS190" s="265"/>
      <c r="AT190" s="84"/>
      <c r="AU190" s="84"/>
      <c r="AV190" s="84"/>
      <c r="AW190" s="265"/>
      <c r="AX190" s="84"/>
      <c r="AY190" s="84"/>
      <c r="AZ190" s="84"/>
      <c r="BA190" s="265"/>
      <c r="BB190" s="84"/>
      <c r="BC190" s="84"/>
      <c r="BD190" s="84"/>
      <c r="BE190" s="265"/>
      <c r="BF190" s="84"/>
      <c r="BG190" s="84"/>
      <c r="BH190" s="84"/>
      <c r="BI190" s="265"/>
      <c r="BJ190" s="84"/>
      <c r="BK190" s="84"/>
      <c r="BL190" s="84"/>
      <c r="BM190" s="265"/>
      <c r="BN190" s="84"/>
      <c r="BO190" s="84"/>
      <c r="BP190" s="84"/>
      <c r="BQ190" s="265"/>
      <c r="BR190" s="84"/>
      <c r="BS190" s="84"/>
      <c r="BT190" s="84"/>
      <c r="BU190" s="265"/>
      <c r="BV190" s="141"/>
      <c r="BW190" s="141">
        <f t="shared" ref="BW190:CB190" si="1971">+BW188/BV188-1</f>
      </c>
      <c r="BX190" s="141">
        <f t="shared" si="1971"/>
      </c>
      <c r="BY190" s="267">
        <f t="shared" si="1971"/>
      </c>
      <c r="BZ190" s="141">
        <f t="shared" si="1971"/>
      </c>
      <c r="CA190" s="141">
        <f t="shared" si="1971"/>
      </c>
      <c r="CB190" s="141">
        <f t="shared" si="1971"/>
      </c>
      <c r="CC190" s="264">
        <v>0.05</v>
      </c>
      <c r="CD190" s="493">
        <v>0.15</v>
      </c>
      <c r="CE190" s="493">
        <v>-0.05</v>
      </c>
      <c r="CF190" s="493">
        <v>0.05</v>
      </c>
      <c r="CG190" s="264">
        <v>0.05</v>
      </c>
      <c r="CH190" s="493">
        <v>0.05</v>
      </c>
      <c r="CI190" s="493">
        <v>0.05</v>
      </c>
      <c r="CJ190" s="72"/>
      <c r="CK190" s="227"/>
      <c r="CL190" s="72"/>
      <c r="CM190" s="72"/>
      <c r="CN190" s="72"/>
      <c r="CO190" s="227"/>
      <c r="CP190" s="72"/>
      <c r="CQ190" s="72"/>
      <c r="CR190" s="72"/>
      <c r="CS190" s="227"/>
      <c r="CT190" s="72"/>
      <c r="CU190" s="72"/>
      <c r="CV190" s="72"/>
      <c r="CW190" s="227"/>
      <c r="CX190" s="72"/>
      <c r="CY190" s="72"/>
      <c r="CZ190" s="72"/>
      <c r="DA190" s="227"/>
      <c r="DB190" s="72"/>
      <c r="DC190" s="72"/>
      <c r="DD190" s="72"/>
      <c r="DE190" s="227"/>
      <c r="DF190" s="72"/>
      <c r="DG190" s="72"/>
      <c r="DH190" s="72"/>
      <c r="DI190" s="227"/>
      <c r="DJ190" s="141"/>
      <c r="DK190" s="72"/>
      <c r="DL190" s="72"/>
      <c r="DM190" s="227"/>
      <c r="DN190" s="72"/>
      <c r="DO190" s="72"/>
      <c r="DP190" s="72"/>
      <c r="DQ190" s="227"/>
      <c r="DR190" s="72"/>
      <c r="DS190" s="72"/>
      <c r="DT190" s="72"/>
      <c r="DU190" s="227"/>
      <c r="DV190" s="72"/>
      <c r="DW190" s="72"/>
      <c r="DX190" s="72"/>
      <c r="DY190" s="227"/>
      <c r="DZ190" s="72"/>
      <c r="EA190" s="72"/>
      <c r="EB190" s="72"/>
      <c r="EC190" s="227"/>
      <c r="ED190" s="72"/>
      <c r="EE190" s="72"/>
      <c r="EF190" s="72"/>
      <c r="EG190" s="227"/>
      <c r="EH190" s="72"/>
      <c r="EI190" s="72"/>
      <c r="EJ190" s="72"/>
      <c r="EK190" s="227"/>
      <c r="EY190" s="72"/>
      <c r="EZ190" s="72"/>
      <c r="FA190" s="72"/>
      <c r="FB190" s="72"/>
      <c r="FC190" s="72"/>
      <c r="FD190" s="72"/>
      <c r="FE190" s="72"/>
      <c r="FF190" s="72"/>
      <c r="FG190" s="72"/>
      <c r="FH190" s="72"/>
      <c r="FI190" s="72"/>
      <c r="FJ190" s="72"/>
      <c r="FK190" s="72"/>
      <c r="FL190" s="72"/>
      <c r="FM190" s="72"/>
      <c r="FN190" s="72"/>
      <c r="FO190" s="72"/>
      <c r="FP190" s="72"/>
      <c r="FQ190" s="72"/>
      <c r="FR190" s="72"/>
      <c r="FS190" s="72"/>
      <c r="FT190" s="72"/>
      <c r="FU190" s="72"/>
      <c r="GH190" s="72"/>
      <c r="GI190" s="72"/>
      <c r="GJ190" s="72"/>
      <c r="GK190" s="72"/>
      <c r="GL190" s="72"/>
      <c r="GM190" s="72"/>
      <c r="GN190" s="72"/>
      <c r="GO190" s="72"/>
      <c r="GP190" s="72"/>
      <c r="GQ190" s="72"/>
      <c r="GR190" s="72"/>
      <c r="GS190" s="72"/>
      <c r="GT190" s="72"/>
      <c r="GU190" s="72"/>
      <c r="GV190" s="72"/>
      <c r="GW190" s="72"/>
      <c r="GX190" s="72"/>
      <c r="GY190" s="72"/>
      <c r="GZ190" s="72"/>
      <c r="HA190" s="72"/>
      <c r="HB190" s="72"/>
      <c r="HC190" s="72"/>
      <c r="HD190" s="72"/>
    </row>
    <row r="191" spans="1:212" s="89" customFormat="1" ht="10.199999999999999" hidden="1" outlineLevel="1">
      <c r="A191" s="915" t="s">
        <v>827</v>
      </c>
      <c r="B191" s="137"/>
      <c r="C191" s="137"/>
      <c r="D191" s="137"/>
      <c r="E191" s="860"/>
      <c r="F191" s="137"/>
      <c r="G191" s="137"/>
      <c r="H191" s="137"/>
      <c r="I191" s="860"/>
      <c r="J191" s="137"/>
      <c r="K191" s="77">
        <v>1.25</v>
      </c>
      <c r="L191" s="77">
        <v>1.8940000000000001</v>
      </c>
      <c r="M191" s="192">
        <v>2.7280000000000002</v>
      </c>
      <c r="N191" s="77">
        <v>3.6720000000000002</v>
      </c>
      <c r="O191" s="77">
        <v>4.4990000000000006</v>
      </c>
      <c r="P191" s="77">
        <v>5.4040000000000008</v>
      </c>
      <c r="Q191" s="192">
        <v>6.176000000000001</v>
      </c>
      <c r="R191" s="77">
        <v>7.5530000000000008</v>
      </c>
      <c r="S191" s="77">
        <v>8.5960000000000001</v>
      </c>
      <c r="T191" s="77">
        <v>9.6120000000000001</v>
      </c>
      <c r="U191" s="192">
        <v>10.734</v>
      </c>
      <c r="V191" s="77">
        <v>11.393000000000001</v>
      </c>
      <c r="W191" s="77">
        <v>12.144</v>
      </c>
      <c r="X191" s="77">
        <v>12.971</v>
      </c>
      <c r="Y191" s="192">
        <v>13.821</v>
      </c>
      <c r="Z191" s="77">
        <v>14.697000000000001</v>
      </c>
      <c r="AA191" s="77">
        <v>15.567</v>
      </c>
      <c r="AB191" s="77">
        <v>16.429000000000002</v>
      </c>
      <c r="AC191" s="192">
        <v>17.303000000000004</v>
      </c>
      <c r="AD191" s="77">
        <v>18.265000000000004</v>
      </c>
      <c r="AE191" s="77">
        <v>17.803999999999998</v>
      </c>
      <c r="AF191" s="77">
        <v>18.234999999999999</v>
      </c>
      <c r="AG191" s="192">
        <v>18.524000000000001</v>
      </c>
      <c r="AH191" s="77">
        <v>19.142000000000003</v>
      </c>
      <c r="AI191" s="77">
        <v>19.871000000000002</v>
      </c>
      <c r="AJ191" s="77">
        <v>20.572000000000006</v>
      </c>
      <c r="AK191" s="192">
        <v>22.595000000000002</v>
      </c>
      <c r="AL191" s="77">
        <v>26.790000000000003</v>
      </c>
      <c r="AM191" s="77">
        <v>31.988000000000003</v>
      </c>
      <c r="AN191" s="77">
        <v>38.69</v>
      </c>
      <c r="AO191" s="192">
        <v>45.255000000000003</v>
      </c>
      <c r="AP191" s="77">
        <v>59.763000000000005</v>
      </c>
      <c r="AQ191" s="77">
        <v>68.593000000000004</v>
      </c>
      <c r="AR191" s="77">
        <v>77.150000000000006</v>
      </c>
      <c r="AS191" s="192">
        <v>86.498999999999995</v>
      </c>
      <c r="AT191" s="77">
        <v>108.20600000000002</v>
      </c>
      <c r="AU191" s="77">
        <v>119.381</v>
      </c>
      <c r="AV191" s="77">
        <v>130.11799999999999</v>
      </c>
      <c r="AW191" s="192">
        <v>142.53100000000001</v>
      </c>
      <c r="AX191" s="77">
        <v>167.81</v>
      </c>
      <c r="AY191" s="77">
        <v>180.928</v>
      </c>
      <c r="AZ191" s="77">
        <v>193.515593</v>
      </c>
      <c r="BA191" s="192">
        <v>210.931070385</v>
      </c>
      <c r="BB191" s="77">
        <v>234.69247792152498</v>
      </c>
      <c r="BC191" s="77">
        <v>244.87458445921334</v>
      </c>
      <c r="BD191" s="77">
        <v>254.69318939166052</v>
      </c>
      <c r="BE191" s="192">
        <v>265.63937045249446</v>
      </c>
      <c r="BF191" s="77">
        <v>280.75523340724504</v>
      </c>
      <c r="BG191" s="77">
        <v>290.25781006652051</v>
      </c>
      <c r="BH191" s="77">
        <v>301.33025500953585</v>
      </c>
      <c r="BI191" s="192">
        <v>317.7477069584869</v>
      </c>
      <c r="BJ191" s="77">
        <v>336.97818272784582</v>
      </c>
      <c r="BK191" s="77">
        <v>354.72251354142196</v>
      </c>
      <c r="BL191" s="77">
        <v>376.68073961957265</v>
      </c>
      <c r="BM191" s="192">
        <v>395.31788195951754</v>
      </c>
      <c r="BN191" s="77">
        <v>434.38707958984912</v>
      </c>
      <c r="BO191" s="77">
        <v>467.02312667578605</v>
      </c>
      <c r="BP191" s="77">
        <v>492.66816612147704</v>
      </c>
      <c r="BQ191" s="192">
        <v>514.10925234647891</v>
      </c>
      <c r="BR191" s="77">
        <v>557.96304008367338</v>
      </c>
      <c r="BS191" s="77">
        <v>590.3541617947202</v>
      </c>
      <c r="BT191" s="77">
        <v>609.24575348268513</v>
      </c>
      <c r="BU191" s="192">
        <v>628.90044786003796</v>
      </c>
      <c r="BV191" s="77">
        <v>676.10488927053507</v>
      </c>
      <c r="BW191" s="77">
        <v>718.65885903190213</v>
      </c>
      <c r="BX191" s="77">
        <v>739.37027602741375</v>
      </c>
      <c r="BY191" s="192">
        <v>768.52157946576892</v>
      </c>
      <c r="BZ191" s="77">
        <v>808.22746097628738</v>
      </c>
      <c r="CA191" s="77">
        <v>864.86785545063901</v>
      </c>
      <c r="CB191" s="77">
        <v>900.80549670179823</v>
      </c>
      <c r="CC191" s="192">
        <v>945.95543507383161</v>
      </c>
      <c r="CD191" s="77">
        <v>1003.4049507485157</v>
      </c>
      <c r="CE191" s="77">
        <v>1038.882545124563</v>
      </c>
      <c r="CF191" s="77">
        <v>1065.7717728973835</v>
      </c>
      <c r="CG191" s="192">
        <v>1089.9110129520514</v>
      </c>
      <c r="CH191" s="77">
        <v>1111.6587763556477</v>
      </c>
      <c r="CI191" s="77">
        <v>1139.2939783507443</v>
      </c>
      <c r="CJ191" s="72"/>
      <c r="CK191" s="227"/>
      <c r="CL191" s="72"/>
      <c r="CM191" s="72"/>
      <c r="CN191" s="72"/>
      <c r="CO191" s="227"/>
      <c r="CP191" s="72"/>
      <c r="CQ191" s="72"/>
      <c r="CR191" s="72"/>
      <c r="CS191" s="227"/>
      <c r="CT191" s="72"/>
      <c r="CU191" s="72"/>
      <c r="CV191" s="72"/>
      <c r="CW191" s="227"/>
      <c r="CX191" s="72"/>
      <c r="CY191" s="72"/>
      <c r="CZ191" s="72"/>
      <c r="DA191" s="227"/>
      <c r="DB191" s="72"/>
      <c r="DC191" s="72"/>
      <c r="DD191" s="72"/>
      <c r="DE191" s="227"/>
      <c r="DF191" s="72"/>
      <c r="DG191" s="72"/>
      <c r="DH191" s="72"/>
      <c r="DI191" s="227"/>
      <c r="DJ191" s="141"/>
      <c r="DK191" s="72"/>
      <c r="DL191" s="72"/>
      <c r="DM191" s="227"/>
      <c r="DN191" s="72"/>
      <c r="DO191" s="72"/>
      <c r="DP191" s="72"/>
      <c r="DQ191" s="227"/>
      <c r="DR191" s="72"/>
      <c r="DS191" s="72"/>
      <c r="DT191" s="72"/>
      <c r="DU191" s="227"/>
      <c r="DV191" s="72"/>
      <c r="DW191" s="72"/>
      <c r="DX191" s="72"/>
      <c r="DY191" s="227"/>
      <c r="DZ191" s="72"/>
      <c r="EA191" s="72"/>
      <c r="EB191" s="72"/>
      <c r="EC191" s="227"/>
      <c r="ED191" s="72"/>
      <c r="EE191" s="72"/>
      <c r="EF191" s="72"/>
      <c r="EG191" s="227"/>
      <c r="EH191" s="72"/>
      <c r="EI191" s="72"/>
      <c r="EJ191" s="72"/>
      <c r="EK191" s="227"/>
      <c r="EY191" s="72"/>
      <c r="EZ191" s="72"/>
      <c r="FA191" s="72"/>
      <c r="FB191" s="72"/>
      <c r="FC191" s="72"/>
      <c r="FD191" s="62">
        <f>+BU191</f>
      </c>
      <c r="FE191" s="62">
        <f>+BY191</f>
      </c>
      <c r="FF191" s="62">
        <f>+CC191</f>
      </c>
      <c r="FG191" s="62">
        <f>+CG191</f>
      </c>
      <c r="FH191" s="62"/>
      <c r="FI191" s="62"/>
      <c r="FJ191" s="62"/>
      <c r="FK191" s="62"/>
      <c r="FL191" s="62"/>
      <c r="FM191" s="62"/>
      <c r="FN191" s="62"/>
      <c r="FO191" s="62"/>
      <c r="FP191" s="62"/>
      <c r="FQ191" s="62"/>
      <c r="FR191" s="62"/>
      <c r="FS191" s="62"/>
      <c r="FT191" s="62"/>
      <c r="FU191" s="62"/>
      <c r="GH191" s="72"/>
      <c r="GI191" s="72"/>
      <c r="GJ191" s="72"/>
      <c r="GK191" s="72"/>
      <c r="GL191" s="72"/>
      <c r="GM191" s="72"/>
      <c r="GN191" s="62">
        <f>+BV191</f>
      </c>
      <c r="GO191" s="62">
        <f>+BZ191</f>
      </c>
      <c r="GP191" s="62">
        <f>+CD191</f>
      </c>
      <c r="GQ191" s="62">
        <f>+CH191</f>
      </c>
      <c r="GR191" s="62"/>
      <c r="GS191" s="62"/>
      <c r="GT191" s="62"/>
      <c r="GU191" s="62"/>
      <c r="GV191" s="62"/>
      <c r="GW191" s="62"/>
      <c r="GX191" s="62"/>
      <c r="GY191" s="62"/>
      <c r="GZ191" s="62"/>
      <c r="HA191" s="62"/>
      <c r="HB191" s="62"/>
      <c r="HC191" s="62"/>
      <c r="HD191" s="62"/>
    </row>
    <row r="192" spans="1:212" s="139" customFormat="1" ht="10.199999999999999" hidden="1" outlineLevel="1">
      <c r="A192" s="148" t="s">
        <v>828</v>
      </c>
      <c r="E192" s="262"/>
      <c r="I192" s="262"/>
      <c r="M192" s="262"/>
      <c r="Q192" s="262"/>
      <c r="U192" s="262"/>
      <c r="Y192" s="262"/>
      <c r="AC192" s="262"/>
      <c r="AF192" s="84"/>
      <c r="AG192" s="265"/>
      <c r="AH192" s="84"/>
      <c r="AI192" s="84"/>
      <c r="AJ192" s="84"/>
      <c r="AK192" s="265"/>
      <c r="AL192" s="84"/>
      <c r="AM192" s="84"/>
      <c r="AN192" s="84"/>
      <c r="AO192" s="265"/>
      <c r="AP192" s="84"/>
      <c r="AQ192" s="84"/>
      <c r="AR192" s="84"/>
      <c r="AS192" s="265"/>
      <c r="AT192" s="84"/>
      <c r="AU192" s="84"/>
      <c r="AV192" s="84"/>
      <c r="AW192" s="265"/>
      <c r="AX192" s="84"/>
      <c r="AY192" s="84"/>
      <c r="AZ192" s="84"/>
      <c r="BA192" s="265"/>
      <c r="BB192" s="84"/>
      <c r="BC192" s="84"/>
      <c r="BD192" s="84"/>
      <c r="BE192" s="265"/>
      <c r="BF192" s="84"/>
      <c r="BG192" s="84"/>
      <c r="BH192" s="84"/>
      <c r="BI192" s="265"/>
      <c r="BJ192" s="84"/>
      <c r="BK192" s="84"/>
      <c r="BL192" s="84"/>
      <c r="BM192" s="265"/>
      <c r="BN192" s="84"/>
      <c r="BO192" s="84"/>
      <c r="BP192" s="84"/>
      <c r="BQ192" s="265"/>
      <c r="BR192" s="84"/>
      <c r="BS192" s="84"/>
      <c r="BT192" s="84"/>
      <c r="BU192" s="265"/>
      <c r="BV192" s="2063">
        <f t="shared" ref="BV192:CF192" si="1972">+BV21-BV171-BV19-BV16</f>
      </c>
      <c r="BW192" s="2063">
        <f t="shared" si="1972"/>
      </c>
      <c r="BX192" s="2063">
        <f t="shared" si="1972"/>
      </c>
      <c r="BY192" s="2064">
        <f t="shared" si="1972"/>
      </c>
      <c r="BZ192" s="2063">
        <f t="shared" si="1972"/>
      </c>
      <c r="CA192" s="2063">
        <f t="shared" si="1972"/>
      </c>
      <c r="CB192" s="2063">
        <f t="shared" si="1972"/>
      </c>
      <c r="CC192" s="2064">
        <f t="shared" si="1972"/>
      </c>
      <c r="CD192" s="90">
        <f t="shared" si="1972"/>
      </c>
      <c r="CE192" s="90">
        <f t="shared" si="1972"/>
      </c>
      <c r="CF192" s="90">
        <f t="shared" si="1972"/>
      </c>
      <c r="CG192" s="2072">
        <f>CG195*SUM('Segment - Products'!CG11:CG13)</f>
      </c>
      <c r="CH192" s="90"/>
      <c r="CI192" s="90"/>
      <c r="CJ192" s="84"/>
      <c r="CK192" s="265"/>
      <c r="CL192" s="84"/>
      <c r="CM192" s="84"/>
      <c r="CN192" s="84"/>
      <c r="CO192" s="265"/>
      <c r="CP192" s="84"/>
      <c r="CQ192" s="84"/>
      <c r="CR192" s="84"/>
      <c r="CS192" s="265"/>
      <c r="CT192" s="84"/>
      <c r="CU192" s="84"/>
      <c r="CV192" s="84"/>
      <c r="CW192" s="265"/>
      <c r="CX192" s="84"/>
      <c r="CY192" s="84"/>
      <c r="CZ192" s="84"/>
      <c r="DA192" s="265"/>
      <c r="DB192" s="84"/>
      <c r="DC192" s="84"/>
      <c r="DD192" s="84"/>
      <c r="DE192" s="265"/>
      <c r="DF192" s="84"/>
      <c r="DG192" s="84"/>
      <c r="DH192" s="84"/>
      <c r="DI192" s="265"/>
      <c r="DJ192" s="141"/>
      <c r="DK192" s="84"/>
      <c r="DL192" s="84"/>
      <c r="DM192" s="265"/>
      <c r="DN192" s="84"/>
      <c r="DO192" s="84"/>
      <c r="DP192" s="84"/>
      <c r="DQ192" s="265"/>
      <c r="DR192" s="84"/>
      <c r="DS192" s="84"/>
      <c r="DT192" s="84"/>
      <c r="DU192" s="265"/>
      <c r="DV192" s="84"/>
      <c r="DW192" s="84"/>
      <c r="DX192" s="84"/>
      <c r="DY192" s="265"/>
      <c r="DZ192" s="84"/>
      <c r="EA192" s="84"/>
      <c r="EB192" s="84"/>
      <c r="EC192" s="265"/>
      <c r="ED192" s="84"/>
      <c r="EE192" s="84"/>
      <c r="EF192" s="84"/>
      <c r="EG192" s="265"/>
      <c r="EH192" s="84"/>
      <c r="EI192" s="84"/>
      <c r="EJ192" s="84"/>
      <c r="EK192" s="265"/>
      <c r="EY192" s="84"/>
      <c r="EZ192" s="84"/>
      <c r="FA192" s="84"/>
      <c r="FB192" s="84"/>
      <c r="FC192" s="84"/>
      <c r="FD192" s="84"/>
      <c r="FE192" s="90">
        <f>SUM(BV192:BY192)</f>
      </c>
      <c r="FF192" s="90">
        <f>SUM(BZ192:CC192)</f>
      </c>
      <c r="FG192" s="90">
        <f>SUM(CD192:CG192)</f>
      </c>
      <c r="FH192" s="90"/>
      <c r="FI192" s="90"/>
      <c r="FJ192" s="90"/>
      <c r="FK192" s="90"/>
      <c r="FL192" s="90"/>
      <c r="FM192" s="90"/>
      <c r="FN192" s="90"/>
      <c r="FO192" s="90"/>
      <c r="FP192" s="90"/>
      <c r="FQ192" s="90"/>
      <c r="FR192" s="90"/>
      <c r="FS192" s="90"/>
      <c r="FT192" s="90"/>
      <c r="FU192" s="90"/>
      <c r="GH192" s="84"/>
      <c r="GI192" s="84"/>
      <c r="GJ192" s="84"/>
      <c r="GK192" s="84"/>
      <c r="GL192" s="84"/>
      <c r="GM192" s="84"/>
      <c r="GN192" s="84"/>
      <c r="GO192" s="90">
        <f>SUM(BW192:BZ192)</f>
      </c>
      <c r="GP192" s="90">
        <f>SUM(CA192:CD192)</f>
      </c>
      <c r="GQ192" s="90">
        <f>SUM(CE192:CH192)</f>
      </c>
      <c r="GR192" s="90"/>
      <c r="GS192" s="90"/>
      <c r="GT192" s="90"/>
      <c r="GU192" s="90"/>
      <c r="GV192" s="90"/>
      <c r="GW192" s="90"/>
      <c r="GX192" s="90"/>
      <c r="GY192" s="90"/>
      <c r="GZ192" s="90"/>
      <c r="HA192" s="90"/>
      <c r="HB192" s="90"/>
      <c r="HC192" s="90"/>
      <c r="HD192" s="90"/>
    </row>
    <row r="193" spans="1:212" s="139" customFormat="1" ht="10.199999999999999" hidden="1" outlineLevel="1">
      <c r="A193" s="152" t="s">
        <v>87</v>
      </c>
      <c r="E193" s="262"/>
      <c r="I193" s="262"/>
      <c r="M193" s="262"/>
      <c r="Q193" s="262"/>
      <c r="U193" s="262"/>
      <c r="Y193" s="262"/>
      <c r="AC193" s="262"/>
      <c r="AF193" s="84"/>
      <c r="AG193" s="265"/>
      <c r="AH193" s="84"/>
      <c r="AI193" s="84"/>
      <c r="AJ193" s="84"/>
      <c r="AK193" s="265"/>
      <c r="AL193" s="84"/>
      <c r="AM193" s="84"/>
      <c r="AN193" s="84"/>
      <c r="AO193" s="265"/>
      <c r="AP193" s="84"/>
      <c r="AQ193" s="84"/>
      <c r="AR193" s="84"/>
      <c r="AS193" s="265"/>
      <c r="AT193" s="84"/>
      <c r="AU193" s="84"/>
      <c r="AV193" s="84"/>
      <c r="AW193" s="265"/>
      <c r="AX193" s="84"/>
      <c r="AY193" s="84"/>
      <c r="AZ193" s="84"/>
      <c r="BA193" s="265"/>
      <c r="BB193" s="84"/>
      <c r="BC193" s="84"/>
      <c r="BD193" s="84"/>
      <c r="BE193" s="265"/>
      <c r="BF193" s="84"/>
      <c r="BG193" s="84"/>
      <c r="BH193" s="84"/>
      <c r="BI193" s="265"/>
      <c r="BJ193" s="84"/>
      <c r="BK193" s="84"/>
      <c r="BL193" s="84"/>
      <c r="BM193" s="265"/>
      <c r="BN193" s="84"/>
      <c r="BO193" s="84"/>
      <c r="BP193" s="84"/>
      <c r="BQ193" s="265"/>
      <c r="BR193" s="84"/>
      <c r="BS193" s="84"/>
      <c r="BT193" s="84"/>
      <c r="BU193" s="265"/>
      <c r="BV193" s="90"/>
      <c r="BW193" s="141"/>
      <c r="BX193" s="141"/>
      <c r="BY193" s="267"/>
      <c r="BZ193" s="141">
        <f t="shared" ref="BZ193:CG193" si="1973">+BZ192/BV192-1</f>
      </c>
      <c r="CA193" s="141">
        <f t="shared" si="1973"/>
      </c>
      <c r="CB193" s="141">
        <f t="shared" si="1973"/>
      </c>
      <c r="CC193" s="267">
        <f t="shared" si="1973"/>
      </c>
      <c r="CD193" s="141">
        <f t="shared" si="1973"/>
      </c>
      <c r="CE193" s="141">
        <f t="shared" si="1973"/>
      </c>
      <c r="CF193" s="141">
        <f t="shared" si="1973"/>
      </c>
      <c r="CG193" s="267">
        <f t="shared" si="1973"/>
      </c>
      <c r="CH193" s="141"/>
      <c r="CI193" s="141"/>
      <c r="CJ193" s="84"/>
      <c r="CK193" s="265"/>
      <c r="CL193" s="84"/>
      <c r="CM193" s="84"/>
      <c r="CN193" s="84"/>
      <c r="CO193" s="265"/>
      <c r="CP193" s="84"/>
      <c r="CQ193" s="84"/>
      <c r="CR193" s="84"/>
      <c r="CS193" s="265"/>
      <c r="CT193" s="84"/>
      <c r="CU193" s="84"/>
      <c r="CV193" s="84"/>
      <c r="CW193" s="265"/>
      <c r="CX193" s="84"/>
      <c r="CY193" s="84"/>
      <c r="CZ193" s="84"/>
      <c r="DA193" s="265"/>
      <c r="DB193" s="84"/>
      <c r="DC193" s="84"/>
      <c r="DD193" s="84"/>
      <c r="DE193" s="265"/>
      <c r="DF193" s="84"/>
      <c r="DG193" s="84"/>
      <c r="DH193" s="84"/>
      <c r="DI193" s="265"/>
      <c r="DJ193" s="141"/>
      <c r="DK193" s="84"/>
      <c r="DL193" s="84"/>
      <c r="DM193" s="265"/>
      <c r="DN193" s="84"/>
      <c r="DO193" s="84"/>
      <c r="DP193" s="84"/>
      <c r="DQ193" s="265"/>
      <c r="DR193" s="84"/>
      <c r="DS193" s="84"/>
      <c r="DT193" s="84"/>
      <c r="DU193" s="265"/>
      <c r="DV193" s="84"/>
      <c r="DW193" s="84"/>
      <c r="DX193" s="84"/>
      <c r="DY193" s="265"/>
      <c r="DZ193" s="84"/>
      <c r="EA193" s="84"/>
      <c r="EB193" s="84"/>
      <c r="EC193" s="265"/>
      <c r="ED193" s="84"/>
      <c r="EE193" s="84"/>
      <c r="EF193" s="84"/>
      <c r="EG193" s="265"/>
      <c r="EH193" s="84"/>
      <c r="EI193" s="84"/>
      <c r="EJ193" s="84"/>
      <c r="EK193" s="265"/>
      <c r="EY193" s="84"/>
      <c r="EZ193" s="84"/>
      <c r="FA193" s="84"/>
      <c r="FB193" s="84"/>
      <c r="FC193" s="84"/>
      <c r="FD193" s="84"/>
      <c r="FE193" s="90"/>
      <c r="FF193" s="72">
        <f>+FF192/FE192-1</f>
      </c>
      <c r="FG193" s="72">
        <f>+FG192/FF192-1</f>
      </c>
      <c r="FH193" s="90"/>
      <c r="FI193" s="90"/>
      <c r="FJ193" s="90"/>
      <c r="FK193" s="90"/>
      <c r="FL193" s="90"/>
      <c r="FM193" s="90"/>
      <c r="FN193" s="90"/>
      <c r="FO193" s="90"/>
      <c r="FP193" s="90"/>
      <c r="FQ193" s="90"/>
      <c r="FR193" s="90"/>
      <c r="FS193" s="90"/>
      <c r="FT193" s="90"/>
      <c r="FU193" s="90"/>
      <c r="GH193" s="84"/>
      <c r="GI193" s="84"/>
      <c r="GJ193" s="84"/>
      <c r="GK193" s="84"/>
      <c r="GL193" s="84"/>
      <c r="GM193" s="84"/>
      <c r="GN193" s="84"/>
      <c r="GO193" s="84"/>
      <c r="GP193" s="72">
        <f>+GP192/GO192-1</f>
      </c>
      <c r="GQ193" s="72">
        <f>+GQ192/GP192-1</f>
      </c>
      <c r="GR193" s="84"/>
      <c r="GS193" s="84"/>
      <c r="GT193" s="84"/>
      <c r="GU193" s="84"/>
      <c r="GV193" s="84"/>
      <c r="GW193" s="84"/>
      <c r="GX193" s="84"/>
      <c r="GY193" s="84"/>
      <c r="GZ193" s="84"/>
      <c r="HA193" s="84"/>
      <c r="HB193" s="84"/>
      <c r="HC193" s="84"/>
      <c r="HD193" s="84"/>
    </row>
    <row r="194" spans="1:212" s="139" customFormat="1" ht="10.199999999999999" hidden="1" outlineLevel="1">
      <c r="A194" s="152" t="s">
        <v>88</v>
      </c>
      <c r="E194" s="262"/>
      <c r="I194" s="262"/>
      <c r="M194" s="262"/>
      <c r="Q194" s="262"/>
      <c r="U194" s="262"/>
      <c r="Y194" s="262"/>
      <c r="AC194" s="262"/>
      <c r="AF194" s="84"/>
      <c r="AG194" s="265"/>
      <c r="AH194" s="84"/>
      <c r="AI194" s="84"/>
      <c r="AJ194" s="84"/>
      <c r="AK194" s="265"/>
      <c r="AL194" s="84"/>
      <c r="AM194" s="84"/>
      <c r="AN194" s="84"/>
      <c r="AO194" s="265"/>
      <c r="AP194" s="84"/>
      <c r="AQ194" s="84"/>
      <c r="AR194" s="84"/>
      <c r="AS194" s="265"/>
      <c r="AT194" s="84"/>
      <c r="AU194" s="84"/>
      <c r="AV194" s="84"/>
      <c r="AW194" s="265"/>
      <c r="AX194" s="84"/>
      <c r="AY194" s="84"/>
      <c r="AZ194" s="84"/>
      <c r="BA194" s="265"/>
      <c r="BB194" s="84"/>
      <c r="BC194" s="84"/>
      <c r="BD194" s="84"/>
      <c r="BE194" s="265"/>
      <c r="BF194" s="84"/>
      <c r="BG194" s="84"/>
      <c r="BH194" s="84"/>
      <c r="BI194" s="265"/>
      <c r="BJ194" s="84"/>
      <c r="BK194" s="84"/>
      <c r="BL194" s="84"/>
      <c r="BM194" s="265"/>
      <c r="BN194" s="84"/>
      <c r="BO194" s="84"/>
      <c r="BP194" s="84"/>
      <c r="BQ194" s="265"/>
      <c r="BR194" s="84"/>
      <c r="BS194" s="84"/>
      <c r="BT194" s="84"/>
      <c r="BU194" s="265"/>
      <c r="BV194" s="90"/>
      <c r="BW194" s="141">
        <f t="shared" ref="BW194:CG194" si="1974">+BW192/BV192-1</f>
      </c>
      <c r="BX194" s="141">
        <f t="shared" si="1974"/>
      </c>
      <c r="BY194" s="267">
        <f t="shared" si="1974"/>
      </c>
      <c r="BZ194" s="141">
        <f t="shared" si="1974"/>
      </c>
      <c r="CA194" s="141">
        <f t="shared" si="1974"/>
      </c>
      <c r="CB194" s="141">
        <f t="shared" si="1974"/>
      </c>
      <c r="CC194" s="267">
        <f t="shared" si="1974"/>
      </c>
      <c r="CD194" s="141">
        <f t="shared" si="1974"/>
      </c>
      <c r="CE194" s="141">
        <f t="shared" si="1974"/>
      </c>
      <c r="CF194" s="141">
        <f t="shared" si="1974"/>
      </c>
      <c r="CG194" s="267">
        <f t="shared" si="1974"/>
      </c>
      <c r="CH194" s="141"/>
      <c r="CI194" s="141"/>
      <c r="CJ194" s="84"/>
      <c r="CK194" s="265"/>
      <c r="CL194" s="84"/>
      <c r="CM194" s="84"/>
      <c r="CN194" s="84"/>
      <c r="CO194" s="265"/>
      <c r="CP194" s="84"/>
      <c r="CQ194" s="84"/>
      <c r="CR194" s="84"/>
      <c r="CS194" s="265"/>
      <c r="CT194" s="84"/>
      <c r="CU194" s="84"/>
      <c r="CV194" s="84"/>
      <c r="CW194" s="265"/>
      <c r="CX194" s="84"/>
      <c r="CY194" s="84"/>
      <c r="CZ194" s="84"/>
      <c r="DA194" s="265"/>
      <c r="DB194" s="84"/>
      <c r="DC194" s="84"/>
      <c r="DD194" s="84"/>
      <c r="DE194" s="265"/>
      <c r="DF194" s="84"/>
      <c r="DG194" s="84"/>
      <c r="DH194" s="84"/>
      <c r="DI194" s="265"/>
      <c r="DJ194" s="141"/>
      <c r="DK194" s="84"/>
      <c r="DL194" s="84"/>
      <c r="DM194" s="265"/>
      <c r="DN194" s="84"/>
      <c r="DO194" s="84"/>
      <c r="DP194" s="84"/>
      <c r="DQ194" s="265"/>
      <c r="DR194" s="84"/>
      <c r="DS194" s="84"/>
      <c r="DT194" s="84"/>
      <c r="DU194" s="265"/>
      <c r="DV194" s="84"/>
      <c r="DW194" s="84"/>
      <c r="DX194" s="84"/>
      <c r="DY194" s="265"/>
      <c r="DZ194" s="84"/>
      <c r="EA194" s="84"/>
      <c r="EB194" s="84"/>
      <c r="EC194" s="265"/>
      <c r="ED194" s="84"/>
      <c r="EE194" s="84"/>
      <c r="EF194" s="84"/>
      <c r="EG194" s="265"/>
      <c r="EH194" s="84"/>
      <c r="EI194" s="84"/>
      <c r="EJ194" s="84"/>
      <c r="EK194" s="265"/>
      <c r="EY194" s="84"/>
      <c r="EZ194" s="84"/>
      <c r="FA194" s="84"/>
      <c r="FB194" s="84"/>
      <c r="FC194" s="84"/>
      <c r="FD194" s="84"/>
      <c r="FE194" s="90"/>
      <c r="FF194" s="90"/>
      <c r="FG194" s="90"/>
      <c r="FH194" s="90"/>
      <c r="FI194" s="90"/>
      <c r="FJ194" s="90"/>
      <c r="FK194" s="90"/>
      <c r="FL194" s="90"/>
      <c r="FM194" s="90"/>
      <c r="FN194" s="90"/>
      <c r="FO194" s="90"/>
      <c r="FP194" s="90"/>
      <c r="FQ194" s="90"/>
      <c r="FR194" s="90"/>
      <c r="FS194" s="90"/>
      <c r="FT194" s="90"/>
      <c r="FU194" s="90"/>
      <c r="GH194" s="84"/>
      <c r="GI194" s="84"/>
      <c r="GJ194" s="84"/>
      <c r="GK194" s="84"/>
      <c r="GL194" s="84"/>
      <c r="GM194" s="84"/>
      <c r="GN194" s="84"/>
      <c r="GO194" s="84"/>
      <c r="GP194" s="84"/>
      <c r="GQ194" s="84"/>
      <c r="GR194" s="84"/>
      <c r="GS194" s="84"/>
      <c r="GT194" s="84"/>
      <c r="GU194" s="84"/>
      <c r="GV194" s="84"/>
      <c r="GW194" s="84"/>
      <c r="GX194" s="84"/>
      <c r="GY194" s="84"/>
      <c r="GZ194" s="84"/>
      <c r="HA194" s="84"/>
      <c r="HB194" s="84"/>
      <c r="HC194" s="84"/>
      <c r="HD194" s="84"/>
    </row>
    <row r="195" spans="1:212" s="89" customFormat="1" ht="10.199999999999999" hidden="1" outlineLevel="1">
      <c r="A195" s="907" t="s">
        <v>837</v>
      </c>
      <c r="E195" s="260"/>
      <c r="I195" s="260"/>
      <c r="M195" s="260"/>
      <c r="Q195" s="260"/>
      <c r="U195" s="260"/>
      <c r="Y195" s="260"/>
      <c r="AC195" s="260"/>
      <c r="AF195" s="72"/>
      <c r="AG195" s="227"/>
      <c r="AH195" s="72"/>
      <c r="AI195" s="72"/>
      <c r="AJ195" s="72"/>
      <c r="AK195" s="227"/>
      <c r="AL195" s="72"/>
      <c r="AM195" s="72"/>
      <c r="AN195" s="72"/>
      <c r="AO195" s="227"/>
      <c r="AP195" s="72"/>
      <c r="AQ195" s="72"/>
      <c r="AR195" s="72"/>
      <c r="AS195" s="227"/>
      <c r="AT195" s="72"/>
      <c r="AU195" s="72"/>
      <c r="AV195" s="72"/>
      <c r="AW195" s="227"/>
      <c r="AX195" s="72"/>
      <c r="AY195" s="72"/>
      <c r="AZ195" s="72"/>
      <c r="BA195" s="227"/>
      <c r="BB195" s="72"/>
      <c r="BC195" s="72"/>
      <c r="BD195" s="72"/>
      <c r="BE195" s="227"/>
      <c r="BF195" s="72"/>
      <c r="BG195" s="72"/>
      <c r="BH195" s="72"/>
      <c r="BI195" s="227"/>
      <c r="BJ195" s="72"/>
      <c r="BK195" s="72"/>
      <c r="BL195" s="72"/>
      <c r="BM195" s="227"/>
      <c r="BN195" s="72"/>
      <c r="BO195" s="72"/>
      <c r="BP195" s="72"/>
      <c r="BQ195" s="227"/>
      <c r="BR195" s="72"/>
      <c r="BS195" s="72"/>
      <c r="BT195" s="72"/>
      <c r="BU195" s="227"/>
      <c r="BV195" s="72">
        <f>+BV192/('Segment - Products'!BV11+'Segment - Products'!BV13+'Segment - Products'!BV12)</f>
      </c>
      <c r="BW195" s="72">
        <f>+BW192/('Segment - Products'!BW11+'Segment - Products'!BW13+'Segment - Products'!BW12)</f>
      </c>
      <c r="BX195" s="72">
        <f>+BX192/('Segment - Products'!BX11+'Segment - Products'!BX13+'Segment - Products'!BX12)</f>
      </c>
      <c r="BY195" s="227">
        <f>+BY192/('Segment - Products'!BY11+'Segment - Products'!BY13+'Segment - Products'!BY12)</f>
      </c>
      <c r="BZ195" s="72">
        <f>+BZ192/('Segment - Products'!BZ11+'Segment - Products'!BZ13+'Segment - Products'!BZ12)</f>
      </c>
      <c r="CA195" s="72">
        <f>+CA192/('Segment - Products'!CA11+'Segment - Products'!CA13+'Segment - Products'!CA12)</f>
      </c>
      <c r="CB195" s="72">
        <f>+CB192/('Segment - Products'!CB11+'Segment - Products'!CB13+'Segment - Products'!CB12)</f>
      </c>
      <c r="CC195" s="227">
        <f>+CC192/('Segment - Products'!CC11+'Segment - Products'!CC13+'Segment - Products'!CC12)</f>
      </c>
      <c r="CD195" s="72">
        <f>+CD192/('Segment - Products'!CD11+'Segment - Products'!CD13+'Segment - Products'!CD12)</f>
      </c>
      <c r="CE195" s="72">
        <f>+CE192/('Segment - Products'!CE11+'Segment - Products'!CE13+'Segment - Products'!CE12)</f>
      </c>
      <c r="CF195" s="72">
        <f>+CF192/('Segment - Products'!CF11+'Segment - Products'!CF13+'Segment - Products'!CF12)</f>
      </c>
      <c r="CG195" s="232">
        <v>0.01</v>
      </c>
      <c r="CH195" s="71"/>
      <c r="CI195" s="71"/>
      <c r="CJ195" s="72"/>
      <c r="CK195" s="227"/>
      <c r="CL195" s="72"/>
      <c r="CM195" s="72"/>
      <c r="CN195" s="72"/>
      <c r="CO195" s="227"/>
      <c r="CP195" s="72"/>
      <c r="CQ195" s="72"/>
      <c r="CR195" s="72"/>
      <c r="CS195" s="227"/>
      <c r="CT195" s="72"/>
      <c r="CU195" s="72"/>
      <c r="CV195" s="72"/>
      <c r="CW195" s="227"/>
      <c r="CX195" s="72"/>
      <c r="CY195" s="72"/>
      <c r="CZ195" s="72"/>
      <c r="DA195" s="227"/>
      <c r="DB195" s="72"/>
      <c r="DC195" s="72"/>
      <c r="DD195" s="72"/>
      <c r="DE195" s="227"/>
      <c r="DF195" s="72"/>
      <c r="DG195" s="72"/>
      <c r="DH195" s="72"/>
      <c r="DI195" s="227"/>
      <c r="DJ195" s="141"/>
      <c r="DK195" s="72"/>
      <c r="DL195" s="72"/>
      <c r="DM195" s="227"/>
      <c r="DN195" s="72"/>
      <c r="DO195" s="72"/>
      <c r="DP195" s="72"/>
      <c r="DQ195" s="227"/>
      <c r="DR195" s="72"/>
      <c r="DS195" s="72"/>
      <c r="DT195" s="72"/>
      <c r="DU195" s="227"/>
      <c r="DV195" s="72"/>
      <c r="DW195" s="72"/>
      <c r="DX195" s="72"/>
      <c r="DY195" s="227"/>
      <c r="DZ195" s="72"/>
      <c r="EA195" s="72"/>
      <c r="EB195" s="72"/>
      <c r="EC195" s="227"/>
      <c r="ED195" s="72"/>
      <c r="EE195" s="72"/>
      <c r="EF195" s="72"/>
      <c r="EG195" s="227"/>
      <c r="EH195" s="72"/>
      <c r="EI195" s="72"/>
      <c r="EJ195" s="72"/>
      <c r="EK195" s="227"/>
      <c r="EY195" s="72"/>
      <c r="EZ195" s="72"/>
      <c r="FA195" s="72"/>
      <c r="FB195" s="72"/>
      <c r="FC195" s="72"/>
      <c r="FD195" s="72"/>
      <c r="FE195" s="72"/>
      <c r="FF195" s="72"/>
      <c r="FG195" s="72"/>
      <c r="FH195" s="72"/>
      <c r="FI195" s="72"/>
      <c r="FJ195" s="72"/>
      <c r="FK195" s="72"/>
      <c r="FL195" s="72"/>
      <c r="FM195" s="72"/>
      <c r="FN195" s="72"/>
      <c r="FO195" s="72"/>
      <c r="FP195" s="72"/>
      <c r="FQ195" s="72"/>
      <c r="FR195" s="72"/>
      <c r="FS195" s="72"/>
      <c r="FT195" s="72"/>
      <c r="FU195" s="72"/>
      <c r="GH195" s="72"/>
      <c r="GI195" s="72"/>
      <c r="GJ195" s="72"/>
      <c r="GK195" s="72"/>
      <c r="GL195" s="72"/>
      <c r="GM195" s="72"/>
      <c r="GN195" s="72"/>
      <c r="GO195" s="72"/>
      <c r="GP195" s="72"/>
      <c r="GQ195" s="72"/>
      <c r="GR195" s="72"/>
      <c r="GS195" s="72"/>
      <c r="GT195" s="72"/>
      <c r="GU195" s="72"/>
      <c r="GV195" s="72"/>
      <c r="GW195" s="72"/>
      <c r="GX195" s="72"/>
      <c r="GY195" s="72"/>
      <c r="GZ195" s="72"/>
      <c r="HA195" s="72"/>
      <c r="HB195" s="72"/>
      <c r="HC195" s="72"/>
      <c r="HD195" s="72"/>
    </row>
    <row r="196" spans="1:212" collapsed="1"/>
    <row r="197" spans="1:212">
      <c r="DR197" s="1936"/>
      <c r="FI197" s="1936"/>
      <c r="FJ197" s="1936"/>
      <c r="FK197" s="1936"/>
      <c r="FL197" s="1936"/>
      <c r="FM197" s="2739"/>
      <c r="FN197" s="1936"/>
      <c r="FO197" s="1936"/>
      <c r="FP197" s="1936"/>
      <c r="FQ197" s="1936"/>
      <c r="FR197" s="1936"/>
      <c r="FS197" s="1936"/>
      <c r="FT197" s="1936"/>
      <c r="FU197" s="1936"/>
    </row>
    <row r="204" spans="1:212">
      <c r="CL204" s="2737"/>
      <c r="CM204" s="2737"/>
      <c r="CN204" s="2737"/>
      <c r="CO204" s="2737"/>
      <c r="CP204" s="2737"/>
      <c r="CQ204" s="2737"/>
      <c r="CR204" s="2737"/>
      <c r="CS204" s="2737"/>
      <c r="CT204" s="2737"/>
      <c r="CU204" s="2737"/>
      <c r="CV204" s="2737"/>
      <c r="CW204" s="2737"/>
      <c r="CX204" s="2737"/>
      <c r="CY204" s="2737"/>
      <c r="CZ204" s="2737"/>
      <c r="DA204" s="2737"/>
      <c r="DB204" s="2737"/>
      <c r="DC204" s="2737"/>
      <c r="DD204" s="2737"/>
      <c r="DE204" s="2737"/>
    </row>
  </sheetData>
  <pageMargins left="0.7" right="0.7" top="0.75" bottom="0.75" header="0.3" footer="0.3"/>
  <pageSetup scale="55" fitToWidth="0" fitToHeight="0" orientation="landscape" r:id="rId1"/>
  <headerFooter>
    <oddFooter>&amp;L&amp;P/&amp;N&amp;R&amp;F
&amp;A
&amp;D</oddFooter>
  </headerFooter>
  <rowBreaks count="2" manualBreakCount="2">
    <brk id="73" max="176" man="1"/>
    <brk id="122" max="176" man="1"/>
  </rowBreaks>
  <colBreaks count="1" manualBreakCount="1">
    <brk id="174" max="168" man="1"/>
  </colBreaks>
  <customProperties>
    <customPr name="Qube.Worksheet.Visibility" r:id="rId2"/>
  </customProperties>
  <drawing r:id="rId3"/>
  <legacy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475A-27DF-4209-9D17-9F35712CF606}">
  <dimension ref="A1:FE309"/>
  <sheetViews>
    <sheetView workbookViewId="0"/>
  </sheetViews>
  <sheetFormatPr defaultRowHeight="13.8"/>
  <cols>
    <col min="6" max="36" width="11.3984375" bestFit="1" customWidth="1"/>
    <col min="38" max="38" width="11.5" bestFit="1" customWidth="1"/>
    <col min="39" max="39" width="11.3984375" bestFit="1" customWidth="1"/>
    <col min="40" max="40" width="11.09765625" bestFit="1" customWidth="1"/>
    <col min="41" max="41" width="11.3984375" bestFit="1" customWidth="1"/>
    <col min="42" max="42" width="11.5" bestFit="1" customWidth="1"/>
    <col min="43" max="43" width="11.3984375" bestFit="1" customWidth="1"/>
    <col min="44" max="44" width="11.09765625" bestFit="1" customWidth="1"/>
    <col min="45" max="45" width="11.3984375" bestFit="1" customWidth="1"/>
    <col min="46" max="46" width="11.5" bestFit="1" customWidth="1"/>
    <col min="47" max="47" width="11.3984375" bestFit="1" customWidth="1"/>
    <col min="48" max="48" width="11.09765625" bestFit="1" customWidth="1"/>
    <col min="49" max="49" width="11.3984375" bestFit="1" customWidth="1"/>
    <col min="50" max="50" width="11.5" bestFit="1" customWidth="1"/>
    <col min="51" max="51" width="11.3984375" bestFit="1" customWidth="1"/>
    <col min="52" max="52" width="11.09765625" bestFit="1" customWidth="1"/>
    <col min="53" max="53" width="11.3984375" bestFit="1" customWidth="1"/>
    <col min="54" max="54" width="11.5" bestFit="1" customWidth="1"/>
    <col min="55" max="55" width="11.3984375" bestFit="1" customWidth="1"/>
    <col min="56" max="56" width="11.09765625" bestFit="1" customWidth="1"/>
    <col min="57" max="57" width="11.3984375" bestFit="1" customWidth="1"/>
    <col min="58" max="58" width="11.5" bestFit="1" customWidth="1"/>
    <col min="59" max="59" width="11.3984375" bestFit="1" customWidth="1"/>
    <col min="60" max="60" width="11.09765625" bestFit="1" customWidth="1"/>
    <col min="61" max="61" width="11.3984375" bestFit="1" customWidth="1"/>
    <col min="62" max="62" width="11.5" bestFit="1" customWidth="1"/>
    <col min="63" max="63" width="11.3984375" bestFit="1" customWidth="1"/>
    <col min="64" max="64" width="11.09765625" bestFit="1" customWidth="1"/>
    <col min="65" max="65" width="11.3984375" bestFit="1" customWidth="1"/>
    <col min="66" max="66" width="11.5" bestFit="1" customWidth="1"/>
    <col min="67" max="67" width="11.3984375" bestFit="1" customWidth="1"/>
    <col min="68" max="68" width="11.09765625" bestFit="1" customWidth="1"/>
    <col min="69" max="69" width="11.3984375" bestFit="1" customWidth="1"/>
    <col min="70" max="70" width="11.5" bestFit="1" customWidth="1"/>
    <col min="71" max="71" width="11.3984375" bestFit="1" customWidth="1"/>
    <col min="72" max="72" width="11.09765625" bestFit="1" customWidth="1"/>
    <col min="73" max="73" width="11.3984375" bestFit="1" customWidth="1"/>
    <col min="74" max="74" width="11.5" bestFit="1" customWidth="1"/>
    <col min="75" max="75" width="11.3984375" bestFit="1" customWidth="1"/>
    <col min="76" max="76" width="11.09765625" bestFit="1" customWidth="1"/>
    <col min="77" max="77" width="11.3984375" bestFit="1" customWidth="1"/>
    <col min="78" max="78" width="11.5" bestFit="1" customWidth="1"/>
    <col min="79" max="79" width="11.3984375" bestFit="1" customWidth="1"/>
    <col min="80" max="80" width="11.09765625" bestFit="1" customWidth="1"/>
    <col min="81" max="81" width="11.3984375" bestFit="1" customWidth="1"/>
    <col min="82" max="82" width="11.5" bestFit="1" customWidth="1"/>
    <col min="83" max="83" width="11.3984375" bestFit="1" customWidth="1"/>
    <col min="84" max="84" width="11.09765625" bestFit="1" customWidth="1"/>
    <col min="85" max="85" width="11.3984375" bestFit="1" customWidth="1"/>
    <col min="86" max="86" width="11.5" bestFit="1" customWidth="1"/>
    <col min="87" max="87" width="11.3984375" bestFit="1" customWidth="1"/>
    <col min="88" max="88" width="11.09765625" bestFit="1" customWidth="1"/>
    <col min="89" max="89" width="11.3984375" bestFit="1" customWidth="1"/>
    <col min="90" max="90" width="11.5" bestFit="1" customWidth="1"/>
    <col min="91" max="91" width="11.3984375" bestFit="1" customWidth="1"/>
    <col min="92" max="92" width="11.09765625" bestFit="1" customWidth="1"/>
    <col min="93" max="93" width="11.3984375" bestFit="1" customWidth="1"/>
    <col min="94" max="94" width="11.5" bestFit="1" customWidth="1"/>
    <col min="95" max="95" width="11.3984375" bestFit="1" customWidth="1"/>
    <col min="96" max="96" width="11.09765625" bestFit="1" customWidth="1"/>
    <col min="97" max="97" width="11.3984375" bestFit="1" customWidth="1"/>
    <col min="98" max="98" width="11.5" bestFit="1" customWidth="1"/>
    <col min="99" max="99" width="11.3984375" bestFit="1" customWidth="1"/>
    <col min="100" max="100" width="11.09765625" bestFit="1" customWidth="1"/>
    <col min="101" max="101" width="11.3984375" bestFit="1" customWidth="1"/>
    <col min="102" max="102" width="11.5" bestFit="1" customWidth="1"/>
    <col min="103" max="103" width="11.3984375" bestFit="1" customWidth="1"/>
    <col min="104" max="104" width="11.09765625" bestFit="1" customWidth="1"/>
    <col min="105" max="105" width="11.3984375" bestFit="1" customWidth="1"/>
    <col min="106" max="106" width="11.5" bestFit="1" customWidth="1"/>
    <col min="107" max="107" width="11.3984375" bestFit="1" customWidth="1"/>
    <col min="108" max="108" width="11.09765625" bestFit="1" customWidth="1"/>
    <col min="109" max="109" width="11.3984375" bestFit="1" customWidth="1"/>
    <col min="110" max="110" width="11.5" bestFit="1" customWidth="1"/>
    <col min="111" max="111" width="11.3984375" bestFit="1" customWidth="1"/>
    <col min="112" max="112" width="11.09765625" bestFit="1" customWidth="1"/>
    <col min="113" max="113" width="11.3984375" bestFit="1" customWidth="1"/>
    <col min="114" max="114" width="11.5" bestFit="1" customWidth="1"/>
    <col min="115" max="115" width="11.3984375" bestFit="1" customWidth="1"/>
    <col min="116" max="116" width="11.09765625" bestFit="1" customWidth="1"/>
    <col min="117" max="117" width="11.3984375" bestFit="1" customWidth="1"/>
    <col min="118" max="118" width="11.5" bestFit="1" customWidth="1"/>
    <col min="119" max="119" width="11.3984375" bestFit="1" customWidth="1"/>
    <col min="120" max="120" width="11.09765625" bestFit="1" customWidth="1"/>
    <col min="121" max="121" width="11.3984375" bestFit="1" customWidth="1"/>
    <col min="122" max="122" width="11.5" bestFit="1" customWidth="1"/>
    <col min="123" max="123" width="11.3984375" bestFit="1" customWidth="1"/>
    <col min="124" max="124" width="11.09765625" bestFit="1" customWidth="1"/>
    <col min="125" max="125" width="11.3984375" bestFit="1" customWidth="1"/>
    <col min="126" max="126" width="11.5" bestFit="1" customWidth="1"/>
    <col min="127" max="127" width="11.3984375" bestFit="1" customWidth="1"/>
    <col min="128" max="128" width="11.09765625" bestFit="1" customWidth="1"/>
    <col min="129" max="129" width="11.3984375" bestFit="1" customWidth="1"/>
    <col min="130" max="130" width="11.5" bestFit="1" customWidth="1"/>
    <col min="131" max="131" width="11.3984375" bestFit="1" customWidth="1"/>
    <col min="132" max="132" width="11.09765625" bestFit="1" customWidth="1"/>
    <col min="133" max="133" width="11.3984375" bestFit="1" customWidth="1"/>
    <col min="134" max="134" width="11.5" bestFit="1" customWidth="1"/>
    <col min="135" max="135" width="11.3984375" bestFit="1" customWidth="1"/>
    <col min="136" max="136" width="11.09765625" bestFit="1" customWidth="1"/>
    <col min="137" max="137" width="11.3984375" bestFit="1" customWidth="1"/>
    <col min="138" max="138" width="11.5" bestFit="1" customWidth="1"/>
    <col min="139" max="139" width="11.3984375" bestFit="1" customWidth="1"/>
    <col min="140" max="140" width="11.09765625" bestFit="1" customWidth="1"/>
    <col min="141" max="141" width="11.3984375" bestFit="1" customWidth="1"/>
    <col min="142" max="161" width="11.3984375" customWidth="1"/>
  </cols>
  <sheetData>
    <row r="1" spans="1:161">
      <c r="A1" t="s">
        <v>173</v>
      </c>
      <c r="C1">
        <v>1191694472</v>
      </c>
      <c r="F1">
        <v>2000</v>
      </c>
      <c r="G1">
        <v>2001</v>
      </c>
      <c r="H1">
        <v>2002</v>
      </c>
      <c r="I1">
        <v>2003</v>
      </c>
      <c r="J1">
        <v>2004</v>
      </c>
      <c r="K1">
        <v>2005</v>
      </c>
      <c r="L1">
        <v>2006</v>
      </c>
      <c r="M1">
        <v>2007</v>
      </c>
      <c r="N1">
        <v>2008</v>
      </c>
      <c r="O1">
        <v>2009</v>
      </c>
      <c r="P1">
        <v>2010</v>
      </c>
      <c r="Q1">
        <v>2011</v>
      </c>
      <c r="R1">
        <v>2012</v>
      </c>
      <c r="S1">
        <v>2013</v>
      </c>
      <c r="T1">
        <v>2014</v>
      </c>
      <c r="U1">
        <v>2015</v>
      </c>
      <c r="V1">
        <v>2016</v>
      </c>
      <c r="W1">
        <v>2017</v>
      </c>
      <c r="X1">
        <v>2018</v>
      </c>
      <c r="Y1">
        <v>2019</v>
      </c>
      <c r="Z1">
        <v>2020</v>
      </c>
      <c r="AA1">
        <v>2021</v>
      </c>
      <c r="AB1">
        <v>2022</v>
      </c>
      <c r="AC1">
        <v>2023</v>
      </c>
      <c r="AD1">
        <v>2024</v>
      </c>
      <c r="AE1">
        <v>2025</v>
      </c>
      <c r="AF1">
        <v>2026</v>
      </c>
      <c r="AG1">
        <v>2027</v>
      </c>
      <c r="AH1">
        <v>2028</v>
      </c>
      <c r="AI1">
        <v>2029</v>
      </c>
      <c r="AJ1">
        <v>2030</v>
      </c>
      <c r="AL1" t="s">
        <v>687</v>
      </c>
      <c r="AM1" t="s">
        <v>686</v>
      </c>
      <c r="AN1" t="s">
        <v>685</v>
      </c>
      <c r="AO1" t="s">
        <v>684</v>
      </c>
      <c r="AP1" t="s">
        <v>683</v>
      </c>
      <c r="AQ1" t="s">
        <v>682</v>
      </c>
      <c r="AR1" t="s">
        <v>681</v>
      </c>
      <c r="AS1" t="s">
        <v>680</v>
      </c>
      <c r="AT1" t="s">
        <v>679</v>
      </c>
      <c r="AU1" t="s">
        <v>678</v>
      </c>
      <c r="AV1" t="s">
        <v>677</v>
      </c>
      <c r="AW1" t="s">
        <v>676</v>
      </c>
      <c r="AX1" t="s">
        <v>174</v>
      </c>
      <c r="AY1" t="s">
        <v>175</v>
      </c>
      <c r="AZ1" t="s">
        <v>176</v>
      </c>
      <c r="BA1" t="s">
        <v>177</v>
      </c>
      <c r="BB1" t="s">
        <v>178</v>
      </c>
      <c r="BC1" t="s">
        <v>179</v>
      </c>
      <c r="BD1" t="s">
        <v>180</v>
      </c>
      <c r="BE1" t="s">
        <v>181</v>
      </c>
      <c r="BF1" t="s">
        <v>182</v>
      </c>
      <c r="BG1" t="s">
        <v>183</v>
      </c>
      <c r="BH1" t="s">
        <v>184</v>
      </c>
      <c r="BI1" t="s">
        <v>185</v>
      </c>
      <c r="BJ1" t="s">
        <v>186</v>
      </c>
      <c r="BK1" t="s">
        <v>187</v>
      </c>
      <c r="BL1" t="s">
        <v>188</v>
      </c>
      <c r="BM1" t="s">
        <v>189</v>
      </c>
      <c r="BN1" t="s">
        <v>190</v>
      </c>
      <c r="BO1" t="s">
        <v>191</v>
      </c>
      <c r="BP1" t="s">
        <v>192</v>
      </c>
      <c r="BQ1" t="s">
        <v>193</v>
      </c>
      <c r="BR1" t="s">
        <v>194</v>
      </c>
      <c r="BS1" t="s">
        <v>195</v>
      </c>
      <c r="BT1" t="s">
        <v>196</v>
      </c>
      <c r="BU1" t="s">
        <v>197</v>
      </c>
      <c r="BV1" t="s">
        <v>198</v>
      </c>
      <c r="BW1" t="s">
        <v>199</v>
      </c>
      <c r="BX1" t="s">
        <v>200</v>
      </c>
      <c r="BY1" t="s">
        <v>201</v>
      </c>
      <c r="BZ1" t="s">
        <v>202</v>
      </c>
      <c r="CA1" t="s">
        <v>203</v>
      </c>
      <c r="CB1" t="s">
        <v>204</v>
      </c>
      <c r="CC1" t="s">
        <v>205</v>
      </c>
      <c r="CD1" t="s">
        <v>206</v>
      </c>
      <c r="CE1" t="s">
        <v>207</v>
      </c>
      <c r="CF1" t="s">
        <v>208</v>
      </c>
      <c r="CG1" t="s">
        <v>209</v>
      </c>
      <c r="CH1" t="s">
        <v>210</v>
      </c>
      <c r="CI1" t="s">
        <v>211</v>
      </c>
      <c r="CJ1" t="s">
        <v>212</v>
      </c>
      <c r="CK1" t="s">
        <v>213</v>
      </c>
      <c r="CL1" t="s">
        <v>214</v>
      </c>
      <c r="CM1" t="s">
        <v>215</v>
      </c>
      <c r="CN1" t="s">
        <v>216</v>
      </c>
      <c r="CO1" t="s">
        <v>217</v>
      </c>
      <c r="CP1" t="s">
        <v>218</v>
      </c>
      <c r="CQ1" t="s">
        <v>219</v>
      </c>
      <c r="CR1" t="s">
        <v>220</v>
      </c>
      <c r="CS1" t="s">
        <v>221</v>
      </c>
      <c r="CT1" t="s">
        <v>222</v>
      </c>
      <c r="CU1" t="s">
        <v>223</v>
      </c>
      <c r="CV1" t="s">
        <v>224</v>
      </c>
      <c r="CW1" t="s">
        <v>225</v>
      </c>
      <c r="CX1" t="s">
        <v>226</v>
      </c>
      <c r="CY1" t="s">
        <v>227</v>
      </c>
      <c r="CZ1" t="s">
        <v>228</v>
      </c>
      <c r="DA1" t="s">
        <v>229</v>
      </c>
      <c r="DB1" t="s">
        <v>230</v>
      </c>
      <c r="DC1" t="s">
        <v>231</v>
      </c>
      <c r="DD1" t="s">
        <v>232</v>
      </c>
      <c r="DE1" t="s">
        <v>233</v>
      </c>
      <c r="DF1" t="s">
        <v>722</v>
      </c>
      <c r="DG1" t="s">
        <v>723</v>
      </c>
      <c r="DH1" t="s">
        <v>724</v>
      </c>
      <c r="DI1" t="s">
        <v>725</v>
      </c>
      <c r="DJ1" t="s">
        <v>829</v>
      </c>
      <c r="DK1" t="s">
        <v>830</v>
      </c>
      <c r="DL1" t="s">
        <v>831</v>
      </c>
      <c r="DM1" t="s">
        <v>832</v>
      </c>
      <c r="DN1" t="s">
        <v>926</v>
      </c>
      <c r="DO1" t="s">
        <v>927</v>
      </c>
      <c r="DP1" t="s">
        <v>928</v>
      </c>
      <c r="DQ1" t="s">
        <v>929</v>
      </c>
      <c r="DR1" t="s">
        <v>1071</v>
      </c>
      <c r="DS1" t="s">
        <v>1072</v>
      </c>
      <c r="DT1" t="s">
        <v>1073</v>
      </c>
      <c r="DU1" t="s">
        <v>1074</v>
      </c>
      <c r="DV1" t="s">
        <v>1106</v>
      </c>
      <c r="DW1" t="s">
        <v>1107</v>
      </c>
      <c r="DX1" t="s">
        <v>1108</v>
      </c>
      <c r="DY1" t="s">
        <v>1109</v>
      </c>
      <c r="DZ1" t="s">
        <v>1121</v>
      </c>
      <c r="EA1" t="s">
        <v>1122</v>
      </c>
      <c r="EB1" t="s">
        <v>1123</v>
      </c>
      <c r="EC1" t="s">
        <v>1124</v>
      </c>
      <c r="ED1" t="s">
        <v>1136</v>
      </c>
      <c r="EE1" t="s">
        <v>1137</v>
      </c>
      <c r="EF1" t="s">
        <v>1138</v>
      </c>
      <c r="EG1" t="s">
        <v>1139</v>
      </c>
      <c r="EH1" t="s">
        <v>1655</v>
      </c>
      <c r="EI1" t="s">
        <v>1656</v>
      </c>
      <c r="EJ1" t="s">
        <v>1657</v>
      </c>
      <c r="EK1" t="s">
        <v>1658</v>
      </c>
      <c r="EL1" t="s">
        <v>2348</v>
      </c>
      <c r="EM1" t="s">
        <v>2349</v>
      </c>
      <c r="EN1" t="s">
        <v>2350</v>
      </c>
      <c r="EO1" t="s">
        <v>2351</v>
      </c>
      <c r="EP1" t="s">
        <v>2352</v>
      </c>
      <c r="EQ1" t="s">
        <v>2353</v>
      </c>
      <c r="ER1" t="s">
        <v>2354</v>
      </c>
      <c r="ES1" t="s">
        <v>2355</v>
      </c>
      <c r="ET1" t="s">
        <v>2356</v>
      </c>
      <c r="EU1" t="s">
        <v>2357</v>
      </c>
      <c r="EV1" t="s">
        <v>2358</v>
      </c>
      <c r="EW1" t="s">
        <v>2359</v>
      </c>
      <c r="EX1" t="s">
        <v>2360</v>
      </c>
      <c r="EY1" t="s">
        <v>2361</v>
      </c>
      <c r="EZ1" t="s">
        <v>2362</v>
      </c>
      <c r="FA1" t="s">
        <v>2363</v>
      </c>
      <c r="FB1" t="s">
        <v>2364</v>
      </c>
      <c r="FC1" t="s">
        <v>2365</v>
      </c>
      <c r="FD1" t="s">
        <v>2366</v>
      </c>
      <c r="FE1" t="s">
        <v>2367</v>
      </c>
    </row>
    <row r="2" spans="1:161">
      <c r="F2" t="s">
        <v>654</v>
      </c>
      <c r="G2" t="s">
        <v>654</v>
      </c>
      <c r="H2" t="s">
        <v>654</v>
      </c>
      <c r="I2" t="s">
        <v>654</v>
      </c>
      <c r="J2" t="s">
        <v>654</v>
      </c>
      <c r="K2" t="s">
        <v>654</v>
      </c>
      <c r="L2" t="s">
        <v>654</v>
      </c>
      <c r="M2" t="s">
        <v>654</v>
      </c>
      <c r="N2" t="s">
        <v>654</v>
      </c>
      <c r="O2" t="s">
        <v>654</v>
      </c>
      <c r="P2" t="s">
        <v>654</v>
      </c>
      <c r="Q2" t="s">
        <v>654</v>
      </c>
      <c r="R2" t="s">
        <v>654</v>
      </c>
      <c r="S2" t="s">
        <v>654</v>
      </c>
      <c r="T2" t="s">
        <v>654</v>
      </c>
      <c r="U2" t="s">
        <v>654</v>
      </c>
      <c r="V2" t="s">
        <v>654</v>
      </c>
      <c r="W2" t="s">
        <v>654</v>
      </c>
      <c r="X2" t="s">
        <v>654</v>
      </c>
      <c r="Y2" t="s">
        <v>654</v>
      </c>
      <c r="Z2" t="s">
        <v>654</v>
      </c>
      <c r="AA2" t="s">
        <v>654</v>
      </c>
      <c r="AB2" t="s">
        <v>654</v>
      </c>
      <c r="AC2" t="s">
        <v>654</v>
      </c>
      <c r="AD2" t="s">
        <v>654</v>
      </c>
      <c r="AE2" t="s">
        <v>655</v>
      </c>
      <c r="AF2" t="s">
        <v>655</v>
      </c>
      <c r="AG2" t="s">
        <v>655</v>
      </c>
      <c r="AH2" t="s">
        <v>655</v>
      </c>
      <c r="AI2" t="s">
        <v>655</v>
      </c>
      <c r="AJ2" t="s">
        <v>655</v>
      </c>
      <c r="AL2" t="s">
        <v>654</v>
      </c>
      <c r="AM2" t="s">
        <v>654</v>
      </c>
      <c r="AN2" t="s">
        <v>654</v>
      </c>
      <c r="AO2" t="s">
        <v>654</v>
      </c>
      <c r="AP2" t="s">
        <v>654</v>
      </c>
      <c r="AQ2" t="s">
        <v>654</v>
      </c>
      <c r="AR2" t="s">
        <v>654</v>
      </c>
      <c r="AS2" t="s">
        <v>654</v>
      </c>
      <c r="AT2" t="s">
        <v>654</v>
      </c>
      <c r="AU2" t="s">
        <v>654</v>
      </c>
      <c r="AV2" t="s">
        <v>654</v>
      </c>
      <c r="AW2" t="s">
        <v>654</v>
      </c>
      <c r="AX2" t="s">
        <v>654</v>
      </c>
      <c r="AY2" t="s">
        <v>654</v>
      </c>
      <c r="AZ2" t="s">
        <v>654</v>
      </c>
      <c r="BA2" t="s">
        <v>654</v>
      </c>
      <c r="BB2" t="s">
        <v>654</v>
      </c>
      <c r="BC2" t="s">
        <v>654</v>
      </c>
      <c r="BD2" t="s">
        <v>654</v>
      </c>
      <c r="BE2" t="s">
        <v>654</v>
      </c>
      <c r="BF2" t="s">
        <v>654</v>
      </c>
      <c r="BG2" t="s">
        <v>654</v>
      </c>
      <c r="BH2" t="s">
        <v>654</v>
      </c>
      <c r="BI2" t="s">
        <v>654</v>
      </c>
      <c r="BJ2" t="s">
        <v>654</v>
      </c>
      <c r="BK2" t="s">
        <v>654</v>
      </c>
      <c r="BL2" t="s">
        <v>654</v>
      </c>
      <c r="BM2" t="s">
        <v>654</v>
      </c>
      <c r="BN2" t="s">
        <v>654</v>
      </c>
      <c r="BO2" t="s">
        <v>654</v>
      </c>
      <c r="BP2" t="s">
        <v>654</v>
      </c>
      <c r="BQ2" t="s">
        <v>654</v>
      </c>
      <c r="BR2" t="s">
        <v>654</v>
      </c>
      <c r="BS2" t="s">
        <v>654</v>
      </c>
      <c r="BT2" t="s">
        <v>654</v>
      </c>
      <c r="BU2" t="s">
        <v>654</v>
      </c>
      <c r="BV2" t="s">
        <v>654</v>
      </c>
      <c r="BW2" t="s">
        <v>654</v>
      </c>
      <c r="BX2" t="s">
        <v>654</v>
      </c>
      <c r="BY2" t="s">
        <v>654</v>
      </c>
      <c r="BZ2" t="s">
        <v>654</v>
      </c>
      <c r="CA2" t="s">
        <v>654</v>
      </c>
      <c r="CB2" t="s">
        <v>654</v>
      </c>
      <c r="CC2" t="s">
        <v>654</v>
      </c>
      <c r="CD2" t="s">
        <v>654</v>
      </c>
      <c r="CE2" t="s">
        <v>654</v>
      </c>
      <c r="CF2" t="s">
        <v>654</v>
      </c>
      <c r="CG2" t="s">
        <v>654</v>
      </c>
      <c r="CH2" t="s">
        <v>654</v>
      </c>
      <c r="CI2" t="s">
        <v>654</v>
      </c>
      <c r="CJ2" t="s">
        <v>654</v>
      </c>
      <c r="CK2" t="s">
        <v>654</v>
      </c>
      <c r="CL2" t="s">
        <v>654</v>
      </c>
      <c r="CM2" t="s">
        <v>654</v>
      </c>
      <c r="CN2" t="s">
        <v>654</v>
      </c>
      <c r="CO2" t="s">
        <v>654</v>
      </c>
      <c r="CP2" t="s">
        <v>654</v>
      </c>
      <c r="CQ2" t="s">
        <v>654</v>
      </c>
      <c r="CR2" t="s">
        <v>654</v>
      </c>
      <c r="CS2" t="s">
        <v>654</v>
      </c>
      <c r="CT2" t="s">
        <v>654</v>
      </c>
      <c r="CU2" t="s">
        <v>654</v>
      </c>
      <c r="CV2" t="s">
        <v>654</v>
      </c>
      <c r="CW2" t="s">
        <v>654</v>
      </c>
      <c r="CX2" t="s">
        <v>654</v>
      </c>
      <c r="CY2" t="s">
        <v>654</v>
      </c>
      <c r="CZ2" t="s">
        <v>654</v>
      </c>
      <c r="DA2" t="s">
        <v>654</v>
      </c>
      <c r="DB2" t="s">
        <v>654</v>
      </c>
      <c r="DC2" t="s">
        <v>654</v>
      </c>
      <c r="DD2" t="s">
        <v>654</v>
      </c>
      <c r="DE2" t="s">
        <v>654</v>
      </c>
      <c r="DF2" t="s">
        <v>654</v>
      </c>
      <c r="DG2" t="s">
        <v>654</v>
      </c>
      <c r="DH2" t="s">
        <v>654</v>
      </c>
      <c r="DI2" t="s">
        <v>654</v>
      </c>
      <c r="DJ2" t="s">
        <v>654</v>
      </c>
      <c r="DK2" t="s">
        <v>654</v>
      </c>
      <c r="DL2" t="s">
        <v>654</v>
      </c>
      <c r="DM2" t="s">
        <v>654</v>
      </c>
      <c r="DN2" t="s">
        <v>654</v>
      </c>
      <c r="DO2" t="s">
        <v>654</v>
      </c>
      <c r="DP2" t="s">
        <v>654</v>
      </c>
      <c r="DQ2" t="s">
        <v>654</v>
      </c>
      <c r="DR2" t="s">
        <v>654</v>
      </c>
      <c r="DS2" t="s">
        <v>654</v>
      </c>
      <c r="DT2" t="s">
        <v>654</v>
      </c>
      <c r="DU2" t="s">
        <v>654</v>
      </c>
      <c r="DV2" t="s">
        <v>654</v>
      </c>
      <c r="DW2" t="s">
        <v>654</v>
      </c>
      <c r="DX2" t="s">
        <v>654</v>
      </c>
      <c r="DY2" t="s">
        <v>654</v>
      </c>
      <c r="DZ2" t="s">
        <v>654</v>
      </c>
      <c r="EA2" t="s">
        <v>654</v>
      </c>
      <c r="EB2" t="s">
        <v>654</v>
      </c>
      <c r="EC2" t="s">
        <v>654</v>
      </c>
      <c r="ED2" t="s">
        <v>654</v>
      </c>
      <c r="EE2" t="s">
        <v>654</v>
      </c>
      <c r="EF2" t="s">
        <v>654</v>
      </c>
      <c r="EG2" t="s">
        <v>654</v>
      </c>
      <c r="EH2" t="s">
        <v>654</v>
      </c>
      <c r="EI2" t="s">
        <v>654</v>
      </c>
      <c r="EJ2" t="s">
        <v>655</v>
      </c>
      <c r="EK2" t="s">
        <v>655</v>
      </c>
      <c r="EL2" t="s">
        <v>655</v>
      </c>
      <c r="EM2" t="s">
        <v>655</v>
      </c>
      <c r="EN2" t="s">
        <v>655</v>
      </c>
      <c r="EO2" t="s">
        <v>655</v>
      </c>
      <c r="EP2" t="s">
        <v>655</v>
      </c>
      <c r="EQ2" t="s">
        <v>655</v>
      </c>
      <c r="ER2" t="s">
        <v>655</v>
      </c>
      <c r="ES2" t="s">
        <v>655</v>
      </c>
      <c r="ET2" t="s">
        <v>655</v>
      </c>
      <c r="EU2" t="s">
        <v>655</v>
      </c>
      <c r="EV2" t="s">
        <v>655</v>
      </c>
      <c r="EW2" t="s">
        <v>655</v>
      </c>
      <c r="EX2" t="s">
        <v>655</v>
      </c>
      <c r="EY2" t="s">
        <v>655</v>
      </c>
      <c r="EZ2" t="s">
        <v>655</v>
      </c>
      <c r="FA2" t="s">
        <v>655</v>
      </c>
      <c r="FB2" t="s">
        <v>655</v>
      </c>
      <c r="FC2" t="s">
        <v>655</v>
      </c>
      <c r="FD2" t="s">
        <v>655</v>
      </c>
      <c r="FE2" t="s">
        <v>655</v>
      </c>
    </row>
    <row r="3" spans="1:161" s="2669" customFormat="1">
      <c r="F3" s="2669">
        <v>36799</v>
      </c>
      <c r="G3" s="2669">
        <v>37164</v>
      </c>
      <c r="H3" s="2669">
        <v>37529</v>
      </c>
      <c r="I3" s="2669">
        <v>37894</v>
      </c>
      <c r="J3" s="2669">
        <v>38260</v>
      </c>
      <c r="K3" s="2669">
        <v>38625</v>
      </c>
      <c r="L3" s="2669">
        <v>38990</v>
      </c>
      <c r="M3" s="2669">
        <v>39355</v>
      </c>
      <c r="N3" s="2669">
        <v>39721</v>
      </c>
      <c r="O3" s="2669">
        <v>40086</v>
      </c>
      <c r="P3" s="2669">
        <v>40451</v>
      </c>
      <c r="Q3" s="2669">
        <v>40816</v>
      </c>
      <c r="R3" s="2669">
        <v>41182</v>
      </c>
      <c r="S3" s="2669">
        <v>41547</v>
      </c>
      <c r="T3" s="2669">
        <v>41912</v>
      </c>
      <c r="U3" s="2669">
        <v>42277</v>
      </c>
      <c r="V3" s="2669">
        <v>42643</v>
      </c>
      <c r="W3" s="2669">
        <v>43008</v>
      </c>
      <c r="X3" s="2669">
        <v>43373</v>
      </c>
      <c r="Y3" s="2669">
        <v>43738</v>
      </c>
      <c r="Z3" s="2669">
        <v>44104</v>
      </c>
      <c r="AA3" s="2669">
        <v>44469</v>
      </c>
      <c r="AB3" s="2669">
        <v>44834</v>
      </c>
      <c r="AC3" s="2669">
        <v>45199</v>
      </c>
      <c r="AD3" s="2669">
        <v>45565</v>
      </c>
      <c r="AE3" s="2669">
        <v>45930</v>
      </c>
      <c r="AF3" s="2669">
        <v>46295</v>
      </c>
      <c r="AG3" s="2669">
        <v>46660</v>
      </c>
      <c r="AH3" s="2669">
        <v>47026</v>
      </c>
      <c r="AI3" s="2669">
        <v>47391</v>
      </c>
      <c r="AJ3" s="2669">
        <v>47756</v>
      </c>
      <c r="AL3" s="2669">
        <v>36525</v>
      </c>
      <c r="AM3" s="2669">
        <v>36616</v>
      </c>
      <c r="AN3" s="2669">
        <v>36707</v>
      </c>
      <c r="AO3" s="2669">
        <v>36799</v>
      </c>
      <c r="AP3" s="2669">
        <v>36891</v>
      </c>
      <c r="AQ3" s="2669">
        <v>36981</v>
      </c>
      <c r="AR3" s="2669">
        <v>37072</v>
      </c>
      <c r="AS3" s="2669">
        <v>37164</v>
      </c>
      <c r="AT3" s="2669">
        <v>37256</v>
      </c>
      <c r="AU3" s="2669">
        <v>37346</v>
      </c>
      <c r="AV3" s="2669">
        <v>37437</v>
      </c>
      <c r="AW3" s="2669">
        <v>37529</v>
      </c>
      <c r="AX3" s="2669">
        <v>37621</v>
      </c>
      <c r="AY3" s="2669">
        <v>37711</v>
      </c>
      <c r="AZ3" s="2669">
        <v>37802</v>
      </c>
      <c r="BA3" s="2669">
        <v>37894</v>
      </c>
      <c r="BB3" s="2669">
        <v>37986</v>
      </c>
      <c r="BC3" s="2669">
        <v>38077</v>
      </c>
      <c r="BD3" s="2669">
        <v>38168</v>
      </c>
      <c r="BE3" s="2669">
        <v>38260</v>
      </c>
      <c r="BF3" s="2669">
        <v>38352</v>
      </c>
      <c r="BG3" s="2669">
        <v>38442</v>
      </c>
      <c r="BH3" s="2669">
        <v>38533</v>
      </c>
      <c r="BI3" s="2669">
        <v>38625</v>
      </c>
      <c r="BJ3" s="2669">
        <v>38717</v>
      </c>
      <c r="BK3" s="2669">
        <v>38807</v>
      </c>
      <c r="BL3" s="2669">
        <v>38898</v>
      </c>
      <c r="BM3" s="2669">
        <v>38990</v>
      </c>
      <c r="BN3" s="2669">
        <v>39082</v>
      </c>
      <c r="BO3" s="2669">
        <v>39172</v>
      </c>
      <c r="BP3" s="2669">
        <v>39263</v>
      </c>
      <c r="BQ3" s="2669">
        <v>39355</v>
      </c>
      <c r="BR3" s="2669">
        <v>39447</v>
      </c>
      <c r="BS3" s="2669">
        <v>39538</v>
      </c>
      <c r="BT3" s="2669">
        <v>39629</v>
      </c>
      <c r="BU3" s="2669">
        <v>39721</v>
      </c>
      <c r="BV3" s="2669">
        <v>39813</v>
      </c>
      <c r="BW3" s="2669">
        <v>39903</v>
      </c>
      <c r="BX3" s="2669">
        <v>39994</v>
      </c>
      <c r="BY3" s="2669">
        <v>40086</v>
      </c>
      <c r="BZ3" s="2669">
        <v>40178</v>
      </c>
      <c r="CA3" s="2669">
        <v>40268</v>
      </c>
      <c r="CB3" s="2669">
        <v>40359</v>
      </c>
      <c r="CC3" s="2669">
        <v>40451</v>
      </c>
      <c r="CD3" s="2669">
        <v>40543</v>
      </c>
      <c r="CE3" s="2669">
        <v>40633</v>
      </c>
      <c r="CF3" s="2669">
        <v>40724</v>
      </c>
      <c r="CG3" s="2669">
        <v>40816</v>
      </c>
      <c r="CH3" s="2669">
        <v>40907</v>
      </c>
      <c r="CI3" s="2669">
        <v>40998</v>
      </c>
      <c r="CJ3" s="2669">
        <v>41090</v>
      </c>
      <c r="CK3" s="2669">
        <v>41182</v>
      </c>
      <c r="CL3" s="2669">
        <v>41273</v>
      </c>
      <c r="CM3" s="2669">
        <v>41363</v>
      </c>
      <c r="CN3" s="2669">
        <v>41455</v>
      </c>
      <c r="CO3" s="2669">
        <v>41547</v>
      </c>
      <c r="CP3" s="2669">
        <v>41638</v>
      </c>
      <c r="CQ3" s="2669">
        <v>41728</v>
      </c>
      <c r="CR3" s="2669">
        <v>41820</v>
      </c>
      <c r="CS3" s="2669">
        <v>41912</v>
      </c>
      <c r="CT3" s="2669">
        <v>42003</v>
      </c>
      <c r="CU3" s="2669">
        <v>42093</v>
      </c>
      <c r="CV3" s="2669">
        <v>42185</v>
      </c>
      <c r="CW3" s="2669">
        <v>42277</v>
      </c>
      <c r="CX3" s="2669">
        <v>42369</v>
      </c>
      <c r="CY3" s="2669">
        <v>42460</v>
      </c>
      <c r="CZ3" s="2669">
        <v>42551</v>
      </c>
      <c r="DA3" s="2669">
        <v>42643</v>
      </c>
      <c r="DB3" s="2669">
        <v>42735</v>
      </c>
      <c r="DC3" s="2669">
        <v>42825</v>
      </c>
      <c r="DD3" s="2669">
        <v>42916</v>
      </c>
      <c r="DE3" s="2669">
        <v>43008</v>
      </c>
      <c r="DF3" s="2669">
        <v>43100</v>
      </c>
      <c r="DG3" s="2669">
        <v>43190</v>
      </c>
      <c r="DH3" s="2669">
        <v>43281</v>
      </c>
      <c r="DI3" s="2669">
        <v>43373</v>
      </c>
      <c r="DJ3" s="2669">
        <v>43465</v>
      </c>
      <c r="DK3" s="2669">
        <v>43555</v>
      </c>
      <c r="DL3" s="2669">
        <v>43646</v>
      </c>
      <c r="DM3" s="2669">
        <v>43738</v>
      </c>
      <c r="DN3" s="2669">
        <v>43830</v>
      </c>
      <c r="DO3" s="2669">
        <v>43921</v>
      </c>
      <c r="DP3" s="2669">
        <v>44012</v>
      </c>
      <c r="DQ3" s="2669">
        <v>44104</v>
      </c>
      <c r="DR3" s="2669">
        <v>44196</v>
      </c>
      <c r="DS3" s="2669">
        <v>44286</v>
      </c>
      <c r="DT3" s="2669">
        <v>44377</v>
      </c>
      <c r="DU3" s="2669">
        <v>44469</v>
      </c>
      <c r="DV3" s="2669">
        <v>44561</v>
      </c>
      <c r="DW3" s="2669">
        <v>44651</v>
      </c>
      <c r="DX3" s="2669">
        <v>44742</v>
      </c>
      <c r="DY3" s="2669">
        <v>44834</v>
      </c>
      <c r="DZ3" s="2669">
        <v>44926</v>
      </c>
      <c r="EA3" s="2669">
        <v>45016</v>
      </c>
      <c r="EB3" s="2669">
        <v>45107</v>
      </c>
      <c r="EC3" s="2669">
        <v>45199</v>
      </c>
      <c r="ED3" s="2669">
        <v>45291</v>
      </c>
      <c r="EE3" s="2669">
        <v>45382</v>
      </c>
      <c r="EF3" s="2669">
        <v>45473</v>
      </c>
      <c r="EG3" s="2669">
        <v>45565</v>
      </c>
      <c r="EH3" s="2669">
        <v>45657</v>
      </c>
      <c r="EI3" s="2669">
        <v>45747</v>
      </c>
      <c r="EJ3" s="2669">
        <v>45838</v>
      </c>
      <c r="EK3" s="2669">
        <v>45930</v>
      </c>
      <c r="EL3" s="2669">
        <v>46022</v>
      </c>
      <c r="EM3" s="2669">
        <v>46112</v>
      </c>
      <c r="EN3" s="2669">
        <v>46203</v>
      </c>
      <c r="EO3" s="2669">
        <v>46295</v>
      </c>
      <c r="EP3" s="2669">
        <v>46387</v>
      </c>
      <c r="EQ3" s="2669">
        <v>46477</v>
      </c>
      <c r="ER3" s="2669">
        <v>46568</v>
      </c>
      <c r="ES3" s="2669">
        <v>46660</v>
      </c>
      <c r="ET3" s="2669">
        <v>46752</v>
      </c>
      <c r="EU3" s="2669">
        <v>46843</v>
      </c>
      <c r="EV3" s="2669">
        <v>46934</v>
      </c>
      <c r="EW3" s="2669">
        <v>47026</v>
      </c>
      <c r="EX3" s="2669">
        <v>47118</v>
      </c>
      <c r="EY3" s="2669">
        <v>47208</v>
      </c>
      <c r="EZ3" s="2669">
        <v>47299</v>
      </c>
      <c r="FA3" s="2669">
        <v>47391</v>
      </c>
      <c r="FB3" s="2669">
        <v>47483</v>
      </c>
      <c r="FC3" s="2669">
        <v>47573</v>
      </c>
      <c r="FD3" s="2669">
        <v>47664</v>
      </c>
      <c r="FE3" s="2669">
        <v>47756</v>
      </c>
    </row>
    <row r="4" spans="1:161">
      <c r="A4" t="s">
        <v>173</v>
      </c>
      <c r="B4" t="s">
        <v>2406</v>
      </c>
    </row>
    <row r="5" spans="1:161">
      <c r="A5" t="s">
        <v>234</v>
      </c>
    </row>
    <row r="6" spans="1:161">
      <c r="B6" t="s">
        <v>235</v>
      </c>
      <c r="C6" t="s">
        <v>235</v>
      </c>
      <c r="E6" t="s">
        <v>236</v>
      </c>
    </row>
    <row r="7" spans="1:161">
      <c r="B7" t="s">
        <v>237</v>
      </c>
      <c r="C7" t="s">
        <v>238</v>
      </c>
      <c r="E7" t="s">
        <v>239</v>
      </c>
    </row>
    <row r="8" spans="1:161">
      <c r="A8" t="s">
        <v>240</v>
      </c>
    </row>
    <row r="9" spans="1:161">
      <c r="B9" t="s">
        <v>871</v>
      </c>
      <c r="C9" t="s">
        <v>241</v>
      </c>
      <c r="E9">
        <v>3</v>
      </c>
    </row>
    <row r="10" spans="1:161">
      <c r="A10" t="s">
        <v>242</v>
      </c>
    </row>
    <row r="11" spans="1:161">
      <c r="B11" t="s">
        <v>243</v>
      </c>
      <c r="C11" t="s">
        <v>244</v>
      </c>
      <c r="D11" t="str">
        <f t="shared" ref="D11:D30" si="0">L_CURRENCY_ISSR_208000149_REP</f>
      </c>
      <c r="F11">
        <v>7981.6</v>
      </c>
      <c r="G11">
        <v>5363</v>
      </c>
      <c r="H11">
        <v>5742</v>
      </c>
      <c r="I11">
        <v>6207</v>
      </c>
      <c r="J11">
        <v>8279</v>
      </c>
      <c r="K11">
        <v>13931</v>
      </c>
      <c r="L11">
        <v>19315</v>
      </c>
      <c r="M11">
        <v>24578</v>
      </c>
      <c r="N11">
        <v>37491</v>
      </c>
      <c r="O11">
        <v>42905</v>
      </c>
      <c r="P11">
        <v>65225</v>
      </c>
      <c r="Q11">
        <v>108249</v>
      </c>
      <c r="R11">
        <v>156508</v>
      </c>
      <c r="S11">
        <v>170910</v>
      </c>
      <c r="T11">
        <v>182795</v>
      </c>
      <c r="U11">
        <v>233715</v>
      </c>
      <c r="V11">
        <v>215639</v>
      </c>
      <c r="W11">
        <v>229234</v>
      </c>
      <c r="X11">
        <v>265595</v>
      </c>
      <c r="Y11">
        <v>260174</v>
      </c>
      <c r="Z11">
        <v>274515</v>
      </c>
      <c r="AA11">
        <v>365817</v>
      </c>
      <c r="AB11">
        <v>394328</v>
      </c>
      <c r="AC11">
        <v>383285</v>
      </c>
      <c r="AD11">
        <v>391035</v>
      </c>
      <c r="AE11">
        <v>408642.21315863298</v>
      </c>
      <c r="AF11">
        <v>433931.08825280698</v>
      </c>
      <c r="AG11">
        <v>466529.91393794602</v>
      </c>
      <c r="AH11">
        <v>487797.02718576801</v>
      </c>
      <c r="AI11">
        <v>509889.335852505</v>
      </c>
      <c r="AJ11">
        <v>533776.78612430603</v>
      </c>
      <c r="AL11">
        <v>2342.5</v>
      </c>
      <c r="AM11">
        <v>1945</v>
      </c>
      <c r="AN11">
        <v>1824.6</v>
      </c>
      <c r="AO11">
        <v>1869.5</v>
      </c>
      <c r="AP11">
        <v>1007</v>
      </c>
      <c r="AQ11">
        <v>1431</v>
      </c>
      <c r="AR11">
        <v>1475</v>
      </c>
      <c r="AS11">
        <v>1450</v>
      </c>
      <c r="AT11">
        <v>1375</v>
      </c>
      <c r="AU11">
        <v>1495</v>
      </c>
      <c r="AV11">
        <v>1429</v>
      </c>
      <c r="AW11">
        <v>1443</v>
      </c>
      <c r="AX11">
        <v>1472</v>
      </c>
      <c r="AY11">
        <v>1475</v>
      </c>
      <c r="AZ11">
        <v>1545</v>
      </c>
      <c r="BA11">
        <v>1715</v>
      </c>
      <c r="BB11">
        <v>2006</v>
      </c>
      <c r="BC11">
        <v>1909</v>
      </c>
      <c r="BD11">
        <v>2014</v>
      </c>
      <c r="BE11">
        <v>2350</v>
      </c>
      <c r="BF11">
        <v>3490</v>
      </c>
      <c r="BG11">
        <v>3243</v>
      </c>
      <c r="BH11">
        <v>3520</v>
      </c>
      <c r="BI11">
        <v>3678</v>
      </c>
      <c r="BJ11">
        <v>5749</v>
      </c>
      <c r="BK11">
        <v>4359</v>
      </c>
      <c r="BL11">
        <v>4370</v>
      </c>
      <c r="BM11">
        <v>4837</v>
      </c>
      <c r="BN11">
        <v>7123</v>
      </c>
      <c r="BO11">
        <v>5286</v>
      </c>
      <c r="BP11">
        <v>5563</v>
      </c>
      <c r="BQ11">
        <v>6606</v>
      </c>
      <c r="BR11">
        <v>10430</v>
      </c>
      <c r="BS11">
        <v>7980</v>
      </c>
      <c r="BT11">
        <v>7561</v>
      </c>
      <c r="BU11">
        <v>11520</v>
      </c>
      <c r="BV11">
        <v>11880</v>
      </c>
      <c r="BW11">
        <v>9084</v>
      </c>
      <c r="BX11">
        <v>9734</v>
      </c>
      <c r="BY11">
        <v>12207</v>
      </c>
      <c r="BZ11">
        <v>15683</v>
      </c>
      <c r="CA11">
        <v>13499</v>
      </c>
      <c r="CB11">
        <v>15700</v>
      </c>
      <c r="CC11">
        <v>20343</v>
      </c>
      <c r="CD11">
        <v>26741</v>
      </c>
      <c r="CE11">
        <v>24667</v>
      </c>
      <c r="CF11">
        <v>28571</v>
      </c>
      <c r="CG11">
        <v>28270</v>
      </c>
      <c r="CH11">
        <v>46333</v>
      </c>
      <c r="CI11">
        <v>39186</v>
      </c>
      <c r="CJ11">
        <v>35023</v>
      </c>
      <c r="CK11">
        <v>35966</v>
      </c>
      <c r="CL11">
        <v>54512</v>
      </c>
      <c r="CM11">
        <v>43603</v>
      </c>
      <c r="CN11">
        <v>35323</v>
      </c>
      <c r="CO11">
        <v>37472</v>
      </c>
      <c r="CP11">
        <v>57594</v>
      </c>
      <c r="CQ11">
        <v>45646</v>
      </c>
      <c r="CR11">
        <v>37432</v>
      </c>
      <c r="CS11">
        <v>42123</v>
      </c>
      <c r="CT11">
        <v>74599</v>
      </c>
      <c r="CU11">
        <v>58010</v>
      </c>
      <c r="CV11">
        <v>49605</v>
      </c>
      <c r="CW11">
        <v>51501</v>
      </c>
      <c r="CX11">
        <v>75872</v>
      </c>
      <c r="CY11">
        <v>50557</v>
      </c>
      <c r="CZ11">
        <v>42358</v>
      </c>
      <c r="DA11">
        <v>46852</v>
      </c>
      <c r="DB11">
        <v>78351</v>
      </c>
      <c r="DC11">
        <v>52896</v>
      </c>
      <c r="DD11">
        <v>45408</v>
      </c>
      <c r="DE11">
        <v>52579</v>
      </c>
      <c r="DF11">
        <v>88293</v>
      </c>
      <c r="DG11">
        <v>61137</v>
      </c>
      <c r="DH11">
        <v>53265</v>
      </c>
      <c r="DI11">
        <v>62900</v>
      </c>
      <c r="DJ11">
        <v>84310</v>
      </c>
      <c r="DK11">
        <v>58015</v>
      </c>
      <c r="DL11">
        <v>53809</v>
      </c>
      <c r="DM11">
        <v>64040</v>
      </c>
      <c r="DN11">
        <v>91819</v>
      </c>
      <c r="DO11">
        <v>58313</v>
      </c>
      <c r="DP11">
        <v>59685</v>
      </c>
      <c r="DQ11">
        <v>64698</v>
      </c>
      <c r="DR11">
        <v>111439</v>
      </c>
      <c r="DS11">
        <v>89584</v>
      </c>
      <c r="DT11">
        <v>81434</v>
      </c>
      <c r="DU11">
        <v>83360</v>
      </c>
      <c r="DV11">
        <v>123945</v>
      </c>
      <c r="DW11">
        <v>97278</v>
      </c>
      <c r="DX11">
        <v>82959</v>
      </c>
      <c r="DY11">
        <v>90146</v>
      </c>
      <c r="DZ11">
        <v>117154</v>
      </c>
      <c r="EA11">
        <v>94836</v>
      </c>
      <c r="EB11">
        <v>81797</v>
      </c>
      <c r="EC11">
        <v>89498</v>
      </c>
      <c r="ED11">
        <v>119575</v>
      </c>
      <c r="EE11">
        <v>90753</v>
      </c>
      <c r="EF11">
        <v>85777</v>
      </c>
      <c r="EG11">
        <v>94930</v>
      </c>
      <c r="EH11">
        <v>124300</v>
      </c>
      <c r="EI11">
        <v>95359</v>
      </c>
      <c r="EJ11">
        <v>89531.338823969403</v>
      </c>
      <c r="EK11">
        <v>99451.874334663298</v>
      </c>
      <c r="EL11">
        <v>131914.01801288701</v>
      </c>
      <c r="EM11">
        <v>99025.058077941998</v>
      </c>
      <c r="EN11">
        <v>92656.576644937202</v>
      </c>
      <c r="EO11">
        <v>110335.435517041</v>
      </c>
      <c r="EP11">
        <v>146164.718181451</v>
      </c>
      <c r="EQ11">
        <v>107105.177945684</v>
      </c>
      <c r="ER11">
        <v>98941.710025235501</v>
      </c>
      <c r="ES11">
        <v>114318.307785575</v>
      </c>
      <c r="ET11">
        <v>150035.47101190899</v>
      </c>
      <c r="EU11">
        <v>114429.06638606801</v>
      </c>
      <c r="EV11">
        <v>104477.68714233</v>
      </c>
      <c r="EW11">
        <v>118854.80264546099</v>
      </c>
      <c r="EX11">
        <v>157714.91305536299</v>
      </c>
      <c r="EY11">
        <v>116824.60220997399</v>
      </c>
      <c r="EZ11">
        <v>108844.708293339</v>
      </c>
      <c r="FA11">
        <v>126505.11229383</v>
      </c>
      <c r="FB11">
        <v>164247.217360643</v>
      </c>
      <c r="FC11">
        <v>122018.59829532899</v>
      </c>
      <c r="FD11">
        <v>113707.42992652699</v>
      </c>
      <c r="FE11">
        <v>133803.540541808</v>
      </c>
    </row>
    <row r="12" spans="1:161">
      <c r="B12" t="s">
        <v>245</v>
      </c>
      <c r="C12" t="s">
        <v>246</v>
      </c>
      <c r="D12" t="str">
        <f t="shared" si="0"/>
      </c>
      <c r="F12">
        <v>-5817</v>
      </c>
      <c r="G12">
        <v>-4128</v>
      </c>
      <c r="H12">
        <v>-4139</v>
      </c>
      <c r="I12">
        <v>-4499</v>
      </c>
      <c r="J12">
        <v>-6020</v>
      </c>
      <c r="K12">
        <v>-9889</v>
      </c>
      <c r="L12">
        <v>-13717</v>
      </c>
      <c r="M12">
        <v>-16426</v>
      </c>
      <c r="N12">
        <v>-24294</v>
      </c>
      <c r="O12">
        <v>-25683</v>
      </c>
      <c r="P12">
        <v>-39541</v>
      </c>
      <c r="Q12">
        <v>-64431</v>
      </c>
      <c r="R12">
        <v>-87846</v>
      </c>
      <c r="S12">
        <v>-106606</v>
      </c>
      <c r="T12">
        <v>-112258</v>
      </c>
      <c r="U12">
        <v>-140089</v>
      </c>
      <c r="V12">
        <v>-131376</v>
      </c>
      <c r="W12">
        <v>-141048</v>
      </c>
      <c r="X12">
        <v>-163756</v>
      </c>
      <c r="Y12">
        <v>-161782</v>
      </c>
      <c r="Z12">
        <v>-169559</v>
      </c>
      <c r="AA12">
        <v>-212981</v>
      </c>
      <c r="AB12">
        <v>-223546</v>
      </c>
      <c r="AC12">
        <v>-214137</v>
      </c>
      <c r="AD12">
        <v>-210352</v>
      </c>
      <c r="AE12">
        <v>-218243.79223882899</v>
      </c>
      <c r="AF12">
        <v>-235446.47133890499</v>
      </c>
      <c r="AG12">
        <v>-250587.513770894</v>
      </c>
      <c r="AH12">
        <v>-259452.32923463301</v>
      </c>
      <c r="AI12">
        <v>-268651.63839821803</v>
      </c>
      <c r="AJ12">
        <v>-278830.80825860001</v>
      </c>
      <c r="AL12">
        <v>-1736</v>
      </c>
      <c r="AM12">
        <v>-1396</v>
      </c>
      <c r="AN12">
        <v>-1282</v>
      </c>
      <c r="AO12">
        <v>-1403</v>
      </c>
      <c r="AP12">
        <v>-1028</v>
      </c>
      <c r="AQ12">
        <v>-1046</v>
      </c>
      <c r="AR12">
        <v>-1041</v>
      </c>
      <c r="AS12">
        <v>-1013</v>
      </c>
      <c r="AT12">
        <v>-953</v>
      </c>
      <c r="AU12">
        <v>-1086</v>
      </c>
      <c r="AV12">
        <v>-1038</v>
      </c>
      <c r="AW12">
        <v>-1062</v>
      </c>
      <c r="AX12">
        <v>-1066</v>
      </c>
      <c r="AY12">
        <v>-1057</v>
      </c>
      <c r="AZ12">
        <v>-1117</v>
      </c>
      <c r="BA12">
        <v>-1259</v>
      </c>
      <c r="BB12">
        <v>-1470</v>
      </c>
      <c r="BC12">
        <v>-1379</v>
      </c>
      <c r="BD12">
        <v>-1455</v>
      </c>
      <c r="BE12">
        <v>-1716</v>
      </c>
      <c r="BF12">
        <v>-2495</v>
      </c>
      <c r="BG12">
        <v>-2275</v>
      </c>
      <c r="BH12">
        <v>-2476</v>
      </c>
      <c r="BI12">
        <v>-2643</v>
      </c>
      <c r="BJ12">
        <v>-4185</v>
      </c>
      <c r="BK12">
        <v>-3062</v>
      </c>
      <c r="BL12">
        <v>-3045</v>
      </c>
      <c r="BM12">
        <v>-3425</v>
      </c>
      <c r="BN12">
        <v>-4900</v>
      </c>
      <c r="BO12">
        <v>-3435</v>
      </c>
      <c r="BP12">
        <v>-3530</v>
      </c>
      <c r="BQ12">
        <v>-4561</v>
      </c>
      <c r="BR12">
        <v>-7026</v>
      </c>
      <c r="BS12">
        <v>-5373</v>
      </c>
      <c r="BT12">
        <v>-4818</v>
      </c>
      <c r="BU12">
        <v>-7077</v>
      </c>
      <c r="BV12">
        <v>-7373</v>
      </c>
      <c r="BW12">
        <v>-5457</v>
      </c>
      <c r="BX12">
        <v>-5751</v>
      </c>
      <c r="BY12">
        <v>-7102</v>
      </c>
      <c r="BZ12">
        <v>-9272</v>
      </c>
      <c r="CA12">
        <v>-7874</v>
      </c>
      <c r="CB12">
        <v>-9564</v>
      </c>
      <c r="CC12">
        <v>-12831</v>
      </c>
      <c r="CD12">
        <v>-16443</v>
      </c>
      <c r="CE12">
        <v>-14449</v>
      </c>
      <c r="CF12">
        <v>-16649</v>
      </c>
      <c r="CG12">
        <v>-16890</v>
      </c>
      <c r="CH12">
        <v>-25630</v>
      </c>
      <c r="CI12">
        <v>-20622</v>
      </c>
      <c r="CJ12">
        <v>-20029</v>
      </c>
      <c r="CK12">
        <v>-21565</v>
      </c>
      <c r="CL12">
        <v>-33452</v>
      </c>
      <c r="CM12">
        <v>-27254</v>
      </c>
      <c r="CN12">
        <v>-22299</v>
      </c>
      <c r="CO12">
        <v>-23601</v>
      </c>
      <c r="CP12">
        <v>-35748</v>
      </c>
      <c r="CQ12">
        <v>-27699</v>
      </c>
      <c r="CR12">
        <v>-22697</v>
      </c>
      <c r="CS12">
        <v>-26114</v>
      </c>
      <c r="CT12">
        <v>-44858</v>
      </c>
      <c r="CU12">
        <v>-34354</v>
      </c>
      <c r="CV12">
        <v>-29924</v>
      </c>
      <c r="CW12">
        <v>-30953</v>
      </c>
      <c r="CX12">
        <v>-45449</v>
      </c>
      <c r="CY12">
        <v>-30636</v>
      </c>
      <c r="CZ12">
        <v>-26252</v>
      </c>
      <c r="DA12">
        <v>-29039</v>
      </c>
      <c r="DB12">
        <v>-48175</v>
      </c>
      <c r="DC12">
        <v>-32305</v>
      </c>
      <c r="DD12">
        <v>-27920</v>
      </c>
      <c r="DE12">
        <v>-32648</v>
      </c>
      <c r="DF12">
        <v>-54381</v>
      </c>
      <c r="DG12">
        <v>-37715</v>
      </c>
      <c r="DH12">
        <v>-32844</v>
      </c>
      <c r="DI12">
        <v>-38816</v>
      </c>
      <c r="DJ12">
        <v>-52279</v>
      </c>
      <c r="DK12">
        <v>-36194</v>
      </c>
      <c r="DL12">
        <v>-33582</v>
      </c>
      <c r="DM12">
        <v>-39727</v>
      </c>
      <c r="DN12">
        <v>-56602</v>
      </c>
      <c r="DO12">
        <v>-35943</v>
      </c>
      <c r="DP12">
        <v>-37005</v>
      </c>
      <c r="DQ12">
        <v>-40009</v>
      </c>
      <c r="DR12">
        <v>-67111</v>
      </c>
      <c r="DS12">
        <v>-51505</v>
      </c>
      <c r="DT12">
        <v>-46179</v>
      </c>
      <c r="DU12">
        <v>-48186</v>
      </c>
      <c r="DV12">
        <v>-69702</v>
      </c>
      <c r="DW12">
        <v>-54719</v>
      </c>
      <c r="DX12">
        <v>-47074</v>
      </c>
      <c r="DY12">
        <v>-52051</v>
      </c>
      <c r="DZ12">
        <v>-66822</v>
      </c>
      <c r="EA12">
        <v>-52860</v>
      </c>
      <c r="EB12">
        <v>-45384</v>
      </c>
      <c r="EC12">
        <v>-49071</v>
      </c>
      <c r="ED12">
        <v>-64720</v>
      </c>
      <c r="EE12">
        <v>-48482</v>
      </c>
      <c r="EF12">
        <v>-46099</v>
      </c>
      <c r="EG12">
        <v>-51051</v>
      </c>
      <c r="EH12">
        <v>-66025</v>
      </c>
      <c r="EI12">
        <v>-50492</v>
      </c>
      <c r="EJ12">
        <v>-47922.194854093199</v>
      </c>
      <c r="EK12">
        <v>-53804.597384735403</v>
      </c>
      <c r="EL12">
        <v>-72895.129209388004</v>
      </c>
      <c r="EM12">
        <v>-53165.132493515302</v>
      </c>
      <c r="EN12">
        <v>-49432.926866591399</v>
      </c>
      <c r="EO12">
        <v>-59953.282769410303</v>
      </c>
      <c r="EP12">
        <v>-79602.564499898304</v>
      </c>
      <c r="EQ12">
        <v>-57321.551021445397</v>
      </c>
      <c r="ER12">
        <v>-52385.647275591102</v>
      </c>
      <c r="ES12">
        <v>-61277.750973959097</v>
      </c>
      <c r="ET12">
        <v>-80833.322241241403</v>
      </c>
      <c r="EU12">
        <v>-60890.109361922303</v>
      </c>
      <c r="EV12">
        <v>-54789.296555517998</v>
      </c>
      <c r="EW12">
        <v>-62939.601075951301</v>
      </c>
      <c r="EX12">
        <v>-84415.204488177202</v>
      </c>
      <c r="EY12">
        <v>-61235.767723309</v>
      </c>
      <c r="EZ12">
        <v>-56401.055835549603</v>
      </c>
      <c r="FA12">
        <v>-66599.610351181895</v>
      </c>
      <c r="FB12">
        <v>-87229.408844137099</v>
      </c>
      <c r="FC12">
        <v>-63343.375642652398</v>
      </c>
      <c r="FD12">
        <v>-58280.752294295002</v>
      </c>
      <c r="FE12">
        <v>-69977.271477515198</v>
      </c>
    </row>
    <row r="13" spans="1:161">
      <c r="B13" t="s">
        <v>247</v>
      </c>
      <c r="C13" t="s">
        <v>248</v>
      </c>
      <c r="D13" t="str">
        <f t="shared" si="0"/>
      </c>
      <c r="F13">
        <v>-1166</v>
      </c>
      <c r="G13">
        <v>-1138</v>
      </c>
      <c r="H13">
        <v>-1111.5</v>
      </c>
      <c r="I13">
        <v>-1212</v>
      </c>
      <c r="J13">
        <v>-1421</v>
      </c>
      <c r="K13">
        <v>-1864</v>
      </c>
      <c r="L13">
        <v>-2433</v>
      </c>
      <c r="M13">
        <v>-2963</v>
      </c>
      <c r="N13">
        <v>-3761</v>
      </c>
      <c r="O13">
        <v>-4149</v>
      </c>
      <c r="P13">
        <v>-5517</v>
      </c>
      <c r="Q13">
        <v>-7599</v>
      </c>
      <c r="R13">
        <v>-10040</v>
      </c>
      <c r="S13">
        <v>-10830</v>
      </c>
      <c r="T13">
        <v>-11993</v>
      </c>
      <c r="U13">
        <v>-14329</v>
      </c>
      <c r="V13">
        <v>-14194</v>
      </c>
      <c r="W13">
        <v>-15261</v>
      </c>
      <c r="X13">
        <v>-16705</v>
      </c>
      <c r="Y13">
        <v>-18245</v>
      </c>
      <c r="Z13">
        <v>-19916</v>
      </c>
      <c r="AA13">
        <v>-21973</v>
      </c>
      <c r="AB13">
        <v>-25094</v>
      </c>
      <c r="AC13">
        <v>-24932</v>
      </c>
      <c r="AD13">
        <v>-26097</v>
      </c>
      <c r="AE13">
        <v>-27359</v>
      </c>
      <c r="AF13">
        <v>-28062</v>
      </c>
      <c r="AG13">
        <v>-28862</v>
      </c>
      <c r="AH13">
        <v>-29662</v>
      </c>
      <c r="AI13">
        <v>-30462</v>
      </c>
      <c r="AJ13">
        <v>-31262</v>
      </c>
      <c r="AL13">
        <v>-319</v>
      </c>
      <c r="AM13">
        <v>-287</v>
      </c>
      <c r="AN13">
        <v>-278</v>
      </c>
      <c r="AO13">
        <v>-282</v>
      </c>
      <c r="AP13">
        <v>-297</v>
      </c>
      <c r="AQ13">
        <v>-292</v>
      </c>
      <c r="AR13">
        <v>-281</v>
      </c>
      <c r="AS13">
        <v>-268</v>
      </c>
      <c r="AT13">
        <v>-289</v>
      </c>
      <c r="AU13">
        <v>-270.5</v>
      </c>
      <c r="AV13">
        <v>-272</v>
      </c>
      <c r="AW13">
        <v>-280</v>
      </c>
      <c r="AX13">
        <v>-299</v>
      </c>
      <c r="AY13">
        <v>-300</v>
      </c>
      <c r="AZ13">
        <v>-299</v>
      </c>
      <c r="BA13">
        <v>-314</v>
      </c>
      <c r="BB13">
        <v>-343</v>
      </c>
      <c r="BC13">
        <v>-345</v>
      </c>
      <c r="BD13">
        <v>-354</v>
      </c>
      <c r="BE13">
        <v>-379</v>
      </c>
      <c r="BF13">
        <v>-472</v>
      </c>
      <c r="BG13">
        <v>-448</v>
      </c>
      <c r="BH13">
        <v>-473</v>
      </c>
      <c r="BI13">
        <v>-471</v>
      </c>
      <c r="BJ13">
        <v>-632</v>
      </c>
      <c r="BK13">
        <v>-592</v>
      </c>
      <c r="BL13">
        <v>-584</v>
      </c>
      <c r="BM13">
        <v>-625</v>
      </c>
      <c r="BN13">
        <v>-714</v>
      </c>
      <c r="BO13">
        <v>-680</v>
      </c>
      <c r="BP13">
        <v>-746</v>
      </c>
      <c r="BQ13">
        <v>-823</v>
      </c>
      <c r="BR13">
        <v>-960</v>
      </c>
      <c r="BS13">
        <v>-886</v>
      </c>
      <c r="BT13">
        <v>-916</v>
      </c>
      <c r="BU13">
        <v>-999</v>
      </c>
      <c r="BV13">
        <v>-1091</v>
      </c>
      <c r="BW13">
        <v>-985</v>
      </c>
      <c r="BX13">
        <v>-1010</v>
      </c>
      <c r="BY13">
        <v>-1063</v>
      </c>
      <c r="BZ13">
        <v>-1288</v>
      </c>
      <c r="CA13">
        <v>-1220</v>
      </c>
      <c r="CB13">
        <v>-1438</v>
      </c>
      <c r="CC13">
        <v>-1571</v>
      </c>
      <c r="CD13">
        <v>-1896</v>
      </c>
      <c r="CE13">
        <v>-1763</v>
      </c>
      <c r="CF13">
        <v>-1915</v>
      </c>
      <c r="CG13">
        <v>-2025</v>
      </c>
      <c r="CH13">
        <v>-2605</v>
      </c>
      <c r="CI13">
        <v>-2339</v>
      </c>
      <c r="CJ13">
        <v>-2545</v>
      </c>
      <c r="CK13">
        <v>-2551</v>
      </c>
      <c r="CL13">
        <v>-2840</v>
      </c>
      <c r="CM13">
        <v>-2672</v>
      </c>
      <c r="CN13">
        <v>-2645</v>
      </c>
      <c r="CO13">
        <v>-2673</v>
      </c>
      <c r="CP13">
        <v>-3053</v>
      </c>
      <c r="CQ13">
        <v>-2932</v>
      </c>
      <c r="CR13">
        <v>-2850</v>
      </c>
      <c r="CS13">
        <v>-3158</v>
      </c>
      <c r="CT13">
        <v>-3600</v>
      </c>
      <c r="CU13">
        <v>-3460</v>
      </c>
      <c r="CV13">
        <v>-3564</v>
      </c>
      <c r="CW13">
        <v>-3705</v>
      </c>
      <c r="CX13">
        <v>-3848</v>
      </c>
      <c r="CY13">
        <v>-3423</v>
      </c>
      <c r="CZ13">
        <v>-3441</v>
      </c>
      <c r="DA13">
        <v>-3482</v>
      </c>
      <c r="DB13">
        <v>-3946</v>
      </c>
      <c r="DC13">
        <v>-3718</v>
      </c>
      <c r="DD13">
        <v>-3783</v>
      </c>
      <c r="DE13">
        <v>-3814</v>
      </c>
      <c r="DF13">
        <v>-4231</v>
      </c>
      <c r="DG13">
        <v>-4150</v>
      </c>
      <c r="DH13">
        <v>-4108</v>
      </c>
      <c r="DI13">
        <v>-4216</v>
      </c>
      <c r="DJ13">
        <v>-4783</v>
      </c>
      <c r="DK13">
        <v>-4458</v>
      </c>
      <c r="DL13">
        <v>-4426</v>
      </c>
      <c r="DM13">
        <v>-4578</v>
      </c>
      <c r="DN13">
        <v>-5197</v>
      </c>
      <c r="DO13">
        <v>-4952</v>
      </c>
      <c r="DP13">
        <v>-4831</v>
      </c>
      <c r="DQ13">
        <v>-4936</v>
      </c>
      <c r="DR13">
        <v>-5631</v>
      </c>
      <c r="DS13">
        <v>-5314</v>
      </c>
      <c r="DT13">
        <v>-5412</v>
      </c>
      <c r="DU13">
        <v>-5616</v>
      </c>
      <c r="DV13">
        <v>-6449</v>
      </c>
      <c r="DW13">
        <v>-6193</v>
      </c>
      <c r="DX13">
        <v>-6012</v>
      </c>
      <c r="DY13">
        <v>-6440</v>
      </c>
      <c r="DZ13">
        <v>-6607</v>
      </c>
      <c r="EA13">
        <v>-6201</v>
      </c>
      <c r="EB13">
        <v>-5973</v>
      </c>
      <c r="EC13">
        <v>-6151</v>
      </c>
      <c r="ED13">
        <v>-6786</v>
      </c>
      <c r="EE13">
        <v>-6468</v>
      </c>
      <c r="EF13">
        <v>-6320</v>
      </c>
      <c r="EG13">
        <v>-6523</v>
      </c>
      <c r="EH13">
        <v>-7175</v>
      </c>
      <c r="EI13">
        <v>-6728</v>
      </c>
      <c r="EJ13">
        <v>-6678</v>
      </c>
      <c r="EK13">
        <v>-6778</v>
      </c>
      <c r="EL13">
        <v>-7278</v>
      </c>
      <c r="EM13">
        <v>-6928</v>
      </c>
      <c r="EN13">
        <v>-6878</v>
      </c>
      <c r="EO13">
        <v>-6978</v>
      </c>
      <c r="EP13">
        <v>-7478</v>
      </c>
      <c r="EQ13">
        <v>-7128</v>
      </c>
      <c r="ER13">
        <v>-7078</v>
      </c>
      <c r="ES13">
        <v>-7178</v>
      </c>
      <c r="ET13">
        <v>-7678</v>
      </c>
      <c r="EU13">
        <v>-7328</v>
      </c>
      <c r="EV13">
        <v>-7278</v>
      </c>
      <c r="EW13">
        <v>-7378</v>
      </c>
      <c r="EX13">
        <v>-7878</v>
      </c>
      <c r="EY13">
        <v>-7528</v>
      </c>
      <c r="EZ13">
        <v>-7478</v>
      </c>
      <c r="FA13">
        <v>-7578</v>
      </c>
      <c r="FB13">
        <v>-8078</v>
      </c>
      <c r="FC13">
        <v>-7728</v>
      </c>
      <c r="FD13">
        <v>-7678</v>
      </c>
      <c r="FE13">
        <v>-7778</v>
      </c>
    </row>
    <row r="14" spans="1:161">
      <c r="B14" t="s">
        <v>249</v>
      </c>
      <c r="C14" t="s">
        <v>250</v>
      </c>
      <c r="D14" t="str">
        <f t="shared" si="0"/>
      </c>
      <c r="F14">
        <v>-6983</v>
      </c>
      <c r="G14">
        <v>-5266</v>
      </c>
      <c r="H14">
        <v>-5250.5</v>
      </c>
      <c r="I14">
        <v>-5711</v>
      </c>
      <c r="J14">
        <v>-7441</v>
      </c>
      <c r="K14">
        <v>-11753</v>
      </c>
      <c r="L14">
        <v>-16150</v>
      </c>
      <c r="M14">
        <v>-19389</v>
      </c>
      <c r="N14">
        <v>-28055</v>
      </c>
      <c r="O14">
        <v>-29832</v>
      </c>
      <c r="P14">
        <v>-45058</v>
      </c>
      <c r="Q14">
        <v>-72030</v>
      </c>
      <c r="R14">
        <v>-97886</v>
      </c>
      <c r="S14">
        <v>-117436</v>
      </c>
      <c r="T14">
        <v>-124251</v>
      </c>
      <c r="U14">
        <v>-154418</v>
      </c>
      <c r="V14">
        <v>-145570</v>
      </c>
      <c r="W14">
        <v>-156309</v>
      </c>
      <c r="X14">
        <v>-180461</v>
      </c>
      <c r="Y14">
        <v>-180027</v>
      </c>
      <c r="Z14">
        <v>-189475</v>
      </c>
      <c r="AA14">
        <v>-234954</v>
      </c>
      <c r="AB14">
        <v>-248640</v>
      </c>
      <c r="AC14">
        <v>-239069</v>
      </c>
      <c r="AD14">
        <v>-236449</v>
      </c>
      <c r="AE14">
        <v>-245602.79223882899</v>
      </c>
      <c r="AF14">
        <v>-263508.47133890499</v>
      </c>
      <c r="AG14">
        <v>-279449.51377089397</v>
      </c>
      <c r="AH14">
        <v>-289114.32923463301</v>
      </c>
      <c r="AI14">
        <v>-299113.63839821803</v>
      </c>
      <c r="AJ14">
        <v>-310092.80825860001</v>
      </c>
      <c r="AL14">
        <v>-2055</v>
      </c>
      <c r="AM14">
        <v>-1683</v>
      </c>
      <c r="AN14">
        <v>-1560</v>
      </c>
      <c r="AO14">
        <v>-1685</v>
      </c>
      <c r="AP14">
        <v>-1325</v>
      </c>
      <c r="AQ14">
        <v>-1338</v>
      </c>
      <c r="AR14">
        <v>-1322</v>
      </c>
      <c r="AS14">
        <v>-1281</v>
      </c>
      <c r="AT14">
        <v>-1242</v>
      </c>
      <c r="AU14">
        <v>-1356.5</v>
      </c>
      <c r="AV14">
        <v>-1310</v>
      </c>
      <c r="AW14">
        <v>-1342</v>
      </c>
      <c r="AX14">
        <v>-1365</v>
      </c>
      <c r="AY14">
        <v>-1357</v>
      </c>
      <c r="AZ14">
        <v>-1416</v>
      </c>
      <c r="BA14">
        <v>-1573</v>
      </c>
      <c r="BB14">
        <v>-1813</v>
      </c>
      <c r="BC14">
        <v>-1724</v>
      </c>
      <c r="BD14">
        <v>-1809</v>
      </c>
      <c r="BE14">
        <v>-2095</v>
      </c>
      <c r="BF14">
        <v>-2967</v>
      </c>
      <c r="BG14">
        <v>-2723</v>
      </c>
      <c r="BH14">
        <v>-2949</v>
      </c>
      <c r="BI14">
        <v>-3114</v>
      </c>
      <c r="BJ14">
        <v>-4817</v>
      </c>
      <c r="BK14">
        <v>-3654</v>
      </c>
      <c r="BL14">
        <v>-3629</v>
      </c>
      <c r="BM14">
        <v>-4050</v>
      </c>
      <c r="BN14">
        <v>-5614</v>
      </c>
      <c r="BO14">
        <v>-4115</v>
      </c>
      <c r="BP14">
        <v>-4276</v>
      </c>
      <c r="BQ14">
        <v>-5384</v>
      </c>
      <c r="BR14">
        <v>-7986</v>
      </c>
      <c r="BS14">
        <v>-6259</v>
      </c>
      <c r="BT14">
        <v>-5734</v>
      </c>
      <c r="BU14">
        <v>-8076</v>
      </c>
      <c r="BV14">
        <v>-8464</v>
      </c>
      <c r="BW14">
        <v>-6442</v>
      </c>
      <c r="BX14">
        <v>-6761</v>
      </c>
      <c r="BY14">
        <v>-8165</v>
      </c>
      <c r="BZ14">
        <v>-10560</v>
      </c>
      <c r="CA14">
        <v>-9094</v>
      </c>
      <c r="CB14">
        <v>-11002</v>
      </c>
      <c r="CC14">
        <v>-14402</v>
      </c>
      <c r="CD14">
        <v>-18339</v>
      </c>
      <c r="CE14">
        <v>-16212</v>
      </c>
      <c r="CF14">
        <v>-18564</v>
      </c>
      <c r="CG14">
        <v>-18915</v>
      </c>
      <c r="CH14">
        <v>-28235</v>
      </c>
      <c r="CI14">
        <v>-22961</v>
      </c>
      <c r="CJ14">
        <v>-22574</v>
      </c>
      <c r="CK14">
        <v>-24116</v>
      </c>
      <c r="CL14">
        <v>-36292</v>
      </c>
      <c r="CM14">
        <v>-29926</v>
      </c>
      <c r="CN14">
        <v>-24944</v>
      </c>
      <c r="CO14">
        <v>-26274</v>
      </c>
      <c r="CP14">
        <v>-38801</v>
      </c>
      <c r="CQ14">
        <v>-30631</v>
      </c>
      <c r="CR14">
        <v>-25547</v>
      </c>
      <c r="CS14">
        <v>-29272</v>
      </c>
      <c r="CT14">
        <v>-48458</v>
      </c>
      <c r="CU14">
        <v>-37814</v>
      </c>
      <c r="CV14">
        <v>-33488</v>
      </c>
      <c r="CW14">
        <v>-34658</v>
      </c>
      <c r="CX14">
        <v>-49297</v>
      </c>
      <c r="CY14">
        <v>-34059</v>
      </c>
      <c r="CZ14">
        <v>-29693</v>
      </c>
      <c r="DA14">
        <v>-32521</v>
      </c>
      <c r="DB14">
        <v>-52121</v>
      </c>
      <c r="DC14">
        <v>-36023</v>
      </c>
      <c r="DD14">
        <v>-31703</v>
      </c>
      <c r="DE14">
        <v>-36462</v>
      </c>
      <c r="DF14">
        <v>-58612</v>
      </c>
      <c r="DG14">
        <v>-41865</v>
      </c>
      <c r="DH14">
        <v>-36952</v>
      </c>
      <c r="DI14">
        <v>-43032</v>
      </c>
      <c r="DJ14">
        <v>-57062</v>
      </c>
      <c r="DK14">
        <v>-40652</v>
      </c>
      <c r="DL14">
        <v>-38008</v>
      </c>
      <c r="DM14">
        <v>-44305</v>
      </c>
      <c r="DN14">
        <v>-61799</v>
      </c>
      <c r="DO14">
        <v>-40895</v>
      </c>
      <c r="DP14">
        <v>-41836</v>
      </c>
      <c r="DQ14">
        <v>-44945</v>
      </c>
      <c r="DR14">
        <v>-72742</v>
      </c>
      <c r="DS14">
        <v>-56819</v>
      </c>
      <c r="DT14">
        <v>-51591</v>
      </c>
      <c r="DU14">
        <v>-53802</v>
      </c>
      <c r="DV14">
        <v>-76151</v>
      </c>
      <c r="DW14">
        <v>-60912</v>
      </c>
      <c r="DX14">
        <v>-53086</v>
      </c>
      <c r="DY14">
        <v>-58491</v>
      </c>
      <c r="DZ14">
        <v>-73429</v>
      </c>
      <c r="EA14">
        <v>-59061</v>
      </c>
      <c r="EB14">
        <v>-51357</v>
      </c>
      <c r="EC14">
        <v>-55222</v>
      </c>
      <c r="ED14">
        <v>-71506</v>
      </c>
      <c r="EE14">
        <v>-54950</v>
      </c>
      <c r="EF14">
        <v>-52419</v>
      </c>
      <c r="EG14">
        <v>-57574</v>
      </c>
      <c r="EH14">
        <v>-73200</v>
      </c>
      <c r="EI14">
        <v>-57220</v>
      </c>
      <c r="EJ14">
        <v>-54600.194854093199</v>
      </c>
      <c r="EK14">
        <v>-60582.597384735403</v>
      </c>
      <c r="EL14">
        <v>-80173.129209388004</v>
      </c>
      <c r="EM14">
        <v>-60093.132493515302</v>
      </c>
      <c r="EN14">
        <v>-56310.926866591399</v>
      </c>
      <c r="EO14">
        <v>-66931.282769410303</v>
      </c>
      <c r="EP14">
        <v>-87080.564499898304</v>
      </c>
      <c r="EQ14">
        <v>-64449.551021445397</v>
      </c>
      <c r="ER14">
        <v>-59463.647275591102</v>
      </c>
      <c r="ES14">
        <v>-68455.750973959104</v>
      </c>
      <c r="ET14">
        <v>-88511.322241241403</v>
      </c>
      <c r="EU14">
        <v>-68218.109361922296</v>
      </c>
      <c r="EV14">
        <v>-62067.296555517998</v>
      </c>
      <c r="EW14">
        <v>-70317.601075951301</v>
      </c>
      <c r="EX14">
        <v>-92293.204488177202</v>
      </c>
      <c r="EY14">
        <v>-68763.767723309007</v>
      </c>
      <c r="EZ14">
        <v>-63879.055835549603</v>
      </c>
      <c r="FA14">
        <v>-74177.610351181895</v>
      </c>
      <c r="FB14">
        <v>-95307.408844137099</v>
      </c>
      <c r="FC14">
        <v>-71071.375642652405</v>
      </c>
      <c r="FD14">
        <v>-65958.752294295002</v>
      </c>
      <c r="FE14">
        <v>-77755.271477515198</v>
      </c>
    </row>
    <row r="15" spans="1:161">
      <c r="B15" t="s">
        <v>251</v>
      </c>
      <c r="C15" t="s">
        <v>252</v>
      </c>
      <c r="D15" t="str">
        <f t="shared" si="0"/>
      </c>
      <c r="F15">
        <v>-380</v>
      </c>
      <c r="G15">
        <v>-430</v>
      </c>
      <c r="H15">
        <v>-446</v>
      </c>
      <c r="I15">
        <v>-471</v>
      </c>
      <c r="J15">
        <v>-489</v>
      </c>
      <c r="K15">
        <v>-535</v>
      </c>
      <c r="L15">
        <v>-712</v>
      </c>
      <c r="M15">
        <v>-782</v>
      </c>
      <c r="N15">
        <v>-1109</v>
      </c>
      <c r="O15">
        <v>-1333</v>
      </c>
      <c r="P15">
        <v>-1782</v>
      </c>
      <c r="Q15">
        <v>-2429</v>
      </c>
      <c r="R15">
        <v>-3381</v>
      </c>
      <c r="S15">
        <v>-4475</v>
      </c>
      <c r="T15">
        <v>-6041</v>
      </c>
      <c r="U15">
        <v>-8067</v>
      </c>
      <c r="V15">
        <v>-10045</v>
      </c>
      <c r="W15">
        <v>-11581</v>
      </c>
      <c r="X15">
        <v>-14236</v>
      </c>
      <c r="Y15">
        <v>-16217</v>
      </c>
      <c r="Z15">
        <v>-18752</v>
      </c>
      <c r="AA15">
        <v>-21914</v>
      </c>
      <c r="AB15">
        <v>-26251</v>
      </c>
      <c r="AC15">
        <v>-29915</v>
      </c>
      <c r="AD15">
        <v>-31370</v>
      </c>
      <c r="AE15">
        <v>-34368</v>
      </c>
      <c r="AF15">
        <v>-37150</v>
      </c>
      <c r="AG15">
        <v>-39750</v>
      </c>
      <c r="AH15">
        <v>-42350</v>
      </c>
      <c r="AI15">
        <v>-44950</v>
      </c>
      <c r="AJ15">
        <v>-47550</v>
      </c>
      <c r="AL15">
        <v>-90</v>
      </c>
      <c r="AM15">
        <v>-92</v>
      </c>
      <c r="AN15">
        <v>-97</v>
      </c>
      <c r="AO15">
        <v>-101</v>
      </c>
      <c r="AP15">
        <v>-102</v>
      </c>
      <c r="AQ15">
        <v>-101</v>
      </c>
      <c r="AR15">
        <v>-111</v>
      </c>
      <c r="AS15">
        <v>-116</v>
      </c>
      <c r="AT15">
        <v>-113</v>
      </c>
      <c r="AU15">
        <v>-111</v>
      </c>
      <c r="AV15">
        <v>-106</v>
      </c>
      <c r="AW15">
        <v>-116</v>
      </c>
      <c r="AX15">
        <v>-121</v>
      </c>
      <c r="AY15">
        <v>-119</v>
      </c>
      <c r="AZ15">
        <v>-120</v>
      </c>
      <c r="BA15">
        <v>-111</v>
      </c>
      <c r="BB15">
        <v>-119</v>
      </c>
      <c r="BC15">
        <v>-123</v>
      </c>
      <c r="BD15">
        <v>-125</v>
      </c>
      <c r="BE15">
        <v>-122</v>
      </c>
      <c r="BF15">
        <v>-123</v>
      </c>
      <c r="BG15">
        <v>-120</v>
      </c>
      <c r="BH15">
        <v>-145</v>
      </c>
      <c r="BI15">
        <v>-147</v>
      </c>
      <c r="BJ15">
        <v>-182</v>
      </c>
      <c r="BK15">
        <v>-176</v>
      </c>
      <c r="BL15">
        <v>-175</v>
      </c>
      <c r="BM15">
        <v>-179</v>
      </c>
      <c r="BN15">
        <v>-184</v>
      </c>
      <c r="BO15">
        <v>-183</v>
      </c>
      <c r="BP15">
        <v>-208</v>
      </c>
      <c r="BQ15">
        <v>-207</v>
      </c>
      <c r="BR15">
        <v>-246</v>
      </c>
      <c r="BS15">
        <v>-273</v>
      </c>
      <c r="BT15">
        <v>-292</v>
      </c>
      <c r="BU15">
        <v>-298</v>
      </c>
      <c r="BV15">
        <v>-315</v>
      </c>
      <c r="BW15">
        <v>-319</v>
      </c>
      <c r="BX15">
        <v>-341</v>
      </c>
      <c r="BY15">
        <v>-358</v>
      </c>
      <c r="BZ15">
        <v>-398</v>
      </c>
      <c r="CA15">
        <v>-426</v>
      </c>
      <c r="CB15">
        <v>-464</v>
      </c>
      <c r="CC15">
        <v>-494</v>
      </c>
      <c r="CD15">
        <v>-575</v>
      </c>
      <c r="CE15">
        <v>-581</v>
      </c>
      <c r="CF15">
        <v>-628</v>
      </c>
      <c r="CG15">
        <v>-645</v>
      </c>
      <c r="CH15">
        <v>-758</v>
      </c>
      <c r="CI15">
        <v>-841</v>
      </c>
      <c r="CJ15">
        <v>-876</v>
      </c>
      <c r="CK15">
        <v>-906</v>
      </c>
      <c r="CL15">
        <v>-1010</v>
      </c>
      <c r="CM15">
        <v>-1119</v>
      </c>
      <c r="CN15">
        <v>-1178</v>
      </c>
      <c r="CO15">
        <v>-1168</v>
      </c>
      <c r="CP15">
        <v>-1330</v>
      </c>
      <c r="CQ15">
        <v>-1422</v>
      </c>
      <c r="CR15">
        <v>-1603</v>
      </c>
      <c r="CS15">
        <v>-1686</v>
      </c>
      <c r="CT15">
        <v>-1895</v>
      </c>
      <c r="CU15">
        <v>-1918</v>
      </c>
      <c r="CV15">
        <v>-2034</v>
      </c>
      <c r="CW15">
        <v>-2220</v>
      </c>
      <c r="CX15">
        <v>-2404</v>
      </c>
      <c r="CY15">
        <v>-2511</v>
      </c>
      <c r="CZ15">
        <v>-2560</v>
      </c>
      <c r="DA15">
        <v>-2570</v>
      </c>
      <c r="DB15">
        <v>-2871</v>
      </c>
      <c r="DC15">
        <v>-2776</v>
      </c>
      <c r="DD15">
        <v>-2937</v>
      </c>
      <c r="DE15">
        <v>-2997</v>
      </c>
      <c r="DF15">
        <v>-3407</v>
      </c>
      <c r="DG15">
        <v>-3378</v>
      </c>
      <c r="DH15">
        <v>-3701</v>
      </c>
      <c r="DI15">
        <v>-3750</v>
      </c>
      <c r="DJ15">
        <v>-3902</v>
      </c>
      <c r="DK15">
        <v>-3948</v>
      </c>
      <c r="DL15">
        <v>-4257</v>
      </c>
      <c r="DM15">
        <v>-4110</v>
      </c>
      <c r="DN15">
        <v>-4451</v>
      </c>
      <c r="DO15">
        <v>-4565</v>
      </c>
      <c r="DP15">
        <v>-4758</v>
      </c>
      <c r="DQ15">
        <v>-4978</v>
      </c>
      <c r="DR15">
        <v>-5163</v>
      </c>
      <c r="DS15">
        <v>-5262</v>
      </c>
      <c r="DT15">
        <v>-5717</v>
      </c>
      <c r="DU15">
        <v>-5772</v>
      </c>
      <c r="DV15">
        <v>-6306</v>
      </c>
      <c r="DW15">
        <v>-6387</v>
      </c>
      <c r="DX15">
        <v>-6797</v>
      </c>
      <c r="DY15">
        <v>-6761</v>
      </c>
      <c r="DZ15">
        <v>-7709</v>
      </c>
      <c r="EA15">
        <v>-7457</v>
      </c>
      <c r="EB15">
        <v>-7442</v>
      </c>
      <c r="EC15">
        <v>-7307</v>
      </c>
      <c r="ED15">
        <v>-7696</v>
      </c>
      <c r="EE15">
        <v>-7903</v>
      </c>
      <c r="EF15">
        <v>-8006</v>
      </c>
      <c r="EG15">
        <v>-7765</v>
      </c>
      <c r="EH15">
        <v>-8268</v>
      </c>
      <c r="EI15">
        <v>-8550</v>
      </c>
      <c r="EJ15">
        <v>-8750</v>
      </c>
      <c r="EK15">
        <v>-8800</v>
      </c>
      <c r="EL15">
        <v>-9100</v>
      </c>
      <c r="EM15">
        <v>-9200</v>
      </c>
      <c r="EN15">
        <v>-9400</v>
      </c>
      <c r="EO15">
        <v>-9450</v>
      </c>
      <c r="EP15">
        <v>-9750</v>
      </c>
      <c r="EQ15">
        <v>-9850</v>
      </c>
      <c r="ER15">
        <v>-10050</v>
      </c>
      <c r="ES15">
        <v>-10100</v>
      </c>
      <c r="ET15">
        <v>-10400</v>
      </c>
      <c r="EU15">
        <v>-10500</v>
      </c>
      <c r="EV15">
        <v>-10700</v>
      </c>
      <c r="EW15">
        <v>-10750</v>
      </c>
      <c r="EX15">
        <v>-11050</v>
      </c>
      <c r="EY15">
        <v>-11150</v>
      </c>
      <c r="EZ15">
        <v>-11350</v>
      </c>
      <c r="FA15">
        <v>-11400</v>
      </c>
      <c r="FB15">
        <v>-11700</v>
      </c>
      <c r="FC15">
        <v>-11800</v>
      </c>
      <c r="FD15">
        <v>-12000</v>
      </c>
      <c r="FE15">
        <v>-12050</v>
      </c>
    </row>
    <row r="16" spans="1:161">
      <c r="B16" t="s">
        <v>253</v>
      </c>
      <c r="C16" t="s">
        <v>254</v>
      </c>
      <c r="D16" t="str">
        <f t="shared" si="0"/>
      </c>
    </row>
    <row r="17" spans="1:161">
      <c r="B17" t="s">
        <v>255</v>
      </c>
      <c r="C17" t="s">
        <v>256</v>
      </c>
      <c r="D17" t="str">
        <f t="shared" si="0"/>
      </c>
    </row>
    <row r="18" spans="1:161">
      <c r="B18" t="s">
        <v>257</v>
      </c>
      <c r="C18" t="s">
        <v>258</v>
      </c>
      <c r="D18" t="str">
        <f t="shared" si="0"/>
      </c>
      <c r="F18">
        <v>-7363</v>
      </c>
      <c r="G18">
        <v>-5696</v>
      </c>
      <c r="H18">
        <v>-5696.5</v>
      </c>
      <c r="I18">
        <v>-6182</v>
      </c>
      <c r="J18">
        <v>-7930</v>
      </c>
      <c r="K18">
        <v>-12288</v>
      </c>
      <c r="L18">
        <v>-16862</v>
      </c>
      <c r="M18">
        <v>-20171</v>
      </c>
      <c r="N18">
        <v>-29164</v>
      </c>
      <c r="O18">
        <v>-31165</v>
      </c>
      <c r="P18">
        <v>-46840</v>
      </c>
      <c r="Q18">
        <v>-74459</v>
      </c>
      <c r="R18">
        <v>-101267</v>
      </c>
      <c r="S18">
        <v>-121911</v>
      </c>
      <c r="T18">
        <v>-130292</v>
      </c>
      <c r="U18">
        <v>-162485</v>
      </c>
      <c r="V18">
        <v>-155615</v>
      </c>
      <c r="W18">
        <v>-167890</v>
      </c>
      <c r="X18">
        <v>-194697</v>
      </c>
      <c r="Y18">
        <v>-196244</v>
      </c>
      <c r="Z18">
        <v>-208227</v>
      </c>
      <c r="AA18">
        <v>-256868</v>
      </c>
      <c r="AB18">
        <v>-274891</v>
      </c>
      <c r="AC18">
        <v>-268984</v>
      </c>
      <c r="AD18">
        <v>-267819</v>
      </c>
      <c r="AE18">
        <v>-279970.79223882902</v>
      </c>
      <c r="AF18">
        <v>-300658.47133890499</v>
      </c>
      <c r="AG18">
        <v>-319199.51377089397</v>
      </c>
      <c r="AH18">
        <v>-331464.32923463301</v>
      </c>
      <c r="AI18">
        <v>-344063.63839821803</v>
      </c>
      <c r="AJ18">
        <v>-357642.80825860001</v>
      </c>
      <c r="AL18">
        <v>-2145</v>
      </c>
      <c r="AM18">
        <v>-1775</v>
      </c>
      <c r="AN18">
        <v>-1657</v>
      </c>
      <c r="AO18">
        <v>-1786</v>
      </c>
      <c r="AP18">
        <v>-1427</v>
      </c>
      <c r="AQ18">
        <v>-1439</v>
      </c>
      <c r="AR18">
        <v>-1433</v>
      </c>
      <c r="AS18">
        <v>-1397</v>
      </c>
      <c r="AT18">
        <v>-1355</v>
      </c>
      <c r="AU18">
        <v>-1467.5</v>
      </c>
      <c r="AV18">
        <v>-1416</v>
      </c>
      <c r="AW18">
        <v>-1458</v>
      </c>
      <c r="AX18">
        <v>-1486</v>
      </c>
      <c r="AY18">
        <v>-1476</v>
      </c>
      <c r="AZ18">
        <v>-1536</v>
      </c>
      <c r="BA18">
        <v>-1684</v>
      </c>
      <c r="BB18">
        <v>-1932</v>
      </c>
      <c r="BC18">
        <v>-1847</v>
      </c>
      <c r="BD18">
        <v>-1934</v>
      </c>
      <c r="BE18">
        <v>-2217</v>
      </c>
      <c r="BF18">
        <v>-3090</v>
      </c>
      <c r="BG18">
        <v>-2843</v>
      </c>
      <c r="BH18">
        <v>-3094</v>
      </c>
      <c r="BI18">
        <v>-3261</v>
      </c>
      <c r="BJ18">
        <v>-4999</v>
      </c>
      <c r="BK18">
        <v>-3830</v>
      </c>
      <c r="BL18">
        <v>-3804</v>
      </c>
      <c r="BM18">
        <v>-4229</v>
      </c>
      <c r="BN18">
        <v>-5798</v>
      </c>
      <c r="BO18">
        <v>-4298</v>
      </c>
      <c r="BP18">
        <v>-4484</v>
      </c>
      <c r="BQ18">
        <v>-5591</v>
      </c>
      <c r="BR18">
        <v>-8232</v>
      </c>
      <c r="BS18">
        <v>-6532</v>
      </c>
      <c r="BT18">
        <v>-6026</v>
      </c>
      <c r="BU18">
        <v>-8374</v>
      </c>
      <c r="BV18">
        <v>-8779</v>
      </c>
      <c r="BW18">
        <v>-6761</v>
      </c>
      <c r="BX18">
        <v>-7102</v>
      </c>
      <c r="BY18">
        <v>-8523</v>
      </c>
      <c r="BZ18">
        <v>-10958</v>
      </c>
      <c r="CA18">
        <v>-9520</v>
      </c>
      <c r="CB18">
        <v>-11466</v>
      </c>
      <c r="CC18">
        <v>-14896</v>
      </c>
      <c r="CD18">
        <v>-18914</v>
      </c>
      <c r="CE18">
        <v>-16793</v>
      </c>
      <c r="CF18">
        <v>-19192</v>
      </c>
      <c r="CG18">
        <v>-19560</v>
      </c>
      <c r="CH18">
        <v>-28993</v>
      </c>
      <c r="CI18">
        <v>-23802</v>
      </c>
      <c r="CJ18">
        <v>-23450</v>
      </c>
      <c r="CK18">
        <v>-25022</v>
      </c>
      <c r="CL18">
        <v>-37302</v>
      </c>
      <c r="CM18">
        <v>-31045</v>
      </c>
      <c r="CN18">
        <v>-26122</v>
      </c>
      <c r="CO18">
        <v>-27442</v>
      </c>
      <c r="CP18">
        <v>-40131</v>
      </c>
      <c r="CQ18">
        <v>-32053</v>
      </c>
      <c r="CR18">
        <v>-27150</v>
      </c>
      <c r="CS18">
        <v>-30958</v>
      </c>
      <c r="CT18">
        <v>-50353</v>
      </c>
      <c r="CU18">
        <v>-39732</v>
      </c>
      <c r="CV18">
        <v>-35522</v>
      </c>
      <c r="CW18">
        <v>-36878</v>
      </c>
      <c r="CX18">
        <v>-51701</v>
      </c>
      <c r="CY18">
        <v>-36570</v>
      </c>
      <c r="CZ18">
        <v>-32253</v>
      </c>
      <c r="DA18">
        <v>-35091</v>
      </c>
      <c r="DB18">
        <v>-54992</v>
      </c>
      <c r="DC18">
        <v>-38799</v>
      </c>
      <c r="DD18">
        <v>-34640</v>
      </c>
      <c r="DE18">
        <v>-39459</v>
      </c>
      <c r="DF18">
        <v>-62019</v>
      </c>
      <c r="DG18">
        <v>-45243</v>
      </c>
      <c r="DH18">
        <v>-40653</v>
      </c>
      <c r="DI18">
        <v>-46782</v>
      </c>
      <c r="DJ18">
        <v>-60964</v>
      </c>
      <c r="DK18">
        <v>-44600</v>
      </c>
      <c r="DL18">
        <v>-42265</v>
      </c>
      <c r="DM18">
        <v>-48415</v>
      </c>
      <c r="DN18">
        <v>-66250</v>
      </c>
      <c r="DO18">
        <v>-45460</v>
      </c>
      <c r="DP18">
        <v>-46594</v>
      </c>
      <c r="DQ18">
        <v>-49923</v>
      </c>
      <c r="DR18">
        <v>-77905</v>
      </c>
      <c r="DS18">
        <v>-62081</v>
      </c>
      <c r="DT18">
        <v>-57308</v>
      </c>
      <c r="DU18">
        <v>-59574</v>
      </c>
      <c r="DV18">
        <v>-82457</v>
      </c>
      <c r="DW18">
        <v>-67299</v>
      </c>
      <c r="DX18">
        <v>-59883</v>
      </c>
      <c r="DY18">
        <v>-65252</v>
      </c>
      <c r="DZ18">
        <v>-81138</v>
      </c>
      <c r="EA18">
        <v>-66518</v>
      </c>
      <c r="EB18">
        <v>-58799</v>
      </c>
      <c r="EC18">
        <v>-62529</v>
      </c>
      <c r="ED18">
        <v>-79202</v>
      </c>
      <c r="EE18">
        <v>-62853</v>
      </c>
      <c r="EF18">
        <v>-60425</v>
      </c>
      <c r="EG18">
        <v>-65339</v>
      </c>
      <c r="EH18">
        <v>-81468</v>
      </c>
      <c r="EI18">
        <v>-65770</v>
      </c>
      <c r="EJ18">
        <v>-63350.194854093199</v>
      </c>
      <c r="EK18">
        <v>-69382.597384735403</v>
      </c>
      <c r="EL18">
        <v>-89273.129209388004</v>
      </c>
      <c r="EM18">
        <v>-69293.132493515295</v>
      </c>
      <c r="EN18">
        <v>-65710.926866591399</v>
      </c>
      <c r="EO18">
        <v>-76381.282769410303</v>
      </c>
      <c r="EP18">
        <v>-96830.564499898304</v>
      </c>
      <c r="EQ18">
        <v>-74299.551021445397</v>
      </c>
      <c r="ER18">
        <v>-69513.647275591095</v>
      </c>
      <c r="ES18">
        <v>-78555.750973959104</v>
      </c>
      <c r="ET18">
        <v>-98911.322241241403</v>
      </c>
      <c r="EU18">
        <v>-78718.109361922296</v>
      </c>
      <c r="EV18">
        <v>-72767.296555517998</v>
      </c>
      <c r="EW18">
        <v>-81067.601075951301</v>
      </c>
      <c r="EX18">
        <v>-103343.204488177</v>
      </c>
      <c r="EY18">
        <v>-79913.767723309007</v>
      </c>
      <c r="EZ18">
        <v>-75229.055835549603</v>
      </c>
      <c r="FA18">
        <v>-85577.610351181895</v>
      </c>
      <c r="FB18">
        <v>-107007.408844137</v>
      </c>
      <c r="FC18">
        <v>-82871.375642652405</v>
      </c>
      <c r="FD18">
        <v>-77958.752294295002</v>
      </c>
      <c r="FE18">
        <v>-89805.271477515198</v>
      </c>
    </row>
    <row r="19" spans="1:161">
      <c r="B19" t="s">
        <v>259</v>
      </c>
      <c r="C19" t="s">
        <v>260</v>
      </c>
      <c r="D19" t="str">
        <f t="shared" si="0"/>
      </c>
      <c r="F19">
        <v>-7279</v>
      </c>
      <c r="G19">
        <v>-5596</v>
      </c>
      <c r="H19">
        <v>-5582.5</v>
      </c>
      <c r="I19">
        <v>-6069</v>
      </c>
      <c r="J19">
        <v>-7780</v>
      </c>
      <c r="K19">
        <v>-12109</v>
      </c>
      <c r="L19">
        <v>-16637</v>
      </c>
      <c r="M19">
        <v>-19844</v>
      </c>
      <c r="N19">
        <v>-28668</v>
      </c>
      <c r="O19">
        <v>-30431</v>
      </c>
      <c r="P19">
        <v>-45813</v>
      </c>
      <c r="Q19">
        <v>-72645</v>
      </c>
      <c r="R19">
        <v>-97990</v>
      </c>
      <c r="S19">
        <v>-115154</v>
      </c>
      <c r="T19">
        <v>-122346</v>
      </c>
      <c r="U19">
        <v>-151228</v>
      </c>
      <c r="V19">
        <v>-145110</v>
      </c>
      <c r="W19">
        <v>-157733</v>
      </c>
      <c r="X19">
        <v>-183794</v>
      </c>
      <c r="Y19">
        <v>-183697</v>
      </c>
      <c r="Z19">
        <v>-197171</v>
      </c>
      <c r="AA19">
        <v>-245584</v>
      </c>
      <c r="AB19">
        <v>-263787</v>
      </c>
      <c r="AC19">
        <v>-257465</v>
      </c>
      <c r="AD19">
        <v>-256374</v>
      </c>
      <c r="AE19">
        <v>-268780.34941293701</v>
      </c>
      <c r="AF19">
        <v>-289174.84483097901</v>
      </c>
      <c r="AG19">
        <v>-306862.137275043</v>
      </c>
      <c r="AH19">
        <v>-318257.61125098303</v>
      </c>
      <c r="AI19">
        <v>-329994.530780792</v>
      </c>
      <c r="AJ19">
        <v>-342703.93584316602</v>
      </c>
      <c r="AL19">
        <v>-2125</v>
      </c>
      <c r="AM19">
        <v>-1754</v>
      </c>
      <c r="AN19">
        <v>-1632</v>
      </c>
      <c r="AO19">
        <v>-1768</v>
      </c>
      <c r="AP19">
        <v>-1403</v>
      </c>
      <c r="AQ19">
        <v>-1417</v>
      </c>
      <c r="AR19">
        <v>-1407</v>
      </c>
      <c r="AS19">
        <v>-1369</v>
      </c>
      <c r="AT19">
        <v>-1327</v>
      </c>
      <c r="AU19">
        <v>-1438.5</v>
      </c>
      <c r="AV19">
        <v>-1388</v>
      </c>
      <c r="AW19">
        <v>-1429</v>
      </c>
      <c r="AX19">
        <v>-1455</v>
      </c>
      <c r="AY19">
        <v>-1447</v>
      </c>
      <c r="AZ19">
        <v>-1512</v>
      </c>
      <c r="BA19">
        <v>-1655</v>
      </c>
      <c r="BB19">
        <v>-1899</v>
      </c>
      <c r="BC19">
        <v>-1811</v>
      </c>
      <c r="BD19">
        <v>-1893</v>
      </c>
      <c r="BE19">
        <v>-2177</v>
      </c>
      <c r="BF19">
        <v>-3049</v>
      </c>
      <c r="BG19">
        <v>-2802</v>
      </c>
      <c r="BH19">
        <v>-3048</v>
      </c>
      <c r="BI19">
        <v>-3210</v>
      </c>
      <c r="BJ19">
        <v>-4947</v>
      </c>
      <c r="BK19">
        <v>-3780</v>
      </c>
      <c r="BL19">
        <v>-3747</v>
      </c>
      <c r="BM19">
        <v>-4163</v>
      </c>
      <c r="BN19">
        <v>-5724</v>
      </c>
      <c r="BO19">
        <v>-4229</v>
      </c>
      <c r="BP19">
        <v>-4403</v>
      </c>
      <c r="BQ19">
        <v>-5488</v>
      </c>
      <c r="BR19">
        <v>-8122</v>
      </c>
      <c r="BS19">
        <v>-6412</v>
      </c>
      <c r="BT19">
        <v>-5906</v>
      </c>
      <c r="BU19">
        <v>-8228</v>
      </c>
      <c r="BV19">
        <v>-8611</v>
      </c>
      <c r="BW19">
        <v>-6580</v>
      </c>
      <c r="BX19">
        <v>-6920</v>
      </c>
      <c r="BY19">
        <v>-8320</v>
      </c>
      <c r="BZ19">
        <v>-10749</v>
      </c>
      <c r="CA19">
        <v>-9304</v>
      </c>
      <c r="CB19">
        <v>-11193</v>
      </c>
      <c r="CC19">
        <v>-14567</v>
      </c>
      <c r="CD19">
        <v>-18558</v>
      </c>
      <c r="CE19">
        <v>-16359</v>
      </c>
      <c r="CF19">
        <v>-18711</v>
      </c>
      <c r="CG19">
        <v>-19017</v>
      </c>
      <c r="CH19">
        <v>-28272</v>
      </c>
      <c r="CI19">
        <v>-23062</v>
      </c>
      <c r="CJ19">
        <v>-22615</v>
      </c>
      <c r="CK19">
        <v>-24041</v>
      </c>
      <c r="CL19">
        <v>-35714</v>
      </c>
      <c r="CM19">
        <v>-29353</v>
      </c>
      <c r="CN19">
        <v>-24428</v>
      </c>
      <c r="CO19">
        <v>-25659</v>
      </c>
      <c r="CP19">
        <v>-37987</v>
      </c>
      <c r="CQ19">
        <v>-30166</v>
      </c>
      <c r="CR19">
        <v>-25204</v>
      </c>
      <c r="CS19">
        <v>-28989</v>
      </c>
      <c r="CT19">
        <v>-47778</v>
      </c>
      <c r="CU19">
        <v>-37253</v>
      </c>
      <c r="CV19">
        <v>-32438</v>
      </c>
      <c r="CW19">
        <v>-33759</v>
      </c>
      <c r="CX19">
        <v>-48747</v>
      </c>
      <c r="CY19">
        <v>-34093</v>
      </c>
      <c r="CZ19">
        <v>-29727</v>
      </c>
      <c r="DA19">
        <v>-32543</v>
      </c>
      <c r="DB19">
        <v>-52005</v>
      </c>
      <c r="DC19">
        <v>-36467</v>
      </c>
      <c r="DD19">
        <v>-32286</v>
      </c>
      <c r="DE19">
        <v>-36975</v>
      </c>
      <c r="DF19">
        <v>-59274</v>
      </c>
      <c r="DG19">
        <v>-42504</v>
      </c>
      <c r="DH19">
        <v>-37988</v>
      </c>
      <c r="DI19">
        <v>-44028</v>
      </c>
      <c r="DJ19">
        <v>-57569</v>
      </c>
      <c r="DK19">
        <v>-41560</v>
      </c>
      <c r="DL19">
        <v>-39332</v>
      </c>
      <c r="DM19">
        <v>-45236</v>
      </c>
      <c r="DN19">
        <v>-63434</v>
      </c>
      <c r="DO19">
        <v>-42674</v>
      </c>
      <c r="DP19">
        <v>-43842</v>
      </c>
      <c r="DQ19">
        <v>-47221</v>
      </c>
      <c r="DR19">
        <v>-75239</v>
      </c>
      <c r="DS19">
        <v>-59284</v>
      </c>
      <c r="DT19">
        <v>-54476</v>
      </c>
      <c r="DU19">
        <v>-56585</v>
      </c>
      <c r="DV19">
        <v>-79760</v>
      </c>
      <c r="DW19">
        <v>-64562</v>
      </c>
      <c r="DX19">
        <v>-57078</v>
      </c>
      <c r="DY19">
        <v>-62387</v>
      </c>
      <c r="DZ19">
        <v>-78222</v>
      </c>
      <c r="EA19">
        <v>-63620</v>
      </c>
      <c r="EB19">
        <v>-55747</v>
      </c>
      <c r="EC19">
        <v>-59876</v>
      </c>
      <c r="ED19">
        <v>-76354</v>
      </c>
      <c r="EE19">
        <v>-60017</v>
      </c>
      <c r="EF19">
        <v>-57575</v>
      </c>
      <c r="EG19">
        <v>-62428</v>
      </c>
      <c r="EH19">
        <v>-78388</v>
      </c>
      <c r="EI19">
        <v>-63109</v>
      </c>
      <c r="EJ19">
        <v>-60642.581578354599</v>
      </c>
      <c r="EK19">
        <v>-66640.767834582104</v>
      </c>
      <c r="EL19">
        <v>-86478.669398913305</v>
      </c>
      <c r="EM19">
        <v>-66435.943193999206</v>
      </c>
      <c r="EN19">
        <v>-62808.924647377797</v>
      </c>
      <c r="EO19">
        <v>-73451.307590688797</v>
      </c>
      <c r="EP19">
        <v>-93837.652946467104</v>
      </c>
      <c r="EQ19">
        <v>-71227.507626696897</v>
      </c>
      <c r="ER19">
        <v>-66392.105611045801</v>
      </c>
      <c r="ES19">
        <v>-75404.871090832996</v>
      </c>
      <c r="ET19">
        <v>-95699.716325750298</v>
      </c>
      <c r="EU19">
        <v>-75431.881950755793</v>
      </c>
      <c r="EV19">
        <v>-69427.725582318497</v>
      </c>
      <c r="EW19">
        <v>-77698.287392158498</v>
      </c>
      <c r="EX19">
        <v>-99914.121108375402</v>
      </c>
      <c r="EY19">
        <v>-76408.614477820694</v>
      </c>
      <c r="EZ19">
        <v>-71675.828785209203</v>
      </c>
      <c r="FA19">
        <v>-81995.966409386398</v>
      </c>
      <c r="FB19">
        <v>-103360.830981077</v>
      </c>
      <c r="FC19">
        <v>-79148.814721628602</v>
      </c>
      <c r="FD19">
        <v>-74187.919219388597</v>
      </c>
      <c r="FE19">
        <v>-86006.370921071706</v>
      </c>
    </row>
    <row r="20" spans="1:161">
      <c r="B20" t="s">
        <v>261</v>
      </c>
      <c r="C20" t="s">
        <v>262</v>
      </c>
      <c r="D20" t="str">
        <f t="shared" si="0"/>
      </c>
      <c r="F20">
        <v>702.6</v>
      </c>
      <c r="G20">
        <v>-233</v>
      </c>
      <c r="H20">
        <v>159.5</v>
      </c>
      <c r="I20">
        <v>138</v>
      </c>
      <c r="J20">
        <v>499</v>
      </c>
      <c r="K20">
        <v>1822</v>
      </c>
      <c r="L20">
        <v>2678</v>
      </c>
      <c r="M20">
        <v>4734</v>
      </c>
      <c r="N20">
        <v>8823</v>
      </c>
      <c r="O20">
        <v>12474</v>
      </c>
      <c r="P20">
        <v>19412</v>
      </c>
      <c r="Q20">
        <v>35604</v>
      </c>
      <c r="R20">
        <v>58518</v>
      </c>
      <c r="S20">
        <v>55756</v>
      </c>
      <c r="T20">
        <v>60449</v>
      </c>
      <c r="U20">
        <v>82487</v>
      </c>
      <c r="V20">
        <v>70529</v>
      </c>
      <c r="W20">
        <v>71501</v>
      </c>
      <c r="X20">
        <v>81801</v>
      </c>
      <c r="Y20">
        <v>76477</v>
      </c>
      <c r="Z20">
        <v>77344</v>
      </c>
      <c r="AA20">
        <v>120233</v>
      </c>
      <c r="AB20">
        <v>130541</v>
      </c>
      <c r="AC20">
        <v>125820</v>
      </c>
      <c r="AD20">
        <v>134661</v>
      </c>
      <c r="AE20">
        <v>139861.863745696</v>
      </c>
      <c r="AF20">
        <v>144756.243421828</v>
      </c>
      <c r="AG20">
        <v>159667.77666290299</v>
      </c>
      <c r="AH20">
        <v>169539.41593478501</v>
      </c>
      <c r="AI20">
        <v>179894.80507171401</v>
      </c>
      <c r="AJ20">
        <v>191072.850281141</v>
      </c>
      <c r="AL20">
        <v>217.5</v>
      </c>
      <c r="AM20">
        <v>191</v>
      </c>
      <c r="AN20">
        <v>192.6</v>
      </c>
      <c r="AO20">
        <v>101.5</v>
      </c>
      <c r="AP20">
        <v>-396</v>
      </c>
      <c r="AQ20">
        <v>14</v>
      </c>
      <c r="AR20">
        <v>68</v>
      </c>
      <c r="AS20">
        <v>81</v>
      </c>
      <c r="AT20">
        <v>48</v>
      </c>
      <c r="AU20">
        <v>56.5</v>
      </c>
      <c r="AV20">
        <v>41</v>
      </c>
      <c r="AW20">
        <v>14</v>
      </c>
      <c r="AX20">
        <v>17</v>
      </c>
      <c r="AY20">
        <v>28</v>
      </c>
      <c r="AZ20">
        <v>33</v>
      </c>
      <c r="BA20">
        <v>60</v>
      </c>
      <c r="BB20">
        <v>107</v>
      </c>
      <c r="BC20">
        <v>98</v>
      </c>
      <c r="BD20">
        <v>121</v>
      </c>
      <c r="BE20">
        <v>173</v>
      </c>
      <c r="BF20">
        <v>441</v>
      </c>
      <c r="BG20">
        <v>441</v>
      </c>
      <c r="BH20">
        <v>472</v>
      </c>
      <c r="BI20">
        <v>468</v>
      </c>
      <c r="BJ20">
        <v>802</v>
      </c>
      <c r="BK20">
        <v>579</v>
      </c>
      <c r="BL20">
        <v>623</v>
      </c>
      <c r="BM20">
        <v>674</v>
      </c>
      <c r="BN20">
        <v>1399</v>
      </c>
      <c r="BO20">
        <v>1057</v>
      </c>
      <c r="BP20">
        <v>1160</v>
      </c>
      <c r="BQ20">
        <v>1118</v>
      </c>
      <c r="BR20">
        <v>2308</v>
      </c>
      <c r="BS20">
        <v>1568</v>
      </c>
      <c r="BT20">
        <v>1655</v>
      </c>
      <c r="BU20">
        <v>3292</v>
      </c>
      <c r="BV20">
        <v>3269</v>
      </c>
      <c r="BW20">
        <v>2504</v>
      </c>
      <c r="BX20">
        <v>2814</v>
      </c>
      <c r="BY20">
        <v>3887</v>
      </c>
      <c r="BZ20">
        <v>4934</v>
      </c>
      <c r="CA20">
        <v>4195</v>
      </c>
      <c r="CB20">
        <v>4507</v>
      </c>
      <c r="CC20">
        <v>5776</v>
      </c>
      <c r="CD20">
        <v>8183</v>
      </c>
      <c r="CE20">
        <v>8308</v>
      </c>
      <c r="CF20">
        <v>9860</v>
      </c>
      <c r="CG20">
        <v>9253</v>
      </c>
      <c r="CH20">
        <v>18061</v>
      </c>
      <c r="CI20">
        <v>16124</v>
      </c>
      <c r="CJ20">
        <v>12408</v>
      </c>
      <c r="CK20">
        <v>11925</v>
      </c>
      <c r="CL20">
        <v>18798</v>
      </c>
      <c r="CM20">
        <v>14250</v>
      </c>
      <c r="CN20">
        <v>10895</v>
      </c>
      <c r="CO20">
        <v>11813</v>
      </c>
      <c r="CP20">
        <v>19607</v>
      </c>
      <c r="CQ20">
        <v>15480</v>
      </c>
      <c r="CR20">
        <v>12228</v>
      </c>
      <c r="CS20">
        <v>13134</v>
      </c>
      <c r="CT20">
        <v>26821</v>
      </c>
      <c r="CU20">
        <v>20757</v>
      </c>
      <c r="CV20">
        <v>17167</v>
      </c>
      <c r="CW20">
        <v>17742</v>
      </c>
      <c r="CX20">
        <v>27125</v>
      </c>
      <c r="CY20">
        <v>16464</v>
      </c>
      <c r="CZ20">
        <v>12631</v>
      </c>
      <c r="DA20">
        <v>14309</v>
      </c>
      <c r="DB20">
        <v>26346</v>
      </c>
      <c r="DC20">
        <v>16429</v>
      </c>
      <c r="DD20">
        <v>13122</v>
      </c>
      <c r="DE20">
        <v>15604</v>
      </c>
      <c r="DF20">
        <v>29019</v>
      </c>
      <c r="DG20">
        <v>18633</v>
      </c>
      <c r="DH20">
        <v>15277</v>
      </c>
      <c r="DI20">
        <v>18872</v>
      </c>
      <c r="DJ20">
        <v>26741</v>
      </c>
      <c r="DK20">
        <v>16455</v>
      </c>
      <c r="DL20">
        <v>14477</v>
      </c>
      <c r="DM20">
        <v>18804</v>
      </c>
      <c r="DN20">
        <v>28385</v>
      </c>
      <c r="DO20">
        <v>15639</v>
      </c>
      <c r="DP20">
        <v>15843</v>
      </c>
      <c r="DQ20">
        <v>17477</v>
      </c>
      <c r="DR20">
        <v>36200</v>
      </c>
      <c r="DS20">
        <v>30300</v>
      </c>
      <c r="DT20">
        <v>26958</v>
      </c>
      <c r="DU20">
        <v>26775</v>
      </c>
      <c r="DV20">
        <v>44185</v>
      </c>
      <c r="DW20">
        <v>32716</v>
      </c>
      <c r="DX20">
        <v>25881</v>
      </c>
      <c r="DY20">
        <v>27759</v>
      </c>
      <c r="DZ20">
        <v>38932</v>
      </c>
      <c r="EA20">
        <v>31216</v>
      </c>
      <c r="EB20">
        <v>26050</v>
      </c>
      <c r="EC20">
        <v>29622</v>
      </c>
      <c r="ED20">
        <v>43221</v>
      </c>
      <c r="EE20">
        <v>30736</v>
      </c>
      <c r="EF20">
        <v>28202</v>
      </c>
      <c r="EG20">
        <v>32502</v>
      </c>
      <c r="EH20">
        <v>45912</v>
      </c>
      <c r="EI20">
        <v>32250</v>
      </c>
      <c r="EJ20">
        <v>28888.757245614699</v>
      </c>
      <c r="EK20">
        <v>32811.1065000811</v>
      </c>
      <c r="EL20">
        <v>45435.348613973198</v>
      </c>
      <c r="EM20">
        <v>32589.114883942799</v>
      </c>
      <c r="EN20">
        <v>29847.651997559398</v>
      </c>
      <c r="EO20">
        <v>36884.127926352397</v>
      </c>
      <c r="EP20">
        <v>52327.065234984002</v>
      </c>
      <c r="EQ20">
        <v>35877.670318987097</v>
      </c>
      <c r="ER20">
        <v>32549.604414189602</v>
      </c>
      <c r="ES20">
        <v>38913.436694741999</v>
      </c>
      <c r="ET20">
        <v>54335.7546861589</v>
      </c>
      <c r="EU20">
        <v>38997.184435312003</v>
      </c>
      <c r="EV20">
        <v>35049.9615600119</v>
      </c>
      <c r="EW20">
        <v>41156.515253302503</v>
      </c>
      <c r="EX20">
        <v>57800.791946987803</v>
      </c>
      <c r="EY20">
        <v>40415.987732153197</v>
      </c>
      <c r="EZ20">
        <v>37168.879508129401</v>
      </c>
      <c r="FA20">
        <v>44509.145884443198</v>
      </c>
      <c r="FB20">
        <v>60886.386379566</v>
      </c>
      <c r="FC20">
        <v>42869.783573699999</v>
      </c>
      <c r="FD20">
        <v>39519.510707138499</v>
      </c>
      <c r="FE20">
        <v>47797.169620736298</v>
      </c>
    </row>
    <row r="21" spans="1:161">
      <c r="B21" t="s">
        <v>263</v>
      </c>
      <c r="C21" t="s">
        <v>264</v>
      </c>
      <c r="D21" t="str">
        <f t="shared" si="0"/>
      </c>
      <c r="F21">
        <v>-84</v>
      </c>
      <c r="G21">
        <v>-100</v>
      </c>
      <c r="H21">
        <v>-114</v>
      </c>
      <c r="I21">
        <v>-113</v>
      </c>
      <c r="J21">
        <v>-150</v>
      </c>
      <c r="K21">
        <v>-179</v>
      </c>
      <c r="L21">
        <v>-225</v>
      </c>
      <c r="M21">
        <v>-327</v>
      </c>
      <c r="N21">
        <v>-496</v>
      </c>
      <c r="O21">
        <v>-734</v>
      </c>
      <c r="P21">
        <v>-1027</v>
      </c>
      <c r="Q21">
        <v>-1814</v>
      </c>
      <c r="R21">
        <v>-3277</v>
      </c>
      <c r="S21">
        <v>-6757</v>
      </c>
      <c r="T21">
        <v>-7946</v>
      </c>
      <c r="U21">
        <v>-11257</v>
      </c>
      <c r="V21">
        <v>-10505</v>
      </c>
      <c r="W21">
        <v>-10157</v>
      </c>
      <c r="X21">
        <v>-10903</v>
      </c>
      <c r="Y21">
        <v>-12547</v>
      </c>
      <c r="Z21">
        <v>-11056</v>
      </c>
      <c r="AA21">
        <v>-11284</v>
      </c>
      <c r="AB21">
        <v>-11104</v>
      </c>
      <c r="AC21">
        <v>-11519</v>
      </c>
      <c r="AD21">
        <v>-11445</v>
      </c>
      <c r="AE21">
        <v>-11190.4428258919</v>
      </c>
      <c r="AF21">
        <v>-11483.626507925999</v>
      </c>
      <c r="AG21">
        <v>-12337.376495851</v>
      </c>
      <c r="AH21">
        <v>-13206.7179836498</v>
      </c>
      <c r="AI21">
        <v>-14069.1076174262</v>
      </c>
      <c r="AJ21">
        <v>-14938.872415434</v>
      </c>
      <c r="AL21">
        <v>-20</v>
      </c>
      <c r="AM21">
        <v>-21</v>
      </c>
      <c r="AN21">
        <v>-25</v>
      </c>
      <c r="AO21">
        <v>-18</v>
      </c>
      <c r="AP21">
        <v>-24</v>
      </c>
      <c r="AQ21">
        <v>-22</v>
      </c>
      <c r="AR21">
        <v>-26</v>
      </c>
      <c r="AS21">
        <v>-28</v>
      </c>
      <c r="AT21">
        <v>-28</v>
      </c>
      <c r="AU21">
        <v>-29</v>
      </c>
      <c r="AV21">
        <v>-28</v>
      </c>
      <c r="AW21">
        <v>-29</v>
      </c>
      <c r="AX21">
        <v>-31</v>
      </c>
      <c r="AY21">
        <v>-29</v>
      </c>
      <c r="AZ21">
        <v>-24</v>
      </c>
      <c r="BA21">
        <v>-29</v>
      </c>
      <c r="BB21">
        <v>-33</v>
      </c>
      <c r="BC21">
        <v>-36</v>
      </c>
      <c r="BD21">
        <v>-41</v>
      </c>
      <c r="BE21">
        <v>-40</v>
      </c>
      <c r="BF21">
        <v>-41</v>
      </c>
      <c r="BG21">
        <v>-41</v>
      </c>
      <c r="BH21">
        <v>-46</v>
      </c>
      <c r="BI21">
        <v>-51</v>
      </c>
      <c r="BJ21">
        <v>-52</v>
      </c>
      <c r="BK21">
        <v>-50</v>
      </c>
      <c r="BL21">
        <v>-57</v>
      </c>
      <c r="BM21">
        <v>-66</v>
      </c>
      <c r="BN21">
        <v>-74</v>
      </c>
      <c r="BO21">
        <v>-69</v>
      </c>
      <c r="BP21">
        <v>-81</v>
      </c>
      <c r="BQ21">
        <v>-103</v>
      </c>
      <c r="BR21">
        <v>-110</v>
      </c>
      <c r="BS21">
        <v>-120</v>
      </c>
      <c r="BT21">
        <v>-120</v>
      </c>
      <c r="BU21">
        <v>-146</v>
      </c>
      <c r="BV21">
        <v>-168</v>
      </c>
      <c r="BW21">
        <v>-181</v>
      </c>
      <c r="BX21">
        <v>-182</v>
      </c>
      <c r="BY21">
        <v>-203</v>
      </c>
      <c r="BZ21">
        <v>-209</v>
      </c>
      <c r="CA21">
        <v>-216</v>
      </c>
      <c r="CB21">
        <v>-273</v>
      </c>
      <c r="CC21">
        <v>-329</v>
      </c>
      <c r="CD21">
        <v>-356</v>
      </c>
      <c r="CE21">
        <v>-434</v>
      </c>
      <c r="CF21">
        <v>-481</v>
      </c>
      <c r="CG21">
        <v>-543</v>
      </c>
      <c r="CH21">
        <v>-721</v>
      </c>
      <c r="CI21">
        <v>-740</v>
      </c>
      <c r="CJ21">
        <v>-835</v>
      </c>
      <c r="CK21">
        <v>-981</v>
      </c>
      <c r="CL21">
        <v>-1588</v>
      </c>
      <c r="CM21">
        <v>-1692</v>
      </c>
      <c r="CN21">
        <v>-1694</v>
      </c>
      <c r="CO21">
        <v>-1783</v>
      </c>
      <c r="CP21">
        <v>-2144</v>
      </c>
      <c r="CQ21">
        <v>-1887</v>
      </c>
      <c r="CR21">
        <v>-1946</v>
      </c>
      <c r="CS21">
        <v>-1969</v>
      </c>
      <c r="CT21">
        <v>-2575</v>
      </c>
      <c r="CU21">
        <v>-2479</v>
      </c>
      <c r="CV21">
        <v>-3084</v>
      </c>
      <c r="CW21">
        <v>-3119</v>
      </c>
      <c r="CX21">
        <v>-2954</v>
      </c>
      <c r="CY21">
        <v>-2477</v>
      </c>
      <c r="CZ21">
        <v>-2526</v>
      </c>
      <c r="DA21">
        <v>-2548</v>
      </c>
      <c r="DB21">
        <v>-2987</v>
      </c>
      <c r="DC21">
        <v>-2332</v>
      </c>
      <c r="DD21">
        <v>-2354</v>
      </c>
      <c r="DE21">
        <v>-2484</v>
      </c>
      <c r="DF21">
        <v>-2745</v>
      </c>
      <c r="DG21">
        <v>-2739</v>
      </c>
      <c r="DH21">
        <v>-2665</v>
      </c>
      <c r="DI21">
        <v>-2754</v>
      </c>
      <c r="DJ21">
        <v>-3395</v>
      </c>
      <c r="DK21">
        <v>-3040</v>
      </c>
      <c r="DL21">
        <v>-2933</v>
      </c>
      <c r="DM21">
        <v>-3179</v>
      </c>
      <c r="DN21">
        <v>-2816</v>
      </c>
      <c r="DO21">
        <v>-2786</v>
      </c>
      <c r="DP21">
        <v>-2752</v>
      </c>
      <c r="DQ21">
        <v>-2702</v>
      </c>
      <c r="DR21">
        <v>-2666</v>
      </c>
      <c r="DS21">
        <v>-2797</v>
      </c>
      <c r="DT21">
        <v>-2832</v>
      </c>
      <c r="DU21">
        <v>-2989</v>
      </c>
      <c r="DV21">
        <v>-2697</v>
      </c>
      <c r="DW21">
        <v>-2737</v>
      </c>
      <c r="DX21">
        <v>-2805</v>
      </c>
      <c r="DY21">
        <v>-2865</v>
      </c>
      <c r="DZ21">
        <v>-2916</v>
      </c>
      <c r="EA21">
        <v>-2898</v>
      </c>
      <c r="EB21">
        <v>-3052</v>
      </c>
      <c r="EC21">
        <v>-2653</v>
      </c>
      <c r="ED21">
        <v>-2848</v>
      </c>
      <c r="EE21">
        <v>-2836</v>
      </c>
      <c r="EF21">
        <v>-2850</v>
      </c>
      <c r="EG21">
        <v>-2911</v>
      </c>
      <c r="EH21">
        <v>-3080</v>
      </c>
      <c r="EI21">
        <v>-2661</v>
      </c>
      <c r="EJ21">
        <v>-2707.6132757385699</v>
      </c>
      <c r="EK21">
        <v>-2741.8295501532898</v>
      </c>
      <c r="EL21">
        <v>-2794.4598104746901</v>
      </c>
      <c r="EM21">
        <v>-2857.1892995161602</v>
      </c>
      <c r="EN21">
        <v>-2902.0022192136398</v>
      </c>
      <c r="EO21">
        <v>-2929.97517872151</v>
      </c>
      <c r="EP21">
        <v>-2992.91155343127</v>
      </c>
      <c r="EQ21">
        <v>-3072.0433947484198</v>
      </c>
      <c r="ER21">
        <v>-3121.5416645452201</v>
      </c>
      <c r="ES21">
        <v>-3150.8798831260301</v>
      </c>
      <c r="ET21">
        <v>-3211.6059154910799</v>
      </c>
      <c r="EU21">
        <v>-3286.2274111664601</v>
      </c>
      <c r="EV21">
        <v>-3339.5709731994698</v>
      </c>
      <c r="EW21">
        <v>-3369.31368379279</v>
      </c>
      <c r="EX21">
        <v>-3429.0833798018398</v>
      </c>
      <c r="EY21">
        <v>-3505.15324548837</v>
      </c>
      <c r="EZ21">
        <v>-3553.2270503404102</v>
      </c>
      <c r="FA21">
        <v>-3581.6439417955398</v>
      </c>
      <c r="FB21">
        <v>-3646.5778630603199</v>
      </c>
      <c r="FC21">
        <v>-3722.5609210237699</v>
      </c>
      <c r="FD21">
        <v>-3770.8330749064498</v>
      </c>
      <c r="FE21">
        <v>-3798.9005564434201</v>
      </c>
    </row>
    <row r="22" spans="1:161">
      <c r="B22" t="s">
        <v>265</v>
      </c>
      <c r="C22" t="s">
        <v>266</v>
      </c>
      <c r="D22" t="str">
        <f t="shared" si="0"/>
      </c>
    </row>
    <row r="23" spans="1:161">
      <c r="B23" t="s">
        <v>267</v>
      </c>
      <c r="C23" t="s">
        <v>268</v>
      </c>
      <c r="D23" t="str">
        <f t="shared" si="0"/>
      </c>
      <c r="F23">
        <v>618.6</v>
      </c>
      <c r="G23">
        <v>-333</v>
      </c>
      <c r="H23">
        <v>45.5</v>
      </c>
      <c r="I23">
        <v>25</v>
      </c>
      <c r="J23">
        <v>349</v>
      </c>
      <c r="K23">
        <v>1643</v>
      </c>
      <c r="L23">
        <v>2453</v>
      </c>
      <c r="M23">
        <v>4407</v>
      </c>
      <c r="N23">
        <v>8327</v>
      </c>
      <c r="O23">
        <v>11740</v>
      </c>
      <c r="P23">
        <v>18385</v>
      </c>
      <c r="Q23">
        <v>33790</v>
      </c>
      <c r="R23">
        <v>55241</v>
      </c>
      <c r="S23">
        <v>48999</v>
      </c>
      <c r="T23">
        <v>52503</v>
      </c>
      <c r="U23">
        <v>71230</v>
      </c>
      <c r="V23">
        <v>60024</v>
      </c>
      <c r="W23">
        <v>61344</v>
      </c>
      <c r="X23">
        <v>70898</v>
      </c>
      <c r="Y23">
        <v>63930</v>
      </c>
      <c r="Z23">
        <v>66288</v>
      </c>
      <c r="AA23">
        <v>108949</v>
      </c>
      <c r="AB23">
        <v>119437</v>
      </c>
      <c r="AC23">
        <v>114301</v>
      </c>
      <c r="AD23">
        <v>123216</v>
      </c>
      <c r="AE23">
        <v>128671.420919804</v>
      </c>
      <c r="AF23">
        <v>133272.61691390199</v>
      </c>
      <c r="AG23">
        <v>147330.40016705199</v>
      </c>
      <c r="AH23">
        <v>156332.69795113601</v>
      </c>
      <c r="AI23">
        <v>165825.697454287</v>
      </c>
      <c r="AJ23">
        <v>176133.97786570701</v>
      </c>
      <c r="AL23">
        <v>197.5</v>
      </c>
      <c r="AM23">
        <v>170</v>
      </c>
      <c r="AN23">
        <v>167.6</v>
      </c>
      <c r="AO23">
        <v>83.5</v>
      </c>
      <c r="AP23">
        <v>-420</v>
      </c>
      <c r="AQ23">
        <v>-8</v>
      </c>
      <c r="AR23">
        <v>42</v>
      </c>
      <c r="AS23">
        <v>53</v>
      </c>
      <c r="AT23">
        <v>20</v>
      </c>
      <c r="AU23">
        <v>27.5</v>
      </c>
      <c r="AV23">
        <v>13</v>
      </c>
      <c r="AW23">
        <v>-15</v>
      </c>
      <c r="AX23">
        <v>-14</v>
      </c>
      <c r="AY23">
        <v>-1</v>
      </c>
      <c r="AZ23">
        <v>9</v>
      </c>
      <c r="BA23">
        <v>31</v>
      </c>
      <c r="BB23">
        <v>74</v>
      </c>
      <c r="BC23">
        <v>62</v>
      </c>
      <c r="BD23">
        <v>80</v>
      </c>
      <c r="BE23">
        <v>133</v>
      </c>
      <c r="BF23">
        <v>400</v>
      </c>
      <c r="BG23">
        <v>400</v>
      </c>
      <c r="BH23">
        <v>426</v>
      </c>
      <c r="BI23">
        <v>417</v>
      </c>
      <c r="BJ23">
        <v>750</v>
      </c>
      <c r="BK23">
        <v>529</v>
      </c>
      <c r="BL23">
        <v>566</v>
      </c>
      <c r="BM23">
        <v>608</v>
      </c>
      <c r="BN23">
        <v>1325</v>
      </c>
      <c r="BO23">
        <v>988</v>
      </c>
      <c r="BP23">
        <v>1079</v>
      </c>
      <c r="BQ23">
        <v>1015</v>
      </c>
      <c r="BR23">
        <v>2198</v>
      </c>
      <c r="BS23">
        <v>1448</v>
      </c>
      <c r="BT23">
        <v>1535</v>
      </c>
      <c r="BU23">
        <v>3146</v>
      </c>
      <c r="BV23">
        <v>3101</v>
      </c>
      <c r="BW23">
        <v>2323</v>
      </c>
      <c r="BX23">
        <v>2632</v>
      </c>
      <c r="BY23">
        <v>3684</v>
      </c>
      <c r="BZ23">
        <v>4725</v>
      </c>
      <c r="CA23">
        <v>3979</v>
      </c>
      <c r="CB23">
        <v>4234</v>
      </c>
      <c r="CC23">
        <v>5447</v>
      </c>
      <c r="CD23">
        <v>7827</v>
      </c>
      <c r="CE23">
        <v>7874</v>
      </c>
      <c r="CF23">
        <v>9379</v>
      </c>
      <c r="CG23">
        <v>8710</v>
      </c>
      <c r="CH23">
        <v>17340</v>
      </c>
      <c r="CI23">
        <v>15384</v>
      </c>
      <c r="CJ23">
        <v>11573</v>
      </c>
      <c r="CK23">
        <v>10944</v>
      </c>
      <c r="CL23">
        <v>17210</v>
      </c>
      <c r="CM23">
        <v>12558</v>
      </c>
      <c r="CN23">
        <v>9201</v>
      </c>
      <c r="CO23">
        <v>10030</v>
      </c>
      <c r="CP23">
        <v>17463</v>
      </c>
      <c r="CQ23">
        <v>13593</v>
      </c>
      <c r="CR23">
        <v>10282</v>
      </c>
      <c r="CS23">
        <v>11165</v>
      </c>
      <c r="CT23">
        <v>24246</v>
      </c>
      <c r="CU23">
        <v>18278</v>
      </c>
      <c r="CV23">
        <v>14083</v>
      </c>
      <c r="CW23">
        <v>14623</v>
      </c>
      <c r="CX23">
        <v>24171</v>
      </c>
      <c r="CY23">
        <v>13987</v>
      </c>
      <c r="CZ23">
        <v>10105</v>
      </c>
      <c r="DA23">
        <v>11761</v>
      </c>
      <c r="DB23">
        <v>23359</v>
      </c>
      <c r="DC23">
        <v>14097</v>
      </c>
      <c r="DD23">
        <v>10768</v>
      </c>
      <c r="DE23">
        <v>13120</v>
      </c>
      <c r="DF23">
        <v>26274</v>
      </c>
      <c r="DG23">
        <v>15894</v>
      </c>
      <c r="DH23">
        <v>12612</v>
      </c>
      <c r="DI23">
        <v>16118</v>
      </c>
      <c r="DJ23">
        <v>23346</v>
      </c>
      <c r="DK23">
        <v>13415</v>
      </c>
      <c r="DL23">
        <v>11544</v>
      </c>
      <c r="DM23">
        <v>15625</v>
      </c>
      <c r="DN23">
        <v>25569</v>
      </c>
      <c r="DO23">
        <v>12853</v>
      </c>
      <c r="DP23">
        <v>13091</v>
      </c>
      <c r="DQ23">
        <v>14775</v>
      </c>
      <c r="DR23">
        <v>33534</v>
      </c>
      <c r="DS23">
        <v>27503</v>
      </c>
      <c r="DT23">
        <v>24126</v>
      </c>
      <c r="DU23">
        <v>23786</v>
      </c>
      <c r="DV23">
        <v>41488</v>
      </c>
      <c r="DW23">
        <v>29979</v>
      </c>
      <c r="DX23">
        <v>23076</v>
      </c>
      <c r="DY23">
        <v>24894</v>
      </c>
      <c r="DZ23">
        <v>36016</v>
      </c>
      <c r="EA23">
        <v>28318</v>
      </c>
      <c r="EB23">
        <v>22998</v>
      </c>
      <c r="EC23">
        <v>26969</v>
      </c>
      <c r="ED23">
        <v>40373</v>
      </c>
      <c r="EE23">
        <v>27900</v>
      </c>
      <c r="EF23">
        <v>25352</v>
      </c>
      <c r="EG23">
        <v>29591</v>
      </c>
      <c r="EH23">
        <v>42832</v>
      </c>
      <c r="EI23">
        <v>29589</v>
      </c>
      <c r="EJ23">
        <v>26181.143969876201</v>
      </c>
      <c r="EK23">
        <v>30069.276949927898</v>
      </c>
      <c r="EL23">
        <v>42640.888803498601</v>
      </c>
      <c r="EM23">
        <v>29731.925584426601</v>
      </c>
      <c r="EN23">
        <v>26945.6497783458</v>
      </c>
      <c r="EO23">
        <v>33954.152747630898</v>
      </c>
      <c r="EP23">
        <v>49334.153681552802</v>
      </c>
      <c r="EQ23">
        <v>32805.626924238699</v>
      </c>
      <c r="ER23">
        <v>29428.062749644399</v>
      </c>
      <c r="ES23">
        <v>35762.556811615897</v>
      </c>
      <c r="ET23">
        <v>51124.148770667802</v>
      </c>
      <c r="EU23">
        <v>35710.9570241455</v>
      </c>
      <c r="EV23">
        <v>31710.3905868125</v>
      </c>
      <c r="EW23">
        <v>37787.2015695097</v>
      </c>
      <c r="EX23">
        <v>54371.708567185997</v>
      </c>
      <c r="EY23">
        <v>36910.834486664899</v>
      </c>
      <c r="EZ23">
        <v>33615.652457789001</v>
      </c>
      <c r="FA23">
        <v>40927.501942647701</v>
      </c>
      <c r="FB23">
        <v>57239.808516505698</v>
      </c>
      <c r="FC23">
        <v>39147.222652676202</v>
      </c>
      <c r="FD23">
        <v>35748.677632232</v>
      </c>
      <c r="FE23">
        <v>43998.269064292901</v>
      </c>
    </row>
    <row r="24" spans="1:161">
      <c r="B24" t="s">
        <v>269</v>
      </c>
      <c r="C24" t="s">
        <v>270</v>
      </c>
      <c r="D24" t="str">
        <f t="shared" si="0"/>
      </c>
      <c r="F24">
        <v>203</v>
      </c>
      <c r="G24">
        <v>217</v>
      </c>
      <c r="H24">
        <v>111.6</v>
      </c>
      <c r="I24">
        <v>79</v>
      </c>
      <c r="J24">
        <v>57</v>
      </c>
      <c r="K24">
        <v>165</v>
      </c>
      <c r="L24">
        <v>365</v>
      </c>
      <c r="M24">
        <v>599</v>
      </c>
      <c r="N24">
        <v>620</v>
      </c>
      <c r="O24">
        <v>326</v>
      </c>
      <c r="P24">
        <v>155</v>
      </c>
      <c r="Q24">
        <v>415</v>
      </c>
      <c r="R24">
        <v>573</v>
      </c>
      <c r="S24">
        <v>1292</v>
      </c>
      <c r="T24">
        <v>1364</v>
      </c>
      <c r="U24">
        <v>2018</v>
      </c>
      <c r="V24">
        <v>2804</v>
      </c>
      <c r="W24">
        <v>5068</v>
      </c>
      <c r="X24">
        <v>5245</v>
      </c>
      <c r="Y24">
        <v>5383</v>
      </c>
      <c r="Z24">
        <v>3676</v>
      </c>
      <c r="AA24">
        <v>2903</v>
      </c>
      <c r="AB24">
        <v>2597</v>
      </c>
      <c r="AC24">
        <v>3368</v>
      </c>
      <c r="AD24">
        <v>4469</v>
      </c>
      <c r="AE24">
        <v>3401.8922536413802</v>
      </c>
      <c r="AF24">
        <v>4313.5917884890196</v>
      </c>
      <c r="AG24">
        <v>4057.49371269213</v>
      </c>
      <c r="AH24">
        <v>3621.8222324037802</v>
      </c>
      <c r="AI24">
        <v>3173.9856192753</v>
      </c>
      <c r="AJ24">
        <v>2776.70331113259</v>
      </c>
      <c r="AL24">
        <v>40</v>
      </c>
      <c r="AM24">
        <v>49</v>
      </c>
      <c r="AN24">
        <v>52</v>
      </c>
      <c r="AO24">
        <v>62</v>
      </c>
      <c r="AP24">
        <v>67</v>
      </c>
      <c r="AQ24">
        <v>65</v>
      </c>
      <c r="AR24">
        <v>45</v>
      </c>
      <c r="AS24">
        <v>40</v>
      </c>
      <c r="AT24">
        <v>34</v>
      </c>
      <c r="AU24">
        <v>26.6</v>
      </c>
      <c r="AV24">
        <v>26</v>
      </c>
      <c r="AW24">
        <v>25</v>
      </c>
      <c r="AX24">
        <v>29</v>
      </c>
      <c r="AY24">
        <v>23</v>
      </c>
      <c r="AZ24">
        <v>17</v>
      </c>
      <c r="BA24">
        <v>10</v>
      </c>
      <c r="BB24">
        <v>13</v>
      </c>
      <c r="BC24">
        <v>12</v>
      </c>
      <c r="BD24">
        <v>13</v>
      </c>
      <c r="BE24">
        <v>19</v>
      </c>
      <c r="BF24">
        <v>26</v>
      </c>
      <c r="BG24">
        <v>33</v>
      </c>
      <c r="BH24">
        <v>46</v>
      </c>
      <c r="BI24">
        <v>60</v>
      </c>
      <c r="BJ24">
        <v>81</v>
      </c>
      <c r="BK24">
        <v>76</v>
      </c>
      <c r="BL24">
        <v>95</v>
      </c>
      <c r="BM24">
        <v>113</v>
      </c>
      <c r="BN24">
        <v>126</v>
      </c>
      <c r="BO24">
        <v>148</v>
      </c>
      <c r="BP24">
        <v>155</v>
      </c>
      <c r="BQ24">
        <v>170</v>
      </c>
      <c r="BR24">
        <v>200</v>
      </c>
      <c r="BS24">
        <v>162</v>
      </c>
      <c r="BT24">
        <v>118</v>
      </c>
      <c r="BU24">
        <v>140</v>
      </c>
      <c r="BV24">
        <v>158</v>
      </c>
      <c r="BW24">
        <v>63</v>
      </c>
      <c r="BX24">
        <v>60</v>
      </c>
      <c r="BY24">
        <v>45</v>
      </c>
      <c r="BZ24">
        <v>33</v>
      </c>
      <c r="CA24">
        <v>50</v>
      </c>
      <c r="CB24">
        <v>58</v>
      </c>
      <c r="CC24">
        <v>14</v>
      </c>
      <c r="CD24">
        <v>136</v>
      </c>
      <c r="CE24">
        <v>26</v>
      </c>
      <c r="CF24">
        <v>172</v>
      </c>
      <c r="CG24">
        <v>81</v>
      </c>
      <c r="CH24">
        <v>137</v>
      </c>
      <c r="CI24">
        <v>148</v>
      </c>
      <c r="CJ24">
        <v>288</v>
      </c>
      <c r="CK24">
        <v>0</v>
      </c>
      <c r="CL24">
        <v>462</v>
      </c>
      <c r="CM24">
        <v>347</v>
      </c>
      <c r="CN24">
        <v>287</v>
      </c>
      <c r="CO24">
        <v>196</v>
      </c>
      <c r="CP24">
        <v>330</v>
      </c>
      <c r="CQ24">
        <v>310</v>
      </c>
      <c r="CR24">
        <v>302</v>
      </c>
      <c r="CS24">
        <v>422</v>
      </c>
      <c r="CT24">
        <v>301</v>
      </c>
      <c r="CU24">
        <v>449</v>
      </c>
      <c r="CV24">
        <v>591</v>
      </c>
      <c r="CW24">
        <v>677</v>
      </c>
      <c r="CX24">
        <v>678</v>
      </c>
      <c r="CY24">
        <v>476</v>
      </c>
      <c r="CZ24">
        <v>773</v>
      </c>
      <c r="DA24">
        <v>877</v>
      </c>
      <c r="DB24">
        <v>1346</v>
      </c>
      <c r="DC24">
        <v>1117</v>
      </c>
      <c r="DD24">
        <v>1142</v>
      </c>
      <c r="DE24">
        <v>1463</v>
      </c>
      <c r="DF24">
        <v>1490</v>
      </c>
      <c r="DG24">
        <v>1066</v>
      </c>
      <c r="DH24">
        <v>1518</v>
      </c>
      <c r="DI24">
        <v>1171</v>
      </c>
      <c r="DJ24">
        <v>1450</v>
      </c>
      <c r="DK24">
        <v>1388</v>
      </c>
      <c r="DL24">
        <v>1233</v>
      </c>
      <c r="DM24">
        <v>1312</v>
      </c>
      <c r="DN24">
        <v>1134</v>
      </c>
      <c r="DO24">
        <v>1039</v>
      </c>
      <c r="DP24">
        <v>743</v>
      </c>
      <c r="DQ24">
        <v>760</v>
      </c>
      <c r="DR24">
        <v>683</v>
      </c>
      <c r="DS24">
        <v>1178</v>
      </c>
      <c r="DT24">
        <v>908</v>
      </c>
      <c r="DU24">
        <v>134</v>
      </c>
      <c r="DV24">
        <v>447</v>
      </c>
      <c r="DW24">
        <v>851</v>
      </c>
      <c r="DX24">
        <v>709</v>
      </c>
      <c r="DY24">
        <v>590</v>
      </c>
      <c r="DZ24">
        <v>610</v>
      </c>
      <c r="EA24">
        <v>994</v>
      </c>
      <c r="EB24">
        <v>733</v>
      </c>
      <c r="EC24">
        <v>1031</v>
      </c>
      <c r="ED24">
        <v>1000</v>
      </c>
      <c r="EE24">
        <v>1208</v>
      </c>
      <c r="EF24">
        <v>1192</v>
      </c>
      <c r="EG24">
        <v>1069</v>
      </c>
      <c r="EH24">
        <v>802</v>
      </c>
      <c r="EI24">
        <v>771</v>
      </c>
      <c r="EJ24">
        <v>760</v>
      </c>
      <c r="EK24">
        <v>1068.89225364138</v>
      </c>
      <c r="EL24">
        <v>1180.89499037409</v>
      </c>
      <c r="EM24">
        <v>1103.2880671970499</v>
      </c>
      <c r="EN24">
        <v>1056.3869142460301</v>
      </c>
      <c r="EO24">
        <v>973.02181667185096</v>
      </c>
      <c r="EP24">
        <v>1131.49576588995</v>
      </c>
      <c r="EQ24">
        <v>1049.03959611813</v>
      </c>
      <c r="ER24">
        <v>988.54343101270695</v>
      </c>
      <c r="ES24">
        <v>888.41491967134698</v>
      </c>
      <c r="ET24">
        <v>1020.5570571818999</v>
      </c>
      <c r="EU24">
        <v>925.08401155757599</v>
      </c>
      <c r="EV24">
        <v>890.99836474210804</v>
      </c>
      <c r="EW24">
        <v>785.18279892220505</v>
      </c>
      <c r="EX24">
        <v>912.03142787726699</v>
      </c>
      <c r="EY24">
        <v>822.83328924081798</v>
      </c>
      <c r="EZ24">
        <v>767.51912041479795</v>
      </c>
      <c r="FA24">
        <v>671.60178174242299</v>
      </c>
      <c r="FB24">
        <v>825.573503944045</v>
      </c>
      <c r="FC24">
        <v>716.94276369657803</v>
      </c>
      <c r="FD24">
        <v>664.73049189993003</v>
      </c>
      <c r="FE24">
        <v>569.45655159203898</v>
      </c>
    </row>
    <row r="25" spans="1:161">
      <c r="B25" t="s">
        <v>96</v>
      </c>
      <c r="C25" t="s">
        <v>271</v>
      </c>
      <c r="D25" t="str">
        <f t="shared" si="0"/>
      </c>
      <c r="F25">
        <v>0</v>
      </c>
      <c r="G25">
        <v>0</v>
      </c>
      <c r="H25">
        <v>0</v>
      </c>
      <c r="I25">
        <v>0</v>
      </c>
      <c r="J25">
        <v>0</v>
      </c>
      <c r="K25">
        <v>0</v>
      </c>
      <c r="L25">
        <v>0</v>
      </c>
      <c r="M25">
        <v>0</v>
      </c>
      <c r="N25">
        <v>0</v>
      </c>
      <c r="O25">
        <v>0</v>
      </c>
      <c r="P25">
        <v>0</v>
      </c>
      <c r="Q25">
        <v>0</v>
      </c>
      <c r="R25">
        <v>-51</v>
      </c>
      <c r="S25">
        <v>-136</v>
      </c>
      <c r="T25">
        <v>-384</v>
      </c>
      <c r="U25">
        <v>-733</v>
      </c>
      <c r="V25">
        <v>-1456</v>
      </c>
      <c r="W25">
        <v>-2323</v>
      </c>
      <c r="X25">
        <v>-3240</v>
      </c>
      <c r="Y25">
        <v>-3576</v>
      </c>
      <c r="Z25">
        <v>-2873</v>
      </c>
      <c r="AA25">
        <v>-2645</v>
      </c>
      <c r="AB25">
        <v>-2931</v>
      </c>
      <c r="AC25">
        <v>-3933</v>
      </c>
      <c r="AD25">
        <v>-4200</v>
      </c>
      <c r="AE25">
        <v>-4267.5</v>
      </c>
      <c r="AF25">
        <v>-4335</v>
      </c>
      <c r="AG25">
        <v>-4335</v>
      </c>
      <c r="AH25">
        <v>-4335</v>
      </c>
      <c r="AI25">
        <v>-4335</v>
      </c>
      <c r="AJ25">
        <v>-4335</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-51</v>
      </c>
      <c r="CL25">
        <v>0</v>
      </c>
      <c r="CM25">
        <v>0</v>
      </c>
      <c r="CN25">
        <v>-53</v>
      </c>
      <c r="CO25">
        <v>-83</v>
      </c>
      <c r="CP25">
        <v>-84</v>
      </c>
      <c r="CQ25">
        <v>-85</v>
      </c>
      <c r="CR25">
        <v>-100</v>
      </c>
      <c r="CS25">
        <v>-115</v>
      </c>
      <c r="CT25">
        <v>-131</v>
      </c>
      <c r="CU25">
        <v>-163</v>
      </c>
      <c r="CV25">
        <v>-201</v>
      </c>
      <c r="CW25">
        <v>-238</v>
      </c>
      <c r="CX25">
        <v>-276</v>
      </c>
      <c r="CY25">
        <v>-321</v>
      </c>
      <c r="CZ25">
        <v>-409</v>
      </c>
      <c r="DA25">
        <v>-450</v>
      </c>
      <c r="DB25">
        <v>-525</v>
      </c>
      <c r="DC25">
        <v>-530</v>
      </c>
      <c r="DD25">
        <v>-602</v>
      </c>
      <c r="DE25">
        <v>-666</v>
      </c>
      <c r="DF25">
        <v>-734</v>
      </c>
      <c r="DG25">
        <v>-792</v>
      </c>
      <c r="DH25">
        <v>-846</v>
      </c>
      <c r="DI25">
        <v>-868</v>
      </c>
      <c r="DJ25">
        <v>-890</v>
      </c>
      <c r="DK25">
        <v>-1010</v>
      </c>
      <c r="DL25">
        <v>-866</v>
      </c>
      <c r="DM25">
        <v>-810</v>
      </c>
      <c r="DN25">
        <v>-785</v>
      </c>
      <c r="DO25">
        <v>-757</v>
      </c>
      <c r="DP25">
        <v>-697</v>
      </c>
      <c r="DQ25">
        <v>-634</v>
      </c>
      <c r="DR25">
        <v>-638</v>
      </c>
      <c r="DS25">
        <v>-670</v>
      </c>
      <c r="DT25">
        <v>-665</v>
      </c>
      <c r="DU25">
        <v>-672</v>
      </c>
      <c r="DV25">
        <v>-694</v>
      </c>
      <c r="DW25">
        <v>-691</v>
      </c>
      <c r="DX25">
        <v>-719</v>
      </c>
      <c r="DY25">
        <v>-827</v>
      </c>
      <c r="DZ25">
        <v>-1003</v>
      </c>
      <c r="EA25">
        <v>-930</v>
      </c>
      <c r="EB25">
        <v>-998</v>
      </c>
      <c r="EC25">
        <v>-1002</v>
      </c>
      <c r="ED25">
        <v>-1050</v>
      </c>
      <c r="EE25">
        <v>-1050</v>
      </c>
      <c r="EF25">
        <v>-1050</v>
      </c>
      <c r="EG25">
        <v>-1050</v>
      </c>
      <c r="EH25">
        <v>-1050</v>
      </c>
      <c r="EI25">
        <v>-1050</v>
      </c>
      <c r="EJ25">
        <v>-1083.75</v>
      </c>
      <c r="EK25">
        <v>-1083.75</v>
      </c>
      <c r="EL25">
        <v>-1083.75</v>
      </c>
      <c r="EM25">
        <v>-1083.75</v>
      </c>
      <c r="EN25">
        <v>-1083.75</v>
      </c>
      <c r="EO25">
        <v>-1083.75</v>
      </c>
      <c r="EP25">
        <v>-1083.75</v>
      </c>
      <c r="EQ25">
        <v>-1083.75</v>
      </c>
      <c r="ER25">
        <v>-1083.75</v>
      </c>
      <c r="ES25">
        <v>-1083.75</v>
      </c>
      <c r="ET25">
        <v>-1083.75</v>
      </c>
      <c r="EU25">
        <v>-1083.75</v>
      </c>
      <c r="EV25">
        <v>-1083.75</v>
      </c>
      <c r="EW25">
        <v>-1083.75</v>
      </c>
      <c r="EX25">
        <v>-1083.75</v>
      </c>
      <c r="EY25">
        <v>-1083.75</v>
      </c>
      <c r="EZ25">
        <v>-1083.75</v>
      </c>
      <c r="FA25">
        <v>-1083.75</v>
      </c>
      <c r="FB25">
        <v>-1083.75</v>
      </c>
      <c r="FC25">
        <v>-1083.75</v>
      </c>
      <c r="FD25">
        <v>-1083.75</v>
      </c>
      <c r="FE25">
        <v>-1083.75</v>
      </c>
    </row>
    <row r="26" spans="1:161">
      <c r="B26" t="s">
        <v>272</v>
      </c>
      <c r="C26" t="s">
        <v>273</v>
      </c>
      <c r="D26" t="str">
        <f t="shared" si="0"/>
      </c>
      <c r="F26">
        <v>203</v>
      </c>
      <c r="G26">
        <v>217</v>
      </c>
      <c r="H26">
        <v>111.6</v>
      </c>
      <c r="I26">
        <v>79</v>
      </c>
      <c r="J26">
        <v>57</v>
      </c>
      <c r="K26">
        <v>165</v>
      </c>
      <c r="L26">
        <v>365</v>
      </c>
      <c r="M26">
        <v>599</v>
      </c>
      <c r="N26">
        <v>620</v>
      </c>
      <c r="O26">
        <v>326</v>
      </c>
      <c r="P26">
        <v>155</v>
      </c>
      <c r="Q26">
        <v>415</v>
      </c>
      <c r="R26">
        <v>522</v>
      </c>
      <c r="S26">
        <v>1156</v>
      </c>
      <c r="T26">
        <v>980</v>
      </c>
      <c r="U26">
        <v>1285</v>
      </c>
      <c r="V26">
        <v>1348</v>
      </c>
      <c r="W26">
        <v>2745</v>
      </c>
      <c r="X26">
        <v>2005</v>
      </c>
      <c r="Y26">
        <v>1807</v>
      </c>
      <c r="Z26">
        <v>803</v>
      </c>
      <c r="AA26">
        <v>258</v>
      </c>
      <c r="AB26">
        <v>-334</v>
      </c>
      <c r="AC26">
        <v>-565</v>
      </c>
      <c r="AD26">
        <v>269</v>
      </c>
      <c r="AE26">
        <v>-865.60774635862003</v>
      </c>
      <c r="AF26">
        <v>-21.408211510977999</v>
      </c>
      <c r="AG26">
        <v>-277.50628730786798</v>
      </c>
      <c r="AH26">
        <v>-713.17776759621597</v>
      </c>
      <c r="AI26">
        <v>-1161.0143807247</v>
      </c>
      <c r="AJ26">
        <v>-1558.29668886741</v>
      </c>
      <c r="AL26">
        <v>40</v>
      </c>
      <c r="AM26">
        <v>49</v>
      </c>
      <c r="AN26">
        <v>52</v>
      </c>
      <c r="AO26">
        <v>62</v>
      </c>
      <c r="AP26">
        <v>67</v>
      </c>
      <c r="AQ26">
        <v>65</v>
      </c>
      <c r="AR26">
        <v>45</v>
      </c>
      <c r="AS26">
        <v>40</v>
      </c>
      <c r="AT26">
        <v>34</v>
      </c>
      <c r="AU26">
        <v>26.6</v>
      </c>
      <c r="AV26">
        <v>26</v>
      </c>
      <c r="AW26">
        <v>25</v>
      </c>
      <c r="AX26">
        <v>29</v>
      </c>
      <c r="AY26">
        <v>23</v>
      </c>
      <c r="AZ26">
        <v>17</v>
      </c>
      <c r="BA26">
        <v>10</v>
      </c>
      <c r="BB26">
        <v>13</v>
      </c>
      <c r="BC26">
        <v>12</v>
      </c>
      <c r="BD26">
        <v>13</v>
      </c>
      <c r="BE26">
        <v>19</v>
      </c>
      <c r="BF26">
        <v>26</v>
      </c>
      <c r="BG26">
        <v>33</v>
      </c>
      <c r="BH26">
        <v>46</v>
      </c>
      <c r="BI26">
        <v>60</v>
      </c>
      <c r="BJ26">
        <v>81</v>
      </c>
      <c r="BK26">
        <v>76</v>
      </c>
      <c r="BL26">
        <v>95</v>
      </c>
      <c r="BM26">
        <v>113</v>
      </c>
      <c r="BN26">
        <v>126</v>
      </c>
      <c r="BO26">
        <v>148</v>
      </c>
      <c r="BP26">
        <v>155</v>
      </c>
      <c r="BQ26">
        <v>170</v>
      </c>
      <c r="BR26">
        <v>200</v>
      </c>
      <c r="BS26">
        <v>162</v>
      </c>
      <c r="BT26">
        <v>118</v>
      </c>
      <c r="BU26">
        <v>140</v>
      </c>
      <c r="BV26">
        <v>158</v>
      </c>
      <c r="BW26">
        <v>63</v>
      </c>
      <c r="BX26">
        <v>60</v>
      </c>
      <c r="BY26">
        <v>45</v>
      </c>
      <c r="BZ26">
        <v>33</v>
      </c>
      <c r="CA26">
        <v>50</v>
      </c>
      <c r="CB26">
        <v>58</v>
      </c>
      <c r="CC26">
        <v>14</v>
      </c>
      <c r="CD26">
        <v>136</v>
      </c>
      <c r="CE26">
        <v>26</v>
      </c>
      <c r="CF26">
        <v>172</v>
      </c>
      <c r="CG26">
        <v>81</v>
      </c>
      <c r="CH26">
        <v>137</v>
      </c>
      <c r="CI26">
        <v>148</v>
      </c>
      <c r="CJ26">
        <v>288</v>
      </c>
      <c r="CK26">
        <v>-51</v>
      </c>
      <c r="CL26">
        <v>462</v>
      </c>
      <c r="CM26">
        <v>347</v>
      </c>
      <c r="CN26">
        <v>234</v>
      </c>
      <c r="CO26">
        <v>113</v>
      </c>
      <c r="CP26">
        <v>246</v>
      </c>
      <c r="CQ26">
        <v>225</v>
      </c>
      <c r="CR26">
        <v>202</v>
      </c>
      <c r="CS26">
        <v>307</v>
      </c>
      <c r="CT26">
        <v>170</v>
      </c>
      <c r="CU26">
        <v>286</v>
      </c>
      <c r="CV26">
        <v>390</v>
      </c>
      <c r="CW26">
        <v>439</v>
      </c>
      <c r="CX26">
        <v>402</v>
      </c>
      <c r="CY26">
        <v>155</v>
      </c>
      <c r="CZ26">
        <v>364</v>
      </c>
      <c r="DA26">
        <v>427</v>
      </c>
      <c r="DB26">
        <v>821</v>
      </c>
      <c r="DC26">
        <v>587</v>
      </c>
      <c r="DD26">
        <v>540</v>
      </c>
      <c r="DE26">
        <v>797</v>
      </c>
      <c r="DF26">
        <v>756</v>
      </c>
      <c r="DG26">
        <v>274</v>
      </c>
      <c r="DH26">
        <v>672</v>
      </c>
      <c r="DI26">
        <v>303</v>
      </c>
      <c r="DJ26">
        <v>560</v>
      </c>
      <c r="DK26">
        <v>378</v>
      </c>
      <c r="DL26">
        <v>367</v>
      </c>
      <c r="DM26">
        <v>502</v>
      </c>
      <c r="DN26">
        <v>349</v>
      </c>
      <c r="DO26">
        <v>282</v>
      </c>
      <c r="DP26">
        <v>46</v>
      </c>
      <c r="DQ26">
        <v>126</v>
      </c>
      <c r="DR26">
        <v>45</v>
      </c>
      <c r="DS26">
        <v>508</v>
      </c>
      <c r="DT26">
        <v>243</v>
      </c>
      <c r="DU26">
        <v>-538</v>
      </c>
      <c r="DV26">
        <v>-247</v>
      </c>
      <c r="DW26">
        <v>160</v>
      </c>
      <c r="DX26">
        <v>-10</v>
      </c>
      <c r="DY26">
        <v>-237</v>
      </c>
      <c r="DZ26">
        <v>-393</v>
      </c>
      <c r="EA26">
        <v>64</v>
      </c>
      <c r="EB26">
        <v>-265</v>
      </c>
      <c r="EC26">
        <v>29</v>
      </c>
      <c r="ED26">
        <v>-50</v>
      </c>
      <c r="EE26">
        <v>158</v>
      </c>
      <c r="EF26">
        <v>142</v>
      </c>
      <c r="EG26">
        <v>19</v>
      </c>
      <c r="EH26">
        <v>-248</v>
      </c>
      <c r="EI26">
        <v>-279</v>
      </c>
      <c r="EJ26">
        <v>-323.75</v>
      </c>
      <c r="EK26">
        <v>-14.85774635862</v>
      </c>
      <c r="EL26">
        <v>97.144990374087996</v>
      </c>
      <c r="EM26">
        <v>19.538067197052001</v>
      </c>
      <c r="EN26">
        <v>-27.363085753968001</v>
      </c>
      <c r="EO26">
        <v>-110.728183328149</v>
      </c>
      <c r="EP26">
        <v>47.745765889948999</v>
      </c>
      <c r="EQ26">
        <v>-34.710403881871002</v>
      </c>
      <c r="ER26">
        <v>-95.206568987292997</v>
      </c>
      <c r="ES26">
        <v>-195.33508032865299</v>
      </c>
      <c r="ET26">
        <v>-63.192942818104001</v>
      </c>
      <c r="EU26">
        <v>-158.66598844242401</v>
      </c>
      <c r="EV26">
        <v>-192.75163525789199</v>
      </c>
      <c r="EW26">
        <v>-298.567201077795</v>
      </c>
      <c r="EX26">
        <v>-171.71857212273301</v>
      </c>
      <c r="EY26">
        <v>-260.91671075918202</v>
      </c>
      <c r="EZ26">
        <v>-316.23087958520199</v>
      </c>
      <c r="FA26">
        <v>-412.14821825757701</v>
      </c>
      <c r="FB26">
        <v>-258.176496055955</v>
      </c>
      <c r="FC26">
        <v>-366.80723630342197</v>
      </c>
      <c r="FD26">
        <v>-419.01950810007003</v>
      </c>
      <c r="FE26">
        <v>-514.29344840796102</v>
      </c>
    </row>
    <row r="27" spans="1:161">
      <c r="B27" t="s">
        <v>274</v>
      </c>
      <c r="C27" t="s">
        <v>275</v>
      </c>
      <c r="D27" t="str">
        <f t="shared" si="0"/>
      </c>
    </row>
    <row r="28" spans="1:161">
      <c r="B28" t="s">
        <v>276</v>
      </c>
      <c r="C28" t="s">
        <v>277</v>
      </c>
      <c r="D28" t="str">
        <f t="shared" si="0"/>
      </c>
    </row>
    <row r="29" spans="1:161">
      <c r="B29" t="s">
        <v>278</v>
      </c>
      <c r="C29" t="s">
        <v>279</v>
      </c>
      <c r="D29" t="str">
        <f t="shared" si="0"/>
      </c>
    </row>
    <row r="30" spans="1:161">
      <c r="B30" t="s">
        <v>280</v>
      </c>
      <c r="C30" t="s">
        <v>281</v>
      </c>
      <c r="D30" t="str">
        <f t="shared" si="0"/>
      </c>
      <c r="F30">
        <v>821.6</v>
      </c>
      <c r="G30">
        <v>-116</v>
      </c>
      <c r="H30">
        <v>157.1</v>
      </c>
      <c r="I30">
        <v>104</v>
      </c>
      <c r="J30">
        <v>406</v>
      </c>
      <c r="K30">
        <v>1808</v>
      </c>
      <c r="L30">
        <v>2818</v>
      </c>
      <c r="M30">
        <v>5006</v>
      </c>
      <c r="N30">
        <v>8947</v>
      </c>
      <c r="O30">
        <v>12066</v>
      </c>
      <c r="P30">
        <v>18540</v>
      </c>
      <c r="Q30">
        <v>34205</v>
      </c>
      <c r="R30">
        <v>55763</v>
      </c>
      <c r="S30">
        <v>50155</v>
      </c>
      <c r="T30">
        <v>53483</v>
      </c>
      <c r="U30">
        <v>72515</v>
      </c>
      <c r="V30">
        <v>61372</v>
      </c>
      <c r="W30">
        <v>64089</v>
      </c>
      <c r="X30">
        <v>72903</v>
      </c>
      <c r="Y30">
        <v>65737</v>
      </c>
      <c r="Z30">
        <v>67091</v>
      </c>
      <c r="AA30">
        <v>109207</v>
      </c>
      <c r="AB30">
        <v>119103</v>
      </c>
      <c r="AC30">
        <v>113736</v>
      </c>
      <c r="AD30">
        <v>123485</v>
      </c>
      <c r="AE30">
        <v>127805.813173445</v>
      </c>
      <c r="AF30">
        <v>133251.20870239101</v>
      </c>
      <c r="AG30">
        <v>147052.89387974399</v>
      </c>
      <c r="AH30">
        <v>155619.52018353899</v>
      </c>
      <c r="AI30">
        <v>164664.68307356301</v>
      </c>
      <c r="AJ30">
        <v>174575.68117683899</v>
      </c>
      <c r="AL30">
        <v>237.5</v>
      </c>
      <c r="AM30">
        <v>219</v>
      </c>
      <c r="AN30">
        <v>219.6</v>
      </c>
      <c r="AO30">
        <v>145.5</v>
      </c>
      <c r="AP30">
        <v>-353</v>
      </c>
      <c r="AQ30">
        <v>57</v>
      </c>
      <c r="AR30">
        <v>87</v>
      </c>
      <c r="AS30">
        <v>93</v>
      </c>
      <c r="AT30">
        <v>54</v>
      </c>
      <c r="AU30">
        <v>54.1</v>
      </c>
      <c r="AV30">
        <v>39</v>
      </c>
      <c r="AW30">
        <v>10</v>
      </c>
      <c r="AX30">
        <v>15</v>
      </c>
      <c r="AY30">
        <v>22</v>
      </c>
      <c r="AZ30">
        <v>26</v>
      </c>
      <c r="BA30">
        <v>41</v>
      </c>
      <c r="BB30">
        <v>87</v>
      </c>
      <c r="BC30">
        <v>74</v>
      </c>
      <c r="BD30">
        <v>93</v>
      </c>
      <c r="BE30">
        <v>152</v>
      </c>
      <c r="BF30">
        <v>426</v>
      </c>
      <c r="BG30">
        <v>433</v>
      </c>
      <c r="BH30">
        <v>472</v>
      </c>
      <c r="BI30">
        <v>477</v>
      </c>
      <c r="BJ30">
        <v>831</v>
      </c>
      <c r="BK30">
        <v>605</v>
      </c>
      <c r="BL30">
        <v>661</v>
      </c>
      <c r="BM30">
        <v>721</v>
      </c>
      <c r="BN30">
        <v>1451</v>
      </c>
      <c r="BO30">
        <v>1136</v>
      </c>
      <c r="BP30">
        <v>1234</v>
      </c>
      <c r="BQ30">
        <v>1185</v>
      </c>
      <c r="BR30">
        <v>2398</v>
      </c>
      <c r="BS30">
        <v>1610</v>
      </c>
      <c r="BT30">
        <v>1653</v>
      </c>
      <c r="BU30">
        <v>3286</v>
      </c>
      <c r="BV30">
        <v>3259</v>
      </c>
      <c r="BW30">
        <v>2386</v>
      </c>
      <c r="BX30">
        <v>2692</v>
      </c>
      <c r="BY30">
        <v>3729</v>
      </c>
      <c r="BZ30">
        <v>4758</v>
      </c>
      <c r="CA30">
        <v>4029</v>
      </c>
      <c r="CB30">
        <v>4292</v>
      </c>
      <c r="CC30">
        <v>5461</v>
      </c>
      <c r="CD30">
        <v>7963</v>
      </c>
      <c r="CE30">
        <v>7900</v>
      </c>
      <c r="CF30">
        <v>9551</v>
      </c>
      <c r="CG30">
        <v>8791</v>
      </c>
      <c r="CH30">
        <v>17477</v>
      </c>
      <c r="CI30">
        <v>15532</v>
      </c>
      <c r="CJ30">
        <v>11861</v>
      </c>
      <c r="CK30">
        <v>10893</v>
      </c>
      <c r="CL30">
        <v>17672</v>
      </c>
      <c r="CM30">
        <v>12905</v>
      </c>
      <c r="CN30">
        <v>9435</v>
      </c>
      <c r="CO30">
        <v>10143</v>
      </c>
      <c r="CP30">
        <v>17709</v>
      </c>
      <c r="CQ30">
        <v>13818</v>
      </c>
      <c r="CR30">
        <v>10484</v>
      </c>
      <c r="CS30">
        <v>11472</v>
      </c>
      <c r="CT30">
        <v>24416</v>
      </c>
      <c r="CU30">
        <v>18564</v>
      </c>
      <c r="CV30">
        <v>14473</v>
      </c>
      <c r="CW30">
        <v>15062</v>
      </c>
      <c r="CX30">
        <v>24573</v>
      </c>
      <c r="CY30">
        <v>14142</v>
      </c>
      <c r="CZ30">
        <v>10469</v>
      </c>
      <c r="DA30">
        <v>12188</v>
      </c>
      <c r="DB30">
        <v>24180</v>
      </c>
      <c r="DC30">
        <v>14684</v>
      </c>
      <c r="DD30">
        <v>11308</v>
      </c>
      <c r="DE30">
        <v>13917</v>
      </c>
      <c r="DF30">
        <v>27030</v>
      </c>
      <c r="DG30">
        <v>16168</v>
      </c>
      <c r="DH30">
        <v>13284</v>
      </c>
      <c r="DI30">
        <v>16421</v>
      </c>
      <c r="DJ30">
        <v>23906</v>
      </c>
      <c r="DK30">
        <v>13793</v>
      </c>
      <c r="DL30">
        <v>11911</v>
      </c>
      <c r="DM30">
        <v>16127</v>
      </c>
      <c r="DN30">
        <v>25918</v>
      </c>
      <c r="DO30">
        <v>13135</v>
      </c>
      <c r="DP30">
        <v>13137</v>
      </c>
      <c r="DQ30">
        <v>14901</v>
      </c>
      <c r="DR30">
        <v>33579</v>
      </c>
      <c r="DS30">
        <v>28011</v>
      </c>
      <c r="DT30">
        <v>24369</v>
      </c>
      <c r="DU30">
        <v>23248</v>
      </c>
      <c r="DV30">
        <v>41241</v>
      </c>
      <c r="DW30">
        <v>30139</v>
      </c>
      <c r="DX30">
        <v>23066</v>
      </c>
      <c r="DY30">
        <v>24657</v>
      </c>
      <c r="DZ30">
        <v>35623</v>
      </c>
      <c r="EA30">
        <v>28382</v>
      </c>
      <c r="EB30">
        <v>22733</v>
      </c>
      <c r="EC30">
        <v>26998</v>
      </c>
      <c r="ED30">
        <v>40323</v>
      </c>
      <c r="EE30">
        <v>28058</v>
      </c>
      <c r="EF30">
        <v>25494</v>
      </c>
      <c r="EG30">
        <v>29610</v>
      </c>
      <c r="EH30">
        <v>42584</v>
      </c>
      <c r="EI30">
        <v>29310</v>
      </c>
      <c r="EJ30">
        <v>25857.393969876201</v>
      </c>
      <c r="EK30">
        <v>30054.419203569199</v>
      </c>
      <c r="EL30">
        <v>42738.033793872601</v>
      </c>
      <c r="EM30">
        <v>29751.463651623701</v>
      </c>
      <c r="EN30">
        <v>26918.286692591799</v>
      </c>
      <c r="EO30">
        <v>33843.424564302797</v>
      </c>
      <c r="EP30">
        <v>49381.899447442702</v>
      </c>
      <c r="EQ30">
        <v>32770.916520356797</v>
      </c>
      <c r="ER30">
        <v>29332.856180657102</v>
      </c>
      <c r="ES30">
        <v>35567.221731287304</v>
      </c>
      <c r="ET30">
        <v>51060.955827849699</v>
      </c>
      <c r="EU30">
        <v>35552.2910357031</v>
      </c>
      <c r="EV30">
        <v>31517.6389515546</v>
      </c>
      <c r="EW30">
        <v>37488.6343684319</v>
      </c>
      <c r="EX30">
        <v>54199.989995063203</v>
      </c>
      <c r="EY30">
        <v>36649.917775905698</v>
      </c>
      <c r="EZ30">
        <v>33299.421578203801</v>
      </c>
      <c r="FA30">
        <v>40515.353724390101</v>
      </c>
      <c r="FB30">
        <v>56981.632020449702</v>
      </c>
      <c r="FC30">
        <v>38780.415416372802</v>
      </c>
      <c r="FD30">
        <v>35329.658124132002</v>
      </c>
      <c r="FE30">
        <v>43483.975615884898</v>
      </c>
    </row>
    <row r="31" spans="1:161">
      <c r="A31" t="s">
        <v>282</v>
      </c>
    </row>
    <row r="32" spans="1:161">
      <c r="B32" t="s">
        <v>1092</v>
      </c>
      <c r="C32" t="s">
        <v>283</v>
      </c>
      <c r="D32" t="str">
        <f t="shared" ref="D32:D38" si="1">L_CURRENCY_ISSR_208000149_REP</f>
      </c>
    </row>
    <row r="33" spans="1:161">
      <c r="B33" t="s">
        <v>284</v>
      </c>
      <c r="C33" t="s">
        <v>285</v>
      </c>
      <c r="D33" t="str">
        <f t="shared" si="1"/>
      </c>
    </row>
    <row r="34" spans="1:161">
      <c r="B34" t="s">
        <v>286</v>
      </c>
      <c r="C34" t="s">
        <v>287</v>
      </c>
      <c r="D34" t="str">
        <f t="shared" si="1"/>
      </c>
    </row>
    <row r="35" spans="1:161">
      <c r="B35" t="s">
        <v>288</v>
      </c>
      <c r="C35" t="s">
        <v>289</v>
      </c>
      <c r="D35" t="str">
        <f t="shared" si="1"/>
      </c>
    </row>
    <row r="36" spans="1:161">
      <c r="B36" t="s">
        <v>290</v>
      </c>
      <c r="C36" t="s">
        <v>291</v>
      </c>
      <c r="D36" t="str">
        <f t="shared" si="1"/>
      </c>
    </row>
    <row r="37" spans="1:161">
      <c r="B37" t="s">
        <v>1082</v>
      </c>
      <c r="C37" t="s">
        <v>1083</v>
      </c>
      <c r="D37" t="str">
        <f t="shared" si="1"/>
      </c>
    </row>
    <row r="38" spans="1:161">
      <c r="B38" t="s">
        <v>1088</v>
      </c>
      <c r="C38" t="s">
        <v>1089</v>
      </c>
      <c r="D38" t="str">
        <f t="shared" si="1"/>
      </c>
    </row>
    <row r="39" spans="1:161">
      <c r="B39" t="s">
        <v>1090</v>
      </c>
      <c r="C39" t="s">
        <v>1091</v>
      </c>
      <c r="E39" t="s">
        <v>1660</v>
      </c>
    </row>
    <row r="40" spans="1:161">
      <c r="A40" t="s">
        <v>164</v>
      </c>
    </row>
    <row r="41" spans="1:161">
      <c r="B41" t="s">
        <v>292</v>
      </c>
      <c r="C41" t="s">
        <v>293</v>
      </c>
      <c r="D41" t="str">
        <f t="shared" ref="D41:D70" si="2">L_CURRENCY_ISSR_208000149_REP</f>
      </c>
      <c r="F41">
        <v>1191</v>
      </c>
      <c r="G41">
        <v>2310</v>
      </c>
      <c r="H41">
        <v>2252</v>
      </c>
      <c r="I41">
        <v>3396</v>
      </c>
      <c r="J41">
        <v>2969</v>
      </c>
      <c r="K41">
        <v>3491</v>
      </c>
      <c r="L41">
        <v>6392</v>
      </c>
      <c r="M41">
        <v>9352</v>
      </c>
      <c r="N41">
        <v>11875</v>
      </c>
      <c r="O41">
        <v>5263</v>
      </c>
      <c r="P41">
        <v>11261</v>
      </c>
      <c r="Q41">
        <v>9815</v>
      </c>
      <c r="R41">
        <v>10746</v>
      </c>
      <c r="S41">
        <v>14259</v>
      </c>
      <c r="T41">
        <v>13844</v>
      </c>
      <c r="U41">
        <v>21120</v>
      </c>
      <c r="V41">
        <v>20484</v>
      </c>
      <c r="W41">
        <v>20289</v>
      </c>
      <c r="X41">
        <v>25913</v>
      </c>
      <c r="Y41">
        <v>48844</v>
      </c>
      <c r="Z41">
        <v>38016</v>
      </c>
      <c r="AA41">
        <v>34940</v>
      </c>
      <c r="AB41">
        <v>23646</v>
      </c>
      <c r="AC41">
        <v>29965</v>
      </c>
      <c r="AD41">
        <v>29943</v>
      </c>
      <c r="AE41">
        <v>41937.203555004096</v>
      </c>
      <c r="AF41">
        <v>43967.891085112497</v>
      </c>
      <c r="AG41">
        <v>38562.259231574499</v>
      </c>
      <c r="AH41">
        <v>33448.219505729197</v>
      </c>
      <c r="AI41">
        <v>31000.801173864002</v>
      </c>
      <c r="AJ41">
        <v>29319.779816122798</v>
      </c>
      <c r="AL41">
        <v>1586</v>
      </c>
      <c r="AM41">
        <v>1662</v>
      </c>
      <c r="AN41">
        <v>1344</v>
      </c>
      <c r="AO41">
        <v>1191</v>
      </c>
      <c r="AP41">
        <v>1737</v>
      </c>
      <c r="AQ41">
        <v>2138</v>
      </c>
      <c r="AR41">
        <v>2121</v>
      </c>
      <c r="AS41">
        <v>2310</v>
      </c>
      <c r="AT41">
        <v>1946</v>
      </c>
      <c r="AU41">
        <v>1159</v>
      </c>
      <c r="AV41">
        <v>1246</v>
      </c>
      <c r="AW41">
        <v>2252</v>
      </c>
      <c r="AX41">
        <v>2612</v>
      </c>
      <c r="AY41">
        <v>3410</v>
      </c>
      <c r="AZ41">
        <v>3507</v>
      </c>
      <c r="BA41">
        <v>3396</v>
      </c>
      <c r="BB41">
        <v>3724</v>
      </c>
      <c r="BC41">
        <v>3158</v>
      </c>
      <c r="BD41">
        <v>3120</v>
      </c>
      <c r="BE41">
        <v>2969</v>
      </c>
      <c r="BF41">
        <v>2475</v>
      </c>
      <c r="BG41">
        <v>2254</v>
      </c>
      <c r="BH41">
        <v>3094</v>
      </c>
      <c r="BI41">
        <v>3491</v>
      </c>
      <c r="BJ41">
        <v>4150</v>
      </c>
      <c r="BK41">
        <v>6346</v>
      </c>
      <c r="BL41">
        <v>8013</v>
      </c>
      <c r="BM41">
        <v>6392</v>
      </c>
      <c r="BN41">
        <v>7159</v>
      </c>
      <c r="BO41">
        <v>7095</v>
      </c>
      <c r="BP41">
        <v>7118</v>
      </c>
      <c r="BQ41">
        <v>9352</v>
      </c>
      <c r="BR41">
        <v>9162</v>
      </c>
      <c r="BS41">
        <v>9070</v>
      </c>
      <c r="BT41">
        <v>9373</v>
      </c>
      <c r="BU41">
        <v>11875</v>
      </c>
      <c r="BV41">
        <v>7236</v>
      </c>
      <c r="BW41">
        <v>4466</v>
      </c>
      <c r="BX41">
        <v>5605</v>
      </c>
      <c r="BY41">
        <v>5263</v>
      </c>
      <c r="BZ41">
        <v>7609</v>
      </c>
      <c r="CA41">
        <v>10018</v>
      </c>
      <c r="CB41">
        <v>9705</v>
      </c>
      <c r="CC41">
        <v>11261</v>
      </c>
      <c r="CD41">
        <v>10734</v>
      </c>
      <c r="CE41">
        <v>15978</v>
      </c>
      <c r="CF41">
        <v>12091</v>
      </c>
      <c r="CG41">
        <v>9815</v>
      </c>
      <c r="CH41">
        <v>10310</v>
      </c>
      <c r="CI41">
        <v>10121</v>
      </c>
      <c r="CJ41">
        <v>7945</v>
      </c>
      <c r="CK41">
        <v>10746</v>
      </c>
      <c r="CL41">
        <v>16154</v>
      </c>
      <c r="CM41">
        <v>12053</v>
      </c>
      <c r="CN41">
        <v>11248</v>
      </c>
      <c r="CO41">
        <v>14259</v>
      </c>
      <c r="CP41">
        <v>14077</v>
      </c>
      <c r="CQ41">
        <v>18949</v>
      </c>
      <c r="CR41">
        <v>12977</v>
      </c>
      <c r="CS41">
        <v>13844</v>
      </c>
      <c r="CT41">
        <v>19478</v>
      </c>
      <c r="CU41">
        <v>14489</v>
      </c>
      <c r="CV41">
        <v>15319</v>
      </c>
      <c r="CW41">
        <v>21120</v>
      </c>
      <c r="CX41">
        <v>16689</v>
      </c>
      <c r="CY41">
        <v>21514</v>
      </c>
      <c r="CZ41">
        <v>18237</v>
      </c>
      <c r="DA41">
        <v>20484</v>
      </c>
      <c r="DB41">
        <v>16371</v>
      </c>
      <c r="DC41">
        <v>15157</v>
      </c>
      <c r="DD41">
        <v>18571</v>
      </c>
      <c r="DE41">
        <v>20289</v>
      </c>
      <c r="DF41">
        <v>27491</v>
      </c>
      <c r="DG41">
        <v>45059</v>
      </c>
      <c r="DH41">
        <v>31971</v>
      </c>
      <c r="DI41">
        <v>25913</v>
      </c>
      <c r="DJ41">
        <v>44771</v>
      </c>
      <c r="DK41">
        <v>37988</v>
      </c>
      <c r="DL41">
        <v>50530</v>
      </c>
      <c r="DM41">
        <v>48844</v>
      </c>
      <c r="DN41">
        <v>39771</v>
      </c>
      <c r="DO41">
        <v>40174</v>
      </c>
      <c r="DP41">
        <v>33383</v>
      </c>
      <c r="DQ41">
        <v>38016</v>
      </c>
      <c r="DR41">
        <v>36010</v>
      </c>
      <c r="DS41">
        <v>38466</v>
      </c>
      <c r="DT41">
        <v>34050</v>
      </c>
      <c r="DU41">
        <v>34940</v>
      </c>
      <c r="DV41">
        <v>37119</v>
      </c>
      <c r="DW41">
        <v>28098</v>
      </c>
      <c r="DX41">
        <v>27502</v>
      </c>
      <c r="DY41">
        <v>23646</v>
      </c>
      <c r="DZ41">
        <v>20535</v>
      </c>
      <c r="EA41">
        <v>24687</v>
      </c>
      <c r="EB41">
        <v>28408</v>
      </c>
      <c r="EC41">
        <v>29965</v>
      </c>
      <c r="ED41">
        <v>40760</v>
      </c>
      <c r="EE41">
        <v>32695</v>
      </c>
      <c r="EF41">
        <v>25565</v>
      </c>
      <c r="EG41">
        <v>29943</v>
      </c>
      <c r="EH41">
        <v>30299</v>
      </c>
      <c r="EI41">
        <v>28162</v>
      </c>
      <c r="EJ41">
        <v>26402.9964895632</v>
      </c>
      <c r="EK41">
        <v>41937.203555004096</v>
      </c>
      <c r="EL41">
        <v>34559.324061787796</v>
      </c>
      <c r="EM41">
        <v>30891.874014010002</v>
      </c>
      <c r="EN41">
        <v>22818.187196050701</v>
      </c>
      <c r="EO41">
        <v>43967.891085112497</v>
      </c>
      <c r="EP41">
        <v>36004.037450194497</v>
      </c>
      <c r="EQ41">
        <v>30693.790851882801</v>
      </c>
      <c r="ER41">
        <v>20594.443593231601</v>
      </c>
      <c r="ES41">
        <v>38562.259231574499</v>
      </c>
      <c r="ET41">
        <v>29025.469985687301</v>
      </c>
      <c r="EU41">
        <v>26906.622398409501</v>
      </c>
      <c r="EV41">
        <v>16120.061816670301</v>
      </c>
      <c r="EW41">
        <v>33448.219505729197</v>
      </c>
      <c r="EX41">
        <v>24669.678611334501</v>
      </c>
      <c r="EY41">
        <v>19985.6150216143</v>
      </c>
      <c r="EZ41">
        <v>10395.138211605699</v>
      </c>
      <c r="FA41">
        <v>31000.801173864002</v>
      </c>
      <c r="FB41">
        <v>19874.060032796799</v>
      </c>
      <c r="FC41">
        <v>15564.824040293201</v>
      </c>
      <c r="FD41">
        <v>6052.0943188336896</v>
      </c>
      <c r="FE41">
        <v>29319.779816122798</v>
      </c>
    </row>
    <row r="42" spans="1:161">
      <c r="B42" t="s">
        <v>102</v>
      </c>
      <c r="C42" t="s">
        <v>294</v>
      </c>
      <c r="D42" t="str">
        <f t="shared" si="2"/>
      </c>
      <c r="F42">
        <v>953</v>
      </c>
      <c r="G42">
        <v>466</v>
      </c>
      <c r="H42">
        <v>565</v>
      </c>
      <c r="I42">
        <v>766</v>
      </c>
      <c r="J42">
        <v>774</v>
      </c>
      <c r="K42">
        <v>895</v>
      </c>
      <c r="L42">
        <v>1252</v>
      </c>
      <c r="M42">
        <v>1637</v>
      </c>
      <c r="N42">
        <v>2422</v>
      </c>
      <c r="O42">
        <v>3361</v>
      </c>
      <c r="P42">
        <v>5510</v>
      </c>
      <c r="Q42">
        <v>5369</v>
      </c>
      <c r="R42">
        <v>10930</v>
      </c>
      <c r="S42">
        <v>13102</v>
      </c>
      <c r="T42">
        <v>17460</v>
      </c>
      <c r="U42">
        <v>16849</v>
      </c>
      <c r="V42">
        <v>15754</v>
      </c>
      <c r="W42">
        <v>17874</v>
      </c>
      <c r="X42">
        <v>23186</v>
      </c>
      <c r="Y42">
        <v>22926</v>
      </c>
      <c r="Z42">
        <v>16120</v>
      </c>
      <c r="AA42">
        <v>26278</v>
      </c>
      <c r="AB42">
        <v>28184</v>
      </c>
      <c r="AC42">
        <v>29508</v>
      </c>
      <c r="AD42">
        <v>33410</v>
      </c>
      <c r="AE42">
        <v>35001.444448763301</v>
      </c>
      <c r="AF42">
        <v>38831.843470181702</v>
      </c>
      <c r="AG42">
        <v>40233.589625155997</v>
      </c>
      <c r="AH42">
        <v>41830.179673284001</v>
      </c>
      <c r="AI42">
        <v>44522.656712702497</v>
      </c>
      <c r="AJ42">
        <v>47091.291367342303</v>
      </c>
      <c r="AL42">
        <v>892</v>
      </c>
      <c r="AM42">
        <v>940</v>
      </c>
      <c r="AN42">
        <v>967</v>
      </c>
      <c r="AO42">
        <v>953</v>
      </c>
      <c r="AP42">
        <v>441</v>
      </c>
      <c r="AQ42">
        <v>637</v>
      </c>
      <c r="AR42">
        <v>598</v>
      </c>
      <c r="AS42">
        <v>466</v>
      </c>
      <c r="AT42">
        <v>498</v>
      </c>
      <c r="AU42">
        <v>644</v>
      </c>
      <c r="AV42">
        <v>626</v>
      </c>
      <c r="AW42">
        <v>565</v>
      </c>
      <c r="AX42">
        <v>497</v>
      </c>
      <c r="AY42">
        <v>492</v>
      </c>
      <c r="AZ42">
        <v>568</v>
      </c>
      <c r="BA42">
        <v>766</v>
      </c>
      <c r="BB42">
        <v>586</v>
      </c>
      <c r="BC42">
        <v>585</v>
      </c>
      <c r="BD42">
        <v>629</v>
      </c>
      <c r="BE42">
        <v>774</v>
      </c>
      <c r="BF42">
        <v>865</v>
      </c>
      <c r="BG42">
        <v>888</v>
      </c>
      <c r="BH42">
        <v>827</v>
      </c>
      <c r="BI42">
        <v>895</v>
      </c>
      <c r="BJ42">
        <v>1331</v>
      </c>
      <c r="BK42">
        <v>861</v>
      </c>
      <c r="BL42">
        <v>1089</v>
      </c>
      <c r="BM42">
        <v>1252</v>
      </c>
      <c r="BN42">
        <v>1621</v>
      </c>
      <c r="BO42">
        <v>928</v>
      </c>
      <c r="BP42">
        <v>1410</v>
      </c>
      <c r="BQ42">
        <v>1637</v>
      </c>
      <c r="BR42">
        <v>1939</v>
      </c>
      <c r="BS42">
        <v>1593</v>
      </c>
      <c r="BT42">
        <v>1603</v>
      </c>
      <c r="BU42">
        <v>2422</v>
      </c>
      <c r="BV42">
        <v>2196</v>
      </c>
      <c r="BW42">
        <v>1932</v>
      </c>
      <c r="BX42">
        <v>2686</v>
      </c>
      <c r="BY42">
        <v>3361</v>
      </c>
      <c r="BZ42">
        <v>3090</v>
      </c>
      <c r="CA42">
        <v>2886</v>
      </c>
      <c r="CB42">
        <v>3447</v>
      </c>
      <c r="CC42">
        <v>5510</v>
      </c>
      <c r="CD42">
        <v>6027</v>
      </c>
      <c r="CE42">
        <v>5798</v>
      </c>
      <c r="CF42">
        <v>6102</v>
      </c>
      <c r="CG42">
        <v>5369</v>
      </c>
      <c r="CH42">
        <v>8930</v>
      </c>
      <c r="CI42">
        <v>7042</v>
      </c>
      <c r="CJ42">
        <v>7657</v>
      </c>
      <c r="CK42">
        <v>10930</v>
      </c>
      <c r="CL42">
        <v>11598</v>
      </c>
      <c r="CM42">
        <v>7084</v>
      </c>
      <c r="CN42">
        <v>8839</v>
      </c>
      <c r="CO42">
        <v>13102</v>
      </c>
      <c r="CP42">
        <v>14200</v>
      </c>
      <c r="CQ42">
        <v>9700</v>
      </c>
      <c r="CR42">
        <v>10788</v>
      </c>
      <c r="CS42">
        <v>17460</v>
      </c>
      <c r="CT42">
        <v>16709</v>
      </c>
      <c r="CU42">
        <v>10905</v>
      </c>
      <c r="CV42">
        <v>10370</v>
      </c>
      <c r="CW42">
        <v>16849</v>
      </c>
      <c r="CX42">
        <v>12953</v>
      </c>
      <c r="CY42">
        <v>12229</v>
      </c>
      <c r="CZ42">
        <v>11714</v>
      </c>
      <c r="DA42">
        <v>15754</v>
      </c>
      <c r="DB42">
        <v>14057</v>
      </c>
      <c r="DC42">
        <v>11579</v>
      </c>
      <c r="DD42">
        <v>12399</v>
      </c>
      <c r="DE42">
        <v>17874</v>
      </c>
      <c r="DF42">
        <v>23440</v>
      </c>
      <c r="DG42">
        <v>14324</v>
      </c>
      <c r="DH42">
        <v>14104</v>
      </c>
      <c r="DI42">
        <v>23186</v>
      </c>
      <c r="DJ42">
        <v>18077</v>
      </c>
      <c r="DK42">
        <v>15085</v>
      </c>
      <c r="DL42">
        <v>14148</v>
      </c>
      <c r="DM42">
        <v>22926</v>
      </c>
      <c r="DN42">
        <v>20970</v>
      </c>
      <c r="DO42">
        <v>15722</v>
      </c>
      <c r="DP42">
        <v>17882</v>
      </c>
      <c r="DQ42">
        <v>16120</v>
      </c>
      <c r="DR42">
        <v>27101</v>
      </c>
      <c r="DS42">
        <v>18503</v>
      </c>
      <c r="DT42">
        <v>17475</v>
      </c>
      <c r="DU42">
        <v>26278</v>
      </c>
      <c r="DV42">
        <v>30213</v>
      </c>
      <c r="DW42">
        <v>20815</v>
      </c>
      <c r="DX42">
        <v>21803</v>
      </c>
      <c r="DY42">
        <v>28184</v>
      </c>
      <c r="DZ42">
        <v>23752</v>
      </c>
      <c r="EA42">
        <v>17936</v>
      </c>
      <c r="EB42">
        <v>19549</v>
      </c>
      <c r="EC42">
        <v>29508</v>
      </c>
      <c r="ED42">
        <v>23194</v>
      </c>
      <c r="EE42">
        <v>21837</v>
      </c>
      <c r="EF42">
        <v>22795</v>
      </c>
      <c r="EG42">
        <v>33410</v>
      </c>
      <c r="EH42">
        <v>29639</v>
      </c>
      <c r="EI42">
        <v>26136</v>
      </c>
      <c r="EJ42">
        <v>23792.7051364863</v>
      </c>
      <c r="EK42">
        <v>35001.444448763301</v>
      </c>
      <c r="EL42">
        <v>31454.542074689802</v>
      </c>
      <c r="EM42">
        <v>27140.7934009909</v>
      </c>
      <c r="EN42">
        <v>24623.228425117999</v>
      </c>
      <c r="EO42">
        <v>38831.843470181702</v>
      </c>
      <c r="EP42">
        <v>34852.583122928598</v>
      </c>
      <c r="EQ42">
        <v>29355.393101735499</v>
      </c>
      <c r="ER42">
        <v>26293.4852002896</v>
      </c>
      <c r="ES42">
        <v>40233.589625155997</v>
      </c>
      <c r="ET42">
        <v>35775.553703314399</v>
      </c>
      <c r="EU42">
        <v>31362.7248509975</v>
      </c>
      <c r="EV42">
        <v>27764.655774967901</v>
      </c>
      <c r="EW42">
        <v>41830.179673284001</v>
      </c>
      <c r="EX42">
        <v>37606.695961769197</v>
      </c>
      <c r="EY42">
        <v>32019.293442253798</v>
      </c>
      <c r="EZ42">
        <v>28925.179541679601</v>
      </c>
      <c r="FA42">
        <v>44522.656712702497</v>
      </c>
      <c r="FB42">
        <v>39164.3063181986</v>
      </c>
      <c r="FC42">
        <v>33442.864176917799</v>
      </c>
      <c r="FD42">
        <v>30217.434337586801</v>
      </c>
      <c r="FE42">
        <v>47091.291367342303</v>
      </c>
    </row>
    <row r="43" spans="1:161">
      <c r="B43" t="s">
        <v>295</v>
      </c>
      <c r="C43" t="s">
        <v>296</v>
      </c>
      <c r="D43" t="str">
        <f t="shared" si="2"/>
      </c>
      <c r="F43">
        <v>33</v>
      </c>
      <c r="G43">
        <v>11</v>
      </c>
      <c r="H43">
        <v>45</v>
      </c>
      <c r="I43">
        <v>56</v>
      </c>
      <c r="J43">
        <v>101</v>
      </c>
      <c r="K43">
        <v>165</v>
      </c>
      <c r="L43">
        <v>270</v>
      </c>
      <c r="M43">
        <v>346</v>
      </c>
      <c r="N43">
        <v>509</v>
      </c>
      <c r="O43">
        <v>455</v>
      </c>
      <c r="P43">
        <v>1051</v>
      </c>
      <c r="Q43">
        <v>776</v>
      </c>
      <c r="R43">
        <v>791</v>
      </c>
      <c r="S43">
        <v>1764</v>
      </c>
      <c r="T43">
        <v>2111</v>
      </c>
      <c r="U43">
        <v>2349</v>
      </c>
      <c r="V43">
        <v>2132</v>
      </c>
      <c r="W43">
        <v>4855</v>
      </c>
      <c r="X43">
        <v>3956</v>
      </c>
      <c r="Y43">
        <v>4106</v>
      </c>
      <c r="Z43">
        <v>4061</v>
      </c>
      <c r="AA43">
        <v>6580</v>
      </c>
      <c r="AB43">
        <v>4946</v>
      </c>
      <c r="AC43">
        <v>6331</v>
      </c>
      <c r="AD43">
        <v>7286</v>
      </c>
      <c r="AE43">
        <v>8796.3985223080908</v>
      </c>
      <c r="AF43">
        <v>9801.6339419719807</v>
      </c>
      <c r="AG43">
        <v>10018.168415300101</v>
      </c>
      <c r="AH43">
        <v>10289.8607332806</v>
      </c>
      <c r="AI43">
        <v>10888.227819833801</v>
      </c>
      <c r="AJ43">
        <v>11440.434411550899</v>
      </c>
      <c r="AL43">
        <v>15</v>
      </c>
      <c r="AM43">
        <v>10</v>
      </c>
      <c r="AN43">
        <v>5</v>
      </c>
      <c r="AO43">
        <v>33</v>
      </c>
      <c r="AP43">
        <v>21</v>
      </c>
      <c r="AQ43">
        <v>10</v>
      </c>
      <c r="AR43">
        <v>19</v>
      </c>
      <c r="AS43">
        <v>11</v>
      </c>
      <c r="AT43">
        <v>23</v>
      </c>
      <c r="AU43">
        <v>26</v>
      </c>
      <c r="AV43">
        <v>34</v>
      </c>
      <c r="AW43">
        <v>45</v>
      </c>
      <c r="AX43">
        <v>44</v>
      </c>
      <c r="AY43">
        <v>41</v>
      </c>
      <c r="AZ43">
        <v>38</v>
      </c>
      <c r="BA43">
        <v>56</v>
      </c>
      <c r="BB43">
        <v>89</v>
      </c>
      <c r="BC43">
        <v>63</v>
      </c>
      <c r="BD43">
        <v>72</v>
      </c>
      <c r="BE43">
        <v>101</v>
      </c>
      <c r="BF43">
        <v>156</v>
      </c>
      <c r="BG43">
        <v>164</v>
      </c>
      <c r="BH43">
        <v>193</v>
      </c>
      <c r="BI43">
        <v>165</v>
      </c>
      <c r="BJ43">
        <v>244</v>
      </c>
      <c r="BK43">
        <v>204</v>
      </c>
      <c r="BL43">
        <v>213</v>
      </c>
      <c r="BM43">
        <v>270</v>
      </c>
      <c r="BN43">
        <v>303</v>
      </c>
      <c r="BO43">
        <v>208</v>
      </c>
      <c r="BP43">
        <v>251</v>
      </c>
      <c r="BQ43">
        <v>346</v>
      </c>
      <c r="BR43">
        <v>459</v>
      </c>
      <c r="BS43">
        <v>364</v>
      </c>
      <c r="BT43">
        <v>545</v>
      </c>
      <c r="BU43">
        <v>509</v>
      </c>
      <c r="BV43">
        <v>396</v>
      </c>
      <c r="BW43">
        <v>312</v>
      </c>
      <c r="BX43">
        <v>380</v>
      </c>
      <c r="BY43">
        <v>455</v>
      </c>
      <c r="BZ43">
        <v>576</v>
      </c>
      <c r="CA43">
        <v>638</v>
      </c>
      <c r="CB43">
        <v>942</v>
      </c>
      <c r="CC43">
        <v>1051</v>
      </c>
      <c r="CD43">
        <v>885</v>
      </c>
      <c r="CE43">
        <v>930</v>
      </c>
      <c r="CF43">
        <v>889</v>
      </c>
      <c r="CG43">
        <v>776</v>
      </c>
      <c r="CH43">
        <v>1236</v>
      </c>
      <c r="CI43">
        <v>1102</v>
      </c>
      <c r="CJ43">
        <v>1122</v>
      </c>
      <c r="CK43">
        <v>791</v>
      </c>
      <c r="CL43">
        <v>1455</v>
      </c>
      <c r="CM43">
        <v>1245</v>
      </c>
      <c r="CN43">
        <v>1697</v>
      </c>
      <c r="CO43">
        <v>1764</v>
      </c>
      <c r="CP43">
        <v>2122</v>
      </c>
      <c r="CQ43">
        <v>1829</v>
      </c>
      <c r="CR43">
        <v>1594</v>
      </c>
      <c r="CS43">
        <v>2111</v>
      </c>
      <c r="CT43">
        <v>2283</v>
      </c>
      <c r="CU43">
        <v>2396</v>
      </c>
      <c r="CV43">
        <v>2042</v>
      </c>
      <c r="CW43">
        <v>2349</v>
      </c>
      <c r="CX43">
        <v>2451</v>
      </c>
      <c r="CY43">
        <v>2281</v>
      </c>
      <c r="CZ43">
        <v>1831</v>
      </c>
      <c r="DA43">
        <v>2132</v>
      </c>
      <c r="DB43">
        <v>2712</v>
      </c>
      <c r="DC43">
        <v>2910</v>
      </c>
      <c r="DD43">
        <v>3146</v>
      </c>
      <c r="DE43">
        <v>4855</v>
      </c>
      <c r="DF43">
        <v>4421</v>
      </c>
      <c r="DG43">
        <v>7662</v>
      </c>
      <c r="DH43">
        <v>5936</v>
      </c>
      <c r="DI43">
        <v>3956</v>
      </c>
      <c r="DJ43">
        <v>4988</v>
      </c>
      <c r="DK43">
        <v>4884</v>
      </c>
      <c r="DL43">
        <v>3355</v>
      </c>
      <c r="DM43">
        <v>4106</v>
      </c>
      <c r="DN43">
        <v>4097</v>
      </c>
      <c r="DO43">
        <v>3334</v>
      </c>
      <c r="DP43">
        <v>3978</v>
      </c>
      <c r="DQ43">
        <v>4061</v>
      </c>
      <c r="DR43">
        <v>4973</v>
      </c>
      <c r="DS43">
        <v>5219</v>
      </c>
      <c r="DT43">
        <v>5178</v>
      </c>
      <c r="DU43">
        <v>6580</v>
      </c>
      <c r="DV43">
        <v>5876</v>
      </c>
      <c r="DW43">
        <v>5460</v>
      </c>
      <c r="DX43">
        <v>5433</v>
      </c>
      <c r="DY43">
        <v>4946</v>
      </c>
      <c r="DZ43">
        <v>6820</v>
      </c>
      <c r="EA43">
        <v>7482</v>
      </c>
      <c r="EB43">
        <v>7351</v>
      </c>
      <c r="EC43">
        <v>6331</v>
      </c>
      <c r="ED43">
        <v>6511</v>
      </c>
      <c r="EE43">
        <v>6232</v>
      </c>
      <c r="EF43">
        <v>6165</v>
      </c>
      <c r="EG43">
        <v>7286</v>
      </c>
      <c r="EH43">
        <v>6911</v>
      </c>
      <c r="EI43">
        <v>6269</v>
      </c>
      <c r="EJ43">
        <v>7422.5644116143103</v>
      </c>
      <c r="EK43">
        <v>8796.3985223080908</v>
      </c>
      <c r="EL43">
        <v>8474.4097762053698</v>
      </c>
      <c r="EM43">
        <v>7569.6619487133203</v>
      </c>
      <c r="EN43">
        <v>7656.55840345039</v>
      </c>
      <c r="EO43">
        <v>9801.6339419719807</v>
      </c>
      <c r="EP43">
        <v>9254.1814264605</v>
      </c>
      <c r="EQ43">
        <v>8161.4536305573702</v>
      </c>
      <c r="ER43">
        <v>8113.8988381282497</v>
      </c>
      <c r="ES43">
        <v>10018.168415300101</v>
      </c>
      <c r="ET43">
        <v>9397.2629402529892</v>
      </c>
      <c r="EU43">
        <v>8669.5456640901793</v>
      </c>
      <c r="EV43">
        <v>8486.1948412121801</v>
      </c>
      <c r="EW43">
        <v>10289.8607332806</v>
      </c>
      <c r="EX43">
        <v>9813.6739989872094</v>
      </c>
      <c r="EY43">
        <v>8718.7605690989003</v>
      </c>
      <c r="EZ43">
        <v>8735.8367265322504</v>
      </c>
      <c r="FA43">
        <v>10888.227819833801</v>
      </c>
      <c r="FB43">
        <v>10140.838806362501</v>
      </c>
      <c r="FC43">
        <v>9018.8421963158798</v>
      </c>
      <c r="FD43">
        <v>9026.9788180370506</v>
      </c>
      <c r="FE43">
        <v>11440.434411550899</v>
      </c>
    </row>
    <row r="44" spans="1:161">
      <c r="B44" t="s">
        <v>106</v>
      </c>
      <c r="C44" t="s">
        <v>297</v>
      </c>
      <c r="D44" t="str">
        <f t="shared" si="2"/>
      </c>
      <c r="F44">
        <v>3250</v>
      </c>
      <c r="G44">
        <v>2356</v>
      </c>
      <c r="H44">
        <v>2526</v>
      </c>
      <c r="I44">
        <v>1669</v>
      </c>
      <c r="J44">
        <v>3211</v>
      </c>
      <c r="K44">
        <v>5749</v>
      </c>
      <c r="L44">
        <v>6595</v>
      </c>
      <c r="M44">
        <v>10366</v>
      </c>
      <c r="N44">
        <v>15200</v>
      </c>
      <c r="O44">
        <v>22476</v>
      </c>
      <c r="P44">
        <v>23856</v>
      </c>
      <c r="Q44">
        <v>29028</v>
      </c>
      <c r="R44">
        <v>35186</v>
      </c>
      <c r="S44">
        <v>44161</v>
      </c>
      <c r="T44">
        <v>35116</v>
      </c>
      <c r="U44">
        <v>49060</v>
      </c>
      <c r="V44">
        <v>68499</v>
      </c>
      <c r="W44">
        <v>85627</v>
      </c>
      <c r="X44">
        <v>78284</v>
      </c>
      <c r="Y44">
        <v>86943</v>
      </c>
      <c r="Z44">
        <v>85516</v>
      </c>
      <c r="AA44">
        <v>67038</v>
      </c>
      <c r="AB44">
        <v>78629</v>
      </c>
      <c r="AC44">
        <v>77762</v>
      </c>
      <c r="AD44">
        <v>82348</v>
      </c>
      <c r="AE44">
        <v>66904.129293084203</v>
      </c>
      <c r="AF44">
        <v>70809.020364584503</v>
      </c>
      <c r="AG44">
        <v>71751.024830971699</v>
      </c>
      <c r="AH44">
        <v>73002.943533801401</v>
      </c>
      <c r="AI44">
        <v>75863.443051964903</v>
      </c>
      <c r="AJ44">
        <v>78630.278276078301</v>
      </c>
      <c r="AL44">
        <v>2416</v>
      </c>
      <c r="AM44">
        <v>2300</v>
      </c>
      <c r="AN44">
        <v>2841</v>
      </c>
      <c r="AO44">
        <v>3250</v>
      </c>
      <c r="AP44">
        <v>2727</v>
      </c>
      <c r="AQ44">
        <v>2560</v>
      </c>
      <c r="AR44">
        <v>2510</v>
      </c>
      <c r="AS44">
        <v>2356</v>
      </c>
      <c r="AT44">
        <v>2805</v>
      </c>
      <c r="AU44">
        <v>3585</v>
      </c>
      <c r="AV44">
        <v>3537</v>
      </c>
      <c r="AW44">
        <v>2526</v>
      </c>
      <c r="AX44">
        <v>2231</v>
      </c>
      <c r="AY44">
        <v>1525</v>
      </c>
      <c r="AZ44">
        <v>1433</v>
      </c>
      <c r="BA44">
        <v>1669</v>
      </c>
      <c r="BB44">
        <v>1630</v>
      </c>
      <c r="BC44">
        <v>1978</v>
      </c>
      <c r="BD44">
        <v>2465</v>
      </c>
      <c r="BE44">
        <v>3211</v>
      </c>
      <c r="BF44">
        <v>4826</v>
      </c>
      <c r="BG44">
        <v>5701</v>
      </c>
      <c r="BH44">
        <v>5262</v>
      </c>
      <c r="BI44">
        <v>5749</v>
      </c>
      <c r="BJ44">
        <v>6437</v>
      </c>
      <c r="BK44">
        <v>3875</v>
      </c>
      <c r="BL44">
        <v>3176</v>
      </c>
      <c r="BM44">
        <v>6595</v>
      </c>
      <c r="BN44">
        <v>7575</v>
      </c>
      <c r="BO44">
        <v>7767</v>
      </c>
      <c r="BP44">
        <v>9878</v>
      </c>
      <c r="BQ44">
        <v>10366</v>
      </c>
      <c r="BR44">
        <v>13966</v>
      </c>
      <c r="BS44">
        <v>14746</v>
      </c>
      <c r="BT44">
        <v>15322</v>
      </c>
      <c r="BU44">
        <v>15200</v>
      </c>
      <c r="BV44">
        <v>25335</v>
      </c>
      <c r="BW44">
        <v>27143</v>
      </c>
      <c r="BX44">
        <v>26499</v>
      </c>
      <c r="BY44">
        <v>22476</v>
      </c>
      <c r="BZ44">
        <v>22057</v>
      </c>
      <c r="CA44">
        <v>18794</v>
      </c>
      <c r="CB44">
        <v>21939</v>
      </c>
      <c r="CC44">
        <v>23856</v>
      </c>
      <c r="CD44">
        <v>26281</v>
      </c>
      <c r="CE44">
        <v>24291</v>
      </c>
      <c r="CF44">
        <v>27816</v>
      </c>
      <c r="CG44">
        <v>29028</v>
      </c>
      <c r="CH44">
        <v>34295</v>
      </c>
      <c r="CI44">
        <v>32447</v>
      </c>
      <c r="CJ44">
        <v>35219</v>
      </c>
      <c r="CK44">
        <v>35186</v>
      </c>
      <c r="CL44">
        <v>43141</v>
      </c>
      <c r="CM44">
        <v>42955</v>
      </c>
      <c r="CN44">
        <v>46435</v>
      </c>
      <c r="CO44">
        <v>44161</v>
      </c>
      <c r="CP44">
        <v>49948</v>
      </c>
      <c r="CQ44">
        <v>40063</v>
      </c>
      <c r="CR44">
        <v>42590</v>
      </c>
      <c r="CS44">
        <v>35116</v>
      </c>
      <c r="CT44">
        <v>44933</v>
      </c>
      <c r="CU44">
        <v>40101</v>
      </c>
      <c r="CV44">
        <v>43222</v>
      </c>
      <c r="CW44">
        <v>49060</v>
      </c>
      <c r="CX44">
        <v>44126</v>
      </c>
      <c r="CY44">
        <v>51568</v>
      </c>
      <c r="CZ44">
        <v>61979</v>
      </c>
      <c r="DA44">
        <v>68499</v>
      </c>
      <c r="DB44">
        <v>70192</v>
      </c>
      <c r="DC44">
        <v>72344</v>
      </c>
      <c r="DD44">
        <v>78759</v>
      </c>
      <c r="DE44">
        <v>85627</v>
      </c>
      <c r="DF44">
        <v>88458</v>
      </c>
      <c r="DG44">
        <v>63008</v>
      </c>
      <c r="DH44">
        <v>63750</v>
      </c>
      <c r="DI44">
        <v>78284</v>
      </c>
      <c r="DJ44">
        <v>72992</v>
      </c>
      <c r="DK44">
        <v>65389</v>
      </c>
      <c r="DL44">
        <v>66940</v>
      </c>
      <c r="DM44">
        <v>86943</v>
      </c>
      <c r="DN44">
        <v>98393</v>
      </c>
      <c r="DO44">
        <v>84523</v>
      </c>
      <c r="DP44">
        <v>84822</v>
      </c>
      <c r="DQ44">
        <v>85516</v>
      </c>
      <c r="DR44">
        <v>86022</v>
      </c>
      <c r="DS44">
        <v>59277</v>
      </c>
      <c r="DT44">
        <v>57720</v>
      </c>
      <c r="DU44">
        <v>67038</v>
      </c>
      <c r="DV44">
        <v>79946</v>
      </c>
      <c r="DW44">
        <v>63807</v>
      </c>
      <c r="DX44">
        <v>57554</v>
      </c>
      <c r="DY44">
        <v>78629</v>
      </c>
      <c r="DZ44">
        <v>77670</v>
      </c>
      <c r="EA44">
        <v>62808</v>
      </c>
      <c r="EB44">
        <v>67351</v>
      </c>
      <c r="EC44">
        <v>77762</v>
      </c>
      <c r="ED44">
        <v>73227</v>
      </c>
      <c r="EE44">
        <v>67652</v>
      </c>
      <c r="EF44">
        <v>70910</v>
      </c>
      <c r="EG44">
        <v>82348</v>
      </c>
      <c r="EH44">
        <v>66391</v>
      </c>
      <c r="EI44">
        <v>58107</v>
      </c>
      <c r="EJ44">
        <v>55354.359291342698</v>
      </c>
      <c r="EK44">
        <v>66904.129293084203</v>
      </c>
      <c r="EL44">
        <v>61305.463011166197</v>
      </c>
      <c r="EM44">
        <v>56504.169249035796</v>
      </c>
      <c r="EN44">
        <v>54533.3081825181</v>
      </c>
      <c r="EO44">
        <v>70809.020364584503</v>
      </c>
      <c r="EP44">
        <v>65747.308689652797</v>
      </c>
      <c r="EQ44">
        <v>58355.704980417402</v>
      </c>
      <c r="ER44">
        <v>55855.324284008602</v>
      </c>
      <c r="ES44">
        <v>71751.024830971699</v>
      </c>
      <c r="ET44">
        <v>65624.876815571304</v>
      </c>
      <c r="EU44">
        <v>60009.2605676331</v>
      </c>
      <c r="EV44">
        <v>56929.481566266702</v>
      </c>
      <c r="EW44">
        <v>73002.943533801401</v>
      </c>
      <c r="EX44">
        <v>66863.726659805296</v>
      </c>
      <c r="EY44">
        <v>59670.954190113502</v>
      </c>
      <c r="EZ44">
        <v>57534.664210512703</v>
      </c>
      <c r="FA44">
        <v>75863.443051964903</v>
      </c>
      <c r="FB44">
        <v>67747.902584924901</v>
      </c>
      <c r="FC44">
        <v>60544.824662394502</v>
      </c>
      <c r="FD44">
        <v>58424.735347114402</v>
      </c>
      <c r="FE44">
        <v>78630.278276078301</v>
      </c>
    </row>
    <row r="45" spans="1:161">
      <c r="B45" t="s">
        <v>149</v>
      </c>
      <c r="C45" t="s">
        <v>298</v>
      </c>
      <c r="D45" t="str">
        <f t="shared" si="2"/>
      </c>
      <c r="F45">
        <v>5427</v>
      </c>
      <c r="G45">
        <v>5143</v>
      </c>
      <c r="H45">
        <v>5388</v>
      </c>
      <c r="I45">
        <v>5887</v>
      </c>
      <c r="J45">
        <v>7055</v>
      </c>
      <c r="K45">
        <v>10300</v>
      </c>
      <c r="L45">
        <v>14509</v>
      </c>
      <c r="M45">
        <v>21701</v>
      </c>
      <c r="N45">
        <v>30006</v>
      </c>
      <c r="O45">
        <v>31555</v>
      </c>
      <c r="P45">
        <v>41678</v>
      </c>
      <c r="Q45">
        <v>44988</v>
      </c>
      <c r="R45">
        <v>57653</v>
      </c>
      <c r="S45">
        <v>73286</v>
      </c>
      <c r="T45">
        <v>68531</v>
      </c>
      <c r="U45">
        <v>89378</v>
      </c>
      <c r="V45">
        <v>106869</v>
      </c>
      <c r="W45">
        <v>128645</v>
      </c>
      <c r="X45">
        <v>131339</v>
      </c>
      <c r="Y45">
        <v>162819</v>
      </c>
      <c r="Z45">
        <v>143713</v>
      </c>
      <c r="AA45">
        <v>134836</v>
      </c>
      <c r="AB45">
        <v>135405</v>
      </c>
      <c r="AC45">
        <v>143566</v>
      </c>
      <c r="AD45">
        <v>152987</v>
      </c>
      <c r="AE45">
        <v>152639.17581916001</v>
      </c>
      <c r="AF45">
        <v>163410.38886185101</v>
      </c>
      <c r="AG45">
        <v>160565.04210300199</v>
      </c>
      <c r="AH45">
        <v>158571.20344609499</v>
      </c>
      <c r="AI45">
        <v>162275.128758365</v>
      </c>
      <c r="AJ45">
        <v>166481.783871094</v>
      </c>
      <c r="AL45">
        <v>4909</v>
      </c>
      <c r="AM45">
        <v>4912</v>
      </c>
      <c r="AN45">
        <v>5157</v>
      </c>
      <c r="AO45">
        <v>5427</v>
      </c>
      <c r="AP45">
        <v>4926</v>
      </c>
      <c r="AQ45">
        <v>5345</v>
      </c>
      <c r="AR45">
        <v>5248</v>
      </c>
      <c r="AS45">
        <v>5143</v>
      </c>
      <c r="AT45">
        <v>5272</v>
      </c>
      <c r="AU45">
        <v>5414</v>
      </c>
      <c r="AV45">
        <v>5443</v>
      </c>
      <c r="AW45">
        <v>5388</v>
      </c>
      <c r="AX45">
        <v>5384</v>
      </c>
      <c r="AY45">
        <v>5468</v>
      </c>
      <c r="AZ45">
        <v>5546</v>
      </c>
      <c r="BA45">
        <v>5887</v>
      </c>
      <c r="BB45">
        <v>6029</v>
      </c>
      <c r="BC45">
        <v>5784</v>
      </c>
      <c r="BD45">
        <v>6286</v>
      </c>
      <c r="BE45">
        <v>7055</v>
      </c>
      <c r="BF45">
        <v>8322</v>
      </c>
      <c r="BG45">
        <v>9007</v>
      </c>
      <c r="BH45">
        <v>9376</v>
      </c>
      <c r="BI45">
        <v>10300</v>
      </c>
      <c r="BJ45">
        <v>12162</v>
      </c>
      <c r="BK45">
        <v>11286</v>
      </c>
      <c r="BL45">
        <v>12491</v>
      </c>
      <c r="BM45">
        <v>14509</v>
      </c>
      <c r="BN45">
        <v>16658</v>
      </c>
      <c r="BO45">
        <v>15998</v>
      </c>
      <c r="BP45">
        <v>18657</v>
      </c>
      <c r="BQ45">
        <v>21701</v>
      </c>
      <c r="BR45">
        <v>25526</v>
      </c>
      <c r="BS45">
        <v>25773</v>
      </c>
      <c r="BT45">
        <v>26843</v>
      </c>
      <c r="BU45">
        <v>30006</v>
      </c>
      <c r="BV45">
        <v>35163</v>
      </c>
      <c r="BW45">
        <v>33853</v>
      </c>
      <c r="BX45">
        <v>35170</v>
      </c>
      <c r="BY45">
        <v>31555</v>
      </c>
      <c r="BZ45">
        <v>33332</v>
      </c>
      <c r="CA45">
        <v>32336</v>
      </c>
      <c r="CB45">
        <v>36033</v>
      </c>
      <c r="CC45">
        <v>41678</v>
      </c>
      <c r="CD45">
        <v>43927</v>
      </c>
      <c r="CE45">
        <v>46997</v>
      </c>
      <c r="CF45">
        <v>46898</v>
      </c>
      <c r="CG45">
        <v>44988</v>
      </c>
      <c r="CH45">
        <v>54771</v>
      </c>
      <c r="CI45">
        <v>50712</v>
      </c>
      <c r="CJ45">
        <v>51943</v>
      </c>
      <c r="CK45">
        <v>57653</v>
      </c>
      <c r="CL45">
        <v>72348</v>
      </c>
      <c r="CM45">
        <v>63337</v>
      </c>
      <c r="CN45">
        <v>68219</v>
      </c>
      <c r="CO45">
        <v>73286</v>
      </c>
      <c r="CP45">
        <v>80347</v>
      </c>
      <c r="CQ45">
        <v>70541</v>
      </c>
      <c r="CR45">
        <v>67949</v>
      </c>
      <c r="CS45">
        <v>68531</v>
      </c>
      <c r="CT45">
        <v>83403</v>
      </c>
      <c r="CU45">
        <v>67891</v>
      </c>
      <c r="CV45">
        <v>70953</v>
      </c>
      <c r="CW45">
        <v>89378</v>
      </c>
      <c r="CX45">
        <v>76219</v>
      </c>
      <c r="CY45">
        <v>87592</v>
      </c>
      <c r="CZ45">
        <v>93761</v>
      </c>
      <c r="DA45">
        <v>106869</v>
      </c>
      <c r="DB45">
        <v>103332</v>
      </c>
      <c r="DC45">
        <v>101990</v>
      </c>
      <c r="DD45">
        <v>112875</v>
      </c>
      <c r="DE45">
        <v>128645</v>
      </c>
      <c r="DF45">
        <v>143810</v>
      </c>
      <c r="DG45">
        <v>130053</v>
      </c>
      <c r="DH45">
        <v>115761</v>
      </c>
      <c r="DI45">
        <v>131339</v>
      </c>
      <c r="DJ45">
        <v>140828</v>
      </c>
      <c r="DK45">
        <v>123346</v>
      </c>
      <c r="DL45">
        <v>134973</v>
      </c>
      <c r="DM45">
        <v>162819</v>
      </c>
      <c r="DN45">
        <v>163231</v>
      </c>
      <c r="DO45">
        <v>143753</v>
      </c>
      <c r="DP45">
        <v>140065</v>
      </c>
      <c r="DQ45">
        <v>143713</v>
      </c>
      <c r="DR45">
        <v>154106</v>
      </c>
      <c r="DS45">
        <v>121465</v>
      </c>
      <c r="DT45">
        <v>114423</v>
      </c>
      <c r="DU45">
        <v>134836</v>
      </c>
      <c r="DV45">
        <v>153154</v>
      </c>
      <c r="DW45">
        <v>118180</v>
      </c>
      <c r="DX45">
        <v>112292</v>
      </c>
      <c r="DY45">
        <v>135405</v>
      </c>
      <c r="DZ45">
        <v>128777</v>
      </c>
      <c r="EA45">
        <v>112913</v>
      </c>
      <c r="EB45">
        <v>122659</v>
      </c>
      <c r="EC45">
        <v>143566</v>
      </c>
      <c r="ED45">
        <v>143692</v>
      </c>
      <c r="EE45">
        <v>128416</v>
      </c>
      <c r="EF45">
        <v>125435</v>
      </c>
      <c r="EG45">
        <v>152987</v>
      </c>
      <c r="EH45">
        <v>133240</v>
      </c>
      <c r="EI45">
        <v>118674</v>
      </c>
      <c r="EJ45">
        <v>112972.625329006</v>
      </c>
      <c r="EK45">
        <v>152639.17581916001</v>
      </c>
      <c r="EL45">
        <v>135793.73892384901</v>
      </c>
      <c r="EM45">
        <v>122106.49861275</v>
      </c>
      <c r="EN45">
        <v>109631.282207137</v>
      </c>
      <c r="EO45">
        <v>163410.38886185101</v>
      </c>
      <c r="EP45">
        <v>145858.110689236</v>
      </c>
      <c r="EQ45">
        <v>126566.342564593</v>
      </c>
      <c r="ER45">
        <v>110857.151915658</v>
      </c>
      <c r="ES45">
        <v>160565.04210300199</v>
      </c>
      <c r="ET45">
        <v>139823.163444826</v>
      </c>
      <c r="EU45">
        <v>126948.15348112999</v>
      </c>
      <c r="EV45">
        <v>109300.393999117</v>
      </c>
      <c r="EW45">
        <v>158571.20344609499</v>
      </c>
      <c r="EX45">
        <v>138953.775231896</v>
      </c>
      <c r="EY45">
        <v>120394.62322307999</v>
      </c>
      <c r="EZ45">
        <v>105590.81869032999</v>
      </c>
      <c r="FA45">
        <v>162275.128758365</v>
      </c>
      <c r="FB45">
        <v>136927.107742283</v>
      </c>
      <c r="FC45">
        <v>118571.355075921</v>
      </c>
      <c r="FD45">
        <v>103721.242821572</v>
      </c>
      <c r="FE45">
        <v>166481.783871094</v>
      </c>
    </row>
    <row r="46" spans="1:161">
      <c r="B46" t="s">
        <v>299</v>
      </c>
      <c r="C46" t="s">
        <v>300</v>
      </c>
      <c r="D46" t="str">
        <f t="shared" si="2"/>
      </c>
      <c r="F46">
        <v>700</v>
      </c>
      <c r="G46">
        <v>924</v>
      </c>
      <c r="H46">
        <v>1057</v>
      </c>
      <c r="I46">
        <v>1174</v>
      </c>
      <c r="J46">
        <v>1298</v>
      </c>
      <c r="K46">
        <v>2109</v>
      </c>
      <c r="L46">
        <v>2075</v>
      </c>
      <c r="M46">
        <v>2841</v>
      </c>
      <c r="N46">
        <v>3747</v>
      </c>
      <c r="O46">
        <v>4667</v>
      </c>
      <c r="P46">
        <v>7234</v>
      </c>
      <c r="Q46">
        <v>11768</v>
      </c>
      <c r="R46">
        <v>21887</v>
      </c>
      <c r="S46">
        <v>28519</v>
      </c>
      <c r="T46">
        <v>39015</v>
      </c>
      <c r="U46">
        <v>49257</v>
      </c>
      <c r="V46">
        <v>61245</v>
      </c>
      <c r="W46">
        <v>75076</v>
      </c>
      <c r="X46">
        <v>93500</v>
      </c>
      <c r="Y46">
        <v>102121</v>
      </c>
      <c r="Z46">
        <v>112565</v>
      </c>
      <c r="AA46">
        <v>109723</v>
      </c>
      <c r="AB46">
        <v>114457</v>
      </c>
      <c r="AC46">
        <v>114599</v>
      </c>
      <c r="AD46">
        <v>119128</v>
      </c>
      <c r="AE46">
        <v>128131.987737113</v>
      </c>
      <c r="AF46">
        <v>143051.342672798</v>
      </c>
      <c r="AG46">
        <v>159174.90126775901</v>
      </c>
      <c r="AH46">
        <v>176146.73360816701</v>
      </c>
      <c r="AI46">
        <v>193981.250225681</v>
      </c>
      <c r="AJ46">
        <v>212760.07902339299</v>
      </c>
      <c r="AL46">
        <v>725</v>
      </c>
      <c r="AM46">
        <v>723</v>
      </c>
      <c r="AN46">
        <v>721</v>
      </c>
      <c r="AO46">
        <v>700</v>
      </c>
      <c r="AP46">
        <v>714</v>
      </c>
      <c r="AQ46">
        <v>721</v>
      </c>
      <c r="AR46">
        <v>727</v>
      </c>
      <c r="AS46">
        <v>924</v>
      </c>
      <c r="AT46">
        <v>934</v>
      </c>
      <c r="AU46">
        <v>955</v>
      </c>
      <c r="AV46">
        <v>970</v>
      </c>
      <c r="AW46">
        <v>1057</v>
      </c>
      <c r="AX46">
        <v>1046</v>
      </c>
      <c r="AY46">
        <v>1076</v>
      </c>
      <c r="AZ46">
        <v>1124</v>
      </c>
      <c r="BA46">
        <v>1174</v>
      </c>
      <c r="BB46">
        <v>1221</v>
      </c>
      <c r="BC46">
        <v>1254</v>
      </c>
      <c r="BD46">
        <v>1252</v>
      </c>
      <c r="BE46">
        <v>1298</v>
      </c>
      <c r="BF46">
        <v>1352</v>
      </c>
      <c r="BG46">
        <v>1370</v>
      </c>
      <c r="BH46">
        <v>1409</v>
      </c>
      <c r="BI46">
        <v>1481</v>
      </c>
      <c r="BJ46">
        <v>1547</v>
      </c>
      <c r="BK46">
        <v>1731</v>
      </c>
      <c r="BL46">
        <v>1954</v>
      </c>
      <c r="BM46">
        <v>2075</v>
      </c>
      <c r="BN46">
        <v>2200</v>
      </c>
      <c r="BO46">
        <v>2304</v>
      </c>
      <c r="BP46">
        <v>2562</v>
      </c>
      <c r="BQ46">
        <v>2841</v>
      </c>
      <c r="BR46">
        <v>2931</v>
      </c>
      <c r="BS46">
        <v>3113</v>
      </c>
      <c r="BT46">
        <v>3397</v>
      </c>
      <c r="BU46">
        <v>3747</v>
      </c>
      <c r="BV46">
        <v>3997</v>
      </c>
      <c r="BW46">
        <v>4097</v>
      </c>
      <c r="BX46">
        <v>4222</v>
      </c>
      <c r="BY46">
        <v>4667</v>
      </c>
      <c r="BZ46">
        <v>4986</v>
      </c>
      <c r="CA46">
        <v>5555</v>
      </c>
      <c r="CB46">
        <v>6228</v>
      </c>
      <c r="CC46">
        <v>7234</v>
      </c>
      <c r="CD46">
        <v>8635</v>
      </c>
      <c r="CE46">
        <v>9416</v>
      </c>
      <c r="CF46">
        <v>10348</v>
      </c>
      <c r="CG46">
        <v>11768</v>
      </c>
      <c r="CH46">
        <v>12340</v>
      </c>
      <c r="CI46">
        <v>13941</v>
      </c>
      <c r="CJ46">
        <v>16205</v>
      </c>
      <c r="CK46">
        <v>21887</v>
      </c>
      <c r="CL46">
        <v>23214</v>
      </c>
      <c r="CM46">
        <v>24194</v>
      </c>
      <c r="CN46">
        <v>26889</v>
      </c>
      <c r="CO46">
        <v>28519</v>
      </c>
      <c r="CP46">
        <v>29288</v>
      </c>
      <c r="CQ46">
        <v>30406</v>
      </c>
      <c r="CR46">
        <v>34453</v>
      </c>
      <c r="CS46">
        <v>39015</v>
      </c>
      <c r="CT46">
        <v>40747</v>
      </c>
      <c r="CU46">
        <v>42460</v>
      </c>
      <c r="CV46">
        <v>45544</v>
      </c>
      <c r="CW46">
        <v>49257</v>
      </c>
      <c r="CX46">
        <v>51342</v>
      </c>
      <c r="CY46">
        <v>54722</v>
      </c>
      <c r="CZ46">
        <v>57991</v>
      </c>
      <c r="DA46">
        <v>61245</v>
      </c>
      <c r="DB46">
        <v>62759</v>
      </c>
      <c r="DC46">
        <v>65124</v>
      </c>
      <c r="DD46">
        <v>68981</v>
      </c>
      <c r="DE46">
        <v>75076</v>
      </c>
      <c r="DF46">
        <v>77717</v>
      </c>
      <c r="DG46">
        <v>81854</v>
      </c>
      <c r="DH46">
        <v>87559</v>
      </c>
      <c r="DI46">
        <v>93500</v>
      </c>
      <c r="DJ46">
        <v>95188</v>
      </c>
      <c r="DK46">
        <v>97377</v>
      </c>
      <c r="DL46">
        <v>99200</v>
      </c>
      <c r="DM46">
        <v>102121</v>
      </c>
      <c r="DN46">
        <v>104590</v>
      </c>
      <c r="DO46">
        <v>106234</v>
      </c>
      <c r="DP46">
        <v>108784</v>
      </c>
      <c r="DQ46">
        <v>112565</v>
      </c>
      <c r="DR46">
        <v>116398</v>
      </c>
      <c r="DS46">
        <v>119077</v>
      </c>
      <c r="DT46">
        <v>122709</v>
      </c>
      <c r="DU46">
        <v>109723</v>
      </c>
      <c r="DV46">
        <v>107699</v>
      </c>
      <c r="DW46">
        <v>109324</v>
      </c>
      <c r="DX46">
        <v>111851</v>
      </c>
      <c r="DY46">
        <v>114457</v>
      </c>
      <c r="DZ46">
        <v>110995</v>
      </c>
      <c r="EA46">
        <v>113066</v>
      </c>
      <c r="EB46">
        <v>114337</v>
      </c>
      <c r="EC46">
        <v>114599</v>
      </c>
      <c r="ED46">
        <v>116176</v>
      </c>
      <c r="EE46">
        <v>115243</v>
      </c>
      <c r="EF46">
        <v>117129</v>
      </c>
      <c r="EG46">
        <v>119128</v>
      </c>
      <c r="EH46">
        <v>120615</v>
      </c>
      <c r="EI46">
        <v>121179</v>
      </c>
      <c r="EJ46">
        <v>124478.988152105</v>
      </c>
      <c r="EK46">
        <v>128131.987737113</v>
      </c>
      <c r="EL46">
        <v>132012.462140091</v>
      </c>
      <c r="EM46">
        <v>135645.48247964599</v>
      </c>
      <c r="EN46">
        <v>139031.77115942599</v>
      </c>
      <c r="EO46">
        <v>143051.342672798</v>
      </c>
      <c r="EP46">
        <v>147414.23723924701</v>
      </c>
      <c r="EQ46">
        <v>151343.22756795501</v>
      </c>
      <c r="ER46">
        <v>154972.69196523199</v>
      </c>
      <c r="ES46">
        <v>159174.90126775901</v>
      </c>
      <c r="ET46">
        <v>163678.40409579</v>
      </c>
      <c r="EU46">
        <v>167888.150694968</v>
      </c>
      <c r="EV46">
        <v>171742.64723536899</v>
      </c>
      <c r="EW46">
        <v>176146.73360816701</v>
      </c>
      <c r="EX46">
        <v>180892.789044456</v>
      </c>
      <c r="EY46">
        <v>185230.22794035001</v>
      </c>
      <c r="EZ46">
        <v>189275.427096081</v>
      </c>
      <c r="FA46">
        <v>193981.250225681</v>
      </c>
      <c r="FB46">
        <v>198943.29727225099</v>
      </c>
      <c r="FC46">
        <v>203501.577793884</v>
      </c>
      <c r="FD46">
        <v>207758.33375752601</v>
      </c>
      <c r="FE46">
        <v>212760.07902339299</v>
      </c>
    </row>
    <row r="47" spans="1:161">
      <c r="B47" t="s">
        <v>301</v>
      </c>
      <c r="C47" t="s">
        <v>302</v>
      </c>
      <c r="D47" t="str">
        <f t="shared" si="2"/>
      </c>
      <c r="F47">
        <v>-387</v>
      </c>
      <c r="G47">
        <v>-360</v>
      </c>
      <c r="H47">
        <v>-436</v>
      </c>
      <c r="I47">
        <v>-505</v>
      </c>
      <c r="J47">
        <v>-591</v>
      </c>
      <c r="K47">
        <v>-1292</v>
      </c>
      <c r="L47">
        <v>-794</v>
      </c>
      <c r="M47">
        <v>-1009</v>
      </c>
      <c r="N47">
        <v>-1292</v>
      </c>
      <c r="O47">
        <v>-1713</v>
      </c>
      <c r="P47">
        <v>-2466</v>
      </c>
      <c r="Q47">
        <v>-3991</v>
      </c>
      <c r="R47">
        <v>-6435</v>
      </c>
      <c r="S47">
        <v>-11922</v>
      </c>
      <c r="T47">
        <v>-18391</v>
      </c>
      <c r="U47">
        <v>-26786</v>
      </c>
      <c r="V47">
        <v>-34235</v>
      </c>
      <c r="W47">
        <v>-41293</v>
      </c>
      <c r="X47">
        <v>-52196</v>
      </c>
      <c r="Y47">
        <v>-64743</v>
      </c>
      <c r="Z47">
        <v>-75799</v>
      </c>
      <c r="AA47">
        <v>-70283</v>
      </c>
      <c r="AB47">
        <v>-72340</v>
      </c>
      <c r="AC47">
        <v>-70884</v>
      </c>
      <c r="AD47">
        <v>-73448</v>
      </c>
      <c r="AE47">
        <v>-79752.442825891805</v>
      </c>
      <c r="AF47">
        <v>-91236.069333817795</v>
      </c>
      <c r="AG47">
        <v>-103573.445829669</v>
      </c>
      <c r="AH47">
        <v>-116780.163813319</v>
      </c>
      <c r="AI47">
        <v>-130849.27143074499</v>
      </c>
      <c r="AJ47">
        <v>-145788.14384617901</v>
      </c>
      <c r="AL47">
        <v>-407</v>
      </c>
      <c r="AM47">
        <v>-409</v>
      </c>
      <c r="AN47">
        <v>-407</v>
      </c>
      <c r="AO47">
        <v>-387</v>
      </c>
      <c r="AP47">
        <v>-389</v>
      </c>
      <c r="AQ47">
        <v>-390</v>
      </c>
      <c r="AR47">
        <v>-380</v>
      </c>
      <c r="AS47">
        <v>-360</v>
      </c>
      <c r="AT47">
        <v>-361</v>
      </c>
      <c r="AU47">
        <v>-368</v>
      </c>
      <c r="AV47">
        <v>-381</v>
      </c>
      <c r="AW47">
        <v>-436</v>
      </c>
      <c r="AX47">
        <v>-441</v>
      </c>
      <c r="AY47">
        <v>-457</v>
      </c>
      <c r="AZ47">
        <v>-485</v>
      </c>
      <c r="BA47">
        <v>-505</v>
      </c>
      <c r="BB47">
        <v>-537</v>
      </c>
      <c r="BC47">
        <v>-567</v>
      </c>
      <c r="BD47">
        <v>-568</v>
      </c>
      <c r="BE47">
        <v>-591</v>
      </c>
      <c r="BF47">
        <v>-617</v>
      </c>
      <c r="BG47">
        <v>-628</v>
      </c>
      <c r="BH47">
        <v>-645</v>
      </c>
      <c r="BI47">
        <v>-664</v>
      </c>
      <c r="BJ47">
        <v>-692</v>
      </c>
      <c r="BK47">
        <v>-726</v>
      </c>
      <c r="BL47">
        <v>-757</v>
      </c>
      <c r="BM47">
        <v>-794</v>
      </c>
      <c r="BN47">
        <v>-838</v>
      </c>
      <c r="BO47">
        <v>-895</v>
      </c>
      <c r="BP47">
        <v>-936</v>
      </c>
      <c r="BQ47">
        <v>-1009</v>
      </c>
      <c r="BR47">
        <v>-1061</v>
      </c>
      <c r="BS47">
        <v>-1151</v>
      </c>
      <c r="BT47">
        <v>-1220</v>
      </c>
      <c r="BU47">
        <v>-1292</v>
      </c>
      <c r="BV47">
        <v>-1417</v>
      </c>
      <c r="BW47">
        <v>-1551</v>
      </c>
      <c r="BX47">
        <v>-1569</v>
      </c>
      <c r="BY47">
        <v>-1713</v>
      </c>
      <c r="BZ47">
        <v>-1871</v>
      </c>
      <c r="CA47">
        <v>-2051</v>
      </c>
      <c r="CB47">
        <v>-2238</v>
      </c>
      <c r="CC47">
        <v>-2466</v>
      </c>
      <c r="CD47">
        <v>-2767</v>
      </c>
      <c r="CE47">
        <v>-3175</v>
      </c>
      <c r="CF47">
        <v>-3599</v>
      </c>
      <c r="CG47">
        <v>-3991</v>
      </c>
      <c r="CH47">
        <v>-4524</v>
      </c>
      <c r="CI47">
        <v>-5094</v>
      </c>
      <c r="CJ47">
        <v>-5718</v>
      </c>
      <c r="CK47">
        <v>-6435</v>
      </c>
      <c r="CL47">
        <v>-7792</v>
      </c>
      <c r="CM47">
        <v>-9168</v>
      </c>
      <c r="CN47">
        <v>-10562</v>
      </c>
      <c r="CO47">
        <v>-11922</v>
      </c>
      <c r="CP47">
        <v>-13800</v>
      </c>
      <c r="CQ47">
        <v>-15286</v>
      </c>
      <c r="CR47">
        <v>-16868</v>
      </c>
      <c r="CS47">
        <v>-18391</v>
      </c>
      <c r="CT47">
        <v>-20355</v>
      </c>
      <c r="CU47">
        <v>-22309</v>
      </c>
      <c r="CV47">
        <v>-24395</v>
      </c>
      <c r="CW47">
        <v>-26786</v>
      </c>
      <c r="CX47">
        <v>-29042</v>
      </c>
      <c r="CY47">
        <v>-31519</v>
      </c>
      <c r="CZ47">
        <v>-32543</v>
      </c>
      <c r="DA47">
        <v>-34235</v>
      </c>
      <c r="DB47">
        <v>-36249</v>
      </c>
      <c r="DC47">
        <v>-37961</v>
      </c>
      <c r="DD47">
        <v>-39695</v>
      </c>
      <c r="DE47">
        <v>-41293</v>
      </c>
      <c r="DF47">
        <v>-44038</v>
      </c>
      <c r="DG47">
        <v>-46777</v>
      </c>
      <c r="DH47">
        <v>-49442</v>
      </c>
      <c r="DI47">
        <v>-52196</v>
      </c>
      <c r="DJ47">
        <v>-55591</v>
      </c>
      <c r="DK47">
        <v>-58631</v>
      </c>
      <c r="DL47">
        <v>-61564</v>
      </c>
      <c r="DM47">
        <v>-64743</v>
      </c>
      <c r="DN47">
        <v>-67559</v>
      </c>
      <c r="DO47">
        <v>-70345</v>
      </c>
      <c r="DP47">
        <v>-73097</v>
      </c>
      <c r="DQ47">
        <v>-75799</v>
      </c>
      <c r="DR47">
        <v>-78465</v>
      </c>
      <c r="DS47">
        <v>-81262</v>
      </c>
      <c r="DT47">
        <v>-84094</v>
      </c>
      <c r="DU47">
        <v>-70283</v>
      </c>
      <c r="DV47">
        <v>-68454</v>
      </c>
      <c r="DW47">
        <v>-70020</v>
      </c>
      <c r="DX47">
        <v>-71516</v>
      </c>
      <c r="DY47">
        <v>-72340</v>
      </c>
      <c r="DZ47">
        <v>-68044</v>
      </c>
      <c r="EA47">
        <v>-69668</v>
      </c>
      <c r="EB47">
        <v>-70787</v>
      </c>
      <c r="EC47">
        <v>-70884</v>
      </c>
      <c r="ED47">
        <v>-72510</v>
      </c>
      <c r="EE47">
        <v>-71697</v>
      </c>
      <c r="EF47">
        <v>-72627</v>
      </c>
      <c r="EG47">
        <v>-73448</v>
      </c>
      <c r="EH47">
        <v>-74546</v>
      </c>
      <c r="EI47">
        <v>-74303</v>
      </c>
      <c r="EJ47">
        <v>-77010.613275738593</v>
      </c>
      <c r="EK47">
        <v>-79752.442825891805</v>
      </c>
      <c r="EL47">
        <v>-82546.902636366503</v>
      </c>
      <c r="EM47">
        <v>-85404.091935882694</v>
      </c>
      <c r="EN47">
        <v>-88306.094155096303</v>
      </c>
      <c r="EO47">
        <v>-91236.069333817795</v>
      </c>
      <c r="EP47">
        <v>-94228.980887249098</v>
      </c>
      <c r="EQ47">
        <v>-97301.024281997496</v>
      </c>
      <c r="ER47">
        <v>-100422.56594654301</v>
      </c>
      <c r="ES47">
        <v>-103573.445829669</v>
      </c>
      <c r="ET47">
        <v>-106785.05174516</v>
      </c>
      <c r="EU47">
        <v>-110071.279156326</v>
      </c>
      <c r="EV47">
        <v>-113410.85012952601</v>
      </c>
      <c r="EW47">
        <v>-116780.163813319</v>
      </c>
      <c r="EX47">
        <v>-120209.24719312</v>
      </c>
      <c r="EY47">
        <v>-123714.40043860899</v>
      </c>
      <c r="EZ47">
        <v>-127267.627488949</v>
      </c>
      <c r="FA47">
        <v>-130849.27143074499</v>
      </c>
      <c r="FB47">
        <v>-134495.84929380499</v>
      </c>
      <c r="FC47">
        <v>-138218.410214829</v>
      </c>
      <c r="FD47">
        <v>-141989.24328973499</v>
      </c>
      <c r="FE47">
        <v>-145788.14384617901</v>
      </c>
    </row>
    <row r="48" spans="1:161">
      <c r="B48" t="s">
        <v>303</v>
      </c>
      <c r="C48" t="s">
        <v>304</v>
      </c>
      <c r="D48" t="str">
        <f t="shared" si="2"/>
      </c>
      <c r="F48">
        <v>313</v>
      </c>
      <c r="G48">
        <v>564</v>
      </c>
      <c r="H48">
        <v>621</v>
      </c>
      <c r="I48">
        <v>669</v>
      </c>
      <c r="J48">
        <v>707</v>
      </c>
      <c r="K48">
        <v>817</v>
      </c>
      <c r="L48">
        <v>1281</v>
      </c>
      <c r="M48">
        <v>1832</v>
      </c>
      <c r="N48">
        <v>2455</v>
      </c>
      <c r="O48">
        <v>2954</v>
      </c>
      <c r="P48">
        <v>4768</v>
      </c>
      <c r="Q48">
        <v>7777</v>
      </c>
      <c r="R48">
        <v>15452</v>
      </c>
      <c r="S48">
        <v>16597</v>
      </c>
      <c r="T48">
        <v>20624</v>
      </c>
      <c r="U48">
        <v>22471</v>
      </c>
      <c r="V48">
        <v>27010</v>
      </c>
      <c r="W48">
        <v>33783</v>
      </c>
      <c r="X48">
        <v>41304</v>
      </c>
      <c r="Y48">
        <v>37378</v>
      </c>
      <c r="Z48">
        <v>36766</v>
      </c>
      <c r="AA48">
        <v>39440</v>
      </c>
      <c r="AB48">
        <v>42117</v>
      </c>
      <c r="AC48">
        <v>43715</v>
      </c>
      <c r="AD48">
        <v>45680</v>
      </c>
      <c r="AE48">
        <v>48379.544911220801</v>
      </c>
      <c r="AF48">
        <v>51815.273338979801</v>
      </c>
      <c r="AG48">
        <v>55601.455438090401</v>
      </c>
      <c r="AH48">
        <v>59366.569794848103</v>
      </c>
      <c r="AI48">
        <v>63131.978794936404</v>
      </c>
      <c r="AJ48">
        <v>66971.935177213803</v>
      </c>
      <c r="AL48">
        <v>318</v>
      </c>
      <c r="AM48">
        <v>314</v>
      </c>
      <c r="AN48">
        <v>314</v>
      </c>
      <c r="AO48">
        <v>313</v>
      </c>
      <c r="AP48">
        <v>325</v>
      </c>
      <c r="AQ48">
        <v>331</v>
      </c>
      <c r="AR48">
        <v>347</v>
      </c>
      <c r="AS48">
        <v>564</v>
      </c>
      <c r="AT48">
        <v>573</v>
      </c>
      <c r="AU48">
        <v>587</v>
      </c>
      <c r="AV48">
        <v>589</v>
      </c>
      <c r="AW48">
        <v>621</v>
      </c>
      <c r="AX48">
        <v>605</v>
      </c>
      <c r="AY48">
        <v>619</v>
      </c>
      <c r="AZ48">
        <v>639</v>
      </c>
      <c r="BA48">
        <v>669</v>
      </c>
      <c r="BB48">
        <v>684</v>
      </c>
      <c r="BC48">
        <v>687</v>
      </c>
      <c r="BD48">
        <v>684</v>
      </c>
      <c r="BE48">
        <v>707</v>
      </c>
      <c r="BF48">
        <v>735</v>
      </c>
      <c r="BG48">
        <v>742</v>
      </c>
      <c r="BH48">
        <v>764</v>
      </c>
      <c r="BI48">
        <v>817</v>
      </c>
      <c r="BJ48">
        <v>855</v>
      </c>
      <c r="BK48">
        <v>1005</v>
      </c>
      <c r="BL48">
        <v>1197</v>
      </c>
      <c r="BM48">
        <v>1281</v>
      </c>
      <c r="BN48">
        <v>1362</v>
      </c>
      <c r="BO48">
        <v>1409</v>
      </c>
      <c r="BP48">
        <v>1626</v>
      </c>
      <c r="BQ48">
        <v>1832</v>
      </c>
      <c r="BR48">
        <v>1870</v>
      </c>
      <c r="BS48">
        <v>1962</v>
      </c>
      <c r="BT48">
        <v>2177</v>
      </c>
      <c r="BU48">
        <v>2455</v>
      </c>
      <c r="BV48">
        <v>2580</v>
      </c>
      <c r="BW48">
        <v>2546</v>
      </c>
      <c r="BX48">
        <v>2653</v>
      </c>
      <c r="BY48">
        <v>2954</v>
      </c>
      <c r="BZ48">
        <v>3115</v>
      </c>
      <c r="CA48">
        <v>3504</v>
      </c>
      <c r="CB48">
        <v>3990</v>
      </c>
      <c r="CC48">
        <v>4768</v>
      </c>
      <c r="CD48">
        <v>5868</v>
      </c>
      <c r="CE48">
        <v>6241</v>
      </c>
      <c r="CF48">
        <v>6749</v>
      </c>
      <c r="CG48">
        <v>7777</v>
      </c>
      <c r="CH48">
        <v>7816</v>
      </c>
      <c r="CI48">
        <v>8847</v>
      </c>
      <c r="CJ48">
        <v>10487</v>
      </c>
      <c r="CK48">
        <v>15452</v>
      </c>
      <c r="CL48">
        <v>15422</v>
      </c>
      <c r="CM48">
        <v>15026</v>
      </c>
      <c r="CN48">
        <v>16327</v>
      </c>
      <c r="CO48">
        <v>16597</v>
      </c>
      <c r="CP48">
        <v>15488</v>
      </c>
      <c r="CQ48">
        <v>15120</v>
      </c>
      <c r="CR48">
        <v>17585</v>
      </c>
      <c r="CS48">
        <v>20624</v>
      </c>
      <c r="CT48">
        <v>20392</v>
      </c>
      <c r="CU48">
        <v>20151</v>
      </c>
      <c r="CV48">
        <v>21149</v>
      </c>
      <c r="CW48">
        <v>22471</v>
      </c>
      <c r="CX48">
        <v>22300</v>
      </c>
      <c r="CY48">
        <v>23203</v>
      </c>
      <c r="CZ48">
        <v>25448</v>
      </c>
      <c r="DA48">
        <v>27010</v>
      </c>
      <c r="DB48">
        <v>26510</v>
      </c>
      <c r="DC48">
        <v>27163</v>
      </c>
      <c r="DD48">
        <v>29286</v>
      </c>
      <c r="DE48">
        <v>33783</v>
      </c>
      <c r="DF48">
        <v>33679</v>
      </c>
      <c r="DG48">
        <v>35077</v>
      </c>
      <c r="DH48">
        <v>38117</v>
      </c>
      <c r="DI48">
        <v>41304</v>
      </c>
      <c r="DJ48">
        <v>39597</v>
      </c>
      <c r="DK48">
        <v>38746</v>
      </c>
      <c r="DL48">
        <v>37636</v>
      </c>
      <c r="DM48">
        <v>37378</v>
      </c>
      <c r="DN48">
        <v>37031</v>
      </c>
      <c r="DO48">
        <v>35889</v>
      </c>
      <c r="DP48">
        <v>35687</v>
      </c>
      <c r="DQ48">
        <v>36766</v>
      </c>
      <c r="DR48">
        <v>37933</v>
      </c>
      <c r="DS48">
        <v>37815</v>
      </c>
      <c r="DT48">
        <v>38615</v>
      </c>
      <c r="DU48">
        <v>39440</v>
      </c>
      <c r="DV48">
        <v>39245</v>
      </c>
      <c r="DW48">
        <v>39304</v>
      </c>
      <c r="DX48">
        <v>40335</v>
      </c>
      <c r="DY48">
        <v>42117</v>
      </c>
      <c r="DZ48">
        <v>42951</v>
      </c>
      <c r="EA48">
        <v>43398</v>
      </c>
      <c r="EB48">
        <v>43550</v>
      </c>
      <c r="EC48">
        <v>43715</v>
      </c>
      <c r="ED48">
        <v>43666</v>
      </c>
      <c r="EE48">
        <v>43546</v>
      </c>
      <c r="EF48">
        <v>44502</v>
      </c>
      <c r="EG48">
        <v>45680</v>
      </c>
      <c r="EH48">
        <v>46069</v>
      </c>
      <c r="EI48">
        <v>46876</v>
      </c>
      <c r="EJ48">
        <v>47468.374876366797</v>
      </c>
      <c r="EK48">
        <v>48379.544911220801</v>
      </c>
      <c r="EL48">
        <v>49465.559503724202</v>
      </c>
      <c r="EM48">
        <v>50241.3905437629</v>
      </c>
      <c r="EN48">
        <v>50725.677004329598</v>
      </c>
      <c r="EO48">
        <v>51815.273338979801</v>
      </c>
      <c r="EP48">
        <v>53185.256351997399</v>
      </c>
      <c r="EQ48">
        <v>54042.203285957803</v>
      </c>
      <c r="ER48">
        <v>54550.126018689698</v>
      </c>
      <c r="ES48">
        <v>55601.455438090401</v>
      </c>
      <c r="ET48">
        <v>56893.352350630499</v>
      </c>
      <c r="EU48">
        <v>57816.871538642103</v>
      </c>
      <c r="EV48">
        <v>58331.797105843703</v>
      </c>
      <c r="EW48">
        <v>59366.569794848103</v>
      </c>
      <c r="EX48">
        <v>60683.541851335402</v>
      </c>
      <c r="EY48">
        <v>61515.827501740903</v>
      </c>
      <c r="EZ48">
        <v>62007.799607132103</v>
      </c>
      <c r="FA48">
        <v>63131.978794936404</v>
      </c>
      <c r="FB48">
        <v>64447.4479784457</v>
      </c>
      <c r="FC48">
        <v>65283.167579055</v>
      </c>
      <c r="FD48">
        <v>65769.090467791</v>
      </c>
      <c r="FE48">
        <v>66971.935177213803</v>
      </c>
    </row>
    <row r="49" spans="2:161">
      <c r="B49" t="s">
        <v>305</v>
      </c>
      <c r="C49" t="s">
        <v>306</v>
      </c>
      <c r="D49" t="str">
        <f t="shared" si="2"/>
      </c>
      <c r="F49">
        <v>314</v>
      </c>
      <c r="G49">
        <v>193</v>
      </c>
      <c r="H49">
        <v>263</v>
      </c>
      <c r="I49">
        <v>277</v>
      </c>
      <c r="J49">
        <v>318</v>
      </c>
      <c r="K49">
        <v>557</v>
      </c>
      <c r="L49">
        <v>1457</v>
      </c>
      <c r="M49">
        <v>1422</v>
      </c>
      <c r="N49">
        <v>1454</v>
      </c>
      <c r="O49">
        <v>629</v>
      </c>
      <c r="P49">
        <v>1328</v>
      </c>
      <c r="Q49">
        <v>4869</v>
      </c>
      <c r="R49">
        <v>6401</v>
      </c>
      <c r="S49">
        <v>7758</v>
      </c>
      <c r="T49">
        <v>11843</v>
      </c>
      <c r="U49">
        <v>13341</v>
      </c>
      <c r="V49">
        <v>14426</v>
      </c>
      <c r="W49">
        <v>13324</v>
      </c>
      <c r="X49">
        <v>13347</v>
      </c>
      <c r="Y49">
        <v>11821</v>
      </c>
      <c r="Z49">
        <v>11821</v>
      </c>
      <c r="AA49">
        <v>11821</v>
      </c>
      <c r="AB49">
        <v>11821</v>
      </c>
      <c r="AC49">
        <v>11821</v>
      </c>
      <c r="AD49">
        <v>11821</v>
      </c>
      <c r="AE49">
        <v>11821</v>
      </c>
      <c r="AF49">
        <v>11821</v>
      </c>
      <c r="AG49">
        <v>11821</v>
      </c>
      <c r="AH49">
        <v>11821</v>
      </c>
      <c r="AI49">
        <v>11821</v>
      </c>
      <c r="AJ49">
        <v>11821</v>
      </c>
      <c r="AL49">
        <v>438</v>
      </c>
      <c r="AM49">
        <v>474</v>
      </c>
      <c r="AN49">
        <v>450</v>
      </c>
      <c r="AO49">
        <v>591</v>
      </c>
      <c r="AP49">
        <v>605.5</v>
      </c>
      <c r="AQ49">
        <v>628</v>
      </c>
      <c r="AR49">
        <v>674.5</v>
      </c>
      <c r="AS49">
        <v>379</v>
      </c>
      <c r="AT49">
        <v>360.5</v>
      </c>
      <c r="AU49">
        <v>378</v>
      </c>
      <c r="AV49">
        <v>437.5</v>
      </c>
      <c r="AW49">
        <v>513</v>
      </c>
      <c r="AX49">
        <v>519.5</v>
      </c>
      <c r="AY49">
        <v>510</v>
      </c>
      <c r="AZ49">
        <v>504.5</v>
      </c>
      <c r="BA49">
        <v>531</v>
      </c>
      <c r="BB49">
        <v>540.75</v>
      </c>
      <c r="BC49">
        <v>554.5</v>
      </c>
      <c r="BD49">
        <v>534.25</v>
      </c>
      <c r="BE49">
        <v>606</v>
      </c>
      <c r="BF49">
        <v>641</v>
      </c>
      <c r="BG49">
        <v>756</v>
      </c>
      <c r="BH49">
        <v>729</v>
      </c>
      <c r="BI49">
        <v>902</v>
      </c>
      <c r="BJ49">
        <v>2364</v>
      </c>
      <c r="BK49">
        <v>3278</v>
      </c>
      <c r="BL49">
        <v>2892</v>
      </c>
      <c r="BM49">
        <v>2872</v>
      </c>
      <c r="BN49">
        <v>2920.75</v>
      </c>
      <c r="BO49">
        <v>2617.5</v>
      </c>
      <c r="BP49">
        <v>2508.25</v>
      </c>
      <c r="BQ49">
        <v>2767</v>
      </c>
      <c r="BR49">
        <v>3108.5</v>
      </c>
      <c r="BS49">
        <v>2528</v>
      </c>
      <c r="BT49">
        <v>2317.5</v>
      </c>
      <c r="BU49">
        <v>2785</v>
      </c>
      <c r="BV49">
        <v>620.25</v>
      </c>
      <c r="BW49">
        <v>624.5</v>
      </c>
      <c r="BX49">
        <v>628.75</v>
      </c>
      <c r="BY49">
        <v>629</v>
      </c>
      <c r="BZ49">
        <v>687.25</v>
      </c>
      <c r="CA49">
        <v>953.5</v>
      </c>
      <c r="CB49">
        <v>1259.75</v>
      </c>
      <c r="CC49">
        <v>1328</v>
      </c>
      <c r="CD49">
        <v>1556</v>
      </c>
      <c r="CE49">
        <v>1589</v>
      </c>
      <c r="CF49">
        <v>2299</v>
      </c>
      <c r="CG49">
        <v>4869</v>
      </c>
      <c r="CH49">
        <v>4956.25</v>
      </c>
      <c r="CI49">
        <v>5484.5</v>
      </c>
      <c r="CJ49">
        <v>6351.75</v>
      </c>
      <c r="CK49">
        <v>6401</v>
      </c>
      <c r="CL49">
        <v>7125</v>
      </c>
      <c r="CM49">
        <v>7058</v>
      </c>
      <c r="CN49">
        <v>7637</v>
      </c>
      <c r="CO49">
        <v>7758</v>
      </c>
      <c r="CP49">
        <v>8393</v>
      </c>
      <c r="CQ49">
        <v>8516</v>
      </c>
      <c r="CR49">
        <v>8946</v>
      </c>
      <c r="CS49">
        <v>11843</v>
      </c>
      <c r="CT49">
        <v>12370</v>
      </c>
      <c r="CU49">
        <v>12483</v>
      </c>
      <c r="CV49">
        <v>12814</v>
      </c>
      <c r="CW49">
        <v>13341</v>
      </c>
      <c r="CX49">
        <v>13792</v>
      </c>
      <c r="CY49">
        <v>14146</v>
      </c>
      <c r="CZ49">
        <v>14178</v>
      </c>
      <c r="DA49">
        <v>14426</v>
      </c>
      <c r="DB49">
        <v>12995</v>
      </c>
      <c r="DC49">
        <v>12831</v>
      </c>
      <c r="DD49">
        <v>13119</v>
      </c>
      <c r="DE49">
        <v>13324</v>
      </c>
      <c r="DF49">
        <v>13347</v>
      </c>
      <c r="DG49">
        <v>13347</v>
      </c>
      <c r="DH49">
        <v>13347</v>
      </c>
      <c r="DI49">
        <v>13347</v>
      </c>
      <c r="DJ49">
        <v>13774</v>
      </c>
      <c r="DK49">
        <v>13347</v>
      </c>
      <c r="DL49">
        <v>11821</v>
      </c>
      <c r="DM49">
        <v>11821</v>
      </c>
      <c r="DN49">
        <v>11898</v>
      </c>
      <c r="DO49">
        <v>11821</v>
      </c>
      <c r="DP49">
        <v>11821</v>
      </c>
      <c r="DQ49">
        <v>11821</v>
      </c>
      <c r="DR49">
        <v>11821</v>
      </c>
      <c r="DS49">
        <v>11821</v>
      </c>
      <c r="DT49">
        <v>11821</v>
      </c>
      <c r="DU49">
        <v>11821</v>
      </c>
      <c r="DV49">
        <v>11821</v>
      </c>
      <c r="DW49">
        <v>11821</v>
      </c>
      <c r="DX49">
        <v>11821</v>
      </c>
      <c r="DY49">
        <v>11821</v>
      </c>
      <c r="DZ49">
        <v>11821</v>
      </c>
      <c r="EA49">
        <v>11821</v>
      </c>
      <c r="EB49">
        <v>11821</v>
      </c>
      <c r="EC49">
        <v>11821</v>
      </c>
      <c r="ED49">
        <v>11821</v>
      </c>
      <c r="EE49">
        <v>11821</v>
      </c>
      <c r="EF49">
        <v>11821</v>
      </c>
      <c r="EG49">
        <v>11821</v>
      </c>
      <c r="EH49">
        <v>11821</v>
      </c>
      <c r="EI49">
        <v>11821</v>
      </c>
      <c r="EJ49">
        <v>11821</v>
      </c>
      <c r="EK49">
        <v>11821</v>
      </c>
      <c r="EL49">
        <v>11821</v>
      </c>
      <c r="EM49">
        <v>11821</v>
      </c>
      <c r="EN49">
        <v>11821</v>
      </c>
      <c r="EO49">
        <v>11821</v>
      </c>
      <c r="EP49">
        <v>11821</v>
      </c>
      <c r="EQ49">
        <v>11821</v>
      </c>
      <c r="ER49">
        <v>11821</v>
      </c>
      <c r="ES49">
        <v>11821</v>
      </c>
      <c r="ET49">
        <v>11821</v>
      </c>
      <c r="EU49">
        <v>11821</v>
      </c>
      <c r="EV49">
        <v>11821</v>
      </c>
      <c r="EW49">
        <v>11821</v>
      </c>
      <c r="EX49">
        <v>11821</v>
      </c>
      <c r="EY49">
        <v>11821</v>
      </c>
      <c r="EZ49">
        <v>11821</v>
      </c>
      <c r="FA49">
        <v>11821</v>
      </c>
      <c r="FB49">
        <v>11821</v>
      </c>
      <c r="FC49">
        <v>11821</v>
      </c>
      <c r="FD49">
        <v>11821</v>
      </c>
      <c r="FE49">
        <v>11821</v>
      </c>
    </row>
    <row r="50" spans="2:161">
      <c r="B50" t="s">
        <v>307</v>
      </c>
      <c r="C50" t="s">
        <v>308</v>
      </c>
      <c r="D50" t="str">
        <f t="shared" si="2"/>
      </c>
      <c r="F50">
        <v>-37</v>
      </c>
      <c r="G50">
        <v>-7</v>
      </c>
      <c r="H50">
        <v>-13</v>
      </c>
      <c r="I50">
        <v>-23</v>
      </c>
      <c r="J50">
        <v>-30</v>
      </c>
      <c r="K50">
        <v>-123</v>
      </c>
      <c r="L50">
        <v>-42</v>
      </c>
      <c r="M50">
        <v>-77</v>
      </c>
      <c r="N50">
        <v>-123</v>
      </c>
      <c r="O50">
        <v>-176</v>
      </c>
      <c r="P50">
        <v>-245</v>
      </c>
      <c r="Q50">
        <v>-437</v>
      </c>
      <c r="R50">
        <v>-1042</v>
      </c>
      <c r="S50">
        <v>-2002</v>
      </c>
      <c r="T50">
        <v>-3085</v>
      </c>
      <c r="U50">
        <v>-4332</v>
      </c>
      <c r="V50">
        <v>-5806</v>
      </c>
      <c r="W50">
        <v>-5309</v>
      </c>
      <c r="X50">
        <v>-5309</v>
      </c>
      <c r="Y50">
        <v>-5309</v>
      </c>
      <c r="Z50">
        <v>-5309</v>
      </c>
      <c r="AA50">
        <v>-5309</v>
      </c>
      <c r="AB50">
        <v>-5309</v>
      </c>
      <c r="AC50">
        <v>-5309</v>
      </c>
      <c r="AD50">
        <v>-5309</v>
      </c>
      <c r="AE50">
        <v>-5309</v>
      </c>
      <c r="AF50">
        <v>-5309</v>
      </c>
      <c r="AG50">
        <v>-5309</v>
      </c>
      <c r="AH50">
        <v>-5309</v>
      </c>
      <c r="AI50">
        <v>-5309</v>
      </c>
      <c r="AJ50">
        <v>-5309</v>
      </c>
      <c r="AO50">
        <v>-37</v>
      </c>
      <c r="AP50">
        <v>-29.5</v>
      </c>
      <c r="AQ50">
        <v>-22</v>
      </c>
      <c r="AR50">
        <v>-14.5</v>
      </c>
      <c r="AS50">
        <v>-7</v>
      </c>
      <c r="AT50">
        <v>-8.5</v>
      </c>
      <c r="AU50">
        <v>-10</v>
      </c>
      <c r="AV50">
        <v>-11.5</v>
      </c>
      <c r="AW50">
        <v>-13</v>
      </c>
      <c r="AX50">
        <v>-15.5</v>
      </c>
      <c r="AY50">
        <v>-18</v>
      </c>
      <c r="AZ50">
        <v>-20.5</v>
      </c>
      <c r="BA50">
        <v>-23</v>
      </c>
      <c r="BB50">
        <v>-24.75</v>
      </c>
      <c r="BC50">
        <v>-26.5</v>
      </c>
      <c r="BD50">
        <v>-28.25</v>
      </c>
      <c r="BE50">
        <v>-30</v>
      </c>
      <c r="BF50">
        <v>-31</v>
      </c>
      <c r="BG50">
        <v>-32</v>
      </c>
      <c r="BH50">
        <v>-33</v>
      </c>
      <c r="BI50">
        <v>-34</v>
      </c>
      <c r="BJ50">
        <v>-36</v>
      </c>
      <c r="BK50">
        <v>-38</v>
      </c>
      <c r="BL50">
        <v>-40</v>
      </c>
      <c r="BM50">
        <v>-42</v>
      </c>
      <c r="BN50">
        <v>-50.75</v>
      </c>
      <c r="BO50">
        <v>-59.5</v>
      </c>
      <c r="BP50">
        <v>-68.25</v>
      </c>
      <c r="BQ50">
        <v>-77</v>
      </c>
      <c r="BR50">
        <v>-88.5</v>
      </c>
      <c r="BS50">
        <v>-100</v>
      </c>
      <c r="BT50">
        <v>-111.5</v>
      </c>
      <c r="BU50">
        <v>-123</v>
      </c>
      <c r="BV50">
        <v>-136.25</v>
      </c>
      <c r="BW50">
        <v>-149.5</v>
      </c>
      <c r="BX50">
        <v>-162.75</v>
      </c>
      <c r="BY50">
        <v>-176</v>
      </c>
      <c r="BZ50">
        <v>-193.25</v>
      </c>
      <c r="CA50">
        <v>-210.5</v>
      </c>
      <c r="CB50">
        <v>-227.75</v>
      </c>
      <c r="CC50">
        <v>-245</v>
      </c>
      <c r="CD50">
        <v>-293</v>
      </c>
      <c r="CE50">
        <v>-341</v>
      </c>
      <c r="CF50">
        <v>-389</v>
      </c>
      <c r="CG50">
        <v>-437</v>
      </c>
      <c r="CH50">
        <v>-588.25</v>
      </c>
      <c r="CI50">
        <v>-739.5</v>
      </c>
      <c r="CJ50">
        <v>-890.75</v>
      </c>
      <c r="CK50">
        <v>-1042</v>
      </c>
      <c r="CL50">
        <v>-1282</v>
      </c>
      <c r="CM50">
        <v>-1522</v>
      </c>
      <c r="CN50">
        <v>-1762</v>
      </c>
      <c r="CO50">
        <v>-2002</v>
      </c>
      <c r="CP50">
        <v>-2266</v>
      </c>
      <c r="CQ50">
        <v>-2533</v>
      </c>
      <c r="CR50">
        <v>-2805</v>
      </c>
      <c r="CS50">
        <v>-3085</v>
      </c>
      <c r="CT50">
        <v>-3371</v>
      </c>
      <c r="CU50">
        <v>-3711</v>
      </c>
      <c r="CV50">
        <v>-3991</v>
      </c>
      <c r="CW50">
        <v>-4332</v>
      </c>
      <c r="CX50">
        <v>-4666</v>
      </c>
      <c r="CY50">
        <v>-5054</v>
      </c>
      <c r="CZ50">
        <v>-5411</v>
      </c>
      <c r="DA50">
        <v>-5806</v>
      </c>
      <c r="DB50">
        <v>-4724</v>
      </c>
      <c r="DC50">
        <v>-4741</v>
      </c>
      <c r="DD50">
        <v>-5014</v>
      </c>
      <c r="DE50">
        <v>-5309</v>
      </c>
      <c r="DF50">
        <v>-5309</v>
      </c>
      <c r="DG50">
        <v>-5309</v>
      </c>
      <c r="DH50">
        <v>-5309</v>
      </c>
      <c r="DI50">
        <v>-5309</v>
      </c>
      <c r="DJ50">
        <v>-5309</v>
      </c>
      <c r="DK50">
        <v>-5309</v>
      </c>
      <c r="DL50">
        <v>-5309</v>
      </c>
      <c r="DM50">
        <v>-5309</v>
      </c>
      <c r="DN50">
        <v>-5309</v>
      </c>
      <c r="DO50">
        <v>-5309</v>
      </c>
      <c r="DP50">
        <v>-5309</v>
      </c>
      <c r="DQ50">
        <v>-5309</v>
      </c>
      <c r="DR50">
        <v>-5309</v>
      </c>
      <c r="DS50">
        <v>-5309</v>
      </c>
      <c r="DT50">
        <v>-5309</v>
      </c>
      <c r="DU50">
        <v>-5309</v>
      </c>
      <c r="DV50">
        <v>-5309</v>
      </c>
      <c r="DW50">
        <v>-5309</v>
      </c>
      <c r="DX50">
        <v>-5309</v>
      </c>
      <c r="DY50">
        <v>-5309</v>
      </c>
      <c r="DZ50">
        <v>-5309</v>
      </c>
      <c r="EA50">
        <v>-5309</v>
      </c>
      <c r="EB50">
        <v>-5309</v>
      </c>
      <c r="EC50">
        <v>-5309</v>
      </c>
      <c r="ED50">
        <v>-5309</v>
      </c>
      <c r="EE50">
        <v>-5309</v>
      </c>
      <c r="EF50">
        <v>-5309</v>
      </c>
      <c r="EG50">
        <v>-5309</v>
      </c>
      <c r="EH50">
        <v>-5309</v>
      </c>
      <c r="EI50">
        <v>-5309</v>
      </c>
      <c r="EJ50">
        <v>-5309</v>
      </c>
      <c r="EK50">
        <v>-5309</v>
      </c>
      <c r="EL50">
        <v>-5309</v>
      </c>
      <c r="EM50">
        <v>-5309</v>
      </c>
      <c r="EN50">
        <v>-5309</v>
      </c>
      <c r="EO50">
        <v>-5309</v>
      </c>
      <c r="EP50">
        <v>-5309</v>
      </c>
      <c r="EQ50">
        <v>-5309</v>
      </c>
      <c r="ER50">
        <v>-5309</v>
      </c>
      <c r="ES50">
        <v>-5309</v>
      </c>
      <c r="ET50">
        <v>-5309</v>
      </c>
      <c r="EU50">
        <v>-5309</v>
      </c>
      <c r="EV50">
        <v>-5309</v>
      </c>
      <c r="EW50">
        <v>-5309</v>
      </c>
      <c r="EX50">
        <v>-5309</v>
      </c>
      <c r="EY50">
        <v>-5309</v>
      </c>
      <c r="EZ50">
        <v>-5309</v>
      </c>
      <c r="FA50">
        <v>-5309</v>
      </c>
      <c r="FB50">
        <v>-5309</v>
      </c>
      <c r="FC50">
        <v>-5309</v>
      </c>
      <c r="FD50">
        <v>-5309</v>
      </c>
      <c r="FE50">
        <v>-5309</v>
      </c>
    </row>
    <row r="51" spans="2:161">
      <c r="B51" t="s">
        <v>309</v>
      </c>
      <c r="C51" t="s">
        <v>310</v>
      </c>
      <c r="D51" t="str">
        <f t="shared" si="2"/>
      </c>
      <c r="F51">
        <v>277</v>
      </c>
      <c r="G51">
        <v>186</v>
      </c>
      <c r="H51">
        <v>250</v>
      </c>
      <c r="I51">
        <v>254</v>
      </c>
      <c r="J51">
        <v>288</v>
      </c>
      <c r="K51">
        <v>434</v>
      </c>
      <c r="L51">
        <v>1415</v>
      </c>
      <c r="M51">
        <v>1345</v>
      </c>
      <c r="N51">
        <v>1331</v>
      </c>
      <c r="O51">
        <v>453</v>
      </c>
      <c r="P51">
        <v>1083</v>
      </c>
      <c r="Q51">
        <v>4432</v>
      </c>
      <c r="R51">
        <v>5359</v>
      </c>
      <c r="S51">
        <v>5756</v>
      </c>
      <c r="T51">
        <v>8758</v>
      </c>
      <c r="U51">
        <v>9009</v>
      </c>
      <c r="V51">
        <v>8620</v>
      </c>
      <c r="W51">
        <v>8015</v>
      </c>
      <c r="X51">
        <v>8038</v>
      </c>
      <c r="Y51">
        <v>6512</v>
      </c>
      <c r="Z51">
        <v>6512</v>
      </c>
      <c r="AA51">
        <v>6512</v>
      </c>
      <c r="AB51">
        <v>6512</v>
      </c>
      <c r="AC51">
        <v>6512</v>
      </c>
      <c r="AD51">
        <v>6512</v>
      </c>
      <c r="AE51">
        <v>6512</v>
      </c>
      <c r="AF51">
        <v>6512</v>
      </c>
      <c r="AG51">
        <v>6512</v>
      </c>
      <c r="AH51">
        <v>6512</v>
      </c>
      <c r="AI51">
        <v>6512</v>
      </c>
      <c r="AJ51">
        <v>6512</v>
      </c>
      <c r="AL51">
        <v>219</v>
      </c>
      <c r="AM51">
        <v>237</v>
      </c>
      <c r="AN51">
        <v>225</v>
      </c>
      <c r="AO51">
        <v>277</v>
      </c>
      <c r="AP51">
        <v>288</v>
      </c>
      <c r="AQ51">
        <v>303</v>
      </c>
      <c r="AR51">
        <v>330</v>
      </c>
      <c r="AS51">
        <v>186</v>
      </c>
      <c r="AT51">
        <v>176</v>
      </c>
      <c r="AU51">
        <v>184</v>
      </c>
      <c r="AV51">
        <v>213</v>
      </c>
      <c r="AW51">
        <v>250</v>
      </c>
      <c r="AX51">
        <v>252</v>
      </c>
      <c r="AY51">
        <v>246</v>
      </c>
      <c r="AZ51">
        <v>242</v>
      </c>
      <c r="BA51">
        <v>254</v>
      </c>
      <c r="BB51">
        <v>258</v>
      </c>
      <c r="BC51">
        <v>264</v>
      </c>
      <c r="BD51">
        <v>253</v>
      </c>
      <c r="BE51">
        <v>288</v>
      </c>
      <c r="BF51">
        <v>305</v>
      </c>
      <c r="BG51">
        <v>362</v>
      </c>
      <c r="BH51">
        <v>348</v>
      </c>
      <c r="BI51">
        <v>434</v>
      </c>
      <c r="BJ51">
        <v>1164</v>
      </c>
      <c r="BK51">
        <v>1620</v>
      </c>
      <c r="BL51">
        <v>1426</v>
      </c>
      <c r="BM51">
        <v>1415</v>
      </c>
      <c r="BN51">
        <v>1435</v>
      </c>
      <c r="BO51">
        <v>1279</v>
      </c>
      <c r="BP51">
        <v>1220</v>
      </c>
      <c r="BQ51">
        <v>1345</v>
      </c>
      <c r="BR51">
        <v>1510</v>
      </c>
      <c r="BS51">
        <v>1214</v>
      </c>
      <c r="BT51">
        <v>1103</v>
      </c>
      <c r="BU51">
        <v>1331</v>
      </c>
      <c r="BV51">
        <v>484</v>
      </c>
      <c r="BW51">
        <v>475</v>
      </c>
      <c r="BX51">
        <v>466</v>
      </c>
      <c r="BY51">
        <v>453</v>
      </c>
      <c r="BZ51">
        <v>494</v>
      </c>
      <c r="CA51">
        <v>743</v>
      </c>
      <c r="CB51">
        <v>1032</v>
      </c>
      <c r="CC51">
        <v>1083</v>
      </c>
      <c r="CD51">
        <v>1263</v>
      </c>
      <c r="CE51">
        <v>1248</v>
      </c>
      <c r="CF51">
        <v>1910</v>
      </c>
      <c r="CG51">
        <v>4432</v>
      </c>
      <c r="CH51">
        <v>4368</v>
      </c>
      <c r="CI51">
        <v>4745</v>
      </c>
      <c r="CJ51">
        <v>5461</v>
      </c>
      <c r="CK51">
        <v>5359</v>
      </c>
      <c r="CL51">
        <v>5843</v>
      </c>
      <c r="CM51">
        <v>5536</v>
      </c>
      <c r="CN51">
        <v>5875</v>
      </c>
      <c r="CO51">
        <v>5756</v>
      </c>
      <c r="CP51">
        <v>6127</v>
      </c>
      <c r="CQ51">
        <v>5983</v>
      </c>
      <c r="CR51">
        <v>6141</v>
      </c>
      <c r="CS51">
        <v>8758</v>
      </c>
      <c r="CT51">
        <v>8999</v>
      </c>
      <c r="CU51">
        <v>8772</v>
      </c>
      <c r="CV51">
        <v>8823</v>
      </c>
      <c r="CW51">
        <v>9009</v>
      </c>
      <c r="CX51">
        <v>9126</v>
      </c>
      <c r="CY51">
        <v>9092</v>
      </c>
      <c r="CZ51">
        <v>8767</v>
      </c>
      <c r="DA51">
        <v>8620</v>
      </c>
      <c r="DB51">
        <v>8271</v>
      </c>
      <c r="DC51">
        <v>8090</v>
      </c>
      <c r="DD51">
        <v>8105</v>
      </c>
      <c r="DE51">
        <v>8015</v>
      </c>
      <c r="DF51">
        <v>8038</v>
      </c>
      <c r="DG51">
        <v>8038</v>
      </c>
      <c r="DH51">
        <v>8038</v>
      </c>
      <c r="DI51">
        <v>8038</v>
      </c>
      <c r="DJ51">
        <v>8465</v>
      </c>
      <c r="DK51">
        <v>8038</v>
      </c>
      <c r="DL51">
        <v>6512</v>
      </c>
      <c r="DM51">
        <v>6512</v>
      </c>
      <c r="DN51">
        <v>6589</v>
      </c>
      <c r="DO51">
        <v>6512</v>
      </c>
      <c r="DP51">
        <v>6512</v>
      </c>
      <c r="DQ51">
        <v>6512</v>
      </c>
      <c r="DR51">
        <v>6512</v>
      </c>
      <c r="DS51">
        <v>6512</v>
      </c>
      <c r="DT51">
        <v>6512</v>
      </c>
      <c r="DU51">
        <v>6512</v>
      </c>
      <c r="DV51">
        <v>6512</v>
      </c>
      <c r="DW51">
        <v>6512</v>
      </c>
      <c r="DX51">
        <v>6512</v>
      </c>
      <c r="DY51">
        <v>6512</v>
      </c>
      <c r="DZ51">
        <v>6512</v>
      </c>
      <c r="EA51">
        <v>6512</v>
      </c>
      <c r="EB51">
        <v>6512</v>
      </c>
      <c r="EC51">
        <v>6512</v>
      </c>
      <c r="ED51">
        <v>6512</v>
      </c>
      <c r="EE51">
        <v>6512</v>
      </c>
      <c r="EF51">
        <v>6512</v>
      </c>
      <c r="EG51">
        <v>6512</v>
      </c>
      <c r="EH51">
        <v>6512</v>
      </c>
      <c r="EI51">
        <v>6512</v>
      </c>
      <c r="EJ51">
        <v>6512</v>
      </c>
      <c r="EK51">
        <v>6512</v>
      </c>
      <c r="EL51">
        <v>6512</v>
      </c>
      <c r="EM51">
        <v>6512</v>
      </c>
      <c r="EN51">
        <v>6512</v>
      </c>
      <c r="EO51">
        <v>6512</v>
      </c>
      <c r="EP51">
        <v>6512</v>
      </c>
      <c r="EQ51">
        <v>6512</v>
      </c>
      <c r="ER51">
        <v>6512</v>
      </c>
      <c r="ES51">
        <v>6512</v>
      </c>
      <c r="ET51">
        <v>6512</v>
      </c>
      <c r="EU51">
        <v>6512</v>
      </c>
      <c r="EV51">
        <v>6512</v>
      </c>
      <c r="EW51">
        <v>6512</v>
      </c>
      <c r="EX51">
        <v>6512</v>
      </c>
      <c r="EY51">
        <v>6512</v>
      </c>
      <c r="EZ51">
        <v>6512</v>
      </c>
      <c r="FA51">
        <v>6512</v>
      </c>
      <c r="FB51">
        <v>6512</v>
      </c>
      <c r="FC51">
        <v>6512</v>
      </c>
      <c r="FD51">
        <v>6512</v>
      </c>
      <c r="FE51">
        <v>6512</v>
      </c>
    </row>
    <row r="52" spans="2:161">
      <c r="B52" t="s">
        <v>311</v>
      </c>
      <c r="C52" t="s">
        <v>312</v>
      </c>
      <c r="D52" t="str">
        <f t="shared" si="2"/>
      </c>
    </row>
    <row r="53" spans="2:161">
      <c r="B53" t="s">
        <v>313</v>
      </c>
      <c r="C53" t="s">
        <v>314</v>
      </c>
      <c r="D53" t="str">
        <f t="shared" si="2"/>
      </c>
      <c r="F53">
        <v>786</v>
      </c>
      <c r="G53">
        <v>128</v>
      </c>
      <c r="H53">
        <v>39</v>
      </c>
      <c r="I53">
        <v>5</v>
      </c>
      <c r="N53">
        <v>2379</v>
      </c>
      <c r="O53">
        <v>10528</v>
      </c>
      <c r="P53">
        <v>25391</v>
      </c>
      <c r="Q53">
        <v>55618</v>
      </c>
      <c r="R53">
        <v>92122</v>
      </c>
      <c r="S53">
        <v>106215</v>
      </c>
      <c r="T53">
        <v>130162</v>
      </c>
      <c r="U53">
        <v>164065</v>
      </c>
      <c r="V53">
        <v>170430</v>
      </c>
      <c r="W53">
        <v>194714</v>
      </c>
      <c r="X53">
        <v>170799</v>
      </c>
      <c r="Y53">
        <v>105341</v>
      </c>
      <c r="Z53">
        <v>100887</v>
      </c>
      <c r="AA53">
        <v>127877</v>
      </c>
      <c r="AB53">
        <v>120805</v>
      </c>
      <c r="AC53">
        <v>100544</v>
      </c>
      <c r="AD53">
        <v>91479</v>
      </c>
      <c r="AE53">
        <v>81424</v>
      </c>
      <c r="AF53">
        <v>75424</v>
      </c>
      <c r="AG53">
        <v>69424</v>
      </c>
      <c r="AH53">
        <v>63424</v>
      </c>
      <c r="AI53">
        <v>57424</v>
      </c>
      <c r="AJ53">
        <v>51424</v>
      </c>
      <c r="AL53">
        <v>2140</v>
      </c>
      <c r="AM53">
        <v>1544</v>
      </c>
      <c r="AN53">
        <v>1236</v>
      </c>
      <c r="AO53">
        <v>786</v>
      </c>
      <c r="AP53">
        <v>447</v>
      </c>
      <c r="AQ53">
        <v>151</v>
      </c>
      <c r="AR53">
        <v>146</v>
      </c>
      <c r="AS53">
        <v>128</v>
      </c>
      <c r="AT53">
        <v>101</v>
      </c>
      <c r="AU53">
        <v>79</v>
      </c>
      <c r="AV53">
        <v>48</v>
      </c>
      <c r="AW53">
        <v>39</v>
      </c>
      <c r="AX53">
        <v>28</v>
      </c>
      <c r="AY53">
        <v>28</v>
      </c>
      <c r="AZ53">
        <v>14</v>
      </c>
      <c r="BA53">
        <v>5</v>
      </c>
      <c r="BU53">
        <v>2379</v>
      </c>
      <c r="BV53">
        <v>2498</v>
      </c>
      <c r="BW53">
        <v>3865</v>
      </c>
      <c r="BX53">
        <v>6899</v>
      </c>
      <c r="BY53">
        <v>10528</v>
      </c>
      <c r="BZ53">
        <v>15024</v>
      </c>
      <c r="CA53">
        <v>18549</v>
      </c>
      <c r="CB53">
        <v>21551</v>
      </c>
      <c r="CC53">
        <v>25391</v>
      </c>
      <c r="CD53">
        <v>32730</v>
      </c>
      <c r="CE53">
        <v>36533</v>
      </c>
      <c r="CF53">
        <v>47761</v>
      </c>
      <c r="CG53">
        <v>55618</v>
      </c>
      <c r="CH53">
        <v>67445</v>
      </c>
      <c r="CI53">
        <v>81638</v>
      </c>
      <c r="CJ53">
        <v>89567</v>
      </c>
      <c r="CK53">
        <v>92122</v>
      </c>
      <c r="CL53">
        <v>97292</v>
      </c>
      <c r="CM53">
        <v>105550</v>
      </c>
      <c r="CN53">
        <v>104014</v>
      </c>
      <c r="CO53">
        <v>106215</v>
      </c>
      <c r="CP53">
        <v>118131</v>
      </c>
      <c r="CQ53">
        <v>109239</v>
      </c>
      <c r="CR53">
        <v>126685</v>
      </c>
      <c r="CS53">
        <v>130162</v>
      </c>
      <c r="CT53">
        <v>145492</v>
      </c>
      <c r="CU53">
        <v>160443</v>
      </c>
      <c r="CV53">
        <v>168145</v>
      </c>
      <c r="CW53">
        <v>164065</v>
      </c>
      <c r="CX53">
        <v>177665</v>
      </c>
      <c r="CY53">
        <v>177645</v>
      </c>
      <c r="CZ53">
        <v>169764</v>
      </c>
      <c r="DA53">
        <v>170430</v>
      </c>
      <c r="DB53">
        <v>185638</v>
      </c>
      <c r="DC53">
        <v>189740</v>
      </c>
      <c r="DD53">
        <v>184757</v>
      </c>
      <c r="DE53">
        <v>194714</v>
      </c>
      <c r="DF53">
        <v>207944</v>
      </c>
      <c r="DG53">
        <v>179286</v>
      </c>
      <c r="DH53">
        <v>172773</v>
      </c>
      <c r="DI53">
        <v>170799</v>
      </c>
      <c r="DJ53">
        <v>158608</v>
      </c>
      <c r="DK53">
        <v>145319</v>
      </c>
      <c r="DL53">
        <v>115996</v>
      </c>
      <c r="DM53">
        <v>105341</v>
      </c>
      <c r="DN53">
        <v>99899</v>
      </c>
      <c r="DO53">
        <v>98793</v>
      </c>
      <c r="DP53">
        <v>100592</v>
      </c>
      <c r="DQ53">
        <v>100887</v>
      </c>
      <c r="DR53">
        <v>118745</v>
      </c>
      <c r="DS53">
        <v>134539</v>
      </c>
      <c r="DT53">
        <v>131948</v>
      </c>
      <c r="DU53">
        <v>127877</v>
      </c>
      <c r="DV53">
        <v>138683</v>
      </c>
      <c r="DW53">
        <v>141219</v>
      </c>
      <c r="DX53">
        <v>131077</v>
      </c>
      <c r="DY53">
        <v>120805</v>
      </c>
      <c r="DZ53">
        <v>114095</v>
      </c>
      <c r="EA53">
        <v>110461</v>
      </c>
      <c r="EB53">
        <v>104061</v>
      </c>
      <c r="EC53">
        <v>100544</v>
      </c>
      <c r="ED53">
        <v>99475</v>
      </c>
      <c r="EE53">
        <v>95187</v>
      </c>
      <c r="EF53">
        <v>91240</v>
      </c>
      <c r="EG53">
        <v>91479</v>
      </c>
      <c r="EH53">
        <v>87593</v>
      </c>
      <c r="EI53">
        <v>84424</v>
      </c>
      <c r="EJ53">
        <v>82924</v>
      </c>
      <c r="EK53">
        <v>81424</v>
      </c>
      <c r="EL53">
        <v>79924</v>
      </c>
      <c r="EM53">
        <v>78424</v>
      </c>
      <c r="EN53">
        <v>76924</v>
      </c>
      <c r="EO53">
        <v>75424</v>
      </c>
      <c r="EP53">
        <v>73924</v>
      </c>
      <c r="EQ53">
        <v>72424</v>
      </c>
      <c r="ER53">
        <v>70924</v>
      </c>
      <c r="ES53">
        <v>69424</v>
      </c>
      <c r="ET53">
        <v>67924</v>
      </c>
      <c r="EU53">
        <v>66424</v>
      </c>
      <c r="EV53">
        <v>64924</v>
      </c>
      <c r="EW53">
        <v>63424</v>
      </c>
      <c r="EX53">
        <v>61924</v>
      </c>
      <c r="EY53">
        <v>60424</v>
      </c>
      <c r="EZ53">
        <v>58924</v>
      </c>
      <c r="FA53">
        <v>57424</v>
      </c>
      <c r="FB53">
        <v>55924</v>
      </c>
      <c r="FC53">
        <v>54424</v>
      </c>
      <c r="FD53">
        <v>52924</v>
      </c>
      <c r="FE53">
        <v>51424</v>
      </c>
    </row>
    <row r="54" spans="2:161">
      <c r="B54" t="s">
        <v>315</v>
      </c>
      <c r="C54" t="s">
        <v>316</v>
      </c>
      <c r="D54" t="str">
        <f t="shared" si="2"/>
      </c>
      <c r="O54">
        <v>2011</v>
      </c>
      <c r="P54">
        <v>2263</v>
      </c>
      <c r="Q54">
        <v>3556</v>
      </c>
      <c r="R54">
        <v>5478</v>
      </c>
      <c r="S54">
        <v>5146</v>
      </c>
      <c r="T54">
        <v>3764</v>
      </c>
      <c r="U54">
        <v>5556</v>
      </c>
      <c r="V54">
        <v>8757</v>
      </c>
      <c r="W54">
        <v>10162</v>
      </c>
      <c r="X54">
        <v>14245</v>
      </c>
      <c r="Y54">
        <v>26466</v>
      </c>
      <c r="Z54">
        <v>36010</v>
      </c>
      <c r="AA54">
        <v>42337</v>
      </c>
      <c r="AB54">
        <v>47916</v>
      </c>
      <c r="AC54">
        <v>58246</v>
      </c>
      <c r="AD54">
        <v>68322</v>
      </c>
      <c r="AE54">
        <v>74747</v>
      </c>
      <c r="AF54">
        <v>74747</v>
      </c>
      <c r="AG54">
        <v>74747</v>
      </c>
      <c r="AH54">
        <v>74747</v>
      </c>
      <c r="AI54">
        <v>74747</v>
      </c>
      <c r="AJ54">
        <v>74747</v>
      </c>
      <c r="BV54">
        <v>2062</v>
      </c>
      <c r="BW54">
        <v>2498</v>
      </c>
      <c r="BX54">
        <v>2952</v>
      </c>
      <c r="BY54">
        <v>2011</v>
      </c>
      <c r="BZ54">
        <v>1961</v>
      </c>
      <c r="CA54">
        <v>1925</v>
      </c>
      <c r="CB54">
        <v>2119</v>
      </c>
      <c r="CC54">
        <v>2263</v>
      </c>
      <c r="CD54">
        <v>2954</v>
      </c>
      <c r="CE54">
        <v>3885</v>
      </c>
      <c r="CF54">
        <v>3440</v>
      </c>
      <c r="CG54">
        <v>3556</v>
      </c>
      <c r="CH54">
        <v>4281</v>
      </c>
      <c r="CI54">
        <v>4992</v>
      </c>
      <c r="CJ54">
        <v>5438</v>
      </c>
      <c r="CK54">
        <v>5478</v>
      </c>
      <c r="CL54">
        <v>5183</v>
      </c>
      <c r="CM54">
        <v>5294</v>
      </c>
      <c r="CN54">
        <v>5421</v>
      </c>
      <c r="CO54">
        <v>5146</v>
      </c>
      <c r="CP54">
        <v>5091</v>
      </c>
      <c r="CQ54">
        <v>5106</v>
      </c>
      <c r="CR54">
        <v>4160</v>
      </c>
      <c r="CS54">
        <v>3764</v>
      </c>
      <c r="CT54">
        <v>3608</v>
      </c>
      <c r="CU54">
        <v>3937</v>
      </c>
      <c r="CV54">
        <v>4081</v>
      </c>
      <c r="CW54">
        <v>5556</v>
      </c>
      <c r="CX54">
        <v>7974</v>
      </c>
      <c r="CY54">
        <v>7745</v>
      </c>
      <c r="CZ54">
        <v>7862</v>
      </c>
      <c r="DA54">
        <v>8757</v>
      </c>
      <c r="DB54">
        <v>7390</v>
      </c>
      <c r="DC54">
        <v>7549</v>
      </c>
      <c r="DD54">
        <v>10150</v>
      </c>
      <c r="DE54">
        <v>10162</v>
      </c>
      <c r="DF54">
        <v>13323</v>
      </c>
      <c r="DG54">
        <v>15048</v>
      </c>
      <c r="DH54">
        <v>14508</v>
      </c>
      <c r="DI54">
        <v>14245</v>
      </c>
      <c r="DJ54">
        <v>26221</v>
      </c>
      <c r="DK54">
        <v>26549</v>
      </c>
      <c r="DL54">
        <v>27122</v>
      </c>
      <c r="DM54">
        <v>26466</v>
      </c>
      <c r="DN54">
        <v>33868</v>
      </c>
      <c r="DO54">
        <v>35453</v>
      </c>
      <c r="DP54">
        <v>34488</v>
      </c>
      <c r="DQ54">
        <v>36010</v>
      </c>
      <c r="DR54">
        <v>36758</v>
      </c>
      <c r="DS54">
        <v>36827</v>
      </c>
      <c r="DT54">
        <v>38342</v>
      </c>
      <c r="DU54">
        <v>42337</v>
      </c>
      <c r="DV54">
        <v>43597</v>
      </c>
      <c r="DW54">
        <v>45447</v>
      </c>
      <c r="DX54">
        <v>46093</v>
      </c>
      <c r="DY54">
        <v>47916</v>
      </c>
      <c r="DZ54">
        <v>54412</v>
      </c>
      <c r="EA54">
        <v>58876</v>
      </c>
      <c r="EB54">
        <v>58256</v>
      </c>
      <c r="EC54">
        <v>58246</v>
      </c>
      <c r="ED54">
        <v>60169</v>
      </c>
      <c r="EE54">
        <v>63750</v>
      </c>
      <c r="EF54">
        <v>63923</v>
      </c>
      <c r="EG54">
        <v>68322</v>
      </c>
      <c r="EH54">
        <v>70671</v>
      </c>
      <c r="EI54">
        <v>74747</v>
      </c>
      <c r="EJ54">
        <v>74747</v>
      </c>
      <c r="EK54">
        <v>74747</v>
      </c>
      <c r="EL54">
        <v>74747</v>
      </c>
      <c r="EM54">
        <v>74747</v>
      </c>
      <c r="EN54">
        <v>74747</v>
      </c>
      <c r="EO54">
        <v>74747</v>
      </c>
      <c r="EP54">
        <v>74747</v>
      </c>
      <c r="EQ54">
        <v>74747</v>
      </c>
      <c r="ER54">
        <v>74747</v>
      </c>
      <c r="ES54">
        <v>74747</v>
      </c>
      <c r="ET54">
        <v>74747</v>
      </c>
      <c r="EU54">
        <v>74747</v>
      </c>
      <c r="EV54">
        <v>74747</v>
      </c>
      <c r="EW54">
        <v>74747</v>
      </c>
      <c r="EX54">
        <v>74747</v>
      </c>
      <c r="EY54">
        <v>74747</v>
      </c>
      <c r="EZ54">
        <v>74747</v>
      </c>
      <c r="FA54">
        <v>74747</v>
      </c>
      <c r="FB54">
        <v>74747</v>
      </c>
      <c r="FC54">
        <v>74747</v>
      </c>
      <c r="FD54">
        <v>74747</v>
      </c>
      <c r="FE54">
        <v>74747</v>
      </c>
    </row>
    <row r="55" spans="2:161">
      <c r="B55" t="s">
        <v>317</v>
      </c>
      <c r="C55" t="s">
        <v>318</v>
      </c>
      <c r="D55" t="str">
        <f t="shared" si="2"/>
      </c>
      <c r="F55">
        <v>6803</v>
      </c>
      <c r="G55">
        <v>6021</v>
      </c>
      <c r="H55">
        <v>6298</v>
      </c>
      <c r="I55">
        <v>6815</v>
      </c>
      <c r="J55">
        <v>8050</v>
      </c>
      <c r="K55">
        <v>11551</v>
      </c>
      <c r="L55">
        <v>17205</v>
      </c>
      <c r="M55">
        <v>24878</v>
      </c>
      <c r="N55">
        <v>36171</v>
      </c>
      <c r="O55">
        <v>47501</v>
      </c>
      <c r="P55">
        <v>75183</v>
      </c>
      <c r="Q55">
        <v>116371</v>
      </c>
      <c r="R55">
        <v>176064</v>
      </c>
      <c r="S55">
        <v>207000</v>
      </c>
      <c r="T55">
        <v>231839</v>
      </c>
      <c r="U55">
        <v>290479</v>
      </c>
      <c r="V55">
        <v>321686</v>
      </c>
      <c r="W55">
        <v>375319</v>
      </c>
      <c r="X55">
        <v>365725</v>
      </c>
      <c r="Y55">
        <v>338516</v>
      </c>
      <c r="Z55">
        <v>323888</v>
      </c>
      <c r="AA55">
        <v>351002</v>
      </c>
      <c r="AB55">
        <v>352755</v>
      </c>
      <c r="AC55">
        <v>352583</v>
      </c>
      <c r="AD55">
        <v>364980</v>
      </c>
      <c r="AE55">
        <v>363701.72073038103</v>
      </c>
      <c r="AF55">
        <v>371908.66220083099</v>
      </c>
      <c r="AG55">
        <v>366849.49754109298</v>
      </c>
      <c r="AH55">
        <v>362620.77324094297</v>
      </c>
      <c r="AI55">
        <v>364090.10755330202</v>
      </c>
      <c r="AJ55">
        <v>366136.71904830798</v>
      </c>
      <c r="AL55">
        <v>7586</v>
      </c>
      <c r="AM55">
        <v>7007</v>
      </c>
      <c r="AN55">
        <v>6932</v>
      </c>
      <c r="AO55">
        <v>6803</v>
      </c>
      <c r="AP55">
        <v>5986</v>
      </c>
      <c r="AQ55">
        <v>6130</v>
      </c>
      <c r="AR55">
        <v>6071</v>
      </c>
      <c r="AS55">
        <v>6021</v>
      </c>
      <c r="AT55">
        <v>6122</v>
      </c>
      <c r="AU55">
        <v>6264</v>
      </c>
      <c r="AV55">
        <v>6293</v>
      </c>
      <c r="AW55">
        <v>6298</v>
      </c>
      <c r="AX55">
        <v>6269</v>
      </c>
      <c r="AY55">
        <v>6361</v>
      </c>
      <c r="AZ55">
        <v>6441</v>
      </c>
      <c r="BA55">
        <v>6815</v>
      </c>
      <c r="BB55">
        <v>6971</v>
      </c>
      <c r="BC55">
        <v>6735</v>
      </c>
      <c r="BD55">
        <v>7223</v>
      </c>
      <c r="BE55">
        <v>8050</v>
      </c>
      <c r="BF55">
        <v>9362</v>
      </c>
      <c r="BG55">
        <v>10111</v>
      </c>
      <c r="BH55">
        <v>10488</v>
      </c>
      <c r="BI55">
        <v>11551</v>
      </c>
      <c r="BJ55">
        <v>14181</v>
      </c>
      <c r="BK55">
        <v>13911</v>
      </c>
      <c r="BL55">
        <v>15114</v>
      </c>
      <c r="BM55">
        <v>17205</v>
      </c>
      <c r="BN55">
        <v>19455</v>
      </c>
      <c r="BO55">
        <v>18686</v>
      </c>
      <c r="BP55">
        <v>21503</v>
      </c>
      <c r="BQ55">
        <v>24878</v>
      </c>
      <c r="BR55">
        <v>28906</v>
      </c>
      <c r="BS55">
        <v>28949</v>
      </c>
      <c r="BT55">
        <v>30123</v>
      </c>
      <c r="BU55">
        <v>36171</v>
      </c>
      <c r="BV55">
        <v>42787</v>
      </c>
      <c r="BW55">
        <v>43237</v>
      </c>
      <c r="BX55">
        <v>48140</v>
      </c>
      <c r="BY55">
        <v>47501</v>
      </c>
      <c r="BZ55">
        <v>53926</v>
      </c>
      <c r="CA55">
        <v>57057</v>
      </c>
      <c r="CB55">
        <v>64725</v>
      </c>
      <c r="CC55">
        <v>75183</v>
      </c>
      <c r="CD55">
        <v>86742</v>
      </c>
      <c r="CE55">
        <v>94904</v>
      </c>
      <c r="CF55">
        <v>106758</v>
      </c>
      <c r="CG55">
        <v>116371</v>
      </c>
      <c r="CH55">
        <v>138681</v>
      </c>
      <c r="CI55">
        <v>150934</v>
      </c>
      <c r="CJ55">
        <v>162896</v>
      </c>
      <c r="CK55">
        <v>176064</v>
      </c>
      <c r="CL55">
        <v>196088</v>
      </c>
      <c r="CM55">
        <v>194743</v>
      </c>
      <c r="CN55">
        <v>199856</v>
      </c>
      <c r="CO55">
        <v>207000</v>
      </c>
      <c r="CP55">
        <v>225184</v>
      </c>
      <c r="CQ55">
        <v>205989</v>
      </c>
      <c r="CR55">
        <v>222520</v>
      </c>
      <c r="CS55">
        <v>231839</v>
      </c>
      <c r="CT55">
        <v>261894</v>
      </c>
      <c r="CU55">
        <v>261194</v>
      </c>
      <c r="CV55">
        <v>273151</v>
      </c>
      <c r="CW55">
        <v>290479</v>
      </c>
      <c r="CX55">
        <v>293284</v>
      </c>
      <c r="CY55">
        <v>305277</v>
      </c>
      <c r="CZ55">
        <v>305602</v>
      </c>
      <c r="DA55">
        <v>321686</v>
      </c>
      <c r="DB55">
        <v>331141</v>
      </c>
      <c r="DC55">
        <v>334532</v>
      </c>
      <c r="DD55">
        <v>345173</v>
      </c>
      <c r="DE55">
        <v>375319</v>
      </c>
      <c r="DF55">
        <v>406794</v>
      </c>
      <c r="DG55">
        <v>367502</v>
      </c>
      <c r="DH55">
        <v>349197</v>
      </c>
      <c r="DI55">
        <v>365725</v>
      </c>
      <c r="DJ55">
        <v>373719</v>
      </c>
      <c r="DK55">
        <v>341998</v>
      </c>
      <c r="DL55">
        <v>322239</v>
      </c>
      <c r="DM55">
        <v>338516</v>
      </c>
      <c r="DN55">
        <v>340618</v>
      </c>
      <c r="DO55">
        <v>320400</v>
      </c>
      <c r="DP55">
        <v>317344</v>
      </c>
      <c r="DQ55">
        <v>323888</v>
      </c>
      <c r="DR55">
        <v>354054</v>
      </c>
      <c r="DS55">
        <v>337158</v>
      </c>
      <c r="DT55">
        <v>329840</v>
      </c>
      <c r="DU55">
        <v>351002</v>
      </c>
      <c r="DV55">
        <v>381191</v>
      </c>
      <c r="DW55">
        <v>350662</v>
      </c>
      <c r="DX55">
        <v>336309</v>
      </c>
      <c r="DY55">
        <v>352755</v>
      </c>
      <c r="DZ55">
        <v>346747</v>
      </c>
      <c r="EA55">
        <v>332160</v>
      </c>
      <c r="EB55">
        <v>335038</v>
      </c>
      <c r="EC55">
        <v>352583</v>
      </c>
      <c r="ED55">
        <v>353514</v>
      </c>
      <c r="EE55">
        <v>337411</v>
      </c>
      <c r="EF55">
        <v>331612</v>
      </c>
      <c r="EG55">
        <v>364980</v>
      </c>
      <c r="EH55">
        <v>344085</v>
      </c>
      <c r="EI55">
        <v>331233</v>
      </c>
      <c r="EJ55">
        <v>324624.00020537298</v>
      </c>
      <c r="EK55">
        <v>363701.72073038103</v>
      </c>
      <c r="EL55">
        <v>346442.298427573</v>
      </c>
      <c r="EM55">
        <v>332030.88915651297</v>
      </c>
      <c r="EN55">
        <v>318539.95921146701</v>
      </c>
      <c r="EO55">
        <v>371908.66220083099</v>
      </c>
      <c r="EP55">
        <v>354226.36704123399</v>
      </c>
      <c r="EQ55">
        <v>334291.54585055099</v>
      </c>
      <c r="ER55">
        <v>317590.27793434798</v>
      </c>
      <c r="ES55">
        <v>366849.49754109298</v>
      </c>
      <c r="ET55">
        <v>345899.51579545601</v>
      </c>
      <c r="EU55">
        <v>332448.025019772</v>
      </c>
      <c r="EV55">
        <v>313815.19110496098</v>
      </c>
      <c r="EW55">
        <v>362620.77324094297</v>
      </c>
      <c r="EX55">
        <v>342820.31708323199</v>
      </c>
      <c r="EY55">
        <v>323593.45072482101</v>
      </c>
      <c r="EZ55">
        <v>307781.618297462</v>
      </c>
      <c r="FA55">
        <v>364090.10755330202</v>
      </c>
      <c r="FB55">
        <v>338557.555720729</v>
      </c>
      <c r="FC55">
        <v>319537.522654976</v>
      </c>
      <c r="FD55">
        <v>303673.33328936301</v>
      </c>
      <c r="FE55">
        <v>366136.71904830798</v>
      </c>
    </row>
    <row r="56" spans="2:161">
      <c r="B56" t="s">
        <v>112</v>
      </c>
      <c r="C56" t="s">
        <v>319</v>
      </c>
      <c r="D56" t="str">
        <f t="shared" si="2"/>
      </c>
      <c r="F56">
        <v>1157</v>
      </c>
      <c r="G56">
        <v>801</v>
      </c>
      <c r="H56">
        <v>911</v>
      </c>
      <c r="I56">
        <v>1154</v>
      </c>
      <c r="J56">
        <v>1451</v>
      </c>
      <c r="K56">
        <v>1779</v>
      </c>
      <c r="L56">
        <v>3390</v>
      </c>
      <c r="M56">
        <v>4970</v>
      </c>
      <c r="N56">
        <v>5520</v>
      </c>
      <c r="O56">
        <v>5601</v>
      </c>
      <c r="P56">
        <v>12015</v>
      </c>
      <c r="Q56">
        <v>14632</v>
      </c>
      <c r="R56">
        <v>21175</v>
      </c>
      <c r="S56">
        <v>22367</v>
      </c>
      <c r="T56">
        <v>30196</v>
      </c>
      <c r="U56">
        <v>35490</v>
      </c>
      <c r="V56">
        <v>37294</v>
      </c>
      <c r="W56">
        <v>44242</v>
      </c>
      <c r="X56">
        <v>55888</v>
      </c>
      <c r="Y56">
        <v>46236</v>
      </c>
      <c r="Z56">
        <v>42296</v>
      </c>
      <c r="AA56">
        <v>54763</v>
      </c>
      <c r="AB56">
        <v>64115</v>
      </c>
      <c r="AC56">
        <v>62611</v>
      </c>
      <c r="AD56">
        <v>68960</v>
      </c>
      <c r="AE56">
        <v>72679.576024982001</v>
      </c>
      <c r="AF56">
        <v>80985.257483272202</v>
      </c>
      <c r="AG56">
        <v>82774.357155867998</v>
      </c>
      <c r="AH56">
        <v>85019.194338947404</v>
      </c>
      <c r="AI56">
        <v>89963.157035464596</v>
      </c>
      <c r="AJ56">
        <v>94525.722142356593</v>
      </c>
      <c r="AL56">
        <v>1174</v>
      </c>
      <c r="AM56">
        <v>1111</v>
      </c>
      <c r="AN56">
        <v>1040</v>
      </c>
      <c r="AO56">
        <v>1157</v>
      </c>
      <c r="AP56">
        <v>637</v>
      </c>
      <c r="AQ56">
        <v>961</v>
      </c>
      <c r="AR56">
        <v>847</v>
      </c>
      <c r="AS56">
        <v>801</v>
      </c>
      <c r="AT56">
        <v>830</v>
      </c>
      <c r="AU56">
        <v>987</v>
      </c>
      <c r="AV56">
        <v>904</v>
      </c>
      <c r="AW56">
        <v>911</v>
      </c>
      <c r="AX56">
        <v>817</v>
      </c>
      <c r="AY56">
        <v>921</v>
      </c>
      <c r="AZ56">
        <v>880</v>
      </c>
      <c r="BA56">
        <v>1154</v>
      </c>
      <c r="BB56">
        <v>1085</v>
      </c>
      <c r="BC56">
        <v>991</v>
      </c>
      <c r="BD56">
        <v>1061</v>
      </c>
      <c r="BE56">
        <v>1451</v>
      </c>
      <c r="BF56">
        <v>1737</v>
      </c>
      <c r="BG56">
        <v>1773</v>
      </c>
      <c r="BH56">
        <v>1530</v>
      </c>
      <c r="BI56">
        <v>1779</v>
      </c>
      <c r="BJ56">
        <v>2896</v>
      </c>
      <c r="BK56">
        <v>2108</v>
      </c>
      <c r="BL56">
        <v>2513</v>
      </c>
      <c r="BM56">
        <v>3390</v>
      </c>
      <c r="BN56">
        <v>3885</v>
      </c>
      <c r="BO56">
        <v>2403</v>
      </c>
      <c r="BP56">
        <v>3660</v>
      </c>
      <c r="BQ56">
        <v>4970</v>
      </c>
      <c r="BR56">
        <v>5366</v>
      </c>
      <c r="BS56">
        <v>4154</v>
      </c>
      <c r="BT56">
        <v>3683</v>
      </c>
      <c r="BU56">
        <v>5520</v>
      </c>
      <c r="BV56">
        <v>4715</v>
      </c>
      <c r="BW56">
        <v>3976</v>
      </c>
      <c r="BX56">
        <v>4854</v>
      </c>
      <c r="BY56">
        <v>5601</v>
      </c>
      <c r="BZ56">
        <v>6511</v>
      </c>
      <c r="CA56">
        <v>5666</v>
      </c>
      <c r="CB56">
        <v>8469</v>
      </c>
      <c r="CC56">
        <v>12015</v>
      </c>
      <c r="CD56">
        <v>14301</v>
      </c>
      <c r="CE56">
        <v>13714</v>
      </c>
      <c r="CF56">
        <v>15270</v>
      </c>
      <c r="CG56">
        <v>14632</v>
      </c>
      <c r="CH56">
        <v>18221</v>
      </c>
      <c r="CI56">
        <v>17011</v>
      </c>
      <c r="CJ56">
        <v>16808</v>
      </c>
      <c r="CK56">
        <v>21175</v>
      </c>
      <c r="CL56">
        <v>26398</v>
      </c>
      <c r="CM56">
        <v>14912</v>
      </c>
      <c r="CN56">
        <v>15516</v>
      </c>
      <c r="CO56">
        <v>22367</v>
      </c>
      <c r="CP56">
        <v>29588</v>
      </c>
      <c r="CQ56">
        <v>18914</v>
      </c>
      <c r="CR56">
        <v>20535</v>
      </c>
      <c r="CS56">
        <v>30196</v>
      </c>
      <c r="CT56">
        <v>38001</v>
      </c>
      <c r="CU56">
        <v>23159</v>
      </c>
      <c r="CV56">
        <v>26474</v>
      </c>
      <c r="CW56">
        <v>35490</v>
      </c>
      <c r="CX56">
        <v>33312</v>
      </c>
      <c r="CY56">
        <v>25098</v>
      </c>
      <c r="CZ56">
        <v>26318</v>
      </c>
      <c r="DA56">
        <v>37294</v>
      </c>
      <c r="DB56">
        <v>38510</v>
      </c>
      <c r="DC56">
        <v>28573</v>
      </c>
      <c r="DD56">
        <v>31915</v>
      </c>
      <c r="DE56">
        <v>44242</v>
      </c>
      <c r="DF56">
        <v>62985</v>
      </c>
      <c r="DG56">
        <v>34311</v>
      </c>
      <c r="DH56">
        <v>38489</v>
      </c>
      <c r="DI56">
        <v>55888</v>
      </c>
      <c r="DJ56">
        <v>44293</v>
      </c>
      <c r="DK56">
        <v>30443</v>
      </c>
      <c r="DL56">
        <v>29115</v>
      </c>
      <c r="DM56">
        <v>46236</v>
      </c>
      <c r="DN56">
        <v>45111</v>
      </c>
      <c r="DO56">
        <v>32421</v>
      </c>
      <c r="DP56">
        <v>35325</v>
      </c>
      <c r="DQ56">
        <v>42296</v>
      </c>
      <c r="DR56">
        <v>63846</v>
      </c>
      <c r="DS56">
        <v>40127</v>
      </c>
      <c r="DT56">
        <v>40409</v>
      </c>
      <c r="DU56">
        <v>54763</v>
      </c>
      <c r="DV56">
        <v>74362</v>
      </c>
      <c r="DW56">
        <v>52682</v>
      </c>
      <c r="DX56">
        <v>48343</v>
      </c>
      <c r="DY56">
        <v>64115</v>
      </c>
      <c r="DZ56">
        <v>57918</v>
      </c>
      <c r="EA56">
        <v>42945</v>
      </c>
      <c r="EB56">
        <v>46699</v>
      </c>
      <c r="EC56">
        <v>62611</v>
      </c>
      <c r="ED56">
        <v>58146</v>
      </c>
      <c r="EE56">
        <v>45753</v>
      </c>
      <c r="EF56">
        <v>47574</v>
      </c>
      <c r="EG56">
        <v>68960</v>
      </c>
      <c r="EH56">
        <v>61910</v>
      </c>
      <c r="EI56">
        <v>54126</v>
      </c>
      <c r="EJ56">
        <v>49455.530445099197</v>
      </c>
      <c r="EK56">
        <v>72679.576024982001</v>
      </c>
      <c r="EL56">
        <v>68351.949251847196</v>
      </c>
      <c r="EM56">
        <v>56991.522644062599</v>
      </c>
      <c r="EN56">
        <v>51014.600376390401</v>
      </c>
      <c r="EO56">
        <v>80985.257483272202</v>
      </c>
      <c r="EP56">
        <v>74641.344463289803</v>
      </c>
      <c r="EQ56">
        <v>61447.086084661998</v>
      </c>
      <c r="ER56">
        <v>54061.797077788397</v>
      </c>
      <c r="ES56">
        <v>82774.357155867998</v>
      </c>
      <c r="ET56">
        <v>75795.395379859998</v>
      </c>
      <c r="EU56">
        <v>65272.479983431098</v>
      </c>
      <c r="EV56">
        <v>56542.354374980197</v>
      </c>
      <c r="EW56">
        <v>85019.194338947404</v>
      </c>
      <c r="EX56">
        <v>79154.037256540003</v>
      </c>
      <c r="EY56">
        <v>65643.015998412098</v>
      </c>
      <c r="EZ56">
        <v>58205.684078188999</v>
      </c>
      <c r="FA56">
        <v>89963.157035464596</v>
      </c>
      <c r="FB56">
        <v>81792.846672329106</v>
      </c>
      <c r="FC56">
        <v>67902.312248162198</v>
      </c>
      <c r="FD56">
        <v>60145.523973378797</v>
      </c>
      <c r="FE56">
        <v>94525.722142356593</v>
      </c>
    </row>
    <row r="57" spans="2:161">
      <c r="B57" t="s">
        <v>97</v>
      </c>
      <c r="C57" t="s">
        <v>320</v>
      </c>
      <c r="D57" t="str">
        <f t="shared" si="2"/>
      </c>
      <c r="I57">
        <v>304</v>
      </c>
      <c r="T57">
        <v>6308</v>
      </c>
      <c r="U57">
        <v>10999</v>
      </c>
      <c r="V57">
        <v>11605</v>
      </c>
      <c r="W57">
        <v>18473</v>
      </c>
      <c r="X57">
        <v>20748</v>
      </c>
      <c r="Y57">
        <v>16240</v>
      </c>
      <c r="Z57">
        <v>13769</v>
      </c>
      <c r="AA57">
        <v>15613</v>
      </c>
      <c r="AB57">
        <v>21110</v>
      </c>
      <c r="AC57">
        <v>15807</v>
      </c>
      <c r="AD57">
        <v>20879</v>
      </c>
      <c r="AE57">
        <v>19620</v>
      </c>
      <c r="AF57">
        <v>19620</v>
      </c>
      <c r="AG57">
        <v>19620</v>
      </c>
      <c r="AH57">
        <v>19620</v>
      </c>
      <c r="AI57">
        <v>19620</v>
      </c>
      <c r="AJ57">
        <v>19620</v>
      </c>
      <c r="AY57">
        <v>310</v>
      </c>
      <c r="AZ57">
        <v>307</v>
      </c>
      <c r="BA57">
        <v>304</v>
      </c>
      <c r="BB57">
        <v>302</v>
      </c>
      <c r="CR57">
        <v>2010</v>
      </c>
      <c r="CS57">
        <v>6308</v>
      </c>
      <c r="CT57">
        <v>3899</v>
      </c>
      <c r="CU57">
        <v>3799</v>
      </c>
      <c r="CV57">
        <v>6999</v>
      </c>
      <c r="CW57">
        <v>10999</v>
      </c>
      <c r="CX57">
        <v>9759</v>
      </c>
      <c r="CY57">
        <v>10498</v>
      </c>
      <c r="CZ57">
        <v>15996</v>
      </c>
      <c r="DA57">
        <v>11605</v>
      </c>
      <c r="DB57">
        <v>13992</v>
      </c>
      <c r="DC57">
        <v>13991</v>
      </c>
      <c r="DD57">
        <v>18475</v>
      </c>
      <c r="DE57">
        <v>18473</v>
      </c>
      <c r="DF57">
        <v>18478</v>
      </c>
      <c r="DG57">
        <v>20478</v>
      </c>
      <c r="DH57">
        <v>17472</v>
      </c>
      <c r="DI57">
        <v>20748</v>
      </c>
      <c r="DJ57">
        <v>21741</v>
      </c>
      <c r="DK57">
        <v>22429</v>
      </c>
      <c r="DL57">
        <v>23482</v>
      </c>
      <c r="DM57">
        <v>16240</v>
      </c>
      <c r="DN57">
        <v>15214</v>
      </c>
      <c r="DO57">
        <v>20421</v>
      </c>
      <c r="DP57">
        <v>18675</v>
      </c>
      <c r="DQ57">
        <v>13769</v>
      </c>
      <c r="DR57">
        <v>12762</v>
      </c>
      <c r="DS57">
        <v>13003</v>
      </c>
      <c r="DT57">
        <v>16039</v>
      </c>
      <c r="DU57">
        <v>15613</v>
      </c>
      <c r="DV57">
        <v>16169</v>
      </c>
      <c r="DW57">
        <v>16658</v>
      </c>
      <c r="DX57">
        <v>24991</v>
      </c>
      <c r="DY57">
        <v>21110</v>
      </c>
      <c r="DZ57">
        <v>11483</v>
      </c>
      <c r="EA57">
        <v>12574</v>
      </c>
      <c r="EB57">
        <v>11209</v>
      </c>
      <c r="EC57">
        <v>15807</v>
      </c>
      <c r="ED57">
        <v>12952</v>
      </c>
      <c r="EE57">
        <v>12759</v>
      </c>
      <c r="EF57">
        <v>15108</v>
      </c>
      <c r="EG57">
        <v>20879</v>
      </c>
      <c r="EH57">
        <v>12843</v>
      </c>
      <c r="EI57">
        <v>19620</v>
      </c>
      <c r="EJ57">
        <v>19620</v>
      </c>
      <c r="EK57">
        <v>19620</v>
      </c>
      <c r="EL57">
        <v>19620</v>
      </c>
      <c r="EM57">
        <v>19620</v>
      </c>
      <c r="EN57">
        <v>19620</v>
      </c>
      <c r="EO57">
        <v>19620</v>
      </c>
      <c r="EP57">
        <v>19620</v>
      </c>
      <c r="EQ57">
        <v>19620</v>
      </c>
      <c r="ER57">
        <v>19620</v>
      </c>
      <c r="ES57">
        <v>19620</v>
      </c>
      <c r="ET57">
        <v>19620</v>
      </c>
      <c r="EU57">
        <v>19620</v>
      </c>
      <c r="EV57">
        <v>19620</v>
      </c>
      <c r="EW57">
        <v>19620</v>
      </c>
      <c r="EX57">
        <v>19620</v>
      </c>
      <c r="EY57">
        <v>19620</v>
      </c>
      <c r="EZ57">
        <v>19620</v>
      </c>
      <c r="FA57">
        <v>19620</v>
      </c>
      <c r="FB57">
        <v>19620</v>
      </c>
      <c r="FC57">
        <v>19620</v>
      </c>
      <c r="FD57">
        <v>19620</v>
      </c>
      <c r="FE57">
        <v>19620</v>
      </c>
    </row>
    <row r="58" spans="2:161">
      <c r="B58" t="s">
        <v>1084</v>
      </c>
      <c r="C58" t="s">
        <v>1085</v>
      </c>
      <c r="D58" t="str">
        <f t="shared" si="2"/>
      </c>
    </row>
    <row r="59" spans="2:161">
      <c r="B59" t="s">
        <v>321</v>
      </c>
      <c r="C59" t="s">
        <v>322</v>
      </c>
      <c r="D59" t="str">
        <f t="shared" si="2"/>
      </c>
      <c r="F59">
        <v>776</v>
      </c>
      <c r="G59">
        <v>717</v>
      </c>
      <c r="H59">
        <v>747</v>
      </c>
      <c r="I59">
        <v>899</v>
      </c>
      <c r="J59">
        <v>1200</v>
      </c>
      <c r="K59">
        <v>1705</v>
      </c>
      <c r="L59">
        <v>3081</v>
      </c>
      <c r="M59">
        <v>4136</v>
      </c>
      <c r="N59">
        <v>5841</v>
      </c>
      <c r="O59">
        <v>5905</v>
      </c>
      <c r="P59">
        <v>8707</v>
      </c>
      <c r="Q59">
        <v>13338</v>
      </c>
      <c r="R59">
        <v>17367</v>
      </c>
      <c r="S59">
        <v>21291</v>
      </c>
      <c r="T59">
        <v>26944</v>
      </c>
      <c r="U59">
        <v>34121</v>
      </c>
      <c r="V59">
        <v>30107</v>
      </c>
      <c r="W59">
        <v>38099</v>
      </c>
      <c r="X59">
        <v>39293</v>
      </c>
      <c r="Y59">
        <v>43242</v>
      </c>
      <c r="Z59">
        <v>49327</v>
      </c>
      <c r="AA59">
        <v>55105</v>
      </c>
      <c r="AB59">
        <v>68757</v>
      </c>
      <c r="AC59">
        <v>66890</v>
      </c>
      <c r="AD59">
        <v>86553</v>
      </c>
      <c r="AE59">
        <v>88224.7011070812</v>
      </c>
      <c r="AF59">
        <v>98437.447084644096</v>
      </c>
      <c r="AG59">
        <v>103726.469107903</v>
      </c>
      <c r="AH59">
        <v>109530.506504049</v>
      </c>
      <c r="AI59">
        <v>118007.682952909</v>
      </c>
      <c r="AJ59">
        <v>126329.208109721</v>
      </c>
      <c r="AL59">
        <v>791</v>
      </c>
      <c r="AM59">
        <v>742</v>
      </c>
      <c r="AN59">
        <v>833</v>
      </c>
      <c r="AO59">
        <v>776</v>
      </c>
      <c r="AP59">
        <v>1000</v>
      </c>
      <c r="AQ59">
        <v>834</v>
      </c>
      <c r="AR59">
        <v>767</v>
      </c>
      <c r="AS59">
        <v>717</v>
      </c>
      <c r="AT59">
        <v>749</v>
      </c>
      <c r="AU59">
        <v>722</v>
      </c>
      <c r="AV59">
        <v>814</v>
      </c>
      <c r="AW59">
        <v>747</v>
      </c>
      <c r="AX59">
        <v>778</v>
      </c>
      <c r="AY59">
        <v>776</v>
      </c>
      <c r="AZ59">
        <v>838</v>
      </c>
      <c r="BA59">
        <v>899</v>
      </c>
      <c r="BB59">
        <v>995</v>
      </c>
      <c r="BC59">
        <v>989</v>
      </c>
      <c r="BD59">
        <v>1094</v>
      </c>
      <c r="BE59">
        <v>1200</v>
      </c>
      <c r="BF59">
        <v>1487</v>
      </c>
      <c r="BG59">
        <v>1579</v>
      </c>
      <c r="BH59">
        <v>1593</v>
      </c>
      <c r="BI59">
        <v>1705</v>
      </c>
      <c r="BJ59">
        <v>2164</v>
      </c>
      <c r="BK59">
        <v>2348</v>
      </c>
      <c r="BL59">
        <v>2510</v>
      </c>
      <c r="BM59">
        <v>3081</v>
      </c>
      <c r="BN59">
        <v>3439</v>
      </c>
      <c r="BO59">
        <v>3008</v>
      </c>
      <c r="BP59">
        <v>3206</v>
      </c>
      <c r="BQ59">
        <v>4136</v>
      </c>
      <c r="BR59">
        <v>4564</v>
      </c>
      <c r="BS59">
        <v>4609</v>
      </c>
      <c r="BT59">
        <v>4437</v>
      </c>
      <c r="BU59">
        <v>5841</v>
      </c>
      <c r="BV59">
        <v>10042</v>
      </c>
      <c r="BW59">
        <v>9775</v>
      </c>
      <c r="BX59">
        <v>11807</v>
      </c>
      <c r="BY59">
        <v>5905</v>
      </c>
      <c r="BZ59">
        <v>6586</v>
      </c>
      <c r="CA59">
        <v>6563</v>
      </c>
      <c r="CB59">
        <v>7143</v>
      </c>
      <c r="CC59">
        <v>8707</v>
      </c>
      <c r="CD59">
        <v>9494</v>
      </c>
      <c r="CE59">
        <v>10613</v>
      </c>
      <c r="CF59">
        <v>11589</v>
      </c>
      <c r="CG59">
        <v>13338</v>
      </c>
      <c r="CH59">
        <v>16386</v>
      </c>
      <c r="CI59">
        <v>15025</v>
      </c>
      <c r="CJ59">
        <v>16252</v>
      </c>
      <c r="CK59">
        <v>17367</v>
      </c>
      <c r="CL59">
        <v>20481</v>
      </c>
      <c r="CM59">
        <v>20596</v>
      </c>
      <c r="CN59">
        <v>20803</v>
      </c>
      <c r="CO59">
        <v>21291</v>
      </c>
      <c r="CP59">
        <v>24181</v>
      </c>
      <c r="CQ59">
        <v>24294</v>
      </c>
      <c r="CR59">
        <v>23660</v>
      </c>
      <c r="CS59">
        <v>26944</v>
      </c>
      <c r="CT59">
        <v>31711</v>
      </c>
      <c r="CU59">
        <v>31771</v>
      </c>
      <c r="CV59">
        <v>31812</v>
      </c>
      <c r="CW59">
        <v>34121</v>
      </c>
      <c r="CX59">
        <v>33021</v>
      </c>
      <c r="CY59">
        <v>32669</v>
      </c>
      <c r="CZ59">
        <v>29172</v>
      </c>
      <c r="DA59">
        <v>30107</v>
      </c>
      <c r="DB59">
        <v>31628</v>
      </c>
      <c r="DC59">
        <v>30778</v>
      </c>
      <c r="DD59">
        <v>30912</v>
      </c>
      <c r="DE59">
        <v>38099</v>
      </c>
      <c r="DF59">
        <v>34325</v>
      </c>
      <c r="DG59">
        <v>34531</v>
      </c>
      <c r="DH59">
        <v>32587</v>
      </c>
      <c r="DI59">
        <v>39293</v>
      </c>
      <c r="DJ59">
        <v>42249</v>
      </c>
      <c r="DK59">
        <v>40900</v>
      </c>
      <c r="DL59">
        <v>37107</v>
      </c>
      <c r="DM59">
        <v>43242</v>
      </c>
      <c r="DN59">
        <v>41836</v>
      </c>
      <c r="DO59">
        <v>43252</v>
      </c>
      <c r="DP59">
        <v>41318</v>
      </c>
      <c r="DQ59">
        <v>49327</v>
      </c>
      <c r="DR59">
        <v>55899</v>
      </c>
      <c r="DS59">
        <v>53255</v>
      </c>
      <c r="DT59">
        <v>51306</v>
      </c>
      <c r="DU59">
        <v>55105</v>
      </c>
      <c r="DV59">
        <v>57043</v>
      </c>
      <c r="DW59">
        <v>58168</v>
      </c>
      <c r="DX59">
        <v>56539</v>
      </c>
      <c r="DY59">
        <v>68757</v>
      </c>
      <c r="DZ59">
        <v>67885</v>
      </c>
      <c r="EA59">
        <v>64556</v>
      </c>
      <c r="EB59">
        <v>67055</v>
      </c>
      <c r="EC59">
        <v>66890</v>
      </c>
      <c r="ED59">
        <v>62875</v>
      </c>
      <c r="EE59">
        <v>65310</v>
      </c>
      <c r="EF59">
        <v>68942</v>
      </c>
      <c r="EG59">
        <v>86553</v>
      </c>
      <c r="EH59">
        <v>69612</v>
      </c>
      <c r="EI59">
        <v>70825</v>
      </c>
      <c r="EJ59">
        <v>71447.730371187703</v>
      </c>
      <c r="EK59">
        <v>88224.7011070812</v>
      </c>
      <c r="EL59">
        <v>69792.139638723602</v>
      </c>
      <c r="EM59">
        <v>71875.353998666003</v>
      </c>
      <c r="EN59">
        <v>73918.014129472998</v>
      </c>
      <c r="EO59">
        <v>98437.447084644096</v>
      </c>
      <c r="EP59">
        <v>79371.338172689299</v>
      </c>
      <c r="EQ59">
        <v>78582.140513458406</v>
      </c>
      <c r="ER59">
        <v>80151.613898857904</v>
      </c>
      <c r="ES59">
        <v>103726.469107903</v>
      </c>
      <c r="ET59">
        <v>82446.746968402702</v>
      </c>
      <c r="EU59">
        <v>84964.739849290301</v>
      </c>
      <c r="EV59">
        <v>85949.963173802098</v>
      </c>
      <c r="EW59">
        <v>109530.506504049</v>
      </c>
      <c r="EX59">
        <v>87461.891016515307</v>
      </c>
      <c r="EY59">
        <v>88085.7186122774</v>
      </c>
      <c r="EZ59">
        <v>90924.773291627993</v>
      </c>
      <c r="FA59">
        <v>118007.682952909</v>
      </c>
      <c r="FB59">
        <v>91971.648490521795</v>
      </c>
      <c r="FC59">
        <v>93191.604472861101</v>
      </c>
      <c r="FD59">
        <v>96399.859564816506</v>
      </c>
      <c r="FE59">
        <v>126329.208109721</v>
      </c>
    </row>
    <row r="60" spans="2:161">
      <c r="B60" t="s">
        <v>153</v>
      </c>
      <c r="C60" t="s">
        <v>323</v>
      </c>
      <c r="D60" t="str">
        <f t="shared" si="2"/>
      </c>
      <c r="F60">
        <v>1933</v>
      </c>
      <c r="G60">
        <v>1518</v>
      </c>
      <c r="H60">
        <v>1658</v>
      </c>
      <c r="I60">
        <v>2357</v>
      </c>
      <c r="J60">
        <v>2651</v>
      </c>
      <c r="K60">
        <v>3484</v>
      </c>
      <c r="L60">
        <v>6471</v>
      </c>
      <c r="M60">
        <v>9106</v>
      </c>
      <c r="N60">
        <v>11361</v>
      </c>
      <c r="O60">
        <v>11506</v>
      </c>
      <c r="P60">
        <v>20722</v>
      </c>
      <c r="Q60">
        <v>27970</v>
      </c>
      <c r="R60">
        <v>38542</v>
      </c>
      <c r="S60">
        <v>43658</v>
      </c>
      <c r="T60">
        <v>63448</v>
      </c>
      <c r="U60">
        <v>80610</v>
      </c>
      <c r="V60">
        <v>79006</v>
      </c>
      <c r="W60">
        <v>100814</v>
      </c>
      <c r="X60">
        <v>115929</v>
      </c>
      <c r="Y60">
        <v>105718</v>
      </c>
      <c r="Z60">
        <v>105392</v>
      </c>
      <c r="AA60">
        <v>125481</v>
      </c>
      <c r="AB60">
        <v>153982</v>
      </c>
      <c r="AC60">
        <v>145308</v>
      </c>
      <c r="AD60">
        <v>176392</v>
      </c>
      <c r="AE60">
        <v>180524.277132063</v>
      </c>
      <c r="AF60">
        <v>199042.70456791599</v>
      </c>
      <c r="AG60">
        <v>206120.82626377101</v>
      </c>
      <c r="AH60">
        <v>214169.70084299601</v>
      </c>
      <c r="AI60">
        <v>227590.83998837299</v>
      </c>
      <c r="AJ60">
        <v>240474.930252077</v>
      </c>
      <c r="AL60">
        <v>1965</v>
      </c>
      <c r="AM60">
        <v>1853</v>
      </c>
      <c r="AN60">
        <v>1873</v>
      </c>
      <c r="AO60">
        <v>1933</v>
      </c>
      <c r="AP60">
        <v>1637</v>
      </c>
      <c r="AQ60">
        <v>1795</v>
      </c>
      <c r="AR60">
        <v>1614</v>
      </c>
      <c r="AS60">
        <v>1518</v>
      </c>
      <c r="AT60">
        <v>1579</v>
      </c>
      <c r="AU60">
        <v>1709</v>
      </c>
      <c r="AV60">
        <v>1718</v>
      </c>
      <c r="AW60">
        <v>1658</v>
      </c>
      <c r="AX60">
        <v>1595</v>
      </c>
      <c r="AY60">
        <v>2007</v>
      </c>
      <c r="AZ60">
        <v>2025</v>
      </c>
      <c r="BA60">
        <v>2357</v>
      </c>
      <c r="BB60">
        <v>2382</v>
      </c>
      <c r="BC60">
        <v>1980</v>
      </c>
      <c r="BD60">
        <v>2155</v>
      </c>
      <c r="BE60">
        <v>2651</v>
      </c>
      <c r="BF60">
        <v>3224</v>
      </c>
      <c r="BG60">
        <v>3352</v>
      </c>
      <c r="BH60">
        <v>3123</v>
      </c>
      <c r="BI60">
        <v>3484</v>
      </c>
      <c r="BJ60">
        <v>5060</v>
      </c>
      <c r="BK60">
        <v>4456</v>
      </c>
      <c r="BL60">
        <v>5023</v>
      </c>
      <c r="BM60">
        <v>6471</v>
      </c>
      <c r="BN60">
        <v>7324</v>
      </c>
      <c r="BO60">
        <v>5411</v>
      </c>
      <c r="BP60">
        <v>6866</v>
      </c>
      <c r="BQ60">
        <v>9106</v>
      </c>
      <c r="BR60">
        <v>9930</v>
      </c>
      <c r="BS60">
        <v>8763</v>
      </c>
      <c r="BT60">
        <v>8120</v>
      </c>
      <c r="BU60">
        <v>11361</v>
      </c>
      <c r="BV60">
        <v>14757</v>
      </c>
      <c r="BW60">
        <v>13751</v>
      </c>
      <c r="BX60">
        <v>16661</v>
      </c>
      <c r="BY60">
        <v>11506</v>
      </c>
      <c r="BZ60">
        <v>13097</v>
      </c>
      <c r="CA60">
        <v>12229</v>
      </c>
      <c r="CB60">
        <v>15612</v>
      </c>
      <c r="CC60">
        <v>20722</v>
      </c>
      <c r="CD60">
        <v>23795</v>
      </c>
      <c r="CE60">
        <v>24327</v>
      </c>
      <c r="CF60">
        <v>26859</v>
      </c>
      <c r="CG60">
        <v>27970</v>
      </c>
      <c r="CH60">
        <v>34607</v>
      </c>
      <c r="CI60">
        <v>32036</v>
      </c>
      <c r="CJ60">
        <v>33060</v>
      </c>
      <c r="CK60">
        <v>38542</v>
      </c>
      <c r="CL60">
        <v>46879</v>
      </c>
      <c r="CM60">
        <v>35508</v>
      </c>
      <c r="CN60">
        <v>36319</v>
      </c>
      <c r="CO60">
        <v>43658</v>
      </c>
      <c r="CP60">
        <v>53769</v>
      </c>
      <c r="CQ60">
        <v>43208</v>
      </c>
      <c r="CR60">
        <v>46205</v>
      </c>
      <c r="CS60">
        <v>63448</v>
      </c>
      <c r="CT60">
        <v>73611</v>
      </c>
      <c r="CU60">
        <v>58729</v>
      </c>
      <c r="CV60">
        <v>65285</v>
      </c>
      <c r="CW60">
        <v>80610</v>
      </c>
      <c r="CX60">
        <v>76092</v>
      </c>
      <c r="CY60">
        <v>68265</v>
      </c>
      <c r="CZ60">
        <v>71486</v>
      </c>
      <c r="DA60">
        <v>79006</v>
      </c>
      <c r="DB60">
        <v>84130</v>
      </c>
      <c r="DC60">
        <v>73342</v>
      </c>
      <c r="DD60">
        <v>81302</v>
      </c>
      <c r="DE60">
        <v>100814</v>
      </c>
      <c r="DF60">
        <v>115788</v>
      </c>
      <c r="DG60">
        <v>89320</v>
      </c>
      <c r="DH60">
        <v>88548</v>
      </c>
      <c r="DI60">
        <v>115929</v>
      </c>
      <c r="DJ60">
        <v>108283</v>
      </c>
      <c r="DK60">
        <v>93772</v>
      </c>
      <c r="DL60">
        <v>89704</v>
      </c>
      <c r="DM60">
        <v>105718</v>
      </c>
      <c r="DN60">
        <v>102161</v>
      </c>
      <c r="DO60">
        <v>96094</v>
      </c>
      <c r="DP60">
        <v>95318</v>
      </c>
      <c r="DQ60">
        <v>105392</v>
      </c>
      <c r="DR60">
        <v>132507</v>
      </c>
      <c r="DS60">
        <v>106385</v>
      </c>
      <c r="DT60">
        <v>107754</v>
      </c>
      <c r="DU60">
        <v>125481</v>
      </c>
      <c r="DV60">
        <v>147574</v>
      </c>
      <c r="DW60">
        <v>127508</v>
      </c>
      <c r="DX60">
        <v>129873</v>
      </c>
      <c r="DY60">
        <v>153982</v>
      </c>
      <c r="DZ60">
        <v>137286</v>
      </c>
      <c r="EA60">
        <v>120075</v>
      </c>
      <c r="EB60">
        <v>124963</v>
      </c>
      <c r="EC60">
        <v>145308</v>
      </c>
      <c r="ED60">
        <v>133973</v>
      </c>
      <c r="EE60">
        <v>123822</v>
      </c>
      <c r="EF60">
        <v>131624</v>
      </c>
      <c r="EG60">
        <v>176392</v>
      </c>
      <c r="EH60">
        <v>144365</v>
      </c>
      <c r="EI60">
        <v>144571</v>
      </c>
      <c r="EJ60">
        <v>140523.26081628699</v>
      </c>
      <c r="EK60">
        <v>180524.277132063</v>
      </c>
      <c r="EL60">
        <v>157764.088890571</v>
      </c>
      <c r="EM60">
        <v>148486.87664272901</v>
      </c>
      <c r="EN60">
        <v>144552.61450586299</v>
      </c>
      <c r="EO60">
        <v>199042.70456791599</v>
      </c>
      <c r="EP60">
        <v>173632.682635979</v>
      </c>
      <c r="EQ60">
        <v>159649.22659812</v>
      </c>
      <c r="ER60">
        <v>153833.410976646</v>
      </c>
      <c r="ES60">
        <v>206120.82626377101</v>
      </c>
      <c r="ET60">
        <v>177862.14234826301</v>
      </c>
      <c r="EU60">
        <v>169857.21983272099</v>
      </c>
      <c r="EV60">
        <v>162112.31754878201</v>
      </c>
      <c r="EW60">
        <v>214169.70084299601</v>
      </c>
      <c r="EX60">
        <v>186235.928273055</v>
      </c>
      <c r="EY60">
        <v>173348.73461069001</v>
      </c>
      <c r="EZ60">
        <v>168750.45736981701</v>
      </c>
      <c r="FA60">
        <v>227590.83998837299</v>
      </c>
      <c r="FB60">
        <v>193384.495162851</v>
      </c>
      <c r="FC60">
        <v>180713.91672102301</v>
      </c>
      <c r="FD60">
        <v>176165.38353819499</v>
      </c>
      <c r="FE60">
        <v>240474.930252077</v>
      </c>
    </row>
    <row r="61" spans="2:161">
      <c r="B61" t="s">
        <v>324</v>
      </c>
      <c r="C61" t="s">
        <v>325</v>
      </c>
      <c r="D61" t="str">
        <f t="shared" si="2"/>
      </c>
      <c r="F61">
        <v>300</v>
      </c>
      <c r="G61">
        <v>317</v>
      </c>
      <c r="H61">
        <v>316</v>
      </c>
      <c r="S61">
        <v>16960</v>
      </c>
      <c r="T61">
        <v>28987</v>
      </c>
      <c r="U61">
        <v>53463</v>
      </c>
      <c r="V61">
        <v>75427</v>
      </c>
      <c r="W61">
        <v>97207</v>
      </c>
      <c r="X61">
        <v>93735</v>
      </c>
      <c r="Y61">
        <v>91807</v>
      </c>
      <c r="Z61">
        <v>98667</v>
      </c>
      <c r="AA61">
        <v>109106</v>
      </c>
      <c r="AB61">
        <v>98959</v>
      </c>
      <c r="AC61">
        <v>95281</v>
      </c>
      <c r="AD61">
        <v>85750</v>
      </c>
      <c r="AE61">
        <v>83066</v>
      </c>
      <c r="AF61">
        <v>83066</v>
      </c>
      <c r="AG61">
        <v>83066</v>
      </c>
      <c r="AH61">
        <v>83066</v>
      </c>
      <c r="AI61">
        <v>83066</v>
      </c>
      <c r="AJ61">
        <v>83066</v>
      </c>
      <c r="AL61">
        <v>300</v>
      </c>
      <c r="AM61">
        <v>300</v>
      </c>
      <c r="AN61">
        <v>300</v>
      </c>
      <c r="AO61">
        <v>300</v>
      </c>
      <c r="AP61">
        <v>311</v>
      </c>
      <c r="AQ61">
        <v>317</v>
      </c>
      <c r="AR61">
        <v>317</v>
      </c>
      <c r="AS61">
        <v>317</v>
      </c>
      <c r="AT61">
        <v>315</v>
      </c>
      <c r="AU61">
        <v>311</v>
      </c>
      <c r="AV61">
        <v>316</v>
      </c>
      <c r="AW61">
        <v>316</v>
      </c>
      <c r="AX61">
        <v>320</v>
      </c>
      <c r="CN61">
        <v>16958</v>
      </c>
      <c r="CO61">
        <v>16960</v>
      </c>
      <c r="CP61">
        <v>16961</v>
      </c>
      <c r="CQ61">
        <v>16962</v>
      </c>
      <c r="CR61">
        <v>29030</v>
      </c>
      <c r="CS61">
        <v>28987</v>
      </c>
      <c r="CT61">
        <v>32504</v>
      </c>
      <c r="CU61">
        <v>40072</v>
      </c>
      <c r="CV61">
        <v>47419</v>
      </c>
      <c r="CW61">
        <v>53463</v>
      </c>
      <c r="CX61">
        <v>53204</v>
      </c>
      <c r="CY61">
        <v>69374</v>
      </c>
      <c r="CZ61">
        <v>68939</v>
      </c>
      <c r="DA61">
        <v>75427</v>
      </c>
      <c r="DB61">
        <v>73557</v>
      </c>
      <c r="DC61">
        <v>84531</v>
      </c>
      <c r="DD61">
        <v>89864</v>
      </c>
      <c r="DE61">
        <v>97207</v>
      </c>
      <c r="DF61">
        <v>103922</v>
      </c>
      <c r="DG61">
        <v>101362</v>
      </c>
      <c r="DH61">
        <v>97128</v>
      </c>
      <c r="DI61">
        <v>93735</v>
      </c>
      <c r="DJ61">
        <v>92989</v>
      </c>
      <c r="DK61">
        <v>90201</v>
      </c>
      <c r="DL61">
        <v>84936</v>
      </c>
      <c r="DM61">
        <v>91807</v>
      </c>
      <c r="DN61">
        <v>93078</v>
      </c>
      <c r="DO61">
        <v>89086</v>
      </c>
      <c r="DP61">
        <v>94048</v>
      </c>
      <c r="DQ61">
        <v>98667</v>
      </c>
      <c r="DR61">
        <v>99281</v>
      </c>
      <c r="DS61">
        <v>108642</v>
      </c>
      <c r="DT61">
        <v>105752</v>
      </c>
      <c r="DU61">
        <v>109106</v>
      </c>
      <c r="DV61">
        <v>106629</v>
      </c>
      <c r="DW61">
        <v>103323</v>
      </c>
      <c r="DX61">
        <v>94700</v>
      </c>
      <c r="DY61">
        <v>98959</v>
      </c>
      <c r="DZ61">
        <v>99627</v>
      </c>
      <c r="EA61">
        <v>97041</v>
      </c>
      <c r="EB61">
        <v>98071</v>
      </c>
      <c r="EC61">
        <v>95281</v>
      </c>
      <c r="ED61">
        <v>95088</v>
      </c>
      <c r="EE61">
        <v>91831</v>
      </c>
      <c r="EF61">
        <v>86196</v>
      </c>
      <c r="EG61">
        <v>85750</v>
      </c>
      <c r="EH61">
        <v>83956</v>
      </c>
      <c r="EI61">
        <v>78566</v>
      </c>
      <c r="EJ61">
        <v>83066</v>
      </c>
      <c r="EK61">
        <v>83066</v>
      </c>
      <c r="EL61">
        <v>83066</v>
      </c>
      <c r="EM61">
        <v>83066</v>
      </c>
      <c r="EN61">
        <v>83066</v>
      </c>
      <c r="EO61">
        <v>83066</v>
      </c>
      <c r="EP61">
        <v>83066</v>
      </c>
      <c r="EQ61">
        <v>83066</v>
      </c>
      <c r="ER61">
        <v>83066</v>
      </c>
      <c r="ES61">
        <v>83066</v>
      </c>
      <c r="ET61">
        <v>83066</v>
      </c>
      <c r="EU61">
        <v>83066</v>
      </c>
      <c r="EV61">
        <v>83066</v>
      </c>
      <c r="EW61">
        <v>83066</v>
      </c>
      <c r="EX61">
        <v>83066</v>
      </c>
      <c r="EY61">
        <v>83066</v>
      </c>
      <c r="EZ61">
        <v>83066</v>
      </c>
      <c r="FA61">
        <v>83066</v>
      </c>
      <c r="FB61">
        <v>83066</v>
      </c>
      <c r="FC61">
        <v>83066</v>
      </c>
      <c r="FD61">
        <v>83066</v>
      </c>
      <c r="FE61">
        <v>83066</v>
      </c>
    </row>
    <row r="62" spans="2:161">
      <c r="B62" t="s">
        <v>1086</v>
      </c>
      <c r="C62" t="s">
        <v>1087</v>
      </c>
      <c r="D62" t="str">
        <f t="shared" si="2"/>
      </c>
    </row>
    <row r="63" spans="2:161">
      <c r="B63" t="s">
        <v>326</v>
      </c>
      <c r="C63" t="s">
        <v>327</v>
      </c>
      <c r="D63" t="str">
        <f t="shared" si="2"/>
      </c>
      <c r="F63">
        <v>463</v>
      </c>
      <c r="G63">
        <v>266</v>
      </c>
      <c r="H63">
        <v>229</v>
      </c>
      <c r="I63">
        <v>235</v>
      </c>
      <c r="J63">
        <v>323</v>
      </c>
      <c r="K63">
        <v>601</v>
      </c>
      <c r="L63">
        <v>750</v>
      </c>
      <c r="M63">
        <v>1241</v>
      </c>
      <c r="N63">
        <v>2513</v>
      </c>
      <c r="O63">
        <v>4355</v>
      </c>
      <c r="P63">
        <v>6670</v>
      </c>
      <c r="Q63">
        <v>11786</v>
      </c>
      <c r="R63">
        <v>19312</v>
      </c>
      <c r="S63">
        <v>22833</v>
      </c>
      <c r="T63">
        <v>27857</v>
      </c>
      <c r="U63">
        <v>37051</v>
      </c>
      <c r="V63">
        <v>39004</v>
      </c>
      <c r="W63">
        <v>43251</v>
      </c>
      <c r="X63">
        <v>48914</v>
      </c>
      <c r="Y63">
        <v>50503</v>
      </c>
      <c r="Z63">
        <v>54490</v>
      </c>
      <c r="AA63">
        <v>53325</v>
      </c>
      <c r="AB63">
        <v>49142</v>
      </c>
      <c r="AC63">
        <v>49848</v>
      </c>
      <c r="AD63">
        <v>45888</v>
      </c>
      <c r="AE63">
        <v>41300</v>
      </c>
      <c r="AF63">
        <v>41300</v>
      </c>
      <c r="AG63">
        <v>41300</v>
      </c>
      <c r="AH63">
        <v>41300</v>
      </c>
      <c r="AI63">
        <v>41300</v>
      </c>
      <c r="AJ63">
        <v>41300</v>
      </c>
      <c r="AL63">
        <v>907</v>
      </c>
      <c r="AM63">
        <v>639</v>
      </c>
      <c r="AN63">
        <v>583</v>
      </c>
      <c r="AO63">
        <v>463</v>
      </c>
      <c r="AP63">
        <v>326</v>
      </c>
      <c r="AQ63">
        <v>280</v>
      </c>
      <c r="AR63">
        <v>282</v>
      </c>
      <c r="AS63">
        <v>266</v>
      </c>
      <c r="AT63">
        <v>262</v>
      </c>
      <c r="AU63">
        <v>230</v>
      </c>
      <c r="AV63">
        <v>193</v>
      </c>
      <c r="AW63">
        <v>229</v>
      </c>
      <c r="AX63">
        <v>238</v>
      </c>
      <c r="AY63">
        <v>215</v>
      </c>
      <c r="AZ63">
        <v>218</v>
      </c>
      <c r="BA63">
        <v>235</v>
      </c>
      <c r="BB63">
        <v>259</v>
      </c>
      <c r="BC63">
        <v>265</v>
      </c>
      <c r="BD63">
        <v>256</v>
      </c>
      <c r="BE63">
        <v>323</v>
      </c>
      <c r="BF63">
        <v>348</v>
      </c>
      <c r="BG63">
        <v>373</v>
      </c>
      <c r="BH63">
        <v>544</v>
      </c>
      <c r="BI63">
        <v>601</v>
      </c>
      <c r="BJ63">
        <v>741</v>
      </c>
      <c r="BK63">
        <v>773</v>
      </c>
      <c r="BL63">
        <v>761</v>
      </c>
      <c r="BM63">
        <v>750</v>
      </c>
      <c r="BN63">
        <v>896</v>
      </c>
      <c r="BO63">
        <v>1003</v>
      </c>
      <c r="BP63">
        <v>1200</v>
      </c>
      <c r="BQ63">
        <v>1241</v>
      </c>
      <c r="BR63">
        <v>2114</v>
      </c>
      <c r="BS63">
        <v>2019</v>
      </c>
      <c r="BT63">
        <v>2208</v>
      </c>
      <c r="BU63">
        <v>2513</v>
      </c>
      <c r="BV63">
        <v>5121</v>
      </c>
      <c r="BW63">
        <v>5175</v>
      </c>
      <c r="BX63">
        <v>5591</v>
      </c>
      <c r="BY63">
        <v>4355</v>
      </c>
      <c r="BZ63">
        <v>5061</v>
      </c>
      <c r="CA63">
        <v>5480</v>
      </c>
      <c r="CB63">
        <v>6002</v>
      </c>
      <c r="CC63">
        <v>6670</v>
      </c>
      <c r="CD63">
        <v>8281</v>
      </c>
      <c r="CE63">
        <v>9100</v>
      </c>
      <c r="CF63">
        <v>10556</v>
      </c>
      <c r="CG63">
        <v>11786</v>
      </c>
      <c r="CH63">
        <v>14020</v>
      </c>
      <c r="CI63">
        <v>16400</v>
      </c>
      <c r="CJ63">
        <v>18090</v>
      </c>
      <c r="CK63">
        <v>19312</v>
      </c>
      <c r="CL63">
        <v>21863</v>
      </c>
      <c r="CM63">
        <v>23745</v>
      </c>
      <c r="CN63">
        <v>23225</v>
      </c>
      <c r="CO63">
        <v>22833</v>
      </c>
      <c r="CP63">
        <v>24770</v>
      </c>
      <c r="CQ63">
        <v>25640</v>
      </c>
      <c r="CR63">
        <v>26345</v>
      </c>
      <c r="CS63">
        <v>27857</v>
      </c>
      <c r="CT63">
        <v>32451</v>
      </c>
      <c r="CU63">
        <v>33387</v>
      </c>
      <c r="CV63">
        <v>34770</v>
      </c>
      <c r="CW63">
        <v>37051</v>
      </c>
      <c r="CX63">
        <v>35721</v>
      </c>
      <c r="CY63">
        <v>37181</v>
      </c>
      <c r="CZ63">
        <v>38636</v>
      </c>
      <c r="DA63">
        <v>39004</v>
      </c>
      <c r="DB63">
        <v>41064</v>
      </c>
      <c r="DC63">
        <v>42577</v>
      </c>
      <c r="DD63">
        <v>41582</v>
      </c>
      <c r="DE63">
        <v>43251</v>
      </c>
      <c r="DF63">
        <v>46885</v>
      </c>
      <c r="DG63">
        <v>49942</v>
      </c>
      <c r="DH63">
        <v>48572</v>
      </c>
      <c r="DI63">
        <v>48914</v>
      </c>
      <c r="DJ63">
        <v>54555</v>
      </c>
      <c r="DK63">
        <v>52165</v>
      </c>
      <c r="DL63">
        <v>51143</v>
      </c>
      <c r="DM63">
        <v>50503</v>
      </c>
      <c r="DN63">
        <v>55848</v>
      </c>
      <c r="DO63">
        <v>56795</v>
      </c>
      <c r="DP63">
        <v>55696</v>
      </c>
      <c r="DQ63">
        <v>54490</v>
      </c>
      <c r="DR63">
        <v>56042</v>
      </c>
      <c r="DS63">
        <v>52953</v>
      </c>
      <c r="DT63">
        <v>52054</v>
      </c>
      <c r="DU63">
        <v>53325</v>
      </c>
      <c r="DV63">
        <v>55056</v>
      </c>
      <c r="DW63">
        <v>52432</v>
      </c>
      <c r="DX63">
        <v>53629</v>
      </c>
      <c r="DY63">
        <v>49142</v>
      </c>
      <c r="DZ63">
        <v>53107</v>
      </c>
      <c r="EA63">
        <v>52886</v>
      </c>
      <c r="EB63">
        <v>51730</v>
      </c>
      <c r="EC63">
        <v>49848</v>
      </c>
      <c r="ED63">
        <v>50353</v>
      </c>
      <c r="EE63">
        <v>47564</v>
      </c>
      <c r="EF63">
        <v>47084</v>
      </c>
      <c r="EG63">
        <v>45888</v>
      </c>
      <c r="EH63">
        <v>49006</v>
      </c>
      <c r="EI63">
        <v>41300</v>
      </c>
      <c r="EJ63">
        <v>41300</v>
      </c>
      <c r="EK63">
        <v>41300</v>
      </c>
      <c r="EL63">
        <v>41300</v>
      </c>
      <c r="EM63">
        <v>41300</v>
      </c>
      <c r="EN63">
        <v>41300</v>
      </c>
      <c r="EO63">
        <v>41300</v>
      </c>
      <c r="EP63">
        <v>41300</v>
      </c>
      <c r="EQ63">
        <v>41300</v>
      </c>
      <c r="ER63">
        <v>41300</v>
      </c>
      <c r="ES63">
        <v>41300</v>
      </c>
      <c r="ET63">
        <v>41300</v>
      </c>
      <c r="EU63">
        <v>41300</v>
      </c>
      <c r="EV63">
        <v>41300</v>
      </c>
      <c r="EW63">
        <v>41300</v>
      </c>
      <c r="EX63">
        <v>41300</v>
      </c>
      <c r="EY63">
        <v>41300</v>
      </c>
      <c r="EZ63">
        <v>41300</v>
      </c>
      <c r="FA63">
        <v>41300</v>
      </c>
      <c r="FB63">
        <v>41300</v>
      </c>
      <c r="FC63">
        <v>41300</v>
      </c>
      <c r="FD63">
        <v>41300</v>
      </c>
      <c r="FE63">
        <v>41300</v>
      </c>
    </row>
    <row r="64" spans="2:161">
      <c r="B64" t="s">
        <v>328</v>
      </c>
      <c r="C64" t="s">
        <v>329</v>
      </c>
      <c r="D64" t="str">
        <f t="shared" si="2"/>
      </c>
      <c r="F64">
        <v>763</v>
      </c>
      <c r="G64">
        <v>583</v>
      </c>
      <c r="H64">
        <v>545</v>
      </c>
      <c r="I64">
        <v>235</v>
      </c>
      <c r="J64">
        <v>323</v>
      </c>
      <c r="K64">
        <v>601</v>
      </c>
      <c r="L64">
        <v>750</v>
      </c>
      <c r="M64">
        <v>1241</v>
      </c>
      <c r="N64">
        <v>2513</v>
      </c>
      <c r="O64">
        <v>4355</v>
      </c>
      <c r="P64">
        <v>6670</v>
      </c>
      <c r="Q64">
        <v>11786</v>
      </c>
      <c r="R64">
        <v>19312</v>
      </c>
      <c r="S64">
        <v>39793</v>
      </c>
      <c r="T64">
        <v>56844</v>
      </c>
      <c r="U64">
        <v>90514</v>
      </c>
      <c r="V64">
        <v>114431</v>
      </c>
      <c r="W64">
        <v>140458</v>
      </c>
      <c r="X64">
        <v>142649</v>
      </c>
      <c r="Y64">
        <v>142310</v>
      </c>
      <c r="Z64">
        <v>153157</v>
      </c>
      <c r="AA64">
        <v>162431</v>
      </c>
      <c r="AB64">
        <v>148101</v>
      </c>
      <c r="AC64">
        <v>145129</v>
      </c>
      <c r="AD64">
        <v>131638</v>
      </c>
      <c r="AE64">
        <v>124366</v>
      </c>
      <c r="AF64">
        <v>124366</v>
      </c>
      <c r="AG64">
        <v>124366</v>
      </c>
      <c r="AH64">
        <v>124366</v>
      </c>
      <c r="AI64">
        <v>124366</v>
      </c>
      <c r="AJ64">
        <v>124366</v>
      </c>
      <c r="AL64">
        <v>1207</v>
      </c>
      <c r="AM64">
        <v>939</v>
      </c>
      <c r="AN64">
        <v>883</v>
      </c>
      <c r="AO64">
        <v>763</v>
      </c>
      <c r="AP64">
        <v>637</v>
      </c>
      <c r="AQ64">
        <v>597</v>
      </c>
      <c r="AR64">
        <v>599</v>
      </c>
      <c r="AS64">
        <v>583</v>
      </c>
      <c r="AT64">
        <v>577</v>
      </c>
      <c r="AU64">
        <v>541</v>
      </c>
      <c r="AV64">
        <v>509</v>
      </c>
      <c r="AW64">
        <v>545</v>
      </c>
      <c r="AX64">
        <v>558</v>
      </c>
      <c r="AY64">
        <v>215</v>
      </c>
      <c r="AZ64">
        <v>218</v>
      </c>
      <c r="BA64">
        <v>235</v>
      </c>
      <c r="BB64">
        <v>259</v>
      </c>
      <c r="BC64">
        <v>265</v>
      </c>
      <c r="BD64">
        <v>256</v>
      </c>
      <c r="BE64">
        <v>323</v>
      </c>
      <c r="BF64">
        <v>348</v>
      </c>
      <c r="BG64">
        <v>373</v>
      </c>
      <c r="BH64">
        <v>544</v>
      </c>
      <c r="BI64">
        <v>601</v>
      </c>
      <c r="BJ64">
        <v>741</v>
      </c>
      <c r="BK64">
        <v>773</v>
      </c>
      <c r="BL64">
        <v>761</v>
      </c>
      <c r="BM64">
        <v>750</v>
      </c>
      <c r="BN64">
        <v>896</v>
      </c>
      <c r="BO64">
        <v>1003</v>
      </c>
      <c r="BP64">
        <v>1200</v>
      </c>
      <c r="BQ64">
        <v>1241</v>
      </c>
      <c r="BR64">
        <v>2114</v>
      </c>
      <c r="BS64">
        <v>2019</v>
      </c>
      <c r="BT64">
        <v>2208</v>
      </c>
      <c r="BU64">
        <v>2513</v>
      </c>
      <c r="BV64">
        <v>5121</v>
      </c>
      <c r="BW64">
        <v>5175</v>
      </c>
      <c r="BX64">
        <v>5591</v>
      </c>
      <c r="BY64">
        <v>4355</v>
      </c>
      <c r="BZ64">
        <v>5061</v>
      </c>
      <c r="CA64">
        <v>5480</v>
      </c>
      <c r="CB64">
        <v>6002</v>
      </c>
      <c r="CC64">
        <v>6670</v>
      </c>
      <c r="CD64">
        <v>8281</v>
      </c>
      <c r="CE64">
        <v>9100</v>
      </c>
      <c r="CF64">
        <v>10556</v>
      </c>
      <c r="CG64">
        <v>11786</v>
      </c>
      <c r="CH64">
        <v>14020</v>
      </c>
      <c r="CI64">
        <v>16400</v>
      </c>
      <c r="CJ64">
        <v>18090</v>
      </c>
      <c r="CK64">
        <v>19312</v>
      </c>
      <c r="CL64">
        <v>21863</v>
      </c>
      <c r="CM64">
        <v>23745</v>
      </c>
      <c r="CN64">
        <v>40183</v>
      </c>
      <c r="CO64">
        <v>39793</v>
      </c>
      <c r="CP64">
        <v>41731</v>
      </c>
      <c r="CQ64">
        <v>42602</v>
      </c>
      <c r="CR64">
        <v>55375</v>
      </c>
      <c r="CS64">
        <v>56844</v>
      </c>
      <c r="CT64">
        <v>64955</v>
      </c>
      <c r="CU64">
        <v>73459</v>
      </c>
      <c r="CV64">
        <v>82189</v>
      </c>
      <c r="CW64">
        <v>90514</v>
      </c>
      <c r="CX64">
        <v>88925</v>
      </c>
      <c r="CY64">
        <v>106555</v>
      </c>
      <c r="CZ64">
        <v>107575</v>
      </c>
      <c r="DA64">
        <v>114431</v>
      </c>
      <c r="DB64">
        <v>114621</v>
      </c>
      <c r="DC64">
        <v>127108</v>
      </c>
      <c r="DD64">
        <v>131446</v>
      </c>
      <c r="DE64">
        <v>140458</v>
      </c>
      <c r="DF64">
        <v>150807</v>
      </c>
      <c r="DG64">
        <v>151304</v>
      </c>
      <c r="DH64">
        <v>145700</v>
      </c>
      <c r="DI64">
        <v>142649</v>
      </c>
      <c r="DJ64">
        <v>147544</v>
      </c>
      <c r="DK64">
        <v>142366</v>
      </c>
      <c r="DL64">
        <v>136079</v>
      </c>
      <c r="DM64">
        <v>142310</v>
      </c>
      <c r="DN64">
        <v>148926</v>
      </c>
      <c r="DO64">
        <v>145881</v>
      </c>
      <c r="DP64">
        <v>149744</v>
      </c>
      <c r="DQ64">
        <v>153157</v>
      </c>
      <c r="DR64">
        <v>155323</v>
      </c>
      <c r="DS64">
        <v>161595</v>
      </c>
      <c r="DT64">
        <v>157806</v>
      </c>
      <c r="DU64">
        <v>162431</v>
      </c>
      <c r="DV64">
        <v>161685</v>
      </c>
      <c r="DW64">
        <v>155755</v>
      </c>
      <c r="DX64">
        <v>148329</v>
      </c>
      <c r="DY64">
        <v>148101</v>
      </c>
      <c r="DZ64">
        <v>152734</v>
      </c>
      <c r="EA64">
        <v>149927</v>
      </c>
      <c r="EB64">
        <v>149801</v>
      </c>
      <c r="EC64">
        <v>145129</v>
      </c>
      <c r="ED64">
        <v>145441</v>
      </c>
      <c r="EE64">
        <v>139395</v>
      </c>
      <c r="EF64">
        <v>133280</v>
      </c>
      <c r="EG64">
        <v>131638</v>
      </c>
      <c r="EH64">
        <v>132962</v>
      </c>
      <c r="EI64">
        <v>119866</v>
      </c>
      <c r="EJ64">
        <v>124366</v>
      </c>
      <c r="EK64">
        <v>124366</v>
      </c>
      <c r="EL64">
        <v>124366</v>
      </c>
      <c r="EM64">
        <v>124366</v>
      </c>
      <c r="EN64">
        <v>124366</v>
      </c>
      <c r="EO64">
        <v>124366</v>
      </c>
      <c r="EP64">
        <v>124366</v>
      </c>
      <c r="EQ64">
        <v>124366</v>
      </c>
      <c r="ER64">
        <v>124366</v>
      </c>
      <c r="ES64">
        <v>124366</v>
      </c>
      <c r="ET64">
        <v>124366</v>
      </c>
      <c r="EU64">
        <v>124366</v>
      </c>
      <c r="EV64">
        <v>124366</v>
      </c>
      <c r="EW64">
        <v>124366</v>
      </c>
      <c r="EX64">
        <v>124366</v>
      </c>
      <c r="EY64">
        <v>124366</v>
      </c>
      <c r="EZ64">
        <v>124366</v>
      </c>
      <c r="FA64">
        <v>124366</v>
      </c>
      <c r="FB64">
        <v>124366</v>
      </c>
      <c r="FC64">
        <v>124366</v>
      </c>
      <c r="FD64">
        <v>124366</v>
      </c>
      <c r="FE64">
        <v>124366</v>
      </c>
    </row>
    <row r="65" spans="1:161">
      <c r="B65" t="s">
        <v>330</v>
      </c>
      <c r="C65" t="s">
        <v>331</v>
      </c>
      <c r="D65" t="str">
        <f t="shared" si="2"/>
      </c>
      <c r="F65">
        <v>2696</v>
      </c>
      <c r="G65">
        <v>2101</v>
      </c>
      <c r="H65">
        <v>2203</v>
      </c>
      <c r="I65">
        <v>2592</v>
      </c>
      <c r="J65">
        <v>2974</v>
      </c>
      <c r="K65">
        <v>4085</v>
      </c>
      <c r="L65">
        <v>7221</v>
      </c>
      <c r="M65">
        <v>10347</v>
      </c>
      <c r="N65">
        <v>13874</v>
      </c>
      <c r="O65">
        <v>15861</v>
      </c>
      <c r="P65">
        <v>27392</v>
      </c>
      <c r="Q65">
        <v>39756</v>
      </c>
      <c r="R65">
        <v>57854</v>
      </c>
      <c r="S65">
        <v>83451</v>
      </c>
      <c r="T65">
        <v>120292</v>
      </c>
      <c r="U65">
        <v>171124</v>
      </c>
      <c r="V65">
        <v>193437</v>
      </c>
      <c r="W65">
        <v>241272</v>
      </c>
      <c r="X65">
        <v>258578</v>
      </c>
      <c r="Y65">
        <v>248028</v>
      </c>
      <c r="Z65">
        <v>258549</v>
      </c>
      <c r="AA65">
        <v>287912</v>
      </c>
      <c r="AB65">
        <v>302083</v>
      </c>
      <c r="AC65">
        <v>290437</v>
      </c>
      <c r="AD65">
        <v>308030</v>
      </c>
      <c r="AE65">
        <v>304890.277132063</v>
      </c>
      <c r="AF65">
        <v>323408.70456791599</v>
      </c>
      <c r="AG65">
        <v>330486.82626377098</v>
      </c>
      <c r="AH65">
        <v>338535.70084299601</v>
      </c>
      <c r="AI65">
        <v>351956.83998837299</v>
      </c>
      <c r="AJ65">
        <v>364840.930252077</v>
      </c>
      <c r="AL65">
        <v>3172</v>
      </c>
      <c r="AM65">
        <v>2792</v>
      </c>
      <c r="AN65">
        <v>2756</v>
      </c>
      <c r="AO65">
        <v>2696</v>
      </c>
      <c r="AP65">
        <v>2274</v>
      </c>
      <c r="AQ65">
        <v>2392</v>
      </c>
      <c r="AR65">
        <v>2213</v>
      </c>
      <c r="AS65">
        <v>2101</v>
      </c>
      <c r="AT65">
        <v>2156</v>
      </c>
      <c r="AU65">
        <v>2250</v>
      </c>
      <c r="AV65">
        <v>2227</v>
      </c>
      <c r="AW65">
        <v>2203</v>
      </c>
      <c r="AX65">
        <v>2153</v>
      </c>
      <c r="AY65">
        <v>2222</v>
      </c>
      <c r="AZ65">
        <v>2243</v>
      </c>
      <c r="BA65">
        <v>2592</v>
      </c>
      <c r="BB65">
        <v>2641</v>
      </c>
      <c r="BC65">
        <v>2245</v>
      </c>
      <c r="BD65">
        <v>2411</v>
      </c>
      <c r="BE65">
        <v>2974</v>
      </c>
      <c r="BF65">
        <v>3572</v>
      </c>
      <c r="BG65">
        <v>3725</v>
      </c>
      <c r="BH65">
        <v>3667</v>
      </c>
      <c r="BI65">
        <v>4085</v>
      </c>
      <c r="BJ65">
        <v>5801</v>
      </c>
      <c r="BK65">
        <v>5229</v>
      </c>
      <c r="BL65">
        <v>5784</v>
      </c>
      <c r="BM65">
        <v>7221</v>
      </c>
      <c r="BN65">
        <v>8220</v>
      </c>
      <c r="BO65">
        <v>6414</v>
      </c>
      <c r="BP65">
        <v>8066</v>
      </c>
      <c r="BQ65">
        <v>10347</v>
      </c>
      <c r="BR65">
        <v>12044</v>
      </c>
      <c r="BS65">
        <v>10782</v>
      </c>
      <c r="BT65">
        <v>10328</v>
      </c>
      <c r="BU65">
        <v>13874</v>
      </c>
      <c r="BV65">
        <v>19878</v>
      </c>
      <c r="BW65">
        <v>18926</v>
      </c>
      <c r="BX65">
        <v>22252</v>
      </c>
      <c r="BY65">
        <v>15861</v>
      </c>
      <c r="BZ65">
        <v>18158</v>
      </c>
      <c r="CA65">
        <v>17709</v>
      </c>
      <c r="CB65">
        <v>21614</v>
      </c>
      <c r="CC65">
        <v>27392</v>
      </c>
      <c r="CD65">
        <v>32076</v>
      </c>
      <c r="CE65">
        <v>33427</v>
      </c>
      <c r="CF65">
        <v>37415</v>
      </c>
      <c r="CG65">
        <v>39756</v>
      </c>
      <c r="CH65">
        <v>48627</v>
      </c>
      <c r="CI65">
        <v>48436</v>
      </c>
      <c r="CJ65">
        <v>51150</v>
      </c>
      <c r="CK65">
        <v>57854</v>
      </c>
      <c r="CL65">
        <v>68742</v>
      </c>
      <c r="CM65">
        <v>59253</v>
      </c>
      <c r="CN65">
        <v>76502</v>
      </c>
      <c r="CO65">
        <v>83451</v>
      </c>
      <c r="CP65">
        <v>95500</v>
      </c>
      <c r="CQ65">
        <v>85810</v>
      </c>
      <c r="CR65">
        <v>101580</v>
      </c>
      <c r="CS65">
        <v>120292</v>
      </c>
      <c r="CT65">
        <v>138566</v>
      </c>
      <c r="CU65">
        <v>132188</v>
      </c>
      <c r="CV65">
        <v>147474</v>
      </c>
      <c r="CW65">
        <v>171124</v>
      </c>
      <c r="CX65">
        <v>165017</v>
      </c>
      <c r="CY65">
        <v>174820</v>
      </c>
      <c r="CZ65">
        <v>179061</v>
      </c>
      <c r="DA65">
        <v>193437</v>
      </c>
      <c r="DB65">
        <v>198751</v>
      </c>
      <c r="DC65">
        <v>200450</v>
      </c>
      <c r="DD65">
        <v>212748</v>
      </c>
      <c r="DE65">
        <v>241272</v>
      </c>
      <c r="DF65">
        <v>266595</v>
      </c>
      <c r="DG65">
        <v>240624</v>
      </c>
      <c r="DH65">
        <v>234248</v>
      </c>
      <c r="DI65">
        <v>258578</v>
      </c>
      <c r="DJ65">
        <v>255827</v>
      </c>
      <c r="DK65">
        <v>236138</v>
      </c>
      <c r="DL65">
        <v>225783</v>
      </c>
      <c r="DM65">
        <v>248028</v>
      </c>
      <c r="DN65">
        <v>251087</v>
      </c>
      <c r="DO65">
        <v>241975</v>
      </c>
      <c r="DP65">
        <v>245062</v>
      </c>
      <c r="DQ65">
        <v>258549</v>
      </c>
      <c r="DR65">
        <v>287830</v>
      </c>
      <c r="DS65">
        <v>267980</v>
      </c>
      <c r="DT65">
        <v>265560</v>
      </c>
      <c r="DU65">
        <v>287912</v>
      </c>
      <c r="DV65">
        <v>309259</v>
      </c>
      <c r="DW65">
        <v>283263</v>
      </c>
      <c r="DX65">
        <v>278202</v>
      </c>
      <c r="DY65">
        <v>302083</v>
      </c>
      <c r="DZ65">
        <v>290020</v>
      </c>
      <c r="EA65">
        <v>270002</v>
      </c>
      <c r="EB65">
        <v>274764</v>
      </c>
      <c r="EC65">
        <v>290437</v>
      </c>
      <c r="ED65">
        <v>279414</v>
      </c>
      <c r="EE65">
        <v>263217</v>
      </c>
      <c r="EF65">
        <v>264904</v>
      </c>
      <c r="EG65">
        <v>308030</v>
      </c>
      <c r="EH65">
        <v>277327</v>
      </c>
      <c r="EI65">
        <v>264437</v>
      </c>
      <c r="EJ65">
        <v>264889.26081628702</v>
      </c>
      <c r="EK65">
        <v>304890.277132063</v>
      </c>
      <c r="EL65">
        <v>282130.08889057097</v>
      </c>
      <c r="EM65">
        <v>272852.87664272898</v>
      </c>
      <c r="EN65">
        <v>268918.61450586299</v>
      </c>
      <c r="EO65">
        <v>323408.70456791599</v>
      </c>
      <c r="EP65">
        <v>297998.68263597903</v>
      </c>
      <c r="EQ65">
        <v>284015.22659812</v>
      </c>
      <c r="ER65">
        <v>278199.410976646</v>
      </c>
      <c r="ES65">
        <v>330486.82626377098</v>
      </c>
      <c r="ET65">
        <v>302228.14234826301</v>
      </c>
      <c r="EU65">
        <v>294223.21983272099</v>
      </c>
      <c r="EV65">
        <v>286478.31754878198</v>
      </c>
      <c r="EW65">
        <v>338535.70084299601</v>
      </c>
      <c r="EX65">
        <v>310601.928273055</v>
      </c>
      <c r="EY65">
        <v>297714.73461068998</v>
      </c>
      <c r="EZ65">
        <v>293116.45736981701</v>
      </c>
      <c r="FA65">
        <v>351956.83998837299</v>
      </c>
      <c r="FB65">
        <v>317750.495162851</v>
      </c>
      <c r="FC65">
        <v>305079.91672102298</v>
      </c>
      <c r="FD65">
        <v>300531.38353819499</v>
      </c>
      <c r="FE65">
        <v>364840.930252077</v>
      </c>
    </row>
    <row r="66" spans="1:161">
      <c r="B66" t="s">
        <v>332</v>
      </c>
      <c r="C66" t="s">
        <v>333</v>
      </c>
      <c r="D66" t="str">
        <f t="shared" si="2"/>
      </c>
    </row>
    <row r="67" spans="1:161">
      <c r="B67" t="s">
        <v>334</v>
      </c>
      <c r="C67" t="s">
        <v>335</v>
      </c>
      <c r="D67" t="str">
        <f t="shared" si="2"/>
      </c>
      <c r="F67">
        <v>4107</v>
      </c>
      <c r="G67">
        <v>3920</v>
      </c>
      <c r="H67">
        <v>4095</v>
      </c>
      <c r="I67">
        <v>4223</v>
      </c>
      <c r="J67">
        <v>5076</v>
      </c>
      <c r="K67">
        <v>7466</v>
      </c>
      <c r="L67">
        <v>9984</v>
      </c>
      <c r="M67">
        <v>14531</v>
      </c>
      <c r="N67">
        <v>22297</v>
      </c>
      <c r="O67">
        <v>31640</v>
      </c>
      <c r="P67">
        <v>47791</v>
      </c>
      <c r="Q67">
        <v>76615</v>
      </c>
      <c r="R67">
        <v>118210</v>
      </c>
      <c r="S67">
        <v>123549</v>
      </c>
      <c r="T67">
        <v>111547</v>
      </c>
      <c r="U67">
        <v>119355</v>
      </c>
      <c r="V67">
        <v>128249</v>
      </c>
      <c r="W67">
        <v>134047</v>
      </c>
      <c r="X67">
        <v>107147</v>
      </c>
      <c r="Y67">
        <v>90488</v>
      </c>
      <c r="Z67">
        <v>65339</v>
      </c>
      <c r="AA67">
        <v>63090</v>
      </c>
      <c r="AB67">
        <v>50672</v>
      </c>
      <c r="AC67">
        <v>62146</v>
      </c>
      <c r="AD67">
        <v>56950</v>
      </c>
      <c r="AE67">
        <v>58811.443598317303</v>
      </c>
      <c r="AF67">
        <v>48499.9576329142</v>
      </c>
      <c r="AG67">
        <v>36362.671277321402</v>
      </c>
      <c r="AH67">
        <v>24085.0723979469</v>
      </c>
      <c r="AI67">
        <v>12133.267564928199</v>
      </c>
      <c r="AJ67">
        <v>1295.7887962309801</v>
      </c>
      <c r="AL67">
        <v>4414</v>
      </c>
      <c r="AM67">
        <v>4215</v>
      </c>
      <c r="AN67">
        <v>4176</v>
      </c>
      <c r="AO67">
        <v>4107</v>
      </c>
      <c r="AP67">
        <v>3712</v>
      </c>
      <c r="AQ67">
        <v>3738</v>
      </c>
      <c r="AR67">
        <v>3858</v>
      </c>
      <c r="AS67">
        <v>3920</v>
      </c>
      <c r="AT67">
        <v>3966</v>
      </c>
      <c r="AU67">
        <v>4014</v>
      </c>
      <c r="AV67">
        <v>4066</v>
      </c>
      <c r="AW67">
        <v>4095</v>
      </c>
      <c r="AX67">
        <v>4116</v>
      </c>
      <c r="AY67">
        <v>4139</v>
      </c>
      <c r="AZ67">
        <v>4198</v>
      </c>
      <c r="BA67">
        <v>4223</v>
      </c>
      <c r="BB67">
        <v>4330</v>
      </c>
      <c r="BC67">
        <v>4490</v>
      </c>
      <c r="BD67">
        <v>4812</v>
      </c>
      <c r="BE67">
        <v>5076</v>
      </c>
      <c r="BF67">
        <v>5790</v>
      </c>
      <c r="BG67">
        <v>6386</v>
      </c>
      <c r="BH67">
        <v>6821</v>
      </c>
      <c r="BI67">
        <v>7466</v>
      </c>
      <c r="BJ67">
        <v>8380</v>
      </c>
      <c r="BK67">
        <v>8682</v>
      </c>
      <c r="BL67">
        <v>9330</v>
      </c>
      <c r="BM67">
        <v>9984</v>
      </c>
      <c r="BN67">
        <v>11235</v>
      </c>
      <c r="BO67">
        <v>12272</v>
      </c>
      <c r="BP67">
        <v>13437</v>
      </c>
      <c r="BQ67">
        <v>14531</v>
      </c>
      <c r="BR67">
        <v>16862</v>
      </c>
      <c r="BS67">
        <v>18167</v>
      </c>
      <c r="BT67">
        <v>19795</v>
      </c>
      <c r="BU67">
        <v>22297</v>
      </c>
      <c r="BV67">
        <v>22909</v>
      </c>
      <c r="BW67">
        <v>24311</v>
      </c>
      <c r="BX67">
        <v>25888</v>
      </c>
      <c r="BY67">
        <v>31640</v>
      </c>
      <c r="BZ67">
        <v>35768</v>
      </c>
      <c r="CA67">
        <v>39348</v>
      </c>
      <c r="CB67">
        <v>43111</v>
      </c>
      <c r="CC67">
        <v>47791</v>
      </c>
      <c r="CD67">
        <v>54666</v>
      </c>
      <c r="CE67">
        <v>61477</v>
      </c>
      <c r="CF67">
        <v>69343</v>
      </c>
      <c r="CG67">
        <v>76615</v>
      </c>
      <c r="CH67">
        <v>90054</v>
      </c>
      <c r="CI67">
        <v>102498</v>
      </c>
      <c r="CJ67">
        <v>111746</v>
      </c>
      <c r="CK67">
        <v>118210</v>
      </c>
      <c r="CL67">
        <v>127346</v>
      </c>
      <c r="CM67">
        <v>135490</v>
      </c>
      <c r="CN67">
        <v>123354</v>
      </c>
      <c r="CO67">
        <v>123549</v>
      </c>
      <c r="CP67">
        <v>129684</v>
      </c>
      <c r="CQ67">
        <v>120179</v>
      </c>
      <c r="CR67">
        <v>120940</v>
      </c>
      <c r="CS67">
        <v>111547</v>
      </c>
      <c r="CT67">
        <v>123328</v>
      </c>
      <c r="CU67">
        <v>129006</v>
      </c>
      <c r="CV67">
        <v>125677</v>
      </c>
      <c r="CW67">
        <v>119355</v>
      </c>
      <c r="CX67">
        <v>128267</v>
      </c>
      <c r="CY67">
        <v>130457</v>
      </c>
      <c r="CZ67">
        <v>126541</v>
      </c>
      <c r="DA67">
        <v>128249</v>
      </c>
      <c r="DB67">
        <v>132390</v>
      </c>
      <c r="DC67">
        <v>134082</v>
      </c>
      <c r="DD67">
        <v>132425</v>
      </c>
      <c r="DE67">
        <v>134047</v>
      </c>
      <c r="DF67">
        <v>140199</v>
      </c>
      <c r="DG67">
        <v>126878</v>
      </c>
      <c r="DH67">
        <v>114949</v>
      </c>
      <c r="DI67">
        <v>107147</v>
      </c>
      <c r="DJ67">
        <v>117892</v>
      </c>
      <c r="DK67">
        <v>105860</v>
      </c>
      <c r="DL67">
        <v>96456</v>
      </c>
      <c r="DM67">
        <v>90488</v>
      </c>
      <c r="DN67">
        <v>89531</v>
      </c>
      <c r="DO67">
        <v>78425</v>
      </c>
      <c r="DP67">
        <v>72282</v>
      </c>
      <c r="DQ67">
        <v>65339</v>
      </c>
      <c r="DR67">
        <v>66224</v>
      </c>
      <c r="DS67">
        <v>69178</v>
      </c>
      <c r="DT67">
        <v>64280</v>
      </c>
      <c r="DU67">
        <v>63090</v>
      </c>
      <c r="DV67">
        <v>71932</v>
      </c>
      <c r="DW67">
        <v>67399</v>
      </c>
      <c r="DX67">
        <v>58107</v>
      </c>
      <c r="DY67">
        <v>50672</v>
      </c>
      <c r="DZ67">
        <v>56727</v>
      </c>
      <c r="EA67">
        <v>62158</v>
      </c>
      <c r="EB67">
        <v>60274</v>
      </c>
      <c r="EC67">
        <v>62146</v>
      </c>
      <c r="ED67">
        <v>74100</v>
      </c>
      <c r="EE67">
        <v>74194</v>
      </c>
      <c r="EF67">
        <v>66708</v>
      </c>
      <c r="EG67">
        <v>56950</v>
      </c>
      <c r="EH67">
        <v>66758</v>
      </c>
      <c r="EI67">
        <v>66796</v>
      </c>
      <c r="EJ67">
        <v>59734.7393890862</v>
      </c>
      <c r="EK67">
        <v>58811.443598317303</v>
      </c>
      <c r="EL67">
        <v>64312.209537002498</v>
      </c>
      <c r="EM67">
        <v>59178.012513784299</v>
      </c>
      <c r="EN67">
        <v>49621.344705603398</v>
      </c>
      <c r="EO67">
        <v>48499.9576329142</v>
      </c>
      <c r="EP67">
        <v>56227.684405254797</v>
      </c>
      <c r="EQ67">
        <v>50276.3192524306</v>
      </c>
      <c r="ER67">
        <v>39390.866957701401</v>
      </c>
      <c r="ES67">
        <v>36362.671277321402</v>
      </c>
      <c r="ET67">
        <v>43671.373447193801</v>
      </c>
      <c r="EU67">
        <v>38224.805187051003</v>
      </c>
      <c r="EV67">
        <v>27336.873556178401</v>
      </c>
      <c r="EW67">
        <v>24085.0723979469</v>
      </c>
      <c r="EX67">
        <v>32218.388810176399</v>
      </c>
      <c r="EY67">
        <v>25878.716114131799</v>
      </c>
      <c r="EZ67">
        <v>14665.1609276454</v>
      </c>
      <c r="FA67">
        <v>12133.267564928199</v>
      </c>
      <c r="FB67">
        <v>20807.060557877699</v>
      </c>
      <c r="FC67">
        <v>14457.6059339531</v>
      </c>
      <c r="FD67">
        <v>3141.94975116762</v>
      </c>
      <c r="FE67">
        <v>1295.7887962309801</v>
      </c>
    </row>
    <row r="68" spans="1:161">
      <c r="B68" t="s">
        <v>336</v>
      </c>
      <c r="C68" t="s">
        <v>337</v>
      </c>
      <c r="D68" t="str">
        <f t="shared" si="2"/>
      </c>
    </row>
    <row r="69" spans="1:161">
      <c r="B69" t="s">
        <v>338</v>
      </c>
      <c r="C69" t="s">
        <v>339</v>
      </c>
      <c r="D69" t="str">
        <f t="shared" si="2"/>
      </c>
      <c r="F69">
        <v>4107</v>
      </c>
      <c r="G69">
        <v>3920</v>
      </c>
      <c r="H69">
        <v>4095</v>
      </c>
      <c r="I69">
        <v>4223</v>
      </c>
      <c r="J69">
        <v>5076</v>
      </c>
      <c r="K69">
        <v>7466</v>
      </c>
      <c r="L69">
        <v>9984</v>
      </c>
      <c r="M69">
        <v>14531</v>
      </c>
      <c r="N69">
        <v>22297</v>
      </c>
      <c r="O69">
        <v>31640</v>
      </c>
      <c r="P69">
        <v>47791</v>
      </c>
      <c r="Q69">
        <v>76615</v>
      </c>
      <c r="R69">
        <v>118210</v>
      </c>
      <c r="S69">
        <v>123549</v>
      </c>
      <c r="T69">
        <v>111547</v>
      </c>
      <c r="U69">
        <v>119355</v>
      </c>
      <c r="V69">
        <v>128249</v>
      </c>
      <c r="W69">
        <v>134047</v>
      </c>
      <c r="X69">
        <v>107147</v>
      </c>
      <c r="Y69">
        <v>90488</v>
      </c>
      <c r="Z69">
        <v>65339</v>
      </c>
      <c r="AA69">
        <v>63090</v>
      </c>
      <c r="AB69">
        <v>50672</v>
      </c>
      <c r="AC69">
        <v>62146</v>
      </c>
      <c r="AD69">
        <v>56950</v>
      </c>
      <c r="AE69">
        <v>58811.443598317303</v>
      </c>
      <c r="AF69">
        <v>48499.9576329142</v>
      </c>
      <c r="AG69">
        <v>36362.671277321402</v>
      </c>
      <c r="AH69">
        <v>24085.0723979469</v>
      </c>
      <c r="AI69">
        <v>12133.267564928199</v>
      </c>
      <c r="AJ69">
        <v>1295.7887962309801</v>
      </c>
      <c r="AL69">
        <v>4414</v>
      </c>
      <c r="AM69">
        <v>4215</v>
      </c>
      <c r="AN69">
        <v>4176</v>
      </c>
      <c r="AO69">
        <v>4107</v>
      </c>
      <c r="AP69">
        <v>3712</v>
      </c>
      <c r="AQ69">
        <v>3738</v>
      </c>
      <c r="AR69">
        <v>3858</v>
      </c>
      <c r="AS69">
        <v>3920</v>
      </c>
      <c r="AT69">
        <v>3966</v>
      </c>
      <c r="AU69">
        <v>4014</v>
      </c>
      <c r="AV69">
        <v>4066</v>
      </c>
      <c r="AW69">
        <v>4095</v>
      </c>
      <c r="AX69">
        <v>4116</v>
      </c>
      <c r="AY69">
        <v>4139</v>
      </c>
      <c r="AZ69">
        <v>4198</v>
      </c>
      <c r="BA69">
        <v>4223</v>
      </c>
      <c r="BB69">
        <v>4330</v>
      </c>
      <c r="BC69">
        <v>4490</v>
      </c>
      <c r="BD69">
        <v>4812</v>
      </c>
      <c r="BE69">
        <v>5076</v>
      </c>
      <c r="BF69">
        <v>5790</v>
      </c>
      <c r="BG69">
        <v>6386</v>
      </c>
      <c r="BH69">
        <v>6821</v>
      </c>
      <c r="BI69">
        <v>7466</v>
      </c>
      <c r="BJ69">
        <v>8380</v>
      </c>
      <c r="BK69">
        <v>8682</v>
      </c>
      <c r="BL69">
        <v>9330</v>
      </c>
      <c r="BM69">
        <v>9984</v>
      </c>
      <c r="BN69">
        <v>11235</v>
      </c>
      <c r="BO69">
        <v>12272</v>
      </c>
      <c r="BP69">
        <v>13437</v>
      </c>
      <c r="BQ69">
        <v>14531</v>
      </c>
      <c r="BR69">
        <v>16862</v>
      </c>
      <c r="BS69">
        <v>18167</v>
      </c>
      <c r="BT69">
        <v>19795</v>
      </c>
      <c r="BU69">
        <v>22297</v>
      </c>
      <c r="BV69">
        <v>22909</v>
      </c>
      <c r="BW69">
        <v>24311</v>
      </c>
      <c r="BX69">
        <v>25888</v>
      </c>
      <c r="BY69">
        <v>31640</v>
      </c>
      <c r="BZ69">
        <v>35768</v>
      </c>
      <c r="CA69">
        <v>39348</v>
      </c>
      <c r="CB69">
        <v>43111</v>
      </c>
      <c r="CC69">
        <v>47791</v>
      </c>
      <c r="CD69">
        <v>54666</v>
      </c>
      <c r="CE69">
        <v>61477</v>
      </c>
      <c r="CF69">
        <v>69343</v>
      </c>
      <c r="CG69">
        <v>76615</v>
      </c>
      <c r="CH69">
        <v>90054</v>
      </c>
      <c r="CI69">
        <v>102498</v>
      </c>
      <c r="CJ69">
        <v>111746</v>
      </c>
      <c r="CK69">
        <v>118210</v>
      </c>
      <c r="CL69">
        <v>127346</v>
      </c>
      <c r="CM69">
        <v>135490</v>
      </c>
      <c r="CN69">
        <v>123354</v>
      </c>
      <c r="CO69">
        <v>123549</v>
      </c>
      <c r="CP69">
        <v>129684</v>
      </c>
      <c r="CQ69">
        <v>120179</v>
      </c>
      <c r="CR69">
        <v>120940</v>
      </c>
      <c r="CS69">
        <v>111547</v>
      </c>
      <c r="CT69">
        <v>123328</v>
      </c>
      <c r="CU69">
        <v>129006</v>
      </c>
      <c r="CV69">
        <v>125677</v>
      </c>
      <c r="CW69">
        <v>119355</v>
      </c>
      <c r="CX69">
        <v>128267</v>
      </c>
      <c r="CY69">
        <v>130457</v>
      </c>
      <c r="CZ69">
        <v>126541</v>
      </c>
      <c r="DA69">
        <v>128249</v>
      </c>
      <c r="DB69">
        <v>132390</v>
      </c>
      <c r="DC69">
        <v>134082</v>
      </c>
      <c r="DD69">
        <v>132425</v>
      </c>
      <c r="DE69">
        <v>134047</v>
      </c>
      <c r="DF69">
        <v>140199</v>
      </c>
      <c r="DG69">
        <v>126878</v>
      </c>
      <c r="DH69">
        <v>114949</v>
      </c>
      <c r="DI69">
        <v>107147</v>
      </c>
      <c r="DJ69">
        <v>117892</v>
      </c>
      <c r="DK69">
        <v>105860</v>
      </c>
      <c r="DL69">
        <v>96456</v>
      </c>
      <c r="DM69">
        <v>90488</v>
      </c>
      <c r="DN69">
        <v>89531</v>
      </c>
      <c r="DO69">
        <v>78425</v>
      </c>
      <c r="DP69">
        <v>72282</v>
      </c>
      <c r="DQ69">
        <v>65339</v>
      </c>
      <c r="DR69">
        <v>66224</v>
      </c>
      <c r="DS69">
        <v>69178</v>
      </c>
      <c r="DT69">
        <v>64280</v>
      </c>
      <c r="DU69">
        <v>63090</v>
      </c>
      <c r="DV69">
        <v>71932</v>
      </c>
      <c r="DW69">
        <v>67399</v>
      </c>
      <c r="DX69">
        <v>58107</v>
      </c>
      <c r="DY69">
        <v>50672</v>
      </c>
      <c r="DZ69">
        <v>56727</v>
      </c>
      <c r="EA69">
        <v>62158</v>
      </c>
      <c r="EB69">
        <v>60274</v>
      </c>
      <c r="EC69">
        <v>62146</v>
      </c>
      <c r="ED69">
        <v>74100</v>
      </c>
      <c r="EE69">
        <v>74194</v>
      </c>
      <c r="EF69">
        <v>66708</v>
      </c>
      <c r="EG69">
        <v>56950</v>
      </c>
      <c r="EH69">
        <v>66758</v>
      </c>
      <c r="EI69">
        <v>66796</v>
      </c>
      <c r="EJ69">
        <v>59734.7393890862</v>
      </c>
      <c r="EK69">
        <v>58811.443598317303</v>
      </c>
      <c r="EL69">
        <v>64312.209537002498</v>
      </c>
      <c r="EM69">
        <v>59178.012513784299</v>
      </c>
      <c r="EN69">
        <v>49621.344705603398</v>
      </c>
      <c r="EO69">
        <v>48499.9576329142</v>
      </c>
      <c r="EP69">
        <v>56227.684405254797</v>
      </c>
      <c r="EQ69">
        <v>50276.3192524306</v>
      </c>
      <c r="ER69">
        <v>39390.866957701401</v>
      </c>
      <c r="ES69">
        <v>36362.671277321402</v>
      </c>
      <c r="ET69">
        <v>43671.373447193801</v>
      </c>
      <c r="EU69">
        <v>38224.805187051003</v>
      </c>
      <c r="EV69">
        <v>27336.873556178401</v>
      </c>
      <c r="EW69">
        <v>24085.0723979469</v>
      </c>
      <c r="EX69">
        <v>32218.388810176399</v>
      </c>
      <c r="EY69">
        <v>25878.716114131799</v>
      </c>
      <c r="EZ69">
        <v>14665.1609276454</v>
      </c>
      <c r="FA69">
        <v>12133.267564928199</v>
      </c>
      <c r="FB69">
        <v>20807.060557877699</v>
      </c>
      <c r="FC69">
        <v>14457.6059339531</v>
      </c>
      <c r="FD69">
        <v>3141.94975116762</v>
      </c>
      <c r="FE69">
        <v>1295.7887962309801</v>
      </c>
    </row>
    <row r="70" spans="1:161">
      <c r="B70" t="s">
        <v>340</v>
      </c>
      <c r="C70" t="s">
        <v>341</v>
      </c>
      <c r="D70" t="str">
        <f t="shared" si="2"/>
      </c>
      <c r="F70">
        <v>6803</v>
      </c>
      <c r="G70">
        <v>6021</v>
      </c>
      <c r="H70">
        <v>6298</v>
      </c>
      <c r="I70">
        <v>6815</v>
      </c>
      <c r="J70">
        <v>8050</v>
      </c>
      <c r="K70">
        <v>11551</v>
      </c>
      <c r="L70">
        <v>17205</v>
      </c>
      <c r="M70">
        <v>24878</v>
      </c>
      <c r="N70">
        <v>36171</v>
      </c>
      <c r="O70">
        <v>47501</v>
      </c>
      <c r="P70">
        <v>75183</v>
      </c>
      <c r="Q70">
        <v>116371</v>
      </c>
      <c r="R70">
        <v>176064</v>
      </c>
      <c r="S70">
        <v>207000</v>
      </c>
      <c r="T70">
        <v>231839</v>
      </c>
      <c r="U70">
        <v>290479</v>
      </c>
      <c r="V70">
        <v>321686</v>
      </c>
      <c r="W70">
        <v>375319</v>
      </c>
      <c r="X70">
        <v>365725</v>
      </c>
      <c r="Y70">
        <v>338516</v>
      </c>
      <c r="Z70">
        <v>323888</v>
      </c>
      <c r="AA70">
        <v>351002</v>
      </c>
      <c r="AB70">
        <v>352755</v>
      </c>
      <c r="AC70">
        <v>352583</v>
      </c>
      <c r="AD70">
        <v>364980</v>
      </c>
      <c r="AE70">
        <v>363701.72073037998</v>
      </c>
      <c r="AF70">
        <v>371908.66220083099</v>
      </c>
      <c r="AG70">
        <v>366849.49754109298</v>
      </c>
      <c r="AH70">
        <v>362620.77324094297</v>
      </c>
      <c r="AI70">
        <v>364090.10755330202</v>
      </c>
      <c r="AJ70">
        <v>366136.71904830798</v>
      </c>
      <c r="AL70">
        <v>7586</v>
      </c>
      <c r="AM70">
        <v>7007</v>
      </c>
      <c r="AN70">
        <v>6932</v>
      </c>
      <c r="AO70">
        <v>6803</v>
      </c>
      <c r="AP70">
        <v>5986</v>
      </c>
      <c r="AQ70">
        <v>6130</v>
      </c>
      <c r="AR70">
        <v>6071</v>
      </c>
      <c r="AS70">
        <v>6021</v>
      </c>
      <c r="AT70">
        <v>6122</v>
      </c>
      <c r="AU70">
        <v>6264</v>
      </c>
      <c r="AV70">
        <v>6293</v>
      </c>
      <c r="AW70">
        <v>6298</v>
      </c>
      <c r="AX70">
        <v>6269</v>
      </c>
      <c r="AY70">
        <v>6361</v>
      </c>
      <c r="AZ70">
        <v>6441</v>
      </c>
      <c r="BA70">
        <v>6815</v>
      </c>
      <c r="BB70">
        <v>6971</v>
      </c>
      <c r="BC70">
        <v>6735</v>
      </c>
      <c r="BD70">
        <v>7223</v>
      </c>
      <c r="BE70">
        <v>8050</v>
      </c>
      <c r="BF70">
        <v>9362</v>
      </c>
      <c r="BG70">
        <v>10111</v>
      </c>
      <c r="BH70">
        <v>10488</v>
      </c>
      <c r="BI70">
        <v>11551</v>
      </c>
      <c r="BJ70">
        <v>14181</v>
      </c>
      <c r="BK70">
        <v>13911</v>
      </c>
      <c r="BL70">
        <v>15114</v>
      </c>
      <c r="BM70">
        <v>17205</v>
      </c>
      <c r="BN70">
        <v>19455</v>
      </c>
      <c r="BO70">
        <v>18686</v>
      </c>
      <c r="BP70">
        <v>21503</v>
      </c>
      <c r="BQ70">
        <v>24878</v>
      </c>
      <c r="BR70">
        <v>28906</v>
      </c>
      <c r="BS70">
        <v>28949</v>
      </c>
      <c r="BT70">
        <v>30123</v>
      </c>
      <c r="BU70">
        <v>36171</v>
      </c>
      <c r="BV70">
        <v>42787</v>
      </c>
      <c r="BW70">
        <v>43237</v>
      </c>
      <c r="BX70">
        <v>48140</v>
      </c>
      <c r="BY70">
        <v>47501</v>
      </c>
      <c r="BZ70">
        <v>53926</v>
      </c>
      <c r="CA70">
        <v>57057</v>
      </c>
      <c r="CB70">
        <v>64725</v>
      </c>
      <c r="CC70">
        <v>75183</v>
      </c>
      <c r="CD70">
        <v>86742</v>
      </c>
      <c r="CE70">
        <v>94904</v>
      </c>
      <c r="CF70">
        <v>106758</v>
      </c>
      <c r="CG70">
        <v>116371</v>
      </c>
      <c r="CH70">
        <v>138681</v>
      </c>
      <c r="CI70">
        <v>150934</v>
      </c>
      <c r="CJ70">
        <v>162896</v>
      </c>
      <c r="CK70">
        <v>176064</v>
      </c>
      <c r="CL70">
        <v>196088</v>
      </c>
      <c r="CM70">
        <v>194743</v>
      </c>
      <c r="CN70">
        <v>199856</v>
      </c>
      <c r="CO70">
        <v>207000</v>
      </c>
      <c r="CP70">
        <v>225184</v>
      </c>
      <c r="CQ70">
        <v>205989</v>
      </c>
      <c r="CR70">
        <v>222520</v>
      </c>
      <c r="CS70">
        <v>231839</v>
      </c>
      <c r="CT70">
        <v>261894</v>
      </c>
      <c r="CU70">
        <v>261194</v>
      </c>
      <c r="CV70">
        <v>273151</v>
      </c>
      <c r="CW70">
        <v>290479</v>
      </c>
      <c r="CX70">
        <v>293284</v>
      </c>
      <c r="CY70">
        <v>305277</v>
      </c>
      <c r="CZ70">
        <v>305602</v>
      </c>
      <c r="DA70">
        <v>321686</v>
      </c>
      <c r="DB70">
        <v>331141</v>
      </c>
      <c r="DC70">
        <v>334532</v>
      </c>
      <c r="DD70">
        <v>345173</v>
      </c>
      <c r="DE70">
        <v>375319</v>
      </c>
      <c r="DF70">
        <v>406794</v>
      </c>
      <c r="DG70">
        <v>367502</v>
      </c>
      <c r="DH70">
        <v>349197</v>
      </c>
      <c r="DI70">
        <v>365725</v>
      </c>
      <c r="DJ70">
        <v>373719</v>
      </c>
      <c r="DK70">
        <v>341998</v>
      </c>
      <c r="DL70">
        <v>322239</v>
      </c>
      <c r="DM70">
        <v>338516</v>
      </c>
      <c r="DN70">
        <v>340618</v>
      </c>
      <c r="DO70">
        <v>320400</v>
      </c>
      <c r="DP70">
        <v>317344</v>
      </c>
      <c r="DQ70">
        <v>323888</v>
      </c>
      <c r="DR70">
        <v>354054</v>
      </c>
      <c r="DS70">
        <v>337158</v>
      </c>
      <c r="DT70">
        <v>329840</v>
      </c>
      <c r="DU70">
        <v>351002</v>
      </c>
      <c r="DV70">
        <v>381191</v>
      </c>
      <c r="DW70">
        <v>350662</v>
      </c>
      <c r="DX70">
        <v>336309</v>
      </c>
      <c r="DY70">
        <v>352755</v>
      </c>
      <c r="DZ70">
        <v>346747</v>
      </c>
      <c r="EA70">
        <v>332160</v>
      </c>
      <c r="EB70">
        <v>335038</v>
      </c>
      <c r="EC70">
        <v>352583</v>
      </c>
      <c r="ED70">
        <v>353514</v>
      </c>
      <c r="EE70">
        <v>337411</v>
      </c>
      <c r="EF70">
        <v>331612</v>
      </c>
      <c r="EG70">
        <v>364980</v>
      </c>
      <c r="EH70">
        <v>344085</v>
      </c>
      <c r="EI70">
        <v>331233</v>
      </c>
      <c r="EJ70">
        <v>324624.00020537298</v>
      </c>
      <c r="EK70">
        <v>363701.72073037998</v>
      </c>
      <c r="EL70">
        <v>346442.298427573</v>
      </c>
      <c r="EM70">
        <v>332030.88915651297</v>
      </c>
      <c r="EN70">
        <v>318539.95921146701</v>
      </c>
      <c r="EO70">
        <v>371908.66220083099</v>
      </c>
      <c r="EP70">
        <v>354226.36704123399</v>
      </c>
      <c r="EQ70">
        <v>334291.54585055099</v>
      </c>
      <c r="ER70">
        <v>317590.27793434798</v>
      </c>
      <c r="ES70">
        <v>366849.49754109298</v>
      </c>
      <c r="ET70">
        <v>345899.515795457</v>
      </c>
      <c r="EU70">
        <v>332448.025019772</v>
      </c>
      <c r="EV70">
        <v>313815.19110496098</v>
      </c>
      <c r="EW70">
        <v>362620.77324094297</v>
      </c>
      <c r="EX70">
        <v>342820.31708323199</v>
      </c>
      <c r="EY70">
        <v>323593.45072482101</v>
      </c>
      <c r="EZ70">
        <v>307781.618297462</v>
      </c>
      <c r="FA70">
        <v>364090.10755330202</v>
      </c>
      <c r="FB70">
        <v>338557.555720729</v>
      </c>
      <c r="FC70">
        <v>319537.522654976</v>
      </c>
      <c r="FD70">
        <v>303673.33328936301</v>
      </c>
      <c r="FE70">
        <v>366136.71904830798</v>
      </c>
    </row>
    <row r="71" spans="1:161">
      <c r="A71" t="s">
        <v>342</v>
      </c>
    </row>
    <row r="72" spans="1:161">
      <c r="B72" t="s">
        <v>843</v>
      </c>
      <c r="C72" t="s">
        <v>844</v>
      </c>
    </row>
    <row r="73" spans="1:161">
      <c r="B73" t="s">
        <v>845</v>
      </c>
      <c r="C73" t="s">
        <v>846</v>
      </c>
    </row>
    <row r="74" spans="1:161">
      <c r="B74" t="s">
        <v>847</v>
      </c>
      <c r="C74" t="s">
        <v>848</v>
      </c>
      <c r="V74">
        <v>0</v>
      </c>
      <c r="W74">
        <v>0</v>
      </c>
      <c r="X74">
        <v>0</v>
      </c>
      <c r="Y74">
        <v>0</v>
      </c>
      <c r="Z74">
        <v>0</v>
      </c>
      <c r="AA74">
        <v>0</v>
      </c>
      <c r="AB74">
        <v>0</v>
      </c>
      <c r="AC74">
        <v>0</v>
      </c>
      <c r="AD74">
        <v>0</v>
      </c>
      <c r="AE74">
        <v>0</v>
      </c>
      <c r="AF74">
        <v>0</v>
      </c>
      <c r="AG74">
        <v>0</v>
      </c>
      <c r="AH74">
        <v>0</v>
      </c>
      <c r="AI74">
        <v>0</v>
      </c>
      <c r="AJ74">
        <v>0</v>
      </c>
    </row>
    <row r="75" spans="1:161">
      <c r="B75" t="s">
        <v>849</v>
      </c>
      <c r="C75" t="s">
        <v>850</v>
      </c>
      <c r="V75">
        <v>0</v>
      </c>
      <c r="W75">
        <v>0</v>
      </c>
      <c r="X75">
        <v>0</v>
      </c>
      <c r="Y75">
        <v>0</v>
      </c>
      <c r="Z75">
        <v>0</v>
      </c>
      <c r="AA75">
        <v>0</v>
      </c>
      <c r="AB75">
        <v>0</v>
      </c>
      <c r="AC75">
        <v>0</v>
      </c>
      <c r="AD75">
        <v>0</v>
      </c>
      <c r="AE75">
        <v>0</v>
      </c>
      <c r="AF75">
        <v>0</v>
      </c>
      <c r="AG75">
        <v>0</v>
      </c>
      <c r="AH75">
        <v>0</v>
      </c>
      <c r="AI75">
        <v>0</v>
      </c>
      <c r="AJ75">
        <v>0</v>
      </c>
    </row>
    <row r="76" spans="1:161">
      <c r="B76" t="s">
        <v>343</v>
      </c>
      <c r="C76" t="s">
        <v>344</v>
      </c>
      <c r="D76" t="str">
        <f t="shared" ref="D76:D81" si="3">L_CURRENCY_ISSR_208000149_REP</f>
      </c>
      <c r="F76">
        <v>-4513</v>
      </c>
      <c r="G76">
        <v>-4147</v>
      </c>
      <c r="H76">
        <v>-4060</v>
      </c>
      <c r="I76">
        <v>-4267</v>
      </c>
      <c r="J76">
        <v>-5464</v>
      </c>
      <c r="K76">
        <v>-8261</v>
      </c>
      <c r="L76">
        <v>-10110</v>
      </c>
      <c r="M76">
        <v>-15386</v>
      </c>
      <c r="N76">
        <v>-24490</v>
      </c>
      <c r="O76">
        <v>-33992</v>
      </c>
      <c r="P76">
        <v>-51011</v>
      </c>
      <c r="Q76">
        <v>-81570</v>
      </c>
      <c r="R76">
        <v>-121251</v>
      </c>
      <c r="S76">
        <v>-129801</v>
      </c>
      <c r="T76">
        <v>-119944</v>
      </c>
      <c r="U76">
        <v>-141204</v>
      </c>
      <c r="V76">
        <v>-150553</v>
      </c>
      <c r="W76">
        <v>-153215</v>
      </c>
      <c r="X76">
        <v>-122617</v>
      </c>
      <c r="Y76">
        <v>-97851</v>
      </c>
      <c r="Z76">
        <v>-79394</v>
      </c>
      <c r="AA76">
        <v>-65797</v>
      </c>
      <c r="AB76">
        <v>-49040</v>
      </c>
      <c r="AC76">
        <v>-51011</v>
      </c>
      <c r="AD76">
        <v>-50021</v>
      </c>
      <c r="AE76">
        <v>-40011.203555004096</v>
      </c>
      <c r="AF76">
        <v>-34041.891085112497</v>
      </c>
      <c r="AG76">
        <v>-20636.259231574499</v>
      </c>
      <c r="AH76">
        <v>-7522.2195057291501</v>
      </c>
      <c r="AI76">
        <v>2925.1988261359902</v>
      </c>
      <c r="AJ76">
        <v>12606.2201838772</v>
      </c>
      <c r="AL76">
        <v>-5500</v>
      </c>
      <c r="AM76">
        <v>-4853</v>
      </c>
      <c r="AN76">
        <v>-4762</v>
      </c>
      <c r="AO76">
        <v>-4513</v>
      </c>
      <c r="AP76">
        <v>-4201</v>
      </c>
      <c r="AQ76">
        <v>-3978</v>
      </c>
      <c r="AR76">
        <v>-4047</v>
      </c>
      <c r="AS76">
        <v>-4147</v>
      </c>
      <c r="AT76">
        <v>-4153</v>
      </c>
      <c r="AU76">
        <v>-4077</v>
      </c>
      <c r="AV76">
        <v>-4038</v>
      </c>
      <c r="AW76">
        <v>-4060</v>
      </c>
      <c r="AX76">
        <v>-4170</v>
      </c>
      <c r="AY76">
        <v>-4244</v>
      </c>
      <c r="AZ76">
        <v>-4252</v>
      </c>
      <c r="BA76">
        <v>-4267</v>
      </c>
      <c r="BB76">
        <v>-4489</v>
      </c>
      <c r="BC76">
        <v>-4594</v>
      </c>
      <c r="BD76">
        <v>-4966</v>
      </c>
      <c r="BE76">
        <v>-5464</v>
      </c>
      <c r="BF76">
        <v>-6448</v>
      </c>
      <c r="BG76">
        <v>-7057</v>
      </c>
      <c r="BH76">
        <v>-7526</v>
      </c>
      <c r="BI76">
        <v>-8261</v>
      </c>
      <c r="BJ76">
        <v>-8707</v>
      </c>
      <c r="BK76">
        <v>-8226</v>
      </c>
      <c r="BL76">
        <v>-9176</v>
      </c>
      <c r="BM76">
        <v>-10110</v>
      </c>
      <c r="BN76">
        <v>-11869</v>
      </c>
      <c r="BO76">
        <v>-12577</v>
      </c>
      <c r="BP76">
        <v>-13767</v>
      </c>
      <c r="BQ76">
        <v>-15386</v>
      </c>
      <c r="BR76">
        <v>-18448</v>
      </c>
      <c r="BS76">
        <v>-19448</v>
      </c>
      <c r="BT76">
        <v>-20774</v>
      </c>
      <c r="BU76">
        <v>-24490</v>
      </c>
      <c r="BV76">
        <v>-28145</v>
      </c>
      <c r="BW76">
        <v>-28878</v>
      </c>
      <c r="BX76">
        <v>-31121</v>
      </c>
      <c r="BY76">
        <v>-33992</v>
      </c>
      <c r="BZ76">
        <v>-39820</v>
      </c>
      <c r="CA76">
        <v>-41704</v>
      </c>
      <c r="CB76">
        <v>-45839</v>
      </c>
      <c r="CC76">
        <v>-51011</v>
      </c>
      <c r="CD76">
        <v>-59707</v>
      </c>
      <c r="CE76">
        <v>-65767</v>
      </c>
      <c r="CF76">
        <v>-76156</v>
      </c>
      <c r="CG76">
        <v>-81570</v>
      </c>
      <c r="CH76">
        <v>-97601</v>
      </c>
      <c r="CI76">
        <v>-110176</v>
      </c>
      <c r="CJ76">
        <v>-117221</v>
      </c>
      <c r="CK76">
        <v>-121251</v>
      </c>
      <c r="CL76">
        <v>-137112</v>
      </c>
      <c r="CM76">
        <v>-144687</v>
      </c>
      <c r="CN76">
        <v>-129662</v>
      </c>
      <c r="CO76">
        <v>-129801</v>
      </c>
      <c r="CP76">
        <v>-141881</v>
      </c>
      <c r="CQ76">
        <v>-133627</v>
      </c>
      <c r="CR76">
        <v>-133450</v>
      </c>
      <c r="CS76">
        <v>-119944</v>
      </c>
      <c r="CT76">
        <v>-141552</v>
      </c>
      <c r="CU76">
        <v>-149668</v>
      </c>
      <c r="CV76">
        <v>-148430</v>
      </c>
      <c r="CW76">
        <v>-141204</v>
      </c>
      <c r="CX76">
        <v>-152776</v>
      </c>
      <c r="CY76">
        <v>-153056</v>
      </c>
      <c r="CZ76">
        <v>-146585</v>
      </c>
      <c r="DA76">
        <v>-150553</v>
      </c>
      <c r="DB76">
        <v>-158541</v>
      </c>
      <c r="DC76">
        <v>-158319</v>
      </c>
      <c r="DD76">
        <v>-153177</v>
      </c>
      <c r="DE76">
        <v>-153215</v>
      </c>
      <c r="DF76">
        <v>-162697</v>
      </c>
      <c r="DG76">
        <v>-145386</v>
      </c>
      <c r="DH76">
        <v>-129143</v>
      </c>
      <c r="DI76">
        <v>-122617</v>
      </c>
      <c r="DJ76">
        <v>-130305</v>
      </c>
      <c r="DK76">
        <v>-112781</v>
      </c>
      <c r="DL76">
        <v>-102192</v>
      </c>
      <c r="DM76">
        <v>-97851</v>
      </c>
      <c r="DN76">
        <v>-98769</v>
      </c>
      <c r="DO76">
        <v>-83337</v>
      </c>
      <c r="DP76">
        <v>-80894</v>
      </c>
      <c r="DQ76">
        <v>-79394</v>
      </c>
      <c r="DR76">
        <v>-83528</v>
      </c>
      <c r="DS76">
        <v>-82728</v>
      </c>
      <c r="DT76">
        <v>-71853</v>
      </c>
      <c r="DU76">
        <v>-65797</v>
      </c>
      <c r="DV76">
        <v>-79798</v>
      </c>
      <c r="DW76">
        <v>-72749</v>
      </c>
      <c r="DX76">
        <v>-59617</v>
      </c>
      <c r="DY76">
        <v>-49040</v>
      </c>
      <c r="DZ76">
        <v>-54340</v>
      </c>
      <c r="EA76">
        <v>-56718</v>
      </c>
      <c r="EB76">
        <v>-57263</v>
      </c>
      <c r="EC76">
        <v>-51011</v>
      </c>
      <c r="ED76">
        <v>-64535</v>
      </c>
      <c r="EE76">
        <v>-57747</v>
      </c>
      <c r="EF76">
        <v>-51737</v>
      </c>
      <c r="EG76">
        <v>-50021</v>
      </c>
      <c r="EH76">
        <v>-44569</v>
      </c>
      <c r="EI76">
        <v>-34736</v>
      </c>
      <c r="EJ76">
        <v>-26476.9964895632</v>
      </c>
      <c r="EK76">
        <v>-40011.203555004096</v>
      </c>
      <c r="EL76">
        <v>-30633.324061787702</v>
      </c>
      <c r="EM76">
        <v>-24965.874014010002</v>
      </c>
      <c r="EN76">
        <v>-14892.1871960507</v>
      </c>
      <c r="EO76">
        <v>-34041.891085112497</v>
      </c>
      <c r="EP76">
        <v>-24078.037450194501</v>
      </c>
      <c r="EQ76">
        <v>-16767.790851882801</v>
      </c>
      <c r="ER76">
        <v>-4668.4435932316301</v>
      </c>
      <c r="ES76">
        <v>-20636.259231574499</v>
      </c>
      <c r="ET76">
        <v>-9099.4699856873503</v>
      </c>
      <c r="EU76">
        <v>-4980.6223984095104</v>
      </c>
      <c r="EV76">
        <v>7805.9381833297202</v>
      </c>
      <c r="EW76">
        <v>-7522.2195057291501</v>
      </c>
      <c r="EX76">
        <v>3256.3213886654598</v>
      </c>
      <c r="EY76">
        <v>9940.3849783856895</v>
      </c>
      <c r="EZ76">
        <v>21530.861788394301</v>
      </c>
      <c r="FA76">
        <v>2925.1988261359902</v>
      </c>
      <c r="FB76">
        <v>16051.9399672032</v>
      </c>
      <c r="FC76">
        <v>22361.175959706801</v>
      </c>
      <c r="FD76">
        <v>33873.905681166303</v>
      </c>
      <c r="FE76">
        <v>12606.2201838772</v>
      </c>
    </row>
    <row r="77" spans="1:161">
      <c r="B77" t="s">
        <v>1093</v>
      </c>
      <c r="C77" t="s">
        <v>345</v>
      </c>
      <c r="D77" t="str">
        <f t="shared" si="3"/>
      </c>
    </row>
    <row r="78" spans="1:161">
      <c r="B78" t="s">
        <v>346</v>
      </c>
      <c r="C78" t="s">
        <v>347</v>
      </c>
      <c r="D78" t="str">
        <f t="shared" si="3"/>
      </c>
    </row>
    <row r="79" spans="1:161">
      <c r="B79" t="s">
        <v>348</v>
      </c>
      <c r="C79" t="s">
        <v>349</v>
      </c>
      <c r="D79" t="str">
        <f t="shared" si="3"/>
      </c>
    </row>
    <row r="80" spans="1:161">
      <c r="B80" t="s">
        <v>350</v>
      </c>
      <c r="C80" t="s">
        <v>351</v>
      </c>
      <c r="D80" t="str">
        <f t="shared" si="3"/>
      </c>
    </row>
    <row r="81" spans="1:161">
      <c r="B81" t="s">
        <v>352</v>
      </c>
      <c r="C81" t="s">
        <v>353</v>
      </c>
      <c r="D81" t="str">
        <f t="shared" si="3"/>
      </c>
      <c r="F81">
        <v>-3622</v>
      </c>
      <c r="G81">
        <v>-2154</v>
      </c>
      <c r="H81">
        <v>-2124</v>
      </c>
      <c r="I81">
        <v>-1175</v>
      </c>
      <c r="J81">
        <v>-2495</v>
      </c>
      <c r="K81">
        <v>-4770</v>
      </c>
      <c r="L81">
        <v>-3718</v>
      </c>
      <c r="M81">
        <v>-6034</v>
      </c>
      <c r="N81">
        <v>-12615</v>
      </c>
      <c r="O81">
        <v>-28729</v>
      </c>
      <c r="P81">
        <v>-39750</v>
      </c>
      <c r="Q81">
        <v>-71755</v>
      </c>
      <c r="R81">
        <v>-110505</v>
      </c>
      <c r="S81">
        <v>-132502</v>
      </c>
      <c r="T81">
        <v>-141395</v>
      </c>
      <c r="U81">
        <v>-184546</v>
      </c>
      <c r="V81">
        <v>-217101</v>
      </c>
      <c r="W81">
        <v>-248606</v>
      </c>
      <c r="X81">
        <v>-211187</v>
      </c>
      <c r="Y81">
        <v>-157054</v>
      </c>
      <c r="Z81">
        <v>-153814</v>
      </c>
      <c r="AA81">
        <v>-155576</v>
      </c>
      <c r="AB81">
        <v>-145463</v>
      </c>
      <c r="AC81">
        <v>-132134</v>
      </c>
      <c r="AD81">
        <v>-126707</v>
      </c>
      <c r="AE81">
        <v>-100760</v>
      </c>
      <c r="AF81">
        <v>-92760</v>
      </c>
      <c r="AG81">
        <v>-84760</v>
      </c>
      <c r="AH81">
        <v>-76760</v>
      </c>
      <c r="AI81">
        <v>-68760</v>
      </c>
      <c r="AJ81">
        <v>-60760</v>
      </c>
      <c r="AL81">
        <v>-4214</v>
      </c>
      <c r="AM81">
        <v>-3491</v>
      </c>
      <c r="AN81">
        <v>-3718</v>
      </c>
      <c r="AO81">
        <v>-3622</v>
      </c>
      <c r="AP81">
        <v>-2775</v>
      </c>
      <c r="AQ81">
        <v>-2157</v>
      </c>
      <c r="AR81">
        <v>-2243</v>
      </c>
      <c r="AS81">
        <v>-2154</v>
      </c>
      <c r="AT81">
        <v>-2522</v>
      </c>
      <c r="AU81">
        <v>-3229</v>
      </c>
      <c r="AV81">
        <v>-3108</v>
      </c>
      <c r="AW81">
        <v>-2124</v>
      </c>
      <c r="AX81">
        <v>-1878</v>
      </c>
      <c r="AY81">
        <v>-1144</v>
      </c>
      <c r="AZ81">
        <v>-1052</v>
      </c>
      <c r="BA81">
        <v>-1175</v>
      </c>
      <c r="BB81">
        <v>-1067</v>
      </c>
      <c r="BC81">
        <v>-1436</v>
      </c>
      <c r="BD81">
        <v>-1846</v>
      </c>
      <c r="BE81">
        <v>-2495</v>
      </c>
      <c r="BF81">
        <v>-3973</v>
      </c>
      <c r="BG81">
        <v>-4803</v>
      </c>
      <c r="BH81">
        <v>-4432</v>
      </c>
      <c r="BI81">
        <v>-4770</v>
      </c>
      <c r="BJ81">
        <v>-4557</v>
      </c>
      <c r="BK81">
        <v>-1880</v>
      </c>
      <c r="BL81">
        <v>-1163</v>
      </c>
      <c r="BM81">
        <v>-3718</v>
      </c>
      <c r="BN81">
        <v>-4710</v>
      </c>
      <c r="BO81">
        <v>-5482</v>
      </c>
      <c r="BP81">
        <v>-6649</v>
      </c>
      <c r="BQ81">
        <v>-6034</v>
      </c>
      <c r="BR81">
        <v>-9286</v>
      </c>
      <c r="BS81">
        <v>-10378</v>
      </c>
      <c r="BT81">
        <v>-11401</v>
      </c>
      <c r="BU81">
        <v>-12615</v>
      </c>
      <c r="BV81">
        <v>-20909</v>
      </c>
      <c r="BW81">
        <v>-24412</v>
      </c>
      <c r="BX81">
        <v>-25516</v>
      </c>
      <c r="BY81">
        <v>-28729</v>
      </c>
      <c r="BZ81">
        <v>-32211</v>
      </c>
      <c r="CA81">
        <v>-31686</v>
      </c>
      <c r="CB81">
        <v>-36134</v>
      </c>
      <c r="CC81">
        <v>-39750</v>
      </c>
      <c r="CD81">
        <v>-48973</v>
      </c>
      <c r="CE81">
        <v>-49789</v>
      </c>
      <c r="CF81">
        <v>-64065</v>
      </c>
      <c r="CG81">
        <v>-71755</v>
      </c>
      <c r="CH81">
        <v>-87291</v>
      </c>
      <c r="CI81">
        <v>-100055</v>
      </c>
      <c r="CJ81">
        <v>-109276</v>
      </c>
      <c r="CK81">
        <v>-110505</v>
      </c>
      <c r="CL81">
        <v>-120958</v>
      </c>
      <c r="CM81">
        <v>-132634</v>
      </c>
      <c r="CN81">
        <v>-135372</v>
      </c>
      <c r="CO81">
        <v>-132502</v>
      </c>
      <c r="CP81">
        <v>-144765</v>
      </c>
      <c r="CQ81">
        <v>-131640</v>
      </c>
      <c r="CR81">
        <v>-151513</v>
      </c>
      <c r="CS81">
        <v>-141395</v>
      </c>
      <c r="CT81">
        <v>-158477</v>
      </c>
      <c r="CU81">
        <v>-179050</v>
      </c>
      <c r="CV81">
        <v>-187529</v>
      </c>
      <c r="CW81">
        <v>-184546</v>
      </c>
      <c r="CX81">
        <v>-199050</v>
      </c>
      <c r="CY81">
        <v>-211414</v>
      </c>
      <c r="CZ81">
        <v>-213283</v>
      </c>
      <c r="DA81">
        <v>-217101</v>
      </c>
      <c r="DB81">
        <v>-229719</v>
      </c>
      <c r="DC81">
        <v>-241684</v>
      </c>
      <c r="DD81">
        <v>-242945</v>
      </c>
      <c r="DE81">
        <v>-248606</v>
      </c>
      <c r="DF81">
        <v>-257606</v>
      </c>
      <c r="DG81">
        <v>-222167</v>
      </c>
      <c r="DH81">
        <v>-211772</v>
      </c>
      <c r="DI81">
        <v>-211187</v>
      </c>
      <c r="DJ81">
        <v>-200264</v>
      </c>
      <c r="DK81">
        <v>-187423</v>
      </c>
      <c r="DL81">
        <v>-160080</v>
      </c>
      <c r="DM81">
        <v>-157054</v>
      </c>
      <c r="DN81">
        <v>-167290</v>
      </c>
      <c r="DO81">
        <v>-152670</v>
      </c>
      <c r="DP81">
        <v>-160234</v>
      </c>
      <c r="DQ81">
        <v>-153814</v>
      </c>
      <c r="DR81">
        <v>-159561</v>
      </c>
      <c r="DS81">
        <v>-165907</v>
      </c>
      <c r="DT81">
        <v>-159594</v>
      </c>
      <c r="DU81">
        <v>-155576</v>
      </c>
      <c r="DV81">
        <v>-165477</v>
      </c>
      <c r="DW81">
        <v>-164632</v>
      </c>
      <c r="DX81">
        <v>-151806</v>
      </c>
      <c r="DY81">
        <v>-145463</v>
      </c>
      <c r="DZ81">
        <v>-144915</v>
      </c>
      <c r="EA81">
        <v>-141646</v>
      </c>
      <c r="EB81">
        <v>-138135</v>
      </c>
      <c r="EC81">
        <v>-132134</v>
      </c>
      <c r="ED81">
        <v>-131815</v>
      </c>
      <c r="EE81">
        <v>-129642</v>
      </c>
      <c r="EF81">
        <v>-127476</v>
      </c>
      <c r="EG81">
        <v>-126707</v>
      </c>
      <c r="EH81">
        <v>-111069</v>
      </c>
      <c r="EI81">
        <v>-104760</v>
      </c>
      <c r="EJ81">
        <v>-102760</v>
      </c>
      <c r="EK81">
        <v>-100760</v>
      </c>
      <c r="EL81">
        <v>-98760</v>
      </c>
      <c r="EM81">
        <v>-96760</v>
      </c>
      <c r="EN81">
        <v>-94760</v>
      </c>
      <c r="EO81">
        <v>-92760</v>
      </c>
      <c r="EP81">
        <v>-90760</v>
      </c>
      <c r="EQ81">
        <v>-88760</v>
      </c>
      <c r="ER81">
        <v>-86760</v>
      </c>
      <c r="ES81">
        <v>-84760</v>
      </c>
      <c r="ET81">
        <v>-82760</v>
      </c>
      <c r="EU81">
        <v>-80760</v>
      </c>
      <c r="EV81">
        <v>-78760</v>
      </c>
      <c r="EW81">
        <v>-76760</v>
      </c>
      <c r="EX81">
        <v>-74760</v>
      </c>
      <c r="EY81">
        <v>-72760</v>
      </c>
      <c r="EZ81">
        <v>-70760</v>
      </c>
      <c r="FA81">
        <v>-68760</v>
      </c>
      <c r="FB81">
        <v>-66760</v>
      </c>
      <c r="FC81">
        <v>-64760</v>
      </c>
      <c r="FD81">
        <v>-62760</v>
      </c>
      <c r="FE81">
        <v>-60760</v>
      </c>
    </row>
    <row r="82" spans="1:161">
      <c r="B82" t="s">
        <v>354</v>
      </c>
      <c r="C82" t="s">
        <v>355</v>
      </c>
    </row>
    <row r="83" spans="1:161">
      <c r="B83" t="s">
        <v>356</v>
      </c>
      <c r="C83" t="s">
        <v>357</v>
      </c>
      <c r="D83" t="str">
        <f>L_CURRENCY_ISSR_208000149_REP</f>
      </c>
    </row>
    <row r="84" spans="1:161">
      <c r="B84" t="s">
        <v>358</v>
      </c>
      <c r="C84" t="s">
        <v>359</v>
      </c>
      <c r="D84" t="str">
        <f>L_CURRENCY_ISSR_208000149_REP</f>
      </c>
    </row>
    <row r="85" spans="1:161">
      <c r="B85" t="s">
        <v>360</v>
      </c>
      <c r="C85" t="s">
        <v>361</v>
      </c>
      <c r="D85" t="str">
        <f>L_CURRENCY_ISSR_208000149_REP</f>
      </c>
    </row>
    <row r="86" spans="1:161">
      <c r="B86" t="s">
        <v>362</v>
      </c>
      <c r="C86" t="s">
        <v>363</v>
      </c>
      <c r="D86" t="str">
        <f>L_CURRENCY_ISSR_208000149_REP</f>
      </c>
    </row>
    <row r="87" spans="1:161">
      <c r="B87" t="s">
        <v>364</v>
      </c>
      <c r="C87" t="s">
        <v>365</v>
      </c>
      <c r="D87" t="str">
        <f>L_CURRENCY_ISSR_208000149_REP</f>
      </c>
      <c r="F87">
        <v>-2836</v>
      </c>
      <c r="G87">
        <v>-2026</v>
      </c>
      <c r="H87">
        <v>-2085</v>
      </c>
      <c r="I87">
        <v>-1170</v>
      </c>
      <c r="J87">
        <v>-2495</v>
      </c>
      <c r="K87">
        <v>-4770</v>
      </c>
      <c r="L87">
        <v>-3718</v>
      </c>
      <c r="M87">
        <v>-6034</v>
      </c>
      <c r="N87">
        <v>-10236</v>
      </c>
      <c r="O87">
        <v>-18201</v>
      </c>
      <c r="P87">
        <v>-14359</v>
      </c>
      <c r="Q87">
        <v>-16137</v>
      </c>
      <c r="R87">
        <v>-18383</v>
      </c>
      <c r="S87">
        <v>-26287</v>
      </c>
      <c r="T87">
        <v>-11233</v>
      </c>
      <c r="U87">
        <v>-20481</v>
      </c>
      <c r="V87">
        <v>-46671</v>
      </c>
      <c r="W87">
        <v>-53892</v>
      </c>
      <c r="X87">
        <v>-40388</v>
      </c>
      <c r="Y87">
        <v>-51713</v>
      </c>
      <c r="Z87">
        <v>-52927</v>
      </c>
      <c r="AA87">
        <v>-27699</v>
      </c>
      <c r="AB87">
        <v>-24658</v>
      </c>
      <c r="AC87">
        <v>-31590</v>
      </c>
      <c r="AD87">
        <v>-35228</v>
      </c>
      <c r="AE87">
        <v>-19336</v>
      </c>
      <c r="AF87">
        <v>-17336</v>
      </c>
      <c r="AG87">
        <v>-15336</v>
      </c>
      <c r="AH87">
        <v>-13336</v>
      </c>
      <c r="AI87">
        <v>-11336</v>
      </c>
      <c r="AJ87">
        <v>-9336</v>
      </c>
      <c r="AL87">
        <v>-2074</v>
      </c>
      <c r="AM87">
        <v>-1947</v>
      </c>
      <c r="AN87">
        <v>-2482</v>
      </c>
      <c r="AO87">
        <v>-2836</v>
      </c>
      <c r="AP87">
        <v>-2328</v>
      </c>
      <c r="AQ87">
        <v>-2006</v>
      </c>
      <c r="AR87">
        <v>-2097</v>
      </c>
      <c r="AS87">
        <v>-2026</v>
      </c>
      <c r="AT87">
        <v>-2421</v>
      </c>
      <c r="AU87">
        <v>-3150</v>
      </c>
      <c r="AV87">
        <v>-3060</v>
      </c>
      <c r="AW87">
        <v>-2085</v>
      </c>
      <c r="AX87">
        <v>-1850</v>
      </c>
      <c r="AY87">
        <v>-1116</v>
      </c>
      <c r="AZ87">
        <v>-1038</v>
      </c>
      <c r="BA87">
        <v>-1170</v>
      </c>
      <c r="BB87">
        <v>-1067</v>
      </c>
      <c r="BC87">
        <v>-1436</v>
      </c>
      <c r="BD87">
        <v>-1846</v>
      </c>
      <c r="BE87">
        <v>-2495</v>
      </c>
      <c r="BF87">
        <v>-3973</v>
      </c>
      <c r="BG87">
        <v>-4803</v>
      </c>
      <c r="BH87">
        <v>-4432</v>
      </c>
      <c r="BI87">
        <v>-4770</v>
      </c>
      <c r="BJ87">
        <v>-4557</v>
      </c>
      <c r="BK87">
        <v>-1880</v>
      </c>
      <c r="BL87">
        <v>-1163</v>
      </c>
      <c r="BM87">
        <v>-3718</v>
      </c>
      <c r="BN87">
        <v>-4710</v>
      </c>
      <c r="BO87">
        <v>-5482</v>
      </c>
      <c r="BP87">
        <v>-6649</v>
      </c>
      <c r="BQ87">
        <v>-6034</v>
      </c>
      <c r="BR87">
        <v>-9286</v>
      </c>
      <c r="BS87">
        <v>-10378</v>
      </c>
      <c r="BT87">
        <v>-11401</v>
      </c>
      <c r="BU87">
        <v>-10236</v>
      </c>
      <c r="BV87">
        <v>-18411</v>
      </c>
      <c r="BW87">
        <v>-20547</v>
      </c>
      <c r="BX87">
        <v>-18617</v>
      </c>
      <c r="BY87">
        <v>-18201</v>
      </c>
      <c r="BZ87">
        <v>-17187</v>
      </c>
      <c r="CA87">
        <v>-13137</v>
      </c>
      <c r="CB87">
        <v>-14583</v>
      </c>
      <c r="CC87">
        <v>-14359</v>
      </c>
      <c r="CD87">
        <v>-16243</v>
      </c>
      <c r="CE87">
        <v>-13256</v>
      </c>
      <c r="CF87">
        <v>-16304</v>
      </c>
      <c r="CG87">
        <v>-16137</v>
      </c>
      <c r="CH87">
        <v>-19846</v>
      </c>
      <c r="CI87">
        <v>-18417</v>
      </c>
      <c r="CJ87">
        <v>-19709</v>
      </c>
      <c r="CK87">
        <v>-18383</v>
      </c>
      <c r="CL87">
        <v>-23666</v>
      </c>
      <c r="CM87">
        <v>-27084</v>
      </c>
      <c r="CN87">
        <v>-31358</v>
      </c>
      <c r="CO87">
        <v>-26287</v>
      </c>
      <c r="CP87">
        <v>-26634</v>
      </c>
      <c r="CQ87">
        <v>-22401</v>
      </c>
      <c r="CR87">
        <v>-24828</v>
      </c>
      <c r="CS87">
        <v>-11233</v>
      </c>
      <c r="CT87">
        <v>-12985</v>
      </c>
      <c r="CU87">
        <v>-18607</v>
      </c>
      <c r="CV87">
        <v>-19384</v>
      </c>
      <c r="CW87">
        <v>-20481</v>
      </c>
      <c r="CX87">
        <v>-21385</v>
      </c>
      <c r="CY87">
        <v>-33769</v>
      </c>
      <c r="CZ87">
        <v>-43519</v>
      </c>
      <c r="DA87">
        <v>-46671</v>
      </c>
      <c r="DB87">
        <v>-44081</v>
      </c>
      <c r="DC87">
        <v>-51944</v>
      </c>
      <c r="DD87">
        <v>-58188</v>
      </c>
      <c r="DE87">
        <v>-53892</v>
      </c>
      <c r="DF87">
        <v>-49662</v>
      </c>
      <c r="DG87">
        <v>-42881</v>
      </c>
      <c r="DH87">
        <v>-38999</v>
      </c>
      <c r="DI87">
        <v>-40388</v>
      </c>
      <c r="DJ87">
        <v>-41656</v>
      </c>
      <c r="DK87">
        <v>-42104</v>
      </c>
      <c r="DL87">
        <v>-44084</v>
      </c>
      <c r="DM87">
        <v>-51713</v>
      </c>
      <c r="DN87">
        <v>-67391</v>
      </c>
      <c r="DO87">
        <v>-53877</v>
      </c>
      <c r="DP87">
        <v>-59642</v>
      </c>
      <c r="DQ87">
        <v>-52927</v>
      </c>
      <c r="DR87">
        <v>-40816</v>
      </c>
      <c r="DS87">
        <v>-31368</v>
      </c>
      <c r="DT87">
        <v>-27646</v>
      </c>
      <c r="DU87">
        <v>-27699</v>
      </c>
      <c r="DV87">
        <v>-26794</v>
      </c>
      <c r="DW87">
        <v>-23413</v>
      </c>
      <c r="DX87">
        <v>-20729</v>
      </c>
      <c r="DY87">
        <v>-24658</v>
      </c>
      <c r="DZ87">
        <v>-30820</v>
      </c>
      <c r="EA87">
        <v>-31185</v>
      </c>
      <c r="EB87">
        <v>-34074</v>
      </c>
      <c r="EC87">
        <v>-31590</v>
      </c>
      <c r="ED87">
        <v>-32340</v>
      </c>
      <c r="EE87">
        <v>-34455</v>
      </c>
      <c r="EF87">
        <v>-36236</v>
      </c>
      <c r="EG87">
        <v>-35228</v>
      </c>
      <c r="EH87">
        <v>-23476</v>
      </c>
      <c r="EI87">
        <v>-20336</v>
      </c>
      <c r="EJ87">
        <v>-19836</v>
      </c>
      <c r="EK87">
        <v>-19336</v>
      </c>
      <c r="EL87">
        <v>-18836</v>
      </c>
      <c r="EM87">
        <v>-18336</v>
      </c>
      <c r="EN87">
        <v>-17836</v>
      </c>
      <c r="EO87">
        <v>-17336</v>
      </c>
      <c r="EP87">
        <v>-16836</v>
      </c>
      <c r="EQ87">
        <v>-16336</v>
      </c>
      <c r="ER87">
        <v>-15836</v>
      </c>
      <c r="ES87">
        <v>-15336</v>
      </c>
      <c r="ET87">
        <v>-14836</v>
      </c>
      <c r="EU87">
        <v>-14336</v>
      </c>
      <c r="EV87">
        <v>-13836</v>
      </c>
      <c r="EW87">
        <v>-13336</v>
      </c>
      <c r="EX87">
        <v>-12836</v>
      </c>
      <c r="EY87">
        <v>-12336</v>
      </c>
      <c r="EZ87">
        <v>-11836</v>
      </c>
      <c r="FA87">
        <v>-11336</v>
      </c>
      <c r="FB87">
        <v>-10836</v>
      </c>
      <c r="FC87">
        <v>-10336</v>
      </c>
      <c r="FD87">
        <v>-9836</v>
      </c>
      <c r="FE87">
        <v>-9336</v>
      </c>
    </row>
    <row r="88" spans="1:161">
      <c r="B88" t="s">
        <v>366</v>
      </c>
      <c r="C88" t="s">
        <v>367</v>
      </c>
    </row>
    <row r="89" spans="1:161">
      <c r="B89" t="s">
        <v>336</v>
      </c>
      <c r="C89" t="s">
        <v>368</v>
      </c>
      <c r="D89" t="str">
        <f>L_CURRENCY_ISSR_208000149_REP</f>
      </c>
    </row>
    <row r="90" spans="1:161">
      <c r="B90" t="s">
        <v>1078</v>
      </c>
      <c r="C90" t="s">
        <v>1079</v>
      </c>
      <c r="D90" t="str">
        <f>L_CURRENCY_ISSR_208000149_REP</f>
      </c>
    </row>
    <row r="91" spans="1:161">
      <c r="A91" t="s">
        <v>369</v>
      </c>
    </row>
    <row r="92" spans="1:161">
      <c r="B92" t="s">
        <v>370</v>
      </c>
      <c r="C92" t="s">
        <v>371</v>
      </c>
      <c r="D92" t="str">
        <f t="shared" ref="D92:D108" si="4">L_CURRENCY_ISSR_208000149_REP</f>
      </c>
    </row>
    <row r="93" spans="1:161">
      <c r="B93" t="s">
        <v>372</v>
      </c>
      <c r="C93" t="s">
        <v>373</v>
      </c>
      <c r="D93" t="str">
        <f t="shared" si="4"/>
      </c>
      <c r="F93">
        <v>84</v>
      </c>
      <c r="G93">
        <v>100</v>
      </c>
      <c r="H93">
        <v>114</v>
      </c>
      <c r="I93">
        <v>113</v>
      </c>
      <c r="J93">
        <v>150</v>
      </c>
      <c r="K93">
        <v>179</v>
      </c>
      <c r="L93">
        <v>225</v>
      </c>
      <c r="M93">
        <v>327</v>
      </c>
      <c r="N93">
        <v>496</v>
      </c>
      <c r="O93">
        <v>734</v>
      </c>
      <c r="P93">
        <v>1027</v>
      </c>
      <c r="Q93">
        <v>1814</v>
      </c>
      <c r="R93">
        <v>3277</v>
      </c>
      <c r="S93">
        <v>6757</v>
      </c>
      <c r="T93">
        <v>7946</v>
      </c>
      <c r="U93">
        <v>11257</v>
      </c>
      <c r="V93">
        <v>10505</v>
      </c>
      <c r="W93">
        <v>10157</v>
      </c>
      <c r="X93">
        <v>10903</v>
      </c>
      <c r="Y93">
        <v>12547</v>
      </c>
      <c r="Z93">
        <v>11056</v>
      </c>
      <c r="AA93">
        <v>11284</v>
      </c>
      <c r="AB93">
        <v>11104</v>
      </c>
      <c r="AC93">
        <v>11519</v>
      </c>
      <c r="AD93">
        <v>11445</v>
      </c>
      <c r="AE93">
        <v>11190.4428258919</v>
      </c>
      <c r="AF93">
        <v>11483.626507925999</v>
      </c>
      <c r="AG93">
        <v>12337.376495851</v>
      </c>
      <c r="AH93">
        <v>13206.7179836498</v>
      </c>
      <c r="AI93">
        <v>14069.1076174262</v>
      </c>
      <c r="AJ93">
        <v>14938.872415434</v>
      </c>
      <c r="AL93">
        <v>20</v>
      </c>
      <c r="AM93">
        <v>21</v>
      </c>
      <c r="AN93">
        <v>25</v>
      </c>
      <c r="AO93">
        <v>18</v>
      </c>
      <c r="AP93">
        <v>24</v>
      </c>
      <c r="AQ93">
        <v>22</v>
      </c>
      <c r="AR93">
        <v>26</v>
      </c>
      <c r="AS93">
        <v>28</v>
      </c>
      <c r="AT93">
        <v>28</v>
      </c>
      <c r="AU93">
        <v>29</v>
      </c>
      <c r="AV93">
        <v>28</v>
      </c>
      <c r="AW93">
        <v>29</v>
      </c>
      <c r="AX93">
        <v>31</v>
      </c>
      <c r="AY93">
        <v>29</v>
      </c>
      <c r="AZ93">
        <v>24</v>
      </c>
      <c r="BA93">
        <v>29</v>
      </c>
      <c r="BB93">
        <v>33</v>
      </c>
      <c r="BC93">
        <v>36</v>
      </c>
      <c r="BD93">
        <v>41</v>
      </c>
      <c r="BE93">
        <v>40</v>
      </c>
      <c r="BF93">
        <v>41</v>
      </c>
      <c r="BG93">
        <v>41</v>
      </c>
      <c r="BH93">
        <v>46</v>
      </c>
      <c r="BI93">
        <v>51</v>
      </c>
      <c r="BJ93">
        <v>52</v>
      </c>
      <c r="BK93">
        <v>50</v>
      </c>
      <c r="BL93">
        <v>57</v>
      </c>
      <c r="BM93">
        <v>66</v>
      </c>
      <c r="BN93">
        <v>74</v>
      </c>
      <c r="BO93">
        <v>69</v>
      </c>
      <c r="BP93">
        <v>81</v>
      </c>
      <c r="BQ93">
        <v>103</v>
      </c>
      <c r="BR93">
        <v>110</v>
      </c>
      <c r="BS93">
        <v>120</v>
      </c>
      <c r="BT93">
        <v>120</v>
      </c>
      <c r="BU93">
        <v>146</v>
      </c>
      <c r="BV93">
        <v>168</v>
      </c>
      <c r="BW93">
        <v>181</v>
      </c>
      <c r="BX93">
        <v>182</v>
      </c>
      <c r="BY93">
        <v>203</v>
      </c>
      <c r="BZ93">
        <v>209</v>
      </c>
      <c r="CA93">
        <v>216</v>
      </c>
      <c r="CB93">
        <v>273</v>
      </c>
      <c r="CC93">
        <v>329</v>
      </c>
      <c r="CD93">
        <v>356</v>
      </c>
      <c r="CE93">
        <v>434</v>
      </c>
      <c r="CF93">
        <v>481</v>
      </c>
      <c r="CG93">
        <v>543</v>
      </c>
      <c r="CH93">
        <v>721</v>
      </c>
      <c r="CI93">
        <v>740</v>
      </c>
      <c r="CJ93">
        <v>835</v>
      </c>
      <c r="CK93">
        <v>981</v>
      </c>
      <c r="CL93">
        <v>1588</v>
      </c>
      <c r="CM93">
        <v>1692</v>
      </c>
      <c r="CN93">
        <v>1694</v>
      </c>
      <c r="CO93">
        <v>1783</v>
      </c>
      <c r="CP93">
        <v>2144</v>
      </c>
      <c r="CQ93">
        <v>1887</v>
      </c>
      <c r="CR93">
        <v>1946</v>
      </c>
      <c r="CS93">
        <v>1969</v>
      </c>
      <c r="CT93">
        <v>2575</v>
      </c>
      <c r="CU93">
        <v>2479</v>
      </c>
      <c r="CV93">
        <v>3084</v>
      </c>
      <c r="CW93">
        <v>3119</v>
      </c>
      <c r="CX93">
        <v>2954</v>
      </c>
      <c r="CY93">
        <v>2477</v>
      </c>
      <c r="CZ93">
        <v>2526</v>
      </c>
      <c r="DA93">
        <v>2548</v>
      </c>
      <c r="DB93">
        <v>2987</v>
      </c>
      <c r="DC93">
        <v>2332</v>
      </c>
      <c r="DD93">
        <v>2354</v>
      </c>
      <c r="DE93">
        <v>2484</v>
      </c>
      <c r="DF93">
        <v>2745</v>
      </c>
      <c r="DG93">
        <v>2739</v>
      </c>
      <c r="DH93">
        <v>2665</v>
      </c>
      <c r="DI93">
        <v>2754</v>
      </c>
      <c r="DJ93">
        <v>3395</v>
      </c>
      <c r="DK93">
        <v>3040</v>
      </c>
      <c r="DL93">
        <v>2933</v>
      </c>
      <c r="DM93">
        <v>3179</v>
      </c>
      <c r="DN93">
        <v>2816</v>
      </c>
      <c r="DO93">
        <v>2786</v>
      </c>
      <c r="DP93">
        <v>2752</v>
      </c>
      <c r="DQ93">
        <v>2702</v>
      </c>
      <c r="DR93">
        <v>2666</v>
      </c>
      <c r="DS93">
        <v>2797</v>
      </c>
      <c r="DT93">
        <v>2832</v>
      </c>
      <c r="DU93">
        <v>2989</v>
      </c>
      <c r="DV93">
        <v>2697</v>
      </c>
      <c r="DW93">
        <v>2737</v>
      </c>
      <c r="DX93">
        <v>2805</v>
      </c>
      <c r="DY93">
        <v>2865</v>
      </c>
      <c r="DZ93">
        <v>2916</v>
      </c>
      <c r="EA93">
        <v>2898</v>
      </c>
      <c r="EB93">
        <v>3052</v>
      </c>
      <c r="EC93">
        <v>2653</v>
      </c>
      <c r="ED93">
        <v>2848</v>
      </c>
      <c r="EE93">
        <v>2836</v>
      </c>
      <c r="EF93">
        <v>2850</v>
      </c>
      <c r="EG93">
        <v>2911</v>
      </c>
      <c r="EH93">
        <v>3080</v>
      </c>
      <c r="EI93">
        <v>2661</v>
      </c>
      <c r="EJ93">
        <v>2707.6132757385699</v>
      </c>
      <c r="EK93">
        <v>2741.8295501532898</v>
      </c>
      <c r="EL93">
        <v>2794.4598104746901</v>
      </c>
      <c r="EM93">
        <v>2857.1892995161602</v>
      </c>
      <c r="EN93">
        <v>2902.0022192136398</v>
      </c>
      <c r="EO93">
        <v>2929.97517872151</v>
      </c>
      <c r="EP93">
        <v>2992.91155343127</v>
      </c>
      <c r="EQ93">
        <v>3072.0433947484198</v>
      </c>
      <c r="ER93">
        <v>3121.5416645452201</v>
      </c>
      <c r="ES93">
        <v>3150.8798831260301</v>
      </c>
      <c r="ET93">
        <v>3211.6059154910799</v>
      </c>
      <c r="EU93">
        <v>3286.2274111664601</v>
      </c>
      <c r="EV93">
        <v>3339.5709731994698</v>
      </c>
      <c r="EW93">
        <v>3369.31368379279</v>
      </c>
      <c r="EX93">
        <v>3429.0833798018398</v>
      </c>
      <c r="EY93">
        <v>3505.15324548837</v>
      </c>
      <c r="EZ93">
        <v>3553.2270503404102</v>
      </c>
      <c r="FA93">
        <v>3581.6439417955398</v>
      </c>
      <c r="FB93">
        <v>3646.5778630603199</v>
      </c>
      <c r="FC93">
        <v>3722.5609210237699</v>
      </c>
      <c r="FD93">
        <v>3770.8330749064498</v>
      </c>
      <c r="FE93">
        <v>3798.9005564434201</v>
      </c>
    </row>
    <row r="94" spans="1:161">
      <c r="B94" t="s">
        <v>374</v>
      </c>
      <c r="C94" t="s">
        <v>375</v>
      </c>
      <c r="D94" t="str">
        <f t="shared" si="4"/>
      </c>
      <c r="F94">
        <v>192</v>
      </c>
      <c r="G94">
        <v>211</v>
      </c>
      <c r="H94">
        <v>-112</v>
      </c>
      <c r="I94">
        <v>119</v>
      </c>
      <c r="J94">
        <v>368</v>
      </c>
      <c r="K94">
        <v>492</v>
      </c>
      <c r="L94">
        <v>-225</v>
      </c>
      <c r="M94">
        <v>1321</v>
      </c>
      <c r="N94">
        <v>2045</v>
      </c>
      <c r="O94">
        <v>-560</v>
      </c>
      <c r="P94">
        <v>1236</v>
      </c>
      <c r="Q94">
        <v>5757</v>
      </c>
      <c r="R94">
        <v>-299</v>
      </c>
      <c r="S94">
        <v>6478</v>
      </c>
      <c r="T94">
        <v>7047</v>
      </c>
      <c r="U94">
        <v>11647</v>
      </c>
      <c r="V94">
        <v>484</v>
      </c>
      <c r="W94">
        <v>-4923</v>
      </c>
      <c r="X94">
        <v>34694</v>
      </c>
      <c r="Y94">
        <v>-3488</v>
      </c>
      <c r="Z94">
        <v>5690</v>
      </c>
      <c r="AA94">
        <v>-4911</v>
      </c>
      <c r="AB94">
        <v>1200</v>
      </c>
      <c r="AC94">
        <v>-6577</v>
      </c>
      <c r="AD94">
        <v>3651</v>
      </c>
      <c r="AE94">
        <v>-3895.69513209242</v>
      </c>
      <c r="AF94">
        <v>4977.9019232705396</v>
      </c>
      <c r="AG94">
        <v>-282.16339883455998</v>
      </c>
      <c r="AH94">
        <v>128.67351028674099</v>
      </c>
      <c r="AI94">
        <v>2469.7955012419202</v>
      </c>
      <c r="AJ94">
        <v>2196.4137932334602</v>
      </c>
      <c r="AL94">
        <v>237</v>
      </c>
      <c r="AM94">
        <v>-132</v>
      </c>
      <c r="AN94">
        <v>13</v>
      </c>
      <c r="AO94">
        <v>74</v>
      </c>
      <c r="AP94">
        <v>320</v>
      </c>
      <c r="AQ94">
        <v>-120</v>
      </c>
      <c r="AR94">
        <v>-146</v>
      </c>
      <c r="AS94">
        <v>157</v>
      </c>
      <c r="AT94">
        <v>6</v>
      </c>
      <c r="AU94">
        <v>-109</v>
      </c>
      <c r="AV94">
        <v>-65</v>
      </c>
      <c r="AW94">
        <v>56</v>
      </c>
      <c r="AX94">
        <v>76</v>
      </c>
      <c r="AY94">
        <v>78</v>
      </c>
      <c r="AZ94">
        <v>-33</v>
      </c>
      <c r="BA94">
        <v>-2</v>
      </c>
      <c r="BB94">
        <v>114</v>
      </c>
      <c r="BC94">
        <v>-29</v>
      </c>
      <c r="BD94">
        <v>43</v>
      </c>
      <c r="BE94">
        <v>240</v>
      </c>
      <c r="BF94">
        <v>295</v>
      </c>
      <c r="BG94">
        <v>37</v>
      </c>
      <c r="BH94">
        <v>101</v>
      </c>
      <c r="BI94">
        <v>59</v>
      </c>
      <c r="BJ94">
        <v>-448</v>
      </c>
      <c r="BK94">
        <v>-643</v>
      </c>
      <c r="BL94">
        <v>325</v>
      </c>
      <c r="BM94">
        <v>541</v>
      </c>
      <c r="BN94">
        <v>604</v>
      </c>
      <c r="BO94">
        <v>-263</v>
      </c>
      <c r="BP94">
        <v>145</v>
      </c>
      <c r="BQ94">
        <v>835</v>
      </c>
      <c r="BR94">
        <v>864</v>
      </c>
      <c r="BS94">
        <v>-195</v>
      </c>
      <c r="BT94">
        <v>-163</v>
      </c>
      <c r="BU94">
        <v>1539</v>
      </c>
      <c r="BV94">
        <v>1069</v>
      </c>
      <c r="BW94">
        <v>-1435</v>
      </c>
      <c r="BX94">
        <v>-121</v>
      </c>
      <c r="BY94">
        <v>-73</v>
      </c>
      <c r="BZ94">
        <v>1564</v>
      </c>
      <c r="CA94">
        <v>-1659</v>
      </c>
      <c r="CB94">
        <v>651</v>
      </c>
      <c r="CC94">
        <v>680</v>
      </c>
      <c r="CD94">
        <v>2291</v>
      </c>
      <c r="CE94">
        <v>-1229</v>
      </c>
      <c r="CF94">
        <v>2366</v>
      </c>
      <c r="CG94">
        <v>2329</v>
      </c>
      <c r="CH94">
        <v>1893</v>
      </c>
      <c r="CI94">
        <v>-268</v>
      </c>
      <c r="CJ94">
        <v>-1069</v>
      </c>
      <c r="CK94">
        <v>-855</v>
      </c>
      <c r="CL94">
        <v>7036</v>
      </c>
      <c r="CM94">
        <v>-88</v>
      </c>
      <c r="CN94">
        <v>-1911</v>
      </c>
      <c r="CO94">
        <v>1441</v>
      </c>
      <c r="CP94">
        <v>5520</v>
      </c>
      <c r="CQ94">
        <v>-74</v>
      </c>
      <c r="CR94">
        <v>-1258</v>
      </c>
      <c r="CS94">
        <v>2859</v>
      </c>
      <c r="CT94">
        <v>10038</v>
      </c>
      <c r="CU94">
        <v>2424</v>
      </c>
      <c r="CV94">
        <v>-570</v>
      </c>
      <c r="CW94">
        <v>-245</v>
      </c>
      <c r="CX94">
        <v>3478</v>
      </c>
      <c r="CY94">
        <v>-3940</v>
      </c>
      <c r="CZ94">
        <v>-2841</v>
      </c>
      <c r="DA94">
        <v>3787</v>
      </c>
      <c r="DB94">
        <v>3744</v>
      </c>
      <c r="DC94">
        <v>-3490</v>
      </c>
      <c r="DD94">
        <v>-5910</v>
      </c>
      <c r="DE94">
        <v>733</v>
      </c>
      <c r="DF94">
        <v>37935</v>
      </c>
      <c r="DG94">
        <v>-2141</v>
      </c>
      <c r="DH94">
        <v>-1914</v>
      </c>
      <c r="DI94">
        <v>814</v>
      </c>
      <c r="DJ94">
        <v>1772</v>
      </c>
      <c r="DK94">
        <v>-4622</v>
      </c>
      <c r="DL94">
        <v>-2798</v>
      </c>
      <c r="DM94">
        <v>2160</v>
      </c>
      <c r="DN94">
        <v>4245</v>
      </c>
      <c r="DO94">
        <v>-2002</v>
      </c>
      <c r="DP94">
        <v>-430</v>
      </c>
      <c r="DQ94">
        <v>3877</v>
      </c>
      <c r="DR94">
        <v>5355</v>
      </c>
      <c r="DS94">
        <v>-3779</v>
      </c>
      <c r="DT94">
        <v>-4697</v>
      </c>
      <c r="DU94">
        <v>-1790</v>
      </c>
      <c r="DV94">
        <v>6525</v>
      </c>
      <c r="DW94">
        <v>-2052</v>
      </c>
      <c r="DX94">
        <v>-3225</v>
      </c>
      <c r="DY94">
        <v>-48</v>
      </c>
      <c r="DZ94">
        <v>-1497</v>
      </c>
      <c r="EA94">
        <v>231</v>
      </c>
      <c r="EB94">
        <v>749</v>
      </c>
      <c r="EC94">
        <v>-6060</v>
      </c>
      <c r="ED94">
        <v>1124</v>
      </c>
      <c r="EE94">
        <v>-5765</v>
      </c>
      <c r="EF94">
        <v>1684</v>
      </c>
      <c r="EG94">
        <v>6608</v>
      </c>
      <c r="EH94">
        <v>-10752</v>
      </c>
      <c r="EI94">
        <v>-6507</v>
      </c>
      <c r="EJ94">
        <v>-1305.3680231562701</v>
      </c>
      <c r="EK94">
        <v>14668.672891063899</v>
      </c>
      <c r="EL94">
        <v>-14492.6308393981</v>
      </c>
      <c r="EM94">
        <v>-457.42198452079401</v>
      </c>
      <c r="EN94">
        <v>-732.73254921177704</v>
      </c>
      <c r="EO94">
        <v>20660.687296401298</v>
      </c>
      <c r="EP94">
        <v>-17021.597394240998</v>
      </c>
      <c r="EQ94">
        <v>-1201.93451152702</v>
      </c>
      <c r="ER94">
        <v>-1405.9722311901501</v>
      </c>
      <c r="ES94">
        <v>19347.340738123701</v>
      </c>
      <c r="ET94">
        <v>-18253.5945032196</v>
      </c>
      <c r="EU94">
        <v>1551.2398608766</v>
      </c>
      <c r="EV94">
        <v>-2083.7033836650799</v>
      </c>
      <c r="EW94">
        <v>18914.731536294799</v>
      </c>
      <c r="EX94">
        <v>-18294.8852501367</v>
      </c>
      <c r="EY94">
        <v>-212.10524327024501</v>
      </c>
      <c r="EZ94">
        <v>-584.94951813090097</v>
      </c>
      <c r="FA94">
        <v>21561.7355127798</v>
      </c>
      <c r="FB94">
        <v>-21185.064950507302</v>
      </c>
      <c r="FC94">
        <v>175.938232030205</v>
      </c>
      <c r="FD94">
        <v>-411.15064993797802</v>
      </c>
      <c r="FE94">
        <v>23616.6911616486</v>
      </c>
    </row>
    <row r="95" spans="1:161">
      <c r="B95" t="s">
        <v>376</v>
      </c>
      <c r="C95" t="s">
        <v>377</v>
      </c>
      <c r="D95" t="str">
        <f t="shared" si="4"/>
      </c>
      <c r="F95">
        <v>3.048</v>
      </c>
      <c r="G95">
        <v>-44.1145</v>
      </c>
      <c r="H95">
        <v>-30.9</v>
      </c>
      <c r="I95">
        <v>-19</v>
      </c>
      <c r="J95">
        <v>123</v>
      </c>
      <c r="K95">
        <v>635.423</v>
      </c>
      <c r="L95">
        <v>231</v>
      </c>
      <c r="M95">
        <v>326.97440999999998</v>
      </c>
      <c r="N95">
        <v>936</v>
      </c>
      <c r="O95">
        <v>1750</v>
      </c>
      <c r="P95">
        <v>2319</v>
      </c>
      <c r="Q95">
        <v>4036</v>
      </c>
      <c r="R95">
        <v>6145</v>
      </c>
      <c r="S95">
        <v>3394</v>
      </c>
      <c r="T95">
        <v>5210</v>
      </c>
      <c r="U95">
        <v>4968</v>
      </c>
      <c r="V95">
        <v>9148</v>
      </c>
      <c r="W95">
        <v>10640</v>
      </c>
      <c r="X95">
        <v>-27694</v>
      </c>
      <c r="Y95">
        <v>5076</v>
      </c>
      <c r="Z95">
        <v>6517</v>
      </c>
      <c r="AA95">
        <v>2985</v>
      </c>
      <c r="AB95">
        <v>10044</v>
      </c>
      <c r="AC95">
        <v>8606</v>
      </c>
      <c r="AD95">
        <v>9422</v>
      </c>
      <c r="AE95">
        <v>10308.35</v>
      </c>
      <c r="AF95">
        <v>13151.6175</v>
      </c>
      <c r="AG95">
        <v>13809.198375</v>
      </c>
      <c r="AH95">
        <v>14499.658293750001</v>
      </c>
      <c r="AI95">
        <v>15224.641208437501</v>
      </c>
      <c r="AJ95">
        <v>15985.873268859399</v>
      </c>
      <c r="AL95">
        <v>-42.488</v>
      </c>
      <c r="AM95">
        <v>12.05</v>
      </c>
      <c r="AN95">
        <v>33.4</v>
      </c>
      <c r="AO95">
        <v>8.5999999999999993E-2</v>
      </c>
      <c r="AP95">
        <v>-109.28400000000001</v>
      </c>
      <c r="AQ95">
        <v>14.467499999999999</v>
      </c>
      <c r="AR95">
        <v>26</v>
      </c>
      <c r="AS95">
        <v>24.702000000000002</v>
      </c>
      <c r="AT95">
        <v>-31.3</v>
      </c>
      <c r="AU95">
        <v>42.4</v>
      </c>
      <c r="AV95">
        <v>-32</v>
      </c>
      <c r="AW95">
        <v>-10</v>
      </c>
      <c r="AX95">
        <v>-9</v>
      </c>
      <c r="AY95">
        <v>-25</v>
      </c>
      <c r="AZ95">
        <v>-2</v>
      </c>
      <c r="BA95">
        <v>17</v>
      </c>
      <c r="BB95">
        <v>9</v>
      </c>
      <c r="BC95">
        <v>1</v>
      </c>
      <c r="BD95">
        <v>60</v>
      </c>
      <c r="BE95">
        <v>53</v>
      </c>
      <c r="BF95">
        <v>146</v>
      </c>
      <c r="BG95">
        <v>170</v>
      </c>
      <c r="BH95">
        <v>6</v>
      </c>
      <c r="BI95">
        <v>313.423</v>
      </c>
      <c r="BJ95">
        <v>114</v>
      </c>
      <c r="BK95">
        <v>58</v>
      </c>
      <c r="BL95">
        <v>153</v>
      </c>
      <c r="BM95">
        <v>-94</v>
      </c>
      <c r="BN95">
        <v>123.97441000000001</v>
      </c>
      <c r="BO95">
        <v>154</v>
      </c>
      <c r="BP95">
        <v>161</v>
      </c>
      <c r="BQ95">
        <v>-112</v>
      </c>
      <c r="BR95">
        <v>173</v>
      </c>
      <c r="BS95">
        <v>167</v>
      </c>
      <c r="BT95">
        <v>233</v>
      </c>
      <c r="BU95">
        <v>363</v>
      </c>
      <c r="BV95">
        <v>446</v>
      </c>
      <c r="BW95">
        <v>475</v>
      </c>
      <c r="BX95">
        <v>381</v>
      </c>
      <c r="BY95">
        <v>448</v>
      </c>
      <c r="BZ95">
        <v>630</v>
      </c>
      <c r="CA95">
        <v>699</v>
      </c>
      <c r="CB95">
        <v>624</v>
      </c>
      <c r="CC95">
        <v>366</v>
      </c>
      <c r="CD95">
        <v>1122</v>
      </c>
      <c r="CE95">
        <v>1027</v>
      </c>
      <c r="CF95">
        <v>953</v>
      </c>
      <c r="CG95">
        <v>934</v>
      </c>
      <c r="CH95">
        <v>1876</v>
      </c>
      <c r="CI95">
        <v>1883</v>
      </c>
      <c r="CJ95">
        <v>1599</v>
      </c>
      <c r="CK95">
        <v>787</v>
      </c>
      <c r="CL95">
        <v>1724</v>
      </c>
      <c r="CM95">
        <v>1353</v>
      </c>
      <c r="CN95">
        <v>1145</v>
      </c>
      <c r="CO95">
        <v>-828</v>
      </c>
      <c r="CP95">
        <v>1934</v>
      </c>
      <c r="CQ95">
        <v>1502</v>
      </c>
      <c r="CR95">
        <v>1819</v>
      </c>
      <c r="CS95">
        <v>-45</v>
      </c>
      <c r="CT95">
        <v>3085</v>
      </c>
      <c r="CU95">
        <v>609</v>
      </c>
      <c r="CV95">
        <v>1797</v>
      </c>
      <c r="CW95">
        <v>-523</v>
      </c>
      <c r="CX95">
        <v>2670</v>
      </c>
      <c r="CY95">
        <v>2548</v>
      </c>
      <c r="CZ95">
        <v>3153</v>
      </c>
      <c r="DA95">
        <v>777</v>
      </c>
      <c r="DB95">
        <v>2434</v>
      </c>
      <c r="DC95">
        <v>2652</v>
      </c>
      <c r="DD95">
        <v>3202</v>
      </c>
      <c r="DE95">
        <v>2352</v>
      </c>
      <c r="DF95">
        <v>-32452</v>
      </c>
      <c r="DG95">
        <v>710</v>
      </c>
      <c r="DH95">
        <v>2218</v>
      </c>
      <c r="DI95">
        <v>1830</v>
      </c>
      <c r="DJ95">
        <v>1558</v>
      </c>
      <c r="DK95">
        <v>1176</v>
      </c>
      <c r="DL95">
        <v>1457</v>
      </c>
      <c r="DM95">
        <v>885</v>
      </c>
      <c r="DN95">
        <v>1219</v>
      </c>
      <c r="DO95">
        <v>1278</v>
      </c>
      <c r="DP95">
        <v>2696</v>
      </c>
      <c r="DQ95">
        <v>1324</v>
      </c>
      <c r="DR95">
        <v>1987</v>
      </c>
      <c r="DS95">
        <v>1333</v>
      </c>
      <c r="DT95">
        <v>1215</v>
      </c>
      <c r="DU95">
        <v>-1550</v>
      </c>
      <c r="DV95">
        <v>3114</v>
      </c>
      <c r="DW95">
        <v>2471</v>
      </c>
      <c r="DX95">
        <v>3870</v>
      </c>
      <c r="DY95">
        <v>589</v>
      </c>
      <c r="DZ95">
        <v>2588</v>
      </c>
      <c r="EA95">
        <v>1271</v>
      </c>
      <c r="EB95">
        <v>2698</v>
      </c>
      <c r="EC95">
        <v>2049</v>
      </c>
      <c r="ED95">
        <v>2008</v>
      </c>
      <c r="EE95">
        <v>1982</v>
      </c>
      <c r="EF95">
        <v>2876</v>
      </c>
      <c r="EG95">
        <v>2556</v>
      </c>
      <c r="EH95">
        <v>1277</v>
      </c>
      <c r="EI95">
        <v>3018</v>
      </c>
      <c r="EJ95">
        <v>3012.45</v>
      </c>
      <c r="EK95">
        <v>3000.9</v>
      </c>
      <c r="EL95">
        <v>3450.3</v>
      </c>
      <c r="EM95">
        <v>3387.3</v>
      </c>
      <c r="EN95">
        <v>3163.0725000000002</v>
      </c>
      <c r="EO95">
        <v>3150.9450000000002</v>
      </c>
      <c r="EP95">
        <v>3622.8150000000001</v>
      </c>
      <c r="EQ95">
        <v>3556.665</v>
      </c>
      <c r="ER95">
        <v>3321.2261250000001</v>
      </c>
      <c r="ES95">
        <v>3308.4922499999998</v>
      </c>
      <c r="ET95">
        <v>3803.9557500000001</v>
      </c>
      <c r="EU95">
        <v>3734.4982500000001</v>
      </c>
      <c r="EV95">
        <v>3487.2874312499998</v>
      </c>
      <c r="EW95">
        <v>3473.9168625000002</v>
      </c>
      <c r="EX95">
        <v>3994.1535374999999</v>
      </c>
      <c r="EY95">
        <v>3921.2231624999999</v>
      </c>
      <c r="EZ95">
        <v>3661.6518028125001</v>
      </c>
      <c r="FA95">
        <v>3647.6127056250002</v>
      </c>
      <c r="FB95">
        <v>4193.8612143749997</v>
      </c>
      <c r="FC95">
        <v>4117.284320625</v>
      </c>
      <c r="FD95">
        <v>3844.7343929531298</v>
      </c>
      <c r="FE95">
        <v>3829.9933409062501</v>
      </c>
    </row>
    <row r="96" spans="1:161">
      <c r="B96" t="s">
        <v>378</v>
      </c>
      <c r="C96" t="s">
        <v>379</v>
      </c>
      <c r="D96" t="str">
        <f t="shared" si="4"/>
      </c>
      <c r="F96">
        <v>868</v>
      </c>
      <c r="G96">
        <v>185</v>
      </c>
      <c r="H96">
        <v>89</v>
      </c>
      <c r="I96">
        <v>289</v>
      </c>
      <c r="J96">
        <v>934</v>
      </c>
      <c r="K96">
        <v>2535.4229999999998</v>
      </c>
      <c r="L96">
        <v>2220</v>
      </c>
      <c r="M96">
        <v>5469.9744099999998</v>
      </c>
      <c r="N96">
        <v>9596</v>
      </c>
      <c r="O96">
        <v>10159</v>
      </c>
      <c r="P96">
        <v>18595</v>
      </c>
      <c r="Q96">
        <v>37529</v>
      </c>
      <c r="R96">
        <v>50856</v>
      </c>
      <c r="S96">
        <v>53666</v>
      </c>
      <c r="T96">
        <v>59713</v>
      </c>
      <c r="U96">
        <v>81266</v>
      </c>
      <c r="V96">
        <v>65824</v>
      </c>
      <c r="W96">
        <v>64225</v>
      </c>
      <c r="X96">
        <v>77434</v>
      </c>
      <c r="Y96">
        <v>69391</v>
      </c>
      <c r="Z96">
        <v>80674</v>
      </c>
      <c r="AA96">
        <v>104038</v>
      </c>
      <c r="AB96">
        <v>122151</v>
      </c>
      <c r="AC96">
        <v>110543</v>
      </c>
      <c r="AD96">
        <v>118254</v>
      </c>
      <c r="AE96">
        <v>125679.020759494</v>
      </c>
      <c r="AF96">
        <v>141544.161241205</v>
      </c>
      <c r="AG96">
        <v>149388.84233100101</v>
      </c>
      <c r="AH96">
        <v>158555.44674186001</v>
      </c>
      <c r="AI96">
        <v>170081.878108898</v>
      </c>
      <c r="AJ96">
        <v>179764.73166607201</v>
      </c>
      <c r="AL96">
        <v>373</v>
      </c>
      <c r="AM96">
        <v>61</v>
      </c>
      <c r="AN96">
        <v>234</v>
      </c>
      <c r="AO96">
        <v>200</v>
      </c>
      <c r="AP96">
        <v>-13</v>
      </c>
      <c r="AQ96">
        <v>-44</v>
      </c>
      <c r="AR96">
        <v>-33</v>
      </c>
      <c r="AS96">
        <v>275</v>
      </c>
      <c r="AT96">
        <v>42</v>
      </c>
      <c r="AU96">
        <v>2</v>
      </c>
      <c r="AV96">
        <v>-37</v>
      </c>
      <c r="AW96">
        <v>82</v>
      </c>
      <c r="AX96">
        <v>110</v>
      </c>
      <c r="AY96">
        <v>98</v>
      </c>
      <c r="AZ96">
        <v>8</v>
      </c>
      <c r="BA96">
        <v>73</v>
      </c>
      <c r="BB96">
        <v>219</v>
      </c>
      <c r="BC96">
        <v>61</v>
      </c>
      <c r="BD96">
        <v>211</v>
      </c>
      <c r="BE96">
        <v>443</v>
      </c>
      <c r="BF96">
        <v>775</v>
      </c>
      <c r="BG96">
        <v>536</v>
      </c>
      <c r="BH96">
        <v>472</v>
      </c>
      <c r="BI96">
        <v>752.423</v>
      </c>
      <c r="BJ96">
        <v>283</v>
      </c>
      <c r="BK96">
        <v>-125</v>
      </c>
      <c r="BL96">
        <v>1007</v>
      </c>
      <c r="BM96">
        <v>1055</v>
      </c>
      <c r="BN96">
        <v>1812.97441</v>
      </c>
      <c r="BO96">
        <v>734</v>
      </c>
      <c r="BP96">
        <v>1227</v>
      </c>
      <c r="BQ96">
        <v>1696</v>
      </c>
      <c r="BR96">
        <v>2787</v>
      </c>
      <c r="BS96">
        <v>1193</v>
      </c>
      <c r="BT96">
        <v>1321</v>
      </c>
      <c r="BU96">
        <v>4295</v>
      </c>
      <c r="BV96">
        <v>3938</v>
      </c>
      <c r="BW96">
        <v>841</v>
      </c>
      <c r="BX96">
        <v>2270</v>
      </c>
      <c r="BY96">
        <v>3110</v>
      </c>
      <c r="BZ96">
        <v>5781</v>
      </c>
      <c r="CA96">
        <v>2330</v>
      </c>
      <c r="CB96">
        <v>4801</v>
      </c>
      <c r="CC96">
        <v>5683</v>
      </c>
      <c r="CD96">
        <v>9773</v>
      </c>
      <c r="CE96">
        <v>6219</v>
      </c>
      <c r="CF96">
        <v>11108</v>
      </c>
      <c r="CG96">
        <v>10429</v>
      </c>
      <c r="CH96">
        <v>17554</v>
      </c>
      <c r="CI96">
        <v>13977</v>
      </c>
      <c r="CJ96">
        <v>10189</v>
      </c>
      <c r="CK96">
        <v>9136</v>
      </c>
      <c r="CL96">
        <v>23426</v>
      </c>
      <c r="CM96">
        <v>12504</v>
      </c>
      <c r="CN96">
        <v>7828</v>
      </c>
      <c r="CO96">
        <v>9908</v>
      </c>
      <c r="CP96">
        <v>22670</v>
      </c>
      <c r="CQ96">
        <v>13538</v>
      </c>
      <c r="CR96">
        <v>10255</v>
      </c>
      <c r="CS96">
        <v>13250</v>
      </c>
      <c r="CT96">
        <v>33722</v>
      </c>
      <c r="CU96">
        <v>19081</v>
      </c>
      <c r="CV96">
        <v>14988</v>
      </c>
      <c r="CW96">
        <v>13475</v>
      </c>
      <c r="CX96">
        <v>27463</v>
      </c>
      <c r="CY96">
        <v>11601</v>
      </c>
      <c r="CZ96">
        <v>10634</v>
      </c>
      <c r="DA96">
        <v>16126</v>
      </c>
      <c r="DB96">
        <v>27056</v>
      </c>
      <c r="DC96">
        <v>12523</v>
      </c>
      <c r="DD96">
        <v>8363</v>
      </c>
      <c r="DE96">
        <v>16283</v>
      </c>
      <c r="DF96">
        <v>28293</v>
      </c>
      <c r="DG96">
        <v>15130</v>
      </c>
      <c r="DH96">
        <v>14488</v>
      </c>
      <c r="DI96">
        <v>19523</v>
      </c>
      <c r="DJ96">
        <v>26690</v>
      </c>
      <c r="DK96">
        <v>11155</v>
      </c>
      <c r="DL96">
        <v>11636</v>
      </c>
      <c r="DM96">
        <v>19910</v>
      </c>
      <c r="DN96">
        <v>30516</v>
      </c>
      <c r="DO96">
        <v>13311</v>
      </c>
      <c r="DP96">
        <v>16271</v>
      </c>
      <c r="DQ96">
        <v>20576</v>
      </c>
      <c r="DR96">
        <v>38763</v>
      </c>
      <c r="DS96">
        <v>23981</v>
      </c>
      <c r="DT96">
        <v>21094</v>
      </c>
      <c r="DU96">
        <v>20200</v>
      </c>
      <c r="DV96">
        <v>46966</v>
      </c>
      <c r="DW96">
        <v>28166</v>
      </c>
      <c r="DX96">
        <v>22892</v>
      </c>
      <c r="DY96">
        <v>24127</v>
      </c>
      <c r="DZ96">
        <v>34005</v>
      </c>
      <c r="EA96">
        <v>28560</v>
      </c>
      <c r="EB96">
        <v>26380</v>
      </c>
      <c r="EC96">
        <v>21598</v>
      </c>
      <c r="ED96">
        <v>39896</v>
      </c>
      <c r="EE96">
        <v>22689</v>
      </c>
      <c r="EF96">
        <v>28858</v>
      </c>
      <c r="EG96">
        <v>26811</v>
      </c>
      <c r="EH96">
        <v>29935</v>
      </c>
      <c r="EI96">
        <v>23952</v>
      </c>
      <c r="EJ96">
        <v>26134.906187278299</v>
      </c>
      <c r="EK96">
        <v>45657.114572215301</v>
      </c>
      <c r="EL96">
        <v>27652.0773579296</v>
      </c>
      <c r="EM96">
        <v>30778.296782359299</v>
      </c>
      <c r="EN96">
        <v>27943.702991778999</v>
      </c>
      <c r="EO96">
        <v>55170.084109137097</v>
      </c>
      <c r="EP96">
        <v>31074.9246950421</v>
      </c>
      <c r="EQ96">
        <v>32954.343760321099</v>
      </c>
      <c r="ER96">
        <v>29676.394750107</v>
      </c>
      <c r="ES96">
        <v>55683.179125531002</v>
      </c>
      <c r="ET96">
        <v>31653.170057665298</v>
      </c>
      <c r="EU96">
        <v>38435.889992033699</v>
      </c>
      <c r="EV96">
        <v>31217.971740090201</v>
      </c>
      <c r="EW96">
        <v>57248.414952070401</v>
      </c>
      <c r="EX96">
        <v>34656.3432630182</v>
      </c>
      <c r="EY96">
        <v>38000.202096478897</v>
      </c>
      <c r="EZ96">
        <v>34601.443460713199</v>
      </c>
      <c r="FA96">
        <v>62823.889288687998</v>
      </c>
      <c r="FB96">
        <v>34519.945024105698</v>
      </c>
      <c r="FC96">
        <v>40591.332423432097</v>
      </c>
      <c r="FD96">
        <v>36881.329642192497</v>
      </c>
      <c r="FE96">
        <v>67772.124576341594</v>
      </c>
    </row>
    <row r="97" spans="1:161">
      <c r="B97" t="s">
        <v>380</v>
      </c>
      <c r="C97" t="s">
        <v>381</v>
      </c>
      <c r="D97" t="str">
        <f t="shared" si="4"/>
      </c>
      <c r="F97">
        <v>-131</v>
      </c>
      <c r="G97">
        <v>-232</v>
      </c>
      <c r="H97">
        <v>-174</v>
      </c>
      <c r="I97">
        <v>-164</v>
      </c>
      <c r="J97">
        <v>-176</v>
      </c>
      <c r="K97">
        <v>-260</v>
      </c>
      <c r="L97">
        <v>-657</v>
      </c>
      <c r="M97">
        <v>-735</v>
      </c>
      <c r="N97">
        <v>-1091</v>
      </c>
      <c r="O97">
        <v>-1144</v>
      </c>
      <c r="P97">
        <v>-2005</v>
      </c>
      <c r="Q97">
        <v>-4260</v>
      </c>
      <c r="R97">
        <v>-8295</v>
      </c>
      <c r="S97">
        <v>-8165</v>
      </c>
      <c r="T97">
        <v>-9571</v>
      </c>
      <c r="U97">
        <v>-11247</v>
      </c>
      <c r="V97">
        <v>-12734</v>
      </c>
      <c r="W97">
        <v>-12451</v>
      </c>
      <c r="X97">
        <v>-13313</v>
      </c>
      <c r="Y97">
        <v>-10495</v>
      </c>
      <c r="Z97">
        <v>-7309</v>
      </c>
      <c r="AA97">
        <v>-11085</v>
      </c>
      <c r="AB97">
        <v>-10708</v>
      </c>
      <c r="AC97">
        <v>-10959</v>
      </c>
      <c r="AD97">
        <v>-9447</v>
      </c>
      <c r="AE97">
        <v>-11563.9877371126</v>
      </c>
      <c r="AF97">
        <v>-12119.354935685</v>
      </c>
      <c r="AG97">
        <v>-13323.5585949616</v>
      </c>
      <c r="AH97">
        <v>-14171.8323404075</v>
      </c>
      <c r="AI97">
        <v>-15034.5166175145</v>
      </c>
      <c r="AJ97">
        <v>-15978.8287977113</v>
      </c>
      <c r="AL97">
        <v>-38</v>
      </c>
      <c r="AM97">
        <v>-27</v>
      </c>
      <c r="AO97">
        <v>-66</v>
      </c>
      <c r="AP97">
        <v>-22</v>
      </c>
      <c r="AQ97">
        <v>-17</v>
      </c>
      <c r="AR97">
        <v>-30</v>
      </c>
      <c r="AS97">
        <v>-163</v>
      </c>
      <c r="AT97">
        <v>-36</v>
      </c>
      <c r="AU97">
        <v>-43</v>
      </c>
      <c r="AV97">
        <v>-31</v>
      </c>
      <c r="AW97">
        <v>-64</v>
      </c>
      <c r="AX97">
        <v>-20</v>
      </c>
      <c r="AY97">
        <v>-40</v>
      </c>
      <c r="AZ97">
        <v>-46</v>
      </c>
      <c r="BA97">
        <v>-58</v>
      </c>
      <c r="BB97">
        <v>-44</v>
      </c>
      <c r="BC97">
        <v>-35</v>
      </c>
      <c r="BD97">
        <v>-38</v>
      </c>
      <c r="BE97">
        <v>-59</v>
      </c>
      <c r="BF97">
        <v>-58</v>
      </c>
      <c r="BG97">
        <v>-43</v>
      </c>
      <c r="BH97">
        <v>-63</v>
      </c>
      <c r="BI97">
        <v>-96</v>
      </c>
      <c r="BJ97">
        <v>-82</v>
      </c>
      <c r="BK97">
        <v>-193</v>
      </c>
      <c r="BL97">
        <v>-237</v>
      </c>
      <c r="BM97">
        <v>-145</v>
      </c>
      <c r="BN97">
        <v>-142</v>
      </c>
      <c r="BO97">
        <v>-105</v>
      </c>
      <c r="BP97">
        <v>-283</v>
      </c>
      <c r="BQ97">
        <v>-205</v>
      </c>
      <c r="BR97">
        <v>-224</v>
      </c>
      <c r="BS97">
        <v>-160</v>
      </c>
      <c r="BT97">
        <v>-304</v>
      </c>
      <c r="BU97">
        <v>-403</v>
      </c>
      <c r="BV97">
        <v>-339</v>
      </c>
      <c r="BW97">
        <v>-100</v>
      </c>
      <c r="BX97">
        <v>-246</v>
      </c>
      <c r="BY97">
        <v>-459</v>
      </c>
      <c r="BZ97">
        <v>-376</v>
      </c>
      <c r="CA97">
        <v>-274</v>
      </c>
      <c r="CB97">
        <v>-595</v>
      </c>
      <c r="CC97">
        <v>-760</v>
      </c>
      <c r="CD97">
        <v>-1214</v>
      </c>
      <c r="CE97">
        <v>-624</v>
      </c>
      <c r="CF97">
        <v>-777</v>
      </c>
      <c r="CG97">
        <v>-1645</v>
      </c>
      <c r="CH97">
        <v>-1321</v>
      </c>
      <c r="CI97">
        <v>-1457</v>
      </c>
      <c r="CJ97">
        <v>-2056</v>
      </c>
      <c r="CK97">
        <v>-3461</v>
      </c>
      <c r="CL97">
        <v>-2317</v>
      </c>
      <c r="CM97">
        <v>-2008</v>
      </c>
      <c r="CN97">
        <v>-1885</v>
      </c>
      <c r="CO97">
        <v>-1955</v>
      </c>
      <c r="CP97">
        <v>-1985</v>
      </c>
      <c r="CQ97">
        <v>-1382</v>
      </c>
      <c r="CR97">
        <v>-2378</v>
      </c>
      <c r="CS97">
        <v>-3826</v>
      </c>
      <c r="CT97">
        <v>-3217</v>
      </c>
      <c r="CU97">
        <v>-2369</v>
      </c>
      <c r="CV97">
        <v>-2043</v>
      </c>
      <c r="CW97">
        <v>-3618</v>
      </c>
      <c r="CX97">
        <v>-3612</v>
      </c>
      <c r="CY97">
        <v>-2336</v>
      </c>
      <c r="CZ97">
        <v>-2809</v>
      </c>
      <c r="DA97">
        <v>-3977</v>
      </c>
      <c r="DB97">
        <v>-3334</v>
      </c>
      <c r="DC97">
        <v>-2975</v>
      </c>
      <c r="DD97">
        <v>-2277</v>
      </c>
      <c r="DE97">
        <v>-3865</v>
      </c>
      <c r="DF97">
        <v>-2810</v>
      </c>
      <c r="DG97">
        <v>-4195</v>
      </c>
      <c r="DH97">
        <v>-3267</v>
      </c>
      <c r="DI97">
        <v>-3041</v>
      </c>
      <c r="DJ97">
        <v>-3355</v>
      </c>
      <c r="DK97">
        <v>-2363</v>
      </c>
      <c r="DL97">
        <v>-2000</v>
      </c>
      <c r="DM97">
        <v>-2777</v>
      </c>
      <c r="DN97">
        <v>-2107</v>
      </c>
      <c r="DO97">
        <v>-1853</v>
      </c>
      <c r="DP97">
        <v>-1565</v>
      </c>
      <c r="DQ97">
        <v>-1784</v>
      </c>
      <c r="DR97">
        <v>-3500</v>
      </c>
      <c r="DS97">
        <v>-2269</v>
      </c>
      <c r="DT97">
        <v>-2093</v>
      </c>
      <c r="DU97">
        <v>-3223</v>
      </c>
      <c r="DV97">
        <v>-2803</v>
      </c>
      <c r="DW97">
        <v>-2514</v>
      </c>
      <c r="DX97">
        <v>-2102</v>
      </c>
      <c r="DY97">
        <v>-3289</v>
      </c>
      <c r="DZ97">
        <v>-3787</v>
      </c>
      <c r="EA97">
        <v>-2916</v>
      </c>
      <c r="EB97">
        <v>-2093</v>
      </c>
      <c r="EC97">
        <v>-2163</v>
      </c>
      <c r="ED97">
        <v>-2392</v>
      </c>
      <c r="EE97">
        <v>-1996</v>
      </c>
      <c r="EF97">
        <v>-2151</v>
      </c>
      <c r="EG97">
        <v>-2908</v>
      </c>
      <c r="EH97">
        <v>-2940</v>
      </c>
      <c r="EI97">
        <v>-3071</v>
      </c>
      <c r="EJ97">
        <v>-2599.9881521053298</v>
      </c>
      <c r="EK97">
        <v>-2952.9995850073001</v>
      </c>
      <c r="EL97">
        <v>-3180.47440297813</v>
      </c>
      <c r="EM97">
        <v>-2933.0203395548501</v>
      </c>
      <c r="EN97">
        <v>-2686.2886797803499</v>
      </c>
      <c r="EO97">
        <v>-3319.5715133717199</v>
      </c>
      <c r="EP97">
        <v>-3662.8945664488801</v>
      </c>
      <c r="EQ97">
        <v>-3228.99032870884</v>
      </c>
      <c r="ER97">
        <v>-2929.46439727707</v>
      </c>
      <c r="ES97">
        <v>-3502.20930252678</v>
      </c>
      <c r="ET97">
        <v>-3803.5028280311299</v>
      </c>
      <c r="EU97">
        <v>-3509.74659917808</v>
      </c>
      <c r="EV97">
        <v>-3154.49654040107</v>
      </c>
      <c r="EW97">
        <v>-3704.0863727972201</v>
      </c>
      <c r="EX97">
        <v>-4046.0554362891498</v>
      </c>
      <c r="EY97">
        <v>-3637.4388958937898</v>
      </c>
      <c r="EZ97">
        <v>-3345.1991557316501</v>
      </c>
      <c r="FA97">
        <v>-4005.8231295998899</v>
      </c>
      <c r="FB97">
        <v>-4262.0470465696199</v>
      </c>
      <c r="FC97">
        <v>-3858.2805216329998</v>
      </c>
      <c r="FD97">
        <v>-3556.7559636424598</v>
      </c>
      <c r="FE97">
        <v>-4301.7452658662696</v>
      </c>
    </row>
    <row r="98" spans="1:161">
      <c r="B98" t="s">
        <v>382</v>
      </c>
      <c r="C98" t="s">
        <v>383</v>
      </c>
      <c r="D98" t="str">
        <f t="shared" si="4"/>
      </c>
      <c r="G98">
        <v>-19</v>
      </c>
      <c r="H98">
        <v>-52</v>
      </c>
      <c r="M98">
        <v>-251</v>
      </c>
      <c r="N98">
        <v>-328</v>
      </c>
      <c r="O98">
        <v>-69</v>
      </c>
      <c r="P98">
        <v>-754</v>
      </c>
      <c r="Q98">
        <v>-3436</v>
      </c>
      <c r="R98">
        <v>-1457</v>
      </c>
      <c r="S98">
        <v>-1407</v>
      </c>
      <c r="T98">
        <v>-4007</v>
      </c>
      <c r="U98">
        <v>-584</v>
      </c>
      <c r="V98">
        <v>-1111</v>
      </c>
      <c r="W98">
        <v>-673</v>
      </c>
      <c r="X98">
        <v>-721</v>
      </c>
      <c r="Y98">
        <v>-624</v>
      </c>
      <c r="Z98">
        <v>-1524</v>
      </c>
      <c r="AA98">
        <v>-33</v>
      </c>
      <c r="AB98">
        <v>-306</v>
      </c>
      <c r="AS98">
        <v>-19</v>
      </c>
      <c r="AW98">
        <v>-52</v>
      </c>
      <c r="BN98">
        <v>-115</v>
      </c>
      <c r="BO98">
        <v>-101</v>
      </c>
      <c r="BP98">
        <v>-6</v>
      </c>
      <c r="BQ98">
        <v>-29</v>
      </c>
      <c r="BR98">
        <v>-8</v>
      </c>
      <c r="BS98">
        <v>-55</v>
      </c>
      <c r="BT98">
        <v>-26</v>
      </c>
      <c r="BU98">
        <v>-239</v>
      </c>
      <c r="BV98">
        <v>-14</v>
      </c>
      <c r="BW98">
        <v>-16</v>
      </c>
      <c r="BX98">
        <v>-26</v>
      </c>
      <c r="BY98">
        <v>-13</v>
      </c>
      <c r="BZ98">
        <v>-5</v>
      </c>
      <c r="CA98">
        <v>-352</v>
      </c>
      <c r="CB98">
        <v>-321</v>
      </c>
      <c r="CC98">
        <v>-76</v>
      </c>
      <c r="CD98">
        <v>-49</v>
      </c>
      <c r="CE98">
        <v>-32</v>
      </c>
      <c r="CF98">
        <v>-185</v>
      </c>
      <c r="CG98">
        <v>-3170</v>
      </c>
      <c r="CH98">
        <v>-108</v>
      </c>
      <c r="CI98">
        <v>-402</v>
      </c>
      <c r="CJ98">
        <v>-907</v>
      </c>
      <c r="CK98">
        <v>-40</v>
      </c>
      <c r="CL98">
        <v>-422</v>
      </c>
      <c r="CM98">
        <v>-306</v>
      </c>
      <c r="CN98">
        <v>-275</v>
      </c>
      <c r="CO98">
        <v>-404</v>
      </c>
      <c r="CP98">
        <v>-584</v>
      </c>
      <c r="CQ98">
        <v>-138</v>
      </c>
      <c r="CR98">
        <v>-392</v>
      </c>
      <c r="CS98">
        <v>-2893</v>
      </c>
      <c r="CT98">
        <v>-71</v>
      </c>
      <c r="CU98">
        <v>-199</v>
      </c>
      <c r="CV98">
        <v>-161</v>
      </c>
      <c r="CW98">
        <v>-153</v>
      </c>
      <c r="CX98">
        <v>-480</v>
      </c>
      <c r="CY98">
        <v>-317</v>
      </c>
      <c r="CZ98">
        <v>-102</v>
      </c>
      <c r="DA98">
        <v>-212</v>
      </c>
      <c r="DB98">
        <v>-103</v>
      </c>
      <c r="DC98">
        <v>-90</v>
      </c>
      <c r="DD98">
        <v>-351</v>
      </c>
      <c r="DE98">
        <v>-129</v>
      </c>
      <c r="DF98">
        <v>-314</v>
      </c>
      <c r="DG98">
        <v>9</v>
      </c>
      <c r="DH98">
        <v>-1604</v>
      </c>
      <c r="DI98">
        <v>1188</v>
      </c>
      <c r="DJ98">
        <v>-594</v>
      </c>
      <c r="DK98">
        <v>303</v>
      </c>
      <c r="DL98">
        <v>574</v>
      </c>
      <c r="DM98">
        <v>-907</v>
      </c>
      <c r="DN98">
        <v>-1035</v>
      </c>
      <c r="DO98">
        <v>-99</v>
      </c>
      <c r="DP98">
        <v>-339</v>
      </c>
      <c r="DQ98">
        <v>-51</v>
      </c>
      <c r="DR98">
        <v>-9</v>
      </c>
      <c r="DT98">
        <v>-4</v>
      </c>
      <c r="DU98">
        <v>-20</v>
      </c>
      <c r="DW98">
        <v>-167</v>
      </c>
      <c r="DX98">
        <v>-2</v>
      </c>
      <c r="DY98">
        <v>-137</v>
      </c>
    </row>
    <row r="99" spans="1:161">
      <c r="B99" t="s">
        <v>384</v>
      </c>
      <c r="C99" t="s">
        <v>385</v>
      </c>
      <c r="D99" t="str">
        <f t="shared" si="4"/>
      </c>
    </row>
    <row r="100" spans="1:161">
      <c r="B100" t="s">
        <v>386</v>
      </c>
      <c r="C100" t="s">
        <v>387</v>
      </c>
      <c r="D100" t="str">
        <f t="shared" si="4"/>
      </c>
      <c r="F100">
        <v>-841</v>
      </c>
      <c r="G100">
        <v>1143</v>
      </c>
      <c r="H100">
        <v>-26</v>
      </c>
      <c r="I100">
        <v>992</v>
      </c>
      <c r="J100">
        <v>-1312</v>
      </c>
      <c r="K100">
        <v>-2296</v>
      </c>
      <c r="L100">
        <v>1014</v>
      </c>
      <c r="M100">
        <v>-2263</v>
      </c>
      <c r="N100">
        <v>-6770</v>
      </c>
      <c r="O100">
        <v>-16221</v>
      </c>
      <c r="P100">
        <v>-11095</v>
      </c>
      <c r="Q100">
        <v>-32723</v>
      </c>
      <c r="R100">
        <v>-38475</v>
      </c>
      <c r="S100">
        <v>-24202</v>
      </c>
      <c r="T100">
        <v>-9001</v>
      </c>
      <c r="U100">
        <v>-44443</v>
      </c>
      <c r="V100">
        <v>-32132</v>
      </c>
      <c r="W100">
        <v>-33322</v>
      </c>
      <c r="X100">
        <v>30100</v>
      </c>
      <c r="Y100">
        <v>57015</v>
      </c>
      <c r="Z100">
        <v>4544</v>
      </c>
      <c r="AA100">
        <v>-3427</v>
      </c>
      <c r="AB100">
        <v>-11340</v>
      </c>
      <c r="AL100">
        <v>-51</v>
      </c>
      <c r="AM100">
        <v>12</v>
      </c>
      <c r="AN100">
        <v>-505</v>
      </c>
      <c r="AO100">
        <v>-297</v>
      </c>
      <c r="AP100">
        <v>578</v>
      </c>
      <c r="AQ100">
        <v>447</v>
      </c>
      <c r="AR100">
        <v>40</v>
      </c>
      <c r="AS100">
        <v>78</v>
      </c>
      <c r="AT100">
        <v>-381</v>
      </c>
      <c r="AU100">
        <v>-782</v>
      </c>
      <c r="AV100">
        <v>113</v>
      </c>
      <c r="AW100">
        <v>1024</v>
      </c>
      <c r="AX100">
        <v>257</v>
      </c>
      <c r="AY100">
        <v>737</v>
      </c>
      <c r="AZ100">
        <v>120</v>
      </c>
      <c r="BA100">
        <v>-122</v>
      </c>
      <c r="BB100">
        <v>121</v>
      </c>
      <c r="BC100">
        <v>-368</v>
      </c>
      <c r="BD100">
        <v>-422</v>
      </c>
      <c r="BE100">
        <v>-643</v>
      </c>
      <c r="BF100">
        <v>-1465</v>
      </c>
      <c r="BG100">
        <v>-866</v>
      </c>
      <c r="BH100">
        <v>368</v>
      </c>
      <c r="BI100">
        <v>-333</v>
      </c>
      <c r="BJ100">
        <v>175</v>
      </c>
      <c r="BK100">
        <v>2655</v>
      </c>
      <c r="BL100">
        <v>768</v>
      </c>
      <c r="BM100">
        <v>-2584</v>
      </c>
      <c r="BN100">
        <v>-977</v>
      </c>
      <c r="BO100">
        <v>-772</v>
      </c>
      <c r="BP100">
        <v>-1144</v>
      </c>
      <c r="BQ100">
        <v>630</v>
      </c>
      <c r="BR100">
        <v>-3230</v>
      </c>
      <c r="BS100">
        <v>-1147</v>
      </c>
      <c r="BT100">
        <v>-1042</v>
      </c>
      <c r="BU100">
        <v>-1351</v>
      </c>
      <c r="BV100">
        <v>-8286</v>
      </c>
      <c r="BW100">
        <v>-3569</v>
      </c>
      <c r="BX100">
        <v>-1067</v>
      </c>
      <c r="BY100">
        <v>-3299</v>
      </c>
      <c r="BZ100">
        <v>-3577</v>
      </c>
      <c r="CA100">
        <v>543</v>
      </c>
      <c r="CB100">
        <v>-4514</v>
      </c>
      <c r="CC100">
        <v>-3547</v>
      </c>
      <c r="CD100">
        <v>-9466</v>
      </c>
      <c r="CE100">
        <v>-866</v>
      </c>
      <c r="CF100">
        <v>-14070</v>
      </c>
      <c r="CG100">
        <v>-8321</v>
      </c>
      <c r="CH100">
        <v>-15699</v>
      </c>
      <c r="CI100">
        <v>-12617</v>
      </c>
      <c r="CJ100">
        <v>-9347</v>
      </c>
      <c r="CK100">
        <v>-812</v>
      </c>
      <c r="CL100">
        <v>-10782</v>
      </c>
      <c r="CM100">
        <v>-12043</v>
      </c>
      <c r="CN100">
        <v>-4347</v>
      </c>
      <c r="CO100">
        <v>2970</v>
      </c>
      <c r="CP100">
        <v>-12534</v>
      </c>
      <c r="CQ100">
        <v>13261</v>
      </c>
      <c r="CR100">
        <v>-19444</v>
      </c>
      <c r="CS100">
        <v>9716</v>
      </c>
      <c r="CT100">
        <v>-17877</v>
      </c>
      <c r="CU100">
        <v>-19763</v>
      </c>
      <c r="CV100">
        <v>-9199</v>
      </c>
      <c r="CW100">
        <v>2396</v>
      </c>
      <c r="CX100">
        <v>-16358</v>
      </c>
      <c r="CY100">
        <v>-11007</v>
      </c>
      <c r="CZ100">
        <v>-1559</v>
      </c>
      <c r="DA100">
        <v>-3208</v>
      </c>
      <c r="DB100">
        <v>-15685</v>
      </c>
      <c r="DC100">
        <v>-11137</v>
      </c>
      <c r="DD100">
        <v>-552</v>
      </c>
      <c r="DE100">
        <v>-5948</v>
      </c>
      <c r="DF100">
        <v>-10466</v>
      </c>
      <c r="DG100">
        <v>32896</v>
      </c>
      <c r="DH100">
        <v>8818</v>
      </c>
      <c r="DI100">
        <v>-1148</v>
      </c>
      <c r="DJ100">
        <v>9793</v>
      </c>
      <c r="DK100">
        <v>15408</v>
      </c>
      <c r="DL100">
        <v>28928</v>
      </c>
      <c r="DM100">
        <v>2886</v>
      </c>
      <c r="DN100">
        <v>-10526</v>
      </c>
      <c r="DO100">
        <v>10965</v>
      </c>
      <c r="DP100">
        <v>-3261</v>
      </c>
      <c r="DQ100">
        <v>7366</v>
      </c>
      <c r="DR100">
        <v>-5075</v>
      </c>
      <c r="DS100">
        <v>-8099</v>
      </c>
      <c r="DT100">
        <v>5669</v>
      </c>
      <c r="DU100">
        <v>4078</v>
      </c>
      <c r="DV100">
        <v>-13303</v>
      </c>
      <c r="DW100">
        <v>-6584</v>
      </c>
      <c r="DX100">
        <v>6338</v>
      </c>
      <c r="DY100">
        <v>2209</v>
      </c>
    </row>
    <row r="101" spans="1:161">
      <c r="B101" t="s">
        <v>388</v>
      </c>
      <c r="C101" t="s">
        <v>389</v>
      </c>
      <c r="D101" t="str">
        <f t="shared" si="4"/>
      </c>
      <c r="F101">
        <v>-972</v>
      </c>
      <c r="G101">
        <v>892</v>
      </c>
      <c r="H101">
        <v>-252</v>
      </c>
      <c r="I101">
        <v>828</v>
      </c>
      <c r="J101">
        <v>-1488</v>
      </c>
      <c r="K101">
        <v>-2556</v>
      </c>
      <c r="L101">
        <v>357</v>
      </c>
      <c r="M101">
        <v>-3249</v>
      </c>
      <c r="N101">
        <v>-8189</v>
      </c>
      <c r="O101">
        <v>-17434</v>
      </c>
      <c r="P101">
        <v>-13854</v>
      </c>
      <c r="Q101">
        <v>-40419</v>
      </c>
      <c r="R101">
        <v>-48227</v>
      </c>
      <c r="S101">
        <v>-33774</v>
      </c>
      <c r="T101">
        <v>-22579</v>
      </c>
      <c r="U101">
        <v>-56274</v>
      </c>
      <c r="V101">
        <v>-45977</v>
      </c>
      <c r="W101">
        <v>-46446</v>
      </c>
      <c r="X101">
        <v>16066</v>
      </c>
      <c r="Y101">
        <v>45896</v>
      </c>
      <c r="Z101">
        <v>-4289</v>
      </c>
      <c r="AA101">
        <v>-14545</v>
      </c>
      <c r="AB101">
        <v>-22354</v>
      </c>
      <c r="AC101">
        <v>3705</v>
      </c>
      <c r="AD101">
        <v>2935</v>
      </c>
      <c r="AE101">
        <v>11156.0122628874</v>
      </c>
      <c r="AF101">
        <v>-4119.3549356850499</v>
      </c>
      <c r="AG101">
        <v>-5323.5585949615697</v>
      </c>
      <c r="AH101">
        <v>-6171.8323404074999</v>
      </c>
      <c r="AI101">
        <v>-7034.5166175144705</v>
      </c>
      <c r="AJ101">
        <v>-7978.8287977113496</v>
      </c>
      <c r="AL101">
        <v>-89</v>
      </c>
      <c r="AM101">
        <v>-15</v>
      </c>
      <c r="AN101">
        <v>-505</v>
      </c>
      <c r="AO101">
        <v>-363</v>
      </c>
      <c r="AP101">
        <v>556</v>
      </c>
      <c r="AQ101">
        <v>430</v>
      </c>
      <c r="AR101">
        <v>10</v>
      </c>
      <c r="AS101">
        <v>-104</v>
      </c>
      <c r="AT101">
        <v>-417</v>
      </c>
      <c r="AU101">
        <v>-825</v>
      </c>
      <c r="AV101">
        <v>82</v>
      </c>
      <c r="AW101">
        <v>908</v>
      </c>
      <c r="AX101">
        <v>237</v>
      </c>
      <c r="AY101">
        <v>697</v>
      </c>
      <c r="AZ101">
        <v>74</v>
      </c>
      <c r="BA101">
        <v>-180</v>
      </c>
      <c r="BB101">
        <v>77</v>
      </c>
      <c r="BC101">
        <v>-403</v>
      </c>
      <c r="BD101">
        <v>-460</v>
      </c>
      <c r="BE101">
        <v>-702</v>
      </c>
      <c r="BF101">
        <v>-1523</v>
      </c>
      <c r="BG101">
        <v>-909</v>
      </c>
      <c r="BH101">
        <v>305</v>
      </c>
      <c r="BI101">
        <v>-429</v>
      </c>
      <c r="BJ101">
        <v>93</v>
      </c>
      <c r="BK101">
        <v>2462</v>
      </c>
      <c r="BL101">
        <v>531</v>
      </c>
      <c r="BM101">
        <v>-2729</v>
      </c>
      <c r="BN101">
        <v>-1234</v>
      </c>
      <c r="BO101">
        <v>-978</v>
      </c>
      <c r="BP101">
        <v>-1433</v>
      </c>
      <c r="BQ101">
        <v>396</v>
      </c>
      <c r="BR101">
        <v>-3462</v>
      </c>
      <c r="BS101">
        <v>-1362</v>
      </c>
      <c r="BT101">
        <v>-1372</v>
      </c>
      <c r="BU101">
        <v>-1993</v>
      </c>
      <c r="BV101">
        <v>-8639</v>
      </c>
      <c r="BW101">
        <v>-3685</v>
      </c>
      <c r="BX101">
        <v>-1339</v>
      </c>
      <c r="BY101">
        <v>-3771</v>
      </c>
      <c r="BZ101">
        <v>-3958</v>
      </c>
      <c r="CA101">
        <v>-83</v>
      </c>
      <c r="CB101">
        <v>-5430</v>
      </c>
      <c r="CC101">
        <v>-4383</v>
      </c>
      <c r="CD101">
        <v>-10729</v>
      </c>
      <c r="CE101">
        <v>-1522</v>
      </c>
      <c r="CF101">
        <v>-15032</v>
      </c>
      <c r="CG101">
        <v>-13136</v>
      </c>
      <c r="CH101">
        <v>-17128</v>
      </c>
      <c r="CI101">
        <v>-14476</v>
      </c>
      <c r="CJ101">
        <v>-12310</v>
      </c>
      <c r="CK101">
        <v>-4313</v>
      </c>
      <c r="CL101">
        <v>-13521</v>
      </c>
      <c r="CM101">
        <v>-14357</v>
      </c>
      <c r="CN101">
        <v>-6507</v>
      </c>
      <c r="CO101">
        <v>611</v>
      </c>
      <c r="CP101">
        <v>-15103</v>
      </c>
      <c r="CQ101">
        <v>11741</v>
      </c>
      <c r="CR101">
        <v>-22214</v>
      </c>
      <c r="CS101">
        <v>2997</v>
      </c>
      <c r="CT101">
        <v>-21165</v>
      </c>
      <c r="CU101">
        <v>-22331</v>
      </c>
      <c r="CV101">
        <v>-11403</v>
      </c>
      <c r="CW101">
        <v>-1375</v>
      </c>
      <c r="CX101">
        <v>-20450</v>
      </c>
      <c r="CY101">
        <v>-13660</v>
      </c>
      <c r="CZ101">
        <v>-4470</v>
      </c>
      <c r="DA101">
        <v>-7397</v>
      </c>
      <c r="DB101">
        <v>-19122</v>
      </c>
      <c r="DC101">
        <v>-14202</v>
      </c>
      <c r="DD101">
        <v>-3180</v>
      </c>
      <c r="DE101">
        <v>-9942</v>
      </c>
      <c r="DF101">
        <v>-13590</v>
      </c>
      <c r="DG101">
        <v>28710</v>
      </c>
      <c r="DH101">
        <v>3947</v>
      </c>
      <c r="DI101">
        <v>-3001</v>
      </c>
      <c r="DJ101">
        <v>5844</v>
      </c>
      <c r="DK101">
        <v>13348</v>
      </c>
      <c r="DL101">
        <v>27502</v>
      </c>
      <c r="DM101">
        <v>-798</v>
      </c>
      <c r="DN101">
        <v>-13668</v>
      </c>
      <c r="DO101">
        <v>9013</v>
      </c>
      <c r="DP101">
        <v>-5165</v>
      </c>
      <c r="DQ101">
        <v>5531</v>
      </c>
      <c r="DR101">
        <v>-8584</v>
      </c>
      <c r="DS101">
        <v>-10368</v>
      </c>
      <c r="DT101">
        <v>3572</v>
      </c>
      <c r="DU101">
        <v>835</v>
      </c>
      <c r="DV101">
        <v>-16106</v>
      </c>
      <c r="DW101">
        <v>-9265</v>
      </c>
      <c r="DX101">
        <v>4234</v>
      </c>
      <c r="DY101">
        <v>-1217</v>
      </c>
      <c r="DZ101">
        <v>-1445</v>
      </c>
      <c r="EA101">
        <v>2319</v>
      </c>
      <c r="EB101">
        <v>437</v>
      </c>
      <c r="EC101">
        <v>2394</v>
      </c>
      <c r="ED101">
        <v>1927</v>
      </c>
      <c r="EE101">
        <v>-310</v>
      </c>
      <c r="EF101">
        <v>-127</v>
      </c>
      <c r="EG101">
        <v>1445</v>
      </c>
      <c r="EH101">
        <v>9792</v>
      </c>
      <c r="EI101">
        <v>2917</v>
      </c>
      <c r="EJ101">
        <v>-599.98815210532803</v>
      </c>
      <c r="EK101">
        <v>-952.99958500730304</v>
      </c>
      <c r="EL101">
        <v>-1180.47440297813</v>
      </c>
      <c r="EM101">
        <v>-933.02033955485194</v>
      </c>
      <c r="EN101">
        <v>-686.28867978034896</v>
      </c>
      <c r="EO101">
        <v>-1319.5715133717199</v>
      </c>
      <c r="EP101">
        <v>-1662.8945664488799</v>
      </c>
      <c r="EQ101">
        <v>-1228.99032870884</v>
      </c>
      <c r="ER101">
        <v>-929.46439727706502</v>
      </c>
      <c r="ES101">
        <v>-1502.20930252678</v>
      </c>
      <c r="ET101">
        <v>-1803.5028280311301</v>
      </c>
      <c r="EU101">
        <v>-1509.74659917808</v>
      </c>
      <c r="EV101">
        <v>-1154.49654040107</v>
      </c>
      <c r="EW101">
        <v>-1704.0863727972201</v>
      </c>
      <c r="EX101">
        <v>-2046.0554362891501</v>
      </c>
      <c r="EY101">
        <v>-1637.43889589379</v>
      </c>
      <c r="EZ101">
        <v>-1345.1991557316501</v>
      </c>
      <c r="FA101">
        <v>-2005.8231295998901</v>
      </c>
      <c r="FB101">
        <v>-2262.0470465696199</v>
      </c>
      <c r="FC101">
        <v>-1858.280521633</v>
      </c>
      <c r="FD101">
        <v>-1556.7559636424601</v>
      </c>
      <c r="FE101">
        <v>-2301.7452658662701</v>
      </c>
    </row>
    <row r="102" spans="1:161">
      <c r="B102" t="s">
        <v>390</v>
      </c>
      <c r="C102" t="s">
        <v>391</v>
      </c>
      <c r="D102" t="str">
        <f t="shared" si="4"/>
      </c>
      <c r="R102">
        <v>-2488</v>
      </c>
      <c r="S102">
        <v>-10564</v>
      </c>
      <c r="T102">
        <v>-11126</v>
      </c>
      <c r="U102">
        <v>-11561</v>
      </c>
      <c r="V102">
        <v>-12150</v>
      </c>
      <c r="W102">
        <v>-12769</v>
      </c>
      <c r="X102">
        <v>-13712</v>
      </c>
      <c r="Y102">
        <v>-14119</v>
      </c>
      <c r="Z102">
        <v>-14081</v>
      </c>
      <c r="AA102">
        <v>-14467</v>
      </c>
      <c r="AB102">
        <v>-14841</v>
      </c>
      <c r="AC102">
        <v>-15025</v>
      </c>
      <c r="AD102">
        <v>-15234</v>
      </c>
      <c r="AE102">
        <v>-15377.8294673769</v>
      </c>
      <c r="AF102">
        <v>-15490.1187754115</v>
      </c>
      <c r="AG102">
        <v>-15566.9155895777</v>
      </c>
      <c r="AH102">
        <v>-15593.654127297399</v>
      </c>
      <c r="AI102">
        <v>-15590.779823249</v>
      </c>
      <c r="AJ102">
        <v>-15562.924226101801</v>
      </c>
      <c r="CK102">
        <v>-2488</v>
      </c>
      <c r="CL102">
        <v>-2493</v>
      </c>
      <c r="CM102">
        <v>-2491</v>
      </c>
      <c r="CN102">
        <v>-2811</v>
      </c>
      <c r="CO102">
        <v>-2769</v>
      </c>
      <c r="CP102">
        <v>-2769</v>
      </c>
      <c r="CQ102">
        <v>-2661</v>
      </c>
      <c r="CR102">
        <v>-2867</v>
      </c>
      <c r="CS102">
        <v>-2829</v>
      </c>
      <c r="CT102">
        <v>-2801</v>
      </c>
      <c r="CU102">
        <v>-2743</v>
      </c>
      <c r="CV102">
        <v>-3053</v>
      </c>
      <c r="CW102">
        <v>-2964</v>
      </c>
      <c r="CX102">
        <v>-2969</v>
      </c>
      <c r="CY102">
        <v>-2902</v>
      </c>
      <c r="CZ102">
        <v>-3187</v>
      </c>
      <c r="DA102">
        <v>-3092</v>
      </c>
      <c r="DB102">
        <v>-3130</v>
      </c>
      <c r="DC102">
        <v>-3004</v>
      </c>
      <c r="DD102">
        <v>-3365</v>
      </c>
      <c r="DE102">
        <v>-3270</v>
      </c>
      <c r="DF102">
        <v>-3339</v>
      </c>
      <c r="DG102">
        <v>-3190</v>
      </c>
      <c r="DH102">
        <v>-3653</v>
      </c>
      <c r="DI102">
        <v>-3530</v>
      </c>
      <c r="DJ102">
        <v>-3568</v>
      </c>
      <c r="DK102">
        <v>-3443</v>
      </c>
      <c r="DL102">
        <v>-3629</v>
      </c>
      <c r="DM102">
        <v>-3479</v>
      </c>
      <c r="DN102">
        <v>-3539</v>
      </c>
      <c r="DO102">
        <v>-3375</v>
      </c>
      <c r="DP102">
        <v>-3656</v>
      </c>
      <c r="DQ102">
        <v>-3511</v>
      </c>
      <c r="DR102">
        <v>-3613</v>
      </c>
      <c r="DS102">
        <v>-3447</v>
      </c>
      <c r="DT102">
        <v>-3767</v>
      </c>
      <c r="DU102">
        <v>-3640</v>
      </c>
      <c r="DV102">
        <v>-3732</v>
      </c>
      <c r="DW102">
        <v>-3595</v>
      </c>
      <c r="DX102">
        <v>-3811</v>
      </c>
      <c r="DY102">
        <v>-3703</v>
      </c>
      <c r="DZ102">
        <v>-3768</v>
      </c>
      <c r="EA102">
        <v>-3650</v>
      </c>
      <c r="EB102">
        <v>-3849</v>
      </c>
      <c r="EC102">
        <v>-3758</v>
      </c>
      <c r="ED102">
        <v>-3825</v>
      </c>
      <c r="EE102">
        <v>-3710</v>
      </c>
      <c r="EF102">
        <v>-3895</v>
      </c>
      <c r="EG102">
        <v>-3804</v>
      </c>
      <c r="EH102">
        <v>-3856</v>
      </c>
      <c r="EI102">
        <v>-3758</v>
      </c>
      <c r="EJ102">
        <v>-3893.92154560976</v>
      </c>
      <c r="EK102">
        <v>-3869.9079217671001</v>
      </c>
      <c r="EL102">
        <v>-3843.4824481678002</v>
      </c>
      <c r="EM102">
        <v>-3814.7264905821198</v>
      </c>
      <c r="EN102">
        <v>-3931.10112995804</v>
      </c>
      <c r="EO102">
        <v>-3900.8087067035299</v>
      </c>
      <c r="EP102">
        <v>-3869.88376351125</v>
      </c>
      <c r="EQ102">
        <v>-3837.60002992399</v>
      </c>
      <c r="ER102">
        <v>-3946.2776114811199</v>
      </c>
      <c r="ES102">
        <v>-3913.15418466136</v>
      </c>
      <c r="ET102">
        <v>-3880.4564755213401</v>
      </c>
      <c r="EU102">
        <v>-3846.9909801334102</v>
      </c>
      <c r="EV102">
        <v>-3950.0357814283998</v>
      </c>
      <c r="EW102">
        <v>-3916.17089021427</v>
      </c>
      <c r="EX102">
        <v>-3882.8287211236998</v>
      </c>
      <c r="EY102">
        <v>-3848.8267903053402</v>
      </c>
      <c r="EZ102">
        <v>-3946.72111499013</v>
      </c>
      <c r="FA102">
        <v>-3912.40319682983</v>
      </c>
      <c r="FB102">
        <v>-3878.6391186032602</v>
      </c>
      <c r="FC102">
        <v>-3844.2878943027899</v>
      </c>
      <c r="FD102">
        <v>-3937.3034000094699</v>
      </c>
      <c r="FE102">
        <v>-3902.6938131862598</v>
      </c>
    </row>
    <row r="103" spans="1:161">
      <c r="B103" t="s">
        <v>392</v>
      </c>
      <c r="C103" t="s">
        <v>393</v>
      </c>
      <c r="D103" t="str">
        <f t="shared" si="4"/>
      </c>
      <c r="F103">
        <v>-31</v>
      </c>
      <c r="G103">
        <v>42</v>
      </c>
      <c r="H103">
        <v>105</v>
      </c>
      <c r="I103">
        <v>27</v>
      </c>
      <c r="J103">
        <v>427</v>
      </c>
      <c r="K103">
        <v>543</v>
      </c>
      <c r="L103">
        <v>324</v>
      </c>
      <c r="M103">
        <v>739</v>
      </c>
      <c r="N103">
        <v>1116</v>
      </c>
      <c r="O103">
        <v>663</v>
      </c>
      <c r="P103">
        <v>1257</v>
      </c>
      <c r="Q103">
        <v>1444</v>
      </c>
      <c r="R103">
        <v>790</v>
      </c>
      <c r="S103">
        <v>-22711</v>
      </c>
      <c r="T103">
        <v>-44689</v>
      </c>
      <c r="U103">
        <v>-35460</v>
      </c>
      <c r="V103">
        <v>-30390</v>
      </c>
      <c r="W103">
        <v>-34219</v>
      </c>
      <c r="X103">
        <v>-74596</v>
      </c>
      <c r="Y103">
        <v>-68933</v>
      </c>
      <c r="Z103">
        <v>-75112</v>
      </c>
      <c r="AA103">
        <v>-91422</v>
      </c>
      <c r="AB103">
        <v>-95625</v>
      </c>
      <c r="AC103">
        <v>-82981</v>
      </c>
      <c r="AD103">
        <v>-100390</v>
      </c>
      <c r="AE103">
        <v>-105909</v>
      </c>
      <c r="AF103">
        <v>-119904</v>
      </c>
      <c r="AG103">
        <v>-133904</v>
      </c>
      <c r="AH103">
        <v>-141904</v>
      </c>
      <c r="AI103">
        <v>-149904</v>
      </c>
      <c r="AJ103">
        <v>-157904</v>
      </c>
      <c r="AL103">
        <v>-24</v>
      </c>
      <c r="AM103">
        <v>30</v>
      </c>
      <c r="AN103">
        <v>-47</v>
      </c>
      <c r="AO103">
        <v>10</v>
      </c>
      <c r="AP103">
        <v>3</v>
      </c>
      <c r="AQ103">
        <v>15</v>
      </c>
      <c r="AR103">
        <v>6</v>
      </c>
      <c r="AS103">
        <v>18</v>
      </c>
      <c r="AT103">
        <v>11</v>
      </c>
      <c r="AU103">
        <v>36</v>
      </c>
      <c r="AV103">
        <v>42</v>
      </c>
      <c r="AW103">
        <v>16</v>
      </c>
      <c r="AX103">
        <v>13</v>
      </c>
      <c r="AY103">
        <v>3</v>
      </c>
      <c r="AZ103">
        <v>15</v>
      </c>
      <c r="BA103">
        <v>-4</v>
      </c>
      <c r="BB103">
        <v>32</v>
      </c>
      <c r="BC103">
        <v>76</v>
      </c>
      <c r="BD103">
        <v>211</v>
      </c>
      <c r="BE103">
        <v>108</v>
      </c>
      <c r="BF103">
        <v>254</v>
      </c>
      <c r="BG103">
        <v>152</v>
      </c>
      <c r="BH103">
        <v>63</v>
      </c>
      <c r="BI103">
        <v>74</v>
      </c>
      <c r="BJ103">
        <v>283</v>
      </c>
      <c r="BK103">
        <v>-141</v>
      </c>
      <c r="BL103">
        <v>129</v>
      </c>
      <c r="BM103">
        <v>53</v>
      </c>
      <c r="BN103">
        <v>188</v>
      </c>
      <c r="BO103">
        <v>180</v>
      </c>
      <c r="BP103">
        <v>229</v>
      </c>
      <c r="BQ103">
        <v>142</v>
      </c>
      <c r="BR103">
        <v>485</v>
      </c>
      <c r="BS103">
        <v>77</v>
      </c>
      <c r="BT103">
        <v>354</v>
      </c>
      <c r="BU103">
        <v>200</v>
      </c>
      <c r="BV103">
        <v>62</v>
      </c>
      <c r="BW103">
        <v>74</v>
      </c>
      <c r="BX103">
        <v>208</v>
      </c>
      <c r="BY103">
        <v>319</v>
      </c>
      <c r="BZ103">
        <v>523</v>
      </c>
      <c r="CA103">
        <v>162</v>
      </c>
      <c r="CB103">
        <v>316</v>
      </c>
      <c r="CC103">
        <v>256</v>
      </c>
      <c r="CD103">
        <v>429</v>
      </c>
      <c r="CE103">
        <v>547</v>
      </c>
      <c r="CF103">
        <v>37</v>
      </c>
      <c r="CG103">
        <v>431</v>
      </c>
      <c r="CH103">
        <v>69</v>
      </c>
      <c r="CI103">
        <v>310</v>
      </c>
      <c r="CJ103">
        <v>-55</v>
      </c>
      <c r="CK103">
        <v>466</v>
      </c>
      <c r="CL103">
        <v>-2004</v>
      </c>
      <c r="CM103">
        <v>243</v>
      </c>
      <c r="CN103">
        <v>-16211</v>
      </c>
      <c r="CO103">
        <v>-4739</v>
      </c>
      <c r="CP103">
        <v>-4980</v>
      </c>
      <c r="CQ103">
        <v>-17746</v>
      </c>
      <c r="CR103">
        <v>-5116</v>
      </c>
      <c r="CS103">
        <v>-16847</v>
      </c>
      <c r="CT103">
        <v>-5198</v>
      </c>
      <c r="CU103">
        <v>-6744</v>
      </c>
      <c r="CV103">
        <v>-10382</v>
      </c>
      <c r="CW103">
        <v>-13136</v>
      </c>
      <c r="CX103">
        <v>-7235</v>
      </c>
      <c r="CY103">
        <v>-6535</v>
      </c>
      <c r="CZ103">
        <v>-10649</v>
      </c>
      <c r="DA103">
        <v>-5971</v>
      </c>
      <c r="DB103">
        <v>-11302</v>
      </c>
      <c r="DC103">
        <v>-7000</v>
      </c>
      <c r="DD103">
        <v>-7641</v>
      </c>
      <c r="DE103">
        <v>-8276</v>
      </c>
      <c r="DF103">
        <v>-11133</v>
      </c>
      <c r="DG103">
        <v>-22581</v>
      </c>
      <c r="DH103">
        <v>-21859</v>
      </c>
      <c r="DI103">
        <v>-19023</v>
      </c>
      <c r="DJ103">
        <v>-10114</v>
      </c>
      <c r="DK103">
        <v>-23421</v>
      </c>
      <c r="DL103">
        <v>-18153</v>
      </c>
      <c r="DM103">
        <v>-17245</v>
      </c>
      <c r="DN103">
        <v>-22083</v>
      </c>
      <c r="DO103">
        <v>-18333</v>
      </c>
      <c r="DP103">
        <v>-17559</v>
      </c>
      <c r="DQ103">
        <v>-17137</v>
      </c>
      <c r="DR103">
        <v>-27636</v>
      </c>
      <c r="DS103">
        <v>-18286</v>
      </c>
      <c r="DT103">
        <v>-25595</v>
      </c>
      <c r="DU103">
        <v>-19905</v>
      </c>
      <c r="DV103">
        <v>-23366</v>
      </c>
      <c r="DW103">
        <v>-22961</v>
      </c>
      <c r="DX103">
        <v>-24562</v>
      </c>
      <c r="DY103">
        <v>-24736</v>
      </c>
      <c r="DZ103">
        <v>-21791</v>
      </c>
      <c r="EA103">
        <v>-20012</v>
      </c>
      <c r="EB103">
        <v>-19863</v>
      </c>
      <c r="EC103">
        <v>-21315</v>
      </c>
      <c r="ED103">
        <v>-22730</v>
      </c>
      <c r="EE103">
        <v>-23489</v>
      </c>
      <c r="EF103">
        <v>-28810</v>
      </c>
      <c r="EG103">
        <v>-25361</v>
      </c>
      <c r="EH103">
        <v>-26527</v>
      </c>
      <c r="EI103">
        <v>-26182</v>
      </c>
      <c r="EJ103">
        <v>-27900</v>
      </c>
      <c r="EK103">
        <v>-25300</v>
      </c>
      <c r="EL103">
        <v>-30006</v>
      </c>
      <c r="EM103">
        <v>-29698</v>
      </c>
      <c r="EN103">
        <v>-31400</v>
      </c>
      <c r="EO103">
        <v>-28800</v>
      </c>
      <c r="EP103">
        <v>-33506</v>
      </c>
      <c r="EQ103">
        <v>-33198</v>
      </c>
      <c r="ER103">
        <v>-34900</v>
      </c>
      <c r="ES103">
        <v>-32300</v>
      </c>
      <c r="ET103">
        <v>-35506</v>
      </c>
      <c r="EU103">
        <v>-35198</v>
      </c>
      <c r="EV103">
        <v>-36900</v>
      </c>
      <c r="EW103">
        <v>-34300</v>
      </c>
      <c r="EX103">
        <v>-37506</v>
      </c>
      <c r="EY103">
        <v>-37198</v>
      </c>
      <c r="EZ103">
        <v>-38900</v>
      </c>
      <c r="FA103">
        <v>-36300</v>
      </c>
      <c r="FB103">
        <v>-39506</v>
      </c>
      <c r="FC103">
        <v>-39198</v>
      </c>
      <c r="FD103">
        <v>-40900</v>
      </c>
      <c r="FE103">
        <v>-38300</v>
      </c>
    </row>
    <row r="104" spans="1:161">
      <c r="B104" t="s">
        <v>394</v>
      </c>
      <c r="C104" t="s">
        <v>395</v>
      </c>
      <c r="D104" t="str">
        <f t="shared" si="4"/>
      </c>
      <c r="J104">
        <v>-300</v>
      </c>
      <c r="S104">
        <v>16896</v>
      </c>
      <c r="T104">
        <v>18266</v>
      </c>
      <c r="U104">
        <v>29305</v>
      </c>
      <c r="V104">
        <v>22057</v>
      </c>
      <c r="W104">
        <v>29014</v>
      </c>
      <c r="X104">
        <v>432</v>
      </c>
      <c r="Y104">
        <v>-7924</v>
      </c>
      <c r="Z104">
        <v>2499</v>
      </c>
      <c r="AA104">
        <v>12665</v>
      </c>
      <c r="AB104">
        <v>-123</v>
      </c>
      <c r="AC104">
        <v>-9901</v>
      </c>
      <c r="BC104">
        <v>-300</v>
      </c>
      <c r="CN104">
        <v>16896</v>
      </c>
      <c r="CR104">
        <v>13970</v>
      </c>
      <c r="CS104">
        <v>4296</v>
      </c>
      <c r="CT104">
        <v>1076</v>
      </c>
      <c r="CU104">
        <v>7748</v>
      </c>
      <c r="CV104">
        <v>10680</v>
      </c>
      <c r="CW104">
        <v>9801</v>
      </c>
      <c r="CX104">
        <v>-1240</v>
      </c>
      <c r="CY104">
        <v>16321</v>
      </c>
      <c r="CZ104">
        <v>4395</v>
      </c>
      <c r="DA104">
        <v>2581</v>
      </c>
      <c r="DB104">
        <v>2385</v>
      </c>
      <c r="DC104">
        <v>10469</v>
      </c>
      <c r="DD104">
        <v>9237</v>
      </c>
      <c r="DE104">
        <v>6923</v>
      </c>
      <c r="DF104">
        <v>6971</v>
      </c>
      <c r="DG104">
        <v>-501</v>
      </c>
      <c r="DH104">
        <v>-6011</v>
      </c>
      <c r="DI104">
        <v>-27</v>
      </c>
      <c r="DJ104">
        <v>6</v>
      </c>
      <c r="DK104">
        <v>-2593</v>
      </c>
      <c r="DL104">
        <v>-5022</v>
      </c>
      <c r="DM104">
        <v>-315</v>
      </c>
      <c r="DN104">
        <v>231</v>
      </c>
      <c r="DO104">
        <v>-1753</v>
      </c>
      <c r="DP104">
        <v>-441</v>
      </c>
      <c r="DQ104">
        <v>4462</v>
      </c>
      <c r="DR104">
        <v>-978</v>
      </c>
      <c r="DS104">
        <v>10423</v>
      </c>
      <c r="DU104">
        <v>3220</v>
      </c>
      <c r="DV104">
        <v>-1000</v>
      </c>
      <c r="DW104">
        <v>-1751</v>
      </c>
      <c r="DX104">
        <v>971</v>
      </c>
      <c r="DY104">
        <v>1657</v>
      </c>
      <c r="EB104">
        <v>-283</v>
      </c>
    </row>
    <row r="105" spans="1:161">
      <c r="B105" t="s">
        <v>1080</v>
      </c>
      <c r="C105" t="s">
        <v>1081</v>
      </c>
      <c r="D105" t="str">
        <f t="shared" si="4"/>
      </c>
    </row>
    <row r="106" spans="1:161">
      <c r="B106" t="s">
        <v>396</v>
      </c>
      <c r="C106" t="s">
        <v>397</v>
      </c>
      <c r="D106" t="str">
        <f t="shared" si="4"/>
      </c>
      <c r="V106">
        <v>-0.39740999999799997</v>
      </c>
      <c r="Y106">
        <v>-1380</v>
      </c>
      <c r="Z106">
        <v>-519</v>
      </c>
      <c r="AA106">
        <v>655</v>
      </c>
      <c r="AB106">
        <v>-502</v>
      </c>
      <c r="CX106">
        <v>-0.39740999999799997</v>
      </c>
      <c r="DK106">
        <v>-1829</v>
      </c>
      <c r="DL106">
        <v>208</v>
      </c>
      <c r="DM106">
        <v>241</v>
      </c>
      <c r="DN106">
        <v>-530</v>
      </c>
      <c r="DO106">
        <v>1540</v>
      </c>
      <c r="DP106">
        <v>3759</v>
      </c>
      <c r="DQ106">
        <v>-5288</v>
      </c>
      <c r="DR106">
        <v>42</v>
      </c>
      <c r="DS106">
        <v>153</v>
      </c>
      <c r="DT106">
        <v>280</v>
      </c>
      <c r="DU106">
        <v>180</v>
      </c>
      <c r="DV106">
        <v>-583</v>
      </c>
      <c r="DW106">
        <v>385</v>
      </c>
      <c r="DX106">
        <v>-320</v>
      </c>
      <c r="DY106">
        <v>16</v>
      </c>
    </row>
    <row r="107" spans="1:161">
      <c r="B107" t="s">
        <v>398</v>
      </c>
      <c r="C107" t="s">
        <v>399</v>
      </c>
      <c r="D107" t="str">
        <f t="shared" si="4"/>
      </c>
      <c r="F107">
        <v>-31</v>
      </c>
      <c r="G107">
        <v>42</v>
      </c>
      <c r="H107">
        <v>105</v>
      </c>
      <c r="I107">
        <v>27</v>
      </c>
      <c r="J107">
        <v>127</v>
      </c>
      <c r="K107">
        <v>543</v>
      </c>
      <c r="L107">
        <v>324</v>
      </c>
      <c r="M107">
        <v>739</v>
      </c>
      <c r="N107">
        <v>1116</v>
      </c>
      <c r="O107">
        <v>663</v>
      </c>
      <c r="P107">
        <v>1257</v>
      </c>
      <c r="Q107">
        <v>1444</v>
      </c>
      <c r="R107">
        <v>-1698</v>
      </c>
      <c r="S107">
        <v>-16379</v>
      </c>
      <c r="T107">
        <v>-37549</v>
      </c>
      <c r="U107">
        <v>-17716</v>
      </c>
      <c r="V107">
        <v>-20483.397410000001</v>
      </c>
      <c r="W107">
        <v>-17974</v>
      </c>
      <c r="X107">
        <v>-87876</v>
      </c>
      <c r="Y107">
        <v>-92356</v>
      </c>
      <c r="Z107">
        <v>-87213</v>
      </c>
      <c r="AA107">
        <v>-92569</v>
      </c>
      <c r="AB107">
        <v>-111091</v>
      </c>
      <c r="AC107">
        <v>-107929</v>
      </c>
      <c r="AD107">
        <v>-121211</v>
      </c>
      <c r="AE107">
        <v>-124840.829467377</v>
      </c>
      <c r="AF107">
        <v>-135394.118775412</v>
      </c>
      <c r="AG107">
        <v>-149470.91558957801</v>
      </c>
      <c r="AH107">
        <v>-157497.65412729699</v>
      </c>
      <c r="AI107">
        <v>-165494.779823249</v>
      </c>
      <c r="AJ107">
        <v>-173466.92422610201</v>
      </c>
      <c r="AL107">
        <v>-24</v>
      </c>
      <c r="AM107">
        <v>30</v>
      </c>
      <c r="AN107">
        <v>-47</v>
      </c>
      <c r="AO107">
        <v>10</v>
      </c>
      <c r="AP107">
        <v>3</v>
      </c>
      <c r="AQ107">
        <v>15</v>
      </c>
      <c r="AR107">
        <v>6</v>
      </c>
      <c r="AS107">
        <v>18</v>
      </c>
      <c r="AT107">
        <v>11</v>
      </c>
      <c r="AU107">
        <v>36</v>
      </c>
      <c r="AV107">
        <v>42</v>
      </c>
      <c r="AW107">
        <v>16</v>
      </c>
      <c r="AX107">
        <v>13</v>
      </c>
      <c r="AY107">
        <v>3</v>
      </c>
      <c r="AZ107">
        <v>15</v>
      </c>
      <c r="BA107">
        <v>-4</v>
      </c>
      <c r="BB107">
        <v>32</v>
      </c>
      <c r="BC107">
        <v>-224</v>
      </c>
      <c r="BD107">
        <v>211</v>
      </c>
      <c r="BE107">
        <v>108</v>
      </c>
      <c r="BF107">
        <v>254</v>
      </c>
      <c r="BG107">
        <v>152</v>
      </c>
      <c r="BH107">
        <v>63</v>
      </c>
      <c r="BI107">
        <v>74</v>
      </c>
      <c r="BJ107">
        <v>283</v>
      </c>
      <c r="BK107">
        <v>-141</v>
      </c>
      <c r="BL107">
        <v>129</v>
      </c>
      <c r="BM107">
        <v>53</v>
      </c>
      <c r="BN107">
        <v>188</v>
      </c>
      <c r="BO107">
        <v>180</v>
      </c>
      <c r="BP107">
        <v>229</v>
      </c>
      <c r="BQ107">
        <v>142</v>
      </c>
      <c r="BR107">
        <v>485</v>
      </c>
      <c r="BS107">
        <v>77</v>
      </c>
      <c r="BT107">
        <v>354</v>
      </c>
      <c r="BU107">
        <v>200</v>
      </c>
      <c r="BV107">
        <v>62</v>
      </c>
      <c r="BW107">
        <v>74</v>
      </c>
      <c r="BX107">
        <v>208</v>
      </c>
      <c r="BY107">
        <v>319</v>
      </c>
      <c r="BZ107">
        <v>523</v>
      </c>
      <c r="CA107">
        <v>162</v>
      </c>
      <c r="CB107">
        <v>316</v>
      </c>
      <c r="CC107">
        <v>256</v>
      </c>
      <c r="CD107">
        <v>429</v>
      </c>
      <c r="CE107">
        <v>547</v>
      </c>
      <c r="CF107">
        <v>37</v>
      </c>
      <c r="CG107">
        <v>431</v>
      </c>
      <c r="CH107">
        <v>69</v>
      </c>
      <c r="CI107">
        <v>310</v>
      </c>
      <c r="CJ107">
        <v>-55</v>
      </c>
      <c r="CK107">
        <v>-2022</v>
      </c>
      <c r="CL107">
        <v>-4497</v>
      </c>
      <c r="CM107">
        <v>-2248</v>
      </c>
      <c r="CN107">
        <v>-2126</v>
      </c>
      <c r="CO107">
        <v>-7508</v>
      </c>
      <c r="CP107">
        <v>-7749</v>
      </c>
      <c r="CQ107">
        <v>-20407</v>
      </c>
      <c r="CR107">
        <v>5987</v>
      </c>
      <c r="CS107">
        <v>-15380</v>
      </c>
      <c r="CT107">
        <v>-6923</v>
      </c>
      <c r="CU107">
        <v>-1739</v>
      </c>
      <c r="CV107">
        <v>-2755</v>
      </c>
      <c r="CW107">
        <v>-6299</v>
      </c>
      <c r="CX107">
        <v>-11444.39741</v>
      </c>
      <c r="CY107">
        <v>6884</v>
      </c>
      <c r="CZ107">
        <v>-9441</v>
      </c>
      <c r="DA107">
        <v>-6482</v>
      </c>
      <c r="DB107">
        <v>-12047</v>
      </c>
      <c r="DC107">
        <v>465</v>
      </c>
      <c r="DD107">
        <v>-1769</v>
      </c>
      <c r="DE107">
        <v>-4623</v>
      </c>
      <c r="DF107">
        <v>-7501</v>
      </c>
      <c r="DG107">
        <v>-26272</v>
      </c>
      <c r="DH107">
        <v>-31523</v>
      </c>
      <c r="DI107">
        <v>-22580</v>
      </c>
      <c r="DJ107">
        <v>-13676</v>
      </c>
      <c r="DK107">
        <v>-31286</v>
      </c>
      <c r="DL107">
        <v>-26596</v>
      </c>
      <c r="DM107">
        <v>-20798</v>
      </c>
      <c r="DN107">
        <v>-25921</v>
      </c>
      <c r="DO107">
        <v>-21921</v>
      </c>
      <c r="DP107">
        <v>-17897</v>
      </c>
      <c r="DQ107">
        <v>-21474</v>
      </c>
      <c r="DR107">
        <v>-32185</v>
      </c>
      <c r="DS107">
        <v>-11157</v>
      </c>
      <c r="DT107">
        <v>-29082</v>
      </c>
      <c r="DU107">
        <v>-20145</v>
      </c>
      <c r="DV107">
        <v>-28681</v>
      </c>
      <c r="DW107">
        <v>-27922</v>
      </c>
      <c r="DX107">
        <v>-27722</v>
      </c>
      <c r="DY107">
        <v>-26766</v>
      </c>
      <c r="DZ107">
        <v>-35671</v>
      </c>
      <c r="EA107">
        <v>-26727</v>
      </c>
      <c r="EB107">
        <v>-23096</v>
      </c>
      <c r="EC107">
        <v>-22435</v>
      </c>
      <c r="ED107">
        <v>-31028</v>
      </c>
      <c r="EE107">
        <v>-30444</v>
      </c>
      <c r="EF107">
        <v>-35861</v>
      </c>
      <c r="EG107">
        <v>-23878</v>
      </c>
      <c r="EH107">
        <v>-39371</v>
      </c>
      <c r="EI107">
        <v>-29006</v>
      </c>
      <c r="EJ107">
        <v>-27293.921545609799</v>
      </c>
      <c r="EK107">
        <v>-29169.907921767099</v>
      </c>
      <c r="EL107">
        <v>-33849.482448167801</v>
      </c>
      <c r="EM107">
        <v>-33512.726490582099</v>
      </c>
      <c r="EN107">
        <v>-35331.101129957999</v>
      </c>
      <c r="EO107">
        <v>-32700.808706703501</v>
      </c>
      <c r="EP107">
        <v>-37375.883763511301</v>
      </c>
      <c r="EQ107">
        <v>-37035.600029923997</v>
      </c>
      <c r="ER107">
        <v>-38846.277611481099</v>
      </c>
      <c r="ES107">
        <v>-36213.154184661398</v>
      </c>
      <c r="ET107">
        <v>-39386.4564755213</v>
      </c>
      <c r="EU107">
        <v>-39044.9909801334</v>
      </c>
      <c r="EV107">
        <v>-40850.0357814284</v>
      </c>
      <c r="EW107">
        <v>-38216.1708902143</v>
      </c>
      <c r="EX107">
        <v>-41388.828721123697</v>
      </c>
      <c r="EY107">
        <v>-41046.826790305298</v>
      </c>
      <c r="EZ107">
        <v>-42846.721114990098</v>
      </c>
      <c r="FA107">
        <v>-40212.4031968298</v>
      </c>
      <c r="FB107">
        <v>-43384.6391186033</v>
      </c>
      <c r="FC107">
        <v>-43042.287894302797</v>
      </c>
      <c r="FD107">
        <v>-44837.303400009499</v>
      </c>
      <c r="FE107">
        <v>-42202.693813186299</v>
      </c>
    </row>
    <row r="108" spans="1:161">
      <c r="B108" t="s">
        <v>400</v>
      </c>
      <c r="C108" t="s">
        <v>401</v>
      </c>
      <c r="D108" t="str">
        <f t="shared" si="4"/>
      </c>
      <c r="F108">
        <v>-135</v>
      </c>
      <c r="G108">
        <v>1119</v>
      </c>
      <c r="H108">
        <v>-58</v>
      </c>
      <c r="I108">
        <v>1144</v>
      </c>
      <c r="J108">
        <v>-427</v>
      </c>
      <c r="K108">
        <v>522.423</v>
      </c>
      <c r="L108">
        <v>2901</v>
      </c>
      <c r="M108">
        <v>2959.9744099999998</v>
      </c>
      <c r="N108">
        <v>2523</v>
      </c>
      <c r="O108">
        <v>-6612</v>
      </c>
      <c r="P108">
        <v>5998</v>
      </c>
      <c r="Q108">
        <v>-1446</v>
      </c>
      <c r="R108">
        <v>931</v>
      </c>
      <c r="S108">
        <v>3513</v>
      </c>
      <c r="T108">
        <v>-415</v>
      </c>
      <c r="U108">
        <v>7276</v>
      </c>
      <c r="V108">
        <v>-636.39740999999799</v>
      </c>
      <c r="W108">
        <v>-195</v>
      </c>
      <c r="X108">
        <v>5624</v>
      </c>
      <c r="Y108">
        <v>22931</v>
      </c>
      <c r="Z108">
        <v>-10828</v>
      </c>
      <c r="AA108">
        <v>-3076</v>
      </c>
      <c r="AB108">
        <v>-11294</v>
      </c>
      <c r="AC108">
        <v>6319</v>
      </c>
      <c r="AD108">
        <v>-22</v>
      </c>
      <c r="AE108">
        <v>11994.2035550041</v>
      </c>
      <c r="AF108">
        <v>2030.6875301083801</v>
      </c>
      <c r="AG108">
        <v>-5405.6318535380096</v>
      </c>
      <c r="AH108">
        <v>-5114.0397258453604</v>
      </c>
      <c r="AI108">
        <v>-2447.4183318651599</v>
      </c>
      <c r="AJ108">
        <v>-1681.0213577412401</v>
      </c>
      <c r="AL108">
        <v>260</v>
      </c>
      <c r="AM108">
        <v>76</v>
      </c>
      <c r="AN108">
        <v>-318</v>
      </c>
      <c r="AO108">
        <v>-153</v>
      </c>
      <c r="AP108">
        <v>546</v>
      </c>
      <c r="AQ108">
        <v>401</v>
      </c>
      <c r="AR108">
        <v>-17</v>
      </c>
      <c r="AS108">
        <v>189</v>
      </c>
      <c r="AT108">
        <v>-364</v>
      </c>
      <c r="AU108">
        <v>-787</v>
      </c>
      <c r="AV108">
        <v>87</v>
      </c>
      <c r="AW108">
        <v>1006</v>
      </c>
      <c r="AX108">
        <v>360</v>
      </c>
      <c r="AY108">
        <v>798</v>
      </c>
      <c r="AZ108">
        <v>97</v>
      </c>
      <c r="BA108">
        <v>-111</v>
      </c>
      <c r="BB108">
        <v>328</v>
      </c>
      <c r="BC108">
        <v>-566</v>
      </c>
      <c r="BD108">
        <v>-38</v>
      </c>
      <c r="BE108">
        <v>-151</v>
      </c>
      <c r="BF108">
        <v>-494</v>
      </c>
      <c r="BG108">
        <v>-221</v>
      </c>
      <c r="BH108">
        <v>840</v>
      </c>
      <c r="BI108">
        <v>397.423</v>
      </c>
      <c r="BJ108">
        <v>659</v>
      </c>
      <c r="BK108">
        <v>2196</v>
      </c>
      <c r="BL108">
        <v>1667</v>
      </c>
      <c r="BM108">
        <v>-1621</v>
      </c>
      <c r="BN108">
        <v>766.97441000000003</v>
      </c>
      <c r="BO108">
        <v>-64</v>
      </c>
      <c r="BP108">
        <v>23</v>
      </c>
      <c r="BQ108">
        <v>2234</v>
      </c>
      <c r="BR108">
        <v>-190</v>
      </c>
      <c r="BS108">
        <v>-92</v>
      </c>
      <c r="BT108">
        <v>303</v>
      </c>
      <c r="BU108">
        <v>2502</v>
      </c>
      <c r="BV108">
        <v>-4639</v>
      </c>
      <c r="BW108">
        <v>-2770</v>
      </c>
      <c r="BX108">
        <v>1139</v>
      </c>
      <c r="BY108">
        <v>-342</v>
      </c>
      <c r="BZ108">
        <v>2346</v>
      </c>
      <c r="CA108">
        <v>2409</v>
      </c>
      <c r="CB108">
        <v>-313</v>
      </c>
      <c r="CC108">
        <v>1556</v>
      </c>
      <c r="CD108">
        <v>-527</v>
      </c>
      <c r="CE108">
        <v>5244</v>
      </c>
      <c r="CF108">
        <v>-3887</v>
      </c>
      <c r="CG108">
        <v>-2276</v>
      </c>
      <c r="CH108">
        <v>495</v>
      </c>
      <c r="CI108">
        <v>-189</v>
      </c>
      <c r="CJ108">
        <v>-2176</v>
      </c>
      <c r="CK108">
        <v>2801</v>
      </c>
      <c r="CL108">
        <v>5408</v>
      </c>
      <c r="CM108">
        <v>-4101</v>
      </c>
      <c r="CN108">
        <v>-805</v>
      </c>
      <c r="CO108">
        <v>3011</v>
      </c>
      <c r="CP108">
        <v>-182</v>
      </c>
      <c r="CQ108">
        <v>4872</v>
      </c>
      <c r="CR108">
        <v>-5972</v>
      </c>
      <c r="CS108">
        <v>867</v>
      </c>
      <c r="CT108">
        <v>5634</v>
      </c>
      <c r="CU108">
        <v>-4989</v>
      </c>
      <c r="CV108">
        <v>830</v>
      </c>
      <c r="CW108">
        <v>5801</v>
      </c>
      <c r="CX108">
        <v>-4431.3974099999996</v>
      </c>
      <c r="CY108">
        <v>4825</v>
      </c>
      <c r="CZ108">
        <v>-3277</v>
      </c>
      <c r="DA108">
        <v>2247</v>
      </c>
      <c r="DB108">
        <v>-4113</v>
      </c>
      <c r="DC108">
        <v>-1214</v>
      </c>
      <c r="DD108">
        <v>3414</v>
      </c>
      <c r="DE108">
        <v>1718</v>
      </c>
      <c r="DF108">
        <v>7202</v>
      </c>
      <c r="DG108">
        <v>17568</v>
      </c>
      <c r="DH108">
        <v>-13088</v>
      </c>
      <c r="DI108">
        <v>-6058</v>
      </c>
      <c r="DJ108">
        <v>18858</v>
      </c>
      <c r="DK108">
        <v>-6783</v>
      </c>
      <c r="DL108">
        <v>12542</v>
      </c>
      <c r="DM108">
        <v>-1686</v>
      </c>
      <c r="DN108">
        <v>-9073</v>
      </c>
      <c r="DO108">
        <v>403</v>
      </c>
      <c r="DP108">
        <v>-6791</v>
      </c>
      <c r="DQ108">
        <v>4633</v>
      </c>
      <c r="DR108">
        <v>-2006</v>
      </c>
      <c r="DS108">
        <v>2456</v>
      </c>
      <c r="DT108">
        <v>-4416</v>
      </c>
      <c r="DU108">
        <v>890</v>
      </c>
      <c r="DV108">
        <v>2179</v>
      </c>
      <c r="DW108">
        <v>-9021</v>
      </c>
      <c r="DX108">
        <v>-596</v>
      </c>
      <c r="DY108">
        <v>-3856</v>
      </c>
      <c r="DZ108">
        <v>-3111</v>
      </c>
      <c r="EA108">
        <v>4152</v>
      </c>
      <c r="EB108">
        <v>3721</v>
      </c>
      <c r="EC108">
        <v>1557</v>
      </c>
      <c r="ED108">
        <v>10795</v>
      </c>
      <c r="EE108">
        <v>-8065</v>
      </c>
      <c r="EF108">
        <v>-7130</v>
      </c>
      <c r="EG108">
        <v>4378</v>
      </c>
      <c r="EH108">
        <v>356</v>
      </c>
      <c r="EI108">
        <v>-2137</v>
      </c>
      <c r="EJ108">
        <v>-1759.0035104368001</v>
      </c>
      <c r="EK108">
        <v>15534.2070654409</v>
      </c>
      <c r="EL108">
        <v>-7377.8794932163601</v>
      </c>
      <c r="EM108">
        <v>-3667.4500477777001</v>
      </c>
      <c r="EN108">
        <v>-8073.6868179593903</v>
      </c>
      <c r="EO108">
        <v>21149.703889061799</v>
      </c>
      <c r="EP108">
        <v>-7963.8536349180204</v>
      </c>
      <c r="EQ108">
        <v>-5310.2465983116999</v>
      </c>
      <c r="ER108">
        <v>-10099.3472586511</v>
      </c>
      <c r="ES108">
        <v>17967.815638342901</v>
      </c>
      <c r="ET108">
        <v>-9536.7892458871593</v>
      </c>
      <c r="EU108">
        <v>-2118.8475872778299</v>
      </c>
      <c r="EV108">
        <v>-10786.560581739201</v>
      </c>
      <c r="EW108">
        <v>17328.157689058899</v>
      </c>
      <c r="EX108">
        <v>-8778.5408943946204</v>
      </c>
      <c r="EY108">
        <v>-4684.0635897202301</v>
      </c>
      <c r="EZ108">
        <v>-9590.4768100085694</v>
      </c>
      <c r="FA108">
        <v>20605.662962258299</v>
      </c>
      <c r="FB108">
        <v>-11126.741141067199</v>
      </c>
      <c r="FC108">
        <v>-4309.2359925036699</v>
      </c>
      <c r="FD108">
        <v>-9512.7297214594801</v>
      </c>
      <c r="FE108">
        <v>23267.685497289101</v>
      </c>
    </row>
    <row r="109" spans="1:161">
      <c r="A109" t="s">
        <v>402</v>
      </c>
    </row>
    <row r="110" spans="1:161">
      <c r="B110" t="s">
        <v>403</v>
      </c>
      <c r="C110" t="s">
        <v>404</v>
      </c>
      <c r="D110" t="str">
        <f t="shared" ref="D110:D122" si="5">L_CURRENCY_ISSR_208000149_REP</f>
      </c>
    </row>
    <row r="111" spans="1:161">
      <c r="B111" t="s">
        <v>405</v>
      </c>
      <c r="C111" t="s">
        <v>406</v>
      </c>
      <c r="D111" t="str">
        <f t="shared" si="5"/>
      </c>
    </row>
    <row r="112" spans="1:161">
      <c r="B112" t="s">
        <v>407</v>
      </c>
      <c r="C112" t="s">
        <v>408</v>
      </c>
      <c r="D112" t="str">
        <f t="shared" si="5"/>
      </c>
    </row>
    <row r="113" spans="1:161">
      <c r="B113" t="s">
        <v>409</v>
      </c>
      <c r="C113" t="s">
        <v>410</v>
      </c>
      <c r="D113" t="str">
        <f t="shared" si="5"/>
      </c>
    </row>
    <row r="114" spans="1:161">
      <c r="B114" t="s">
        <v>411</v>
      </c>
      <c r="C114" t="s">
        <v>412</v>
      </c>
      <c r="D114" t="str">
        <f t="shared" si="5"/>
      </c>
    </row>
    <row r="115" spans="1:161">
      <c r="B115" t="s">
        <v>413</v>
      </c>
      <c r="C115" t="s">
        <v>414</v>
      </c>
      <c r="D115" t="str">
        <f t="shared" si="5"/>
      </c>
    </row>
    <row r="116" spans="1:161">
      <c r="B116" t="s">
        <v>415</v>
      </c>
      <c r="C116" t="s">
        <v>416</v>
      </c>
      <c r="D116" t="str">
        <f t="shared" si="5"/>
      </c>
    </row>
    <row r="117" spans="1:161">
      <c r="B117" t="s">
        <v>417</v>
      </c>
      <c r="C117" t="s">
        <v>418</v>
      </c>
      <c r="D117" t="str">
        <f t="shared" si="5"/>
      </c>
    </row>
    <row r="118" spans="1:161">
      <c r="B118" t="s">
        <v>419</v>
      </c>
      <c r="C118" t="s">
        <v>420</v>
      </c>
      <c r="D118" t="str">
        <f t="shared" si="5"/>
      </c>
    </row>
    <row r="119" spans="1:161">
      <c r="B119" t="s">
        <v>421</v>
      </c>
      <c r="C119" t="s">
        <v>422</v>
      </c>
      <c r="D119" t="str">
        <f t="shared" si="5"/>
      </c>
    </row>
    <row r="120" spans="1:161">
      <c r="B120" t="s">
        <v>423</v>
      </c>
      <c r="C120" t="s">
        <v>424</v>
      </c>
      <c r="D120" t="str">
        <f t="shared" si="5"/>
      </c>
    </row>
    <row r="121" spans="1:161">
      <c r="B121" t="s">
        <v>425</v>
      </c>
      <c r="C121" t="s">
        <v>426</v>
      </c>
      <c r="D121" t="str">
        <f t="shared" si="5"/>
      </c>
    </row>
    <row r="122" spans="1:161">
      <c r="B122" t="s">
        <v>427</v>
      </c>
      <c r="C122" t="s">
        <v>428</v>
      </c>
      <c r="D122" t="str">
        <f t="shared" si="5"/>
      </c>
    </row>
    <row r="123" spans="1:161">
      <c r="A123" t="s">
        <v>429</v>
      </c>
    </row>
    <row r="124" spans="1:161">
      <c r="B124" t="s">
        <v>430</v>
      </c>
      <c r="C124" t="s">
        <v>431</v>
      </c>
      <c r="AB124">
        <v>164</v>
      </c>
      <c r="BA124">
        <v>10.912000000000001</v>
      </c>
      <c r="BE124">
        <v>11.695</v>
      </c>
      <c r="BI124">
        <v>14.8</v>
      </c>
      <c r="BM124">
        <v>17.786999999999999</v>
      </c>
      <c r="BQ124">
        <v>21.6</v>
      </c>
      <c r="BU124">
        <v>32</v>
      </c>
      <c r="BY124">
        <v>34.299999999999997</v>
      </c>
      <c r="CC124">
        <v>46.6</v>
      </c>
      <c r="DY124">
        <v>164</v>
      </c>
    </row>
    <row r="125" spans="1:161">
      <c r="B125" t="s">
        <v>2195</v>
      </c>
      <c r="C125" t="s">
        <v>2196</v>
      </c>
    </row>
    <row r="126" spans="1:161">
      <c r="B126" t="s">
        <v>2199</v>
      </c>
      <c r="C126" t="s">
        <v>2200</v>
      </c>
    </row>
    <row r="127" spans="1:161">
      <c r="A127" t="s">
        <v>432</v>
      </c>
    </row>
    <row r="128" spans="1:161">
      <c r="B128" t="s">
        <v>439</v>
      </c>
      <c r="C128" t="s">
        <v>440</v>
      </c>
      <c r="G128">
        <v>5.0277829572999998E-2</v>
      </c>
      <c r="H128">
        <v>4.8746081504999997E-2</v>
      </c>
      <c r="I128">
        <v>4.6123731271000001E-2</v>
      </c>
      <c r="J128">
        <v>4.3690059186000003E-2</v>
      </c>
      <c r="K128">
        <v>4.2574115282000002E-2</v>
      </c>
      <c r="L128">
        <v>4.3720942273000003E-2</v>
      </c>
      <c r="M128">
        <v>4.3601188053999998E-2</v>
      </c>
      <c r="N128">
        <v>3.9482275746000002E-2</v>
      </c>
      <c r="O128">
        <v>3.9618459387000003E-2</v>
      </c>
      <c r="P128">
        <v>3.3803296282000003E-2</v>
      </c>
      <c r="Q128">
        <v>3.1855721530999997E-2</v>
      </c>
      <c r="R128">
        <v>4.0863086871000001E-2</v>
      </c>
      <c r="S128">
        <v>4.0596629804999999E-2</v>
      </c>
      <c r="T128">
        <v>3.9435159604999999E-2</v>
      </c>
      <c r="U128">
        <v>3.6145561902000002E-2</v>
      </c>
      <c r="V128">
        <v>3.6149165966999998E-2</v>
      </c>
      <c r="W128">
        <v>3.7926311105999998E-2</v>
      </c>
      <c r="X128">
        <v>3.7984035844000001E-2</v>
      </c>
      <c r="Y128">
        <v>4.0443164959000001E-2</v>
      </c>
      <c r="Z128">
        <v>4.0835801322000001E-2</v>
      </c>
      <c r="AA128">
        <v>3.7717055249000001E-2</v>
      </c>
      <c r="AB128">
        <v>3.8722129801000003E-2</v>
      </c>
      <c r="AC128">
        <v>3.8171073744E-2</v>
      </c>
      <c r="AD128">
        <v>3.8446814224000002E-2</v>
      </c>
      <c r="AE128">
        <v>3.8924230396999999E-2</v>
      </c>
      <c r="AF128">
        <v>3.8933305825999999E-2</v>
      </c>
      <c r="AG128">
        <v>3.8914394555000002E-2</v>
      </c>
      <c r="AH128">
        <v>3.8915377218000001E-2</v>
      </c>
      <c r="AI128">
        <v>3.8922295937000001E-2</v>
      </c>
      <c r="AJ128">
        <v>3.8926055569000001E-2</v>
      </c>
      <c r="AP128">
        <v>4.5849056604000002E-2</v>
      </c>
      <c r="AQ128">
        <v>4.8238993711000003E-2</v>
      </c>
      <c r="AR128">
        <v>5.1437288136000001E-2</v>
      </c>
      <c r="AS128">
        <v>5.4186206897000003E-2</v>
      </c>
      <c r="AT128">
        <v>4.5098181818000002E-2</v>
      </c>
      <c r="AU128">
        <v>4.4367892977000001E-2</v>
      </c>
      <c r="AV128">
        <v>5.0888733380000002E-2</v>
      </c>
      <c r="AW128">
        <v>5.4636174635999998E-2</v>
      </c>
      <c r="AX128">
        <v>4.5122282609000003E-2</v>
      </c>
      <c r="AY128">
        <v>4.1735593219999999E-2</v>
      </c>
      <c r="AZ128">
        <v>4.8407766989999997E-2</v>
      </c>
      <c r="BA128">
        <v>4.8699708454999997E-2</v>
      </c>
      <c r="BB128">
        <v>4.1455633100999999E-2</v>
      </c>
      <c r="BC128">
        <v>4.1534834992000003E-2</v>
      </c>
      <c r="BD128">
        <v>4.5491559086E-2</v>
      </c>
      <c r="BE128">
        <v>4.5804255319000002E-2</v>
      </c>
      <c r="BF128">
        <v>4.2214899712999999E-2</v>
      </c>
      <c r="BG128">
        <v>4.0046253469000002E-2</v>
      </c>
      <c r="BH128">
        <v>4.4463068182E-2</v>
      </c>
      <c r="BI128">
        <v>4.3336052202E-2</v>
      </c>
      <c r="BJ128">
        <v>4.226822056E-2</v>
      </c>
      <c r="BK128">
        <v>4.3812801100999998E-2</v>
      </c>
      <c r="BL128">
        <v>4.5576659039000003E-2</v>
      </c>
      <c r="BM128">
        <v>4.3688236509999999E-2</v>
      </c>
      <c r="BN128">
        <v>4.4576723291000001E-2</v>
      </c>
      <c r="BO128">
        <v>4.2224744607999999E-2</v>
      </c>
      <c r="BP128">
        <v>4.4377134640000003E-2</v>
      </c>
      <c r="BQ128">
        <v>4.2997275203999999E-2</v>
      </c>
      <c r="BR128">
        <v>3.9995206136000001E-2</v>
      </c>
      <c r="BS128">
        <v>3.9056390976999998E-2</v>
      </c>
      <c r="BT128">
        <v>4.2113477052999997E-2</v>
      </c>
      <c r="BU128">
        <v>3.75859375E-2</v>
      </c>
      <c r="BV128">
        <v>3.9984848485000002E-2</v>
      </c>
      <c r="BW128">
        <v>3.9055482166000001E-2</v>
      </c>
      <c r="BX128">
        <v>4.1162934046000001E-2</v>
      </c>
      <c r="BY128">
        <v>3.8449250429999998E-2</v>
      </c>
      <c r="BZ128">
        <v>3.4960147931000003E-2</v>
      </c>
      <c r="CA128">
        <v>3.3289132527999997E-2</v>
      </c>
      <c r="CB128">
        <v>3.5696178343999997E-2</v>
      </c>
      <c r="CC128">
        <v>3.1791771125E-2</v>
      </c>
      <c r="CD128">
        <v>3.1024269848E-2</v>
      </c>
      <c r="CE128">
        <v>3.4015891676999997E-2</v>
      </c>
      <c r="CF128">
        <v>3.1897378460999999E-2</v>
      </c>
      <c r="CG128">
        <v>3.0715245844E-2</v>
      </c>
      <c r="CH128">
        <v>4.2870092590999997E-2</v>
      </c>
      <c r="CI128">
        <v>3.7604501608000003E-2</v>
      </c>
      <c r="CJ128">
        <v>4.0509379551000001E-2</v>
      </c>
      <c r="CK128">
        <v>4.2172329421999999E-2</v>
      </c>
      <c r="CL128">
        <v>4.1026012621000002E-2</v>
      </c>
      <c r="CM128">
        <v>3.6499094098999998E-2</v>
      </c>
      <c r="CN128">
        <v>4.4259830705000003E-2</v>
      </c>
      <c r="CO128">
        <v>4.1286827498000001E-2</v>
      </c>
      <c r="CP128">
        <v>3.8736847588000001E-2</v>
      </c>
      <c r="CQ128">
        <v>3.5455023441000003E-2</v>
      </c>
      <c r="CR128">
        <v>4.2254220986999998E-2</v>
      </c>
      <c r="CS128">
        <v>4.2197849156E-2</v>
      </c>
      <c r="CT128">
        <v>3.6876365634999998E-2</v>
      </c>
      <c r="CU128">
        <v>3.3070849853000003E-2</v>
      </c>
      <c r="CV128">
        <v>3.6665860295999997E-2</v>
      </c>
      <c r="CW128">
        <v>3.8049164093999999E-2</v>
      </c>
      <c r="CX128">
        <v>3.4785559889999998E-2</v>
      </c>
      <c r="CY128">
        <v>3.3994105662999999E-2</v>
      </c>
      <c r="CZ128">
        <v>3.8166816185999999E-2</v>
      </c>
      <c r="DA128">
        <v>3.8858746691999999E-2</v>
      </c>
      <c r="DB128">
        <v>3.6720909752E-2</v>
      </c>
      <c r="DC128">
        <v>3.5997617966999997E-2</v>
      </c>
      <c r="DD128">
        <v>4.0385835095000003E-2</v>
      </c>
      <c r="DE128">
        <v>3.9538789249999998E-2</v>
      </c>
      <c r="DF128">
        <v>3.5873398797000002E-2</v>
      </c>
      <c r="DG128">
        <v>3.6568526423999999E-2</v>
      </c>
      <c r="DH128">
        <v>4.1467755561999997E-2</v>
      </c>
      <c r="DI128">
        <v>3.9372496025000002E-2</v>
      </c>
      <c r="DJ128">
        <v>3.9433044716000003E-2</v>
      </c>
      <c r="DK128">
        <v>3.9707661812E-2</v>
      </c>
      <c r="DL128">
        <v>4.1908230965000001E-2</v>
      </c>
      <c r="DM128">
        <v>4.1208307308E-2</v>
      </c>
      <c r="DN128">
        <v>4.0547490170999997E-2</v>
      </c>
      <c r="DO128">
        <v>3.9314904051999999E-2</v>
      </c>
      <c r="DP128">
        <v>4.0740889671000001E-2</v>
      </c>
      <c r="DQ128">
        <v>4.2703329315000003E-2</v>
      </c>
      <c r="DR128">
        <v>3.7400730443999997E-2</v>
      </c>
      <c r="DS128">
        <v>3.4465306304999999E-2</v>
      </c>
      <c r="DT128">
        <v>3.9643146597000002E-2</v>
      </c>
      <c r="DU128">
        <v>3.9752879078999999E-2</v>
      </c>
      <c r="DV128">
        <v>3.7392714510000001E-2</v>
      </c>
      <c r="DW128">
        <v>3.7823351631E-2</v>
      </c>
      <c r="DX128">
        <v>4.0652370447999998E-2</v>
      </c>
      <c r="DY128">
        <v>3.9743527166999998E-2</v>
      </c>
      <c r="DZ128">
        <v>3.7856325862000002E-2</v>
      </c>
      <c r="EA128">
        <v>3.5857269391E-2</v>
      </c>
      <c r="EB128">
        <v>3.8931378900999999E-2</v>
      </c>
      <c r="EC128">
        <v>4.0340007598000001E-2</v>
      </c>
      <c r="ED128">
        <v>3.7956930797000001E-2</v>
      </c>
      <c r="EE128">
        <v>3.6963736736000001E-2</v>
      </c>
      <c r="EF128">
        <v>3.9532975040000001E-2</v>
      </c>
      <c r="EG128">
        <v>3.9500263351999999E-2</v>
      </c>
      <c r="EH128">
        <v>3.8120032179999999E-2</v>
      </c>
      <c r="EI128">
        <v>3.8049371323E-2</v>
      </c>
      <c r="EJ128">
        <v>3.9911727334000002E-2</v>
      </c>
      <c r="EK128">
        <v>3.9877306020000003E-2</v>
      </c>
      <c r="EL128">
        <v>3.8120032179999999E-2</v>
      </c>
      <c r="EM128">
        <v>3.8049371323E-2</v>
      </c>
      <c r="EN128">
        <v>3.9911727334000002E-2</v>
      </c>
      <c r="EO128">
        <v>3.9877306020000003E-2</v>
      </c>
      <c r="EP128">
        <v>3.8120032179999999E-2</v>
      </c>
      <c r="EQ128">
        <v>3.8049371323E-2</v>
      </c>
      <c r="ER128">
        <v>3.9911727334000002E-2</v>
      </c>
      <c r="ES128">
        <v>3.9877306020000003E-2</v>
      </c>
      <c r="ET128">
        <v>3.8120032179999999E-2</v>
      </c>
      <c r="EU128">
        <v>3.8049371323E-2</v>
      </c>
      <c r="EV128">
        <v>3.9911727334000002E-2</v>
      </c>
      <c r="EW128">
        <v>3.9877306020000003E-2</v>
      </c>
      <c r="EX128">
        <v>3.8120032179999999E-2</v>
      </c>
      <c r="EY128">
        <v>3.8049371323E-2</v>
      </c>
      <c r="EZ128">
        <v>3.9911727334000002E-2</v>
      </c>
      <c r="FA128">
        <v>3.9877306020000003E-2</v>
      </c>
      <c r="FB128">
        <v>3.8120032179999999E-2</v>
      </c>
      <c r="FC128">
        <v>3.8049371323E-2</v>
      </c>
      <c r="FD128">
        <v>3.9911727334000002E-2</v>
      </c>
      <c r="FE128">
        <v>3.9877306020000003E-2</v>
      </c>
    </row>
    <row r="129" spans="2:161">
      <c r="B129" t="s">
        <v>437</v>
      </c>
      <c r="C129" t="s">
        <v>438</v>
      </c>
      <c r="G129">
        <v>0.50277829572999999</v>
      </c>
      <c r="H129">
        <v>0.48746081504700001</v>
      </c>
      <c r="I129">
        <v>0.46123731271099999</v>
      </c>
      <c r="J129">
        <v>0.43690059185899999</v>
      </c>
      <c r="K129">
        <v>0.42574115282500002</v>
      </c>
      <c r="L129">
        <v>0.43720942272800001</v>
      </c>
      <c r="M129">
        <v>0.43601188054399997</v>
      </c>
      <c r="N129">
        <v>0.39482275746200002</v>
      </c>
      <c r="O129">
        <v>0.39618459386999999</v>
      </c>
      <c r="P129">
        <v>0.33803296282099998</v>
      </c>
      <c r="Q129">
        <v>0.318557215309</v>
      </c>
      <c r="R129">
        <v>0.40863086870999998</v>
      </c>
      <c r="S129">
        <v>0.40596629805200002</v>
      </c>
      <c r="T129">
        <v>0.39435159604999998</v>
      </c>
      <c r="U129">
        <v>0.361455619023</v>
      </c>
      <c r="V129">
        <v>0.36149165967199998</v>
      </c>
      <c r="W129">
        <v>0.379263111057</v>
      </c>
      <c r="X129">
        <v>0.37984035844000003</v>
      </c>
      <c r="Y129">
        <v>0.40443164958799999</v>
      </c>
      <c r="Z129">
        <v>0.40835801322300003</v>
      </c>
      <c r="AA129">
        <v>0.377170552489</v>
      </c>
      <c r="AB129">
        <v>0.38722129800600003</v>
      </c>
      <c r="AC129">
        <v>0.38171073744099998</v>
      </c>
      <c r="AD129">
        <v>0.38446814223800002</v>
      </c>
      <c r="AE129">
        <v>0.38923764354000001</v>
      </c>
      <c r="AF129">
        <v>0.38933305826300002</v>
      </c>
      <c r="AG129">
        <v>0.38914394554999998</v>
      </c>
      <c r="AH129">
        <v>0.38915377218399999</v>
      </c>
      <c r="AI129">
        <v>0.389222959373</v>
      </c>
      <c r="AJ129">
        <v>0.38926055568700002</v>
      </c>
      <c r="AP129">
        <v>0.45849056603799998</v>
      </c>
      <c r="AQ129">
        <v>0.48238993710700001</v>
      </c>
      <c r="AR129">
        <v>0.51437288135600001</v>
      </c>
      <c r="AS129">
        <v>0.54186206896599998</v>
      </c>
      <c r="AT129">
        <v>0.450981818182</v>
      </c>
      <c r="AU129">
        <v>0.44367892976599999</v>
      </c>
      <c r="AV129">
        <v>0.50888733379999995</v>
      </c>
      <c r="AW129">
        <v>0.54636174636199997</v>
      </c>
      <c r="AX129">
        <v>0.45122282608699998</v>
      </c>
      <c r="AY129">
        <v>0.41735593220299999</v>
      </c>
      <c r="AZ129">
        <v>0.484077669903</v>
      </c>
      <c r="BA129">
        <v>0.486997084548</v>
      </c>
      <c r="BB129">
        <v>0.41455633100700001</v>
      </c>
      <c r="BC129">
        <v>0.415348349921</v>
      </c>
      <c r="BD129">
        <v>0.45491559086400002</v>
      </c>
      <c r="BE129">
        <v>0.45804255319100001</v>
      </c>
      <c r="BF129">
        <v>0.42214899713499998</v>
      </c>
      <c r="BG129">
        <v>0.40046253468999998</v>
      </c>
      <c r="BH129">
        <v>0.44463068181799997</v>
      </c>
      <c r="BI129">
        <v>0.43336052202300002</v>
      </c>
      <c r="BJ129">
        <v>0.42268220560100001</v>
      </c>
      <c r="BK129">
        <v>0.438128011012</v>
      </c>
      <c r="BL129">
        <v>0.45576659038900003</v>
      </c>
      <c r="BM129">
        <v>0.43688236510200001</v>
      </c>
      <c r="BN129">
        <v>0.44576723290699999</v>
      </c>
      <c r="BO129">
        <v>0.422247446084</v>
      </c>
      <c r="BP129">
        <v>0.44377134639600002</v>
      </c>
      <c r="BQ129">
        <v>0.42997275204399998</v>
      </c>
      <c r="BR129">
        <v>0.39995206136099998</v>
      </c>
      <c r="BS129">
        <v>0.39056390977400002</v>
      </c>
      <c r="BT129">
        <v>0.42113477053300002</v>
      </c>
      <c r="BU129">
        <v>0.375859375</v>
      </c>
      <c r="BV129">
        <v>0.39984848484800001</v>
      </c>
      <c r="BW129">
        <v>0.39055482166400002</v>
      </c>
      <c r="BX129">
        <v>0.41162934045600003</v>
      </c>
      <c r="BY129">
        <v>0.38449250430100002</v>
      </c>
      <c r="BZ129">
        <v>0.34960147930899999</v>
      </c>
      <c r="CA129">
        <v>0.33289132528299997</v>
      </c>
      <c r="CB129">
        <v>0.35696178343899998</v>
      </c>
      <c r="CC129">
        <v>0.31791771125200002</v>
      </c>
      <c r="CD129">
        <v>0.31024269847800001</v>
      </c>
      <c r="CE129">
        <v>0.34015891677100002</v>
      </c>
      <c r="CF129">
        <v>0.31897378460699999</v>
      </c>
      <c r="CG129">
        <v>0.30715245843700001</v>
      </c>
      <c r="CH129">
        <v>0.42870092590600001</v>
      </c>
      <c r="CI129">
        <v>0.37604501607700003</v>
      </c>
      <c r="CJ129">
        <v>0.405093795506</v>
      </c>
      <c r="CK129">
        <v>0.421723294222</v>
      </c>
      <c r="CL129">
        <v>0.410260126211</v>
      </c>
      <c r="CM129">
        <v>0.36499094099000001</v>
      </c>
      <c r="CN129">
        <v>0.44259830705199998</v>
      </c>
      <c r="CO129">
        <v>0.41286827497900003</v>
      </c>
      <c r="CP129">
        <v>0.387368475883</v>
      </c>
      <c r="CQ129">
        <v>0.35455023441299999</v>
      </c>
      <c r="CR129">
        <v>0.42254220987399999</v>
      </c>
      <c r="CS129">
        <v>0.42197849156</v>
      </c>
      <c r="CT129">
        <v>0.36876365634899999</v>
      </c>
      <c r="CU129">
        <v>0.33070849853500001</v>
      </c>
      <c r="CV129">
        <v>0.36665860296300001</v>
      </c>
      <c r="CW129">
        <v>0.38049164093900001</v>
      </c>
      <c r="CX129">
        <v>0.347855598903</v>
      </c>
      <c r="CY129">
        <v>0.33994105662899998</v>
      </c>
      <c r="CZ129">
        <v>0.38166816185800001</v>
      </c>
      <c r="DA129">
        <v>0.38858746691700002</v>
      </c>
      <c r="DB129">
        <v>0.36720909752300002</v>
      </c>
      <c r="DC129">
        <v>0.359976179673</v>
      </c>
      <c r="DD129">
        <v>0.40385835095099998</v>
      </c>
      <c r="DE129">
        <v>0.395387892505</v>
      </c>
      <c r="DF129">
        <v>0.35873398797200001</v>
      </c>
      <c r="DG129">
        <v>0.36568526424300002</v>
      </c>
      <c r="DH129">
        <v>0.41467755561800002</v>
      </c>
      <c r="DI129">
        <v>0.393724960254</v>
      </c>
      <c r="DJ129">
        <v>0.39433044715900001</v>
      </c>
      <c r="DK129">
        <v>0.39707661811599998</v>
      </c>
      <c r="DL129">
        <v>0.41908230965100002</v>
      </c>
      <c r="DM129">
        <v>0.412083073079</v>
      </c>
      <c r="DN129">
        <v>0.40547490170900002</v>
      </c>
      <c r="DO129">
        <v>0.39314904052299998</v>
      </c>
      <c r="DP129">
        <v>0.40740889670800001</v>
      </c>
      <c r="DQ129">
        <v>0.427033293147</v>
      </c>
      <c r="DR129">
        <v>0.37400730444500002</v>
      </c>
      <c r="DS129">
        <v>0.344653063047</v>
      </c>
      <c r="DT129">
        <v>0.39643146597200002</v>
      </c>
      <c r="DU129">
        <v>0.39752879078699999</v>
      </c>
      <c r="DV129">
        <v>0.37392714510500003</v>
      </c>
      <c r="DW129">
        <v>0.37823351631399998</v>
      </c>
      <c r="DX129">
        <v>0.406523704481</v>
      </c>
      <c r="DY129">
        <v>0.39743527166999998</v>
      </c>
      <c r="DZ129">
        <v>0.37856325861700002</v>
      </c>
      <c r="EA129">
        <v>0.35857269391399998</v>
      </c>
      <c r="EB129">
        <v>0.38931378901399999</v>
      </c>
      <c r="EC129">
        <v>0.40340007597900002</v>
      </c>
      <c r="ED129">
        <v>0.37956930796600002</v>
      </c>
      <c r="EE129">
        <v>0.36963736736000002</v>
      </c>
      <c r="EF129">
        <v>0.39532975039899998</v>
      </c>
      <c r="EG129">
        <v>0.395002633519</v>
      </c>
      <c r="EH129">
        <v>0.38120032180199998</v>
      </c>
      <c r="EI129">
        <v>0.38049371323100001</v>
      </c>
      <c r="EJ129">
        <v>0.39911727334300001</v>
      </c>
      <c r="EK129">
        <v>0.39877306019600001</v>
      </c>
      <c r="EL129">
        <v>0.38120032180199998</v>
      </c>
      <c r="EM129">
        <v>0.38049371323100001</v>
      </c>
      <c r="EN129">
        <v>0.39911727334300001</v>
      </c>
      <c r="EO129">
        <v>0.39877306019600001</v>
      </c>
      <c r="EP129">
        <v>0.38120032180199998</v>
      </c>
      <c r="EQ129">
        <v>0.38049371323100001</v>
      </c>
      <c r="ER129">
        <v>0.39911727334300001</v>
      </c>
      <c r="ES129">
        <v>0.39877306019600001</v>
      </c>
      <c r="ET129">
        <v>0.38120032180199998</v>
      </c>
      <c r="EU129">
        <v>0.38049371323100001</v>
      </c>
      <c r="EV129">
        <v>0.39911727334300001</v>
      </c>
      <c r="EW129">
        <v>0.39877306019600001</v>
      </c>
      <c r="EX129">
        <v>0.38120032180199998</v>
      </c>
      <c r="EY129">
        <v>0.38049371323100001</v>
      </c>
      <c r="EZ129">
        <v>0.39911727334300001</v>
      </c>
      <c r="FA129">
        <v>0.39877306019600001</v>
      </c>
      <c r="FB129">
        <v>0.38120032180199998</v>
      </c>
      <c r="FC129">
        <v>0.38049371323100001</v>
      </c>
      <c r="FD129">
        <v>0.39911727334300001</v>
      </c>
      <c r="FE129">
        <v>0.39877306019600001</v>
      </c>
    </row>
    <row r="130" spans="2:161">
      <c r="B130" t="s">
        <v>743</v>
      </c>
      <c r="C130" t="s">
        <v>744</v>
      </c>
    </row>
    <row r="131" spans="2:161">
      <c r="B131" t="s">
        <v>441</v>
      </c>
      <c r="C131" t="s">
        <v>442</v>
      </c>
    </row>
    <row r="132" spans="2:161">
      <c r="B132" t="s">
        <v>443</v>
      </c>
      <c r="C132" t="s">
        <v>444</v>
      </c>
    </row>
    <row r="133" spans="2:161">
      <c r="B133" t="s">
        <v>445</v>
      </c>
      <c r="C133" t="s">
        <v>446</v>
      </c>
    </row>
    <row r="134" spans="2:161">
      <c r="B134" t="s">
        <v>447</v>
      </c>
      <c r="C134" t="s">
        <v>448</v>
      </c>
    </row>
    <row r="135" spans="2:161">
      <c r="B135" t="s">
        <v>449</v>
      </c>
      <c r="C135" t="s">
        <v>450</v>
      </c>
      <c r="G135">
        <v>5.5864255079999996E-3</v>
      </c>
      <c r="H135">
        <v>5.4162312780000003E-3</v>
      </c>
      <c r="I135">
        <v>5.1248590299999997E-3</v>
      </c>
      <c r="J135">
        <v>4.8544510210000004E-3</v>
      </c>
      <c r="K135">
        <v>4.7304572540000003E-3</v>
      </c>
      <c r="L135">
        <v>4.8578824750000003E-3</v>
      </c>
      <c r="M135">
        <v>4.8445764499999997E-3</v>
      </c>
      <c r="N135">
        <v>4.3869195269999996E-3</v>
      </c>
      <c r="O135">
        <v>4.402051043E-3</v>
      </c>
      <c r="P135">
        <v>3.755921809E-3</v>
      </c>
      <c r="Q135">
        <v>3.5395246150000002E-3</v>
      </c>
      <c r="R135">
        <v>4.5403429859999997E-3</v>
      </c>
      <c r="S135">
        <v>4.510736645E-3</v>
      </c>
      <c r="T135">
        <v>4.381684401E-3</v>
      </c>
      <c r="U135">
        <v>4.0161735449999996E-3</v>
      </c>
      <c r="V135">
        <v>4.0165739960000002E-3</v>
      </c>
      <c r="W135">
        <v>4.2140345670000001E-3</v>
      </c>
      <c r="X135">
        <v>4.2204484270000004E-3</v>
      </c>
      <c r="Y135">
        <v>4.4936849950000003E-3</v>
      </c>
      <c r="Z135">
        <v>4.5373112580000003E-3</v>
      </c>
      <c r="AA135">
        <v>4.1907839170000002E-3</v>
      </c>
      <c r="AB135">
        <v>4.3024588669999999E-3</v>
      </c>
      <c r="AC135">
        <v>4.2412304160000004E-3</v>
      </c>
      <c r="AD135">
        <v>4.2718682470000002E-3</v>
      </c>
      <c r="AE135">
        <v>4.3249144890000002E-3</v>
      </c>
      <c r="AF135">
        <v>4.3259228700000003E-3</v>
      </c>
      <c r="AG135">
        <v>4.3236583290000002E-3</v>
      </c>
      <c r="AH135">
        <v>4.3238260169999997E-3</v>
      </c>
      <c r="AI135">
        <v>4.3245925550000003E-3</v>
      </c>
      <c r="AJ135">
        <v>4.3250077589999996E-3</v>
      </c>
      <c r="AP135">
        <v>5.0943396230000004E-3</v>
      </c>
      <c r="AQ135">
        <v>5.3598881900000003E-3</v>
      </c>
      <c r="AR135">
        <v>5.7152542369999998E-3</v>
      </c>
      <c r="AS135">
        <v>6.0206896549999996E-3</v>
      </c>
      <c r="AT135">
        <v>5.0109090910000001E-3</v>
      </c>
      <c r="AU135">
        <v>4.9297658859999999E-3</v>
      </c>
      <c r="AV135">
        <v>5.6543037089999996E-3</v>
      </c>
      <c r="AW135">
        <v>6.0706860709999998E-3</v>
      </c>
      <c r="AX135">
        <v>5.0135869569999996E-3</v>
      </c>
      <c r="AY135">
        <v>4.6372881360000002E-3</v>
      </c>
      <c r="AZ135">
        <v>5.3786407769999996E-3</v>
      </c>
      <c r="BA135">
        <v>5.4110787169999999E-3</v>
      </c>
      <c r="BB135">
        <v>4.6061814559999999E-3</v>
      </c>
      <c r="BC135">
        <v>4.6149816659999997E-3</v>
      </c>
      <c r="BD135">
        <v>5.0546176759999999E-3</v>
      </c>
      <c r="BE135">
        <v>5.0893617020000004E-3</v>
      </c>
      <c r="BF135">
        <v>4.6905444130000001E-3</v>
      </c>
      <c r="BG135">
        <v>4.4495837190000002E-3</v>
      </c>
      <c r="BH135">
        <v>4.9403409089999999E-3</v>
      </c>
      <c r="BI135">
        <v>4.8151169109999998E-3</v>
      </c>
      <c r="BJ135">
        <v>4.6964689509999998E-3</v>
      </c>
      <c r="BK135">
        <v>4.8680890110000003E-3</v>
      </c>
      <c r="BL135">
        <v>5.0640732270000001E-3</v>
      </c>
      <c r="BM135">
        <v>4.8542485010000004E-3</v>
      </c>
      <c r="BN135">
        <v>4.9529692550000001E-3</v>
      </c>
      <c r="BO135">
        <v>4.6916382900000003E-3</v>
      </c>
      <c r="BP135">
        <v>4.9307927380000003E-3</v>
      </c>
      <c r="BQ135">
        <v>4.7774750230000001E-3</v>
      </c>
      <c r="BR135">
        <v>4.4439117929999999E-3</v>
      </c>
      <c r="BS135">
        <v>4.339598997E-3</v>
      </c>
      <c r="BT135">
        <v>4.6792752280000001E-3</v>
      </c>
      <c r="BU135">
        <v>4.1762152780000002E-3</v>
      </c>
      <c r="BV135">
        <v>4.4427609429999997E-3</v>
      </c>
      <c r="BW135">
        <v>4.3394980179999997E-3</v>
      </c>
      <c r="BX135">
        <v>4.5736593380000003E-3</v>
      </c>
      <c r="BY135">
        <v>4.2721389370000001E-3</v>
      </c>
      <c r="BZ135">
        <v>3.8844608810000001E-3</v>
      </c>
      <c r="CA135">
        <v>3.698792503E-3</v>
      </c>
      <c r="CB135">
        <v>3.9662420379999999E-3</v>
      </c>
      <c r="CC135">
        <v>3.5324190140000001E-3</v>
      </c>
      <c r="CD135">
        <v>3.447141094E-3</v>
      </c>
      <c r="CE135">
        <v>3.7795435199999999E-3</v>
      </c>
      <c r="CF135">
        <v>3.5441531620000002E-3</v>
      </c>
      <c r="CG135">
        <v>3.4128050940000002E-3</v>
      </c>
      <c r="CH135">
        <v>4.7633436210000003E-3</v>
      </c>
      <c r="CI135">
        <v>4.1782779559999999E-3</v>
      </c>
      <c r="CJ135">
        <v>4.5010421720000004E-3</v>
      </c>
      <c r="CK135">
        <v>4.6858143800000002E-3</v>
      </c>
      <c r="CL135">
        <v>4.558445847E-3</v>
      </c>
      <c r="CM135">
        <v>4.0554548999999999E-3</v>
      </c>
      <c r="CN135">
        <v>4.9177589670000004E-3</v>
      </c>
      <c r="CO135">
        <v>4.5874252779999998E-3</v>
      </c>
      <c r="CP135">
        <v>4.3040941759999998E-3</v>
      </c>
      <c r="CQ135">
        <v>3.9394470489999998E-3</v>
      </c>
      <c r="CR135">
        <v>4.6949134429999997E-3</v>
      </c>
      <c r="CS135">
        <v>4.6886499060000003E-3</v>
      </c>
      <c r="CT135">
        <v>4.0973739589999997E-3</v>
      </c>
      <c r="CU135">
        <v>3.6745388730000002E-3</v>
      </c>
      <c r="CV135">
        <v>4.0739844770000004E-3</v>
      </c>
      <c r="CW135">
        <v>4.2276848990000001E-3</v>
      </c>
      <c r="CX135">
        <v>3.8650622099999999E-3</v>
      </c>
      <c r="CY135">
        <v>3.777122851E-3</v>
      </c>
      <c r="CZ135">
        <v>4.2407573539999998E-3</v>
      </c>
      <c r="DA135">
        <v>4.3176385209999996E-3</v>
      </c>
      <c r="DB135">
        <v>4.0801010839999997E-3</v>
      </c>
      <c r="DC135">
        <v>3.9997353300000003E-3</v>
      </c>
      <c r="DD135">
        <v>4.4873150109999999E-3</v>
      </c>
      <c r="DE135">
        <v>4.3931988060000003E-3</v>
      </c>
      <c r="DF135">
        <v>3.9859331999999997E-3</v>
      </c>
      <c r="DG135">
        <v>4.0631696029999999E-3</v>
      </c>
      <c r="DH135">
        <v>4.6075283959999998E-3</v>
      </c>
      <c r="DI135">
        <v>4.3747217809999997E-3</v>
      </c>
      <c r="DJ135">
        <v>4.3814494129999996E-3</v>
      </c>
      <c r="DK135">
        <v>4.4119624240000002E-3</v>
      </c>
      <c r="DL135">
        <v>4.6564701070000002E-3</v>
      </c>
      <c r="DM135">
        <v>4.578700812E-3</v>
      </c>
      <c r="DN135">
        <v>4.5052766859999998E-3</v>
      </c>
      <c r="DO135">
        <v>4.3683226719999999E-3</v>
      </c>
      <c r="DP135">
        <v>4.5267655190000004E-3</v>
      </c>
      <c r="DQ135">
        <v>4.7448143680000002E-3</v>
      </c>
      <c r="DR135">
        <v>4.1556367159999996E-3</v>
      </c>
      <c r="DS135">
        <v>3.8294784780000001E-3</v>
      </c>
      <c r="DT135">
        <v>4.4047940659999998E-3</v>
      </c>
      <c r="DU135">
        <v>4.4169865639999998E-3</v>
      </c>
      <c r="DV135">
        <v>4.1547460570000002E-3</v>
      </c>
      <c r="DW135">
        <v>4.2025946259999997E-3</v>
      </c>
      <c r="DX135">
        <v>4.5169300500000004E-3</v>
      </c>
      <c r="DY135">
        <v>4.4159474630000002E-3</v>
      </c>
      <c r="DZ135">
        <v>4.2062584289999996E-3</v>
      </c>
      <c r="EA135">
        <v>3.9841410430000003E-3</v>
      </c>
      <c r="EB135">
        <v>4.3257087670000001E-3</v>
      </c>
      <c r="EC135">
        <v>4.4822230660000002E-3</v>
      </c>
      <c r="ED135">
        <v>4.2174367549999998E-3</v>
      </c>
      <c r="EE135">
        <v>4.1070818600000003E-3</v>
      </c>
      <c r="EF135">
        <v>4.3925527820000004E-3</v>
      </c>
      <c r="EG135">
        <v>4.3889181499999997E-3</v>
      </c>
      <c r="EH135">
        <v>4.2355591309999998E-3</v>
      </c>
      <c r="EI135">
        <v>4.227707925E-3</v>
      </c>
      <c r="EJ135">
        <v>4.4345222740000004E-3</v>
      </c>
      <c r="EK135">
        <v>4.4305745790000003E-3</v>
      </c>
      <c r="EL135">
        <v>4.2355591309999998E-3</v>
      </c>
      <c r="EM135">
        <v>4.227707925E-3</v>
      </c>
      <c r="EN135">
        <v>4.4345222740000004E-3</v>
      </c>
      <c r="EO135">
        <v>4.4305745790000003E-3</v>
      </c>
      <c r="EP135">
        <v>4.2355591309999998E-3</v>
      </c>
      <c r="EQ135">
        <v>4.227707925E-3</v>
      </c>
      <c r="ER135">
        <v>4.4345222740000004E-3</v>
      </c>
      <c r="ES135">
        <v>4.4305745790000003E-3</v>
      </c>
      <c r="ET135">
        <v>4.2355591309999998E-3</v>
      </c>
      <c r="EU135">
        <v>4.227707925E-3</v>
      </c>
      <c r="EV135">
        <v>4.4345222740000004E-3</v>
      </c>
      <c r="EW135">
        <v>4.4305745790000003E-3</v>
      </c>
      <c r="EX135">
        <v>4.2355591309999998E-3</v>
      </c>
      <c r="EY135">
        <v>4.227707925E-3</v>
      </c>
      <c r="EZ135">
        <v>4.4345222740000004E-3</v>
      </c>
      <c r="FA135">
        <v>4.4305745790000003E-3</v>
      </c>
      <c r="FB135">
        <v>4.2355591309999998E-3</v>
      </c>
      <c r="FC135">
        <v>4.227707925E-3</v>
      </c>
      <c r="FD135">
        <v>4.4345222740000004E-3</v>
      </c>
      <c r="FE135">
        <v>4.4305745790000003E-3</v>
      </c>
    </row>
    <row r="136" spans="2:161">
      <c r="B136" t="s">
        <v>451</v>
      </c>
      <c r="C136" t="s">
        <v>452</v>
      </c>
    </row>
    <row r="137" spans="2:161">
      <c r="B137" t="s">
        <v>745</v>
      </c>
      <c r="C137" t="s">
        <v>746</v>
      </c>
    </row>
    <row r="138" spans="2:161">
      <c r="B138" t="s">
        <v>747</v>
      </c>
      <c r="C138" t="s">
        <v>748</v>
      </c>
      <c r="G138">
        <v>1.1644601902E-2</v>
      </c>
      <c r="H138">
        <v>1.0893416927999999E-2</v>
      </c>
      <c r="I138">
        <v>1.054454648E-2</v>
      </c>
      <c r="J138">
        <v>1.0864838749000001E-2</v>
      </c>
      <c r="K138">
        <v>1.1029358984000001E-2</v>
      </c>
      <c r="L138">
        <v>1.0603158167E-2</v>
      </c>
      <c r="M138">
        <v>1.1125803564E-2</v>
      </c>
      <c r="N138">
        <v>1.2313621936E-2</v>
      </c>
      <c r="O138">
        <v>1.3762964689E-2</v>
      </c>
      <c r="P138">
        <v>1.4328861633E-2</v>
      </c>
      <c r="Q138">
        <v>1.2830603516000001E-2</v>
      </c>
      <c r="R138">
        <v>1.2563575025000001E-2</v>
      </c>
      <c r="S138">
        <v>1.1988766017E-2</v>
      </c>
      <c r="T138">
        <v>1.2113296316E-2</v>
      </c>
      <c r="U138">
        <v>1.0768885181E-2</v>
      </c>
      <c r="V138">
        <v>1.1582320452E-2</v>
      </c>
      <c r="W138">
        <v>1.1982951917999999E-2</v>
      </c>
      <c r="X138">
        <v>1.1750974228E-2</v>
      </c>
      <c r="Y138">
        <v>1.1586092383999999E-2</v>
      </c>
      <c r="Z138">
        <v>1.2502049067999999E-2</v>
      </c>
      <c r="AA138">
        <v>1.2206513093E-2</v>
      </c>
      <c r="AB138">
        <v>1.2060771743E-2</v>
      </c>
      <c r="AC138">
        <v>1.2300768358E-2</v>
      </c>
      <c r="AD138">
        <v>1.2956384978E-2</v>
      </c>
      <c r="AE138">
        <v>1.3182382586E-2</v>
      </c>
      <c r="AF138">
        <v>1.3186444784999999E-2</v>
      </c>
      <c r="AG138">
        <v>1.3189630765E-2</v>
      </c>
      <c r="AH138">
        <v>1.3184768580000001E-2</v>
      </c>
      <c r="AI138">
        <v>1.3187658541E-2</v>
      </c>
      <c r="AJ138">
        <v>1.3187829905E-2</v>
      </c>
      <c r="AP138">
        <v>1.6186693148E-2</v>
      </c>
      <c r="AQ138">
        <v>1.2403913347000001E-2</v>
      </c>
      <c r="AR138">
        <v>9.3220338979999994E-3</v>
      </c>
      <c r="AS138">
        <v>1.0103448276E-2</v>
      </c>
      <c r="AT138">
        <v>1.32E-2</v>
      </c>
      <c r="AU138">
        <v>1.220735786E-2</v>
      </c>
      <c r="AV138">
        <v>9.6221133659999993E-3</v>
      </c>
      <c r="AW138">
        <v>8.5932085929999995E-3</v>
      </c>
      <c r="AX138">
        <v>1.1922554348E-2</v>
      </c>
      <c r="AY138">
        <v>1.1457627119000001E-2</v>
      </c>
      <c r="AZ138">
        <v>9.6116504849999996E-3</v>
      </c>
      <c r="BA138">
        <v>9.4169096210000008E-3</v>
      </c>
      <c r="BB138">
        <v>1.2936191426000001E-2</v>
      </c>
      <c r="BC138">
        <v>1.1760083814E-2</v>
      </c>
      <c r="BD138">
        <v>1.0129096326E-2</v>
      </c>
      <c r="BE138">
        <v>8.9999999999999993E-3</v>
      </c>
      <c r="BF138">
        <v>1.2134670487E-2</v>
      </c>
      <c r="BG138">
        <v>1.0869565217000001E-2</v>
      </c>
      <c r="BH138">
        <v>1.0539772726999999E-2</v>
      </c>
      <c r="BI138">
        <v>1.0589994562E-2</v>
      </c>
      <c r="BJ138">
        <v>1.0801878588E-2</v>
      </c>
      <c r="BK138">
        <v>1.1080523056E-2</v>
      </c>
      <c r="BL138">
        <v>1.0297482837999999E-2</v>
      </c>
      <c r="BM138">
        <v>1.0212941906E-2</v>
      </c>
      <c r="BN138">
        <v>1.2017408395E-2</v>
      </c>
      <c r="BO138">
        <v>1.1842603102999999E-2</v>
      </c>
      <c r="BP138">
        <v>1.0479956858E-2</v>
      </c>
      <c r="BQ138">
        <v>1.0134726007E-2</v>
      </c>
      <c r="BR138">
        <v>1.2708533078E-2</v>
      </c>
      <c r="BS138">
        <v>1.1177944862E-2</v>
      </c>
      <c r="BT138">
        <v>1.0778997487E-2</v>
      </c>
      <c r="BU138">
        <v>1.375E-2</v>
      </c>
      <c r="BV138">
        <v>1.5088383838E-2</v>
      </c>
      <c r="BW138">
        <v>1.36778952E-2</v>
      </c>
      <c r="BX138">
        <v>1.2867269365E-2</v>
      </c>
      <c r="BY138">
        <v>1.3250593922E-2</v>
      </c>
      <c r="BZ138">
        <v>1.6017343619999999E-2</v>
      </c>
      <c r="CA138">
        <v>1.5001111193000001E-2</v>
      </c>
      <c r="CB138">
        <v>1.3248407643000001E-2</v>
      </c>
      <c r="CC138">
        <v>1.3414933884E-2</v>
      </c>
      <c r="CD138">
        <v>1.3567181482E-2</v>
      </c>
      <c r="CE138">
        <v>1.2216726801E-2</v>
      </c>
      <c r="CF138">
        <v>1.2421686325E-2</v>
      </c>
      <c r="CG138">
        <v>1.3082773258000001E-2</v>
      </c>
      <c r="CH138">
        <v>1.3258368765E-2</v>
      </c>
      <c r="CI138">
        <v>1.2140815597000001E-2</v>
      </c>
      <c r="CJ138">
        <v>1.2623133369000001E-2</v>
      </c>
      <c r="CK138">
        <v>1.2071122727E-2</v>
      </c>
      <c r="CL138">
        <v>1.2457807455000001E-2</v>
      </c>
      <c r="CM138">
        <v>1.2100084856999999E-2</v>
      </c>
      <c r="CN138">
        <v>1.1576026951000001E-2</v>
      </c>
      <c r="CO138">
        <v>1.1565969257E-2</v>
      </c>
      <c r="CP138">
        <v>1.2444872730000001E-2</v>
      </c>
      <c r="CQ138">
        <v>1.1984620777E-2</v>
      </c>
      <c r="CR138">
        <v>1.1566306903E-2</v>
      </c>
      <c r="CS138">
        <v>1.2285449754E-2</v>
      </c>
      <c r="CT138">
        <v>1.1537688173000001E-2</v>
      </c>
      <c r="CU138">
        <v>1.0518876056E-2</v>
      </c>
      <c r="CV138">
        <v>1.0424352384E-2</v>
      </c>
      <c r="CW138">
        <v>1.0268732645999999E-2</v>
      </c>
      <c r="CX138">
        <v>1.1817271194000001E-2</v>
      </c>
      <c r="CY138">
        <v>1.1407915818E-2</v>
      </c>
      <c r="CZ138">
        <v>1.1382737617E-2</v>
      </c>
      <c r="DA138">
        <v>1.1570477248E-2</v>
      </c>
      <c r="DB138">
        <v>1.1819249275999999E-2</v>
      </c>
      <c r="DC138">
        <v>1.203588173E-2</v>
      </c>
      <c r="DD138">
        <v>1.1754536645999999E-2</v>
      </c>
      <c r="DE138">
        <v>1.2370908538E-2</v>
      </c>
      <c r="DF138">
        <v>1.1922802487000001E-2</v>
      </c>
      <c r="DG138">
        <v>1.1323748303E-2</v>
      </c>
      <c r="DH138">
        <v>1.1393973529E-2</v>
      </c>
      <c r="DI138">
        <v>1.2227344992000001E-2</v>
      </c>
      <c r="DJ138">
        <v>1.2076266161E-2</v>
      </c>
      <c r="DK138">
        <v>1.1250538653999999E-2</v>
      </c>
      <c r="DL138">
        <v>1.1080860079000001E-2</v>
      </c>
      <c r="DM138">
        <v>1.1669269207E-2</v>
      </c>
      <c r="DN138">
        <v>1.2673302911E-2</v>
      </c>
      <c r="DO138">
        <v>1.2256272186E-2</v>
      </c>
      <c r="DP138">
        <v>1.1873167463E-2</v>
      </c>
      <c r="DQ138">
        <v>1.3060681938E-2</v>
      </c>
      <c r="DR138">
        <v>1.2251545689E-2</v>
      </c>
      <c r="DS138">
        <v>1.242632613E-2</v>
      </c>
      <c r="DT138">
        <v>1.1630891274000001E-2</v>
      </c>
      <c r="DU138">
        <v>1.2472408829E-2</v>
      </c>
      <c r="DV138">
        <v>1.2000887490000001E-2</v>
      </c>
      <c r="DW138">
        <v>1.1969304468E-2</v>
      </c>
      <c r="DX138">
        <v>1.1624416881000001E-2</v>
      </c>
      <c r="DY138">
        <v>1.2643378518999999E-2</v>
      </c>
      <c r="DZ138">
        <v>1.1813937211000001E-2</v>
      </c>
      <c r="EA138">
        <v>1.2624425324E-2</v>
      </c>
      <c r="EB138">
        <v>1.2350697458E-2</v>
      </c>
      <c r="EC138">
        <v>1.2549442446E-2</v>
      </c>
      <c r="ED138">
        <v>1.2710432783000001E-2</v>
      </c>
      <c r="EE138">
        <v>1.3290469737E-2</v>
      </c>
      <c r="EF138">
        <v>1.2756333283E-2</v>
      </c>
      <c r="EG138">
        <v>1.3127567680999999E-2</v>
      </c>
      <c r="EH138">
        <v>1.3620675784000001E-2</v>
      </c>
      <c r="EI138">
        <v>1.2822072379E-2</v>
      </c>
      <c r="EJ138">
        <v>1.2878879540999999E-2</v>
      </c>
      <c r="EK138">
        <v>1.3252874519999999E-2</v>
      </c>
      <c r="EL138">
        <v>1.3620675784000001E-2</v>
      </c>
      <c r="EM138">
        <v>1.2822072379E-2</v>
      </c>
      <c r="EN138">
        <v>1.2878879540999999E-2</v>
      </c>
      <c r="EO138">
        <v>1.3252874519999999E-2</v>
      </c>
      <c r="EP138">
        <v>1.3620675784000001E-2</v>
      </c>
      <c r="EQ138">
        <v>1.2822072379E-2</v>
      </c>
      <c r="ER138">
        <v>1.2878879540999999E-2</v>
      </c>
      <c r="ES138">
        <v>1.3252874519999999E-2</v>
      </c>
      <c r="ET138">
        <v>1.3620675784000001E-2</v>
      </c>
      <c r="EU138">
        <v>1.2822072379E-2</v>
      </c>
      <c r="EV138">
        <v>1.2878879540999999E-2</v>
      </c>
      <c r="EW138">
        <v>1.3252874519999999E-2</v>
      </c>
      <c r="EX138">
        <v>1.3620675784000001E-2</v>
      </c>
      <c r="EY138">
        <v>1.2822072379E-2</v>
      </c>
      <c r="EZ138">
        <v>1.2878879540999999E-2</v>
      </c>
      <c r="FA138">
        <v>1.3252874519999999E-2</v>
      </c>
      <c r="FB138">
        <v>1.3620675784000001E-2</v>
      </c>
      <c r="FC138">
        <v>1.2822072379E-2</v>
      </c>
      <c r="FD138">
        <v>1.2878879540999999E-2</v>
      </c>
      <c r="FE138">
        <v>1.3252874519999999E-2</v>
      </c>
    </row>
    <row r="139" spans="2:161">
      <c r="B139" t="s">
        <v>749</v>
      </c>
      <c r="C139" t="s">
        <v>750</v>
      </c>
      <c r="G139">
        <v>1.1644601902E-2</v>
      </c>
      <c r="H139">
        <v>1.0893416927999999E-2</v>
      </c>
      <c r="I139">
        <v>1.054454648E-2</v>
      </c>
      <c r="J139">
        <v>1.0864838749000001E-2</v>
      </c>
      <c r="K139">
        <v>1.1029358984000001E-2</v>
      </c>
      <c r="L139">
        <v>1.0603158167E-2</v>
      </c>
      <c r="M139">
        <v>1.1125803564E-2</v>
      </c>
      <c r="N139">
        <v>1.2313621936E-2</v>
      </c>
      <c r="O139">
        <v>1.3762964689E-2</v>
      </c>
      <c r="P139">
        <v>1.4328861633E-2</v>
      </c>
      <c r="Q139">
        <v>1.2830603516000001E-2</v>
      </c>
      <c r="R139">
        <v>1.2563575025000001E-2</v>
      </c>
      <c r="S139">
        <v>1.1988766017E-2</v>
      </c>
      <c r="T139">
        <v>1.2113296316E-2</v>
      </c>
      <c r="U139">
        <v>1.0768885181E-2</v>
      </c>
      <c r="V139">
        <v>1.1582320452E-2</v>
      </c>
      <c r="W139">
        <v>1.1982951917999999E-2</v>
      </c>
      <c r="X139">
        <v>1.1750974228E-2</v>
      </c>
      <c r="Y139">
        <v>1.1586092383999999E-2</v>
      </c>
      <c r="Z139">
        <v>1.2502049067999999E-2</v>
      </c>
      <c r="AA139">
        <v>1.2206513093E-2</v>
      </c>
      <c r="AB139">
        <v>1.2060771743E-2</v>
      </c>
      <c r="AC139">
        <v>1.2300768358E-2</v>
      </c>
      <c r="AD139">
        <v>1.2956384978E-2</v>
      </c>
      <c r="AE139">
        <v>1.3182382586E-2</v>
      </c>
      <c r="AF139">
        <v>1.3186444784999999E-2</v>
      </c>
      <c r="AG139">
        <v>1.3189630765E-2</v>
      </c>
      <c r="AH139">
        <v>1.3184768580000001E-2</v>
      </c>
      <c r="AI139">
        <v>1.3187658541E-2</v>
      </c>
      <c r="AJ139">
        <v>1.3187829905E-2</v>
      </c>
      <c r="AP139">
        <v>1.6186693148E-2</v>
      </c>
      <c r="AQ139">
        <v>1.2403913347000001E-2</v>
      </c>
      <c r="AR139">
        <v>9.3220338979999994E-3</v>
      </c>
      <c r="AS139">
        <v>1.0103448276E-2</v>
      </c>
      <c r="AT139">
        <v>1.32E-2</v>
      </c>
      <c r="AU139">
        <v>1.220735786E-2</v>
      </c>
      <c r="AV139">
        <v>9.6221133659999993E-3</v>
      </c>
      <c r="AW139">
        <v>8.5932085929999995E-3</v>
      </c>
      <c r="AX139">
        <v>1.1922554348E-2</v>
      </c>
      <c r="AY139">
        <v>1.1457627119000001E-2</v>
      </c>
      <c r="AZ139">
        <v>9.6116504849999996E-3</v>
      </c>
      <c r="BA139">
        <v>9.4169096210000008E-3</v>
      </c>
      <c r="BB139">
        <v>1.2936191426000001E-2</v>
      </c>
      <c r="BC139">
        <v>1.1760083814E-2</v>
      </c>
      <c r="BD139">
        <v>1.0129096326E-2</v>
      </c>
      <c r="BE139">
        <v>8.9999999999999993E-3</v>
      </c>
      <c r="BF139">
        <v>1.2134670487E-2</v>
      </c>
      <c r="BG139">
        <v>1.0869565217000001E-2</v>
      </c>
      <c r="BH139">
        <v>1.0539772726999999E-2</v>
      </c>
      <c r="BI139">
        <v>1.0589994562E-2</v>
      </c>
      <c r="BJ139">
        <v>1.0801878588E-2</v>
      </c>
      <c r="BK139">
        <v>1.1080523056E-2</v>
      </c>
      <c r="BL139">
        <v>1.0297482837999999E-2</v>
      </c>
      <c r="BM139">
        <v>1.0212941906E-2</v>
      </c>
      <c r="BN139">
        <v>1.2017408395E-2</v>
      </c>
      <c r="BO139">
        <v>1.1842603102999999E-2</v>
      </c>
      <c r="BP139">
        <v>1.0479956858E-2</v>
      </c>
      <c r="BQ139">
        <v>1.0134726007E-2</v>
      </c>
      <c r="BR139">
        <v>1.2708533078E-2</v>
      </c>
      <c r="BS139">
        <v>1.1177944862E-2</v>
      </c>
      <c r="BT139">
        <v>1.0778997487E-2</v>
      </c>
      <c r="BU139">
        <v>1.375E-2</v>
      </c>
      <c r="BV139">
        <v>1.5088383838E-2</v>
      </c>
      <c r="BW139">
        <v>1.36778952E-2</v>
      </c>
      <c r="BX139">
        <v>1.2867269365E-2</v>
      </c>
      <c r="BY139">
        <v>1.3250593922E-2</v>
      </c>
      <c r="BZ139">
        <v>1.6017343619999999E-2</v>
      </c>
      <c r="CA139">
        <v>1.5001111193000001E-2</v>
      </c>
      <c r="CB139">
        <v>1.3248407643000001E-2</v>
      </c>
      <c r="CC139">
        <v>1.3414933884E-2</v>
      </c>
      <c r="CD139">
        <v>1.3567181482E-2</v>
      </c>
      <c r="CE139">
        <v>1.2216726801E-2</v>
      </c>
      <c r="CF139">
        <v>1.2421686325E-2</v>
      </c>
      <c r="CG139">
        <v>1.3082773258000001E-2</v>
      </c>
      <c r="CH139">
        <v>1.3258368765E-2</v>
      </c>
      <c r="CI139">
        <v>1.2140815597000001E-2</v>
      </c>
      <c r="CJ139">
        <v>1.2623133369000001E-2</v>
      </c>
      <c r="CK139">
        <v>1.2071122727E-2</v>
      </c>
      <c r="CL139">
        <v>1.2457807455000001E-2</v>
      </c>
      <c r="CM139">
        <v>1.2100084856999999E-2</v>
      </c>
      <c r="CN139">
        <v>1.1576026951000001E-2</v>
      </c>
      <c r="CO139">
        <v>1.1565969257E-2</v>
      </c>
      <c r="CP139">
        <v>1.2444872730000001E-2</v>
      </c>
      <c r="CQ139">
        <v>1.1984620777E-2</v>
      </c>
      <c r="CR139">
        <v>1.1566306903E-2</v>
      </c>
      <c r="CS139">
        <v>1.2285449754E-2</v>
      </c>
      <c r="CT139">
        <v>1.1537688173000001E-2</v>
      </c>
      <c r="CU139">
        <v>1.0518876056E-2</v>
      </c>
      <c r="CV139">
        <v>1.0424352384E-2</v>
      </c>
      <c r="CW139">
        <v>1.0268732645999999E-2</v>
      </c>
      <c r="CX139">
        <v>1.1817271194000001E-2</v>
      </c>
      <c r="CY139">
        <v>1.1407915818E-2</v>
      </c>
      <c r="CZ139">
        <v>1.1382737617E-2</v>
      </c>
      <c r="DA139">
        <v>1.1570477248E-2</v>
      </c>
      <c r="DB139">
        <v>1.1819249275999999E-2</v>
      </c>
      <c r="DC139">
        <v>1.203588173E-2</v>
      </c>
      <c r="DD139">
        <v>1.1754536645999999E-2</v>
      </c>
      <c r="DE139">
        <v>1.2370908538E-2</v>
      </c>
      <c r="DF139">
        <v>1.1922802487000001E-2</v>
      </c>
      <c r="DG139">
        <v>1.1323748303E-2</v>
      </c>
      <c r="DH139">
        <v>1.1393973529E-2</v>
      </c>
      <c r="DI139">
        <v>1.2227344992000001E-2</v>
      </c>
      <c r="DJ139">
        <v>1.2076266161E-2</v>
      </c>
      <c r="DK139">
        <v>1.1250538653999999E-2</v>
      </c>
      <c r="DL139">
        <v>1.1080860079000001E-2</v>
      </c>
      <c r="DM139">
        <v>1.1669269207E-2</v>
      </c>
      <c r="DN139">
        <v>1.2673302911E-2</v>
      </c>
      <c r="DO139">
        <v>1.2256272186E-2</v>
      </c>
      <c r="DP139">
        <v>1.1873167463E-2</v>
      </c>
      <c r="DQ139">
        <v>1.3060681938E-2</v>
      </c>
      <c r="DR139">
        <v>1.2251545689E-2</v>
      </c>
      <c r="DS139">
        <v>1.242632613E-2</v>
      </c>
      <c r="DT139">
        <v>1.1630891274000001E-2</v>
      </c>
      <c r="DU139">
        <v>1.2472408829E-2</v>
      </c>
      <c r="DV139">
        <v>1.2000887490000001E-2</v>
      </c>
      <c r="DW139">
        <v>1.1969304468E-2</v>
      </c>
      <c r="DX139">
        <v>1.1624416881000001E-2</v>
      </c>
      <c r="DY139">
        <v>1.2643378518999999E-2</v>
      </c>
      <c r="DZ139">
        <v>1.1813937211000001E-2</v>
      </c>
      <c r="EA139">
        <v>1.2624425324E-2</v>
      </c>
      <c r="EB139">
        <v>1.2350697458E-2</v>
      </c>
      <c r="EC139">
        <v>1.2549442446E-2</v>
      </c>
      <c r="ED139">
        <v>1.2710432783000001E-2</v>
      </c>
      <c r="EE139">
        <v>1.3290469737E-2</v>
      </c>
      <c r="EF139">
        <v>1.2756333283E-2</v>
      </c>
      <c r="EG139">
        <v>1.3127567680999999E-2</v>
      </c>
      <c r="EH139">
        <v>1.3620675784000001E-2</v>
      </c>
      <c r="EI139">
        <v>1.2822072379E-2</v>
      </c>
      <c r="EJ139">
        <v>1.2878879540999999E-2</v>
      </c>
      <c r="EK139">
        <v>1.3252874519999999E-2</v>
      </c>
      <c r="EL139">
        <v>1.3620675784000001E-2</v>
      </c>
      <c r="EM139">
        <v>1.2822072379E-2</v>
      </c>
      <c r="EN139">
        <v>1.2878879540999999E-2</v>
      </c>
      <c r="EO139">
        <v>1.3252874519999999E-2</v>
      </c>
      <c r="EP139">
        <v>1.3620675784000001E-2</v>
      </c>
      <c r="EQ139">
        <v>1.2822072379E-2</v>
      </c>
      <c r="ER139">
        <v>1.2878879540999999E-2</v>
      </c>
      <c r="ES139">
        <v>1.3252874519999999E-2</v>
      </c>
      <c r="ET139">
        <v>1.3620675784000001E-2</v>
      </c>
      <c r="EU139">
        <v>1.2822072379E-2</v>
      </c>
      <c r="EV139">
        <v>1.2878879540999999E-2</v>
      </c>
      <c r="EW139">
        <v>1.3252874519999999E-2</v>
      </c>
      <c r="EX139">
        <v>1.3620675784000001E-2</v>
      </c>
      <c r="EY139">
        <v>1.2822072379E-2</v>
      </c>
      <c r="EZ139">
        <v>1.2878879540999999E-2</v>
      </c>
      <c r="FA139">
        <v>1.3252874519999999E-2</v>
      </c>
      <c r="FB139">
        <v>1.3620675784000001E-2</v>
      </c>
      <c r="FC139">
        <v>1.2822072379E-2</v>
      </c>
      <c r="FD139">
        <v>1.2878879540999999E-2</v>
      </c>
      <c r="FE139">
        <v>1.3252874519999999E-2</v>
      </c>
    </row>
    <row r="140" spans="2:161">
      <c r="B140" t="s">
        <v>751</v>
      </c>
      <c r="C140" t="s">
        <v>752</v>
      </c>
      <c r="G140">
        <v>1.1644601902E-2</v>
      </c>
      <c r="H140">
        <v>1.0893416927999999E-2</v>
      </c>
      <c r="I140">
        <v>1.054454648E-2</v>
      </c>
      <c r="J140">
        <v>1.0864838749000001E-2</v>
      </c>
      <c r="K140">
        <v>1.1029358984000001E-2</v>
      </c>
      <c r="L140">
        <v>1.0603158167E-2</v>
      </c>
      <c r="M140">
        <v>1.1125803564E-2</v>
      </c>
      <c r="N140">
        <v>1.2313621936E-2</v>
      </c>
      <c r="O140">
        <v>1.3762964689E-2</v>
      </c>
      <c r="P140">
        <v>1.4328861633E-2</v>
      </c>
      <c r="Q140">
        <v>1.2830603516000001E-2</v>
      </c>
      <c r="R140">
        <v>1.2563575025000001E-2</v>
      </c>
      <c r="S140">
        <v>1.1988766017E-2</v>
      </c>
      <c r="T140">
        <v>1.2113296316E-2</v>
      </c>
      <c r="U140">
        <v>1.0768885181E-2</v>
      </c>
      <c r="V140">
        <v>1.1582320452E-2</v>
      </c>
      <c r="W140">
        <v>1.1982951917999999E-2</v>
      </c>
      <c r="X140">
        <v>1.1750974228E-2</v>
      </c>
      <c r="Y140">
        <v>1.1586092383999999E-2</v>
      </c>
      <c r="Z140">
        <v>1.2502049067999999E-2</v>
      </c>
      <c r="AA140">
        <v>1.2206513093E-2</v>
      </c>
      <c r="AB140">
        <v>1.2060771743E-2</v>
      </c>
      <c r="AC140">
        <v>1.2300768358E-2</v>
      </c>
      <c r="AD140">
        <v>1.2956384978E-2</v>
      </c>
      <c r="AE140">
        <v>1.3182382586E-2</v>
      </c>
      <c r="AF140">
        <v>1.3186444784999999E-2</v>
      </c>
      <c r="AG140">
        <v>1.3189630765E-2</v>
      </c>
      <c r="AH140">
        <v>1.3184768580000001E-2</v>
      </c>
      <c r="AI140">
        <v>1.3187658541E-2</v>
      </c>
      <c r="AJ140">
        <v>1.3187829905E-2</v>
      </c>
      <c r="AP140">
        <v>1.6186693148E-2</v>
      </c>
      <c r="AQ140">
        <v>1.2403913347000001E-2</v>
      </c>
      <c r="AR140">
        <v>9.3220338979999994E-3</v>
      </c>
      <c r="AS140">
        <v>1.0103448276E-2</v>
      </c>
      <c r="AT140">
        <v>1.32E-2</v>
      </c>
      <c r="AU140">
        <v>1.220735786E-2</v>
      </c>
      <c r="AV140">
        <v>9.6221133659999993E-3</v>
      </c>
      <c r="AW140">
        <v>8.5932085929999995E-3</v>
      </c>
      <c r="AX140">
        <v>1.1922554348E-2</v>
      </c>
      <c r="AY140">
        <v>1.1457627119000001E-2</v>
      </c>
      <c r="AZ140">
        <v>9.6116504849999996E-3</v>
      </c>
      <c r="BA140">
        <v>9.4169096210000008E-3</v>
      </c>
      <c r="BB140">
        <v>1.2936191426000001E-2</v>
      </c>
      <c r="BC140">
        <v>1.1760083814E-2</v>
      </c>
      <c r="BD140">
        <v>1.0129096326E-2</v>
      </c>
      <c r="BE140">
        <v>8.9999999999999993E-3</v>
      </c>
      <c r="BF140">
        <v>1.2134670487E-2</v>
      </c>
      <c r="BG140">
        <v>1.0869565217000001E-2</v>
      </c>
      <c r="BH140">
        <v>1.0539772726999999E-2</v>
      </c>
      <c r="BI140">
        <v>1.0589994562E-2</v>
      </c>
      <c r="BJ140">
        <v>1.0801878588E-2</v>
      </c>
      <c r="BK140">
        <v>1.1080523056E-2</v>
      </c>
      <c r="BL140">
        <v>1.0297482837999999E-2</v>
      </c>
      <c r="BM140">
        <v>1.0212941906E-2</v>
      </c>
      <c r="BN140">
        <v>1.2017408395E-2</v>
      </c>
      <c r="BO140">
        <v>1.1842603102999999E-2</v>
      </c>
      <c r="BP140">
        <v>1.0479956858E-2</v>
      </c>
      <c r="BQ140">
        <v>1.0134726007E-2</v>
      </c>
      <c r="BR140">
        <v>1.2708533078E-2</v>
      </c>
      <c r="BS140">
        <v>1.1177944862E-2</v>
      </c>
      <c r="BT140">
        <v>1.0778997487E-2</v>
      </c>
      <c r="BU140">
        <v>1.375E-2</v>
      </c>
      <c r="BV140">
        <v>1.5088383838E-2</v>
      </c>
      <c r="BW140">
        <v>1.36778952E-2</v>
      </c>
      <c r="BX140">
        <v>1.2867269365E-2</v>
      </c>
      <c r="BY140">
        <v>1.3250593922E-2</v>
      </c>
      <c r="BZ140">
        <v>1.6017343619999999E-2</v>
      </c>
      <c r="CA140">
        <v>1.5001111193000001E-2</v>
      </c>
      <c r="CB140">
        <v>1.3248407643000001E-2</v>
      </c>
      <c r="CC140">
        <v>1.3414933884E-2</v>
      </c>
      <c r="CD140">
        <v>1.3567181482E-2</v>
      </c>
      <c r="CE140">
        <v>1.2216726801E-2</v>
      </c>
      <c r="CF140">
        <v>1.2421686325E-2</v>
      </c>
      <c r="CG140">
        <v>1.3082773258000001E-2</v>
      </c>
      <c r="CH140">
        <v>1.3258368765E-2</v>
      </c>
      <c r="CI140">
        <v>1.2140815597000001E-2</v>
      </c>
      <c r="CJ140">
        <v>1.2623133369000001E-2</v>
      </c>
      <c r="CK140">
        <v>1.2071122727E-2</v>
      </c>
      <c r="CL140">
        <v>1.2457807455000001E-2</v>
      </c>
      <c r="CM140">
        <v>1.2100084856999999E-2</v>
      </c>
      <c r="CN140">
        <v>1.1576026951000001E-2</v>
      </c>
      <c r="CO140">
        <v>1.1565969257E-2</v>
      </c>
      <c r="CP140">
        <v>1.2444872730000001E-2</v>
      </c>
      <c r="CQ140">
        <v>1.1984620777E-2</v>
      </c>
      <c r="CR140">
        <v>1.1566306903E-2</v>
      </c>
      <c r="CS140">
        <v>1.2285449754E-2</v>
      </c>
      <c r="CT140">
        <v>1.1537688173000001E-2</v>
      </c>
      <c r="CU140">
        <v>1.0518876056E-2</v>
      </c>
      <c r="CV140">
        <v>1.0424352384E-2</v>
      </c>
      <c r="CW140">
        <v>1.0268732645999999E-2</v>
      </c>
      <c r="CX140">
        <v>1.1817271194000001E-2</v>
      </c>
      <c r="CY140">
        <v>1.1407915818E-2</v>
      </c>
      <c r="CZ140">
        <v>1.1382737617E-2</v>
      </c>
      <c r="DA140">
        <v>1.1570477248E-2</v>
      </c>
      <c r="DB140">
        <v>1.1819249275999999E-2</v>
      </c>
      <c r="DC140">
        <v>1.203588173E-2</v>
      </c>
      <c r="DD140">
        <v>1.1754536645999999E-2</v>
      </c>
      <c r="DE140">
        <v>1.2370908538E-2</v>
      </c>
      <c r="DF140">
        <v>1.1922802487000001E-2</v>
      </c>
      <c r="DG140">
        <v>1.1323748303E-2</v>
      </c>
      <c r="DH140">
        <v>1.1393973529E-2</v>
      </c>
      <c r="DI140">
        <v>1.2227344992000001E-2</v>
      </c>
      <c r="DJ140">
        <v>1.2076266161E-2</v>
      </c>
      <c r="DK140">
        <v>1.1250538653999999E-2</v>
      </c>
      <c r="DL140">
        <v>1.1080860079000001E-2</v>
      </c>
      <c r="DM140">
        <v>1.1669269207E-2</v>
      </c>
      <c r="DN140">
        <v>1.2673302911E-2</v>
      </c>
      <c r="DO140">
        <v>1.2256272186E-2</v>
      </c>
      <c r="DP140">
        <v>1.1873167463E-2</v>
      </c>
      <c r="DQ140">
        <v>1.3060681938E-2</v>
      </c>
      <c r="DR140">
        <v>1.2251545689E-2</v>
      </c>
      <c r="DS140">
        <v>1.242632613E-2</v>
      </c>
      <c r="DT140">
        <v>1.1630891274000001E-2</v>
      </c>
      <c r="DU140">
        <v>1.2472408829E-2</v>
      </c>
      <c r="DV140">
        <v>1.2000887490000001E-2</v>
      </c>
      <c r="DW140">
        <v>1.1969304468E-2</v>
      </c>
      <c r="DX140">
        <v>1.1624416881000001E-2</v>
      </c>
      <c r="DY140">
        <v>1.2643378518999999E-2</v>
      </c>
      <c r="DZ140">
        <v>1.1813937211000001E-2</v>
      </c>
      <c r="EA140">
        <v>1.2624425324E-2</v>
      </c>
      <c r="EB140">
        <v>1.2350697458E-2</v>
      </c>
      <c r="EC140">
        <v>1.2549442446E-2</v>
      </c>
      <c r="ED140">
        <v>1.2710432783000001E-2</v>
      </c>
      <c r="EE140">
        <v>1.3290469737E-2</v>
      </c>
      <c r="EF140">
        <v>1.2756333283E-2</v>
      </c>
      <c r="EG140">
        <v>1.3127567680999999E-2</v>
      </c>
      <c r="EH140">
        <v>1.3620675784000001E-2</v>
      </c>
      <c r="EI140">
        <v>1.2822072379E-2</v>
      </c>
      <c r="EJ140">
        <v>1.2878879540999999E-2</v>
      </c>
      <c r="EK140">
        <v>1.3252874519999999E-2</v>
      </c>
      <c r="EL140">
        <v>1.3620675784000001E-2</v>
      </c>
      <c r="EM140">
        <v>1.2822072379E-2</v>
      </c>
      <c r="EN140">
        <v>1.2878879540999999E-2</v>
      </c>
      <c r="EO140">
        <v>1.3252874519999999E-2</v>
      </c>
      <c r="EP140">
        <v>1.3620675784000001E-2</v>
      </c>
      <c r="EQ140">
        <v>1.2822072379E-2</v>
      </c>
      <c r="ER140">
        <v>1.2878879540999999E-2</v>
      </c>
      <c r="ES140">
        <v>1.3252874519999999E-2</v>
      </c>
      <c r="ET140">
        <v>1.3620675784000001E-2</v>
      </c>
      <c r="EU140">
        <v>1.2822072379E-2</v>
      </c>
      <c r="EV140">
        <v>1.2878879540999999E-2</v>
      </c>
      <c r="EW140">
        <v>1.3252874519999999E-2</v>
      </c>
      <c r="EX140">
        <v>1.3620675784000001E-2</v>
      </c>
      <c r="EY140">
        <v>1.2822072379E-2</v>
      </c>
      <c r="EZ140">
        <v>1.2878879540999999E-2</v>
      </c>
      <c r="FA140">
        <v>1.3252874519999999E-2</v>
      </c>
      <c r="FB140">
        <v>1.3620675784000001E-2</v>
      </c>
      <c r="FC140">
        <v>1.2822072379E-2</v>
      </c>
      <c r="FD140">
        <v>1.2878879540999999E-2</v>
      </c>
      <c r="FE140">
        <v>1.3252874519999999E-2</v>
      </c>
    </row>
    <row r="141" spans="2:161">
      <c r="B141" t="s">
        <v>753</v>
      </c>
      <c r="C141" t="s">
        <v>754</v>
      </c>
      <c r="G141">
        <v>2.3289203804E-2</v>
      </c>
      <c r="H141">
        <v>2.1786833855999999E-2</v>
      </c>
      <c r="I141">
        <v>2.108909296E-2</v>
      </c>
      <c r="J141">
        <v>2.1729677497E-2</v>
      </c>
      <c r="K141">
        <v>2.2058717966999999E-2</v>
      </c>
      <c r="L141">
        <v>2.1206316334000001E-2</v>
      </c>
      <c r="M141">
        <v>2.2251607127999999E-2</v>
      </c>
      <c r="N141">
        <v>2.4627243872E-2</v>
      </c>
      <c r="O141">
        <v>2.7525929378999999E-2</v>
      </c>
      <c r="P141">
        <v>2.8657723265999999E-2</v>
      </c>
      <c r="Q141">
        <v>2.5661207032000002E-2</v>
      </c>
      <c r="R141">
        <v>2.5127150050000002E-2</v>
      </c>
      <c r="S141">
        <v>2.3977532034E-2</v>
      </c>
      <c r="T141">
        <v>2.4226592631E-2</v>
      </c>
      <c r="U141">
        <v>2.1537770360999998E-2</v>
      </c>
      <c r="V141">
        <v>2.3164640904E-2</v>
      </c>
      <c r="W141">
        <v>2.3965903835999999E-2</v>
      </c>
      <c r="X141">
        <v>2.3501948455000001E-2</v>
      </c>
      <c r="Y141">
        <v>2.3172184769000001E-2</v>
      </c>
      <c r="Z141">
        <v>2.5004098137000001E-2</v>
      </c>
      <c r="AA141">
        <v>2.4413026184999999E-2</v>
      </c>
      <c r="AB141">
        <v>2.4121543487000002E-2</v>
      </c>
      <c r="AC141">
        <v>2.4601536715E-2</v>
      </c>
      <c r="AD141">
        <v>2.5912769956999999E-2</v>
      </c>
      <c r="AE141">
        <v>2.6364416769999999E-2</v>
      </c>
      <c r="AF141">
        <v>2.6373140903000001E-2</v>
      </c>
      <c r="AG141">
        <v>2.6379634382999999E-2</v>
      </c>
      <c r="AH141">
        <v>2.6369537160000001E-2</v>
      </c>
      <c r="AI141">
        <v>2.6376057907999999E-2</v>
      </c>
      <c r="AJ141">
        <v>2.637565981E-2</v>
      </c>
      <c r="AP141">
        <v>3.2373386295999999E-2</v>
      </c>
      <c r="AQ141">
        <v>2.4807826695E-2</v>
      </c>
      <c r="AR141">
        <v>1.8644067797000001E-2</v>
      </c>
      <c r="AS141">
        <v>2.0206896552E-2</v>
      </c>
      <c r="AT141">
        <v>2.64E-2</v>
      </c>
      <c r="AU141">
        <v>2.4414715718999998E-2</v>
      </c>
      <c r="AV141">
        <v>1.9244226731999999E-2</v>
      </c>
      <c r="AW141">
        <v>1.7186417185999999E-2</v>
      </c>
      <c r="AX141">
        <v>2.3845108696000001E-2</v>
      </c>
      <c r="AY141">
        <v>2.2915254236999999E-2</v>
      </c>
      <c r="AZ141">
        <v>1.9223300971000001E-2</v>
      </c>
      <c r="BA141">
        <v>1.8833819242000002E-2</v>
      </c>
      <c r="BB141">
        <v>2.5872382850999999E-2</v>
      </c>
      <c r="BC141">
        <v>2.3520167626999999E-2</v>
      </c>
      <c r="BD141">
        <v>2.0258192651000002E-2</v>
      </c>
      <c r="BE141">
        <v>1.7999999999999999E-2</v>
      </c>
      <c r="BF141">
        <v>2.4269340973999999E-2</v>
      </c>
      <c r="BG141">
        <v>2.1739130435E-2</v>
      </c>
      <c r="BH141">
        <v>2.1079545455000001E-2</v>
      </c>
      <c r="BI141">
        <v>2.1179989125E-2</v>
      </c>
      <c r="BJ141">
        <v>2.1603757174999998E-2</v>
      </c>
      <c r="BK141">
        <v>2.2161046111000001E-2</v>
      </c>
      <c r="BL141">
        <v>2.0594965675E-2</v>
      </c>
      <c r="BM141">
        <v>2.0425883812000001E-2</v>
      </c>
      <c r="BN141">
        <v>2.4034816790999999E-2</v>
      </c>
      <c r="BO141">
        <v>2.3685206205E-2</v>
      </c>
      <c r="BP141">
        <v>2.0959913715999999E-2</v>
      </c>
      <c r="BQ141">
        <v>2.0269452013000001E-2</v>
      </c>
      <c r="BR141">
        <v>2.5417066155000001E-2</v>
      </c>
      <c r="BS141">
        <v>2.2355889723999999E-2</v>
      </c>
      <c r="BT141">
        <v>2.1557994973999999E-2</v>
      </c>
      <c r="BU141">
        <v>2.75E-2</v>
      </c>
      <c r="BV141">
        <v>3.0176767677000001E-2</v>
      </c>
      <c r="BW141">
        <v>2.7355790400999998E-2</v>
      </c>
      <c r="BX141">
        <v>2.5734538729999999E-2</v>
      </c>
      <c r="BY141">
        <v>2.6501187842999999E-2</v>
      </c>
      <c r="BZ141">
        <v>3.2034687240999997E-2</v>
      </c>
      <c r="CA141">
        <v>3.0002222387E-2</v>
      </c>
      <c r="CB141">
        <v>2.6496815287E-2</v>
      </c>
      <c r="CC141">
        <v>2.6829867768000001E-2</v>
      </c>
      <c r="CD141">
        <v>2.7134362963000001E-2</v>
      </c>
      <c r="CE141">
        <v>2.4433453601999999E-2</v>
      </c>
      <c r="CF141">
        <v>2.4843372650999999E-2</v>
      </c>
      <c r="CG141">
        <v>2.6165546516000001E-2</v>
      </c>
      <c r="CH141">
        <v>2.6516737530000001E-2</v>
      </c>
      <c r="CI141">
        <v>2.4281631195E-2</v>
      </c>
      <c r="CJ141">
        <v>2.5246266739E-2</v>
      </c>
      <c r="CK141">
        <v>2.4142245454E-2</v>
      </c>
      <c r="CL141">
        <v>2.4915614910000002E-2</v>
      </c>
      <c r="CM141">
        <v>2.4200169713E-2</v>
      </c>
      <c r="CN141">
        <v>2.3152053903E-2</v>
      </c>
      <c r="CO141">
        <v>2.3131938514E-2</v>
      </c>
      <c r="CP141">
        <v>2.4889745460000001E-2</v>
      </c>
      <c r="CQ141">
        <v>2.3969241555E-2</v>
      </c>
      <c r="CR141">
        <v>2.3132613805999999E-2</v>
      </c>
      <c r="CS141">
        <v>2.4570899508999999E-2</v>
      </c>
      <c r="CT141">
        <v>2.3075376346000001E-2</v>
      </c>
      <c r="CU141">
        <v>2.1037752111999999E-2</v>
      </c>
      <c r="CV141">
        <v>2.0848704768E-2</v>
      </c>
      <c r="CW141">
        <v>2.0537465291999998E-2</v>
      </c>
      <c r="CX141">
        <v>2.3634542386999999E-2</v>
      </c>
      <c r="CY141">
        <v>2.2815831636000001E-2</v>
      </c>
      <c r="CZ141">
        <v>2.2765475234999999E-2</v>
      </c>
      <c r="DA141">
        <v>2.3140954495000001E-2</v>
      </c>
      <c r="DB141">
        <v>2.3638498551E-2</v>
      </c>
      <c r="DC141">
        <v>2.4071763459999999E-2</v>
      </c>
      <c r="DD141">
        <v>2.3509073291E-2</v>
      </c>
      <c r="DE141">
        <v>2.4741817074999999E-2</v>
      </c>
      <c r="DF141">
        <v>2.3845604974000002E-2</v>
      </c>
      <c r="DG141">
        <v>2.2647496606E-2</v>
      </c>
      <c r="DH141">
        <v>2.2787947057000001E-2</v>
      </c>
      <c r="DI141">
        <v>2.4454689984000001E-2</v>
      </c>
      <c r="DJ141">
        <v>2.4152532320999998E-2</v>
      </c>
      <c r="DK141">
        <v>2.2501077307999998E-2</v>
      </c>
      <c r="DL141">
        <v>2.2161720158000001E-2</v>
      </c>
      <c r="DM141">
        <v>2.3338538413000001E-2</v>
      </c>
      <c r="DN141">
        <v>2.5346605822000001E-2</v>
      </c>
      <c r="DO141">
        <v>2.4512544373E-2</v>
      </c>
      <c r="DP141">
        <v>2.3746334925000001E-2</v>
      </c>
      <c r="DQ141">
        <v>2.6121363875000001E-2</v>
      </c>
      <c r="DR141">
        <v>2.4503091376999998E-2</v>
      </c>
      <c r="DS141">
        <v>2.4852652259000001E-2</v>
      </c>
      <c r="DT141">
        <v>2.3261782548000001E-2</v>
      </c>
      <c r="DU141">
        <v>2.4944817657999999E-2</v>
      </c>
      <c r="DV141">
        <v>2.4001774981E-2</v>
      </c>
      <c r="DW141">
        <v>2.3938608935000001E-2</v>
      </c>
      <c r="DX141">
        <v>2.3248833760999999E-2</v>
      </c>
      <c r="DY141">
        <v>2.5286757039000001E-2</v>
      </c>
      <c r="DZ141">
        <v>2.3627874422000001E-2</v>
      </c>
      <c r="EA141">
        <v>2.5248850646999998E-2</v>
      </c>
      <c r="EB141">
        <v>2.4701394916999998E-2</v>
      </c>
      <c r="EC141">
        <v>2.5098884891000001E-2</v>
      </c>
      <c r="ED141">
        <v>2.5420865566000001E-2</v>
      </c>
      <c r="EE141">
        <v>2.6580939473000002E-2</v>
      </c>
      <c r="EF141">
        <v>2.5512666566E-2</v>
      </c>
      <c r="EG141">
        <v>2.6255135363E-2</v>
      </c>
      <c r="EH141">
        <v>2.7241351569E-2</v>
      </c>
      <c r="EI141">
        <v>2.5644144758E-2</v>
      </c>
      <c r="EJ141">
        <v>2.5757094944000001E-2</v>
      </c>
      <c r="EK141">
        <v>2.6505749041000001E-2</v>
      </c>
      <c r="EL141">
        <v>2.7241351569E-2</v>
      </c>
      <c r="EM141">
        <v>2.5644144758E-2</v>
      </c>
      <c r="EN141">
        <v>2.5757094944000001E-2</v>
      </c>
      <c r="EO141">
        <v>2.6505749041000001E-2</v>
      </c>
      <c r="EP141">
        <v>2.7241351569E-2</v>
      </c>
      <c r="EQ141">
        <v>2.5644144758E-2</v>
      </c>
      <c r="ER141">
        <v>2.5757094944000001E-2</v>
      </c>
      <c r="ES141">
        <v>2.6505749041000001E-2</v>
      </c>
      <c r="ET141">
        <v>2.7241351569E-2</v>
      </c>
      <c r="EU141">
        <v>2.5644144758E-2</v>
      </c>
      <c r="EV141">
        <v>2.5757094944000001E-2</v>
      </c>
      <c r="EW141">
        <v>2.6505749041000001E-2</v>
      </c>
      <c r="EX141">
        <v>2.7241351569E-2</v>
      </c>
      <c r="EY141">
        <v>2.5644144758E-2</v>
      </c>
      <c r="EZ141">
        <v>2.5757094944000001E-2</v>
      </c>
      <c r="FA141">
        <v>2.6505749041000001E-2</v>
      </c>
      <c r="FB141">
        <v>2.7241351569E-2</v>
      </c>
      <c r="FC141">
        <v>2.5644144758E-2</v>
      </c>
      <c r="FD141">
        <v>2.5757094944000001E-2</v>
      </c>
      <c r="FE141">
        <v>2.6505749041000001E-2</v>
      </c>
    </row>
    <row r="142" spans="2:161">
      <c r="B142" t="s">
        <v>755</v>
      </c>
      <c r="C142" t="s">
        <v>756</v>
      </c>
      <c r="G142">
        <v>2.3289203800000002E-3</v>
      </c>
      <c r="H142">
        <v>2.178683386E-3</v>
      </c>
      <c r="I142">
        <v>2.1089092960000001E-3</v>
      </c>
      <c r="J142">
        <v>2.1729677500000001E-3</v>
      </c>
      <c r="K142">
        <v>2.2058717970000002E-3</v>
      </c>
      <c r="L142">
        <v>2.1206316330000001E-3</v>
      </c>
      <c r="M142">
        <v>2.2251607130000001E-3</v>
      </c>
      <c r="N142">
        <v>2.4627243870000001E-3</v>
      </c>
      <c r="O142">
        <v>2.752592938E-3</v>
      </c>
      <c r="P142">
        <v>2.8657723269999999E-3</v>
      </c>
      <c r="Q142">
        <v>2.5661207030000001E-3</v>
      </c>
      <c r="R142">
        <v>2.512715005E-3</v>
      </c>
      <c r="S142">
        <v>2.3977532029999999E-3</v>
      </c>
      <c r="T142">
        <v>2.422659263E-3</v>
      </c>
      <c r="U142">
        <v>2.1537770359999998E-3</v>
      </c>
      <c r="V142">
        <v>2.3164640899999999E-3</v>
      </c>
      <c r="W142">
        <v>2.3965903839999999E-3</v>
      </c>
      <c r="X142">
        <v>2.350194846E-3</v>
      </c>
      <c r="Y142">
        <v>2.3172184770000001E-3</v>
      </c>
      <c r="Z142">
        <v>2.5004098140000001E-3</v>
      </c>
      <c r="AA142">
        <v>2.4413026189999999E-3</v>
      </c>
      <c r="AB142">
        <v>2.412154349E-3</v>
      </c>
      <c r="AC142">
        <v>2.460153672E-3</v>
      </c>
      <c r="AD142">
        <v>2.5912769959999999E-3</v>
      </c>
      <c r="AE142">
        <v>2.6364765170000001E-3</v>
      </c>
      <c r="AF142">
        <v>2.6373140900000001E-3</v>
      </c>
      <c r="AG142">
        <v>2.6379261529999999E-3</v>
      </c>
      <c r="AH142">
        <v>2.636888118E-3</v>
      </c>
      <c r="AI142">
        <v>2.637531708E-3</v>
      </c>
      <c r="AJ142">
        <v>2.6375659810000001E-3</v>
      </c>
      <c r="AP142">
        <v>3.2373386299999998E-3</v>
      </c>
      <c r="AQ142">
        <v>2.4807826689999999E-3</v>
      </c>
      <c r="AR142">
        <v>1.86440678E-3</v>
      </c>
      <c r="AS142">
        <v>2.020689655E-3</v>
      </c>
      <c r="AT142">
        <v>2.64E-3</v>
      </c>
      <c r="AU142">
        <v>2.4414715720000001E-3</v>
      </c>
      <c r="AV142">
        <v>1.924422673E-3</v>
      </c>
      <c r="AW142">
        <v>1.7186417190000001E-3</v>
      </c>
      <c r="AX142">
        <v>2.3845108699999998E-3</v>
      </c>
      <c r="AY142">
        <v>2.291525424E-3</v>
      </c>
      <c r="AZ142">
        <v>1.9223300969999999E-3</v>
      </c>
      <c r="BA142">
        <v>1.8833819239999999E-3</v>
      </c>
      <c r="BB142">
        <v>2.5872382850000001E-3</v>
      </c>
      <c r="BC142">
        <v>2.3520167630000002E-3</v>
      </c>
      <c r="BD142">
        <v>2.0258192650000001E-3</v>
      </c>
      <c r="BE142">
        <v>1.8E-3</v>
      </c>
      <c r="BF142">
        <v>2.426934097E-3</v>
      </c>
      <c r="BG142">
        <v>2.1739130429999998E-3</v>
      </c>
      <c r="BH142">
        <v>2.107954545E-3</v>
      </c>
      <c r="BI142">
        <v>2.1179989120000001E-3</v>
      </c>
      <c r="BJ142">
        <v>2.1603757180000001E-3</v>
      </c>
      <c r="BK142">
        <v>2.2161046110000002E-3</v>
      </c>
      <c r="BL142">
        <v>2.059496568E-3</v>
      </c>
      <c r="BM142">
        <v>2.0425883809999999E-3</v>
      </c>
      <c r="BN142">
        <v>2.4034816790000002E-3</v>
      </c>
      <c r="BO142">
        <v>2.3685206209999999E-3</v>
      </c>
      <c r="BP142">
        <v>2.095991372E-3</v>
      </c>
      <c r="BQ142">
        <v>2.0269452010000001E-3</v>
      </c>
      <c r="BR142">
        <v>2.5417066160000001E-3</v>
      </c>
      <c r="BS142">
        <v>2.2355889720000002E-3</v>
      </c>
      <c r="BT142">
        <v>2.1557994970000001E-3</v>
      </c>
      <c r="BU142">
        <v>2.7499999999999998E-3</v>
      </c>
      <c r="BV142">
        <v>3.0176767679999999E-3</v>
      </c>
      <c r="BW142">
        <v>2.73557904E-3</v>
      </c>
      <c r="BX142">
        <v>2.5734538729999998E-3</v>
      </c>
      <c r="BY142">
        <v>2.6501187839999998E-3</v>
      </c>
      <c r="BZ142">
        <v>3.2034687239999998E-3</v>
      </c>
      <c r="CA142">
        <v>3.0002222389999998E-3</v>
      </c>
      <c r="CB142">
        <v>2.6496815290000001E-3</v>
      </c>
      <c r="CC142">
        <v>2.682986777E-3</v>
      </c>
      <c r="CD142">
        <v>2.7134362960000002E-3</v>
      </c>
      <c r="CE142">
        <v>2.4433453599999998E-3</v>
      </c>
      <c r="CF142">
        <v>2.4843372649999999E-3</v>
      </c>
      <c r="CG142">
        <v>2.6165546520000001E-3</v>
      </c>
      <c r="CH142">
        <v>2.6516737529999998E-3</v>
      </c>
      <c r="CI142">
        <v>2.4281631190000001E-3</v>
      </c>
      <c r="CJ142">
        <v>2.5246266740000002E-3</v>
      </c>
      <c r="CK142">
        <v>2.414224545E-3</v>
      </c>
      <c r="CL142">
        <v>2.491561491E-3</v>
      </c>
      <c r="CM142">
        <v>2.4200169710000001E-3</v>
      </c>
      <c r="CN142">
        <v>2.31520539E-3</v>
      </c>
      <c r="CO142">
        <v>2.3131938509999999E-3</v>
      </c>
      <c r="CP142">
        <v>2.4889745460000001E-3</v>
      </c>
      <c r="CQ142">
        <v>2.3969241550000002E-3</v>
      </c>
      <c r="CR142">
        <v>2.3132613809999998E-3</v>
      </c>
      <c r="CS142">
        <v>2.4570899510000001E-3</v>
      </c>
      <c r="CT142">
        <v>2.3075376350000002E-3</v>
      </c>
      <c r="CU142">
        <v>2.103775211E-3</v>
      </c>
      <c r="CV142">
        <v>2.0848704770000002E-3</v>
      </c>
      <c r="CW142">
        <v>2.053746529E-3</v>
      </c>
      <c r="CX142">
        <v>2.363454239E-3</v>
      </c>
      <c r="CY142">
        <v>2.281583164E-3</v>
      </c>
      <c r="CZ142">
        <v>2.2765475229999999E-3</v>
      </c>
      <c r="DA142">
        <v>2.3140954499999999E-3</v>
      </c>
      <c r="DB142">
        <v>2.363849855E-3</v>
      </c>
      <c r="DC142">
        <v>2.4071763459999999E-3</v>
      </c>
      <c r="DD142">
        <v>2.3509073290000002E-3</v>
      </c>
      <c r="DE142">
        <v>2.474181708E-3</v>
      </c>
      <c r="DF142">
        <v>2.3845604970000002E-3</v>
      </c>
      <c r="DG142">
        <v>2.2647496609999999E-3</v>
      </c>
      <c r="DH142">
        <v>2.278794706E-3</v>
      </c>
      <c r="DI142">
        <v>2.445468998E-3</v>
      </c>
      <c r="DJ142">
        <v>2.415253232E-3</v>
      </c>
      <c r="DK142">
        <v>2.250107731E-3</v>
      </c>
      <c r="DL142">
        <v>2.2161720160000001E-3</v>
      </c>
      <c r="DM142">
        <v>2.333853841E-3</v>
      </c>
      <c r="DN142">
        <v>2.5346605820000001E-3</v>
      </c>
      <c r="DO142">
        <v>2.4512544369999999E-3</v>
      </c>
      <c r="DP142">
        <v>2.3746334929999999E-3</v>
      </c>
      <c r="DQ142">
        <v>2.6121363879999999E-3</v>
      </c>
      <c r="DR142">
        <v>2.4503091379999998E-3</v>
      </c>
      <c r="DS142">
        <v>2.4852652259999999E-3</v>
      </c>
      <c r="DT142">
        <v>2.3261782550000002E-3</v>
      </c>
      <c r="DU142">
        <v>2.4944817660000002E-3</v>
      </c>
      <c r="DV142">
        <v>2.400177498E-3</v>
      </c>
      <c r="DW142">
        <v>2.3938608940000002E-3</v>
      </c>
      <c r="DX142">
        <v>2.324883376E-3</v>
      </c>
      <c r="DY142">
        <v>2.528675704E-3</v>
      </c>
      <c r="DZ142">
        <v>2.3627874419999998E-3</v>
      </c>
      <c r="EA142">
        <v>2.5248850649999999E-3</v>
      </c>
      <c r="EB142">
        <v>2.4701394919999999E-3</v>
      </c>
      <c r="EC142">
        <v>2.5098884889999998E-3</v>
      </c>
      <c r="ED142">
        <v>2.5420865570000002E-3</v>
      </c>
      <c r="EE142">
        <v>2.6580939469999999E-3</v>
      </c>
      <c r="EF142">
        <v>2.5512666569999999E-3</v>
      </c>
      <c r="EG142">
        <v>2.6255135359999999E-3</v>
      </c>
      <c r="EH142">
        <v>2.7241351570000002E-3</v>
      </c>
      <c r="EI142">
        <v>2.5644144759999999E-3</v>
      </c>
      <c r="EJ142">
        <v>2.576119875E-3</v>
      </c>
      <c r="EK142">
        <v>2.650574904E-3</v>
      </c>
      <c r="EL142">
        <v>2.7241351570000002E-3</v>
      </c>
      <c r="EM142">
        <v>2.5644144759999999E-3</v>
      </c>
      <c r="EN142">
        <v>2.576119875E-3</v>
      </c>
      <c r="EO142">
        <v>2.650574904E-3</v>
      </c>
      <c r="EP142">
        <v>2.7241351570000002E-3</v>
      </c>
      <c r="EQ142">
        <v>2.5644144759999999E-3</v>
      </c>
      <c r="ER142">
        <v>2.576119875E-3</v>
      </c>
      <c r="ES142">
        <v>2.650574904E-3</v>
      </c>
      <c r="ET142">
        <v>2.7241351570000002E-3</v>
      </c>
      <c r="EU142">
        <v>2.5644144759999999E-3</v>
      </c>
      <c r="EV142">
        <v>2.576119875E-3</v>
      </c>
      <c r="EW142">
        <v>2.650574904E-3</v>
      </c>
      <c r="EX142">
        <v>2.7241351570000002E-3</v>
      </c>
      <c r="EY142">
        <v>2.5644144759999999E-3</v>
      </c>
      <c r="EZ142">
        <v>2.576119875E-3</v>
      </c>
      <c r="FA142">
        <v>2.650574904E-3</v>
      </c>
      <c r="FB142">
        <v>2.7241351570000002E-3</v>
      </c>
      <c r="FC142">
        <v>2.5644144759999999E-3</v>
      </c>
      <c r="FD142">
        <v>2.576119875E-3</v>
      </c>
      <c r="FE142">
        <v>2.650574904E-3</v>
      </c>
    </row>
    <row r="143" spans="2:161">
      <c r="B143" t="s">
        <v>757</v>
      </c>
      <c r="C143" t="s">
        <v>758</v>
      </c>
      <c r="G143">
        <v>2.3289203800000002E-3</v>
      </c>
      <c r="H143">
        <v>2.178683386E-3</v>
      </c>
      <c r="I143">
        <v>2.1089092960000001E-3</v>
      </c>
      <c r="J143">
        <v>2.1729677500000001E-3</v>
      </c>
      <c r="K143">
        <v>2.2058717970000002E-3</v>
      </c>
      <c r="L143">
        <v>2.1206316330000001E-3</v>
      </c>
      <c r="M143">
        <v>2.2251607130000001E-3</v>
      </c>
      <c r="N143">
        <v>2.4627243870000001E-3</v>
      </c>
      <c r="O143">
        <v>2.752592938E-3</v>
      </c>
      <c r="P143">
        <v>2.8657723269999999E-3</v>
      </c>
      <c r="Q143">
        <v>2.5661207030000001E-3</v>
      </c>
      <c r="R143">
        <v>2.512715005E-3</v>
      </c>
      <c r="S143">
        <v>2.3977532029999999E-3</v>
      </c>
      <c r="T143">
        <v>2.422659263E-3</v>
      </c>
      <c r="U143">
        <v>2.1537770359999998E-3</v>
      </c>
      <c r="V143">
        <v>2.3164640899999999E-3</v>
      </c>
      <c r="W143">
        <v>2.3965903839999999E-3</v>
      </c>
      <c r="X143">
        <v>2.350194846E-3</v>
      </c>
      <c r="Y143">
        <v>2.3172184770000001E-3</v>
      </c>
      <c r="Z143">
        <v>2.5004098140000001E-3</v>
      </c>
      <c r="AA143">
        <v>2.4413026189999999E-3</v>
      </c>
      <c r="AB143">
        <v>2.412154349E-3</v>
      </c>
      <c r="AC143">
        <v>2.460153672E-3</v>
      </c>
      <c r="AD143">
        <v>2.5912769959999999E-3</v>
      </c>
      <c r="AE143">
        <v>2.6364765170000001E-3</v>
      </c>
      <c r="AF143">
        <v>2.6373140900000001E-3</v>
      </c>
      <c r="AG143">
        <v>2.6379261529999999E-3</v>
      </c>
      <c r="AH143">
        <v>2.636888118E-3</v>
      </c>
      <c r="AI143">
        <v>2.637531708E-3</v>
      </c>
      <c r="AJ143">
        <v>2.6375659810000001E-3</v>
      </c>
      <c r="AP143">
        <v>3.2373386299999998E-3</v>
      </c>
      <c r="AQ143">
        <v>2.4807826689999999E-3</v>
      </c>
      <c r="AR143">
        <v>1.86440678E-3</v>
      </c>
      <c r="AS143">
        <v>2.020689655E-3</v>
      </c>
      <c r="AT143">
        <v>2.64E-3</v>
      </c>
      <c r="AU143">
        <v>2.4414715720000001E-3</v>
      </c>
      <c r="AV143">
        <v>1.924422673E-3</v>
      </c>
      <c r="AW143">
        <v>1.7186417190000001E-3</v>
      </c>
      <c r="AX143">
        <v>2.3845108699999998E-3</v>
      </c>
      <c r="AY143">
        <v>2.291525424E-3</v>
      </c>
      <c r="AZ143">
        <v>1.9223300969999999E-3</v>
      </c>
      <c r="BA143">
        <v>1.8833819239999999E-3</v>
      </c>
      <c r="BB143">
        <v>2.5872382850000001E-3</v>
      </c>
      <c r="BC143">
        <v>2.3520167630000002E-3</v>
      </c>
      <c r="BD143">
        <v>2.0258192650000001E-3</v>
      </c>
      <c r="BE143">
        <v>1.8E-3</v>
      </c>
      <c r="BF143">
        <v>2.426934097E-3</v>
      </c>
      <c r="BG143">
        <v>2.1739130429999998E-3</v>
      </c>
      <c r="BH143">
        <v>2.107954545E-3</v>
      </c>
      <c r="BI143">
        <v>2.1179989120000001E-3</v>
      </c>
      <c r="BJ143">
        <v>2.1603757180000001E-3</v>
      </c>
      <c r="BK143">
        <v>2.2161046110000002E-3</v>
      </c>
      <c r="BL143">
        <v>2.059496568E-3</v>
      </c>
      <c r="BM143">
        <v>2.0425883809999999E-3</v>
      </c>
      <c r="BN143">
        <v>2.4034816790000002E-3</v>
      </c>
      <c r="BO143">
        <v>2.3685206209999999E-3</v>
      </c>
      <c r="BP143">
        <v>2.095991372E-3</v>
      </c>
      <c r="BQ143">
        <v>2.0269452010000001E-3</v>
      </c>
      <c r="BR143">
        <v>2.5417066160000001E-3</v>
      </c>
      <c r="BS143">
        <v>2.2355889720000002E-3</v>
      </c>
      <c r="BT143">
        <v>2.1557994970000001E-3</v>
      </c>
      <c r="BU143">
        <v>2.7499999999999998E-3</v>
      </c>
      <c r="BV143">
        <v>3.0176767679999999E-3</v>
      </c>
      <c r="BW143">
        <v>2.73557904E-3</v>
      </c>
      <c r="BX143">
        <v>2.5734538729999998E-3</v>
      </c>
      <c r="BY143">
        <v>2.6501187839999998E-3</v>
      </c>
      <c r="BZ143">
        <v>3.2034687239999998E-3</v>
      </c>
      <c r="CA143">
        <v>3.0002222389999998E-3</v>
      </c>
      <c r="CB143">
        <v>2.6496815290000001E-3</v>
      </c>
      <c r="CC143">
        <v>2.682986777E-3</v>
      </c>
      <c r="CD143">
        <v>2.7134362960000002E-3</v>
      </c>
      <c r="CE143">
        <v>2.4433453599999998E-3</v>
      </c>
      <c r="CF143">
        <v>2.4843372649999999E-3</v>
      </c>
      <c r="CG143">
        <v>2.6165546520000001E-3</v>
      </c>
      <c r="CH143">
        <v>2.6516737529999998E-3</v>
      </c>
      <c r="CI143">
        <v>2.4281631190000001E-3</v>
      </c>
      <c r="CJ143">
        <v>2.5246266740000002E-3</v>
      </c>
      <c r="CK143">
        <v>2.414224545E-3</v>
      </c>
      <c r="CL143">
        <v>2.491561491E-3</v>
      </c>
      <c r="CM143">
        <v>2.4200169710000001E-3</v>
      </c>
      <c r="CN143">
        <v>2.31520539E-3</v>
      </c>
      <c r="CO143">
        <v>2.3131938509999999E-3</v>
      </c>
      <c r="CP143">
        <v>2.4889745460000001E-3</v>
      </c>
      <c r="CQ143">
        <v>2.3969241550000002E-3</v>
      </c>
      <c r="CR143">
        <v>2.3132613809999998E-3</v>
      </c>
      <c r="CS143">
        <v>2.4570899510000001E-3</v>
      </c>
      <c r="CT143">
        <v>2.3075376350000002E-3</v>
      </c>
      <c r="CU143">
        <v>2.103775211E-3</v>
      </c>
      <c r="CV143">
        <v>2.0848704770000002E-3</v>
      </c>
      <c r="CW143">
        <v>2.053746529E-3</v>
      </c>
      <c r="CX143">
        <v>2.363454239E-3</v>
      </c>
      <c r="CY143">
        <v>2.281583164E-3</v>
      </c>
      <c r="CZ143">
        <v>2.2765475229999999E-3</v>
      </c>
      <c r="DA143">
        <v>2.3140954499999999E-3</v>
      </c>
      <c r="DB143">
        <v>2.363849855E-3</v>
      </c>
      <c r="DC143">
        <v>2.4071763459999999E-3</v>
      </c>
      <c r="DD143">
        <v>2.3509073290000002E-3</v>
      </c>
      <c r="DE143">
        <v>2.474181708E-3</v>
      </c>
      <c r="DF143">
        <v>2.3845604970000002E-3</v>
      </c>
      <c r="DG143">
        <v>2.2647496609999999E-3</v>
      </c>
      <c r="DH143">
        <v>2.278794706E-3</v>
      </c>
      <c r="DI143">
        <v>2.445468998E-3</v>
      </c>
      <c r="DJ143">
        <v>2.415253232E-3</v>
      </c>
      <c r="DK143">
        <v>2.250107731E-3</v>
      </c>
      <c r="DL143">
        <v>2.2161720160000001E-3</v>
      </c>
      <c r="DM143">
        <v>2.333853841E-3</v>
      </c>
      <c r="DN143">
        <v>2.5346605820000001E-3</v>
      </c>
      <c r="DO143">
        <v>2.4512544369999999E-3</v>
      </c>
      <c r="DP143">
        <v>2.3746334929999999E-3</v>
      </c>
      <c r="DQ143">
        <v>2.6121363879999999E-3</v>
      </c>
      <c r="DR143">
        <v>2.4503091379999998E-3</v>
      </c>
      <c r="DS143">
        <v>2.4852652259999999E-3</v>
      </c>
      <c r="DT143">
        <v>2.3261782550000002E-3</v>
      </c>
      <c r="DU143">
        <v>2.4944817660000002E-3</v>
      </c>
      <c r="DV143">
        <v>2.400177498E-3</v>
      </c>
      <c r="DW143">
        <v>2.3938608940000002E-3</v>
      </c>
      <c r="DX143">
        <v>2.324883376E-3</v>
      </c>
      <c r="DY143">
        <v>2.528675704E-3</v>
      </c>
      <c r="DZ143">
        <v>2.3627874419999998E-3</v>
      </c>
      <c r="EA143">
        <v>2.5248850649999999E-3</v>
      </c>
      <c r="EB143">
        <v>2.4701394919999999E-3</v>
      </c>
      <c r="EC143">
        <v>2.5098884889999998E-3</v>
      </c>
      <c r="ED143">
        <v>2.5420865570000002E-3</v>
      </c>
      <c r="EE143">
        <v>2.6580939469999999E-3</v>
      </c>
      <c r="EF143">
        <v>2.5512666569999999E-3</v>
      </c>
      <c r="EG143">
        <v>2.6255135359999999E-3</v>
      </c>
      <c r="EH143">
        <v>2.7241351570000002E-3</v>
      </c>
      <c r="EI143">
        <v>2.5644144759999999E-3</v>
      </c>
      <c r="EJ143">
        <v>2.576119875E-3</v>
      </c>
      <c r="EK143">
        <v>2.650574904E-3</v>
      </c>
      <c r="EL143">
        <v>2.7241351570000002E-3</v>
      </c>
      <c r="EM143">
        <v>2.5644144759999999E-3</v>
      </c>
      <c r="EN143">
        <v>2.576119875E-3</v>
      </c>
      <c r="EO143">
        <v>2.650574904E-3</v>
      </c>
      <c r="EP143">
        <v>2.7241351570000002E-3</v>
      </c>
      <c r="EQ143">
        <v>2.5644144759999999E-3</v>
      </c>
      <c r="ER143">
        <v>2.576119875E-3</v>
      </c>
      <c r="ES143">
        <v>2.650574904E-3</v>
      </c>
      <c r="ET143">
        <v>2.7241351570000002E-3</v>
      </c>
      <c r="EU143">
        <v>2.5644144759999999E-3</v>
      </c>
      <c r="EV143">
        <v>2.576119875E-3</v>
      </c>
      <c r="EW143">
        <v>2.650574904E-3</v>
      </c>
      <c r="EX143">
        <v>2.7241351570000002E-3</v>
      </c>
      <c r="EY143">
        <v>2.5644144759999999E-3</v>
      </c>
      <c r="EZ143">
        <v>2.576119875E-3</v>
      </c>
      <c r="FA143">
        <v>2.650574904E-3</v>
      </c>
      <c r="FB143">
        <v>2.7241351570000002E-3</v>
      </c>
      <c r="FC143">
        <v>2.5644144759999999E-3</v>
      </c>
      <c r="FD143">
        <v>2.576119875E-3</v>
      </c>
      <c r="FE143">
        <v>2.650574904E-3</v>
      </c>
    </row>
    <row r="144" spans="2:161">
      <c r="B144" t="s">
        <v>759</v>
      </c>
      <c r="C144" t="s">
        <v>760</v>
      </c>
      <c r="G144">
        <v>2.3289203800000002E-3</v>
      </c>
      <c r="H144">
        <v>2.178683386E-3</v>
      </c>
      <c r="I144">
        <v>2.1089092960000001E-3</v>
      </c>
      <c r="J144">
        <v>2.1729677500000001E-3</v>
      </c>
      <c r="K144">
        <v>2.2058717970000002E-3</v>
      </c>
      <c r="L144">
        <v>2.1206316330000001E-3</v>
      </c>
      <c r="M144">
        <v>2.2251607130000001E-3</v>
      </c>
      <c r="N144">
        <v>2.4627243870000001E-3</v>
      </c>
      <c r="O144">
        <v>2.752592938E-3</v>
      </c>
      <c r="P144">
        <v>2.8657723269999999E-3</v>
      </c>
      <c r="Q144">
        <v>2.5661207030000001E-3</v>
      </c>
      <c r="R144">
        <v>2.512715005E-3</v>
      </c>
      <c r="S144">
        <v>2.3977532029999999E-3</v>
      </c>
      <c r="T144">
        <v>2.422659263E-3</v>
      </c>
      <c r="U144">
        <v>2.1537770359999998E-3</v>
      </c>
      <c r="V144">
        <v>2.3164640899999999E-3</v>
      </c>
      <c r="W144">
        <v>2.3965903839999999E-3</v>
      </c>
      <c r="X144">
        <v>2.350194846E-3</v>
      </c>
      <c r="Y144">
        <v>2.3172184770000001E-3</v>
      </c>
      <c r="Z144">
        <v>2.5004098140000001E-3</v>
      </c>
      <c r="AA144">
        <v>2.4413026189999999E-3</v>
      </c>
      <c r="AB144">
        <v>2.412154349E-3</v>
      </c>
      <c r="AC144">
        <v>2.460153672E-3</v>
      </c>
      <c r="AD144">
        <v>2.5912769959999999E-3</v>
      </c>
      <c r="AE144">
        <v>2.6364765170000001E-3</v>
      </c>
      <c r="AF144">
        <v>2.6373140900000001E-3</v>
      </c>
      <c r="AG144">
        <v>2.6379261529999999E-3</v>
      </c>
      <c r="AH144">
        <v>2.636888118E-3</v>
      </c>
      <c r="AI144">
        <v>2.637531708E-3</v>
      </c>
      <c r="AJ144">
        <v>2.6375659810000001E-3</v>
      </c>
      <c r="AP144">
        <v>3.2373386299999998E-3</v>
      </c>
      <c r="AQ144">
        <v>2.4807826689999999E-3</v>
      </c>
      <c r="AR144">
        <v>1.86440678E-3</v>
      </c>
      <c r="AS144">
        <v>2.020689655E-3</v>
      </c>
      <c r="AT144">
        <v>2.64E-3</v>
      </c>
      <c r="AU144">
        <v>2.4414715720000001E-3</v>
      </c>
      <c r="AV144">
        <v>1.924422673E-3</v>
      </c>
      <c r="AW144">
        <v>1.7186417190000001E-3</v>
      </c>
      <c r="AX144">
        <v>2.3845108699999998E-3</v>
      </c>
      <c r="AY144">
        <v>2.291525424E-3</v>
      </c>
      <c r="AZ144">
        <v>1.9223300969999999E-3</v>
      </c>
      <c r="BA144">
        <v>1.8833819239999999E-3</v>
      </c>
      <c r="BB144">
        <v>2.5872382850000001E-3</v>
      </c>
      <c r="BC144">
        <v>2.3520167630000002E-3</v>
      </c>
      <c r="BD144">
        <v>2.0258192650000001E-3</v>
      </c>
      <c r="BE144">
        <v>1.8E-3</v>
      </c>
      <c r="BF144">
        <v>2.426934097E-3</v>
      </c>
      <c r="BG144">
        <v>2.1739130429999998E-3</v>
      </c>
      <c r="BH144">
        <v>2.107954545E-3</v>
      </c>
      <c r="BI144">
        <v>2.1179989120000001E-3</v>
      </c>
      <c r="BJ144">
        <v>2.1603757180000001E-3</v>
      </c>
      <c r="BK144">
        <v>2.2161046110000002E-3</v>
      </c>
      <c r="BL144">
        <v>2.059496568E-3</v>
      </c>
      <c r="BM144">
        <v>2.0425883809999999E-3</v>
      </c>
      <c r="BN144">
        <v>2.4034816790000002E-3</v>
      </c>
      <c r="BO144">
        <v>2.3685206209999999E-3</v>
      </c>
      <c r="BP144">
        <v>2.095991372E-3</v>
      </c>
      <c r="BQ144">
        <v>2.0269452010000001E-3</v>
      </c>
      <c r="BR144">
        <v>2.5417066160000001E-3</v>
      </c>
      <c r="BS144">
        <v>2.2355889720000002E-3</v>
      </c>
      <c r="BT144">
        <v>2.1557994970000001E-3</v>
      </c>
      <c r="BU144">
        <v>2.7499999999999998E-3</v>
      </c>
      <c r="BV144">
        <v>3.0176767679999999E-3</v>
      </c>
      <c r="BW144">
        <v>2.73557904E-3</v>
      </c>
      <c r="BX144">
        <v>2.5734538729999998E-3</v>
      </c>
      <c r="BY144">
        <v>2.6501187839999998E-3</v>
      </c>
      <c r="BZ144">
        <v>3.2034687239999998E-3</v>
      </c>
      <c r="CA144">
        <v>3.0002222389999998E-3</v>
      </c>
      <c r="CB144">
        <v>2.6496815290000001E-3</v>
      </c>
      <c r="CC144">
        <v>2.682986777E-3</v>
      </c>
      <c r="CD144">
        <v>2.7134362960000002E-3</v>
      </c>
      <c r="CE144">
        <v>2.4433453599999998E-3</v>
      </c>
      <c r="CF144">
        <v>2.4843372649999999E-3</v>
      </c>
      <c r="CG144">
        <v>2.6165546520000001E-3</v>
      </c>
      <c r="CH144">
        <v>2.6516737529999998E-3</v>
      </c>
      <c r="CI144">
        <v>2.4281631190000001E-3</v>
      </c>
      <c r="CJ144">
        <v>2.5246266740000002E-3</v>
      </c>
      <c r="CK144">
        <v>2.414224545E-3</v>
      </c>
      <c r="CL144">
        <v>2.491561491E-3</v>
      </c>
      <c r="CM144">
        <v>2.4200169710000001E-3</v>
      </c>
      <c r="CN144">
        <v>2.31520539E-3</v>
      </c>
      <c r="CO144">
        <v>2.3131938509999999E-3</v>
      </c>
      <c r="CP144">
        <v>2.4889745460000001E-3</v>
      </c>
      <c r="CQ144">
        <v>2.3969241550000002E-3</v>
      </c>
      <c r="CR144">
        <v>2.3132613809999998E-3</v>
      </c>
      <c r="CS144">
        <v>2.4570899510000001E-3</v>
      </c>
      <c r="CT144">
        <v>2.3075376350000002E-3</v>
      </c>
      <c r="CU144">
        <v>2.103775211E-3</v>
      </c>
      <c r="CV144">
        <v>2.0848704770000002E-3</v>
      </c>
      <c r="CW144">
        <v>2.053746529E-3</v>
      </c>
      <c r="CX144">
        <v>2.363454239E-3</v>
      </c>
      <c r="CY144">
        <v>2.281583164E-3</v>
      </c>
      <c r="CZ144">
        <v>2.2765475229999999E-3</v>
      </c>
      <c r="DA144">
        <v>2.3140954499999999E-3</v>
      </c>
      <c r="DB144">
        <v>2.363849855E-3</v>
      </c>
      <c r="DC144">
        <v>2.4071763459999999E-3</v>
      </c>
      <c r="DD144">
        <v>2.3509073290000002E-3</v>
      </c>
      <c r="DE144">
        <v>2.474181708E-3</v>
      </c>
      <c r="DF144">
        <v>2.3845604970000002E-3</v>
      </c>
      <c r="DG144">
        <v>2.2647496609999999E-3</v>
      </c>
      <c r="DH144">
        <v>2.278794706E-3</v>
      </c>
      <c r="DI144">
        <v>2.445468998E-3</v>
      </c>
      <c r="DJ144">
        <v>2.415253232E-3</v>
      </c>
      <c r="DK144">
        <v>2.250107731E-3</v>
      </c>
      <c r="DL144">
        <v>2.2161720160000001E-3</v>
      </c>
      <c r="DM144">
        <v>2.333853841E-3</v>
      </c>
      <c r="DN144">
        <v>2.5346605820000001E-3</v>
      </c>
      <c r="DO144">
        <v>2.4512544369999999E-3</v>
      </c>
      <c r="DP144">
        <v>2.3746334929999999E-3</v>
      </c>
      <c r="DQ144">
        <v>2.6121363879999999E-3</v>
      </c>
      <c r="DR144">
        <v>2.4503091379999998E-3</v>
      </c>
      <c r="DS144">
        <v>2.4852652259999999E-3</v>
      </c>
      <c r="DT144">
        <v>2.3261782550000002E-3</v>
      </c>
      <c r="DU144">
        <v>2.4944817660000002E-3</v>
      </c>
      <c r="DV144">
        <v>2.400177498E-3</v>
      </c>
      <c r="DW144">
        <v>2.3938608940000002E-3</v>
      </c>
      <c r="DX144">
        <v>2.324883376E-3</v>
      </c>
      <c r="DY144">
        <v>2.528675704E-3</v>
      </c>
      <c r="DZ144">
        <v>2.3627874419999998E-3</v>
      </c>
      <c r="EA144">
        <v>2.5248850649999999E-3</v>
      </c>
      <c r="EB144">
        <v>2.4701394919999999E-3</v>
      </c>
      <c r="EC144">
        <v>2.5098884889999998E-3</v>
      </c>
      <c r="ED144">
        <v>2.5420865570000002E-3</v>
      </c>
      <c r="EE144">
        <v>2.6580939469999999E-3</v>
      </c>
      <c r="EF144">
        <v>2.5512666569999999E-3</v>
      </c>
      <c r="EG144">
        <v>2.6255135359999999E-3</v>
      </c>
      <c r="EH144">
        <v>2.7241351570000002E-3</v>
      </c>
      <c r="EI144">
        <v>2.5644144759999999E-3</v>
      </c>
      <c r="EJ144">
        <v>2.576119875E-3</v>
      </c>
      <c r="EK144">
        <v>2.650574904E-3</v>
      </c>
      <c r="EL144">
        <v>2.7241351570000002E-3</v>
      </c>
      <c r="EM144">
        <v>2.5644144759999999E-3</v>
      </c>
      <c r="EN144">
        <v>2.576119875E-3</v>
      </c>
      <c r="EO144">
        <v>2.650574904E-3</v>
      </c>
      <c r="EP144">
        <v>2.7241351570000002E-3</v>
      </c>
      <c r="EQ144">
        <v>2.5644144759999999E-3</v>
      </c>
      <c r="ER144">
        <v>2.576119875E-3</v>
      </c>
      <c r="ES144">
        <v>2.650574904E-3</v>
      </c>
      <c r="ET144">
        <v>2.7241351570000002E-3</v>
      </c>
      <c r="EU144">
        <v>2.5644144759999999E-3</v>
      </c>
      <c r="EV144">
        <v>2.576119875E-3</v>
      </c>
      <c r="EW144">
        <v>2.650574904E-3</v>
      </c>
      <c r="EX144">
        <v>2.7241351570000002E-3</v>
      </c>
      <c r="EY144">
        <v>2.5644144759999999E-3</v>
      </c>
      <c r="EZ144">
        <v>2.576119875E-3</v>
      </c>
      <c r="FA144">
        <v>2.650574904E-3</v>
      </c>
      <c r="FB144">
        <v>2.7241351570000002E-3</v>
      </c>
      <c r="FC144">
        <v>2.5644144759999999E-3</v>
      </c>
      <c r="FD144">
        <v>2.576119875E-3</v>
      </c>
      <c r="FE144">
        <v>2.650574904E-3</v>
      </c>
    </row>
    <row r="145" spans="2:161">
      <c r="B145" t="s">
        <v>761</v>
      </c>
      <c r="C145" t="s">
        <v>762</v>
      </c>
      <c r="G145">
        <v>1.1644601902E-2</v>
      </c>
      <c r="H145">
        <v>1.0893416927999999E-2</v>
      </c>
      <c r="I145">
        <v>1.054454648E-2</v>
      </c>
      <c r="J145">
        <v>1.0864838749000001E-2</v>
      </c>
      <c r="K145">
        <v>1.1029358984000001E-2</v>
      </c>
      <c r="L145">
        <v>1.0603158167E-2</v>
      </c>
      <c r="M145">
        <v>1.1125803564E-2</v>
      </c>
      <c r="N145">
        <v>1.2313621936E-2</v>
      </c>
      <c r="O145">
        <v>1.3762964689E-2</v>
      </c>
      <c r="P145">
        <v>1.4328861633E-2</v>
      </c>
      <c r="Q145">
        <v>1.2830603516000001E-2</v>
      </c>
      <c r="R145">
        <v>1.2563575025000001E-2</v>
      </c>
      <c r="S145">
        <v>1.1988766017E-2</v>
      </c>
      <c r="T145">
        <v>1.2113296316E-2</v>
      </c>
      <c r="U145">
        <v>1.0768885181E-2</v>
      </c>
      <c r="V145">
        <v>1.1582320452E-2</v>
      </c>
      <c r="W145">
        <v>1.1982951917999999E-2</v>
      </c>
      <c r="X145">
        <v>1.1750974228E-2</v>
      </c>
      <c r="Y145">
        <v>1.1586092383999999E-2</v>
      </c>
      <c r="Z145">
        <v>1.2502049067999999E-2</v>
      </c>
      <c r="AA145">
        <v>1.2206513093E-2</v>
      </c>
      <c r="AB145">
        <v>1.2060771743E-2</v>
      </c>
      <c r="AC145">
        <v>1.2300768358E-2</v>
      </c>
      <c r="AD145">
        <v>1.2956384978E-2</v>
      </c>
      <c r="AE145">
        <v>1.3182382586E-2</v>
      </c>
      <c r="AF145">
        <v>1.3186444784999999E-2</v>
      </c>
      <c r="AG145">
        <v>1.3189630765E-2</v>
      </c>
      <c r="AH145">
        <v>1.3184768580000001E-2</v>
      </c>
      <c r="AI145">
        <v>1.3187658541E-2</v>
      </c>
      <c r="AJ145">
        <v>1.3187829905E-2</v>
      </c>
      <c r="AP145">
        <v>1.6186693148E-2</v>
      </c>
      <c r="AQ145">
        <v>1.2403913347000001E-2</v>
      </c>
      <c r="AR145">
        <v>9.3220338979999994E-3</v>
      </c>
      <c r="AS145">
        <v>1.0103448276E-2</v>
      </c>
      <c r="AT145">
        <v>1.32E-2</v>
      </c>
      <c r="AU145">
        <v>1.220735786E-2</v>
      </c>
      <c r="AV145">
        <v>9.6221133659999993E-3</v>
      </c>
      <c r="AW145">
        <v>8.5932085929999995E-3</v>
      </c>
      <c r="AX145">
        <v>1.1922554348E-2</v>
      </c>
      <c r="AY145">
        <v>1.1457627119000001E-2</v>
      </c>
      <c r="AZ145">
        <v>9.6116504849999996E-3</v>
      </c>
      <c r="BA145">
        <v>9.4169096210000008E-3</v>
      </c>
      <c r="BB145">
        <v>1.2936191426000001E-2</v>
      </c>
      <c r="BC145">
        <v>1.1760083814E-2</v>
      </c>
      <c r="BD145">
        <v>1.0129096326E-2</v>
      </c>
      <c r="BE145">
        <v>8.9999999999999993E-3</v>
      </c>
      <c r="BF145">
        <v>1.2134670487E-2</v>
      </c>
      <c r="BG145">
        <v>1.0869565217000001E-2</v>
      </c>
      <c r="BH145">
        <v>1.0539772726999999E-2</v>
      </c>
      <c r="BI145">
        <v>1.0589994562E-2</v>
      </c>
      <c r="BJ145">
        <v>1.0801878588E-2</v>
      </c>
      <c r="BK145">
        <v>1.1080523056E-2</v>
      </c>
      <c r="BL145">
        <v>1.0297482837999999E-2</v>
      </c>
      <c r="BM145">
        <v>1.0212941906E-2</v>
      </c>
      <c r="BN145">
        <v>1.2017408395E-2</v>
      </c>
      <c r="BO145">
        <v>1.1842603102999999E-2</v>
      </c>
      <c r="BP145">
        <v>1.0479956858E-2</v>
      </c>
      <c r="BQ145">
        <v>1.0134726007E-2</v>
      </c>
      <c r="BR145">
        <v>1.2708533078E-2</v>
      </c>
      <c r="BS145">
        <v>1.1177944862E-2</v>
      </c>
      <c r="BT145">
        <v>1.0778997487E-2</v>
      </c>
      <c r="BU145">
        <v>1.375E-2</v>
      </c>
      <c r="BV145">
        <v>1.5088383838E-2</v>
      </c>
      <c r="BW145">
        <v>1.36778952E-2</v>
      </c>
      <c r="BX145">
        <v>1.2867269365E-2</v>
      </c>
      <c r="BY145">
        <v>1.3250593922E-2</v>
      </c>
      <c r="BZ145">
        <v>1.6017343619999999E-2</v>
      </c>
      <c r="CA145">
        <v>1.5001111193000001E-2</v>
      </c>
      <c r="CB145">
        <v>1.3248407643000001E-2</v>
      </c>
      <c r="CC145">
        <v>1.3414933884E-2</v>
      </c>
      <c r="CD145">
        <v>1.3567181482E-2</v>
      </c>
      <c r="CE145">
        <v>1.2216726801E-2</v>
      </c>
      <c r="CF145">
        <v>1.2421686325E-2</v>
      </c>
      <c r="CG145">
        <v>1.3082773258000001E-2</v>
      </c>
      <c r="CH145">
        <v>1.3258368765E-2</v>
      </c>
      <c r="CI145">
        <v>1.2140815597000001E-2</v>
      </c>
      <c r="CJ145">
        <v>1.2623133369000001E-2</v>
      </c>
      <c r="CK145">
        <v>1.2071122727E-2</v>
      </c>
      <c r="CL145">
        <v>1.2457807455000001E-2</v>
      </c>
      <c r="CM145">
        <v>1.2100084856999999E-2</v>
      </c>
      <c r="CN145">
        <v>1.1576026951000001E-2</v>
      </c>
      <c r="CO145">
        <v>1.1565969257E-2</v>
      </c>
      <c r="CP145">
        <v>1.2444872730000001E-2</v>
      </c>
      <c r="CQ145">
        <v>1.1984620777E-2</v>
      </c>
      <c r="CR145">
        <v>1.1566306903E-2</v>
      </c>
      <c r="CS145">
        <v>1.2285449754E-2</v>
      </c>
      <c r="CT145">
        <v>1.1537688173000001E-2</v>
      </c>
      <c r="CU145">
        <v>1.0518876056E-2</v>
      </c>
      <c r="CV145">
        <v>1.0424352384E-2</v>
      </c>
      <c r="CW145">
        <v>1.0268732645999999E-2</v>
      </c>
      <c r="CX145">
        <v>1.1817271194000001E-2</v>
      </c>
      <c r="CY145">
        <v>1.1407915818E-2</v>
      </c>
      <c r="CZ145">
        <v>1.1382737617E-2</v>
      </c>
      <c r="DA145">
        <v>1.1570477248E-2</v>
      </c>
      <c r="DB145">
        <v>1.1819249275999999E-2</v>
      </c>
      <c r="DC145">
        <v>1.203588173E-2</v>
      </c>
      <c r="DD145">
        <v>1.1754536645999999E-2</v>
      </c>
      <c r="DE145">
        <v>1.2370908538E-2</v>
      </c>
      <c r="DF145">
        <v>1.1922802487000001E-2</v>
      </c>
      <c r="DG145">
        <v>1.1323748303E-2</v>
      </c>
      <c r="DH145">
        <v>1.1393973529E-2</v>
      </c>
      <c r="DI145">
        <v>1.2227344992000001E-2</v>
      </c>
      <c r="DJ145">
        <v>1.2076266161E-2</v>
      </c>
      <c r="DK145">
        <v>1.1250538653999999E-2</v>
      </c>
      <c r="DL145">
        <v>1.1080860079000001E-2</v>
      </c>
      <c r="DM145">
        <v>1.1669269207E-2</v>
      </c>
      <c r="DN145">
        <v>1.2673302911E-2</v>
      </c>
      <c r="DO145">
        <v>1.2256272186E-2</v>
      </c>
      <c r="DP145">
        <v>1.1873167463E-2</v>
      </c>
      <c r="DQ145">
        <v>1.3060681938E-2</v>
      </c>
      <c r="DR145">
        <v>1.2251545689E-2</v>
      </c>
      <c r="DS145">
        <v>1.242632613E-2</v>
      </c>
      <c r="DT145">
        <v>1.1630891274000001E-2</v>
      </c>
      <c r="DU145">
        <v>1.2472408829E-2</v>
      </c>
      <c r="DV145">
        <v>1.2000887490000001E-2</v>
      </c>
      <c r="DW145">
        <v>1.1969304468E-2</v>
      </c>
      <c r="DX145">
        <v>1.1624416881000001E-2</v>
      </c>
      <c r="DY145">
        <v>1.2643378518999999E-2</v>
      </c>
      <c r="DZ145">
        <v>1.1813937211000001E-2</v>
      </c>
      <c r="EA145">
        <v>1.2624425324E-2</v>
      </c>
      <c r="EB145">
        <v>1.2350697458E-2</v>
      </c>
      <c r="EC145">
        <v>1.2549442446E-2</v>
      </c>
      <c r="ED145">
        <v>1.2710432783000001E-2</v>
      </c>
      <c r="EE145">
        <v>1.3290469737E-2</v>
      </c>
      <c r="EF145">
        <v>1.2756333283E-2</v>
      </c>
      <c r="EG145">
        <v>1.3127567680999999E-2</v>
      </c>
      <c r="EH145">
        <v>1.3620675784000001E-2</v>
      </c>
      <c r="EI145">
        <v>1.2822072379E-2</v>
      </c>
      <c r="EJ145">
        <v>1.2878879540999999E-2</v>
      </c>
      <c r="EK145">
        <v>1.3252874519999999E-2</v>
      </c>
      <c r="EL145">
        <v>1.3620675784000001E-2</v>
      </c>
      <c r="EM145">
        <v>1.2822072379E-2</v>
      </c>
      <c r="EN145">
        <v>1.2878879540999999E-2</v>
      </c>
      <c r="EO145">
        <v>1.3252874519999999E-2</v>
      </c>
      <c r="EP145">
        <v>1.3620675784000001E-2</v>
      </c>
      <c r="EQ145">
        <v>1.2822072379E-2</v>
      </c>
      <c r="ER145">
        <v>1.2878879540999999E-2</v>
      </c>
      <c r="ES145">
        <v>1.3252874519999999E-2</v>
      </c>
      <c r="ET145">
        <v>1.3620675784000001E-2</v>
      </c>
      <c r="EU145">
        <v>1.2822072379E-2</v>
      </c>
      <c r="EV145">
        <v>1.2878879540999999E-2</v>
      </c>
      <c r="EW145">
        <v>1.3252874519999999E-2</v>
      </c>
      <c r="EX145">
        <v>1.3620675784000001E-2</v>
      </c>
      <c r="EY145">
        <v>1.2822072379E-2</v>
      </c>
      <c r="EZ145">
        <v>1.2878879540999999E-2</v>
      </c>
      <c r="FA145">
        <v>1.3252874519999999E-2</v>
      </c>
      <c r="FB145">
        <v>1.3620675784000001E-2</v>
      </c>
      <c r="FC145">
        <v>1.2822072379E-2</v>
      </c>
      <c r="FD145">
        <v>1.2878879540999999E-2</v>
      </c>
      <c r="FE145">
        <v>1.3252874519999999E-2</v>
      </c>
    </row>
    <row r="146" spans="2:161">
      <c r="B146" t="s">
        <v>763</v>
      </c>
      <c r="C146" t="s">
        <v>764</v>
      </c>
      <c r="G146">
        <v>1.1644601902E-2</v>
      </c>
      <c r="H146">
        <v>1.0893416927999999E-2</v>
      </c>
      <c r="I146">
        <v>1.054454648E-2</v>
      </c>
      <c r="J146">
        <v>1.0864838749000001E-2</v>
      </c>
      <c r="K146">
        <v>1.1029358984000001E-2</v>
      </c>
      <c r="L146">
        <v>1.0603158167E-2</v>
      </c>
      <c r="M146">
        <v>1.1125803564E-2</v>
      </c>
      <c r="N146">
        <v>1.2313621936E-2</v>
      </c>
      <c r="O146">
        <v>1.3762964689E-2</v>
      </c>
      <c r="P146">
        <v>1.4328861633E-2</v>
      </c>
      <c r="Q146">
        <v>1.2830603516000001E-2</v>
      </c>
      <c r="R146">
        <v>1.2563575025000001E-2</v>
      </c>
      <c r="S146">
        <v>1.1988766017E-2</v>
      </c>
      <c r="T146">
        <v>1.2113296316E-2</v>
      </c>
      <c r="U146">
        <v>1.0768885181E-2</v>
      </c>
      <c r="V146">
        <v>1.1582320452E-2</v>
      </c>
      <c r="W146">
        <v>1.1982951917999999E-2</v>
      </c>
      <c r="X146">
        <v>1.1750974228E-2</v>
      </c>
      <c r="Y146">
        <v>1.1586092383999999E-2</v>
      </c>
      <c r="Z146">
        <v>1.2502049067999999E-2</v>
      </c>
      <c r="AA146">
        <v>1.2206513093E-2</v>
      </c>
      <c r="AB146">
        <v>1.2060771743E-2</v>
      </c>
      <c r="AC146">
        <v>1.2300768358E-2</v>
      </c>
      <c r="AD146">
        <v>1.2956384978E-2</v>
      </c>
      <c r="AE146">
        <v>1.3182382586E-2</v>
      </c>
      <c r="AF146">
        <v>1.3186444784999999E-2</v>
      </c>
      <c r="AG146">
        <v>1.3189630765E-2</v>
      </c>
      <c r="AH146">
        <v>1.3184768580000001E-2</v>
      </c>
      <c r="AI146">
        <v>1.3187658541E-2</v>
      </c>
      <c r="AJ146">
        <v>1.3187829905E-2</v>
      </c>
      <c r="AP146">
        <v>1.6186693148E-2</v>
      </c>
      <c r="AQ146">
        <v>1.2403913347000001E-2</v>
      </c>
      <c r="AR146">
        <v>9.3220338979999994E-3</v>
      </c>
      <c r="AS146">
        <v>1.0103448276E-2</v>
      </c>
      <c r="AT146">
        <v>1.32E-2</v>
      </c>
      <c r="AU146">
        <v>1.220735786E-2</v>
      </c>
      <c r="AV146">
        <v>9.6221133659999993E-3</v>
      </c>
      <c r="AW146">
        <v>8.5932085929999995E-3</v>
      </c>
      <c r="AX146">
        <v>1.1922554348E-2</v>
      </c>
      <c r="AY146">
        <v>1.1457627119000001E-2</v>
      </c>
      <c r="AZ146">
        <v>9.6116504849999996E-3</v>
      </c>
      <c r="BA146">
        <v>9.4169096210000008E-3</v>
      </c>
      <c r="BB146">
        <v>1.2936191426000001E-2</v>
      </c>
      <c r="BC146">
        <v>1.1760083814E-2</v>
      </c>
      <c r="BD146">
        <v>1.0129096326E-2</v>
      </c>
      <c r="BE146">
        <v>8.9999999999999993E-3</v>
      </c>
      <c r="BF146">
        <v>1.2134670487E-2</v>
      </c>
      <c r="BG146">
        <v>1.0869565217000001E-2</v>
      </c>
      <c r="BH146">
        <v>1.0539772726999999E-2</v>
      </c>
      <c r="BI146">
        <v>1.0589994562E-2</v>
      </c>
      <c r="BJ146">
        <v>1.0801878588E-2</v>
      </c>
      <c r="BK146">
        <v>1.1080523056E-2</v>
      </c>
      <c r="BL146">
        <v>1.0297482837999999E-2</v>
      </c>
      <c r="BM146">
        <v>1.0212941906E-2</v>
      </c>
      <c r="BN146">
        <v>1.2017408395E-2</v>
      </c>
      <c r="BO146">
        <v>1.1842603102999999E-2</v>
      </c>
      <c r="BP146">
        <v>1.0479956858E-2</v>
      </c>
      <c r="BQ146">
        <v>1.0134726007E-2</v>
      </c>
      <c r="BR146">
        <v>1.2708533078E-2</v>
      </c>
      <c r="BS146">
        <v>1.1177944862E-2</v>
      </c>
      <c r="BT146">
        <v>1.0778997487E-2</v>
      </c>
      <c r="BU146">
        <v>1.375E-2</v>
      </c>
      <c r="BV146">
        <v>1.5088383838E-2</v>
      </c>
      <c r="BW146">
        <v>1.36778952E-2</v>
      </c>
      <c r="BX146">
        <v>1.2867269365E-2</v>
      </c>
      <c r="BY146">
        <v>1.3250593922E-2</v>
      </c>
      <c r="BZ146">
        <v>1.6017343619999999E-2</v>
      </c>
      <c r="CA146">
        <v>1.5001111193000001E-2</v>
      </c>
      <c r="CB146">
        <v>1.3248407643000001E-2</v>
      </c>
      <c r="CC146">
        <v>1.3414933884E-2</v>
      </c>
      <c r="CD146">
        <v>1.3567181482E-2</v>
      </c>
      <c r="CE146">
        <v>1.2216726801E-2</v>
      </c>
      <c r="CF146">
        <v>1.2421686325E-2</v>
      </c>
      <c r="CG146">
        <v>1.3082773258000001E-2</v>
      </c>
      <c r="CH146">
        <v>1.3258368765E-2</v>
      </c>
      <c r="CI146">
        <v>1.2140815597000001E-2</v>
      </c>
      <c r="CJ146">
        <v>1.2623133369000001E-2</v>
      </c>
      <c r="CK146">
        <v>1.2071122727E-2</v>
      </c>
      <c r="CL146">
        <v>1.2457807455000001E-2</v>
      </c>
      <c r="CM146">
        <v>1.2100084856999999E-2</v>
      </c>
      <c r="CN146">
        <v>1.1576026951000001E-2</v>
      </c>
      <c r="CO146">
        <v>1.1565969257E-2</v>
      </c>
      <c r="CP146">
        <v>1.2444872730000001E-2</v>
      </c>
      <c r="CQ146">
        <v>1.1984620777E-2</v>
      </c>
      <c r="CR146">
        <v>1.1566306903E-2</v>
      </c>
      <c r="CS146">
        <v>1.2285449754E-2</v>
      </c>
      <c r="CT146">
        <v>1.1537688173000001E-2</v>
      </c>
      <c r="CU146">
        <v>1.0518876056E-2</v>
      </c>
      <c r="CV146">
        <v>1.0424352384E-2</v>
      </c>
      <c r="CW146">
        <v>1.0268732645999999E-2</v>
      </c>
      <c r="CX146">
        <v>1.1817271194000001E-2</v>
      </c>
      <c r="CY146">
        <v>1.1407915818E-2</v>
      </c>
      <c r="CZ146">
        <v>1.1382737617E-2</v>
      </c>
      <c r="DA146">
        <v>1.1570477248E-2</v>
      </c>
      <c r="DB146">
        <v>1.1819249275999999E-2</v>
      </c>
      <c r="DC146">
        <v>1.203588173E-2</v>
      </c>
      <c r="DD146">
        <v>1.1754536645999999E-2</v>
      </c>
      <c r="DE146">
        <v>1.2370908538E-2</v>
      </c>
      <c r="DF146">
        <v>1.1922802487000001E-2</v>
      </c>
      <c r="DG146">
        <v>1.1323748303E-2</v>
      </c>
      <c r="DH146">
        <v>1.1393973529E-2</v>
      </c>
      <c r="DI146">
        <v>1.2227344992000001E-2</v>
      </c>
      <c r="DJ146">
        <v>1.2076266161E-2</v>
      </c>
      <c r="DK146">
        <v>1.1250538653999999E-2</v>
      </c>
      <c r="DL146">
        <v>1.1080860079000001E-2</v>
      </c>
      <c r="DM146">
        <v>1.1669269207E-2</v>
      </c>
      <c r="DN146">
        <v>1.2673302911E-2</v>
      </c>
      <c r="DO146">
        <v>1.2256272186E-2</v>
      </c>
      <c r="DP146">
        <v>1.1873167463E-2</v>
      </c>
      <c r="DQ146">
        <v>1.3060681938E-2</v>
      </c>
      <c r="DR146">
        <v>1.2251545689E-2</v>
      </c>
      <c r="DS146">
        <v>1.242632613E-2</v>
      </c>
      <c r="DT146">
        <v>1.1630891274000001E-2</v>
      </c>
      <c r="DU146">
        <v>1.2472408829E-2</v>
      </c>
      <c r="DV146">
        <v>1.2000887490000001E-2</v>
      </c>
      <c r="DW146">
        <v>1.1969304468E-2</v>
      </c>
      <c r="DX146">
        <v>1.1624416881000001E-2</v>
      </c>
      <c r="DY146">
        <v>1.2643378518999999E-2</v>
      </c>
      <c r="DZ146">
        <v>1.1813937211000001E-2</v>
      </c>
      <c r="EA146">
        <v>1.2624425324E-2</v>
      </c>
      <c r="EB146">
        <v>1.2350697458E-2</v>
      </c>
      <c r="EC146">
        <v>1.2549442446E-2</v>
      </c>
      <c r="ED146">
        <v>1.2710432783000001E-2</v>
      </c>
      <c r="EE146">
        <v>1.3290469737E-2</v>
      </c>
      <c r="EF146">
        <v>1.2756333283E-2</v>
      </c>
      <c r="EG146">
        <v>1.3127567680999999E-2</v>
      </c>
      <c r="EH146">
        <v>1.3620675784000001E-2</v>
      </c>
      <c r="EI146">
        <v>1.2822072379E-2</v>
      </c>
      <c r="EJ146">
        <v>1.2878879540999999E-2</v>
      </c>
      <c r="EK146">
        <v>1.3252874519999999E-2</v>
      </c>
      <c r="EL146">
        <v>1.3620675784000001E-2</v>
      </c>
      <c r="EM146">
        <v>1.2822072379E-2</v>
      </c>
      <c r="EN146">
        <v>1.2878879540999999E-2</v>
      </c>
      <c r="EO146">
        <v>1.3252874519999999E-2</v>
      </c>
      <c r="EP146">
        <v>1.3620675784000001E-2</v>
      </c>
      <c r="EQ146">
        <v>1.2822072379E-2</v>
      </c>
      <c r="ER146">
        <v>1.2878879540999999E-2</v>
      </c>
      <c r="ES146">
        <v>1.3252874519999999E-2</v>
      </c>
      <c r="ET146">
        <v>1.3620675784000001E-2</v>
      </c>
      <c r="EU146">
        <v>1.2822072379E-2</v>
      </c>
      <c r="EV146">
        <v>1.2878879540999999E-2</v>
      </c>
      <c r="EW146">
        <v>1.3252874519999999E-2</v>
      </c>
      <c r="EX146">
        <v>1.3620675784000001E-2</v>
      </c>
      <c r="EY146">
        <v>1.2822072379E-2</v>
      </c>
      <c r="EZ146">
        <v>1.2878879540999999E-2</v>
      </c>
      <c r="FA146">
        <v>1.3252874519999999E-2</v>
      </c>
      <c r="FB146">
        <v>1.3620675784000001E-2</v>
      </c>
      <c r="FC146">
        <v>1.2822072379E-2</v>
      </c>
      <c r="FD146">
        <v>1.2878879540999999E-2</v>
      </c>
      <c r="FE146">
        <v>1.3252874519999999E-2</v>
      </c>
    </row>
    <row r="147" spans="2:161">
      <c r="B147" t="s">
        <v>765</v>
      </c>
      <c r="C147" t="s">
        <v>766</v>
      </c>
      <c r="G147">
        <v>1.1644601902E-2</v>
      </c>
      <c r="H147">
        <v>1.0893416927999999E-2</v>
      </c>
      <c r="I147">
        <v>1.054454648E-2</v>
      </c>
      <c r="J147">
        <v>1.0864838749000001E-2</v>
      </c>
      <c r="K147">
        <v>1.1029358984000001E-2</v>
      </c>
      <c r="L147">
        <v>1.0603158167E-2</v>
      </c>
      <c r="M147">
        <v>1.1125803564E-2</v>
      </c>
      <c r="N147">
        <v>1.2313621936E-2</v>
      </c>
      <c r="O147">
        <v>1.3762964689E-2</v>
      </c>
      <c r="P147">
        <v>1.4328861633E-2</v>
      </c>
      <c r="Q147">
        <v>1.2830603516000001E-2</v>
      </c>
      <c r="R147">
        <v>1.2563575025000001E-2</v>
      </c>
      <c r="S147">
        <v>1.1988766017E-2</v>
      </c>
      <c r="T147">
        <v>1.2113296316E-2</v>
      </c>
      <c r="U147">
        <v>1.0768885181E-2</v>
      </c>
      <c r="V147">
        <v>1.1582320452E-2</v>
      </c>
      <c r="W147">
        <v>1.1982951917999999E-2</v>
      </c>
      <c r="X147">
        <v>1.1750974228E-2</v>
      </c>
      <c r="Y147">
        <v>1.1586092383999999E-2</v>
      </c>
      <c r="Z147">
        <v>1.2502049067999999E-2</v>
      </c>
      <c r="AA147">
        <v>1.2206513093E-2</v>
      </c>
      <c r="AB147">
        <v>1.2060771743E-2</v>
      </c>
      <c r="AC147">
        <v>1.2300768358E-2</v>
      </c>
      <c r="AD147">
        <v>1.2956384978E-2</v>
      </c>
      <c r="AE147">
        <v>1.3182382586E-2</v>
      </c>
      <c r="AF147">
        <v>1.3186444784999999E-2</v>
      </c>
      <c r="AG147">
        <v>1.3189630765E-2</v>
      </c>
      <c r="AH147">
        <v>1.3184768580000001E-2</v>
      </c>
      <c r="AI147">
        <v>1.3187658541E-2</v>
      </c>
      <c r="AJ147">
        <v>1.3187829905E-2</v>
      </c>
      <c r="AP147">
        <v>1.6186693148E-2</v>
      </c>
      <c r="AQ147">
        <v>1.2403913347000001E-2</v>
      </c>
      <c r="AR147">
        <v>9.3220338979999994E-3</v>
      </c>
      <c r="AS147">
        <v>1.0103448276E-2</v>
      </c>
      <c r="AT147">
        <v>1.32E-2</v>
      </c>
      <c r="AU147">
        <v>1.220735786E-2</v>
      </c>
      <c r="AV147">
        <v>9.6221133659999993E-3</v>
      </c>
      <c r="AW147">
        <v>8.5932085929999995E-3</v>
      </c>
      <c r="AX147">
        <v>1.1922554348E-2</v>
      </c>
      <c r="AY147">
        <v>1.1457627119000001E-2</v>
      </c>
      <c r="AZ147">
        <v>9.6116504849999996E-3</v>
      </c>
      <c r="BA147">
        <v>9.4169096210000008E-3</v>
      </c>
      <c r="BB147">
        <v>1.2936191426000001E-2</v>
      </c>
      <c r="BC147">
        <v>1.1760083814E-2</v>
      </c>
      <c r="BD147">
        <v>1.0129096326E-2</v>
      </c>
      <c r="BE147">
        <v>8.9999999999999993E-3</v>
      </c>
      <c r="BF147">
        <v>1.2134670487E-2</v>
      </c>
      <c r="BG147">
        <v>1.0869565217000001E-2</v>
      </c>
      <c r="BH147">
        <v>1.0539772726999999E-2</v>
      </c>
      <c r="BI147">
        <v>1.0589994562E-2</v>
      </c>
      <c r="BJ147">
        <v>1.0801878588E-2</v>
      </c>
      <c r="BK147">
        <v>1.1080523056E-2</v>
      </c>
      <c r="BL147">
        <v>1.0297482837999999E-2</v>
      </c>
      <c r="BM147">
        <v>1.0212941906E-2</v>
      </c>
      <c r="BN147">
        <v>1.2017408395E-2</v>
      </c>
      <c r="BO147">
        <v>1.1842603102999999E-2</v>
      </c>
      <c r="BP147">
        <v>1.0479956858E-2</v>
      </c>
      <c r="BQ147">
        <v>1.0134726007E-2</v>
      </c>
      <c r="BR147">
        <v>1.2708533078E-2</v>
      </c>
      <c r="BS147">
        <v>1.1177944862E-2</v>
      </c>
      <c r="BT147">
        <v>1.0778997487E-2</v>
      </c>
      <c r="BU147">
        <v>1.375E-2</v>
      </c>
      <c r="BV147">
        <v>1.5088383838E-2</v>
      </c>
      <c r="BW147">
        <v>1.36778952E-2</v>
      </c>
      <c r="BX147">
        <v>1.2867269365E-2</v>
      </c>
      <c r="BY147">
        <v>1.3250593922E-2</v>
      </c>
      <c r="BZ147">
        <v>1.6017343619999999E-2</v>
      </c>
      <c r="CA147">
        <v>1.5001111193000001E-2</v>
      </c>
      <c r="CB147">
        <v>1.3248407643000001E-2</v>
      </c>
      <c r="CC147">
        <v>1.3414933884E-2</v>
      </c>
      <c r="CD147">
        <v>1.3567181482E-2</v>
      </c>
      <c r="CE147">
        <v>1.2216726801E-2</v>
      </c>
      <c r="CF147">
        <v>1.2421686325E-2</v>
      </c>
      <c r="CG147">
        <v>1.3082773258000001E-2</v>
      </c>
      <c r="CH147">
        <v>1.3258368765E-2</v>
      </c>
      <c r="CI147">
        <v>1.2140815597000001E-2</v>
      </c>
      <c r="CJ147">
        <v>1.2623133369000001E-2</v>
      </c>
      <c r="CK147">
        <v>1.2071122727E-2</v>
      </c>
      <c r="CL147">
        <v>1.2457807455000001E-2</v>
      </c>
      <c r="CM147">
        <v>1.2100084856999999E-2</v>
      </c>
      <c r="CN147">
        <v>1.1576026951000001E-2</v>
      </c>
      <c r="CO147">
        <v>1.1565969257E-2</v>
      </c>
      <c r="CP147">
        <v>1.2444872730000001E-2</v>
      </c>
      <c r="CQ147">
        <v>1.1984620777E-2</v>
      </c>
      <c r="CR147">
        <v>1.1566306903E-2</v>
      </c>
      <c r="CS147">
        <v>1.2285449754E-2</v>
      </c>
      <c r="CT147">
        <v>1.1537688173000001E-2</v>
      </c>
      <c r="CU147">
        <v>1.0518876056E-2</v>
      </c>
      <c r="CV147">
        <v>1.0424352384E-2</v>
      </c>
      <c r="CW147">
        <v>1.0268732645999999E-2</v>
      </c>
      <c r="CX147">
        <v>1.1817271194000001E-2</v>
      </c>
      <c r="CY147">
        <v>1.1407915818E-2</v>
      </c>
      <c r="CZ147">
        <v>1.1382737617E-2</v>
      </c>
      <c r="DA147">
        <v>1.1570477248E-2</v>
      </c>
      <c r="DB147">
        <v>1.1819249275999999E-2</v>
      </c>
      <c r="DC147">
        <v>1.203588173E-2</v>
      </c>
      <c r="DD147">
        <v>1.1754536645999999E-2</v>
      </c>
      <c r="DE147">
        <v>1.2370908538E-2</v>
      </c>
      <c r="DF147">
        <v>1.1922802487000001E-2</v>
      </c>
      <c r="DG147">
        <v>1.1323748303E-2</v>
      </c>
      <c r="DH147">
        <v>1.1393973529E-2</v>
      </c>
      <c r="DI147">
        <v>1.2227344992000001E-2</v>
      </c>
      <c r="DJ147">
        <v>1.2076266161E-2</v>
      </c>
      <c r="DK147">
        <v>1.1250538653999999E-2</v>
      </c>
      <c r="DL147">
        <v>1.1080860079000001E-2</v>
      </c>
      <c r="DM147">
        <v>1.1669269207E-2</v>
      </c>
      <c r="DN147">
        <v>1.2673302911E-2</v>
      </c>
      <c r="DO147">
        <v>1.2256272186E-2</v>
      </c>
      <c r="DP147">
        <v>1.1873167463E-2</v>
      </c>
      <c r="DQ147">
        <v>1.3060681938E-2</v>
      </c>
      <c r="DR147">
        <v>1.2251545689E-2</v>
      </c>
      <c r="DS147">
        <v>1.242632613E-2</v>
      </c>
      <c r="DT147">
        <v>1.1630891274000001E-2</v>
      </c>
      <c r="DU147">
        <v>1.2472408829E-2</v>
      </c>
      <c r="DV147">
        <v>1.2000887490000001E-2</v>
      </c>
      <c r="DW147">
        <v>1.1969304468E-2</v>
      </c>
      <c r="DX147">
        <v>1.1624416881000001E-2</v>
      </c>
      <c r="DY147">
        <v>1.2643378518999999E-2</v>
      </c>
      <c r="DZ147">
        <v>1.1813937211000001E-2</v>
      </c>
      <c r="EA147">
        <v>1.2624425324E-2</v>
      </c>
      <c r="EB147">
        <v>1.2350697458E-2</v>
      </c>
      <c r="EC147">
        <v>1.2549442446E-2</v>
      </c>
      <c r="ED147">
        <v>1.2710432783000001E-2</v>
      </c>
      <c r="EE147">
        <v>1.3290469737E-2</v>
      </c>
      <c r="EF147">
        <v>1.2756333283E-2</v>
      </c>
      <c r="EG147">
        <v>1.3127567680999999E-2</v>
      </c>
      <c r="EH147">
        <v>1.3620675784000001E-2</v>
      </c>
      <c r="EI147">
        <v>1.2822072379E-2</v>
      </c>
      <c r="EJ147">
        <v>1.2878879540999999E-2</v>
      </c>
      <c r="EK147">
        <v>1.3252874519999999E-2</v>
      </c>
      <c r="EL147">
        <v>1.3620675784000001E-2</v>
      </c>
      <c r="EM147">
        <v>1.2822072379E-2</v>
      </c>
      <c r="EN147">
        <v>1.2878879540999999E-2</v>
      </c>
      <c r="EO147">
        <v>1.3252874519999999E-2</v>
      </c>
      <c r="EP147">
        <v>1.3620675784000001E-2</v>
      </c>
      <c r="EQ147">
        <v>1.2822072379E-2</v>
      </c>
      <c r="ER147">
        <v>1.2878879540999999E-2</v>
      </c>
      <c r="ES147">
        <v>1.3252874519999999E-2</v>
      </c>
      <c r="ET147">
        <v>1.3620675784000001E-2</v>
      </c>
      <c r="EU147">
        <v>1.2822072379E-2</v>
      </c>
      <c r="EV147">
        <v>1.2878879540999999E-2</v>
      </c>
      <c r="EW147">
        <v>1.3252874519999999E-2</v>
      </c>
      <c r="EX147">
        <v>1.3620675784000001E-2</v>
      </c>
      <c r="EY147">
        <v>1.2822072379E-2</v>
      </c>
      <c r="EZ147">
        <v>1.2878879540999999E-2</v>
      </c>
      <c r="FA147">
        <v>1.3252874519999999E-2</v>
      </c>
      <c r="FB147">
        <v>1.3620675784000001E-2</v>
      </c>
      <c r="FC147">
        <v>1.2822072379E-2</v>
      </c>
      <c r="FD147">
        <v>1.2878879540999999E-2</v>
      </c>
      <c r="FE147">
        <v>1.3252874519999999E-2</v>
      </c>
    </row>
    <row r="148" spans="2:161">
      <c r="B148" t="s">
        <v>767</v>
      </c>
      <c r="C148" t="s">
        <v>768</v>
      </c>
      <c r="G148">
        <v>1.1644601902E-2</v>
      </c>
      <c r="H148">
        <v>1.0893416927999999E-2</v>
      </c>
      <c r="I148">
        <v>1.054454648E-2</v>
      </c>
      <c r="J148">
        <v>1.0864838749000001E-2</v>
      </c>
      <c r="K148">
        <v>1.1029358984000001E-2</v>
      </c>
      <c r="L148">
        <v>1.0603158167E-2</v>
      </c>
      <c r="M148">
        <v>1.1125803564E-2</v>
      </c>
      <c r="N148">
        <v>1.2313621936E-2</v>
      </c>
      <c r="O148">
        <v>1.3762964689E-2</v>
      </c>
      <c r="P148">
        <v>1.4328861633E-2</v>
      </c>
      <c r="Q148">
        <v>1.2830603516000001E-2</v>
      </c>
      <c r="R148">
        <v>1.2563575025000001E-2</v>
      </c>
      <c r="S148">
        <v>1.1988766017E-2</v>
      </c>
      <c r="T148">
        <v>1.2113296316E-2</v>
      </c>
      <c r="U148">
        <v>1.0768885181E-2</v>
      </c>
      <c r="V148">
        <v>1.1582320452E-2</v>
      </c>
      <c r="W148">
        <v>1.1982951917999999E-2</v>
      </c>
      <c r="X148">
        <v>1.1750974228E-2</v>
      </c>
      <c r="Y148">
        <v>1.1586092383999999E-2</v>
      </c>
      <c r="Z148">
        <v>1.2502049067999999E-2</v>
      </c>
      <c r="AA148">
        <v>1.2206513093E-2</v>
      </c>
      <c r="AB148">
        <v>1.2060771743E-2</v>
      </c>
      <c r="AC148">
        <v>1.2300768358E-2</v>
      </c>
      <c r="AD148">
        <v>1.2956384978E-2</v>
      </c>
      <c r="AE148">
        <v>1.3182382586E-2</v>
      </c>
      <c r="AF148">
        <v>1.3186444784999999E-2</v>
      </c>
      <c r="AG148">
        <v>1.3189630765E-2</v>
      </c>
      <c r="AH148">
        <v>1.3184768580000001E-2</v>
      </c>
      <c r="AI148">
        <v>1.3187658541E-2</v>
      </c>
      <c r="AJ148">
        <v>1.3187829905E-2</v>
      </c>
      <c r="AP148">
        <v>1.6186693148E-2</v>
      </c>
      <c r="AQ148">
        <v>1.2403913347000001E-2</v>
      </c>
      <c r="AR148">
        <v>9.3220338979999994E-3</v>
      </c>
      <c r="AS148">
        <v>1.0103448276E-2</v>
      </c>
      <c r="AT148">
        <v>1.32E-2</v>
      </c>
      <c r="AU148">
        <v>1.220735786E-2</v>
      </c>
      <c r="AV148">
        <v>9.6221133659999993E-3</v>
      </c>
      <c r="AW148">
        <v>8.5932085929999995E-3</v>
      </c>
      <c r="AX148">
        <v>1.1922554348E-2</v>
      </c>
      <c r="AY148">
        <v>1.1457627119000001E-2</v>
      </c>
      <c r="AZ148">
        <v>9.6116504849999996E-3</v>
      </c>
      <c r="BA148">
        <v>9.4169096210000008E-3</v>
      </c>
      <c r="BB148">
        <v>1.2936191426000001E-2</v>
      </c>
      <c r="BC148">
        <v>1.1760083814E-2</v>
      </c>
      <c r="BD148">
        <v>1.0129096326E-2</v>
      </c>
      <c r="BE148">
        <v>8.9999999999999993E-3</v>
      </c>
      <c r="BF148">
        <v>1.2134670487E-2</v>
      </c>
      <c r="BG148">
        <v>1.0869565217000001E-2</v>
      </c>
      <c r="BH148">
        <v>1.0539772726999999E-2</v>
      </c>
      <c r="BI148">
        <v>1.0589994562E-2</v>
      </c>
      <c r="BJ148">
        <v>1.0801878588E-2</v>
      </c>
      <c r="BK148">
        <v>1.1080523056E-2</v>
      </c>
      <c r="BL148">
        <v>1.0297482837999999E-2</v>
      </c>
      <c r="BM148">
        <v>1.0212941906E-2</v>
      </c>
      <c r="BN148">
        <v>1.2017408395E-2</v>
      </c>
      <c r="BO148">
        <v>1.1842603102999999E-2</v>
      </c>
      <c r="BP148">
        <v>1.0479956858E-2</v>
      </c>
      <c r="BQ148">
        <v>1.0134726007E-2</v>
      </c>
      <c r="BR148">
        <v>1.2708533078E-2</v>
      </c>
      <c r="BS148">
        <v>1.1177944862E-2</v>
      </c>
      <c r="BT148">
        <v>1.0778997487E-2</v>
      </c>
      <c r="BU148">
        <v>1.375E-2</v>
      </c>
      <c r="BV148">
        <v>1.5088383838E-2</v>
      </c>
      <c r="BW148">
        <v>1.36778952E-2</v>
      </c>
      <c r="BX148">
        <v>1.2867269365E-2</v>
      </c>
      <c r="BY148">
        <v>1.3250593922E-2</v>
      </c>
      <c r="BZ148">
        <v>1.6017343619999999E-2</v>
      </c>
      <c r="CA148">
        <v>1.5001111193000001E-2</v>
      </c>
      <c r="CB148">
        <v>1.3248407643000001E-2</v>
      </c>
      <c r="CC148">
        <v>1.3414933884E-2</v>
      </c>
      <c r="CD148">
        <v>1.3567181482E-2</v>
      </c>
      <c r="CE148">
        <v>1.2216726801E-2</v>
      </c>
      <c r="CF148">
        <v>1.2421686325E-2</v>
      </c>
      <c r="CG148">
        <v>1.3082773258000001E-2</v>
      </c>
      <c r="CH148">
        <v>1.3258368765E-2</v>
      </c>
      <c r="CI148">
        <v>1.2140815597000001E-2</v>
      </c>
      <c r="CJ148">
        <v>1.2623133369000001E-2</v>
      </c>
      <c r="CK148">
        <v>1.2071122727E-2</v>
      </c>
      <c r="CL148">
        <v>1.2457807455000001E-2</v>
      </c>
      <c r="CM148">
        <v>1.2100084856999999E-2</v>
      </c>
      <c r="CN148">
        <v>1.1576026951000001E-2</v>
      </c>
      <c r="CO148">
        <v>1.1565969257E-2</v>
      </c>
      <c r="CP148">
        <v>1.2444872730000001E-2</v>
      </c>
      <c r="CQ148">
        <v>1.1984620777E-2</v>
      </c>
      <c r="CR148">
        <v>1.1566306903E-2</v>
      </c>
      <c r="CS148">
        <v>1.2285449754E-2</v>
      </c>
      <c r="CT148">
        <v>1.1537688173000001E-2</v>
      </c>
      <c r="CU148">
        <v>1.0518876056E-2</v>
      </c>
      <c r="CV148">
        <v>1.0424352384E-2</v>
      </c>
      <c r="CW148">
        <v>1.0268732645999999E-2</v>
      </c>
      <c r="CX148">
        <v>1.1817271194000001E-2</v>
      </c>
      <c r="CY148">
        <v>1.1407915818E-2</v>
      </c>
      <c r="CZ148">
        <v>1.1382737617E-2</v>
      </c>
      <c r="DA148">
        <v>1.1570477248E-2</v>
      </c>
      <c r="DB148">
        <v>1.1819249275999999E-2</v>
      </c>
      <c r="DC148">
        <v>1.203588173E-2</v>
      </c>
      <c r="DD148">
        <v>1.1754536645999999E-2</v>
      </c>
      <c r="DE148">
        <v>1.2370908538E-2</v>
      </c>
      <c r="DF148">
        <v>1.1922802487000001E-2</v>
      </c>
      <c r="DG148">
        <v>1.1323748303E-2</v>
      </c>
      <c r="DH148">
        <v>1.1393973529E-2</v>
      </c>
      <c r="DI148">
        <v>1.2227344992000001E-2</v>
      </c>
      <c r="DJ148">
        <v>1.2076266161E-2</v>
      </c>
      <c r="DK148">
        <v>1.1250538653999999E-2</v>
      </c>
      <c r="DL148">
        <v>1.1080860079000001E-2</v>
      </c>
      <c r="DM148">
        <v>1.1669269207E-2</v>
      </c>
      <c r="DN148">
        <v>1.2673302911E-2</v>
      </c>
      <c r="DO148">
        <v>1.2256272186E-2</v>
      </c>
      <c r="DP148">
        <v>1.1873167463E-2</v>
      </c>
      <c r="DQ148">
        <v>1.3060681938E-2</v>
      </c>
      <c r="DR148">
        <v>1.2251545689E-2</v>
      </c>
      <c r="DS148">
        <v>1.242632613E-2</v>
      </c>
      <c r="DT148">
        <v>1.1630891274000001E-2</v>
      </c>
      <c r="DU148">
        <v>1.2472408829E-2</v>
      </c>
      <c r="DV148">
        <v>1.2000887490000001E-2</v>
      </c>
      <c r="DW148">
        <v>1.1969304468E-2</v>
      </c>
      <c r="DX148">
        <v>1.1624416881000001E-2</v>
      </c>
      <c r="DY148">
        <v>1.2643378518999999E-2</v>
      </c>
      <c r="DZ148">
        <v>1.1813937211000001E-2</v>
      </c>
      <c r="EA148">
        <v>1.2624425324E-2</v>
      </c>
      <c r="EB148">
        <v>1.2350697458E-2</v>
      </c>
      <c r="EC148">
        <v>1.2549442446E-2</v>
      </c>
      <c r="ED148">
        <v>1.2710432783000001E-2</v>
      </c>
      <c r="EE148">
        <v>1.3290469737E-2</v>
      </c>
      <c r="EF148">
        <v>1.2756333283E-2</v>
      </c>
      <c r="EG148">
        <v>1.3127567680999999E-2</v>
      </c>
      <c r="EH148">
        <v>1.3620675784000001E-2</v>
      </c>
      <c r="EI148">
        <v>1.2822072379E-2</v>
      </c>
      <c r="EJ148">
        <v>1.2878879540999999E-2</v>
      </c>
      <c r="EK148">
        <v>1.3252874519999999E-2</v>
      </c>
      <c r="EL148">
        <v>1.3620675784000001E-2</v>
      </c>
      <c r="EM148">
        <v>1.2822072379E-2</v>
      </c>
      <c r="EN148">
        <v>1.2878879540999999E-2</v>
      </c>
      <c r="EO148">
        <v>1.3252874519999999E-2</v>
      </c>
      <c r="EP148">
        <v>1.3620675784000001E-2</v>
      </c>
      <c r="EQ148">
        <v>1.2822072379E-2</v>
      </c>
      <c r="ER148">
        <v>1.2878879540999999E-2</v>
      </c>
      <c r="ES148">
        <v>1.3252874519999999E-2</v>
      </c>
      <c r="ET148">
        <v>1.3620675784000001E-2</v>
      </c>
      <c r="EU148">
        <v>1.2822072379E-2</v>
      </c>
      <c r="EV148">
        <v>1.2878879540999999E-2</v>
      </c>
      <c r="EW148">
        <v>1.3252874519999999E-2</v>
      </c>
      <c r="EX148">
        <v>1.3620675784000001E-2</v>
      </c>
      <c r="EY148">
        <v>1.2822072379E-2</v>
      </c>
      <c r="EZ148">
        <v>1.2878879540999999E-2</v>
      </c>
      <c r="FA148">
        <v>1.3252874519999999E-2</v>
      </c>
      <c r="FB148">
        <v>1.3620675784000001E-2</v>
      </c>
      <c r="FC148">
        <v>1.2822072379E-2</v>
      </c>
      <c r="FD148">
        <v>1.2878879540999999E-2</v>
      </c>
      <c r="FE148">
        <v>1.3252874519999999E-2</v>
      </c>
    </row>
    <row r="149" spans="2:161">
      <c r="B149" t="s">
        <v>769</v>
      </c>
      <c r="C149" t="s">
        <v>770</v>
      </c>
      <c r="G149">
        <v>1.1644601902E-2</v>
      </c>
      <c r="H149">
        <v>1.0893416927999999E-2</v>
      </c>
      <c r="I149">
        <v>1.054454648E-2</v>
      </c>
      <c r="J149">
        <v>1.0864838749000001E-2</v>
      </c>
      <c r="K149">
        <v>1.1029358984000001E-2</v>
      </c>
      <c r="L149">
        <v>1.0603158167E-2</v>
      </c>
      <c r="M149">
        <v>1.1125803564E-2</v>
      </c>
      <c r="N149">
        <v>1.2313621936E-2</v>
      </c>
      <c r="O149">
        <v>1.3762964689E-2</v>
      </c>
      <c r="P149">
        <v>1.4328861633E-2</v>
      </c>
      <c r="Q149">
        <v>1.2830603516000001E-2</v>
      </c>
      <c r="R149">
        <v>1.2563575025000001E-2</v>
      </c>
      <c r="S149">
        <v>1.1988766017E-2</v>
      </c>
      <c r="T149">
        <v>1.2113296316E-2</v>
      </c>
      <c r="U149">
        <v>1.0768885181E-2</v>
      </c>
      <c r="V149">
        <v>1.1582320452E-2</v>
      </c>
      <c r="W149">
        <v>1.1982951917999999E-2</v>
      </c>
      <c r="X149">
        <v>1.1750974228E-2</v>
      </c>
      <c r="Y149">
        <v>1.1586092383999999E-2</v>
      </c>
      <c r="Z149">
        <v>1.2502049067999999E-2</v>
      </c>
      <c r="AA149">
        <v>1.2206513093E-2</v>
      </c>
      <c r="AB149">
        <v>1.2060771743E-2</v>
      </c>
      <c r="AC149">
        <v>1.2300768358E-2</v>
      </c>
      <c r="AD149">
        <v>1.2956384978E-2</v>
      </c>
      <c r="AE149">
        <v>1.3182382586E-2</v>
      </c>
      <c r="AF149">
        <v>1.3186444784999999E-2</v>
      </c>
      <c r="AG149">
        <v>1.3189630765E-2</v>
      </c>
      <c r="AH149">
        <v>1.3184768580000001E-2</v>
      </c>
      <c r="AI149">
        <v>1.3187658541E-2</v>
      </c>
      <c r="AJ149">
        <v>1.3187829905E-2</v>
      </c>
      <c r="AP149">
        <v>1.6186693148E-2</v>
      </c>
      <c r="AQ149">
        <v>1.2403913347000001E-2</v>
      </c>
      <c r="AR149">
        <v>9.3220338979999994E-3</v>
      </c>
      <c r="AS149">
        <v>1.0103448276E-2</v>
      </c>
      <c r="AT149">
        <v>1.32E-2</v>
      </c>
      <c r="AU149">
        <v>1.220735786E-2</v>
      </c>
      <c r="AV149">
        <v>9.6221133659999993E-3</v>
      </c>
      <c r="AW149">
        <v>8.5932085929999995E-3</v>
      </c>
      <c r="AX149">
        <v>1.1922554348E-2</v>
      </c>
      <c r="AY149">
        <v>1.1457627119000001E-2</v>
      </c>
      <c r="AZ149">
        <v>9.6116504849999996E-3</v>
      </c>
      <c r="BA149">
        <v>9.4169096210000008E-3</v>
      </c>
      <c r="BB149">
        <v>1.2936191426000001E-2</v>
      </c>
      <c r="BC149">
        <v>1.1760083814E-2</v>
      </c>
      <c r="BD149">
        <v>1.0129096326E-2</v>
      </c>
      <c r="BE149">
        <v>8.9999999999999993E-3</v>
      </c>
      <c r="BF149">
        <v>1.2134670487E-2</v>
      </c>
      <c r="BG149">
        <v>1.0869565217000001E-2</v>
      </c>
      <c r="BH149">
        <v>1.0539772726999999E-2</v>
      </c>
      <c r="BI149">
        <v>1.0589994562E-2</v>
      </c>
      <c r="BJ149">
        <v>1.0801878588E-2</v>
      </c>
      <c r="BK149">
        <v>1.1080523056E-2</v>
      </c>
      <c r="BL149">
        <v>1.0297482837999999E-2</v>
      </c>
      <c r="BM149">
        <v>1.0212941906E-2</v>
      </c>
      <c r="BN149">
        <v>1.2017408395E-2</v>
      </c>
      <c r="BO149">
        <v>1.1842603102999999E-2</v>
      </c>
      <c r="BP149">
        <v>1.0479956858E-2</v>
      </c>
      <c r="BQ149">
        <v>1.0134726007E-2</v>
      </c>
      <c r="BR149">
        <v>1.2708533078E-2</v>
      </c>
      <c r="BS149">
        <v>1.1177944862E-2</v>
      </c>
      <c r="BT149">
        <v>1.0778997487E-2</v>
      </c>
      <c r="BU149">
        <v>1.375E-2</v>
      </c>
      <c r="BV149">
        <v>1.5088383838E-2</v>
      </c>
      <c r="BW149">
        <v>1.36778952E-2</v>
      </c>
      <c r="BX149">
        <v>1.2867269365E-2</v>
      </c>
      <c r="BY149">
        <v>1.3250593922E-2</v>
      </c>
      <c r="BZ149">
        <v>1.6017343619999999E-2</v>
      </c>
      <c r="CA149">
        <v>1.5001111193000001E-2</v>
      </c>
      <c r="CB149">
        <v>1.3248407643000001E-2</v>
      </c>
      <c r="CC149">
        <v>1.3414933884E-2</v>
      </c>
      <c r="CD149">
        <v>1.3567181482E-2</v>
      </c>
      <c r="CE149">
        <v>1.2216726801E-2</v>
      </c>
      <c r="CF149">
        <v>1.2421686325E-2</v>
      </c>
      <c r="CG149">
        <v>1.3082773258000001E-2</v>
      </c>
      <c r="CH149">
        <v>1.3258368765E-2</v>
      </c>
      <c r="CI149">
        <v>1.2140815597000001E-2</v>
      </c>
      <c r="CJ149">
        <v>1.2623133369000001E-2</v>
      </c>
      <c r="CK149">
        <v>1.2071122727E-2</v>
      </c>
      <c r="CL149">
        <v>1.2457807455000001E-2</v>
      </c>
      <c r="CM149">
        <v>1.2100084856999999E-2</v>
      </c>
      <c r="CN149">
        <v>1.1576026951000001E-2</v>
      </c>
      <c r="CO149">
        <v>1.1565969257E-2</v>
      </c>
      <c r="CP149">
        <v>1.2444872730000001E-2</v>
      </c>
      <c r="CQ149">
        <v>1.1984620777E-2</v>
      </c>
      <c r="CR149">
        <v>1.1566306903E-2</v>
      </c>
      <c r="CS149">
        <v>1.2285449754E-2</v>
      </c>
      <c r="CT149">
        <v>1.1537688173000001E-2</v>
      </c>
      <c r="CU149">
        <v>1.0518876056E-2</v>
      </c>
      <c r="CV149">
        <v>1.0424352384E-2</v>
      </c>
      <c r="CW149">
        <v>1.0268732645999999E-2</v>
      </c>
      <c r="CX149">
        <v>1.1817271194000001E-2</v>
      </c>
      <c r="CY149">
        <v>1.1407915818E-2</v>
      </c>
      <c r="CZ149">
        <v>1.1382737617E-2</v>
      </c>
      <c r="DA149">
        <v>1.1570477248E-2</v>
      </c>
      <c r="DB149">
        <v>1.1819249275999999E-2</v>
      </c>
      <c r="DC149">
        <v>1.203588173E-2</v>
      </c>
      <c r="DD149">
        <v>1.1754536645999999E-2</v>
      </c>
      <c r="DE149">
        <v>1.2370908538E-2</v>
      </c>
      <c r="DF149">
        <v>1.1922802487000001E-2</v>
      </c>
      <c r="DG149">
        <v>1.1323748303E-2</v>
      </c>
      <c r="DH149">
        <v>1.1393973529E-2</v>
      </c>
      <c r="DI149">
        <v>1.2227344992000001E-2</v>
      </c>
      <c r="DJ149">
        <v>1.2076266161E-2</v>
      </c>
      <c r="DK149">
        <v>1.1250538653999999E-2</v>
      </c>
      <c r="DL149">
        <v>1.1080860079000001E-2</v>
      </c>
      <c r="DM149">
        <v>1.1669269207E-2</v>
      </c>
      <c r="DN149">
        <v>1.2673302911E-2</v>
      </c>
      <c r="DO149">
        <v>1.2256272186E-2</v>
      </c>
      <c r="DP149">
        <v>1.1873167463E-2</v>
      </c>
      <c r="DQ149">
        <v>1.3060681938E-2</v>
      </c>
      <c r="DR149">
        <v>1.2251545689E-2</v>
      </c>
      <c r="DS149">
        <v>1.242632613E-2</v>
      </c>
      <c r="DT149">
        <v>1.1630891274000001E-2</v>
      </c>
      <c r="DU149">
        <v>1.2472408829E-2</v>
      </c>
      <c r="DV149">
        <v>1.2000887490000001E-2</v>
      </c>
      <c r="DW149">
        <v>1.1969304468E-2</v>
      </c>
      <c r="DX149">
        <v>1.1624416881000001E-2</v>
      </c>
      <c r="DY149">
        <v>1.2643378518999999E-2</v>
      </c>
      <c r="DZ149">
        <v>1.1813937211000001E-2</v>
      </c>
      <c r="EA149">
        <v>1.2624425324E-2</v>
      </c>
      <c r="EB149">
        <v>1.2350697458E-2</v>
      </c>
      <c r="EC149">
        <v>1.2549442446E-2</v>
      </c>
      <c r="ED149">
        <v>1.2710432783000001E-2</v>
      </c>
      <c r="EE149">
        <v>1.3290469737E-2</v>
      </c>
      <c r="EF149">
        <v>1.2756333283E-2</v>
      </c>
      <c r="EG149">
        <v>1.3127567680999999E-2</v>
      </c>
      <c r="EH149">
        <v>1.3620675784000001E-2</v>
      </c>
      <c r="EI149">
        <v>1.2822072379E-2</v>
      </c>
      <c r="EJ149">
        <v>1.2878879540999999E-2</v>
      </c>
      <c r="EK149">
        <v>1.3252874519999999E-2</v>
      </c>
      <c r="EL149">
        <v>1.3620675784000001E-2</v>
      </c>
      <c r="EM149">
        <v>1.2822072379E-2</v>
      </c>
      <c r="EN149">
        <v>1.2878879540999999E-2</v>
      </c>
      <c r="EO149">
        <v>1.3252874519999999E-2</v>
      </c>
      <c r="EP149">
        <v>1.3620675784000001E-2</v>
      </c>
      <c r="EQ149">
        <v>1.2822072379E-2</v>
      </c>
      <c r="ER149">
        <v>1.2878879540999999E-2</v>
      </c>
      <c r="ES149">
        <v>1.3252874519999999E-2</v>
      </c>
      <c r="ET149">
        <v>1.3620675784000001E-2</v>
      </c>
      <c r="EU149">
        <v>1.2822072379E-2</v>
      </c>
      <c r="EV149">
        <v>1.2878879540999999E-2</v>
      </c>
      <c r="EW149">
        <v>1.3252874519999999E-2</v>
      </c>
      <c r="EX149">
        <v>1.3620675784000001E-2</v>
      </c>
      <c r="EY149">
        <v>1.2822072379E-2</v>
      </c>
      <c r="EZ149">
        <v>1.2878879540999999E-2</v>
      </c>
      <c r="FA149">
        <v>1.3252874519999999E-2</v>
      </c>
      <c r="FB149">
        <v>1.3620675784000001E-2</v>
      </c>
      <c r="FC149">
        <v>1.2822072379E-2</v>
      </c>
      <c r="FD149">
        <v>1.2878879540999999E-2</v>
      </c>
      <c r="FE149">
        <v>1.3252874519999999E-2</v>
      </c>
    </row>
    <row r="150" spans="2:161">
      <c r="B150" t="s">
        <v>771</v>
      </c>
      <c r="C150" t="s">
        <v>772</v>
      </c>
      <c r="G150">
        <v>1.1644601902E-2</v>
      </c>
      <c r="H150">
        <v>1.0893416927999999E-2</v>
      </c>
      <c r="I150">
        <v>1.054454648E-2</v>
      </c>
      <c r="J150">
        <v>1.0864838749000001E-2</v>
      </c>
      <c r="K150">
        <v>1.1029358984000001E-2</v>
      </c>
      <c r="L150">
        <v>1.0603158167E-2</v>
      </c>
      <c r="M150">
        <v>1.1125803564E-2</v>
      </c>
      <c r="N150">
        <v>1.2313621936E-2</v>
      </c>
      <c r="O150">
        <v>1.3762964689E-2</v>
      </c>
      <c r="P150">
        <v>1.4328861633E-2</v>
      </c>
      <c r="Q150">
        <v>1.2830603516000001E-2</v>
      </c>
      <c r="R150">
        <v>1.2563575025000001E-2</v>
      </c>
      <c r="S150">
        <v>1.1988766017E-2</v>
      </c>
      <c r="T150">
        <v>1.2113296316E-2</v>
      </c>
      <c r="U150">
        <v>1.0768885181E-2</v>
      </c>
      <c r="V150">
        <v>1.1582320452E-2</v>
      </c>
      <c r="W150">
        <v>1.1982951917999999E-2</v>
      </c>
      <c r="X150">
        <v>1.1750974228E-2</v>
      </c>
      <c r="Y150">
        <v>1.1586092383999999E-2</v>
      </c>
      <c r="Z150">
        <v>1.2502049067999999E-2</v>
      </c>
      <c r="AA150">
        <v>1.2206513093E-2</v>
      </c>
      <c r="AB150">
        <v>1.2060771743E-2</v>
      </c>
      <c r="AC150">
        <v>1.2300768358E-2</v>
      </c>
      <c r="AD150">
        <v>1.2956384978E-2</v>
      </c>
      <c r="AE150">
        <v>1.3182382586E-2</v>
      </c>
      <c r="AF150">
        <v>1.3186444784999999E-2</v>
      </c>
      <c r="AG150">
        <v>1.3189630765E-2</v>
      </c>
      <c r="AH150">
        <v>1.3184768580000001E-2</v>
      </c>
      <c r="AI150">
        <v>1.3187658541E-2</v>
      </c>
      <c r="AJ150">
        <v>1.3187829905E-2</v>
      </c>
      <c r="AP150">
        <v>1.6186693148E-2</v>
      </c>
      <c r="AQ150">
        <v>1.2403913347000001E-2</v>
      </c>
      <c r="AR150">
        <v>9.3220338979999994E-3</v>
      </c>
      <c r="AS150">
        <v>1.0103448276E-2</v>
      </c>
      <c r="AT150">
        <v>1.32E-2</v>
      </c>
      <c r="AU150">
        <v>1.220735786E-2</v>
      </c>
      <c r="AV150">
        <v>9.6221133659999993E-3</v>
      </c>
      <c r="AW150">
        <v>8.5932085929999995E-3</v>
      </c>
      <c r="AX150">
        <v>1.1922554348E-2</v>
      </c>
      <c r="AY150">
        <v>1.1457627119000001E-2</v>
      </c>
      <c r="AZ150">
        <v>9.6116504849999996E-3</v>
      </c>
      <c r="BA150">
        <v>9.4169096210000008E-3</v>
      </c>
      <c r="BB150">
        <v>1.2936191426000001E-2</v>
      </c>
      <c r="BC150">
        <v>1.1760083814E-2</v>
      </c>
      <c r="BD150">
        <v>1.0129096326E-2</v>
      </c>
      <c r="BE150">
        <v>8.9999999999999993E-3</v>
      </c>
      <c r="BF150">
        <v>1.2134670487E-2</v>
      </c>
      <c r="BG150">
        <v>1.0869565217000001E-2</v>
      </c>
      <c r="BH150">
        <v>1.0539772726999999E-2</v>
      </c>
      <c r="BI150">
        <v>1.0589994562E-2</v>
      </c>
      <c r="BJ150">
        <v>1.0801878588E-2</v>
      </c>
      <c r="BK150">
        <v>1.1080523056E-2</v>
      </c>
      <c r="BL150">
        <v>1.0297482837999999E-2</v>
      </c>
      <c r="BM150">
        <v>1.0212941906E-2</v>
      </c>
      <c r="BN150">
        <v>1.2017408395E-2</v>
      </c>
      <c r="BO150">
        <v>1.1842603102999999E-2</v>
      </c>
      <c r="BP150">
        <v>1.0479956858E-2</v>
      </c>
      <c r="BQ150">
        <v>1.0134726007E-2</v>
      </c>
      <c r="BR150">
        <v>1.2708533078E-2</v>
      </c>
      <c r="BS150">
        <v>1.1177944862E-2</v>
      </c>
      <c r="BT150">
        <v>1.0778997487E-2</v>
      </c>
      <c r="BU150">
        <v>1.375E-2</v>
      </c>
      <c r="BV150">
        <v>1.5088383838E-2</v>
      </c>
      <c r="BW150">
        <v>1.36778952E-2</v>
      </c>
      <c r="BX150">
        <v>1.2867269365E-2</v>
      </c>
      <c r="BY150">
        <v>1.3250593922E-2</v>
      </c>
      <c r="BZ150">
        <v>1.6017343619999999E-2</v>
      </c>
      <c r="CA150">
        <v>1.5001111193000001E-2</v>
      </c>
      <c r="CB150">
        <v>1.3248407643000001E-2</v>
      </c>
      <c r="CC150">
        <v>1.3414933884E-2</v>
      </c>
      <c r="CD150">
        <v>1.3567181482E-2</v>
      </c>
      <c r="CE150">
        <v>1.2216726801E-2</v>
      </c>
      <c r="CF150">
        <v>1.2421686325E-2</v>
      </c>
      <c r="CG150">
        <v>1.3082773258000001E-2</v>
      </c>
      <c r="CH150">
        <v>1.3258368765E-2</v>
      </c>
      <c r="CI150">
        <v>1.2140815597000001E-2</v>
      </c>
      <c r="CJ150">
        <v>1.2623133369000001E-2</v>
      </c>
      <c r="CK150">
        <v>1.2071122727E-2</v>
      </c>
      <c r="CL150">
        <v>1.2457807455000001E-2</v>
      </c>
      <c r="CM150">
        <v>1.2100084856999999E-2</v>
      </c>
      <c r="CN150">
        <v>1.1576026951000001E-2</v>
      </c>
      <c r="CO150">
        <v>1.1565969257E-2</v>
      </c>
      <c r="CP150">
        <v>1.2444872730000001E-2</v>
      </c>
      <c r="CQ150">
        <v>1.1984620777E-2</v>
      </c>
      <c r="CR150">
        <v>1.1566306903E-2</v>
      </c>
      <c r="CS150">
        <v>1.2285449754E-2</v>
      </c>
      <c r="CT150">
        <v>1.1537688173000001E-2</v>
      </c>
      <c r="CU150">
        <v>1.0518876056E-2</v>
      </c>
      <c r="CV150">
        <v>1.0424352384E-2</v>
      </c>
      <c r="CW150">
        <v>1.0268732645999999E-2</v>
      </c>
      <c r="CX150">
        <v>1.1817271194000001E-2</v>
      </c>
      <c r="CY150">
        <v>1.1407915818E-2</v>
      </c>
      <c r="CZ150">
        <v>1.1382737617E-2</v>
      </c>
      <c r="DA150">
        <v>1.1570477248E-2</v>
      </c>
      <c r="DB150">
        <v>1.1819249275999999E-2</v>
      </c>
      <c r="DC150">
        <v>1.203588173E-2</v>
      </c>
      <c r="DD150">
        <v>1.1754536645999999E-2</v>
      </c>
      <c r="DE150">
        <v>1.2370908538E-2</v>
      </c>
      <c r="DF150">
        <v>1.1922802487000001E-2</v>
      </c>
      <c r="DG150">
        <v>1.1323748303E-2</v>
      </c>
      <c r="DH150">
        <v>1.1393973529E-2</v>
      </c>
      <c r="DI150">
        <v>1.2227344992000001E-2</v>
      </c>
      <c r="DJ150">
        <v>1.2076266161E-2</v>
      </c>
      <c r="DK150">
        <v>1.1250538653999999E-2</v>
      </c>
      <c r="DL150">
        <v>1.1080860079000001E-2</v>
      </c>
      <c r="DM150">
        <v>1.1669269207E-2</v>
      </c>
      <c r="DN150">
        <v>1.2673302911E-2</v>
      </c>
      <c r="DO150">
        <v>1.2256272186E-2</v>
      </c>
      <c r="DP150">
        <v>1.1873167463E-2</v>
      </c>
      <c r="DQ150">
        <v>1.3060681938E-2</v>
      </c>
      <c r="DR150">
        <v>1.2251545689E-2</v>
      </c>
      <c r="DS150">
        <v>1.242632613E-2</v>
      </c>
      <c r="DT150">
        <v>1.1630891274000001E-2</v>
      </c>
      <c r="DU150">
        <v>1.2472408829E-2</v>
      </c>
      <c r="DV150">
        <v>1.2000887490000001E-2</v>
      </c>
      <c r="DW150">
        <v>1.1969304468E-2</v>
      </c>
      <c r="DX150">
        <v>1.1624416881000001E-2</v>
      </c>
      <c r="DY150">
        <v>1.2643378518999999E-2</v>
      </c>
      <c r="DZ150">
        <v>1.1813937211000001E-2</v>
      </c>
      <c r="EA150">
        <v>1.2624425324E-2</v>
      </c>
      <c r="EB150">
        <v>1.2350697458E-2</v>
      </c>
      <c r="EC150">
        <v>1.2549442446E-2</v>
      </c>
      <c r="ED150">
        <v>1.2710432783000001E-2</v>
      </c>
      <c r="EE150">
        <v>1.3290469737E-2</v>
      </c>
      <c r="EF150">
        <v>1.2756333283E-2</v>
      </c>
      <c r="EG150">
        <v>1.3127567680999999E-2</v>
      </c>
      <c r="EH150">
        <v>1.3620675784000001E-2</v>
      </c>
      <c r="EI150">
        <v>1.2822072379E-2</v>
      </c>
      <c r="EJ150">
        <v>1.2878879540999999E-2</v>
      </c>
      <c r="EK150">
        <v>1.3252874519999999E-2</v>
      </c>
      <c r="EL150">
        <v>1.3620675784000001E-2</v>
      </c>
      <c r="EM150">
        <v>1.2822072379E-2</v>
      </c>
      <c r="EN150">
        <v>1.2878879540999999E-2</v>
      </c>
      <c r="EO150">
        <v>1.3252874519999999E-2</v>
      </c>
      <c r="EP150">
        <v>1.3620675784000001E-2</v>
      </c>
      <c r="EQ150">
        <v>1.2822072379E-2</v>
      </c>
      <c r="ER150">
        <v>1.2878879540999999E-2</v>
      </c>
      <c r="ES150">
        <v>1.3252874519999999E-2</v>
      </c>
      <c r="ET150">
        <v>1.3620675784000001E-2</v>
      </c>
      <c r="EU150">
        <v>1.2822072379E-2</v>
      </c>
      <c r="EV150">
        <v>1.2878879540999999E-2</v>
      </c>
      <c r="EW150">
        <v>1.3252874519999999E-2</v>
      </c>
      <c r="EX150">
        <v>1.3620675784000001E-2</v>
      </c>
      <c r="EY150">
        <v>1.2822072379E-2</v>
      </c>
      <c r="EZ150">
        <v>1.2878879540999999E-2</v>
      </c>
      <c r="FA150">
        <v>1.3252874519999999E-2</v>
      </c>
      <c r="FB150">
        <v>1.3620675784000001E-2</v>
      </c>
      <c r="FC150">
        <v>1.2822072379E-2</v>
      </c>
      <c r="FD150">
        <v>1.2878879540999999E-2</v>
      </c>
      <c r="FE150">
        <v>1.3252874519999999E-2</v>
      </c>
    </row>
    <row r="151" spans="2:161">
      <c r="B151" t="s">
        <v>457</v>
      </c>
      <c r="C151" t="s">
        <v>458</v>
      </c>
      <c r="G151">
        <v>2.3289203804E-2</v>
      </c>
      <c r="H151">
        <v>2.1786833855999999E-2</v>
      </c>
      <c r="I151">
        <v>2.108909296E-2</v>
      </c>
      <c r="J151">
        <v>2.1729677497E-2</v>
      </c>
      <c r="K151">
        <v>2.2058717966999999E-2</v>
      </c>
      <c r="L151">
        <v>2.1206316334000001E-2</v>
      </c>
      <c r="M151">
        <v>2.2251607127999999E-2</v>
      </c>
      <c r="N151">
        <v>2.4627243872E-2</v>
      </c>
      <c r="O151">
        <v>2.7525929378999999E-2</v>
      </c>
      <c r="P151">
        <v>2.8657723265999999E-2</v>
      </c>
      <c r="Q151">
        <v>2.5661207032000002E-2</v>
      </c>
      <c r="R151">
        <v>2.5127150050000002E-2</v>
      </c>
      <c r="S151">
        <v>2.3977532034E-2</v>
      </c>
      <c r="T151">
        <v>2.4226592631E-2</v>
      </c>
      <c r="U151">
        <v>2.1537770360999998E-2</v>
      </c>
      <c r="V151">
        <v>2.3164640904E-2</v>
      </c>
      <c r="W151">
        <v>2.3965903835999999E-2</v>
      </c>
      <c r="X151">
        <v>2.3501948455000001E-2</v>
      </c>
      <c r="Y151">
        <v>2.3172184769000001E-2</v>
      </c>
      <c r="Z151">
        <v>2.5004098137000001E-2</v>
      </c>
      <c r="AA151">
        <v>2.4413026184999999E-2</v>
      </c>
      <c r="AB151">
        <v>2.4121543487000002E-2</v>
      </c>
      <c r="AC151">
        <v>2.4601536715E-2</v>
      </c>
      <c r="AD151">
        <v>2.5912769956999999E-2</v>
      </c>
      <c r="AE151">
        <v>2.6364416769999999E-2</v>
      </c>
      <c r="AF151">
        <v>2.6373140903000001E-2</v>
      </c>
      <c r="AG151">
        <v>2.6379634382999999E-2</v>
      </c>
      <c r="AH151">
        <v>2.6369537160000001E-2</v>
      </c>
      <c r="AI151">
        <v>2.6376057907999999E-2</v>
      </c>
      <c r="AJ151">
        <v>2.637565981E-2</v>
      </c>
      <c r="AP151">
        <v>3.2373386295999999E-2</v>
      </c>
      <c r="AQ151">
        <v>2.4807826695E-2</v>
      </c>
      <c r="AR151">
        <v>1.8644067797000001E-2</v>
      </c>
      <c r="AS151">
        <v>2.0206896552E-2</v>
      </c>
      <c r="AT151">
        <v>2.64E-2</v>
      </c>
      <c r="AU151">
        <v>2.4414715718999998E-2</v>
      </c>
      <c r="AV151">
        <v>1.9244226731999999E-2</v>
      </c>
      <c r="AW151">
        <v>1.7186417185999999E-2</v>
      </c>
      <c r="AX151">
        <v>2.3845108696000001E-2</v>
      </c>
      <c r="AY151">
        <v>2.2915254236999999E-2</v>
      </c>
      <c r="AZ151">
        <v>1.9223300971000001E-2</v>
      </c>
      <c r="BA151">
        <v>1.8833819242000002E-2</v>
      </c>
      <c r="BB151">
        <v>2.5872382850999999E-2</v>
      </c>
      <c r="BC151">
        <v>2.3520167626999999E-2</v>
      </c>
      <c r="BD151">
        <v>2.0258192651000002E-2</v>
      </c>
      <c r="BE151">
        <v>1.7999999999999999E-2</v>
      </c>
      <c r="BF151">
        <v>2.4269340973999999E-2</v>
      </c>
      <c r="BG151">
        <v>2.1739130435E-2</v>
      </c>
      <c r="BH151">
        <v>2.1079545455000001E-2</v>
      </c>
      <c r="BI151">
        <v>2.1179989125E-2</v>
      </c>
      <c r="BJ151">
        <v>2.1603757174999998E-2</v>
      </c>
      <c r="BK151">
        <v>2.2161046111000001E-2</v>
      </c>
      <c r="BL151">
        <v>2.0594965675E-2</v>
      </c>
      <c r="BM151">
        <v>2.0425883812000001E-2</v>
      </c>
      <c r="BN151">
        <v>2.4034816790999999E-2</v>
      </c>
      <c r="BO151">
        <v>2.3685206205E-2</v>
      </c>
      <c r="BP151">
        <v>2.0959913715999999E-2</v>
      </c>
      <c r="BQ151">
        <v>2.0269452013000001E-2</v>
      </c>
      <c r="BR151">
        <v>2.5417066155000001E-2</v>
      </c>
      <c r="BS151">
        <v>2.2355889723999999E-2</v>
      </c>
      <c r="BT151">
        <v>2.1557994973999999E-2</v>
      </c>
      <c r="BU151">
        <v>2.75E-2</v>
      </c>
      <c r="BV151">
        <v>3.0176767677000001E-2</v>
      </c>
      <c r="BW151">
        <v>2.7355790400999998E-2</v>
      </c>
      <c r="BX151">
        <v>2.5734538729999999E-2</v>
      </c>
      <c r="BY151">
        <v>2.6501187842999999E-2</v>
      </c>
      <c r="BZ151">
        <v>3.2034687240999997E-2</v>
      </c>
      <c r="CA151">
        <v>3.0002222387E-2</v>
      </c>
      <c r="CB151">
        <v>2.6496815287E-2</v>
      </c>
      <c r="CC151">
        <v>2.6829867768000001E-2</v>
      </c>
      <c r="CD151">
        <v>2.7134362963000001E-2</v>
      </c>
      <c r="CE151">
        <v>2.4433453601999999E-2</v>
      </c>
      <c r="CF151">
        <v>2.4843372650999999E-2</v>
      </c>
      <c r="CG151">
        <v>2.6165546516000001E-2</v>
      </c>
      <c r="CH151">
        <v>2.6516737530000001E-2</v>
      </c>
      <c r="CI151">
        <v>2.4281631195E-2</v>
      </c>
      <c r="CJ151">
        <v>2.5246266739E-2</v>
      </c>
      <c r="CK151">
        <v>2.4142245454E-2</v>
      </c>
      <c r="CL151">
        <v>2.4915614910000002E-2</v>
      </c>
      <c r="CM151">
        <v>2.4200169713E-2</v>
      </c>
      <c r="CN151">
        <v>2.3152053903E-2</v>
      </c>
      <c r="CO151">
        <v>2.3131938514E-2</v>
      </c>
      <c r="CP151">
        <v>2.4889745460000001E-2</v>
      </c>
      <c r="CQ151">
        <v>2.3969241555E-2</v>
      </c>
      <c r="CR151">
        <v>2.3132613805999999E-2</v>
      </c>
      <c r="CS151">
        <v>2.4570899508999999E-2</v>
      </c>
      <c r="CT151">
        <v>2.3075376346000001E-2</v>
      </c>
      <c r="CU151">
        <v>2.1037752111999999E-2</v>
      </c>
      <c r="CV151">
        <v>2.0848704768E-2</v>
      </c>
      <c r="CW151">
        <v>2.0537465291999998E-2</v>
      </c>
      <c r="CX151">
        <v>2.3634542386999999E-2</v>
      </c>
      <c r="CY151">
        <v>2.2815831636000001E-2</v>
      </c>
      <c r="CZ151">
        <v>2.2765475234999999E-2</v>
      </c>
      <c r="DA151">
        <v>2.3140954495000001E-2</v>
      </c>
      <c r="DB151">
        <v>2.3638498551E-2</v>
      </c>
      <c r="DC151">
        <v>2.4071763459999999E-2</v>
      </c>
      <c r="DD151">
        <v>2.3509073291E-2</v>
      </c>
      <c r="DE151">
        <v>2.4741817074999999E-2</v>
      </c>
      <c r="DF151">
        <v>2.3845604974000002E-2</v>
      </c>
      <c r="DG151">
        <v>2.2647496606E-2</v>
      </c>
      <c r="DH151">
        <v>2.2787947057000001E-2</v>
      </c>
      <c r="DI151">
        <v>2.4454689984000001E-2</v>
      </c>
      <c r="DJ151">
        <v>2.4152532320999998E-2</v>
      </c>
      <c r="DK151">
        <v>2.2501077307999998E-2</v>
      </c>
      <c r="DL151">
        <v>2.2161720158000001E-2</v>
      </c>
      <c r="DM151">
        <v>2.3338538413000001E-2</v>
      </c>
      <c r="DN151">
        <v>2.5346605822000001E-2</v>
      </c>
      <c r="DO151">
        <v>2.4512544373E-2</v>
      </c>
      <c r="DP151">
        <v>2.3746334925000001E-2</v>
      </c>
      <c r="DQ151">
        <v>2.6121363875000001E-2</v>
      </c>
      <c r="DR151">
        <v>2.4503091376999998E-2</v>
      </c>
      <c r="DS151">
        <v>2.4852652259000001E-2</v>
      </c>
      <c r="DT151">
        <v>2.3261782548000001E-2</v>
      </c>
      <c r="DU151">
        <v>2.4944817657999999E-2</v>
      </c>
      <c r="DV151">
        <v>2.4001774981E-2</v>
      </c>
      <c r="DW151">
        <v>2.3938608935000001E-2</v>
      </c>
      <c r="DX151">
        <v>2.3248833760999999E-2</v>
      </c>
      <c r="DY151">
        <v>2.5286757039000001E-2</v>
      </c>
      <c r="DZ151">
        <v>2.3627874422000001E-2</v>
      </c>
      <c r="EA151">
        <v>2.5248850646999998E-2</v>
      </c>
      <c r="EB151">
        <v>2.4701394916999998E-2</v>
      </c>
      <c r="EC151">
        <v>2.5098884891000001E-2</v>
      </c>
      <c r="ED151">
        <v>2.5420865566000001E-2</v>
      </c>
      <c r="EE151">
        <v>2.6580939473000002E-2</v>
      </c>
      <c r="EF151">
        <v>2.5512666566E-2</v>
      </c>
      <c r="EG151">
        <v>2.6255135363E-2</v>
      </c>
      <c r="EH151">
        <v>2.7241351569E-2</v>
      </c>
      <c r="EI151">
        <v>2.5644144758E-2</v>
      </c>
      <c r="EJ151">
        <v>2.5757094944000001E-2</v>
      </c>
      <c r="EK151">
        <v>2.6505749041000001E-2</v>
      </c>
      <c r="EL151">
        <v>2.7241351569E-2</v>
      </c>
      <c r="EM151">
        <v>2.5644144758E-2</v>
      </c>
      <c r="EN151">
        <v>2.5757094944000001E-2</v>
      </c>
      <c r="EO151">
        <v>2.6505749041000001E-2</v>
      </c>
      <c r="EP151">
        <v>2.7241351569E-2</v>
      </c>
      <c r="EQ151">
        <v>2.5644144758E-2</v>
      </c>
      <c r="ER151">
        <v>2.5757094944000001E-2</v>
      </c>
      <c r="ES151">
        <v>2.6505749041000001E-2</v>
      </c>
      <c r="ET151">
        <v>2.7241351569E-2</v>
      </c>
      <c r="EU151">
        <v>2.5644144758E-2</v>
      </c>
      <c r="EV151">
        <v>2.5757094944000001E-2</v>
      </c>
      <c r="EW151">
        <v>2.6505749041000001E-2</v>
      </c>
      <c r="EX151">
        <v>2.7241351569E-2</v>
      </c>
      <c r="EY151">
        <v>2.5644144758E-2</v>
      </c>
      <c r="EZ151">
        <v>2.5757094944000001E-2</v>
      </c>
      <c r="FA151">
        <v>2.6505749041000001E-2</v>
      </c>
      <c r="FB151">
        <v>2.7241351569E-2</v>
      </c>
      <c r="FC151">
        <v>2.5644144758E-2</v>
      </c>
      <c r="FD151">
        <v>2.5757094944000001E-2</v>
      </c>
      <c r="FE151">
        <v>2.6505749041000001E-2</v>
      </c>
    </row>
    <row r="152" spans="2:161">
      <c r="B152" t="s">
        <v>773</v>
      </c>
      <c r="C152" t="s">
        <v>774</v>
      </c>
      <c r="G152">
        <v>4.8907327988000002E-2</v>
      </c>
      <c r="H152">
        <v>4.5752351097000002E-2</v>
      </c>
      <c r="I152">
        <v>4.4287095215000002E-2</v>
      </c>
      <c r="J152">
        <v>4.5632322744000003E-2</v>
      </c>
      <c r="K152">
        <v>4.6323307730999998E-2</v>
      </c>
      <c r="L152">
        <v>4.4533264301999997E-2</v>
      </c>
      <c r="M152">
        <v>4.6728374969000001E-2</v>
      </c>
      <c r="N152">
        <v>5.1717212131000001E-2</v>
      </c>
      <c r="O152">
        <v>5.7804451696E-2</v>
      </c>
      <c r="P152">
        <v>6.0181218857999999E-2</v>
      </c>
      <c r="Q152">
        <v>5.3888534767E-2</v>
      </c>
      <c r="R152">
        <v>5.2767015105000002E-2</v>
      </c>
      <c r="S152">
        <v>5.0352817272E-2</v>
      </c>
      <c r="T152">
        <v>5.0875844524999998E-2</v>
      </c>
      <c r="U152">
        <v>4.5229317759E-2</v>
      </c>
      <c r="V152">
        <v>4.8645745898999997E-2</v>
      </c>
      <c r="W152">
        <v>5.0328398056E-2</v>
      </c>
      <c r="X152">
        <v>4.9354091756000001E-2</v>
      </c>
      <c r="Y152">
        <v>4.8661588014000001E-2</v>
      </c>
      <c r="Z152">
        <v>5.2508606086999997E-2</v>
      </c>
      <c r="AA152">
        <v>5.1267354989000001E-2</v>
      </c>
      <c r="AB152">
        <v>5.0655241322E-2</v>
      </c>
      <c r="AC152">
        <v>5.1663227103000003E-2</v>
      </c>
      <c r="AD152">
        <v>5.4416816909E-2</v>
      </c>
      <c r="AE152">
        <v>5.5365275216000001E-2</v>
      </c>
      <c r="AF152">
        <v>5.5383068096999999E-2</v>
      </c>
      <c r="AG152">
        <v>5.5397232205000001E-2</v>
      </c>
      <c r="AH152">
        <v>5.5376028037000001E-2</v>
      </c>
      <c r="AI152">
        <v>5.5389721607000002E-2</v>
      </c>
      <c r="AJ152">
        <v>5.53888856E-2</v>
      </c>
      <c r="AP152">
        <v>7.4458788481000002E-2</v>
      </c>
      <c r="AQ152">
        <v>5.7058001397999998E-2</v>
      </c>
      <c r="AR152">
        <v>4.2881355932000001E-2</v>
      </c>
      <c r="AS152">
        <v>4.6475862069E-2</v>
      </c>
      <c r="AT152">
        <v>6.0720000000000003E-2</v>
      </c>
      <c r="AU152">
        <v>5.6153846154000001E-2</v>
      </c>
      <c r="AV152">
        <v>4.4261721483999997E-2</v>
      </c>
      <c r="AW152">
        <v>3.9528759529E-2</v>
      </c>
      <c r="AX152">
        <v>5.4843749999999997E-2</v>
      </c>
      <c r="AY152">
        <v>5.2705084745999997E-2</v>
      </c>
      <c r="AZ152">
        <v>4.4213592232999997E-2</v>
      </c>
      <c r="BA152">
        <v>4.3317784257000003E-2</v>
      </c>
      <c r="BB152">
        <v>5.9506480558000001E-2</v>
      </c>
      <c r="BC152">
        <v>5.4096385541999997E-2</v>
      </c>
      <c r="BD152">
        <v>4.6593843098E-2</v>
      </c>
      <c r="BE152">
        <v>4.1399999999999999E-2</v>
      </c>
      <c r="BF152">
        <v>5.5819484241E-2</v>
      </c>
      <c r="BG152">
        <v>0.05</v>
      </c>
      <c r="BH152">
        <v>4.8482954544999998E-2</v>
      </c>
      <c r="BI152">
        <v>4.8713974985999997E-2</v>
      </c>
      <c r="BJ152">
        <v>4.9688641503000001E-2</v>
      </c>
      <c r="BK152">
        <v>5.0970406055999999E-2</v>
      </c>
      <c r="BL152">
        <v>4.7368421053000001E-2</v>
      </c>
      <c r="BM152">
        <v>4.6979532768000001E-2</v>
      </c>
      <c r="BN152">
        <v>5.5280078619E-2</v>
      </c>
      <c r="BO152">
        <v>5.4475974272000002E-2</v>
      </c>
      <c r="BP152">
        <v>4.8207801545999997E-2</v>
      </c>
      <c r="BQ152">
        <v>4.6619739631000003E-2</v>
      </c>
      <c r="BR152">
        <v>5.8459252157E-2</v>
      </c>
      <c r="BS152">
        <v>5.1418546365999997E-2</v>
      </c>
      <c r="BT152">
        <v>4.9583388440999999E-2</v>
      </c>
      <c r="BU152">
        <v>6.3250000000000001E-2</v>
      </c>
      <c r="BV152">
        <v>6.9406565656999999E-2</v>
      </c>
      <c r="BW152">
        <v>6.2918317922000006E-2</v>
      </c>
      <c r="BX152">
        <v>5.9189439080000003E-2</v>
      </c>
      <c r="BY152">
        <v>6.0952732039E-2</v>
      </c>
      <c r="BZ152">
        <v>7.3679780653999993E-2</v>
      </c>
      <c r="CA152">
        <v>6.9005111490000007E-2</v>
      </c>
      <c r="CB152">
        <v>6.0942675159000002E-2</v>
      </c>
      <c r="CC152">
        <v>6.1708695866000002E-2</v>
      </c>
      <c r="CD152">
        <v>6.2409034815E-2</v>
      </c>
      <c r="CE152">
        <v>5.6196943285000002E-2</v>
      </c>
      <c r="CF152">
        <v>5.7139757095999999E-2</v>
      </c>
      <c r="CG152">
        <v>6.0180756985999999E-2</v>
      </c>
      <c r="CH152">
        <v>6.0988496320000002E-2</v>
      </c>
      <c r="CI152">
        <v>5.5847751748000003E-2</v>
      </c>
      <c r="CJ152">
        <v>5.8066413499999997E-2</v>
      </c>
      <c r="CK152">
        <v>5.5527164544000002E-2</v>
      </c>
      <c r="CL152">
        <v>5.7305914293999997E-2</v>
      </c>
      <c r="CM152">
        <v>5.5660390339999997E-2</v>
      </c>
      <c r="CN152">
        <v>5.3249723976000002E-2</v>
      </c>
      <c r="CO152">
        <v>5.3203458581999999E-2</v>
      </c>
      <c r="CP152">
        <v>5.7246414556999997E-2</v>
      </c>
      <c r="CQ152">
        <v>5.5129255576E-2</v>
      </c>
      <c r="CR152">
        <v>5.3205011755000003E-2</v>
      </c>
      <c r="CS152">
        <v>5.6513068870000002E-2</v>
      </c>
      <c r="CT152">
        <v>5.3073365594999998E-2</v>
      </c>
      <c r="CU152">
        <v>4.8386829856999998E-2</v>
      </c>
      <c r="CV152">
        <v>4.7952020966E-2</v>
      </c>
      <c r="CW152">
        <v>4.7236170171E-2</v>
      </c>
      <c r="CX152">
        <v>5.4359447491000003E-2</v>
      </c>
      <c r="CY152">
        <v>5.2476412761999998E-2</v>
      </c>
      <c r="CZ152">
        <v>5.236059304E-2</v>
      </c>
      <c r="DA152">
        <v>5.3224195338999997E-2</v>
      </c>
      <c r="DB152">
        <v>5.4368546667999999E-2</v>
      </c>
      <c r="DC152">
        <v>5.5365055959000001E-2</v>
      </c>
      <c r="DD152">
        <v>5.4070868569000001E-2</v>
      </c>
      <c r="DE152">
        <v>5.6906179272999999E-2</v>
      </c>
      <c r="DF152">
        <v>5.4844891441E-2</v>
      </c>
      <c r="DG152">
        <v>5.2089242193999997E-2</v>
      </c>
      <c r="DH152">
        <v>5.2412278230999997E-2</v>
      </c>
      <c r="DI152">
        <v>5.6245786962999998E-2</v>
      </c>
      <c r="DJ152">
        <v>5.5550824339E-2</v>
      </c>
      <c r="DK152">
        <v>5.1752477807E-2</v>
      </c>
      <c r="DL152">
        <v>5.0971956364000003E-2</v>
      </c>
      <c r="DM152">
        <v>5.3678638351000001E-2</v>
      </c>
      <c r="DN152">
        <v>5.8297193391E-2</v>
      </c>
      <c r="DO152">
        <v>5.6378852057000002E-2</v>
      </c>
      <c r="DP152">
        <v>5.4616570327999998E-2</v>
      </c>
      <c r="DQ152">
        <v>6.0079136913E-2</v>
      </c>
      <c r="DR152">
        <v>5.6357110167999998E-2</v>
      </c>
      <c r="DS152">
        <v>5.7161100196E-2</v>
      </c>
      <c r="DT152">
        <v>5.3502099859999999E-2</v>
      </c>
      <c r="DU152">
        <v>5.7373080613999997E-2</v>
      </c>
      <c r="DV152">
        <v>5.5204082456000003E-2</v>
      </c>
      <c r="DW152">
        <v>5.5058800551000001E-2</v>
      </c>
      <c r="DX152">
        <v>5.3472317651000002E-2</v>
      </c>
      <c r="DY152">
        <v>5.8159541188999998E-2</v>
      </c>
      <c r="DZ152">
        <v>5.4344111170000001E-2</v>
      </c>
      <c r="EA152">
        <v>5.8072356488999999E-2</v>
      </c>
      <c r="EB152">
        <v>5.6813208307999997E-2</v>
      </c>
      <c r="EC152">
        <v>5.772743525E-2</v>
      </c>
      <c r="ED152">
        <v>5.8467990801E-2</v>
      </c>
      <c r="EE152">
        <v>6.1136160788E-2</v>
      </c>
      <c r="EF152">
        <v>5.8679133101000001E-2</v>
      </c>
      <c r="EG152">
        <v>6.0386811334999999E-2</v>
      </c>
      <c r="EH152">
        <v>6.2655108607999999E-2</v>
      </c>
      <c r="EI152">
        <v>5.8981532943999999E-2</v>
      </c>
      <c r="EJ152">
        <v>5.9241318372000001E-2</v>
      </c>
      <c r="EK152">
        <v>6.0963222794000002E-2</v>
      </c>
      <c r="EL152">
        <v>6.2655108607999999E-2</v>
      </c>
      <c r="EM152">
        <v>5.8981532943999999E-2</v>
      </c>
      <c r="EN152">
        <v>5.9241318372000001E-2</v>
      </c>
      <c r="EO152">
        <v>6.0963222794000002E-2</v>
      </c>
      <c r="EP152">
        <v>6.2655108607999999E-2</v>
      </c>
      <c r="EQ152">
        <v>5.8981532943999999E-2</v>
      </c>
      <c r="ER152">
        <v>5.9241318372000001E-2</v>
      </c>
      <c r="ES152">
        <v>6.0963222794000002E-2</v>
      </c>
      <c r="ET152">
        <v>6.2655108607999999E-2</v>
      </c>
      <c r="EU152">
        <v>5.8981532943999999E-2</v>
      </c>
      <c r="EV152">
        <v>5.9241318372000001E-2</v>
      </c>
      <c r="EW152">
        <v>6.0963222794000002E-2</v>
      </c>
      <c r="EX152">
        <v>6.2655108607999999E-2</v>
      </c>
      <c r="EY152">
        <v>5.8981532943999999E-2</v>
      </c>
      <c r="EZ152">
        <v>5.9241318372000001E-2</v>
      </c>
      <c r="FA152">
        <v>6.0963222794000002E-2</v>
      </c>
      <c r="FB152">
        <v>6.2655108607999999E-2</v>
      </c>
      <c r="FC152">
        <v>5.8981532943999999E-2</v>
      </c>
      <c r="FD152">
        <v>5.9241318372000001E-2</v>
      </c>
      <c r="FE152">
        <v>6.0963222794000002E-2</v>
      </c>
    </row>
    <row r="153" spans="2:161">
      <c r="B153" t="s">
        <v>775</v>
      </c>
      <c r="C153" t="s">
        <v>776</v>
      </c>
      <c r="G153">
        <v>2.3289203800000002E-3</v>
      </c>
      <c r="H153">
        <v>2.178683386E-3</v>
      </c>
      <c r="I153">
        <v>2.1089092960000001E-3</v>
      </c>
      <c r="J153">
        <v>2.1729677500000001E-3</v>
      </c>
      <c r="K153">
        <v>2.2058717970000002E-3</v>
      </c>
      <c r="L153">
        <v>2.1206316330000001E-3</v>
      </c>
      <c r="M153">
        <v>2.2251607130000001E-3</v>
      </c>
      <c r="N153">
        <v>2.4627243870000001E-3</v>
      </c>
      <c r="O153">
        <v>2.752592938E-3</v>
      </c>
      <c r="P153">
        <v>2.8657723269999999E-3</v>
      </c>
      <c r="Q153">
        <v>2.5661207030000001E-3</v>
      </c>
      <c r="R153">
        <v>2.512715005E-3</v>
      </c>
      <c r="S153">
        <v>2.3977532029999999E-3</v>
      </c>
      <c r="T153">
        <v>2.422659263E-3</v>
      </c>
      <c r="U153">
        <v>2.1537770359999998E-3</v>
      </c>
      <c r="V153">
        <v>2.3164640899999999E-3</v>
      </c>
      <c r="W153">
        <v>2.3965903839999999E-3</v>
      </c>
      <c r="X153">
        <v>2.350194846E-3</v>
      </c>
      <c r="Y153">
        <v>2.3172184770000001E-3</v>
      </c>
      <c r="Z153">
        <v>2.5004098140000001E-3</v>
      </c>
      <c r="AA153">
        <v>2.4413026189999999E-3</v>
      </c>
      <c r="AB153">
        <v>2.412154349E-3</v>
      </c>
      <c r="AC153">
        <v>2.460153672E-3</v>
      </c>
      <c r="AD153">
        <v>2.5912769959999999E-3</v>
      </c>
      <c r="AE153">
        <v>2.6364765170000001E-3</v>
      </c>
      <c r="AF153">
        <v>2.6373140900000001E-3</v>
      </c>
      <c r="AG153">
        <v>2.6379261529999999E-3</v>
      </c>
      <c r="AH153">
        <v>2.636888118E-3</v>
      </c>
      <c r="AI153">
        <v>2.637531708E-3</v>
      </c>
      <c r="AJ153">
        <v>2.6375659810000001E-3</v>
      </c>
      <c r="AP153">
        <v>3.2373386299999998E-3</v>
      </c>
      <c r="AQ153">
        <v>2.4807826689999999E-3</v>
      </c>
      <c r="AR153">
        <v>1.86440678E-3</v>
      </c>
      <c r="AS153">
        <v>2.020689655E-3</v>
      </c>
      <c r="AT153">
        <v>2.64E-3</v>
      </c>
      <c r="AU153">
        <v>2.4414715720000001E-3</v>
      </c>
      <c r="AV153">
        <v>1.924422673E-3</v>
      </c>
      <c r="AW153">
        <v>1.7186417190000001E-3</v>
      </c>
      <c r="AX153">
        <v>2.3845108699999998E-3</v>
      </c>
      <c r="AY153">
        <v>2.291525424E-3</v>
      </c>
      <c r="AZ153">
        <v>1.9223300969999999E-3</v>
      </c>
      <c r="BA153">
        <v>1.8833819239999999E-3</v>
      </c>
      <c r="BB153">
        <v>2.5872382850000001E-3</v>
      </c>
      <c r="BC153">
        <v>2.3520167630000002E-3</v>
      </c>
      <c r="BD153">
        <v>2.0258192650000001E-3</v>
      </c>
      <c r="BE153">
        <v>1.8E-3</v>
      </c>
      <c r="BF153">
        <v>2.426934097E-3</v>
      </c>
      <c r="BG153">
        <v>2.1739130429999998E-3</v>
      </c>
      <c r="BH153">
        <v>2.107954545E-3</v>
      </c>
      <c r="BI153">
        <v>2.1179989120000001E-3</v>
      </c>
      <c r="BJ153">
        <v>2.1603757180000001E-3</v>
      </c>
      <c r="BK153">
        <v>2.2161046110000002E-3</v>
      </c>
      <c r="BL153">
        <v>2.059496568E-3</v>
      </c>
      <c r="BM153">
        <v>2.0425883809999999E-3</v>
      </c>
      <c r="BN153">
        <v>2.4034816790000002E-3</v>
      </c>
      <c r="BO153">
        <v>2.3685206209999999E-3</v>
      </c>
      <c r="BP153">
        <v>2.095991372E-3</v>
      </c>
      <c r="BQ153">
        <v>2.0269452010000001E-3</v>
      </c>
      <c r="BR153">
        <v>2.5417066160000001E-3</v>
      </c>
      <c r="BS153">
        <v>2.2355889720000002E-3</v>
      </c>
      <c r="BT153">
        <v>2.1557994970000001E-3</v>
      </c>
      <c r="BU153">
        <v>2.7499999999999998E-3</v>
      </c>
      <c r="BV153">
        <v>3.0176767679999999E-3</v>
      </c>
      <c r="BW153">
        <v>2.73557904E-3</v>
      </c>
      <c r="BX153">
        <v>2.5734538729999998E-3</v>
      </c>
      <c r="BY153">
        <v>2.6501187839999998E-3</v>
      </c>
      <c r="BZ153">
        <v>3.2034687239999998E-3</v>
      </c>
      <c r="CA153">
        <v>3.0002222389999998E-3</v>
      </c>
      <c r="CB153">
        <v>2.6496815290000001E-3</v>
      </c>
      <c r="CC153">
        <v>2.682986777E-3</v>
      </c>
      <c r="CD153">
        <v>2.7134362960000002E-3</v>
      </c>
      <c r="CE153">
        <v>2.4433453599999998E-3</v>
      </c>
      <c r="CF153">
        <v>2.4843372649999999E-3</v>
      </c>
      <c r="CG153">
        <v>2.6165546520000001E-3</v>
      </c>
      <c r="CH153">
        <v>2.6516737529999998E-3</v>
      </c>
      <c r="CI153">
        <v>2.4281631190000001E-3</v>
      </c>
      <c r="CJ153">
        <v>2.5246266740000002E-3</v>
      </c>
      <c r="CK153">
        <v>2.414224545E-3</v>
      </c>
      <c r="CL153">
        <v>2.491561491E-3</v>
      </c>
      <c r="CM153">
        <v>2.4200169710000001E-3</v>
      </c>
      <c r="CN153">
        <v>2.31520539E-3</v>
      </c>
      <c r="CO153">
        <v>2.3131938509999999E-3</v>
      </c>
      <c r="CP153">
        <v>2.4889745460000001E-3</v>
      </c>
      <c r="CQ153">
        <v>2.3969241550000002E-3</v>
      </c>
      <c r="CR153">
        <v>2.3132613809999998E-3</v>
      </c>
      <c r="CS153">
        <v>2.4570899510000001E-3</v>
      </c>
      <c r="CT153">
        <v>2.3075376350000002E-3</v>
      </c>
      <c r="CU153">
        <v>2.103775211E-3</v>
      </c>
      <c r="CV153">
        <v>2.0848704770000002E-3</v>
      </c>
      <c r="CW153">
        <v>2.053746529E-3</v>
      </c>
      <c r="CX153">
        <v>2.363454239E-3</v>
      </c>
      <c r="CY153">
        <v>2.281583164E-3</v>
      </c>
      <c r="CZ153">
        <v>2.2765475229999999E-3</v>
      </c>
      <c r="DA153">
        <v>2.3140954499999999E-3</v>
      </c>
      <c r="DB153">
        <v>2.363849855E-3</v>
      </c>
      <c r="DC153">
        <v>2.4071763459999999E-3</v>
      </c>
      <c r="DD153">
        <v>2.3509073290000002E-3</v>
      </c>
      <c r="DE153">
        <v>2.474181708E-3</v>
      </c>
      <c r="DF153">
        <v>2.3845604970000002E-3</v>
      </c>
      <c r="DG153">
        <v>2.2647496609999999E-3</v>
      </c>
      <c r="DH153">
        <v>2.278794706E-3</v>
      </c>
      <c r="DI153">
        <v>2.445468998E-3</v>
      </c>
      <c r="DJ153">
        <v>2.415253232E-3</v>
      </c>
      <c r="DK153">
        <v>2.250107731E-3</v>
      </c>
      <c r="DL153">
        <v>2.2161720160000001E-3</v>
      </c>
      <c r="DM153">
        <v>2.333853841E-3</v>
      </c>
      <c r="DN153">
        <v>2.5346605820000001E-3</v>
      </c>
      <c r="DO153">
        <v>2.4512544369999999E-3</v>
      </c>
      <c r="DP153">
        <v>2.3746334929999999E-3</v>
      </c>
      <c r="DQ153">
        <v>2.6121363879999999E-3</v>
      </c>
      <c r="DR153">
        <v>2.4503091379999998E-3</v>
      </c>
      <c r="DS153">
        <v>2.4852652259999999E-3</v>
      </c>
      <c r="DT153">
        <v>2.3261782550000002E-3</v>
      </c>
      <c r="DU153">
        <v>2.4944817660000002E-3</v>
      </c>
      <c r="DV153">
        <v>2.400177498E-3</v>
      </c>
      <c r="DW153">
        <v>2.3938608940000002E-3</v>
      </c>
      <c r="DX153">
        <v>2.324883376E-3</v>
      </c>
      <c r="DY153">
        <v>2.528675704E-3</v>
      </c>
      <c r="DZ153">
        <v>2.3627874419999998E-3</v>
      </c>
      <c r="EA153">
        <v>2.5248850649999999E-3</v>
      </c>
      <c r="EB153">
        <v>2.4701394919999999E-3</v>
      </c>
      <c r="EC153">
        <v>2.5098884889999998E-3</v>
      </c>
      <c r="ED153">
        <v>2.5420865570000002E-3</v>
      </c>
      <c r="EE153">
        <v>2.6580939469999999E-3</v>
      </c>
      <c r="EF153">
        <v>2.5512666569999999E-3</v>
      </c>
      <c r="EG153">
        <v>2.6255135359999999E-3</v>
      </c>
      <c r="EH153">
        <v>2.7241351570000002E-3</v>
      </c>
      <c r="EI153">
        <v>2.5644144759999999E-3</v>
      </c>
      <c r="EJ153">
        <v>2.576119875E-3</v>
      </c>
      <c r="EK153">
        <v>2.650574904E-3</v>
      </c>
      <c r="EL153">
        <v>2.7241351570000002E-3</v>
      </c>
      <c r="EM153">
        <v>2.5644144759999999E-3</v>
      </c>
      <c r="EN153">
        <v>2.576119875E-3</v>
      </c>
      <c r="EO153">
        <v>2.650574904E-3</v>
      </c>
      <c r="EP153">
        <v>2.7241351570000002E-3</v>
      </c>
      <c r="EQ153">
        <v>2.5644144759999999E-3</v>
      </c>
      <c r="ER153">
        <v>2.576119875E-3</v>
      </c>
      <c r="ES153">
        <v>2.650574904E-3</v>
      </c>
      <c r="ET153">
        <v>2.7241351570000002E-3</v>
      </c>
      <c r="EU153">
        <v>2.5644144759999999E-3</v>
      </c>
      <c r="EV153">
        <v>2.576119875E-3</v>
      </c>
      <c r="EW153">
        <v>2.650574904E-3</v>
      </c>
      <c r="EX153">
        <v>2.7241351570000002E-3</v>
      </c>
      <c r="EY153">
        <v>2.5644144759999999E-3</v>
      </c>
      <c r="EZ153">
        <v>2.576119875E-3</v>
      </c>
      <c r="FA153">
        <v>2.650574904E-3</v>
      </c>
      <c r="FB153">
        <v>2.7241351570000002E-3</v>
      </c>
      <c r="FC153">
        <v>2.5644144759999999E-3</v>
      </c>
      <c r="FD153">
        <v>2.576119875E-3</v>
      </c>
      <c r="FE153">
        <v>2.650574904E-3</v>
      </c>
    </row>
    <row r="154" spans="2:161">
      <c r="B154" t="s">
        <v>467</v>
      </c>
      <c r="C154" t="s">
        <v>468</v>
      </c>
      <c r="G154">
        <v>2.3289203804E-2</v>
      </c>
      <c r="H154">
        <v>2.1786833855999999E-2</v>
      </c>
      <c r="I154">
        <v>2.108909296E-2</v>
      </c>
      <c r="J154">
        <v>2.1729677497E-2</v>
      </c>
      <c r="K154">
        <v>2.2058717966999999E-2</v>
      </c>
      <c r="L154">
        <v>2.1206316334000001E-2</v>
      </c>
      <c r="M154">
        <v>2.2251607127999999E-2</v>
      </c>
      <c r="N154">
        <v>2.4627243872E-2</v>
      </c>
      <c r="O154">
        <v>2.7525929378999999E-2</v>
      </c>
      <c r="P154">
        <v>2.8657723265999999E-2</v>
      </c>
      <c r="Q154">
        <v>2.5661207032000002E-2</v>
      </c>
      <c r="R154">
        <v>2.5127150050000002E-2</v>
      </c>
      <c r="S154">
        <v>2.3977532034E-2</v>
      </c>
      <c r="T154">
        <v>2.4226592631E-2</v>
      </c>
      <c r="U154">
        <v>2.1537770360999998E-2</v>
      </c>
      <c r="V154">
        <v>2.3164640904E-2</v>
      </c>
      <c r="W154">
        <v>2.3965903835999999E-2</v>
      </c>
      <c r="X154">
        <v>2.3501948455000001E-2</v>
      </c>
      <c r="Y154">
        <v>2.3172184769000001E-2</v>
      </c>
      <c r="Z154">
        <v>2.5004098137000001E-2</v>
      </c>
      <c r="AA154">
        <v>2.4413026184999999E-2</v>
      </c>
      <c r="AB154">
        <v>2.4121543487000002E-2</v>
      </c>
      <c r="AC154">
        <v>2.4601536715E-2</v>
      </c>
      <c r="AD154">
        <v>2.5912769956999999E-2</v>
      </c>
      <c r="AE154">
        <v>2.6364416769999999E-2</v>
      </c>
      <c r="AF154">
        <v>2.6373140903000001E-2</v>
      </c>
      <c r="AG154">
        <v>2.6379634382999999E-2</v>
      </c>
      <c r="AH154">
        <v>2.6369537160000001E-2</v>
      </c>
      <c r="AI154">
        <v>2.6376057907999999E-2</v>
      </c>
      <c r="AJ154">
        <v>2.637565981E-2</v>
      </c>
      <c r="AP154">
        <v>2.5898709036999999E-2</v>
      </c>
      <c r="AQ154">
        <v>1.9846261356000001E-2</v>
      </c>
      <c r="AR154">
        <v>1.4915254237000001E-2</v>
      </c>
      <c r="AS154">
        <v>1.6165517240999999E-2</v>
      </c>
      <c r="AT154">
        <v>2.112E-2</v>
      </c>
      <c r="AU154">
        <v>1.9531772574999998E-2</v>
      </c>
      <c r="AV154">
        <v>1.5395381386000001E-2</v>
      </c>
      <c r="AW154">
        <v>1.3749133748999999E-2</v>
      </c>
      <c r="AX154">
        <v>1.9076086956999999E-2</v>
      </c>
      <c r="AY154">
        <v>1.8332203389999999E-2</v>
      </c>
      <c r="AZ154">
        <v>1.5378640777E-2</v>
      </c>
      <c r="BA154">
        <v>1.5067055394E-2</v>
      </c>
      <c r="BB154">
        <v>2.0697906281E-2</v>
      </c>
      <c r="BC154">
        <v>1.8816134102E-2</v>
      </c>
      <c r="BD154">
        <v>1.6206554121E-2</v>
      </c>
      <c r="BE154">
        <v>1.44E-2</v>
      </c>
      <c r="BF154">
        <v>1.9415472779E-2</v>
      </c>
      <c r="BG154">
        <v>1.7391304348E-2</v>
      </c>
      <c r="BH154">
        <v>1.6863636364000002E-2</v>
      </c>
      <c r="BI154">
        <v>1.6943991299999999E-2</v>
      </c>
      <c r="BJ154">
        <v>1.7283005739999999E-2</v>
      </c>
      <c r="BK154">
        <v>1.7728836889E-2</v>
      </c>
      <c r="BL154">
        <v>1.6475972540000001E-2</v>
      </c>
      <c r="BM154">
        <v>1.634070705E-2</v>
      </c>
      <c r="BN154">
        <v>1.9227853433E-2</v>
      </c>
      <c r="BO154">
        <v>1.8948164964000001E-2</v>
      </c>
      <c r="BP154">
        <v>1.6767930972000002E-2</v>
      </c>
      <c r="BQ154">
        <v>1.6215561611E-2</v>
      </c>
      <c r="BR154">
        <v>2.0333652923999999E-2</v>
      </c>
      <c r="BS154">
        <v>1.7884711779000001E-2</v>
      </c>
      <c r="BT154">
        <v>1.7246395979E-2</v>
      </c>
      <c r="BU154">
        <v>2.1999999999999999E-2</v>
      </c>
      <c r="BV154">
        <v>2.4141414141E-2</v>
      </c>
      <c r="BW154">
        <v>2.1884632320999999E-2</v>
      </c>
      <c r="BX154">
        <v>2.0587630983999999E-2</v>
      </c>
      <c r="BY154">
        <v>2.1200950273999999E-2</v>
      </c>
      <c r="BZ154">
        <v>2.5627749793000001E-2</v>
      </c>
      <c r="CA154">
        <v>2.4001777908999999E-2</v>
      </c>
      <c r="CB154">
        <v>2.1197452229000002E-2</v>
      </c>
      <c r="CC154">
        <v>2.1463894213999999E-2</v>
      </c>
      <c r="CD154">
        <v>2.1707490371000001E-2</v>
      </c>
      <c r="CE154">
        <v>1.9546762882E-2</v>
      </c>
      <c r="CF154">
        <v>1.9874698119999999E-2</v>
      </c>
      <c r="CG154">
        <v>2.0932437213000001E-2</v>
      </c>
      <c r="CH154">
        <v>2.1213390023999999E-2</v>
      </c>
      <c r="CI154">
        <v>1.9425304955999999E-2</v>
      </c>
      <c r="CJ154">
        <v>2.0197013391E-2</v>
      </c>
      <c r="CK154">
        <v>1.9313796362999999E-2</v>
      </c>
      <c r="CL154">
        <v>1.9932491928E-2</v>
      </c>
      <c r="CM154">
        <v>1.9360135769999998E-2</v>
      </c>
      <c r="CN154">
        <v>1.8521643122000001E-2</v>
      </c>
      <c r="CO154">
        <v>1.8505550810999999E-2</v>
      </c>
      <c r="CP154">
        <v>1.9911796368000001E-2</v>
      </c>
      <c r="CQ154">
        <v>1.9175393244E-2</v>
      </c>
      <c r="CR154">
        <v>1.8506091044999999E-2</v>
      </c>
      <c r="CS154">
        <v>1.9656719606999998E-2</v>
      </c>
      <c r="CT154">
        <v>1.8460301076E-2</v>
      </c>
      <c r="CU154">
        <v>1.6830201688999999E-2</v>
      </c>
      <c r="CV154">
        <v>1.6678963814000001E-2</v>
      </c>
      <c r="CW154">
        <v>1.6429972234000001E-2</v>
      </c>
      <c r="CX154">
        <v>1.8907633909999999E-2</v>
      </c>
      <c r="CY154">
        <v>1.8252665307999998E-2</v>
      </c>
      <c r="CZ154">
        <v>1.8212380188000001E-2</v>
      </c>
      <c r="DA154">
        <v>1.8512763596000001E-2</v>
      </c>
      <c r="DB154">
        <v>1.8910798840999998E-2</v>
      </c>
      <c r="DC154">
        <v>1.9257410768E-2</v>
      </c>
      <c r="DD154">
        <v>1.8807258633E-2</v>
      </c>
      <c r="DE154">
        <v>1.9793453660000002E-2</v>
      </c>
      <c r="DF154">
        <v>1.9076483979000001E-2</v>
      </c>
      <c r="DG154">
        <v>1.8117997285E-2</v>
      </c>
      <c r="DH154">
        <v>1.8230357645999999E-2</v>
      </c>
      <c r="DI154">
        <v>1.9563751987E-2</v>
      </c>
      <c r="DJ154">
        <v>1.9322025856999998E-2</v>
      </c>
      <c r="DK154">
        <v>1.8000861845999999E-2</v>
      </c>
      <c r="DL154">
        <v>1.7729376126999999E-2</v>
      </c>
      <c r="DM154">
        <v>1.8670830730999999E-2</v>
      </c>
      <c r="DN154">
        <v>2.0277284658000001E-2</v>
      </c>
      <c r="DO154">
        <v>1.9610035498E-2</v>
      </c>
      <c r="DP154">
        <v>1.8997067940000001E-2</v>
      </c>
      <c r="DQ154">
        <v>2.0897091100000001E-2</v>
      </c>
      <c r="DR154">
        <v>1.9602473102000001E-2</v>
      </c>
      <c r="DS154">
        <v>1.9882121807000001E-2</v>
      </c>
      <c r="DT154">
        <v>1.8609426038000001E-2</v>
      </c>
      <c r="DU154">
        <v>1.9955854126999999E-2</v>
      </c>
      <c r="DV154">
        <v>1.9201419984999999E-2</v>
      </c>
      <c r="DW154">
        <v>1.9150887148E-2</v>
      </c>
      <c r="DX154">
        <v>1.8599067008999999E-2</v>
      </c>
      <c r="DY154">
        <v>2.0229405631000001E-2</v>
      </c>
      <c r="DZ154">
        <v>1.8902299537000001E-2</v>
      </c>
      <c r="EA154">
        <v>2.0199080518000002E-2</v>
      </c>
      <c r="EB154">
        <v>1.9761115932999999E-2</v>
      </c>
      <c r="EC154">
        <v>2.0079107913000001E-2</v>
      </c>
      <c r="ED154">
        <v>2.0336692452E-2</v>
      </c>
      <c r="EE154">
        <v>2.1264751578E-2</v>
      </c>
      <c r="EF154">
        <v>2.0410133253E-2</v>
      </c>
      <c r="EG154">
        <v>2.100410829E-2</v>
      </c>
      <c r="EH154">
        <v>2.1793081254999999E-2</v>
      </c>
      <c r="EI154">
        <v>2.0515315807000001E-2</v>
      </c>
      <c r="EJ154">
        <v>2.0606207264999999E-2</v>
      </c>
      <c r="EK154">
        <v>2.1204599232999999E-2</v>
      </c>
      <c r="EL154">
        <v>2.1793081254999999E-2</v>
      </c>
      <c r="EM154">
        <v>2.0515315807000001E-2</v>
      </c>
      <c r="EN154">
        <v>2.0606207264999999E-2</v>
      </c>
      <c r="EO154">
        <v>2.1204599232999999E-2</v>
      </c>
      <c r="EP154">
        <v>2.1793081254999999E-2</v>
      </c>
      <c r="EQ154">
        <v>2.0515315807000001E-2</v>
      </c>
      <c r="ER154">
        <v>2.0606207264999999E-2</v>
      </c>
      <c r="ES154">
        <v>2.1204599232999999E-2</v>
      </c>
      <c r="ET154">
        <v>2.1793081254999999E-2</v>
      </c>
      <c r="EU154">
        <v>2.0515315807000001E-2</v>
      </c>
      <c r="EV154">
        <v>2.0606207264999999E-2</v>
      </c>
      <c r="EW154">
        <v>2.1204599232999999E-2</v>
      </c>
      <c r="EX154">
        <v>2.1793081254999999E-2</v>
      </c>
      <c r="EY154">
        <v>2.0515315807000001E-2</v>
      </c>
      <c r="EZ154">
        <v>2.0606207264999999E-2</v>
      </c>
      <c r="FA154">
        <v>2.1204599232999999E-2</v>
      </c>
      <c r="FB154">
        <v>2.1793081254999999E-2</v>
      </c>
      <c r="FC154">
        <v>2.0515315807000001E-2</v>
      </c>
      <c r="FD154">
        <v>2.0606207264999999E-2</v>
      </c>
      <c r="FE154">
        <v>2.1204599232999999E-2</v>
      </c>
    </row>
    <row r="155" spans="2:161">
      <c r="B155" t="s">
        <v>777</v>
      </c>
      <c r="C155" t="s">
        <v>778</v>
      </c>
    </row>
    <row r="156" spans="2:161">
      <c r="B156" t="s">
        <v>779</v>
      </c>
      <c r="C156" t="s">
        <v>780</v>
      </c>
    </row>
    <row r="157" spans="2:161">
      <c r="B157" t="s">
        <v>781</v>
      </c>
      <c r="C157" t="s">
        <v>782</v>
      </c>
    </row>
    <row r="158" spans="2:161">
      <c r="B158" t="s">
        <v>783</v>
      </c>
      <c r="C158" t="s">
        <v>784</v>
      </c>
    </row>
    <row r="159" spans="2:161">
      <c r="B159" t="s">
        <v>785</v>
      </c>
      <c r="C159" t="s">
        <v>786</v>
      </c>
    </row>
    <row r="160" spans="2:161">
      <c r="B160" t="s">
        <v>787</v>
      </c>
      <c r="C160" t="s">
        <v>788</v>
      </c>
    </row>
    <row r="161" spans="2:161">
      <c r="B161" t="s">
        <v>789</v>
      </c>
      <c r="C161" t="s">
        <v>790</v>
      </c>
    </row>
    <row r="162" spans="2:161">
      <c r="B162" t="s">
        <v>791</v>
      </c>
      <c r="C162" t="s">
        <v>792</v>
      </c>
    </row>
    <row r="163" spans="2:161">
      <c r="B163" t="s">
        <v>793</v>
      </c>
      <c r="C163" t="s">
        <v>794</v>
      </c>
      <c r="Q163">
        <v>4.6891888150000002E-3</v>
      </c>
      <c r="R163">
        <v>6.0715107209999997E-3</v>
      </c>
      <c r="S163">
        <v>6.3228599850000001E-3</v>
      </c>
      <c r="T163">
        <v>6.970212533E-3</v>
      </c>
      <c r="U163">
        <v>1.0048991292999999E-2</v>
      </c>
      <c r="V163">
        <v>8.9950333660000006E-3</v>
      </c>
      <c r="W163">
        <v>7.811057697E-3</v>
      </c>
      <c r="X163">
        <v>7.8227376270000003E-3</v>
      </c>
      <c r="Y163">
        <v>6.7151982900000001E-3</v>
      </c>
      <c r="Z163">
        <v>5.8733402549999997E-3</v>
      </c>
      <c r="AA163">
        <v>7.4754317049999996E-3</v>
      </c>
      <c r="AB163">
        <v>7.5267290169999997E-3</v>
      </c>
      <c r="AC163">
        <v>7.572328685E-3</v>
      </c>
      <c r="AD163">
        <v>6.8486964079999997E-3</v>
      </c>
      <c r="AE163">
        <v>6.4373232020000001E-3</v>
      </c>
      <c r="AF163">
        <v>6.4324012E-3</v>
      </c>
      <c r="AG163">
        <v>6.4284499810000001E-3</v>
      </c>
      <c r="AH163">
        <v>6.433687332E-3</v>
      </c>
      <c r="AI163">
        <v>6.4306203669999996E-3</v>
      </c>
      <c r="AJ163">
        <v>6.4308095279999996E-3</v>
      </c>
      <c r="CD163">
        <v>3.69021353E-3</v>
      </c>
      <c r="CE163">
        <v>3.599951352E-3</v>
      </c>
      <c r="CF163">
        <v>5.0960764410000001E-3</v>
      </c>
      <c r="CG163">
        <v>6.1733286170000002E-3</v>
      </c>
      <c r="CH163">
        <v>3.878876826E-3</v>
      </c>
      <c r="CI163">
        <v>8.0569591179999994E-3</v>
      </c>
      <c r="CJ163">
        <v>6.478028724E-3</v>
      </c>
      <c r="CK163">
        <v>6.3370961459999998E-3</v>
      </c>
      <c r="CL163">
        <v>5.328734957E-3</v>
      </c>
      <c r="CM163">
        <v>8.0453179830000006E-3</v>
      </c>
      <c r="CN163">
        <v>5.586161991E-3</v>
      </c>
      <c r="CO163">
        <v>6.4592228859999996E-3</v>
      </c>
      <c r="CP163">
        <v>6.5951314370000002E-3</v>
      </c>
      <c r="CQ163">
        <v>8.618498883E-3</v>
      </c>
      <c r="CR163">
        <v>6.6574054290000004E-3</v>
      </c>
      <c r="CS163">
        <v>5.9748830810000004E-3</v>
      </c>
      <c r="CT163">
        <v>8.6564163059999998E-3</v>
      </c>
      <c r="CU163">
        <v>1.1600068954E-2</v>
      </c>
      <c r="CV163">
        <v>1.0668279407000001E-2</v>
      </c>
      <c r="CW163">
        <v>9.7225296599999997E-3</v>
      </c>
      <c r="CX163">
        <v>9.6863137920000005E-3</v>
      </c>
      <c r="CY163">
        <v>9.8787507169999997E-3</v>
      </c>
      <c r="CZ163">
        <v>8.3554464329999995E-3</v>
      </c>
      <c r="DA163">
        <v>7.5002134380000004E-3</v>
      </c>
      <c r="DB163">
        <v>8.2873224340000006E-3</v>
      </c>
      <c r="DC163">
        <v>8.1110102840000007E-3</v>
      </c>
      <c r="DD163">
        <v>7.050739958E-3</v>
      </c>
      <c r="DE163">
        <v>7.4562087529999998E-3</v>
      </c>
      <c r="DF163">
        <v>8.1347332179999999E-3</v>
      </c>
      <c r="DG163">
        <v>8.5211901140000001E-3</v>
      </c>
      <c r="DH163">
        <v>7.1724396879999999E-3</v>
      </c>
      <c r="DI163">
        <v>7.2565977740000004E-3</v>
      </c>
      <c r="DJ163">
        <v>6.2478946740000003E-3</v>
      </c>
      <c r="DK163">
        <v>7.0450745499999997E-3</v>
      </c>
      <c r="DL163">
        <v>6.8070397150000002E-3</v>
      </c>
      <c r="DM163">
        <v>6.9544034980000002E-3</v>
      </c>
      <c r="DN163">
        <v>5.9151156079999996E-3</v>
      </c>
      <c r="DO163">
        <v>6.4856892970000003E-3</v>
      </c>
      <c r="DP163">
        <v>6.2521571579999997E-3</v>
      </c>
      <c r="DQ163">
        <v>4.9126711799999997E-3</v>
      </c>
      <c r="DR163">
        <v>7.6501045409999996E-3</v>
      </c>
      <c r="DS163">
        <v>7.9156992320000008E-3</v>
      </c>
      <c r="DT163">
        <v>7.2510253699999997E-3</v>
      </c>
      <c r="DU163">
        <v>6.9880038390000001E-3</v>
      </c>
      <c r="DV163">
        <v>8.3207874460000004E-3</v>
      </c>
      <c r="DW163">
        <v>7.5425070420000002E-3</v>
      </c>
      <c r="DX163">
        <v>7.0415506450000002E-3</v>
      </c>
      <c r="DY163">
        <v>6.8644199410000002E-3</v>
      </c>
      <c r="DZ163">
        <v>8.1619065500000004E-3</v>
      </c>
      <c r="EA163">
        <v>7.5127588679999996E-3</v>
      </c>
      <c r="EB163">
        <v>7.7059060850000003E-3</v>
      </c>
      <c r="EC163">
        <v>6.7416031639999999E-3</v>
      </c>
      <c r="ED163">
        <v>6.9643320089999997E-3</v>
      </c>
      <c r="EE163">
        <v>7.2160699919999998E-3</v>
      </c>
      <c r="EF163">
        <v>6.8680415499999996E-3</v>
      </c>
      <c r="EG163">
        <v>6.3343516280000003E-3</v>
      </c>
      <c r="EH163">
        <v>5.9575221240000002E-3</v>
      </c>
      <c r="EI163">
        <v>6.7123187110000003E-3</v>
      </c>
      <c r="EJ163">
        <v>6.9090444540000004E-3</v>
      </c>
      <c r="EK163">
        <v>6.3486586269999997E-3</v>
      </c>
      <c r="EL163">
        <v>5.9575221240000002E-3</v>
      </c>
      <c r="EM163">
        <v>6.7123187110000003E-3</v>
      </c>
      <c r="EN163">
        <v>6.9090444540000004E-3</v>
      </c>
      <c r="EO163">
        <v>6.3486586269999997E-3</v>
      </c>
      <c r="EP163">
        <v>5.9575221240000002E-3</v>
      </c>
      <c r="EQ163">
        <v>6.7123187110000003E-3</v>
      </c>
      <c r="ER163">
        <v>6.9090444540000004E-3</v>
      </c>
      <c r="ES163">
        <v>6.3486586269999997E-3</v>
      </c>
      <c r="ET163">
        <v>5.9575221240000002E-3</v>
      </c>
      <c r="EU163">
        <v>6.7123187110000003E-3</v>
      </c>
      <c r="EV163">
        <v>6.9090444540000004E-3</v>
      </c>
      <c r="EW163">
        <v>6.3486586269999997E-3</v>
      </c>
      <c r="EX163">
        <v>5.9575221240000002E-3</v>
      </c>
      <c r="EY163">
        <v>6.7123187110000003E-3</v>
      </c>
      <c r="EZ163">
        <v>6.9090444540000004E-3</v>
      </c>
      <c r="FA163">
        <v>6.3486586269999997E-3</v>
      </c>
      <c r="FB163">
        <v>5.9575221240000002E-3</v>
      </c>
      <c r="FC163">
        <v>6.7123187110000003E-3</v>
      </c>
      <c r="FD163">
        <v>6.9090444540000004E-3</v>
      </c>
      <c r="FE163">
        <v>6.3486586269999997E-3</v>
      </c>
    </row>
    <row r="164" spans="2:161">
      <c r="B164" t="s">
        <v>473</v>
      </c>
      <c r="C164" t="s">
        <v>474</v>
      </c>
      <c r="G164">
        <v>0.13294797687900001</v>
      </c>
      <c r="H164">
        <v>0.12365029606400001</v>
      </c>
      <c r="I164">
        <v>0.112453681328</v>
      </c>
      <c r="J164">
        <v>8.1773161009999998E-2</v>
      </c>
      <c r="K164">
        <v>6.6039767425000007E-2</v>
      </c>
      <c r="L164">
        <v>6.2593838984999997E-2</v>
      </c>
      <c r="M164">
        <v>4.4104483685000001E-2</v>
      </c>
      <c r="N164">
        <v>4.6091061854999997E-2</v>
      </c>
      <c r="O164">
        <v>5.3117352290000003E-2</v>
      </c>
      <c r="P164">
        <v>6.1034879264000003E-2</v>
      </c>
      <c r="Q164">
        <v>5.0226791933000003E-2</v>
      </c>
      <c r="R164">
        <v>6.9728065019000002E-2</v>
      </c>
      <c r="S164">
        <v>8.0638932772000002E-2</v>
      </c>
      <c r="T164">
        <v>8.3776908558999996E-2</v>
      </c>
      <c r="U164">
        <v>6.7201506108000006E-2</v>
      </c>
      <c r="V164">
        <v>7.8501569753000003E-2</v>
      </c>
      <c r="W164">
        <v>7.7357634556999996E-2</v>
      </c>
      <c r="X164">
        <v>8.1827594645999993E-2</v>
      </c>
      <c r="Y164">
        <v>8.2660065956000006E-2</v>
      </c>
      <c r="Z164">
        <v>7.8021237455000003E-2</v>
      </c>
      <c r="AA164">
        <v>7.7858601432000005E-2</v>
      </c>
      <c r="AB164">
        <v>6.5876630621999999E-2</v>
      </c>
      <c r="AC164">
        <v>6.3287110113999998E-2</v>
      </c>
      <c r="AD164">
        <v>6.4065876455999995E-2</v>
      </c>
      <c r="AE164">
        <v>6.8062880904999998E-2</v>
      </c>
      <c r="AF164">
        <v>6.8005150134999998E-2</v>
      </c>
      <c r="AG164">
        <v>6.8120768536000006E-2</v>
      </c>
      <c r="AH164">
        <v>6.8128526002000006E-2</v>
      </c>
      <c r="AI164">
        <v>6.8070697781E-2</v>
      </c>
      <c r="AJ164">
        <v>6.8048809178999997E-2</v>
      </c>
      <c r="AP164">
        <v>8.3416087387999993E-2</v>
      </c>
      <c r="AQ164">
        <v>0.14954577218699999</v>
      </c>
      <c r="AR164">
        <v>0.165423728814</v>
      </c>
      <c r="AS164">
        <v>0.11793103448300001</v>
      </c>
      <c r="AT164">
        <v>0.13309090909099999</v>
      </c>
      <c r="AU164">
        <v>0.15183946488300001</v>
      </c>
      <c r="AV164">
        <v>0.117564730581</v>
      </c>
      <c r="AW164">
        <v>9.1476091475999999E-2</v>
      </c>
      <c r="AX164">
        <v>9.4429347826000001E-2</v>
      </c>
      <c r="AY164">
        <v>0.14915254237299999</v>
      </c>
      <c r="AZ164">
        <v>0.108737864078</v>
      </c>
      <c r="BA164">
        <v>9.970845481E-2</v>
      </c>
      <c r="BB164">
        <v>7.8265204387000006E-2</v>
      </c>
      <c r="BC164">
        <v>9.0623363016999997E-2</v>
      </c>
      <c r="BD164">
        <v>8.5402184707000006E-2</v>
      </c>
      <c r="BE164">
        <v>7.4468085106000004E-2</v>
      </c>
      <c r="BF164">
        <v>5.3008595988999999E-2</v>
      </c>
      <c r="BG164">
        <v>8.7573234658999993E-2</v>
      </c>
      <c r="BH164">
        <v>6.4488636363999999E-2</v>
      </c>
      <c r="BI164">
        <v>6.0902664491999998E-2</v>
      </c>
      <c r="BJ164">
        <v>6.1749869542999998E-2</v>
      </c>
      <c r="BK164">
        <v>7.0887818307E-2</v>
      </c>
      <c r="BL164">
        <v>5.9267734554000001E-2</v>
      </c>
      <c r="BM164">
        <v>5.9127558403999997E-2</v>
      </c>
      <c r="BN164">
        <v>4.0011231223000002E-2</v>
      </c>
      <c r="BO164">
        <v>5.391600454E-2</v>
      </c>
      <c r="BP164">
        <v>4.6557612799000003E-2</v>
      </c>
      <c r="BQ164">
        <v>3.8601271570999997E-2</v>
      </c>
      <c r="BR164">
        <v>3.8350910834000003E-2</v>
      </c>
      <c r="BS164">
        <v>5.3132832079999998E-2</v>
      </c>
      <c r="BT164">
        <v>4.8274037826000003E-2</v>
      </c>
      <c r="BU164">
        <v>4.6788194444000002E-2</v>
      </c>
      <c r="BV164">
        <v>4.1919191919000003E-2</v>
      </c>
      <c r="BW164">
        <v>6.4619110524000004E-2</v>
      </c>
      <c r="BX164">
        <v>5.7530306142999997E-2</v>
      </c>
      <c r="BY164">
        <v>5.1937412959999998E-2</v>
      </c>
      <c r="BZ164">
        <v>4.9926672193000003E-2</v>
      </c>
      <c r="CA164">
        <v>6.5708571004999994E-2</v>
      </c>
      <c r="CB164">
        <v>5.7961783438999999E-2</v>
      </c>
      <c r="CC164">
        <v>6.8868898393000005E-2</v>
      </c>
      <c r="CD164">
        <v>5.3588123107000001E-2</v>
      </c>
      <c r="CE164">
        <v>5.6066809907999997E-2</v>
      </c>
      <c r="CF164">
        <v>5.2850792761999998E-2</v>
      </c>
      <c r="CG164">
        <v>3.9299610895000003E-2</v>
      </c>
      <c r="CH164">
        <v>7.8691213605999996E-2</v>
      </c>
      <c r="CI164">
        <v>6.9591180523999999E-2</v>
      </c>
      <c r="CJ164">
        <v>5.9817833995E-2</v>
      </c>
      <c r="CK164">
        <v>6.7980870821999995E-2</v>
      </c>
      <c r="CL164">
        <v>8.3394481948999996E-2</v>
      </c>
      <c r="CM164">
        <v>7.3871063917999996E-2</v>
      </c>
      <c r="CN164">
        <v>7.3917843898000005E-2</v>
      </c>
      <c r="CO164">
        <v>9.0841161401000001E-2</v>
      </c>
      <c r="CP164">
        <v>8.7595930131999997E-2</v>
      </c>
      <c r="CQ164">
        <v>8.8660561713999997E-2</v>
      </c>
      <c r="CR164">
        <v>7.0180594144000005E-2</v>
      </c>
      <c r="CS164">
        <v>8.5345298292999999E-2</v>
      </c>
      <c r="CT164">
        <v>7.3030469577000004E-2</v>
      </c>
      <c r="CU164">
        <v>5.9593173590999998E-2</v>
      </c>
      <c r="CV164">
        <v>5.7897389376000002E-2</v>
      </c>
      <c r="CW164">
        <v>7.6289780781000002E-2</v>
      </c>
      <c r="CX164">
        <v>6.3185364825000007E-2</v>
      </c>
      <c r="CY164">
        <v>8.4676701544999997E-2</v>
      </c>
      <c r="CZ164">
        <v>8.3313659757000003E-2</v>
      </c>
      <c r="DA164">
        <v>9.2290617263000002E-2</v>
      </c>
      <c r="DB164">
        <v>7.3591913312999996E-2</v>
      </c>
      <c r="DC164">
        <v>8.4789019963999998E-2</v>
      </c>
      <c r="DD164">
        <v>7.9809725159000006E-2</v>
      </c>
      <c r="DE164">
        <v>7.3375301926999995E-2</v>
      </c>
      <c r="DF164">
        <v>8.1965727747000006E-2</v>
      </c>
      <c r="DG164">
        <v>8.9438474246000002E-2</v>
      </c>
      <c r="DH164">
        <v>7.2599267812000004E-2</v>
      </c>
      <c r="DI164">
        <v>8.2050874403999996E-2</v>
      </c>
      <c r="DJ164">
        <v>8.1959435417000001E-2</v>
      </c>
      <c r="DK164">
        <v>9.5354649659999999E-2</v>
      </c>
      <c r="DL164">
        <v>7.5860915459999997E-2</v>
      </c>
      <c r="DM164">
        <v>7.7795128044999995E-2</v>
      </c>
      <c r="DN164">
        <v>6.7774643592E-2</v>
      </c>
      <c r="DO164">
        <v>8.9276833639000006E-2</v>
      </c>
      <c r="DP164">
        <v>8.3203484962999993E-2</v>
      </c>
      <c r="DQ164">
        <v>7.7637639494000002E-2</v>
      </c>
      <c r="DR164">
        <v>7.4345606115999996E-2</v>
      </c>
      <c r="DS164">
        <v>8.6421682442999997E-2</v>
      </c>
      <c r="DT164">
        <v>7.9377164328999994E-2</v>
      </c>
      <c r="DU164">
        <v>7.1869001919000003E-2</v>
      </c>
      <c r="DV164">
        <v>5.7339949171E-2</v>
      </c>
      <c r="DW164">
        <v>7.9401303480999996E-2</v>
      </c>
      <c r="DX164">
        <v>6.5646885811000005E-2</v>
      </c>
      <c r="DY164">
        <v>6.3230758991000002E-2</v>
      </c>
      <c r="DZ164">
        <v>5.7659149495999998E-2</v>
      </c>
      <c r="EA164">
        <v>7.5667468050000006E-2</v>
      </c>
      <c r="EB164">
        <v>5.8938591880000002E-2</v>
      </c>
      <c r="EC164">
        <v>6.1509754408000002E-2</v>
      </c>
      <c r="ED164">
        <v>6.4955049131999995E-2</v>
      </c>
      <c r="EE164">
        <v>6.9000473813999999E-2</v>
      </c>
      <c r="EF164">
        <v>5.9421523252000001E-2</v>
      </c>
      <c r="EG164">
        <v>6.2424944695999997E-2</v>
      </c>
      <c r="EH164">
        <v>7.2300884955999997E-2</v>
      </c>
      <c r="EI164">
        <v>7.6531842825999993E-2</v>
      </c>
      <c r="EJ164">
        <v>5.9421523252000001E-2</v>
      </c>
      <c r="EK164">
        <v>6.2424944695999997E-2</v>
      </c>
      <c r="EL164">
        <v>7.2300884955999997E-2</v>
      </c>
      <c r="EM164">
        <v>7.6531842825999993E-2</v>
      </c>
      <c r="EN164">
        <v>5.9421523252000001E-2</v>
      </c>
      <c r="EO164">
        <v>6.2424944695999997E-2</v>
      </c>
      <c r="EP164">
        <v>7.2300884955999997E-2</v>
      </c>
      <c r="EQ164">
        <v>7.6531842825999993E-2</v>
      </c>
      <c r="ER164">
        <v>5.9421523252000001E-2</v>
      </c>
      <c r="ES164">
        <v>6.2424944695999997E-2</v>
      </c>
      <c r="ET164">
        <v>7.2300884955999997E-2</v>
      </c>
      <c r="EU164">
        <v>7.6531842825999993E-2</v>
      </c>
      <c r="EV164">
        <v>5.9421523252000001E-2</v>
      </c>
      <c r="EW164">
        <v>6.2424944695999997E-2</v>
      </c>
      <c r="EX164">
        <v>7.2300884955999997E-2</v>
      </c>
      <c r="EY164">
        <v>7.6531842825999993E-2</v>
      </c>
      <c r="EZ164">
        <v>5.9421523252000001E-2</v>
      </c>
      <c r="FA164">
        <v>6.2424944695999997E-2</v>
      </c>
      <c r="FB164">
        <v>7.2300884955999997E-2</v>
      </c>
      <c r="FC164">
        <v>7.6531842825999993E-2</v>
      </c>
      <c r="FD164">
        <v>5.9421523252000001E-2</v>
      </c>
      <c r="FE164">
        <v>6.2424944695999997E-2</v>
      </c>
    </row>
    <row r="165" spans="2:161">
      <c r="B165" t="s">
        <v>795</v>
      </c>
      <c r="C165" t="s">
        <v>796</v>
      </c>
      <c r="G165">
        <v>3.5987320530000001E-3</v>
      </c>
      <c r="H165">
        <v>3.3786137230000001E-3</v>
      </c>
      <c r="I165">
        <v>3.2060576769999999E-3</v>
      </c>
      <c r="J165">
        <v>3.6175866649999998E-3</v>
      </c>
      <c r="K165">
        <v>3.5819395590000001E-3</v>
      </c>
      <c r="L165">
        <v>3.4869272590000002E-3</v>
      </c>
      <c r="M165">
        <v>3.5723004310000001E-3</v>
      </c>
      <c r="N165">
        <v>3.7222266679999999E-3</v>
      </c>
      <c r="O165">
        <v>3.814240764E-3</v>
      </c>
      <c r="P165">
        <v>6.3288616330000004E-3</v>
      </c>
      <c r="Q165">
        <v>4.5737143069999996E-3</v>
      </c>
      <c r="R165">
        <v>3.6589183939999999E-3</v>
      </c>
      <c r="S165">
        <v>3.5220291380000002E-3</v>
      </c>
      <c r="T165">
        <v>3.0766705869999999E-3</v>
      </c>
      <c r="U165">
        <v>3.2289326739999998E-3</v>
      </c>
      <c r="V165">
        <v>3.1659393709999998E-3</v>
      </c>
      <c r="W165">
        <v>3.3151713970000002E-3</v>
      </c>
      <c r="X165">
        <v>3.276981871E-3</v>
      </c>
      <c r="Y165">
        <v>3.4184814779999999E-3</v>
      </c>
      <c r="Z165">
        <v>3.5686574500000002E-3</v>
      </c>
      <c r="AA165">
        <v>3.6023476219999998E-3</v>
      </c>
      <c r="AB165">
        <v>3.72469112E-3</v>
      </c>
      <c r="AC165">
        <v>3.8633152760000002E-3</v>
      </c>
      <c r="AD165">
        <v>3.9201094530000001E-3</v>
      </c>
      <c r="AE165">
        <v>3.7436800379999999E-3</v>
      </c>
      <c r="AF165">
        <v>3.743181861E-3</v>
      </c>
      <c r="AG165">
        <v>3.7494738199999999E-3</v>
      </c>
      <c r="AH165">
        <v>3.7470419440000001E-3</v>
      </c>
      <c r="AI165">
        <v>3.7466629560000001E-3</v>
      </c>
      <c r="AJ165">
        <v>3.7456312999999998E-3</v>
      </c>
      <c r="AP165">
        <v>4.170804369E-3</v>
      </c>
      <c r="AQ165">
        <v>3.3193570929999998E-3</v>
      </c>
      <c r="AR165">
        <v>3.627118644E-3</v>
      </c>
      <c r="AS165">
        <v>3.4482758619999998E-3</v>
      </c>
      <c r="AT165">
        <v>3.3454545449999999E-3</v>
      </c>
      <c r="AU165">
        <v>3.2107023410000001E-3</v>
      </c>
      <c r="AV165">
        <v>4.023792862E-3</v>
      </c>
      <c r="AW165">
        <v>2.9452529449999999E-3</v>
      </c>
      <c r="AX165">
        <v>3.2608695649999999E-3</v>
      </c>
      <c r="AY165">
        <v>3.3220338980000002E-3</v>
      </c>
      <c r="AZ165">
        <v>3.365695793E-3</v>
      </c>
      <c r="BA165">
        <v>2.9154518949999998E-3</v>
      </c>
      <c r="BB165">
        <v>3.3150548350000001E-3</v>
      </c>
      <c r="BC165">
        <v>3.6668412779999999E-3</v>
      </c>
      <c r="BD165">
        <v>3.6246276069999998E-3</v>
      </c>
      <c r="BE165">
        <v>3.8297872339999998E-3</v>
      </c>
      <c r="BF165">
        <v>3.724928367E-3</v>
      </c>
      <c r="BG165">
        <v>3.7002775210000002E-3</v>
      </c>
      <c r="BH165">
        <v>3.650568182E-3</v>
      </c>
      <c r="BI165">
        <v>3.2762370850000001E-3</v>
      </c>
      <c r="BJ165">
        <v>3.3049225949999999E-3</v>
      </c>
      <c r="BK165">
        <v>3.739389768E-3</v>
      </c>
      <c r="BL165">
        <v>3.5469107549999999E-3</v>
      </c>
      <c r="BM165">
        <v>3.4215422779999998E-3</v>
      </c>
      <c r="BN165">
        <v>3.3834058679999999E-3</v>
      </c>
      <c r="BO165">
        <v>4.0862656070000001E-3</v>
      </c>
      <c r="BP165">
        <v>3.568218587E-3</v>
      </c>
      <c r="BQ165">
        <v>3.3681501670000001E-3</v>
      </c>
      <c r="BR165">
        <v>3.5330776609999999E-3</v>
      </c>
      <c r="BS165">
        <v>3.6904761899999999E-3</v>
      </c>
      <c r="BT165">
        <v>3.7957942069999999E-3</v>
      </c>
      <c r="BU165">
        <v>3.8671875E-3</v>
      </c>
      <c r="BV165">
        <v>3.2533670030000001E-3</v>
      </c>
      <c r="BW165">
        <v>3.8143989429999998E-3</v>
      </c>
      <c r="BX165">
        <v>3.724059996E-3</v>
      </c>
      <c r="BY165">
        <v>4.4318833459999997E-3</v>
      </c>
      <c r="BZ165">
        <v>5.7801441050000001E-3</v>
      </c>
      <c r="CA165">
        <v>6.9857026450000003E-3</v>
      </c>
      <c r="CB165">
        <v>5.8121019110000003E-3</v>
      </c>
      <c r="CC165">
        <v>6.7148404860000004E-3</v>
      </c>
      <c r="CD165">
        <v>4.7118656739999999E-3</v>
      </c>
      <c r="CE165">
        <v>5.1141200789999999E-3</v>
      </c>
      <c r="CF165">
        <v>4.7110706660000003E-3</v>
      </c>
      <c r="CG165">
        <v>3.832684825E-3</v>
      </c>
      <c r="CH165">
        <v>4.141756416E-3</v>
      </c>
      <c r="CI165">
        <v>3.4170366969999998E-3</v>
      </c>
      <c r="CJ165">
        <v>3.7832281639999998E-3</v>
      </c>
      <c r="CK165">
        <v>3.1793916480000002E-3</v>
      </c>
      <c r="CL165">
        <v>3.9193205169999997E-3</v>
      </c>
      <c r="CM165">
        <v>3.8724399700000001E-3</v>
      </c>
      <c r="CN165">
        <v>3.1565835290000002E-3</v>
      </c>
      <c r="CO165">
        <v>2.8808176769999998E-3</v>
      </c>
      <c r="CP165">
        <v>3.4109455850000001E-3</v>
      </c>
      <c r="CQ165">
        <v>3.1119922880000002E-3</v>
      </c>
      <c r="CR165">
        <v>3.1283393890000001E-3</v>
      </c>
      <c r="CS165">
        <v>2.535431949E-3</v>
      </c>
      <c r="CT165">
        <v>3.5033981690000002E-3</v>
      </c>
      <c r="CU165">
        <v>3.6286847099999998E-3</v>
      </c>
      <c r="CV165">
        <v>2.9755065009999999E-3</v>
      </c>
      <c r="CW165">
        <v>2.6251917439999999E-3</v>
      </c>
      <c r="CX165">
        <v>3.5902572750000001E-3</v>
      </c>
      <c r="CY165">
        <v>3.124196452E-3</v>
      </c>
      <c r="CZ165">
        <v>2.803484584E-3</v>
      </c>
      <c r="DA165">
        <v>2.8515324850000002E-3</v>
      </c>
      <c r="DB165">
        <v>3.7414965990000002E-3</v>
      </c>
      <c r="DC165">
        <v>3.5872277680000001E-3</v>
      </c>
      <c r="DD165">
        <v>3.0049770969999999E-3</v>
      </c>
      <c r="DE165">
        <v>2.6740713969999998E-3</v>
      </c>
      <c r="DF165">
        <v>3.880828605E-3</v>
      </c>
      <c r="DG165">
        <v>3.2369923290000002E-3</v>
      </c>
      <c r="DH165">
        <v>2.972871492E-3</v>
      </c>
      <c r="DI165">
        <v>2.725755167E-3</v>
      </c>
      <c r="DJ165">
        <v>4.108646661E-3</v>
      </c>
      <c r="DK165">
        <v>3.1155735589999999E-3</v>
      </c>
      <c r="DL165">
        <v>3.334943968E-3</v>
      </c>
      <c r="DM165">
        <v>2.8544659590000001E-3</v>
      </c>
      <c r="DN165">
        <v>4.0176869710000004E-3</v>
      </c>
      <c r="DO165">
        <v>3.3311611479999999E-3</v>
      </c>
      <c r="DP165">
        <v>3.5176342459999998E-3</v>
      </c>
      <c r="DQ165">
        <v>3.1925252710000001E-3</v>
      </c>
      <c r="DR165">
        <v>3.6903597479999999E-3</v>
      </c>
      <c r="DS165">
        <v>4.2105733169999996E-3</v>
      </c>
      <c r="DT165">
        <v>3.312498465E-3</v>
      </c>
      <c r="DU165">
        <v>3.1142034550000002E-3</v>
      </c>
      <c r="DV165">
        <v>3.9574004599999997E-3</v>
      </c>
      <c r="DW165">
        <v>3.6195234279999999E-3</v>
      </c>
      <c r="DX165">
        <v>3.7066502729999999E-3</v>
      </c>
      <c r="DY165">
        <v>3.5348212900000002E-3</v>
      </c>
      <c r="DZ165">
        <v>4.0694299810000003E-3</v>
      </c>
      <c r="EA165">
        <v>4.2805474710000003E-3</v>
      </c>
      <c r="EB165">
        <v>3.4414465080000001E-3</v>
      </c>
      <c r="EC165">
        <v>3.5369505460000001E-3</v>
      </c>
      <c r="ED165">
        <v>4.2492159729999998E-3</v>
      </c>
      <c r="EE165">
        <v>3.7040097850000002E-3</v>
      </c>
      <c r="EF165">
        <v>3.7247747069999999E-3</v>
      </c>
      <c r="EG165">
        <v>3.8886547979999999E-3</v>
      </c>
      <c r="EH165">
        <v>4.1395816570000002E-3</v>
      </c>
      <c r="EI165">
        <v>3.8223974659999998E-3</v>
      </c>
      <c r="EJ165">
        <v>3.3408889449999999E-3</v>
      </c>
      <c r="EK165">
        <v>3.5359960610000002E-3</v>
      </c>
      <c r="EL165">
        <v>4.1395816570000002E-3</v>
      </c>
      <c r="EM165">
        <v>3.8223974659999998E-3</v>
      </c>
      <c r="EN165">
        <v>3.3408889449999999E-3</v>
      </c>
      <c r="EO165">
        <v>3.5359960610000002E-3</v>
      </c>
      <c r="EP165">
        <v>4.1395816570000002E-3</v>
      </c>
      <c r="EQ165">
        <v>3.8223974659999998E-3</v>
      </c>
      <c r="ER165">
        <v>3.3408889449999999E-3</v>
      </c>
      <c r="ES165">
        <v>3.5359960610000002E-3</v>
      </c>
      <c r="ET165">
        <v>4.1395816570000002E-3</v>
      </c>
      <c r="EU165">
        <v>3.8223974659999998E-3</v>
      </c>
      <c r="EV165">
        <v>3.3408889449999999E-3</v>
      </c>
      <c r="EW165">
        <v>3.5359960610000002E-3</v>
      </c>
      <c r="EX165">
        <v>4.1395816570000002E-3</v>
      </c>
      <c r="EY165">
        <v>3.8223974659999998E-3</v>
      </c>
      <c r="EZ165">
        <v>3.3408889449999999E-3</v>
      </c>
      <c r="FA165">
        <v>3.5359960610000002E-3</v>
      </c>
      <c r="FB165">
        <v>4.1395816570000002E-3</v>
      </c>
      <c r="FC165">
        <v>3.8223974659999998E-3</v>
      </c>
      <c r="FD165">
        <v>3.3408889449999999E-3</v>
      </c>
      <c r="FE165">
        <v>3.5359960610000002E-3</v>
      </c>
    </row>
    <row r="166" spans="2:161">
      <c r="B166" t="s">
        <v>797</v>
      </c>
      <c r="C166" t="s">
        <v>798</v>
      </c>
      <c r="G166">
        <v>1.7993660264999999E-2</v>
      </c>
      <c r="H166">
        <v>1.6893068617E-2</v>
      </c>
      <c r="I166">
        <v>1.6030288383999999E-2</v>
      </c>
      <c r="J166">
        <v>1.8087933325E-2</v>
      </c>
      <c r="K166">
        <v>1.7909697796000001E-2</v>
      </c>
      <c r="L166">
        <v>1.7434636292999999E-2</v>
      </c>
      <c r="M166">
        <v>1.7861502155999999E-2</v>
      </c>
      <c r="N166">
        <v>1.8611133339E-2</v>
      </c>
      <c r="O166">
        <v>1.9071203822000001E-2</v>
      </c>
      <c r="P166">
        <v>3.1644308163999997E-2</v>
      </c>
      <c r="Q166">
        <v>2.2868571534000001E-2</v>
      </c>
      <c r="R166">
        <v>1.8294591969999999E-2</v>
      </c>
      <c r="S166">
        <v>1.7610145691000001E-2</v>
      </c>
      <c r="T166">
        <v>1.5383352935999999E-2</v>
      </c>
      <c r="U166">
        <v>1.6144663372E-2</v>
      </c>
      <c r="V166">
        <v>1.5829696854E-2</v>
      </c>
      <c r="W166">
        <v>1.6575856985000002E-2</v>
      </c>
      <c r="X166">
        <v>1.6384909353999999E-2</v>
      </c>
      <c r="Y166">
        <v>1.7092407388999999E-2</v>
      </c>
      <c r="Z166">
        <v>1.7843287252E-2</v>
      </c>
      <c r="AA166">
        <v>1.8011738108999999E-2</v>
      </c>
      <c r="AB166">
        <v>1.8623455600000002E-2</v>
      </c>
      <c r="AC166">
        <v>1.9316576381000001E-2</v>
      </c>
      <c r="AD166">
        <v>1.9600547265999999E-2</v>
      </c>
      <c r="AE166">
        <v>1.8718400188999999E-2</v>
      </c>
      <c r="AF166">
        <v>1.8715909304000002E-2</v>
      </c>
      <c r="AG166">
        <v>1.8747369098E-2</v>
      </c>
      <c r="AH166">
        <v>1.8735209720999998E-2</v>
      </c>
      <c r="AI166">
        <v>1.8733314777999999E-2</v>
      </c>
      <c r="AJ166">
        <v>1.8728156498000002E-2</v>
      </c>
      <c r="AP166">
        <v>2.0854021846999998E-2</v>
      </c>
      <c r="AQ166">
        <v>1.6596785465E-2</v>
      </c>
      <c r="AR166">
        <v>1.8135593219999999E-2</v>
      </c>
      <c r="AS166">
        <v>1.7241379309999999E-2</v>
      </c>
      <c r="AT166">
        <v>1.6727272727E-2</v>
      </c>
      <c r="AU166">
        <v>1.6053511706000001E-2</v>
      </c>
      <c r="AV166">
        <v>2.0118964311E-2</v>
      </c>
      <c r="AW166">
        <v>1.4726264726000001E-2</v>
      </c>
      <c r="AX166">
        <v>1.6304347826000001E-2</v>
      </c>
      <c r="AY166">
        <v>1.6610169492000001E-2</v>
      </c>
      <c r="AZ166">
        <v>1.6828478963999999E-2</v>
      </c>
      <c r="BA166">
        <v>1.4577259475E-2</v>
      </c>
      <c r="BB166">
        <v>1.6575274176999999E-2</v>
      </c>
      <c r="BC166">
        <v>1.8334206390999998E-2</v>
      </c>
      <c r="BD166">
        <v>1.8123138034000001E-2</v>
      </c>
      <c r="BE166">
        <v>1.9148936169999999E-2</v>
      </c>
      <c r="BF166">
        <v>1.8624641833999998E-2</v>
      </c>
      <c r="BG166">
        <v>1.8501387604E-2</v>
      </c>
      <c r="BH166">
        <v>1.8252840909E-2</v>
      </c>
      <c r="BI166">
        <v>1.6381185427000001E-2</v>
      </c>
      <c r="BJ166">
        <v>1.6524612976000001E-2</v>
      </c>
      <c r="BK166">
        <v>1.8696948841E-2</v>
      </c>
      <c r="BL166">
        <v>1.7734553776E-2</v>
      </c>
      <c r="BM166">
        <v>1.7107711391000001E-2</v>
      </c>
      <c r="BN166">
        <v>1.6917029342000001E-2</v>
      </c>
      <c r="BO166">
        <v>2.0431328036E-2</v>
      </c>
      <c r="BP166">
        <v>1.7841092935E-2</v>
      </c>
      <c r="BQ166">
        <v>1.6840750833E-2</v>
      </c>
      <c r="BR166">
        <v>1.7665388303000001E-2</v>
      </c>
      <c r="BS166">
        <v>1.8452380952000001E-2</v>
      </c>
      <c r="BT166">
        <v>1.8978971035999999E-2</v>
      </c>
      <c r="BU166">
        <v>1.9335937500000001E-2</v>
      </c>
      <c r="BV166">
        <v>1.6266835016999999E-2</v>
      </c>
      <c r="BW166">
        <v>1.9071994716000001E-2</v>
      </c>
      <c r="BX166">
        <v>1.8620299978999999E-2</v>
      </c>
      <c r="BY166">
        <v>2.2159416727999998E-2</v>
      </c>
      <c r="BZ166">
        <v>2.8900720525E-2</v>
      </c>
      <c r="CA166">
        <v>3.4928513223000002E-2</v>
      </c>
      <c r="CB166">
        <v>2.9060509554E-2</v>
      </c>
      <c r="CC166">
        <v>3.3574202428000001E-2</v>
      </c>
      <c r="CD166">
        <v>2.3559328372000001E-2</v>
      </c>
      <c r="CE166">
        <v>2.5570600397000001E-2</v>
      </c>
      <c r="CF166">
        <v>2.3555353330000001E-2</v>
      </c>
      <c r="CG166">
        <v>1.9163424124999998E-2</v>
      </c>
      <c r="CH166">
        <v>2.0708782078000001E-2</v>
      </c>
      <c r="CI166">
        <v>1.7085183484E-2</v>
      </c>
      <c r="CJ166">
        <v>1.8916140822000001E-2</v>
      </c>
      <c r="CK166">
        <v>1.5896958238000001E-2</v>
      </c>
      <c r="CL166">
        <v>1.9596602583E-2</v>
      </c>
      <c r="CM166">
        <v>1.9362199848999999E-2</v>
      </c>
      <c r="CN166">
        <v>1.5782917646E-2</v>
      </c>
      <c r="CO166">
        <v>1.4404088386E-2</v>
      </c>
      <c r="CP166">
        <v>1.7054727923000002E-2</v>
      </c>
      <c r="CQ166">
        <v>1.5559961442E-2</v>
      </c>
      <c r="CR166">
        <v>1.5641696944E-2</v>
      </c>
      <c r="CS166">
        <v>1.2677159746E-2</v>
      </c>
      <c r="CT166">
        <v>1.7516990844000001E-2</v>
      </c>
      <c r="CU166">
        <v>1.8143423547999998E-2</v>
      </c>
      <c r="CV166">
        <v>1.4877532507E-2</v>
      </c>
      <c r="CW166">
        <v>1.3125958719E-2</v>
      </c>
      <c r="CX166">
        <v>1.7951286377000001E-2</v>
      </c>
      <c r="CY166">
        <v>1.5620982258E-2</v>
      </c>
      <c r="CZ166">
        <v>1.4017422918999999E-2</v>
      </c>
      <c r="DA166">
        <v>1.4257662426E-2</v>
      </c>
      <c r="DB166">
        <v>1.8707482992999999E-2</v>
      </c>
      <c r="DC166">
        <v>1.7936138838E-2</v>
      </c>
      <c r="DD166">
        <v>1.5024885482999999E-2</v>
      </c>
      <c r="DE166">
        <v>1.3370356987000001E-2</v>
      </c>
      <c r="DF166">
        <v>1.9404143023999999E-2</v>
      </c>
      <c r="DG166">
        <v>1.6184961644E-2</v>
      </c>
      <c r="DH166">
        <v>1.4864357458000001E-2</v>
      </c>
      <c r="DI166">
        <v>1.3628775835000001E-2</v>
      </c>
      <c r="DJ166">
        <v>2.0543233306000001E-2</v>
      </c>
      <c r="DK166">
        <v>1.5577867792999999E-2</v>
      </c>
      <c r="DL166">
        <v>1.6674719841999999E-2</v>
      </c>
      <c r="DM166">
        <v>1.4272329794E-2</v>
      </c>
      <c r="DN166">
        <v>2.0088434855999999E-2</v>
      </c>
      <c r="DO166">
        <v>1.6655805738000001E-2</v>
      </c>
      <c r="DP166">
        <v>1.7588171231999999E-2</v>
      </c>
      <c r="DQ166">
        <v>1.5962626356000001E-2</v>
      </c>
      <c r="DR166">
        <v>1.8451798742000002E-2</v>
      </c>
      <c r="DS166">
        <v>2.1052866582999999E-2</v>
      </c>
      <c r="DT166">
        <v>1.6562492325000001E-2</v>
      </c>
      <c r="DU166">
        <v>1.5571017273999999E-2</v>
      </c>
      <c r="DV166">
        <v>1.9787002299E-2</v>
      </c>
      <c r="DW166">
        <v>1.8097617138999999E-2</v>
      </c>
      <c r="DX166">
        <v>1.8533251365E-2</v>
      </c>
      <c r="DY166">
        <v>1.7674106450000001E-2</v>
      </c>
      <c r="DZ166">
        <v>2.0347149905E-2</v>
      </c>
      <c r="EA166">
        <v>2.1402737357000001E-2</v>
      </c>
      <c r="EB166">
        <v>1.7207232539E-2</v>
      </c>
      <c r="EC166">
        <v>1.7684752732E-2</v>
      </c>
      <c r="ED166">
        <v>2.1246079865999998E-2</v>
      </c>
      <c r="EE166">
        <v>1.8520048923999999E-2</v>
      </c>
      <c r="EF166">
        <v>1.8623873533000001E-2</v>
      </c>
      <c r="EG166">
        <v>1.9443273991000001E-2</v>
      </c>
      <c r="EH166">
        <v>2.0697908285999999E-2</v>
      </c>
      <c r="EI166">
        <v>1.9111987332000001E-2</v>
      </c>
      <c r="EJ166">
        <v>1.6704444724000001E-2</v>
      </c>
      <c r="EK166">
        <v>1.7679980304E-2</v>
      </c>
      <c r="EL166">
        <v>2.0697908285999999E-2</v>
      </c>
      <c r="EM166">
        <v>1.9111987332000001E-2</v>
      </c>
      <c r="EN166">
        <v>1.6704444724000001E-2</v>
      </c>
      <c r="EO166">
        <v>1.7679980304E-2</v>
      </c>
      <c r="EP166">
        <v>2.0697908285999999E-2</v>
      </c>
      <c r="EQ166">
        <v>1.9111987332000001E-2</v>
      </c>
      <c r="ER166">
        <v>1.6704444724000001E-2</v>
      </c>
      <c r="ES166">
        <v>1.7679980304E-2</v>
      </c>
      <c r="ET166">
        <v>2.0697908285999999E-2</v>
      </c>
      <c r="EU166">
        <v>1.9111987332000001E-2</v>
      </c>
      <c r="EV166">
        <v>1.6704444724000001E-2</v>
      </c>
      <c r="EW166">
        <v>1.7679980304E-2</v>
      </c>
      <c r="EX166">
        <v>2.0697908285999999E-2</v>
      </c>
      <c r="EY166">
        <v>1.9111987332000001E-2</v>
      </c>
      <c r="EZ166">
        <v>1.6704444724000001E-2</v>
      </c>
      <c r="FA166">
        <v>1.7679980304E-2</v>
      </c>
      <c r="FB166">
        <v>2.0697908285999999E-2</v>
      </c>
      <c r="FC166">
        <v>1.9111987332000001E-2</v>
      </c>
      <c r="FD166">
        <v>1.6704444724000001E-2</v>
      </c>
      <c r="FE166">
        <v>1.7679980304E-2</v>
      </c>
    </row>
    <row r="167" spans="2:161">
      <c r="B167" t="s">
        <v>799</v>
      </c>
      <c r="C167" t="s">
        <v>800</v>
      </c>
      <c r="Q167">
        <v>2.3445944069999999E-3</v>
      </c>
      <c r="R167">
        <v>3.0357553610000001E-3</v>
      </c>
      <c r="S167">
        <v>3.1614299919999998E-3</v>
      </c>
      <c r="T167">
        <v>3.4851062670000002E-3</v>
      </c>
      <c r="U167">
        <v>5.0244956460000004E-3</v>
      </c>
      <c r="V167">
        <v>4.4975166830000003E-3</v>
      </c>
      <c r="W167">
        <v>3.9055288480000002E-3</v>
      </c>
      <c r="X167">
        <v>3.9113688129999999E-3</v>
      </c>
      <c r="Y167">
        <v>3.357599145E-3</v>
      </c>
      <c r="Z167">
        <v>2.9366701270000001E-3</v>
      </c>
      <c r="AA167">
        <v>3.737715852E-3</v>
      </c>
      <c r="AB167">
        <v>3.7633645090000001E-3</v>
      </c>
      <c r="AC167">
        <v>3.7861643419999998E-3</v>
      </c>
      <c r="AD167">
        <v>3.4243482039999999E-3</v>
      </c>
      <c r="AE167">
        <v>3.218661601E-3</v>
      </c>
      <c r="AF167">
        <v>3.2162006E-3</v>
      </c>
      <c r="AG167">
        <v>3.2142249899999998E-3</v>
      </c>
      <c r="AH167">
        <v>3.216843666E-3</v>
      </c>
      <c r="AI167">
        <v>3.215310183E-3</v>
      </c>
      <c r="AJ167">
        <v>3.2154047639999998E-3</v>
      </c>
      <c r="CD167">
        <v>1.845106765E-3</v>
      </c>
      <c r="CE167">
        <v>1.799975676E-3</v>
      </c>
      <c r="CF167">
        <v>2.5480382209999998E-3</v>
      </c>
      <c r="CG167">
        <v>3.0866643079999999E-3</v>
      </c>
      <c r="CH167">
        <v>1.939438413E-3</v>
      </c>
      <c r="CI167">
        <v>4.0284795589999997E-3</v>
      </c>
      <c r="CJ167">
        <v>3.239014362E-3</v>
      </c>
      <c r="CK167">
        <v>3.1685480729999999E-3</v>
      </c>
      <c r="CL167">
        <v>2.6643674790000002E-3</v>
      </c>
      <c r="CM167">
        <v>4.0226589910000001E-3</v>
      </c>
      <c r="CN167">
        <v>2.7930809949999998E-3</v>
      </c>
      <c r="CO167">
        <v>3.2296114429999998E-3</v>
      </c>
      <c r="CP167">
        <v>3.2975657189999999E-3</v>
      </c>
      <c r="CQ167">
        <v>4.3092494409999998E-3</v>
      </c>
      <c r="CR167">
        <v>3.328702714E-3</v>
      </c>
      <c r="CS167">
        <v>2.98744154E-3</v>
      </c>
      <c r="CT167">
        <v>4.3282081529999999E-3</v>
      </c>
      <c r="CU167">
        <v>5.8000344770000002E-3</v>
      </c>
      <c r="CV167">
        <v>5.3341397039999997E-3</v>
      </c>
      <c r="CW167">
        <v>4.8612648299999998E-3</v>
      </c>
      <c r="CX167">
        <v>4.8431568960000003E-3</v>
      </c>
      <c r="CY167">
        <v>4.9393753590000001E-3</v>
      </c>
      <c r="CZ167">
        <v>4.1777232160000004E-3</v>
      </c>
      <c r="DA167">
        <v>3.7501067190000002E-3</v>
      </c>
      <c r="DB167">
        <v>4.1436612170000003E-3</v>
      </c>
      <c r="DC167">
        <v>4.0555051420000003E-3</v>
      </c>
      <c r="DD167">
        <v>3.525369979E-3</v>
      </c>
      <c r="DE167">
        <v>3.7281043760000001E-3</v>
      </c>
      <c r="DF167">
        <v>4.0673666089999999E-3</v>
      </c>
      <c r="DG167">
        <v>4.260595057E-3</v>
      </c>
      <c r="DH167">
        <v>3.586219844E-3</v>
      </c>
      <c r="DI167">
        <v>3.6282988870000002E-3</v>
      </c>
      <c r="DJ167">
        <v>3.1239473370000001E-3</v>
      </c>
      <c r="DK167">
        <v>3.5225372749999998E-3</v>
      </c>
      <c r="DL167">
        <v>3.4035198569999999E-3</v>
      </c>
      <c r="DM167">
        <v>3.4772017490000001E-3</v>
      </c>
      <c r="DN167">
        <v>2.9575578039999998E-3</v>
      </c>
      <c r="DO167">
        <v>3.2428446489999999E-3</v>
      </c>
      <c r="DP167">
        <v>3.1260785789999999E-3</v>
      </c>
      <c r="DQ167">
        <v>2.4563355899999998E-3</v>
      </c>
      <c r="DR167">
        <v>3.825052271E-3</v>
      </c>
      <c r="DS167">
        <v>3.9578496160000004E-3</v>
      </c>
      <c r="DT167">
        <v>3.6255126849999999E-3</v>
      </c>
      <c r="DU167">
        <v>3.4940019189999998E-3</v>
      </c>
      <c r="DV167">
        <v>4.1603937230000002E-3</v>
      </c>
      <c r="DW167">
        <v>3.7712535210000001E-3</v>
      </c>
      <c r="DX167">
        <v>3.5207753229999999E-3</v>
      </c>
      <c r="DY167">
        <v>3.4322099699999999E-3</v>
      </c>
      <c r="DZ167">
        <v>4.0809532750000002E-3</v>
      </c>
      <c r="EA167">
        <v>3.7563794339999998E-3</v>
      </c>
      <c r="EB167">
        <v>3.8529530419999999E-3</v>
      </c>
      <c r="EC167">
        <v>3.3708015819999999E-3</v>
      </c>
      <c r="ED167">
        <v>3.4821660050000001E-3</v>
      </c>
      <c r="EE167">
        <v>3.6080349959999999E-3</v>
      </c>
      <c r="EF167">
        <v>3.4340207749999998E-3</v>
      </c>
      <c r="EG167">
        <v>3.1671758140000002E-3</v>
      </c>
      <c r="EH167">
        <v>2.9787610620000001E-3</v>
      </c>
      <c r="EI167">
        <v>3.3561593559999999E-3</v>
      </c>
      <c r="EJ167">
        <v>3.4545222270000002E-3</v>
      </c>
      <c r="EK167">
        <v>3.1743293140000001E-3</v>
      </c>
      <c r="EL167">
        <v>2.9787610620000001E-3</v>
      </c>
      <c r="EM167">
        <v>3.3561593559999999E-3</v>
      </c>
      <c r="EN167">
        <v>3.4545222270000002E-3</v>
      </c>
      <c r="EO167">
        <v>3.1743293140000001E-3</v>
      </c>
      <c r="EP167">
        <v>2.9787610620000001E-3</v>
      </c>
      <c r="EQ167">
        <v>3.3561593559999999E-3</v>
      </c>
      <c r="ER167">
        <v>3.4545222270000002E-3</v>
      </c>
      <c r="ES167">
        <v>3.1743293140000001E-3</v>
      </c>
      <c r="ET167">
        <v>2.9787610620000001E-3</v>
      </c>
      <c r="EU167">
        <v>3.3561593559999999E-3</v>
      </c>
      <c r="EV167">
        <v>3.4545222270000002E-3</v>
      </c>
      <c r="EW167">
        <v>3.1743293140000001E-3</v>
      </c>
      <c r="EX167">
        <v>2.9787610620000001E-3</v>
      </c>
      <c r="EY167">
        <v>3.3561593559999999E-3</v>
      </c>
      <c r="EZ167">
        <v>3.4545222270000002E-3</v>
      </c>
      <c r="FA167">
        <v>3.1743293140000001E-3</v>
      </c>
      <c r="FB167">
        <v>2.9787610620000001E-3</v>
      </c>
      <c r="FC167">
        <v>3.3561593559999999E-3</v>
      </c>
      <c r="FD167">
        <v>3.4545222270000002E-3</v>
      </c>
      <c r="FE167">
        <v>3.1743293140000001E-3</v>
      </c>
    </row>
    <row r="168" spans="2:161">
      <c r="B168" t="s">
        <v>801</v>
      </c>
      <c r="C168" t="s">
        <v>802</v>
      </c>
    </row>
    <row r="169" spans="2:161">
      <c r="B169" t="s">
        <v>475</v>
      </c>
      <c r="C169" t="s">
        <v>476</v>
      </c>
      <c r="Q169">
        <v>0.11019593714500001</v>
      </c>
      <c r="R169">
        <v>0.14268050195500001</v>
      </c>
      <c r="S169">
        <v>0.14858720964300001</v>
      </c>
      <c r="T169">
        <v>0.16379999452899999</v>
      </c>
      <c r="U169">
        <v>0.23615129538099999</v>
      </c>
      <c r="V169">
        <v>0.21138328410000001</v>
      </c>
      <c r="W169">
        <v>0.183559855868</v>
      </c>
      <c r="X169">
        <v>0.18383433423100001</v>
      </c>
      <c r="Y169">
        <v>0.15780715982400001</v>
      </c>
      <c r="Z169">
        <v>0.13802349598399999</v>
      </c>
      <c r="AA169">
        <v>0.175672645066</v>
      </c>
      <c r="AB169">
        <v>0.17687813191000001</v>
      </c>
      <c r="AC169">
        <v>0.17794972409599999</v>
      </c>
      <c r="AD169">
        <v>0.16094436559399999</v>
      </c>
      <c r="AE169">
        <v>0.151277095242</v>
      </c>
      <c r="AF169">
        <v>0.15116142819100001</v>
      </c>
      <c r="AG169">
        <v>0.15106857454700001</v>
      </c>
      <c r="AH169">
        <v>0.151191652309</v>
      </c>
      <c r="AI169">
        <v>0.15111957862</v>
      </c>
      <c r="AJ169">
        <v>0.15112402390099999</v>
      </c>
      <c r="CD169">
        <v>8.6720017950000006E-2</v>
      </c>
      <c r="CE169">
        <v>8.4598856772000006E-2</v>
      </c>
      <c r="CF169">
        <v>0.119757796367</v>
      </c>
      <c r="CG169">
        <v>0.145073222497</v>
      </c>
      <c r="CH169">
        <v>9.1153605422000003E-2</v>
      </c>
      <c r="CI169">
        <v>0.18933853927399999</v>
      </c>
      <c r="CJ169">
        <v>0.15223367501400001</v>
      </c>
      <c r="CK169">
        <v>0.14892175943899999</v>
      </c>
      <c r="CL169">
        <v>0.12522527150000001</v>
      </c>
      <c r="CM169">
        <v>0.18906497259400001</v>
      </c>
      <c r="CN169">
        <v>0.13127480678299999</v>
      </c>
      <c r="CO169">
        <v>0.151791737831</v>
      </c>
      <c r="CP169">
        <v>0.154985588777</v>
      </c>
      <c r="CQ169">
        <v>0.202534723744</v>
      </c>
      <c r="CR169">
        <v>0.15644902757000001</v>
      </c>
      <c r="CS169">
        <v>0.14040975239199999</v>
      </c>
      <c r="CT169">
        <v>0.203425783187</v>
      </c>
      <c r="CU169">
        <v>0.27260162041000002</v>
      </c>
      <c r="CV169">
        <v>0.25070456607199998</v>
      </c>
      <c r="CW169">
        <v>0.22847944700100001</v>
      </c>
      <c r="CX169">
        <v>0.227628374104</v>
      </c>
      <c r="CY169">
        <v>0.23215064185000001</v>
      </c>
      <c r="CZ169">
        <v>0.19635299116999999</v>
      </c>
      <c r="DA169">
        <v>0.17625501579399999</v>
      </c>
      <c r="DB169">
        <v>0.19475207719099999</v>
      </c>
      <c r="DC169">
        <v>0.19060874168200001</v>
      </c>
      <c r="DD169">
        <v>0.165692389006</v>
      </c>
      <c r="DE169">
        <v>0.17522090568500001</v>
      </c>
      <c r="DF169">
        <v>0.19116623061900001</v>
      </c>
      <c r="DG169">
        <v>0.20024796767899999</v>
      </c>
      <c r="DH169">
        <v>0.16855233267600001</v>
      </c>
      <c r="DI169">
        <v>0.17053004769499999</v>
      </c>
      <c r="DJ169">
        <v>0.14682552484899999</v>
      </c>
      <c r="DK169">
        <v>0.165559251918</v>
      </c>
      <c r="DL169">
        <v>0.159965433292</v>
      </c>
      <c r="DM169">
        <v>0.163428482199</v>
      </c>
      <c r="DN169">
        <v>0.139005216785</v>
      </c>
      <c r="DO169">
        <v>0.15241369848899999</v>
      </c>
      <c r="DP169">
        <v>0.146925693223</v>
      </c>
      <c r="DQ169">
        <v>0.115447772729</v>
      </c>
      <c r="DR169">
        <v>0.17977745672500001</v>
      </c>
      <c r="DS169">
        <v>0.18601893195200001</v>
      </c>
      <c r="DT169">
        <v>0.17039909620099999</v>
      </c>
      <c r="DU169">
        <v>0.16421809021100001</v>
      </c>
      <c r="DV169">
        <v>0.19553850498200001</v>
      </c>
      <c r="DW169">
        <v>0.17724891547900001</v>
      </c>
      <c r="DX169">
        <v>0.16547644016900001</v>
      </c>
      <c r="DY169">
        <v>0.16131386861300001</v>
      </c>
      <c r="DZ169">
        <v>0.19180480393300001</v>
      </c>
      <c r="EA169">
        <v>0.17654983339700001</v>
      </c>
      <c r="EB169">
        <v>0.18108879298800001</v>
      </c>
      <c r="EC169">
        <v>0.158427674361</v>
      </c>
      <c r="ED169">
        <v>0.16366180221599999</v>
      </c>
      <c r="EE169">
        <v>0.16957764481599999</v>
      </c>
      <c r="EF169">
        <v>0.16139897641600001</v>
      </c>
      <c r="EG169">
        <v>0.14885726324699999</v>
      </c>
      <c r="EH169">
        <v>0.140001769912</v>
      </c>
      <c r="EI169">
        <v>0.157739489718</v>
      </c>
      <c r="EJ169">
        <v>0.16236254467899999</v>
      </c>
      <c r="EK169">
        <v>0.14919347774300001</v>
      </c>
      <c r="EL169">
        <v>0.140001769912</v>
      </c>
      <c r="EM169">
        <v>0.157739489718</v>
      </c>
      <c r="EN169">
        <v>0.16236254467899999</v>
      </c>
      <c r="EO169">
        <v>0.14919347774300001</v>
      </c>
      <c r="EP169">
        <v>0.140001769912</v>
      </c>
      <c r="EQ169">
        <v>0.157739489718</v>
      </c>
      <c r="ER169">
        <v>0.16236254467899999</v>
      </c>
      <c r="ES169">
        <v>0.14919347774300001</v>
      </c>
      <c r="ET169">
        <v>0.140001769912</v>
      </c>
      <c r="EU169">
        <v>0.157739489718</v>
      </c>
      <c r="EV169">
        <v>0.16236254467899999</v>
      </c>
      <c r="EW169">
        <v>0.14919347774300001</v>
      </c>
      <c r="EX169">
        <v>0.140001769912</v>
      </c>
      <c r="EY169">
        <v>0.157739489718</v>
      </c>
      <c r="EZ169">
        <v>0.16236254467899999</v>
      </c>
      <c r="FA169">
        <v>0.14919347774300001</v>
      </c>
      <c r="FB169">
        <v>0.140001769912</v>
      </c>
      <c r="FC169">
        <v>0.157739489718</v>
      </c>
      <c r="FD169">
        <v>0.16236254467899999</v>
      </c>
      <c r="FE169">
        <v>0.14919347774300001</v>
      </c>
    </row>
    <row r="170" spans="2:161">
      <c r="B170" t="s">
        <v>477</v>
      </c>
      <c r="C170" t="s">
        <v>478</v>
      </c>
      <c r="G170">
        <v>3.5987320530000001E-3</v>
      </c>
      <c r="H170">
        <v>3.3786137230000001E-3</v>
      </c>
      <c r="I170">
        <v>3.2060576769999999E-3</v>
      </c>
      <c r="J170">
        <v>3.6175866649999998E-3</v>
      </c>
      <c r="K170">
        <v>3.5819395590000001E-3</v>
      </c>
      <c r="L170">
        <v>3.4869272590000002E-3</v>
      </c>
      <c r="M170">
        <v>3.5723004310000001E-3</v>
      </c>
      <c r="N170">
        <v>3.7222266679999999E-3</v>
      </c>
      <c r="O170">
        <v>3.814240764E-3</v>
      </c>
      <c r="P170">
        <v>6.3288616330000004E-3</v>
      </c>
      <c r="Q170">
        <v>4.5737143069999996E-3</v>
      </c>
      <c r="R170">
        <v>3.6589183939999999E-3</v>
      </c>
      <c r="S170">
        <v>3.5220291380000002E-3</v>
      </c>
      <c r="T170">
        <v>3.0766705869999999E-3</v>
      </c>
      <c r="U170">
        <v>3.2289326739999998E-3</v>
      </c>
      <c r="V170">
        <v>6.3318787419999996E-3</v>
      </c>
      <c r="W170">
        <v>6.6303427940000003E-3</v>
      </c>
      <c r="X170">
        <v>6.553963742E-3</v>
      </c>
      <c r="Y170">
        <v>6.8369629559999999E-3</v>
      </c>
      <c r="Z170">
        <v>7.1373149009999999E-3</v>
      </c>
      <c r="AA170">
        <v>7.2046952439999996E-3</v>
      </c>
      <c r="AB170">
        <v>7.44938224E-3</v>
      </c>
      <c r="AC170">
        <v>7.7266305529999999E-3</v>
      </c>
      <c r="AD170">
        <v>7.8402189060000002E-3</v>
      </c>
      <c r="AE170">
        <v>7.4873600750000003E-3</v>
      </c>
      <c r="AF170">
        <v>7.4863637210000004E-3</v>
      </c>
      <c r="AG170">
        <v>7.4989476390000002E-3</v>
      </c>
      <c r="AH170">
        <v>7.4940838880000003E-3</v>
      </c>
      <c r="AI170">
        <v>7.4933259109999997E-3</v>
      </c>
      <c r="AJ170">
        <v>7.491262599E-3</v>
      </c>
      <c r="AP170">
        <v>4.170804369E-3</v>
      </c>
      <c r="AQ170">
        <v>3.3193570929999998E-3</v>
      </c>
      <c r="AR170">
        <v>3.627118644E-3</v>
      </c>
      <c r="AS170">
        <v>3.4482758619999998E-3</v>
      </c>
      <c r="AT170">
        <v>3.3454545449999999E-3</v>
      </c>
      <c r="AU170">
        <v>3.2107023410000001E-3</v>
      </c>
      <c r="AV170">
        <v>4.023792862E-3</v>
      </c>
      <c r="AW170">
        <v>2.9452529449999999E-3</v>
      </c>
      <c r="AX170">
        <v>3.2608695649999999E-3</v>
      </c>
      <c r="AY170">
        <v>3.3220338980000002E-3</v>
      </c>
      <c r="AZ170">
        <v>3.365695793E-3</v>
      </c>
      <c r="BA170">
        <v>2.9154518949999998E-3</v>
      </c>
      <c r="BB170">
        <v>3.3150548350000001E-3</v>
      </c>
      <c r="BC170">
        <v>3.6668412779999999E-3</v>
      </c>
      <c r="BD170">
        <v>3.6246276069999998E-3</v>
      </c>
      <c r="BE170">
        <v>3.8297872339999998E-3</v>
      </c>
      <c r="BF170">
        <v>3.724928367E-3</v>
      </c>
      <c r="BG170">
        <v>3.7002775210000002E-3</v>
      </c>
      <c r="BH170">
        <v>3.650568182E-3</v>
      </c>
      <c r="BI170">
        <v>3.2762370850000001E-3</v>
      </c>
      <c r="BJ170">
        <v>3.3049225949999999E-3</v>
      </c>
      <c r="BK170">
        <v>3.739389768E-3</v>
      </c>
      <c r="BL170">
        <v>3.5469107549999999E-3</v>
      </c>
      <c r="BM170">
        <v>3.4215422779999998E-3</v>
      </c>
      <c r="BN170">
        <v>3.3834058679999999E-3</v>
      </c>
      <c r="BO170">
        <v>4.0862656070000001E-3</v>
      </c>
      <c r="BP170">
        <v>3.568218587E-3</v>
      </c>
      <c r="BQ170">
        <v>3.3681501670000001E-3</v>
      </c>
      <c r="BR170">
        <v>3.5330776609999999E-3</v>
      </c>
      <c r="BS170">
        <v>3.6904761899999999E-3</v>
      </c>
      <c r="BT170">
        <v>3.7957942069999999E-3</v>
      </c>
      <c r="BU170">
        <v>3.8671875E-3</v>
      </c>
      <c r="BV170">
        <v>3.2533670030000001E-3</v>
      </c>
      <c r="BW170">
        <v>3.8143989429999998E-3</v>
      </c>
      <c r="BX170">
        <v>3.724059996E-3</v>
      </c>
      <c r="BY170">
        <v>4.4318833459999997E-3</v>
      </c>
      <c r="BZ170">
        <v>5.7801441050000001E-3</v>
      </c>
      <c r="CA170">
        <v>6.9857026450000003E-3</v>
      </c>
      <c r="CB170">
        <v>5.8121019110000003E-3</v>
      </c>
      <c r="CC170">
        <v>6.7148404860000004E-3</v>
      </c>
      <c r="CD170">
        <v>4.7118656739999999E-3</v>
      </c>
      <c r="CE170">
        <v>5.1141200789999999E-3</v>
      </c>
      <c r="CF170">
        <v>4.7110706660000003E-3</v>
      </c>
      <c r="CG170">
        <v>3.832684825E-3</v>
      </c>
      <c r="CH170">
        <v>4.141756416E-3</v>
      </c>
      <c r="CI170">
        <v>3.4170366969999998E-3</v>
      </c>
      <c r="CJ170">
        <v>3.7832281639999998E-3</v>
      </c>
      <c r="CK170">
        <v>3.1793916480000002E-3</v>
      </c>
      <c r="CL170">
        <v>3.9193205169999997E-3</v>
      </c>
      <c r="CM170">
        <v>3.8724399700000001E-3</v>
      </c>
      <c r="CN170">
        <v>3.1565835290000002E-3</v>
      </c>
      <c r="CO170">
        <v>2.8808176769999998E-3</v>
      </c>
      <c r="CP170">
        <v>3.4109455850000001E-3</v>
      </c>
      <c r="CQ170">
        <v>3.1119922880000002E-3</v>
      </c>
      <c r="CR170">
        <v>3.1283393890000001E-3</v>
      </c>
      <c r="CS170">
        <v>2.535431949E-3</v>
      </c>
      <c r="CT170">
        <v>3.5033981690000002E-3</v>
      </c>
      <c r="CU170">
        <v>3.6286847099999998E-3</v>
      </c>
      <c r="CV170">
        <v>2.9755065009999999E-3</v>
      </c>
      <c r="CW170">
        <v>2.6251917439999999E-3</v>
      </c>
      <c r="CX170">
        <v>7.1805145509999998E-3</v>
      </c>
      <c r="CY170">
        <v>6.2483929029999996E-3</v>
      </c>
      <c r="CZ170">
        <v>5.606969168E-3</v>
      </c>
      <c r="DA170">
        <v>5.7030649709999999E-3</v>
      </c>
      <c r="DB170">
        <v>7.4829931969999999E-3</v>
      </c>
      <c r="DC170">
        <v>7.1744555349999998E-3</v>
      </c>
      <c r="DD170">
        <v>6.0099541930000002E-3</v>
      </c>
      <c r="DE170">
        <v>5.348142795E-3</v>
      </c>
      <c r="DF170">
        <v>7.76165721E-3</v>
      </c>
      <c r="DG170">
        <v>6.4739846569999999E-3</v>
      </c>
      <c r="DH170">
        <v>5.9457429830000004E-3</v>
      </c>
      <c r="DI170">
        <v>5.4515103340000001E-3</v>
      </c>
      <c r="DJ170">
        <v>8.2172933220000001E-3</v>
      </c>
      <c r="DK170">
        <v>6.2311471170000002E-3</v>
      </c>
      <c r="DL170">
        <v>6.6698879370000004E-3</v>
      </c>
      <c r="DM170">
        <v>5.7089319180000002E-3</v>
      </c>
      <c r="DN170">
        <v>8.0353739420000007E-3</v>
      </c>
      <c r="DO170">
        <v>6.6623222950000002E-3</v>
      </c>
      <c r="DP170">
        <v>7.0352684930000001E-3</v>
      </c>
      <c r="DQ170">
        <v>6.3850505429999998E-3</v>
      </c>
      <c r="DR170">
        <v>7.3807194970000002E-3</v>
      </c>
      <c r="DS170">
        <v>8.4211466330000005E-3</v>
      </c>
      <c r="DT170">
        <v>6.6249969299999999E-3</v>
      </c>
      <c r="DU170">
        <v>6.2284069100000004E-3</v>
      </c>
      <c r="DV170">
        <v>7.9148009199999994E-3</v>
      </c>
      <c r="DW170">
        <v>7.2390468550000003E-3</v>
      </c>
      <c r="DX170">
        <v>7.4133005459999998E-3</v>
      </c>
      <c r="DY170">
        <v>7.0696425800000004E-3</v>
      </c>
      <c r="DZ170">
        <v>8.1388599620000005E-3</v>
      </c>
      <c r="EA170">
        <v>8.5610949429999993E-3</v>
      </c>
      <c r="EB170">
        <v>6.8828930160000001E-3</v>
      </c>
      <c r="EC170">
        <v>7.0739010929999997E-3</v>
      </c>
      <c r="ED170">
        <v>8.4984319459999996E-3</v>
      </c>
      <c r="EE170">
        <v>7.4080195700000004E-3</v>
      </c>
      <c r="EF170">
        <v>7.4495494130000003E-3</v>
      </c>
      <c r="EG170">
        <v>7.7773095970000003E-3</v>
      </c>
      <c r="EH170">
        <v>8.2791633149999991E-3</v>
      </c>
      <c r="EI170">
        <v>7.6447949330000001E-3</v>
      </c>
      <c r="EJ170">
        <v>6.6817778890000002E-3</v>
      </c>
      <c r="EK170">
        <v>7.0719921220000004E-3</v>
      </c>
      <c r="EL170">
        <v>8.2791633149999991E-3</v>
      </c>
      <c r="EM170">
        <v>7.6447949330000001E-3</v>
      </c>
      <c r="EN170">
        <v>6.6817778890000002E-3</v>
      </c>
      <c r="EO170">
        <v>7.0719921220000004E-3</v>
      </c>
      <c r="EP170">
        <v>8.2791633149999991E-3</v>
      </c>
      <c r="EQ170">
        <v>7.6447949330000001E-3</v>
      </c>
      <c r="ER170">
        <v>6.6817778890000002E-3</v>
      </c>
      <c r="ES170">
        <v>7.0719921220000004E-3</v>
      </c>
      <c r="ET170">
        <v>8.2791633149999991E-3</v>
      </c>
      <c r="EU170">
        <v>7.6447949330000001E-3</v>
      </c>
      <c r="EV170">
        <v>6.6817778890000002E-3</v>
      </c>
      <c r="EW170">
        <v>7.0719921220000004E-3</v>
      </c>
      <c r="EX170">
        <v>8.2791633149999991E-3</v>
      </c>
      <c r="EY170">
        <v>7.6447949330000001E-3</v>
      </c>
      <c r="EZ170">
        <v>6.6817778890000002E-3</v>
      </c>
      <c r="FA170">
        <v>7.0719921220000004E-3</v>
      </c>
      <c r="FB170">
        <v>8.2791633149999991E-3</v>
      </c>
      <c r="FC170">
        <v>7.6447949330000001E-3</v>
      </c>
      <c r="FD170">
        <v>6.6817778890000002E-3</v>
      </c>
      <c r="FE170">
        <v>7.0719921220000004E-3</v>
      </c>
    </row>
    <row r="171" spans="2:161">
      <c r="B171" t="s">
        <v>803</v>
      </c>
      <c r="C171" t="s">
        <v>804</v>
      </c>
    </row>
    <row r="172" spans="2:161">
      <c r="B172" t="s">
        <v>805</v>
      </c>
      <c r="C172" t="s">
        <v>806</v>
      </c>
    </row>
    <row r="173" spans="2:161">
      <c r="B173" t="s">
        <v>807</v>
      </c>
      <c r="C173" t="s">
        <v>808</v>
      </c>
      <c r="G173">
        <v>3.2388588476999998E-2</v>
      </c>
      <c r="H173">
        <v>3.0407523511000002E-2</v>
      </c>
      <c r="I173">
        <v>2.8854519091000001E-2</v>
      </c>
      <c r="J173">
        <v>3.2558279985999999E-2</v>
      </c>
      <c r="K173">
        <v>3.2237456033000003E-2</v>
      </c>
      <c r="L173">
        <v>3.1382345327000002E-2</v>
      </c>
      <c r="M173">
        <v>3.2150703881999997E-2</v>
      </c>
      <c r="N173">
        <v>3.3500040010000003E-2</v>
      </c>
      <c r="O173">
        <v>3.4328166879999997E-2</v>
      </c>
      <c r="P173">
        <v>5.6959754695000003E-2</v>
      </c>
      <c r="Q173">
        <v>4.1163428761000001E-2</v>
      </c>
      <c r="R173">
        <v>3.2930265546000002E-2</v>
      </c>
      <c r="S173">
        <v>3.1698262243E-2</v>
      </c>
      <c r="T173">
        <v>2.7690035285000001E-2</v>
      </c>
      <c r="U173">
        <v>2.9060394069999999E-2</v>
      </c>
      <c r="V173">
        <v>2.5327514967E-2</v>
      </c>
      <c r="W173">
        <v>2.6521371174999999E-2</v>
      </c>
      <c r="X173">
        <v>2.6215854967000001E-2</v>
      </c>
      <c r="Y173">
        <v>2.7347851821999999E-2</v>
      </c>
      <c r="Z173">
        <v>2.8549259603000001E-2</v>
      </c>
      <c r="AA173">
        <v>2.8818780975E-2</v>
      </c>
      <c r="AB173">
        <v>2.9797528960999999E-2</v>
      </c>
      <c r="AC173">
        <v>3.0906522209999999E-2</v>
      </c>
      <c r="AD173">
        <v>3.1360875625E-2</v>
      </c>
      <c r="AE173">
        <v>2.9949440301999999E-2</v>
      </c>
      <c r="AF173">
        <v>2.9945454885999999E-2</v>
      </c>
      <c r="AG173">
        <v>2.9995790557E-2</v>
      </c>
      <c r="AH173">
        <v>2.9976335553E-2</v>
      </c>
      <c r="AI173">
        <v>2.9973303643999999E-2</v>
      </c>
      <c r="AJ173">
        <v>2.9965050396E-2</v>
      </c>
      <c r="AP173">
        <v>3.7537239324999999E-2</v>
      </c>
      <c r="AQ173">
        <v>2.9874213835999999E-2</v>
      </c>
      <c r="AR173">
        <v>3.2644067797E-2</v>
      </c>
      <c r="AS173">
        <v>3.1034482759E-2</v>
      </c>
      <c r="AT173">
        <v>3.0109090908999998E-2</v>
      </c>
      <c r="AU173">
        <v>2.8896321070000001E-2</v>
      </c>
      <c r="AV173">
        <v>3.6214135759000003E-2</v>
      </c>
      <c r="AW173">
        <v>2.6507276507000001E-2</v>
      </c>
      <c r="AX173">
        <v>2.9347826087000001E-2</v>
      </c>
      <c r="AY173">
        <v>2.9898305085E-2</v>
      </c>
      <c r="AZ173">
        <v>3.0291262135999999E-2</v>
      </c>
      <c r="BA173">
        <v>2.6239067054999999E-2</v>
      </c>
      <c r="BB173">
        <v>2.9835493519E-2</v>
      </c>
      <c r="BC173">
        <v>3.3001571503000003E-2</v>
      </c>
      <c r="BD173">
        <v>3.2621648460999998E-2</v>
      </c>
      <c r="BE173">
        <v>3.4468085106000003E-2</v>
      </c>
      <c r="BF173">
        <v>3.3524355301000001E-2</v>
      </c>
      <c r="BG173">
        <v>3.3302497686999999E-2</v>
      </c>
      <c r="BH173">
        <v>3.2855113636000001E-2</v>
      </c>
      <c r="BI173">
        <v>2.9486133768000002E-2</v>
      </c>
      <c r="BJ173">
        <v>2.9744303356999999E-2</v>
      </c>
      <c r="BK173">
        <v>3.3654507915E-2</v>
      </c>
      <c r="BL173">
        <v>3.1922196796000002E-2</v>
      </c>
      <c r="BM173">
        <v>3.0793880504000001E-2</v>
      </c>
      <c r="BN173">
        <v>3.0450652815E-2</v>
      </c>
      <c r="BO173">
        <v>3.6776390465000003E-2</v>
      </c>
      <c r="BP173">
        <v>3.2113967283999997E-2</v>
      </c>
      <c r="BQ173">
        <v>3.0313351499E-2</v>
      </c>
      <c r="BR173">
        <v>3.1797698945000001E-2</v>
      </c>
      <c r="BS173">
        <v>3.3214285714000001E-2</v>
      </c>
      <c r="BT173">
        <v>3.4162147864E-2</v>
      </c>
      <c r="BU173">
        <v>3.4804687500000001E-2</v>
      </c>
      <c r="BV173">
        <v>2.928030303E-2</v>
      </c>
      <c r="BW173">
        <v>3.4329590489E-2</v>
      </c>
      <c r="BX173">
        <v>3.3516539962999997E-2</v>
      </c>
      <c r="BY173">
        <v>3.9886950110999998E-2</v>
      </c>
      <c r="BZ173">
        <v>5.2021296946000002E-2</v>
      </c>
      <c r="CA173">
        <v>6.2871323802000001E-2</v>
      </c>
      <c r="CB173">
        <v>5.2308917197000003E-2</v>
      </c>
      <c r="CC173">
        <v>6.0433564370999997E-2</v>
      </c>
      <c r="CD173">
        <v>4.2406791069999998E-2</v>
      </c>
      <c r="CE173">
        <v>4.6027080715000002E-2</v>
      </c>
      <c r="CF173">
        <v>4.2399635994999997E-2</v>
      </c>
      <c r="CG173">
        <v>3.4494163424000003E-2</v>
      </c>
      <c r="CH173">
        <v>3.727580774E-2</v>
      </c>
      <c r="CI173">
        <v>3.0753330270999999E-2</v>
      </c>
      <c r="CJ173">
        <v>3.4049053479000002E-2</v>
      </c>
      <c r="CK173">
        <v>2.8614524828999999E-2</v>
      </c>
      <c r="CL173">
        <v>3.5273884648999998E-2</v>
      </c>
      <c r="CM173">
        <v>3.4851959728000002E-2</v>
      </c>
      <c r="CN173">
        <v>2.8409251762000001E-2</v>
      </c>
      <c r="CO173">
        <v>2.5927359095000001E-2</v>
      </c>
      <c r="CP173">
        <v>3.0698510261000001E-2</v>
      </c>
      <c r="CQ173">
        <v>2.8007930596E-2</v>
      </c>
      <c r="CR173">
        <v>2.8155054499E-2</v>
      </c>
      <c r="CS173">
        <v>2.2818887544000001E-2</v>
      </c>
      <c r="CT173">
        <v>3.1530583520000002E-2</v>
      </c>
      <c r="CU173">
        <v>3.2658162386E-2</v>
      </c>
      <c r="CV173">
        <v>2.6779558512E-2</v>
      </c>
      <c r="CW173">
        <v>2.3626725695E-2</v>
      </c>
      <c r="CX173">
        <v>2.8722058203E-2</v>
      </c>
      <c r="CY173">
        <v>2.4993571611999998E-2</v>
      </c>
      <c r="CZ173">
        <v>2.2427876669999999E-2</v>
      </c>
      <c r="DA173">
        <v>2.2812259881999999E-2</v>
      </c>
      <c r="DB173">
        <v>2.9931972788999998E-2</v>
      </c>
      <c r="DC173">
        <v>2.8697822142E-2</v>
      </c>
      <c r="DD173">
        <v>2.4039816772000001E-2</v>
      </c>
      <c r="DE173">
        <v>2.1392571179000001E-2</v>
      </c>
      <c r="DF173">
        <v>3.1046628837999999E-2</v>
      </c>
      <c r="DG173">
        <v>2.589593863E-2</v>
      </c>
      <c r="DH173">
        <v>2.3782971933E-2</v>
      </c>
      <c r="DI173">
        <v>2.1806041335000002E-2</v>
      </c>
      <c r="DJ173">
        <v>3.2869173288999999E-2</v>
      </c>
      <c r="DK173">
        <v>2.4924588468000001E-2</v>
      </c>
      <c r="DL173">
        <v>2.6679551748000001E-2</v>
      </c>
      <c r="DM173">
        <v>2.283572767E-2</v>
      </c>
      <c r="DN173">
        <v>3.2141495769000002E-2</v>
      </c>
      <c r="DO173">
        <v>2.6649289180999999E-2</v>
      </c>
      <c r="DP173">
        <v>2.8141073972E-2</v>
      </c>
      <c r="DQ173">
        <v>2.5540202170000002E-2</v>
      </c>
      <c r="DR173">
        <v>2.9522877986999999E-2</v>
      </c>
      <c r="DS173">
        <v>3.3684586533000001E-2</v>
      </c>
      <c r="DT173">
        <v>2.649998772E-2</v>
      </c>
      <c r="DU173">
        <v>2.4913627638999999E-2</v>
      </c>
      <c r="DV173">
        <v>3.1659203678999999E-2</v>
      </c>
      <c r="DW173">
        <v>2.8956187421999999E-2</v>
      </c>
      <c r="DX173">
        <v>2.9653202183999999E-2</v>
      </c>
      <c r="DY173">
        <v>2.8278570318999999E-2</v>
      </c>
      <c r="DZ173">
        <v>3.2555439848000002E-2</v>
      </c>
      <c r="EA173">
        <v>3.4244379770999998E-2</v>
      </c>
      <c r="EB173">
        <v>2.7531572063000002E-2</v>
      </c>
      <c r="EC173">
        <v>2.8295604371E-2</v>
      </c>
      <c r="ED173">
        <v>3.3993727786000003E-2</v>
      </c>
      <c r="EE173">
        <v>2.9632078278000001E-2</v>
      </c>
      <c r="EF173">
        <v>2.9798197652000001E-2</v>
      </c>
      <c r="EG173">
        <v>3.1109238386E-2</v>
      </c>
      <c r="EH173">
        <v>3.3116653257999999E-2</v>
      </c>
      <c r="EI173">
        <v>3.0579179731000002E-2</v>
      </c>
      <c r="EJ173">
        <v>2.6727111558000002E-2</v>
      </c>
      <c r="EK173">
        <v>2.8287968486999999E-2</v>
      </c>
      <c r="EL173">
        <v>3.3116653257999999E-2</v>
      </c>
      <c r="EM173">
        <v>3.0579179731000002E-2</v>
      </c>
      <c r="EN173">
        <v>2.6727111558000002E-2</v>
      </c>
      <c r="EO173">
        <v>2.8287968486999999E-2</v>
      </c>
      <c r="EP173">
        <v>3.3116653257999999E-2</v>
      </c>
      <c r="EQ173">
        <v>3.0579179731000002E-2</v>
      </c>
      <c r="ER173">
        <v>2.6727111558000002E-2</v>
      </c>
      <c r="ES173">
        <v>2.8287968486999999E-2</v>
      </c>
      <c r="ET173">
        <v>3.3116653257999999E-2</v>
      </c>
      <c r="EU173">
        <v>3.0579179731000002E-2</v>
      </c>
      <c r="EV173">
        <v>2.6727111558000002E-2</v>
      </c>
      <c r="EW173">
        <v>2.8287968486999999E-2</v>
      </c>
      <c r="EX173">
        <v>3.3116653257999999E-2</v>
      </c>
      <c r="EY173">
        <v>3.0579179731000002E-2</v>
      </c>
      <c r="EZ173">
        <v>2.6727111558000002E-2</v>
      </c>
      <c r="FA173">
        <v>2.8287968486999999E-2</v>
      </c>
      <c r="FB173">
        <v>3.3116653257999999E-2</v>
      </c>
      <c r="FC173">
        <v>3.0579179731000002E-2</v>
      </c>
      <c r="FD173">
        <v>2.6727111558000002E-2</v>
      </c>
      <c r="FE173">
        <v>2.8287968486999999E-2</v>
      </c>
    </row>
    <row r="174" spans="2:161">
      <c r="B174" t="s">
        <v>809</v>
      </c>
      <c r="C174" t="s">
        <v>810</v>
      </c>
      <c r="G174">
        <v>1.4394928212E-2</v>
      </c>
      <c r="H174">
        <v>1.3514454893999999E-2</v>
      </c>
      <c r="I174">
        <v>1.2824230706999999E-2</v>
      </c>
      <c r="J174">
        <v>1.4470346659999999E-2</v>
      </c>
      <c r="K174">
        <v>1.4327758237000001E-2</v>
      </c>
      <c r="L174">
        <v>1.3947709034E-2</v>
      </c>
      <c r="M174">
        <v>1.4289201725000001E-2</v>
      </c>
      <c r="N174">
        <v>1.4888906671000001E-2</v>
      </c>
      <c r="O174">
        <v>1.5256963058000001E-2</v>
      </c>
      <c r="P174">
        <v>2.5315446530999999E-2</v>
      </c>
      <c r="Q174">
        <v>1.8294857227E-2</v>
      </c>
      <c r="R174">
        <v>1.4635673576E-2</v>
      </c>
      <c r="S174">
        <v>1.4088116552999999E-2</v>
      </c>
      <c r="T174">
        <v>1.2306682349E-2</v>
      </c>
      <c r="U174">
        <v>1.2915730698E-2</v>
      </c>
      <c r="V174">
        <v>1.2663757483999999E-2</v>
      </c>
      <c r="W174">
        <v>1.3260685588000001E-2</v>
      </c>
      <c r="X174">
        <v>1.3107927484E-2</v>
      </c>
      <c r="Y174">
        <v>1.3673925910999999E-2</v>
      </c>
      <c r="Z174">
        <v>1.4274629802E-2</v>
      </c>
      <c r="AA174">
        <v>1.4409390487999999E-2</v>
      </c>
      <c r="AB174">
        <v>1.489876448E-2</v>
      </c>
      <c r="AC174">
        <v>1.5453261104999999E-2</v>
      </c>
      <c r="AD174">
        <v>1.5680437812E-2</v>
      </c>
      <c r="AE174">
        <v>1.4974720150999999E-2</v>
      </c>
      <c r="AF174">
        <v>1.4972727442999999E-2</v>
      </c>
      <c r="AG174">
        <v>1.4997895278E-2</v>
      </c>
      <c r="AH174">
        <v>1.4988167776999999E-2</v>
      </c>
      <c r="AI174">
        <v>1.4986651821999999E-2</v>
      </c>
      <c r="AJ174">
        <v>1.4982525198E-2</v>
      </c>
      <c r="AP174">
        <v>1.6683217478000001E-2</v>
      </c>
      <c r="AQ174">
        <v>1.3277428371999999E-2</v>
      </c>
      <c r="AR174">
        <v>1.4508474576E-2</v>
      </c>
      <c r="AS174">
        <v>1.3793103447999999E-2</v>
      </c>
      <c r="AT174">
        <v>1.3381818182E-2</v>
      </c>
      <c r="AU174">
        <v>1.2842809364999999E-2</v>
      </c>
      <c r="AV174">
        <v>1.6095171448999999E-2</v>
      </c>
      <c r="AW174">
        <v>1.1781011781E-2</v>
      </c>
      <c r="AX174">
        <v>1.3043478261E-2</v>
      </c>
      <c r="AY174">
        <v>1.3288135592999999E-2</v>
      </c>
      <c r="AZ174">
        <v>1.3462783172E-2</v>
      </c>
      <c r="BA174">
        <v>1.1661807579999999E-2</v>
      </c>
      <c r="BB174">
        <v>1.3260219342E-2</v>
      </c>
      <c r="BC174">
        <v>1.4667365113E-2</v>
      </c>
      <c r="BD174">
        <v>1.4498510427000001E-2</v>
      </c>
      <c r="BE174">
        <v>1.5319148935999999E-2</v>
      </c>
      <c r="BF174">
        <v>1.4899713467E-2</v>
      </c>
      <c r="BG174">
        <v>1.4801110083E-2</v>
      </c>
      <c r="BH174">
        <v>1.4602272727E-2</v>
      </c>
      <c r="BI174">
        <v>1.3104948341000001E-2</v>
      </c>
      <c r="BJ174">
        <v>1.3219690381E-2</v>
      </c>
      <c r="BK174">
        <v>1.4957559073000001E-2</v>
      </c>
      <c r="BL174">
        <v>1.4187643021E-2</v>
      </c>
      <c r="BM174">
        <v>1.3686169113E-2</v>
      </c>
      <c r="BN174">
        <v>1.3533623473E-2</v>
      </c>
      <c r="BO174">
        <v>1.6345062428999999E-2</v>
      </c>
      <c r="BP174">
        <v>1.4272874348E-2</v>
      </c>
      <c r="BQ174">
        <v>1.3472600665999999E-2</v>
      </c>
      <c r="BR174">
        <v>1.4132310642E-2</v>
      </c>
      <c r="BS174">
        <v>1.4761904762000001E-2</v>
      </c>
      <c r="BT174">
        <v>1.5183176828E-2</v>
      </c>
      <c r="BU174">
        <v>1.546875E-2</v>
      </c>
      <c r="BV174">
        <v>1.3013468013000001E-2</v>
      </c>
      <c r="BW174">
        <v>1.5257595773E-2</v>
      </c>
      <c r="BX174">
        <v>1.4896239984E-2</v>
      </c>
      <c r="BY174">
        <v>1.7727533382000001E-2</v>
      </c>
      <c r="BZ174">
        <v>2.312057642E-2</v>
      </c>
      <c r="CA174">
        <v>2.7942810578999999E-2</v>
      </c>
      <c r="CB174">
        <v>2.3248407642999999E-2</v>
      </c>
      <c r="CC174">
        <v>2.6859361942999999E-2</v>
      </c>
      <c r="CD174">
        <v>1.8847462698E-2</v>
      </c>
      <c r="CE174">
        <v>2.0456480318E-2</v>
      </c>
      <c r="CF174">
        <v>1.8844282664000001E-2</v>
      </c>
      <c r="CG174">
        <v>1.53307393E-2</v>
      </c>
      <c r="CH174">
        <v>1.6567025661999999E-2</v>
      </c>
      <c r="CI174">
        <v>1.3668146787000001E-2</v>
      </c>
      <c r="CJ174">
        <v>1.5132912657E-2</v>
      </c>
      <c r="CK174">
        <v>1.2717566591E-2</v>
      </c>
      <c r="CL174">
        <v>1.5677282066000001E-2</v>
      </c>
      <c r="CM174">
        <v>1.5489759879E-2</v>
      </c>
      <c r="CN174">
        <v>1.2626334116999999E-2</v>
      </c>
      <c r="CO174">
        <v>1.1523270709E-2</v>
      </c>
      <c r="CP174">
        <v>1.3643782338E-2</v>
      </c>
      <c r="CQ174">
        <v>1.2447969154E-2</v>
      </c>
      <c r="CR174">
        <v>1.2513357555E-2</v>
      </c>
      <c r="CS174">
        <v>1.0141727797E-2</v>
      </c>
      <c r="CT174">
        <v>1.4013592676000001E-2</v>
      </c>
      <c r="CU174">
        <v>1.4514738838E-2</v>
      </c>
      <c r="CV174">
        <v>1.1902026005E-2</v>
      </c>
      <c r="CW174">
        <v>1.0500766975000001E-2</v>
      </c>
      <c r="CX174">
        <v>1.4361029102E-2</v>
      </c>
      <c r="CY174">
        <v>1.2496785805999999E-2</v>
      </c>
      <c r="CZ174">
        <v>1.1213938335E-2</v>
      </c>
      <c r="DA174">
        <v>1.1406129940999999E-2</v>
      </c>
      <c r="DB174">
        <v>1.4965986395E-2</v>
      </c>
      <c r="DC174">
        <v>1.4348911071E-2</v>
      </c>
      <c r="DD174">
        <v>1.2019908386E-2</v>
      </c>
      <c r="DE174">
        <v>1.0696285589E-2</v>
      </c>
      <c r="DF174">
        <v>1.5523314418999999E-2</v>
      </c>
      <c r="DG174">
        <v>1.2947969315E-2</v>
      </c>
      <c r="DH174">
        <v>1.1891485966000001E-2</v>
      </c>
      <c r="DI174">
        <v>1.0903020668E-2</v>
      </c>
      <c r="DJ174">
        <v>1.6434586644999999E-2</v>
      </c>
      <c r="DK174">
        <v>1.2462294234E-2</v>
      </c>
      <c r="DL174">
        <v>1.3339775874000001E-2</v>
      </c>
      <c r="DM174">
        <v>1.1417863835E-2</v>
      </c>
      <c r="DN174">
        <v>1.6070747884000001E-2</v>
      </c>
      <c r="DO174">
        <v>1.332464459E-2</v>
      </c>
      <c r="DP174">
        <v>1.4070536986E-2</v>
      </c>
      <c r="DQ174">
        <v>1.2770101085000001E-2</v>
      </c>
      <c r="DR174">
        <v>1.4761438994E-2</v>
      </c>
      <c r="DS174">
        <v>1.6842293267E-2</v>
      </c>
      <c r="DT174">
        <v>1.324999386E-2</v>
      </c>
      <c r="DU174">
        <v>1.2456813820000001E-2</v>
      </c>
      <c r="DV174">
        <v>1.5829601839999999E-2</v>
      </c>
      <c r="DW174">
        <v>1.4478093710999999E-2</v>
      </c>
      <c r="DX174">
        <v>1.4826601092E-2</v>
      </c>
      <c r="DY174">
        <v>1.4139285160000001E-2</v>
      </c>
      <c r="DZ174">
        <v>1.6277719924000001E-2</v>
      </c>
      <c r="EA174">
        <v>1.7122189885999999E-2</v>
      </c>
      <c r="EB174">
        <v>1.3765786031E-2</v>
      </c>
      <c r="EC174">
        <v>1.4147802185999999E-2</v>
      </c>
      <c r="ED174">
        <v>1.6996863893000001E-2</v>
      </c>
      <c r="EE174">
        <v>1.4816039139E-2</v>
      </c>
      <c r="EF174">
        <v>1.4899098826000001E-2</v>
      </c>
      <c r="EG174">
        <v>1.5554619193E-2</v>
      </c>
      <c r="EH174">
        <v>1.6558326629E-2</v>
      </c>
      <c r="EI174">
        <v>1.5289589866E-2</v>
      </c>
      <c r="EJ174">
        <v>1.3363555779000001E-2</v>
      </c>
      <c r="EK174">
        <v>1.4143984243E-2</v>
      </c>
      <c r="EL174">
        <v>1.6558326629E-2</v>
      </c>
      <c r="EM174">
        <v>1.5289589866E-2</v>
      </c>
      <c r="EN174">
        <v>1.3363555779000001E-2</v>
      </c>
      <c r="EO174">
        <v>1.4143984243E-2</v>
      </c>
      <c r="EP174">
        <v>1.6558326629E-2</v>
      </c>
      <c r="EQ174">
        <v>1.5289589866E-2</v>
      </c>
      <c r="ER174">
        <v>1.3363555779000001E-2</v>
      </c>
      <c r="ES174">
        <v>1.4143984243E-2</v>
      </c>
      <c r="ET174">
        <v>1.6558326629E-2</v>
      </c>
      <c r="EU174">
        <v>1.5289589866E-2</v>
      </c>
      <c r="EV174">
        <v>1.3363555779000001E-2</v>
      </c>
      <c r="EW174">
        <v>1.4143984243E-2</v>
      </c>
      <c r="EX174">
        <v>1.6558326629E-2</v>
      </c>
      <c r="EY174">
        <v>1.5289589866E-2</v>
      </c>
      <c r="EZ174">
        <v>1.3363555779000001E-2</v>
      </c>
      <c r="FA174">
        <v>1.4143984243E-2</v>
      </c>
      <c r="FB174">
        <v>1.6558326629E-2</v>
      </c>
      <c r="FC174">
        <v>1.5289589866E-2</v>
      </c>
      <c r="FD174">
        <v>1.3363555779000001E-2</v>
      </c>
      <c r="FE174">
        <v>1.4143984243E-2</v>
      </c>
    </row>
    <row r="175" spans="2:161">
      <c r="B175" t="s">
        <v>811</v>
      </c>
      <c r="C175" t="s">
        <v>812</v>
      </c>
    </row>
    <row r="176" spans="2:161">
      <c r="B176" t="s">
        <v>481</v>
      </c>
      <c r="C176" t="s">
        <v>482</v>
      </c>
      <c r="G176">
        <v>3.5427932129999998E-3</v>
      </c>
      <c r="H176">
        <v>4.9285963079000003E-2</v>
      </c>
      <c r="I176">
        <v>0.10004833252799999</v>
      </c>
      <c r="J176">
        <v>0.14313322865100001</v>
      </c>
      <c r="K176">
        <v>0.16868853635799999</v>
      </c>
      <c r="L176">
        <v>0.16981620502200001</v>
      </c>
      <c r="M176">
        <v>0.17747579135800001</v>
      </c>
      <c r="N176">
        <v>0.19450001333700001</v>
      </c>
      <c r="O176">
        <v>0.155133434332</v>
      </c>
      <c r="P176">
        <v>0.15021847451100001</v>
      </c>
      <c r="Q176">
        <v>0.13050466978899999</v>
      </c>
      <c r="AR176">
        <v>4.0677966100000004E-3</v>
      </c>
      <c r="AS176">
        <v>8.9655172410000004E-3</v>
      </c>
      <c r="AT176">
        <v>3.4909090908999997E-2</v>
      </c>
      <c r="AU176">
        <v>4.6822742474999998E-2</v>
      </c>
      <c r="AV176">
        <v>4.4086773968000002E-2</v>
      </c>
      <c r="AW176">
        <v>7.0686070685999997E-2</v>
      </c>
      <c r="AX176">
        <v>0.100543478261</v>
      </c>
      <c r="AY176">
        <v>9.1525423728999994E-2</v>
      </c>
      <c r="AZ176">
        <v>9.3851132685999997E-2</v>
      </c>
      <c r="BA176">
        <v>0.11253644314900001</v>
      </c>
      <c r="BB176">
        <v>0.13609172482599999</v>
      </c>
      <c r="BC176">
        <v>0.13933996857</v>
      </c>
      <c r="BD176">
        <v>0.134061569017</v>
      </c>
      <c r="BE176">
        <v>0.16</v>
      </c>
      <c r="BF176">
        <v>0.160744985673</v>
      </c>
      <c r="BG176">
        <v>0.176071538699</v>
      </c>
      <c r="BH176">
        <v>0.15767045454500001</v>
      </c>
      <c r="BI176">
        <v>0.180261011419</v>
      </c>
      <c r="BJ176">
        <v>0.18646721168899999</v>
      </c>
      <c r="BK176">
        <v>0.14590502408799999</v>
      </c>
      <c r="BL176">
        <v>0.157437070938</v>
      </c>
      <c r="BM176">
        <v>0.182757907794</v>
      </c>
      <c r="BN176">
        <v>0.156675558051</v>
      </c>
      <c r="BO176">
        <v>0.15834279228100001</v>
      </c>
      <c r="BP176">
        <v>0.17939960453000001</v>
      </c>
      <c r="BQ176">
        <v>0.213593702695</v>
      </c>
      <c r="BR176">
        <v>0.19242569510999999</v>
      </c>
      <c r="BS176">
        <v>0.215538847118</v>
      </c>
      <c r="BT176">
        <v>0.192302605475</v>
      </c>
      <c r="BU176">
        <v>0.18324652777799999</v>
      </c>
      <c r="BV176">
        <v>0.14696969697000001</v>
      </c>
      <c r="BW176">
        <v>0.15158520475600001</v>
      </c>
      <c r="BX176">
        <v>0.15327717279600001</v>
      </c>
      <c r="BY176">
        <v>0.16719914802999999</v>
      </c>
      <c r="BZ176">
        <v>0.12567748517499999</v>
      </c>
      <c r="CA176">
        <v>0.12467590191900001</v>
      </c>
      <c r="CB176">
        <v>0.164203821656</v>
      </c>
      <c r="CC176">
        <v>0.175293712825</v>
      </c>
      <c r="CD176">
        <v>0.143861486107</v>
      </c>
      <c r="CE176">
        <v>0.129363116715</v>
      </c>
      <c r="CF176">
        <v>0.122676840153</v>
      </c>
      <c r="CG176">
        <v>0.126777502653</v>
      </c>
    </row>
    <row r="177" spans="1:99">
      <c r="B177" t="s">
        <v>851</v>
      </c>
      <c r="C177" t="s">
        <v>852</v>
      </c>
      <c r="V177">
        <v>0.1</v>
      </c>
      <c r="W177">
        <v>0.1</v>
      </c>
      <c r="X177">
        <v>0.1</v>
      </c>
      <c r="Y177">
        <v>0.1</v>
      </c>
      <c r="Z177">
        <v>0.1</v>
      </c>
      <c r="AA177">
        <v>0.1</v>
      </c>
      <c r="AB177">
        <v>0.1</v>
      </c>
    </row>
    <row r="178" spans="1:99">
      <c r="B178" t="s">
        <v>853</v>
      </c>
      <c r="C178" t="s">
        <v>854</v>
      </c>
      <c r="V178">
        <v>0.9</v>
      </c>
      <c r="W178">
        <v>0.9</v>
      </c>
      <c r="X178">
        <v>0.9</v>
      </c>
      <c r="Y178">
        <v>0.9</v>
      </c>
      <c r="Z178">
        <v>0.9</v>
      </c>
      <c r="AA178">
        <v>0.9</v>
      </c>
      <c r="AB178">
        <v>0.9</v>
      </c>
    </row>
    <row r="179" spans="1:99">
      <c r="B179" t="s">
        <v>855</v>
      </c>
      <c r="C179" t="s">
        <v>856</v>
      </c>
      <c r="V179">
        <v>0.36149165967199998</v>
      </c>
      <c r="W179">
        <v>0.36149165967199998</v>
      </c>
      <c r="X179">
        <v>0.36149165967199998</v>
      </c>
      <c r="Y179">
        <v>0.36149165967199998</v>
      </c>
      <c r="Z179">
        <v>0.36149165967199998</v>
      </c>
      <c r="AA179">
        <v>0.36149165967199998</v>
      </c>
      <c r="AB179">
        <v>0.36149165967199998</v>
      </c>
    </row>
    <row r="180" spans="1:99">
      <c r="B180" t="s">
        <v>857</v>
      </c>
      <c r="C180" t="s">
        <v>858</v>
      </c>
      <c r="V180">
        <v>0.63850834032799997</v>
      </c>
      <c r="W180">
        <v>0.63850834032799997</v>
      </c>
      <c r="X180">
        <v>0.63850834032799997</v>
      </c>
      <c r="Y180">
        <v>0.63850834032799997</v>
      </c>
      <c r="Z180">
        <v>0.63850834032799997</v>
      </c>
      <c r="AA180">
        <v>0.63850834032799997</v>
      </c>
      <c r="AB180">
        <v>0.63850834032799997</v>
      </c>
    </row>
    <row r="181" spans="1:99">
      <c r="B181" t="s">
        <v>483</v>
      </c>
      <c r="C181" t="s">
        <v>484</v>
      </c>
      <c r="O181">
        <v>0.82699999999999996</v>
      </c>
      <c r="P181">
        <v>0.82699999999999996</v>
      </c>
      <c r="Q181">
        <v>0.82699999999999996</v>
      </c>
      <c r="R181">
        <v>0.82699999999999996</v>
      </c>
      <c r="S181">
        <v>0.82699999999999996</v>
      </c>
      <c r="T181">
        <v>0.82699999999999996</v>
      </c>
      <c r="U181">
        <v>0.82699999999999996</v>
      </c>
      <c r="V181">
        <v>0.82699999999999996</v>
      </c>
      <c r="W181">
        <v>0.82699999999999996</v>
      </c>
      <c r="X181">
        <v>0.82699999999999996</v>
      </c>
      <c r="Y181">
        <v>0.82699999999999996</v>
      </c>
      <c r="Z181">
        <v>0.82699999999999996</v>
      </c>
      <c r="AA181">
        <v>0.82699999999999996</v>
      </c>
      <c r="AB181">
        <v>0.82699999999999996</v>
      </c>
      <c r="AC181">
        <v>0.82699999999999996</v>
      </c>
      <c r="AD181">
        <v>0.82699999999999996</v>
      </c>
      <c r="AE181">
        <v>0.82699999999999996</v>
      </c>
      <c r="AF181">
        <v>0.82699999999999996</v>
      </c>
      <c r="AG181">
        <v>0.82699999999999996</v>
      </c>
      <c r="AH181">
        <v>0.82699999999999996</v>
      </c>
      <c r="AI181">
        <v>0.82699999999999996</v>
      </c>
      <c r="AJ181">
        <v>0.82699999999999996</v>
      </c>
      <c r="BV181">
        <v>0.47399999999999998</v>
      </c>
      <c r="BW181">
        <v>0.47399999999999998</v>
      </c>
      <c r="BX181">
        <v>0.47399999999999998</v>
      </c>
      <c r="BY181">
        <v>0.47399999999999998</v>
      </c>
      <c r="BZ181">
        <v>0.47399999999999998</v>
      </c>
      <c r="CA181">
        <v>0.48</v>
      </c>
      <c r="CB181">
        <v>0.48</v>
      </c>
      <c r="CC181">
        <v>0.48</v>
      </c>
      <c r="CD181">
        <v>0.5</v>
      </c>
      <c r="CE181">
        <v>0.5</v>
      </c>
      <c r="CF181">
        <v>0.5</v>
      </c>
      <c r="CG181">
        <v>0.5</v>
      </c>
      <c r="CH181">
        <v>0.5</v>
      </c>
      <c r="CI181">
        <v>0.5</v>
      </c>
      <c r="CJ181">
        <v>0.5</v>
      </c>
      <c r="CK181">
        <v>0.5</v>
      </c>
      <c r="CL181">
        <v>0.5</v>
      </c>
      <c r="CM181">
        <v>0.5</v>
      </c>
      <c r="CN181">
        <v>0.5</v>
      </c>
      <c r="CO181">
        <v>0.5</v>
      </c>
      <c r="CP181">
        <v>0.5</v>
      </c>
      <c r="CQ181">
        <v>0.5</v>
      </c>
      <c r="CR181">
        <v>0.5</v>
      </c>
      <c r="CS181">
        <v>0.5</v>
      </c>
    </row>
    <row r="182" spans="1:99">
      <c r="B182" t="s">
        <v>485</v>
      </c>
      <c r="C182" t="s">
        <v>486</v>
      </c>
      <c r="O182">
        <v>0.15</v>
      </c>
      <c r="P182">
        <v>0.15</v>
      </c>
      <c r="Q182">
        <v>0.15</v>
      </c>
      <c r="R182">
        <v>0.15</v>
      </c>
      <c r="S182">
        <v>0.15</v>
      </c>
      <c r="T182">
        <v>0.15</v>
      </c>
      <c r="U182">
        <v>0.15</v>
      </c>
      <c r="V182">
        <v>0.15</v>
      </c>
      <c r="W182">
        <v>0.15</v>
      </c>
      <c r="X182">
        <v>0.15</v>
      </c>
      <c r="Y182">
        <v>0.15</v>
      </c>
      <c r="Z182">
        <v>0.15</v>
      </c>
      <c r="AA182">
        <v>0.15</v>
      </c>
      <c r="AB182">
        <v>0.15</v>
      </c>
      <c r="AC182">
        <v>0.15</v>
      </c>
      <c r="AD182">
        <v>0.15</v>
      </c>
      <c r="AE182">
        <v>0.15</v>
      </c>
      <c r="AF182">
        <v>0.15</v>
      </c>
      <c r="AG182">
        <v>0.15</v>
      </c>
      <c r="AH182">
        <v>0.15</v>
      </c>
      <c r="AI182">
        <v>0.15</v>
      </c>
      <c r="AJ182">
        <v>0.15</v>
      </c>
      <c r="BV182">
        <v>0.503</v>
      </c>
      <c r="BW182">
        <v>0.503</v>
      </c>
      <c r="BX182">
        <v>0.503</v>
      </c>
      <c r="BY182">
        <v>0.503</v>
      </c>
      <c r="BZ182">
        <v>0.503</v>
      </c>
      <c r="CA182">
        <v>0.497</v>
      </c>
      <c r="CB182">
        <v>0.497</v>
      </c>
      <c r="CC182">
        <v>0.497</v>
      </c>
      <c r="CD182">
        <v>0.47699999999999998</v>
      </c>
      <c r="CE182">
        <v>0.47699999999999998</v>
      </c>
      <c r="CF182">
        <v>0.47699999999999998</v>
      </c>
      <c r="CG182">
        <v>0.47699999999999998</v>
      </c>
      <c r="CH182">
        <v>0.47699999999999998</v>
      </c>
      <c r="CI182">
        <v>0.47699999999999998</v>
      </c>
      <c r="CJ182">
        <v>0.47699999999999998</v>
      </c>
      <c r="CK182">
        <v>0.47699999999999998</v>
      </c>
      <c r="CL182">
        <v>0.47699999999999998</v>
      </c>
      <c r="CM182">
        <v>0.47699999999999998</v>
      </c>
      <c r="CN182">
        <v>0.47699999999999998</v>
      </c>
      <c r="CO182">
        <v>0.47699999999999998</v>
      </c>
      <c r="CP182">
        <v>0.47699999999999998</v>
      </c>
      <c r="CQ182">
        <v>0.47699999999999998</v>
      </c>
      <c r="CR182">
        <v>0.47699999999999998</v>
      </c>
      <c r="CS182">
        <v>0.47699999999999998</v>
      </c>
    </row>
    <row r="183" spans="1:99">
      <c r="B183" t="s">
        <v>487</v>
      </c>
      <c r="C183" t="s">
        <v>488</v>
      </c>
      <c r="O183">
        <v>2.3E-2</v>
      </c>
      <c r="P183">
        <v>2.3E-2</v>
      </c>
      <c r="Q183">
        <v>2.3E-2</v>
      </c>
      <c r="R183">
        <v>2.3E-2</v>
      </c>
      <c r="S183">
        <v>2.3E-2</v>
      </c>
      <c r="T183">
        <v>2.3E-2</v>
      </c>
      <c r="U183">
        <v>2.3E-2</v>
      </c>
      <c r="V183">
        <v>2.3E-2</v>
      </c>
      <c r="W183">
        <v>2.3E-2</v>
      </c>
      <c r="X183">
        <v>2.3E-2</v>
      </c>
      <c r="Y183">
        <v>2.3E-2</v>
      </c>
      <c r="Z183">
        <v>2.3E-2</v>
      </c>
      <c r="AA183">
        <v>2.3E-2</v>
      </c>
      <c r="AB183">
        <v>2.3E-2</v>
      </c>
      <c r="AC183">
        <v>2.3E-2</v>
      </c>
      <c r="AD183">
        <v>2.3E-2</v>
      </c>
      <c r="AE183">
        <v>2.3E-2</v>
      </c>
      <c r="AF183">
        <v>2.3E-2</v>
      </c>
      <c r="AG183">
        <v>2.3E-2</v>
      </c>
      <c r="AH183">
        <v>2.3E-2</v>
      </c>
      <c r="AI183">
        <v>2.3E-2</v>
      </c>
      <c r="AJ183">
        <v>2.3E-2</v>
      </c>
      <c r="BV183">
        <v>2.3E-2</v>
      </c>
      <c r="BW183">
        <v>2.3E-2</v>
      </c>
      <c r="BX183">
        <v>2.3E-2</v>
      </c>
      <c r="BY183">
        <v>2.3E-2</v>
      </c>
      <c r="BZ183">
        <v>2.3E-2</v>
      </c>
      <c r="CA183">
        <v>2.3E-2</v>
      </c>
      <c r="CB183">
        <v>2.3E-2</v>
      </c>
      <c r="CC183">
        <v>2.3E-2</v>
      </c>
      <c r="CD183">
        <v>2.3E-2</v>
      </c>
      <c r="CE183">
        <v>2.3E-2</v>
      </c>
      <c r="CF183">
        <v>2.3E-2</v>
      </c>
      <c r="CG183">
        <v>2.3E-2</v>
      </c>
      <c r="CH183">
        <v>2.3E-2</v>
      </c>
      <c r="CI183">
        <v>2.3E-2</v>
      </c>
      <c r="CJ183">
        <v>2.3E-2</v>
      </c>
      <c r="CK183">
        <v>2.3E-2</v>
      </c>
      <c r="CL183">
        <v>2.3E-2</v>
      </c>
      <c r="CM183">
        <v>2.3E-2</v>
      </c>
      <c r="CN183">
        <v>2.3E-2</v>
      </c>
      <c r="CO183">
        <v>2.3E-2</v>
      </c>
      <c r="CP183">
        <v>2.3E-2</v>
      </c>
      <c r="CQ183">
        <v>2.3E-2</v>
      </c>
      <c r="CR183">
        <v>2.3E-2</v>
      </c>
      <c r="CS183">
        <v>2.3E-2</v>
      </c>
    </row>
    <row r="184" spans="1:99">
      <c r="B184" t="s">
        <v>489</v>
      </c>
      <c r="C184" t="s">
        <v>490</v>
      </c>
      <c r="O184">
        <v>7.4999999999999997E-2</v>
      </c>
      <c r="P184">
        <v>7.4999999999999997E-2</v>
      </c>
      <c r="Q184">
        <v>7.4999999999999997E-2</v>
      </c>
      <c r="R184">
        <v>7.4999999999999997E-2</v>
      </c>
      <c r="S184">
        <v>7.4999999999999997E-2</v>
      </c>
      <c r="T184">
        <v>7.4999999999999997E-2</v>
      </c>
      <c r="U184">
        <v>7.4999999999999997E-2</v>
      </c>
      <c r="V184">
        <v>7.4999999999999997E-2</v>
      </c>
      <c r="W184">
        <v>7.4999999999999997E-2</v>
      </c>
      <c r="X184">
        <v>7.4999999999999997E-2</v>
      </c>
      <c r="Y184">
        <v>7.4999999999999997E-2</v>
      </c>
      <c r="Z184">
        <v>7.4999999999999997E-2</v>
      </c>
      <c r="AA184">
        <v>7.4999999999999997E-2</v>
      </c>
      <c r="AB184">
        <v>7.4999999999999997E-2</v>
      </c>
      <c r="AC184">
        <v>7.4999999999999997E-2</v>
      </c>
      <c r="AD184">
        <v>7.4999999999999997E-2</v>
      </c>
      <c r="AE184">
        <v>7.4999999999999997E-2</v>
      </c>
      <c r="AF184">
        <v>7.4999999999999997E-2</v>
      </c>
      <c r="AG184">
        <v>7.4999999999999997E-2</v>
      </c>
      <c r="AH184">
        <v>7.4999999999999997E-2</v>
      </c>
      <c r="AI184">
        <v>7.4999999999999997E-2</v>
      </c>
      <c r="AJ184">
        <v>7.4999999999999997E-2</v>
      </c>
      <c r="BV184">
        <v>5.0000000000000001E-3</v>
      </c>
      <c r="BW184">
        <v>5.0000000000000001E-3</v>
      </c>
      <c r="BX184">
        <v>5.0000000000000001E-3</v>
      </c>
      <c r="BY184">
        <v>5.0000000000000001E-3</v>
      </c>
      <c r="BZ184">
        <v>5.0000000000000001E-3</v>
      </c>
      <c r="CA184">
        <v>5.0000000000000001E-3</v>
      </c>
      <c r="CB184">
        <v>5.0000000000000001E-3</v>
      </c>
      <c r="CC184">
        <v>5.0000000000000001E-3</v>
      </c>
      <c r="CD184">
        <v>5.0000000000000001E-3</v>
      </c>
      <c r="CE184">
        <v>5.0000000000000001E-3</v>
      </c>
      <c r="CF184">
        <v>5.0000000000000001E-3</v>
      </c>
      <c r="CG184">
        <v>5.0000000000000001E-3</v>
      </c>
      <c r="CH184">
        <v>5.0000000000000001E-3</v>
      </c>
      <c r="CI184">
        <v>5.0000000000000001E-3</v>
      </c>
      <c r="CJ184">
        <v>5.0000000000000001E-3</v>
      </c>
      <c r="CK184">
        <v>5.0000000000000001E-3</v>
      </c>
      <c r="CL184">
        <v>5.0000000000000001E-3</v>
      </c>
      <c r="CM184">
        <v>5.0000000000000001E-3</v>
      </c>
      <c r="CN184">
        <v>5.0000000000000001E-3</v>
      </c>
      <c r="CO184">
        <v>5.0000000000000001E-3</v>
      </c>
      <c r="CP184">
        <v>5.0000000000000001E-3</v>
      </c>
      <c r="CQ184">
        <v>5.0000000000000001E-3</v>
      </c>
      <c r="CR184">
        <v>5.0000000000000001E-3</v>
      </c>
      <c r="CS184">
        <v>5.0000000000000001E-3</v>
      </c>
    </row>
    <row r="185" spans="1:99">
      <c r="B185" t="s">
        <v>813</v>
      </c>
      <c r="C185" t="s">
        <v>814</v>
      </c>
    </row>
    <row r="186" spans="1:99">
      <c r="B186" t="s">
        <v>491</v>
      </c>
      <c r="C186" t="s">
        <v>492</v>
      </c>
      <c r="O186">
        <v>7.4999999999999997E-2</v>
      </c>
      <c r="P186">
        <v>7.4999999999999997E-2</v>
      </c>
      <c r="Q186">
        <v>7.4999999999999997E-2</v>
      </c>
      <c r="R186">
        <v>7.4999999999999997E-2</v>
      </c>
      <c r="S186">
        <v>7.4999999999999997E-2</v>
      </c>
      <c r="T186">
        <v>7.4999999999999997E-2</v>
      </c>
      <c r="U186">
        <v>7.4999999999999997E-2</v>
      </c>
      <c r="V186">
        <v>7.4999999999999997E-2</v>
      </c>
      <c r="W186">
        <v>7.4999999999999997E-2</v>
      </c>
      <c r="X186">
        <v>7.4999999999999997E-2</v>
      </c>
      <c r="Y186">
        <v>7.4999999999999997E-2</v>
      </c>
      <c r="Z186">
        <v>7.4999999999999997E-2</v>
      </c>
      <c r="AA186">
        <v>7.4999999999999997E-2</v>
      </c>
      <c r="AB186">
        <v>7.4999999999999997E-2</v>
      </c>
      <c r="AC186">
        <v>7.4999999999999997E-2</v>
      </c>
      <c r="AD186">
        <v>7.4999999999999997E-2</v>
      </c>
      <c r="AE186">
        <v>7.4999999999999997E-2</v>
      </c>
      <c r="AF186">
        <v>7.4999999999999997E-2</v>
      </c>
      <c r="AG186">
        <v>7.4999999999999997E-2</v>
      </c>
      <c r="AH186">
        <v>7.4999999999999997E-2</v>
      </c>
      <c r="AI186">
        <v>7.4999999999999997E-2</v>
      </c>
      <c r="AJ186">
        <v>7.4999999999999997E-2</v>
      </c>
      <c r="BV186">
        <v>9.1999999999999998E-2</v>
      </c>
      <c r="BW186">
        <v>9.1999999999999998E-2</v>
      </c>
      <c r="BX186">
        <v>9.1999999999999998E-2</v>
      </c>
      <c r="BY186">
        <v>9.1999999999999998E-2</v>
      </c>
      <c r="BZ186">
        <v>9.1999999999999998E-2</v>
      </c>
      <c r="CA186">
        <v>8.8999999999999996E-2</v>
      </c>
      <c r="CB186">
        <v>8.8999999999999996E-2</v>
      </c>
      <c r="CC186">
        <v>8.8999999999999996E-2</v>
      </c>
      <c r="CD186">
        <v>8.8999999999999996E-2</v>
      </c>
      <c r="CE186">
        <v>8.8999999999999996E-2</v>
      </c>
      <c r="CF186">
        <v>8.8999999999999996E-2</v>
      </c>
      <c r="CG186">
        <v>8.8999999999999996E-2</v>
      </c>
      <c r="CH186">
        <v>8.8999999999999996E-2</v>
      </c>
      <c r="CI186">
        <v>8.8999999999999996E-2</v>
      </c>
      <c r="CJ186">
        <v>8.8999999999999996E-2</v>
      </c>
      <c r="CK186">
        <v>8.8999999999999996E-2</v>
      </c>
      <c r="CL186">
        <v>8.8999999999999996E-2</v>
      </c>
      <c r="CM186">
        <v>8.8999999999999996E-2</v>
      </c>
      <c r="CN186">
        <v>8.8999999999999996E-2</v>
      </c>
      <c r="CO186">
        <v>8.8999999999999996E-2</v>
      </c>
      <c r="CP186">
        <v>8.8999999999999996E-2</v>
      </c>
      <c r="CQ186">
        <v>8.8999999999999996E-2</v>
      </c>
      <c r="CR186">
        <v>8.8999999999999996E-2</v>
      </c>
      <c r="CS186">
        <v>8.8999999999999996E-2</v>
      </c>
    </row>
    <row r="187" spans="1:99">
      <c r="B187" t="s">
        <v>433</v>
      </c>
      <c r="C187" t="s">
        <v>434</v>
      </c>
      <c r="P187">
        <v>0.60379133912299998</v>
      </c>
      <c r="Q187">
        <v>0.66568591393900001</v>
      </c>
      <c r="R187">
        <v>0.68123149499799995</v>
      </c>
      <c r="S187">
        <v>0.75811012462399996</v>
      </c>
      <c r="T187">
        <v>0.88315436198399999</v>
      </c>
      <c r="U187">
        <v>0.89</v>
      </c>
      <c r="W187">
        <v>0.94</v>
      </c>
      <c r="AB187">
        <v>0.6</v>
      </c>
      <c r="CC187">
        <v>0.60379133912299998</v>
      </c>
      <c r="CF187">
        <v>0.62503282735400001</v>
      </c>
      <c r="CG187">
        <v>0.66568591393900001</v>
      </c>
      <c r="CH187">
        <v>0.65573098636299998</v>
      </c>
      <c r="CI187">
        <v>0.67165262852200003</v>
      </c>
      <c r="CJ187">
        <v>0.69100246542900001</v>
      </c>
      <c r="CK187">
        <v>0.68123149499799995</v>
      </c>
      <c r="CL187">
        <v>0.68702958165600003</v>
      </c>
      <c r="CM187">
        <v>0.70704348006399997</v>
      </c>
      <c r="CN187">
        <v>0.72295730459700003</v>
      </c>
      <c r="CO187">
        <v>0.75811012462399996</v>
      </c>
      <c r="CP187">
        <v>0.78316817970099994</v>
      </c>
      <c r="CQ187">
        <v>0.87788616698400002</v>
      </c>
      <c r="CR187">
        <v>0.83713295641100005</v>
      </c>
      <c r="CS187">
        <v>0.88315436198399999</v>
      </c>
      <c r="CT187">
        <v>0.88674103003600002</v>
      </c>
      <c r="CU187">
        <v>0.88354285182799996</v>
      </c>
    </row>
    <row r="188" spans="1:99">
      <c r="B188" t="s">
        <v>493</v>
      </c>
      <c r="C188" t="s">
        <v>494</v>
      </c>
    </row>
    <row r="189" spans="1:99">
      <c r="B189" t="s">
        <v>495</v>
      </c>
      <c r="C189" t="s">
        <v>496</v>
      </c>
    </row>
    <row r="190" spans="1:99">
      <c r="A190" t="s">
        <v>497</v>
      </c>
    </row>
    <row r="191" spans="1:99">
      <c r="B191" t="s">
        <v>498</v>
      </c>
      <c r="C191" t="s">
        <v>499</v>
      </c>
      <c r="T191">
        <v>0</v>
      </c>
      <c r="U191">
        <v>0</v>
      </c>
      <c r="V191">
        <v>0</v>
      </c>
      <c r="W191">
        <v>0</v>
      </c>
      <c r="X191">
        <v>0</v>
      </c>
    </row>
    <row r="192" spans="1:99">
      <c r="B192" t="s">
        <v>500</v>
      </c>
      <c r="C192" t="s">
        <v>501</v>
      </c>
      <c r="T192">
        <v>0</v>
      </c>
      <c r="U192">
        <v>0</v>
      </c>
      <c r="V192">
        <v>0</v>
      </c>
      <c r="W192">
        <v>0</v>
      </c>
      <c r="X192">
        <v>0</v>
      </c>
    </row>
    <row r="193" spans="1:99">
      <c r="B193" t="s">
        <v>502</v>
      </c>
      <c r="C193" t="s">
        <v>503</v>
      </c>
    </row>
    <row r="194" spans="1:99">
      <c r="B194" t="s">
        <v>504</v>
      </c>
      <c r="C194" t="s">
        <v>505</v>
      </c>
    </row>
    <row r="195" spans="1:99">
      <c r="B195" t="s">
        <v>506</v>
      </c>
      <c r="C195" t="s">
        <v>507</v>
      </c>
    </row>
    <row r="196" spans="1:99">
      <c r="B196" t="s">
        <v>508</v>
      </c>
      <c r="C196" t="s">
        <v>509</v>
      </c>
    </row>
    <row r="197" spans="1:99">
      <c r="B197" t="s">
        <v>510</v>
      </c>
      <c r="C197" t="s">
        <v>511</v>
      </c>
    </row>
    <row r="198" spans="1:99">
      <c r="A198" t="s">
        <v>512</v>
      </c>
    </row>
    <row r="199" spans="1:99">
      <c r="B199" t="s">
        <v>513</v>
      </c>
      <c r="C199" t="s">
        <v>514</v>
      </c>
    </row>
    <row r="200" spans="1:99">
      <c r="B200" t="s">
        <v>515</v>
      </c>
      <c r="C200" t="s">
        <v>516</v>
      </c>
      <c r="R200">
        <v>0.25127150049800001</v>
      </c>
      <c r="S200">
        <v>0.23977532034400001</v>
      </c>
      <c r="T200">
        <v>0.242265926311</v>
      </c>
      <c r="U200">
        <v>0.21537770361299999</v>
      </c>
      <c r="V200">
        <v>0.231646409045</v>
      </c>
      <c r="W200">
        <v>0.23965903836300001</v>
      </c>
      <c r="X200">
        <v>0.23965903836300001</v>
      </c>
      <c r="CH200">
        <v>0.26516737530500001</v>
      </c>
      <c r="CI200">
        <v>0.24281631194799999</v>
      </c>
      <c r="CJ200">
        <v>0.25246266739000001</v>
      </c>
      <c r="CK200">
        <v>0.24142245454</v>
      </c>
      <c r="CL200">
        <v>0.249156149105</v>
      </c>
      <c r="CM200">
        <v>0.242001697131</v>
      </c>
      <c r="CN200">
        <v>0.23152053902600001</v>
      </c>
      <c r="CO200">
        <v>0.23131938514100001</v>
      </c>
      <c r="CP200">
        <v>0.24889745459599999</v>
      </c>
      <c r="CQ200">
        <v>0.23969241554599999</v>
      </c>
      <c r="CR200">
        <v>0.23132613806399999</v>
      </c>
      <c r="CS200">
        <v>0.245708995086</v>
      </c>
      <c r="CT200">
        <v>0.23075376345500001</v>
      </c>
      <c r="CU200">
        <v>0.210377521117</v>
      </c>
    </row>
    <row r="201" spans="1:99">
      <c r="B201" t="s">
        <v>517</v>
      </c>
      <c r="C201" t="s">
        <v>518</v>
      </c>
    </row>
    <row r="202" spans="1:99">
      <c r="B202" t="s">
        <v>519</v>
      </c>
      <c r="C202" t="s">
        <v>520</v>
      </c>
      <c r="R202">
        <v>0.45403429856600003</v>
      </c>
      <c r="S202">
        <v>0.45107366450199998</v>
      </c>
      <c r="T202">
        <v>0.43816844005599997</v>
      </c>
      <c r="U202">
        <v>0.40161735447000002</v>
      </c>
      <c r="V202">
        <v>0.401657399636</v>
      </c>
      <c r="W202">
        <v>0.42140345673000001</v>
      </c>
      <c r="X202">
        <v>0.42140345673000001</v>
      </c>
      <c r="CH202">
        <v>0.47633436211800001</v>
      </c>
      <c r="CI202">
        <v>0.41782779564099998</v>
      </c>
      <c r="CJ202">
        <v>0.45010421722900001</v>
      </c>
      <c r="CK202">
        <v>0.46858143802500002</v>
      </c>
      <c r="CL202">
        <v>0.45584458467900002</v>
      </c>
      <c r="CM202">
        <v>0.40554548998899997</v>
      </c>
      <c r="CN202">
        <v>0.49177589672499999</v>
      </c>
      <c r="CO202">
        <v>0.45874252775399998</v>
      </c>
      <c r="CP202">
        <v>0.430409417648</v>
      </c>
      <c r="CQ202">
        <v>0.39394470490299999</v>
      </c>
      <c r="CR202">
        <v>0.46949134430400002</v>
      </c>
      <c r="CS202">
        <v>0.46886499062300002</v>
      </c>
      <c r="CT202">
        <v>0.40973739594399999</v>
      </c>
      <c r="CU202">
        <v>0.36745388726099998</v>
      </c>
    </row>
    <row r="203" spans="1:99">
      <c r="B203" t="s">
        <v>521</v>
      </c>
      <c r="C203" t="s">
        <v>522</v>
      </c>
    </row>
    <row r="204" spans="1:99">
      <c r="B204" t="s">
        <v>523</v>
      </c>
      <c r="C204" t="s">
        <v>524</v>
      </c>
      <c r="R204">
        <v>6.9728065019000002E-2</v>
      </c>
      <c r="S204">
        <v>8.0638932772000002E-2</v>
      </c>
      <c r="T204">
        <v>8.3776908558999996E-2</v>
      </c>
      <c r="U204">
        <v>6.7201506108000006E-2</v>
      </c>
      <c r="V204">
        <v>7.8501569753000003E-2</v>
      </c>
      <c r="W204">
        <v>7.7357634556999996E-2</v>
      </c>
      <c r="X204">
        <v>7.7357634556999996E-2</v>
      </c>
      <c r="CH204">
        <v>7.8691213605999996E-2</v>
      </c>
      <c r="CI204">
        <v>6.9591180523999999E-2</v>
      </c>
      <c r="CJ204">
        <v>5.9817833995E-2</v>
      </c>
      <c r="CK204">
        <v>6.7980870821999995E-2</v>
      </c>
      <c r="CL204">
        <v>8.3394481948999996E-2</v>
      </c>
      <c r="CM204">
        <v>7.3871063917999996E-2</v>
      </c>
      <c r="CN204">
        <v>7.3917843898000005E-2</v>
      </c>
      <c r="CO204">
        <v>9.0841161401000001E-2</v>
      </c>
      <c r="CP204">
        <v>8.7595930131999997E-2</v>
      </c>
      <c r="CQ204">
        <v>8.8660561713999997E-2</v>
      </c>
      <c r="CR204">
        <v>7.0180594144000005E-2</v>
      </c>
      <c r="CS204">
        <v>8.5345298292999999E-2</v>
      </c>
      <c r="CT204">
        <v>7.3030469577000004E-2</v>
      </c>
      <c r="CU204">
        <v>5.9593173590999998E-2</v>
      </c>
    </row>
    <row r="205" spans="1:99">
      <c r="B205" t="s">
        <v>525</v>
      </c>
      <c r="C205" t="s">
        <v>526</v>
      </c>
      <c r="R205">
        <v>0.151787768037</v>
      </c>
      <c r="S205">
        <v>0.15807149962</v>
      </c>
      <c r="T205">
        <v>0.17425531332899999</v>
      </c>
      <c r="U205">
        <v>0.25122478232000001</v>
      </c>
      <c r="V205">
        <v>0.224875834149</v>
      </c>
      <c r="W205">
        <v>0.19527644241299999</v>
      </c>
      <c r="X205">
        <v>0.19527644241299999</v>
      </c>
      <c r="CH205">
        <v>9.6971920660999994E-2</v>
      </c>
      <c r="CI205">
        <v>0.20142397795100001</v>
      </c>
      <c r="CJ205">
        <v>0.1619507181</v>
      </c>
      <c r="CK205">
        <v>0.15842740365899999</v>
      </c>
      <c r="CL205">
        <v>0.133218373936</v>
      </c>
      <c r="CM205">
        <v>0.20113294956800001</v>
      </c>
      <c r="CN205">
        <v>0.139654049769</v>
      </c>
      <c r="CO205">
        <v>0.16148057216100001</v>
      </c>
      <c r="CP205">
        <v>0.164878285933</v>
      </c>
      <c r="CQ205">
        <v>0.21546247206800001</v>
      </c>
      <c r="CR205">
        <v>0.166435135713</v>
      </c>
      <c r="CS205">
        <v>0.14937207701300001</v>
      </c>
      <c r="CT205">
        <v>0.216410407646</v>
      </c>
      <c r="CU205">
        <v>0.29000172384099998</v>
      </c>
    </row>
    <row r="206" spans="1:99">
      <c r="B206" t="s">
        <v>527</v>
      </c>
      <c r="C206" t="s">
        <v>528</v>
      </c>
    </row>
    <row r="207" spans="1:99">
      <c r="B207" t="s">
        <v>529</v>
      </c>
      <c r="C207" t="s">
        <v>530</v>
      </c>
    </row>
    <row r="208" spans="1:99">
      <c r="B208" t="s">
        <v>531</v>
      </c>
      <c r="C208" t="s">
        <v>532</v>
      </c>
    </row>
    <row r="209" spans="1:99">
      <c r="B209" t="s">
        <v>533</v>
      </c>
      <c r="C209" t="s">
        <v>534</v>
      </c>
    </row>
    <row r="210" spans="1:99">
      <c r="B210" t="s">
        <v>535</v>
      </c>
      <c r="C210" t="s">
        <v>536</v>
      </c>
    </row>
    <row r="211" spans="1:99">
      <c r="B211" t="s">
        <v>537</v>
      </c>
      <c r="C211" t="s">
        <v>538</v>
      </c>
    </row>
    <row r="212" spans="1:99">
      <c r="B212" t="s">
        <v>539</v>
      </c>
      <c r="C212" t="s">
        <v>540</v>
      </c>
    </row>
    <row r="213" spans="1:99">
      <c r="B213" t="s">
        <v>541</v>
      </c>
      <c r="C213" t="s">
        <v>542</v>
      </c>
      <c r="R213">
        <v>7.3178367879000006E-2</v>
      </c>
      <c r="S213">
        <v>7.0440582762999998E-2</v>
      </c>
      <c r="T213">
        <v>6.1533411745000002E-2</v>
      </c>
      <c r="U213">
        <v>6.4578653488000001E-2</v>
      </c>
      <c r="V213">
        <v>6.3318787417999997E-2</v>
      </c>
      <c r="W213">
        <v>6.6303427937999995E-2</v>
      </c>
      <c r="X213">
        <v>6.6303427937999995E-2</v>
      </c>
      <c r="CH213">
        <v>8.2835128310000006E-2</v>
      </c>
      <c r="CI213">
        <v>6.8340733936E-2</v>
      </c>
      <c r="CJ213">
        <v>7.5664563286999997E-2</v>
      </c>
      <c r="CK213">
        <v>6.3587832952999995E-2</v>
      </c>
      <c r="CL213">
        <v>7.8386410332000001E-2</v>
      </c>
      <c r="CM213">
        <v>7.7448799395000004E-2</v>
      </c>
      <c r="CN213">
        <v>6.3131670582999996E-2</v>
      </c>
      <c r="CO213">
        <v>5.7616353544E-2</v>
      </c>
      <c r="CP213">
        <v>6.8218911692000006E-2</v>
      </c>
      <c r="CQ213">
        <v>6.2239845770000003E-2</v>
      </c>
      <c r="CR213">
        <v>6.2566787774999993E-2</v>
      </c>
      <c r="CS213">
        <v>5.0708638985999997E-2</v>
      </c>
      <c r="CT213">
        <v>7.0067963378000003E-2</v>
      </c>
      <c r="CU213">
        <v>7.2573694191000002E-2</v>
      </c>
    </row>
    <row r="214" spans="1:99">
      <c r="A214" t="s">
        <v>742</v>
      </c>
    </row>
    <row r="215" spans="1:99">
      <c r="B215" t="s">
        <v>435</v>
      </c>
      <c r="C215" t="s">
        <v>436</v>
      </c>
      <c r="F215">
        <v>0.53848852360400001</v>
      </c>
      <c r="G215">
        <v>0.558642550811</v>
      </c>
      <c r="H215">
        <v>0.545280390108</v>
      </c>
      <c r="I215">
        <v>0.51248590301300001</v>
      </c>
      <c r="J215">
        <v>0.48544510206500002</v>
      </c>
      <c r="K215">
        <v>0.477926925562</v>
      </c>
      <c r="L215">
        <v>0.48744499093999999</v>
      </c>
      <c r="M215">
        <v>0.48445764504799999</v>
      </c>
      <c r="N215">
        <v>0.44149262489699997</v>
      </c>
      <c r="O215">
        <v>0.44239599114299999</v>
      </c>
      <c r="P215">
        <v>0.37559218091199997</v>
      </c>
      <c r="Q215">
        <v>0.35395246145499998</v>
      </c>
      <c r="R215">
        <v>0.45403429856600003</v>
      </c>
      <c r="S215">
        <v>0.45107366450199998</v>
      </c>
      <c r="T215">
        <v>0.43816844005599997</v>
      </c>
      <c r="U215">
        <v>0.40161735447000002</v>
      </c>
      <c r="AX215">
        <v>0.50135869565199997</v>
      </c>
      <c r="AY215">
        <v>0.46372881355899997</v>
      </c>
      <c r="AZ215">
        <v>0.53786407767</v>
      </c>
      <c r="BA215">
        <v>0.54110787171999997</v>
      </c>
      <c r="BB215">
        <v>0.46061814556300001</v>
      </c>
      <c r="BC215">
        <v>0.461498166579</v>
      </c>
      <c r="BD215">
        <v>0.50546176762700001</v>
      </c>
      <c r="BE215">
        <v>0.50893617021299997</v>
      </c>
      <c r="BF215">
        <v>0.46905444126099999</v>
      </c>
      <c r="BG215">
        <v>0.44495837187800003</v>
      </c>
      <c r="BH215">
        <v>0.49403409090900002</v>
      </c>
      <c r="BI215">
        <v>0.48151169113600001</v>
      </c>
      <c r="BJ215">
        <v>0.46964689511199997</v>
      </c>
      <c r="BK215">
        <v>0.48680890112399999</v>
      </c>
      <c r="BL215">
        <v>0.50640732265400001</v>
      </c>
      <c r="BM215">
        <v>0.48542485011399999</v>
      </c>
      <c r="BN215">
        <v>0.49529692545300003</v>
      </c>
      <c r="BO215">
        <v>0.46916382898199999</v>
      </c>
      <c r="BP215">
        <v>0.49307927377299998</v>
      </c>
      <c r="BQ215">
        <v>0.47774750227099999</v>
      </c>
      <c r="BR215">
        <v>0.44439117929100003</v>
      </c>
      <c r="BS215">
        <v>0.43395989974900001</v>
      </c>
      <c r="BT215">
        <v>0.46792752281400002</v>
      </c>
      <c r="BU215">
        <v>0.41762152777799999</v>
      </c>
      <c r="BV215">
        <v>0.44621212121199999</v>
      </c>
      <c r="BW215">
        <v>0.43703214442999999</v>
      </c>
      <c r="BX215">
        <v>0.45962605300999998</v>
      </c>
      <c r="BY215">
        <v>0.428934218072</v>
      </c>
      <c r="BZ215">
        <v>0.38844608812100001</v>
      </c>
      <c r="CA215">
        <v>0.36987925031500002</v>
      </c>
      <c r="CB215">
        <v>0.39662420382199998</v>
      </c>
      <c r="CC215">
        <v>0.35324190139099998</v>
      </c>
      <c r="CD215">
        <v>0.34471410942000003</v>
      </c>
      <c r="CE215">
        <v>0.37795435196799998</v>
      </c>
      <c r="CF215">
        <v>0.35441531623</v>
      </c>
      <c r="CG215">
        <v>0.34128050937400001</v>
      </c>
      <c r="CH215">
        <v>0.47633436211800001</v>
      </c>
      <c r="CI215">
        <v>0.41782779564099998</v>
      </c>
      <c r="CJ215">
        <v>0.45010421722900001</v>
      </c>
      <c r="CK215">
        <v>0.46858143802500002</v>
      </c>
      <c r="CL215">
        <v>0.45584458467900002</v>
      </c>
      <c r="CM215">
        <v>0.40554548998899997</v>
      </c>
      <c r="CN215">
        <v>0.49177589672499999</v>
      </c>
      <c r="CO215">
        <v>0.45874252775399998</v>
      </c>
      <c r="CP215">
        <v>0.430409417648</v>
      </c>
      <c r="CQ215">
        <v>0.39394470490299999</v>
      </c>
      <c r="CR215">
        <v>0.46949134430400002</v>
      </c>
      <c r="CS215">
        <v>0.46886499062300002</v>
      </c>
      <c r="CT215">
        <v>0.40973739594399999</v>
      </c>
      <c r="CU215">
        <v>0.36745388726099998</v>
      </c>
    </row>
    <row r="216" spans="1:99">
      <c r="B216" t="s">
        <v>453</v>
      </c>
      <c r="C216" t="s">
        <v>454</v>
      </c>
    </row>
    <row r="217" spans="1:99">
      <c r="B217" t="s">
        <v>455</v>
      </c>
      <c r="C217" t="s">
        <v>456</v>
      </c>
    </row>
    <row r="218" spans="1:99">
      <c r="B218" t="s">
        <v>459</v>
      </c>
      <c r="C218" t="s">
        <v>460</v>
      </c>
    </row>
    <row r="219" spans="1:99">
      <c r="B219" t="s">
        <v>461</v>
      </c>
      <c r="C219" t="s">
        <v>462</v>
      </c>
    </row>
    <row r="220" spans="1:99">
      <c r="B220" t="s">
        <v>463</v>
      </c>
      <c r="C220" t="s">
        <v>464</v>
      </c>
    </row>
    <row r="221" spans="1:99">
      <c r="B221" t="s">
        <v>465</v>
      </c>
      <c r="C221" t="s">
        <v>466</v>
      </c>
    </row>
    <row r="222" spans="1:99">
      <c r="B222" t="s">
        <v>469</v>
      </c>
      <c r="C222" t="s">
        <v>470</v>
      </c>
    </row>
    <row r="223" spans="1:99">
      <c r="B223" t="s">
        <v>471</v>
      </c>
      <c r="C223" t="s">
        <v>472</v>
      </c>
    </row>
    <row r="224" spans="1:99">
      <c r="B224" t="s">
        <v>479</v>
      </c>
      <c r="C224" t="s">
        <v>480</v>
      </c>
    </row>
    <row r="236" spans="1:5">
      <c r="A236" t="s">
        <v>543</v>
      </c>
      <c r="B236" t="s">
        <v>2406</v>
      </c>
    </row>
    <row r="237" spans="1:5">
      <c r="A237" t="s">
        <v>234</v>
      </c>
    </row>
    <row r="238" spans="1:5">
      <c r="B238" t="s">
        <v>544</v>
      </c>
      <c r="C238" t="s">
        <v>544</v>
      </c>
      <c r="E238" t="s">
        <v>545</v>
      </c>
    </row>
    <row r="239" spans="1:5">
      <c r="B239" t="s">
        <v>546</v>
      </c>
      <c r="C239" t="s">
        <v>546</v>
      </c>
      <c r="E239" t="s">
        <v>236</v>
      </c>
    </row>
    <row r="240" spans="1:5">
      <c r="B240" t="s">
        <v>547</v>
      </c>
      <c r="C240" t="s">
        <v>547</v>
      </c>
      <c r="E240" t="s">
        <v>548</v>
      </c>
    </row>
    <row r="241" spans="1:161">
      <c r="B241" t="s">
        <v>549</v>
      </c>
      <c r="C241" t="s">
        <v>550</v>
      </c>
      <c r="E241" t="s">
        <v>239</v>
      </c>
    </row>
    <row r="242" spans="1:161">
      <c r="B242" t="s">
        <v>551</v>
      </c>
      <c r="C242" t="s">
        <v>552</v>
      </c>
      <c r="E242" t="s">
        <v>239</v>
      </c>
    </row>
    <row r="243" spans="1:161">
      <c r="B243" t="s">
        <v>237</v>
      </c>
      <c r="C243" t="s">
        <v>238</v>
      </c>
      <c r="E243" t="s">
        <v>239</v>
      </c>
    </row>
    <row r="244" spans="1:161">
      <c r="A244" t="s">
        <v>240</v>
      </c>
    </row>
    <row r="245" spans="1:161">
      <c r="B245" t="s">
        <v>553</v>
      </c>
      <c r="C245" t="s">
        <v>554</v>
      </c>
      <c r="E245" t="s">
        <v>2188</v>
      </c>
    </row>
    <row r="246" spans="1:161">
      <c r="B246" t="s">
        <v>555</v>
      </c>
      <c r="C246" t="s">
        <v>2254</v>
      </c>
    </row>
    <row r="248" spans="1:161">
      <c r="B248" t="s">
        <v>556</v>
      </c>
      <c r="C248" t="s">
        <v>557</v>
      </c>
    </row>
    <row r="249" spans="1:161">
      <c r="B249" t="s">
        <v>558</v>
      </c>
      <c r="C249" t="s">
        <v>559</v>
      </c>
      <c r="D249" t="str">
        <f>L_CURRENCY_EQTY_200000801_PRI</f>
      </c>
      <c r="E249">
        <v>251</v>
      </c>
    </row>
    <row r="250" spans="1:161">
      <c r="B250" t="s">
        <v>560</v>
      </c>
      <c r="C250" t="s">
        <v>561</v>
      </c>
      <c r="E250" t="s">
        <v>1661</v>
      </c>
    </row>
    <row r="251" spans="1:161">
      <c r="B251" t="s">
        <v>991</v>
      </c>
      <c r="C251" t="s">
        <v>989</v>
      </c>
      <c r="D251" t="str">
        <f>L_CURRENCY_EQTY_200000801_PRI</f>
      </c>
    </row>
    <row r="252" spans="1:161">
      <c r="B252" t="s">
        <v>992</v>
      </c>
      <c r="C252" t="s">
        <v>990</v>
      </c>
      <c r="D252" t="str">
        <f>L_CURRENCY_EQTY_200000801_PRI</f>
      </c>
    </row>
    <row r="253" spans="1:161">
      <c r="B253" t="s">
        <v>562</v>
      </c>
      <c r="C253" t="s">
        <v>563</v>
      </c>
      <c r="E253">
        <v>15056.133</v>
      </c>
    </row>
    <row r="254" spans="1:161">
      <c r="B254" t="s">
        <v>564</v>
      </c>
      <c r="C254" t="s">
        <v>565</v>
      </c>
    </row>
    <row r="255" spans="1:161">
      <c r="A255" t="s">
        <v>566</v>
      </c>
    </row>
    <row r="256" spans="1:161">
      <c r="B256" t="s">
        <v>567</v>
      </c>
      <c r="C256" t="s">
        <v>568</v>
      </c>
      <c r="D256" t="str">
        <f>L_CURRENCY_EQTY_200000801_PUB</f>
      </c>
      <c r="F256">
        <v>0.22593063121000001</v>
      </c>
      <c r="G256">
        <v>0.20248272749999999</v>
      </c>
      <c r="H256">
        <v>0.205972860875</v>
      </c>
      <c r="I256">
        <v>0.20910667232999999</v>
      </c>
      <c r="J256">
        <v>0.243945082176</v>
      </c>
      <c r="K256">
        <v>0.32982841677199998</v>
      </c>
      <c r="L256">
        <v>0.42232125170500001</v>
      </c>
      <c r="M256">
        <v>0.60023957535500005</v>
      </c>
      <c r="N256">
        <v>0.90352923861500001</v>
      </c>
      <c r="O256">
        <v>1.2653741560209999</v>
      </c>
      <c r="P256">
        <v>1.8767405825450001</v>
      </c>
      <c r="Q256">
        <v>2.9606062196259999</v>
      </c>
      <c r="R256">
        <v>4.5158076954309996</v>
      </c>
      <c r="S256">
        <v>4.7685227247900004</v>
      </c>
      <c r="T256">
        <v>4.5824378921240001</v>
      </c>
      <c r="U256">
        <v>5.186262450908</v>
      </c>
      <c r="V256">
        <v>5.8605928425449996</v>
      </c>
      <c r="W256">
        <v>6.4232692292209999</v>
      </c>
      <c r="X256">
        <v>5.4055922076570004</v>
      </c>
      <c r="Y256">
        <v>4.8988335223829997</v>
      </c>
      <c r="Z256">
        <v>3.7654766035930001</v>
      </c>
      <c r="AA256">
        <v>3.7775566402599998</v>
      </c>
      <c r="AB256">
        <v>3.124822079256</v>
      </c>
      <c r="AC256">
        <v>3.9472235267119999</v>
      </c>
      <c r="AD256">
        <v>3.7116010996640001</v>
      </c>
      <c r="AE256">
        <v>3.9336399018539998</v>
      </c>
      <c r="AF256">
        <v>3.3332434116230001</v>
      </c>
      <c r="AG256">
        <v>2.5809523789369999</v>
      </c>
      <c r="AH256">
        <v>1.7689232624340001</v>
      </c>
      <c r="AI256">
        <v>0.92272127179200003</v>
      </c>
      <c r="AJ256">
        <v>0.10208447019899999</v>
      </c>
      <c r="AL256">
        <v>0.244727763372</v>
      </c>
      <c r="AM256">
        <v>0.23206181444000001</v>
      </c>
      <c r="AN256">
        <v>0.22942231285799999</v>
      </c>
      <c r="AO256">
        <v>0.22429493730200001</v>
      </c>
      <c r="AP256">
        <v>0.19659434198100001</v>
      </c>
      <c r="AQ256">
        <v>0.192874479889</v>
      </c>
      <c r="AR256">
        <v>0.197533746628</v>
      </c>
      <c r="AS256">
        <v>0.199533092563</v>
      </c>
      <c r="AT256">
        <v>0.20158093123699999</v>
      </c>
      <c r="AU256">
        <v>0.20277970869199999</v>
      </c>
      <c r="AV256">
        <v>0.20374089529700001</v>
      </c>
      <c r="AW256">
        <v>0.20374188515200001</v>
      </c>
      <c r="AX256">
        <v>0.20470287447400001</v>
      </c>
      <c r="AY256">
        <v>0.20502847315</v>
      </c>
      <c r="AZ256">
        <v>0.20777644165600001</v>
      </c>
      <c r="BA256">
        <v>0.208207035199</v>
      </c>
      <c r="BB256">
        <v>0.213329917427</v>
      </c>
      <c r="BC256">
        <v>0.219458682919</v>
      </c>
      <c r="BD256">
        <v>0.22912880391000001</v>
      </c>
      <c r="BE256">
        <v>0.236379669337</v>
      </c>
      <c r="BF256">
        <v>0.26207519376400001</v>
      </c>
      <c r="BG256">
        <v>0.28220654584799998</v>
      </c>
      <c r="BH256">
        <v>0.29887073220799998</v>
      </c>
      <c r="BI256">
        <v>0.32461208290900001</v>
      </c>
      <c r="BJ256">
        <v>0.36024621926299999</v>
      </c>
      <c r="BK256">
        <v>0.36873319210299998</v>
      </c>
      <c r="BL256">
        <v>0.39138368605399998</v>
      </c>
      <c r="BM256">
        <v>0.41743954025500002</v>
      </c>
      <c r="BN256">
        <v>0.467825825385</v>
      </c>
      <c r="BO256">
        <v>0.50786117114999996</v>
      </c>
      <c r="BP256">
        <v>0.55363352023699997</v>
      </c>
      <c r="BQ256">
        <v>0.59590723154400005</v>
      </c>
      <c r="BR256">
        <v>0.68756911574299995</v>
      </c>
      <c r="BS256">
        <v>0.73767765252899997</v>
      </c>
      <c r="BT256">
        <v>0.79997045019500002</v>
      </c>
      <c r="BU256">
        <v>0.89854128188100002</v>
      </c>
      <c r="BV256">
        <v>0.92018886907700004</v>
      </c>
      <c r="BW256">
        <v>0.97427006889699996</v>
      </c>
      <c r="BX256">
        <v>1.0345295000750001</v>
      </c>
      <c r="BY256">
        <v>1.2583070536459999</v>
      </c>
      <c r="BZ256">
        <v>1.413800987036</v>
      </c>
      <c r="CA256">
        <v>1.5484423019889999</v>
      </c>
      <c r="CB256">
        <v>1.6878794508520001</v>
      </c>
      <c r="CC256">
        <v>1.866286257876</v>
      </c>
      <c r="CD256">
        <v>2.12375708191</v>
      </c>
      <c r="CE256">
        <v>2.3782676082399998</v>
      </c>
      <c r="CF256">
        <v>2.6741327299690001</v>
      </c>
      <c r="CG256">
        <v>2.9476558796910002</v>
      </c>
      <c r="CH256">
        <v>3.4544281999550002</v>
      </c>
      <c r="CI256">
        <v>3.9210726611509998</v>
      </c>
      <c r="CJ256">
        <v>4.2610993122209999</v>
      </c>
      <c r="CK256">
        <v>4.4991924214130004</v>
      </c>
      <c r="CL256">
        <v>4.8439598734829996</v>
      </c>
      <c r="CM256">
        <v>5.1498288914329997</v>
      </c>
      <c r="CN256">
        <v>4.7957910687579997</v>
      </c>
      <c r="CO256">
        <v>4.8801646226560003</v>
      </c>
      <c r="CP256">
        <v>5.1687491948990001</v>
      </c>
      <c r="CQ256">
        <v>4.9066279467980003</v>
      </c>
      <c r="CR256">
        <v>5.0285773209249998</v>
      </c>
      <c r="CS256">
        <v>4.6996087696929996</v>
      </c>
      <c r="CT256">
        <v>5.2766673478139996</v>
      </c>
      <c r="CU256">
        <v>5.5665548632249999</v>
      </c>
      <c r="CV256">
        <v>5.4833987971139999</v>
      </c>
      <c r="CW256">
        <v>5.2840789556640004</v>
      </c>
      <c r="CX256">
        <v>5.7685112062929997</v>
      </c>
      <c r="CY256">
        <v>5.914399095746</v>
      </c>
      <c r="CZ256">
        <v>5.8120361752529996</v>
      </c>
      <c r="DA256">
        <v>5.9740591982879998</v>
      </c>
      <c r="DB256">
        <v>6.2463894180060002</v>
      </c>
      <c r="DC256">
        <v>6.4144356328069998</v>
      </c>
      <c r="DD256">
        <v>6.3726062003179997</v>
      </c>
      <c r="DE256">
        <v>6.5078587369319996</v>
      </c>
      <c r="DF256">
        <v>6.8551913140099998</v>
      </c>
      <c r="DG256">
        <v>6.3124928232070001</v>
      </c>
      <c r="DH256">
        <v>5.8861669418520002</v>
      </c>
      <c r="DI256">
        <v>5.5787261258719996</v>
      </c>
      <c r="DJ256">
        <v>6.2234206536569996</v>
      </c>
      <c r="DK256">
        <v>5.6620877175380002</v>
      </c>
      <c r="DL256">
        <v>5.2758556637560003</v>
      </c>
      <c r="DM256">
        <v>5.037396355047</v>
      </c>
      <c r="DN256">
        <v>5.0696596180329996</v>
      </c>
      <c r="DO256">
        <v>4.4967421626239998</v>
      </c>
      <c r="DP256">
        <v>4.190189939973</v>
      </c>
      <c r="DQ256">
        <v>3.8304870397530002</v>
      </c>
      <c r="DR256">
        <v>3.910453773605</v>
      </c>
      <c r="DS256">
        <v>4.1291729549139999</v>
      </c>
      <c r="DT256">
        <v>3.8654498717960002</v>
      </c>
      <c r="DU256">
        <v>3.8266232169949999</v>
      </c>
      <c r="DV256">
        <v>4.3883120530820001</v>
      </c>
      <c r="DW256">
        <v>4.1402923876089996</v>
      </c>
      <c r="DX256">
        <v>3.5950750311899999</v>
      </c>
      <c r="DY256">
        <v>3.1609976605669998</v>
      </c>
      <c r="DZ256">
        <v>3.5693694529250002</v>
      </c>
      <c r="EA256">
        <v>3.9372517681149999</v>
      </c>
      <c r="EB256">
        <v>3.8396918155840001</v>
      </c>
      <c r="EC256">
        <v>3.9838624914210001</v>
      </c>
      <c r="ED256">
        <v>4.7776358671630001</v>
      </c>
      <c r="EE256">
        <v>4.815960891754</v>
      </c>
      <c r="EF256">
        <v>4.3635590099929997</v>
      </c>
      <c r="EG256">
        <v>3.7536275729159998</v>
      </c>
      <c r="EH256">
        <v>4.4264170329599999</v>
      </c>
      <c r="EI256">
        <v>4.4557157381970001</v>
      </c>
      <c r="EJ256">
        <v>4.00593217683</v>
      </c>
      <c r="EK256">
        <v>3.968594996327</v>
      </c>
      <c r="EL256">
        <v>4.3697562117329998</v>
      </c>
      <c r="EM256">
        <v>4.0513533234560004</v>
      </c>
      <c r="EN256">
        <v>3.4234406978180001</v>
      </c>
      <c r="EO256">
        <v>3.3721768197299999</v>
      </c>
      <c r="EP256">
        <v>3.9408654563979999</v>
      </c>
      <c r="EQ256">
        <v>3.5535281014389999</v>
      </c>
      <c r="ER256">
        <v>2.8078576686279999</v>
      </c>
      <c r="ES256">
        <v>2.6140449421219998</v>
      </c>
      <c r="ET256">
        <v>3.1660325650719998</v>
      </c>
      <c r="EU256">
        <v>2.7953955768699998</v>
      </c>
      <c r="EV256">
        <v>2.0166238885509999</v>
      </c>
      <c r="EW256">
        <v>1.7921792170799999</v>
      </c>
      <c r="EX256">
        <v>2.4180693509300002</v>
      </c>
      <c r="EY256">
        <v>1.9595044735430001</v>
      </c>
      <c r="EZ256">
        <v>1.120274435707</v>
      </c>
      <c r="FA256">
        <v>0.93503341630799996</v>
      </c>
      <c r="FB256">
        <v>1.617496214367</v>
      </c>
      <c r="FC256">
        <v>1.133997296113</v>
      </c>
      <c r="FD256">
        <v>0.24865208343600001</v>
      </c>
      <c r="FE256">
        <v>0.103462106777</v>
      </c>
    </row>
    <row r="257" spans="1:161">
      <c r="B257" t="s">
        <v>569</v>
      </c>
      <c r="C257" t="s">
        <v>570</v>
      </c>
      <c r="D257" t="str">
        <f>L_CURRENCY_EQTY_200000801_PUB</f>
      </c>
      <c r="F257">
        <v>0</v>
      </c>
      <c r="G257">
        <v>0</v>
      </c>
      <c r="H257">
        <v>0</v>
      </c>
      <c r="I257">
        <v>0</v>
      </c>
      <c r="J257">
        <v>0</v>
      </c>
      <c r="K257">
        <v>0</v>
      </c>
      <c r="L257">
        <v>0</v>
      </c>
      <c r="M257">
        <v>0</v>
      </c>
      <c r="N257">
        <v>0</v>
      </c>
      <c r="O257">
        <v>0</v>
      </c>
      <c r="P257">
        <v>0</v>
      </c>
      <c r="Q257">
        <v>0</v>
      </c>
      <c r="R257">
        <v>9.5000000000000001E-2</v>
      </c>
      <c r="S257">
        <v>0.40785714285699998</v>
      </c>
      <c r="T257">
        <v>0.45285714285700002</v>
      </c>
      <c r="U257">
        <v>0.495</v>
      </c>
      <c r="V257">
        <v>0.54500000000000004</v>
      </c>
      <c r="W257">
        <v>0.6</v>
      </c>
      <c r="X257">
        <v>0.68</v>
      </c>
      <c r="Y257">
        <v>0.75</v>
      </c>
      <c r="Z257">
        <v>0.79500000000000004</v>
      </c>
      <c r="AA257">
        <v>0.85</v>
      </c>
      <c r="AB257">
        <v>0.9</v>
      </c>
      <c r="AC257">
        <v>0.94</v>
      </c>
      <c r="AD257">
        <v>0.98</v>
      </c>
      <c r="AE257">
        <v>1.02</v>
      </c>
      <c r="AF257">
        <v>1.06</v>
      </c>
      <c r="AG257">
        <v>1.1000000000000001</v>
      </c>
      <c r="AH257">
        <v>1.1399999999999999</v>
      </c>
      <c r="AI257">
        <v>1.18</v>
      </c>
      <c r="AJ257">
        <v>1.22</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9.5000000000000001E-2</v>
      </c>
      <c r="CL257">
        <v>9.5000000000000001E-2</v>
      </c>
      <c r="CM257">
        <v>9.5000000000000001E-2</v>
      </c>
      <c r="CN257">
        <v>0.108928571429</v>
      </c>
      <c r="CO257">
        <v>0.108928571429</v>
      </c>
      <c r="CP257">
        <v>0.108928571429</v>
      </c>
      <c r="CQ257">
        <v>0.108928571429</v>
      </c>
      <c r="CR257">
        <v>0.11749999999999999</v>
      </c>
      <c r="CS257">
        <v>0.11749999999999999</v>
      </c>
      <c r="CT257">
        <v>0.11749999999999999</v>
      </c>
      <c r="CU257">
        <v>0.11749999999999999</v>
      </c>
      <c r="CV257">
        <v>0.13</v>
      </c>
      <c r="CW257">
        <v>0.13</v>
      </c>
      <c r="CX257">
        <v>0.13</v>
      </c>
      <c r="CY257">
        <v>0.13</v>
      </c>
      <c r="CZ257">
        <v>0.14249999999999999</v>
      </c>
      <c r="DA257">
        <v>0.14249999999999999</v>
      </c>
      <c r="DB257">
        <v>0.14249999999999999</v>
      </c>
      <c r="DC257">
        <v>0.14249999999999999</v>
      </c>
      <c r="DD257">
        <v>0.1575</v>
      </c>
      <c r="DE257">
        <v>0.1575</v>
      </c>
      <c r="DF257">
        <v>0.1575</v>
      </c>
      <c r="DG257">
        <v>0.1575</v>
      </c>
      <c r="DH257">
        <v>0.1825</v>
      </c>
      <c r="DI257">
        <v>0.1825</v>
      </c>
      <c r="DJ257">
        <v>0.1825</v>
      </c>
      <c r="DK257">
        <v>0.1825</v>
      </c>
      <c r="DL257">
        <v>0.1925</v>
      </c>
      <c r="DM257">
        <v>0.1925</v>
      </c>
      <c r="DN257">
        <v>0.1925</v>
      </c>
      <c r="DO257">
        <v>0.1925</v>
      </c>
      <c r="DP257">
        <v>0.20499999999999999</v>
      </c>
      <c r="DQ257">
        <v>0.20499999999999999</v>
      </c>
      <c r="DR257">
        <v>0.20499999999999999</v>
      </c>
      <c r="DS257">
        <v>0.20499999999999999</v>
      </c>
      <c r="DT257">
        <v>0.22</v>
      </c>
      <c r="DU257">
        <v>0.22</v>
      </c>
      <c r="DV257">
        <v>0.22</v>
      </c>
      <c r="DW257">
        <v>0.22</v>
      </c>
      <c r="DX257">
        <v>0.23</v>
      </c>
      <c r="DY257">
        <v>0.23</v>
      </c>
      <c r="DZ257">
        <v>0.23</v>
      </c>
      <c r="EA257">
        <v>0.23</v>
      </c>
      <c r="EB257">
        <v>0.24</v>
      </c>
      <c r="EC257">
        <v>0.24</v>
      </c>
      <c r="ED257">
        <v>0.24</v>
      </c>
      <c r="EE257">
        <v>0.24</v>
      </c>
      <c r="EF257">
        <v>0.25</v>
      </c>
      <c r="EG257">
        <v>0.25</v>
      </c>
      <c r="EH257">
        <v>0.25</v>
      </c>
      <c r="EI257">
        <v>0.25</v>
      </c>
      <c r="EJ257">
        <v>0.26</v>
      </c>
      <c r="EK257">
        <v>0.26</v>
      </c>
      <c r="EL257">
        <v>0.26</v>
      </c>
      <c r="EM257">
        <v>0.26</v>
      </c>
      <c r="EN257">
        <v>0.27</v>
      </c>
      <c r="EO257">
        <v>0.27</v>
      </c>
      <c r="EP257">
        <v>0.27</v>
      </c>
      <c r="EQ257">
        <v>0.27</v>
      </c>
      <c r="ER257">
        <v>0.28000000000000003</v>
      </c>
      <c r="ES257">
        <v>0.28000000000000003</v>
      </c>
      <c r="ET257">
        <v>0.28000000000000003</v>
      </c>
      <c r="EU257">
        <v>0.28000000000000003</v>
      </c>
      <c r="EV257">
        <v>0.28999999999999998</v>
      </c>
      <c r="EW257">
        <v>0.28999999999999998</v>
      </c>
      <c r="EX257">
        <v>0.28999999999999998</v>
      </c>
      <c r="EY257">
        <v>0.28999999999999998</v>
      </c>
      <c r="EZ257">
        <v>0.3</v>
      </c>
      <c r="FA257">
        <v>0.3</v>
      </c>
      <c r="FB257">
        <v>0.3</v>
      </c>
      <c r="FC257">
        <v>0.3</v>
      </c>
      <c r="FD257">
        <v>0.31</v>
      </c>
      <c r="FE257">
        <v>0.31</v>
      </c>
    </row>
    <row r="258" spans="1:161">
      <c r="B258" t="s">
        <v>571</v>
      </c>
      <c r="C258" t="s">
        <v>572</v>
      </c>
      <c r="D258" t="str">
        <f>L_CURRENCY_EQTY_200000801_PUB</f>
      </c>
    </row>
    <row r="259" spans="1:161">
      <c r="B259" t="s">
        <v>573</v>
      </c>
      <c r="C259" t="s">
        <v>574</v>
      </c>
      <c r="D259" t="str">
        <f>L_CURRENCY_EQTY_200000801_PUB</f>
      </c>
      <c r="F259">
        <v>702.6</v>
      </c>
      <c r="G259">
        <v>-233</v>
      </c>
      <c r="H259">
        <v>159.5</v>
      </c>
      <c r="I259">
        <v>138</v>
      </c>
      <c r="J259">
        <v>499</v>
      </c>
      <c r="K259">
        <v>1822</v>
      </c>
      <c r="L259">
        <v>2678</v>
      </c>
      <c r="M259">
        <v>4734</v>
      </c>
      <c r="N259">
        <v>8823</v>
      </c>
      <c r="O259">
        <v>12474</v>
      </c>
      <c r="P259">
        <v>19412</v>
      </c>
      <c r="Q259">
        <v>35604</v>
      </c>
      <c r="R259">
        <v>58518</v>
      </c>
      <c r="S259">
        <v>55756</v>
      </c>
      <c r="T259">
        <v>60449</v>
      </c>
      <c r="U259">
        <v>82487</v>
      </c>
      <c r="V259">
        <v>70529</v>
      </c>
      <c r="W259">
        <v>71501</v>
      </c>
      <c r="X259">
        <v>81801</v>
      </c>
      <c r="Y259">
        <v>76477</v>
      </c>
      <c r="Z259">
        <v>77344</v>
      </c>
      <c r="AA259">
        <v>120233</v>
      </c>
      <c r="AB259">
        <v>130541</v>
      </c>
      <c r="AC259">
        <v>125820</v>
      </c>
      <c r="AD259">
        <v>134661</v>
      </c>
      <c r="AE259">
        <v>139861.863745696</v>
      </c>
      <c r="AF259">
        <v>144756.243421828</v>
      </c>
      <c r="AG259">
        <v>159667.77666290299</v>
      </c>
      <c r="AH259">
        <v>169539.41593478501</v>
      </c>
      <c r="AI259">
        <v>179894.80507171401</v>
      </c>
      <c r="AJ259">
        <v>191072.850281141</v>
      </c>
      <c r="AL259">
        <v>217.5</v>
      </c>
      <c r="AM259">
        <v>191</v>
      </c>
      <c r="AN259">
        <v>192.6</v>
      </c>
      <c r="AO259">
        <v>101.5</v>
      </c>
      <c r="AP259">
        <v>-396</v>
      </c>
      <c r="AQ259">
        <v>14</v>
      </c>
      <c r="AR259">
        <v>68</v>
      </c>
      <c r="AS259">
        <v>81</v>
      </c>
      <c r="AT259">
        <v>48</v>
      </c>
      <c r="AU259">
        <v>56.5</v>
      </c>
      <c r="AV259">
        <v>41</v>
      </c>
      <c r="AW259">
        <v>14</v>
      </c>
      <c r="AX259">
        <v>17</v>
      </c>
      <c r="AY259">
        <v>28</v>
      </c>
      <c r="AZ259">
        <v>33</v>
      </c>
      <c r="BA259">
        <v>60</v>
      </c>
      <c r="BB259">
        <v>107</v>
      </c>
      <c r="BC259">
        <v>98</v>
      </c>
      <c r="BD259">
        <v>121</v>
      </c>
      <c r="BE259">
        <v>173</v>
      </c>
      <c r="BF259">
        <v>441</v>
      </c>
      <c r="BG259">
        <v>441</v>
      </c>
      <c r="BH259">
        <v>472</v>
      </c>
      <c r="BI259">
        <v>468</v>
      </c>
      <c r="BJ259">
        <v>802</v>
      </c>
      <c r="BK259">
        <v>579</v>
      </c>
      <c r="BL259">
        <v>623</v>
      </c>
      <c r="BM259">
        <v>674</v>
      </c>
      <c r="BN259">
        <v>1399</v>
      </c>
      <c r="BO259">
        <v>1057</v>
      </c>
      <c r="BP259">
        <v>1160</v>
      </c>
      <c r="BQ259">
        <v>1118</v>
      </c>
      <c r="BR259">
        <v>2308</v>
      </c>
      <c r="BS259">
        <v>1568</v>
      </c>
      <c r="BT259">
        <v>1655</v>
      </c>
      <c r="BU259">
        <v>3292</v>
      </c>
      <c r="BV259">
        <v>3269</v>
      </c>
      <c r="BW259">
        <v>2504</v>
      </c>
      <c r="BX259">
        <v>2814</v>
      </c>
      <c r="BY259">
        <v>3887</v>
      </c>
      <c r="BZ259">
        <v>4934</v>
      </c>
      <c r="CA259">
        <v>4195</v>
      </c>
      <c r="CB259">
        <v>4507</v>
      </c>
      <c r="CC259">
        <v>5776</v>
      </c>
      <c r="CD259">
        <v>8183</v>
      </c>
      <c r="CE259">
        <v>8308</v>
      </c>
      <c r="CF259">
        <v>9860</v>
      </c>
      <c r="CG259">
        <v>9253</v>
      </c>
      <c r="CH259">
        <v>18061</v>
      </c>
      <c r="CI259">
        <v>16124</v>
      </c>
      <c r="CJ259">
        <v>12408</v>
      </c>
      <c r="CK259">
        <v>11925</v>
      </c>
      <c r="CL259">
        <v>18798</v>
      </c>
      <c r="CM259">
        <v>14250</v>
      </c>
      <c r="CN259">
        <v>10895</v>
      </c>
      <c r="CO259">
        <v>11813</v>
      </c>
      <c r="CP259">
        <v>19607</v>
      </c>
      <c r="CQ259">
        <v>15480</v>
      </c>
      <c r="CR259">
        <v>12228</v>
      </c>
      <c r="CS259">
        <v>13134</v>
      </c>
      <c r="CT259">
        <v>26821</v>
      </c>
      <c r="CU259">
        <v>20757</v>
      </c>
      <c r="CV259">
        <v>17167</v>
      </c>
      <c r="CW259">
        <v>17742</v>
      </c>
      <c r="CX259">
        <v>27125</v>
      </c>
      <c r="CY259">
        <v>16464</v>
      </c>
      <c r="CZ259">
        <v>12631</v>
      </c>
      <c r="DA259">
        <v>14309</v>
      </c>
      <c r="DB259">
        <v>26346</v>
      </c>
      <c r="DC259">
        <v>16429</v>
      </c>
      <c r="DD259">
        <v>13122</v>
      </c>
      <c r="DE259">
        <v>15604</v>
      </c>
      <c r="DF259">
        <v>29019</v>
      </c>
      <c r="DG259">
        <v>18633</v>
      </c>
      <c r="DH259">
        <v>15277</v>
      </c>
      <c r="DI259">
        <v>18872</v>
      </c>
      <c r="DJ259">
        <v>26741</v>
      </c>
      <c r="DK259">
        <v>16455</v>
      </c>
      <c r="DL259">
        <v>14477</v>
      </c>
      <c r="DM259">
        <v>18804</v>
      </c>
      <c r="DN259">
        <v>28385</v>
      </c>
      <c r="DO259">
        <v>15639</v>
      </c>
      <c r="DP259">
        <v>15843</v>
      </c>
      <c r="DQ259">
        <v>17477</v>
      </c>
      <c r="DR259">
        <v>36200</v>
      </c>
      <c r="DS259">
        <v>30300</v>
      </c>
      <c r="DT259">
        <v>26958</v>
      </c>
      <c r="DU259">
        <v>26775</v>
      </c>
      <c r="DV259">
        <v>44185</v>
      </c>
      <c r="DW259">
        <v>32716</v>
      </c>
      <c r="DX259">
        <v>25881</v>
      </c>
      <c r="DY259">
        <v>27759</v>
      </c>
      <c r="DZ259">
        <v>38932</v>
      </c>
      <c r="EA259">
        <v>31216</v>
      </c>
      <c r="EB259">
        <v>26050</v>
      </c>
      <c r="EC259">
        <v>29622</v>
      </c>
      <c r="ED259">
        <v>43221</v>
      </c>
      <c r="EE259">
        <v>30736</v>
      </c>
      <c r="EF259">
        <v>28202</v>
      </c>
      <c r="EG259">
        <v>32502</v>
      </c>
      <c r="EH259">
        <v>45912</v>
      </c>
      <c r="EI259">
        <v>32250</v>
      </c>
      <c r="EJ259">
        <v>28888.757245614699</v>
      </c>
      <c r="EK259">
        <v>32811.1065000811</v>
      </c>
      <c r="EL259">
        <v>45435.348613973198</v>
      </c>
      <c r="EM259">
        <v>32589.114883942799</v>
      </c>
      <c r="EN259">
        <v>29847.651997559398</v>
      </c>
      <c r="EO259">
        <v>36884.127926352397</v>
      </c>
      <c r="EP259">
        <v>52327.065234984002</v>
      </c>
      <c r="EQ259">
        <v>35877.670318987097</v>
      </c>
      <c r="ER259">
        <v>32549.604414189602</v>
      </c>
      <c r="ES259">
        <v>38913.436694741999</v>
      </c>
      <c r="ET259">
        <v>54335.7546861589</v>
      </c>
      <c r="EU259">
        <v>38997.184435312003</v>
      </c>
      <c r="EV259">
        <v>35049.9615600119</v>
      </c>
      <c r="EW259">
        <v>41156.515253302503</v>
      </c>
      <c r="EX259">
        <v>57800.791946987803</v>
      </c>
      <c r="EY259">
        <v>40415.987732153197</v>
      </c>
      <c r="EZ259">
        <v>37168.879508129401</v>
      </c>
      <c r="FA259">
        <v>44509.145884443198</v>
      </c>
      <c r="FB259">
        <v>60886.386379566</v>
      </c>
      <c r="FC259">
        <v>42869.783573699999</v>
      </c>
      <c r="FD259">
        <v>39519.510707138499</v>
      </c>
      <c r="FE259">
        <v>47797.169620736298</v>
      </c>
    </row>
    <row r="260" spans="1:161">
      <c r="B260" t="s">
        <v>575</v>
      </c>
      <c r="C260" t="s">
        <v>576</v>
      </c>
      <c r="D260" t="str">
        <f>L_CURRENCY_EQTY_200000801_PUB</f>
      </c>
      <c r="F260">
        <v>2.9124472713000001E-2</v>
      </c>
      <c r="G260">
        <v>-4.1621581340000003E-3</v>
      </c>
      <c r="H260">
        <v>5.8040150990000001E-3</v>
      </c>
      <c r="I260">
        <v>3.7240586239999998E-3</v>
      </c>
      <c r="J260">
        <v>1.3536669822E-2</v>
      </c>
      <c r="K260">
        <v>5.1281809482999999E-2</v>
      </c>
      <c r="L260">
        <v>8.1001558821999997E-2</v>
      </c>
      <c r="M260">
        <v>0.14039522521299999</v>
      </c>
      <c r="N260">
        <v>0.24232365855099999</v>
      </c>
      <c r="O260">
        <v>0.32426178663999999</v>
      </c>
      <c r="P260">
        <v>0.54121112413100003</v>
      </c>
      <c r="Q260">
        <v>0.98844708145600002</v>
      </c>
      <c r="R260">
        <v>1.5764977068199999</v>
      </c>
      <c r="S260">
        <v>1.4197745534320001</v>
      </c>
      <c r="T260">
        <v>1.6132685396340001</v>
      </c>
      <c r="U260">
        <v>2.3042187607010001</v>
      </c>
      <c r="V260">
        <v>2.0765754408850001</v>
      </c>
      <c r="W260">
        <v>2.3016868802319999</v>
      </c>
      <c r="X260">
        <v>2.9764851126249998</v>
      </c>
      <c r="Y260">
        <v>2.9714474637110002</v>
      </c>
      <c r="Z260">
        <v>3.2753481020090001</v>
      </c>
      <c r="AA260">
        <v>5.6140203576719996</v>
      </c>
      <c r="AB260">
        <v>6.113200295085</v>
      </c>
      <c r="AC260">
        <v>6.1340528168219999</v>
      </c>
      <c r="AD260">
        <v>6.7485307803639998</v>
      </c>
      <c r="AE260">
        <v>7.1969193549580002</v>
      </c>
      <c r="AF260">
        <v>7.6584136846510003</v>
      </c>
      <c r="AG260">
        <v>8.7272308910609997</v>
      </c>
      <c r="AH260">
        <v>9.5550821591880002</v>
      </c>
      <c r="AI260">
        <v>10.467171131973</v>
      </c>
      <c r="AJ260">
        <v>11.493928426982</v>
      </c>
      <c r="AL260">
        <v>7.9312589530000002E-3</v>
      </c>
      <c r="AM260">
        <v>7.8471424729999999E-3</v>
      </c>
      <c r="AN260">
        <v>8.0249723720000003E-3</v>
      </c>
      <c r="AO260">
        <v>5.3264813099999997E-3</v>
      </c>
      <c r="AP260">
        <v>-1.3119494617E-2</v>
      </c>
      <c r="AQ260">
        <v>2.000888575E-3</v>
      </c>
      <c r="AR260">
        <v>3.0362095359999998E-3</v>
      </c>
      <c r="AS260">
        <v>3.270558065E-3</v>
      </c>
      <c r="AT260">
        <v>1.9639708790000002E-3</v>
      </c>
      <c r="AU260">
        <v>1.932247969E-3</v>
      </c>
      <c r="AV260">
        <v>1.5575268650000001E-3</v>
      </c>
      <c r="AW260">
        <v>3.4646673199999997E-4</v>
      </c>
      <c r="AX260">
        <v>5.9367146200000004E-4</v>
      </c>
      <c r="AY260">
        <v>7.8873652700000001E-4</v>
      </c>
      <c r="AZ260">
        <v>9.3267500199999999E-4</v>
      </c>
      <c r="BA260">
        <v>1.3968466330000001E-3</v>
      </c>
      <c r="BB260">
        <v>3.0216917180000001E-3</v>
      </c>
      <c r="BC260">
        <v>2.502256752E-3</v>
      </c>
      <c r="BD260">
        <v>3.0472862420000001E-3</v>
      </c>
      <c r="BE260">
        <v>4.8752952659999998E-3</v>
      </c>
      <c r="BF260">
        <v>1.2475230493999999E-2</v>
      </c>
      <c r="BG260">
        <v>1.1994050951E-2</v>
      </c>
      <c r="BH260">
        <v>1.3235150369E-2</v>
      </c>
      <c r="BI260">
        <v>1.3560566105E-2</v>
      </c>
      <c r="BJ260">
        <v>2.3082143507E-2</v>
      </c>
      <c r="BK260">
        <v>1.6667319808999999E-2</v>
      </c>
      <c r="BL260">
        <v>1.9235233208999999E-2</v>
      </c>
      <c r="BM260">
        <v>2.2027867610000001E-2</v>
      </c>
      <c r="BN260">
        <v>4.0877692165999999E-2</v>
      </c>
      <c r="BO260">
        <v>3.1176635215000002E-2</v>
      </c>
      <c r="BP260">
        <v>3.3682470855999999E-2</v>
      </c>
      <c r="BQ260">
        <v>3.4690865313000002E-2</v>
      </c>
      <c r="BR260">
        <v>6.5075460552000003E-2</v>
      </c>
      <c r="BS260">
        <v>4.3723074171E-2</v>
      </c>
      <c r="BT260">
        <v>4.4723575089000003E-2</v>
      </c>
      <c r="BU260">
        <v>8.8695006332999995E-2</v>
      </c>
      <c r="BV260">
        <v>8.9335829507000003E-2</v>
      </c>
      <c r="BW260">
        <v>6.4072637170999994E-2</v>
      </c>
      <c r="BX260">
        <v>7.1808828243E-2</v>
      </c>
      <c r="BY260">
        <v>9.8896700286999997E-2</v>
      </c>
      <c r="BZ260">
        <v>0.13116447808100001</v>
      </c>
      <c r="CA260">
        <v>0.11896015972399999</v>
      </c>
      <c r="CB260">
        <v>0.12527869020599999</v>
      </c>
      <c r="CC260">
        <v>0.165647073299</v>
      </c>
      <c r="CD260">
        <v>0.22978905028400001</v>
      </c>
      <c r="CE260">
        <v>0.22845536546100001</v>
      </c>
      <c r="CF260">
        <v>0.27830797283000003</v>
      </c>
      <c r="CG260">
        <v>0.251763101983</v>
      </c>
      <c r="CH260">
        <v>0.49552389893900001</v>
      </c>
      <c r="CI260">
        <v>0.43927876338499999</v>
      </c>
      <c r="CJ260">
        <v>0.33275947659299998</v>
      </c>
      <c r="CK260">
        <v>0.30972675343099998</v>
      </c>
      <c r="CL260">
        <v>0.493098654872</v>
      </c>
      <c r="CM260">
        <v>0.36041402877700002</v>
      </c>
      <c r="CN260">
        <v>0.26662112211200001</v>
      </c>
      <c r="CO260">
        <v>0.29510127174799999</v>
      </c>
      <c r="CP260">
        <v>0.51789462207299997</v>
      </c>
      <c r="CQ260">
        <v>0.41511713425500002</v>
      </c>
      <c r="CR260">
        <v>0.32007476893699999</v>
      </c>
      <c r="CS260">
        <v>0.35444088008199998</v>
      </c>
      <c r="CT260">
        <v>0.766091621906</v>
      </c>
      <c r="CU260">
        <v>0.58137661619199998</v>
      </c>
      <c r="CV260">
        <v>0.46235999070900002</v>
      </c>
      <c r="CW260">
        <v>0.48939563598500002</v>
      </c>
      <c r="CX260">
        <v>0.82054804976700002</v>
      </c>
      <c r="CY260">
        <v>0.47447285506300002</v>
      </c>
      <c r="CZ260">
        <v>0.356126071918</v>
      </c>
      <c r="DA260">
        <v>0.417830680954</v>
      </c>
      <c r="DB260">
        <v>0.83948089290600003</v>
      </c>
      <c r="DC260">
        <v>0.524023849381</v>
      </c>
      <c r="DD260">
        <v>0.41640401574500002</v>
      </c>
      <c r="DE260">
        <v>0.51672732288599998</v>
      </c>
      <c r="DF260">
        <v>0.97255857987200001</v>
      </c>
      <c r="DG260">
        <v>0.68176083107899998</v>
      </c>
      <c r="DH260">
        <v>0.58452984598500002</v>
      </c>
      <c r="DI260">
        <v>0.72846121966400001</v>
      </c>
      <c r="DJ260">
        <v>1.0456707502560001</v>
      </c>
      <c r="DK260">
        <v>0.61486229765</v>
      </c>
      <c r="DL260">
        <v>0.54570585346099998</v>
      </c>
      <c r="DM260">
        <v>0.75690656501099995</v>
      </c>
      <c r="DN260">
        <v>1.2479223742450001</v>
      </c>
      <c r="DO260">
        <v>0.63846703434999996</v>
      </c>
      <c r="DP260">
        <v>0.64601307801899999</v>
      </c>
      <c r="DQ260">
        <v>0.73438904632099999</v>
      </c>
      <c r="DR260">
        <v>1.6802339741150001</v>
      </c>
      <c r="DS260">
        <v>1.395816696602</v>
      </c>
      <c r="DT260">
        <v>1.2956943963180001</v>
      </c>
      <c r="DU260">
        <v>1.2354000701050001</v>
      </c>
      <c r="DV260">
        <v>2.0963369432740002</v>
      </c>
      <c r="DW260">
        <v>1.5246917147729999</v>
      </c>
      <c r="DX260">
        <v>1.195532979142</v>
      </c>
      <c r="DY260">
        <v>1.2855442500259999</v>
      </c>
      <c r="DZ260">
        <v>1.8800783518490001</v>
      </c>
      <c r="EA260">
        <v>1.5245739743360001</v>
      </c>
      <c r="EB260">
        <v>1.2602835837749999</v>
      </c>
      <c r="EC260">
        <v>1.4647405630279999</v>
      </c>
      <c r="ED260">
        <v>2.177362885875</v>
      </c>
      <c r="EE260">
        <v>1.528383107629</v>
      </c>
      <c r="EF260">
        <v>1.3974299876039999</v>
      </c>
      <c r="EG260">
        <v>1.638932029325</v>
      </c>
      <c r="EH260">
        <v>2.3978828931549998</v>
      </c>
      <c r="EI260">
        <v>1.6458409340569999</v>
      </c>
      <c r="EJ260">
        <v>1.4502744282019999</v>
      </c>
      <c r="EK260">
        <v>1.6961347108910001</v>
      </c>
      <c r="EL260">
        <v>2.4285232745190002</v>
      </c>
      <c r="EM260">
        <v>1.7033251735229999</v>
      </c>
      <c r="EN260">
        <v>1.5530171369429999</v>
      </c>
      <c r="EO260">
        <v>1.9677172782129999</v>
      </c>
      <c r="EP260">
        <v>2.894095915821</v>
      </c>
      <c r="EQ260">
        <v>1.9367427060819999</v>
      </c>
      <c r="ER260">
        <v>1.748252011875</v>
      </c>
      <c r="ES260">
        <v>2.1377666599460001</v>
      </c>
      <c r="ET260">
        <v>3.0948773389080002</v>
      </c>
      <c r="EU260">
        <v>2.1736206023819999</v>
      </c>
      <c r="EV260">
        <v>1.9437031139559999</v>
      </c>
      <c r="EW260">
        <v>2.3319287099979999</v>
      </c>
      <c r="EX260">
        <v>3.4003862933660001</v>
      </c>
      <c r="EY260">
        <v>2.3196471175840001</v>
      </c>
      <c r="EZ260">
        <v>2.1261837340969998</v>
      </c>
      <c r="FA260">
        <v>2.6096157846970001</v>
      </c>
      <c r="FB260">
        <v>3.702167391723</v>
      </c>
      <c r="FC260">
        <v>2.5421261241669999</v>
      </c>
      <c r="FD260">
        <v>2.3365847233160002</v>
      </c>
      <c r="FE260">
        <v>2.9013875523919999</v>
      </c>
    </row>
    <row r="262" spans="1:161">
      <c r="B262" t="s">
        <v>578</v>
      </c>
      <c r="C262" t="s">
        <v>579</v>
      </c>
      <c r="D262" t="str">
        <f t="shared" ref="D262:D271" si="6">L_CURRENCY_EQTY_200000801_PUB</f>
      </c>
    </row>
    <row r="263" spans="1:161">
      <c r="B263" t="s">
        <v>580</v>
      </c>
      <c r="C263" t="s">
        <v>581</v>
      </c>
      <c r="D263" t="str">
        <f t="shared" si="6"/>
      </c>
    </row>
    <row r="264" spans="1:161">
      <c r="B264" t="s">
        <v>582</v>
      </c>
      <c r="C264" t="s">
        <v>583</v>
      </c>
      <c r="D264" t="str">
        <f t="shared" si="6"/>
      </c>
      <c r="F264">
        <v>-4513</v>
      </c>
      <c r="G264">
        <v>-4147</v>
      </c>
      <c r="H264">
        <v>-4060</v>
      </c>
      <c r="I264">
        <v>-4267</v>
      </c>
      <c r="J264">
        <v>-5464</v>
      </c>
      <c r="K264">
        <v>-8261</v>
      </c>
      <c r="L264">
        <v>-10110</v>
      </c>
      <c r="M264">
        <v>-15386</v>
      </c>
      <c r="N264">
        <v>-24490</v>
      </c>
      <c r="O264">
        <v>-33992</v>
      </c>
      <c r="P264">
        <v>-51011</v>
      </c>
      <c r="Q264">
        <v>-81570</v>
      </c>
      <c r="R264">
        <v>-121251</v>
      </c>
      <c r="S264">
        <v>-129801</v>
      </c>
      <c r="T264">
        <v>-119944</v>
      </c>
      <c r="U264">
        <v>-141204</v>
      </c>
      <c r="V264">
        <v>-150553</v>
      </c>
      <c r="W264">
        <v>-153215</v>
      </c>
      <c r="X264">
        <v>-122617</v>
      </c>
      <c r="Y264">
        <v>-97851</v>
      </c>
      <c r="Z264">
        <v>-79394</v>
      </c>
      <c r="AA264">
        <v>-65797</v>
      </c>
      <c r="AB264">
        <v>-49040</v>
      </c>
      <c r="AC264">
        <v>-51011</v>
      </c>
      <c r="AD264">
        <v>-50021</v>
      </c>
      <c r="AE264">
        <v>-40011.203555004096</v>
      </c>
      <c r="AF264">
        <v>-34041.891085112497</v>
      </c>
      <c r="AG264">
        <v>-20636.259231574499</v>
      </c>
      <c r="AH264">
        <v>-7522.2195057291501</v>
      </c>
      <c r="AI264">
        <v>2925.1988261359902</v>
      </c>
      <c r="AJ264">
        <v>12606.2201838772</v>
      </c>
      <c r="AL264">
        <v>-5500</v>
      </c>
      <c r="AM264">
        <v>-4853</v>
      </c>
      <c r="AN264">
        <v>-4762</v>
      </c>
      <c r="AO264">
        <v>-4513</v>
      </c>
      <c r="AP264">
        <v>-4201</v>
      </c>
      <c r="AQ264">
        <v>-3978</v>
      </c>
      <c r="AR264">
        <v>-4047</v>
      </c>
      <c r="AS264">
        <v>-4147</v>
      </c>
      <c r="AT264">
        <v>-4153</v>
      </c>
      <c r="AU264">
        <v>-4077</v>
      </c>
      <c r="AV264">
        <v>-4038</v>
      </c>
      <c r="AW264">
        <v>-4060</v>
      </c>
      <c r="AX264">
        <v>-4170</v>
      </c>
      <c r="AY264">
        <v>-4244</v>
      </c>
      <c r="AZ264">
        <v>-4252</v>
      </c>
      <c r="BA264">
        <v>-4267</v>
      </c>
      <c r="BB264">
        <v>-4489</v>
      </c>
      <c r="BC264">
        <v>-4594</v>
      </c>
      <c r="BD264">
        <v>-4966</v>
      </c>
      <c r="BE264">
        <v>-5464</v>
      </c>
      <c r="BF264">
        <v>-6448</v>
      </c>
      <c r="BG264">
        <v>-7057</v>
      </c>
      <c r="BH264">
        <v>-7526</v>
      </c>
      <c r="BI264">
        <v>-8261</v>
      </c>
      <c r="BJ264">
        <v>-8707</v>
      </c>
      <c r="BK264">
        <v>-8226</v>
      </c>
      <c r="BL264">
        <v>-9176</v>
      </c>
      <c r="BM264">
        <v>-10110</v>
      </c>
      <c r="BN264">
        <v>-11869</v>
      </c>
      <c r="BO264">
        <v>-12577</v>
      </c>
      <c r="BP264">
        <v>-13767</v>
      </c>
      <c r="BQ264">
        <v>-15386</v>
      </c>
      <c r="BR264">
        <v>-18448</v>
      </c>
      <c r="BS264">
        <v>-19448</v>
      </c>
      <c r="BT264">
        <v>-20774</v>
      </c>
      <c r="BU264">
        <v>-24490</v>
      </c>
      <c r="BV264">
        <v>-28145</v>
      </c>
      <c r="BW264">
        <v>-28878</v>
      </c>
      <c r="BX264">
        <v>-31121</v>
      </c>
      <c r="BY264">
        <v>-33992</v>
      </c>
      <c r="BZ264">
        <v>-39820</v>
      </c>
      <c r="CA264">
        <v>-41704</v>
      </c>
      <c r="CB264">
        <v>-45839</v>
      </c>
      <c r="CC264">
        <v>-51011</v>
      </c>
      <c r="CD264">
        <v>-59707</v>
      </c>
      <c r="CE264">
        <v>-65767</v>
      </c>
      <c r="CF264">
        <v>-76156</v>
      </c>
      <c r="CG264">
        <v>-81570</v>
      </c>
      <c r="CH264">
        <v>-97601</v>
      </c>
      <c r="CI264">
        <v>-110176</v>
      </c>
      <c r="CJ264">
        <v>-117221</v>
      </c>
      <c r="CK264">
        <v>-121251</v>
      </c>
      <c r="CL264">
        <v>-137112</v>
      </c>
      <c r="CM264">
        <v>-144687</v>
      </c>
      <c r="CN264">
        <v>-129662</v>
      </c>
      <c r="CO264">
        <v>-129801</v>
      </c>
      <c r="CP264">
        <v>-141881</v>
      </c>
      <c r="CQ264">
        <v>-133627</v>
      </c>
      <c r="CR264">
        <v>-133450</v>
      </c>
      <c r="CS264">
        <v>-119944</v>
      </c>
      <c r="CT264">
        <v>-141552</v>
      </c>
      <c r="CU264">
        <v>-149668</v>
      </c>
      <c r="CV264">
        <v>-148430</v>
      </c>
      <c r="CW264">
        <v>-141204</v>
      </c>
      <c r="CX264">
        <v>-152776</v>
      </c>
      <c r="CY264">
        <v>-153056</v>
      </c>
      <c r="CZ264">
        <v>-146585</v>
      </c>
      <c r="DA264">
        <v>-150553</v>
      </c>
      <c r="DB264">
        <v>-158541</v>
      </c>
      <c r="DC264">
        <v>-158319</v>
      </c>
      <c r="DD264">
        <v>-153177</v>
      </c>
      <c r="DE264">
        <v>-153215</v>
      </c>
      <c r="DF264">
        <v>-162697</v>
      </c>
      <c r="DG264">
        <v>-145386</v>
      </c>
      <c r="DH264">
        <v>-129143</v>
      </c>
      <c r="DI264">
        <v>-122617</v>
      </c>
      <c r="DJ264">
        <v>-130305</v>
      </c>
      <c r="DK264">
        <v>-112781</v>
      </c>
      <c r="DL264">
        <v>-102192</v>
      </c>
      <c r="DM264">
        <v>-97851</v>
      </c>
      <c r="DN264">
        <v>-98769</v>
      </c>
      <c r="DO264">
        <v>-83337</v>
      </c>
      <c r="DP264">
        <v>-80894</v>
      </c>
      <c r="DQ264">
        <v>-79394</v>
      </c>
      <c r="DR264">
        <v>-83528</v>
      </c>
      <c r="DS264">
        <v>-82728</v>
      </c>
      <c r="DT264">
        <v>-71853</v>
      </c>
      <c r="DU264">
        <v>-65797</v>
      </c>
      <c r="DV264">
        <v>-79798</v>
      </c>
      <c r="DW264">
        <v>-72749</v>
      </c>
      <c r="DX264">
        <v>-59617</v>
      </c>
      <c r="DY264">
        <v>-49040</v>
      </c>
      <c r="DZ264">
        <v>-54340</v>
      </c>
      <c r="EA264">
        <v>-56718</v>
      </c>
      <c r="EB264">
        <v>-57263</v>
      </c>
      <c r="EC264">
        <v>-51011</v>
      </c>
      <c r="ED264">
        <v>-64535</v>
      </c>
      <c r="EE264">
        <v>-57747</v>
      </c>
      <c r="EF264">
        <v>-51737</v>
      </c>
      <c r="EG264">
        <v>-50021</v>
      </c>
      <c r="EH264">
        <v>-44569</v>
      </c>
      <c r="EI264">
        <v>-34736</v>
      </c>
      <c r="EJ264">
        <v>-26476.9964895632</v>
      </c>
      <c r="EK264">
        <v>-40011.203555004096</v>
      </c>
      <c r="EL264">
        <v>-30633.324061787702</v>
      </c>
      <c r="EM264">
        <v>-24965.874014010002</v>
      </c>
      <c r="EN264">
        <v>-14892.1871960507</v>
      </c>
      <c r="EO264">
        <v>-34041.891085112497</v>
      </c>
      <c r="EP264">
        <v>-24078.037450194501</v>
      </c>
      <c r="EQ264">
        <v>-16767.790851882801</v>
      </c>
      <c r="ER264">
        <v>-4668.4435932316301</v>
      </c>
      <c r="ES264">
        <v>-20636.259231574499</v>
      </c>
      <c r="ET264">
        <v>-9099.4699856873503</v>
      </c>
      <c r="EU264">
        <v>-4980.6223984095104</v>
      </c>
      <c r="EV264">
        <v>7805.9381833297202</v>
      </c>
      <c r="EW264">
        <v>-7522.2195057291501</v>
      </c>
      <c r="EX264">
        <v>3256.3213886654598</v>
      </c>
      <c r="EY264">
        <v>9940.3849783856895</v>
      </c>
      <c r="EZ264">
        <v>21530.861788394301</v>
      </c>
      <c r="FA264">
        <v>2925.1988261359902</v>
      </c>
      <c r="FB264">
        <v>16051.9399672032</v>
      </c>
      <c r="FC264">
        <v>22361.175959706801</v>
      </c>
      <c r="FD264">
        <v>33873.905681166303</v>
      </c>
      <c r="FE264">
        <v>12606.2201838772</v>
      </c>
    </row>
    <row r="265" spans="1:161">
      <c r="B265" t="s">
        <v>1100</v>
      </c>
      <c r="C265" t="s">
        <v>1094</v>
      </c>
      <c r="D265" t="str">
        <f t="shared" si="6"/>
      </c>
      <c r="F265">
        <v>-4513</v>
      </c>
      <c r="G265">
        <v>-4147</v>
      </c>
      <c r="H265">
        <v>-4060</v>
      </c>
      <c r="I265">
        <v>-4267</v>
      </c>
      <c r="J265">
        <v>-5464</v>
      </c>
      <c r="K265">
        <v>-8261</v>
      </c>
      <c r="L265">
        <v>-10110</v>
      </c>
      <c r="M265">
        <v>-15386</v>
      </c>
      <c r="N265">
        <v>-24490</v>
      </c>
      <c r="O265">
        <v>-33992</v>
      </c>
      <c r="P265">
        <v>-51011</v>
      </c>
      <c r="Q265">
        <v>-81570</v>
      </c>
      <c r="R265">
        <v>-121251</v>
      </c>
      <c r="S265">
        <v>-129801</v>
      </c>
      <c r="T265">
        <v>-119944</v>
      </c>
      <c r="U265">
        <v>-141204</v>
      </c>
      <c r="V265">
        <v>-150553</v>
      </c>
      <c r="W265">
        <v>-153215</v>
      </c>
      <c r="X265">
        <v>-122617</v>
      </c>
      <c r="Y265">
        <v>-97851</v>
      </c>
      <c r="Z265">
        <v>-79394</v>
      </c>
      <c r="AA265">
        <v>-65797</v>
      </c>
      <c r="AB265">
        <v>-49040</v>
      </c>
      <c r="AC265">
        <v>-51011</v>
      </c>
      <c r="AD265">
        <v>-50021</v>
      </c>
      <c r="AE265">
        <v>-40011.203555004096</v>
      </c>
      <c r="AF265">
        <v>-34041.891085112497</v>
      </c>
      <c r="AG265">
        <v>-20636.259231574499</v>
      </c>
      <c r="AH265">
        <v>-7522.2195057291501</v>
      </c>
      <c r="AI265">
        <v>2925.1988261359902</v>
      </c>
      <c r="AJ265">
        <v>12606.2201838772</v>
      </c>
      <c r="AL265">
        <v>-5500</v>
      </c>
      <c r="AM265">
        <v>-4853</v>
      </c>
      <c r="AN265">
        <v>-4762</v>
      </c>
      <c r="AO265">
        <v>-4513</v>
      </c>
      <c r="AP265">
        <v>-4201</v>
      </c>
      <c r="AQ265">
        <v>-3978</v>
      </c>
      <c r="AR265">
        <v>-4047</v>
      </c>
      <c r="AS265">
        <v>-4147</v>
      </c>
      <c r="AT265">
        <v>-4153</v>
      </c>
      <c r="AU265">
        <v>-4077</v>
      </c>
      <c r="AV265">
        <v>-4038</v>
      </c>
      <c r="AW265">
        <v>-4060</v>
      </c>
      <c r="AX265">
        <v>-4170</v>
      </c>
      <c r="AY265">
        <v>-4244</v>
      </c>
      <c r="AZ265">
        <v>-4252</v>
      </c>
      <c r="BA265">
        <v>-4267</v>
      </c>
      <c r="BB265">
        <v>-4489</v>
      </c>
      <c r="BC265">
        <v>-4594</v>
      </c>
      <c r="BD265">
        <v>-4966</v>
      </c>
      <c r="BE265">
        <v>-5464</v>
      </c>
      <c r="BF265">
        <v>-6448</v>
      </c>
      <c r="BG265">
        <v>-7057</v>
      </c>
      <c r="BH265">
        <v>-7526</v>
      </c>
      <c r="BI265">
        <v>-8261</v>
      </c>
      <c r="BJ265">
        <v>-8707</v>
      </c>
      <c r="BK265">
        <v>-8226</v>
      </c>
      <c r="BL265">
        <v>-9176</v>
      </c>
      <c r="BM265">
        <v>-10110</v>
      </c>
      <c r="BN265">
        <v>-11869</v>
      </c>
      <c r="BO265">
        <v>-12577</v>
      </c>
      <c r="BP265">
        <v>-13767</v>
      </c>
      <c r="BQ265">
        <v>-15386</v>
      </c>
      <c r="BR265">
        <v>-18448</v>
      </c>
      <c r="BS265">
        <v>-19448</v>
      </c>
      <c r="BT265">
        <v>-20774</v>
      </c>
      <c r="BU265">
        <v>-24490</v>
      </c>
      <c r="BV265">
        <v>-28145</v>
      </c>
      <c r="BW265">
        <v>-28878</v>
      </c>
      <c r="BX265">
        <v>-31121</v>
      </c>
      <c r="BY265">
        <v>-33992</v>
      </c>
      <c r="BZ265">
        <v>-39820</v>
      </c>
      <c r="CA265">
        <v>-41704</v>
      </c>
      <c r="CB265">
        <v>-45839</v>
      </c>
      <c r="CC265">
        <v>-51011</v>
      </c>
      <c r="CD265">
        <v>-59707</v>
      </c>
      <c r="CE265">
        <v>-65767</v>
      </c>
      <c r="CF265">
        <v>-76156</v>
      </c>
      <c r="CG265">
        <v>-81570</v>
      </c>
      <c r="CH265">
        <v>-97601</v>
      </c>
      <c r="CI265">
        <v>-110176</v>
      </c>
      <c r="CJ265">
        <v>-117221</v>
      </c>
      <c r="CK265">
        <v>-121251</v>
      </c>
      <c r="CL265">
        <v>-137112</v>
      </c>
      <c r="CM265">
        <v>-144687</v>
      </c>
      <c r="CN265">
        <v>-129662</v>
      </c>
      <c r="CO265">
        <v>-129801</v>
      </c>
      <c r="CP265">
        <v>-141881</v>
      </c>
      <c r="CQ265">
        <v>-133627</v>
      </c>
      <c r="CR265">
        <v>-133450</v>
      </c>
      <c r="CS265">
        <v>-119944</v>
      </c>
      <c r="CT265">
        <v>-141552</v>
      </c>
      <c r="CU265">
        <v>-149668</v>
      </c>
      <c r="CV265">
        <v>-148430</v>
      </c>
      <c r="CW265">
        <v>-141204</v>
      </c>
      <c r="CX265">
        <v>-152776</v>
      </c>
      <c r="CY265">
        <v>-153056</v>
      </c>
      <c r="CZ265">
        <v>-146585</v>
      </c>
      <c r="DA265">
        <v>-150553</v>
      </c>
      <c r="DB265">
        <v>-158541</v>
      </c>
      <c r="DC265">
        <v>-158319</v>
      </c>
      <c r="DD265">
        <v>-153177</v>
      </c>
      <c r="DE265">
        <v>-153215</v>
      </c>
      <c r="DF265">
        <v>-162697</v>
      </c>
      <c r="DG265">
        <v>-145386</v>
      </c>
      <c r="DH265">
        <v>-129143</v>
      </c>
      <c r="DI265">
        <v>-122617</v>
      </c>
      <c r="DJ265">
        <v>-130305</v>
      </c>
      <c r="DK265">
        <v>-112781</v>
      </c>
      <c r="DL265">
        <v>-102192</v>
      </c>
      <c r="DM265">
        <v>-97851</v>
      </c>
      <c r="DN265">
        <v>-98769</v>
      </c>
      <c r="DO265">
        <v>-83337</v>
      </c>
      <c r="DP265">
        <v>-80894</v>
      </c>
      <c r="DQ265">
        <v>-79394</v>
      </c>
      <c r="DR265">
        <v>-83528</v>
      </c>
      <c r="DS265">
        <v>-82728</v>
      </c>
      <c r="DT265">
        <v>-71853</v>
      </c>
      <c r="DU265">
        <v>-65797</v>
      </c>
      <c r="DV265">
        <v>-79798</v>
      </c>
      <c r="DW265">
        <v>-72749</v>
      </c>
      <c r="DX265">
        <v>-59617</v>
      </c>
      <c r="DY265">
        <v>-49040</v>
      </c>
      <c r="DZ265">
        <v>-54340</v>
      </c>
      <c r="EA265">
        <v>-56718</v>
      </c>
      <c r="EB265">
        <v>-57263</v>
      </c>
      <c r="EC265">
        <v>-51011</v>
      </c>
      <c r="ED265">
        <v>-64535</v>
      </c>
      <c r="EE265">
        <v>-57747</v>
      </c>
      <c r="EF265">
        <v>-51737</v>
      </c>
      <c r="EG265">
        <v>-50021</v>
      </c>
      <c r="EH265">
        <v>-44569</v>
      </c>
      <c r="EI265">
        <v>-34736</v>
      </c>
      <c r="EJ265">
        <v>-26476.9964895632</v>
      </c>
      <c r="EK265">
        <v>-40011.203555004096</v>
      </c>
      <c r="EL265">
        <v>-30633.324061787702</v>
      </c>
      <c r="EM265">
        <v>-24965.874014010002</v>
      </c>
      <c r="EN265">
        <v>-14892.1871960507</v>
      </c>
      <c r="EO265">
        <v>-34041.891085112497</v>
      </c>
      <c r="EP265">
        <v>-24078.037450194501</v>
      </c>
      <c r="EQ265">
        <v>-16767.790851882801</v>
      </c>
      <c r="ER265">
        <v>-4668.4435932316301</v>
      </c>
      <c r="ES265">
        <v>-20636.259231574499</v>
      </c>
      <c r="ET265">
        <v>-9099.4699856873503</v>
      </c>
      <c r="EU265">
        <v>-4980.6223984095104</v>
      </c>
      <c r="EV265">
        <v>7805.9381833297202</v>
      </c>
      <c r="EW265">
        <v>-7522.2195057291501</v>
      </c>
      <c r="EX265">
        <v>3256.3213886654598</v>
      </c>
      <c r="EY265">
        <v>9940.3849783856895</v>
      </c>
      <c r="EZ265">
        <v>21530.861788394301</v>
      </c>
      <c r="FA265">
        <v>2925.1988261359902</v>
      </c>
      <c r="FB265">
        <v>16051.9399672032</v>
      </c>
      <c r="FC265">
        <v>22361.175959706801</v>
      </c>
      <c r="FD265">
        <v>33873.905681166303</v>
      </c>
      <c r="FE265">
        <v>12606.2201838772</v>
      </c>
    </row>
    <row r="266" spans="1:161">
      <c r="B266" t="s">
        <v>1095</v>
      </c>
      <c r="C266" t="s">
        <v>1096</v>
      </c>
      <c r="D266" t="str">
        <f t="shared" si="6"/>
      </c>
    </row>
    <row r="267" spans="1:161">
      <c r="B267" t="s">
        <v>584</v>
      </c>
      <c r="C267" t="s">
        <v>585</v>
      </c>
      <c r="D267" t="str">
        <f t="shared" si="6"/>
      </c>
      <c r="F267">
        <v>588.952</v>
      </c>
      <c r="G267">
        <v>-81.885499999999993</v>
      </c>
      <c r="H267">
        <v>117.9</v>
      </c>
      <c r="I267">
        <v>76</v>
      </c>
      <c r="J267">
        <v>293</v>
      </c>
      <c r="K267">
        <v>1229</v>
      </c>
      <c r="L267">
        <v>1989</v>
      </c>
      <c r="M267">
        <v>3495</v>
      </c>
      <c r="N267">
        <v>6119</v>
      </c>
      <c r="O267">
        <v>8235</v>
      </c>
      <c r="P267">
        <v>14013</v>
      </c>
      <c r="Q267">
        <v>25922</v>
      </c>
      <c r="R267">
        <v>41733</v>
      </c>
      <c r="S267">
        <v>37037</v>
      </c>
      <c r="T267">
        <v>39510</v>
      </c>
      <c r="U267">
        <v>53394</v>
      </c>
      <c r="V267">
        <v>45687</v>
      </c>
      <c r="W267">
        <v>48351</v>
      </c>
      <c r="X267">
        <v>59531</v>
      </c>
      <c r="Y267">
        <v>55256</v>
      </c>
      <c r="Z267">
        <v>57411</v>
      </c>
      <c r="AA267">
        <v>94680</v>
      </c>
      <c r="AB267">
        <v>99803</v>
      </c>
      <c r="AC267">
        <v>96995</v>
      </c>
      <c r="AD267">
        <v>103982</v>
      </c>
      <c r="AE267">
        <v>108075.92306569401</v>
      </c>
      <c r="AF267">
        <v>111931.01531000801</v>
      </c>
      <c r="AG267">
        <v>123524.430858985</v>
      </c>
      <c r="AH267">
        <v>130720.396954173</v>
      </c>
      <c r="AI267">
        <v>138318.33378179299</v>
      </c>
      <c r="AJ267">
        <v>146643.57218854499</v>
      </c>
      <c r="AL267">
        <v>158.488</v>
      </c>
      <c r="AM267">
        <v>159.94999999999999</v>
      </c>
      <c r="AN267">
        <v>162.6</v>
      </c>
      <c r="AO267">
        <v>107.914</v>
      </c>
      <c r="AP267">
        <v>-247.71600000000001</v>
      </c>
      <c r="AQ267">
        <v>39.532499999999999</v>
      </c>
      <c r="AR267">
        <v>61</v>
      </c>
      <c r="AS267">
        <v>65.298000000000002</v>
      </c>
      <c r="AT267">
        <v>39.299999999999997</v>
      </c>
      <c r="AU267">
        <v>39.6</v>
      </c>
      <c r="AV267">
        <v>32</v>
      </c>
      <c r="AW267">
        <v>7</v>
      </c>
      <c r="AX267">
        <v>12</v>
      </c>
      <c r="AY267">
        <v>16</v>
      </c>
      <c r="AZ267">
        <v>19</v>
      </c>
      <c r="BA267">
        <v>29</v>
      </c>
      <c r="BB267">
        <v>63</v>
      </c>
      <c r="BC267">
        <v>53</v>
      </c>
      <c r="BD267">
        <v>67</v>
      </c>
      <c r="BE267">
        <v>110</v>
      </c>
      <c r="BF267">
        <v>293</v>
      </c>
      <c r="BG267">
        <v>288</v>
      </c>
      <c r="BH267">
        <v>319</v>
      </c>
      <c r="BI267">
        <v>329</v>
      </c>
      <c r="BJ267">
        <v>565</v>
      </c>
      <c r="BK267">
        <v>410</v>
      </c>
      <c r="BL267">
        <v>472</v>
      </c>
      <c r="BM267">
        <v>542</v>
      </c>
      <c r="BN267">
        <v>1011</v>
      </c>
      <c r="BO267">
        <v>774</v>
      </c>
      <c r="BP267">
        <v>840</v>
      </c>
      <c r="BQ267">
        <v>870</v>
      </c>
      <c r="BR267">
        <v>1640</v>
      </c>
      <c r="BS267">
        <v>1101</v>
      </c>
      <c r="BT267">
        <v>1131</v>
      </c>
      <c r="BU267">
        <v>2247</v>
      </c>
      <c r="BV267">
        <v>2255</v>
      </c>
      <c r="BW267">
        <v>1620</v>
      </c>
      <c r="BX267">
        <v>1828</v>
      </c>
      <c r="BY267">
        <v>2532</v>
      </c>
      <c r="BZ267">
        <v>3378</v>
      </c>
      <c r="CA267">
        <v>3074</v>
      </c>
      <c r="CB267">
        <v>3253</v>
      </c>
      <c r="CC267">
        <v>4308</v>
      </c>
      <c r="CD267">
        <v>6004</v>
      </c>
      <c r="CE267">
        <v>5987</v>
      </c>
      <c r="CF267">
        <v>7308</v>
      </c>
      <c r="CG267">
        <v>6623</v>
      </c>
      <c r="CH267">
        <v>13064</v>
      </c>
      <c r="CI267">
        <v>11622</v>
      </c>
      <c r="CJ267">
        <v>8824</v>
      </c>
      <c r="CK267">
        <v>8223</v>
      </c>
      <c r="CL267">
        <v>13078</v>
      </c>
      <c r="CM267">
        <v>9547</v>
      </c>
      <c r="CN267">
        <v>6900</v>
      </c>
      <c r="CO267">
        <v>7512</v>
      </c>
      <c r="CP267">
        <v>13072</v>
      </c>
      <c r="CQ267">
        <v>10223</v>
      </c>
      <c r="CR267">
        <v>7748</v>
      </c>
      <c r="CS267">
        <v>8467</v>
      </c>
      <c r="CT267">
        <v>18024</v>
      </c>
      <c r="CU267">
        <v>13569</v>
      </c>
      <c r="CV267">
        <v>10677</v>
      </c>
      <c r="CW267">
        <v>11124</v>
      </c>
      <c r="CX267">
        <v>18361</v>
      </c>
      <c r="CY267">
        <v>10516</v>
      </c>
      <c r="CZ267">
        <v>7796</v>
      </c>
      <c r="DA267">
        <v>9014</v>
      </c>
      <c r="DB267">
        <v>17891</v>
      </c>
      <c r="DC267">
        <v>11029</v>
      </c>
      <c r="DD267">
        <v>8717</v>
      </c>
      <c r="DE267">
        <v>10714</v>
      </c>
      <c r="DF267">
        <v>20065</v>
      </c>
      <c r="DG267">
        <v>13822</v>
      </c>
      <c r="DH267">
        <v>11519</v>
      </c>
      <c r="DI267">
        <v>14125</v>
      </c>
      <c r="DJ267">
        <v>19965</v>
      </c>
      <c r="DK267">
        <v>11561</v>
      </c>
      <c r="DL267">
        <v>10044</v>
      </c>
      <c r="DM267">
        <v>13686</v>
      </c>
      <c r="DN267">
        <v>22236</v>
      </c>
      <c r="DO267">
        <v>11249</v>
      </c>
      <c r="DP267">
        <v>11253</v>
      </c>
      <c r="DQ267">
        <v>12673</v>
      </c>
      <c r="DR267">
        <v>28755</v>
      </c>
      <c r="DS267">
        <v>23630</v>
      </c>
      <c r="DT267">
        <v>21744</v>
      </c>
      <c r="DU267">
        <v>20551</v>
      </c>
      <c r="DV267">
        <v>34630</v>
      </c>
      <c r="DW267">
        <v>25010</v>
      </c>
      <c r="DX267">
        <v>19442</v>
      </c>
      <c r="DY267">
        <v>20721</v>
      </c>
      <c r="DZ267">
        <v>29998</v>
      </c>
      <c r="EA267">
        <v>24160</v>
      </c>
      <c r="EB267">
        <v>19881</v>
      </c>
      <c r="EC267">
        <v>22956</v>
      </c>
      <c r="ED267">
        <v>33916</v>
      </c>
      <c r="EE267">
        <v>23636</v>
      </c>
      <c r="EF267">
        <v>21448</v>
      </c>
      <c r="EG267">
        <v>24982</v>
      </c>
      <c r="EH267">
        <v>36330</v>
      </c>
      <c r="EI267">
        <v>24780</v>
      </c>
      <c r="EJ267">
        <v>21720.210934695999</v>
      </c>
      <c r="EK267">
        <v>25245.712130998199</v>
      </c>
      <c r="EL267">
        <v>35899.948386853001</v>
      </c>
      <c r="EM267">
        <v>24991.229467363901</v>
      </c>
      <c r="EN267">
        <v>22611.3608217771</v>
      </c>
      <c r="EO267">
        <v>28428.4766340143</v>
      </c>
      <c r="EP267">
        <v>41480.795535851903</v>
      </c>
      <c r="EQ267">
        <v>27527.569877099701</v>
      </c>
      <c r="ER267">
        <v>24639.599191752</v>
      </c>
      <c r="ES267">
        <v>29876.466254281298</v>
      </c>
      <c r="ET267">
        <v>42891.202895393799</v>
      </c>
      <c r="EU267">
        <v>29863.924469990601</v>
      </c>
      <c r="EV267">
        <v>26474.8167193058</v>
      </c>
      <c r="EW267">
        <v>31490.4528694828</v>
      </c>
      <c r="EX267">
        <v>45527.991595853098</v>
      </c>
      <c r="EY267">
        <v>30785.930931760799</v>
      </c>
      <c r="EZ267">
        <v>27971.514125691199</v>
      </c>
      <c r="FA267">
        <v>34032.897128487697</v>
      </c>
      <c r="FB267">
        <v>47864.570897177698</v>
      </c>
      <c r="FC267">
        <v>32575.548949753102</v>
      </c>
      <c r="FD267">
        <v>29676.912824270901</v>
      </c>
      <c r="FE267">
        <v>36526.539517343401</v>
      </c>
    </row>
    <row r="268" spans="1:161">
      <c r="B268" t="s">
        <v>586</v>
      </c>
      <c r="C268" t="s">
        <v>587</v>
      </c>
      <c r="D268" t="str">
        <f t="shared" si="6"/>
      </c>
      <c r="F268">
        <v>618.6</v>
      </c>
      <c r="G268">
        <v>-333</v>
      </c>
      <c r="H268">
        <v>45.5</v>
      </c>
      <c r="I268">
        <v>25</v>
      </c>
      <c r="J268">
        <v>349</v>
      </c>
      <c r="K268">
        <v>1643</v>
      </c>
      <c r="L268">
        <v>2453</v>
      </c>
      <c r="M268">
        <v>4407</v>
      </c>
      <c r="N268">
        <v>8327</v>
      </c>
      <c r="O268">
        <v>11740</v>
      </c>
      <c r="P268">
        <v>18385</v>
      </c>
      <c r="Q268">
        <v>33790</v>
      </c>
      <c r="R268">
        <v>55241</v>
      </c>
      <c r="S268">
        <v>48999</v>
      </c>
      <c r="T268">
        <v>52503</v>
      </c>
      <c r="U268">
        <v>71230</v>
      </c>
      <c r="V268">
        <v>60024</v>
      </c>
      <c r="W268">
        <v>61344</v>
      </c>
      <c r="X268">
        <v>70898</v>
      </c>
      <c r="Y268">
        <v>63930</v>
      </c>
      <c r="Z268">
        <v>66288</v>
      </c>
      <c r="AA268">
        <v>108949</v>
      </c>
      <c r="AB268">
        <v>119437</v>
      </c>
      <c r="AC268">
        <v>114301</v>
      </c>
      <c r="AD268">
        <v>123216</v>
      </c>
      <c r="AE268">
        <v>128671.420919804</v>
      </c>
      <c r="AF268">
        <v>133272.61691390199</v>
      </c>
      <c r="AG268">
        <v>147330.40016705199</v>
      </c>
      <c r="AH268">
        <v>156332.69795113601</v>
      </c>
      <c r="AI268">
        <v>165825.697454287</v>
      </c>
      <c r="AJ268">
        <v>176133.97786570701</v>
      </c>
      <c r="AL268">
        <v>197.5</v>
      </c>
      <c r="AM268">
        <v>170</v>
      </c>
      <c r="AN268">
        <v>167.6</v>
      </c>
      <c r="AO268">
        <v>83.5</v>
      </c>
      <c r="AP268">
        <v>-420</v>
      </c>
      <c r="AQ268">
        <v>-8</v>
      </c>
      <c r="AR268">
        <v>42</v>
      </c>
      <c r="AS268">
        <v>53</v>
      </c>
      <c r="AT268">
        <v>20</v>
      </c>
      <c r="AU268">
        <v>27.5</v>
      </c>
      <c r="AV268">
        <v>13</v>
      </c>
      <c r="AW268">
        <v>-15</v>
      </c>
      <c r="AX268">
        <v>-14</v>
      </c>
      <c r="AY268">
        <v>-1</v>
      </c>
      <c r="AZ268">
        <v>9</v>
      </c>
      <c r="BA268">
        <v>31</v>
      </c>
      <c r="BB268">
        <v>74</v>
      </c>
      <c r="BC268">
        <v>62</v>
      </c>
      <c r="BD268">
        <v>80</v>
      </c>
      <c r="BE268">
        <v>133</v>
      </c>
      <c r="BF268">
        <v>400</v>
      </c>
      <c r="BG268">
        <v>400</v>
      </c>
      <c r="BH268">
        <v>426</v>
      </c>
      <c r="BI268">
        <v>417</v>
      </c>
      <c r="BJ268">
        <v>750</v>
      </c>
      <c r="BK268">
        <v>529</v>
      </c>
      <c r="BL268">
        <v>566</v>
      </c>
      <c r="BM268">
        <v>608</v>
      </c>
      <c r="BN268">
        <v>1325</v>
      </c>
      <c r="BO268">
        <v>988</v>
      </c>
      <c r="BP268">
        <v>1079</v>
      </c>
      <c r="BQ268">
        <v>1015</v>
      </c>
      <c r="BR268">
        <v>2198</v>
      </c>
      <c r="BS268">
        <v>1448</v>
      </c>
      <c r="BT268">
        <v>1535</v>
      </c>
      <c r="BU268">
        <v>3146</v>
      </c>
      <c r="BV268">
        <v>3101</v>
      </c>
      <c r="BW268">
        <v>2323</v>
      </c>
      <c r="BX268">
        <v>2632</v>
      </c>
      <c r="BY268">
        <v>3684</v>
      </c>
      <c r="BZ268">
        <v>4725</v>
      </c>
      <c r="CA268">
        <v>3979</v>
      </c>
      <c r="CB268">
        <v>4234</v>
      </c>
      <c r="CC268">
        <v>5447</v>
      </c>
      <c r="CD268">
        <v>7827</v>
      </c>
      <c r="CE268">
        <v>7874</v>
      </c>
      <c r="CF268">
        <v>9379</v>
      </c>
      <c r="CG268">
        <v>8710</v>
      </c>
      <c r="CH268">
        <v>17340</v>
      </c>
      <c r="CI268">
        <v>15384</v>
      </c>
      <c r="CJ268">
        <v>11573</v>
      </c>
      <c r="CK268">
        <v>10944</v>
      </c>
      <c r="CL268">
        <v>17210</v>
      </c>
      <c r="CM268">
        <v>12558</v>
      </c>
      <c r="CN268">
        <v>9201</v>
      </c>
      <c r="CO268">
        <v>10030</v>
      </c>
      <c r="CP268">
        <v>17463</v>
      </c>
      <c r="CQ268">
        <v>13593</v>
      </c>
      <c r="CR268">
        <v>10282</v>
      </c>
      <c r="CS268">
        <v>11165</v>
      </c>
      <c r="CT268">
        <v>24246</v>
      </c>
      <c r="CU268">
        <v>18278</v>
      </c>
      <c r="CV268">
        <v>14083</v>
      </c>
      <c r="CW268">
        <v>14623</v>
      </c>
      <c r="CX268">
        <v>24171</v>
      </c>
      <c r="CY268">
        <v>13987</v>
      </c>
      <c r="CZ268">
        <v>10105</v>
      </c>
      <c r="DA268">
        <v>11761</v>
      </c>
      <c r="DB268">
        <v>23359</v>
      </c>
      <c r="DC268">
        <v>14097</v>
      </c>
      <c r="DD268">
        <v>10768</v>
      </c>
      <c r="DE268">
        <v>13120</v>
      </c>
      <c r="DF268">
        <v>26274</v>
      </c>
      <c r="DG268">
        <v>15894</v>
      </c>
      <c r="DH268">
        <v>12612</v>
      </c>
      <c r="DI268">
        <v>16118</v>
      </c>
      <c r="DJ268">
        <v>23346</v>
      </c>
      <c r="DK268">
        <v>13415</v>
      </c>
      <c r="DL268">
        <v>11544</v>
      </c>
      <c r="DM268">
        <v>15625</v>
      </c>
      <c r="DN268">
        <v>25569</v>
      </c>
      <c r="DO268">
        <v>12853</v>
      </c>
      <c r="DP268">
        <v>13091</v>
      </c>
      <c r="DQ268">
        <v>14775</v>
      </c>
      <c r="DR268">
        <v>33534</v>
      </c>
      <c r="DS268">
        <v>27503</v>
      </c>
      <c r="DT268">
        <v>24126</v>
      </c>
      <c r="DU268">
        <v>23786</v>
      </c>
      <c r="DV268">
        <v>41488</v>
      </c>
      <c r="DW268">
        <v>29979</v>
      </c>
      <c r="DX268">
        <v>23076</v>
      </c>
      <c r="DY268">
        <v>24894</v>
      </c>
      <c r="DZ268">
        <v>36016</v>
      </c>
      <c r="EA268">
        <v>28318</v>
      </c>
      <c r="EB268">
        <v>22998</v>
      </c>
      <c r="EC268">
        <v>26969</v>
      </c>
      <c r="ED268">
        <v>40373</v>
      </c>
      <c r="EE268">
        <v>27900</v>
      </c>
      <c r="EF268">
        <v>25352</v>
      </c>
      <c r="EG268">
        <v>29591</v>
      </c>
      <c r="EH268">
        <v>42832</v>
      </c>
      <c r="EI268">
        <v>29589</v>
      </c>
      <c r="EJ268">
        <v>26181.143969876201</v>
      </c>
      <c r="EK268">
        <v>30069.276949927898</v>
      </c>
      <c r="EL268">
        <v>42640.888803498601</v>
      </c>
      <c r="EM268">
        <v>29731.925584426601</v>
      </c>
      <c r="EN268">
        <v>26945.6497783458</v>
      </c>
      <c r="EO268">
        <v>33954.152747630898</v>
      </c>
      <c r="EP268">
        <v>49334.153681552802</v>
      </c>
      <c r="EQ268">
        <v>32805.626924238699</v>
      </c>
      <c r="ER268">
        <v>29428.062749644399</v>
      </c>
      <c r="ES268">
        <v>35762.556811615897</v>
      </c>
      <c r="ET268">
        <v>51124.148770667802</v>
      </c>
      <c r="EU268">
        <v>35710.9570241455</v>
      </c>
      <c r="EV268">
        <v>31710.3905868125</v>
      </c>
      <c r="EW268">
        <v>37787.2015695097</v>
      </c>
      <c r="EX268">
        <v>54371.708567185997</v>
      </c>
      <c r="EY268">
        <v>36910.834486664899</v>
      </c>
      <c r="EZ268">
        <v>33615.652457789001</v>
      </c>
      <c r="FA268">
        <v>40927.501942647701</v>
      </c>
      <c r="FB268">
        <v>57239.808516505698</v>
      </c>
      <c r="FC268">
        <v>39147.222652676202</v>
      </c>
      <c r="FD268">
        <v>35748.677632232</v>
      </c>
      <c r="FE268">
        <v>43998.269064292901</v>
      </c>
    </row>
    <row r="269" spans="1:161">
      <c r="B269" t="s">
        <v>588</v>
      </c>
      <c r="C269" t="s">
        <v>589</v>
      </c>
      <c r="D269" t="str">
        <f t="shared" si="6"/>
      </c>
      <c r="F269">
        <v>821.6</v>
      </c>
      <c r="G269">
        <v>-116</v>
      </c>
      <c r="H269">
        <v>157.1</v>
      </c>
      <c r="I269">
        <v>104</v>
      </c>
      <c r="J269">
        <v>406</v>
      </c>
      <c r="K269">
        <v>1808</v>
      </c>
      <c r="L269">
        <v>2818</v>
      </c>
      <c r="M269">
        <v>5006</v>
      </c>
      <c r="N269">
        <v>8947</v>
      </c>
      <c r="O269">
        <v>12066</v>
      </c>
      <c r="P269">
        <v>18540</v>
      </c>
      <c r="Q269">
        <v>34205</v>
      </c>
      <c r="R269">
        <v>55763</v>
      </c>
      <c r="S269">
        <v>50155</v>
      </c>
      <c r="T269">
        <v>53483</v>
      </c>
      <c r="U269">
        <v>72515</v>
      </c>
      <c r="V269">
        <v>61372</v>
      </c>
      <c r="W269">
        <v>64089</v>
      </c>
      <c r="X269">
        <v>72903</v>
      </c>
      <c r="Y269">
        <v>65737</v>
      </c>
      <c r="Z269">
        <v>67091</v>
      </c>
      <c r="AA269">
        <v>109207</v>
      </c>
      <c r="AB269">
        <v>119103</v>
      </c>
      <c r="AC269">
        <v>113736</v>
      </c>
      <c r="AD269">
        <v>123485</v>
      </c>
      <c r="AE269">
        <v>127805.813173445</v>
      </c>
      <c r="AF269">
        <v>133251.20870239101</v>
      </c>
      <c r="AG269">
        <v>147052.89387974399</v>
      </c>
      <c r="AH269">
        <v>155619.52018353899</v>
      </c>
      <c r="AI269">
        <v>164664.68307356301</v>
      </c>
      <c r="AJ269">
        <v>174575.68117683899</v>
      </c>
      <c r="AL269">
        <v>237.5</v>
      </c>
      <c r="AM269">
        <v>219</v>
      </c>
      <c r="AN269">
        <v>219.6</v>
      </c>
      <c r="AO269">
        <v>145.5</v>
      </c>
      <c r="AP269">
        <v>-353</v>
      </c>
      <c r="AQ269">
        <v>57</v>
      </c>
      <c r="AR269">
        <v>87</v>
      </c>
      <c r="AS269">
        <v>93</v>
      </c>
      <c r="AT269">
        <v>54</v>
      </c>
      <c r="AU269">
        <v>54.1</v>
      </c>
      <c r="AV269">
        <v>39</v>
      </c>
      <c r="AW269">
        <v>10</v>
      </c>
      <c r="AX269">
        <v>15</v>
      </c>
      <c r="AY269">
        <v>22</v>
      </c>
      <c r="AZ269">
        <v>26</v>
      </c>
      <c r="BA269">
        <v>41</v>
      </c>
      <c r="BB269">
        <v>87</v>
      </c>
      <c r="BC269">
        <v>74</v>
      </c>
      <c r="BD269">
        <v>93</v>
      </c>
      <c r="BE269">
        <v>152</v>
      </c>
      <c r="BF269">
        <v>426</v>
      </c>
      <c r="BG269">
        <v>433</v>
      </c>
      <c r="BH269">
        <v>472</v>
      </c>
      <c r="BI269">
        <v>477</v>
      </c>
      <c r="BJ269">
        <v>831</v>
      </c>
      <c r="BK269">
        <v>605</v>
      </c>
      <c r="BL269">
        <v>661</v>
      </c>
      <c r="BM269">
        <v>721</v>
      </c>
      <c r="BN269">
        <v>1451</v>
      </c>
      <c r="BO269">
        <v>1136</v>
      </c>
      <c r="BP269">
        <v>1234</v>
      </c>
      <c r="BQ269">
        <v>1185</v>
      </c>
      <c r="BR269">
        <v>2398</v>
      </c>
      <c r="BS269">
        <v>1610</v>
      </c>
      <c r="BT269">
        <v>1653</v>
      </c>
      <c r="BU269">
        <v>3286</v>
      </c>
      <c r="BV269">
        <v>3259</v>
      </c>
      <c r="BW269">
        <v>2386</v>
      </c>
      <c r="BX269">
        <v>2692</v>
      </c>
      <c r="BY269">
        <v>3729</v>
      </c>
      <c r="BZ269">
        <v>4758</v>
      </c>
      <c r="CA269">
        <v>4029</v>
      </c>
      <c r="CB269">
        <v>4292</v>
      </c>
      <c r="CC269">
        <v>5461</v>
      </c>
      <c r="CD269">
        <v>7963</v>
      </c>
      <c r="CE269">
        <v>7900</v>
      </c>
      <c r="CF269">
        <v>9551</v>
      </c>
      <c r="CG269">
        <v>8791</v>
      </c>
      <c r="CH269">
        <v>17477</v>
      </c>
      <c r="CI269">
        <v>15532</v>
      </c>
      <c r="CJ269">
        <v>11861</v>
      </c>
      <c r="CK269">
        <v>10893</v>
      </c>
      <c r="CL269">
        <v>17672</v>
      </c>
      <c r="CM269">
        <v>12905</v>
      </c>
      <c r="CN269">
        <v>9435</v>
      </c>
      <c r="CO269">
        <v>10143</v>
      </c>
      <c r="CP269">
        <v>17709</v>
      </c>
      <c r="CQ269">
        <v>13818</v>
      </c>
      <c r="CR269">
        <v>10484</v>
      </c>
      <c r="CS269">
        <v>11472</v>
      </c>
      <c r="CT269">
        <v>24416</v>
      </c>
      <c r="CU269">
        <v>18564</v>
      </c>
      <c r="CV269">
        <v>14473</v>
      </c>
      <c r="CW269">
        <v>15062</v>
      </c>
      <c r="CX269">
        <v>24573</v>
      </c>
      <c r="CY269">
        <v>14142</v>
      </c>
      <c r="CZ269">
        <v>10469</v>
      </c>
      <c r="DA269">
        <v>12188</v>
      </c>
      <c r="DB269">
        <v>24180</v>
      </c>
      <c r="DC269">
        <v>14684</v>
      </c>
      <c r="DD269">
        <v>11308</v>
      </c>
      <c r="DE269">
        <v>13917</v>
      </c>
      <c r="DF269">
        <v>27030</v>
      </c>
      <c r="DG269">
        <v>16168</v>
      </c>
      <c r="DH269">
        <v>13284</v>
      </c>
      <c r="DI269">
        <v>16421</v>
      </c>
      <c r="DJ269">
        <v>23906</v>
      </c>
      <c r="DK269">
        <v>13793</v>
      </c>
      <c r="DL269">
        <v>11911</v>
      </c>
      <c r="DM269">
        <v>16127</v>
      </c>
      <c r="DN269">
        <v>25918</v>
      </c>
      <c r="DO269">
        <v>13135</v>
      </c>
      <c r="DP269">
        <v>13137</v>
      </c>
      <c r="DQ269">
        <v>14901</v>
      </c>
      <c r="DR269">
        <v>33579</v>
      </c>
      <c r="DS269">
        <v>28011</v>
      </c>
      <c r="DT269">
        <v>24369</v>
      </c>
      <c r="DU269">
        <v>23248</v>
      </c>
      <c r="DV269">
        <v>41241</v>
      </c>
      <c r="DW269">
        <v>30139</v>
      </c>
      <c r="DX269">
        <v>23066</v>
      </c>
      <c r="DY269">
        <v>24657</v>
      </c>
      <c r="DZ269">
        <v>35623</v>
      </c>
      <c r="EA269">
        <v>28382</v>
      </c>
      <c r="EB269">
        <v>22733</v>
      </c>
      <c r="EC269">
        <v>26998</v>
      </c>
      <c r="ED269">
        <v>40323</v>
      </c>
      <c r="EE269">
        <v>28058</v>
      </c>
      <c r="EF269">
        <v>25494</v>
      </c>
      <c r="EG269">
        <v>29610</v>
      </c>
      <c r="EH269">
        <v>42584</v>
      </c>
      <c r="EI269">
        <v>29310</v>
      </c>
      <c r="EJ269">
        <v>25857.393969876201</v>
      </c>
      <c r="EK269">
        <v>30054.419203569199</v>
      </c>
      <c r="EL269">
        <v>42738.033793872601</v>
      </c>
      <c r="EM269">
        <v>29751.463651623701</v>
      </c>
      <c r="EN269">
        <v>26918.286692591799</v>
      </c>
      <c r="EO269">
        <v>33843.424564302797</v>
      </c>
      <c r="EP269">
        <v>49381.899447442702</v>
      </c>
      <c r="EQ269">
        <v>32770.916520356797</v>
      </c>
      <c r="ER269">
        <v>29332.856180657102</v>
      </c>
      <c r="ES269">
        <v>35567.221731287304</v>
      </c>
      <c r="ET269">
        <v>51060.955827849699</v>
      </c>
      <c r="EU269">
        <v>35552.2910357031</v>
      </c>
      <c r="EV269">
        <v>31517.6389515546</v>
      </c>
      <c r="EW269">
        <v>37488.6343684319</v>
      </c>
      <c r="EX269">
        <v>54199.989995063203</v>
      </c>
      <c r="EY269">
        <v>36649.917775905698</v>
      </c>
      <c r="EZ269">
        <v>33299.421578203801</v>
      </c>
      <c r="FA269">
        <v>40515.353724390101</v>
      </c>
      <c r="FB269">
        <v>56981.632020449702</v>
      </c>
      <c r="FC269">
        <v>38780.415416372802</v>
      </c>
      <c r="FD269">
        <v>35329.658124132002</v>
      </c>
      <c r="FE269">
        <v>43483.975615884898</v>
      </c>
    </row>
    <row r="270" spans="1:161">
      <c r="B270" t="s">
        <v>590</v>
      </c>
      <c r="C270" t="s">
        <v>591</v>
      </c>
      <c r="D270" t="str">
        <f t="shared" si="6"/>
      </c>
      <c r="F270">
        <v>7981.6</v>
      </c>
      <c r="G270">
        <v>5363</v>
      </c>
      <c r="H270">
        <v>5742</v>
      </c>
      <c r="I270">
        <v>6207</v>
      </c>
      <c r="J270">
        <v>8279</v>
      </c>
      <c r="K270">
        <v>13931</v>
      </c>
      <c r="L270">
        <v>19315</v>
      </c>
      <c r="M270">
        <v>24578</v>
      </c>
      <c r="N270">
        <v>37491</v>
      </c>
      <c r="O270">
        <v>42905</v>
      </c>
      <c r="P270">
        <v>65225</v>
      </c>
      <c r="Q270">
        <v>108249</v>
      </c>
      <c r="R270">
        <v>156508</v>
      </c>
      <c r="S270">
        <v>170910</v>
      </c>
      <c r="T270">
        <v>182795</v>
      </c>
      <c r="U270">
        <v>233715</v>
      </c>
      <c r="V270">
        <v>215639</v>
      </c>
      <c r="W270">
        <v>229234</v>
      </c>
      <c r="X270">
        <v>265595</v>
      </c>
      <c r="Y270">
        <v>260174</v>
      </c>
      <c r="Z270">
        <v>274515</v>
      </c>
      <c r="AA270">
        <v>365817</v>
      </c>
      <c r="AB270">
        <v>394328</v>
      </c>
      <c r="AC270">
        <v>383285</v>
      </c>
      <c r="AD270">
        <v>391035</v>
      </c>
      <c r="AE270">
        <v>408642.21315863298</v>
      </c>
      <c r="AF270">
        <v>433931.08825280698</v>
      </c>
      <c r="AG270">
        <v>466529.91393794602</v>
      </c>
      <c r="AH270">
        <v>487797.02718576801</v>
      </c>
      <c r="AI270">
        <v>509889.335852505</v>
      </c>
      <c r="AJ270">
        <v>533776.78612430603</v>
      </c>
      <c r="AL270">
        <v>2342.5</v>
      </c>
      <c r="AM270">
        <v>1945</v>
      </c>
      <c r="AN270">
        <v>1824.6</v>
      </c>
      <c r="AO270">
        <v>1869.5</v>
      </c>
      <c r="AP270">
        <v>1007</v>
      </c>
      <c r="AQ270">
        <v>1431</v>
      </c>
      <c r="AR270">
        <v>1475</v>
      </c>
      <c r="AS270">
        <v>1450</v>
      </c>
      <c r="AT270">
        <v>1375</v>
      </c>
      <c r="AU270">
        <v>1495</v>
      </c>
      <c r="AV270">
        <v>1429</v>
      </c>
      <c r="AW270">
        <v>1443</v>
      </c>
      <c r="AX270">
        <v>1472</v>
      </c>
      <c r="AY270">
        <v>1475</v>
      </c>
      <c r="AZ270">
        <v>1545</v>
      </c>
      <c r="BA270">
        <v>1715</v>
      </c>
      <c r="BB270">
        <v>2006</v>
      </c>
      <c r="BC270">
        <v>1909</v>
      </c>
      <c r="BD270">
        <v>2014</v>
      </c>
      <c r="BE270">
        <v>2350</v>
      </c>
      <c r="BF270">
        <v>3490</v>
      </c>
      <c r="BG270">
        <v>3243</v>
      </c>
      <c r="BH270">
        <v>3520</v>
      </c>
      <c r="BI270">
        <v>3678</v>
      </c>
      <c r="BJ270">
        <v>5749</v>
      </c>
      <c r="BK270">
        <v>4359</v>
      </c>
      <c r="BL270">
        <v>4370</v>
      </c>
      <c r="BM270">
        <v>4837</v>
      </c>
      <c r="BN270">
        <v>7123</v>
      </c>
      <c r="BO270">
        <v>5286</v>
      </c>
      <c r="BP270">
        <v>5563</v>
      </c>
      <c r="BQ270">
        <v>6606</v>
      </c>
      <c r="BR270">
        <v>10430</v>
      </c>
      <c r="BS270">
        <v>7980</v>
      </c>
      <c r="BT270">
        <v>7561</v>
      </c>
      <c r="BU270">
        <v>11520</v>
      </c>
      <c r="BV270">
        <v>11880</v>
      </c>
      <c r="BW270">
        <v>9084</v>
      </c>
      <c r="BX270">
        <v>9734</v>
      </c>
      <c r="BY270">
        <v>12207</v>
      </c>
      <c r="BZ270">
        <v>15683</v>
      </c>
      <c r="CA270">
        <v>13499</v>
      </c>
      <c r="CB270">
        <v>15700</v>
      </c>
      <c r="CC270">
        <v>20343</v>
      </c>
      <c r="CD270">
        <v>26741</v>
      </c>
      <c r="CE270">
        <v>24667</v>
      </c>
      <c r="CF270">
        <v>28571</v>
      </c>
      <c r="CG270">
        <v>28270</v>
      </c>
      <c r="CH270">
        <v>46333</v>
      </c>
      <c r="CI270">
        <v>39186</v>
      </c>
      <c r="CJ270">
        <v>35023</v>
      </c>
      <c r="CK270">
        <v>35966</v>
      </c>
      <c r="CL270">
        <v>54512</v>
      </c>
      <c r="CM270">
        <v>43603</v>
      </c>
      <c r="CN270">
        <v>35323</v>
      </c>
      <c r="CO270">
        <v>37472</v>
      </c>
      <c r="CP270">
        <v>57594</v>
      </c>
      <c r="CQ270">
        <v>45646</v>
      </c>
      <c r="CR270">
        <v>37432</v>
      </c>
      <c r="CS270">
        <v>42123</v>
      </c>
      <c r="CT270">
        <v>74599</v>
      </c>
      <c r="CU270">
        <v>58010</v>
      </c>
      <c r="CV270">
        <v>49605</v>
      </c>
      <c r="CW270">
        <v>51501</v>
      </c>
      <c r="CX270">
        <v>75872</v>
      </c>
      <c r="CY270">
        <v>50557</v>
      </c>
      <c r="CZ270">
        <v>42358</v>
      </c>
      <c r="DA270">
        <v>46852</v>
      </c>
      <c r="DB270">
        <v>78351</v>
      </c>
      <c r="DC270">
        <v>52896</v>
      </c>
      <c r="DD270">
        <v>45408</v>
      </c>
      <c r="DE270">
        <v>52579</v>
      </c>
      <c r="DF270">
        <v>88293</v>
      </c>
      <c r="DG270">
        <v>61137</v>
      </c>
      <c r="DH270">
        <v>53265</v>
      </c>
      <c r="DI270">
        <v>62900</v>
      </c>
      <c r="DJ270">
        <v>84310</v>
      </c>
      <c r="DK270">
        <v>58015</v>
      </c>
      <c r="DL270">
        <v>53809</v>
      </c>
      <c r="DM270">
        <v>64040</v>
      </c>
      <c r="DN270">
        <v>91819</v>
      </c>
      <c r="DO270">
        <v>58313</v>
      </c>
      <c r="DP270">
        <v>59685</v>
      </c>
      <c r="DQ270">
        <v>64698</v>
      </c>
      <c r="DR270">
        <v>111439</v>
      </c>
      <c r="DS270">
        <v>89584</v>
      </c>
      <c r="DT270">
        <v>81434</v>
      </c>
      <c r="DU270">
        <v>83360</v>
      </c>
      <c r="DV270">
        <v>123945</v>
      </c>
      <c r="DW270">
        <v>97278</v>
      </c>
      <c r="DX270">
        <v>82959</v>
      </c>
      <c r="DY270">
        <v>90146</v>
      </c>
      <c r="DZ270">
        <v>117154</v>
      </c>
      <c r="EA270">
        <v>94836</v>
      </c>
      <c r="EB270">
        <v>81797</v>
      </c>
      <c r="EC270">
        <v>89498</v>
      </c>
      <c r="ED270">
        <v>119575</v>
      </c>
      <c r="EE270">
        <v>90753</v>
      </c>
      <c r="EF270">
        <v>85777</v>
      </c>
      <c r="EG270">
        <v>94930</v>
      </c>
      <c r="EH270">
        <v>124300</v>
      </c>
      <c r="EI270">
        <v>95359</v>
      </c>
      <c r="EJ270">
        <v>89531.338823969403</v>
      </c>
      <c r="EK270">
        <v>99451.874334663298</v>
      </c>
      <c r="EL270">
        <v>131914.01801288701</v>
      </c>
      <c r="EM270">
        <v>99025.058077941998</v>
      </c>
      <c r="EN270">
        <v>92656.576644937202</v>
      </c>
      <c r="EO270">
        <v>110335.435517041</v>
      </c>
      <c r="EP270">
        <v>146164.718181451</v>
      </c>
      <c r="EQ270">
        <v>107105.177945684</v>
      </c>
      <c r="ER270">
        <v>98941.710025235501</v>
      </c>
      <c r="ES270">
        <v>114318.307785575</v>
      </c>
      <c r="ET270">
        <v>150035.47101190899</v>
      </c>
      <c r="EU270">
        <v>114429.06638606801</v>
      </c>
      <c r="EV270">
        <v>104477.68714233</v>
      </c>
      <c r="EW270">
        <v>118854.80264546099</v>
      </c>
      <c r="EX270">
        <v>157714.91305536299</v>
      </c>
      <c r="EY270">
        <v>116824.60220997399</v>
      </c>
      <c r="EZ270">
        <v>108844.708293339</v>
      </c>
      <c r="FA270">
        <v>126505.11229383</v>
      </c>
      <c r="FB270">
        <v>164247.217360643</v>
      </c>
      <c r="FC270">
        <v>122018.59829532899</v>
      </c>
      <c r="FD270">
        <v>113707.42992652699</v>
      </c>
      <c r="FE270">
        <v>133803.540541808</v>
      </c>
    </row>
    <row r="271" spans="1:161">
      <c r="B271" t="s">
        <v>592</v>
      </c>
      <c r="C271" t="s">
        <v>593</v>
      </c>
      <c r="D271" t="str">
        <f t="shared" si="6"/>
      </c>
      <c r="F271">
        <v>4107</v>
      </c>
      <c r="G271">
        <v>3920</v>
      </c>
      <c r="H271">
        <v>4095</v>
      </c>
      <c r="I271">
        <v>4223</v>
      </c>
      <c r="J271">
        <v>5076</v>
      </c>
      <c r="K271">
        <v>7466</v>
      </c>
      <c r="L271">
        <v>9984</v>
      </c>
      <c r="M271">
        <v>14531</v>
      </c>
      <c r="N271">
        <v>22297</v>
      </c>
      <c r="O271">
        <v>31640</v>
      </c>
      <c r="P271">
        <v>47791</v>
      </c>
      <c r="Q271">
        <v>76615</v>
      </c>
      <c r="R271">
        <v>118210</v>
      </c>
      <c r="S271">
        <v>123549</v>
      </c>
      <c r="T271">
        <v>111547</v>
      </c>
      <c r="U271">
        <v>119355</v>
      </c>
      <c r="V271">
        <v>128249</v>
      </c>
      <c r="W271">
        <v>134047</v>
      </c>
      <c r="X271">
        <v>107147</v>
      </c>
      <c r="Y271">
        <v>90488</v>
      </c>
      <c r="Z271">
        <v>65339</v>
      </c>
      <c r="AA271">
        <v>63090</v>
      </c>
      <c r="AB271">
        <v>50672</v>
      </c>
      <c r="AC271">
        <v>62146</v>
      </c>
      <c r="AD271">
        <v>56950</v>
      </c>
      <c r="AE271">
        <v>58811.443598317303</v>
      </c>
      <c r="AF271">
        <v>48499.9576329142</v>
      </c>
      <c r="AG271">
        <v>36362.671277321402</v>
      </c>
      <c r="AH271">
        <v>24085.0723979469</v>
      </c>
      <c r="AI271">
        <v>12133.267564928199</v>
      </c>
      <c r="AJ271">
        <v>1295.7887962309801</v>
      </c>
      <c r="AL271">
        <v>4414</v>
      </c>
      <c r="AM271">
        <v>4215</v>
      </c>
      <c r="AN271">
        <v>4176</v>
      </c>
      <c r="AO271">
        <v>4107</v>
      </c>
      <c r="AP271">
        <v>3712</v>
      </c>
      <c r="AQ271">
        <v>3738</v>
      </c>
      <c r="AR271">
        <v>3858</v>
      </c>
      <c r="AS271">
        <v>3920</v>
      </c>
      <c r="AT271">
        <v>3966</v>
      </c>
      <c r="AU271">
        <v>4014</v>
      </c>
      <c r="AV271">
        <v>4066</v>
      </c>
      <c r="AW271">
        <v>4095</v>
      </c>
      <c r="AX271">
        <v>4116</v>
      </c>
      <c r="AY271">
        <v>4139</v>
      </c>
      <c r="AZ271">
        <v>4198</v>
      </c>
      <c r="BA271">
        <v>4223</v>
      </c>
      <c r="BB271">
        <v>4330</v>
      </c>
      <c r="BC271">
        <v>4490</v>
      </c>
      <c r="BD271">
        <v>4812</v>
      </c>
      <c r="BE271">
        <v>5076</v>
      </c>
      <c r="BF271">
        <v>5790</v>
      </c>
      <c r="BG271">
        <v>6386</v>
      </c>
      <c r="BH271">
        <v>6821</v>
      </c>
      <c r="BI271">
        <v>7466</v>
      </c>
      <c r="BJ271">
        <v>8380</v>
      </c>
      <c r="BK271">
        <v>8682</v>
      </c>
      <c r="BL271">
        <v>9330</v>
      </c>
      <c r="BM271">
        <v>9984</v>
      </c>
      <c r="BN271">
        <v>11235</v>
      </c>
      <c r="BO271">
        <v>12272</v>
      </c>
      <c r="BP271">
        <v>13437</v>
      </c>
      <c r="BQ271">
        <v>14531</v>
      </c>
      <c r="BR271">
        <v>16862</v>
      </c>
      <c r="BS271">
        <v>18167</v>
      </c>
      <c r="BT271">
        <v>19795</v>
      </c>
      <c r="BU271">
        <v>22297</v>
      </c>
      <c r="BV271">
        <v>22909</v>
      </c>
      <c r="BW271">
        <v>24311</v>
      </c>
      <c r="BX271">
        <v>25888</v>
      </c>
      <c r="BY271">
        <v>31640</v>
      </c>
      <c r="BZ271">
        <v>35768</v>
      </c>
      <c r="CA271">
        <v>39348</v>
      </c>
      <c r="CB271">
        <v>43111</v>
      </c>
      <c r="CC271">
        <v>47791</v>
      </c>
      <c r="CD271">
        <v>54666</v>
      </c>
      <c r="CE271">
        <v>61477</v>
      </c>
      <c r="CF271">
        <v>69343</v>
      </c>
      <c r="CG271">
        <v>76615</v>
      </c>
      <c r="CH271">
        <v>90054</v>
      </c>
      <c r="CI271">
        <v>102498</v>
      </c>
      <c r="CJ271">
        <v>111746</v>
      </c>
      <c r="CK271">
        <v>118210</v>
      </c>
      <c r="CL271">
        <v>127346</v>
      </c>
      <c r="CM271">
        <v>135490</v>
      </c>
      <c r="CN271">
        <v>123354</v>
      </c>
      <c r="CO271">
        <v>123549</v>
      </c>
      <c r="CP271">
        <v>129684</v>
      </c>
      <c r="CQ271">
        <v>120179</v>
      </c>
      <c r="CR271">
        <v>120940</v>
      </c>
      <c r="CS271">
        <v>111547</v>
      </c>
      <c r="CT271">
        <v>123328</v>
      </c>
      <c r="CU271">
        <v>129006</v>
      </c>
      <c r="CV271">
        <v>125677</v>
      </c>
      <c r="CW271">
        <v>119355</v>
      </c>
      <c r="CX271">
        <v>128267</v>
      </c>
      <c r="CY271">
        <v>130457</v>
      </c>
      <c r="CZ271">
        <v>126541</v>
      </c>
      <c r="DA271">
        <v>128249</v>
      </c>
      <c r="DB271">
        <v>132390</v>
      </c>
      <c r="DC271">
        <v>134082</v>
      </c>
      <c r="DD271">
        <v>132425</v>
      </c>
      <c r="DE271">
        <v>134047</v>
      </c>
      <c r="DF271">
        <v>140199</v>
      </c>
      <c r="DG271">
        <v>126878</v>
      </c>
      <c r="DH271">
        <v>114949</v>
      </c>
      <c r="DI271">
        <v>107147</v>
      </c>
      <c r="DJ271">
        <v>117892</v>
      </c>
      <c r="DK271">
        <v>105860</v>
      </c>
      <c r="DL271">
        <v>96456</v>
      </c>
      <c r="DM271">
        <v>90488</v>
      </c>
      <c r="DN271">
        <v>89531</v>
      </c>
      <c r="DO271">
        <v>78425</v>
      </c>
      <c r="DP271">
        <v>72282</v>
      </c>
      <c r="DQ271">
        <v>65339</v>
      </c>
      <c r="DR271">
        <v>66224</v>
      </c>
      <c r="DS271">
        <v>69178</v>
      </c>
      <c r="DT271">
        <v>64280</v>
      </c>
      <c r="DU271">
        <v>63090</v>
      </c>
      <c r="DV271">
        <v>71932</v>
      </c>
      <c r="DW271">
        <v>67399</v>
      </c>
      <c r="DX271">
        <v>58107</v>
      </c>
      <c r="DY271">
        <v>50672</v>
      </c>
      <c r="DZ271">
        <v>56727</v>
      </c>
      <c r="EA271">
        <v>62158</v>
      </c>
      <c r="EB271">
        <v>60274</v>
      </c>
      <c r="EC271">
        <v>62146</v>
      </c>
      <c r="ED271">
        <v>74100</v>
      </c>
      <c r="EE271">
        <v>74194</v>
      </c>
      <c r="EF271">
        <v>66708</v>
      </c>
      <c r="EG271">
        <v>56950</v>
      </c>
      <c r="EH271">
        <v>66758</v>
      </c>
      <c r="EI271">
        <v>66796</v>
      </c>
      <c r="EJ271">
        <v>59734.7393890862</v>
      </c>
      <c r="EK271">
        <v>58811.443598317303</v>
      </c>
      <c r="EL271">
        <v>64312.209537002498</v>
      </c>
      <c r="EM271">
        <v>59178.012513784299</v>
      </c>
      <c r="EN271">
        <v>49621.344705603398</v>
      </c>
      <c r="EO271">
        <v>48499.9576329142</v>
      </c>
      <c r="EP271">
        <v>56227.684405254797</v>
      </c>
      <c r="EQ271">
        <v>50276.3192524306</v>
      </c>
      <c r="ER271">
        <v>39390.866957701401</v>
      </c>
      <c r="ES271">
        <v>36362.671277321402</v>
      </c>
      <c r="ET271">
        <v>43671.373447193801</v>
      </c>
      <c r="EU271">
        <v>38224.805187051003</v>
      </c>
      <c r="EV271">
        <v>27336.873556178401</v>
      </c>
      <c r="EW271">
        <v>24085.0723979469</v>
      </c>
      <c r="EX271">
        <v>32218.388810176399</v>
      </c>
      <c r="EY271">
        <v>25878.716114131799</v>
      </c>
      <c r="EZ271">
        <v>14665.1609276454</v>
      </c>
      <c r="FA271">
        <v>12133.267564928199</v>
      </c>
      <c r="FB271">
        <v>20807.060557877699</v>
      </c>
      <c r="FC271">
        <v>14457.6059339531</v>
      </c>
      <c r="FD271">
        <v>3141.94975116762</v>
      </c>
      <c r="FE271">
        <v>1295.7887962309801</v>
      </c>
    </row>
    <row r="272" spans="1:161">
      <c r="A272" t="s">
        <v>242</v>
      </c>
    </row>
    <row r="273" spans="2:161">
      <c r="B273" t="s">
        <v>594</v>
      </c>
      <c r="C273" t="s">
        <v>595</v>
      </c>
      <c r="D273" t="str">
        <f t="shared" ref="D273:D285" si="7">L_CURRENCY_EQTY_200000801_REP</f>
      </c>
      <c r="F273">
        <v>-232.648</v>
      </c>
      <c r="G273">
        <v>34.1145</v>
      </c>
      <c r="H273">
        <v>-39.200000000000003</v>
      </c>
      <c r="I273">
        <v>-28</v>
      </c>
      <c r="J273">
        <v>-113</v>
      </c>
      <c r="K273">
        <v>-579</v>
      </c>
      <c r="L273">
        <v>-829</v>
      </c>
      <c r="M273">
        <v>-1511</v>
      </c>
      <c r="N273">
        <v>-2828</v>
      </c>
      <c r="O273">
        <v>-3831</v>
      </c>
      <c r="P273">
        <v>-4527</v>
      </c>
      <c r="Q273">
        <v>-8283</v>
      </c>
      <c r="R273">
        <v>-14030</v>
      </c>
      <c r="S273">
        <v>-13118</v>
      </c>
      <c r="T273">
        <v>-13973</v>
      </c>
      <c r="U273">
        <v>-19121</v>
      </c>
      <c r="V273">
        <v>-15685</v>
      </c>
      <c r="W273">
        <v>-15738</v>
      </c>
      <c r="X273">
        <v>-13372</v>
      </c>
      <c r="Y273">
        <v>-10481</v>
      </c>
      <c r="Z273">
        <v>-9680</v>
      </c>
      <c r="AA273">
        <v>-14527</v>
      </c>
      <c r="AB273">
        <v>-19300</v>
      </c>
      <c r="AC273">
        <v>-16741</v>
      </c>
      <c r="AD273">
        <v>-19503</v>
      </c>
      <c r="AE273">
        <v>-19729.8901077513</v>
      </c>
      <c r="AF273">
        <v>-21320.1933923826</v>
      </c>
      <c r="AG273">
        <v>-23528.463020759002</v>
      </c>
      <c r="AH273">
        <v>-24899.123229366302</v>
      </c>
      <c r="AI273">
        <v>-26346.349291769999</v>
      </c>
      <c r="AJ273">
        <v>-27932.108988294302</v>
      </c>
      <c r="AL273">
        <v>-79.012</v>
      </c>
      <c r="AM273">
        <v>-59.05</v>
      </c>
      <c r="AN273">
        <v>-57</v>
      </c>
      <c r="AO273">
        <v>-37.585999999999999</v>
      </c>
      <c r="AP273">
        <v>105.28400000000001</v>
      </c>
      <c r="AQ273">
        <v>-17.467500000000001</v>
      </c>
      <c r="AR273">
        <v>-26</v>
      </c>
      <c r="AS273">
        <v>-27.702000000000002</v>
      </c>
      <c r="AT273">
        <v>-14.7</v>
      </c>
      <c r="AU273">
        <v>-14.5</v>
      </c>
      <c r="AV273">
        <v>-7</v>
      </c>
      <c r="AW273">
        <v>-3</v>
      </c>
      <c r="AX273">
        <v>-3</v>
      </c>
      <c r="AY273">
        <v>-6</v>
      </c>
      <c r="AZ273">
        <v>-7</v>
      </c>
      <c r="BA273">
        <v>-12</v>
      </c>
      <c r="BB273">
        <v>-24</v>
      </c>
      <c r="BC273">
        <v>-21</v>
      </c>
      <c r="BD273">
        <v>-26</v>
      </c>
      <c r="BE273">
        <v>-42</v>
      </c>
      <c r="BF273">
        <v>-133</v>
      </c>
      <c r="BG273">
        <v>-145</v>
      </c>
      <c r="BH273">
        <v>-153</v>
      </c>
      <c r="BI273">
        <v>-148</v>
      </c>
      <c r="BJ273">
        <v>-266</v>
      </c>
      <c r="BK273">
        <v>-195</v>
      </c>
      <c r="BL273">
        <v>-189</v>
      </c>
      <c r="BM273">
        <v>-179</v>
      </c>
      <c r="BN273">
        <v>-440</v>
      </c>
      <c r="BO273">
        <v>-362</v>
      </c>
      <c r="BP273">
        <v>-394</v>
      </c>
      <c r="BQ273">
        <v>-315</v>
      </c>
      <c r="BR273">
        <v>-758</v>
      </c>
      <c r="BS273">
        <v>-509</v>
      </c>
      <c r="BT273">
        <v>-522</v>
      </c>
      <c r="BU273">
        <v>-1039</v>
      </c>
      <c r="BV273">
        <v>-1004</v>
      </c>
      <c r="BW273">
        <v>-766</v>
      </c>
      <c r="BX273">
        <v>-864</v>
      </c>
      <c r="BY273">
        <v>-1197</v>
      </c>
      <c r="BZ273">
        <v>-1380</v>
      </c>
      <c r="CA273">
        <v>-955</v>
      </c>
      <c r="CB273">
        <v>-1039</v>
      </c>
      <c r="CC273">
        <v>-1153</v>
      </c>
      <c r="CD273">
        <v>-1959</v>
      </c>
      <c r="CE273">
        <v>-1913</v>
      </c>
      <c r="CF273">
        <v>-2243</v>
      </c>
      <c r="CG273">
        <v>-2168</v>
      </c>
      <c r="CH273">
        <v>-4413</v>
      </c>
      <c r="CI273">
        <v>-3910</v>
      </c>
      <c r="CJ273">
        <v>-3037</v>
      </c>
      <c r="CK273">
        <v>-2670</v>
      </c>
      <c r="CL273">
        <v>-4594</v>
      </c>
      <c r="CM273">
        <v>-3358</v>
      </c>
      <c r="CN273">
        <v>-2535</v>
      </c>
      <c r="CO273">
        <v>-2631</v>
      </c>
      <c r="CP273">
        <v>-4637</v>
      </c>
      <c r="CQ273">
        <v>-3595</v>
      </c>
      <c r="CR273">
        <v>-2736</v>
      </c>
      <c r="CS273">
        <v>-3005</v>
      </c>
      <c r="CT273">
        <v>-6392</v>
      </c>
      <c r="CU273">
        <v>-4995</v>
      </c>
      <c r="CV273">
        <v>-3796</v>
      </c>
      <c r="CW273">
        <v>-3938</v>
      </c>
      <c r="CX273">
        <v>-6212</v>
      </c>
      <c r="CY273">
        <v>-3626</v>
      </c>
      <c r="CZ273">
        <v>-2673</v>
      </c>
      <c r="DA273">
        <v>-3174</v>
      </c>
      <c r="DB273">
        <v>-6289</v>
      </c>
      <c r="DC273">
        <v>-3655</v>
      </c>
      <c r="DD273">
        <v>-2591</v>
      </c>
      <c r="DE273">
        <v>-3203</v>
      </c>
      <c r="DF273">
        <v>-6965</v>
      </c>
      <c r="DG273">
        <v>-2346</v>
      </c>
      <c r="DH273">
        <v>-1765</v>
      </c>
      <c r="DI273">
        <v>-2296</v>
      </c>
      <c r="DJ273">
        <v>-3941</v>
      </c>
      <c r="DK273">
        <v>-2232</v>
      </c>
      <c r="DL273">
        <v>-1867</v>
      </c>
      <c r="DM273">
        <v>-2441</v>
      </c>
      <c r="DN273">
        <v>-3682</v>
      </c>
      <c r="DO273">
        <v>-1886</v>
      </c>
      <c r="DP273">
        <v>-1884</v>
      </c>
      <c r="DQ273">
        <v>-2228</v>
      </c>
      <c r="DR273">
        <v>-4824</v>
      </c>
      <c r="DS273">
        <v>-4381</v>
      </c>
      <c r="DT273">
        <v>-2625</v>
      </c>
      <c r="DU273">
        <v>-2697</v>
      </c>
      <c r="DV273">
        <v>-6611</v>
      </c>
      <c r="DW273">
        <v>-5129</v>
      </c>
      <c r="DX273">
        <v>-3624</v>
      </c>
      <c r="DY273">
        <v>-3936</v>
      </c>
      <c r="DZ273">
        <v>-5625</v>
      </c>
      <c r="EA273">
        <v>-4222</v>
      </c>
      <c r="EB273">
        <v>-2852</v>
      </c>
      <c r="EC273">
        <v>-4042</v>
      </c>
      <c r="ED273">
        <v>-6407</v>
      </c>
      <c r="EE273">
        <v>-4422</v>
      </c>
      <c r="EF273">
        <v>-4046</v>
      </c>
      <c r="EG273">
        <v>-4628</v>
      </c>
      <c r="EH273">
        <v>-6254</v>
      </c>
      <c r="EI273">
        <v>-4530</v>
      </c>
      <c r="EJ273">
        <v>-4137.18303518019</v>
      </c>
      <c r="EK273">
        <v>-4808.7070725710801</v>
      </c>
      <c r="EL273">
        <v>-6838.0854070196201</v>
      </c>
      <c r="EM273">
        <v>-4760.2341842597898</v>
      </c>
      <c r="EN273">
        <v>-4306.9258708146899</v>
      </c>
      <c r="EO273">
        <v>-5414.9479302884502</v>
      </c>
      <c r="EP273">
        <v>-7901.1039115908397</v>
      </c>
      <c r="EQ273">
        <v>-5243.3466432570904</v>
      </c>
      <c r="ER273">
        <v>-4693.2569889051401</v>
      </c>
      <c r="ES273">
        <v>-5690.7554770059696</v>
      </c>
      <c r="ET273">
        <v>-8169.75293245596</v>
      </c>
      <c r="EU273">
        <v>-5688.3665657125002</v>
      </c>
      <c r="EV273">
        <v>-5042.82223224873</v>
      </c>
      <c r="EW273">
        <v>-5998.1814989491004</v>
      </c>
      <c r="EX273">
        <v>-8671.9983992101206</v>
      </c>
      <c r="EY273">
        <v>-5863.9868441449098</v>
      </c>
      <c r="EZ273">
        <v>-5327.9074525126098</v>
      </c>
      <c r="FA273">
        <v>-6482.4565959024103</v>
      </c>
      <c r="FB273">
        <v>-9117.0611232719493</v>
      </c>
      <c r="FC273">
        <v>-6204.8664666196501</v>
      </c>
      <c r="FD273">
        <v>-5652.7452998611097</v>
      </c>
      <c r="FE273">
        <v>-6957.4360985415897</v>
      </c>
    </row>
    <row r="274" spans="2:161">
      <c r="B274" t="s">
        <v>336</v>
      </c>
      <c r="C274" t="s">
        <v>596</v>
      </c>
      <c r="D274" t="str">
        <f t="shared" si="7"/>
      </c>
    </row>
    <row r="275" spans="2:161">
      <c r="B275" t="s">
        <v>597</v>
      </c>
      <c r="C275" t="s">
        <v>598</v>
      </c>
      <c r="D275" t="str">
        <f t="shared" si="7"/>
      </c>
      <c r="F275">
        <v>588.952</v>
      </c>
      <c r="G275">
        <v>-81.885499999999993</v>
      </c>
      <c r="H275">
        <v>117.9</v>
      </c>
      <c r="I275">
        <v>76</v>
      </c>
      <c r="J275">
        <v>293</v>
      </c>
      <c r="K275">
        <v>1229</v>
      </c>
      <c r="L275">
        <v>1989</v>
      </c>
      <c r="M275">
        <v>3495</v>
      </c>
      <c r="N275">
        <v>6119</v>
      </c>
      <c r="O275">
        <v>8235</v>
      </c>
      <c r="P275">
        <v>14013</v>
      </c>
      <c r="Q275">
        <v>25922</v>
      </c>
      <c r="R275">
        <v>41733</v>
      </c>
      <c r="S275">
        <v>37037</v>
      </c>
      <c r="T275">
        <v>39510</v>
      </c>
      <c r="U275">
        <v>53394</v>
      </c>
      <c r="V275">
        <v>45687</v>
      </c>
      <c r="W275">
        <v>48351</v>
      </c>
      <c r="X275">
        <v>59531</v>
      </c>
      <c r="Y275">
        <v>55256</v>
      </c>
      <c r="Z275">
        <v>57411</v>
      </c>
      <c r="AA275">
        <v>94680</v>
      </c>
      <c r="AB275">
        <v>99803</v>
      </c>
      <c r="AC275">
        <v>96995</v>
      </c>
      <c r="AD275">
        <v>103982</v>
      </c>
      <c r="AE275">
        <v>108075.92306569401</v>
      </c>
      <c r="AF275">
        <v>111931.01531000801</v>
      </c>
      <c r="AG275">
        <v>123524.430858985</v>
      </c>
      <c r="AH275">
        <v>130720.396954173</v>
      </c>
      <c r="AI275">
        <v>138318.33378179299</v>
      </c>
      <c r="AJ275">
        <v>146643.57218854499</v>
      </c>
      <c r="AL275">
        <v>158.488</v>
      </c>
      <c r="AM275">
        <v>159.94999999999999</v>
      </c>
      <c r="AN275">
        <v>162.6</v>
      </c>
      <c r="AO275">
        <v>107.914</v>
      </c>
      <c r="AP275">
        <v>-247.71600000000001</v>
      </c>
      <c r="AQ275">
        <v>39.532499999999999</v>
      </c>
      <c r="AR275">
        <v>61</v>
      </c>
      <c r="AS275">
        <v>65.298000000000002</v>
      </c>
      <c r="AT275">
        <v>39.299999999999997</v>
      </c>
      <c r="AU275">
        <v>39.6</v>
      </c>
      <c r="AV275">
        <v>32</v>
      </c>
      <c r="AW275">
        <v>7</v>
      </c>
      <c r="AX275">
        <v>12</v>
      </c>
      <c r="AY275">
        <v>16</v>
      </c>
      <c r="AZ275">
        <v>19</v>
      </c>
      <c r="BA275">
        <v>29</v>
      </c>
      <c r="BB275">
        <v>63</v>
      </c>
      <c r="BC275">
        <v>53</v>
      </c>
      <c r="BD275">
        <v>67</v>
      </c>
      <c r="BE275">
        <v>110</v>
      </c>
      <c r="BF275">
        <v>293</v>
      </c>
      <c r="BG275">
        <v>288</v>
      </c>
      <c r="BH275">
        <v>319</v>
      </c>
      <c r="BI275">
        <v>329</v>
      </c>
      <c r="BJ275">
        <v>565</v>
      </c>
      <c r="BK275">
        <v>410</v>
      </c>
      <c r="BL275">
        <v>472</v>
      </c>
      <c r="BM275">
        <v>542</v>
      </c>
      <c r="BN275">
        <v>1011</v>
      </c>
      <c r="BO275">
        <v>774</v>
      </c>
      <c r="BP275">
        <v>840</v>
      </c>
      <c r="BQ275">
        <v>870</v>
      </c>
      <c r="BR275">
        <v>1640</v>
      </c>
      <c r="BS275">
        <v>1101</v>
      </c>
      <c r="BT275">
        <v>1131</v>
      </c>
      <c r="BU275">
        <v>2247</v>
      </c>
      <c r="BV275">
        <v>2255</v>
      </c>
      <c r="BW275">
        <v>1620</v>
      </c>
      <c r="BX275">
        <v>1828</v>
      </c>
      <c r="BY275">
        <v>2532</v>
      </c>
      <c r="BZ275">
        <v>3378</v>
      </c>
      <c r="CA275">
        <v>3074</v>
      </c>
      <c r="CB275">
        <v>3253</v>
      </c>
      <c r="CC275">
        <v>4308</v>
      </c>
      <c r="CD275">
        <v>6004</v>
      </c>
      <c r="CE275">
        <v>5987</v>
      </c>
      <c r="CF275">
        <v>7308</v>
      </c>
      <c r="CG275">
        <v>6623</v>
      </c>
      <c r="CH275">
        <v>13064</v>
      </c>
      <c r="CI275">
        <v>11622</v>
      </c>
      <c r="CJ275">
        <v>8824</v>
      </c>
      <c r="CK275">
        <v>8223</v>
      </c>
      <c r="CL275">
        <v>13078</v>
      </c>
      <c r="CM275">
        <v>9547</v>
      </c>
      <c r="CN275">
        <v>6900</v>
      </c>
      <c r="CO275">
        <v>7512</v>
      </c>
      <c r="CP275">
        <v>13072</v>
      </c>
      <c r="CQ275">
        <v>10223</v>
      </c>
      <c r="CR275">
        <v>7748</v>
      </c>
      <c r="CS275">
        <v>8467</v>
      </c>
      <c r="CT275">
        <v>18024</v>
      </c>
      <c r="CU275">
        <v>13569</v>
      </c>
      <c r="CV275">
        <v>10677</v>
      </c>
      <c r="CW275">
        <v>11124</v>
      </c>
      <c r="CX275">
        <v>18361</v>
      </c>
      <c r="CY275">
        <v>10516</v>
      </c>
      <c r="CZ275">
        <v>7796</v>
      </c>
      <c r="DA275">
        <v>9014</v>
      </c>
      <c r="DB275">
        <v>17891</v>
      </c>
      <c r="DC275">
        <v>11029</v>
      </c>
      <c r="DD275">
        <v>8717</v>
      </c>
      <c r="DE275">
        <v>10714</v>
      </c>
      <c r="DF275">
        <v>20065</v>
      </c>
      <c r="DG275">
        <v>13822</v>
      </c>
      <c r="DH275">
        <v>11519</v>
      </c>
      <c r="DI275">
        <v>14125</v>
      </c>
      <c r="DJ275">
        <v>19965</v>
      </c>
      <c r="DK275">
        <v>11561</v>
      </c>
      <c r="DL275">
        <v>10044</v>
      </c>
      <c r="DM275">
        <v>13686</v>
      </c>
      <c r="DN275">
        <v>22236</v>
      </c>
      <c r="DO275">
        <v>11249</v>
      </c>
      <c r="DP275">
        <v>11253</v>
      </c>
      <c r="DQ275">
        <v>12673</v>
      </c>
      <c r="DR275">
        <v>28755</v>
      </c>
      <c r="DS275">
        <v>23630</v>
      </c>
      <c r="DT275">
        <v>21744</v>
      </c>
      <c r="DU275">
        <v>20551</v>
      </c>
      <c r="DV275">
        <v>34630</v>
      </c>
      <c r="DW275">
        <v>25010</v>
      </c>
      <c r="DX275">
        <v>19442</v>
      </c>
      <c r="DY275">
        <v>20721</v>
      </c>
      <c r="DZ275">
        <v>29998</v>
      </c>
      <c r="EA275">
        <v>24160</v>
      </c>
      <c r="EB275">
        <v>19881</v>
      </c>
      <c r="EC275">
        <v>22956</v>
      </c>
      <c r="ED275">
        <v>33916</v>
      </c>
      <c r="EE275">
        <v>23636</v>
      </c>
      <c r="EF275">
        <v>21448</v>
      </c>
      <c r="EG275">
        <v>24982</v>
      </c>
      <c r="EH275">
        <v>36330</v>
      </c>
      <c r="EI275">
        <v>24780</v>
      </c>
      <c r="EJ275">
        <v>21720.210934695999</v>
      </c>
      <c r="EK275">
        <v>25245.712130998199</v>
      </c>
      <c r="EL275">
        <v>35899.948386853001</v>
      </c>
      <c r="EM275">
        <v>24991.229467363901</v>
      </c>
      <c r="EN275">
        <v>22611.3608217771</v>
      </c>
      <c r="EO275">
        <v>28428.4766340143</v>
      </c>
      <c r="EP275">
        <v>41480.795535851903</v>
      </c>
      <c r="EQ275">
        <v>27527.569877099701</v>
      </c>
      <c r="ER275">
        <v>24639.599191752</v>
      </c>
      <c r="ES275">
        <v>29876.466254281298</v>
      </c>
      <c r="ET275">
        <v>42891.202895393799</v>
      </c>
      <c r="EU275">
        <v>29863.924469990601</v>
      </c>
      <c r="EV275">
        <v>26474.8167193058</v>
      </c>
      <c r="EW275">
        <v>31490.4528694828</v>
      </c>
      <c r="EX275">
        <v>45527.991595853098</v>
      </c>
      <c r="EY275">
        <v>30785.930931760799</v>
      </c>
      <c r="EZ275">
        <v>27971.514125691199</v>
      </c>
      <c r="FA275">
        <v>34032.897128487697</v>
      </c>
      <c r="FB275">
        <v>47864.570897177698</v>
      </c>
      <c r="FC275">
        <v>32575.548949753102</v>
      </c>
      <c r="FD275">
        <v>29676.912824270901</v>
      </c>
      <c r="FE275">
        <v>36526.539517343401</v>
      </c>
    </row>
    <row r="276" spans="2:161">
      <c r="B276" t="s">
        <v>599</v>
      </c>
      <c r="C276" t="s">
        <v>600</v>
      </c>
      <c r="D276" t="str">
        <f t="shared" si="7"/>
      </c>
    </row>
    <row r="277" spans="2:161">
      <c r="B277" t="s">
        <v>601</v>
      </c>
      <c r="C277" t="s">
        <v>602</v>
      </c>
      <c r="D277" t="str">
        <f t="shared" si="7"/>
      </c>
      <c r="F277">
        <v>588.952</v>
      </c>
      <c r="G277">
        <v>-81.885499999999993</v>
      </c>
      <c r="H277">
        <v>117.9</v>
      </c>
      <c r="I277">
        <v>76</v>
      </c>
      <c r="J277">
        <v>293</v>
      </c>
      <c r="K277">
        <v>1229</v>
      </c>
      <c r="L277">
        <v>1989</v>
      </c>
      <c r="M277">
        <v>3495</v>
      </c>
      <c r="N277">
        <v>6119</v>
      </c>
      <c r="O277">
        <v>8235</v>
      </c>
      <c r="P277">
        <v>14013</v>
      </c>
      <c r="Q277">
        <v>25922</v>
      </c>
      <c r="R277">
        <v>41733</v>
      </c>
      <c r="S277">
        <v>37037</v>
      </c>
      <c r="T277">
        <v>39510</v>
      </c>
      <c r="U277">
        <v>53394</v>
      </c>
      <c r="V277">
        <v>45687</v>
      </c>
      <c r="W277">
        <v>48351</v>
      </c>
      <c r="X277">
        <v>59531</v>
      </c>
      <c r="Y277">
        <v>55256</v>
      </c>
      <c r="Z277">
        <v>57411</v>
      </c>
      <c r="AA277">
        <v>94680</v>
      </c>
      <c r="AB277">
        <v>99803</v>
      </c>
      <c r="AC277">
        <v>96995</v>
      </c>
      <c r="AD277">
        <v>103982</v>
      </c>
      <c r="AE277">
        <v>108075.92306569401</v>
      </c>
      <c r="AF277">
        <v>111931.01531000801</v>
      </c>
      <c r="AG277">
        <v>123524.430858985</v>
      </c>
      <c r="AH277">
        <v>130720.396954173</v>
      </c>
      <c r="AI277">
        <v>138318.33378179299</v>
      </c>
      <c r="AJ277">
        <v>146643.57218854499</v>
      </c>
      <c r="AL277">
        <v>158.488</v>
      </c>
      <c r="AM277">
        <v>159.94999999999999</v>
      </c>
      <c r="AN277">
        <v>162.6</v>
      </c>
      <c r="AO277">
        <v>107.914</v>
      </c>
      <c r="AP277">
        <v>-247.71600000000001</v>
      </c>
      <c r="AQ277">
        <v>39.532499999999999</v>
      </c>
      <c r="AR277">
        <v>61</v>
      </c>
      <c r="AS277">
        <v>65.298000000000002</v>
      </c>
      <c r="AT277">
        <v>39.299999999999997</v>
      </c>
      <c r="AU277">
        <v>39.6</v>
      </c>
      <c r="AV277">
        <v>32</v>
      </c>
      <c r="AW277">
        <v>7</v>
      </c>
      <c r="AX277">
        <v>12</v>
      </c>
      <c r="AY277">
        <v>16</v>
      </c>
      <c r="AZ277">
        <v>19</v>
      </c>
      <c r="BA277">
        <v>29</v>
      </c>
      <c r="BB277">
        <v>63</v>
      </c>
      <c r="BC277">
        <v>53</v>
      </c>
      <c r="BD277">
        <v>67</v>
      </c>
      <c r="BE277">
        <v>110</v>
      </c>
      <c r="BF277">
        <v>293</v>
      </c>
      <c r="BG277">
        <v>288</v>
      </c>
      <c r="BH277">
        <v>319</v>
      </c>
      <c r="BI277">
        <v>329</v>
      </c>
      <c r="BJ277">
        <v>565</v>
      </c>
      <c r="BK277">
        <v>410</v>
      </c>
      <c r="BL277">
        <v>472</v>
      </c>
      <c r="BM277">
        <v>542</v>
      </c>
      <c r="BN277">
        <v>1011</v>
      </c>
      <c r="BO277">
        <v>774</v>
      </c>
      <c r="BP277">
        <v>840</v>
      </c>
      <c r="BQ277">
        <v>870</v>
      </c>
      <c r="BR277">
        <v>1640</v>
      </c>
      <c r="BS277">
        <v>1101</v>
      </c>
      <c r="BT277">
        <v>1131</v>
      </c>
      <c r="BU277">
        <v>2247</v>
      </c>
      <c r="BV277">
        <v>2255</v>
      </c>
      <c r="BW277">
        <v>1620</v>
      </c>
      <c r="BX277">
        <v>1828</v>
      </c>
      <c r="BY277">
        <v>2532</v>
      </c>
      <c r="BZ277">
        <v>3378</v>
      </c>
      <c r="CA277">
        <v>3074</v>
      </c>
      <c r="CB277">
        <v>3253</v>
      </c>
      <c r="CC277">
        <v>4308</v>
      </c>
      <c r="CD277">
        <v>6004</v>
      </c>
      <c r="CE277">
        <v>5987</v>
      </c>
      <c r="CF277">
        <v>7308</v>
      </c>
      <c r="CG277">
        <v>6623</v>
      </c>
      <c r="CH277">
        <v>13064</v>
      </c>
      <c r="CI277">
        <v>11622</v>
      </c>
      <c r="CJ277">
        <v>8824</v>
      </c>
      <c r="CK277">
        <v>8223</v>
      </c>
      <c r="CL277">
        <v>13078</v>
      </c>
      <c r="CM277">
        <v>9547</v>
      </c>
      <c r="CN277">
        <v>6900</v>
      </c>
      <c r="CO277">
        <v>7512</v>
      </c>
      <c r="CP277">
        <v>13072</v>
      </c>
      <c r="CQ277">
        <v>10223</v>
      </c>
      <c r="CR277">
        <v>7748</v>
      </c>
      <c r="CS277">
        <v>8467</v>
      </c>
      <c r="CT277">
        <v>18024</v>
      </c>
      <c r="CU277">
        <v>13569</v>
      </c>
      <c r="CV277">
        <v>10677</v>
      </c>
      <c r="CW277">
        <v>11124</v>
      </c>
      <c r="CX277">
        <v>18361</v>
      </c>
      <c r="CY277">
        <v>10516</v>
      </c>
      <c r="CZ277">
        <v>7796</v>
      </c>
      <c r="DA277">
        <v>9014</v>
      </c>
      <c r="DB277">
        <v>17891</v>
      </c>
      <c r="DC277">
        <v>11029</v>
      </c>
      <c r="DD277">
        <v>8717</v>
      </c>
      <c r="DE277">
        <v>10714</v>
      </c>
      <c r="DF277">
        <v>20065</v>
      </c>
      <c r="DG277">
        <v>13822</v>
      </c>
      <c r="DH277">
        <v>11519</v>
      </c>
      <c r="DI277">
        <v>14125</v>
      </c>
      <c r="DJ277">
        <v>19965</v>
      </c>
      <c r="DK277">
        <v>11561</v>
      </c>
      <c r="DL277">
        <v>10044</v>
      </c>
      <c r="DM277">
        <v>13686</v>
      </c>
      <c r="DN277">
        <v>22236</v>
      </c>
      <c r="DO277">
        <v>11249</v>
      </c>
      <c r="DP277">
        <v>11253</v>
      </c>
      <c r="DQ277">
        <v>12673</v>
      </c>
      <c r="DR277">
        <v>28755</v>
      </c>
      <c r="DS277">
        <v>23630</v>
      </c>
      <c r="DT277">
        <v>21744</v>
      </c>
      <c r="DU277">
        <v>20551</v>
      </c>
      <c r="DV277">
        <v>34630</v>
      </c>
      <c r="DW277">
        <v>25010</v>
      </c>
      <c r="DX277">
        <v>19442</v>
      </c>
      <c r="DY277">
        <v>20721</v>
      </c>
      <c r="DZ277">
        <v>29998</v>
      </c>
      <c r="EA277">
        <v>24160</v>
      </c>
      <c r="EB277">
        <v>19881</v>
      </c>
      <c r="EC277">
        <v>22956</v>
      </c>
      <c r="ED277">
        <v>33916</v>
      </c>
      <c r="EE277">
        <v>23636</v>
      </c>
      <c r="EF277">
        <v>21448</v>
      </c>
      <c r="EG277">
        <v>24982</v>
      </c>
      <c r="EH277">
        <v>36330</v>
      </c>
      <c r="EI277">
        <v>24780</v>
      </c>
      <c r="EJ277">
        <v>21720.210934695999</v>
      </c>
      <c r="EK277">
        <v>25245.712130998199</v>
      </c>
      <c r="EL277">
        <v>35899.948386853001</v>
      </c>
      <c r="EM277">
        <v>24991.229467363901</v>
      </c>
      <c r="EN277">
        <v>22611.3608217771</v>
      </c>
      <c r="EO277">
        <v>28428.4766340143</v>
      </c>
      <c r="EP277">
        <v>41480.795535851903</v>
      </c>
      <c r="EQ277">
        <v>27527.569877099701</v>
      </c>
      <c r="ER277">
        <v>24639.599191752</v>
      </c>
      <c r="ES277">
        <v>29876.466254281298</v>
      </c>
      <c r="ET277">
        <v>42891.202895393799</v>
      </c>
      <c r="EU277">
        <v>29863.924469990601</v>
      </c>
      <c r="EV277">
        <v>26474.8167193058</v>
      </c>
      <c r="EW277">
        <v>31490.4528694828</v>
      </c>
      <c r="EX277">
        <v>45527.991595853098</v>
      </c>
      <c r="EY277">
        <v>30785.930931760799</v>
      </c>
      <c r="EZ277">
        <v>27971.514125691199</v>
      </c>
      <c r="FA277">
        <v>34032.897128487697</v>
      </c>
      <c r="FB277">
        <v>47864.570897177698</v>
      </c>
      <c r="FC277">
        <v>32575.548949753102</v>
      </c>
      <c r="FD277">
        <v>29676.912824270901</v>
      </c>
      <c r="FE277">
        <v>36526.539517343401</v>
      </c>
    </row>
    <row r="278" spans="2:161">
      <c r="B278" t="s">
        <v>79</v>
      </c>
      <c r="C278" t="s">
        <v>603</v>
      </c>
      <c r="D278" t="str">
        <f t="shared" si="7"/>
      </c>
      <c r="F278">
        <v>197</v>
      </c>
      <c r="G278">
        <v>57</v>
      </c>
      <c r="H278">
        <v>-53</v>
      </c>
      <c r="I278">
        <v>-7</v>
      </c>
      <c r="J278">
        <v>-17</v>
      </c>
      <c r="K278">
        <v>99</v>
      </c>
      <c r="AL278">
        <v>25</v>
      </c>
      <c r="AM278">
        <v>73</v>
      </c>
      <c r="AN278">
        <v>37</v>
      </c>
      <c r="AO278">
        <v>62</v>
      </c>
      <c r="AP278">
        <v>53</v>
      </c>
      <c r="AQ278">
        <v>3</v>
      </c>
      <c r="AS278">
        <v>1</v>
      </c>
      <c r="AT278">
        <v>-1</v>
      </c>
      <c r="AW278">
        <v>-52</v>
      </c>
      <c r="AX278">
        <v>-20</v>
      </c>
      <c r="AY278">
        <v>-2</v>
      </c>
      <c r="BA278">
        <v>15</v>
      </c>
      <c r="BC278">
        <v>-7</v>
      </c>
      <c r="BD278">
        <v>-6</v>
      </c>
      <c r="BE278">
        <v>-4</v>
      </c>
      <c r="BI278">
        <v>99</v>
      </c>
      <c r="EG278">
        <v>-10246</v>
      </c>
    </row>
    <row r="279" spans="2:161">
      <c r="B279" t="s">
        <v>604</v>
      </c>
      <c r="C279" t="s">
        <v>605</v>
      </c>
      <c r="D279" t="str">
        <f t="shared" si="7"/>
      </c>
      <c r="F279">
        <v>785.952</v>
      </c>
      <c r="G279">
        <v>-24.8855</v>
      </c>
      <c r="H279">
        <v>64.900000000000006</v>
      </c>
      <c r="I279">
        <v>69</v>
      </c>
      <c r="J279">
        <v>276</v>
      </c>
      <c r="K279">
        <v>1328</v>
      </c>
      <c r="L279">
        <v>1989</v>
      </c>
      <c r="M279">
        <v>3495</v>
      </c>
      <c r="N279">
        <v>6119</v>
      </c>
      <c r="O279">
        <v>8235</v>
      </c>
      <c r="P279">
        <v>14013</v>
      </c>
      <c r="Q279">
        <v>25922</v>
      </c>
      <c r="R279">
        <v>41733</v>
      </c>
      <c r="S279">
        <v>37037</v>
      </c>
      <c r="T279">
        <v>39510</v>
      </c>
      <c r="U279">
        <v>53394</v>
      </c>
      <c r="V279">
        <v>45687</v>
      </c>
      <c r="W279">
        <v>48351</v>
      </c>
      <c r="X279">
        <v>59531</v>
      </c>
      <c r="Y279">
        <v>55256</v>
      </c>
      <c r="Z279">
        <v>57411</v>
      </c>
      <c r="AA279">
        <v>94680</v>
      </c>
      <c r="AB279">
        <v>99803</v>
      </c>
      <c r="AC279">
        <v>96995</v>
      </c>
      <c r="AD279">
        <v>93736</v>
      </c>
      <c r="AE279">
        <v>108075.92306569401</v>
      </c>
      <c r="AF279">
        <v>111931.01531000801</v>
      </c>
      <c r="AG279">
        <v>123524.430858985</v>
      </c>
      <c r="AH279">
        <v>130720.396954173</v>
      </c>
      <c r="AI279">
        <v>138318.33378179299</v>
      </c>
      <c r="AJ279">
        <v>146643.57218854499</v>
      </c>
      <c r="AL279">
        <v>183.488</v>
      </c>
      <c r="AM279">
        <v>232.95</v>
      </c>
      <c r="AN279">
        <v>199.6</v>
      </c>
      <c r="AO279">
        <v>169.91399999999999</v>
      </c>
      <c r="AP279">
        <v>-194.71600000000001</v>
      </c>
      <c r="AQ279">
        <v>42.532499999999999</v>
      </c>
      <c r="AR279">
        <v>61</v>
      </c>
      <c r="AS279">
        <v>66.298000000000002</v>
      </c>
      <c r="AT279">
        <v>38.299999999999997</v>
      </c>
      <c r="AU279">
        <v>39.6</v>
      </c>
      <c r="AV279">
        <v>32</v>
      </c>
      <c r="AW279">
        <v>-45</v>
      </c>
      <c r="AX279">
        <v>-8</v>
      </c>
      <c r="AY279">
        <v>14</v>
      </c>
      <c r="AZ279">
        <v>19</v>
      </c>
      <c r="BA279">
        <v>44</v>
      </c>
      <c r="BB279">
        <v>63</v>
      </c>
      <c r="BC279">
        <v>46</v>
      </c>
      <c r="BD279">
        <v>61</v>
      </c>
      <c r="BE279">
        <v>106</v>
      </c>
      <c r="BF279">
        <v>293</v>
      </c>
      <c r="BG279">
        <v>288</v>
      </c>
      <c r="BH279">
        <v>319</v>
      </c>
      <c r="BI279">
        <v>428</v>
      </c>
      <c r="BJ279">
        <v>565</v>
      </c>
      <c r="BK279">
        <v>410</v>
      </c>
      <c r="BL279">
        <v>472</v>
      </c>
      <c r="BM279">
        <v>542</v>
      </c>
      <c r="BN279">
        <v>1011</v>
      </c>
      <c r="BO279">
        <v>774</v>
      </c>
      <c r="BP279">
        <v>840</v>
      </c>
      <c r="BQ279">
        <v>870</v>
      </c>
      <c r="BR279">
        <v>1640</v>
      </c>
      <c r="BS279">
        <v>1101</v>
      </c>
      <c r="BT279">
        <v>1131</v>
      </c>
      <c r="BU279">
        <v>2247</v>
      </c>
      <c r="BV279">
        <v>2255</v>
      </c>
      <c r="BW279">
        <v>1620</v>
      </c>
      <c r="BX279">
        <v>1828</v>
      </c>
      <c r="BY279">
        <v>2532</v>
      </c>
      <c r="BZ279">
        <v>3378</v>
      </c>
      <c r="CA279">
        <v>3074</v>
      </c>
      <c r="CB279">
        <v>3253</v>
      </c>
      <c r="CC279">
        <v>4308</v>
      </c>
      <c r="CD279">
        <v>6004</v>
      </c>
      <c r="CE279">
        <v>5987</v>
      </c>
      <c r="CF279">
        <v>7308</v>
      </c>
      <c r="CG279">
        <v>6623</v>
      </c>
      <c r="CH279">
        <v>13064</v>
      </c>
      <c r="CI279">
        <v>11622</v>
      </c>
      <c r="CJ279">
        <v>8824</v>
      </c>
      <c r="CK279">
        <v>8223</v>
      </c>
      <c r="CL279">
        <v>13078</v>
      </c>
      <c r="CM279">
        <v>9547</v>
      </c>
      <c r="CN279">
        <v>6900</v>
      </c>
      <c r="CO279">
        <v>7512</v>
      </c>
      <c r="CP279">
        <v>13072</v>
      </c>
      <c r="CQ279">
        <v>10223</v>
      </c>
      <c r="CR279">
        <v>7748</v>
      </c>
      <c r="CS279">
        <v>8467</v>
      </c>
      <c r="CT279">
        <v>18024</v>
      </c>
      <c r="CU279">
        <v>13569</v>
      </c>
      <c r="CV279">
        <v>10677</v>
      </c>
      <c r="CW279">
        <v>11124</v>
      </c>
      <c r="CX279">
        <v>18361</v>
      </c>
      <c r="CY279">
        <v>10516</v>
      </c>
      <c r="CZ279">
        <v>7796</v>
      </c>
      <c r="DA279">
        <v>9014</v>
      </c>
      <c r="DB279">
        <v>17891</v>
      </c>
      <c r="DC279">
        <v>11029</v>
      </c>
      <c r="DD279">
        <v>8717</v>
      </c>
      <c r="DE279">
        <v>10714</v>
      </c>
      <c r="DF279">
        <v>20065</v>
      </c>
      <c r="DG279">
        <v>13822</v>
      </c>
      <c r="DH279">
        <v>11519</v>
      </c>
      <c r="DI279">
        <v>14125</v>
      </c>
      <c r="DJ279">
        <v>19965</v>
      </c>
      <c r="DK279">
        <v>11561</v>
      </c>
      <c r="DL279">
        <v>10044</v>
      </c>
      <c r="DM279">
        <v>13686</v>
      </c>
      <c r="DN279">
        <v>22236</v>
      </c>
      <c r="DO279">
        <v>11249</v>
      </c>
      <c r="DP279">
        <v>11253</v>
      </c>
      <c r="DQ279">
        <v>12673</v>
      </c>
      <c r="DR279">
        <v>28755</v>
      </c>
      <c r="DS279">
        <v>23630</v>
      </c>
      <c r="DT279">
        <v>21744</v>
      </c>
      <c r="DU279">
        <v>20551</v>
      </c>
      <c r="DV279">
        <v>34630</v>
      </c>
      <c r="DW279">
        <v>25010</v>
      </c>
      <c r="DX279">
        <v>19442</v>
      </c>
      <c r="DY279">
        <v>20721</v>
      </c>
      <c r="DZ279">
        <v>29998</v>
      </c>
      <c r="EA279">
        <v>24160</v>
      </c>
      <c r="EB279">
        <v>19881</v>
      </c>
      <c r="EC279">
        <v>22956</v>
      </c>
      <c r="ED279">
        <v>33916</v>
      </c>
      <c r="EE279">
        <v>23636</v>
      </c>
      <c r="EF279">
        <v>21448</v>
      </c>
      <c r="EG279">
        <v>14736</v>
      </c>
      <c r="EH279">
        <v>36330</v>
      </c>
      <c r="EI279">
        <v>24780</v>
      </c>
      <c r="EJ279">
        <v>21720.210934695999</v>
      </c>
      <c r="EK279">
        <v>25245.712130998199</v>
      </c>
      <c r="EL279">
        <v>35899.948386853001</v>
      </c>
      <c r="EM279">
        <v>24991.229467363901</v>
      </c>
      <c r="EN279">
        <v>22611.3608217771</v>
      </c>
      <c r="EO279">
        <v>28428.4766340143</v>
      </c>
      <c r="EP279">
        <v>41480.795535851903</v>
      </c>
      <c r="EQ279">
        <v>27527.569877099701</v>
      </c>
      <c r="ER279">
        <v>24639.599191752</v>
      </c>
      <c r="ES279">
        <v>29876.466254281298</v>
      </c>
      <c r="ET279">
        <v>42891.202895393799</v>
      </c>
      <c r="EU279">
        <v>29863.924469990601</v>
      </c>
      <c r="EV279">
        <v>26474.8167193058</v>
      </c>
      <c r="EW279">
        <v>31490.4528694828</v>
      </c>
      <c r="EX279">
        <v>45527.991595853098</v>
      </c>
      <c r="EY279">
        <v>30785.930931760799</v>
      </c>
      <c r="EZ279">
        <v>27971.514125691199</v>
      </c>
      <c r="FA279">
        <v>34032.897128487697</v>
      </c>
      <c r="FB279">
        <v>47864.570897177698</v>
      </c>
      <c r="FC279">
        <v>32575.548949753102</v>
      </c>
      <c r="FD279">
        <v>29676.912824270901</v>
      </c>
      <c r="FE279">
        <v>36526.539517343401</v>
      </c>
    </row>
    <row r="280" spans="2:161">
      <c r="B280" t="s">
        <v>606</v>
      </c>
      <c r="C280" t="s">
        <v>607</v>
      </c>
      <c r="D280" t="str">
        <f t="shared" si="7"/>
      </c>
      <c r="F280">
        <v>3.2398903606999999E-2</v>
      </c>
      <c r="G280">
        <v>-4.2296937200000002E-3</v>
      </c>
      <c r="H280">
        <v>5.9302076430000003E-3</v>
      </c>
      <c r="I280">
        <v>3.7632268760000001E-3</v>
      </c>
      <c r="J280">
        <v>1.408114836E-2</v>
      </c>
      <c r="K280">
        <v>5.4294016101000001E-2</v>
      </c>
      <c r="L280">
        <v>8.4134311862999994E-2</v>
      </c>
      <c r="M280">
        <v>0.14436978293800001</v>
      </c>
      <c r="N280">
        <v>0.247956918468</v>
      </c>
      <c r="O280">
        <v>0.329341219179</v>
      </c>
      <c r="P280">
        <v>0.55028699510800005</v>
      </c>
      <c r="Q280">
        <v>1.001694634538</v>
      </c>
      <c r="R280">
        <v>1.594266158138</v>
      </c>
      <c r="S280">
        <v>1.4294877025149999</v>
      </c>
      <c r="T280">
        <v>1.623101662239</v>
      </c>
      <c r="U280">
        <v>2.3200980043050001</v>
      </c>
      <c r="V280">
        <v>2.0877582296730002</v>
      </c>
      <c r="W280">
        <v>2.3168850515270001</v>
      </c>
      <c r="X280">
        <v>3.003353427665</v>
      </c>
      <c r="Y280">
        <v>2.9914457730619999</v>
      </c>
      <c r="Z280">
        <v>3.3085871728809999</v>
      </c>
      <c r="AA280">
        <v>5.6690293659820004</v>
      </c>
      <c r="AB280">
        <v>6.1546143427529998</v>
      </c>
      <c r="AC280">
        <v>6.1606691657299999</v>
      </c>
      <c r="AD280">
        <v>6.7768166030770001</v>
      </c>
      <c r="AE280">
        <v>7.2287251832240003</v>
      </c>
      <c r="AF280">
        <v>7.6926524794570001</v>
      </c>
      <c r="AG280">
        <v>8.7675262153010003</v>
      </c>
      <c r="AH280">
        <v>9.6007330692729997</v>
      </c>
      <c r="AI280">
        <v>10.518952802807</v>
      </c>
      <c r="AJ280">
        <v>11.552832852426</v>
      </c>
      <c r="AL280">
        <v>8.7871349709999994E-3</v>
      </c>
      <c r="AM280">
        <v>8.8062365879999997E-3</v>
      </c>
      <c r="AN280">
        <v>8.9329664920000003E-3</v>
      </c>
      <c r="AO280">
        <v>5.8934901059999999E-3</v>
      </c>
      <c r="AP280">
        <v>-1.3119494617E-2</v>
      </c>
      <c r="AQ280">
        <v>2.0398101600000002E-3</v>
      </c>
      <c r="AR280">
        <v>3.123265564E-3</v>
      </c>
      <c r="AS280">
        <v>3.3237530299999999E-3</v>
      </c>
      <c r="AT280">
        <v>1.9975114970000002E-3</v>
      </c>
      <c r="AU280">
        <v>2.0005173049999999E-3</v>
      </c>
      <c r="AV280">
        <v>1.603469909E-3</v>
      </c>
      <c r="AW280">
        <v>3.4827672699999998E-4</v>
      </c>
      <c r="AX280">
        <v>5.9680138299999998E-4</v>
      </c>
      <c r="AY280">
        <v>7.9257201500000001E-4</v>
      </c>
      <c r="AZ280">
        <v>9.4038884999999997E-4</v>
      </c>
      <c r="BA280">
        <v>1.4297902010000001E-3</v>
      </c>
      <c r="BB280">
        <v>3.1038763969999999E-3</v>
      </c>
      <c r="BC280">
        <v>2.5904922480000001E-3</v>
      </c>
      <c r="BD280">
        <v>3.1902805199999999E-3</v>
      </c>
      <c r="BE280">
        <v>5.1224908640000004E-3</v>
      </c>
      <c r="BF280">
        <v>1.3262181652999999E-2</v>
      </c>
      <c r="BG280">
        <v>1.2727135170999999E-2</v>
      </c>
      <c r="BH280">
        <v>1.3977388004E-2</v>
      </c>
      <c r="BI280">
        <v>1.430449709E-2</v>
      </c>
      <c r="BJ280">
        <v>2.4288677073999999E-2</v>
      </c>
      <c r="BK280">
        <v>1.7413108587999999E-2</v>
      </c>
      <c r="BL280">
        <v>1.9799903516999999E-2</v>
      </c>
      <c r="BM280">
        <v>2.2661481452000001E-2</v>
      </c>
      <c r="BN280">
        <v>4.2098078279000001E-2</v>
      </c>
      <c r="BO280">
        <v>3.2031009328000001E-2</v>
      </c>
      <c r="BP280">
        <v>3.4609820420999998E-2</v>
      </c>
      <c r="BQ280">
        <v>3.5678156454999999E-2</v>
      </c>
      <c r="BR280">
        <v>6.6873048855999997E-2</v>
      </c>
      <c r="BS280">
        <v>4.4706506051000003E-2</v>
      </c>
      <c r="BT280">
        <v>4.5706823904E-2</v>
      </c>
      <c r="BU280">
        <v>9.0551296604000006E-2</v>
      </c>
      <c r="BV280">
        <v>9.0576886802999995E-2</v>
      </c>
      <c r="BW280">
        <v>6.4921949389999997E-2</v>
      </c>
      <c r="BX280">
        <v>7.3050058951999994E-2</v>
      </c>
      <c r="BY280">
        <v>0.100696379894</v>
      </c>
      <c r="BZ280">
        <v>0.13352213526600001</v>
      </c>
      <c r="CA280">
        <v>0.120969595311</v>
      </c>
      <c r="CB280">
        <v>0.12736127330899999</v>
      </c>
      <c r="CC280">
        <v>0.16823170050700001</v>
      </c>
      <c r="CD280">
        <v>0.23325353089299999</v>
      </c>
      <c r="CE280">
        <v>0.23161000326200001</v>
      </c>
      <c r="CF280">
        <v>0.28182458201400001</v>
      </c>
      <c r="CG280">
        <v>0.25481074060199999</v>
      </c>
      <c r="CH280">
        <v>0.50112876723099997</v>
      </c>
      <c r="CI280">
        <v>0.44460093336399997</v>
      </c>
      <c r="CJ280">
        <v>0.33647683434800002</v>
      </c>
      <c r="CK280">
        <v>0.31297571509400002</v>
      </c>
      <c r="CL280">
        <v>0.49745816300000001</v>
      </c>
      <c r="CM280">
        <v>0.36287118183299999</v>
      </c>
      <c r="CN280">
        <v>0.26826011620599999</v>
      </c>
      <c r="CO280">
        <v>0.29672273061999999</v>
      </c>
      <c r="CP280">
        <v>0.52100405196999999</v>
      </c>
      <c r="CQ280">
        <v>0.41738121885000001</v>
      </c>
      <c r="CR280">
        <v>0.32215492874599999</v>
      </c>
      <c r="CS280">
        <v>0.35672485546900001</v>
      </c>
      <c r="CT280">
        <v>0.77116836628300001</v>
      </c>
      <c r="CU280">
        <v>0.58549666634999997</v>
      </c>
      <c r="CV280">
        <v>0.46584696449500002</v>
      </c>
      <c r="CW280">
        <v>0.49248120566999998</v>
      </c>
      <c r="CX280">
        <v>0.82574344343200001</v>
      </c>
      <c r="CY280">
        <v>0.476753419831</v>
      </c>
      <c r="CZ280">
        <v>0.35807077565599998</v>
      </c>
      <c r="DA280">
        <v>0.41988763743500002</v>
      </c>
      <c r="DB280">
        <v>0.844128356202</v>
      </c>
      <c r="DC280">
        <v>0.52762347365200002</v>
      </c>
      <c r="DD280">
        <v>0.41948278835699998</v>
      </c>
      <c r="DE280">
        <v>0.52015485991800003</v>
      </c>
      <c r="DF280">
        <v>0.98110124691</v>
      </c>
      <c r="DG280">
        <v>0.68767852426999998</v>
      </c>
      <c r="DH280">
        <v>0.58985077732900004</v>
      </c>
      <c r="DI280">
        <v>0.735433624161</v>
      </c>
      <c r="DJ280">
        <v>1.0539357492470001</v>
      </c>
      <c r="DK280">
        <v>0.61835817213699995</v>
      </c>
      <c r="DL280">
        <v>0.54937685874099995</v>
      </c>
      <c r="DM280">
        <v>0.761888941243</v>
      </c>
      <c r="DN280">
        <v>1.25910524027</v>
      </c>
      <c r="DO280">
        <v>0.64499652645700001</v>
      </c>
      <c r="DP280">
        <v>0.65233678363199998</v>
      </c>
      <c r="DQ280">
        <v>0.74295232946300005</v>
      </c>
      <c r="DR280">
        <v>1.697950867661</v>
      </c>
      <c r="DS280">
        <v>1.410453567964</v>
      </c>
      <c r="DT280">
        <v>1.3075659927250001</v>
      </c>
      <c r="DU280">
        <v>1.2464880921299999</v>
      </c>
      <c r="DV280">
        <v>2.1126514819310001</v>
      </c>
      <c r="DW280">
        <v>1.536353842254</v>
      </c>
      <c r="DX280">
        <v>1.2028748473749999</v>
      </c>
      <c r="DY280">
        <v>1.292607998986</v>
      </c>
      <c r="DZ280">
        <v>1.8875305383480001</v>
      </c>
      <c r="EA280">
        <v>1.530358163352</v>
      </c>
      <c r="EB280">
        <v>1.2664982079439999</v>
      </c>
      <c r="EC280">
        <v>1.4715918539099999</v>
      </c>
      <c r="ED280">
        <v>2.186751660873</v>
      </c>
      <c r="EE280">
        <v>1.5342217920250001</v>
      </c>
      <c r="EF280">
        <v>1.4029743605909999</v>
      </c>
      <c r="EG280">
        <v>1.646586901257</v>
      </c>
      <c r="EH280">
        <v>2.408875802262</v>
      </c>
      <c r="EI280">
        <v>1.652982753346</v>
      </c>
      <c r="EJ280">
        <v>1.4566011798280001</v>
      </c>
      <c r="EK280">
        <v>1.703580131889</v>
      </c>
      <c r="EL280">
        <v>2.4392572358139999</v>
      </c>
      <c r="EM280">
        <v>1.7109107970849999</v>
      </c>
      <c r="EN280">
        <v>1.559987004173</v>
      </c>
      <c r="EO280">
        <v>1.976617189051</v>
      </c>
      <c r="EP280">
        <v>2.9072908827780002</v>
      </c>
      <c r="EQ280">
        <v>1.9456474653889999</v>
      </c>
      <c r="ER280">
        <v>1.756358589842</v>
      </c>
      <c r="ES280">
        <v>2.1477637026409999</v>
      </c>
      <c r="ET280">
        <v>3.1094727370120001</v>
      </c>
      <c r="EU280">
        <v>2.183960963643</v>
      </c>
      <c r="EV280">
        <v>1.953030500413</v>
      </c>
      <c r="EW280">
        <v>2.3432163390110001</v>
      </c>
      <c r="EX280">
        <v>3.4169877871910002</v>
      </c>
      <c r="EY280">
        <v>2.331072728528</v>
      </c>
      <c r="EZ280">
        <v>2.136749290215</v>
      </c>
      <c r="FA280">
        <v>2.6226979582080001</v>
      </c>
      <c r="FB280">
        <v>3.720888974832</v>
      </c>
      <c r="FC280">
        <v>2.5550969224900002</v>
      </c>
      <c r="FD280">
        <v>2.3486136915350002</v>
      </c>
      <c r="FE280">
        <v>2.9164573291120002</v>
      </c>
    </row>
    <row r="281" spans="2:161">
      <c r="B281" t="s">
        <v>608</v>
      </c>
      <c r="C281" t="s">
        <v>609</v>
      </c>
      <c r="D281" t="str">
        <f t="shared" si="7"/>
      </c>
      <c r="F281">
        <v>2.9124472713000001E-2</v>
      </c>
      <c r="G281">
        <v>-4.1621581340000003E-3</v>
      </c>
      <c r="H281">
        <v>5.8040150990000001E-3</v>
      </c>
      <c r="I281">
        <v>3.7240586239999998E-3</v>
      </c>
      <c r="J281">
        <v>1.3536669822E-2</v>
      </c>
      <c r="K281">
        <v>5.1281809482999999E-2</v>
      </c>
      <c r="L281">
        <v>8.1001558821999997E-2</v>
      </c>
      <c r="M281">
        <v>0.14039522521299999</v>
      </c>
      <c r="N281">
        <v>0.24232365855099999</v>
      </c>
      <c r="O281">
        <v>0.32426178663999999</v>
      </c>
      <c r="P281">
        <v>0.54121112413100003</v>
      </c>
      <c r="Q281">
        <v>0.98844708145600002</v>
      </c>
      <c r="R281">
        <v>1.5764977068199999</v>
      </c>
      <c r="S281">
        <v>1.4197745534320001</v>
      </c>
      <c r="T281">
        <v>1.6132685396340001</v>
      </c>
      <c r="U281">
        <v>2.3042187607010001</v>
      </c>
      <c r="V281">
        <v>2.0765754408850001</v>
      </c>
      <c r="W281">
        <v>2.3016868802319999</v>
      </c>
      <c r="X281">
        <v>2.9764851126249998</v>
      </c>
      <c r="Y281">
        <v>2.9714474637110002</v>
      </c>
      <c r="Z281">
        <v>3.2753481020090001</v>
      </c>
      <c r="AA281">
        <v>5.6140203576719996</v>
      </c>
      <c r="AB281">
        <v>6.113200295085</v>
      </c>
      <c r="AC281">
        <v>6.1340528168219999</v>
      </c>
      <c r="AD281">
        <v>6.7485307803639998</v>
      </c>
      <c r="AE281">
        <v>7.1969193549580002</v>
      </c>
      <c r="AF281">
        <v>7.6584136846510003</v>
      </c>
      <c r="AG281">
        <v>8.7272308910609997</v>
      </c>
      <c r="AH281">
        <v>9.5550821591880002</v>
      </c>
      <c r="AI281">
        <v>10.467171131973</v>
      </c>
      <c r="AJ281">
        <v>11.493928426982</v>
      </c>
      <c r="AL281">
        <v>7.9312589530000002E-3</v>
      </c>
      <c r="AM281">
        <v>7.8471424729999999E-3</v>
      </c>
      <c r="AN281">
        <v>8.0249723720000003E-3</v>
      </c>
      <c r="AO281">
        <v>5.3264813099999997E-3</v>
      </c>
      <c r="AP281">
        <v>-1.3119494617E-2</v>
      </c>
      <c r="AQ281">
        <v>2.000888575E-3</v>
      </c>
      <c r="AR281">
        <v>3.0362095359999998E-3</v>
      </c>
      <c r="AS281">
        <v>3.270558065E-3</v>
      </c>
      <c r="AT281">
        <v>1.9639708790000002E-3</v>
      </c>
      <c r="AU281">
        <v>1.932247969E-3</v>
      </c>
      <c r="AV281">
        <v>1.5575268650000001E-3</v>
      </c>
      <c r="AW281">
        <v>3.4646673199999997E-4</v>
      </c>
      <c r="AX281">
        <v>5.9367146200000004E-4</v>
      </c>
      <c r="AY281">
        <v>7.8873652700000001E-4</v>
      </c>
      <c r="AZ281">
        <v>9.3267500199999999E-4</v>
      </c>
      <c r="BA281">
        <v>1.3968466330000001E-3</v>
      </c>
      <c r="BB281">
        <v>3.0216917180000001E-3</v>
      </c>
      <c r="BC281">
        <v>2.502256752E-3</v>
      </c>
      <c r="BD281">
        <v>3.0472862420000001E-3</v>
      </c>
      <c r="BE281">
        <v>4.8752952659999998E-3</v>
      </c>
      <c r="BF281">
        <v>1.2475230493999999E-2</v>
      </c>
      <c r="BG281">
        <v>1.1994050951E-2</v>
      </c>
      <c r="BH281">
        <v>1.3235150369E-2</v>
      </c>
      <c r="BI281">
        <v>1.3560566105E-2</v>
      </c>
      <c r="BJ281">
        <v>2.3082143507E-2</v>
      </c>
      <c r="BK281">
        <v>1.6667319808999999E-2</v>
      </c>
      <c r="BL281">
        <v>1.9235233208999999E-2</v>
      </c>
      <c r="BM281">
        <v>2.2027867610000001E-2</v>
      </c>
      <c r="BN281">
        <v>4.0877692165999999E-2</v>
      </c>
      <c r="BO281">
        <v>3.1176635215000002E-2</v>
      </c>
      <c r="BP281">
        <v>3.3682470855999999E-2</v>
      </c>
      <c r="BQ281">
        <v>3.4690865313000002E-2</v>
      </c>
      <c r="BR281">
        <v>6.5075460552000003E-2</v>
      </c>
      <c r="BS281">
        <v>4.3723074171E-2</v>
      </c>
      <c r="BT281">
        <v>4.4723575089000003E-2</v>
      </c>
      <c r="BU281">
        <v>8.8695006332999995E-2</v>
      </c>
      <c r="BV281">
        <v>8.9335829507000003E-2</v>
      </c>
      <c r="BW281">
        <v>6.4072637170999994E-2</v>
      </c>
      <c r="BX281">
        <v>7.1808828243E-2</v>
      </c>
      <c r="BY281">
        <v>9.8896700286999997E-2</v>
      </c>
      <c r="BZ281">
        <v>0.13116447808100001</v>
      </c>
      <c r="CA281">
        <v>0.11896015972399999</v>
      </c>
      <c r="CB281">
        <v>0.12527869020599999</v>
      </c>
      <c r="CC281">
        <v>0.165647073299</v>
      </c>
      <c r="CD281">
        <v>0.22978905028400001</v>
      </c>
      <c r="CE281">
        <v>0.22845536546100001</v>
      </c>
      <c r="CF281">
        <v>0.27830797283000003</v>
      </c>
      <c r="CG281">
        <v>0.251763101983</v>
      </c>
      <c r="CH281">
        <v>0.49552389893900001</v>
      </c>
      <c r="CI281">
        <v>0.43927876338499999</v>
      </c>
      <c r="CJ281">
        <v>0.33275947659299998</v>
      </c>
      <c r="CK281">
        <v>0.30972675343099998</v>
      </c>
      <c r="CL281">
        <v>0.493098654872</v>
      </c>
      <c r="CM281">
        <v>0.36041402877700002</v>
      </c>
      <c r="CN281">
        <v>0.26662112211200001</v>
      </c>
      <c r="CO281">
        <v>0.29510127174799999</v>
      </c>
      <c r="CP281">
        <v>0.51789462207299997</v>
      </c>
      <c r="CQ281">
        <v>0.41511713425500002</v>
      </c>
      <c r="CR281">
        <v>0.32007476893699999</v>
      </c>
      <c r="CS281">
        <v>0.35444088008199998</v>
      </c>
      <c r="CT281">
        <v>0.766091621906</v>
      </c>
      <c r="CU281">
        <v>0.58137661619199998</v>
      </c>
      <c r="CV281">
        <v>0.46235999070900002</v>
      </c>
      <c r="CW281">
        <v>0.48939563598500002</v>
      </c>
      <c r="CX281">
        <v>0.82054804976700002</v>
      </c>
      <c r="CY281">
        <v>0.47447285506300002</v>
      </c>
      <c r="CZ281">
        <v>0.356126071918</v>
      </c>
      <c r="DA281">
        <v>0.417830680954</v>
      </c>
      <c r="DB281">
        <v>0.83948089290600003</v>
      </c>
      <c r="DC281">
        <v>0.524023849381</v>
      </c>
      <c r="DD281">
        <v>0.41640401574500002</v>
      </c>
      <c r="DE281">
        <v>0.51672732288599998</v>
      </c>
      <c r="DF281">
        <v>0.97255857987200001</v>
      </c>
      <c r="DG281">
        <v>0.68176083107899998</v>
      </c>
      <c r="DH281">
        <v>0.58452984598500002</v>
      </c>
      <c r="DI281">
        <v>0.72846121966400001</v>
      </c>
      <c r="DJ281">
        <v>1.0456707502560001</v>
      </c>
      <c r="DK281">
        <v>0.61486229765</v>
      </c>
      <c r="DL281">
        <v>0.54570585346099998</v>
      </c>
      <c r="DM281">
        <v>0.75690656501099995</v>
      </c>
      <c r="DN281">
        <v>1.2479223742450001</v>
      </c>
      <c r="DO281">
        <v>0.63846703434999996</v>
      </c>
      <c r="DP281">
        <v>0.64601307801899999</v>
      </c>
      <c r="DQ281">
        <v>0.73438904632099999</v>
      </c>
      <c r="DR281">
        <v>1.6802339741150001</v>
      </c>
      <c r="DS281">
        <v>1.395816696602</v>
      </c>
      <c r="DT281">
        <v>1.2956943963180001</v>
      </c>
      <c r="DU281">
        <v>1.2354000701050001</v>
      </c>
      <c r="DV281">
        <v>2.0963369432740002</v>
      </c>
      <c r="DW281">
        <v>1.5246917147729999</v>
      </c>
      <c r="DX281">
        <v>1.195532979142</v>
      </c>
      <c r="DY281">
        <v>1.2855442500259999</v>
      </c>
      <c r="DZ281">
        <v>1.8800783518490001</v>
      </c>
      <c r="EA281">
        <v>1.5245739743360001</v>
      </c>
      <c r="EB281">
        <v>1.2602835837749999</v>
      </c>
      <c r="EC281">
        <v>1.4647405630279999</v>
      </c>
      <c r="ED281">
        <v>2.177362885875</v>
      </c>
      <c r="EE281">
        <v>1.528383107629</v>
      </c>
      <c r="EF281">
        <v>1.3974299876039999</v>
      </c>
      <c r="EG281">
        <v>1.638932029325</v>
      </c>
      <c r="EH281">
        <v>2.3978828931549998</v>
      </c>
      <c r="EI281">
        <v>1.6458409340569999</v>
      </c>
      <c r="EJ281">
        <v>1.4502744282019999</v>
      </c>
      <c r="EK281">
        <v>1.6961347108910001</v>
      </c>
      <c r="EL281">
        <v>2.4285232745190002</v>
      </c>
      <c r="EM281">
        <v>1.7033251735229999</v>
      </c>
      <c r="EN281">
        <v>1.5530171369429999</v>
      </c>
      <c r="EO281">
        <v>1.9677172782129999</v>
      </c>
      <c r="EP281">
        <v>2.894095915821</v>
      </c>
      <c r="EQ281">
        <v>1.9367427060819999</v>
      </c>
      <c r="ER281">
        <v>1.748252011875</v>
      </c>
      <c r="ES281">
        <v>2.1377666599460001</v>
      </c>
      <c r="ET281">
        <v>3.0948773389080002</v>
      </c>
      <c r="EU281">
        <v>2.1736206023819999</v>
      </c>
      <c r="EV281">
        <v>1.9437031139559999</v>
      </c>
      <c r="EW281">
        <v>2.3319287099979999</v>
      </c>
      <c r="EX281">
        <v>3.4003862933660001</v>
      </c>
      <c r="EY281">
        <v>2.3196471175840001</v>
      </c>
      <c r="EZ281">
        <v>2.1261837340969998</v>
      </c>
      <c r="FA281">
        <v>2.6096157846970001</v>
      </c>
      <c r="FB281">
        <v>3.702167391723</v>
      </c>
      <c r="FC281">
        <v>2.5421261241669999</v>
      </c>
      <c r="FD281">
        <v>2.3365847233160002</v>
      </c>
      <c r="FE281">
        <v>2.9013875523919999</v>
      </c>
    </row>
    <row r="282" spans="2:161">
      <c r="B282" t="s">
        <v>610</v>
      </c>
      <c r="C282" t="s">
        <v>611</v>
      </c>
      <c r="D282" t="str">
        <f t="shared" si="7"/>
      </c>
      <c r="F282">
        <v>4.3236092394000003E-2</v>
      </c>
      <c r="G282">
        <v>-1.2854295699999999E-3</v>
      </c>
      <c r="H282">
        <v>3.264380628E-3</v>
      </c>
      <c r="I282">
        <v>3.4166138740000002E-3</v>
      </c>
      <c r="J282">
        <v>1.3264153403999999E-2</v>
      </c>
      <c r="K282">
        <v>5.8667578016999997E-2</v>
      </c>
      <c r="L282">
        <v>8.4134311862999994E-2</v>
      </c>
      <c r="M282">
        <v>0.14436978293800001</v>
      </c>
      <c r="N282">
        <v>0.247956918468</v>
      </c>
      <c r="O282">
        <v>0.329341219179</v>
      </c>
      <c r="P282">
        <v>0.55028699510800005</v>
      </c>
      <c r="Q282">
        <v>1.001694634538</v>
      </c>
      <c r="R282">
        <v>1.594266158138</v>
      </c>
      <c r="S282">
        <v>1.4294877025149999</v>
      </c>
      <c r="T282">
        <v>1.623101662239</v>
      </c>
      <c r="U282">
        <v>2.3200980043050001</v>
      </c>
      <c r="V282">
        <v>2.0877582296730002</v>
      </c>
      <c r="W282">
        <v>2.3168850515270001</v>
      </c>
      <c r="X282">
        <v>3.003353427665</v>
      </c>
      <c r="Y282">
        <v>2.9914457730619999</v>
      </c>
      <c r="Z282">
        <v>3.3085871728809999</v>
      </c>
      <c r="AA282">
        <v>5.6690293659820004</v>
      </c>
      <c r="AB282">
        <v>6.1546143427529998</v>
      </c>
      <c r="AC282">
        <v>6.1606691657299999</v>
      </c>
      <c r="AD282">
        <v>6.1090542700280004</v>
      </c>
      <c r="AE282">
        <v>7.2287251832240003</v>
      </c>
      <c r="AF282">
        <v>7.6926524794570001</v>
      </c>
      <c r="AG282">
        <v>8.7675262153010003</v>
      </c>
      <c r="AH282">
        <v>9.6007330692729997</v>
      </c>
      <c r="AI282">
        <v>10.518952802807</v>
      </c>
      <c r="AJ282">
        <v>11.552832852426</v>
      </c>
      <c r="AL282">
        <v>1.0173223344999999E-2</v>
      </c>
      <c r="AM282">
        <v>1.2825338001000001E-2</v>
      </c>
      <c r="AN282">
        <v>1.0965683344000001E-2</v>
      </c>
      <c r="AO282">
        <v>9.2794862369999995E-3</v>
      </c>
      <c r="AP282">
        <v>-1.0312517213E-2</v>
      </c>
      <c r="AQ282">
        <v>2.1946050870000002E-3</v>
      </c>
      <c r="AR282">
        <v>3.123265564E-3</v>
      </c>
      <c r="AS282">
        <v>3.3746543289999999E-3</v>
      </c>
      <c r="AT282">
        <v>1.9466842329999999E-3</v>
      </c>
      <c r="AU282">
        <v>2.0005173049999999E-3</v>
      </c>
      <c r="AV282">
        <v>1.603469909E-3</v>
      </c>
      <c r="AW282">
        <v>-2.2389218149999998E-3</v>
      </c>
      <c r="AX282">
        <v>-3.9786758900000002E-4</v>
      </c>
      <c r="AY282">
        <v>6.9350051300000001E-4</v>
      </c>
      <c r="AZ282">
        <v>9.4038884999999997E-4</v>
      </c>
      <c r="BA282">
        <v>2.1693368570000001E-3</v>
      </c>
      <c r="BB282">
        <v>3.1038763969999999E-3</v>
      </c>
      <c r="BC282">
        <v>2.248351763E-3</v>
      </c>
      <c r="BD282">
        <v>2.9045837570000001E-3</v>
      </c>
      <c r="BE282">
        <v>4.9362184690000003E-3</v>
      </c>
      <c r="BF282">
        <v>1.3262181652999999E-2</v>
      </c>
      <c r="BG282">
        <v>1.2727135170999999E-2</v>
      </c>
      <c r="BH282">
        <v>1.3977388004E-2</v>
      </c>
      <c r="BI282">
        <v>1.8608889832E-2</v>
      </c>
      <c r="BJ282">
        <v>2.4288677073999999E-2</v>
      </c>
      <c r="BK282">
        <v>1.7413108587999999E-2</v>
      </c>
      <c r="BL282">
        <v>1.9799903516999999E-2</v>
      </c>
      <c r="BM282">
        <v>2.2661481452000001E-2</v>
      </c>
      <c r="BN282">
        <v>4.2098078279000001E-2</v>
      </c>
      <c r="BO282">
        <v>3.2031009328000001E-2</v>
      </c>
      <c r="BP282">
        <v>3.4609820420999998E-2</v>
      </c>
      <c r="BQ282">
        <v>3.5678156454999999E-2</v>
      </c>
      <c r="BR282">
        <v>6.6873048855999997E-2</v>
      </c>
      <c r="BS282">
        <v>4.4706506051000003E-2</v>
      </c>
      <c r="BT282">
        <v>4.5706823904E-2</v>
      </c>
      <c r="BU282">
        <v>9.0551296604000006E-2</v>
      </c>
      <c r="BV282">
        <v>9.0576886802999995E-2</v>
      </c>
      <c r="BW282">
        <v>6.4921949389999997E-2</v>
      </c>
      <c r="BX282">
        <v>7.3050058951999994E-2</v>
      </c>
      <c r="BY282">
        <v>0.100696379894</v>
      </c>
      <c r="BZ282">
        <v>0.13352213526600001</v>
      </c>
      <c r="CA282">
        <v>0.120969595311</v>
      </c>
      <c r="CB282">
        <v>0.12736127330899999</v>
      </c>
      <c r="CC282">
        <v>0.16823170050700001</v>
      </c>
      <c r="CD282">
        <v>0.23325353089299999</v>
      </c>
      <c r="CE282">
        <v>0.23161000326200001</v>
      </c>
      <c r="CF282">
        <v>0.28182458201400001</v>
      </c>
      <c r="CG282">
        <v>0.25481074060199999</v>
      </c>
      <c r="CH282">
        <v>0.50112876723099997</v>
      </c>
      <c r="CI282">
        <v>0.44460093336399997</v>
      </c>
      <c r="CJ282">
        <v>0.33647683434800002</v>
      </c>
      <c r="CK282">
        <v>0.31297571509400002</v>
      </c>
      <c r="CL282">
        <v>0.49745816300000001</v>
      </c>
      <c r="CM282">
        <v>0.36287118183299999</v>
      </c>
      <c r="CN282">
        <v>0.26826011620599999</v>
      </c>
      <c r="CO282">
        <v>0.29672273061999999</v>
      </c>
      <c r="CP282">
        <v>0.52100405196999999</v>
      </c>
      <c r="CQ282">
        <v>0.41738121885000001</v>
      </c>
      <c r="CR282">
        <v>0.32215492874599999</v>
      </c>
      <c r="CS282">
        <v>0.35672485546900001</v>
      </c>
      <c r="CT282">
        <v>0.77116836628300001</v>
      </c>
      <c r="CU282">
        <v>0.58549666634999997</v>
      </c>
      <c r="CV282">
        <v>0.46584696449500002</v>
      </c>
      <c r="CW282">
        <v>0.49248120566999998</v>
      </c>
      <c r="CX282">
        <v>0.82574344343200001</v>
      </c>
      <c r="CY282">
        <v>0.476753419831</v>
      </c>
      <c r="CZ282">
        <v>0.35807077565599998</v>
      </c>
      <c r="DA282">
        <v>0.41988763743500002</v>
      </c>
      <c r="DB282">
        <v>0.844128356202</v>
      </c>
      <c r="DC282">
        <v>0.52762347365200002</v>
      </c>
      <c r="DD282">
        <v>0.41948278835699998</v>
      </c>
      <c r="DE282">
        <v>0.52015485991800003</v>
      </c>
      <c r="DF282">
        <v>0.98110124691</v>
      </c>
      <c r="DG282">
        <v>0.68767852426999998</v>
      </c>
      <c r="DH282">
        <v>0.58985077732900004</v>
      </c>
      <c r="DI282">
        <v>0.735433624161</v>
      </c>
      <c r="DJ282">
        <v>1.0539357492470001</v>
      </c>
      <c r="DK282">
        <v>0.61835817213699995</v>
      </c>
      <c r="DL282">
        <v>0.54937685874099995</v>
      </c>
      <c r="DM282">
        <v>0.761888941243</v>
      </c>
      <c r="DN282">
        <v>1.25910524027</v>
      </c>
      <c r="DO282">
        <v>0.64499652645700001</v>
      </c>
      <c r="DP282">
        <v>0.65233678363199998</v>
      </c>
      <c r="DQ282">
        <v>0.74295232946300005</v>
      </c>
      <c r="DR282">
        <v>1.697950867661</v>
      </c>
      <c r="DS282">
        <v>1.410453567964</v>
      </c>
      <c r="DT282">
        <v>1.3075659927250001</v>
      </c>
      <c r="DU282">
        <v>1.2464880921299999</v>
      </c>
      <c r="DV282">
        <v>2.1126514819310001</v>
      </c>
      <c r="DW282">
        <v>1.536353842254</v>
      </c>
      <c r="DX282">
        <v>1.2028748473749999</v>
      </c>
      <c r="DY282">
        <v>1.292607998986</v>
      </c>
      <c r="DZ282">
        <v>1.8875305383480001</v>
      </c>
      <c r="EA282">
        <v>1.530358163352</v>
      </c>
      <c r="EB282">
        <v>1.2664982079439999</v>
      </c>
      <c r="EC282">
        <v>1.4715918539099999</v>
      </c>
      <c r="ED282">
        <v>2.186751660873</v>
      </c>
      <c r="EE282">
        <v>1.5342217920250001</v>
      </c>
      <c r="EF282">
        <v>1.4029743605909999</v>
      </c>
      <c r="EG282">
        <v>0.97126349279199997</v>
      </c>
      <c r="EH282">
        <v>2.408875802262</v>
      </c>
      <c r="EI282">
        <v>1.652982753346</v>
      </c>
      <c r="EJ282">
        <v>1.4566011798280001</v>
      </c>
      <c r="EK282">
        <v>1.703580131889</v>
      </c>
      <c r="EL282">
        <v>2.4392572358139999</v>
      </c>
      <c r="EM282">
        <v>1.7109107970849999</v>
      </c>
      <c r="EN282">
        <v>1.559987004173</v>
      </c>
      <c r="EO282">
        <v>1.976617189051</v>
      </c>
      <c r="EP282">
        <v>2.9072908827780002</v>
      </c>
      <c r="EQ282">
        <v>1.9456474653889999</v>
      </c>
      <c r="ER282">
        <v>1.756358589842</v>
      </c>
      <c r="ES282">
        <v>2.1477637026409999</v>
      </c>
      <c r="ET282">
        <v>3.1094727370120001</v>
      </c>
      <c r="EU282">
        <v>2.183960963643</v>
      </c>
      <c r="EV282">
        <v>1.953030500413</v>
      </c>
      <c r="EW282">
        <v>2.3432163390110001</v>
      </c>
      <c r="EX282">
        <v>3.4169877871910002</v>
      </c>
      <c r="EY282">
        <v>2.331072728528</v>
      </c>
      <c r="EZ282">
        <v>2.136749290215</v>
      </c>
      <c r="FA282">
        <v>2.6226979582080001</v>
      </c>
      <c r="FB282">
        <v>3.720888974832</v>
      </c>
      <c r="FC282">
        <v>2.5550969224900002</v>
      </c>
      <c r="FD282">
        <v>2.3486136915350002</v>
      </c>
      <c r="FE282">
        <v>2.9164573291120002</v>
      </c>
    </row>
    <row r="283" spans="2:161">
      <c r="B283" t="s">
        <v>612</v>
      </c>
      <c r="C283" t="s">
        <v>613</v>
      </c>
      <c r="D283" t="str">
        <f t="shared" si="7"/>
      </c>
      <c r="F283">
        <v>3.8866389073000003E-2</v>
      </c>
      <c r="G283">
        <v>-1.264905096E-3</v>
      </c>
      <c r="H283">
        <v>3.19491586E-3</v>
      </c>
      <c r="I283">
        <v>3.3810532250000002E-3</v>
      </c>
      <c r="J283">
        <v>1.2751265770999999E-2</v>
      </c>
      <c r="K283">
        <v>5.5412728229000001E-2</v>
      </c>
      <c r="L283">
        <v>8.1001558821999997E-2</v>
      </c>
      <c r="M283">
        <v>0.14039522521299999</v>
      </c>
      <c r="N283">
        <v>0.24232365855099999</v>
      </c>
      <c r="O283">
        <v>0.32426178663999999</v>
      </c>
      <c r="P283">
        <v>0.54121112413100003</v>
      </c>
      <c r="Q283">
        <v>0.98844708145600002</v>
      </c>
      <c r="R283">
        <v>1.5764977068199999</v>
      </c>
      <c r="S283">
        <v>1.4197745534320001</v>
      </c>
      <c r="T283">
        <v>1.6132685396340001</v>
      </c>
      <c r="U283">
        <v>2.3042187607010001</v>
      </c>
      <c r="V283">
        <v>2.0765754408850001</v>
      </c>
      <c r="W283">
        <v>2.3016868802319999</v>
      </c>
      <c r="X283">
        <v>2.9764851126249998</v>
      </c>
      <c r="Y283">
        <v>2.9714474637110002</v>
      </c>
      <c r="Z283">
        <v>3.2753481020090001</v>
      </c>
      <c r="AA283">
        <v>5.6140203576719996</v>
      </c>
      <c r="AB283">
        <v>6.113200295085</v>
      </c>
      <c r="AC283">
        <v>6.1340528168219999</v>
      </c>
      <c r="AD283">
        <v>6.0835556272059996</v>
      </c>
      <c r="AE283">
        <v>7.1969193549580002</v>
      </c>
      <c r="AF283">
        <v>7.6584136846510003</v>
      </c>
      <c r="AG283">
        <v>8.7272308910609997</v>
      </c>
      <c r="AH283">
        <v>9.5550821591880002</v>
      </c>
      <c r="AI283">
        <v>10.467171131973</v>
      </c>
      <c r="AJ283">
        <v>11.493928426982</v>
      </c>
      <c r="AL283">
        <v>9.1823408880000006E-3</v>
      </c>
      <c r="AM283">
        <v>1.1428520406E-2</v>
      </c>
      <c r="AN283">
        <v>9.8510730959999997E-3</v>
      </c>
      <c r="AO283">
        <v>8.3867129870000001E-3</v>
      </c>
      <c r="AP283">
        <v>-1.0312517213E-2</v>
      </c>
      <c r="AQ283">
        <v>2.1527298629999999E-3</v>
      </c>
      <c r="AR283">
        <v>3.0362095359999998E-3</v>
      </c>
      <c r="AS283">
        <v>3.3206447149999999E-3</v>
      </c>
      <c r="AT283">
        <v>1.9139970659999999E-3</v>
      </c>
      <c r="AU283">
        <v>1.932247969E-3</v>
      </c>
      <c r="AV283">
        <v>1.5575268650000001E-3</v>
      </c>
      <c r="AW283">
        <v>-2.2272861360000001E-3</v>
      </c>
      <c r="AX283">
        <v>-3.9578097499999999E-4</v>
      </c>
      <c r="AY283">
        <v>6.9014446099999996E-4</v>
      </c>
      <c r="AZ283">
        <v>9.3267500199999999E-4</v>
      </c>
      <c r="BA283">
        <v>2.1193535120000002E-3</v>
      </c>
      <c r="BB283">
        <v>3.0216917180000001E-3</v>
      </c>
      <c r="BC283">
        <v>2.1717700109999999E-3</v>
      </c>
      <c r="BD283">
        <v>2.7743949360000001E-3</v>
      </c>
      <c r="BE283">
        <v>4.698011801E-3</v>
      </c>
      <c r="BF283">
        <v>1.2475230493999999E-2</v>
      </c>
      <c r="BG283">
        <v>1.1994050951E-2</v>
      </c>
      <c r="BH283">
        <v>1.3235150369E-2</v>
      </c>
      <c r="BI283">
        <v>1.7641101193999999E-2</v>
      </c>
      <c r="BJ283">
        <v>2.3082143507E-2</v>
      </c>
      <c r="BK283">
        <v>1.6667319808999999E-2</v>
      </c>
      <c r="BL283">
        <v>1.9235233208999999E-2</v>
      </c>
      <c r="BM283">
        <v>2.2027867610000001E-2</v>
      </c>
      <c r="BN283">
        <v>4.0877692165999999E-2</v>
      </c>
      <c r="BO283">
        <v>3.1176635215000002E-2</v>
      </c>
      <c r="BP283">
        <v>3.3682470855999999E-2</v>
      </c>
      <c r="BQ283">
        <v>3.4690865313000002E-2</v>
      </c>
      <c r="BR283">
        <v>6.5075460552000003E-2</v>
      </c>
      <c r="BS283">
        <v>4.3723074171E-2</v>
      </c>
      <c r="BT283">
        <v>4.4723575089000003E-2</v>
      </c>
      <c r="BU283">
        <v>8.8695006332999995E-2</v>
      </c>
      <c r="BV283">
        <v>8.9335829507000003E-2</v>
      </c>
      <c r="BW283">
        <v>6.4072637170999994E-2</v>
      </c>
      <c r="BX283">
        <v>7.1808828243E-2</v>
      </c>
      <c r="BY283">
        <v>9.8896700286999997E-2</v>
      </c>
      <c r="BZ283">
        <v>0.13116447808100001</v>
      </c>
      <c r="CA283">
        <v>0.11896015972399999</v>
      </c>
      <c r="CB283">
        <v>0.12527869020599999</v>
      </c>
      <c r="CC283">
        <v>0.165647073299</v>
      </c>
      <c r="CD283">
        <v>0.22978905028400001</v>
      </c>
      <c r="CE283">
        <v>0.22845536546100001</v>
      </c>
      <c r="CF283">
        <v>0.27830797283000003</v>
      </c>
      <c r="CG283">
        <v>0.251763101983</v>
      </c>
      <c r="CH283">
        <v>0.49552389893900001</v>
      </c>
      <c r="CI283">
        <v>0.43927876338499999</v>
      </c>
      <c r="CJ283">
        <v>0.33275947659299998</v>
      </c>
      <c r="CK283">
        <v>0.30972675343099998</v>
      </c>
      <c r="CL283">
        <v>0.493098654872</v>
      </c>
      <c r="CM283">
        <v>0.36041402877700002</v>
      </c>
      <c r="CN283">
        <v>0.26662112211200001</v>
      </c>
      <c r="CO283">
        <v>0.29510127174799999</v>
      </c>
      <c r="CP283">
        <v>0.51789462207299997</v>
      </c>
      <c r="CQ283">
        <v>0.41511713425500002</v>
      </c>
      <c r="CR283">
        <v>0.32007476893699999</v>
      </c>
      <c r="CS283">
        <v>0.35444088008199998</v>
      </c>
      <c r="CT283">
        <v>0.766091621906</v>
      </c>
      <c r="CU283">
        <v>0.58137661619199998</v>
      </c>
      <c r="CV283">
        <v>0.46235999070900002</v>
      </c>
      <c r="CW283">
        <v>0.48939563598500002</v>
      </c>
      <c r="CX283">
        <v>0.82054804976700002</v>
      </c>
      <c r="CY283">
        <v>0.47447285506300002</v>
      </c>
      <c r="CZ283">
        <v>0.356126071918</v>
      </c>
      <c r="DA283">
        <v>0.417830680954</v>
      </c>
      <c r="DB283">
        <v>0.83948089290600003</v>
      </c>
      <c r="DC283">
        <v>0.524023849381</v>
      </c>
      <c r="DD283">
        <v>0.41640401574500002</v>
      </c>
      <c r="DE283">
        <v>0.51672732288599998</v>
      </c>
      <c r="DF283">
        <v>0.97255857987200001</v>
      </c>
      <c r="DG283">
        <v>0.68176083107899998</v>
      </c>
      <c r="DH283">
        <v>0.58452984598500002</v>
      </c>
      <c r="DI283">
        <v>0.72846121966400001</v>
      </c>
      <c r="DJ283">
        <v>1.0456707502560001</v>
      </c>
      <c r="DK283">
        <v>0.61486229765</v>
      </c>
      <c r="DL283">
        <v>0.54570585346099998</v>
      </c>
      <c r="DM283">
        <v>0.75690656501099995</v>
      </c>
      <c r="DN283">
        <v>1.2479223742450001</v>
      </c>
      <c r="DO283">
        <v>0.63846703434999996</v>
      </c>
      <c r="DP283">
        <v>0.64601307801899999</v>
      </c>
      <c r="DQ283">
        <v>0.73438904632099999</v>
      </c>
      <c r="DR283">
        <v>1.6802339741150001</v>
      </c>
      <c r="DS283">
        <v>1.395816696602</v>
      </c>
      <c r="DT283">
        <v>1.2956943963180001</v>
      </c>
      <c r="DU283">
        <v>1.2354000701050001</v>
      </c>
      <c r="DV283">
        <v>2.0963369432740002</v>
      </c>
      <c r="DW283">
        <v>1.5246917147729999</v>
      </c>
      <c r="DX283">
        <v>1.195532979142</v>
      </c>
      <c r="DY283">
        <v>1.2855442500259999</v>
      </c>
      <c r="DZ283">
        <v>1.8800783518490001</v>
      </c>
      <c r="EA283">
        <v>1.5245739743360001</v>
      </c>
      <c r="EB283">
        <v>1.2602835837749999</v>
      </c>
      <c r="EC283">
        <v>1.4647405630279999</v>
      </c>
      <c r="ED283">
        <v>2.177362885875</v>
      </c>
      <c r="EE283">
        <v>1.528383107629</v>
      </c>
      <c r="EF283">
        <v>1.3974299876039999</v>
      </c>
      <c r="EG283">
        <v>0.96674815403699998</v>
      </c>
      <c r="EH283">
        <v>2.3978828931549998</v>
      </c>
      <c r="EI283">
        <v>1.6458409340569999</v>
      </c>
      <c r="EJ283">
        <v>1.4502744282019999</v>
      </c>
      <c r="EK283">
        <v>1.6961347108910001</v>
      </c>
      <c r="EL283">
        <v>2.4285232745190002</v>
      </c>
      <c r="EM283">
        <v>1.7033251735229999</v>
      </c>
      <c r="EN283">
        <v>1.5530171369429999</v>
      </c>
      <c r="EO283">
        <v>1.9677172782129999</v>
      </c>
      <c r="EP283">
        <v>2.894095915821</v>
      </c>
      <c r="EQ283">
        <v>1.9367427060819999</v>
      </c>
      <c r="ER283">
        <v>1.748252011875</v>
      </c>
      <c r="ES283">
        <v>2.1377666599460001</v>
      </c>
      <c r="ET283">
        <v>3.0948773389080002</v>
      </c>
      <c r="EU283">
        <v>2.1736206023819999</v>
      </c>
      <c r="EV283">
        <v>1.9437031139559999</v>
      </c>
      <c r="EW283">
        <v>2.3319287099979999</v>
      </c>
      <c r="EX283">
        <v>3.4003862933660001</v>
      </c>
      <c r="EY283">
        <v>2.3196471175840001</v>
      </c>
      <c r="EZ283">
        <v>2.1261837340969998</v>
      </c>
      <c r="FA283">
        <v>2.6096157846970001</v>
      </c>
      <c r="FB283">
        <v>3.702167391723</v>
      </c>
      <c r="FC283">
        <v>2.5421261241669999</v>
      </c>
      <c r="FD283">
        <v>2.3365847233160002</v>
      </c>
      <c r="FE283">
        <v>2.9013875523919999</v>
      </c>
    </row>
    <row r="284" spans="2:161">
      <c r="B284" t="s">
        <v>614</v>
      </c>
      <c r="C284" t="s">
        <v>615</v>
      </c>
      <c r="D284" t="str">
        <f t="shared" si="7"/>
      </c>
      <c r="F284">
        <v>0</v>
      </c>
      <c r="G284">
        <v>0</v>
      </c>
      <c r="H284">
        <v>0</v>
      </c>
      <c r="I284">
        <v>0</v>
      </c>
      <c r="J284">
        <v>0</v>
      </c>
      <c r="K284">
        <v>0</v>
      </c>
      <c r="L284">
        <v>0</v>
      </c>
      <c r="M284">
        <v>0</v>
      </c>
      <c r="N284">
        <v>0</v>
      </c>
      <c r="O284">
        <v>0</v>
      </c>
      <c r="P284">
        <v>0</v>
      </c>
      <c r="Q284">
        <v>0</v>
      </c>
      <c r="R284">
        <v>-2488</v>
      </c>
      <c r="S284">
        <v>-10564</v>
      </c>
      <c r="T284">
        <v>-11126</v>
      </c>
      <c r="U284">
        <v>-11561</v>
      </c>
      <c r="V284">
        <v>-12150</v>
      </c>
      <c r="W284">
        <v>-12769</v>
      </c>
      <c r="X284">
        <v>-13712</v>
      </c>
      <c r="Y284">
        <v>-14119</v>
      </c>
      <c r="Z284">
        <v>-14081</v>
      </c>
      <c r="AA284">
        <v>-14467</v>
      </c>
      <c r="AB284">
        <v>-14841</v>
      </c>
      <c r="AC284">
        <v>-15025</v>
      </c>
      <c r="AD284">
        <v>-15234</v>
      </c>
      <c r="AE284">
        <v>-15377.8294673769</v>
      </c>
      <c r="AF284">
        <v>-15490.1187754115</v>
      </c>
      <c r="AG284">
        <v>-15566.9155895777</v>
      </c>
      <c r="AH284">
        <v>-15593.654127297399</v>
      </c>
      <c r="AI284">
        <v>-15590.779823249</v>
      </c>
      <c r="AJ284">
        <v>-15562.924226101801</v>
      </c>
      <c r="AL284">
        <v>0</v>
      </c>
      <c r="AM284">
        <v>0</v>
      </c>
      <c r="AN284">
        <v>0</v>
      </c>
      <c r="AO284">
        <v>0</v>
      </c>
      <c r="AP284">
        <v>0</v>
      </c>
      <c r="AQ284">
        <v>0</v>
      </c>
      <c r="AR284">
        <v>0</v>
      </c>
      <c r="AS284">
        <v>0</v>
      </c>
      <c r="AT284">
        <v>0</v>
      </c>
      <c r="AU284">
        <v>0</v>
      </c>
      <c r="AV284">
        <v>0</v>
      </c>
      <c r="AW284">
        <v>0</v>
      </c>
      <c r="AX284">
        <v>0</v>
      </c>
      <c r="AY284">
        <v>0</v>
      </c>
      <c r="AZ284">
        <v>0</v>
      </c>
      <c r="BA284">
        <v>0</v>
      </c>
      <c r="BB284">
        <v>0</v>
      </c>
      <c r="BC284">
        <v>0</v>
      </c>
      <c r="BD284">
        <v>0</v>
      </c>
      <c r="BE284">
        <v>0</v>
      </c>
      <c r="BF284">
        <v>0</v>
      </c>
      <c r="BG284">
        <v>0</v>
      </c>
      <c r="BH284">
        <v>0</v>
      </c>
      <c r="BI284">
        <v>0</v>
      </c>
      <c r="BJ284">
        <v>0</v>
      </c>
      <c r="BK284">
        <v>0</v>
      </c>
      <c r="BL284">
        <v>0</v>
      </c>
      <c r="BM284">
        <v>0</v>
      </c>
      <c r="BN284">
        <v>0</v>
      </c>
      <c r="BO284">
        <v>0</v>
      </c>
      <c r="BP284">
        <v>0</v>
      </c>
      <c r="BQ284">
        <v>0</v>
      </c>
      <c r="BR284">
        <v>0</v>
      </c>
      <c r="BS284">
        <v>0</v>
      </c>
      <c r="BT284">
        <v>0</v>
      </c>
      <c r="BU284">
        <v>0</v>
      </c>
      <c r="BV284">
        <v>0</v>
      </c>
      <c r="BW284">
        <v>0</v>
      </c>
      <c r="BX284">
        <v>0</v>
      </c>
      <c r="BY284">
        <v>0</v>
      </c>
      <c r="BZ284">
        <v>0</v>
      </c>
      <c r="CA284">
        <v>0</v>
      </c>
      <c r="CB284">
        <v>0</v>
      </c>
      <c r="CC284">
        <v>0</v>
      </c>
      <c r="CD284">
        <v>0</v>
      </c>
      <c r="CE284">
        <v>0</v>
      </c>
      <c r="CF284">
        <v>0</v>
      </c>
      <c r="CG284">
        <v>0</v>
      </c>
      <c r="CH284">
        <v>0</v>
      </c>
      <c r="CI284">
        <v>0</v>
      </c>
      <c r="CJ284">
        <v>0</v>
      </c>
      <c r="CK284">
        <v>-2488</v>
      </c>
      <c r="CL284">
        <v>-2493</v>
      </c>
      <c r="CM284">
        <v>-2491</v>
      </c>
      <c r="CN284">
        <v>-2811</v>
      </c>
      <c r="CO284">
        <v>-2769</v>
      </c>
      <c r="CP284">
        <v>-2769</v>
      </c>
      <c r="CQ284">
        <v>-2661</v>
      </c>
      <c r="CR284">
        <v>-2867</v>
      </c>
      <c r="CS284">
        <v>-2829</v>
      </c>
      <c r="CT284">
        <v>-2801</v>
      </c>
      <c r="CU284">
        <v>-2743</v>
      </c>
      <c r="CV284">
        <v>-3053</v>
      </c>
      <c r="CW284">
        <v>-2964</v>
      </c>
      <c r="CX284">
        <v>-2969</v>
      </c>
      <c r="CY284">
        <v>-2902</v>
      </c>
      <c r="CZ284">
        <v>-3187</v>
      </c>
      <c r="DA284">
        <v>-3092</v>
      </c>
      <c r="DB284">
        <v>-3130</v>
      </c>
      <c r="DC284">
        <v>-3004</v>
      </c>
      <c r="DD284">
        <v>-3365</v>
      </c>
      <c r="DE284">
        <v>-3270</v>
      </c>
      <c r="DF284">
        <v>-3339</v>
      </c>
      <c r="DG284">
        <v>-3190</v>
      </c>
      <c r="DH284">
        <v>-3653</v>
      </c>
      <c r="DI284">
        <v>-3530</v>
      </c>
      <c r="DJ284">
        <v>-3568</v>
      </c>
      <c r="DK284">
        <v>-3443</v>
      </c>
      <c r="DL284">
        <v>-3629</v>
      </c>
      <c r="DM284">
        <v>-3479</v>
      </c>
      <c r="DN284">
        <v>-3539</v>
      </c>
      <c r="DO284">
        <v>-3375</v>
      </c>
      <c r="DP284">
        <v>-3656</v>
      </c>
      <c r="DQ284">
        <v>-3511</v>
      </c>
      <c r="DR284">
        <v>-3613</v>
      </c>
      <c r="DS284">
        <v>-3447</v>
      </c>
      <c r="DT284">
        <v>-3767</v>
      </c>
      <c r="DU284">
        <v>-3640</v>
      </c>
      <c r="DV284">
        <v>-3732</v>
      </c>
      <c r="DW284">
        <v>-3595</v>
      </c>
      <c r="DX284">
        <v>-3811</v>
      </c>
      <c r="DY284">
        <v>-3703</v>
      </c>
      <c r="DZ284">
        <v>-3768</v>
      </c>
      <c r="EA284">
        <v>-3650</v>
      </c>
      <c r="EB284">
        <v>-3849</v>
      </c>
      <c r="EC284">
        <v>-3758</v>
      </c>
      <c r="ED284">
        <v>-3825</v>
      </c>
      <c r="EE284">
        <v>-3710</v>
      </c>
      <c r="EF284">
        <v>-3895</v>
      </c>
      <c r="EG284">
        <v>-3804</v>
      </c>
      <c r="EH284">
        <v>-3856</v>
      </c>
      <c r="EI284">
        <v>-3758</v>
      </c>
      <c r="EJ284">
        <v>-3893.92154560976</v>
      </c>
      <c r="EK284">
        <v>-3869.9079217671001</v>
      </c>
      <c r="EL284">
        <v>-3843.4824481678002</v>
      </c>
      <c r="EM284">
        <v>-3814.7264905821198</v>
      </c>
      <c r="EN284">
        <v>-3931.10112995804</v>
      </c>
      <c r="EO284">
        <v>-3900.8087067035299</v>
      </c>
      <c r="EP284">
        <v>-3869.88376351125</v>
      </c>
      <c r="EQ284">
        <v>-3837.60002992399</v>
      </c>
      <c r="ER284">
        <v>-3946.2776114811199</v>
      </c>
      <c r="ES284">
        <v>-3913.15418466136</v>
      </c>
      <c r="ET284">
        <v>-3880.4564755213401</v>
      </c>
      <c r="EU284">
        <v>-3846.9909801334102</v>
      </c>
      <c r="EV284">
        <v>-3950.0357814283998</v>
      </c>
      <c r="EW284">
        <v>-3916.17089021427</v>
      </c>
      <c r="EX284">
        <v>-3882.8287211236998</v>
      </c>
      <c r="EY284">
        <v>-3848.8267903053402</v>
      </c>
      <c r="EZ284">
        <v>-3946.72111499013</v>
      </c>
      <c r="FA284">
        <v>-3912.40319682983</v>
      </c>
      <c r="FB284">
        <v>-3878.6391186032602</v>
      </c>
      <c r="FC284">
        <v>-3844.2878943027899</v>
      </c>
      <c r="FD284">
        <v>-3937.3034000094699</v>
      </c>
      <c r="FE284">
        <v>-3902.6938131862598</v>
      </c>
    </row>
    <row r="285" spans="2:161">
      <c r="B285" t="s">
        <v>616</v>
      </c>
      <c r="C285" t="s">
        <v>617</v>
      </c>
      <c r="D285" t="str">
        <f t="shared" si="7"/>
      </c>
      <c r="R285">
        <v>9.5000000000000001E-2</v>
      </c>
      <c r="S285">
        <v>0.40785714285699998</v>
      </c>
      <c r="T285">
        <v>0.45285714285700002</v>
      </c>
      <c r="U285">
        <v>0.495</v>
      </c>
      <c r="V285">
        <v>0.54500000000000004</v>
      </c>
      <c r="W285">
        <v>0.6</v>
      </c>
      <c r="X285">
        <v>0.68</v>
      </c>
      <c r="Y285">
        <v>0.75</v>
      </c>
      <c r="Z285">
        <v>0.79500000000000004</v>
      </c>
      <c r="AA285">
        <v>0.85</v>
      </c>
      <c r="AB285">
        <v>0.9</v>
      </c>
      <c r="AC285">
        <v>0.94</v>
      </c>
      <c r="AD285">
        <v>0.98</v>
      </c>
      <c r="AE285">
        <v>1.02</v>
      </c>
      <c r="AF285">
        <v>1.06</v>
      </c>
      <c r="AG285">
        <v>1.1000000000000001</v>
      </c>
      <c r="AH285">
        <v>1.1399999999999999</v>
      </c>
      <c r="AI285">
        <v>1.18</v>
      </c>
      <c r="AJ285">
        <v>1.22</v>
      </c>
      <c r="CK285">
        <v>9.5000000000000001E-2</v>
      </c>
      <c r="CL285">
        <v>9.5000000000000001E-2</v>
      </c>
      <c r="CM285">
        <v>9.5000000000000001E-2</v>
      </c>
      <c r="CN285">
        <v>0.108928571429</v>
      </c>
      <c r="CO285">
        <v>0.108928571429</v>
      </c>
      <c r="CP285">
        <v>0.108928571429</v>
      </c>
      <c r="CQ285">
        <v>0.108928571429</v>
      </c>
      <c r="CR285">
        <v>0.11749999999999999</v>
      </c>
      <c r="CS285">
        <v>0.11749999999999999</v>
      </c>
      <c r="CT285">
        <v>0.11749999999999999</v>
      </c>
      <c r="CU285">
        <v>0.11749999999999999</v>
      </c>
      <c r="CV285">
        <v>0.13</v>
      </c>
      <c r="CW285">
        <v>0.13</v>
      </c>
      <c r="CX285">
        <v>0.13</v>
      </c>
      <c r="CY285">
        <v>0.13</v>
      </c>
      <c r="CZ285">
        <v>0.14249999999999999</v>
      </c>
      <c r="DA285">
        <v>0.14249999999999999</v>
      </c>
      <c r="DB285">
        <v>0.14249999999999999</v>
      </c>
      <c r="DC285">
        <v>0.14249999999999999</v>
      </c>
      <c r="DD285">
        <v>0.1575</v>
      </c>
      <c r="DE285">
        <v>0.1575</v>
      </c>
      <c r="DF285">
        <v>0.1575</v>
      </c>
      <c r="DG285">
        <v>0.1575</v>
      </c>
      <c r="DH285">
        <v>0.1825</v>
      </c>
      <c r="DI285">
        <v>0.1825</v>
      </c>
      <c r="DJ285">
        <v>0.1825</v>
      </c>
      <c r="DK285">
        <v>0.1825</v>
      </c>
      <c r="DL285">
        <v>0.1925</v>
      </c>
      <c r="DM285">
        <v>0.1925</v>
      </c>
      <c r="DN285">
        <v>0.1925</v>
      </c>
      <c r="DO285">
        <v>0.1925</v>
      </c>
      <c r="DP285">
        <v>0.20499999999999999</v>
      </c>
      <c r="DQ285">
        <v>0.20499999999999999</v>
      </c>
      <c r="DR285">
        <v>0.20499999999999999</v>
      </c>
      <c r="DS285">
        <v>0.20499999999999999</v>
      </c>
      <c r="DT285">
        <v>0.22</v>
      </c>
      <c r="DU285">
        <v>0.22</v>
      </c>
      <c r="DV285">
        <v>0.22</v>
      </c>
      <c r="DW285">
        <v>0.22</v>
      </c>
      <c r="DX285">
        <v>0.23</v>
      </c>
      <c r="DY285">
        <v>0.23</v>
      </c>
      <c r="DZ285">
        <v>0.23</v>
      </c>
      <c r="EA285">
        <v>0.23</v>
      </c>
      <c r="EB285">
        <v>0.24</v>
      </c>
      <c r="EC285">
        <v>0.24</v>
      </c>
      <c r="ED285">
        <v>0.24</v>
      </c>
      <c r="EE285">
        <v>0.24</v>
      </c>
      <c r="EF285">
        <v>0.25</v>
      </c>
      <c r="EG285">
        <v>0.25</v>
      </c>
      <c r="EH285">
        <v>0.25</v>
      </c>
      <c r="EI285">
        <v>0.25</v>
      </c>
      <c r="EJ285">
        <v>0.26</v>
      </c>
      <c r="EK285">
        <v>0.26</v>
      </c>
      <c r="EL285">
        <v>0.26</v>
      </c>
      <c r="EM285">
        <v>0.26</v>
      </c>
      <c r="EN285">
        <v>0.27</v>
      </c>
      <c r="EO285">
        <v>0.27</v>
      </c>
      <c r="EP285">
        <v>0.27</v>
      </c>
      <c r="EQ285">
        <v>0.27</v>
      </c>
      <c r="ER285">
        <v>0.28000000000000003</v>
      </c>
      <c r="ES285">
        <v>0.28000000000000003</v>
      </c>
      <c r="ET285">
        <v>0.28000000000000003</v>
      </c>
      <c r="EU285">
        <v>0.28000000000000003</v>
      </c>
      <c r="EV285">
        <v>0.28999999999999998</v>
      </c>
      <c r="EW285">
        <v>0.28999999999999998</v>
      </c>
      <c r="EX285">
        <v>0.28999999999999998</v>
      </c>
      <c r="EY285">
        <v>0.28999999999999998</v>
      </c>
      <c r="EZ285">
        <v>0.3</v>
      </c>
      <c r="FA285">
        <v>0.3</v>
      </c>
      <c r="FB285">
        <v>0.3</v>
      </c>
      <c r="FC285">
        <v>0.3</v>
      </c>
      <c r="FD285">
        <v>0.31</v>
      </c>
      <c r="FE285">
        <v>0.31</v>
      </c>
    </row>
    <row r="286" spans="2:161">
      <c r="B286" t="s">
        <v>618</v>
      </c>
      <c r="C286" t="s">
        <v>619</v>
      </c>
      <c r="F286">
        <v>18178.146000000001</v>
      </c>
      <c r="G286">
        <v>19359.675999999999</v>
      </c>
      <c r="H286">
        <v>19881.259999999998</v>
      </c>
      <c r="I286">
        <v>20195.434000000001</v>
      </c>
      <c r="J286">
        <v>20807.962</v>
      </c>
      <c r="K286">
        <v>22636.011999999999</v>
      </c>
      <c r="L286">
        <v>23640.771000000001</v>
      </c>
      <c r="M286">
        <v>24208.667000000001</v>
      </c>
      <c r="N286">
        <v>24677.673999999999</v>
      </c>
      <c r="O286">
        <v>25004.462</v>
      </c>
      <c r="P286">
        <v>25464.894</v>
      </c>
      <c r="Q286">
        <v>25878.146000000001</v>
      </c>
      <c r="R286">
        <v>26176.934000000001</v>
      </c>
      <c r="S286">
        <v>25909.281999999999</v>
      </c>
      <c r="T286">
        <v>24342.282999999999</v>
      </c>
      <c r="U286">
        <v>23013.683000000001</v>
      </c>
      <c r="V286">
        <v>21883.280999999999</v>
      </c>
      <c r="W286">
        <v>20868.968000000001</v>
      </c>
      <c r="X286">
        <v>19821.509999999998</v>
      </c>
      <c r="Y286">
        <v>18471.335999999999</v>
      </c>
      <c r="Z286">
        <v>17352.119500000001</v>
      </c>
      <c r="AA286">
        <v>16701.27175</v>
      </c>
      <c r="AB286">
        <v>16215.963250000001</v>
      </c>
      <c r="AC286">
        <v>15744.231250000001</v>
      </c>
      <c r="AD286">
        <v>15343.782499999999</v>
      </c>
      <c r="AE286">
        <v>14950.896641708499</v>
      </c>
      <c r="AF286">
        <v>14550.3798083849</v>
      </c>
      <c r="AG286">
        <v>14088.8578859799</v>
      </c>
      <c r="AH286">
        <v>13615.668304802401</v>
      </c>
      <c r="AI286">
        <v>13149.439528323301</v>
      </c>
      <c r="AJ286">
        <v>12693.2999084935</v>
      </c>
      <c r="AL286">
        <v>18036.367999999999</v>
      </c>
      <c r="AM286">
        <v>18163.263999999999</v>
      </c>
      <c r="AN286">
        <v>18202.240000000002</v>
      </c>
      <c r="AO286">
        <v>18310.712</v>
      </c>
      <c r="AP286">
        <v>18881.52</v>
      </c>
      <c r="AQ286">
        <v>19380.48</v>
      </c>
      <c r="AR286">
        <v>19530.84</v>
      </c>
      <c r="AS286">
        <v>19645.864000000001</v>
      </c>
      <c r="AT286">
        <v>19674.48</v>
      </c>
      <c r="AU286">
        <v>19794.88</v>
      </c>
      <c r="AV286">
        <v>19956.72</v>
      </c>
      <c r="AW286">
        <v>20098.96</v>
      </c>
      <c r="AX286">
        <v>20107.191999999999</v>
      </c>
      <c r="AY286">
        <v>20187.439999999999</v>
      </c>
      <c r="AZ286">
        <v>20204.407999999999</v>
      </c>
      <c r="BA286">
        <v>20282.696</v>
      </c>
      <c r="BB286">
        <v>20297.2</v>
      </c>
      <c r="BC286">
        <v>20459.432000000001</v>
      </c>
      <c r="BD286">
        <v>21001.288</v>
      </c>
      <c r="BE286">
        <v>21473.928</v>
      </c>
      <c r="BF286">
        <v>22092.896000000001</v>
      </c>
      <c r="BG286">
        <v>22628.815999999999</v>
      </c>
      <c r="BH286">
        <v>22822.576000000001</v>
      </c>
      <c r="BI286">
        <v>22999.759999999998</v>
      </c>
      <c r="BJ286">
        <v>23261.867999999999</v>
      </c>
      <c r="BK286">
        <v>23545.48</v>
      </c>
      <c r="BL286">
        <v>23838.5</v>
      </c>
      <c r="BM286">
        <v>23917.236000000001</v>
      </c>
      <c r="BN286">
        <v>24015.348000000002</v>
      </c>
      <c r="BO286">
        <v>24164.083999999999</v>
      </c>
      <c r="BP286">
        <v>24270.567999999999</v>
      </c>
      <c r="BQ286">
        <v>24384.668000000001</v>
      </c>
      <c r="BR286">
        <v>24524.080000000002</v>
      </c>
      <c r="BS286">
        <v>24627.288</v>
      </c>
      <c r="BT286">
        <v>24744.664000000001</v>
      </c>
      <c r="BU286">
        <v>24814.664000000001</v>
      </c>
      <c r="BV286">
        <v>24895.975999999999</v>
      </c>
      <c r="BW286">
        <v>24953.040000000001</v>
      </c>
      <c r="BX286">
        <v>25023.936000000002</v>
      </c>
      <c r="BY286">
        <v>25144.896000000001</v>
      </c>
      <c r="BZ286">
        <v>25299.175999999999</v>
      </c>
      <c r="CA286">
        <v>25411.344000000001</v>
      </c>
      <c r="CB286">
        <v>25541.516</v>
      </c>
      <c r="CC286">
        <v>25607.54</v>
      </c>
      <c r="CD286">
        <v>25740.232</v>
      </c>
      <c r="CE286">
        <v>25849.488000000001</v>
      </c>
      <c r="CF286">
        <v>25931.024000000001</v>
      </c>
      <c r="CG286">
        <v>25991.84</v>
      </c>
      <c r="CH286">
        <v>26069.148000000001</v>
      </c>
      <c r="CI286">
        <v>26140.295999999998</v>
      </c>
      <c r="CJ286">
        <v>26224.687999999998</v>
      </c>
      <c r="CK286">
        <v>26273.603999999999</v>
      </c>
      <c r="CL286">
        <v>26289.648000000001</v>
      </c>
      <c r="CM286">
        <v>26309.612000000001</v>
      </c>
      <c r="CN286">
        <v>25721.304</v>
      </c>
      <c r="CO286">
        <v>25316.563999999998</v>
      </c>
      <c r="CP286">
        <v>25090.016</v>
      </c>
      <c r="CQ286">
        <v>24493.196</v>
      </c>
      <c r="CR286">
        <v>24050.54</v>
      </c>
      <c r="CS286">
        <v>23735.38</v>
      </c>
      <c r="CT286">
        <v>23372.328000000001</v>
      </c>
      <c r="CU286">
        <v>23175.196</v>
      </c>
      <c r="CV286">
        <v>22919.544000000002</v>
      </c>
      <c r="CW286">
        <v>22587.664000000001</v>
      </c>
      <c r="CX286">
        <v>22235.72</v>
      </c>
      <c r="CY286">
        <v>22057.524000000001</v>
      </c>
      <c r="CZ286">
        <v>21772.232</v>
      </c>
      <c r="DA286">
        <v>21467.648000000001</v>
      </c>
      <c r="DB286">
        <v>21194.644</v>
      </c>
      <c r="DC286">
        <v>20903.164000000001</v>
      </c>
      <c r="DD286">
        <v>20780.351999999999</v>
      </c>
      <c r="DE286">
        <v>20597.712</v>
      </c>
      <c r="DF286">
        <v>20451.508000000002</v>
      </c>
      <c r="DG286">
        <v>20099.508000000002</v>
      </c>
      <c r="DH286">
        <v>19528.668000000001</v>
      </c>
      <c r="DI286">
        <v>19206.356</v>
      </c>
      <c r="DJ286">
        <v>18943.28</v>
      </c>
      <c r="DK286">
        <v>18696.284</v>
      </c>
      <c r="DL286">
        <v>18282.531999999999</v>
      </c>
      <c r="DM286">
        <v>17963.248</v>
      </c>
      <c r="DN286">
        <v>17660.16</v>
      </c>
      <c r="DO286">
        <v>17440.403999999999</v>
      </c>
      <c r="DP286">
        <v>17250.292000000001</v>
      </c>
      <c r="DQ286">
        <v>17057.621999999999</v>
      </c>
      <c r="DR286">
        <v>16935.118999999999</v>
      </c>
      <c r="DS286">
        <v>16753.475999999999</v>
      </c>
      <c r="DT286">
        <v>16629.370999999999</v>
      </c>
      <c r="DU286">
        <v>16487.120999999999</v>
      </c>
      <c r="DV286">
        <v>16391.723999999998</v>
      </c>
      <c r="DW286">
        <v>16278.802</v>
      </c>
      <c r="DX286">
        <v>16162.945</v>
      </c>
      <c r="DY286">
        <v>16030.382</v>
      </c>
      <c r="DZ286">
        <v>15892.723</v>
      </c>
      <c r="EA286">
        <v>15787.154</v>
      </c>
      <c r="EB286">
        <v>15697.614</v>
      </c>
      <c r="EC286">
        <v>15599.433999999999</v>
      </c>
      <c r="ED286">
        <v>15509.763000000001</v>
      </c>
      <c r="EE286">
        <v>15405.856</v>
      </c>
      <c r="EF286">
        <v>15287.521000000001</v>
      </c>
      <c r="EG286">
        <v>15171.99</v>
      </c>
      <c r="EH286">
        <v>15081.724</v>
      </c>
      <c r="EI286">
        <v>14991.082</v>
      </c>
      <c r="EJ286">
        <v>14911.570329268299</v>
      </c>
      <c r="EK286">
        <v>14819.2102375658</v>
      </c>
      <c r="EL286">
        <v>14717.573800645399</v>
      </c>
      <c r="EM286">
        <v>14606.9739637774</v>
      </c>
      <c r="EN286">
        <v>14494.582814659399</v>
      </c>
      <c r="EO286">
        <v>14382.3886544575</v>
      </c>
      <c r="EP286">
        <v>14267.851827819401</v>
      </c>
      <c r="EQ286">
        <v>14148.2824441629</v>
      </c>
      <c r="ER286">
        <v>14028.7976124326</v>
      </c>
      <c r="ES286">
        <v>13910.4996595049</v>
      </c>
      <c r="ET286">
        <v>13793.7221268619</v>
      </c>
      <c r="EU286">
        <v>13674.2025004765</v>
      </c>
      <c r="EV286">
        <v>13555.762039408301</v>
      </c>
      <c r="EW286">
        <v>13438.986552463</v>
      </c>
      <c r="EX286">
        <v>13324.013555599</v>
      </c>
      <c r="EY286">
        <v>13206.7655182943</v>
      </c>
      <c r="EZ286">
        <v>13090.6860499671</v>
      </c>
      <c r="FA286">
        <v>12976.292989432801</v>
      </c>
      <c r="FB286">
        <v>12863.7460620109</v>
      </c>
      <c r="FC286">
        <v>12749.2419810093</v>
      </c>
      <c r="FD286">
        <v>12635.927709707999</v>
      </c>
      <c r="FE286">
        <v>12524.283881246</v>
      </c>
    </row>
    <row r="287" spans="2:161">
      <c r="B287" t="s">
        <v>620</v>
      </c>
      <c r="C287" t="s">
        <v>621</v>
      </c>
      <c r="F287">
        <v>20221.894</v>
      </c>
      <c r="G287">
        <v>19673.808000000001</v>
      </c>
      <c r="H287">
        <v>20313.524000000001</v>
      </c>
      <c r="I287">
        <v>20407.842000000001</v>
      </c>
      <c r="J287">
        <v>21644.91</v>
      </c>
      <c r="K287">
        <v>23965.613000000001</v>
      </c>
      <c r="L287">
        <v>24555.082999999999</v>
      </c>
      <c r="M287">
        <v>24894.008999999998</v>
      </c>
      <c r="N287">
        <v>25251.351999999999</v>
      </c>
      <c r="O287">
        <v>25396.147000000001</v>
      </c>
      <c r="P287">
        <v>25891.929</v>
      </c>
      <c r="Q287">
        <v>26224.974999999999</v>
      </c>
      <c r="R287">
        <v>26471.97</v>
      </c>
      <c r="S287">
        <v>26086.536</v>
      </c>
      <c r="T287">
        <v>24490.652999999998</v>
      </c>
      <c r="U287">
        <v>23172.278999999999</v>
      </c>
      <c r="V287">
        <v>22001.127</v>
      </c>
      <c r="W287">
        <v>21006.767</v>
      </c>
      <c r="X287">
        <v>20000.436000000002</v>
      </c>
      <c r="Y287">
        <v>18595.651000000002</v>
      </c>
      <c r="Z287">
        <v>17528.213250000001</v>
      </c>
      <c r="AA287">
        <v>16864.919249999999</v>
      </c>
      <c r="AB287">
        <v>16325.81875</v>
      </c>
      <c r="AC287">
        <v>15812.54725</v>
      </c>
      <c r="AD287">
        <v>15408.094499999999</v>
      </c>
      <c r="AE287">
        <v>15016.9701417085</v>
      </c>
      <c r="AF287">
        <v>14615.430808384899</v>
      </c>
      <c r="AG287">
        <v>14153.908885979899</v>
      </c>
      <c r="AH287">
        <v>13680.7193048024</v>
      </c>
      <c r="AI287">
        <v>13214.4905283233</v>
      </c>
      <c r="AJ287">
        <v>12758.350908493499</v>
      </c>
      <c r="AL287">
        <v>19982.704000000002</v>
      </c>
      <c r="AM287">
        <v>20383.216</v>
      </c>
      <c r="AN287">
        <v>20261.752</v>
      </c>
      <c r="AO287">
        <v>20259.903999999999</v>
      </c>
      <c r="AP287">
        <v>18881.52</v>
      </c>
      <c r="AQ287">
        <v>19757.472000000002</v>
      </c>
      <c r="AR287">
        <v>20090.84</v>
      </c>
      <c r="AS287">
        <v>19965.400000000001</v>
      </c>
      <c r="AT287">
        <v>20010.48</v>
      </c>
      <c r="AU287">
        <v>20494.263999999999</v>
      </c>
      <c r="AV287">
        <v>20545.392</v>
      </c>
      <c r="AW287">
        <v>20203.96</v>
      </c>
      <c r="AX287">
        <v>20213.2</v>
      </c>
      <c r="AY287">
        <v>20285.608</v>
      </c>
      <c r="AZ287">
        <v>20371.511999999999</v>
      </c>
      <c r="BA287">
        <v>20761.047999999999</v>
      </c>
      <c r="BB287">
        <v>20849.248</v>
      </c>
      <c r="BC287">
        <v>21180.880000000001</v>
      </c>
      <c r="BD287">
        <v>21986.776000000002</v>
      </c>
      <c r="BE287">
        <v>22562.736000000001</v>
      </c>
      <c r="BF287">
        <v>23486.54</v>
      </c>
      <c r="BG287">
        <v>24011.903999999999</v>
      </c>
      <c r="BH287">
        <v>24102.484</v>
      </c>
      <c r="BI287">
        <v>24261.524000000001</v>
      </c>
      <c r="BJ287">
        <v>24477.795999999998</v>
      </c>
      <c r="BK287">
        <v>24599.036</v>
      </c>
      <c r="BL287">
        <v>24538.304</v>
      </c>
      <c r="BM287">
        <v>24605.196</v>
      </c>
      <c r="BN287">
        <v>24732.315999999999</v>
      </c>
      <c r="BO287">
        <v>24826.284</v>
      </c>
      <c r="BP287">
        <v>24938.788</v>
      </c>
      <c r="BQ287">
        <v>25078.648000000001</v>
      </c>
      <c r="BR287">
        <v>25201.511999999999</v>
      </c>
      <c r="BS287">
        <v>25181.212</v>
      </c>
      <c r="BT287">
        <v>25288.675999999999</v>
      </c>
      <c r="BU287">
        <v>25334.008000000002</v>
      </c>
      <c r="BV287">
        <v>25241.831999999999</v>
      </c>
      <c r="BW287">
        <v>25283.804</v>
      </c>
      <c r="BX287">
        <v>25456.48</v>
      </c>
      <c r="BY287">
        <v>25602.472000000002</v>
      </c>
      <c r="BZ287">
        <v>25753.923999999999</v>
      </c>
      <c r="CA287">
        <v>25840.583999999999</v>
      </c>
      <c r="CB287">
        <v>25966.108</v>
      </c>
      <c r="CC287">
        <v>26007.1</v>
      </c>
      <c r="CD287">
        <v>26128.312000000002</v>
      </c>
      <c r="CE287">
        <v>26206.432000000001</v>
      </c>
      <c r="CF287">
        <v>26258.68</v>
      </c>
      <c r="CG287">
        <v>26306.475999999999</v>
      </c>
      <c r="CH287">
        <v>26364.016</v>
      </c>
      <c r="CI287">
        <v>26457.004000000001</v>
      </c>
      <c r="CJ287">
        <v>26517.651999999998</v>
      </c>
      <c r="CK287">
        <v>26549.207999999999</v>
      </c>
      <c r="CL287">
        <v>26522.076000000001</v>
      </c>
      <c r="CM287">
        <v>26488.98</v>
      </c>
      <c r="CN287">
        <v>25879.42</v>
      </c>
      <c r="CO287">
        <v>25455.668000000001</v>
      </c>
      <c r="CP287">
        <v>25240.655999999999</v>
      </c>
      <c r="CQ287">
        <v>24626.784</v>
      </c>
      <c r="CR287">
        <v>24206.844000000001</v>
      </c>
      <c r="CS287">
        <v>23888.328000000001</v>
      </c>
      <c r="CT287">
        <v>23527.212</v>
      </c>
      <c r="CU287">
        <v>23339.432000000001</v>
      </c>
      <c r="CV287">
        <v>23092.396000000001</v>
      </c>
      <c r="CW287">
        <v>22730.076000000001</v>
      </c>
      <c r="CX287">
        <v>22376.508000000002</v>
      </c>
      <c r="CY287">
        <v>22163.544000000002</v>
      </c>
      <c r="CZ287">
        <v>21891.124</v>
      </c>
      <c r="DA287">
        <v>21573.331999999999</v>
      </c>
      <c r="DB287">
        <v>21311.98</v>
      </c>
      <c r="DC287">
        <v>21046.752</v>
      </c>
      <c r="DD287">
        <v>20933.995999999999</v>
      </c>
      <c r="DE287">
        <v>20734.34</v>
      </c>
      <c r="DF287">
        <v>20631.148000000001</v>
      </c>
      <c r="DG287">
        <v>20273.972000000002</v>
      </c>
      <c r="DH287">
        <v>19706.436000000002</v>
      </c>
      <c r="DI287">
        <v>19390.187999999998</v>
      </c>
      <c r="DJ287">
        <v>19093.008000000002</v>
      </c>
      <c r="DK287">
        <v>18802.583999999999</v>
      </c>
      <c r="DL287">
        <v>18405.52</v>
      </c>
      <c r="DM287">
        <v>18081.491999999998</v>
      </c>
      <c r="DN287">
        <v>17818.416000000001</v>
      </c>
      <c r="DO287">
        <v>17618.763999999999</v>
      </c>
      <c r="DP287">
        <v>17419.151999999998</v>
      </c>
      <c r="DQ287">
        <v>17256.521000000001</v>
      </c>
      <c r="DR287">
        <v>17113.687999999998</v>
      </c>
      <c r="DS287">
        <v>16929.156999999999</v>
      </c>
      <c r="DT287">
        <v>16781.735000000001</v>
      </c>
      <c r="DU287">
        <v>16635.097000000002</v>
      </c>
      <c r="DV287">
        <v>16519.291000000001</v>
      </c>
      <c r="DW287">
        <v>16403.315999999999</v>
      </c>
      <c r="DX287">
        <v>16262.203</v>
      </c>
      <c r="DY287">
        <v>16118.465</v>
      </c>
      <c r="DZ287">
        <v>15955.718000000001</v>
      </c>
      <c r="EA287">
        <v>15847.05</v>
      </c>
      <c r="EB287">
        <v>15775.021000000001</v>
      </c>
      <c r="EC287">
        <v>15672.4</v>
      </c>
      <c r="ED287">
        <v>15576.641</v>
      </c>
      <c r="EE287">
        <v>15464.709000000001</v>
      </c>
      <c r="EF287">
        <v>15348.174999999999</v>
      </c>
      <c r="EG287">
        <v>15242.852999999999</v>
      </c>
      <c r="EH287">
        <v>15150.865</v>
      </c>
      <c r="EI287">
        <v>15056.133</v>
      </c>
      <c r="EJ287">
        <v>14976.621329268301</v>
      </c>
      <c r="EK287">
        <v>14884.261237565799</v>
      </c>
      <c r="EL287">
        <v>14782.624800645401</v>
      </c>
      <c r="EM287">
        <v>14672.0249637774</v>
      </c>
      <c r="EN287">
        <v>14559.633814659401</v>
      </c>
      <c r="EO287">
        <v>14447.439654457499</v>
      </c>
      <c r="EP287">
        <v>14332.9028278194</v>
      </c>
      <c r="EQ287">
        <v>14213.333444162899</v>
      </c>
      <c r="ER287">
        <v>14093.848612432599</v>
      </c>
      <c r="ES287">
        <v>13975.550659504899</v>
      </c>
      <c r="ET287">
        <v>13858.773126861901</v>
      </c>
      <c r="EU287">
        <v>13739.2535004765</v>
      </c>
      <c r="EV287">
        <v>13620.8130394083</v>
      </c>
      <c r="EW287">
        <v>13504.037552463</v>
      </c>
      <c r="EX287">
        <v>13389.064555599</v>
      </c>
      <c r="EY287">
        <v>13271.816518294299</v>
      </c>
      <c r="EZ287">
        <v>13155.7370499671</v>
      </c>
      <c r="FA287">
        <v>13041.3439894328</v>
      </c>
      <c r="FB287">
        <v>12928.797062010901</v>
      </c>
      <c r="FC287">
        <v>12814.292981009299</v>
      </c>
      <c r="FD287">
        <v>12700.978709708001</v>
      </c>
      <c r="FE287">
        <v>12589.334881246001</v>
      </c>
    </row>
    <row r="288" spans="2:161">
      <c r="B288" t="s">
        <v>622</v>
      </c>
      <c r="C288" t="s">
        <v>623</v>
      </c>
      <c r="F288">
        <v>18178.146000000001</v>
      </c>
      <c r="G288">
        <v>19359.675999999999</v>
      </c>
      <c r="H288">
        <v>19881.259999999998</v>
      </c>
      <c r="I288">
        <v>20195.434000000001</v>
      </c>
      <c r="J288">
        <v>20807.962</v>
      </c>
      <c r="K288">
        <v>22636.011999999999</v>
      </c>
      <c r="L288">
        <v>23640.771000000001</v>
      </c>
      <c r="M288">
        <v>24208.667000000001</v>
      </c>
      <c r="N288">
        <v>24677.673999999999</v>
      </c>
      <c r="O288">
        <v>25004.462</v>
      </c>
      <c r="P288">
        <v>25464.894</v>
      </c>
      <c r="Q288">
        <v>25878.146000000001</v>
      </c>
      <c r="R288">
        <v>26176.934000000001</v>
      </c>
      <c r="S288">
        <v>25909.281999999999</v>
      </c>
      <c r="T288">
        <v>24342.282999999999</v>
      </c>
      <c r="U288">
        <v>23013.683000000001</v>
      </c>
      <c r="V288">
        <v>21883.280999999999</v>
      </c>
      <c r="W288">
        <v>20868.968000000001</v>
      </c>
      <c r="X288">
        <v>19821.509999999998</v>
      </c>
      <c r="Y288">
        <v>18471.335999999999</v>
      </c>
      <c r="Z288">
        <v>17352.119500000001</v>
      </c>
      <c r="AA288">
        <v>16701.27175</v>
      </c>
      <c r="AB288">
        <v>16215.963250000001</v>
      </c>
      <c r="AC288">
        <v>15744.231250000001</v>
      </c>
      <c r="AD288">
        <v>15343.782499999999</v>
      </c>
      <c r="AE288">
        <v>14950.896641708499</v>
      </c>
      <c r="AF288">
        <v>14550.3798083849</v>
      </c>
      <c r="AG288">
        <v>14088.8578859799</v>
      </c>
      <c r="AH288">
        <v>13615.668304802401</v>
      </c>
      <c r="AI288">
        <v>13149.439528323301</v>
      </c>
      <c r="AJ288">
        <v>12693.2999084935</v>
      </c>
      <c r="AL288">
        <v>18036.367999999999</v>
      </c>
      <c r="AM288">
        <v>18163.263999999999</v>
      </c>
      <c r="AN288">
        <v>18202.240000000002</v>
      </c>
      <c r="AO288">
        <v>18310.712</v>
      </c>
      <c r="AP288">
        <v>18881.52</v>
      </c>
      <c r="AQ288">
        <v>19380.48</v>
      </c>
      <c r="AR288">
        <v>19530.84</v>
      </c>
      <c r="AS288">
        <v>19645.864000000001</v>
      </c>
      <c r="AT288">
        <v>19674.48</v>
      </c>
      <c r="AU288">
        <v>19794.88</v>
      </c>
      <c r="AV288">
        <v>19956.72</v>
      </c>
      <c r="AW288">
        <v>20098.96</v>
      </c>
      <c r="AX288">
        <v>20107.191999999999</v>
      </c>
      <c r="AY288">
        <v>20187.439999999999</v>
      </c>
      <c r="AZ288">
        <v>20204.407999999999</v>
      </c>
      <c r="BA288">
        <v>20282.696</v>
      </c>
      <c r="BB288">
        <v>20297.2</v>
      </c>
      <c r="BC288">
        <v>20459.432000000001</v>
      </c>
      <c r="BD288">
        <v>21001.288</v>
      </c>
      <c r="BE288">
        <v>21473.928</v>
      </c>
      <c r="BF288">
        <v>22092.896000000001</v>
      </c>
      <c r="BG288">
        <v>22628.815999999999</v>
      </c>
      <c r="BH288">
        <v>22822.576000000001</v>
      </c>
      <c r="BI288">
        <v>22999.759999999998</v>
      </c>
      <c r="BJ288">
        <v>23261.867999999999</v>
      </c>
      <c r="BK288">
        <v>23545.48</v>
      </c>
      <c r="BL288">
        <v>23838.5</v>
      </c>
      <c r="BM288">
        <v>23917.236000000001</v>
      </c>
      <c r="BN288">
        <v>24015.348000000002</v>
      </c>
      <c r="BO288">
        <v>24164.083999999999</v>
      </c>
      <c r="BP288">
        <v>24270.567999999999</v>
      </c>
      <c r="BQ288">
        <v>24384.668000000001</v>
      </c>
      <c r="BR288">
        <v>24524.080000000002</v>
      </c>
      <c r="BS288">
        <v>24627.288</v>
      </c>
      <c r="BT288">
        <v>24744.664000000001</v>
      </c>
      <c r="BU288">
        <v>24814.664000000001</v>
      </c>
      <c r="BV288">
        <v>24895.975999999999</v>
      </c>
      <c r="BW288">
        <v>24953.040000000001</v>
      </c>
      <c r="BX288">
        <v>25023.936000000002</v>
      </c>
      <c r="BY288">
        <v>25144.896000000001</v>
      </c>
      <c r="BZ288">
        <v>25299.175999999999</v>
      </c>
      <c r="CA288">
        <v>25411.344000000001</v>
      </c>
      <c r="CB288">
        <v>25541.516</v>
      </c>
      <c r="CC288">
        <v>25607.54</v>
      </c>
      <c r="CD288">
        <v>25740.232</v>
      </c>
      <c r="CE288">
        <v>25849.488000000001</v>
      </c>
      <c r="CF288">
        <v>25931.024000000001</v>
      </c>
      <c r="CG288">
        <v>25991.84</v>
      </c>
      <c r="CH288">
        <v>26069.148000000001</v>
      </c>
      <c r="CI288">
        <v>26140.295999999998</v>
      </c>
      <c r="CJ288">
        <v>26224.687999999998</v>
      </c>
      <c r="CK288">
        <v>26273.603999999999</v>
      </c>
      <c r="CL288">
        <v>26289.648000000001</v>
      </c>
      <c r="CM288">
        <v>26309.612000000001</v>
      </c>
      <c r="CN288">
        <v>25721.304</v>
      </c>
      <c r="CO288">
        <v>25316.563999999998</v>
      </c>
      <c r="CP288">
        <v>25090.016</v>
      </c>
      <c r="CQ288">
        <v>24493.196</v>
      </c>
      <c r="CR288">
        <v>24050.54</v>
      </c>
      <c r="CS288">
        <v>23735.38</v>
      </c>
      <c r="CT288">
        <v>23372.328000000001</v>
      </c>
      <c r="CU288">
        <v>23175.196</v>
      </c>
      <c r="CV288">
        <v>22919.544000000002</v>
      </c>
      <c r="CW288">
        <v>22587.664000000001</v>
      </c>
      <c r="CX288">
        <v>22235.72</v>
      </c>
      <c r="CY288">
        <v>22057.524000000001</v>
      </c>
      <c r="CZ288">
        <v>21772.232</v>
      </c>
      <c r="DA288">
        <v>21467.648000000001</v>
      </c>
      <c r="DB288">
        <v>21194.644</v>
      </c>
      <c r="DC288">
        <v>20903.164000000001</v>
      </c>
      <c r="DD288">
        <v>20780.351999999999</v>
      </c>
      <c r="DE288">
        <v>20597.712</v>
      </c>
      <c r="DF288">
        <v>20451.508000000002</v>
      </c>
      <c r="DG288">
        <v>20099.508000000002</v>
      </c>
      <c r="DH288">
        <v>19528.668000000001</v>
      </c>
      <c r="DI288">
        <v>19206.356</v>
      </c>
      <c r="DJ288">
        <v>18943.28</v>
      </c>
      <c r="DK288">
        <v>18696.284</v>
      </c>
      <c r="DL288">
        <v>18282.531999999999</v>
      </c>
      <c r="DM288">
        <v>17963.248</v>
      </c>
      <c r="DN288">
        <v>17660.16</v>
      </c>
      <c r="DO288">
        <v>17440.403999999999</v>
      </c>
      <c r="DP288">
        <v>17250.292000000001</v>
      </c>
      <c r="DQ288">
        <v>17057.621999999999</v>
      </c>
      <c r="DR288">
        <v>16935.118999999999</v>
      </c>
      <c r="DS288">
        <v>16753.475999999999</v>
      </c>
      <c r="DT288">
        <v>16629.370999999999</v>
      </c>
      <c r="DU288">
        <v>16487.120999999999</v>
      </c>
      <c r="DV288">
        <v>16391.723999999998</v>
      </c>
      <c r="DW288">
        <v>16278.802</v>
      </c>
      <c r="DX288">
        <v>16162.945</v>
      </c>
      <c r="DY288">
        <v>16030.382</v>
      </c>
      <c r="DZ288">
        <v>15892.723</v>
      </c>
      <c r="EA288">
        <v>15787.154</v>
      </c>
      <c r="EB288">
        <v>15697.614</v>
      </c>
      <c r="EC288">
        <v>15599.433999999999</v>
      </c>
      <c r="ED288">
        <v>15509.763000000001</v>
      </c>
      <c r="EE288">
        <v>15405.856</v>
      </c>
      <c r="EF288">
        <v>15287.521000000001</v>
      </c>
      <c r="EG288">
        <v>15171.99</v>
      </c>
      <c r="EH288">
        <v>15081.724</v>
      </c>
      <c r="EI288">
        <v>14991.082</v>
      </c>
      <c r="EJ288">
        <v>14911.570329268299</v>
      </c>
      <c r="EK288">
        <v>14819.2102375658</v>
      </c>
      <c r="EL288">
        <v>14717.573800645399</v>
      </c>
      <c r="EM288">
        <v>14606.9739637774</v>
      </c>
      <c r="EN288">
        <v>14494.582814659399</v>
      </c>
      <c r="EO288">
        <v>14382.3886544575</v>
      </c>
      <c r="EP288">
        <v>14267.851827819401</v>
      </c>
      <c r="EQ288">
        <v>14148.2824441629</v>
      </c>
      <c r="ER288">
        <v>14028.7976124326</v>
      </c>
      <c r="ES288">
        <v>13910.4996595049</v>
      </c>
      <c r="ET288">
        <v>13793.7221268619</v>
      </c>
      <c r="EU288">
        <v>13674.2025004765</v>
      </c>
      <c r="EV288">
        <v>13555.762039408301</v>
      </c>
      <c r="EW288">
        <v>13438.986552463</v>
      </c>
      <c r="EX288">
        <v>13324.013555599</v>
      </c>
      <c r="EY288">
        <v>13206.7655182943</v>
      </c>
      <c r="EZ288">
        <v>13090.6860499671</v>
      </c>
      <c r="FA288">
        <v>12976.292989432801</v>
      </c>
      <c r="FB288">
        <v>12863.7460620109</v>
      </c>
      <c r="FC288">
        <v>12749.2419810093</v>
      </c>
      <c r="FD288">
        <v>12635.927709707999</v>
      </c>
      <c r="FE288">
        <v>12524.283881246</v>
      </c>
    </row>
    <row r="289" spans="1:161">
      <c r="A289" t="s">
        <v>282</v>
      </c>
    </row>
    <row r="290" spans="1:161">
      <c r="B290" t="s">
        <v>624</v>
      </c>
      <c r="C290" t="s">
        <v>625</v>
      </c>
      <c r="F290">
        <v>0.28316455696199999</v>
      </c>
      <c r="G290">
        <v>0.29409051724099999</v>
      </c>
      <c r="H290">
        <v>0.249522597072</v>
      </c>
      <c r="I290">
        <v>0.26923076923099998</v>
      </c>
      <c r="J290">
        <v>0.27832512315300001</v>
      </c>
      <c r="K290">
        <v>0.320243362832</v>
      </c>
      <c r="L290">
        <v>0.294180269695</v>
      </c>
      <c r="M290">
        <v>0.30183779464600002</v>
      </c>
      <c r="N290">
        <v>0.31608360344199998</v>
      </c>
      <c r="O290">
        <v>0.31750372948799999</v>
      </c>
      <c r="P290">
        <v>0.244174757282</v>
      </c>
      <c r="Q290">
        <v>0.24215757930099999</v>
      </c>
      <c r="R290">
        <v>0.25160052364500002</v>
      </c>
      <c r="S290">
        <v>0.26154919748799998</v>
      </c>
      <c r="T290">
        <v>0.26126058747600001</v>
      </c>
      <c r="U290">
        <v>0.263683375853</v>
      </c>
      <c r="V290">
        <v>0.25557257381199999</v>
      </c>
      <c r="W290">
        <v>0.245564761504</v>
      </c>
      <c r="X290">
        <v>0.18342180705899999</v>
      </c>
      <c r="Y290">
        <v>0.15943836804200001</v>
      </c>
      <c r="Z290">
        <v>0.14428164731500001</v>
      </c>
      <c r="AA290">
        <v>0.133022608441</v>
      </c>
      <c r="AB290">
        <v>0.16204461684400001</v>
      </c>
      <c r="AC290">
        <v>0.14719174228000001</v>
      </c>
      <c r="AD290">
        <v>0.157938211119</v>
      </c>
      <c r="AE290">
        <v>0.15437396482900001</v>
      </c>
      <c r="AF290">
        <v>0.16</v>
      </c>
      <c r="AG290">
        <v>0.16</v>
      </c>
      <c r="AH290">
        <v>0.16</v>
      </c>
      <c r="AI290">
        <v>0.16</v>
      </c>
      <c r="AJ290">
        <v>0.16</v>
      </c>
      <c r="AL290">
        <v>0.33268210526300002</v>
      </c>
      <c r="AM290">
        <v>0.26963470319600003</v>
      </c>
      <c r="AN290">
        <v>0.25956284152999998</v>
      </c>
      <c r="AO290">
        <v>0.25832302405500002</v>
      </c>
      <c r="AP290">
        <v>0.29825495750699998</v>
      </c>
      <c r="AQ290">
        <v>0.30644736842100001</v>
      </c>
      <c r="AR290">
        <v>0.29885057471299997</v>
      </c>
      <c r="AS290">
        <v>0.297870967742</v>
      </c>
      <c r="AT290">
        <v>0.27222222222199999</v>
      </c>
      <c r="AU290">
        <v>0.26802218114600002</v>
      </c>
      <c r="AV290">
        <v>0.17948717948699999</v>
      </c>
      <c r="AW290">
        <v>0.3</v>
      </c>
      <c r="AX290">
        <v>0.2</v>
      </c>
      <c r="AY290">
        <v>0.27272727272699998</v>
      </c>
      <c r="AZ290">
        <v>0.26923076923099998</v>
      </c>
      <c r="BA290">
        <v>0.29268292682899999</v>
      </c>
      <c r="BB290">
        <v>0.27586206896600002</v>
      </c>
      <c r="BC290">
        <v>0.28378378378399999</v>
      </c>
      <c r="BD290">
        <v>0.27956989247300001</v>
      </c>
      <c r="BE290">
        <v>0.27631578947399998</v>
      </c>
      <c r="BF290">
        <v>0.31220657277000002</v>
      </c>
      <c r="BG290">
        <v>0.33487297921499998</v>
      </c>
      <c r="BH290">
        <v>0.32415254237300001</v>
      </c>
      <c r="BI290">
        <v>0.31027253668799998</v>
      </c>
      <c r="BJ290">
        <v>0.32009626955499998</v>
      </c>
      <c r="BK290">
        <v>0.322314049587</v>
      </c>
      <c r="BL290">
        <v>0.28593040847200002</v>
      </c>
      <c r="BM290">
        <v>0.24826629681000001</v>
      </c>
      <c r="BN290">
        <v>0.30323914541699998</v>
      </c>
      <c r="BO290">
        <v>0.31866197183099998</v>
      </c>
      <c r="BP290">
        <v>0.31928687196099997</v>
      </c>
      <c r="BQ290">
        <v>0.26582278480999999</v>
      </c>
      <c r="BR290">
        <v>0.316096747289</v>
      </c>
      <c r="BS290">
        <v>0.31614906832299999</v>
      </c>
      <c r="BT290">
        <v>0.31578947368400001</v>
      </c>
      <c r="BU290">
        <v>0.31618989653099999</v>
      </c>
      <c r="BV290">
        <v>0.30806996010999999</v>
      </c>
      <c r="BW290">
        <v>0.32103939647899998</v>
      </c>
      <c r="BX290">
        <v>0.32095096582499999</v>
      </c>
      <c r="BY290">
        <v>0.32099758648400001</v>
      </c>
      <c r="BZ290">
        <v>0.290037831021</v>
      </c>
      <c r="CA290">
        <v>0.237031521469</v>
      </c>
      <c r="CB290">
        <v>0.242078285182</v>
      </c>
      <c r="CC290">
        <v>0.211133492034</v>
      </c>
      <c r="CD290">
        <v>0.24601280924300001</v>
      </c>
      <c r="CE290">
        <v>0.242151898734</v>
      </c>
      <c r="CF290">
        <v>0.23484451889899999</v>
      </c>
      <c r="CG290">
        <v>0.24661585712699999</v>
      </c>
      <c r="CH290">
        <v>0.25250329003799998</v>
      </c>
      <c r="CI290">
        <v>0.25173834663900002</v>
      </c>
      <c r="CJ290">
        <v>0.25604923699499998</v>
      </c>
      <c r="CK290">
        <v>0.24511153952100001</v>
      </c>
      <c r="CL290">
        <v>0.25995925758299998</v>
      </c>
      <c r="CM290">
        <v>0.26020922123200002</v>
      </c>
      <c r="CN290">
        <v>0.26868044515099998</v>
      </c>
      <c r="CO290">
        <v>0.25939071280699999</v>
      </c>
      <c r="CP290">
        <v>0.26184425998100003</v>
      </c>
      <c r="CQ290">
        <v>0.26016789694600001</v>
      </c>
      <c r="CR290">
        <v>0.26096909576499999</v>
      </c>
      <c r="CS290">
        <v>0.26194211994400002</v>
      </c>
      <c r="CT290">
        <v>0.26179554390600002</v>
      </c>
      <c r="CU290">
        <v>0.26906916612800003</v>
      </c>
      <c r="CV290">
        <v>0.26228148966999998</v>
      </c>
      <c r="CW290">
        <v>0.261452662329</v>
      </c>
      <c r="CX290">
        <v>0.25279778618799997</v>
      </c>
      <c r="CY290">
        <v>0.25639937773999999</v>
      </c>
      <c r="CZ290">
        <v>0.25532524596400002</v>
      </c>
      <c r="DA290">
        <v>0.26042008533</v>
      </c>
      <c r="DB290">
        <v>0.26009098428499999</v>
      </c>
      <c r="DC290">
        <v>0.248910378643</v>
      </c>
      <c r="DD290">
        <v>0.22912981959699999</v>
      </c>
      <c r="DE290">
        <v>0.23015017604400001</v>
      </c>
      <c r="DF290">
        <v>0.25767665556800001</v>
      </c>
      <c r="DG290">
        <v>0.14510143493300001</v>
      </c>
      <c r="DH290">
        <v>0.132866606444</v>
      </c>
      <c r="DI290">
        <v>0.13982096096499999</v>
      </c>
      <c r="DJ290">
        <v>0.16485401154500001</v>
      </c>
      <c r="DK290">
        <v>0.16182121365900001</v>
      </c>
      <c r="DL290">
        <v>0.15674586516700001</v>
      </c>
      <c r="DM290">
        <v>0.151361071495</v>
      </c>
      <c r="DN290">
        <v>0.14206343082</v>
      </c>
      <c r="DO290">
        <v>0.14358583935999999</v>
      </c>
      <c r="DP290">
        <v>0.14341173784</v>
      </c>
      <c r="DQ290">
        <v>0.149520166432</v>
      </c>
      <c r="DR290">
        <v>0.143661216832</v>
      </c>
      <c r="DS290">
        <v>0.156402841741</v>
      </c>
      <c r="DT290">
        <v>0.107718823095</v>
      </c>
      <c r="DU290">
        <v>0.116009979353</v>
      </c>
      <c r="DV290">
        <v>0.16030164156999999</v>
      </c>
      <c r="DW290">
        <v>0.17017817445799999</v>
      </c>
      <c r="DX290">
        <v>0.157114367467</v>
      </c>
      <c r="DY290">
        <v>0.159630125319</v>
      </c>
      <c r="DZ290">
        <v>0.157903601606</v>
      </c>
      <c r="EA290">
        <v>0.148756253964</v>
      </c>
      <c r="EB290">
        <v>0.12545638499100001</v>
      </c>
      <c r="EC290">
        <v>0.149714793688</v>
      </c>
      <c r="ED290">
        <v>0.15889194752399999</v>
      </c>
      <c r="EE290">
        <v>0.15760210991500001</v>
      </c>
      <c r="EF290">
        <v>0.15870400878599999</v>
      </c>
      <c r="EG290">
        <v>0.15629854778800001</v>
      </c>
      <c r="EH290">
        <v>0.14686267142600001</v>
      </c>
      <c r="EI290">
        <v>0.15455475946800001</v>
      </c>
      <c r="EJ290">
        <v>0.16</v>
      </c>
      <c r="EK290">
        <v>0.16</v>
      </c>
      <c r="EL290">
        <v>0.16</v>
      </c>
      <c r="EM290">
        <v>0.16</v>
      </c>
      <c r="EN290">
        <v>0.16</v>
      </c>
      <c r="EO290">
        <v>0.16</v>
      </c>
      <c r="EP290">
        <v>0.16</v>
      </c>
      <c r="EQ290">
        <v>0.16</v>
      </c>
      <c r="ER290">
        <v>0.16</v>
      </c>
      <c r="ES290">
        <v>0.16</v>
      </c>
      <c r="ET290">
        <v>0.16</v>
      </c>
      <c r="EU290">
        <v>0.16</v>
      </c>
      <c r="EV290">
        <v>0.16</v>
      </c>
      <c r="EW290">
        <v>0.16</v>
      </c>
      <c r="EX290">
        <v>0.16</v>
      </c>
      <c r="EY290">
        <v>0.16</v>
      </c>
      <c r="EZ290">
        <v>0.16</v>
      </c>
      <c r="FA290">
        <v>0.16</v>
      </c>
      <c r="FB290">
        <v>0.16</v>
      </c>
      <c r="FC290">
        <v>0.16</v>
      </c>
      <c r="FD290">
        <v>0.16</v>
      </c>
      <c r="FE290">
        <v>0.16</v>
      </c>
    </row>
    <row r="291" spans="1:161">
      <c r="A291" t="s">
        <v>626</v>
      </c>
    </row>
    <row r="292" spans="1:161">
      <c r="B292" t="s">
        <v>627</v>
      </c>
      <c r="C292" t="s">
        <v>628</v>
      </c>
      <c r="D292" t="str">
        <f>L_CURRENCY_EQTY_200000801_REP</f>
      </c>
    </row>
    <row r="293" spans="1:161">
      <c r="B293" t="s">
        <v>629</v>
      </c>
      <c r="C293" t="s">
        <v>630</v>
      </c>
      <c r="D293" t="str">
        <f>L_CURRENCY_EQTY_200000801_REP</f>
      </c>
    </row>
    <row r="294" spans="1:161">
      <c r="B294" t="s">
        <v>631</v>
      </c>
      <c r="C294" t="s">
        <v>632</v>
      </c>
      <c r="D294" t="str">
        <f>L_CURRENCY_EQTY_200000801_REP</f>
      </c>
    </row>
    <row r="295" spans="1:161">
      <c r="B295" t="s">
        <v>633</v>
      </c>
      <c r="C295" t="s">
        <v>634</v>
      </c>
      <c r="D295" t="str">
        <f>L_CURRENCY_EQTY_200000801_REP</f>
      </c>
    </row>
    <row r="296" spans="1:161">
      <c r="B296" t="s">
        <v>635</v>
      </c>
      <c r="C296" t="s">
        <v>636</v>
      </c>
    </row>
    <row r="297" spans="1:161">
      <c r="A297" t="s">
        <v>164</v>
      </c>
    </row>
    <row r="298" spans="1:161">
      <c r="B298" t="s">
        <v>637</v>
      </c>
      <c r="C298" t="s">
        <v>638</v>
      </c>
      <c r="D298" t="str">
        <f>L_CURRENCY_EQTY_200000801_REP</f>
      </c>
      <c r="F298">
        <v>0.22593063121000001</v>
      </c>
      <c r="G298">
        <v>0.20248272749999999</v>
      </c>
      <c r="H298">
        <v>0.205972860875</v>
      </c>
      <c r="I298">
        <v>0.20910667232999999</v>
      </c>
      <c r="J298">
        <v>0.243945082176</v>
      </c>
      <c r="K298">
        <v>0.32982841677199998</v>
      </c>
      <c r="L298">
        <v>0.42232125170500001</v>
      </c>
      <c r="M298">
        <v>0.60023957535500005</v>
      </c>
      <c r="N298">
        <v>0.90352923861500001</v>
      </c>
      <c r="O298">
        <v>1.2653741560209999</v>
      </c>
      <c r="P298">
        <v>1.8767405825450001</v>
      </c>
      <c r="Q298">
        <v>2.9606062196259999</v>
      </c>
      <c r="R298">
        <v>4.5158076954309996</v>
      </c>
      <c r="S298">
        <v>4.7685227247900004</v>
      </c>
      <c r="T298">
        <v>4.5824378921240001</v>
      </c>
      <c r="U298">
        <v>5.186262450908</v>
      </c>
      <c r="V298">
        <v>5.8605928425449996</v>
      </c>
      <c r="W298">
        <v>6.4232692292209999</v>
      </c>
      <c r="X298">
        <v>5.4055922076570004</v>
      </c>
      <c r="Y298">
        <v>4.8988335223829997</v>
      </c>
      <c r="Z298">
        <v>3.7654766035930001</v>
      </c>
      <c r="AA298">
        <v>3.7775566402599998</v>
      </c>
      <c r="AB298">
        <v>3.124822079256</v>
      </c>
      <c r="AC298">
        <v>3.9472235267119999</v>
      </c>
      <c r="AD298">
        <v>3.7116010996640001</v>
      </c>
      <c r="AE298">
        <v>3.9336399018539998</v>
      </c>
      <c r="AF298">
        <v>3.3332434116230001</v>
      </c>
      <c r="AG298">
        <v>2.5809523789369999</v>
      </c>
      <c r="AH298">
        <v>1.7689232624340001</v>
      </c>
      <c r="AI298">
        <v>0.92272127179200003</v>
      </c>
      <c r="AJ298">
        <v>0.10208447019899999</v>
      </c>
      <c r="AL298">
        <v>0.244727763372</v>
      </c>
      <c r="AM298">
        <v>0.23206181444000001</v>
      </c>
      <c r="AN298">
        <v>0.22942231285799999</v>
      </c>
      <c r="AO298">
        <v>0.22429493730200001</v>
      </c>
      <c r="AP298">
        <v>0.19659434198100001</v>
      </c>
      <c r="AQ298">
        <v>0.192874479889</v>
      </c>
      <c r="AR298">
        <v>0.197533746628</v>
      </c>
      <c r="AS298">
        <v>0.199533092563</v>
      </c>
      <c r="AT298">
        <v>0.20158093123699999</v>
      </c>
      <c r="AU298">
        <v>0.20277970869199999</v>
      </c>
      <c r="AV298">
        <v>0.20374089529700001</v>
      </c>
      <c r="AW298">
        <v>0.20374188515200001</v>
      </c>
      <c r="AX298">
        <v>0.20470287447400001</v>
      </c>
      <c r="AY298">
        <v>0.20502847315</v>
      </c>
      <c r="AZ298">
        <v>0.20777644165600001</v>
      </c>
      <c r="BA298">
        <v>0.208207035199</v>
      </c>
      <c r="BB298">
        <v>0.213329917427</v>
      </c>
      <c r="BC298">
        <v>0.219458682919</v>
      </c>
      <c r="BD298">
        <v>0.22912880391000001</v>
      </c>
      <c r="BE298">
        <v>0.236379669337</v>
      </c>
      <c r="BF298">
        <v>0.26207519376400001</v>
      </c>
      <c r="BG298">
        <v>0.28220654584799998</v>
      </c>
      <c r="BH298">
        <v>0.29887073220799998</v>
      </c>
      <c r="BI298">
        <v>0.32461208290900001</v>
      </c>
      <c r="BJ298">
        <v>0.36024621926299999</v>
      </c>
      <c r="BK298">
        <v>0.36873319210299998</v>
      </c>
      <c r="BL298">
        <v>0.39138368605399998</v>
      </c>
      <c r="BM298">
        <v>0.41743954025500002</v>
      </c>
      <c r="BN298">
        <v>0.467825825385</v>
      </c>
      <c r="BO298">
        <v>0.50786117114999996</v>
      </c>
      <c r="BP298">
        <v>0.55363352023699997</v>
      </c>
      <c r="BQ298">
        <v>0.59590723154400005</v>
      </c>
      <c r="BR298">
        <v>0.68756911574299995</v>
      </c>
      <c r="BS298">
        <v>0.73767765252899997</v>
      </c>
      <c r="BT298">
        <v>0.79997045019500002</v>
      </c>
      <c r="BU298">
        <v>0.89854128188100002</v>
      </c>
      <c r="BV298">
        <v>0.92018886907700004</v>
      </c>
      <c r="BW298">
        <v>0.97427006889699996</v>
      </c>
      <c r="BX298">
        <v>1.0345295000750001</v>
      </c>
      <c r="BY298">
        <v>1.2583070536459999</v>
      </c>
      <c r="BZ298">
        <v>1.413800987036</v>
      </c>
      <c r="CA298">
        <v>1.5484423019889999</v>
      </c>
      <c r="CB298">
        <v>1.6878794508520001</v>
      </c>
      <c r="CC298">
        <v>1.866286257876</v>
      </c>
      <c r="CD298">
        <v>2.12375708191</v>
      </c>
      <c r="CE298">
        <v>2.3782676082399998</v>
      </c>
      <c r="CF298">
        <v>2.6741327299690001</v>
      </c>
      <c r="CG298">
        <v>2.9476558796910002</v>
      </c>
      <c r="CH298">
        <v>3.4544281999550002</v>
      </c>
      <c r="CI298">
        <v>3.9210726611509998</v>
      </c>
      <c r="CJ298">
        <v>4.2610993122209999</v>
      </c>
      <c r="CK298">
        <v>4.4991924214130004</v>
      </c>
      <c r="CL298">
        <v>4.8439598734829996</v>
      </c>
      <c r="CM298">
        <v>5.1498288914329997</v>
      </c>
      <c r="CN298">
        <v>4.7957910687579997</v>
      </c>
      <c r="CO298">
        <v>4.8801646226560003</v>
      </c>
      <c r="CP298">
        <v>5.1687491948990001</v>
      </c>
      <c r="CQ298">
        <v>4.9066279467980003</v>
      </c>
      <c r="CR298">
        <v>5.0285773209249998</v>
      </c>
      <c r="CS298">
        <v>4.6996087696929996</v>
      </c>
      <c r="CT298">
        <v>5.2766673478139996</v>
      </c>
      <c r="CU298">
        <v>5.5665548632249999</v>
      </c>
      <c r="CV298">
        <v>5.4833987971139999</v>
      </c>
      <c r="CW298">
        <v>5.2840789556640004</v>
      </c>
      <c r="CX298">
        <v>5.7685112062929997</v>
      </c>
      <c r="CY298">
        <v>5.914399095746</v>
      </c>
      <c r="CZ298">
        <v>5.8120361752529996</v>
      </c>
      <c r="DA298">
        <v>5.9740591982879998</v>
      </c>
      <c r="DB298">
        <v>6.2463894180060002</v>
      </c>
      <c r="DC298">
        <v>6.4144356328069998</v>
      </c>
      <c r="DD298">
        <v>6.3726062003179997</v>
      </c>
      <c r="DE298">
        <v>6.5078587369319996</v>
      </c>
      <c r="DF298">
        <v>6.8551913140099998</v>
      </c>
      <c r="DG298">
        <v>6.3124928232070001</v>
      </c>
      <c r="DH298">
        <v>5.8861669418520002</v>
      </c>
      <c r="DI298">
        <v>5.5787261258719996</v>
      </c>
      <c r="DJ298">
        <v>6.2234206536569996</v>
      </c>
      <c r="DK298">
        <v>5.6620877175380002</v>
      </c>
      <c r="DL298">
        <v>5.2758556637560003</v>
      </c>
      <c r="DM298">
        <v>5.037396355047</v>
      </c>
      <c r="DN298">
        <v>5.0696596180329996</v>
      </c>
      <c r="DO298">
        <v>4.4967421626239998</v>
      </c>
      <c r="DP298">
        <v>4.190189939973</v>
      </c>
      <c r="DQ298">
        <v>3.8304870397530002</v>
      </c>
      <c r="DR298">
        <v>3.910453773605</v>
      </c>
      <c r="DS298">
        <v>4.1291729549139999</v>
      </c>
      <c r="DT298">
        <v>3.8654498717960002</v>
      </c>
      <c r="DU298">
        <v>3.8266232169949999</v>
      </c>
      <c r="DV298">
        <v>4.3883120530820001</v>
      </c>
      <c r="DW298">
        <v>4.1402923876089996</v>
      </c>
      <c r="DX298">
        <v>3.5950750311899999</v>
      </c>
      <c r="DY298">
        <v>3.1609976605669998</v>
      </c>
      <c r="DZ298">
        <v>3.5693694529250002</v>
      </c>
      <c r="EA298">
        <v>3.9372517681149999</v>
      </c>
      <c r="EB298">
        <v>3.8396918155840001</v>
      </c>
      <c r="EC298">
        <v>3.9838624914210001</v>
      </c>
      <c r="ED298">
        <v>4.7776358671630001</v>
      </c>
      <c r="EE298">
        <v>4.815960891754</v>
      </c>
      <c r="EF298">
        <v>4.3635590099929997</v>
      </c>
      <c r="EG298">
        <v>3.7536275729159998</v>
      </c>
      <c r="EH298">
        <v>4.4264170329599999</v>
      </c>
      <c r="EI298">
        <v>4.4557157381970001</v>
      </c>
      <c r="EJ298">
        <v>4.00593217683</v>
      </c>
      <c r="EK298">
        <v>3.968594996327</v>
      </c>
      <c r="EL298">
        <v>4.3697562117329998</v>
      </c>
      <c r="EM298">
        <v>4.0513533234560004</v>
      </c>
      <c r="EN298">
        <v>3.4234406978180001</v>
      </c>
      <c r="EO298">
        <v>3.3721768197299999</v>
      </c>
      <c r="EP298">
        <v>3.9408654563979999</v>
      </c>
      <c r="EQ298">
        <v>3.5535281014389999</v>
      </c>
      <c r="ER298">
        <v>2.8078576686279999</v>
      </c>
      <c r="ES298">
        <v>2.6140449421219998</v>
      </c>
      <c r="ET298">
        <v>3.1660325650719998</v>
      </c>
      <c r="EU298">
        <v>2.7953955768699998</v>
      </c>
      <c r="EV298">
        <v>2.0166238885509999</v>
      </c>
      <c r="EW298">
        <v>1.7921792170799999</v>
      </c>
      <c r="EX298">
        <v>2.4180693509300002</v>
      </c>
      <c r="EY298">
        <v>1.9595044735430001</v>
      </c>
      <c r="EZ298">
        <v>1.120274435707</v>
      </c>
      <c r="FA298">
        <v>0.93503341630799996</v>
      </c>
      <c r="FB298">
        <v>1.617496214367</v>
      </c>
      <c r="FC298">
        <v>1.133997296113</v>
      </c>
      <c r="FD298">
        <v>0.24865208343600001</v>
      </c>
      <c r="FE298">
        <v>0.103462106777</v>
      </c>
    </row>
    <row r="299" spans="1:161">
      <c r="A299" t="s">
        <v>342</v>
      </c>
    </row>
    <row r="300" spans="1:161">
      <c r="B300" t="s">
        <v>639</v>
      </c>
      <c r="C300" t="s">
        <v>640</v>
      </c>
      <c r="D300" t="str">
        <f>L_CURRENCY_EQTY_200000801_REP</f>
      </c>
      <c r="E300">
        <v>90000</v>
      </c>
    </row>
    <row r="301" spans="1:161">
      <c r="B301" t="s">
        <v>641</v>
      </c>
      <c r="C301" t="s">
        <v>642</v>
      </c>
      <c r="D301" t="str">
        <f>L_CURRENCY_EQTY_200000801_REP</f>
      </c>
      <c r="E301">
        <v>41700</v>
      </c>
    </row>
    <row r="302" spans="1:161">
      <c r="B302" t="s">
        <v>643</v>
      </c>
      <c r="C302" t="s">
        <v>644</v>
      </c>
      <c r="D302" t="str">
        <f>L_CURRENCY_EQTY_200000801_REP</f>
      </c>
      <c r="E302">
        <v>0</v>
      </c>
    </row>
    <row r="303" spans="1:161">
      <c r="B303" t="s">
        <v>645</v>
      </c>
      <c r="C303" t="s">
        <v>646</v>
      </c>
      <c r="D303" t="str">
        <f>L_CURRENCY_EQTY_200000801_REP</f>
      </c>
      <c r="S303">
        <v>22860</v>
      </c>
      <c r="T303">
        <v>45000</v>
      </c>
      <c r="U303">
        <v>35253</v>
      </c>
      <c r="V303">
        <v>29722</v>
      </c>
      <c r="CL303">
        <v>1950</v>
      </c>
      <c r="CM303">
        <v>0</v>
      </c>
      <c r="CN303">
        <v>16000</v>
      </c>
      <c r="CO303">
        <v>4910</v>
      </c>
      <c r="CP303">
        <v>5029</v>
      </c>
      <c r="CQ303">
        <v>17971</v>
      </c>
      <c r="CR303">
        <v>5000</v>
      </c>
      <c r="CS303">
        <v>17000</v>
      </c>
      <c r="CT303">
        <v>5030</v>
      </c>
      <c r="CU303">
        <v>6970</v>
      </c>
      <c r="CV303">
        <v>10000</v>
      </c>
      <c r="CW303">
        <v>13253</v>
      </c>
      <c r="CX303">
        <v>6863</v>
      </c>
      <c r="CY303">
        <v>6667</v>
      </c>
      <c r="CZ303">
        <v>10166</v>
      </c>
      <c r="DA303">
        <v>6026</v>
      </c>
      <c r="DB303">
        <v>10851</v>
      </c>
      <c r="DC303">
        <v>7161</v>
      </c>
    </row>
    <row r="304" spans="1:161">
      <c r="A304" t="s">
        <v>369</v>
      </c>
    </row>
    <row r="305" spans="1:161">
      <c r="B305" t="s">
        <v>597</v>
      </c>
      <c r="C305" t="s">
        <v>647</v>
      </c>
      <c r="D305" t="str">
        <f>L_CURRENCY_EQTY_200000801_REP</f>
      </c>
      <c r="F305">
        <v>588.952</v>
      </c>
      <c r="G305">
        <v>-81.885499999999993</v>
      </c>
      <c r="H305">
        <v>117.9</v>
      </c>
      <c r="I305">
        <v>76</v>
      </c>
      <c r="J305">
        <v>293</v>
      </c>
      <c r="K305">
        <v>1229</v>
      </c>
      <c r="L305">
        <v>1989</v>
      </c>
      <c r="M305">
        <v>3495</v>
      </c>
      <c r="N305">
        <v>6119</v>
      </c>
      <c r="O305">
        <v>8235</v>
      </c>
      <c r="P305">
        <v>14013</v>
      </c>
      <c r="Q305">
        <v>25922</v>
      </c>
      <c r="R305">
        <v>41733</v>
      </c>
      <c r="S305">
        <v>37037</v>
      </c>
      <c r="T305">
        <v>39510</v>
      </c>
      <c r="U305">
        <v>53394</v>
      </c>
      <c r="V305">
        <v>45687</v>
      </c>
      <c r="W305">
        <v>48351</v>
      </c>
      <c r="X305">
        <v>59531</v>
      </c>
      <c r="Y305">
        <v>55256</v>
      </c>
      <c r="Z305">
        <v>57411</v>
      </c>
      <c r="AA305">
        <v>94680</v>
      </c>
      <c r="AB305">
        <v>99803</v>
      </c>
      <c r="AC305">
        <v>96995</v>
      </c>
      <c r="AD305">
        <v>93736</v>
      </c>
      <c r="AE305">
        <v>108075.92306569401</v>
      </c>
      <c r="AF305">
        <v>111931.01531000801</v>
      </c>
      <c r="AG305">
        <v>123524.430858985</v>
      </c>
      <c r="AH305">
        <v>130720.396954173</v>
      </c>
      <c r="AI305">
        <v>138318.33378179299</v>
      </c>
      <c r="AJ305">
        <v>146643.57218854499</v>
      </c>
      <c r="AL305">
        <v>158.488</v>
      </c>
      <c r="AM305">
        <v>159.94999999999999</v>
      </c>
      <c r="AN305">
        <v>162.6</v>
      </c>
      <c r="AO305">
        <v>107.914</v>
      </c>
      <c r="AP305">
        <v>-247.71600000000001</v>
      </c>
      <c r="AQ305">
        <v>39.532499999999999</v>
      </c>
      <c r="AR305">
        <v>61</v>
      </c>
      <c r="AS305">
        <v>65.298000000000002</v>
      </c>
      <c r="AT305">
        <v>39.299999999999997</v>
      </c>
      <c r="AU305">
        <v>39.6</v>
      </c>
      <c r="AV305">
        <v>32</v>
      </c>
      <c r="AW305">
        <v>7</v>
      </c>
      <c r="AX305">
        <v>12</v>
      </c>
      <c r="AY305">
        <v>16</v>
      </c>
      <c r="AZ305">
        <v>19</v>
      </c>
      <c r="BA305">
        <v>29</v>
      </c>
      <c r="BB305">
        <v>63</v>
      </c>
      <c r="BC305">
        <v>53</v>
      </c>
      <c r="BD305">
        <v>67</v>
      </c>
      <c r="BE305">
        <v>110</v>
      </c>
      <c r="BF305">
        <v>293</v>
      </c>
      <c r="BG305">
        <v>288</v>
      </c>
      <c r="BH305">
        <v>319</v>
      </c>
      <c r="BI305">
        <v>329</v>
      </c>
      <c r="BJ305">
        <v>565</v>
      </c>
      <c r="BK305">
        <v>410</v>
      </c>
      <c r="BL305">
        <v>472</v>
      </c>
      <c r="BM305">
        <v>542</v>
      </c>
      <c r="BN305">
        <v>1011</v>
      </c>
      <c r="BO305">
        <v>774</v>
      </c>
      <c r="BP305">
        <v>840</v>
      </c>
      <c r="BQ305">
        <v>870</v>
      </c>
      <c r="BR305">
        <v>1640</v>
      </c>
      <c r="BS305">
        <v>1101</v>
      </c>
      <c r="BT305">
        <v>1131</v>
      </c>
      <c r="BU305">
        <v>2247</v>
      </c>
      <c r="BV305">
        <v>2255</v>
      </c>
      <c r="BW305">
        <v>1620</v>
      </c>
      <c r="BX305">
        <v>1828</v>
      </c>
      <c r="BY305">
        <v>2532</v>
      </c>
      <c r="BZ305">
        <v>3378</v>
      </c>
      <c r="CA305">
        <v>3074</v>
      </c>
      <c r="CB305">
        <v>3253</v>
      </c>
      <c r="CC305">
        <v>4308</v>
      </c>
      <c r="CD305">
        <v>6004</v>
      </c>
      <c r="CE305">
        <v>5987</v>
      </c>
      <c r="CF305">
        <v>7308</v>
      </c>
      <c r="CG305">
        <v>6623</v>
      </c>
      <c r="CH305">
        <v>13064</v>
      </c>
      <c r="CI305">
        <v>11622</v>
      </c>
      <c r="CJ305">
        <v>8824</v>
      </c>
      <c r="CK305">
        <v>8223</v>
      </c>
      <c r="CL305">
        <v>13078</v>
      </c>
      <c r="CM305">
        <v>9547</v>
      </c>
      <c r="CN305">
        <v>6900</v>
      </c>
      <c r="CO305">
        <v>7512</v>
      </c>
      <c r="CP305">
        <v>13072</v>
      </c>
      <c r="CQ305">
        <v>10223</v>
      </c>
      <c r="CR305">
        <v>7748</v>
      </c>
      <c r="CS305">
        <v>8467</v>
      </c>
      <c r="CT305">
        <v>18024</v>
      </c>
      <c r="CU305">
        <v>13569</v>
      </c>
      <c r="CV305">
        <v>10677</v>
      </c>
      <c r="CW305">
        <v>11124</v>
      </c>
      <c r="CX305">
        <v>18361</v>
      </c>
      <c r="CY305">
        <v>10516</v>
      </c>
      <c r="CZ305">
        <v>7796</v>
      </c>
      <c r="DA305">
        <v>9014</v>
      </c>
      <c r="DB305">
        <v>17891</v>
      </c>
      <c r="DC305">
        <v>11029</v>
      </c>
      <c r="DD305">
        <v>8717</v>
      </c>
      <c r="DE305">
        <v>10714</v>
      </c>
      <c r="DF305">
        <v>20065</v>
      </c>
      <c r="DG305">
        <v>13822</v>
      </c>
      <c r="DH305">
        <v>11519</v>
      </c>
      <c r="DI305">
        <v>14125</v>
      </c>
      <c r="DJ305">
        <v>19965</v>
      </c>
      <c r="DK305">
        <v>11561</v>
      </c>
      <c r="DL305">
        <v>10044</v>
      </c>
      <c r="DM305">
        <v>13686</v>
      </c>
      <c r="DN305">
        <v>22236</v>
      </c>
      <c r="DO305">
        <v>11249</v>
      </c>
      <c r="DP305">
        <v>11253</v>
      </c>
      <c r="DQ305">
        <v>12673</v>
      </c>
      <c r="DR305">
        <v>28755</v>
      </c>
      <c r="DS305">
        <v>23630</v>
      </c>
      <c r="DT305">
        <v>21744</v>
      </c>
      <c r="DU305">
        <v>20551</v>
      </c>
      <c r="DV305">
        <v>34630</v>
      </c>
      <c r="DW305">
        <v>25010</v>
      </c>
      <c r="DX305">
        <v>19442</v>
      </c>
      <c r="DY305">
        <v>20721</v>
      </c>
      <c r="DZ305">
        <v>29998</v>
      </c>
      <c r="EA305">
        <v>24160</v>
      </c>
      <c r="EB305">
        <v>19881</v>
      </c>
      <c r="EC305">
        <v>22956</v>
      </c>
      <c r="ED305">
        <v>33916</v>
      </c>
      <c r="EE305">
        <v>23636</v>
      </c>
      <c r="EF305">
        <v>21448</v>
      </c>
      <c r="EG305">
        <v>14736</v>
      </c>
      <c r="EH305">
        <v>36330</v>
      </c>
      <c r="EI305">
        <v>24780</v>
      </c>
      <c r="EJ305">
        <v>21720.210934695999</v>
      </c>
      <c r="EK305">
        <v>25245.712130998199</v>
      </c>
      <c r="EL305">
        <v>35899.948386853001</v>
      </c>
      <c r="EM305">
        <v>24991.229467363901</v>
      </c>
      <c r="EN305">
        <v>22611.3608217771</v>
      </c>
      <c r="EO305">
        <v>28428.4766340143</v>
      </c>
      <c r="EP305">
        <v>41480.795535851903</v>
      </c>
      <c r="EQ305">
        <v>27527.569877099701</v>
      </c>
      <c r="ER305">
        <v>24639.599191752</v>
      </c>
      <c r="ES305">
        <v>29876.466254281298</v>
      </c>
      <c r="ET305">
        <v>42891.202895393799</v>
      </c>
      <c r="EU305">
        <v>29863.924469990601</v>
      </c>
      <c r="EV305">
        <v>26474.8167193058</v>
      </c>
      <c r="EW305">
        <v>31490.4528694828</v>
      </c>
      <c r="EX305">
        <v>45527.991595853098</v>
      </c>
      <c r="EY305">
        <v>30785.930931760799</v>
      </c>
      <c r="EZ305">
        <v>27971.514125691199</v>
      </c>
      <c r="FA305">
        <v>34032.897128487697</v>
      </c>
      <c r="FB305">
        <v>47864.570897177698</v>
      </c>
      <c r="FC305">
        <v>32575.548949753102</v>
      </c>
      <c r="FD305">
        <v>29676.912824270901</v>
      </c>
      <c r="FE305">
        <v>36526.539517343401</v>
      </c>
    </row>
    <row r="306" spans="1:161">
      <c r="A306" t="s">
        <v>429</v>
      </c>
    </row>
    <row r="307" spans="1:161">
      <c r="B307" t="s">
        <v>648</v>
      </c>
      <c r="C307" t="s">
        <v>649</v>
      </c>
    </row>
    <row r="308" spans="1:161">
      <c r="B308" t="s">
        <v>650</v>
      </c>
      <c r="C308" t="s">
        <v>651</v>
      </c>
    </row>
    <row r="309" spans="1:161">
      <c r="B309" t="s">
        <v>652</v>
      </c>
      <c r="C309" t="s">
        <v>653</v>
      </c>
    </row>
  </sheetData>
  <dataValidations count="1">
    <dataValidation type="list" allowBlank="1" showInputMessage="1" showErrorMessage="1" sqref="AE2 AF2 AG2 AH2 AI2 AJ2 EH2 EI2 EJ2 EK2 EL2 EM2 EN2 EO2 EP2 EQ2 ER2 ES2 ET2 EU2 EV2 EW2 EX2 EY2 EZ2 FA2 FB2 FC2 FD2 FE2" xr:uid="{323D3671-4FCF-44C9-B950-EDE0A13625CB}">
      <formula1>"Estimate,Preliminary,Actual,Restated"</formula1>
    </dataValidation>
  </dataValidations>
  <pageMargins left="0.7" right="0.7" top="0.75" bottom="0.75" header="0.3" footer="0.3"/>
  <pageSetup paperSize="9" orientation="portrait" r:id="rId1"/>
  <customProperties>
    <customPr name="Exchange.ContributionType" r:id="rId2"/>
    <customPr name="Exchange.CreationEntityId" r:id="rId3"/>
    <customPr name="Exchange.CreationEntityIdType" r:id="rId4"/>
    <customPr name="Exchange.CreationEntityType" r:id="rId5"/>
    <customPr name="Exchange.ExchangeSheetId" r:id="rId6"/>
    <customPr name="Exchange.SheetType" r:id="rId7"/>
    <customPr name="Qube.Worksheet.Visibility" r:id="rId8"/>
    <customPr name="QXL_SHEET_ID" r:id="rId9"/>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47D82-C00A-4B71-B90B-7E895E2EA6E9}">
  <dimension ref="A1:FE309"/>
  <sheetViews>
    <sheetView workbookViewId="0"/>
  </sheetViews>
  <sheetFormatPr defaultRowHeight="13.8"/>
  <sheetData>
    <row r="1" spans="1:3">
      <c r="A1" t="s">
        <v>2407</v>
      </c>
    </row>
    <row r="2" spans="1:3">
      <c r="A2" t="str">
        <f ca="1">CELL("filename",Ticker0001_Validation_Sheet!$A2)</f>
      </c>
    </row>
    <row r="3" spans="1:3">
      <c r="A3" t="s">
        <v>2412</v>
      </c>
    </row>
    <row r="7" spans="1:3">
      <c r="A7" t="s">
        <v>1663</v>
      </c>
      <c r="C7" t="s">
        <v>1664</v>
      </c>
    </row>
    <row r="9" spans="1:3">
      <c r="A9" t="s">
        <v>1665</v>
      </c>
      <c r="C9" t="s">
        <v>1666</v>
      </c>
    </row>
    <row r="11" spans="1:3">
      <c r="A11" t="s">
        <v>1667</v>
      </c>
      <c r="C11" t="s">
        <v>1668</v>
      </c>
    </row>
    <row r="12" spans="1:3">
      <c r="A12" t="s">
        <v>1669</v>
      </c>
      <c r="C12" t="s">
        <v>1670</v>
      </c>
    </row>
    <row r="13" spans="1:3">
      <c r="A13" t="s">
        <v>1671</v>
      </c>
      <c r="C13" t="s">
        <v>1672</v>
      </c>
    </row>
    <row r="14" spans="1:3">
      <c r="A14" t="s">
        <v>1673</v>
      </c>
      <c r="C14" t="s">
        <v>1674</v>
      </c>
    </row>
    <row r="15" spans="1:3">
      <c r="A15" t="s">
        <v>1675</v>
      </c>
      <c r="C15" t="s">
        <v>1676</v>
      </c>
    </row>
    <row r="16" spans="1:3">
      <c r="A16" t="s">
        <v>1677</v>
      </c>
      <c r="C16" t="s">
        <v>1678</v>
      </c>
    </row>
    <row r="17" spans="1:3">
      <c r="A17" t="s">
        <v>1679</v>
      </c>
      <c r="C17" t="s">
        <v>1680</v>
      </c>
    </row>
    <row r="18" spans="1:3">
      <c r="A18" t="s">
        <v>1681</v>
      </c>
      <c r="C18" t="s">
        <v>1682</v>
      </c>
    </row>
    <row r="19" spans="1:3">
      <c r="A19" t="s">
        <v>1683</v>
      </c>
      <c r="C19" t="s">
        <v>1684</v>
      </c>
    </row>
    <row r="20" spans="1:3">
      <c r="A20" t="s">
        <v>1685</v>
      </c>
      <c r="C20" t="s">
        <v>1686</v>
      </c>
    </row>
    <row r="21" spans="1:3">
      <c r="A21" t="s">
        <v>1687</v>
      </c>
      <c r="C21" t="s">
        <v>1688</v>
      </c>
    </row>
    <row r="22" spans="1:3">
      <c r="A22" t="s">
        <v>1689</v>
      </c>
      <c r="C22" t="s">
        <v>1690</v>
      </c>
    </row>
    <row r="23" spans="1:3">
      <c r="A23" t="s">
        <v>1691</v>
      </c>
      <c r="C23" t="s">
        <v>1692</v>
      </c>
    </row>
    <row r="24" spans="1:3">
      <c r="A24" t="s">
        <v>1693</v>
      </c>
      <c r="C24" t="s">
        <v>1694</v>
      </c>
    </row>
    <row r="25" spans="1:3">
      <c r="A25" t="s">
        <v>1695</v>
      </c>
      <c r="C25" t="s">
        <v>1696</v>
      </c>
    </row>
    <row r="26" spans="1:3">
      <c r="A26" t="s">
        <v>1697</v>
      </c>
      <c r="C26" t="s">
        <v>1698</v>
      </c>
    </row>
    <row r="27" spans="1:3">
      <c r="A27" t="s">
        <v>1699</v>
      </c>
      <c r="C27" t="s">
        <v>1700</v>
      </c>
    </row>
    <row r="28" spans="1:3">
      <c r="A28" t="s">
        <v>1701</v>
      </c>
      <c r="C28" t="s">
        <v>1702</v>
      </c>
    </row>
    <row r="29" spans="1:3">
      <c r="A29" t="s">
        <v>1703</v>
      </c>
      <c r="C29" t="s">
        <v>1704</v>
      </c>
    </row>
    <row r="30" spans="1:3">
      <c r="A30" t="s">
        <v>1705</v>
      </c>
      <c r="C30" t="s">
        <v>1706</v>
      </c>
    </row>
    <row r="32" spans="1:3">
      <c r="A32" t="s">
        <v>1707</v>
      </c>
      <c r="C32" t="s">
        <v>1708</v>
      </c>
    </row>
    <row r="33" spans="1:3">
      <c r="A33" t="s">
        <v>1709</v>
      </c>
      <c r="C33" t="s">
        <v>1710</v>
      </c>
    </row>
    <row r="34" spans="1:3">
      <c r="A34" t="s">
        <v>1711</v>
      </c>
      <c r="C34" t="s">
        <v>1712</v>
      </c>
    </row>
    <row r="35" spans="1:3">
      <c r="A35" t="s">
        <v>1713</v>
      </c>
      <c r="C35" t="s">
        <v>1714</v>
      </c>
    </row>
    <row r="36" spans="1:3">
      <c r="A36" t="s">
        <v>1715</v>
      </c>
      <c r="C36" t="s">
        <v>1716</v>
      </c>
    </row>
    <row r="37" spans="1:3">
      <c r="A37" t="s">
        <v>1717</v>
      </c>
      <c r="C37" t="s">
        <v>1718</v>
      </c>
    </row>
    <row r="38" spans="1:3">
      <c r="A38" t="s">
        <v>1719</v>
      </c>
      <c r="C38" t="s">
        <v>1720</v>
      </c>
    </row>
    <row r="39" spans="1:3">
      <c r="A39" t="s">
        <v>1721</v>
      </c>
      <c r="C39" t="s">
        <v>1722</v>
      </c>
    </row>
    <row r="41" spans="1:3">
      <c r="A41" t="s">
        <v>1723</v>
      </c>
      <c r="C41" t="s">
        <v>1724</v>
      </c>
    </row>
    <row r="42" spans="1:3">
      <c r="A42" t="s">
        <v>1725</v>
      </c>
      <c r="C42" t="s">
        <v>1726</v>
      </c>
    </row>
    <row r="43" spans="1:3">
      <c r="A43" t="s">
        <v>1727</v>
      </c>
      <c r="C43" t="s">
        <v>1728</v>
      </c>
    </row>
    <row r="44" spans="1:3">
      <c r="A44" t="s">
        <v>1729</v>
      </c>
      <c r="C44" t="s">
        <v>1730</v>
      </c>
    </row>
    <row r="45" spans="1:3">
      <c r="A45" t="s">
        <v>1731</v>
      </c>
      <c r="C45" t="s">
        <v>1732</v>
      </c>
    </row>
    <row r="46" spans="1:3">
      <c r="A46" t="s">
        <v>1733</v>
      </c>
      <c r="C46" t="s">
        <v>1734</v>
      </c>
    </row>
    <row r="47" spans="1:3">
      <c r="A47" t="s">
        <v>1735</v>
      </c>
      <c r="C47" t="s">
        <v>1736</v>
      </c>
    </row>
    <row r="48" spans="1:3">
      <c r="A48" t="s">
        <v>1737</v>
      </c>
      <c r="C48" t="s">
        <v>1738</v>
      </c>
    </row>
    <row r="49" spans="1:3">
      <c r="A49" t="s">
        <v>1739</v>
      </c>
      <c r="C49" t="s">
        <v>1740</v>
      </c>
    </row>
    <row r="50" spans="1:3">
      <c r="A50" t="s">
        <v>1741</v>
      </c>
      <c r="C50" t="s">
        <v>1742</v>
      </c>
    </row>
    <row r="51" spans="1:3">
      <c r="A51" t="s">
        <v>1743</v>
      </c>
      <c r="C51" t="s">
        <v>1744</v>
      </c>
    </row>
    <row r="52" spans="1:3">
      <c r="A52" t="s">
        <v>1745</v>
      </c>
      <c r="C52" t="s">
        <v>1746</v>
      </c>
    </row>
    <row r="53" spans="1:3">
      <c r="A53" t="s">
        <v>1747</v>
      </c>
      <c r="C53" t="s">
        <v>1748</v>
      </c>
    </row>
    <row r="54" spans="1:3">
      <c r="A54" t="s">
        <v>1749</v>
      </c>
      <c r="C54" t="s">
        <v>1750</v>
      </c>
    </row>
    <row r="55" spans="1:3">
      <c r="A55" t="s">
        <v>1751</v>
      </c>
      <c r="C55" t="s">
        <v>1752</v>
      </c>
    </row>
    <row r="56" spans="1:3">
      <c r="A56" t="s">
        <v>1753</v>
      </c>
      <c r="C56" t="s">
        <v>1754</v>
      </c>
    </row>
    <row r="57" spans="1:3">
      <c r="A57" t="s">
        <v>1755</v>
      </c>
      <c r="C57" t="s">
        <v>1756</v>
      </c>
    </row>
    <row r="58" spans="1:3">
      <c r="A58" t="s">
        <v>1757</v>
      </c>
      <c r="C58" t="s">
        <v>1758</v>
      </c>
    </row>
    <row r="59" spans="1:3">
      <c r="A59" t="s">
        <v>1759</v>
      </c>
      <c r="C59" t="s">
        <v>1760</v>
      </c>
    </row>
    <row r="60" spans="1:3">
      <c r="A60" t="s">
        <v>1761</v>
      </c>
      <c r="C60" t="s">
        <v>1762</v>
      </c>
    </row>
    <row r="61" spans="1:3">
      <c r="A61" t="s">
        <v>1763</v>
      </c>
      <c r="C61" t="s">
        <v>1764</v>
      </c>
    </row>
    <row r="62" spans="1:3">
      <c r="A62" t="s">
        <v>1765</v>
      </c>
      <c r="C62" t="s">
        <v>1766</v>
      </c>
    </row>
    <row r="63" spans="1:3">
      <c r="A63" t="s">
        <v>1767</v>
      </c>
      <c r="C63" t="s">
        <v>1768</v>
      </c>
    </row>
    <row r="64" spans="1:3">
      <c r="A64" t="s">
        <v>1769</v>
      </c>
      <c r="C64" t="s">
        <v>1770</v>
      </c>
    </row>
    <row r="65" spans="1:3">
      <c r="A65" t="s">
        <v>1771</v>
      </c>
      <c r="C65" t="s">
        <v>1772</v>
      </c>
    </row>
    <row r="66" spans="1:3">
      <c r="A66" t="s">
        <v>1773</v>
      </c>
      <c r="C66" t="s">
        <v>1774</v>
      </c>
    </row>
    <row r="67" spans="1:3">
      <c r="A67" t="s">
        <v>1775</v>
      </c>
      <c r="C67" t="s">
        <v>1776</v>
      </c>
    </row>
    <row r="68" spans="1:3">
      <c r="A68" t="s">
        <v>1777</v>
      </c>
      <c r="C68" t="s">
        <v>1778</v>
      </c>
    </row>
    <row r="69" spans="1:3">
      <c r="A69" t="s">
        <v>1779</v>
      </c>
      <c r="C69" t="s">
        <v>1780</v>
      </c>
    </row>
    <row r="70" spans="1:3">
      <c r="A70" t="s">
        <v>1781</v>
      </c>
      <c r="C70" t="s">
        <v>1782</v>
      </c>
    </row>
    <row r="72" spans="1:3">
      <c r="A72" t="s">
        <v>1783</v>
      </c>
      <c r="C72" t="s">
        <v>1784</v>
      </c>
    </row>
    <row r="73" spans="1:3">
      <c r="A73" t="s">
        <v>1785</v>
      </c>
      <c r="C73" t="s">
        <v>1786</v>
      </c>
    </row>
    <row r="74" spans="1:3">
      <c r="A74" t="s">
        <v>1787</v>
      </c>
      <c r="C74" t="s">
        <v>1788</v>
      </c>
    </row>
    <row r="75" spans="1:3">
      <c r="A75" t="s">
        <v>1789</v>
      </c>
      <c r="C75" t="s">
        <v>1790</v>
      </c>
    </row>
    <row r="76" spans="1:3">
      <c r="A76" t="s">
        <v>1791</v>
      </c>
      <c r="C76" t="s">
        <v>1792</v>
      </c>
    </row>
    <row r="77" spans="1:3">
      <c r="A77" t="s">
        <v>1793</v>
      </c>
      <c r="C77" t="s">
        <v>1794</v>
      </c>
    </row>
    <row r="78" spans="1:3">
      <c r="A78" t="s">
        <v>1795</v>
      </c>
      <c r="C78" t="s">
        <v>1796</v>
      </c>
    </row>
    <row r="79" spans="1:3">
      <c r="A79" t="s">
        <v>1797</v>
      </c>
      <c r="C79" t="s">
        <v>1798</v>
      </c>
    </row>
    <row r="80" spans="1:3">
      <c r="A80" t="s">
        <v>1799</v>
      </c>
      <c r="C80" t="s">
        <v>1800</v>
      </c>
    </row>
    <row r="81" spans="1:3">
      <c r="A81" t="s">
        <v>1801</v>
      </c>
      <c r="C81" t="s">
        <v>1802</v>
      </c>
    </row>
    <row r="82" spans="1:3">
      <c r="A82" t="s">
        <v>1803</v>
      </c>
      <c r="C82" t="s">
        <v>1804</v>
      </c>
    </row>
    <row r="83" spans="1:3">
      <c r="A83" t="s">
        <v>1805</v>
      </c>
      <c r="C83" t="s">
        <v>1806</v>
      </c>
    </row>
    <row r="84" spans="1:3">
      <c r="A84" t="s">
        <v>1807</v>
      </c>
      <c r="C84" t="s">
        <v>1808</v>
      </c>
    </row>
    <row r="85" spans="1:3">
      <c r="A85" t="s">
        <v>1809</v>
      </c>
      <c r="C85" t="s">
        <v>1810</v>
      </c>
    </row>
    <row r="86" spans="1:3">
      <c r="A86" t="s">
        <v>1811</v>
      </c>
      <c r="C86" t="s">
        <v>1812</v>
      </c>
    </row>
    <row r="87" spans="1:3">
      <c r="A87" t="s">
        <v>1813</v>
      </c>
      <c r="C87" t="s">
        <v>1814</v>
      </c>
    </row>
    <row r="88" spans="1:3">
      <c r="A88" t="s">
        <v>1815</v>
      </c>
      <c r="C88" t="s">
        <v>1816</v>
      </c>
    </row>
    <row r="89" spans="1:3">
      <c r="A89" t="s">
        <v>1817</v>
      </c>
      <c r="C89" t="s">
        <v>1818</v>
      </c>
    </row>
    <row r="90" spans="1:3">
      <c r="A90" t="s">
        <v>1819</v>
      </c>
      <c r="C90" t="s">
        <v>1820</v>
      </c>
    </row>
    <row r="92" spans="1:3">
      <c r="A92" t="s">
        <v>1821</v>
      </c>
      <c r="C92" t="s">
        <v>1822</v>
      </c>
    </row>
    <row r="93" spans="1:3">
      <c r="A93" t="s">
        <v>1823</v>
      </c>
      <c r="C93" t="s">
        <v>1824</v>
      </c>
    </row>
    <row r="94" spans="1:3">
      <c r="A94" t="s">
        <v>1825</v>
      </c>
      <c r="C94" t="s">
        <v>1826</v>
      </c>
    </row>
    <row r="95" spans="1:3">
      <c r="A95" t="s">
        <v>1827</v>
      </c>
      <c r="C95" t="s">
        <v>1828</v>
      </c>
    </row>
    <row r="96" spans="1:3">
      <c r="A96" t="s">
        <v>1829</v>
      </c>
      <c r="C96" t="s">
        <v>1830</v>
      </c>
    </row>
    <row r="97" spans="1:3">
      <c r="A97" t="s">
        <v>1831</v>
      </c>
      <c r="C97" t="s">
        <v>1832</v>
      </c>
    </row>
    <row r="98" spans="1:3">
      <c r="A98" t="s">
        <v>1833</v>
      </c>
      <c r="C98" t="s">
        <v>1834</v>
      </c>
    </row>
    <row r="99" spans="1:3">
      <c r="A99" t="s">
        <v>1835</v>
      </c>
      <c r="C99" t="s">
        <v>1836</v>
      </c>
    </row>
    <row r="100" spans="1:3">
      <c r="A100" t="s">
        <v>1837</v>
      </c>
      <c r="C100" t="s">
        <v>1838</v>
      </c>
    </row>
    <row r="101" spans="1:3">
      <c r="A101" t="s">
        <v>1839</v>
      </c>
      <c r="C101" t="s">
        <v>1840</v>
      </c>
    </row>
    <row r="102" spans="1:3">
      <c r="A102" t="s">
        <v>1841</v>
      </c>
      <c r="C102" t="s">
        <v>1842</v>
      </c>
    </row>
    <row r="103" spans="1:3">
      <c r="A103" t="s">
        <v>1843</v>
      </c>
      <c r="C103" t="s">
        <v>1844</v>
      </c>
    </row>
    <row r="104" spans="1:3">
      <c r="A104" t="s">
        <v>1845</v>
      </c>
      <c r="C104" t="s">
        <v>1846</v>
      </c>
    </row>
    <row r="105" spans="1:3">
      <c r="A105" t="s">
        <v>1847</v>
      </c>
      <c r="C105" t="s">
        <v>1848</v>
      </c>
    </row>
    <row r="106" spans="1:3">
      <c r="A106" t="s">
        <v>1849</v>
      </c>
      <c r="C106" t="s">
        <v>1850</v>
      </c>
    </row>
    <row r="107" spans="1:3">
      <c r="A107" t="s">
        <v>1851</v>
      </c>
      <c r="C107" t="s">
        <v>1852</v>
      </c>
    </row>
    <row r="108" spans="1:3">
      <c r="A108" t="s">
        <v>1853</v>
      </c>
      <c r="C108" t="s">
        <v>1854</v>
      </c>
    </row>
    <row r="110" spans="1:3">
      <c r="A110" t="s">
        <v>1855</v>
      </c>
      <c r="C110" t="s">
        <v>1856</v>
      </c>
    </row>
    <row r="111" spans="1:3">
      <c r="A111" t="s">
        <v>1857</v>
      </c>
      <c r="C111" t="s">
        <v>1858</v>
      </c>
    </row>
    <row r="112" spans="1:3">
      <c r="A112" t="s">
        <v>1859</v>
      </c>
      <c r="C112" t="s">
        <v>1860</v>
      </c>
    </row>
    <row r="113" spans="1:3">
      <c r="A113" t="s">
        <v>1861</v>
      </c>
      <c r="C113" t="s">
        <v>1862</v>
      </c>
    </row>
    <row r="114" spans="1:3">
      <c r="A114" t="s">
        <v>1863</v>
      </c>
      <c r="C114" t="s">
        <v>1864</v>
      </c>
    </row>
    <row r="115" spans="1:3">
      <c r="A115" t="s">
        <v>1865</v>
      </c>
      <c r="C115" t="s">
        <v>1866</v>
      </c>
    </row>
    <row r="116" spans="1:3">
      <c r="A116" t="s">
        <v>1867</v>
      </c>
      <c r="C116" t="s">
        <v>1868</v>
      </c>
    </row>
    <row r="117" spans="1:3">
      <c r="A117" t="s">
        <v>1869</v>
      </c>
      <c r="C117" t="s">
        <v>1870</v>
      </c>
    </row>
    <row r="118" spans="1:3">
      <c r="A118" t="s">
        <v>1871</v>
      </c>
      <c r="C118" t="s">
        <v>1872</v>
      </c>
    </row>
    <row r="119" spans="1:3">
      <c r="A119" t="s">
        <v>1873</v>
      </c>
      <c r="C119" t="s">
        <v>1874</v>
      </c>
    </row>
    <row r="120" spans="1:3">
      <c r="A120" t="s">
        <v>1875</v>
      </c>
      <c r="C120" t="s">
        <v>1876</v>
      </c>
    </row>
    <row r="121" spans="1:3">
      <c r="A121" t="s">
        <v>1877</v>
      </c>
      <c r="C121" t="s">
        <v>1878</v>
      </c>
    </row>
    <row r="122" spans="1:3">
      <c r="A122" t="s">
        <v>1879</v>
      </c>
      <c r="C122" t="s">
        <v>1880</v>
      </c>
    </row>
    <row r="124" spans="1:3">
      <c r="A124" t="s">
        <v>1881</v>
      </c>
      <c r="C124" t="s">
        <v>1882</v>
      </c>
    </row>
    <row r="125" spans="1:3">
      <c r="A125" t="s">
        <v>2197</v>
      </c>
      <c r="C125" t="s">
        <v>2198</v>
      </c>
    </row>
    <row r="126" spans="1:3">
      <c r="A126" t="s">
        <v>2201</v>
      </c>
      <c r="C126" t="s">
        <v>2202</v>
      </c>
    </row>
    <row r="128" spans="1:3">
      <c r="A128" t="s">
        <v>1883</v>
      </c>
      <c r="C128" t="s">
        <v>1884</v>
      </c>
    </row>
    <row r="129" spans="1:3">
      <c r="A129" t="s">
        <v>1885</v>
      </c>
      <c r="C129" t="s">
        <v>1886</v>
      </c>
    </row>
    <row r="130" spans="1:3">
      <c r="A130" t="s">
        <v>1887</v>
      </c>
      <c r="C130" t="s">
        <v>1888</v>
      </c>
    </row>
    <row r="131" spans="1:3">
      <c r="A131" t="s">
        <v>1889</v>
      </c>
      <c r="C131" t="s">
        <v>1890</v>
      </c>
    </row>
    <row r="132" spans="1:3">
      <c r="A132" t="s">
        <v>1891</v>
      </c>
      <c r="C132" t="s">
        <v>1892</v>
      </c>
    </row>
    <row r="133" spans="1:3">
      <c r="A133" t="s">
        <v>1893</v>
      </c>
      <c r="C133" t="s">
        <v>1894</v>
      </c>
    </row>
    <row r="134" spans="1:3">
      <c r="A134" t="s">
        <v>1895</v>
      </c>
      <c r="C134" t="s">
        <v>1896</v>
      </c>
    </row>
    <row r="135" spans="1:3">
      <c r="A135" t="s">
        <v>1897</v>
      </c>
      <c r="C135" t="s">
        <v>1898</v>
      </c>
    </row>
    <row r="136" spans="1:3">
      <c r="A136" t="s">
        <v>1899</v>
      </c>
      <c r="C136" t="s">
        <v>1900</v>
      </c>
    </row>
    <row r="137" spans="1:3">
      <c r="A137" t="s">
        <v>1901</v>
      </c>
      <c r="C137" t="s">
        <v>1902</v>
      </c>
    </row>
    <row r="138" spans="1:3">
      <c r="A138" t="s">
        <v>1903</v>
      </c>
      <c r="C138" t="s">
        <v>1904</v>
      </c>
    </row>
    <row r="139" spans="1:3">
      <c r="A139" t="s">
        <v>1905</v>
      </c>
      <c r="C139" t="s">
        <v>1906</v>
      </c>
    </row>
    <row r="140" spans="1:3">
      <c r="A140" t="s">
        <v>1907</v>
      </c>
      <c r="C140" t="s">
        <v>1908</v>
      </c>
    </row>
    <row r="141" spans="1:3">
      <c r="A141" t="s">
        <v>1909</v>
      </c>
      <c r="C141" t="s">
        <v>1910</v>
      </c>
    </row>
    <row r="142" spans="1:3">
      <c r="A142" t="s">
        <v>1911</v>
      </c>
      <c r="C142" t="s">
        <v>1912</v>
      </c>
    </row>
    <row r="143" spans="1:3">
      <c r="A143" t="s">
        <v>1913</v>
      </c>
      <c r="C143" t="s">
        <v>1914</v>
      </c>
    </row>
    <row r="144" spans="1:3">
      <c r="A144" t="s">
        <v>1915</v>
      </c>
      <c r="C144" t="s">
        <v>1916</v>
      </c>
    </row>
    <row r="145" spans="1:3">
      <c r="A145" t="s">
        <v>1917</v>
      </c>
      <c r="C145" t="s">
        <v>1918</v>
      </c>
    </row>
    <row r="146" spans="1:3">
      <c r="A146" t="s">
        <v>1919</v>
      </c>
      <c r="C146" t="s">
        <v>1920</v>
      </c>
    </row>
    <row r="147" spans="1:3">
      <c r="A147" t="s">
        <v>1921</v>
      </c>
      <c r="C147" t="s">
        <v>1922</v>
      </c>
    </row>
    <row r="148" spans="1:3">
      <c r="A148" t="s">
        <v>1923</v>
      </c>
      <c r="C148" t="s">
        <v>1924</v>
      </c>
    </row>
    <row r="149" spans="1:3">
      <c r="A149" t="s">
        <v>1925</v>
      </c>
      <c r="C149" t="s">
        <v>1926</v>
      </c>
    </row>
    <row r="150" spans="1:3">
      <c r="A150" t="s">
        <v>1927</v>
      </c>
      <c r="C150" t="s">
        <v>1928</v>
      </c>
    </row>
    <row r="151" spans="1:3">
      <c r="A151" t="s">
        <v>1929</v>
      </c>
      <c r="C151" t="s">
        <v>1930</v>
      </c>
    </row>
    <row r="152" spans="1:3">
      <c r="A152" t="s">
        <v>1931</v>
      </c>
      <c r="C152" t="s">
        <v>1932</v>
      </c>
    </row>
    <row r="153" spans="1:3">
      <c r="A153" t="s">
        <v>1933</v>
      </c>
      <c r="C153" t="s">
        <v>1934</v>
      </c>
    </row>
    <row r="154" spans="1:3">
      <c r="A154" t="s">
        <v>1935</v>
      </c>
      <c r="C154" t="s">
        <v>1936</v>
      </c>
    </row>
    <row r="155" spans="1:3">
      <c r="A155" t="s">
        <v>1937</v>
      </c>
      <c r="C155" t="s">
        <v>1938</v>
      </c>
    </row>
    <row r="156" spans="1:3">
      <c r="A156" t="s">
        <v>1939</v>
      </c>
      <c r="C156" t="s">
        <v>1940</v>
      </c>
    </row>
    <row r="157" spans="1:3">
      <c r="A157" t="s">
        <v>1941</v>
      </c>
      <c r="C157" t="s">
        <v>1942</v>
      </c>
    </row>
    <row r="158" spans="1:3">
      <c r="A158" t="s">
        <v>1943</v>
      </c>
      <c r="C158" t="s">
        <v>1944</v>
      </c>
    </row>
    <row r="159" spans="1:3">
      <c r="A159" t="s">
        <v>1945</v>
      </c>
      <c r="C159" t="s">
        <v>1946</v>
      </c>
    </row>
    <row r="160" spans="1:3">
      <c r="A160" t="s">
        <v>1947</v>
      </c>
      <c r="C160" t="s">
        <v>1948</v>
      </c>
    </row>
    <row r="161" spans="1:3">
      <c r="A161" t="s">
        <v>1949</v>
      </c>
      <c r="C161" t="s">
        <v>1950</v>
      </c>
    </row>
    <row r="162" spans="1:3">
      <c r="A162" t="s">
        <v>1951</v>
      </c>
      <c r="C162" t="s">
        <v>1952</v>
      </c>
    </row>
    <row r="163" spans="1:3">
      <c r="A163" t="s">
        <v>1953</v>
      </c>
      <c r="C163" t="s">
        <v>1954</v>
      </c>
    </row>
    <row r="164" spans="1:3">
      <c r="A164" t="s">
        <v>1955</v>
      </c>
      <c r="C164" t="s">
        <v>1956</v>
      </c>
    </row>
    <row r="165" spans="1:3">
      <c r="A165" t="s">
        <v>1957</v>
      </c>
      <c r="C165" t="s">
        <v>1958</v>
      </c>
    </row>
    <row r="166" spans="1:3">
      <c r="A166" t="s">
        <v>1959</v>
      </c>
      <c r="C166" t="s">
        <v>1960</v>
      </c>
    </row>
    <row r="167" spans="1:3">
      <c r="A167" t="s">
        <v>1961</v>
      </c>
      <c r="C167" t="s">
        <v>1962</v>
      </c>
    </row>
    <row r="168" spans="1:3">
      <c r="A168" t="s">
        <v>1963</v>
      </c>
      <c r="C168" t="s">
        <v>1964</v>
      </c>
    </row>
    <row r="169" spans="1:3">
      <c r="A169" t="s">
        <v>1965</v>
      </c>
      <c r="C169" t="s">
        <v>1966</v>
      </c>
    </row>
    <row r="170" spans="1:3">
      <c r="A170" t="s">
        <v>1967</v>
      </c>
      <c r="C170" t="s">
        <v>1968</v>
      </c>
    </row>
    <row r="171" spans="1:3">
      <c r="A171" t="s">
        <v>1969</v>
      </c>
      <c r="C171" t="s">
        <v>1970</v>
      </c>
    </row>
    <row r="172" spans="1:3">
      <c r="A172" t="s">
        <v>1971</v>
      </c>
      <c r="C172" t="s">
        <v>1972</v>
      </c>
    </row>
    <row r="173" spans="1:3">
      <c r="A173" t="s">
        <v>1973</v>
      </c>
      <c r="C173" t="s">
        <v>1974</v>
      </c>
    </row>
    <row r="174" spans="1:3">
      <c r="A174" t="s">
        <v>1975</v>
      </c>
      <c r="C174" t="s">
        <v>1976</v>
      </c>
    </row>
    <row r="175" spans="1:3">
      <c r="A175" t="s">
        <v>1977</v>
      </c>
      <c r="C175" t="s">
        <v>1978</v>
      </c>
    </row>
    <row r="176" spans="1:3">
      <c r="A176" t="s">
        <v>1979</v>
      </c>
      <c r="C176" t="s">
        <v>1980</v>
      </c>
    </row>
    <row r="177" spans="1:3">
      <c r="A177" t="s">
        <v>1981</v>
      </c>
      <c r="C177" t="s">
        <v>1982</v>
      </c>
    </row>
    <row r="178" spans="1:3">
      <c r="A178" t="s">
        <v>1983</v>
      </c>
      <c r="C178" t="s">
        <v>1984</v>
      </c>
    </row>
    <row r="179" spans="1:3">
      <c r="A179" t="s">
        <v>1985</v>
      </c>
      <c r="C179" t="s">
        <v>1986</v>
      </c>
    </row>
    <row r="180" spans="1:3">
      <c r="A180" t="s">
        <v>1987</v>
      </c>
      <c r="C180" t="s">
        <v>1988</v>
      </c>
    </row>
    <row r="181" spans="1:3">
      <c r="A181" t="s">
        <v>1989</v>
      </c>
      <c r="C181" t="s">
        <v>1990</v>
      </c>
    </row>
    <row r="182" spans="1:3">
      <c r="A182" t="s">
        <v>1991</v>
      </c>
      <c r="C182" t="s">
        <v>1992</v>
      </c>
    </row>
    <row r="183" spans="1:3">
      <c r="A183" t="s">
        <v>1993</v>
      </c>
      <c r="C183" t="s">
        <v>1994</v>
      </c>
    </row>
    <row r="184" spans="1:3">
      <c r="A184" t="s">
        <v>1995</v>
      </c>
      <c r="C184" t="s">
        <v>1996</v>
      </c>
    </row>
    <row r="185" spans="1:3">
      <c r="A185" t="s">
        <v>1997</v>
      </c>
      <c r="C185" t="s">
        <v>1998</v>
      </c>
    </row>
    <row r="186" spans="1:3">
      <c r="A186" t="s">
        <v>1999</v>
      </c>
      <c r="C186" t="s">
        <v>2000</v>
      </c>
    </row>
    <row r="187" spans="1:3">
      <c r="A187" t="s">
        <v>2001</v>
      </c>
      <c r="C187" t="s">
        <v>2002</v>
      </c>
    </row>
    <row r="188" spans="1:3">
      <c r="A188" t="s">
        <v>2003</v>
      </c>
      <c r="C188" t="s">
        <v>2004</v>
      </c>
    </row>
    <row r="189" spans="1:3">
      <c r="A189" t="s">
        <v>2005</v>
      </c>
      <c r="C189" t="s">
        <v>2006</v>
      </c>
    </row>
    <row r="191" spans="1:3">
      <c r="A191" t="s">
        <v>2007</v>
      </c>
      <c r="C191" t="s">
        <v>2008</v>
      </c>
    </row>
    <row r="192" spans="1:3">
      <c r="A192" t="s">
        <v>2009</v>
      </c>
      <c r="C192" t="s">
        <v>2010</v>
      </c>
    </row>
    <row r="193" spans="1:3">
      <c r="A193" t="s">
        <v>2011</v>
      </c>
      <c r="C193" t="s">
        <v>2012</v>
      </c>
    </row>
    <row r="194" spans="1:3">
      <c r="A194" t="s">
        <v>2013</v>
      </c>
      <c r="C194" t="s">
        <v>2014</v>
      </c>
    </row>
    <row r="195" spans="1:3">
      <c r="A195" t="s">
        <v>2015</v>
      </c>
      <c r="C195" t="s">
        <v>2016</v>
      </c>
    </row>
    <row r="196" spans="1:3">
      <c r="A196" t="s">
        <v>2017</v>
      </c>
      <c r="C196" t="s">
        <v>2018</v>
      </c>
    </row>
    <row r="197" spans="1:3">
      <c r="A197" t="s">
        <v>2019</v>
      </c>
      <c r="C197" t="s">
        <v>2020</v>
      </c>
    </row>
    <row r="199" spans="1:3">
      <c r="A199" t="s">
        <v>2021</v>
      </c>
      <c r="C199" t="s">
        <v>2022</v>
      </c>
    </row>
    <row r="200" spans="1:3">
      <c r="A200" t="s">
        <v>2023</v>
      </c>
      <c r="C200" t="s">
        <v>2024</v>
      </c>
    </row>
    <row r="201" spans="1:3">
      <c r="A201" t="s">
        <v>2025</v>
      </c>
      <c r="C201" t="s">
        <v>2026</v>
      </c>
    </row>
    <row r="202" spans="1:3">
      <c r="A202" t="s">
        <v>2027</v>
      </c>
      <c r="C202" t="s">
        <v>2028</v>
      </c>
    </row>
    <row r="203" spans="1:3">
      <c r="A203" t="s">
        <v>2029</v>
      </c>
      <c r="C203" t="s">
        <v>2030</v>
      </c>
    </row>
    <row r="204" spans="1:3">
      <c r="A204" t="s">
        <v>2031</v>
      </c>
      <c r="C204" t="s">
        <v>2032</v>
      </c>
    </row>
    <row r="205" spans="1:3">
      <c r="A205" t="s">
        <v>2033</v>
      </c>
      <c r="C205" t="s">
        <v>2034</v>
      </c>
    </row>
    <row r="206" spans="1:3">
      <c r="A206" t="s">
        <v>2035</v>
      </c>
      <c r="C206" t="s">
        <v>2036</v>
      </c>
    </row>
    <row r="207" spans="1:3">
      <c r="A207" t="s">
        <v>2037</v>
      </c>
      <c r="C207" t="s">
        <v>2038</v>
      </c>
    </row>
    <row r="208" spans="1:3">
      <c r="A208" t="s">
        <v>2039</v>
      </c>
      <c r="C208" t="s">
        <v>2040</v>
      </c>
    </row>
    <row r="209" spans="1:3">
      <c r="A209" t="s">
        <v>2041</v>
      </c>
      <c r="C209" t="s">
        <v>2042</v>
      </c>
    </row>
    <row r="210" spans="1:3">
      <c r="A210" t="s">
        <v>2043</v>
      </c>
      <c r="C210" t="s">
        <v>2044</v>
      </c>
    </row>
    <row r="211" spans="1:3">
      <c r="A211" t="s">
        <v>2045</v>
      </c>
      <c r="C211" t="s">
        <v>2046</v>
      </c>
    </row>
    <row r="212" spans="1:3">
      <c r="A212" t="s">
        <v>2047</v>
      </c>
      <c r="C212" t="s">
        <v>2048</v>
      </c>
    </row>
    <row r="213" spans="1:3">
      <c r="A213" t="s">
        <v>2049</v>
      </c>
      <c r="C213" t="s">
        <v>2050</v>
      </c>
    </row>
    <row r="215" spans="1:3">
      <c r="A215" t="s">
        <v>2051</v>
      </c>
      <c r="C215" t="s">
        <v>2052</v>
      </c>
    </row>
    <row r="216" spans="1:3">
      <c r="A216" t="s">
        <v>2053</v>
      </c>
      <c r="C216" t="s">
        <v>2054</v>
      </c>
    </row>
    <row r="217" spans="1:3">
      <c r="A217" t="s">
        <v>2055</v>
      </c>
      <c r="C217" t="s">
        <v>2056</v>
      </c>
    </row>
    <row r="218" spans="1:3">
      <c r="A218" t="s">
        <v>2057</v>
      </c>
      <c r="C218" t="s">
        <v>2058</v>
      </c>
    </row>
    <row r="219" spans="1:3">
      <c r="A219" t="s">
        <v>2059</v>
      </c>
      <c r="C219" t="s">
        <v>2060</v>
      </c>
    </row>
    <row r="220" spans="1:3">
      <c r="A220" t="s">
        <v>2061</v>
      </c>
      <c r="C220" t="s">
        <v>2062</v>
      </c>
    </row>
    <row r="221" spans="1:3">
      <c r="A221" t="s">
        <v>2063</v>
      </c>
      <c r="C221" t="s">
        <v>2064</v>
      </c>
    </row>
    <row r="222" spans="1:3">
      <c r="A222" t="s">
        <v>2065</v>
      </c>
      <c r="C222" t="s">
        <v>2066</v>
      </c>
    </row>
    <row r="223" spans="1:3">
      <c r="A223" t="s">
        <v>2067</v>
      </c>
      <c r="C223" t="s">
        <v>2068</v>
      </c>
    </row>
    <row r="224" spans="1:3">
      <c r="A224" t="s">
        <v>2069</v>
      </c>
      <c r="C224" t="s">
        <v>2070</v>
      </c>
    </row>
    <row r="241" spans="1:5">
      <c r="A241" t="s">
        <v>2071</v>
      </c>
      <c r="C241" t="s">
        <v>2072</v>
      </c>
    </row>
    <row r="242" spans="1:5">
      <c r="A242" t="s">
        <v>2073</v>
      </c>
      <c r="C242" t="s">
        <v>2074</v>
      </c>
    </row>
    <row r="243" spans="1:5">
      <c r="A243" t="s">
        <v>2075</v>
      </c>
      <c r="C243" t="s">
        <v>2076</v>
      </c>
    </row>
    <row r="245" spans="1:5">
      <c r="A245" t="s">
        <v>2077</v>
      </c>
      <c r="C245" t="s">
        <v>2078</v>
      </c>
    </row>
    <row r="246" spans="1:5">
      <c r="A246" t="s">
        <v>2255</v>
      </c>
      <c r="C246" t="s">
        <v>2256</v>
      </c>
    </row>
    <row r="248" spans="1:5">
      <c r="A248" t="s">
        <v>2079</v>
      </c>
      <c r="C248" t="s">
        <v>2080</v>
      </c>
    </row>
    <row r="249" spans="1:5">
      <c r="A249" t="s">
        <v>2081</v>
      </c>
      <c r="C249" t="s">
        <v>2082</v>
      </c>
      <c r="E249" t="s">
        <v>2405</v>
      </c>
    </row>
    <row r="250" spans="1:5">
      <c r="A250" t="s">
        <v>2083</v>
      </c>
      <c r="C250" t="s">
        <v>2084</v>
      </c>
    </row>
    <row r="251" spans="1:5">
      <c r="A251" t="s">
        <v>2085</v>
      </c>
      <c r="C251" t="s">
        <v>2086</v>
      </c>
    </row>
    <row r="252" spans="1:5">
      <c r="A252" t="s">
        <v>2087</v>
      </c>
      <c r="C252" t="s">
        <v>2088</v>
      </c>
    </row>
    <row r="253" spans="1:5">
      <c r="A253" t="s">
        <v>2089</v>
      </c>
      <c r="C253" t="s">
        <v>2090</v>
      </c>
    </row>
    <row r="254" spans="1:5">
      <c r="A254" t="s">
        <v>2091</v>
      </c>
      <c r="C254" t="s">
        <v>2092</v>
      </c>
    </row>
    <row r="256" spans="1:5">
      <c r="A256" t="s">
        <v>2093</v>
      </c>
      <c r="C256" t="s">
        <v>2094</v>
      </c>
    </row>
    <row r="257" spans="1:161">
      <c r="A257" t="s">
        <v>2095</v>
      </c>
      <c r="C257" t="s">
        <v>2096</v>
      </c>
    </row>
    <row r="258" spans="1:161">
      <c r="A258" t="s">
        <v>2097</v>
      </c>
      <c r="C258" t="s">
        <v>2098</v>
      </c>
    </row>
    <row r="259" spans="1:161">
      <c r="A259" t="s">
        <v>2099</v>
      </c>
      <c r="C259" t="s">
        <v>2100</v>
      </c>
    </row>
    <row r="260" spans="1:161">
      <c r="A260" t="s">
        <v>2101</v>
      </c>
      <c r="C260" t="s">
        <v>2102</v>
      </c>
      <c r="AE260" t="s">
        <v>2405</v>
      </c>
      <c r="AF260" t="s">
        <v>2405</v>
      </c>
      <c r="AG260" t="s">
        <v>2405</v>
      </c>
      <c r="AH260" t="s">
        <v>2405</v>
      </c>
      <c r="AI260" t="s">
        <v>2405</v>
      </c>
      <c r="AJ260" t="s">
        <v>2405</v>
      </c>
      <c r="EJ260" t="s">
        <v>2405</v>
      </c>
      <c r="EK260" t="s">
        <v>2405</v>
      </c>
      <c r="EL260" t="s">
        <v>2405</v>
      </c>
      <c r="EM260" t="s">
        <v>2405</v>
      </c>
      <c r="EN260" t="s">
        <v>2405</v>
      </c>
      <c r="EO260" t="s">
        <v>2405</v>
      </c>
      <c r="EP260" t="s">
        <v>2405</v>
      </c>
      <c r="EQ260" t="s">
        <v>2405</v>
      </c>
      <c r="ER260" t="s">
        <v>2405</v>
      </c>
      <c r="ET260" t="s">
        <v>2405</v>
      </c>
      <c r="EU260" t="s">
        <v>2405</v>
      </c>
      <c r="EV260" t="s">
        <v>2405</v>
      </c>
      <c r="EW260" t="s">
        <v>2405</v>
      </c>
      <c r="EX260" t="s">
        <v>2405</v>
      </c>
      <c r="EY260" t="s">
        <v>2405</v>
      </c>
      <c r="EZ260" t="s">
        <v>2405</v>
      </c>
      <c r="FA260" t="s">
        <v>2405</v>
      </c>
      <c r="FB260" t="s">
        <v>2405</v>
      </c>
      <c r="FC260" t="s">
        <v>2405</v>
      </c>
      <c r="FD260" t="s">
        <v>2405</v>
      </c>
      <c r="FE260" t="s">
        <v>2405</v>
      </c>
    </row>
    <row r="262" spans="1:161">
      <c r="A262" t="s">
        <v>2103</v>
      </c>
      <c r="C262" t="s">
        <v>2104</v>
      </c>
    </row>
    <row r="263" spans="1:161">
      <c r="A263" t="s">
        <v>2105</v>
      </c>
      <c r="C263" t="s">
        <v>2106</v>
      </c>
    </row>
    <row r="264" spans="1:161">
      <c r="A264" t="s">
        <v>2107</v>
      </c>
      <c r="C264" t="s">
        <v>2108</v>
      </c>
    </row>
    <row r="265" spans="1:161">
      <c r="A265" t="s">
        <v>2109</v>
      </c>
      <c r="C265" t="s">
        <v>2110</v>
      </c>
    </row>
    <row r="266" spans="1:161">
      <c r="A266" t="s">
        <v>2111</v>
      </c>
      <c r="C266" t="s">
        <v>2112</v>
      </c>
    </row>
    <row r="267" spans="1:161">
      <c r="A267" t="s">
        <v>2113</v>
      </c>
      <c r="C267" t="s">
        <v>2114</v>
      </c>
    </row>
    <row r="268" spans="1:161">
      <c r="A268" t="s">
        <v>2115</v>
      </c>
      <c r="C268" t="s">
        <v>2116</v>
      </c>
    </row>
    <row r="269" spans="1:161">
      <c r="A269" t="s">
        <v>2117</v>
      </c>
      <c r="C269" t="s">
        <v>2118</v>
      </c>
    </row>
    <row r="270" spans="1:161">
      <c r="A270" t="s">
        <v>2119</v>
      </c>
      <c r="C270" t="s">
        <v>2120</v>
      </c>
    </row>
    <row r="271" spans="1:161">
      <c r="A271" t="s">
        <v>2121</v>
      </c>
      <c r="C271" t="s">
        <v>2122</v>
      </c>
    </row>
    <row r="273" spans="1:3">
      <c r="A273" t="s">
        <v>2123</v>
      </c>
      <c r="C273" t="s">
        <v>2124</v>
      </c>
    </row>
    <row r="274" spans="1:3">
      <c r="A274" t="s">
        <v>2125</v>
      </c>
      <c r="C274" t="s">
        <v>2126</v>
      </c>
    </row>
    <row r="275" spans="1:3">
      <c r="A275" t="s">
        <v>2127</v>
      </c>
      <c r="C275" t="s">
        <v>2128</v>
      </c>
    </row>
    <row r="276" spans="1:3">
      <c r="A276" t="s">
        <v>2129</v>
      </c>
      <c r="C276" t="s">
        <v>2130</v>
      </c>
    </row>
    <row r="277" spans="1:3">
      <c r="A277" t="s">
        <v>2131</v>
      </c>
      <c r="C277" t="s">
        <v>2132</v>
      </c>
    </row>
    <row r="278" spans="1:3">
      <c r="A278" t="s">
        <v>2133</v>
      </c>
      <c r="C278" t="s">
        <v>2134</v>
      </c>
    </row>
    <row r="279" spans="1:3">
      <c r="A279" t="s">
        <v>2135</v>
      </c>
      <c r="C279" t="s">
        <v>2136</v>
      </c>
    </row>
    <row r="280" spans="1:3">
      <c r="A280" t="s">
        <v>2137</v>
      </c>
      <c r="C280" t="s">
        <v>2138</v>
      </c>
    </row>
    <row r="281" spans="1:3">
      <c r="A281" t="s">
        <v>2139</v>
      </c>
      <c r="C281" t="s">
        <v>2140</v>
      </c>
    </row>
    <row r="282" spans="1:3">
      <c r="A282" t="s">
        <v>2141</v>
      </c>
      <c r="C282" t="s">
        <v>2142</v>
      </c>
    </row>
    <row r="283" spans="1:3">
      <c r="A283" t="s">
        <v>2143</v>
      </c>
      <c r="C283" t="s">
        <v>2144</v>
      </c>
    </row>
    <row r="284" spans="1:3">
      <c r="A284" t="s">
        <v>2145</v>
      </c>
      <c r="C284" t="s">
        <v>2146</v>
      </c>
    </row>
    <row r="285" spans="1:3">
      <c r="A285" t="s">
        <v>2147</v>
      </c>
      <c r="C285" t="s">
        <v>2148</v>
      </c>
    </row>
    <row r="286" spans="1:3">
      <c r="A286" t="s">
        <v>2149</v>
      </c>
      <c r="C286" t="s">
        <v>2150</v>
      </c>
    </row>
    <row r="287" spans="1:3">
      <c r="A287" t="s">
        <v>2151</v>
      </c>
      <c r="C287" t="s">
        <v>2152</v>
      </c>
    </row>
    <row r="288" spans="1:3">
      <c r="A288" t="s">
        <v>2153</v>
      </c>
      <c r="C288" t="s">
        <v>2154</v>
      </c>
    </row>
    <row r="290" spans="1:3">
      <c r="A290" t="s">
        <v>2155</v>
      </c>
      <c r="C290" t="s">
        <v>2156</v>
      </c>
    </row>
    <row r="292" spans="1:3">
      <c r="A292" t="s">
        <v>2157</v>
      </c>
      <c r="C292" t="s">
        <v>2158</v>
      </c>
    </row>
    <row r="293" spans="1:3">
      <c r="A293" t="s">
        <v>2159</v>
      </c>
      <c r="C293" t="s">
        <v>2160</v>
      </c>
    </row>
    <row r="294" spans="1:3">
      <c r="A294" t="s">
        <v>2161</v>
      </c>
      <c r="C294" t="s">
        <v>2162</v>
      </c>
    </row>
    <row r="295" spans="1:3">
      <c r="A295" t="s">
        <v>2163</v>
      </c>
      <c r="C295" t="s">
        <v>2164</v>
      </c>
    </row>
    <row r="296" spans="1:3">
      <c r="A296" t="s">
        <v>2165</v>
      </c>
      <c r="C296" t="s">
        <v>2166</v>
      </c>
    </row>
    <row r="298" spans="1:3">
      <c r="A298" t="s">
        <v>2167</v>
      </c>
      <c r="C298" t="s">
        <v>2168</v>
      </c>
    </row>
    <row r="300" spans="1:3">
      <c r="A300" t="s">
        <v>2169</v>
      </c>
      <c r="C300" t="s">
        <v>2170</v>
      </c>
    </row>
    <row r="301" spans="1:3">
      <c r="A301" t="s">
        <v>2171</v>
      </c>
      <c r="C301" t="s">
        <v>2172</v>
      </c>
    </row>
    <row r="302" spans="1:3">
      <c r="A302" t="s">
        <v>2173</v>
      </c>
      <c r="C302" t="s">
        <v>2174</v>
      </c>
    </row>
    <row r="303" spans="1:3">
      <c r="A303" t="s">
        <v>2175</v>
      </c>
      <c r="C303" t="s">
        <v>2176</v>
      </c>
    </row>
    <row r="305" spans="1:3">
      <c r="A305" t="s">
        <v>2177</v>
      </c>
      <c r="C305" t="s">
        <v>2178</v>
      </c>
    </row>
    <row r="307" spans="1:3">
      <c r="A307" t="s">
        <v>2179</v>
      </c>
      <c r="C307" t="s">
        <v>2180</v>
      </c>
    </row>
    <row r="308" spans="1:3">
      <c r="A308" t="s">
        <v>2181</v>
      </c>
      <c r="C308" t="s">
        <v>2182</v>
      </c>
    </row>
    <row r="309" spans="1:3">
      <c r="A309" t="s">
        <v>2183</v>
      </c>
      <c r="C309" t="s">
        <v>2184</v>
      </c>
    </row>
  </sheetData>
  <pageMargins left="0.7" right="0.7" top="0.75" bottom="0.75" header="0.3" footer="0.3"/>
  <pageSetup paperSize="9" orientation="portrait" r:id="rId1"/>
  <customProperties>
    <customPr name="Exchange.ContributionType" r:id="rId2"/>
    <customPr name="Exchange.CreationEntityId" r:id="rId3"/>
    <customPr name="Exchange.CreationEntityIdType" r:id="rId4"/>
    <customPr name="Exchange.CreationEntityType" r:id="rId5"/>
    <customPr name="Exchange.ExchangeSheetId" r:id="rId6"/>
    <customPr name="Exchange.SheetType" r:id="rId7"/>
    <customPr name="FormulaVersion" r:id="rId8"/>
    <customPr name="Qube.Worksheet.Visibility" r:id="rId9"/>
    <customPr name="QXL_SHEET_ID" r:id="rId10"/>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185E6-5782-48A6-8439-3B677319F69E}">
  <dimension ref="A1:FE309"/>
  <sheetViews>
    <sheetView workbookViewId="0"/>
  </sheetViews>
  <sheetFormatPr defaultRowHeight="13.8"/>
  <sheetData>
    <row r="1" spans="1:161">
      <c r="A1" t="s">
        <v>173</v>
      </c>
      <c r="F1">
        <v>2000</v>
      </c>
      <c r="G1">
        <v>2001</v>
      </c>
      <c r="H1">
        <v>2002</v>
      </c>
      <c r="I1">
        <v>2003</v>
      </c>
      <c r="J1">
        <v>2004</v>
      </c>
      <c r="K1">
        <v>2005</v>
      </c>
      <c r="L1">
        <v>2006</v>
      </c>
      <c r="M1">
        <v>2007</v>
      </c>
      <c r="N1">
        <v>2008</v>
      </c>
      <c r="O1">
        <v>2009</v>
      </c>
      <c r="P1">
        <v>2010</v>
      </c>
      <c r="Q1">
        <v>2011</v>
      </c>
      <c r="R1">
        <v>2012</v>
      </c>
      <c r="S1">
        <v>2013</v>
      </c>
      <c r="T1">
        <v>2014</v>
      </c>
      <c r="U1">
        <v>2015</v>
      </c>
      <c r="V1">
        <v>2016</v>
      </c>
      <c r="W1">
        <v>2017</v>
      </c>
      <c r="X1">
        <v>2018</v>
      </c>
      <c r="Y1">
        <v>2019</v>
      </c>
      <c r="Z1">
        <v>2020</v>
      </c>
      <c r="AA1">
        <v>2021</v>
      </c>
      <c r="AB1">
        <v>2022</v>
      </c>
      <c r="AC1">
        <v>2023</v>
      </c>
      <c r="AD1">
        <v>2024</v>
      </c>
      <c r="AE1">
        <v>2025</v>
      </c>
      <c r="AF1">
        <v>2026</v>
      </c>
      <c r="AG1">
        <v>2027</v>
      </c>
      <c r="AH1">
        <v>2028</v>
      </c>
      <c r="AI1">
        <v>2029</v>
      </c>
      <c r="AJ1">
        <v>2030</v>
      </c>
      <c r="AL1" t="s">
        <v>687</v>
      </c>
      <c r="AM1" t="s">
        <v>686</v>
      </c>
      <c r="AN1" t="s">
        <v>685</v>
      </c>
      <c r="AO1" t="s">
        <v>684</v>
      </c>
      <c r="AP1" t="s">
        <v>683</v>
      </c>
      <c r="AQ1" t="s">
        <v>682</v>
      </c>
      <c r="AR1" t="s">
        <v>681</v>
      </c>
      <c r="AS1" t="s">
        <v>680</v>
      </c>
      <c r="AT1" t="s">
        <v>679</v>
      </c>
      <c r="AU1" t="s">
        <v>678</v>
      </c>
      <c r="AV1" t="s">
        <v>677</v>
      </c>
      <c r="AW1" t="s">
        <v>676</v>
      </c>
      <c r="AX1" t="s">
        <v>174</v>
      </c>
      <c r="AY1" t="s">
        <v>175</v>
      </c>
      <c r="AZ1" t="s">
        <v>176</v>
      </c>
      <c r="BA1" t="s">
        <v>177</v>
      </c>
      <c r="BB1" t="s">
        <v>178</v>
      </c>
      <c r="BC1" t="s">
        <v>179</v>
      </c>
      <c r="BD1" t="s">
        <v>180</v>
      </c>
      <c r="BE1" t="s">
        <v>181</v>
      </c>
      <c r="BF1" t="s">
        <v>182</v>
      </c>
      <c r="BG1" t="s">
        <v>183</v>
      </c>
      <c r="BH1" t="s">
        <v>184</v>
      </c>
      <c r="BI1" t="s">
        <v>185</v>
      </c>
      <c r="BJ1" t="s">
        <v>186</v>
      </c>
      <c r="BK1" t="s">
        <v>187</v>
      </c>
      <c r="BL1" t="s">
        <v>188</v>
      </c>
      <c r="BM1" t="s">
        <v>189</v>
      </c>
      <c r="BN1" t="s">
        <v>190</v>
      </c>
      <c r="BO1" t="s">
        <v>191</v>
      </c>
      <c r="BP1" t="s">
        <v>192</v>
      </c>
      <c r="BQ1" t="s">
        <v>193</v>
      </c>
      <c r="BR1" t="s">
        <v>194</v>
      </c>
      <c r="BS1" t="s">
        <v>195</v>
      </c>
      <c r="BT1" t="s">
        <v>196</v>
      </c>
      <c r="BU1" t="s">
        <v>197</v>
      </c>
      <c r="BV1" t="s">
        <v>198</v>
      </c>
      <c r="BW1" t="s">
        <v>199</v>
      </c>
      <c r="BX1" t="s">
        <v>200</v>
      </c>
      <c r="BY1" t="s">
        <v>201</v>
      </c>
      <c r="BZ1" t="s">
        <v>202</v>
      </c>
      <c r="CA1" t="s">
        <v>203</v>
      </c>
      <c r="CB1" t="s">
        <v>204</v>
      </c>
      <c r="CC1" t="s">
        <v>205</v>
      </c>
      <c r="CD1" t="s">
        <v>206</v>
      </c>
      <c r="CE1" t="s">
        <v>207</v>
      </c>
      <c r="CF1" t="s">
        <v>208</v>
      </c>
      <c r="CG1" t="s">
        <v>209</v>
      </c>
      <c r="CH1" t="s">
        <v>210</v>
      </c>
      <c r="CI1" t="s">
        <v>211</v>
      </c>
      <c r="CJ1" t="s">
        <v>212</v>
      </c>
      <c r="CK1" t="s">
        <v>213</v>
      </c>
      <c r="CL1" t="s">
        <v>214</v>
      </c>
      <c r="CM1" t="s">
        <v>215</v>
      </c>
      <c r="CN1" t="s">
        <v>216</v>
      </c>
      <c r="CO1" t="s">
        <v>217</v>
      </c>
      <c r="CP1" t="s">
        <v>218</v>
      </c>
      <c r="CQ1" t="s">
        <v>219</v>
      </c>
      <c r="CR1" t="s">
        <v>220</v>
      </c>
      <c r="CS1" t="s">
        <v>221</v>
      </c>
      <c r="CT1" t="s">
        <v>222</v>
      </c>
      <c r="CU1" t="s">
        <v>223</v>
      </c>
      <c r="CV1" t="s">
        <v>224</v>
      </c>
      <c r="CW1" t="s">
        <v>225</v>
      </c>
      <c r="CX1" t="s">
        <v>226</v>
      </c>
      <c r="CY1" t="s">
        <v>227</v>
      </c>
      <c r="CZ1" t="s">
        <v>228</v>
      </c>
      <c r="DA1" t="s">
        <v>229</v>
      </c>
      <c r="DB1" t="s">
        <v>230</v>
      </c>
      <c r="DC1" t="s">
        <v>231</v>
      </c>
      <c r="DD1" t="s">
        <v>232</v>
      </c>
      <c r="DE1" t="s">
        <v>233</v>
      </c>
      <c r="DF1" t="s">
        <v>722</v>
      </c>
      <c r="DG1" t="s">
        <v>723</v>
      </c>
      <c r="DH1" t="s">
        <v>724</v>
      </c>
      <c r="DI1" t="s">
        <v>725</v>
      </c>
      <c r="DJ1" t="s">
        <v>829</v>
      </c>
      <c r="DK1" t="s">
        <v>830</v>
      </c>
      <c r="DL1" t="s">
        <v>831</v>
      </c>
      <c r="DM1" t="s">
        <v>832</v>
      </c>
      <c r="DN1" t="s">
        <v>926</v>
      </c>
      <c r="DO1" t="s">
        <v>927</v>
      </c>
      <c r="DP1" t="s">
        <v>928</v>
      </c>
      <c r="DQ1" t="s">
        <v>929</v>
      </c>
      <c r="DR1" t="s">
        <v>1071</v>
      </c>
      <c r="DS1" t="s">
        <v>1072</v>
      </c>
      <c r="DT1" t="s">
        <v>1073</v>
      </c>
      <c r="DU1" t="s">
        <v>1074</v>
      </c>
      <c r="DV1" t="s">
        <v>1106</v>
      </c>
      <c r="DW1" t="s">
        <v>1107</v>
      </c>
      <c r="DX1" t="s">
        <v>1108</v>
      </c>
      <c r="DY1" t="s">
        <v>1109</v>
      </c>
      <c r="DZ1" t="s">
        <v>1121</v>
      </c>
      <c r="EA1" t="s">
        <v>1122</v>
      </c>
      <c r="EB1" t="s">
        <v>1123</v>
      </c>
      <c r="EC1" t="s">
        <v>1124</v>
      </c>
      <c r="ED1" t="s">
        <v>1136</v>
      </c>
      <c r="EE1" t="s">
        <v>1137</v>
      </c>
      <c r="EF1" t="s">
        <v>1138</v>
      </c>
      <c r="EG1" t="s">
        <v>1139</v>
      </c>
      <c r="EH1" t="s">
        <v>1655</v>
      </c>
      <c r="EI1" t="s">
        <v>1656</v>
      </c>
      <c r="EJ1" t="s">
        <v>1657</v>
      </c>
      <c r="EK1" t="s">
        <v>1658</v>
      </c>
      <c r="EL1" t="s">
        <v>2348</v>
      </c>
      <c r="EM1" t="s">
        <v>2349</v>
      </c>
      <c r="EN1" t="s">
        <v>2350</v>
      </c>
      <c r="EO1" t="s">
        <v>2351</v>
      </c>
      <c r="EP1" t="s">
        <v>2352</v>
      </c>
      <c r="EQ1" t="s">
        <v>2353</v>
      </c>
      <c r="ER1" t="s">
        <v>2354</v>
      </c>
      <c r="ES1" t="s">
        <v>2355</v>
      </c>
      <c r="ET1" t="s">
        <v>2356</v>
      </c>
      <c r="EU1" t="s">
        <v>2357</v>
      </c>
      <c r="EV1" t="s">
        <v>2358</v>
      </c>
      <c r="EW1" t="s">
        <v>2359</v>
      </c>
      <c r="EX1" t="s">
        <v>2360</v>
      </c>
      <c r="EY1" t="s">
        <v>2361</v>
      </c>
      <c r="EZ1" t="s">
        <v>2362</v>
      </c>
      <c r="FA1" t="s">
        <v>2363</v>
      </c>
      <c r="FB1" t="s">
        <v>2364</v>
      </c>
      <c r="FC1" t="s">
        <v>2365</v>
      </c>
      <c r="FD1" t="s">
        <v>2366</v>
      </c>
      <c r="FE1" t="s">
        <v>2367</v>
      </c>
    </row>
    <row r="4" spans="1:161">
      <c r="A4" t="s">
        <v>173</v>
      </c>
    </row>
    <row r="5" spans="1:161">
      <c r="A5" t="s">
        <v>234</v>
      </c>
    </row>
    <row r="6" spans="1:161">
      <c r="B6" t="s">
        <v>235</v>
      </c>
      <c r="C6" t="s">
        <v>235</v>
      </c>
      <c r="E6" t="s">
        <v>236</v>
      </c>
    </row>
    <row r="7" spans="1:161">
      <c r="B7" t="s">
        <v>237</v>
      </c>
      <c r="C7" t="s">
        <v>238</v>
      </c>
      <c r="E7" t="s">
        <v>239</v>
      </c>
    </row>
    <row r="8" spans="1:161">
      <c r="A8" t="s">
        <v>240</v>
      </c>
    </row>
    <row r="9" spans="1:161">
      <c r="B9" t="s">
        <v>871</v>
      </c>
      <c r="C9" t="s">
        <v>241</v>
      </c>
    </row>
    <row r="10" spans="1:161">
      <c r="A10" t="s">
        <v>242</v>
      </c>
    </row>
    <row r="11" spans="1:161">
      <c r="B11" t="s">
        <v>243</v>
      </c>
      <c r="C11" t="s">
        <v>244</v>
      </c>
      <c r="D11" t="e">
        <f t="shared" ref="D11:D30" si="0">E_CURRENCY_ISSR_208000149_REP</f>
      </c>
    </row>
    <row r="12" spans="1:161">
      <c r="B12" t="s">
        <v>245</v>
      </c>
      <c r="C12" t="s">
        <v>246</v>
      </c>
      <c r="D12" t="e">
        <f t="shared" si="0"/>
      </c>
    </row>
    <row r="13" spans="1:161">
      <c r="B13" t="s">
        <v>247</v>
      </c>
      <c r="C13" t="s">
        <v>248</v>
      </c>
      <c r="D13" t="e">
        <f t="shared" si="0"/>
      </c>
    </row>
    <row r="14" spans="1:161">
      <c r="B14" t="s">
        <v>249</v>
      </c>
      <c r="C14" t="s">
        <v>250</v>
      </c>
      <c r="D14" t="e">
        <f t="shared" si="0"/>
      </c>
    </row>
    <row r="15" spans="1:161">
      <c r="B15" t="s">
        <v>251</v>
      </c>
      <c r="C15" t="s">
        <v>252</v>
      </c>
      <c r="D15" t="e">
        <f t="shared" si="0"/>
      </c>
    </row>
    <row r="16" spans="1:161">
      <c r="B16" t="s">
        <v>253</v>
      </c>
      <c r="C16" t="s">
        <v>254</v>
      </c>
      <c r="D16" t="e">
        <f t="shared" si="0"/>
      </c>
    </row>
    <row r="17" spans="1:4">
      <c r="B17" t="s">
        <v>255</v>
      </c>
      <c r="C17" t="s">
        <v>256</v>
      </c>
      <c r="D17" t="e">
        <f t="shared" si="0"/>
      </c>
    </row>
    <row r="18" spans="1:4">
      <c r="B18" t="s">
        <v>257</v>
      </c>
      <c r="C18" t="s">
        <v>258</v>
      </c>
      <c r="D18" t="e">
        <f t="shared" si="0"/>
      </c>
    </row>
    <row r="19" spans="1:4">
      <c r="B19" t="s">
        <v>259</v>
      </c>
      <c r="C19" t="s">
        <v>260</v>
      </c>
      <c r="D19" t="e">
        <f t="shared" si="0"/>
      </c>
    </row>
    <row r="20" spans="1:4">
      <c r="B20" t="s">
        <v>261</v>
      </c>
      <c r="C20" t="s">
        <v>262</v>
      </c>
      <c r="D20" t="e">
        <f t="shared" si="0"/>
      </c>
    </row>
    <row r="21" spans="1:4">
      <c r="B21" t="s">
        <v>263</v>
      </c>
      <c r="C21" t="s">
        <v>264</v>
      </c>
      <c r="D21" t="e">
        <f t="shared" si="0"/>
      </c>
    </row>
    <row r="22" spans="1:4">
      <c r="B22" t="s">
        <v>265</v>
      </c>
      <c r="C22" t="s">
        <v>266</v>
      </c>
      <c r="D22" t="e">
        <f t="shared" si="0"/>
      </c>
    </row>
    <row r="23" spans="1:4">
      <c r="B23" t="s">
        <v>267</v>
      </c>
      <c r="C23" t="s">
        <v>268</v>
      </c>
      <c r="D23" t="e">
        <f t="shared" si="0"/>
      </c>
    </row>
    <row r="24" spans="1:4">
      <c r="B24" t="s">
        <v>269</v>
      </c>
      <c r="C24" t="s">
        <v>270</v>
      </c>
      <c r="D24" t="e">
        <f t="shared" si="0"/>
      </c>
    </row>
    <row r="25" spans="1:4">
      <c r="B25" t="s">
        <v>96</v>
      </c>
      <c r="C25" t="s">
        <v>271</v>
      </c>
      <c r="D25" t="e">
        <f t="shared" si="0"/>
      </c>
    </row>
    <row r="26" spans="1:4">
      <c r="B26" t="s">
        <v>272</v>
      </c>
      <c r="C26" t="s">
        <v>273</v>
      </c>
      <c r="D26" t="e">
        <f t="shared" si="0"/>
      </c>
    </row>
    <row r="27" spans="1:4">
      <c r="B27" t="s">
        <v>274</v>
      </c>
      <c r="C27" t="s">
        <v>275</v>
      </c>
      <c r="D27" t="e">
        <f t="shared" si="0"/>
      </c>
    </row>
    <row r="28" spans="1:4">
      <c r="B28" t="s">
        <v>276</v>
      </c>
      <c r="C28" t="s">
        <v>277</v>
      </c>
      <c r="D28" t="e">
        <f t="shared" si="0"/>
      </c>
    </row>
    <row r="29" spans="1:4">
      <c r="B29" t="s">
        <v>278</v>
      </c>
      <c r="C29" t="s">
        <v>279</v>
      </c>
      <c r="D29" t="e">
        <f t="shared" si="0"/>
      </c>
    </row>
    <row r="30" spans="1:4">
      <c r="B30" t="s">
        <v>280</v>
      </c>
      <c r="C30" t="s">
        <v>281</v>
      </c>
      <c r="D30" t="e">
        <f t="shared" si="0"/>
      </c>
    </row>
    <row r="31" spans="1:4">
      <c r="A31" t="s">
        <v>282</v>
      </c>
    </row>
    <row r="32" spans="1:4">
      <c r="B32" t="s">
        <v>1092</v>
      </c>
      <c r="C32" t="s">
        <v>283</v>
      </c>
      <c r="D32" t="e">
        <f t="shared" ref="D32:D38" si="1">E_CURRENCY_ISSR_208000149_REP</f>
      </c>
    </row>
    <row r="33" spans="1:4">
      <c r="B33" t="s">
        <v>284</v>
      </c>
      <c r="C33" t="s">
        <v>285</v>
      </c>
      <c r="D33" t="e">
        <f t="shared" si="1"/>
      </c>
    </row>
    <row r="34" spans="1:4">
      <c r="B34" t="s">
        <v>286</v>
      </c>
      <c r="C34" t="s">
        <v>287</v>
      </c>
      <c r="D34" t="e">
        <f t="shared" si="1"/>
      </c>
    </row>
    <row r="35" spans="1:4">
      <c r="B35" t="s">
        <v>288</v>
      </c>
      <c r="C35" t="s">
        <v>289</v>
      </c>
      <c r="D35" t="e">
        <f t="shared" si="1"/>
      </c>
    </row>
    <row r="36" spans="1:4">
      <c r="B36" t="s">
        <v>290</v>
      </c>
      <c r="C36" t="s">
        <v>291</v>
      </c>
      <c r="D36" t="e">
        <f t="shared" si="1"/>
      </c>
    </row>
    <row r="37" spans="1:4">
      <c r="B37" t="s">
        <v>1082</v>
      </c>
      <c r="C37" t="s">
        <v>1083</v>
      </c>
      <c r="D37" t="e">
        <f t="shared" si="1"/>
      </c>
    </row>
    <row r="38" spans="1:4">
      <c r="B38" t="s">
        <v>1088</v>
      </c>
      <c r="C38" t="s">
        <v>1089</v>
      </c>
      <c r="D38" t="e">
        <f t="shared" si="1"/>
      </c>
    </row>
    <row r="39" spans="1:4">
      <c r="B39" t="s">
        <v>1090</v>
      </c>
      <c r="C39" t="s">
        <v>1091</v>
      </c>
    </row>
    <row r="40" spans="1:4">
      <c r="A40" t="s">
        <v>164</v>
      </c>
    </row>
    <row r="41" spans="1:4">
      <c r="B41" t="s">
        <v>292</v>
      </c>
      <c r="C41" t="s">
        <v>293</v>
      </c>
      <c r="D41" t="e">
        <f t="shared" ref="D41:D70" si="2">E_CURRENCY_ISSR_208000149_REP</f>
      </c>
    </row>
    <row r="42" spans="1:4">
      <c r="B42" t="s">
        <v>102</v>
      </c>
      <c r="C42" t="s">
        <v>294</v>
      </c>
      <c r="D42" t="e">
        <f t="shared" si="2"/>
      </c>
    </row>
    <row r="43" spans="1:4">
      <c r="B43" t="s">
        <v>295</v>
      </c>
      <c r="C43" t="s">
        <v>296</v>
      </c>
      <c r="D43" t="e">
        <f t="shared" si="2"/>
      </c>
    </row>
    <row r="44" spans="1:4">
      <c r="B44" t="s">
        <v>106</v>
      </c>
      <c r="C44" t="s">
        <v>297</v>
      </c>
      <c r="D44" t="e">
        <f t="shared" si="2"/>
      </c>
    </row>
    <row r="45" spans="1:4">
      <c r="B45" t="s">
        <v>149</v>
      </c>
      <c r="C45" t="s">
        <v>298</v>
      </c>
      <c r="D45" t="e">
        <f t="shared" si="2"/>
      </c>
    </row>
    <row r="46" spans="1:4">
      <c r="B46" t="s">
        <v>299</v>
      </c>
      <c r="C46" t="s">
        <v>300</v>
      </c>
      <c r="D46" t="e">
        <f t="shared" si="2"/>
      </c>
    </row>
    <row r="47" spans="1:4">
      <c r="B47" t="s">
        <v>301</v>
      </c>
      <c r="C47" t="s">
        <v>302</v>
      </c>
      <c r="D47" t="e">
        <f t="shared" si="2"/>
      </c>
    </row>
    <row r="48" spans="1:4">
      <c r="B48" t="s">
        <v>303</v>
      </c>
      <c r="C48" t="s">
        <v>304</v>
      </c>
      <c r="D48" t="e">
        <f t="shared" si="2"/>
      </c>
    </row>
    <row r="49" spans="2:4">
      <c r="B49" t="s">
        <v>305</v>
      </c>
      <c r="C49" t="s">
        <v>306</v>
      </c>
      <c r="D49" t="e">
        <f t="shared" si="2"/>
      </c>
    </row>
    <row r="50" spans="2:4">
      <c r="B50" t="s">
        <v>307</v>
      </c>
      <c r="C50" t="s">
        <v>308</v>
      </c>
      <c r="D50" t="e">
        <f t="shared" si="2"/>
      </c>
    </row>
    <row r="51" spans="2:4">
      <c r="B51" t="s">
        <v>309</v>
      </c>
      <c r="C51" t="s">
        <v>310</v>
      </c>
      <c r="D51" t="e">
        <f t="shared" si="2"/>
      </c>
    </row>
    <row r="52" spans="2:4">
      <c r="B52" t="s">
        <v>311</v>
      </c>
      <c r="C52" t="s">
        <v>312</v>
      </c>
      <c r="D52" t="e">
        <f t="shared" si="2"/>
      </c>
    </row>
    <row r="53" spans="2:4">
      <c r="B53" t="s">
        <v>313</v>
      </c>
      <c r="C53" t="s">
        <v>314</v>
      </c>
      <c r="D53" t="e">
        <f t="shared" si="2"/>
      </c>
    </row>
    <row r="54" spans="2:4">
      <c r="B54" t="s">
        <v>315</v>
      </c>
      <c r="C54" t="s">
        <v>316</v>
      </c>
      <c r="D54" t="e">
        <f t="shared" si="2"/>
      </c>
    </row>
    <row r="55" spans="2:4">
      <c r="B55" t="s">
        <v>317</v>
      </c>
      <c r="C55" t="s">
        <v>318</v>
      </c>
      <c r="D55" t="e">
        <f t="shared" si="2"/>
      </c>
    </row>
    <row r="56" spans="2:4">
      <c r="B56" t="s">
        <v>112</v>
      </c>
      <c r="C56" t="s">
        <v>319</v>
      </c>
      <c r="D56" t="e">
        <f t="shared" si="2"/>
      </c>
    </row>
    <row r="57" spans="2:4">
      <c r="B57" t="s">
        <v>97</v>
      </c>
      <c r="C57" t="s">
        <v>320</v>
      </c>
      <c r="D57" t="e">
        <f t="shared" si="2"/>
      </c>
    </row>
    <row r="58" spans="2:4">
      <c r="B58" t="s">
        <v>1084</v>
      </c>
      <c r="C58" t="s">
        <v>1085</v>
      </c>
      <c r="D58" t="e">
        <f t="shared" si="2"/>
      </c>
    </row>
    <row r="59" spans="2:4">
      <c r="B59" t="s">
        <v>321</v>
      </c>
      <c r="C59" t="s">
        <v>322</v>
      </c>
      <c r="D59" t="e">
        <f t="shared" si="2"/>
      </c>
    </row>
    <row r="60" spans="2:4">
      <c r="B60" t="s">
        <v>153</v>
      </c>
      <c r="C60" t="s">
        <v>323</v>
      </c>
      <c r="D60" t="e">
        <f t="shared" si="2"/>
      </c>
    </row>
    <row r="61" spans="2:4">
      <c r="B61" t="s">
        <v>324</v>
      </c>
      <c r="C61" t="s">
        <v>325</v>
      </c>
      <c r="D61" t="e">
        <f t="shared" si="2"/>
      </c>
    </row>
    <row r="62" spans="2:4">
      <c r="B62" t="s">
        <v>1086</v>
      </c>
      <c r="C62" t="s">
        <v>1087</v>
      </c>
      <c r="D62" t="e">
        <f t="shared" si="2"/>
      </c>
    </row>
    <row r="63" spans="2:4">
      <c r="B63" t="s">
        <v>326</v>
      </c>
      <c r="C63" t="s">
        <v>327</v>
      </c>
      <c r="D63" t="e">
        <f t="shared" si="2"/>
      </c>
    </row>
    <row r="64" spans="2:4">
      <c r="B64" t="s">
        <v>328</v>
      </c>
      <c r="C64" t="s">
        <v>329</v>
      </c>
      <c r="D64" t="e">
        <f t="shared" si="2"/>
      </c>
    </row>
    <row r="65" spans="1:4">
      <c r="B65" t="s">
        <v>330</v>
      </c>
      <c r="C65" t="s">
        <v>331</v>
      </c>
      <c r="D65" t="e">
        <f t="shared" si="2"/>
      </c>
    </row>
    <row r="66" spans="1:4">
      <c r="B66" t="s">
        <v>332</v>
      </c>
      <c r="C66" t="s">
        <v>333</v>
      </c>
      <c r="D66" t="e">
        <f t="shared" si="2"/>
      </c>
    </row>
    <row r="67" spans="1:4">
      <c r="B67" t="s">
        <v>334</v>
      </c>
      <c r="C67" t="s">
        <v>335</v>
      </c>
      <c r="D67" t="e">
        <f t="shared" si="2"/>
      </c>
    </row>
    <row r="68" spans="1:4">
      <c r="B68" t="s">
        <v>336</v>
      </c>
      <c r="C68" t="s">
        <v>337</v>
      </c>
      <c r="D68" t="e">
        <f t="shared" si="2"/>
      </c>
    </row>
    <row r="69" spans="1:4">
      <c r="B69" t="s">
        <v>338</v>
      </c>
      <c r="C69" t="s">
        <v>339</v>
      </c>
      <c r="D69" t="e">
        <f t="shared" si="2"/>
      </c>
    </row>
    <row r="70" spans="1:4">
      <c r="B70" t="s">
        <v>340</v>
      </c>
      <c r="C70" t="s">
        <v>341</v>
      </c>
      <c r="D70" t="e">
        <f t="shared" si="2"/>
      </c>
    </row>
    <row r="71" spans="1:4">
      <c r="A71" t="s">
        <v>342</v>
      </c>
    </row>
    <row r="72" spans="1:4">
      <c r="B72" t="s">
        <v>843</v>
      </c>
      <c r="C72" t="s">
        <v>844</v>
      </c>
    </row>
    <row r="73" spans="1:4">
      <c r="B73" t="s">
        <v>845</v>
      </c>
      <c r="C73" t="s">
        <v>846</v>
      </c>
    </row>
    <row r="74" spans="1:4">
      <c r="B74" t="s">
        <v>847</v>
      </c>
      <c r="C74" t="s">
        <v>848</v>
      </c>
    </row>
    <row r="75" spans="1:4">
      <c r="B75" t="s">
        <v>849</v>
      </c>
      <c r="C75" t="s">
        <v>850</v>
      </c>
    </row>
    <row r="76" spans="1:4">
      <c r="B76" t="s">
        <v>343</v>
      </c>
      <c r="C76" t="s">
        <v>344</v>
      </c>
      <c r="D76" t="e">
        <f t="shared" ref="D76:D81" si="3">E_CURRENCY_ISSR_208000149_REP</f>
      </c>
    </row>
    <row r="77" spans="1:4">
      <c r="B77" t="s">
        <v>1093</v>
      </c>
      <c r="C77" t="s">
        <v>345</v>
      </c>
      <c r="D77" t="e">
        <f t="shared" si="3"/>
      </c>
    </row>
    <row r="78" spans="1:4">
      <c r="B78" t="s">
        <v>346</v>
      </c>
      <c r="C78" t="s">
        <v>347</v>
      </c>
      <c r="D78" t="e">
        <f t="shared" si="3"/>
      </c>
    </row>
    <row r="79" spans="1:4">
      <c r="B79" t="s">
        <v>348</v>
      </c>
      <c r="C79" t="s">
        <v>349</v>
      </c>
      <c r="D79" t="e">
        <f t="shared" si="3"/>
      </c>
    </row>
    <row r="80" spans="1:4">
      <c r="B80" t="s">
        <v>350</v>
      </c>
      <c r="C80" t="s">
        <v>351</v>
      </c>
      <c r="D80" t="e">
        <f t="shared" si="3"/>
      </c>
    </row>
    <row r="81" spans="1:4">
      <c r="B81" t="s">
        <v>352</v>
      </c>
      <c r="C81" t="s">
        <v>353</v>
      </c>
      <c r="D81" t="e">
        <f t="shared" si="3"/>
      </c>
    </row>
    <row r="82" spans="1:4">
      <c r="B82" t="s">
        <v>354</v>
      </c>
      <c r="C82" t="s">
        <v>355</v>
      </c>
    </row>
    <row r="83" spans="1:4">
      <c r="B83" t="s">
        <v>356</v>
      </c>
      <c r="C83" t="s">
        <v>357</v>
      </c>
      <c r="D83" t="e">
        <f>E_CURRENCY_ISSR_208000149_REP</f>
      </c>
    </row>
    <row r="84" spans="1:4">
      <c r="B84" t="s">
        <v>358</v>
      </c>
      <c r="C84" t="s">
        <v>359</v>
      </c>
      <c r="D84" t="e">
        <f>E_CURRENCY_ISSR_208000149_REP</f>
      </c>
    </row>
    <row r="85" spans="1:4">
      <c r="B85" t="s">
        <v>360</v>
      </c>
      <c r="C85" t="s">
        <v>361</v>
      </c>
      <c r="D85" t="e">
        <f>E_CURRENCY_ISSR_208000149_REP</f>
      </c>
    </row>
    <row r="86" spans="1:4">
      <c r="B86" t="s">
        <v>362</v>
      </c>
      <c r="C86" t="s">
        <v>363</v>
      </c>
      <c r="D86" t="e">
        <f>E_CURRENCY_ISSR_208000149_REP</f>
      </c>
    </row>
    <row r="87" spans="1:4">
      <c r="B87" t="s">
        <v>364</v>
      </c>
      <c r="C87" t="s">
        <v>365</v>
      </c>
      <c r="D87" t="e">
        <f>E_CURRENCY_ISSR_208000149_REP</f>
      </c>
    </row>
    <row r="88" spans="1:4">
      <c r="B88" t="s">
        <v>366</v>
      </c>
      <c r="C88" t="s">
        <v>367</v>
      </c>
    </row>
    <row r="89" spans="1:4">
      <c r="B89" t="s">
        <v>336</v>
      </c>
      <c r="C89" t="s">
        <v>368</v>
      </c>
      <c r="D89" t="e">
        <f>E_CURRENCY_ISSR_208000149_REP</f>
      </c>
    </row>
    <row r="90" spans="1:4">
      <c r="B90" t="s">
        <v>1078</v>
      </c>
      <c r="C90" t="s">
        <v>1079</v>
      </c>
      <c r="D90" t="e">
        <f>E_CURRENCY_ISSR_208000149_REP</f>
      </c>
    </row>
    <row r="91" spans="1:4">
      <c r="A91" t="s">
        <v>369</v>
      </c>
    </row>
    <row r="92" spans="1:4">
      <c r="B92" t="s">
        <v>370</v>
      </c>
      <c r="C92" t="s">
        <v>371</v>
      </c>
      <c r="D92" t="e">
        <f t="shared" ref="D92:D108" si="4">E_CURRENCY_ISSR_208000149_REP</f>
      </c>
    </row>
    <row r="93" spans="1:4">
      <c r="B93" t="s">
        <v>372</v>
      </c>
      <c r="C93" t="s">
        <v>373</v>
      </c>
      <c r="D93" t="e">
        <f t="shared" si="4"/>
      </c>
    </row>
    <row r="94" spans="1:4">
      <c r="B94" t="s">
        <v>374</v>
      </c>
      <c r="C94" t="s">
        <v>375</v>
      </c>
      <c r="D94" t="e">
        <f t="shared" si="4"/>
      </c>
    </row>
    <row r="95" spans="1:4">
      <c r="B95" t="s">
        <v>376</v>
      </c>
      <c r="C95" t="s">
        <v>377</v>
      </c>
      <c r="D95" t="e">
        <f t="shared" si="4"/>
      </c>
    </row>
    <row r="96" spans="1:4">
      <c r="B96" t="s">
        <v>378</v>
      </c>
      <c r="C96" t="s">
        <v>379</v>
      </c>
      <c r="D96" t="e">
        <f t="shared" si="4"/>
      </c>
    </row>
    <row r="97" spans="1:4">
      <c r="B97" t="s">
        <v>380</v>
      </c>
      <c r="C97" t="s">
        <v>381</v>
      </c>
      <c r="D97" t="e">
        <f t="shared" si="4"/>
      </c>
    </row>
    <row r="98" spans="1:4">
      <c r="B98" t="s">
        <v>382</v>
      </c>
      <c r="C98" t="s">
        <v>383</v>
      </c>
      <c r="D98" t="e">
        <f t="shared" si="4"/>
      </c>
    </row>
    <row r="99" spans="1:4">
      <c r="B99" t="s">
        <v>384</v>
      </c>
      <c r="C99" t="s">
        <v>385</v>
      </c>
      <c r="D99" t="e">
        <f t="shared" si="4"/>
      </c>
    </row>
    <row r="100" spans="1:4">
      <c r="B100" t="s">
        <v>386</v>
      </c>
      <c r="C100" t="s">
        <v>387</v>
      </c>
      <c r="D100" t="e">
        <f t="shared" si="4"/>
      </c>
    </row>
    <row r="101" spans="1:4">
      <c r="B101" t="s">
        <v>388</v>
      </c>
      <c r="C101" t="s">
        <v>389</v>
      </c>
      <c r="D101" t="e">
        <f t="shared" si="4"/>
      </c>
    </row>
    <row r="102" spans="1:4">
      <c r="B102" t="s">
        <v>390</v>
      </c>
      <c r="C102" t="s">
        <v>391</v>
      </c>
      <c r="D102" t="e">
        <f t="shared" si="4"/>
      </c>
    </row>
    <row r="103" spans="1:4">
      <c r="B103" t="s">
        <v>392</v>
      </c>
      <c r="C103" t="s">
        <v>393</v>
      </c>
      <c r="D103" t="e">
        <f t="shared" si="4"/>
      </c>
    </row>
    <row r="104" spans="1:4">
      <c r="B104" t="s">
        <v>394</v>
      </c>
      <c r="C104" t="s">
        <v>395</v>
      </c>
      <c r="D104" t="e">
        <f t="shared" si="4"/>
      </c>
    </row>
    <row r="105" spans="1:4">
      <c r="B105" t="s">
        <v>1080</v>
      </c>
      <c r="C105" t="s">
        <v>1081</v>
      </c>
      <c r="D105" t="e">
        <f t="shared" si="4"/>
      </c>
    </row>
    <row r="106" spans="1:4">
      <c r="B106" t="s">
        <v>396</v>
      </c>
      <c r="C106" t="s">
        <v>397</v>
      </c>
      <c r="D106" t="e">
        <f t="shared" si="4"/>
      </c>
    </row>
    <row r="107" spans="1:4">
      <c r="B107" t="s">
        <v>398</v>
      </c>
      <c r="C107" t="s">
        <v>399</v>
      </c>
      <c r="D107" t="e">
        <f t="shared" si="4"/>
      </c>
    </row>
    <row r="108" spans="1:4">
      <c r="B108" t="s">
        <v>400</v>
      </c>
      <c r="C108" t="s">
        <v>401</v>
      </c>
      <c r="D108" t="e">
        <f t="shared" si="4"/>
      </c>
    </row>
    <row r="109" spans="1:4">
      <c r="A109" t="s">
        <v>402</v>
      </c>
    </row>
    <row r="110" spans="1:4">
      <c r="B110" t="s">
        <v>403</v>
      </c>
      <c r="C110" t="s">
        <v>404</v>
      </c>
      <c r="D110" t="e">
        <f t="shared" ref="D110:D122" si="5">E_CURRENCY_ISSR_208000149_REP</f>
      </c>
    </row>
    <row r="111" spans="1:4">
      <c r="B111" t="s">
        <v>405</v>
      </c>
      <c r="C111" t="s">
        <v>406</v>
      </c>
      <c r="D111" t="e">
        <f t="shared" si="5"/>
      </c>
    </row>
    <row r="112" spans="1:4">
      <c r="B112" t="s">
        <v>407</v>
      </c>
      <c r="C112" t="s">
        <v>408</v>
      </c>
      <c r="D112" t="e">
        <f t="shared" si="5"/>
      </c>
    </row>
    <row r="113" spans="1:4">
      <c r="B113" t="s">
        <v>409</v>
      </c>
      <c r="C113" t="s">
        <v>410</v>
      </c>
      <c r="D113" t="e">
        <f t="shared" si="5"/>
      </c>
    </row>
    <row r="114" spans="1:4">
      <c r="B114" t="s">
        <v>411</v>
      </c>
      <c r="C114" t="s">
        <v>412</v>
      </c>
      <c r="D114" t="e">
        <f t="shared" si="5"/>
      </c>
    </row>
    <row r="115" spans="1:4">
      <c r="B115" t="s">
        <v>413</v>
      </c>
      <c r="C115" t="s">
        <v>414</v>
      </c>
      <c r="D115" t="e">
        <f t="shared" si="5"/>
      </c>
    </row>
    <row r="116" spans="1:4">
      <c r="B116" t="s">
        <v>415</v>
      </c>
      <c r="C116" t="s">
        <v>416</v>
      </c>
      <c r="D116" t="e">
        <f t="shared" si="5"/>
      </c>
    </row>
    <row r="117" spans="1:4">
      <c r="B117" t="s">
        <v>417</v>
      </c>
      <c r="C117" t="s">
        <v>418</v>
      </c>
      <c r="D117" t="e">
        <f t="shared" si="5"/>
      </c>
    </row>
    <row r="118" spans="1:4">
      <c r="B118" t="s">
        <v>419</v>
      </c>
      <c r="C118" t="s">
        <v>420</v>
      </c>
      <c r="D118" t="e">
        <f t="shared" si="5"/>
      </c>
    </row>
    <row r="119" spans="1:4">
      <c r="B119" t="s">
        <v>421</v>
      </c>
      <c r="C119" t="s">
        <v>422</v>
      </c>
      <c r="D119" t="e">
        <f t="shared" si="5"/>
      </c>
    </row>
    <row r="120" spans="1:4">
      <c r="B120" t="s">
        <v>423</v>
      </c>
      <c r="C120" t="s">
        <v>424</v>
      </c>
      <c r="D120" t="e">
        <f t="shared" si="5"/>
      </c>
    </row>
    <row r="121" spans="1:4">
      <c r="B121" t="s">
        <v>425</v>
      </c>
      <c r="C121" t="s">
        <v>426</v>
      </c>
      <c r="D121" t="e">
        <f t="shared" si="5"/>
      </c>
    </row>
    <row r="122" spans="1:4">
      <c r="B122" t="s">
        <v>427</v>
      </c>
      <c r="C122" t="s">
        <v>428</v>
      </c>
      <c r="D122" t="e">
        <f t="shared" si="5"/>
      </c>
    </row>
    <row r="123" spans="1:4">
      <c r="A123" t="s">
        <v>429</v>
      </c>
    </row>
    <row r="124" spans="1:4">
      <c r="B124" t="s">
        <v>430</v>
      </c>
      <c r="C124" t="s">
        <v>431</v>
      </c>
    </row>
    <row r="125" spans="1:4">
      <c r="B125" t="s">
        <v>2195</v>
      </c>
      <c r="C125" t="s">
        <v>2196</v>
      </c>
    </row>
    <row r="126" spans="1:4">
      <c r="B126" t="s">
        <v>2199</v>
      </c>
      <c r="C126" t="s">
        <v>2200</v>
      </c>
    </row>
    <row r="127" spans="1:4">
      <c r="A127" t="s">
        <v>432</v>
      </c>
    </row>
    <row r="128" spans="1:4">
      <c r="B128" t="s">
        <v>439</v>
      </c>
      <c r="C128" t="s">
        <v>440</v>
      </c>
    </row>
    <row r="129" spans="2:3">
      <c r="B129" t="s">
        <v>437</v>
      </c>
      <c r="C129" t="s">
        <v>438</v>
      </c>
    </row>
    <row r="130" spans="2:3">
      <c r="B130" t="s">
        <v>743</v>
      </c>
      <c r="C130" t="s">
        <v>744</v>
      </c>
    </row>
    <row r="131" spans="2:3">
      <c r="B131" t="s">
        <v>441</v>
      </c>
      <c r="C131" t="s">
        <v>442</v>
      </c>
    </row>
    <row r="132" spans="2:3">
      <c r="B132" t="s">
        <v>443</v>
      </c>
      <c r="C132" t="s">
        <v>444</v>
      </c>
    </row>
    <row r="133" spans="2:3">
      <c r="B133" t="s">
        <v>445</v>
      </c>
      <c r="C133" t="s">
        <v>446</v>
      </c>
    </row>
    <row r="134" spans="2:3">
      <c r="B134" t="s">
        <v>447</v>
      </c>
      <c r="C134" t="s">
        <v>448</v>
      </c>
    </row>
    <row r="135" spans="2:3">
      <c r="B135" t="s">
        <v>449</v>
      </c>
      <c r="C135" t="s">
        <v>450</v>
      </c>
    </row>
    <row r="136" spans="2:3">
      <c r="B136" t="s">
        <v>451</v>
      </c>
      <c r="C136" t="s">
        <v>452</v>
      </c>
    </row>
    <row r="137" spans="2:3">
      <c r="B137" t="s">
        <v>745</v>
      </c>
      <c r="C137" t="s">
        <v>746</v>
      </c>
    </row>
    <row r="138" spans="2:3">
      <c r="B138" t="s">
        <v>747</v>
      </c>
      <c r="C138" t="s">
        <v>748</v>
      </c>
    </row>
    <row r="139" spans="2:3">
      <c r="B139" t="s">
        <v>749</v>
      </c>
      <c r="C139" t="s">
        <v>750</v>
      </c>
    </row>
    <row r="140" spans="2:3">
      <c r="B140" t="s">
        <v>751</v>
      </c>
      <c r="C140" t="s">
        <v>752</v>
      </c>
    </row>
    <row r="141" spans="2:3">
      <c r="B141" t="s">
        <v>753</v>
      </c>
      <c r="C141" t="s">
        <v>754</v>
      </c>
    </row>
    <row r="142" spans="2:3">
      <c r="B142" t="s">
        <v>755</v>
      </c>
      <c r="C142" t="s">
        <v>756</v>
      </c>
    </row>
    <row r="143" spans="2:3">
      <c r="B143" t="s">
        <v>757</v>
      </c>
      <c r="C143" t="s">
        <v>758</v>
      </c>
    </row>
    <row r="144" spans="2:3">
      <c r="B144" t="s">
        <v>759</v>
      </c>
      <c r="C144" t="s">
        <v>760</v>
      </c>
    </row>
    <row r="145" spans="2:3">
      <c r="B145" t="s">
        <v>761</v>
      </c>
      <c r="C145" t="s">
        <v>762</v>
      </c>
    </row>
    <row r="146" spans="2:3">
      <c r="B146" t="s">
        <v>763</v>
      </c>
      <c r="C146" t="s">
        <v>764</v>
      </c>
    </row>
    <row r="147" spans="2:3">
      <c r="B147" t="s">
        <v>765</v>
      </c>
      <c r="C147" t="s">
        <v>766</v>
      </c>
    </row>
    <row r="148" spans="2:3">
      <c r="B148" t="s">
        <v>767</v>
      </c>
      <c r="C148" t="s">
        <v>768</v>
      </c>
    </row>
    <row r="149" spans="2:3">
      <c r="B149" t="s">
        <v>769</v>
      </c>
      <c r="C149" t="s">
        <v>770</v>
      </c>
    </row>
    <row r="150" spans="2:3">
      <c r="B150" t="s">
        <v>771</v>
      </c>
      <c r="C150" t="s">
        <v>772</v>
      </c>
    </row>
    <row r="151" spans="2:3">
      <c r="B151" t="s">
        <v>457</v>
      </c>
      <c r="C151" t="s">
        <v>458</v>
      </c>
    </row>
    <row r="152" spans="2:3">
      <c r="B152" t="s">
        <v>773</v>
      </c>
      <c r="C152" t="s">
        <v>774</v>
      </c>
    </row>
    <row r="153" spans="2:3">
      <c r="B153" t="s">
        <v>775</v>
      </c>
      <c r="C153" t="s">
        <v>776</v>
      </c>
    </row>
    <row r="154" spans="2:3">
      <c r="B154" t="s">
        <v>467</v>
      </c>
      <c r="C154" t="s">
        <v>468</v>
      </c>
    </row>
    <row r="155" spans="2:3">
      <c r="B155" t="s">
        <v>777</v>
      </c>
      <c r="C155" t="s">
        <v>778</v>
      </c>
    </row>
    <row r="156" spans="2:3">
      <c r="B156" t="s">
        <v>779</v>
      </c>
      <c r="C156" t="s">
        <v>780</v>
      </c>
    </row>
    <row r="157" spans="2:3">
      <c r="B157" t="s">
        <v>781</v>
      </c>
      <c r="C157" t="s">
        <v>782</v>
      </c>
    </row>
    <row r="158" spans="2:3">
      <c r="B158" t="s">
        <v>783</v>
      </c>
      <c r="C158" t="s">
        <v>784</v>
      </c>
    </row>
    <row r="159" spans="2:3">
      <c r="B159" t="s">
        <v>785</v>
      </c>
      <c r="C159" t="s">
        <v>786</v>
      </c>
    </row>
    <row r="160" spans="2:3">
      <c r="B160" t="s">
        <v>787</v>
      </c>
      <c r="C160" t="s">
        <v>788</v>
      </c>
    </row>
    <row r="161" spans="2:3">
      <c r="B161" t="s">
        <v>789</v>
      </c>
      <c r="C161" t="s">
        <v>790</v>
      </c>
    </row>
    <row r="162" spans="2:3">
      <c r="B162" t="s">
        <v>791</v>
      </c>
      <c r="C162" t="s">
        <v>792</v>
      </c>
    </row>
    <row r="163" spans="2:3">
      <c r="B163" t="s">
        <v>793</v>
      </c>
      <c r="C163" t="s">
        <v>794</v>
      </c>
    </row>
    <row r="164" spans="2:3">
      <c r="B164" t="s">
        <v>473</v>
      </c>
      <c r="C164" t="s">
        <v>474</v>
      </c>
    </row>
    <row r="165" spans="2:3">
      <c r="B165" t="s">
        <v>795</v>
      </c>
      <c r="C165" t="s">
        <v>796</v>
      </c>
    </row>
    <row r="166" spans="2:3">
      <c r="B166" t="s">
        <v>797</v>
      </c>
      <c r="C166" t="s">
        <v>798</v>
      </c>
    </row>
    <row r="167" spans="2:3">
      <c r="B167" t="s">
        <v>799</v>
      </c>
      <c r="C167" t="s">
        <v>800</v>
      </c>
    </row>
    <row r="168" spans="2:3">
      <c r="B168" t="s">
        <v>801</v>
      </c>
      <c r="C168" t="s">
        <v>802</v>
      </c>
    </row>
    <row r="169" spans="2:3">
      <c r="B169" t="s">
        <v>475</v>
      </c>
      <c r="C169" t="s">
        <v>476</v>
      </c>
    </row>
    <row r="170" spans="2:3">
      <c r="B170" t="s">
        <v>477</v>
      </c>
      <c r="C170" t="s">
        <v>478</v>
      </c>
    </row>
    <row r="171" spans="2:3">
      <c r="B171" t="s">
        <v>803</v>
      </c>
      <c r="C171" t="s">
        <v>804</v>
      </c>
    </row>
    <row r="172" spans="2:3">
      <c r="B172" t="s">
        <v>805</v>
      </c>
      <c r="C172" t="s">
        <v>806</v>
      </c>
    </row>
    <row r="173" spans="2:3">
      <c r="B173" t="s">
        <v>807</v>
      </c>
      <c r="C173" t="s">
        <v>808</v>
      </c>
    </row>
    <row r="174" spans="2:3">
      <c r="B174" t="s">
        <v>809</v>
      </c>
      <c r="C174" t="s">
        <v>810</v>
      </c>
    </row>
    <row r="175" spans="2:3">
      <c r="B175" t="s">
        <v>811</v>
      </c>
      <c r="C175" t="s">
        <v>812</v>
      </c>
    </row>
    <row r="176" spans="2:3">
      <c r="B176" t="s">
        <v>481</v>
      </c>
      <c r="C176" t="s">
        <v>482</v>
      </c>
    </row>
    <row r="177" spans="1:3">
      <c r="B177" t="s">
        <v>851</v>
      </c>
      <c r="C177" t="s">
        <v>852</v>
      </c>
    </row>
    <row r="178" spans="1:3">
      <c r="B178" t="s">
        <v>853</v>
      </c>
      <c r="C178" t="s">
        <v>854</v>
      </c>
    </row>
    <row r="179" spans="1:3">
      <c r="B179" t="s">
        <v>855</v>
      </c>
      <c r="C179" t="s">
        <v>856</v>
      </c>
    </row>
    <row r="180" spans="1:3">
      <c r="B180" t="s">
        <v>857</v>
      </c>
      <c r="C180" t="s">
        <v>858</v>
      </c>
    </row>
    <row r="181" spans="1:3">
      <c r="B181" t="s">
        <v>483</v>
      </c>
      <c r="C181" t="s">
        <v>484</v>
      </c>
    </row>
    <row r="182" spans="1:3">
      <c r="B182" t="s">
        <v>485</v>
      </c>
      <c r="C182" t="s">
        <v>486</v>
      </c>
    </row>
    <row r="183" spans="1:3">
      <c r="B183" t="s">
        <v>487</v>
      </c>
      <c r="C183" t="s">
        <v>488</v>
      </c>
    </row>
    <row r="184" spans="1:3">
      <c r="B184" t="s">
        <v>489</v>
      </c>
      <c r="C184" t="s">
        <v>490</v>
      </c>
    </row>
    <row r="185" spans="1:3">
      <c r="B185" t="s">
        <v>813</v>
      </c>
      <c r="C185" t="s">
        <v>814</v>
      </c>
    </row>
    <row r="186" spans="1:3">
      <c r="B186" t="s">
        <v>491</v>
      </c>
      <c r="C186" t="s">
        <v>492</v>
      </c>
    </row>
    <row r="187" spans="1:3">
      <c r="B187" t="s">
        <v>433</v>
      </c>
      <c r="C187" t="s">
        <v>434</v>
      </c>
    </row>
    <row r="188" spans="1:3">
      <c r="B188" t="s">
        <v>493</v>
      </c>
      <c r="C188" t="s">
        <v>494</v>
      </c>
    </row>
    <row r="189" spans="1:3">
      <c r="B189" t="s">
        <v>495</v>
      </c>
      <c r="C189" t="s">
        <v>496</v>
      </c>
    </row>
    <row r="190" spans="1:3">
      <c r="A190" t="s">
        <v>497</v>
      </c>
    </row>
    <row r="191" spans="1:3">
      <c r="B191" t="s">
        <v>498</v>
      </c>
      <c r="C191" t="s">
        <v>499</v>
      </c>
    </row>
    <row r="192" spans="1:3">
      <c r="B192" t="s">
        <v>500</v>
      </c>
      <c r="C192" t="s">
        <v>501</v>
      </c>
    </row>
    <row r="193" spans="1:3">
      <c r="B193" t="s">
        <v>502</v>
      </c>
      <c r="C193" t="s">
        <v>503</v>
      </c>
    </row>
    <row r="194" spans="1:3">
      <c r="B194" t="s">
        <v>504</v>
      </c>
      <c r="C194" t="s">
        <v>505</v>
      </c>
    </row>
    <row r="195" spans="1:3">
      <c r="B195" t="s">
        <v>506</v>
      </c>
      <c r="C195" t="s">
        <v>507</v>
      </c>
    </row>
    <row r="196" spans="1:3">
      <c r="B196" t="s">
        <v>508</v>
      </c>
      <c r="C196" t="s">
        <v>509</v>
      </c>
    </row>
    <row r="197" spans="1:3">
      <c r="B197" t="s">
        <v>510</v>
      </c>
      <c r="C197" t="s">
        <v>511</v>
      </c>
    </row>
    <row r="198" spans="1:3">
      <c r="A198" t="s">
        <v>512</v>
      </c>
    </row>
    <row r="199" spans="1:3">
      <c r="B199" t="s">
        <v>513</v>
      </c>
      <c r="C199" t="s">
        <v>514</v>
      </c>
    </row>
    <row r="200" spans="1:3">
      <c r="B200" t="s">
        <v>515</v>
      </c>
      <c r="C200" t="s">
        <v>516</v>
      </c>
    </row>
    <row r="201" spans="1:3">
      <c r="B201" t="s">
        <v>517</v>
      </c>
      <c r="C201" t="s">
        <v>518</v>
      </c>
    </row>
    <row r="202" spans="1:3">
      <c r="B202" t="s">
        <v>519</v>
      </c>
      <c r="C202" t="s">
        <v>520</v>
      </c>
    </row>
    <row r="203" spans="1:3">
      <c r="B203" t="s">
        <v>521</v>
      </c>
      <c r="C203" t="s">
        <v>522</v>
      </c>
    </row>
    <row r="204" spans="1:3">
      <c r="B204" t="s">
        <v>523</v>
      </c>
      <c r="C204" t="s">
        <v>524</v>
      </c>
    </row>
    <row r="205" spans="1:3">
      <c r="B205" t="s">
        <v>525</v>
      </c>
      <c r="C205" t="s">
        <v>526</v>
      </c>
    </row>
    <row r="206" spans="1:3">
      <c r="B206" t="s">
        <v>527</v>
      </c>
      <c r="C206" t="s">
        <v>528</v>
      </c>
    </row>
    <row r="207" spans="1:3">
      <c r="B207" t="s">
        <v>529</v>
      </c>
      <c r="C207" t="s">
        <v>530</v>
      </c>
    </row>
    <row r="208" spans="1:3">
      <c r="B208" t="s">
        <v>531</v>
      </c>
      <c r="C208" t="s">
        <v>532</v>
      </c>
    </row>
    <row r="209" spans="1:3">
      <c r="B209" t="s">
        <v>533</v>
      </c>
      <c r="C209" t="s">
        <v>534</v>
      </c>
    </row>
    <row r="210" spans="1:3">
      <c r="B210" t="s">
        <v>535</v>
      </c>
      <c r="C210" t="s">
        <v>536</v>
      </c>
    </row>
    <row r="211" spans="1:3">
      <c r="B211" t="s">
        <v>537</v>
      </c>
      <c r="C211" t="s">
        <v>538</v>
      </c>
    </row>
    <row r="212" spans="1:3">
      <c r="B212" t="s">
        <v>539</v>
      </c>
      <c r="C212" t="s">
        <v>540</v>
      </c>
    </row>
    <row r="213" spans="1:3">
      <c r="B213" t="s">
        <v>541</v>
      </c>
      <c r="C213" t="s">
        <v>542</v>
      </c>
    </row>
    <row r="214" spans="1:3">
      <c r="A214" t="s">
        <v>742</v>
      </c>
    </row>
    <row r="215" spans="1:3">
      <c r="B215" t="s">
        <v>435</v>
      </c>
      <c r="C215" t="s">
        <v>436</v>
      </c>
    </row>
    <row r="216" spans="1:3">
      <c r="B216" t="s">
        <v>453</v>
      </c>
      <c r="C216" t="s">
        <v>454</v>
      </c>
    </row>
    <row r="217" spans="1:3">
      <c r="B217" t="s">
        <v>455</v>
      </c>
      <c r="C217" t="s">
        <v>456</v>
      </c>
    </row>
    <row r="218" spans="1:3">
      <c r="B218" t="s">
        <v>459</v>
      </c>
      <c r="C218" t="s">
        <v>460</v>
      </c>
    </row>
    <row r="219" spans="1:3">
      <c r="B219" t="s">
        <v>461</v>
      </c>
      <c r="C219" t="s">
        <v>462</v>
      </c>
    </row>
    <row r="220" spans="1:3">
      <c r="B220" t="s">
        <v>463</v>
      </c>
      <c r="C220" t="s">
        <v>464</v>
      </c>
    </row>
    <row r="221" spans="1:3">
      <c r="B221" t="s">
        <v>465</v>
      </c>
      <c r="C221" t="s">
        <v>466</v>
      </c>
    </row>
    <row r="222" spans="1:3">
      <c r="B222" t="s">
        <v>469</v>
      </c>
      <c r="C222" t="s">
        <v>470</v>
      </c>
    </row>
    <row r="223" spans="1:3">
      <c r="B223" t="s">
        <v>471</v>
      </c>
      <c r="C223" t="s">
        <v>472</v>
      </c>
    </row>
    <row r="224" spans="1:3">
      <c r="B224" t="s">
        <v>479</v>
      </c>
      <c r="C224" t="s">
        <v>480</v>
      </c>
    </row>
    <row r="236" spans="1:5">
      <c r="A236" t="s">
        <v>543</v>
      </c>
    </row>
    <row r="237" spans="1:5">
      <c r="A237" t="s">
        <v>234</v>
      </c>
    </row>
    <row r="238" spans="1:5">
      <c r="B238" t="s">
        <v>544</v>
      </c>
      <c r="C238" t="s">
        <v>544</v>
      </c>
      <c r="E238" t="s">
        <v>545</v>
      </c>
    </row>
    <row r="239" spans="1:5">
      <c r="B239" t="s">
        <v>546</v>
      </c>
      <c r="C239" t="s">
        <v>546</v>
      </c>
      <c r="E239" t="s">
        <v>236</v>
      </c>
    </row>
    <row r="240" spans="1:5">
      <c r="B240" t="s">
        <v>547</v>
      </c>
      <c r="C240" t="s">
        <v>547</v>
      </c>
      <c r="E240" t="s">
        <v>548</v>
      </c>
    </row>
    <row r="241" spans="1:5">
      <c r="B241" t="s">
        <v>549</v>
      </c>
      <c r="C241" t="s">
        <v>550</v>
      </c>
      <c r="E241" t="s">
        <v>239</v>
      </c>
    </row>
    <row r="242" spans="1:5">
      <c r="B242" t="s">
        <v>551</v>
      </c>
      <c r="C242" t="s">
        <v>552</v>
      </c>
      <c r="E242" t="s">
        <v>239</v>
      </c>
    </row>
    <row r="243" spans="1:5">
      <c r="B243" t="s">
        <v>237</v>
      </c>
      <c r="C243" t="s">
        <v>238</v>
      </c>
      <c r="E243" t="s">
        <v>239</v>
      </c>
    </row>
    <row r="244" spans="1:5">
      <c r="A244" t="s">
        <v>240</v>
      </c>
    </row>
    <row r="245" spans="1:5">
      <c r="B245" t="s">
        <v>553</v>
      </c>
      <c r="C245" t="s">
        <v>554</v>
      </c>
    </row>
    <row r="246" spans="1:5">
      <c r="B246" t="s">
        <v>555</v>
      </c>
      <c r="C246" t="s">
        <v>2254</v>
      </c>
    </row>
    <row r="248" spans="1:5">
      <c r="B248" t="s">
        <v>556</v>
      </c>
      <c r="C248" t="s">
        <v>557</v>
      </c>
    </row>
    <row r="249" spans="1:5">
      <c r="B249" t="s">
        <v>558</v>
      </c>
      <c r="C249" t="s">
        <v>559</v>
      </c>
      <c r="D249" t="e">
        <f>E_CURRENCY_EQTY_200000801_PRI</f>
      </c>
    </row>
    <row r="250" spans="1:5">
      <c r="B250" t="s">
        <v>560</v>
      </c>
      <c r="C250" t="s">
        <v>561</v>
      </c>
    </row>
    <row r="251" spans="1:5">
      <c r="B251" t="s">
        <v>991</v>
      </c>
      <c r="C251" t="s">
        <v>989</v>
      </c>
      <c r="D251" t="e">
        <f>E_CURRENCY_EQTY_200000801_PRI</f>
      </c>
    </row>
    <row r="252" spans="1:5">
      <c r="B252" t="s">
        <v>992</v>
      </c>
      <c r="C252" t="s">
        <v>990</v>
      </c>
      <c r="D252" t="e">
        <f>E_CURRENCY_EQTY_200000801_PRI</f>
      </c>
    </row>
    <row r="253" spans="1:5">
      <c r="B253" t="s">
        <v>562</v>
      </c>
      <c r="C253" t="s">
        <v>563</v>
      </c>
    </row>
    <row r="254" spans="1:5">
      <c r="B254" t="s">
        <v>564</v>
      </c>
      <c r="C254" t="s">
        <v>565</v>
      </c>
    </row>
    <row r="255" spans="1:5">
      <c r="A255" t="s">
        <v>566</v>
      </c>
    </row>
    <row r="256" spans="1:5">
      <c r="B256" t="s">
        <v>567</v>
      </c>
      <c r="C256" t="s">
        <v>568</v>
      </c>
      <c r="D256" t="e">
        <f t="shared" ref="D256:D271" si="6">E_CURRENCY_EQTY_200000801_PUB</f>
      </c>
    </row>
    <row r="257" spans="1:4">
      <c r="B257" t="s">
        <v>569</v>
      </c>
      <c r="C257" t="s">
        <v>570</v>
      </c>
      <c r="D257" t="e">
        <f t="shared" si="6"/>
      </c>
    </row>
    <row r="258" spans="1:4">
      <c r="B258" t="s">
        <v>571</v>
      </c>
      <c r="C258" t="s">
        <v>572</v>
      </c>
      <c r="D258" t="e">
        <f t="shared" si="6"/>
      </c>
    </row>
    <row r="259" spans="1:4">
      <c r="B259" t="s">
        <v>573</v>
      </c>
      <c r="C259" t="s">
        <v>574</v>
      </c>
      <c r="D259" t="e">
        <f t="shared" si="6"/>
      </c>
    </row>
    <row r="260" spans="1:4">
      <c r="B260" t="s">
        <v>575</v>
      </c>
      <c r="C260" t="s">
        <v>576</v>
      </c>
      <c r="D260" t="e">
        <f t="shared" si="6"/>
      </c>
    </row>
    <row r="262" spans="1:4">
      <c r="B262" t="s">
        <v>578</v>
      </c>
      <c r="C262" t="s">
        <v>579</v>
      </c>
      <c r="D262" t="e">
        <f t="shared" si="6"/>
      </c>
    </row>
    <row r="263" spans="1:4">
      <c r="B263" t="s">
        <v>580</v>
      </c>
      <c r="C263" t="s">
        <v>581</v>
      </c>
      <c r="D263" t="e">
        <f t="shared" si="6"/>
      </c>
    </row>
    <row r="264" spans="1:4">
      <c r="B264" t="s">
        <v>582</v>
      </c>
      <c r="C264" t="s">
        <v>583</v>
      </c>
      <c r="D264" t="e">
        <f t="shared" si="6"/>
      </c>
    </row>
    <row r="265" spans="1:4">
      <c r="B265" t="s">
        <v>1100</v>
      </c>
      <c r="C265" t="s">
        <v>1094</v>
      </c>
      <c r="D265" t="e">
        <f t="shared" si="6"/>
      </c>
    </row>
    <row r="266" spans="1:4">
      <c r="B266" t="s">
        <v>1095</v>
      </c>
      <c r="C266" t="s">
        <v>1096</v>
      </c>
      <c r="D266" t="e">
        <f t="shared" si="6"/>
      </c>
    </row>
    <row r="267" spans="1:4">
      <c r="B267" t="s">
        <v>584</v>
      </c>
      <c r="C267" t="s">
        <v>585</v>
      </c>
      <c r="D267" t="e">
        <f t="shared" si="6"/>
      </c>
    </row>
    <row r="268" spans="1:4">
      <c r="B268" t="s">
        <v>586</v>
      </c>
      <c r="C268" t="s">
        <v>587</v>
      </c>
      <c r="D268" t="e">
        <f t="shared" si="6"/>
      </c>
    </row>
    <row r="269" spans="1:4">
      <c r="B269" t="s">
        <v>588</v>
      </c>
      <c r="C269" t="s">
        <v>589</v>
      </c>
      <c r="D269" t="e">
        <f t="shared" si="6"/>
      </c>
    </row>
    <row r="270" spans="1:4">
      <c r="B270" t="s">
        <v>590</v>
      </c>
      <c r="C270" t="s">
        <v>591</v>
      </c>
      <c r="D270" t="e">
        <f t="shared" si="6"/>
      </c>
    </row>
    <row r="271" spans="1:4">
      <c r="B271" t="s">
        <v>592</v>
      </c>
      <c r="C271" t="s">
        <v>593</v>
      </c>
      <c r="D271" t="e">
        <f t="shared" si="6"/>
      </c>
    </row>
    <row r="272" spans="1:4">
      <c r="A272" t="s">
        <v>242</v>
      </c>
    </row>
    <row r="273" spans="2:4">
      <c r="B273" t="s">
        <v>594</v>
      </c>
      <c r="C273" t="s">
        <v>595</v>
      </c>
      <c r="D273" t="e">
        <f t="shared" ref="D273:D285" si="7">E_CURRENCY_EQTY_200000801_REP</f>
      </c>
    </row>
    <row r="274" spans="2:4">
      <c r="B274" t="s">
        <v>336</v>
      </c>
      <c r="C274" t="s">
        <v>596</v>
      </c>
      <c r="D274" t="e">
        <f t="shared" si="7"/>
      </c>
    </row>
    <row r="275" spans="2:4">
      <c r="B275" t="s">
        <v>597</v>
      </c>
      <c r="C275" t="s">
        <v>598</v>
      </c>
      <c r="D275" t="e">
        <f t="shared" si="7"/>
      </c>
    </row>
    <row r="276" spans="2:4">
      <c r="B276" t="s">
        <v>599</v>
      </c>
      <c r="C276" t="s">
        <v>600</v>
      </c>
      <c r="D276" t="e">
        <f t="shared" si="7"/>
      </c>
    </row>
    <row r="277" spans="2:4">
      <c r="B277" t="s">
        <v>601</v>
      </c>
      <c r="C277" t="s">
        <v>602</v>
      </c>
      <c r="D277" t="e">
        <f t="shared" si="7"/>
      </c>
    </row>
    <row r="278" spans="2:4">
      <c r="B278" t="s">
        <v>79</v>
      </c>
      <c r="C278" t="s">
        <v>603</v>
      </c>
      <c r="D278" t="e">
        <f t="shared" si="7"/>
      </c>
    </row>
    <row r="279" spans="2:4">
      <c r="B279" t="s">
        <v>604</v>
      </c>
      <c r="C279" t="s">
        <v>605</v>
      </c>
      <c r="D279" t="e">
        <f t="shared" si="7"/>
      </c>
    </row>
    <row r="280" spans="2:4">
      <c r="B280" t="s">
        <v>606</v>
      </c>
      <c r="C280" t="s">
        <v>607</v>
      </c>
      <c r="D280" t="e">
        <f t="shared" si="7"/>
      </c>
    </row>
    <row r="281" spans="2:4">
      <c r="B281" t="s">
        <v>608</v>
      </c>
      <c r="C281" t="s">
        <v>609</v>
      </c>
      <c r="D281" t="e">
        <f t="shared" si="7"/>
      </c>
    </row>
    <row r="282" spans="2:4">
      <c r="B282" t="s">
        <v>610</v>
      </c>
      <c r="C282" t="s">
        <v>611</v>
      </c>
      <c r="D282" t="e">
        <f t="shared" si="7"/>
      </c>
    </row>
    <row r="283" spans="2:4">
      <c r="B283" t="s">
        <v>612</v>
      </c>
      <c r="C283" t="s">
        <v>613</v>
      </c>
      <c r="D283" t="e">
        <f t="shared" si="7"/>
      </c>
    </row>
    <row r="284" spans="2:4">
      <c r="B284" t="s">
        <v>614</v>
      </c>
      <c r="C284" t="s">
        <v>615</v>
      </c>
      <c r="D284" t="e">
        <f t="shared" si="7"/>
      </c>
    </row>
    <row r="285" spans="2:4">
      <c r="B285" t="s">
        <v>616</v>
      </c>
      <c r="C285" t="s">
        <v>617</v>
      </c>
      <c r="D285" t="e">
        <f t="shared" si="7"/>
      </c>
    </row>
    <row r="286" spans="2:4">
      <c r="B286" t="s">
        <v>618</v>
      </c>
      <c r="C286" t="s">
        <v>619</v>
      </c>
    </row>
    <row r="287" spans="2:4">
      <c r="B287" t="s">
        <v>620</v>
      </c>
      <c r="C287" t="s">
        <v>621</v>
      </c>
    </row>
    <row r="288" spans="2:4">
      <c r="B288" t="s">
        <v>622</v>
      </c>
      <c r="C288" t="s">
        <v>623</v>
      </c>
    </row>
    <row r="289" spans="1:4">
      <c r="A289" t="s">
        <v>282</v>
      </c>
    </row>
    <row r="290" spans="1:4">
      <c r="B290" t="s">
        <v>624</v>
      </c>
      <c r="C290" t="s">
        <v>625</v>
      </c>
    </row>
    <row r="291" spans="1:4">
      <c r="A291" t="s">
        <v>626</v>
      </c>
    </row>
    <row r="292" spans="1:4">
      <c r="B292" t="s">
        <v>627</v>
      </c>
      <c r="C292" t="s">
        <v>628</v>
      </c>
      <c r="D292" t="e">
        <f>E_CURRENCY_EQTY_200000801_REP</f>
      </c>
    </row>
    <row r="293" spans="1:4">
      <c r="B293" t="s">
        <v>629</v>
      </c>
      <c r="C293" t="s">
        <v>630</v>
      </c>
      <c r="D293" t="e">
        <f>E_CURRENCY_EQTY_200000801_REP</f>
      </c>
    </row>
    <row r="294" spans="1:4">
      <c r="B294" t="s">
        <v>631</v>
      </c>
      <c r="C294" t="s">
        <v>632</v>
      </c>
      <c r="D294" t="e">
        <f>E_CURRENCY_EQTY_200000801_REP</f>
      </c>
    </row>
    <row r="295" spans="1:4">
      <c r="B295" t="s">
        <v>633</v>
      </c>
      <c r="C295" t="s">
        <v>634</v>
      </c>
      <c r="D295" t="e">
        <f>E_CURRENCY_EQTY_200000801_REP</f>
      </c>
    </row>
    <row r="296" spans="1:4">
      <c r="B296" t="s">
        <v>635</v>
      </c>
      <c r="C296" t="s">
        <v>636</v>
      </c>
    </row>
    <row r="297" spans="1:4">
      <c r="A297" t="s">
        <v>164</v>
      </c>
    </row>
    <row r="298" spans="1:4">
      <c r="B298" t="s">
        <v>637</v>
      </c>
      <c r="C298" t="s">
        <v>638</v>
      </c>
      <c r="D298" t="e">
        <f>E_CURRENCY_EQTY_200000801_REP</f>
      </c>
    </row>
    <row r="299" spans="1:4">
      <c r="A299" t="s">
        <v>342</v>
      </c>
    </row>
    <row r="300" spans="1:4">
      <c r="B300" t="s">
        <v>639</v>
      </c>
      <c r="C300" t="s">
        <v>640</v>
      </c>
      <c r="D300" t="e">
        <f>E_CURRENCY_EQTY_200000801_REP</f>
      </c>
    </row>
    <row r="301" spans="1:4">
      <c r="B301" t="s">
        <v>641</v>
      </c>
      <c r="C301" t="s">
        <v>642</v>
      </c>
      <c r="D301" t="e">
        <f>E_CURRENCY_EQTY_200000801_REP</f>
      </c>
    </row>
    <row r="302" spans="1:4">
      <c r="B302" t="s">
        <v>643</v>
      </c>
      <c r="C302" t="s">
        <v>644</v>
      </c>
      <c r="D302" t="e">
        <f>E_CURRENCY_EQTY_200000801_REP</f>
      </c>
    </row>
    <row r="303" spans="1:4">
      <c r="B303" t="s">
        <v>645</v>
      </c>
      <c r="C303" t="s">
        <v>646</v>
      </c>
      <c r="D303" t="e">
        <f>E_CURRENCY_EQTY_200000801_REP</f>
      </c>
    </row>
    <row r="304" spans="1:4">
      <c r="A304" t="s">
        <v>369</v>
      </c>
    </row>
    <row r="305" spans="1:4">
      <c r="B305" t="s">
        <v>597</v>
      </c>
      <c r="C305" t="s">
        <v>647</v>
      </c>
      <c r="D305" t="e">
        <f>E_CURRENCY_EQTY_200000801_REP</f>
      </c>
    </row>
    <row r="306" spans="1:4">
      <c r="A306" t="s">
        <v>429</v>
      </c>
    </row>
    <row r="307" spans="1:4">
      <c r="B307" t="s">
        <v>648</v>
      </c>
      <c r="C307" t="s">
        <v>649</v>
      </c>
    </row>
    <row r="308" spans="1:4">
      <c r="B308" t="s">
        <v>650</v>
      </c>
      <c r="C308" t="s">
        <v>651</v>
      </c>
    </row>
    <row r="309" spans="1:4">
      <c r="B309" t="s">
        <v>652</v>
      </c>
      <c r="C309" t="s">
        <v>653</v>
      </c>
    </row>
  </sheetData>
  <pageMargins left="0.7" right="0.7" top="0.75" bottom="0.75" header="0.3" footer="0.3"/>
  <pageSetup paperSize="9" orientation="portrait" r:id="rId1"/>
  <customProperties>
    <customPr name="Exchange.ContributionType" r:id="rId2"/>
    <customPr name="Exchange.CreationEntityId" r:id="rId3"/>
    <customPr name="Exchange.CreationEntityIdType" r:id="rId4"/>
    <customPr name="Exchange.CreationEntityType" r:id="rId5"/>
    <customPr name="Exchange.ExchangeSheetId" r:id="rId6"/>
    <customPr name="Exchange.SheetType" r:id="rId7"/>
    <customPr name="Qube.Worksheet.Visibility" r:id="rId8"/>
    <customPr name="QXL_SHEET_ID" r:id="rId9"/>
  </customPropertie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autoPageBreaks="0" fitToPage="1"/>
  </sheetPr>
  <dimension ref="A1:HD136"/>
  <sheetViews>
    <sheetView showGridLines="0" zoomScale="145" zoomScaleNormal="145" zoomScaleSheetLayoutView="85" workbookViewId="0">
      <pane xSplit="1" ySplit="8" topLeftCell="DF9" activePane="bottomRight" state="frozen"/>
      <selection pane="topRight"/>
      <selection pane="bottomLeft"/>
      <selection pane="bottomRight"/>
    </sheetView>
  </sheetViews>
  <sheetFormatPr defaultColWidth="9" defaultRowHeight="10.199999999999999" outlineLevelRow="1" outlineLevelCol="1"/>
  <cols>
    <col min="1" max="1" width="26.3984375" style="11" customWidth="1"/>
    <col min="2" max="5" width="9" style="11" hidden="1" customWidth="1" outlineLevel="1"/>
    <col min="6" max="72" width="7.09765625" style="11" hidden="1" customWidth="1" outlineLevel="1"/>
    <col min="73" max="73" width="7.09765625" style="11" hidden="1" customWidth="1" outlineLevel="1" collapsed="1"/>
    <col min="74" max="77" width="7.09765625" style="11" hidden="1" customWidth="1" outlineLevel="1"/>
    <col min="78" max="78" width="7.09765625" style="11" hidden="1" customWidth="1" outlineLevel="1" collapsed="1"/>
    <col min="79" max="81" width="7.09765625" style="11" hidden="1" customWidth="1" outlineLevel="1"/>
    <col min="82" max="82" width="7.09765625" style="11" hidden="1" customWidth="1" outlineLevel="1" collapsed="1"/>
    <col min="83" max="85" width="7.09765625" style="11" hidden="1" customWidth="1" outlineLevel="1"/>
    <col min="86" max="86" width="7.09765625" style="11" hidden="1" customWidth="1" outlineLevel="1" collapsed="1"/>
    <col min="87" max="89" width="7.09765625" style="11" hidden="1" customWidth="1" outlineLevel="1"/>
    <col min="90" max="90" width="7.09765625" style="11" hidden="1" customWidth="1" outlineLevel="1" collapsed="1"/>
    <col min="91" max="93" width="7.09765625" style="11" hidden="1" customWidth="1" outlineLevel="1"/>
    <col min="94" max="94" width="7.09765625" style="11" hidden="1" customWidth="1" outlineLevel="1" collapsed="1"/>
    <col min="95" max="101" width="7.09765625" style="11" hidden="1" customWidth="1" outlineLevel="1"/>
    <col min="102" max="102" width="7.09765625" style="11" hidden="1" customWidth="1" outlineLevel="1" collapsed="1"/>
    <col min="103" max="105" width="7.09765625" style="11" hidden="1" customWidth="1" outlineLevel="1"/>
    <col min="106" max="106" width="7.09765625" style="89" hidden="1" customWidth="1" outlineLevel="1" collapsed="1"/>
    <col min="107" max="109" width="7.09765625" style="89" hidden="1" customWidth="1" outlineLevel="1"/>
    <col min="110" max="110" width="7.09765625" style="89" customWidth="1" collapsed="1"/>
    <col min="111" max="113" width="7.09765625" style="89" customWidth="1"/>
    <col min="114" max="114" width="7.8984375" style="89" customWidth="1"/>
    <col min="115" max="125" width="7.09765625" style="89" customWidth="1"/>
    <col min="126" max="141" width="7.09765625" style="89" hidden="1" customWidth="1" outlineLevel="1"/>
    <col min="142" max="142" width="5.3984375" style="11" customWidth="1" collapsed="1"/>
    <col min="143" max="159" width="6.59765625" style="11" hidden="1" customWidth="1" outlineLevel="1"/>
    <col min="160" max="160" width="6.59765625" style="11" hidden="1" customWidth="1" outlineLevel="1" collapsed="1"/>
    <col min="161" max="164" width="6.59765625" style="11" hidden="1" customWidth="1" outlineLevel="1"/>
    <col min="165" max="165" width="6.59765625" style="11" hidden="1" customWidth="1" outlineLevel="1" collapsed="1"/>
    <col min="166" max="167" width="6.59765625" style="11" hidden="1" customWidth="1" outlineLevel="1"/>
    <col min="168" max="168" width="6.59765625" style="11" customWidth="1" collapsed="1"/>
    <col min="169" max="174" width="6.59765625" style="11" customWidth="1"/>
    <col min="175" max="177" width="6.59765625" style="11" hidden="1" customWidth="1" outlineLevel="1"/>
    <col min="178" max="178" width="4.8984375" style="11" customWidth="1" collapsed="1"/>
    <col min="179" max="195" width="6.59765625" style="11" hidden="1" customWidth="1" outlineLevel="1"/>
    <col min="196" max="196" width="6.59765625" style="11" hidden="1" customWidth="1" outlineLevel="1" collapsed="1"/>
    <col min="197" max="198" width="6.59765625" style="11" hidden="1" customWidth="1" outlineLevel="1"/>
    <col min="199" max="199" width="6.59765625" style="11" hidden="1" customWidth="1" outlineLevel="1" collapsed="1"/>
    <col min="200" max="200" width="6.59765625" style="11" customWidth="1" collapsed="1"/>
    <col min="201" max="212" width="6.59765625" style="11" customWidth="1"/>
    <col min="213" max="16384" width="9" style="11"/>
  </cols>
  <sheetData>
    <row r="1" spans="1:212">
      <c r="A1" s="1"/>
      <c r="CD1" s="91"/>
      <c r="CE1" s="91"/>
      <c r="CF1" s="91"/>
      <c r="CG1" s="91"/>
      <c r="CH1" s="91"/>
      <c r="CI1" s="91"/>
      <c r="CJ1" s="91"/>
      <c r="CK1" s="91"/>
      <c r="CL1" s="91"/>
      <c r="CM1" s="91"/>
      <c r="CN1" s="91"/>
      <c r="CO1" s="91"/>
      <c r="CP1" s="91"/>
      <c r="CQ1" s="91"/>
      <c r="CR1" s="91"/>
      <c r="CS1" s="91"/>
      <c r="CT1" s="91"/>
      <c r="CU1" s="91"/>
      <c r="CV1" s="91"/>
      <c r="CW1" s="68"/>
      <c r="CX1" s="68"/>
      <c r="CY1" s="68"/>
      <c r="CZ1" s="68"/>
      <c r="DA1" s="68"/>
      <c r="DB1" s="68"/>
      <c r="DC1" s="68"/>
      <c r="DD1" s="68"/>
      <c r="DE1" s="68"/>
      <c r="DF1" s="68"/>
      <c r="DG1" s="68"/>
      <c r="DH1" s="68"/>
      <c r="DI1" s="58"/>
      <c r="DJ1" s="58"/>
      <c r="DK1" s="68"/>
      <c r="DL1" s="68"/>
      <c r="DM1" s="68"/>
      <c r="DN1" s="68"/>
      <c r="DO1" s="68"/>
      <c r="DP1" s="68"/>
      <c r="DQ1" s="68"/>
      <c r="DR1" s="68"/>
      <c r="DS1" s="68"/>
      <c r="DT1" s="68"/>
      <c r="DU1" s="68"/>
      <c r="DV1" s="68"/>
      <c r="DW1" s="68"/>
      <c r="DX1" s="68"/>
      <c r="DY1" s="68"/>
      <c r="DZ1" s="68"/>
      <c r="EA1" s="68"/>
      <c r="EB1" s="68"/>
      <c r="EC1" s="68"/>
      <c r="ED1" s="68"/>
      <c r="EE1" s="68"/>
      <c r="EF1" s="68"/>
      <c r="EG1" s="68"/>
      <c r="EH1" s="68"/>
      <c r="EI1" s="68"/>
      <c r="EJ1" s="68"/>
      <c r="EK1" s="68"/>
    </row>
    <row r="2" spans="1:212">
      <c r="A2" s="1"/>
      <c r="CF2" s="68"/>
      <c r="CG2" s="68"/>
      <c r="CH2" s="68"/>
      <c r="CI2" s="68"/>
      <c r="CJ2" s="68"/>
      <c r="CK2" s="68"/>
      <c r="CL2" s="68"/>
      <c r="CM2" s="288"/>
      <c r="CN2" s="68"/>
      <c r="CO2" s="68"/>
      <c r="CP2" s="68"/>
      <c r="CQ2" s="68"/>
      <c r="CR2" s="68"/>
      <c r="CS2" s="68"/>
      <c r="CT2" s="68"/>
      <c r="CU2" s="68"/>
      <c r="CV2" s="68"/>
      <c r="CW2" s="68"/>
      <c r="CX2" s="68"/>
      <c r="CY2" s="68"/>
      <c r="CZ2" s="68"/>
      <c r="DA2" s="68"/>
      <c r="DB2" s="68"/>
      <c r="DC2" s="68"/>
      <c r="DD2" s="68"/>
      <c r="DE2" s="68"/>
      <c r="DF2" s="68"/>
      <c r="DG2" s="68"/>
      <c r="DH2" s="68"/>
      <c r="DI2" s="68"/>
      <c r="DJ2" s="3293"/>
      <c r="DK2" s="68"/>
      <c r="DL2" s="68"/>
      <c r="DM2" s="68"/>
      <c r="DN2" s="68"/>
      <c r="DO2" s="58"/>
      <c r="DP2" s="68"/>
      <c r="DQ2" s="68"/>
      <c r="DR2" s="68"/>
      <c r="DS2" s="68"/>
      <c r="DT2" s="68"/>
      <c r="DU2" s="68"/>
      <c r="DV2" s="68"/>
      <c r="DW2" s="68"/>
      <c r="DX2" s="68"/>
      <c r="DY2" s="68"/>
      <c r="DZ2" s="68"/>
      <c r="EA2" s="68"/>
      <c r="EB2" s="68"/>
      <c r="EC2" s="68"/>
      <c r="ED2" s="68"/>
      <c r="EE2" s="68"/>
      <c r="EF2" s="68"/>
      <c r="EG2" s="68"/>
      <c r="EH2" s="68"/>
      <c r="EI2" s="68"/>
      <c r="EJ2" s="68"/>
      <c r="EK2" s="68"/>
      <c r="FN2" s="79"/>
    </row>
    <row r="3" spans="1:212" ht="22.8">
      <c r="A3" s="4" t="s">
        <v>0</v>
      </c>
      <c r="B3" s="1"/>
      <c r="BV3" s="4"/>
      <c r="BW3" s="4"/>
      <c r="BZ3" s="4"/>
      <c r="CD3" s="4"/>
      <c r="CG3" s="95"/>
      <c r="CI3" s="96"/>
      <c r="CJ3" s="96"/>
      <c r="CK3" s="96"/>
      <c r="CL3" s="286"/>
      <c r="CM3" s="286"/>
      <c r="CN3" s="286"/>
      <c r="CO3" s="286"/>
      <c r="CP3" s="286"/>
      <c r="CQ3" s="286"/>
      <c r="CR3" s="286"/>
      <c r="CS3" s="286"/>
      <c r="CT3" s="3221"/>
      <c r="CU3" s="3221"/>
      <c r="CV3" s="3221"/>
      <c r="CW3" s="3221"/>
      <c r="CX3" s="286"/>
      <c r="CY3" s="286"/>
      <c r="CZ3" s="286"/>
      <c r="DA3" s="286"/>
      <c r="DB3" s="286"/>
      <c r="DC3" s="286"/>
      <c r="DD3" s="286"/>
      <c r="DE3" s="286"/>
      <c r="DF3" s="286"/>
      <c r="DG3" s="2693"/>
      <c r="DH3" s="286"/>
      <c r="DI3" s="2693"/>
      <c r="DJ3" s="3293"/>
      <c r="DK3" s="286"/>
      <c r="DL3" s="286"/>
      <c r="DM3" s="286"/>
      <c r="DN3" s="286"/>
      <c r="DO3" s="286"/>
      <c r="DP3" s="286"/>
      <c r="DQ3" s="3395"/>
      <c r="DR3" s="286"/>
      <c r="DS3" s="286"/>
      <c r="DT3" s="286"/>
      <c r="DU3" s="286"/>
      <c r="DV3" s="286"/>
      <c r="DW3" s="286"/>
      <c r="DX3" s="286"/>
      <c r="DY3" s="286"/>
      <c r="DZ3" s="286"/>
      <c r="EA3" s="286"/>
      <c r="EB3" s="286"/>
      <c r="EC3" s="286"/>
      <c r="ED3" s="286"/>
      <c r="EE3" s="286"/>
      <c r="EF3" s="286"/>
      <c r="EG3" s="286"/>
      <c r="EH3" s="286"/>
      <c r="EI3" s="286"/>
      <c r="EJ3" s="286"/>
      <c r="EK3" s="286"/>
      <c r="FK3" s="3220"/>
      <c r="FL3" s="131"/>
      <c r="FO3" s="2711"/>
      <c r="FP3" s="658"/>
    </row>
    <row r="4" spans="1:212" ht="15.6">
      <c r="A4" s="295"/>
      <c r="B4" s="12"/>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M4" s="14"/>
      <c r="BN4" s="14"/>
      <c r="BO4" s="14"/>
      <c r="BP4" s="14"/>
      <c r="BQ4" s="14"/>
      <c r="BR4" s="14"/>
      <c r="BS4" s="14"/>
      <c r="BT4" s="14"/>
      <c r="BU4" s="14"/>
      <c r="BV4" s="5"/>
      <c r="BW4" s="5"/>
      <c r="BX4" s="14"/>
      <c r="BY4" s="14"/>
      <c r="BZ4" s="5"/>
      <c r="CA4" s="14"/>
      <c r="CB4" s="14"/>
      <c r="CC4" s="14"/>
      <c r="CD4" s="295"/>
      <c r="CE4" s="14"/>
      <c r="CF4" s="14"/>
      <c r="CG4" s="14"/>
      <c r="CI4" s="14"/>
      <c r="CJ4" s="14"/>
      <c r="CK4" s="14"/>
      <c r="CL4" s="14"/>
      <c r="CM4" s="14"/>
      <c r="CN4" s="14"/>
      <c r="CO4" s="14"/>
      <c r="CP4" s="14"/>
      <c r="CQ4" s="14"/>
      <c r="CR4" s="14"/>
      <c r="CS4" s="14"/>
      <c r="CT4" s="14"/>
      <c r="CU4" s="14"/>
      <c r="CV4" s="14"/>
      <c r="CW4" s="14"/>
      <c r="CX4" s="14"/>
      <c r="CY4" s="14"/>
      <c r="CZ4" s="14"/>
      <c r="DA4" s="14"/>
      <c r="DB4" s="14"/>
      <c r="DC4" s="14"/>
      <c r="DD4" s="14"/>
      <c r="DE4" s="14"/>
      <c r="DF4" s="14"/>
      <c r="DG4" s="14"/>
      <c r="DH4" s="14"/>
      <c r="DI4" s="14"/>
      <c r="DJ4" s="329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14"/>
      <c r="EM4" s="14"/>
      <c r="EN4" s="14"/>
      <c r="EO4" s="14"/>
      <c r="EP4" s="14"/>
      <c r="EQ4" s="14"/>
      <c r="ER4" s="14"/>
      <c r="ES4" s="14"/>
      <c r="ET4" s="14"/>
      <c r="EU4" s="14"/>
      <c r="EV4" s="14"/>
      <c r="EW4" s="14"/>
      <c r="EX4" s="14"/>
      <c r="EY4" s="14"/>
      <c r="EZ4" s="14"/>
      <c r="FA4" s="14"/>
      <c r="FB4" s="14"/>
      <c r="FC4" s="14"/>
      <c r="FD4" s="14"/>
      <c r="FE4" s="14"/>
      <c r="FF4" s="14"/>
      <c r="FG4" s="14"/>
      <c r="FH4" s="14"/>
      <c r="FI4" s="14"/>
      <c r="FJ4" s="48"/>
      <c r="FK4" s="48"/>
      <c r="FL4" s="48"/>
      <c r="FM4" s="48"/>
      <c r="FN4" s="3123"/>
      <c r="FO4" s="2917"/>
      <c r="FP4" s="48"/>
      <c r="FQ4" s="48"/>
      <c r="FR4" s="48"/>
      <c r="FS4" s="48"/>
      <c r="FT4" s="48"/>
      <c r="FU4" s="48"/>
      <c r="FV4" s="14"/>
      <c r="FW4" s="14"/>
      <c r="FX4" s="14"/>
      <c r="FY4" s="14"/>
      <c r="FZ4" s="14"/>
      <c r="GA4" s="14"/>
      <c r="GB4" s="14"/>
      <c r="GC4" s="14"/>
      <c r="GD4" s="14"/>
      <c r="GE4" s="14"/>
      <c r="GF4" s="14"/>
      <c r="GG4" s="14"/>
      <c r="GH4" s="14"/>
      <c r="GI4" s="14"/>
      <c r="GJ4" s="14"/>
      <c r="GK4" s="14"/>
      <c r="GL4" s="14"/>
      <c r="GM4" s="14"/>
      <c r="GN4" s="14"/>
      <c r="GO4" s="14"/>
      <c r="GP4" s="14"/>
      <c r="GQ4" s="14"/>
      <c r="GR4" s="43"/>
      <c r="GS4" s="43"/>
      <c r="GT4" s="294"/>
      <c r="GU4" s="294"/>
      <c r="GV4" s="294"/>
      <c r="GW4" s="294"/>
      <c r="GX4" s="294"/>
      <c r="GY4" s="294"/>
      <c r="GZ4" s="294"/>
      <c r="HA4" s="294"/>
      <c r="HB4" s="294"/>
      <c r="HC4" s="294"/>
      <c r="HD4" s="294"/>
    </row>
    <row r="5" spans="1:212" s="156" customFormat="1">
      <c r="A5" s="408" t="s">
        <v>874</v>
      </c>
      <c r="BQ5" s="409"/>
      <c r="BU5" s="409"/>
      <c r="BW5" s="309">
        <f t="shared" ref="BW5:CD5" si="0">(BW6-BV6)/7</f>
      </c>
      <c r="BX5" s="309">
        <f t="shared" si="0"/>
      </c>
      <c r="BY5" s="410">
        <f t="shared" si="0"/>
      </c>
      <c r="BZ5" s="309">
        <f t="shared" si="0"/>
      </c>
      <c r="CA5" s="309">
        <f t="shared" si="0"/>
      </c>
      <c r="CB5" s="309">
        <f t="shared" si="0"/>
      </c>
      <c r="CC5" s="410">
        <f t="shared" si="0"/>
      </c>
      <c r="CD5" s="309">
        <f t="shared" si="0"/>
      </c>
      <c r="CE5" s="309">
        <f t="shared" ref="CE5:CJ5" si="1">(CE6-CD6)/7</f>
      </c>
      <c r="CF5" s="309">
        <f t="shared" si="1"/>
      </c>
      <c r="CG5" s="410">
        <f t="shared" si="1"/>
      </c>
      <c r="CH5" s="783">
        <f t="shared" si="1"/>
      </c>
      <c r="CI5" s="309">
        <f t="shared" si="1"/>
      </c>
      <c r="CJ5" s="309">
        <f t="shared" si="1"/>
      </c>
      <c r="CK5" s="410">
        <f t="shared" ref="CK5:DE5" si="2">(CK6-CJ6)/7</f>
      </c>
      <c r="CL5" s="309">
        <f t="shared" si="2"/>
      </c>
      <c r="CM5" s="309">
        <f t="shared" si="2"/>
      </c>
      <c r="CN5" s="309">
        <f t="shared" si="2"/>
      </c>
      <c r="CO5" s="410">
        <f t="shared" si="2"/>
      </c>
      <c r="CP5" s="309">
        <f t="shared" si="2"/>
      </c>
      <c r="CQ5" s="309">
        <f t="shared" si="2"/>
      </c>
      <c r="CR5" s="309">
        <f t="shared" si="2"/>
      </c>
      <c r="CS5" s="410">
        <f t="shared" si="2"/>
      </c>
      <c r="CT5" s="309">
        <f t="shared" si="2"/>
      </c>
      <c r="CU5" s="309">
        <f t="shared" si="2"/>
      </c>
      <c r="CV5" s="309">
        <f t="shared" si="2"/>
      </c>
      <c r="CW5" s="410">
        <f t="shared" si="2"/>
      </c>
      <c r="CX5" s="309">
        <f t="shared" si="2"/>
      </c>
      <c r="CY5" s="154">
        <f t="shared" si="2"/>
      </c>
      <c r="CZ5" s="154">
        <f t="shared" si="2"/>
      </c>
      <c r="DA5" s="410">
        <f t="shared" si="2"/>
      </c>
      <c r="DB5" s="412">
        <f t="shared" si="2"/>
      </c>
      <c r="DC5" s="155">
        <f t="shared" si="2"/>
      </c>
      <c r="DD5" s="155">
        <f t="shared" si="2"/>
      </c>
      <c r="DE5" s="155">
        <f t="shared" si="2"/>
      </c>
      <c r="DF5" s="412">
        <f t="shared" ref="DF5" si="3">(DF6-DE6)/7</f>
      </c>
      <c r="DG5" s="155">
        <f t="shared" ref="DG5" si="4">(DG6-DF6)/7</f>
      </c>
      <c r="DH5" s="155">
        <f t="shared" ref="DH5" si="5">(DH6-DG6)/7</f>
      </c>
      <c r="DI5" s="155">
        <f t="shared" ref="DI5" si="6">(DI6-DH6)/7</f>
      </c>
      <c r="DJ5" s="412">
        <f t="shared" ref="DJ5" si="7">(DJ6-DI6)/7</f>
      </c>
      <c r="DK5" s="155">
        <f t="shared" ref="DK5" si="8">(DK6-DJ6)/7</f>
      </c>
      <c r="DL5" s="155">
        <f t="shared" ref="DL5" si="9">(DL6-DK6)/7</f>
      </c>
      <c r="DM5" s="155">
        <f t="shared" ref="DM5" si="10">(DM6-DL6)/7</f>
      </c>
      <c r="DN5" s="412">
        <f t="shared" ref="DN5" si="11">(DN6-DM6)/7</f>
      </c>
      <c r="DO5" s="155">
        <f t="shared" ref="DO5" si="12">(DO6-DN6)/7</f>
      </c>
      <c r="DP5" s="155">
        <f t="shared" ref="DP5" si="13">(DP6-DO6)/7</f>
      </c>
      <c r="DQ5" s="155">
        <f t="shared" ref="DQ5" si="14">(DQ6-DP6)/7</f>
      </c>
      <c r="DR5" s="412">
        <f t="shared" ref="DR5" si="15">(DR6-DQ6)/7</f>
      </c>
      <c r="DS5" s="155">
        <f t="shared" ref="DS5" si="16">(DS6-DR6)/7</f>
      </c>
      <c r="DT5" s="155">
        <f t="shared" ref="DT5" si="17">(DT6-DS6)/7</f>
      </c>
      <c r="DU5" s="155">
        <f t="shared" ref="DU5" si="18">(DU6-DT6)/7</f>
      </c>
      <c r="DV5" s="412">
        <f t="shared" ref="DV5" si="19">(DV6-DU6)/7</f>
      </c>
      <c r="DW5" s="155">
        <f t="shared" ref="DW5" si="20">(DW6-DV6)/7</f>
      </c>
      <c r="DX5" s="155">
        <f t="shared" ref="DX5" si="21">(DX6-DW6)/7</f>
      </c>
      <c r="DY5" s="155">
        <f t="shared" ref="DY5" si="22">(DY6-DX6)/7</f>
      </c>
      <c r="DZ5" s="412">
        <f t="shared" ref="DZ5" si="23">(DZ6-DY6)/7</f>
      </c>
      <c r="EA5" s="155">
        <f t="shared" ref="EA5" si="24">(EA6-DZ6)/7</f>
      </c>
      <c r="EB5" s="155">
        <f t="shared" ref="EB5" si="25">(EB6-EA6)/7</f>
      </c>
      <c r="EC5" s="155">
        <f t="shared" ref="EC5" si="26">(EC6-EB6)/7</f>
      </c>
      <c r="ED5" s="412">
        <f t="shared" ref="ED5" si="27">(ED6-EC6)/7</f>
      </c>
      <c r="EE5" s="155">
        <f t="shared" ref="EE5" si="28">(EE6-ED6)/7</f>
      </c>
      <c r="EF5" s="155">
        <f t="shared" ref="EF5" si="29">(EF6-EE6)/7</f>
      </c>
      <c r="EG5" s="155">
        <f t="shared" ref="EG5" si="30">(EG6-EF6)/7</f>
      </c>
      <c r="EH5" s="412">
        <f t="shared" ref="EH5" si="31">(EH6-EG6)/7</f>
      </c>
      <c r="EI5" s="155">
        <f t="shared" ref="EI5" si="32">(EI6-EH6)/7</f>
      </c>
      <c r="EJ5" s="155">
        <f t="shared" ref="EJ5:EK5" si="33">(EJ6-EI6)/7</f>
      </c>
      <c r="EK5" s="155">
        <f t="shared" si="33"/>
      </c>
      <c r="EL5" s="154"/>
    </row>
    <row r="6" spans="1:212">
      <c r="A6" s="2" t="s">
        <v>873</v>
      </c>
      <c r="B6" s="65"/>
      <c r="C6" s="65"/>
      <c r="D6" s="65"/>
      <c r="E6" s="65"/>
      <c r="F6" s="65"/>
      <c r="G6" s="65"/>
      <c r="H6" s="65"/>
      <c r="I6" s="65"/>
      <c r="J6" s="65"/>
      <c r="K6" s="65"/>
      <c r="L6" s="65"/>
      <c r="M6" s="65"/>
      <c r="N6" s="65"/>
      <c r="O6" s="65"/>
      <c r="P6" s="65"/>
      <c r="Q6" s="65"/>
      <c r="R6" s="65"/>
      <c r="S6" s="65"/>
      <c r="T6" s="65"/>
      <c r="U6" s="65"/>
      <c r="V6" s="65"/>
      <c r="W6" s="65"/>
      <c r="X6" s="65"/>
      <c r="Y6" s="65"/>
      <c r="Z6" s="65"/>
      <c r="AA6" s="65"/>
      <c r="AB6" s="65"/>
      <c r="AC6" s="65"/>
      <c r="AD6" s="65"/>
      <c r="AE6" s="65"/>
      <c r="AF6" s="65"/>
      <c r="AG6" s="65"/>
      <c r="AH6" s="65"/>
      <c r="AI6" s="65"/>
      <c r="AJ6" s="65"/>
      <c r="AK6" s="65"/>
      <c r="AL6" s="65"/>
      <c r="AM6" s="65"/>
      <c r="AN6" s="65"/>
      <c r="AO6" s="65"/>
      <c r="AP6" s="65"/>
      <c r="AQ6" s="65"/>
      <c r="AR6" s="65"/>
      <c r="AS6" s="65"/>
      <c r="AT6" s="65"/>
      <c r="AU6" s="65"/>
      <c r="AV6" s="65"/>
      <c r="AW6" s="65"/>
      <c r="AX6" s="65"/>
      <c r="AY6" s="65"/>
      <c r="AZ6" s="65"/>
      <c r="BA6" s="65"/>
      <c r="BB6" s="65"/>
      <c r="BC6" s="65"/>
      <c r="BD6" s="65"/>
      <c r="BE6" s="65"/>
      <c r="BF6" s="65"/>
      <c r="BG6" s="65"/>
      <c r="BH6" s="65"/>
      <c r="BI6" s="65"/>
      <c r="BJ6" s="65"/>
      <c r="BK6" s="65"/>
      <c r="BL6" s="65"/>
      <c r="BM6" s="65"/>
      <c r="BN6" s="65"/>
      <c r="BO6" s="65"/>
      <c r="BP6" s="65"/>
      <c r="BQ6" s="177"/>
      <c r="BR6" s="65"/>
      <c r="BS6" s="65"/>
      <c r="BT6" s="65"/>
      <c r="BU6" s="177"/>
      <c r="BV6" s="132">
        <v>41636</v>
      </c>
      <c r="BW6" s="327">
        <v>41727</v>
      </c>
      <c r="BX6" s="327">
        <v>41818</v>
      </c>
      <c r="BY6" s="328">
        <v>41909</v>
      </c>
      <c r="BZ6" s="327">
        <v>42000</v>
      </c>
      <c r="CA6" s="327">
        <v>42091</v>
      </c>
      <c r="CB6" s="327">
        <v>42182</v>
      </c>
      <c r="CC6" s="328">
        <v>42273</v>
      </c>
      <c r="CD6" s="327">
        <v>42364</v>
      </c>
      <c r="CE6" s="327">
        <v>42455</v>
      </c>
      <c r="CF6" s="327">
        <v>42546</v>
      </c>
      <c r="CG6" s="328">
        <v>42637</v>
      </c>
      <c r="CH6" s="327">
        <v>42735</v>
      </c>
      <c r="CI6" s="327">
        <v>42826</v>
      </c>
      <c r="CJ6" s="327">
        <v>42917</v>
      </c>
      <c r="CK6" s="328">
        <v>43008</v>
      </c>
      <c r="CL6" s="327">
        <v>43099</v>
      </c>
      <c r="CM6" s="327">
        <v>43190</v>
      </c>
      <c r="CN6" s="327">
        <v>43281</v>
      </c>
      <c r="CO6" s="328">
        <v>43372</v>
      </c>
      <c r="CP6" s="327">
        <v>43463</v>
      </c>
      <c r="CQ6" s="327">
        <v>43554</v>
      </c>
      <c r="CR6" s="327">
        <v>43645</v>
      </c>
      <c r="CS6" s="328">
        <v>43736</v>
      </c>
      <c r="CT6" s="327">
        <v>43827</v>
      </c>
      <c r="CU6" s="327">
        <v>43918</v>
      </c>
      <c r="CV6" s="327">
        <v>44009</v>
      </c>
      <c r="CW6" s="328">
        <v>44100</v>
      </c>
      <c r="CX6" s="327">
        <v>44191</v>
      </c>
      <c r="CY6" s="327">
        <v>44282</v>
      </c>
      <c r="CZ6" s="327">
        <v>44373</v>
      </c>
      <c r="DA6" s="328">
        <v>44464</v>
      </c>
      <c r="DB6" s="413">
        <v>44555</v>
      </c>
      <c r="DC6" s="413">
        <v>44646</v>
      </c>
      <c r="DD6" s="413">
        <v>44737</v>
      </c>
      <c r="DE6" s="414">
        <v>44828</v>
      </c>
      <c r="DF6" s="413">
        <v>44926</v>
      </c>
      <c r="DG6" s="413">
        <v>45017</v>
      </c>
      <c r="DH6" s="413">
        <v>45108</v>
      </c>
      <c r="DI6" s="414">
        <v>45199</v>
      </c>
      <c r="DJ6" s="413">
        <v>45290</v>
      </c>
      <c r="DK6" s="413">
        <v>45381</v>
      </c>
      <c r="DL6" s="413">
        <v>45472</v>
      </c>
      <c r="DM6" s="414">
        <v>45563</v>
      </c>
      <c r="DN6" s="413">
        <v>45654</v>
      </c>
      <c r="DO6" s="413">
        <v>45745</v>
      </c>
      <c r="DP6" s="413">
        <v>45836</v>
      </c>
      <c r="DQ6" s="414">
        <v>45927</v>
      </c>
      <c r="DR6" s="413">
        <v>46018</v>
      </c>
      <c r="DS6" s="413">
        <v>46109</v>
      </c>
      <c r="DT6" s="413">
        <v>46200</v>
      </c>
      <c r="DU6" s="414">
        <v>46291</v>
      </c>
      <c r="DV6" s="413">
        <v>46382</v>
      </c>
      <c r="DW6" s="413">
        <v>46473</v>
      </c>
      <c r="DX6" s="413">
        <v>46564</v>
      </c>
      <c r="DY6" s="414">
        <v>46655</v>
      </c>
      <c r="DZ6" s="413">
        <v>46746</v>
      </c>
      <c r="EA6" s="413">
        <v>46837</v>
      </c>
      <c r="EB6" s="413">
        <v>46928</v>
      </c>
      <c r="EC6" s="414">
        <v>47026</v>
      </c>
      <c r="ED6" s="413">
        <v>47117</v>
      </c>
      <c r="EE6" s="413">
        <v>47208</v>
      </c>
      <c r="EF6" s="413">
        <v>47299</v>
      </c>
      <c r="EG6" s="414">
        <v>47390</v>
      </c>
      <c r="EH6" s="413">
        <v>47481</v>
      </c>
      <c r="EI6" s="413">
        <v>47572</v>
      </c>
      <c r="EJ6" s="413">
        <v>47663</v>
      </c>
      <c r="EK6" s="414">
        <v>47754</v>
      </c>
      <c r="EL6" s="314"/>
      <c r="FV6" s="89"/>
    </row>
    <row r="7" spans="1:212" s="1" customFormat="1" ht="13.8">
      <c r="A7" s="543"/>
      <c r="B7" s="543" t="s">
        <v>1376</v>
      </c>
      <c r="C7" s="543" t="s">
        <v>1377</v>
      </c>
      <c r="D7" s="543" t="s">
        <v>1378</v>
      </c>
      <c r="E7" s="544" t="s">
        <v>1379</v>
      </c>
      <c r="F7" s="543" t="s">
        <v>1380</v>
      </c>
      <c r="G7" s="543" t="s">
        <v>1381</v>
      </c>
      <c r="H7" s="543" t="s">
        <v>1382</v>
      </c>
      <c r="I7" s="543" t="s">
        <v>1383</v>
      </c>
      <c r="J7" s="543" t="s">
        <v>1384</v>
      </c>
      <c r="K7" s="543" t="s">
        <v>1385</v>
      </c>
      <c r="L7" s="543" t="s">
        <v>1386</v>
      </c>
      <c r="M7" s="543" t="s">
        <v>1387</v>
      </c>
      <c r="N7" s="543" t="s">
        <v>1388</v>
      </c>
      <c r="O7" s="543" t="s">
        <v>1389</v>
      </c>
      <c r="P7" s="543" t="s">
        <v>1390</v>
      </c>
      <c r="Q7" s="543" t="s">
        <v>1391</v>
      </c>
      <c r="R7" s="543" t="s">
        <v>1372</v>
      </c>
      <c r="S7" s="543" t="s">
        <v>1373</v>
      </c>
      <c r="T7" s="543" t="s">
        <v>1374</v>
      </c>
      <c r="U7" s="543" t="s">
        <v>1375</v>
      </c>
      <c r="V7" s="543" t="s">
        <v>1336</v>
      </c>
      <c r="W7" s="543" t="s">
        <v>1337</v>
      </c>
      <c r="X7" s="543" t="s">
        <v>1338</v>
      </c>
      <c r="Y7" s="543" t="s">
        <v>1339</v>
      </c>
      <c r="Z7" s="543" t="s">
        <v>1340</v>
      </c>
      <c r="AA7" s="543" t="s">
        <v>1341</v>
      </c>
      <c r="AB7" s="543" t="s">
        <v>1342</v>
      </c>
      <c r="AC7" s="543" t="s">
        <v>1343</v>
      </c>
      <c r="AD7" s="543" t="s">
        <v>1344</v>
      </c>
      <c r="AE7" s="543" t="s">
        <v>1345</v>
      </c>
      <c r="AF7" s="543" t="s">
        <v>1346</v>
      </c>
      <c r="AG7" s="543" t="s">
        <v>1347</v>
      </c>
      <c r="AH7" s="543" t="s">
        <v>1348</v>
      </c>
      <c r="AI7" s="543" t="s">
        <v>1349</v>
      </c>
      <c r="AJ7" s="543" t="s">
        <v>1350</v>
      </c>
      <c r="AK7" s="543" t="s">
        <v>1351</v>
      </c>
      <c r="AL7" s="543" t="s">
        <v>1352</v>
      </c>
      <c r="AM7" s="543" t="s">
        <v>1353</v>
      </c>
      <c r="AN7" s="543" t="s">
        <v>1354</v>
      </c>
      <c r="AO7" s="543" t="s">
        <v>1355</v>
      </c>
      <c r="AP7" s="543" t="s">
        <v>1356</v>
      </c>
      <c r="AQ7" s="543" t="s">
        <v>1357</v>
      </c>
      <c r="AR7" s="543" t="s">
        <v>1358</v>
      </c>
      <c r="AS7" s="543" t="s">
        <v>1359</v>
      </c>
      <c r="AT7" s="543" t="s">
        <v>1360</v>
      </c>
      <c r="AU7" s="543" t="s">
        <v>1361</v>
      </c>
      <c r="AV7" s="543" t="s">
        <v>1362</v>
      </c>
      <c r="AW7" s="543" t="s">
        <v>1363</v>
      </c>
      <c r="AX7" s="543" t="s">
        <v>1364</v>
      </c>
      <c r="AY7" s="543" t="s">
        <v>1365</v>
      </c>
      <c r="AZ7" s="543" t="s">
        <v>1366</v>
      </c>
      <c r="BA7" s="543" t="s">
        <v>1367</v>
      </c>
      <c r="BB7" s="543" t="s">
        <v>1368</v>
      </c>
      <c r="BC7" s="543" t="s">
        <v>1369</v>
      </c>
      <c r="BD7" s="543" t="s">
        <v>1370</v>
      </c>
      <c r="BE7" s="543" t="s">
        <v>1371</v>
      </c>
      <c r="BF7" s="543" t="s">
        <v>1392</v>
      </c>
      <c r="BG7" s="543" t="s">
        <v>1393</v>
      </c>
      <c r="BH7" s="543" t="s">
        <v>1394</v>
      </c>
      <c r="BI7" s="543" t="s">
        <v>1395</v>
      </c>
      <c r="BJ7" s="543" t="s">
        <v>1396</v>
      </c>
      <c r="BK7" s="543" t="s">
        <v>1397</v>
      </c>
      <c r="BL7" s="543" t="s">
        <v>1398</v>
      </c>
      <c r="BM7" s="543" t="s">
        <v>1399</v>
      </c>
      <c r="BN7" s="543" t="s">
        <v>1400</v>
      </c>
      <c r="BO7" s="543" t="s">
        <v>1401</v>
      </c>
      <c r="BP7" s="543" t="s">
        <v>1402</v>
      </c>
      <c r="BQ7" s="545" t="s">
        <v>1403</v>
      </c>
      <c r="BR7" s="543" t="s">
        <v>1014</v>
      </c>
      <c r="BS7" s="543" t="s">
        <v>1015</v>
      </c>
      <c r="BT7" s="543" t="s">
        <v>1016</v>
      </c>
      <c r="BU7" s="545" t="s">
        <v>1017</v>
      </c>
      <c r="BV7" s="543" t="s">
        <v>1018</v>
      </c>
      <c r="BW7" s="543" t="s">
        <v>1019</v>
      </c>
      <c r="BX7" s="543" t="s">
        <v>1020</v>
      </c>
      <c r="BY7" s="545" t="s">
        <v>1021</v>
      </c>
      <c r="BZ7" s="543" t="s">
        <v>1022</v>
      </c>
      <c r="CA7" s="543" t="s">
        <v>1023</v>
      </c>
      <c r="CB7" s="543" t="s">
        <v>1024</v>
      </c>
      <c r="CC7" s="545" t="s">
        <v>1025</v>
      </c>
      <c r="CD7" s="543" t="s">
        <v>1006</v>
      </c>
      <c r="CE7" s="543" t="s">
        <v>1007</v>
      </c>
      <c r="CF7" s="543" t="s">
        <v>1008</v>
      </c>
      <c r="CG7" s="545" t="s">
        <v>1009</v>
      </c>
      <c r="CH7" s="543" t="s">
        <v>1010</v>
      </c>
      <c r="CI7" s="543" t="s">
        <v>1011</v>
      </c>
      <c r="CJ7" s="543" t="s">
        <v>1012</v>
      </c>
      <c r="CK7" s="545" t="s">
        <v>1013</v>
      </c>
      <c r="CL7" s="543" t="s">
        <v>1002</v>
      </c>
      <c r="CM7" s="543" t="s">
        <v>1003</v>
      </c>
      <c r="CN7" s="543" t="s">
        <v>1004</v>
      </c>
      <c r="CO7" s="545" t="s">
        <v>1005</v>
      </c>
      <c r="CP7" s="543" t="s">
        <v>998</v>
      </c>
      <c r="CQ7" s="543" t="s">
        <v>999</v>
      </c>
      <c r="CR7" s="543" t="s">
        <v>1000</v>
      </c>
      <c r="CS7" s="547" t="s">
        <v>1001</v>
      </c>
      <c r="CT7" s="543" t="s">
        <v>996</v>
      </c>
      <c r="CU7" s="543" t="s">
        <v>997</v>
      </c>
      <c r="CV7" s="543" t="s">
        <v>1116</v>
      </c>
      <c r="CW7" s="547" t="s">
        <v>1118</v>
      </c>
      <c r="CX7" s="543" t="s">
        <v>1125</v>
      </c>
      <c r="CY7" s="543" t="s">
        <v>1128</v>
      </c>
      <c r="CZ7" s="543" t="s">
        <v>1130</v>
      </c>
      <c r="DA7" s="547" t="s">
        <v>1140</v>
      </c>
      <c r="DB7" s="543" t="s">
        <v>1142</v>
      </c>
      <c r="DC7" s="543" t="s">
        <v>1145</v>
      </c>
      <c r="DD7" s="543" t="s">
        <v>1146</v>
      </c>
      <c r="DE7" s="547" t="s">
        <v>1436</v>
      </c>
      <c r="DF7" s="543" t="s">
        <v>2187</v>
      </c>
      <c r="DG7" s="543" t="s">
        <v>2253</v>
      </c>
      <c r="DH7" s="543" t="s">
        <v>2270</v>
      </c>
      <c r="DI7" s="547" t="s">
        <v>2309</v>
      </c>
      <c r="DJ7" s="543" t="s">
        <v>2327</v>
      </c>
      <c r="DK7" s="543" t="s">
        <v>2339</v>
      </c>
      <c r="DL7" s="543" t="s">
        <v>2368</v>
      </c>
      <c r="DM7" s="547" t="s">
        <v>2377</v>
      </c>
      <c r="DN7" s="543" t="s">
        <v>2391</v>
      </c>
      <c r="DO7" s="543" t="s">
        <v>2395</v>
      </c>
      <c r="DP7" s="543" t="s">
        <v>2408</v>
      </c>
      <c r="DQ7" s="547" t="s">
        <v>1162</v>
      </c>
      <c r="DR7" s="543" t="s">
        <v>1166</v>
      </c>
      <c r="DS7" s="543" t="s">
        <v>1167</v>
      </c>
      <c r="DT7" s="543" t="s">
        <v>1168</v>
      </c>
      <c r="DU7" s="547" t="s">
        <v>1169</v>
      </c>
      <c r="DV7" s="543" t="s">
        <v>1506</v>
      </c>
      <c r="DW7" s="543" t="s">
        <v>1507</v>
      </c>
      <c r="DX7" s="543" t="s">
        <v>1508</v>
      </c>
      <c r="DY7" s="547" t="s">
        <v>1509</v>
      </c>
      <c r="DZ7" s="543" t="s">
        <v>1510</v>
      </c>
      <c r="EA7" s="543" t="s">
        <v>1511</v>
      </c>
      <c r="EB7" s="543" t="s">
        <v>1512</v>
      </c>
      <c r="EC7" s="547" t="s">
        <v>1513</v>
      </c>
      <c r="ED7" s="543" t="s">
        <v>1514</v>
      </c>
      <c r="EE7" s="543" t="s">
        <v>1515</v>
      </c>
      <c r="EF7" s="543" t="s">
        <v>1516</v>
      </c>
      <c r="EG7" s="547" t="s">
        <v>1517</v>
      </c>
      <c r="EH7" s="543" t="s">
        <v>1518</v>
      </c>
      <c r="EI7" s="543" t="s">
        <v>1519</v>
      </c>
      <c r="EJ7" s="543" t="s">
        <v>1520</v>
      </c>
      <c r="EK7" s="547" t="s">
        <v>1521</v>
      </c>
      <c r="EL7" s="45"/>
      <c r="EM7" s="2283" t="s">
        <v>719</v>
      </c>
      <c r="EN7" s="2284"/>
      <c r="EO7" s="2284"/>
      <c r="EP7" s="2284"/>
      <c r="EQ7" s="2284"/>
      <c r="ER7" s="2284"/>
      <c r="ES7" s="2284"/>
      <c r="ET7" s="2284"/>
      <c r="EU7" s="2284"/>
      <c r="EV7" s="2284"/>
      <c r="EW7" s="2284"/>
      <c r="EX7" s="2284"/>
      <c r="EY7" s="2284"/>
      <c r="EZ7" s="2284"/>
      <c r="FA7" s="2284"/>
      <c r="FB7" s="2284"/>
      <c r="FC7" s="2284"/>
      <c r="FD7" s="2284"/>
      <c r="FE7" s="2284"/>
      <c r="FF7" s="2284"/>
      <c r="FG7" s="2284"/>
      <c r="FH7" s="2284"/>
      <c r="FI7" s="2284"/>
      <c r="FJ7" s="2284"/>
      <c r="FK7" s="2284"/>
      <c r="FL7" s="1847"/>
      <c r="FM7" s="2284"/>
      <c r="FN7" s="2284"/>
      <c r="FO7" s="2284"/>
      <c r="FP7" s="2284"/>
      <c r="FQ7" s="2284"/>
      <c r="FR7" s="2284"/>
      <c r="FS7" s="2284"/>
      <c r="FT7" s="2284"/>
      <c r="FU7" s="2869"/>
      <c r="FV7" s="152"/>
      <c r="FW7" s="2285" t="s">
        <v>1170</v>
      </c>
      <c r="FX7" s="2285"/>
      <c r="FY7" s="2285"/>
      <c r="FZ7" s="2285"/>
      <c r="GA7" s="2285"/>
      <c r="GB7" s="2285"/>
      <c r="GC7" s="2285"/>
      <c r="GD7" s="2285"/>
      <c r="GE7" s="2285"/>
      <c r="GF7" s="2285"/>
      <c r="GG7" s="2285"/>
      <c r="GH7" s="2285"/>
      <c r="GI7" s="2285"/>
      <c r="GJ7" s="2285"/>
      <c r="GK7" s="2285"/>
      <c r="GL7" s="2285"/>
      <c r="GM7" s="2285"/>
      <c r="GN7" s="2285"/>
      <c r="GO7" s="2285"/>
      <c r="GP7" s="2285"/>
      <c r="GQ7" s="2285"/>
      <c r="GR7" s="2285"/>
      <c r="GS7" s="2285"/>
      <c r="GT7" s="2285"/>
      <c r="GU7" s="2285"/>
      <c r="GV7" s="2285"/>
      <c r="GW7" s="2285"/>
      <c r="GX7" s="2285"/>
      <c r="GY7" s="2285"/>
      <c r="GZ7" s="2285"/>
      <c r="HA7" s="2285"/>
      <c r="HB7" s="2285"/>
      <c r="HC7" s="2285"/>
      <c r="HD7" s="2285"/>
    </row>
    <row r="8" spans="1:212" s="1" customFormat="1">
      <c r="A8" s="575" t="s">
        <v>1160</v>
      </c>
      <c r="B8" s="576">
        <v>35064</v>
      </c>
      <c r="C8" s="576">
        <v>35155</v>
      </c>
      <c r="D8" s="576">
        <v>35246</v>
      </c>
      <c r="E8" s="577">
        <v>35338</v>
      </c>
      <c r="F8" s="576">
        <v>35430</v>
      </c>
      <c r="G8" s="576">
        <v>35520</v>
      </c>
      <c r="H8" s="576">
        <v>35611</v>
      </c>
      <c r="I8" s="576">
        <v>35703</v>
      </c>
      <c r="J8" s="576">
        <v>35795</v>
      </c>
      <c r="K8" s="576">
        <v>35885</v>
      </c>
      <c r="L8" s="576">
        <v>35976</v>
      </c>
      <c r="M8" s="576">
        <v>36068</v>
      </c>
      <c r="N8" s="576">
        <v>36160</v>
      </c>
      <c r="O8" s="576">
        <v>36250</v>
      </c>
      <c r="P8" s="576">
        <v>36341</v>
      </c>
      <c r="Q8" s="576">
        <v>36433</v>
      </c>
      <c r="R8" s="576">
        <v>36525</v>
      </c>
      <c r="S8" s="576">
        <v>36616</v>
      </c>
      <c r="T8" s="576">
        <v>36707</v>
      </c>
      <c r="U8" s="576">
        <v>36799</v>
      </c>
      <c r="V8" s="576">
        <v>36891</v>
      </c>
      <c r="W8" s="576">
        <v>36981</v>
      </c>
      <c r="X8" s="576">
        <v>37072</v>
      </c>
      <c r="Y8" s="576">
        <v>37164</v>
      </c>
      <c r="Z8" s="576">
        <v>37256</v>
      </c>
      <c r="AA8" s="576">
        <v>37346</v>
      </c>
      <c r="AB8" s="576">
        <v>37437</v>
      </c>
      <c r="AC8" s="576">
        <v>37529</v>
      </c>
      <c r="AD8" s="576">
        <v>37621</v>
      </c>
      <c r="AE8" s="576">
        <v>37711</v>
      </c>
      <c r="AF8" s="576">
        <v>37802</v>
      </c>
      <c r="AG8" s="576">
        <v>37894</v>
      </c>
      <c r="AH8" s="576">
        <v>37986</v>
      </c>
      <c r="AI8" s="576">
        <v>38077</v>
      </c>
      <c r="AJ8" s="576">
        <v>38168</v>
      </c>
      <c r="AK8" s="576">
        <v>38260</v>
      </c>
      <c r="AL8" s="576">
        <v>38352</v>
      </c>
      <c r="AM8" s="576">
        <v>38442</v>
      </c>
      <c r="AN8" s="576">
        <v>38533</v>
      </c>
      <c r="AO8" s="576">
        <v>38625</v>
      </c>
      <c r="AP8" s="576">
        <v>38717</v>
      </c>
      <c r="AQ8" s="576">
        <v>38807</v>
      </c>
      <c r="AR8" s="576">
        <v>38898</v>
      </c>
      <c r="AS8" s="576">
        <v>38990</v>
      </c>
      <c r="AT8" s="576">
        <v>39082</v>
      </c>
      <c r="AU8" s="576">
        <v>39172</v>
      </c>
      <c r="AV8" s="576">
        <v>39263</v>
      </c>
      <c r="AW8" s="576">
        <v>39355</v>
      </c>
      <c r="AX8" s="576">
        <v>39447</v>
      </c>
      <c r="AY8" s="576">
        <v>39538</v>
      </c>
      <c r="AZ8" s="576">
        <v>39629</v>
      </c>
      <c r="BA8" s="576">
        <v>39721</v>
      </c>
      <c r="BB8" s="576">
        <v>39813</v>
      </c>
      <c r="BC8" s="576">
        <v>39903</v>
      </c>
      <c r="BD8" s="576">
        <v>39994</v>
      </c>
      <c r="BE8" s="576">
        <v>40086</v>
      </c>
      <c r="BF8" s="576">
        <v>40178</v>
      </c>
      <c r="BG8" s="576">
        <v>40268</v>
      </c>
      <c r="BH8" s="576">
        <v>40359</v>
      </c>
      <c r="BI8" s="576">
        <v>40451</v>
      </c>
      <c r="BJ8" s="576">
        <v>40543</v>
      </c>
      <c r="BK8" s="576">
        <v>40633</v>
      </c>
      <c r="BL8" s="576">
        <v>40724</v>
      </c>
      <c r="BM8" s="576">
        <v>40816</v>
      </c>
      <c r="BN8" s="576">
        <v>40908</v>
      </c>
      <c r="BO8" s="576">
        <v>40999</v>
      </c>
      <c r="BP8" s="576">
        <v>41090</v>
      </c>
      <c r="BQ8" s="578">
        <v>41182</v>
      </c>
      <c r="BR8" s="576">
        <v>41274</v>
      </c>
      <c r="BS8" s="576">
        <v>41364</v>
      </c>
      <c r="BT8" s="576">
        <v>41455</v>
      </c>
      <c r="BU8" s="578">
        <v>41547</v>
      </c>
      <c r="BV8" s="576">
        <v>41639</v>
      </c>
      <c r="BW8" s="576">
        <v>41729</v>
      </c>
      <c r="BX8" s="576">
        <v>41820</v>
      </c>
      <c r="BY8" s="578">
        <v>41912</v>
      </c>
      <c r="BZ8" s="576">
        <v>42004</v>
      </c>
      <c r="CA8" s="576">
        <v>42094</v>
      </c>
      <c r="CB8" s="576">
        <v>42185</v>
      </c>
      <c r="CC8" s="578">
        <v>42277</v>
      </c>
      <c r="CD8" s="576">
        <v>42369</v>
      </c>
      <c r="CE8" s="576">
        <v>42460</v>
      </c>
      <c r="CF8" s="576">
        <v>42551</v>
      </c>
      <c r="CG8" s="578">
        <v>42643</v>
      </c>
      <c r="CH8" s="576">
        <v>42735</v>
      </c>
      <c r="CI8" s="576">
        <v>42825</v>
      </c>
      <c r="CJ8" s="576">
        <v>42916</v>
      </c>
      <c r="CK8" s="578">
        <v>43008</v>
      </c>
      <c r="CL8" s="576">
        <v>43100</v>
      </c>
      <c r="CM8" s="576">
        <v>43190</v>
      </c>
      <c r="CN8" s="576">
        <f t="shared" ref="CN8:CS8" si="34">CJ8+365</f>
      </c>
      <c r="CO8" s="578">
        <v>43344</v>
      </c>
      <c r="CP8" s="576">
        <f t="shared" si="34"/>
      </c>
      <c r="CQ8" s="576">
        <f t="shared" si="34"/>
      </c>
      <c r="CR8" s="576">
        <f t="shared" si="34"/>
      </c>
      <c r="CS8" s="578">
        <f t="shared" si="34"/>
      </c>
      <c r="CT8" s="576">
        <f>CP8+365</f>
      </c>
      <c r="CU8" s="576">
        <f>CQ8+365</f>
      </c>
      <c r="CV8" s="576">
        <f>CR8+365</f>
      </c>
      <c r="CW8" s="578">
        <v>44075</v>
      </c>
      <c r="CX8" s="576">
        <f t="shared" ref="CX8:DE8" si="35">CT8+365</f>
      </c>
      <c r="CY8" s="576">
        <f t="shared" si="35"/>
      </c>
      <c r="CZ8" s="576">
        <f t="shared" si="35"/>
      </c>
      <c r="DA8" s="578">
        <v>44440</v>
      </c>
      <c r="DB8" s="576">
        <f t="shared" si="35"/>
      </c>
      <c r="DC8" s="576">
        <f t="shared" si="35"/>
      </c>
      <c r="DD8" s="576">
        <f t="shared" si="35"/>
      </c>
      <c r="DE8" s="578">
        <f t="shared" si="35"/>
      </c>
      <c r="DF8" s="576">
        <f t="shared" ref="DF8:DL8" si="36">DB8+365</f>
      </c>
      <c r="DG8" s="576">
        <f t="shared" si="36"/>
      </c>
      <c r="DH8" s="576">
        <f t="shared" si="36"/>
      </c>
      <c r="DI8" s="578">
        <f t="shared" si="36"/>
      </c>
      <c r="DJ8" s="576">
        <f t="shared" si="36"/>
      </c>
      <c r="DK8" s="576">
        <f t="shared" si="36"/>
      </c>
      <c r="DL8" s="576">
        <f t="shared" si="36"/>
      </c>
      <c r="DM8" s="578">
        <f>DI8+370</f>
      </c>
      <c r="DN8" s="576">
        <f t="shared" ref="DN8" si="37">DJ8+365</f>
      </c>
      <c r="DO8" s="576">
        <f t="shared" ref="DO8" si="38">DK8+365</f>
      </c>
      <c r="DP8" s="576">
        <f t="shared" ref="DP8" si="39">DL8+365</f>
      </c>
      <c r="DQ8" s="578">
        <f t="shared" ref="DQ8" si="40">DM8+365</f>
      </c>
      <c r="DR8" s="576">
        <f t="shared" ref="DR8" si="41">DN8+365</f>
      </c>
      <c r="DS8" s="576">
        <f t="shared" ref="DS8" si="42">DO8+365</f>
      </c>
      <c r="DT8" s="576">
        <f t="shared" ref="DT8" si="43">DP8+365</f>
      </c>
      <c r="DU8" s="578">
        <f t="shared" ref="DU8" si="44">DQ8+365</f>
      </c>
      <c r="DV8" s="576">
        <f t="shared" ref="DV8" si="45">DR8+365</f>
      </c>
      <c r="DW8" s="576">
        <f t="shared" ref="DW8" si="46">DS8+365</f>
      </c>
      <c r="DX8" s="576">
        <f t="shared" ref="DX8" si="47">DT8+365</f>
      </c>
      <c r="DY8" s="578">
        <f t="shared" ref="DY8" si="48">DU8+365</f>
      </c>
      <c r="DZ8" s="576">
        <f t="shared" ref="DZ8" si="49">DV8+365</f>
      </c>
      <c r="EA8" s="576">
        <f t="shared" ref="EA8" si="50">DW8+365</f>
      </c>
      <c r="EB8" s="576">
        <f t="shared" ref="EB8" si="51">DX8+365</f>
      </c>
      <c r="EC8" s="578">
        <f t="shared" ref="EC8" si="52">DY8+365</f>
      </c>
      <c r="ED8" s="576">
        <f t="shared" ref="ED8" si="53">DZ8+365</f>
      </c>
      <c r="EE8" s="576">
        <f t="shared" ref="EE8" si="54">EA8+365</f>
      </c>
      <c r="EF8" s="576">
        <f t="shared" ref="EF8" si="55">EB8+365</f>
      </c>
      <c r="EG8" s="578">
        <f t="shared" ref="EG8" si="56">EC8+365</f>
      </c>
      <c r="EH8" s="576">
        <f t="shared" ref="EH8" si="57">ED8+365</f>
      </c>
      <c r="EI8" s="576">
        <f t="shared" ref="EI8" si="58">EE8+365</f>
      </c>
      <c r="EJ8" s="576">
        <f t="shared" ref="EJ8" si="59">EF8+365</f>
      </c>
      <c r="EK8" s="578">
        <f t="shared" ref="EK8" si="60">EG8+365</f>
      </c>
      <c r="EL8" s="1990"/>
      <c r="EM8" s="697" t="s">
        <v>1253</v>
      </c>
      <c r="EN8" s="694" t="s">
        <v>1252</v>
      </c>
      <c r="EO8" s="694" t="s">
        <v>1251</v>
      </c>
      <c r="EP8" s="694" t="s">
        <v>1250</v>
      </c>
      <c r="EQ8" s="694" t="s">
        <v>884</v>
      </c>
      <c r="ER8" s="694" t="s">
        <v>885</v>
      </c>
      <c r="ES8" s="694" t="s">
        <v>886</v>
      </c>
      <c r="ET8" s="694" t="s">
        <v>887</v>
      </c>
      <c r="EU8" s="694" t="s">
        <v>888</v>
      </c>
      <c r="EV8" s="694" t="s">
        <v>889</v>
      </c>
      <c r="EW8" s="694" t="s">
        <v>890</v>
      </c>
      <c r="EX8" s="694" t="s">
        <v>891</v>
      </c>
      <c r="EY8" s="694" t="s">
        <v>892</v>
      </c>
      <c r="EZ8" s="694" t="s">
        <v>893</v>
      </c>
      <c r="FA8" s="694" t="s">
        <v>894</v>
      </c>
      <c r="FB8" s="694" t="s">
        <v>895</v>
      </c>
      <c r="FC8" s="694" t="s">
        <v>878</v>
      </c>
      <c r="FD8" s="694" t="s">
        <v>879</v>
      </c>
      <c r="FE8" s="694" t="s">
        <v>880</v>
      </c>
      <c r="FF8" s="694" t="s">
        <v>881</v>
      </c>
      <c r="FG8" s="694" t="s">
        <v>882</v>
      </c>
      <c r="FH8" s="694" t="s">
        <v>883</v>
      </c>
      <c r="FI8" s="694" t="s">
        <v>1032</v>
      </c>
      <c r="FJ8" s="694" t="s">
        <v>1104</v>
      </c>
      <c r="FK8" s="694" t="s">
        <v>1119</v>
      </c>
      <c r="FL8" s="697" t="s">
        <v>1141</v>
      </c>
      <c r="FM8" s="694" t="s">
        <v>1438</v>
      </c>
      <c r="FN8" s="694" t="s">
        <v>2310</v>
      </c>
      <c r="FO8" s="694" t="s">
        <v>2380</v>
      </c>
      <c r="FP8" s="694" t="s">
        <v>1163</v>
      </c>
      <c r="FQ8" s="694" t="s">
        <v>1164</v>
      </c>
      <c r="FR8" s="694" t="s">
        <v>1523</v>
      </c>
      <c r="FS8" s="694" t="s">
        <v>1524</v>
      </c>
      <c r="FT8" s="694" t="s">
        <v>1525</v>
      </c>
      <c r="FU8" s="2870" t="s">
        <v>1526</v>
      </c>
      <c r="FV8" s="152"/>
      <c r="FW8" s="694">
        <v>1996</v>
      </c>
      <c r="FX8" s="694">
        <v>1997</v>
      </c>
      <c r="FY8" s="694">
        <v>1998</v>
      </c>
      <c r="FZ8" s="694">
        <v>1999</v>
      </c>
      <c r="GA8" s="694" t="s">
        <v>896</v>
      </c>
      <c r="GB8" s="694" t="s">
        <v>897</v>
      </c>
      <c r="GC8" s="694" t="s">
        <v>898</v>
      </c>
      <c r="GD8" s="694" t="s">
        <v>899</v>
      </c>
      <c r="GE8" s="694" t="s">
        <v>900</v>
      </c>
      <c r="GF8" s="694" t="s">
        <v>901</v>
      </c>
      <c r="GG8" s="694" t="s">
        <v>902</v>
      </c>
      <c r="GH8" s="694" t="s">
        <v>903</v>
      </c>
      <c r="GI8" s="694" t="s">
        <v>904</v>
      </c>
      <c r="GJ8" s="694" t="s">
        <v>905</v>
      </c>
      <c r="GK8" s="694" t="s">
        <v>906</v>
      </c>
      <c r="GL8" s="694" t="s">
        <v>907</v>
      </c>
      <c r="GM8" s="694" t="s">
        <v>908</v>
      </c>
      <c r="GN8" s="694" t="s">
        <v>909</v>
      </c>
      <c r="GO8" s="694" t="s">
        <v>910</v>
      </c>
      <c r="GP8" s="694" t="s">
        <v>911</v>
      </c>
      <c r="GQ8" s="694" t="s">
        <v>912</v>
      </c>
      <c r="GR8" s="694" t="s">
        <v>986</v>
      </c>
      <c r="GS8" s="694" t="s">
        <v>1044</v>
      </c>
      <c r="GT8" s="694" t="s">
        <v>1110</v>
      </c>
      <c r="GU8" s="694" t="s">
        <v>1127</v>
      </c>
      <c r="GV8" s="694" t="s">
        <v>1144</v>
      </c>
      <c r="GW8" s="694" t="s">
        <v>2192</v>
      </c>
      <c r="GX8" s="694" t="s">
        <v>2338</v>
      </c>
      <c r="GY8" s="694" t="s">
        <v>2392</v>
      </c>
      <c r="GZ8" s="694" t="s">
        <v>1165</v>
      </c>
      <c r="HA8" s="694" t="s">
        <v>1527</v>
      </c>
      <c r="HB8" s="694" t="s">
        <v>1528</v>
      </c>
      <c r="HC8" s="694" t="s">
        <v>1529</v>
      </c>
      <c r="HD8" s="694" t="s">
        <v>1530</v>
      </c>
    </row>
    <row r="9" spans="1:212">
      <c r="A9" s="6" t="s">
        <v>63</v>
      </c>
      <c r="B9" s="98">
        <v>3148</v>
      </c>
      <c r="C9" s="98">
        <v>2185</v>
      </c>
      <c r="D9" s="98">
        <v>2179</v>
      </c>
      <c r="E9" s="184">
        <v>2321</v>
      </c>
      <c r="F9" s="98">
        <v>2129</v>
      </c>
      <c r="G9" s="98">
        <v>1601</v>
      </c>
      <c r="H9" s="98">
        <v>1737</v>
      </c>
      <c r="I9" s="98">
        <v>1614</v>
      </c>
      <c r="J9" s="98">
        <v>1578</v>
      </c>
      <c r="K9" s="98">
        <v>1405.4695099999999</v>
      </c>
      <c r="L9" s="98">
        <v>1402</v>
      </c>
      <c r="M9" s="98">
        <v>1556</v>
      </c>
      <c r="N9" s="98">
        <v>1709.5</v>
      </c>
      <c r="O9" s="98">
        <v>1529.7249999999999</v>
      </c>
      <c r="P9" s="98">
        <v>1558.346</v>
      </c>
      <c r="Q9" s="98">
        <v>1335.7760000000001</v>
      </c>
      <c r="R9" s="98">
        <v>2342.5</v>
      </c>
      <c r="S9" s="98">
        <v>1945</v>
      </c>
      <c r="T9" s="98">
        <v>1824.6</v>
      </c>
      <c r="U9" s="98">
        <v>1869.5</v>
      </c>
      <c r="V9" s="98">
        <v>1007</v>
      </c>
      <c r="W9" s="98">
        <v>1431</v>
      </c>
      <c r="X9" s="98">
        <v>1475</v>
      </c>
      <c r="Y9" s="98">
        <v>1450</v>
      </c>
      <c r="Z9" s="98">
        <v>1375</v>
      </c>
      <c r="AA9" s="98">
        <v>1495</v>
      </c>
      <c r="AB9" s="98">
        <v>1429</v>
      </c>
      <c r="AC9" s="98">
        <v>1443</v>
      </c>
      <c r="AD9" s="98">
        <v>1472</v>
      </c>
      <c r="AE9" s="98">
        <v>1475</v>
      </c>
      <c r="AF9" s="98">
        <v>1545</v>
      </c>
      <c r="AG9" s="98">
        <v>1715</v>
      </c>
      <c r="AH9" s="98">
        <v>2006</v>
      </c>
      <c r="AI9" s="98">
        <v>1909</v>
      </c>
      <c r="AJ9" s="98">
        <v>2014</v>
      </c>
      <c r="AK9" s="98">
        <v>2350</v>
      </c>
      <c r="AL9" s="98">
        <v>3490</v>
      </c>
      <c r="AM9" s="98">
        <v>3243</v>
      </c>
      <c r="AN9" s="98">
        <v>3520</v>
      </c>
      <c r="AO9" s="98">
        <v>3678</v>
      </c>
      <c r="AP9" s="98">
        <v>5749</v>
      </c>
      <c r="AQ9" s="98">
        <v>4359</v>
      </c>
      <c r="AR9" s="98">
        <v>4370</v>
      </c>
      <c r="AS9" s="98">
        <v>4837</v>
      </c>
      <c r="AT9" s="98">
        <v>7123</v>
      </c>
      <c r="AU9" s="98">
        <v>5286</v>
      </c>
      <c r="AV9" s="98">
        <v>5563</v>
      </c>
      <c r="AW9" s="98">
        <v>6606</v>
      </c>
      <c r="AX9" s="98">
        <v>10430</v>
      </c>
      <c r="AY9" s="98">
        <v>7980</v>
      </c>
      <c r="AZ9" s="98">
        <v>7561</v>
      </c>
      <c r="BA9" s="98">
        <v>11520</v>
      </c>
      <c r="BB9" s="98">
        <v>11880</v>
      </c>
      <c r="BC9" s="98">
        <v>9084</v>
      </c>
      <c r="BD9" s="98">
        <v>9734</v>
      </c>
      <c r="BE9" s="98">
        <v>12207</v>
      </c>
      <c r="BF9" s="98">
        <v>15683</v>
      </c>
      <c r="BG9" s="98">
        <v>13499</v>
      </c>
      <c r="BH9" s="98">
        <v>15700</v>
      </c>
      <c r="BI9" s="98">
        <v>20343</v>
      </c>
      <c r="BJ9" s="98">
        <v>26741</v>
      </c>
      <c r="BK9" s="98">
        <v>24667</v>
      </c>
      <c r="BL9" s="98">
        <v>28571</v>
      </c>
      <c r="BM9" s="98">
        <v>28270</v>
      </c>
      <c r="BN9" s="98">
        <v>46333</v>
      </c>
      <c r="BO9" s="98">
        <v>39186</v>
      </c>
      <c r="BP9" s="98">
        <v>35023</v>
      </c>
      <c r="BQ9" s="180">
        <v>35966</v>
      </c>
      <c r="BR9" s="98">
        <v>54512</v>
      </c>
      <c r="BS9" s="98">
        <v>43603</v>
      </c>
      <c r="BT9" s="98">
        <v>35323</v>
      </c>
      <c r="BU9" s="180">
        <v>37472</v>
      </c>
      <c r="BV9" s="98">
        <v>57594</v>
      </c>
      <c r="BW9" s="98">
        <v>45646</v>
      </c>
      <c r="BX9" s="98">
        <v>37432</v>
      </c>
      <c r="BY9" s="180">
        <v>42123</v>
      </c>
      <c r="BZ9" s="98">
        <v>74599</v>
      </c>
      <c r="CA9" s="98">
        <v>58010</v>
      </c>
      <c r="CB9" s="98">
        <v>49605</v>
      </c>
      <c r="CC9" s="180">
        <v>51501</v>
      </c>
      <c r="CD9" s="98">
        <v>75872</v>
      </c>
      <c r="CE9" s="98">
        <v>50557</v>
      </c>
      <c r="CF9" s="99">
        <v>42358</v>
      </c>
      <c r="CG9" s="180">
        <v>46852</v>
      </c>
      <c r="CH9" s="98">
        <v>78351</v>
      </c>
      <c r="CI9" s="98">
        <v>52896</v>
      </c>
      <c r="CJ9" s="98">
        <v>45408</v>
      </c>
      <c r="CK9" s="180">
        <v>52579</v>
      </c>
      <c r="CL9" s="13">
        <f>'Revenue summary'!CL17</f>
      </c>
      <c r="CM9" s="13">
        <f>'Revenue summary'!CM17</f>
      </c>
      <c r="CN9" s="13">
        <f>'Revenue summary'!CN17</f>
      </c>
      <c r="CO9" s="171">
        <f>'Revenue summary'!CO17</f>
      </c>
      <c r="CP9" s="13">
        <f>'Revenue summary'!CP17</f>
      </c>
      <c r="CQ9" s="13">
        <f>'Revenue summary'!CQ17</f>
      </c>
      <c r="CR9" s="13">
        <f>'Revenue summary'!CR17</f>
      </c>
      <c r="CS9" s="171">
        <f>'Revenue summary'!CS17</f>
      </c>
      <c r="CT9" s="13">
        <f>'Revenue summary'!CT17</f>
      </c>
      <c r="CU9" s="13">
        <f>'Revenue summary'!CU17</f>
      </c>
      <c r="CV9" s="13">
        <f>'Revenue summary'!CV17</f>
      </c>
      <c r="CW9" s="460">
        <f>'Revenue summary'!CW17</f>
      </c>
      <c r="CX9" s="468">
        <f>'Revenue summary'!CX17</f>
      </c>
      <c r="CY9" s="496">
        <f>'Revenue summary'!CY17</f>
      </c>
      <c r="CZ9" s="496">
        <f>'Revenue summary'!CZ17</f>
      </c>
      <c r="DA9" s="460">
        <f>'Revenue summary'!DA17</f>
      </c>
      <c r="DB9" s="468">
        <f>'Revenue summary'!DB17</f>
      </c>
      <c r="DC9" s="496">
        <f>'Revenue summary'!DC17</f>
      </c>
      <c r="DD9" s="496">
        <f>'Revenue summary'!DD17</f>
      </c>
      <c r="DE9" s="462">
        <v>90146</v>
      </c>
      <c r="DF9" s="2681">
        <v>117154</v>
      </c>
      <c r="DG9" s="2859">
        <v>94836</v>
      </c>
      <c r="DH9" s="2859">
        <v>81797</v>
      </c>
      <c r="DI9" s="462">
        <v>89498</v>
      </c>
      <c r="DJ9" s="2681">
        <v>119575</v>
      </c>
      <c r="DK9" s="2859">
        <v>90753</v>
      </c>
      <c r="DL9" s="2859">
        <v>85777</v>
      </c>
      <c r="DM9" s="462">
        <v>94930</v>
      </c>
      <c r="DN9" s="2681">
        <v>124300</v>
      </c>
      <c r="DO9" s="2859">
        <v>95359</v>
      </c>
      <c r="DP9" s="2859">
        <v>94036</v>
      </c>
      <c r="DQ9" s="415">
        <f>'Revenue summary'!DQ17</f>
      </c>
      <c r="DR9" s="83">
        <f>'Revenue summary'!DR17</f>
      </c>
      <c r="DS9" s="83">
        <f>'Revenue summary'!DS17</f>
      </c>
      <c r="DT9" s="83">
        <f>'Revenue summary'!DT17</f>
      </c>
      <c r="DU9" s="2282">
        <f>'Revenue summary'!DU17</f>
      </c>
      <c r="DV9" s="83">
        <f>'Revenue summary'!DV17</f>
      </c>
      <c r="DW9" s="83">
        <f>'Revenue summary'!DW17</f>
      </c>
      <c r="DX9" s="83">
        <f>'Revenue summary'!DX17</f>
      </c>
      <c r="DY9" s="2282">
        <f>'Revenue summary'!DY17</f>
      </c>
      <c r="DZ9" s="83">
        <f>'Revenue summary'!DZ17</f>
      </c>
      <c r="EA9" s="83">
        <f>'Revenue summary'!EA17</f>
      </c>
      <c r="EB9" s="83">
        <f>'Revenue summary'!EB17</f>
      </c>
      <c r="EC9" s="2282">
        <f>'Revenue summary'!EC17</f>
      </c>
      <c r="ED9" s="83">
        <f>'Revenue summary'!ED17</f>
      </c>
      <c r="EE9" s="83">
        <f>'Revenue summary'!EE17</f>
      </c>
      <c r="EF9" s="83">
        <f>'Revenue summary'!EF17</f>
      </c>
      <c r="EG9" s="2282">
        <f>'Revenue summary'!EG17</f>
      </c>
      <c r="EH9" s="83">
        <f>'Revenue summary'!EH17</f>
      </c>
      <c r="EI9" s="83">
        <f>'Revenue summary'!EI17</f>
      </c>
      <c r="EJ9" s="83">
        <f>'Revenue summary'!EJ17</f>
      </c>
      <c r="EK9" s="2282">
        <f>'Revenue summary'!EK17</f>
      </c>
      <c r="EL9" s="83"/>
      <c r="EM9" s="1268">
        <f>SUM(B9:E9)</f>
      </c>
      <c r="EN9" s="1268">
        <f>SUM(F9:I9)</f>
      </c>
      <c r="EO9" s="1268">
        <f>SUM(J9:M9)</f>
      </c>
      <c r="EP9" s="1268">
        <f>SUM(N9:Q9)</f>
      </c>
      <c r="EQ9" s="1268">
        <f>SUM(R9:U9)</f>
      </c>
      <c r="ER9" s="1268">
        <f>SUM(V9:Y9)</f>
      </c>
      <c r="ES9" s="1268">
        <f>SUM(Z9:AC9)</f>
      </c>
      <c r="ET9" s="1268">
        <f>SUM(AD9:AG9)</f>
      </c>
      <c r="EU9" s="1268">
        <f>SUM(AH9:AK9)</f>
      </c>
      <c r="EV9" s="1268">
        <f>SUM(AL9:AO9)</f>
      </c>
      <c r="EW9" s="1268">
        <f>SUM(AP9:AS9)</f>
      </c>
      <c r="EX9" s="1268">
        <f>SUM(AT9:AW9)</f>
      </c>
      <c r="EY9" s="1268">
        <f>SUM(AX9:BA9)</f>
      </c>
      <c r="EZ9" s="1268">
        <f>SUM(BB9:BE9)</f>
      </c>
      <c r="FA9" s="1268">
        <f>SUM(BF9:BI9)</f>
      </c>
      <c r="FB9" s="1268">
        <f>SUM(BJ9:BM9)</f>
      </c>
      <c r="FC9" s="1268">
        <f>SUM(BN9:BQ9)</f>
      </c>
      <c r="FD9" s="1268">
        <f>SUM(BR9:BU9)</f>
      </c>
      <c r="FE9" s="1268">
        <f>SUM(BV9:BY9)</f>
      </c>
      <c r="FF9" s="1268">
        <f>SUM(BZ9:CC9)</f>
      </c>
      <c r="FG9" s="1268">
        <f>SUM(CD9:CG9)</f>
      </c>
      <c r="FH9" s="1268">
        <f>SUM(CH9:CK9)</f>
      </c>
      <c r="FI9" s="1268">
        <f>SUM(CL9:CO9)</f>
      </c>
      <c r="FJ9" s="1268">
        <f>SUM(CP9:CS9)</f>
      </c>
      <c r="FK9" s="1268">
        <f>SUM(CT9:CW9)</f>
      </c>
      <c r="FL9" s="2871">
        <f t="shared" ref="FL9:FL24" si="61">SUM(CX9:DA9)</f>
      </c>
      <c r="FM9" s="1268">
        <f t="shared" ref="FM9:FM24" si="62">SUM(DB9:DE9)</f>
      </c>
      <c r="FN9" s="1268">
        <f t="shared" ref="FN9:FN24" si="63">SUM(DF9:DI9)</f>
      </c>
      <c r="FO9" s="1268">
        <f t="shared" ref="FO9:FO24" si="64">SUM(DJ9:DM9)</f>
      </c>
      <c r="FP9" s="1268">
        <f t="shared" ref="FP9:FP24" si="65">SUM(DN9:DQ9)</f>
      </c>
      <c r="FQ9" s="1268">
        <f t="shared" ref="FQ9:FQ24" si="66">SUM(DR9:DU9)</f>
      </c>
      <c r="FR9" s="1268">
        <f t="shared" ref="FR9:FR16" si="67">SUM(DV9:DY9)</f>
      </c>
      <c r="FS9" s="1268">
        <f t="shared" ref="FS9:FS16" si="68">SUM(DZ9:EC9)</f>
      </c>
      <c r="FT9" s="1268">
        <f t="shared" ref="FT9:FT16" si="69">SUM(ED9:EG9)</f>
      </c>
      <c r="FU9" s="2872">
        <f t="shared" ref="FU9:FU16" si="70">SUM(EH9:EK9)</f>
      </c>
      <c r="FV9" s="1992"/>
      <c r="FW9" s="1268">
        <f>SUM(C9:F9)</f>
      </c>
      <c r="FX9" s="1268">
        <f>SUM(G9:J9)</f>
      </c>
      <c r="FY9" s="1268">
        <f>SUM(K9:N9)</f>
      </c>
      <c r="FZ9" s="1268">
        <f>SUM(O9:R9)</f>
      </c>
      <c r="GA9" s="1268">
        <f>SUM(S9:V9)</f>
      </c>
      <c r="GB9" s="1268">
        <f>SUM(W9:Z9)</f>
      </c>
      <c r="GC9" s="1268">
        <f>SUM(AA9:AD9)</f>
      </c>
      <c r="GD9" s="1268">
        <f>SUM(AE9:AH9)</f>
      </c>
      <c r="GE9" s="1268">
        <f>SUM(AI9:AL9)</f>
      </c>
      <c r="GF9" s="1268">
        <f>SUM(AM9:AP9)</f>
      </c>
      <c r="GG9" s="1268">
        <f>SUM(AQ9:AT9)</f>
      </c>
      <c r="GH9" s="1268">
        <f>SUM(AU9:AX9)</f>
      </c>
      <c r="GI9" s="1268">
        <f>SUM(AY9:BB9)</f>
      </c>
      <c r="GJ9" s="1268">
        <f>SUM(BC9:BF9)</f>
      </c>
      <c r="GK9" s="1268">
        <f>SUM(BG9:BJ9)</f>
      </c>
      <c r="GL9" s="1268">
        <f>SUM(BK9:BN9)</f>
      </c>
      <c r="GM9" s="1268">
        <f>SUM(BO9:BR9)</f>
      </c>
      <c r="GN9" s="1268">
        <f>SUM(BS9:BV9)</f>
      </c>
      <c r="GO9" s="1268">
        <f>SUM(BW9:BZ9)</f>
      </c>
      <c r="GP9" s="1268">
        <f>SUM(CA9:CD9)</f>
      </c>
      <c r="GQ9" s="1268">
        <f>SUM(CE9:CH9)</f>
      </c>
      <c r="GR9" s="1268">
        <f>SUM(CI9:CL9)</f>
      </c>
      <c r="GS9" s="1268">
        <f>SUM(CM9:CP9)</f>
      </c>
      <c r="GT9" s="1268">
        <f>SUM(CQ9:CT9)</f>
      </c>
      <c r="GU9" s="1268">
        <f t="shared" ref="GU9:GU24" si="71">SUM(CU9:CX9)</f>
      </c>
      <c r="GV9" s="1268">
        <f t="shared" ref="GV9:GV24" si="72">SUM(CY9:DB9)</f>
      </c>
      <c r="GW9" s="1268">
        <f t="shared" ref="GW9:GW24" si="73">SUM(DC9:DF9)</f>
      </c>
      <c r="GX9" s="1268">
        <f t="shared" ref="GX9:GX24" si="74">SUM(DG9:DJ9)</f>
      </c>
      <c r="GY9" s="1268">
        <f t="shared" ref="GY9:GY24" si="75">SUM(DK9:DN9)</f>
      </c>
      <c r="GZ9" s="1268">
        <f t="shared" ref="GZ9:GZ24" si="76">SUM(DO9:DR9)</f>
      </c>
      <c r="HA9" s="1268">
        <f t="shared" ref="HA9:HA17" si="77">SUM(DS9:DV9)</f>
      </c>
      <c r="HB9" s="1268">
        <f t="shared" ref="HB9:HB17" si="78">SUM(DW9:DZ9)</f>
      </c>
      <c r="HC9" s="1268">
        <f t="shared" ref="HC9:HC17" si="79">SUM(EA9:ED9)</f>
      </c>
      <c r="HD9" s="1268">
        <f t="shared" ref="HD9:HD17" si="80">SUM(EE9:EH9)</f>
      </c>
    </row>
    <row r="10" spans="1:212" s="15" customFormat="1">
      <c r="A10" s="8" t="s">
        <v>66</v>
      </c>
      <c r="B10" s="34">
        <v>2673</v>
      </c>
      <c r="C10" s="34">
        <v>2606</v>
      </c>
      <c r="D10" s="34">
        <v>1776</v>
      </c>
      <c r="E10" s="182">
        <v>1810</v>
      </c>
      <c r="F10" s="34">
        <v>1732</v>
      </c>
      <c r="G10" s="34">
        <v>1298</v>
      </c>
      <c r="H10" s="34">
        <v>1389</v>
      </c>
      <c r="I10" s="34">
        <v>1294</v>
      </c>
      <c r="J10" s="34">
        <v>1225</v>
      </c>
      <c r="K10" s="34">
        <v>1056</v>
      </c>
      <c r="L10" s="34">
        <v>1042</v>
      </c>
      <c r="M10" s="34">
        <v>1139</v>
      </c>
      <c r="N10" s="34">
        <v>1228</v>
      </c>
      <c r="O10" s="34">
        <v>1127</v>
      </c>
      <c r="P10" s="34">
        <v>1131</v>
      </c>
      <c r="Q10" s="34">
        <v>952</v>
      </c>
      <c r="R10" s="34">
        <v>1736</v>
      </c>
      <c r="S10" s="34">
        <v>1396</v>
      </c>
      <c r="T10" s="34">
        <v>1282</v>
      </c>
      <c r="U10" s="34">
        <v>1403</v>
      </c>
      <c r="V10" s="34">
        <v>1028</v>
      </c>
      <c r="W10" s="34">
        <v>1046</v>
      </c>
      <c r="X10" s="34">
        <v>1041</v>
      </c>
      <c r="Y10" s="34">
        <v>1013</v>
      </c>
      <c r="Z10" s="34">
        <v>953</v>
      </c>
      <c r="AA10" s="34">
        <v>1086</v>
      </c>
      <c r="AB10" s="34">
        <v>1038</v>
      </c>
      <c r="AC10" s="34">
        <v>1062</v>
      </c>
      <c r="AD10" s="34">
        <v>1066</v>
      </c>
      <c r="AE10" s="34">
        <v>1057</v>
      </c>
      <c r="AF10" s="34">
        <v>1117</v>
      </c>
      <c r="AG10" s="34">
        <v>1259</v>
      </c>
      <c r="AH10" s="34">
        <v>1470</v>
      </c>
      <c r="AI10" s="34">
        <v>1379</v>
      </c>
      <c r="AJ10" s="34">
        <v>1455</v>
      </c>
      <c r="AK10" s="34">
        <v>1716</v>
      </c>
      <c r="AL10" s="34">
        <v>2495</v>
      </c>
      <c r="AM10" s="34">
        <v>2275</v>
      </c>
      <c r="AN10" s="34">
        <v>2476</v>
      </c>
      <c r="AO10" s="34">
        <v>2643</v>
      </c>
      <c r="AP10" s="34">
        <v>4185</v>
      </c>
      <c r="AQ10" s="34">
        <v>3062</v>
      </c>
      <c r="AR10" s="34">
        <v>3045</v>
      </c>
      <c r="AS10" s="34">
        <v>3425</v>
      </c>
      <c r="AT10" s="34">
        <v>4900</v>
      </c>
      <c r="AU10" s="34">
        <v>3435</v>
      </c>
      <c r="AV10" s="34">
        <v>3530</v>
      </c>
      <c r="AW10" s="34">
        <v>4561</v>
      </c>
      <c r="AX10" s="34">
        <v>7026</v>
      </c>
      <c r="AY10" s="34">
        <v>5373</v>
      </c>
      <c r="AZ10" s="34">
        <v>4818</v>
      </c>
      <c r="BA10" s="34">
        <v>7077</v>
      </c>
      <c r="BB10" s="34">
        <v>7373</v>
      </c>
      <c r="BC10" s="34">
        <v>5457</v>
      </c>
      <c r="BD10" s="34">
        <v>5751</v>
      </c>
      <c r="BE10" s="34">
        <v>7102</v>
      </c>
      <c r="BF10" s="34">
        <v>9272</v>
      </c>
      <c r="BG10" s="34">
        <v>7874</v>
      </c>
      <c r="BH10" s="34">
        <v>9564</v>
      </c>
      <c r="BI10" s="34">
        <v>12831</v>
      </c>
      <c r="BJ10" s="34">
        <v>16443</v>
      </c>
      <c r="BK10" s="34">
        <v>14449</v>
      </c>
      <c r="BL10" s="34">
        <v>16649</v>
      </c>
      <c r="BM10" s="34">
        <v>16890</v>
      </c>
      <c r="BN10" s="34">
        <v>25630</v>
      </c>
      <c r="BO10" s="34">
        <v>20622</v>
      </c>
      <c r="BP10" s="34">
        <v>20029</v>
      </c>
      <c r="BQ10" s="173">
        <v>21565</v>
      </c>
      <c r="BR10" s="34">
        <v>33452</v>
      </c>
      <c r="BS10" s="34">
        <v>27254</v>
      </c>
      <c r="BT10" s="34">
        <v>22299</v>
      </c>
      <c r="BU10" s="173">
        <v>23601</v>
      </c>
      <c r="BV10" s="34">
        <v>35748</v>
      </c>
      <c r="BW10" s="34">
        <v>27699</v>
      </c>
      <c r="BX10" s="34">
        <v>22697</v>
      </c>
      <c r="BY10" s="173">
        <v>26114</v>
      </c>
      <c r="BZ10" s="34">
        <v>44858</v>
      </c>
      <c r="CA10" s="34">
        <v>34354</v>
      </c>
      <c r="CB10" s="34">
        <v>29924</v>
      </c>
      <c r="CC10" s="173">
        <v>30953</v>
      </c>
      <c r="CD10" s="34">
        <v>45449</v>
      </c>
      <c r="CE10" s="34">
        <v>30636</v>
      </c>
      <c r="CF10" s="77">
        <v>26252</v>
      </c>
      <c r="CG10" s="173">
        <v>29039</v>
      </c>
      <c r="CH10" s="34">
        <v>48175</v>
      </c>
      <c r="CI10" s="34">
        <v>32305</v>
      </c>
      <c r="CJ10" s="34">
        <v>27920</v>
      </c>
      <c r="CK10" s="173">
        <v>32648</v>
      </c>
      <c r="CL10" s="34">
        <v>54381</v>
      </c>
      <c r="CM10" s="34">
        <v>37715</v>
      </c>
      <c r="CN10" s="34">
        <v>32844</v>
      </c>
      <c r="CO10" s="173">
        <v>38816</v>
      </c>
      <c r="CP10" s="77">
        <v>52279</v>
      </c>
      <c r="CQ10" s="34">
        <v>36194</v>
      </c>
      <c r="CR10" s="34">
        <v>33582</v>
      </c>
      <c r="CS10" s="173">
        <v>39727</v>
      </c>
      <c r="CT10" s="77">
        <v>56602</v>
      </c>
      <c r="CU10" s="34">
        <v>35943</v>
      </c>
      <c r="CV10" s="34">
        <v>37005</v>
      </c>
      <c r="CW10" s="173">
        <v>40009</v>
      </c>
      <c r="CX10" s="382">
        <v>67111</v>
      </c>
      <c r="CY10" s="34">
        <v>51505</v>
      </c>
      <c r="CZ10" s="34">
        <v>46179</v>
      </c>
      <c r="DA10" s="173">
        <v>48186</v>
      </c>
      <c r="DB10" s="382">
        <v>69702</v>
      </c>
      <c r="DC10" s="34">
        <v>54719</v>
      </c>
      <c r="DD10" s="34">
        <v>47074</v>
      </c>
      <c r="DE10" s="192">
        <v>52051</v>
      </c>
      <c r="DF10" s="382">
        <v>66822</v>
      </c>
      <c r="DG10" s="34">
        <v>52860</v>
      </c>
      <c r="DH10" s="34">
        <v>45384</v>
      </c>
      <c r="DI10" s="192">
        <v>49071</v>
      </c>
      <c r="DJ10" s="382">
        <v>64720</v>
      </c>
      <c r="DK10" s="34">
        <v>48482</v>
      </c>
      <c r="DL10" s="34">
        <v>46099</v>
      </c>
      <c r="DM10" s="192">
        <v>51051</v>
      </c>
      <c r="DN10" s="382">
        <v>66025</v>
      </c>
      <c r="DO10" s="34">
        <v>50492</v>
      </c>
      <c r="DP10" s="34">
        <v>50318</v>
      </c>
      <c r="DQ10" s="174">
        <f>'Revenue summary'!DQ50</f>
      </c>
      <c r="DR10" s="62">
        <f>'Revenue summary'!DR50</f>
      </c>
      <c r="DS10" s="62">
        <f>'Revenue summary'!DS50</f>
      </c>
      <c r="DT10" s="62">
        <f>'Revenue summary'!DT50</f>
      </c>
      <c r="DU10" s="226">
        <f>'Revenue summary'!DU50</f>
      </c>
      <c r="DV10" s="62">
        <f>'Revenue summary'!DV50</f>
      </c>
      <c r="DW10" s="62">
        <f>'Revenue summary'!DW50</f>
      </c>
      <c r="DX10" s="62">
        <f>'Revenue summary'!DX50</f>
      </c>
      <c r="DY10" s="226">
        <f>'Revenue summary'!DY50</f>
      </c>
      <c r="DZ10" s="62">
        <f>'Revenue summary'!DZ50</f>
      </c>
      <c r="EA10" s="62">
        <f>'Revenue summary'!EA50</f>
      </c>
      <c r="EB10" s="62">
        <f>'Revenue summary'!EB50</f>
      </c>
      <c r="EC10" s="226">
        <f>'Revenue summary'!EC50</f>
      </c>
      <c r="ED10" s="62">
        <f>'Revenue summary'!ED50</f>
      </c>
      <c r="EE10" s="62">
        <f>'Revenue summary'!EE50</f>
      </c>
      <c r="EF10" s="62">
        <f>'Revenue summary'!EF50</f>
      </c>
      <c r="EG10" s="226">
        <f>'Revenue summary'!EG50</f>
      </c>
      <c r="EH10" s="62">
        <f>'Revenue summary'!EH50</f>
      </c>
      <c r="EI10" s="62">
        <f>'Revenue summary'!EI50</f>
      </c>
      <c r="EJ10" s="62">
        <f>'Revenue summary'!EJ50</f>
      </c>
      <c r="EK10" s="226">
        <f>'Revenue summary'!EK50</f>
      </c>
      <c r="EL10" s="62"/>
      <c r="EM10" s="8">
        <f>SUM(B10:E10)</f>
      </c>
      <c r="EN10" s="8">
        <f>SUM(F10:I10)</f>
      </c>
      <c r="EO10" s="8">
        <f>SUM(J10:M10)</f>
      </c>
      <c r="EP10" s="8">
        <f>SUM(N10:Q10)</f>
      </c>
      <c r="EQ10" s="8">
        <f>SUM(R10:U10)</f>
      </c>
      <c r="ER10" s="8">
        <f>SUM(V10:Y10)</f>
      </c>
      <c r="ES10" s="8">
        <f>SUM(Z10:AC10)</f>
      </c>
      <c r="ET10" s="8">
        <f>SUM(AD10:AG10)</f>
      </c>
      <c r="EU10" s="8">
        <f>SUM(AH10:AK10)</f>
      </c>
      <c r="EV10" s="8">
        <f>SUM(AL10:AO10)</f>
      </c>
      <c r="EW10" s="8">
        <f>SUM(AP10:AS10)</f>
      </c>
      <c r="EX10" s="8">
        <f>SUM(AT10:AW10)</f>
      </c>
      <c r="EY10" s="8">
        <f>SUM(AX10:BA10)</f>
      </c>
      <c r="EZ10" s="8">
        <f>SUM(BB10:BE10)</f>
      </c>
      <c r="FA10" s="8">
        <f>SUM(BF10:BI10)</f>
      </c>
      <c r="FB10" s="8">
        <f>SUM(BJ10:BM10)</f>
      </c>
      <c r="FC10" s="8">
        <f>SUM(BN10:BQ10)</f>
      </c>
      <c r="FD10" s="8">
        <f>SUM(BR10:BU10)</f>
      </c>
      <c r="FE10" s="8">
        <f>SUM(BV10:BY10)</f>
      </c>
      <c r="FF10" s="8">
        <f>SUM(BZ10:CC10)</f>
      </c>
      <c r="FG10" s="8">
        <f>SUM(CD10:CG10)</f>
      </c>
      <c r="FH10" s="8">
        <f>SUM(CH10:CK10)</f>
      </c>
      <c r="FI10" s="8">
        <f>SUM(CL10:CO10)</f>
      </c>
      <c r="FJ10" s="8">
        <f>SUM(CP10:CS10)</f>
      </c>
      <c r="FK10" s="8">
        <f>SUM(CT10:CW10)</f>
      </c>
      <c r="FL10" s="1269">
        <f t="shared" si="61"/>
      </c>
      <c r="FM10" s="8">
        <f t="shared" si="62"/>
      </c>
      <c r="FN10" s="8">
        <f t="shared" si="63"/>
      </c>
      <c r="FO10" s="8">
        <f t="shared" si="64"/>
      </c>
      <c r="FP10" s="8">
        <f t="shared" si="65"/>
      </c>
      <c r="FQ10" s="8">
        <f t="shared" si="66"/>
      </c>
      <c r="FR10" s="8">
        <f t="shared" si="67"/>
      </c>
      <c r="FS10" s="8">
        <f t="shared" si="68"/>
      </c>
      <c r="FT10" s="8">
        <f t="shared" si="69"/>
      </c>
      <c r="FU10" s="2873">
        <f t="shared" si="70"/>
      </c>
      <c r="FV10" s="1993"/>
      <c r="FW10" s="8">
        <f>SUM(C10:F10)</f>
      </c>
      <c r="FX10" s="8">
        <f>SUM(G10:J10)</f>
      </c>
      <c r="FY10" s="8">
        <f>SUM(K10:N10)</f>
      </c>
      <c r="FZ10" s="8">
        <f>SUM(O10:R10)</f>
      </c>
      <c r="GA10" s="8">
        <f>SUM(S10:V10)</f>
      </c>
      <c r="GB10" s="8">
        <f>SUM(W10:Z10)</f>
      </c>
      <c r="GC10" s="8">
        <f>SUM(AA10:AD10)</f>
      </c>
      <c r="GD10" s="8">
        <f>SUM(AE10:AH10)</f>
      </c>
      <c r="GE10" s="8">
        <f>SUM(AI10:AL10)</f>
      </c>
      <c r="GF10" s="8">
        <f>SUM(AM10:AP10)</f>
      </c>
      <c r="GG10" s="8">
        <f>SUM(AQ10:AT10)</f>
      </c>
      <c r="GH10" s="8">
        <f>SUM(AU10:AX10)</f>
      </c>
      <c r="GI10" s="8">
        <f>SUM(AY10:BB10)</f>
      </c>
      <c r="GJ10" s="8">
        <f>SUM(BC10:BF10)</f>
      </c>
      <c r="GK10" s="8">
        <f>SUM(BG10:BJ10)</f>
      </c>
      <c r="GL10" s="8">
        <f>SUM(BK10:BN10)</f>
      </c>
      <c r="GM10" s="8">
        <f>SUM(BO10:BR10)</f>
      </c>
      <c r="GN10" s="8">
        <f>SUM(BS10:BV10)</f>
      </c>
      <c r="GO10" s="8">
        <f>SUM(BW10:BZ10)</f>
      </c>
      <c r="GP10" s="8">
        <f>SUM(CA10:CD10)</f>
      </c>
      <c r="GQ10" s="8">
        <f>SUM(CE10:CH10)</f>
      </c>
      <c r="GR10" s="8">
        <f>SUM(CI10:CL10)</f>
      </c>
      <c r="GS10" s="8">
        <f>SUM(CM10:CP10)</f>
      </c>
      <c r="GT10" s="8">
        <f>SUM(CQ10:CT10)</f>
      </c>
      <c r="GU10" s="8">
        <f t="shared" si="71"/>
      </c>
      <c r="GV10" s="8">
        <f t="shared" si="72"/>
      </c>
      <c r="GW10" s="8">
        <f t="shared" si="73"/>
      </c>
      <c r="GX10" s="8">
        <f t="shared" si="74"/>
      </c>
      <c r="GY10" s="8">
        <f t="shared" si="75"/>
      </c>
      <c r="GZ10" s="8">
        <f t="shared" si="76"/>
      </c>
      <c r="HA10" s="8">
        <f t="shared" si="77"/>
      </c>
      <c r="HB10" s="8">
        <f t="shared" si="78"/>
      </c>
      <c r="HC10" s="8">
        <f t="shared" si="79"/>
      </c>
      <c r="HD10" s="8">
        <f t="shared" si="80"/>
      </c>
    </row>
    <row r="11" spans="1:212">
      <c r="A11" s="1950" t="s">
        <v>67</v>
      </c>
      <c r="B11" s="1951">
        <f t="shared" ref="B11:AG11" si="81">+B9-B10</f>
      </c>
      <c r="C11" s="1951">
        <f t="shared" si="81"/>
      </c>
      <c r="D11" s="1951">
        <f t="shared" si="81"/>
      </c>
      <c r="E11" s="1952">
        <f t="shared" si="81"/>
      </c>
      <c r="F11" s="1951">
        <f t="shared" si="81"/>
      </c>
      <c r="G11" s="1951">
        <f t="shared" si="81"/>
      </c>
      <c r="H11" s="1951">
        <f t="shared" si="81"/>
      </c>
      <c r="I11" s="1951">
        <f t="shared" si="81"/>
      </c>
      <c r="J11" s="1951">
        <f t="shared" si="81"/>
      </c>
      <c r="K11" s="1951">
        <f t="shared" si="81"/>
      </c>
      <c r="L11" s="1951">
        <f t="shared" si="81"/>
      </c>
      <c r="M11" s="1951">
        <f t="shared" si="81"/>
      </c>
      <c r="N11" s="1951">
        <f t="shared" si="81"/>
      </c>
      <c r="O11" s="1951">
        <f t="shared" si="81"/>
      </c>
      <c r="P11" s="1951">
        <f t="shared" si="81"/>
      </c>
      <c r="Q11" s="1951">
        <f t="shared" si="81"/>
      </c>
      <c r="R11" s="1951">
        <f t="shared" si="81"/>
      </c>
      <c r="S11" s="1951">
        <f t="shared" si="81"/>
      </c>
      <c r="T11" s="1951">
        <f t="shared" si="81"/>
      </c>
      <c r="U11" s="1951">
        <f t="shared" si="81"/>
      </c>
      <c r="V11" s="1951">
        <f t="shared" si="81"/>
      </c>
      <c r="W11" s="1951">
        <f t="shared" si="81"/>
      </c>
      <c r="X11" s="1951">
        <f t="shared" si="81"/>
      </c>
      <c r="Y11" s="1951">
        <f t="shared" si="81"/>
      </c>
      <c r="Z11" s="1951">
        <f t="shared" si="81"/>
      </c>
      <c r="AA11" s="1951">
        <f t="shared" si="81"/>
      </c>
      <c r="AB11" s="1951">
        <f t="shared" si="81"/>
      </c>
      <c r="AC11" s="1951">
        <f t="shared" si="81"/>
      </c>
      <c r="AD11" s="1951">
        <f t="shared" si="81"/>
      </c>
      <c r="AE11" s="1951">
        <f t="shared" si="81"/>
      </c>
      <c r="AF11" s="1951">
        <f t="shared" si="81"/>
      </c>
      <c r="AG11" s="1951">
        <f t="shared" si="81"/>
      </c>
      <c r="AH11" s="1951">
        <f t="shared" ref="AH11:BM11" si="82">+AH9-AH10</f>
      </c>
      <c r="AI11" s="1951">
        <f t="shared" si="82"/>
      </c>
      <c r="AJ11" s="1951">
        <f t="shared" si="82"/>
      </c>
      <c r="AK11" s="1951">
        <f t="shared" si="82"/>
      </c>
      <c r="AL11" s="1951">
        <f t="shared" si="82"/>
      </c>
      <c r="AM11" s="1951">
        <f t="shared" si="82"/>
      </c>
      <c r="AN11" s="1951">
        <f t="shared" si="82"/>
      </c>
      <c r="AO11" s="1951">
        <f t="shared" si="82"/>
      </c>
      <c r="AP11" s="1951">
        <f t="shared" si="82"/>
      </c>
      <c r="AQ11" s="1951">
        <f t="shared" si="82"/>
      </c>
      <c r="AR11" s="1951">
        <f t="shared" si="82"/>
      </c>
      <c r="AS11" s="1951">
        <f t="shared" si="82"/>
      </c>
      <c r="AT11" s="1951">
        <f t="shared" si="82"/>
      </c>
      <c r="AU11" s="1951">
        <f t="shared" si="82"/>
      </c>
      <c r="AV11" s="1951">
        <f t="shared" si="82"/>
      </c>
      <c r="AW11" s="1951">
        <f t="shared" si="82"/>
      </c>
      <c r="AX11" s="1951">
        <f t="shared" si="82"/>
      </c>
      <c r="AY11" s="1951">
        <f t="shared" si="82"/>
      </c>
      <c r="AZ11" s="1951">
        <f t="shared" si="82"/>
      </c>
      <c r="BA11" s="1951">
        <f t="shared" si="82"/>
      </c>
      <c r="BB11" s="1951">
        <f t="shared" si="82"/>
      </c>
      <c r="BC11" s="1951">
        <f t="shared" si="82"/>
      </c>
      <c r="BD11" s="1951">
        <f t="shared" si="82"/>
      </c>
      <c r="BE11" s="1951">
        <f t="shared" si="82"/>
      </c>
      <c r="BF11" s="1951">
        <f t="shared" si="82"/>
      </c>
      <c r="BG11" s="1951">
        <f t="shared" si="82"/>
      </c>
      <c r="BH11" s="1951">
        <f t="shared" si="82"/>
      </c>
      <c r="BI11" s="1951">
        <f t="shared" si="82"/>
      </c>
      <c r="BJ11" s="1951">
        <f t="shared" si="82"/>
      </c>
      <c r="BK11" s="1951">
        <f t="shared" si="82"/>
      </c>
      <c r="BL11" s="1951">
        <f t="shared" si="82"/>
      </c>
      <c r="BM11" s="1951">
        <f t="shared" si="82"/>
      </c>
      <c r="BN11" s="1951">
        <f t="shared" ref="BN11:CS11" si="83">+BN9-BN10</f>
      </c>
      <c r="BO11" s="1951">
        <f t="shared" si="83"/>
      </c>
      <c r="BP11" s="1951">
        <f t="shared" si="83"/>
      </c>
      <c r="BQ11" s="1953">
        <f t="shared" si="83"/>
      </c>
      <c r="BR11" s="1951">
        <f t="shared" si="83"/>
      </c>
      <c r="BS11" s="1951">
        <f t="shared" si="83"/>
      </c>
      <c r="BT11" s="1951">
        <f t="shared" si="83"/>
      </c>
      <c r="BU11" s="1953">
        <f t="shared" si="83"/>
      </c>
      <c r="BV11" s="1951">
        <f t="shared" si="83"/>
      </c>
      <c r="BW11" s="1951">
        <f t="shared" si="83"/>
      </c>
      <c r="BX11" s="1951">
        <f t="shared" si="83"/>
      </c>
      <c r="BY11" s="1953">
        <f t="shared" si="83"/>
      </c>
      <c r="BZ11" s="1951">
        <f t="shared" si="83"/>
      </c>
      <c r="CA11" s="1951">
        <f t="shared" si="83"/>
      </c>
      <c r="CB11" s="1951">
        <f t="shared" si="83"/>
      </c>
      <c r="CC11" s="1953">
        <f t="shared" si="83"/>
      </c>
      <c r="CD11" s="1951">
        <f t="shared" si="83"/>
      </c>
      <c r="CE11" s="1951">
        <f t="shared" si="83"/>
      </c>
      <c r="CF11" s="1951">
        <f t="shared" si="83"/>
      </c>
      <c r="CG11" s="1953">
        <f t="shared" si="83"/>
      </c>
      <c r="CH11" s="1951">
        <f t="shared" si="83"/>
      </c>
      <c r="CI11" s="1951">
        <f t="shared" si="83"/>
      </c>
      <c r="CJ11" s="1951">
        <f t="shared" si="83"/>
      </c>
      <c r="CK11" s="1953">
        <f t="shared" si="83"/>
      </c>
      <c r="CL11" s="1951">
        <f t="shared" si="83"/>
      </c>
      <c r="CM11" s="1951">
        <f t="shared" si="83"/>
      </c>
      <c r="CN11" s="1951">
        <f t="shared" si="83"/>
      </c>
      <c r="CO11" s="1953">
        <f t="shared" si="83"/>
      </c>
      <c r="CP11" s="1951">
        <f t="shared" si="83"/>
      </c>
      <c r="CQ11" s="1951">
        <f t="shared" si="83"/>
      </c>
      <c r="CR11" s="1951">
        <f t="shared" si="83"/>
      </c>
      <c r="CS11" s="1954">
        <f t="shared" si="83"/>
      </c>
      <c r="CT11" s="1951">
        <f t="shared" ref="CT11:DU11" si="84">+CT9-CT10</f>
      </c>
      <c r="CU11" s="1951">
        <f t="shared" si="84"/>
      </c>
      <c r="CV11" s="1951">
        <f t="shared" si="84"/>
      </c>
      <c r="CW11" s="1953">
        <f t="shared" si="84"/>
      </c>
      <c r="CX11" s="1955">
        <f t="shared" si="84"/>
      </c>
      <c r="CY11" s="1951">
        <f t="shared" si="84"/>
      </c>
      <c r="CZ11" s="1951">
        <f t="shared" si="84"/>
      </c>
      <c r="DA11" s="1953">
        <f t="shared" si="84"/>
      </c>
      <c r="DB11" s="1955">
        <f t="shared" si="84"/>
      </c>
      <c r="DC11" s="1951">
        <f t="shared" si="84"/>
      </c>
      <c r="DD11" s="1951">
        <f t="shared" si="84"/>
      </c>
      <c r="DE11" s="1953">
        <f t="shared" si="84"/>
      </c>
      <c r="DF11" s="1955">
        <f t="shared" ref="DF11" si="85">+DF9-DF10</f>
      </c>
      <c r="DG11" s="1951">
        <f>+DG9-DG10</f>
      </c>
      <c r="DH11" s="1951">
        <f>+DH9-DH10</f>
      </c>
      <c r="DI11" s="1953">
        <f t="shared" si="84"/>
      </c>
      <c r="DJ11" s="1955">
        <f t="shared" si="84"/>
      </c>
      <c r="DK11" s="1951">
        <f>+DK9-DK10</f>
      </c>
      <c r="DL11" s="1951">
        <f>+DL9-DL10</f>
      </c>
      <c r="DM11" s="1953">
        <f t="shared" ref="DM11:DN11" si="86">+DM9-DM10</f>
      </c>
      <c r="DN11" s="1955">
        <f t="shared" si="86"/>
      </c>
      <c r="DO11" s="1951">
        <f>+DO9-DO10</f>
      </c>
      <c r="DP11" s="1951">
        <f>+DP9-DP10</f>
      </c>
      <c r="DQ11" s="1953">
        <f t="shared" si="84"/>
      </c>
      <c r="DR11" s="1951">
        <f t="shared" si="84"/>
      </c>
      <c r="DS11" s="1951">
        <f t="shared" si="84"/>
      </c>
      <c r="DT11" s="1951">
        <f t="shared" si="84"/>
      </c>
      <c r="DU11" s="1953">
        <f t="shared" si="84"/>
      </c>
      <c r="DV11" s="1951">
        <f t="shared" ref="DV11:EK11" si="87">+DV9-DV10</f>
      </c>
      <c r="DW11" s="1951">
        <f t="shared" si="87"/>
      </c>
      <c r="DX11" s="1951">
        <f t="shared" si="87"/>
      </c>
      <c r="DY11" s="1953">
        <f t="shared" si="87"/>
      </c>
      <c r="DZ11" s="1951">
        <f t="shared" si="87"/>
      </c>
      <c r="EA11" s="1951">
        <f t="shared" si="87"/>
      </c>
      <c r="EB11" s="1951">
        <f t="shared" si="87"/>
      </c>
      <c r="EC11" s="1953">
        <f t="shared" si="87"/>
      </c>
      <c r="ED11" s="1951">
        <f t="shared" si="87"/>
      </c>
      <c r="EE11" s="1951">
        <f t="shared" si="87"/>
      </c>
      <c r="EF11" s="1951">
        <f t="shared" si="87"/>
      </c>
      <c r="EG11" s="1953">
        <f t="shared" si="87"/>
      </c>
      <c r="EH11" s="1951">
        <f t="shared" si="87"/>
      </c>
      <c r="EI11" s="1951">
        <f t="shared" si="87"/>
      </c>
      <c r="EJ11" s="1951">
        <f t="shared" si="87"/>
      </c>
      <c r="EK11" s="1953">
        <f t="shared" si="87"/>
      </c>
      <c r="EL11" s="62"/>
      <c r="EM11" s="1950">
        <f t="shared" ref="EM11:FK11" si="88">+EM9-EM10</f>
      </c>
      <c r="EN11" s="1950">
        <f t="shared" si="88"/>
      </c>
      <c r="EO11" s="1950">
        <f t="shared" si="88"/>
      </c>
      <c r="EP11" s="1950">
        <f t="shared" si="88"/>
      </c>
      <c r="EQ11" s="1950">
        <f t="shared" si="88"/>
      </c>
      <c r="ER11" s="1950">
        <f t="shared" si="88"/>
      </c>
      <c r="ES11" s="1950">
        <f t="shared" si="88"/>
      </c>
      <c r="ET11" s="1950">
        <f t="shared" si="88"/>
      </c>
      <c r="EU11" s="1950">
        <f t="shared" si="88"/>
      </c>
      <c r="EV11" s="1950">
        <f t="shared" si="88"/>
      </c>
      <c r="EW11" s="1950">
        <f t="shared" si="88"/>
      </c>
      <c r="EX11" s="1950">
        <f t="shared" si="88"/>
      </c>
      <c r="EY11" s="1950">
        <f t="shared" si="88"/>
      </c>
      <c r="EZ11" s="1950">
        <f t="shared" si="88"/>
      </c>
      <c r="FA11" s="1950">
        <f t="shared" si="88"/>
      </c>
      <c r="FB11" s="1950">
        <f t="shared" si="88"/>
      </c>
      <c r="FC11" s="1950">
        <f t="shared" si="88"/>
      </c>
      <c r="FD11" s="1950">
        <f t="shared" si="88"/>
      </c>
      <c r="FE11" s="1950">
        <f t="shared" si="88"/>
      </c>
      <c r="FF11" s="1950">
        <f t="shared" si="88"/>
      </c>
      <c r="FG11" s="1950">
        <f t="shared" si="88"/>
      </c>
      <c r="FH11" s="1950">
        <f t="shared" si="88"/>
      </c>
      <c r="FI11" s="1950">
        <f t="shared" si="88"/>
      </c>
      <c r="FJ11" s="1950">
        <f t="shared" si="88"/>
      </c>
      <c r="FK11" s="1950">
        <f t="shared" si="88"/>
      </c>
      <c r="FL11" s="1956">
        <f t="shared" si="61"/>
      </c>
      <c r="FM11" s="1950">
        <f t="shared" si="62"/>
      </c>
      <c r="FN11" s="1950">
        <f t="shared" si="63"/>
      </c>
      <c r="FO11" s="1950">
        <f t="shared" si="64"/>
      </c>
      <c r="FP11" s="1950">
        <f t="shared" si="65"/>
      </c>
      <c r="FQ11" s="1950">
        <f t="shared" si="66"/>
      </c>
      <c r="FR11" s="1950">
        <f t="shared" si="67"/>
      </c>
      <c r="FS11" s="1950">
        <f t="shared" si="68"/>
      </c>
      <c r="FT11" s="1950">
        <f t="shared" si="69"/>
      </c>
      <c r="FU11" s="2874">
        <f t="shared" si="70"/>
      </c>
      <c r="FV11" s="371"/>
      <c r="FW11" s="1950">
        <f t="shared" ref="FW11:GT11" si="89">+FW9-FW10</f>
      </c>
      <c r="FX11" s="1950">
        <f t="shared" si="89"/>
      </c>
      <c r="FY11" s="1950">
        <f t="shared" si="89"/>
      </c>
      <c r="FZ11" s="1950">
        <f t="shared" si="89"/>
      </c>
      <c r="GA11" s="1950">
        <f t="shared" si="89"/>
      </c>
      <c r="GB11" s="1950">
        <f t="shared" si="89"/>
      </c>
      <c r="GC11" s="1950">
        <f t="shared" si="89"/>
      </c>
      <c r="GD11" s="1950">
        <f t="shared" si="89"/>
      </c>
      <c r="GE11" s="1950">
        <f t="shared" si="89"/>
      </c>
      <c r="GF11" s="1950">
        <f t="shared" si="89"/>
      </c>
      <c r="GG11" s="1950">
        <f t="shared" si="89"/>
      </c>
      <c r="GH11" s="1950">
        <f t="shared" si="89"/>
      </c>
      <c r="GI11" s="1950">
        <f t="shared" si="89"/>
      </c>
      <c r="GJ11" s="1950">
        <f t="shared" si="89"/>
      </c>
      <c r="GK11" s="1950">
        <f t="shared" si="89"/>
      </c>
      <c r="GL11" s="1950">
        <f t="shared" si="89"/>
      </c>
      <c r="GM11" s="1950">
        <f t="shared" si="89"/>
      </c>
      <c r="GN11" s="1950">
        <f t="shared" si="89"/>
      </c>
      <c r="GO11" s="1950">
        <f t="shared" si="89"/>
      </c>
      <c r="GP11" s="1950">
        <f t="shared" si="89"/>
      </c>
      <c r="GQ11" s="1950">
        <f t="shared" si="89"/>
      </c>
      <c r="GR11" s="1950">
        <f t="shared" si="89"/>
      </c>
      <c r="GS11" s="1950">
        <f t="shared" si="89"/>
      </c>
      <c r="GT11" s="1950">
        <f t="shared" si="89"/>
      </c>
      <c r="GU11" s="1950">
        <f t="shared" si="71"/>
      </c>
      <c r="GV11" s="1950">
        <f t="shared" si="72"/>
      </c>
      <c r="GW11" s="1950">
        <f t="shared" si="73"/>
      </c>
      <c r="GX11" s="1950">
        <f t="shared" si="74"/>
      </c>
      <c r="GY11" s="1950">
        <f t="shared" si="75"/>
      </c>
      <c r="GZ11" s="1950">
        <f t="shared" si="76"/>
      </c>
      <c r="HA11" s="1950">
        <f t="shared" si="77"/>
      </c>
      <c r="HB11" s="1950">
        <f t="shared" si="78"/>
      </c>
      <c r="HC11" s="1950">
        <f t="shared" si="79"/>
      </c>
      <c r="HD11" s="1950">
        <f t="shared" si="80"/>
      </c>
    </row>
    <row r="12" spans="1:212" s="16" customFormat="1">
      <c r="A12" s="9" t="s">
        <v>68</v>
      </c>
      <c r="B12" s="34">
        <v>153</v>
      </c>
      <c r="C12" s="34">
        <v>150</v>
      </c>
      <c r="D12" s="34">
        <v>155</v>
      </c>
      <c r="E12" s="182">
        <v>146</v>
      </c>
      <c r="F12" s="34">
        <v>149</v>
      </c>
      <c r="G12" s="34">
        <v>141</v>
      </c>
      <c r="H12" s="34">
        <v>101</v>
      </c>
      <c r="I12" s="34">
        <v>94</v>
      </c>
      <c r="J12" s="34">
        <v>79</v>
      </c>
      <c r="K12" s="34">
        <v>75</v>
      </c>
      <c r="L12" s="34">
        <v>76</v>
      </c>
      <c r="M12" s="34">
        <v>73</v>
      </c>
      <c r="N12" s="34">
        <v>76</v>
      </c>
      <c r="O12" s="34">
        <v>76</v>
      </c>
      <c r="P12" s="34">
        <v>80</v>
      </c>
      <c r="Q12" s="34">
        <v>82</v>
      </c>
      <c r="R12" s="34">
        <v>90</v>
      </c>
      <c r="S12" s="34">
        <v>92</v>
      </c>
      <c r="T12" s="34">
        <v>97</v>
      </c>
      <c r="U12" s="34">
        <v>101</v>
      </c>
      <c r="V12" s="34">
        <v>102</v>
      </c>
      <c r="W12" s="34">
        <v>101</v>
      </c>
      <c r="X12" s="34">
        <v>111</v>
      </c>
      <c r="Y12" s="34">
        <v>116</v>
      </c>
      <c r="Z12" s="34">
        <v>113</v>
      </c>
      <c r="AA12" s="34">
        <v>111</v>
      </c>
      <c r="AB12" s="34">
        <v>106</v>
      </c>
      <c r="AC12" s="34">
        <v>116</v>
      </c>
      <c r="AD12" s="34">
        <v>121</v>
      </c>
      <c r="AE12" s="34">
        <v>119</v>
      </c>
      <c r="AF12" s="34">
        <v>120</v>
      </c>
      <c r="AG12" s="34">
        <v>111</v>
      </c>
      <c r="AH12" s="34">
        <v>119</v>
      </c>
      <c r="AI12" s="34">
        <v>123</v>
      </c>
      <c r="AJ12" s="34">
        <v>125</v>
      </c>
      <c r="AK12" s="34">
        <v>122</v>
      </c>
      <c r="AL12" s="34">
        <v>123</v>
      </c>
      <c r="AM12" s="34">
        <v>120</v>
      </c>
      <c r="AN12" s="34">
        <v>145</v>
      </c>
      <c r="AO12" s="34">
        <v>147</v>
      </c>
      <c r="AP12" s="34">
        <v>182</v>
      </c>
      <c r="AQ12" s="34">
        <v>176</v>
      </c>
      <c r="AR12" s="34">
        <v>175</v>
      </c>
      <c r="AS12" s="34">
        <v>179</v>
      </c>
      <c r="AT12" s="34">
        <v>184</v>
      </c>
      <c r="AU12" s="34">
        <v>183</v>
      </c>
      <c r="AV12" s="34">
        <v>208</v>
      </c>
      <c r="AW12" s="34">
        <v>207</v>
      </c>
      <c r="AX12" s="34">
        <v>246</v>
      </c>
      <c r="AY12" s="34">
        <v>273</v>
      </c>
      <c r="AZ12" s="34">
        <v>292</v>
      </c>
      <c r="BA12" s="34">
        <v>298</v>
      </c>
      <c r="BB12" s="34">
        <v>315</v>
      </c>
      <c r="BC12" s="34">
        <v>319</v>
      </c>
      <c r="BD12" s="34">
        <v>341</v>
      </c>
      <c r="BE12" s="34">
        <v>358</v>
      </c>
      <c r="BF12" s="34">
        <v>398</v>
      </c>
      <c r="BG12" s="34">
        <v>426</v>
      </c>
      <c r="BH12" s="34">
        <v>464</v>
      </c>
      <c r="BI12" s="34">
        <v>494</v>
      </c>
      <c r="BJ12" s="34">
        <v>575</v>
      </c>
      <c r="BK12" s="34">
        <v>581</v>
      </c>
      <c r="BL12" s="34">
        <v>628</v>
      </c>
      <c r="BM12" s="34">
        <v>645</v>
      </c>
      <c r="BN12" s="34">
        <v>758</v>
      </c>
      <c r="BO12" s="34">
        <v>841</v>
      </c>
      <c r="BP12" s="34">
        <v>876</v>
      </c>
      <c r="BQ12" s="173">
        <v>906</v>
      </c>
      <c r="BR12" s="34">
        <v>1010</v>
      </c>
      <c r="BS12" s="34">
        <v>1119</v>
      </c>
      <c r="BT12" s="34">
        <v>1178</v>
      </c>
      <c r="BU12" s="173">
        <v>1168</v>
      </c>
      <c r="BV12" s="34">
        <v>1330</v>
      </c>
      <c r="BW12" s="34">
        <v>1422</v>
      </c>
      <c r="BX12" s="34">
        <v>1603</v>
      </c>
      <c r="BY12" s="173">
        <v>1686</v>
      </c>
      <c r="BZ12" s="34">
        <v>1895</v>
      </c>
      <c r="CA12" s="34">
        <v>1918</v>
      </c>
      <c r="CB12" s="34">
        <v>2034</v>
      </c>
      <c r="CC12" s="173">
        <v>2220</v>
      </c>
      <c r="CD12" s="34">
        <v>2404</v>
      </c>
      <c r="CE12" s="34">
        <v>2511</v>
      </c>
      <c r="CF12" s="77">
        <v>2560</v>
      </c>
      <c r="CG12" s="173">
        <v>2570</v>
      </c>
      <c r="CH12" s="34">
        <v>2871</v>
      </c>
      <c r="CI12" s="34">
        <v>2776</v>
      </c>
      <c r="CJ12" s="34">
        <v>2937</v>
      </c>
      <c r="CK12" s="173">
        <v>2997</v>
      </c>
      <c r="CL12" s="34">
        <v>3407</v>
      </c>
      <c r="CM12" s="34">
        <v>3378</v>
      </c>
      <c r="CN12" s="34">
        <v>3701</v>
      </c>
      <c r="CO12" s="173">
        <v>3750</v>
      </c>
      <c r="CP12" s="77">
        <v>3902</v>
      </c>
      <c r="CQ12" s="34">
        <v>3948</v>
      </c>
      <c r="CR12" s="34">
        <v>4257</v>
      </c>
      <c r="CS12" s="173">
        <v>4110</v>
      </c>
      <c r="CT12" s="77">
        <v>4451</v>
      </c>
      <c r="CU12" s="34">
        <v>4565</v>
      </c>
      <c r="CV12" s="34">
        <v>4758</v>
      </c>
      <c r="CW12" s="173">
        <v>4978</v>
      </c>
      <c r="CX12" s="382">
        <v>5163</v>
      </c>
      <c r="CY12" s="34">
        <v>5262</v>
      </c>
      <c r="CZ12" s="34">
        <v>5717</v>
      </c>
      <c r="DA12" s="173">
        <v>5772</v>
      </c>
      <c r="DB12" s="382">
        <v>6306</v>
      </c>
      <c r="DC12" s="34">
        <v>6387</v>
      </c>
      <c r="DD12" s="34">
        <v>6797</v>
      </c>
      <c r="DE12" s="192">
        <v>6761</v>
      </c>
      <c r="DF12" s="382">
        <v>7709</v>
      </c>
      <c r="DG12" s="34">
        <v>7457</v>
      </c>
      <c r="DH12" s="34">
        <v>7442</v>
      </c>
      <c r="DI12" s="192">
        <v>7307</v>
      </c>
      <c r="DJ12" s="382">
        <v>7696</v>
      </c>
      <c r="DK12" s="34">
        <v>7903</v>
      </c>
      <c r="DL12" s="34">
        <v>8006</v>
      </c>
      <c r="DM12" s="192">
        <v>7765</v>
      </c>
      <c r="DN12" s="382">
        <v>8268</v>
      </c>
      <c r="DO12" s="34">
        <v>8550</v>
      </c>
      <c r="DP12" s="34">
        <v>8866</v>
      </c>
      <c r="DQ12" s="226">
        <f t="shared" ref="DQ12:DU12" si="90">DP12+DQ120</f>
      </c>
      <c r="DR12" s="62">
        <f t="shared" si="90"/>
      </c>
      <c r="DS12" s="62">
        <f t="shared" si="90"/>
      </c>
      <c r="DT12" s="62">
        <f t="shared" si="90"/>
      </c>
      <c r="DU12" s="226">
        <f t="shared" si="90"/>
      </c>
      <c r="DV12" s="62">
        <f t="shared" ref="DV12:DV13" si="91">DU12+DV120</f>
      </c>
      <c r="DW12" s="62">
        <f t="shared" ref="DW12:DW13" si="92">DV12+DW120</f>
      </c>
      <c r="DX12" s="62">
        <f t="shared" ref="DX12:DX13" si="93">DW12+DX120</f>
      </c>
      <c r="DY12" s="226">
        <f t="shared" ref="DY12:DY13" si="94">DX12+DY120</f>
      </c>
      <c r="DZ12" s="62">
        <f t="shared" ref="DZ12:DZ13" si="95">DY12+DZ120</f>
      </c>
      <c r="EA12" s="62">
        <f t="shared" ref="EA12:EA13" si="96">DZ12+EA120</f>
      </c>
      <c r="EB12" s="62">
        <f t="shared" ref="EB12:EB13" si="97">EA12+EB120</f>
      </c>
      <c r="EC12" s="226">
        <f t="shared" ref="EC12:EC13" si="98">EB12+EC120</f>
      </c>
      <c r="ED12" s="62">
        <f t="shared" ref="ED12:ED13" si="99">EC12+ED120</f>
      </c>
      <c r="EE12" s="62">
        <f t="shared" ref="EE12:EE13" si="100">ED12+EE120</f>
      </c>
      <c r="EF12" s="62">
        <f t="shared" ref="EF12:EF13" si="101">EE12+EF120</f>
      </c>
      <c r="EG12" s="226">
        <f t="shared" ref="EG12:EG13" si="102">EF12+EG120</f>
      </c>
      <c r="EH12" s="62">
        <f t="shared" ref="EH12:EH13" si="103">EG12+EH120</f>
      </c>
      <c r="EI12" s="62">
        <f t="shared" ref="EI12:EI13" si="104">EH12+EI120</f>
      </c>
      <c r="EJ12" s="62">
        <f t="shared" ref="EJ12:EJ13" si="105">EI12+EJ120</f>
      </c>
      <c r="EK12" s="226">
        <f t="shared" ref="EK12:EK13" si="106">EJ12+EK120</f>
      </c>
      <c r="EL12" s="90"/>
      <c r="EM12" s="8">
        <f>SUM(B12:E12)</f>
      </c>
      <c r="EN12" s="8">
        <f>SUM(F12:I12)</f>
      </c>
      <c r="EO12" s="8">
        <f>SUM(J12:M12)</f>
      </c>
      <c r="EP12" s="8">
        <f>SUM(N12:Q12)</f>
      </c>
      <c r="EQ12" s="8">
        <f>SUM(R12:U12)</f>
      </c>
      <c r="ER12" s="8">
        <f>SUM(V12:Y12)</f>
      </c>
      <c r="ES12" s="8">
        <f>SUM(Z12:AC12)</f>
      </c>
      <c r="ET12" s="8">
        <f>SUM(AD12:AG12)</f>
      </c>
      <c r="EU12" s="8">
        <f>SUM(AH12:AK12)</f>
      </c>
      <c r="EV12" s="8">
        <f>SUM(AL12:AO12)</f>
      </c>
      <c r="EW12" s="8">
        <f>SUM(AP12:AS12)</f>
      </c>
      <c r="EX12" s="8">
        <f>SUM(AT12:AW12)</f>
      </c>
      <c r="EY12" s="8">
        <f>SUM(AX12:BA12)</f>
      </c>
      <c r="EZ12" s="8">
        <f>SUM(BB12:BE12)</f>
      </c>
      <c r="FA12" s="8">
        <f>SUM(BF12:BI12)</f>
      </c>
      <c r="FB12" s="8">
        <f>SUM(BJ12:BM12)</f>
      </c>
      <c r="FC12" s="8">
        <f>SUM(BN12:BQ12)</f>
      </c>
      <c r="FD12" s="8">
        <f>SUM(BR12:BU12)</f>
      </c>
      <c r="FE12" s="8">
        <f>SUM(BV12:BY12)</f>
      </c>
      <c r="FF12" s="8">
        <f>SUM(BZ12:CC12)</f>
      </c>
      <c r="FG12" s="8">
        <f>SUM(CD12:CG12)</f>
      </c>
      <c r="FH12" s="8">
        <f>SUM(CH12:CK12)</f>
      </c>
      <c r="FI12" s="8">
        <f>SUM(CL12:CO12)</f>
      </c>
      <c r="FJ12" s="8">
        <f>SUM(CP12:CS12)</f>
      </c>
      <c r="FK12" s="8">
        <f>SUM(CT12:CW12)</f>
      </c>
      <c r="FL12" s="1269">
        <f t="shared" si="61"/>
      </c>
      <c r="FM12" s="8">
        <f t="shared" si="62"/>
      </c>
      <c r="FN12" s="8">
        <f t="shared" si="63"/>
      </c>
      <c r="FO12" s="8">
        <f t="shared" si="64"/>
      </c>
      <c r="FP12" s="8">
        <f t="shared" si="65"/>
      </c>
      <c r="FQ12" s="8">
        <f t="shared" si="66"/>
      </c>
      <c r="FR12" s="8">
        <f t="shared" si="67"/>
      </c>
      <c r="FS12" s="8">
        <f t="shared" si="68"/>
      </c>
      <c r="FT12" s="8">
        <f t="shared" si="69"/>
      </c>
      <c r="FU12" s="2873">
        <f t="shared" si="70"/>
      </c>
      <c r="FV12" s="1994"/>
      <c r="FW12" s="8">
        <f>SUM(C12:F12)</f>
      </c>
      <c r="FX12" s="8">
        <f>SUM(G12:J12)</f>
      </c>
      <c r="FY12" s="8">
        <f>SUM(K12:N12)</f>
      </c>
      <c r="FZ12" s="8">
        <f>SUM(O12:R12)</f>
      </c>
      <c r="GA12" s="8">
        <f>SUM(S12:V12)</f>
      </c>
      <c r="GB12" s="8">
        <f>SUM(W12:Z12)</f>
      </c>
      <c r="GC12" s="8">
        <f>SUM(AA12:AD12)</f>
      </c>
      <c r="GD12" s="8">
        <f>SUM(AE12:AH12)</f>
      </c>
      <c r="GE12" s="8">
        <f>SUM(AI12:AL12)</f>
      </c>
      <c r="GF12" s="8">
        <f>SUM(AM12:AP12)</f>
      </c>
      <c r="GG12" s="8">
        <f>SUM(AQ12:AT12)</f>
      </c>
      <c r="GH12" s="8">
        <f>SUM(AU12:AX12)</f>
      </c>
      <c r="GI12" s="8">
        <f>SUM(AY12:BB12)</f>
      </c>
      <c r="GJ12" s="8">
        <f>SUM(BC12:BF12)</f>
      </c>
      <c r="GK12" s="8">
        <f>SUM(BG12:BJ12)</f>
      </c>
      <c r="GL12" s="8">
        <f>SUM(BK12:BN12)</f>
      </c>
      <c r="GM12" s="8">
        <f>SUM(BO12:BR12)</f>
      </c>
      <c r="GN12" s="8">
        <f>SUM(BS12:BV12)</f>
      </c>
      <c r="GO12" s="8">
        <f>SUM(BW12:BZ12)</f>
      </c>
      <c r="GP12" s="8">
        <f>SUM(CA12:CD12)</f>
      </c>
      <c r="GQ12" s="8">
        <f>SUM(CE12:CH12)</f>
      </c>
      <c r="GR12" s="8">
        <f>SUM(CI12:CL12)</f>
      </c>
      <c r="GS12" s="8">
        <f>SUM(CM12:CP12)</f>
      </c>
      <c r="GT12" s="8">
        <f>SUM(CQ12:CT12)</f>
      </c>
      <c r="GU12" s="8">
        <f t="shared" si="71"/>
      </c>
      <c r="GV12" s="8">
        <f t="shared" si="72"/>
      </c>
      <c r="GW12" s="8">
        <f t="shared" si="73"/>
      </c>
      <c r="GX12" s="8">
        <f t="shared" si="74"/>
      </c>
      <c r="GY12" s="8">
        <f t="shared" si="75"/>
      </c>
      <c r="GZ12" s="8">
        <f t="shared" si="76"/>
      </c>
      <c r="HA12" s="8">
        <f t="shared" si="77"/>
      </c>
      <c r="HB12" s="8">
        <f t="shared" si="78"/>
      </c>
      <c r="HC12" s="8">
        <f t="shared" si="79"/>
      </c>
      <c r="HD12" s="8">
        <f t="shared" si="80"/>
      </c>
    </row>
    <row r="13" spans="1:212" s="16" customFormat="1">
      <c r="A13" s="7" t="s">
        <v>76</v>
      </c>
      <c r="B13" s="65">
        <v>441</v>
      </c>
      <c r="C13" s="34">
        <v>404</v>
      </c>
      <c r="D13" s="34">
        <v>364</v>
      </c>
      <c r="E13" s="182">
        <v>359</v>
      </c>
      <c r="F13" s="34">
        <v>372</v>
      </c>
      <c r="G13" s="34">
        <v>348</v>
      </c>
      <c r="H13" s="34">
        <v>307</v>
      </c>
      <c r="I13" s="34">
        <v>259</v>
      </c>
      <c r="J13" s="34">
        <v>234</v>
      </c>
      <c r="K13" s="34">
        <v>223</v>
      </c>
      <c r="L13" s="34">
        <v>216</v>
      </c>
      <c r="M13" s="34">
        <v>235</v>
      </c>
      <c r="N13" s="34">
        <v>279</v>
      </c>
      <c r="O13" s="34">
        <v>239</v>
      </c>
      <c r="P13" s="34">
        <v>243</v>
      </c>
      <c r="Q13" s="34">
        <v>235</v>
      </c>
      <c r="R13" s="34">
        <v>319</v>
      </c>
      <c r="S13" s="34">
        <v>287</v>
      </c>
      <c r="T13" s="34">
        <v>278</v>
      </c>
      <c r="U13" s="34">
        <v>282</v>
      </c>
      <c r="V13" s="34">
        <v>297</v>
      </c>
      <c r="W13" s="34">
        <v>292</v>
      </c>
      <c r="X13" s="34">
        <v>281</v>
      </c>
      <c r="Y13" s="34">
        <v>268</v>
      </c>
      <c r="Z13" s="34">
        <v>289</v>
      </c>
      <c r="AA13" s="34">
        <v>270.5</v>
      </c>
      <c r="AB13" s="34">
        <v>272</v>
      </c>
      <c r="AC13" s="34">
        <v>280</v>
      </c>
      <c r="AD13" s="34">
        <v>299</v>
      </c>
      <c r="AE13" s="34">
        <v>300</v>
      </c>
      <c r="AF13" s="34">
        <v>299</v>
      </c>
      <c r="AG13" s="34">
        <v>314</v>
      </c>
      <c r="AH13" s="34">
        <v>343</v>
      </c>
      <c r="AI13" s="34">
        <v>345</v>
      </c>
      <c r="AJ13" s="34">
        <v>354</v>
      </c>
      <c r="AK13" s="34">
        <v>379</v>
      </c>
      <c r="AL13" s="34">
        <v>472</v>
      </c>
      <c r="AM13" s="34">
        <v>448</v>
      </c>
      <c r="AN13" s="34">
        <v>473</v>
      </c>
      <c r="AO13" s="34">
        <v>471</v>
      </c>
      <c r="AP13" s="34">
        <v>632</v>
      </c>
      <c r="AQ13" s="34">
        <v>592</v>
      </c>
      <c r="AR13" s="34">
        <v>584</v>
      </c>
      <c r="AS13" s="34">
        <v>625</v>
      </c>
      <c r="AT13" s="34">
        <v>714</v>
      </c>
      <c r="AU13" s="34">
        <v>680</v>
      </c>
      <c r="AV13" s="34">
        <v>746</v>
      </c>
      <c r="AW13" s="34">
        <v>823</v>
      </c>
      <c r="AX13" s="34">
        <v>960</v>
      </c>
      <c r="AY13" s="34">
        <v>886</v>
      </c>
      <c r="AZ13" s="34">
        <v>916</v>
      </c>
      <c r="BA13" s="34">
        <v>999</v>
      </c>
      <c r="BB13" s="34">
        <v>1091</v>
      </c>
      <c r="BC13" s="34">
        <v>985</v>
      </c>
      <c r="BD13" s="34">
        <v>1010</v>
      </c>
      <c r="BE13" s="34">
        <v>1063</v>
      </c>
      <c r="BF13" s="34">
        <v>1288</v>
      </c>
      <c r="BG13" s="34">
        <v>1220</v>
      </c>
      <c r="BH13" s="34">
        <v>1438</v>
      </c>
      <c r="BI13" s="34">
        <v>1571</v>
      </c>
      <c r="BJ13" s="34">
        <v>1896</v>
      </c>
      <c r="BK13" s="34">
        <v>1763</v>
      </c>
      <c r="BL13" s="34">
        <v>1915</v>
      </c>
      <c r="BM13" s="34">
        <v>2025</v>
      </c>
      <c r="BN13" s="34">
        <v>2605</v>
      </c>
      <c r="BO13" s="34">
        <v>2339</v>
      </c>
      <c r="BP13" s="34">
        <v>2545</v>
      </c>
      <c r="BQ13" s="173">
        <v>2551</v>
      </c>
      <c r="BR13" s="34">
        <v>2840</v>
      </c>
      <c r="BS13" s="34">
        <v>2672</v>
      </c>
      <c r="BT13" s="34">
        <v>2645</v>
      </c>
      <c r="BU13" s="173">
        <v>2673</v>
      </c>
      <c r="BV13" s="34">
        <v>3053</v>
      </c>
      <c r="BW13" s="34">
        <v>2932</v>
      </c>
      <c r="BX13" s="34">
        <v>2850</v>
      </c>
      <c r="BY13" s="173">
        <v>3158</v>
      </c>
      <c r="BZ13" s="34">
        <v>3600</v>
      </c>
      <c r="CA13" s="34">
        <v>3460</v>
      </c>
      <c r="CB13" s="34">
        <v>3564</v>
      </c>
      <c r="CC13" s="173">
        <v>3705</v>
      </c>
      <c r="CD13" s="34">
        <v>3848</v>
      </c>
      <c r="CE13" s="34">
        <v>3423</v>
      </c>
      <c r="CF13" s="77">
        <v>3441</v>
      </c>
      <c r="CG13" s="173">
        <v>3482</v>
      </c>
      <c r="CH13" s="34">
        <v>3946</v>
      </c>
      <c r="CI13" s="34">
        <v>3718</v>
      </c>
      <c r="CJ13" s="34">
        <v>3783</v>
      </c>
      <c r="CK13" s="173">
        <v>3814</v>
      </c>
      <c r="CL13" s="34">
        <v>4231</v>
      </c>
      <c r="CM13" s="34">
        <v>4150</v>
      </c>
      <c r="CN13" s="34">
        <v>4108</v>
      </c>
      <c r="CO13" s="173">
        <v>4216</v>
      </c>
      <c r="CP13" s="77">
        <v>4783</v>
      </c>
      <c r="CQ13" s="34">
        <v>4458</v>
      </c>
      <c r="CR13" s="34">
        <v>4426</v>
      </c>
      <c r="CS13" s="173">
        <v>4578</v>
      </c>
      <c r="CT13" s="77">
        <v>5197</v>
      </c>
      <c r="CU13" s="34">
        <v>4952</v>
      </c>
      <c r="CV13" s="34">
        <v>4831</v>
      </c>
      <c r="CW13" s="173">
        <v>4936</v>
      </c>
      <c r="CX13" s="382">
        <v>5631</v>
      </c>
      <c r="CY13" s="34">
        <v>5314</v>
      </c>
      <c r="CZ13" s="34">
        <v>5412</v>
      </c>
      <c r="DA13" s="173">
        <v>5616</v>
      </c>
      <c r="DB13" s="382">
        <v>6449</v>
      </c>
      <c r="DC13" s="34">
        <v>6193</v>
      </c>
      <c r="DD13" s="34">
        <v>6012</v>
      </c>
      <c r="DE13" s="192">
        <v>6440</v>
      </c>
      <c r="DF13" s="382">
        <v>6607</v>
      </c>
      <c r="DG13" s="34">
        <v>6201</v>
      </c>
      <c r="DH13" s="34">
        <v>5973</v>
      </c>
      <c r="DI13" s="192">
        <v>6151</v>
      </c>
      <c r="DJ13" s="382">
        <v>6786</v>
      </c>
      <c r="DK13" s="34">
        <v>6468</v>
      </c>
      <c r="DL13" s="34">
        <v>6320</v>
      </c>
      <c r="DM13" s="192">
        <v>6523</v>
      </c>
      <c r="DN13" s="382">
        <v>7175</v>
      </c>
      <c r="DO13" s="34">
        <v>6728</v>
      </c>
      <c r="DP13" s="34">
        <v>6650</v>
      </c>
      <c r="DQ13" s="226">
        <f t="shared" ref="DQ13:DU13" si="107">DP13+DQ121</f>
      </c>
      <c r="DR13" s="62">
        <f t="shared" si="107"/>
      </c>
      <c r="DS13" s="62">
        <f t="shared" si="107"/>
      </c>
      <c r="DT13" s="62">
        <f t="shared" si="107"/>
      </c>
      <c r="DU13" s="226">
        <f t="shared" si="107"/>
      </c>
      <c r="DV13" s="62">
        <f t="shared" si="91"/>
      </c>
      <c r="DW13" s="62">
        <f t="shared" si="92"/>
      </c>
      <c r="DX13" s="62">
        <f t="shared" si="93"/>
      </c>
      <c r="DY13" s="226">
        <f t="shared" si="94"/>
      </c>
      <c r="DZ13" s="62">
        <f t="shared" si="95"/>
      </c>
      <c r="EA13" s="62">
        <f t="shared" si="96"/>
      </c>
      <c r="EB13" s="62">
        <f t="shared" si="97"/>
      </c>
      <c r="EC13" s="226">
        <f t="shared" si="98"/>
      </c>
      <c r="ED13" s="62">
        <f t="shared" si="99"/>
      </c>
      <c r="EE13" s="62">
        <f t="shared" si="100"/>
      </c>
      <c r="EF13" s="62">
        <f t="shared" si="101"/>
      </c>
      <c r="EG13" s="226">
        <f t="shared" si="102"/>
      </c>
      <c r="EH13" s="62">
        <f t="shared" si="103"/>
      </c>
      <c r="EI13" s="62">
        <f t="shared" si="104"/>
      </c>
      <c r="EJ13" s="62">
        <f t="shared" si="105"/>
      </c>
      <c r="EK13" s="226">
        <f t="shared" si="106"/>
      </c>
      <c r="EL13" s="90"/>
      <c r="EM13" s="1269">
        <f>SUM(B13:E13)</f>
      </c>
      <c r="EN13" s="8">
        <f>SUM(F13:I13)</f>
      </c>
      <c r="EO13" s="8">
        <f>SUM(J13:M13)</f>
      </c>
      <c r="EP13" s="8">
        <f>SUM(N13:Q13)</f>
      </c>
      <c r="EQ13" s="8">
        <f>SUM(R13:U13)</f>
      </c>
      <c r="ER13" s="8">
        <f>SUM(V13:Y13)</f>
      </c>
      <c r="ES13" s="8">
        <f>SUM(Z13:AC13)</f>
      </c>
      <c r="ET13" s="8">
        <f>SUM(AD13:AG13)</f>
      </c>
      <c r="EU13" s="8">
        <f>SUM(AH13:AK13)</f>
      </c>
      <c r="EV13" s="8">
        <f>SUM(AL13:AO13)</f>
      </c>
      <c r="EW13" s="8">
        <f>SUM(AP13:AS13)</f>
      </c>
      <c r="EX13" s="8">
        <f>SUM(AT13:AW13)</f>
      </c>
      <c r="EY13" s="8">
        <f>SUM(AX13:BA13)</f>
      </c>
      <c r="EZ13" s="8">
        <f>SUM(BB13:BE13)</f>
      </c>
      <c r="FA13" s="8">
        <f>SUM(BF13:BI13)</f>
      </c>
      <c r="FB13" s="8">
        <f>SUM(BJ13:BM13)</f>
      </c>
      <c r="FC13" s="8">
        <f>SUM(BN13:BQ13)</f>
      </c>
      <c r="FD13" s="8">
        <f>SUM(BR13:BU13)</f>
      </c>
      <c r="FE13" s="8">
        <f>SUM(BV13:BY13)</f>
      </c>
      <c r="FF13" s="8">
        <f>SUM(BZ13:CC13)</f>
      </c>
      <c r="FG13" s="8">
        <f>SUM(CD13:CG13)</f>
      </c>
      <c r="FH13" s="8">
        <f>SUM(CH13:CK13)</f>
      </c>
      <c r="FI13" s="8">
        <f>SUM(CL13:CO13)</f>
      </c>
      <c r="FJ13" s="8">
        <f>SUM(CP13:CS13)</f>
      </c>
      <c r="FK13" s="8">
        <f>SUM(CT13:CW13)</f>
      </c>
      <c r="FL13" s="1269">
        <f t="shared" si="61"/>
      </c>
      <c r="FM13" s="8">
        <f t="shared" si="62"/>
      </c>
      <c r="FN13" s="8">
        <f t="shared" si="63"/>
      </c>
      <c r="FO13" s="8">
        <f t="shared" si="64"/>
      </c>
      <c r="FP13" s="8">
        <f t="shared" si="65"/>
      </c>
      <c r="FQ13" s="8">
        <f t="shared" si="66"/>
      </c>
      <c r="FR13" s="8">
        <f t="shared" si="67"/>
      </c>
      <c r="FS13" s="8">
        <f t="shared" si="68"/>
      </c>
      <c r="FT13" s="8">
        <f t="shared" si="69"/>
      </c>
      <c r="FU13" s="2873">
        <f t="shared" si="70"/>
      </c>
      <c r="FV13" s="1994"/>
      <c r="FW13" s="8">
        <f>SUM(C13:F13)</f>
      </c>
      <c r="FX13" s="8">
        <f>SUM(G13:J13)</f>
      </c>
      <c r="FY13" s="8">
        <f>SUM(K13:N13)</f>
      </c>
      <c r="FZ13" s="8">
        <f>SUM(O13:R13)</f>
      </c>
      <c r="GA13" s="8">
        <f>SUM(S13:V13)</f>
      </c>
      <c r="GB13" s="8">
        <f>SUM(W13:Z13)</f>
      </c>
      <c r="GC13" s="8">
        <f>SUM(AA13:AD13)</f>
      </c>
      <c r="GD13" s="8">
        <f>SUM(AE13:AH13)</f>
      </c>
      <c r="GE13" s="8">
        <f>SUM(AI13:AL13)</f>
      </c>
      <c r="GF13" s="8">
        <f>SUM(AM13:AP13)</f>
      </c>
      <c r="GG13" s="8">
        <f>SUM(AQ13:AT13)</f>
      </c>
      <c r="GH13" s="8">
        <f>SUM(AU13:AX13)</f>
      </c>
      <c r="GI13" s="8">
        <f>SUM(AY13:BB13)</f>
      </c>
      <c r="GJ13" s="8">
        <f>SUM(BC13:BF13)</f>
      </c>
      <c r="GK13" s="8">
        <f>SUM(BG13:BJ13)</f>
      </c>
      <c r="GL13" s="8">
        <f>SUM(BK13:BN13)</f>
      </c>
      <c r="GM13" s="8">
        <f>SUM(BO13:BR13)</f>
      </c>
      <c r="GN13" s="8">
        <f>SUM(BS13:BV13)</f>
      </c>
      <c r="GO13" s="8">
        <f>SUM(BW13:BZ13)</f>
      </c>
      <c r="GP13" s="8">
        <f>SUM(CA13:CD13)</f>
      </c>
      <c r="GQ13" s="8">
        <f>SUM(CE13:CH13)</f>
      </c>
      <c r="GR13" s="8">
        <f>SUM(CI13:CL13)</f>
      </c>
      <c r="GS13" s="8">
        <f>SUM(CM13:CP13)</f>
      </c>
      <c r="GT13" s="8">
        <f>SUM(CQ13:CT13)</f>
      </c>
      <c r="GU13" s="8">
        <f t="shared" si="71"/>
      </c>
      <c r="GV13" s="8">
        <f t="shared" si="72"/>
      </c>
      <c r="GW13" s="8">
        <f t="shared" si="73"/>
      </c>
      <c r="GX13" s="8">
        <f t="shared" si="74"/>
      </c>
      <c r="GY13" s="8">
        <f t="shared" si="75"/>
      </c>
      <c r="GZ13" s="8">
        <f t="shared" si="76"/>
      </c>
      <c r="HA13" s="8">
        <f t="shared" si="77"/>
      </c>
      <c r="HB13" s="8">
        <f t="shared" si="78"/>
      </c>
      <c r="HC13" s="8">
        <f t="shared" si="79"/>
      </c>
      <c r="HD13" s="8">
        <f t="shared" si="80"/>
      </c>
    </row>
    <row r="14" spans="1:212" s="16" customFormat="1">
      <c r="A14" s="1977" t="s">
        <v>69</v>
      </c>
      <c r="B14" s="1978">
        <f t="shared" ref="B14:AG14" si="108">B12+B13</f>
      </c>
      <c r="C14" s="1978">
        <f t="shared" si="108"/>
      </c>
      <c r="D14" s="1978">
        <f t="shared" si="108"/>
      </c>
      <c r="E14" s="1979">
        <f t="shared" si="108"/>
      </c>
      <c r="F14" s="1978">
        <f t="shared" si="108"/>
      </c>
      <c r="G14" s="1978">
        <f t="shared" si="108"/>
      </c>
      <c r="H14" s="1978">
        <f t="shared" si="108"/>
      </c>
      <c r="I14" s="1978">
        <f t="shared" si="108"/>
      </c>
      <c r="J14" s="1978">
        <f t="shared" si="108"/>
      </c>
      <c r="K14" s="1978">
        <f t="shared" si="108"/>
      </c>
      <c r="L14" s="1978">
        <f t="shared" si="108"/>
      </c>
      <c r="M14" s="1978">
        <f t="shared" si="108"/>
      </c>
      <c r="N14" s="1978">
        <f t="shared" si="108"/>
      </c>
      <c r="O14" s="1978">
        <f t="shared" si="108"/>
      </c>
      <c r="P14" s="1978">
        <f t="shared" si="108"/>
      </c>
      <c r="Q14" s="1978">
        <f t="shared" si="108"/>
      </c>
      <c r="R14" s="1978">
        <f t="shared" si="108"/>
      </c>
      <c r="S14" s="1978">
        <f t="shared" si="108"/>
      </c>
      <c r="T14" s="1978">
        <f t="shared" si="108"/>
      </c>
      <c r="U14" s="1978">
        <f t="shared" si="108"/>
      </c>
      <c r="V14" s="1978">
        <f t="shared" si="108"/>
      </c>
      <c r="W14" s="1978">
        <f t="shared" si="108"/>
      </c>
      <c r="X14" s="1978">
        <f t="shared" si="108"/>
      </c>
      <c r="Y14" s="1978">
        <f t="shared" si="108"/>
      </c>
      <c r="Z14" s="1978">
        <f t="shared" si="108"/>
      </c>
      <c r="AA14" s="1978">
        <f t="shared" si="108"/>
      </c>
      <c r="AB14" s="1978">
        <f t="shared" si="108"/>
      </c>
      <c r="AC14" s="1978">
        <f t="shared" si="108"/>
      </c>
      <c r="AD14" s="1978">
        <f t="shared" si="108"/>
      </c>
      <c r="AE14" s="1978">
        <f t="shared" si="108"/>
      </c>
      <c r="AF14" s="1978">
        <f t="shared" si="108"/>
      </c>
      <c r="AG14" s="1978">
        <f t="shared" si="108"/>
      </c>
      <c r="AH14" s="1978">
        <f t="shared" ref="AH14:BM14" si="109">AH12+AH13</f>
      </c>
      <c r="AI14" s="1978">
        <f t="shared" si="109"/>
      </c>
      <c r="AJ14" s="1978">
        <f t="shared" si="109"/>
      </c>
      <c r="AK14" s="1978">
        <f t="shared" si="109"/>
      </c>
      <c r="AL14" s="1978">
        <f t="shared" si="109"/>
      </c>
      <c r="AM14" s="1978">
        <f t="shared" si="109"/>
      </c>
      <c r="AN14" s="1978">
        <f t="shared" si="109"/>
      </c>
      <c r="AO14" s="1978">
        <f t="shared" si="109"/>
      </c>
      <c r="AP14" s="1978">
        <f t="shared" si="109"/>
      </c>
      <c r="AQ14" s="1978">
        <f t="shared" si="109"/>
      </c>
      <c r="AR14" s="1978">
        <f t="shared" si="109"/>
      </c>
      <c r="AS14" s="1978">
        <f t="shared" si="109"/>
      </c>
      <c r="AT14" s="1978">
        <f t="shared" si="109"/>
      </c>
      <c r="AU14" s="1978">
        <f t="shared" si="109"/>
      </c>
      <c r="AV14" s="1978">
        <f t="shared" si="109"/>
      </c>
      <c r="AW14" s="1978">
        <f t="shared" si="109"/>
      </c>
      <c r="AX14" s="1978">
        <f t="shared" si="109"/>
      </c>
      <c r="AY14" s="1978">
        <f t="shared" si="109"/>
      </c>
      <c r="AZ14" s="1978">
        <f t="shared" si="109"/>
      </c>
      <c r="BA14" s="1978">
        <f t="shared" si="109"/>
      </c>
      <c r="BB14" s="1978">
        <f t="shared" si="109"/>
      </c>
      <c r="BC14" s="1978">
        <f t="shared" si="109"/>
      </c>
      <c r="BD14" s="1978">
        <f t="shared" si="109"/>
      </c>
      <c r="BE14" s="1978">
        <f t="shared" si="109"/>
      </c>
      <c r="BF14" s="1978">
        <f t="shared" si="109"/>
      </c>
      <c r="BG14" s="1978">
        <f t="shared" si="109"/>
      </c>
      <c r="BH14" s="1978">
        <f t="shared" si="109"/>
      </c>
      <c r="BI14" s="1978">
        <f t="shared" si="109"/>
      </c>
      <c r="BJ14" s="1978">
        <f t="shared" si="109"/>
      </c>
      <c r="BK14" s="1978">
        <f t="shared" si="109"/>
      </c>
      <c r="BL14" s="1978">
        <f t="shared" si="109"/>
      </c>
      <c r="BM14" s="1978">
        <f t="shared" si="109"/>
      </c>
      <c r="BN14" s="1978">
        <f t="shared" ref="BN14:CS14" si="110">BN12+BN13</f>
      </c>
      <c r="BO14" s="1978">
        <f t="shared" si="110"/>
      </c>
      <c r="BP14" s="1978">
        <f t="shared" si="110"/>
      </c>
      <c r="BQ14" s="1980">
        <f t="shared" si="110"/>
      </c>
      <c r="BR14" s="1978">
        <f t="shared" si="110"/>
      </c>
      <c r="BS14" s="1978">
        <f t="shared" si="110"/>
      </c>
      <c r="BT14" s="1978">
        <f t="shared" si="110"/>
      </c>
      <c r="BU14" s="1980">
        <f t="shared" si="110"/>
      </c>
      <c r="BV14" s="1978">
        <f t="shared" si="110"/>
      </c>
      <c r="BW14" s="1978">
        <f t="shared" si="110"/>
      </c>
      <c r="BX14" s="1978">
        <f t="shared" si="110"/>
      </c>
      <c r="BY14" s="1980">
        <f t="shared" si="110"/>
      </c>
      <c r="BZ14" s="1978">
        <f t="shared" si="110"/>
      </c>
      <c r="CA14" s="1978">
        <f t="shared" si="110"/>
      </c>
      <c r="CB14" s="1978">
        <f t="shared" si="110"/>
      </c>
      <c r="CC14" s="1980">
        <f t="shared" si="110"/>
      </c>
      <c r="CD14" s="1978">
        <f t="shared" si="110"/>
      </c>
      <c r="CE14" s="1978">
        <f t="shared" si="110"/>
      </c>
      <c r="CF14" s="1978">
        <f t="shared" si="110"/>
      </c>
      <c r="CG14" s="1980">
        <f t="shared" si="110"/>
      </c>
      <c r="CH14" s="1978">
        <f t="shared" si="110"/>
      </c>
      <c r="CI14" s="1978">
        <f t="shared" si="110"/>
      </c>
      <c r="CJ14" s="1978">
        <f t="shared" si="110"/>
      </c>
      <c r="CK14" s="1980">
        <f t="shared" si="110"/>
      </c>
      <c r="CL14" s="1978">
        <f t="shared" si="110"/>
      </c>
      <c r="CM14" s="1978">
        <f t="shared" si="110"/>
      </c>
      <c r="CN14" s="1978">
        <f t="shared" si="110"/>
      </c>
      <c r="CO14" s="1980">
        <f t="shared" si="110"/>
      </c>
      <c r="CP14" s="1978">
        <f t="shared" si="110"/>
      </c>
      <c r="CQ14" s="1978">
        <f t="shared" si="110"/>
      </c>
      <c r="CR14" s="1978">
        <f t="shared" si="110"/>
      </c>
      <c r="CS14" s="1980">
        <f t="shared" si="110"/>
      </c>
      <c r="CT14" s="1978">
        <f t="shared" ref="CT14:DU14" si="111">CT12+CT13</f>
      </c>
      <c r="CU14" s="1978">
        <f t="shared" si="111"/>
      </c>
      <c r="CV14" s="1978">
        <f t="shared" si="111"/>
      </c>
      <c r="CW14" s="1980">
        <f t="shared" si="111"/>
      </c>
      <c r="CX14" s="1981">
        <f t="shared" si="111"/>
      </c>
      <c r="CY14" s="1978">
        <f t="shared" si="111"/>
      </c>
      <c r="CZ14" s="1978">
        <f t="shared" si="111"/>
      </c>
      <c r="DA14" s="1980">
        <f t="shared" si="111"/>
      </c>
      <c r="DB14" s="1981">
        <f t="shared" si="111"/>
      </c>
      <c r="DC14" s="1978">
        <f t="shared" si="111"/>
      </c>
      <c r="DD14" s="1978">
        <f t="shared" si="111"/>
      </c>
      <c r="DE14" s="1980">
        <f>DE12+DE13</f>
      </c>
      <c r="DF14" s="1981">
        <f t="shared" ref="DF14" si="112">DF12+DF13</f>
      </c>
      <c r="DG14" s="1978">
        <f>DG12+DG13</f>
      </c>
      <c r="DH14" s="1978">
        <f>DH12+DH13</f>
      </c>
      <c r="DI14" s="1980">
        <f t="shared" si="111"/>
      </c>
      <c r="DJ14" s="1981">
        <f t="shared" si="111"/>
      </c>
      <c r="DK14" s="1978">
        <f>DK12+DK13</f>
      </c>
      <c r="DL14" s="1978">
        <f>DL12+DL13</f>
      </c>
      <c r="DM14" s="1980">
        <f t="shared" ref="DM14:DN14" si="113">DM12+DM13</f>
      </c>
      <c r="DN14" s="1981">
        <f t="shared" si="113"/>
      </c>
      <c r="DO14" s="1978">
        <f>DO12+DO13</f>
      </c>
      <c r="DP14" s="1978">
        <f>DP12+DP13</f>
      </c>
      <c r="DQ14" s="1980">
        <f t="shared" si="111"/>
      </c>
      <c r="DR14" s="1978">
        <f t="shared" si="111"/>
      </c>
      <c r="DS14" s="1978">
        <f t="shared" si="111"/>
      </c>
      <c r="DT14" s="1978">
        <f t="shared" si="111"/>
      </c>
      <c r="DU14" s="1980">
        <f t="shared" si="111"/>
      </c>
      <c r="DV14" s="1978">
        <f t="shared" ref="DV14:EK14" si="114">DV12+DV13</f>
      </c>
      <c r="DW14" s="1978">
        <f t="shared" si="114"/>
      </c>
      <c r="DX14" s="1978">
        <f t="shared" si="114"/>
      </c>
      <c r="DY14" s="1980">
        <f t="shared" si="114"/>
      </c>
      <c r="DZ14" s="1978">
        <f t="shared" si="114"/>
      </c>
      <c r="EA14" s="1978">
        <f t="shared" si="114"/>
      </c>
      <c r="EB14" s="1978">
        <f t="shared" si="114"/>
      </c>
      <c r="EC14" s="1980">
        <f t="shared" si="114"/>
      </c>
      <c r="ED14" s="1978">
        <f t="shared" si="114"/>
      </c>
      <c r="EE14" s="1978">
        <f t="shared" si="114"/>
      </c>
      <c r="EF14" s="1978">
        <f t="shared" si="114"/>
      </c>
      <c r="EG14" s="1980">
        <f t="shared" si="114"/>
      </c>
      <c r="EH14" s="1978">
        <f t="shared" si="114"/>
      </c>
      <c r="EI14" s="1978">
        <f t="shared" si="114"/>
      </c>
      <c r="EJ14" s="1978">
        <f t="shared" si="114"/>
      </c>
      <c r="EK14" s="1980">
        <f t="shared" si="114"/>
      </c>
      <c r="EL14" s="90"/>
      <c r="EM14" s="1982">
        <f t="shared" ref="EM14:FI14" si="115">EM12+EM13</f>
      </c>
      <c r="EN14" s="608">
        <f t="shared" si="115"/>
      </c>
      <c r="EO14" s="608">
        <f t="shared" si="115"/>
      </c>
      <c r="EP14" s="608">
        <f t="shared" si="115"/>
      </c>
      <c r="EQ14" s="608">
        <f t="shared" si="115"/>
      </c>
      <c r="ER14" s="608">
        <f t="shared" si="115"/>
      </c>
      <c r="ES14" s="608">
        <f t="shared" si="115"/>
      </c>
      <c r="ET14" s="608">
        <f t="shared" si="115"/>
      </c>
      <c r="EU14" s="608">
        <f t="shared" si="115"/>
      </c>
      <c r="EV14" s="608">
        <f t="shared" si="115"/>
      </c>
      <c r="EW14" s="608">
        <f t="shared" si="115"/>
      </c>
      <c r="EX14" s="608">
        <f t="shared" si="115"/>
      </c>
      <c r="EY14" s="608">
        <f t="shared" si="115"/>
      </c>
      <c r="EZ14" s="608">
        <f t="shared" si="115"/>
      </c>
      <c r="FA14" s="608">
        <f t="shared" si="115"/>
      </c>
      <c r="FB14" s="608">
        <f t="shared" si="115"/>
      </c>
      <c r="FC14" s="608">
        <f t="shared" si="115"/>
      </c>
      <c r="FD14" s="608">
        <f t="shared" si="115"/>
      </c>
      <c r="FE14" s="608">
        <f t="shared" si="115"/>
      </c>
      <c r="FF14" s="608">
        <f t="shared" si="115"/>
      </c>
      <c r="FG14" s="608">
        <f t="shared" si="115"/>
      </c>
      <c r="FH14" s="608">
        <f t="shared" si="115"/>
      </c>
      <c r="FI14" s="608">
        <f t="shared" si="115"/>
      </c>
      <c r="FJ14" s="608">
        <f>SUM(CP14:CS14)</f>
      </c>
      <c r="FK14" s="608">
        <f>SUM(CT14:CW14)</f>
      </c>
      <c r="FL14" s="1982">
        <f t="shared" si="61"/>
      </c>
      <c r="FM14" s="608">
        <f t="shared" si="62"/>
      </c>
      <c r="FN14" s="608">
        <f t="shared" si="63"/>
      </c>
      <c r="FO14" s="608">
        <f t="shared" si="64"/>
      </c>
      <c r="FP14" s="608">
        <f t="shared" si="65"/>
      </c>
      <c r="FQ14" s="608">
        <f t="shared" si="66"/>
      </c>
      <c r="FR14" s="608">
        <f t="shared" si="67"/>
      </c>
      <c r="FS14" s="608">
        <f t="shared" si="68"/>
      </c>
      <c r="FT14" s="608">
        <f t="shared" si="69"/>
      </c>
      <c r="FU14" s="2875">
        <f t="shared" si="70"/>
      </c>
      <c r="FV14" s="1994"/>
      <c r="FW14" s="608">
        <f t="shared" ref="FW14:GR14" si="116">FW12+FW13</f>
      </c>
      <c r="FX14" s="608">
        <f t="shared" si="116"/>
      </c>
      <c r="FY14" s="608">
        <f t="shared" si="116"/>
      </c>
      <c r="FZ14" s="608">
        <f t="shared" si="116"/>
      </c>
      <c r="GA14" s="608">
        <f t="shared" si="116"/>
      </c>
      <c r="GB14" s="608">
        <f t="shared" si="116"/>
      </c>
      <c r="GC14" s="608">
        <f t="shared" si="116"/>
      </c>
      <c r="GD14" s="608">
        <f t="shared" si="116"/>
      </c>
      <c r="GE14" s="608">
        <f t="shared" si="116"/>
      </c>
      <c r="GF14" s="608">
        <f t="shared" si="116"/>
      </c>
      <c r="GG14" s="608">
        <f t="shared" si="116"/>
      </c>
      <c r="GH14" s="608">
        <f t="shared" si="116"/>
      </c>
      <c r="GI14" s="608">
        <f t="shared" si="116"/>
      </c>
      <c r="GJ14" s="608">
        <f t="shared" si="116"/>
      </c>
      <c r="GK14" s="608">
        <f t="shared" si="116"/>
      </c>
      <c r="GL14" s="608">
        <f t="shared" si="116"/>
      </c>
      <c r="GM14" s="608">
        <f t="shared" si="116"/>
      </c>
      <c r="GN14" s="608">
        <f t="shared" si="116"/>
      </c>
      <c r="GO14" s="608">
        <f t="shared" si="116"/>
      </c>
      <c r="GP14" s="608">
        <f t="shared" si="116"/>
      </c>
      <c r="GQ14" s="608">
        <f t="shared" si="116"/>
      </c>
      <c r="GR14" s="608">
        <f t="shared" si="116"/>
      </c>
      <c r="GS14" s="608">
        <f>SUM(CM14:CP14)</f>
      </c>
      <c r="GT14" s="608">
        <f>SUM(CQ14:CT14)</f>
      </c>
      <c r="GU14" s="608">
        <f t="shared" si="71"/>
      </c>
      <c r="GV14" s="608">
        <f t="shared" si="72"/>
      </c>
      <c r="GW14" s="608">
        <f t="shared" si="73"/>
      </c>
      <c r="GX14" s="608">
        <f t="shared" si="74"/>
      </c>
      <c r="GY14" s="608">
        <f t="shared" si="75"/>
      </c>
      <c r="GZ14" s="608">
        <f t="shared" si="76"/>
      </c>
      <c r="HA14" s="608">
        <f t="shared" si="77"/>
      </c>
      <c r="HB14" s="608">
        <f t="shared" si="78"/>
      </c>
      <c r="HC14" s="608">
        <f t="shared" si="79"/>
      </c>
      <c r="HD14" s="608">
        <f t="shared" si="80"/>
      </c>
    </row>
    <row r="15" spans="1:212">
      <c r="A15" s="1950" t="s">
        <v>70</v>
      </c>
      <c r="B15" s="1951">
        <f t="shared" ref="B15:AG15" si="117">B11-B14</f>
      </c>
      <c r="C15" s="1951">
        <f t="shared" si="117"/>
      </c>
      <c r="D15" s="1951">
        <f t="shared" si="117"/>
      </c>
      <c r="E15" s="1952">
        <f t="shared" si="117"/>
      </c>
      <c r="F15" s="1951">
        <f t="shared" si="117"/>
      </c>
      <c r="G15" s="1951">
        <f t="shared" si="117"/>
      </c>
      <c r="H15" s="1951">
        <f t="shared" si="117"/>
      </c>
      <c r="I15" s="1951">
        <f t="shared" si="117"/>
      </c>
      <c r="J15" s="1951">
        <f t="shared" si="117"/>
      </c>
      <c r="K15" s="1951">
        <f t="shared" si="117"/>
      </c>
      <c r="L15" s="1951">
        <f t="shared" si="117"/>
      </c>
      <c r="M15" s="1951">
        <f t="shared" si="117"/>
      </c>
      <c r="N15" s="1951">
        <f t="shared" si="117"/>
      </c>
      <c r="O15" s="1951">
        <f t="shared" si="117"/>
      </c>
      <c r="P15" s="1951">
        <f t="shared" si="117"/>
      </c>
      <c r="Q15" s="1951">
        <f t="shared" si="117"/>
      </c>
      <c r="R15" s="1951">
        <f t="shared" si="117"/>
      </c>
      <c r="S15" s="1951">
        <f t="shared" si="117"/>
      </c>
      <c r="T15" s="1951">
        <f t="shared" si="117"/>
      </c>
      <c r="U15" s="1951">
        <f t="shared" si="117"/>
      </c>
      <c r="V15" s="1951">
        <f t="shared" si="117"/>
      </c>
      <c r="W15" s="1951">
        <f t="shared" si="117"/>
      </c>
      <c r="X15" s="1951">
        <f t="shared" si="117"/>
      </c>
      <c r="Y15" s="1951">
        <f t="shared" si="117"/>
      </c>
      <c r="Z15" s="1951">
        <f t="shared" si="117"/>
      </c>
      <c r="AA15" s="1951">
        <f t="shared" si="117"/>
      </c>
      <c r="AB15" s="1951">
        <f t="shared" si="117"/>
      </c>
      <c r="AC15" s="1951">
        <f t="shared" si="117"/>
      </c>
      <c r="AD15" s="1951">
        <f t="shared" si="117"/>
      </c>
      <c r="AE15" s="1951">
        <f t="shared" si="117"/>
      </c>
      <c r="AF15" s="1951">
        <f t="shared" si="117"/>
      </c>
      <c r="AG15" s="1951">
        <f t="shared" si="117"/>
      </c>
      <c r="AH15" s="1951">
        <f t="shared" ref="AH15:BM15" si="118">AH11-AH14</f>
      </c>
      <c r="AI15" s="1951">
        <f t="shared" si="118"/>
      </c>
      <c r="AJ15" s="1951">
        <f t="shared" si="118"/>
      </c>
      <c r="AK15" s="1951">
        <f t="shared" si="118"/>
      </c>
      <c r="AL15" s="1951">
        <f t="shared" si="118"/>
      </c>
      <c r="AM15" s="1951">
        <f t="shared" si="118"/>
      </c>
      <c r="AN15" s="1951">
        <f t="shared" si="118"/>
      </c>
      <c r="AO15" s="1951">
        <f t="shared" si="118"/>
      </c>
      <c r="AP15" s="1951">
        <f t="shared" si="118"/>
      </c>
      <c r="AQ15" s="1951">
        <f t="shared" si="118"/>
      </c>
      <c r="AR15" s="1951">
        <f t="shared" si="118"/>
      </c>
      <c r="AS15" s="1951">
        <f t="shared" si="118"/>
      </c>
      <c r="AT15" s="1951">
        <f t="shared" si="118"/>
      </c>
      <c r="AU15" s="1951">
        <f t="shared" si="118"/>
      </c>
      <c r="AV15" s="1951">
        <f t="shared" si="118"/>
      </c>
      <c r="AW15" s="1951">
        <f t="shared" si="118"/>
      </c>
      <c r="AX15" s="1951">
        <f t="shared" si="118"/>
      </c>
      <c r="AY15" s="1951">
        <f t="shared" si="118"/>
      </c>
      <c r="AZ15" s="1951">
        <f t="shared" si="118"/>
      </c>
      <c r="BA15" s="1951">
        <f t="shared" si="118"/>
      </c>
      <c r="BB15" s="1951">
        <f t="shared" si="118"/>
      </c>
      <c r="BC15" s="1951">
        <f t="shared" si="118"/>
      </c>
      <c r="BD15" s="1951">
        <f t="shared" si="118"/>
      </c>
      <c r="BE15" s="1951">
        <f t="shared" si="118"/>
      </c>
      <c r="BF15" s="1951">
        <f t="shared" si="118"/>
      </c>
      <c r="BG15" s="1951">
        <f t="shared" si="118"/>
      </c>
      <c r="BH15" s="1951">
        <f t="shared" si="118"/>
      </c>
      <c r="BI15" s="1951">
        <f t="shared" si="118"/>
      </c>
      <c r="BJ15" s="1951">
        <f t="shared" si="118"/>
      </c>
      <c r="BK15" s="1951">
        <f t="shared" si="118"/>
      </c>
      <c r="BL15" s="1951">
        <f t="shared" si="118"/>
      </c>
      <c r="BM15" s="1951">
        <f t="shared" si="118"/>
      </c>
      <c r="BN15" s="1951">
        <f t="shared" ref="BN15:CS15" si="119">BN11-BN14</f>
      </c>
      <c r="BO15" s="1951">
        <f t="shared" si="119"/>
      </c>
      <c r="BP15" s="1951">
        <f t="shared" si="119"/>
      </c>
      <c r="BQ15" s="1953">
        <f t="shared" si="119"/>
      </c>
      <c r="BR15" s="1951">
        <f t="shared" si="119"/>
      </c>
      <c r="BS15" s="1951">
        <f t="shared" si="119"/>
      </c>
      <c r="BT15" s="1951">
        <f t="shared" si="119"/>
      </c>
      <c r="BU15" s="1953">
        <f t="shared" si="119"/>
      </c>
      <c r="BV15" s="1951">
        <f t="shared" si="119"/>
      </c>
      <c r="BW15" s="1951">
        <f t="shared" si="119"/>
      </c>
      <c r="BX15" s="1951">
        <f t="shared" si="119"/>
      </c>
      <c r="BY15" s="1953">
        <f t="shared" si="119"/>
      </c>
      <c r="BZ15" s="1951">
        <f t="shared" si="119"/>
      </c>
      <c r="CA15" s="1951">
        <f t="shared" si="119"/>
      </c>
      <c r="CB15" s="1951">
        <f t="shared" si="119"/>
      </c>
      <c r="CC15" s="1953">
        <f t="shared" si="119"/>
      </c>
      <c r="CD15" s="1951">
        <f t="shared" si="119"/>
      </c>
      <c r="CE15" s="1951">
        <f t="shared" si="119"/>
      </c>
      <c r="CF15" s="1951">
        <f t="shared" si="119"/>
      </c>
      <c r="CG15" s="1953">
        <f t="shared" si="119"/>
      </c>
      <c r="CH15" s="1951">
        <f t="shared" si="119"/>
      </c>
      <c r="CI15" s="1951">
        <f t="shared" si="119"/>
      </c>
      <c r="CJ15" s="1951">
        <f t="shared" si="119"/>
      </c>
      <c r="CK15" s="1953">
        <f t="shared" si="119"/>
      </c>
      <c r="CL15" s="1951">
        <f t="shared" si="119"/>
      </c>
      <c r="CM15" s="1951">
        <f t="shared" si="119"/>
      </c>
      <c r="CN15" s="1951">
        <f t="shared" si="119"/>
      </c>
      <c r="CO15" s="1953">
        <f t="shared" si="119"/>
      </c>
      <c r="CP15" s="1951">
        <f t="shared" si="119"/>
      </c>
      <c r="CQ15" s="1951">
        <f t="shared" si="119"/>
      </c>
      <c r="CR15" s="1951">
        <f t="shared" si="119"/>
      </c>
      <c r="CS15" s="1953">
        <f t="shared" si="119"/>
      </c>
      <c r="CT15" s="1951">
        <f t="shared" ref="CT15:DU15" si="120">CT11-CT14</f>
      </c>
      <c r="CU15" s="1951">
        <f t="shared" si="120"/>
      </c>
      <c r="CV15" s="1951">
        <f t="shared" si="120"/>
      </c>
      <c r="CW15" s="1953">
        <f t="shared" si="120"/>
      </c>
      <c r="CX15" s="1955">
        <f t="shared" si="120"/>
      </c>
      <c r="CY15" s="1951">
        <f t="shared" si="120"/>
      </c>
      <c r="CZ15" s="1951">
        <f t="shared" si="120"/>
      </c>
      <c r="DA15" s="1953">
        <f t="shared" si="120"/>
      </c>
      <c r="DB15" s="1955">
        <f t="shared" si="120"/>
      </c>
      <c r="DC15" s="1951">
        <f t="shared" si="120"/>
      </c>
      <c r="DD15" s="1951">
        <f t="shared" si="120"/>
      </c>
      <c r="DE15" s="1953">
        <f>DE11-DE14</f>
      </c>
      <c r="DF15" s="1955">
        <f t="shared" ref="DF15" si="121">DF11-DF14</f>
      </c>
      <c r="DG15" s="1951">
        <f>DG11-DG14</f>
      </c>
      <c r="DH15" s="1951">
        <f>DH11-DH14</f>
      </c>
      <c r="DI15" s="1953">
        <f t="shared" si="120"/>
      </c>
      <c r="DJ15" s="1955">
        <f t="shared" si="120"/>
      </c>
      <c r="DK15" s="1951">
        <f>DK11-DK14</f>
      </c>
      <c r="DL15" s="1951">
        <f>DL11-DL14</f>
      </c>
      <c r="DM15" s="1953">
        <f t="shared" ref="DM15:DN15" si="122">DM11-DM14</f>
      </c>
      <c r="DN15" s="1955">
        <f t="shared" si="122"/>
      </c>
      <c r="DO15" s="1951">
        <f>DO11-DO14</f>
      </c>
      <c r="DP15" s="1951">
        <f>DP11-DP14</f>
      </c>
      <c r="DQ15" s="1953">
        <f t="shared" si="120"/>
      </c>
      <c r="DR15" s="1951">
        <f t="shared" si="120"/>
      </c>
      <c r="DS15" s="1951">
        <f t="shared" si="120"/>
      </c>
      <c r="DT15" s="1951">
        <f t="shared" si="120"/>
      </c>
      <c r="DU15" s="1953">
        <f t="shared" si="120"/>
      </c>
      <c r="DV15" s="1951">
        <f t="shared" ref="DV15:EK15" si="123">DV11-DV14</f>
      </c>
      <c r="DW15" s="1951">
        <f t="shared" si="123"/>
      </c>
      <c r="DX15" s="1951">
        <f t="shared" si="123"/>
      </c>
      <c r="DY15" s="1953">
        <f t="shared" si="123"/>
      </c>
      <c r="DZ15" s="1951">
        <f t="shared" si="123"/>
      </c>
      <c r="EA15" s="1951">
        <f t="shared" si="123"/>
      </c>
      <c r="EB15" s="1951">
        <f t="shared" si="123"/>
      </c>
      <c r="EC15" s="1953">
        <f t="shared" si="123"/>
      </c>
      <c r="ED15" s="1951">
        <f t="shared" si="123"/>
      </c>
      <c r="EE15" s="1951">
        <f t="shared" si="123"/>
      </c>
      <c r="EF15" s="1951">
        <f t="shared" si="123"/>
      </c>
      <c r="EG15" s="1953">
        <f t="shared" si="123"/>
      </c>
      <c r="EH15" s="1951">
        <f t="shared" si="123"/>
      </c>
      <c r="EI15" s="1951">
        <f t="shared" si="123"/>
      </c>
      <c r="EJ15" s="1951">
        <f t="shared" si="123"/>
      </c>
      <c r="EK15" s="1953">
        <f t="shared" si="123"/>
      </c>
      <c r="EL15" s="62"/>
      <c r="EM15" s="1956">
        <f t="shared" ref="EM15:FK15" si="124">EM11-EM14</f>
      </c>
      <c r="EN15" s="1950">
        <f t="shared" si="124"/>
      </c>
      <c r="EO15" s="1950">
        <f t="shared" si="124"/>
      </c>
      <c r="EP15" s="1950">
        <f t="shared" si="124"/>
      </c>
      <c r="EQ15" s="1950">
        <f t="shared" si="124"/>
      </c>
      <c r="ER15" s="1950">
        <f t="shared" si="124"/>
      </c>
      <c r="ES15" s="1950">
        <f t="shared" si="124"/>
      </c>
      <c r="ET15" s="1950">
        <f t="shared" si="124"/>
      </c>
      <c r="EU15" s="1950">
        <f t="shared" si="124"/>
      </c>
      <c r="EV15" s="1950">
        <f t="shared" si="124"/>
      </c>
      <c r="EW15" s="1950">
        <f t="shared" si="124"/>
      </c>
      <c r="EX15" s="1950">
        <f t="shared" si="124"/>
      </c>
      <c r="EY15" s="1950">
        <f t="shared" si="124"/>
      </c>
      <c r="EZ15" s="1950">
        <f t="shared" si="124"/>
      </c>
      <c r="FA15" s="1950">
        <f t="shared" si="124"/>
      </c>
      <c r="FB15" s="1950">
        <f t="shared" si="124"/>
      </c>
      <c r="FC15" s="1950">
        <f t="shared" si="124"/>
      </c>
      <c r="FD15" s="1950">
        <f t="shared" si="124"/>
      </c>
      <c r="FE15" s="1950">
        <f t="shared" si="124"/>
      </c>
      <c r="FF15" s="1950">
        <f t="shared" si="124"/>
      </c>
      <c r="FG15" s="1950">
        <f t="shared" si="124"/>
      </c>
      <c r="FH15" s="1950">
        <f t="shared" si="124"/>
      </c>
      <c r="FI15" s="1950">
        <f t="shared" si="124"/>
      </c>
      <c r="FJ15" s="1950">
        <f t="shared" si="124"/>
      </c>
      <c r="FK15" s="1950">
        <f t="shared" si="124"/>
      </c>
      <c r="FL15" s="1956">
        <f t="shared" si="61"/>
      </c>
      <c r="FM15" s="1950">
        <f t="shared" si="62"/>
      </c>
      <c r="FN15" s="1950">
        <f t="shared" si="63"/>
      </c>
      <c r="FO15" s="1950">
        <f t="shared" si="64"/>
      </c>
      <c r="FP15" s="1950">
        <f t="shared" si="65"/>
      </c>
      <c r="FQ15" s="1950">
        <f t="shared" si="66"/>
      </c>
      <c r="FR15" s="1950">
        <f t="shared" si="67"/>
      </c>
      <c r="FS15" s="1950">
        <f t="shared" si="68"/>
      </c>
      <c r="FT15" s="1950">
        <f t="shared" si="69"/>
      </c>
      <c r="FU15" s="2874">
        <f t="shared" si="70"/>
      </c>
      <c r="FV15" s="371"/>
      <c r="FW15" s="1950">
        <f t="shared" ref="FW15:GT15" si="125">FW11-FW14</f>
      </c>
      <c r="FX15" s="1950">
        <f t="shared" si="125"/>
      </c>
      <c r="FY15" s="1950">
        <f t="shared" si="125"/>
      </c>
      <c r="FZ15" s="1950">
        <f t="shared" si="125"/>
      </c>
      <c r="GA15" s="1950">
        <f t="shared" si="125"/>
      </c>
      <c r="GB15" s="1950">
        <f t="shared" si="125"/>
      </c>
      <c r="GC15" s="1950">
        <f t="shared" si="125"/>
      </c>
      <c r="GD15" s="1950">
        <f t="shared" si="125"/>
      </c>
      <c r="GE15" s="1950">
        <f t="shared" si="125"/>
      </c>
      <c r="GF15" s="1950">
        <f t="shared" si="125"/>
      </c>
      <c r="GG15" s="1950">
        <f t="shared" si="125"/>
      </c>
      <c r="GH15" s="1950">
        <f t="shared" si="125"/>
      </c>
      <c r="GI15" s="1950">
        <f t="shared" si="125"/>
      </c>
      <c r="GJ15" s="1950">
        <f t="shared" si="125"/>
      </c>
      <c r="GK15" s="1950">
        <f t="shared" si="125"/>
      </c>
      <c r="GL15" s="1950">
        <f t="shared" si="125"/>
      </c>
      <c r="GM15" s="1950">
        <f t="shared" si="125"/>
      </c>
      <c r="GN15" s="1950">
        <f t="shared" si="125"/>
      </c>
      <c r="GO15" s="1950">
        <f t="shared" si="125"/>
      </c>
      <c r="GP15" s="1950">
        <f t="shared" si="125"/>
      </c>
      <c r="GQ15" s="1950">
        <f t="shared" si="125"/>
      </c>
      <c r="GR15" s="1950">
        <f t="shared" si="125"/>
      </c>
      <c r="GS15" s="1950">
        <f t="shared" si="125"/>
      </c>
      <c r="GT15" s="1950">
        <f t="shared" si="125"/>
      </c>
      <c r="GU15" s="1950">
        <f t="shared" si="71"/>
      </c>
      <c r="GV15" s="1950">
        <f t="shared" si="72"/>
      </c>
      <c r="GW15" s="1950">
        <f t="shared" si="73"/>
      </c>
      <c r="GX15" s="1950">
        <f t="shared" si="74"/>
      </c>
      <c r="GY15" s="1950">
        <f t="shared" si="75"/>
      </c>
      <c r="GZ15" s="1950">
        <f t="shared" si="76"/>
      </c>
      <c r="HA15" s="1950">
        <f t="shared" si="77"/>
      </c>
      <c r="HB15" s="1950">
        <f t="shared" si="78"/>
      </c>
      <c r="HC15" s="1950">
        <f t="shared" si="79"/>
      </c>
      <c r="HD15" s="1950">
        <f t="shared" si="80"/>
      </c>
    </row>
    <row r="16" spans="1:212" s="16" customFormat="1" hidden="1" outlineLevel="1">
      <c r="A16" s="563" t="s">
        <v>673</v>
      </c>
      <c r="B16" s="564">
        <f>'Cash Flow Statement'!B12</f>
      </c>
      <c r="C16" s="564">
        <f>'Cash Flow Statement'!C12</f>
      </c>
      <c r="D16" s="564">
        <f>'Cash Flow Statement'!D12</f>
      </c>
      <c r="E16" s="565">
        <f>'Cash Flow Statement'!E12</f>
      </c>
      <c r="F16" s="564">
        <f>'Cash Flow Statement'!F12</f>
      </c>
      <c r="G16" s="564">
        <f>'Cash Flow Statement'!G12</f>
      </c>
      <c r="H16" s="564">
        <f>'Cash Flow Statement'!H12</f>
      </c>
      <c r="I16" s="564">
        <f>'Cash Flow Statement'!I12</f>
      </c>
      <c r="J16" s="564">
        <f>'Cash Flow Statement'!J12</f>
      </c>
      <c r="K16" s="564">
        <f>'Cash Flow Statement'!K12</f>
      </c>
      <c r="L16" s="564">
        <f>'Cash Flow Statement'!L12</f>
      </c>
      <c r="M16" s="564">
        <f>'Cash Flow Statement'!M12</f>
      </c>
      <c r="N16" s="564">
        <f>'Cash Flow Statement'!N12</f>
      </c>
      <c r="O16" s="564">
        <f>'Cash Flow Statement'!O12</f>
      </c>
      <c r="P16" s="564">
        <f>'Cash Flow Statement'!P12</f>
      </c>
      <c r="Q16" s="564">
        <f>'Cash Flow Statement'!Q12</f>
      </c>
      <c r="R16" s="564">
        <f>'Cash Flow Statement'!R12</f>
      </c>
      <c r="S16" s="564">
        <f>'Cash Flow Statement'!S12</f>
      </c>
      <c r="T16" s="564">
        <f>'Cash Flow Statement'!T12</f>
      </c>
      <c r="U16" s="564">
        <f>'Cash Flow Statement'!U12</f>
      </c>
      <c r="V16" s="564">
        <f>'Cash Flow Statement'!V12</f>
      </c>
      <c r="W16" s="564">
        <f>'Cash Flow Statement'!W12</f>
      </c>
      <c r="X16" s="564">
        <f>'Cash Flow Statement'!X12</f>
      </c>
      <c r="Y16" s="564">
        <f>'Cash Flow Statement'!Y12</f>
      </c>
      <c r="Z16" s="564">
        <f>'Cash Flow Statement'!Z12</f>
      </c>
      <c r="AA16" s="564">
        <f>'Cash Flow Statement'!AA12</f>
      </c>
      <c r="AB16" s="564">
        <f>'Cash Flow Statement'!AB12</f>
      </c>
      <c r="AC16" s="564">
        <f>'Cash Flow Statement'!AC12</f>
      </c>
      <c r="AD16" s="564">
        <f>'Cash Flow Statement'!AD12</f>
      </c>
      <c r="AE16" s="564">
        <f>'Cash Flow Statement'!AE12</f>
      </c>
      <c r="AF16" s="564">
        <f>'Cash Flow Statement'!AF12</f>
      </c>
      <c r="AG16" s="564">
        <f>'Cash Flow Statement'!AG12</f>
      </c>
      <c r="AH16" s="564">
        <f>'Cash Flow Statement'!AH12</f>
      </c>
      <c r="AI16" s="564">
        <f>'Cash Flow Statement'!AI12</f>
      </c>
      <c r="AJ16" s="564">
        <f>'Cash Flow Statement'!AJ12</f>
      </c>
      <c r="AK16" s="564">
        <f>'Cash Flow Statement'!AK12</f>
      </c>
      <c r="AL16" s="564">
        <f>'Cash Flow Statement'!AL12</f>
      </c>
      <c r="AM16" s="564">
        <f>'Cash Flow Statement'!AM12</f>
      </c>
      <c r="AN16" s="564">
        <f>'Cash Flow Statement'!AN12</f>
      </c>
      <c r="AO16" s="564">
        <f>'Cash Flow Statement'!AO12</f>
      </c>
      <c r="AP16" s="564">
        <f>'Cash Flow Statement'!AP12</f>
      </c>
      <c r="AQ16" s="564">
        <f>'Cash Flow Statement'!AQ12</f>
      </c>
      <c r="AR16" s="564">
        <f>'Cash Flow Statement'!AR12</f>
      </c>
      <c r="AS16" s="564">
        <f>'Cash Flow Statement'!AS12</f>
      </c>
      <c r="AT16" s="564">
        <f>'Cash Flow Statement'!AT12</f>
      </c>
      <c r="AU16" s="564">
        <f>'Cash Flow Statement'!AU12</f>
      </c>
      <c r="AV16" s="564">
        <f>'Cash Flow Statement'!AV12</f>
      </c>
      <c r="AW16" s="564">
        <f>'Cash Flow Statement'!AW12</f>
      </c>
      <c r="AX16" s="564">
        <f>'Cash Flow Statement'!AX12</f>
      </c>
      <c r="AY16" s="564">
        <f>'Cash Flow Statement'!AY12</f>
      </c>
      <c r="AZ16" s="564">
        <f>'Cash Flow Statement'!AZ12</f>
      </c>
      <c r="BA16" s="564">
        <f>'Cash Flow Statement'!BA12</f>
      </c>
      <c r="BB16" s="564">
        <f>'Cash Flow Statement'!BB12</f>
      </c>
      <c r="BC16" s="564">
        <f>'Cash Flow Statement'!BC12</f>
      </c>
      <c r="BD16" s="564">
        <f>'Cash Flow Statement'!BD12</f>
      </c>
      <c r="BE16" s="564">
        <f>'Cash Flow Statement'!BE12</f>
      </c>
      <c r="BF16" s="564">
        <f>'Cash Flow Statement'!BF12</f>
      </c>
      <c r="BG16" s="564">
        <f>'Cash Flow Statement'!BG12</f>
      </c>
      <c r="BH16" s="564">
        <f>'Cash Flow Statement'!BH12</f>
      </c>
      <c r="BI16" s="564">
        <f>'Cash Flow Statement'!BI12</f>
      </c>
      <c r="BJ16" s="564">
        <f>'Cash Flow Statement'!BJ12</f>
      </c>
      <c r="BK16" s="564">
        <f>'Cash Flow Statement'!BK12</f>
      </c>
      <c r="BL16" s="564">
        <f>'Cash Flow Statement'!BL12</f>
      </c>
      <c r="BM16" s="564">
        <f>'Cash Flow Statement'!BM12</f>
      </c>
      <c r="BN16" s="564">
        <f>'Cash Flow Statement'!BN12</f>
      </c>
      <c r="BO16" s="564">
        <f>'Cash Flow Statement'!BO12</f>
      </c>
      <c r="BP16" s="564">
        <f>'Cash Flow Statement'!BP12</f>
      </c>
      <c r="BQ16" s="566">
        <f>'Cash Flow Statement'!BQ12</f>
      </c>
      <c r="BR16" s="564">
        <f>'Cash Flow Statement'!BR12</f>
      </c>
      <c r="BS16" s="564">
        <f>'Cash Flow Statement'!BS12</f>
      </c>
      <c r="BT16" s="564">
        <f>'Cash Flow Statement'!BT12</f>
      </c>
      <c r="BU16" s="566">
        <f>'Cash Flow Statement'!BU12</f>
      </c>
      <c r="BV16" s="564">
        <f>'Cash Flow Statement'!BV12</f>
      </c>
      <c r="BW16" s="564">
        <f>'Cash Flow Statement'!BW12</f>
      </c>
      <c r="BX16" s="564">
        <f>'Cash Flow Statement'!BX12</f>
      </c>
      <c r="BY16" s="566">
        <f>'Cash Flow Statement'!BY12</f>
      </c>
      <c r="BZ16" s="564">
        <f>'Cash Flow Statement'!BZ12</f>
      </c>
      <c r="CA16" s="564">
        <f>'Cash Flow Statement'!CA12</f>
      </c>
      <c r="CB16" s="564">
        <f>'Cash Flow Statement'!CB12</f>
      </c>
      <c r="CC16" s="566">
        <f>'Cash Flow Statement'!CC12</f>
      </c>
      <c r="CD16" s="564">
        <f>'Cash Flow Statement'!CD12</f>
      </c>
      <c r="CE16" s="564">
        <f>'Cash Flow Statement'!CE12</f>
      </c>
      <c r="CF16" s="564">
        <f>'Cash Flow Statement'!CF12</f>
      </c>
      <c r="CG16" s="566">
        <f>'Cash Flow Statement'!CG12</f>
      </c>
      <c r="CH16" s="564">
        <f>'Cash Flow Statement'!CH12</f>
      </c>
      <c r="CI16" s="564">
        <f>'Cash Flow Statement'!CI12</f>
      </c>
      <c r="CJ16" s="564">
        <f>'Cash Flow Statement'!CJ12</f>
      </c>
      <c r="CK16" s="566">
        <f>'Cash Flow Statement'!CK12</f>
      </c>
      <c r="CL16" s="564">
        <f>'Cash Flow Statement'!CL12</f>
      </c>
      <c r="CM16" s="564">
        <f>'Cash Flow Statement'!CM12</f>
      </c>
      <c r="CN16" s="564">
        <f>'Cash Flow Statement'!CN12</f>
      </c>
      <c r="CO16" s="566">
        <f>'Cash Flow Statement'!CO12</f>
      </c>
      <c r="CP16" s="564">
        <f>'Cash Flow Statement'!CP12</f>
      </c>
      <c r="CQ16" s="564">
        <f>'Cash Flow Statement'!CQ12</f>
      </c>
      <c r="CR16" s="564">
        <f>'Cash Flow Statement'!CR12</f>
      </c>
      <c r="CS16" s="566">
        <f>'Cash Flow Statement'!CS12</f>
      </c>
      <c r="CT16" s="564">
        <f>'Cash Flow Statement'!CT12</f>
      </c>
      <c r="CU16" s="564">
        <f>'Cash Flow Statement'!CU12</f>
      </c>
      <c r="CV16" s="564">
        <f>'Cash Flow Statement'!CV12</f>
      </c>
      <c r="CW16" s="566">
        <f>'Cash Flow Statement'!CW12</f>
      </c>
      <c r="CX16" s="567">
        <f>'Cash Flow Statement'!CX12</f>
      </c>
      <c r="CY16" s="564">
        <f>'Cash Flow Statement'!CY12</f>
      </c>
      <c r="CZ16" s="564">
        <f>'Cash Flow Statement'!CZ12</f>
      </c>
      <c r="DA16" s="566">
        <f>'Cash Flow Statement'!DA12</f>
      </c>
      <c r="DB16" s="567">
        <f>'Cash Flow Statement'!DB12</f>
      </c>
      <c r="DC16" s="564">
        <f>'Cash Flow Statement'!DC12</f>
      </c>
      <c r="DD16" s="564">
        <f>'Cash Flow Statement'!DD12</f>
      </c>
      <c r="DE16" s="566">
        <f>'Cash Flow Statement'!DE12</f>
      </c>
      <c r="DF16" s="567">
        <f>'Cash Flow Statement'!DF12</f>
      </c>
      <c r="DG16" s="564">
        <f>'Cash Flow Statement'!DG12</f>
      </c>
      <c r="DH16" s="564">
        <f>'Cash Flow Statement'!DH12</f>
      </c>
      <c r="DI16" s="566">
        <f>'Cash Flow Statement'!DI12</f>
      </c>
      <c r="DJ16" s="567">
        <f>'Cash Flow Statement'!DJ12</f>
      </c>
      <c r="DK16" s="564">
        <f>'Cash Flow Statement'!DK12</f>
      </c>
      <c r="DL16" s="564">
        <f>'Cash Flow Statement'!DL12</f>
      </c>
      <c r="DM16" s="566">
        <f>'Cash Flow Statement'!DM12</f>
      </c>
      <c r="DN16" s="567">
        <f>'Cash Flow Statement'!DN12</f>
      </c>
      <c r="DO16" s="564">
        <f>'Cash Flow Statement'!DO12</f>
      </c>
      <c r="DP16" s="564">
        <f>'Cash Flow Statement'!DP12</f>
      </c>
      <c r="DQ16" s="566">
        <f>'Cash Flow Statement'!DQ12</f>
      </c>
      <c r="DR16" s="564">
        <f>'Cash Flow Statement'!DR12</f>
      </c>
      <c r="DS16" s="564">
        <f>'Cash Flow Statement'!DS12</f>
      </c>
      <c r="DT16" s="564">
        <f>'Cash Flow Statement'!DT12</f>
      </c>
      <c r="DU16" s="566">
        <f>'Cash Flow Statement'!DU12</f>
      </c>
      <c r="DV16" s="564">
        <f>'Cash Flow Statement'!DV12</f>
      </c>
      <c r="DW16" s="564">
        <f>'Cash Flow Statement'!DW12</f>
      </c>
      <c r="DX16" s="564">
        <f>'Cash Flow Statement'!DX12</f>
      </c>
      <c r="DY16" s="566">
        <f>'Cash Flow Statement'!DY12</f>
      </c>
      <c r="DZ16" s="564">
        <f>'Cash Flow Statement'!DZ12</f>
      </c>
      <c r="EA16" s="564">
        <f>'Cash Flow Statement'!EA12</f>
      </c>
      <c r="EB16" s="564">
        <f>'Cash Flow Statement'!EB12</f>
      </c>
      <c r="EC16" s="566">
        <f>'Cash Flow Statement'!EC12</f>
      </c>
      <c r="ED16" s="564">
        <f>'Cash Flow Statement'!ED12</f>
      </c>
      <c r="EE16" s="564">
        <f>'Cash Flow Statement'!EE12</f>
      </c>
      <c r="EF16" s="564">
        <f>'Cash Flow Statement'!EF12</f>
      </c>
      <c r="EG16" s="566">
        <f>'Cash Flow Statement'!EG12</f>
      </c>
      <c r="EH16" s="564">
        <f>'Cash Flow Statement'!EH12</f>
      </c>
      <c r="EI16" s="564">
        <f>'Cash Flow Statement'!EI12</f>
      </c>
      <c r="EJ16" s="564">
        <f>'Cash Flow Statement'!EJ12</f>
      </c>
      <c r="EK16" s="566">
        <f>'Cash Flow Statement'!EK12</f>
      </c>
      <c r="EL16" s="84"/>
      <c r="EM16" s="1270"/>
      <c r="EN16" s="1271"/>
      <c r="EO16" s="1271"/>
      <c r="EP16" s="1271"/>
      <c r="EQ16" s="1271"/>
      <c r="ER16" s="1271"/>
      <c r="ES16" s="1271"/>
      <c r="ET16" s="1271"/>
      <c r="EU16" s="1271"/>
      <c r="EV16" s="1271"/>
      <c r="EW16" s="1271"/>
      <c r="EX16" s="1271"/>
      <c r="EY16" s="1271"/>
      <c r="EZ16" s="1271"/>
      <c r="FA16" s="1271"/>
      <c r="FB16" s="1271"/>
      <c r="FC16" s="1271"/>
      <c r="FD16" s="1271"/>
      <c r="FE16" s="1271"/>
      <c r="FF16" s="1271"/>
      <c r="FG16" s="1271">
        <f>SUM(CD16:CG16)</f>
      </c>
      <c r="FH16" s="1271">
        <f>SUM(CH16:CK16)</f>
      </c>
      <c r="FI16" s="1271">
        <f>SUM(CL16:CO16)</f>
      </c>
      <c r="FJ16" s="1271">
        <f>SUM(CP16:CS16)</f>
      </c>
      <c r="FK16" s="1271">
        <f>SUM(CT16:CW16)</f>
      </c>
      <c r="FL16" s="1270">
        <f t="shared" si="61"/>
      </c>
      <c r="FM16" s="1271">
        <f t="shared" si="62"/>
      </c>
      <c r="FN16" s="1271">
        <f t="shared" si="63"/>
      </c>
      <c r="FO16" s="1271">
        <f t="shared" si="64"/>
      </c>
      <c r="FP16" s="1271">
        <f t="shared" si="65"/>
      </c>
      <c r="FQ16" s="1271">
        <f t="shared" si="66"/>
      </c>
      <c r="FR16" s="1271">
        <f t="shared" si="67"/>
      </c>
      <c r="FS16" s="1271">
        <f t="shared" si="68"/>
      </c>
      <c r="FT16" s="1271">
        <f t="shared" si="69"/>
      </c>
      <c r="FU16" s="2876">
        <f t="shared" si="70"/>
      </c>
      <c r="FV16" s="371"/>
      <c r="FW16" s="1271">
        <f>SUM(C16:F16)</f>
      </c>
      <c r="FX16" s="1271">
        <f>SUM(G16:J16)</f>
      </c>
      <c r="FY16" s="1271">
        <f>SUM(K16:N16)</f>
      </c>
      <c r="FZ16" s="1271">
        <f>SUM(O16:R16)</f>
      </c>
      <c r="GA16" s="1271">
        <f>SUM(S16:V16)</f>
      </c>
      <c r="GB16" s="1271">
        <f>SUM(W16:Z16)</f>
      </c>
      <c r="GC16" s="1271">
        <f>SUM(AA16:AD16)</f>
      </c>
      <c r="GD16" s="1271">
        <f>SUM(AE16:AH16)</f>
      </c>
      <c r="GE16" s="1271">
        <f>SUM(AI16:AL16)</f>
      </c>
      <c r="GF16" s="1271">
        <f>SUM(AM16:AP16)</f>
      </c>
      <c r="GG16" s="1271">
        <f>SUM(AQ16:AT16)</f>
      </c>
      <c r="GH16" s="1271">
        <f>SUM(AU16:AX16)</f>
      </c>
      <c r="GI16" s="1271">
        <f>SUM(AY16:BB16)</f>
      </c>
      <c r="GJ16" s="1271">
        <f>SUM(BC16:BF16)</f>
      </c>
      <c r="GK16" s="1271">
        <f>SUM(BG16:BJ16)</f>
      </c>
      <c r="GL16" s="1271">
        <f>SUM(BK16:BN16)</f>
      </c>
      <c r="GM16" s="1271">
        <f>SUM(BO16:BR16)</f>
      </c>
      <c r="GN16" s="1271">
        <f>SUM(BS16:BV16)</f>
      </c>
      <c r="GO16" s="1271">
        <f>SUM(BW16:BZ16)</f>
      </c>
      <c r="GP16" s="1271">
        <f>SUM(CA16:CD16)</f>
      </c>
      <c r="GQ16" s="1271">
        <f>SUM(CE16:CH16)</f>
      </c>
      <c r="GR16" s="1271">
        <f>SUM(CI16:CL16)</f>
      </c>
      <c r="GS16" s="1271">
        <f>SUM(CM16:CP16)</f>
      </c>
      <c r="GT16" s="1271">
        <f>SUM(CQ16:CT16)</f>
      </c>
      <c r="GU16" s="1271">
        <f t="shared" si="71"/>
      </c>
      <c r="GV16" s="1271">
        <f t="shared" si="72"/>
      </c>
      <c r="GW16" s="1271">
        <f t="shared" si="73"/>
      </c>
      <c r="GX16" s="1271">
        <f t="shared" si="74"/>
      </c>
      <c r="GY16" s="1271">
        <f t="shared" si="75"/>
      </c>
      <c r="GZ16" s="1271">
        <f t="shared" si="76"/>
      </c>
      <c r="HA16" s="1271">
        <f t="shared" si="77"/>
      </c>
      <c r="HB16" s="1271">
        <f t="shared" si="78"/>
      </c>
      <c r="HC16" s="1271">
        <f t="shared" si="79"/>
      </c>
      <c r="HD16" s="1271">
        <f t="shared" si="80"/>
      </c>
    </row>
    <row r="17" spans="1:212" s="16" customFormat="1" hidden="1" outlineLevel="1">
      <c r="A17" s="568" t="s">
        <v>261</v>
      </c>
      <c r="B17" s="569">
        <f t="shared" ref="B17:AG17" si="126">B15+B16</f>
      </c>
      <c r="C17" s="569">
        <f t="shared" si="126"/>
      </c>
      <c r="D17" s="569">
        <f t="shared" si="126"/>
      </c>
      <c r="E17" s="570">
        <f t="shared" si="126"/>
      </c>
      <c r="F17" s="569">
        <f t="shared" si="126"/>
      </c>
      <c r="G17" s="569">
        <f t="shared" si="126"/>
      </c>
      <c r="H17" s="569">
        <f t="shared" si="126"/>
      </c>
      <c r="I17" s="569">
        <f t="shared" si="126"/>
      </c>
      <c r="J17" s="569">
        <f t="shared" si="126"/>
      </c>
      <c r="K17" s="569">
        <f t="shared" si="126"/>
      </c>
      <c r="L17" s="569">
        <f t="shared" si="126"/>
      </c>
      <c r="M17" s="569">
        <f t="shared" si="126"/>
      </c>
      <c r="N17" s="569">
        <f t="shared" si="126"/>
      </c>
      <c r="O17" s="569">
        <f t="shared" si="126"/>
      </c>
      <c r="P17" s="569">
        <f t="shared" si="126"/>
      </c>
      <c r="Q17" s="569">
        <f t="shared" si="126"/>
      </c>
      <c r="R17" s="569">
        <f t="shared" si="126"/>
      </c>
      <c r="S17" s="569">
        <f t="shared" si="126"/>
      </c>
      <c r="T17" s="569">
        <f t="shared" si="126"/>
      </c>
      <c r="U17" s="569">
        <f t="shared" si="126"/>
      </c>
      <c r="V17" s="569">
        <f t="shared" si="126"/>
      </c>
      <c r="W17" s="569">
        <f t="shared" si="126"/>
      </c>
      <c r="X17" s="569">
        <f t="shared" si="126"/>
      </c>
      <c r="Y17" s="569">
        <f t="shared" si="126"/>
      </c>
      <c r="Z17" s="569">
        <f t="shared" si="126"/>
      </c>
      <c r="AA17" s="569">
        <f t="shared" si="126"/>
      </c>
      <c r="AB17" s="569">
        <f t="shared" si="126"/>
      </c>
      <c r="AC17" s="569">
        <f t="shared" si="126"/>
      </c>
      <c r="AD17" s="569">
        <f t="shared" si="126"/>
      </c>
      <c r="AE17" s="569">
        <f t="shared" si="126"/>
      </c>
      <c r="AF17" s="569">
        <f t="shared" si="126"/>
      </c>
      <c r="AG17" s="569">
        <f t="shared" si="126"/>
      </c>
      <c r="AH17" s="569">
        <f t="shared" ref="AH17:BM17" si="127">AH15+AH16</f>
      </c>
      <c r="AI17" s="569">
        <f t="shared" si="127"/>
      </c>
      <c r="AJ17" s="569">
        <f t="shared" si="127"/>
      </c>
      <c r="AK17" s="569">
        <f t="shared" si="127"/>
      </c>
      <c r="AL17" s="569">
        <f t="shared" si="127"/>
      </c>
      <c r="AM17" s="569">
        <f t="shared" si="127"/>
      </c>
      <c r="AN17" s="569">
        <f t="shared" si="127"/>
      </c>
      <c r="AO17" s="569">
        <f t="shared" si="127"/>
      </c>
      <c r="AP17" s="569">
        <f t="shared" si="127"/>
      </c>
      <c r="AQ17" s="569">
        <f t="shared" si="127"/>
      </c>
      <c r="AR17" s="569">
        <f t="shared" si="127"/>
      </c>
      <c r="AS17" s="569">
        <f t="shared" si="127"/>
      </c>
      <c r="AT17" s="569">
        <f t="shared" si="127"/>
      </c>
      <c r="AU17" s="569">
        <f t="shared" si="127"/>
      </c>
      <c r="AV17" s="569">
        <f t="shared" si="127"/>
      </c>
      <c r="AW17" s="569">
        <f t="shared" si="127"/>
      </c>
      <c r="AX17" s="569">
        <f t="shared" si="127"/>
      </c>
      <c r="AY17" s="569">
        <f t="shared" si="127"/>
      </c>
      <c r="AZ17" s="569">
        <f t="shared" si="127"/>
      </c>
      <c r="BA17" s="569">
        <f t="shared" si="127"/>
      </c>
      <c r="BB17" s="569">
        <f t="shared" si="127"/>
      </c>
      <c r="BC17" s="569">
        <f t="shared" si="127"/>
      </c>
      <c r="BD17" s="569">
        <f t="shared" si="127"/>
      </c>
      <c r="BE17" s="569">
        <f t="shared" si="127"/>
      </c>
      <c r="BF17" s="569">
        <f t="shared" si="127"/>
      </c>
      <c r="BG17" s="569">
        <f t="shared" si="127"/>
      </c>
      <c r="BH17" s="569">
        <f t="shared" si="127"/>
      </c>
      <c r="BI17" s="569">
        <f t="shared" si="127"/>
      </c>
      <c r="BJ17" s="569">
        <f t="shared" si="127"/>
      </c>
      <c r="BK17" s="569">
        <f t="shared" si="127"/>
      </c>
      <c r="BL17" s="569">
        <f t="shared" si="127"/>
      </c>
      <c r="BM17" s="569">
        <f t="shared" si="127"/>
      </c>
      <c r="BN17" s="569">
        <f t="shared" ref="BN17:CS17" si="128">BN15+BN16</f>
      </c>
      <c r="BO17" s="569">
        <f t="shared" si="128"/>
      </c>
      <c r="BP17" s="569">
        <f t="shared" si="128"/>
      </c>
      <c r="BQ17" s="571">
        <f t="shared" si="128"/>
      </c>
      <c r="BR17" s="569">
        <f t="shared" si="128"/>
      </c>
      <c r="BS17" s="569">
        <f t="shared" si="128"/>
      </c>
      <c r="BT17" s="569">
        <f t="shared" si="128"/>
      </c>
      <c r="BU17" s="571">
        <f t="shared" si="128"/>
      </c>
      <c r="BV17" s="569">
        <f t="shared" si="128"/>
      </c>
      <c r="BW17" s="569">
        <f t="shared" si="128"/>
      </c>
      <c r="BX17" s="569">
        <f t="shared" si="128"/>
      </c>
      <c r="BY17" s="571">
        <f t="shared" si="128"/>
      </c>
      <c r="BZ17" s="569">
        <f t="shared" si="128"/>
      </c>
      <c r="CA17" s="569">
        <f t="shared" si="128"/>
      </c>
      <c r="CB17" s="569">
        <f t="shared" si="128"/>
      </c>
      <c r="CC17" s="571">
        <f t="shared" si="128"/>
      </c>
      <c r="CD17" s="569">
        <f t="shared" si="128"/>
      </c>
      <c r="CE17" s="569">
        <f t="shared" si="128"/>
      </c>
      <c r="CF17" s="569">
        <f t="shared" si="128"/>
      </c>
      <c r="CG17" s="571">
        <f t="shared" si="128"/>
      </c>
      <c r="CH17" s="569">
        <f t="shared" si="128"/>
      </c>
      <c r="CI17" s="569">
        <f t="shared" si="128"/>
      </c>
      <c r="CJ17" s="569">
        <f t="shared" si="128"/>
      </c>
      <c r="CK17" s="571">
        <f t="shared" si="128"/>
      </c>
      <c r="CL17" s="569">
        <f t="shared" si="128"/>
      </c>
      <c r="CM17" s="569">
        <f t="shared" si="128"/>
      </c>
      <c r="CN17" s="569">
        <f t="shared" si="128"/>
      </c>
      <c r="CO17" s="571">
        <f t="shared" si="128"/>
      </c>
      <c r="CP17" s="569">
        <f t="shared" si="128"/>
      </c>
      <c r="CQ17" s="569">
        <f t="shared" si="128"/>
      </c>
      <c r="CR17" s="569">
        <f t="shared" si="128"/>
      </c>
      <c r="CS17" s="571">
        <f t="shared" si="128"/>
      </c>
      <c r="CT17" s="569">
        <f t="shared" ref="CT17:DU17" si="129">CT15+CT16</f>
      </c>
      <c r="CU17" s="569">
        <f t="shared" si="129"/>
      </c>
      <c r="CV17" s="569">
        <f t="shared" si="129"/>
      </c>
      <c r="CW17" s="571">
        <f t="shared" si="129"/>
      </c>
      <c r="CX17" s="572">
        <f t="shared" si="129"/>
      </c>
      <c r="CY17" s="569">
        <f t="shared" si="129"/>
      </c>
      <c r="CZ17" s="569">
        <f t="shared" si="129"/>
      </c>
      <c r="DA17" s="571">
        <f t="shared" si="129"/>
      </c>
      <c r="DB17" s="572">
        <f t="shared" si="129"/>
      </c>
      <c r="DC17" s="569">
        <f t="shared" si="129"/>
      </c>
      <c r="DD17" s="569">
        <f t="shared" si="129"/>
      </c>
      <c r="DE17" s="571">
        <f t="shared" si="129"/>
      </c>
      <c r="DF17" s="572">
        <f t="shared" ref="DF17" si="130">DF15+DF16</f>
      </c>
      <c r="DG17" s="569">
        <f>DG15+DG16</f>
      </c>
      <c r="DH17" s="569">
        <f t="shared" si="129"/>
      </c>
      <c r="DI17" s="571">
        <f t="shared" si="129"/>
      </c>
      <c r="DJ17" s="572">
        <f t="shared" si="129"/>
      </c>
      <c r="DK17" s="569">
        <f>DK15+DK16</f>
      </c>
      <c r="DL17" s="569">
        <f t="shared" ref="DL17:DN17" si="131">DL15+DL16</f>
      </c>
      <c r="DM17" s="571">
        <f t="shared" si="131"/>
      </c>
      <c r="DN17" s="572">
        <f t="shared" si="131"/>
      </c>
      <c r="DO17" s="569">
        <f>DO15+DO16</f>
      </c>
      <c r="DP17" s="569">
        <f t="shared" ref="DP17" si="132">DP15+DP16</f>
      </c>
      <c r="DQ17" s="571">
        <f t="shared" si="129"/>
      </c>
      <c r="DR17" s="569">
        <f t="shared" si="129"/>
      </c>
      <c r="DS17" s="569">
        <f t="shared" si="129"/>
      </c>
      <c r="DT17" s="569">
        <f t="shared" si="129"/>
      </c>
      <c r="DU17" s="571">
        <f t="shared" si="129"/>
      </c>
      <c r="DV17" s="569">
        <f t="shared" ref="DV17:EK17" si="133">DV15+DV16</f>
      </c>
      <c r="DW17" s="569">
        <f t="shared" si="133"/>
      </c>
      <c r="DX17" s="569">
        <f t="shared" si="133"/>
      </c>
      <c r="DY17" s="571">
        <f t="shared" si="133"/>
      </c>
      <c r="DZ17" s="569">
        <f t="shared" si="133"/>
      </c>
      <c r="EA17" s="569">
        <f t="shared" si="133"/>
      </c>
      <c r="EB17" s="569">
        <f t="shared" si="133"/>
      </c>
      <c r="EC17" s="571">
        <f t="shared" si="133"/>
      </c>
      <c r="ED17" s="569">
        <f t="shared" si="133"/>
      </c>
      <c r="EE17" s="569">
        <f t="shared" si="133"/>
      </c>
      <c r="EF17" s="569">
        <f t="shared" si="133"/>
      </c>
      <c r="EG17" s="571">
        <f t="shared" si="133"/>
      </c>
      <c r="EH17" s="569">
        <f t="shared" si="133"/>
      </c>
      <c r="EI17" s="569">
        <f t="shared" si="133"/>
      </c>
      <c r="EJ17" s="569">
        <f t="shared" si="133"/>
      </c>
      <c r="EK17" s="571">
        <f t="shared" si="133"/>
      </c>
      <c r="EL17" s="84"/>
      <c r="EM17" s="1272"/>
      <c r="EN17" s="1273"/>
      <c r="EO17" s="1273"/>
      <c r="EP17" s="1273"/>
      <c r="EQ17" s="1273"/>
      <c r="ER17" s="1273"/>
      <c r="ES17" s="1273"/>
      <c r="ET17" s="1273"/>
      <c r="EU17" s="1273"/>
      <c r="EV17" s="1273"/>
      <c r="EW17" s="1273"/>
      <c r="EX17" s="1273"/>
      <c r="EY17" s="1273"/>
      <c r="EZ17" s="1273"/>
      <c r="FA17" s="1273"/>
      <c r="FB17" s="1273"/>
      <c r="FC17" s="1273"/>
      <c r="FD17" s="1273"/>
      <c r="FE17" s="1273"/>
      <c r="FF17" s="1273"/>
      <c r="FG17" s="1273">
        <f>SUM(CD17:CG17)</f>
      </c>
      <c r="FH17" s="1273">
        <f>SUM(CH17:CK17)</f>
      </c>
      <c r="FI17" s="1273">
        <f t="shared" ref="FI17:FQ17" si="134">FI15+FI16</f>
      </c>
      <c r="FJ17" s="1273">
        <f t="shared" si="134"/>
      </c>
      <c r="FK17" s="1273">
        <f t="shared" si="134"/>
      </c>
      <c r="FL17" s="1272">
        <f t="shared" si="134"/>
      </c>
      <c r="FM17" s="1273">
        <f t="shared" si="134"/>
      </c>
      <c r="FN17" s="1273">
        <f t="shared" si="134"/>
      </c>
      <c r="FO17" s="1273">
        <f t="shared" si="134"/>
      </c>
      <c r="FP17" s="1273">
        <f t="shared" si="134"/>
      </c>
      <c r="FQ17" s="1273">
        <f t="shared" si="134"/>
      </c>
      <c r="FR17" s="1273">
        <f t="shared" ref="FR17:FU17" si="135">FR15+FR16</f>
      </c>
      <c r="FS17" s="1273">
        <f t="shared" si="135"/>
      </c>
      <c r="FT17" s="1273">
        <f t="shared" si="135"/>
      </c>
      <c r="FU17" s="2877">
        <f t="shared" si="135"/>
      </c>
      <c r="FV17" s="1994"/>
      <c r="FW17" s="1273"/>
      <c r="FX17" s="1273"/>
      <c r="FY17" s="1273"/>
      <c r="FZ17" s="1273"/>
      <c r="GA17" s="1273"/>
      <c r="GB17" s="1273"/>
      <c r="GC17" s="1273"/>
      <c r="GD17" s="1273"/>
      <c r="GE17" s="1273"/>
      <c r="GF17" s="1273"/>
      <c r="GG17" s="1273"/>
      <c r="GH17" s="1273"/>
      <c r="GI17" s="1273"/>
      <c r="GJ17" s="1273"/>
      <c r="GK17" s="1273"/>
      <c r="GL17" s="1273"/>
      <c r="GM17" s="1273"/>
      <c r="GN17" s="1273"/>
      <c r="GO17" s="1273"/>
      <c r="GP17" s="1273"/>
      <c r="GQ17" s="1273">
        <f>SUM(CE17:CH17)</f>
      </c>
      <c r="GR17" s="1273">
        <f>SUM(CI17:CL17)</f>
      </c>
      <c r="GS17" s="1273">
        <f>SUM(CM17:CP17)</f>
      </c>
      <c r="GT17" s="1273">
        <f>SUM(CQ17:CT17)</f>
      </c>
      <c r="GU17" s="1273">
        <f t="shared" si="71"/>
      </c>
      <c r="GV17" s="1273">
        <f t="shared" si="72"/>
      </c>
      <c r="GW17" s="1273">
        <f t="shared" si="73"/>
      </c>
      <c r="GX17" s="1273">
        <f t="shared" si="74"/>
      </c>
      <c r="GY17" s="1273">
        <f t="shared" si="75"/>
      </c>
      <c r="GZ17" s="1273">
        <f t="shared" si="76"/>
      </c>
      <c r="HA17" s="1273">
        <f t="shared" si="77"/>
      </c>
      <c r="HB17" s="1273">
        <f t="shared" si="78"/>
      </c>
      <c r="HC17" s="1273">
        <f t="shared" si="79"/>
      </c>
      <c r="HD17" s="1273">
        <f t="shared" si="80"/>
      </c>
    </row>
    <row r="18" spans="1:212" s="16" customFormat="1" collapsed="1">
      <c r="A18" s="1" t="s">
        <v>689</v>
      </c>
      <c r="B18" s="15">
        <f t="shared" ref="B18:AG18" si="136">+B22+B21</f>
      </c>
      <c r="C18" s="15">
        <f t="shared" si="136"/>
      </c>
      <c r="D18" s="15">
        <f t="shared" si="136"/>
      </c>
      <c r="E18" s="183">
        <f t="shared" si="136"/>
      </c>
      <c r="F18" s="15">
        <f t="shared" si="136"/>
      </c>
      <c r="G18" s="15">
        <f t="shared" si="136"/>
      </c>
      <c r="H18" s="15">
        <f t="shared" si="136"/>
      </c>
      <c r="I18" s="15">
        <f t="shared" si="136"/>
      </c>
      <c r="J18" s="15">
        <f t="shared" si="136"/>
      </c>
      <c r="K18" s="15">
        <f t="shared" si="136"/>
      </c>
      <c r="L18" s="15">
        <f t="shared" si="136"/>
      </c>
      <c r="M18" s="15">
        <f t="shared" si="136"/>
      </c>
      <c r="N18" s="15">
        <f t="shared" si="136"/>
      </c>
      <c r="O18" s="15">
        <f t="shared" si="136"/>
      </c>
      <c r="P18" s="15">
        <f t="shared" si="136"/>
      </c>
      <c r="Q18" s="15">
        <f t="shared" si="136"/>
      </c>
      <c r="R18" s="15">
        <f t="shared" si="136"/>
      </c>
      <c r="S18" s="15">
        <f t="shared" si="136"/>
      </c>
      <c r="T18" s="15">
        <f t="shared" si="136"/>
      </c>
      <c r="U18" s="15">
        <f t="shared" si="136"/>
      </c>
      <c r="V18" s="15">
        <f t="shared" si="136"/>
      </c>
      <c r="W18" s="15">
        <f t="shared" si="136"/>
      </c>
      <c r="X18" s="15">
        <f t="shared" si="136"/>
      </c>
      <c r="Y18" s="15">
        <f t="shared" si="136"/>
      </c>
      <c r="Z18" s="15">
        <f t="shared" si="136"/>
      </c>
      <c r="AA18" s="15">
        <f t="shared" si="136"/>
      </c>
      <c r="AB18" s="15">
        <f t="shared" si="136"/>
      </c>
      <c r="AC18" s="15">
        <f t="shared" si="136"/>
      </c>
      <c r="AD18" s="15">
        <f t="shared" si="136"/>
      </c>
      <c r="AE18" s="15">
        <f t="shared" si="136"/>
      </c>
      <c r="AF18" s="15">
        <f t="shared" si="136"/>
      </c>
      <c r="AG18" s="15">
        <f t="shared" si="136"/>
      </c>
      <c r="AH18" s="15">
        <f t="shared" ref="AH18:BM18" si="137">+AH22+AH21</f>
      </c>
      <c r="AI18" s="15">
        <f t="shared" si="137"/>
      </c>
      <c r="AJ18" s="15">
        <f t="shared" si="137"/>
      </c>
      <c r="AK18" s="15">
        <f t="shared" si="137"/>
      </c>
      <c r="AL18" s="15">
        <f t="shared" si="137"/>
      </c>
      <c r="AM18" s="15">
        <f t="shared" si="137"/>
      </c>
      <c r="AN18" s="15">
        <f t="shared" si="137"/>
      </c>
      <c r="AO18" s="15">
        <f t="shared" si="137"/>
      </c>
      <c r="AP18" s="15">
        <f t="shared" si="137"/>
      </c>
      <c r="AQ18" s="15">
        <f t="shared" si="137"/>
      </c>
      <c r="AR18" s="15">
        <f t="shared" si="137"/>
      </c>
      <c r="AS18" s="15">
        <f t="shared" si="137"/>
      </c>
      <c r="AT18" s="15">
        <f t="shared" si="137"/>
      </c>
      <c r="AU18" s="15">
        <f t="shared" si="137"/>
      </c>
      <c r="AV18" s="15">
        <f t="shared" si="137"/>
      </c>
      <c r="AW18" s="15">
        <f t="shared" si="137"/>
      </c>
      <c r="AX18" s="15">
        <f t="shared" si="137"/>
      </c>
      <c r="AY18" s="15">
        <f t="shared" si="137"/>
      </c>
      <c r="AZ18" s="15">
        <f t="shared" si="137"/>
      </c>
      <c r="BA18" s="15">
        <f t="shared" si="137"/>
      </c>
      <c r="BB18" s="15">
        <f t="shared" si="137"/>
      </c>
      <c r="BC18" s="15">
        <f t="shared" si="137"/>
      </c>
      <c r="BD18" s="15">
        <f t="shared" si="137"/>
      </c>
      <c r="BE18" s="15">
        <f t="shared" si="137"/>
      </c>
      <c r="BF18" s="15">
        <f t="shared" si="137"/>
      </c>
      <c r="BG18" s="15">
        <f t="shared" si="137"/>
      </c>
      <c r="BH18" s="15">
        <f t="shared" si="137"/>
      </c>
      <c r="BI18" s="15">
        <f t="shared" si="137"/>
      </c>
      <c r="BJ18" s="15">
        <f t="shared" si="137"/>
      </c>
      <c r="BK18" s="15">
        <f t="shared" si="137"/>
      </c>
      <c r="BL18" s="15">
        <f t="shared" si="137"/>
      </c>
      <c r="BM18" s="15">
        <f t="shared" si="137"/>
      </c>
      <c r="BN18" s="15">
        <f t="shared" ref="BN18:CA18" si="138">+BN22+BN21</f>
      </c>
      <c r="BO18" s="15">
        <f t="shared" si="138"/>
      </c>
      <c r="BP18" s="15">
        <f t="shared" si="138"/>
      </c>
      <c r="BQ18" s="174">
        <f t="shared" si="138"/>
      </c>
      <c r="BR18" s="15">
        <f t="shared" si="138"/>
      </c>
      <c r="BS18" s="15">
        <f t="shared" si="138"/>
      </c>
      <c r="BT18" s="15">
        <f t="shared" si="138"/>
      </c>
      <c r="BU18" s="174">
        <f t="shared" si="138"/>
      </c>
      <c r="BV18" s="15">
        <f t="shared" si="138"/>
      </c>
      <c r="BW18" s="15">
        <f t="shared" si="138"/>
      </c>
      <c r="BX18" s="15">
        <f t="shared" si="138"/>
      </c>
      <c r="BY18" s="174">
        <f t="shared" si="138"/>
      </c>
      <c r="BZ18" s="15">
        <f t="shared" si="138"/>
      </c>
      <c r="CA18" s="15">
        <f t="shared" si="138"/>
      </c>
      <c r="CB18" s="10">
        <f>CB21+CB22</f>
      </c>
      <c r="CC18" s="174">
        <f>+CC22+CC21</f>
      </c>
      <c r="CD18" s="62">
        <f>+CD22+CD21</f>
      </c>
      <c r="CE18" s="15">
        <f>+CE22+CE21</f>
      </c>
      <c r="CF18" s="15">
        <f>CF22+CF21</f>
      </c>
      <c r="CG18" s="174">
        <f t="shared" ref="CG18:CO18" si="139">+CG22+CG21</f>
      </c>
      <c r="CH18" s="15">
        <f t="shared" si="139"/>
      </c>
      <c r="CI18" s="15">
        <f t="shared" si="139"/>
      </c>
      <c r="CJ18" s="15">
        <f t="shared" si="139"/>
      </c>
      <c r="CK18" s="174">
        <f t="shared" si="139"/>
      </c>
      <c r="CL18" s="15">
        <f t="shared" si="139"/>
      </c>
      <c r="CM18" s="15">
        <f t="shared" si="139"/>
      </c>
      <c r="CN18" s="15">
        <f t="shared" si="139"/>
      </c>
      <c r="CO18" s="174">
        <f t="shared" si="139"/>
      </c>
      <c r="CP18" s="34">
        <v>560</v>
      </c>
      <c r="CQ18" s="34">
        <v>378</v>
      </c>
      <c r="CR18" s="34">
        <v>367</v>
      </c>
      <c r="CS18" s="173">
        <v>502</v>
      </c>
      <c r="CT18" s="34">
        <v>349</v>
      </c>
      <c r="CU18" s="34">
        <v>282</v>
      </c>
      <c r="CV18" s="34">
        <v>46</v>
      </c>
      <c r="CW18" s="173">
        <v>126</v>
      </c>
      <c r="CX18" s="382">
        <v>45</v>
      </c>
      <c r="CY18" s="34">
        <v>508</v>
      </c>
      <c r="CZ18" s="34">
        <v>243</v>
      </c>
      <c r="DA18" s="173">
        <v>-538</v>
      </c>
      <c r="DB18" s="382">
        <v>-247</v>
      </c>
      <c r="DC18" s="34">
        <v>160</v>
      </c>
      <c r="DD18" s="34">
        <v>-10</v>
      </c>
      <c r="DE18" s="192">
        <v>-237</v>
      </c>
      <c r="DF18" s="382">
        <v>-393</v>
      </c>
      <c r="DG18" s="34">
        <v>64</v>
      </c>
      <c r="DH18" s="34">
        <v>-265</v>
      </c>
      <c r="DI18" s="192">
        <v>29</v>
      </c>
      <c r="DJ18" s="382">
        <v>-50</v>
      </c>
      <c r="DK18" s="34">
        <v>158</v>
      </c>
      <c r="DL18" s="34">
        <v>142</v>
      </c>
      <c r="DM18" s="192">
        <v>19</v>
      </c>
      <c r="DN18" s="382">
        <v>-248</v>
      </c>
      <c r="DO18" s="34">
        <v>-279</v>
      </c>
      <c r="DP18" s="34">
        <v>-171</v>
      </c>
      <c r="DQ18" s="226">
        <f t="shared" ref="DQ18:DU18" si="140">+DQ22+DQ21</f>
      </c>
      <c r="DR18" s="62">
        <f t="shared" si="140"/>
      </c>
      <c r="DS18" s="62">
        <f t="shared" si="140"/>
      </c>
      <c r="DT18" s="62">
        <f t="shared" si="140"/>
      </c>
      <c r="DU18" s="226">
        <f t="shared" si="140"/>
      </c>
      <c r="DV18" s="62">
        <f t="shared" ref="DV18:EK18" si="141">+DV22+DV21</f>
      </c>
      <c r="DW18" s="62">
        <f t="shared" si="141"/>
      </c>
      <c r="DX18" s="62">
        <f t="shared" si="141"/>
      </c>
      <c r="DY18" s="226">
        <f t="shared" si="141"/>
      </c>
      <c r="DZ18" s="62">
        <f t="shared" si="141"/>
      </c>
      <c r="EA18" s="62">
        <f t="shared" si="141"/>
      </c>
      <c r="EB18" s="62">
        <f t="shared" si="141"/>
      </c>
      <c r="EC18" s="226">
        <f t="shared" si="141"/>
      </c>
      <c r="ED18" s="62">
        <f t="shared" si="141"/>
      </c>
      <c r="EE18" s="62">
        <f t="shared" si="141"/>
      </c>
      <c r="EF18" s="62">
        <f t="shared" si="141"/>
      </c>
      <c r="EG18" s="226">
        <f t="shared" si="141"/>
      </c>
      <c r="EH18" s="62">
        <f t="shared" si="141"/>
      </c>
      <c r="EI18" s="62">
        <f t="shared" si="141"/>
      </c>
      <c r="EJ18" s="62">
        <f t="shared" si="141"/>
      </c>
      <c r="EK18" s="226">
        <f t="shared" si="141"/>
      </c>
      <c r="EL18" s="62"/>
      <c r="EM18" s="1269">
        <f t="shared" ref="EM18:FM18" si="142">+EM22+EM21</f>
      </c>
      <c r="EN18" s="8">
        <f t="shared" si="142"/>
      </c>
      <c r="EO18" s="8">
        <f t="shared" si="142"/>
      </c>
      <c r="EP18" s="8">
        <f t="shared" si="142"/>
      </c>
      <c r="EQ18" s="8">
        <f t="shared" si="142"/>
      </c>
      <c r="ER18" s="8">
        <f t="shared" si="142"/>
      </c>
      <c r="ES18" s="8">
        <f t="shared" si="142"/>
      </c>
      <c r="ET18" s="8">
        <f t="shared" si="142"/>
      </c>
      <c r="EU18" s="8">
        <f t="shared" si="142"/>
      </c>
      <c r="EV18" s="8">
        <f t="shared" si="142"/>
      </c>
      <c r="EW18" s="8">
        <f t="shared" si="142"/>
      </c>
      <c r="EX18" s="8">
        <f t="shared" si="142"/>
      </c>
      <c r="EY18" s="8">
        <f t="shared" si="142"/>
      </c>
      <c r="EZ18" s="8">
        <f t="shared" si="142"/>
      </c>
      <c r="FA18" s="8">
        <f t="shared" si="142"/>
      </c>
      <c r="FB18" s="8">
        <f t="shared" si="142"/>
      </c>
      <c r="FC18" s="8">
        <f t="shared" si="142"/>
      </c>
      <c r="FD18" s="8">
        <f t="shared" si="142"/>
      </c>
      <c r="FE18" s="8">
        <f t="shared" si="142"/>
      </c>
      <c r="FF18" s="8">
        <f t="shared" si="142"/>
      </c>
      <c r="FG18" s="8">
        <f t="shared" si="142"/>
      </c>
      <c r="FH18" s="8">
        <f t="shared" si="142"/>
      </c>
      <c r="FI18" s="8">
        <f t="shared" si="142"/>
      </c>
      <c r="FJ18" s="8">
        <f t="shared" si="142"/>
      </c>
      <c r="FK18" s="8">
        <f t="shared" si="142"/>
      </c>
      <c r="FL18" s="1269">
        <f t="shared" si="142"/>
      </c>
      <c r="FM18" s="8">
        <f t="shared" si="142"/>
      </c>
      <c r="FN18" s="8">
        <f>SUM(DF18:DI18)</f>
      </c>
      <c r="FO18" s="8">
        <f>SUM(DJ18:DM18)</f>
      </c>
      <c r="FP18" s="8">
        <f>SUM(DN18:DQ18)</f>
      </c>
      <c r="FQ18" s="8">
        <f>SUM(DR18:DU18)</f>
      </c>
      <c r="FR18" s="8">
        <f>SUM(DV18:DY18)</f>
      </c>
      <c r="FS18" s="8">
        <f>SUM(DZ18:EC18)</f>
      </c>
      <c r="FT18" s="8">
        <f>SUM(ED18:EG18)</f>
      </c>
      <c r="FU18" s="2873">
        <f>SUM(EH18:EK18)</f>
      </c>
      <c r="FV18" s="371"/>
      <c r="FW18" s="8">
        <f t="shared" ref="FW18:GZ18" si="143">+FW22+FW21</f>
      </c>
      <c r="FX18" s="8">
        <f t="shared" si="143"/>
      </c>
      <c r="FY18" s="8">
        <f t="shared" si="143"/>
      </c>
      <c r="FZ18" s="8">
        <f t="shared" si="143"/>
      </c>
      <c r="GA18" s="8">
        <f t="shared" si="143"/>
      </c>
      <c r="GB18" s="8">
        <f t="shared" si="143"/>
      </c>
      <c r="GC18" s="8">
        <f t="shared" si="143"/>
      </c>
      <c r="GD18" s="8">
        <f t="shared" si="143"/>
      </c>
      <c r="GE18" s="8">
        <f t="shared" si="143"/>
      </c>
      <c r="GF18" s="8">
        <f t="shared" si="143"/>
      </c>
      <c r="GG18" s="8">
        <f t="shared" si="143"/>
      </c>
      <c r="GH18" s="8">
        <f t="shared" si="143"/>
      </c>
      <c r="GI18" s="8">
        <f t="shared" si="143"/>
      </c>
      <c r="GJ18" s="8">
        <f t="shared" si="143"/>
      </c>
      <c r="GK18" s="8">
        <f t="shared" si="143"/>
      </c>
      <c r="GL18" s="8">
        <f t="shared" si="143"/>
      </c>
      <c r="GM18" s="8">
        <f t="shared" si="143"/>
      </c>
      <c r="GN18" s="8">
        <f t="shared" si="143"/>
      </c>
      <c r="GO18" s="8">
        <f t="shared" si="143"/>
      </c>
      <c r="GP18" s="8">
        <f t="shared" si="143"/>
      </c>
      <c r="GQ18" s="8">
        <f t="shared" si="143"/>
      </c>
      <c r="GR18" s="8">
        <f t="shared" si="143"/>
      </c>
      <c r="GS18" s="8">
        <f t="shared" si="143"/>
      </c>
      <c r="GT18" s="8">
        <f t="shared" si="143"/>
      </c>
      <c r="GU18" s="8">
        <f t="shared" si="143"/>
      </c>
      <c r="GV18" s="8">
        <f t="shared" si="143"/>
      </c>
      <c r="GW18" s="8">
        <f t="shared" si="143"/>
      </c>
      <c r="GX18" s="8">
        <f t="shared" si="143"/>
      </c>
      <c r="GY18" s="8">
        <f t="shared" si="143"/>
      </c>
      <c r="GZ18" s="8">
        <f t="shared" si="143"/>
      </c>
      <c r="HA18" s="8">
        <f t="shared" ref="HA18:HD18" si="144">+HA22+HA21</f>
      </c>
      <c r="HB18" s="8">
        <f t="shared" si="144"/>
      </c>
      <c r="HC18" s="8">
        <f t="shared" si="144"/>
      </c>
      <c r="HD18" s="8">
        <f t="shared" si="144"/>
      </c>
    </row>
    <row r="19" spans="1:212" hidden="1" outlineLevel="1">
      <c r="A19" s="1600" t="s">
        <v>987</v>
      </c>
      <c r="B19" s="1601"/>
      <c r="C19" s="1601"/>
      <c r="D19" s="1601"/>
      <c r="E19" s="1602"/>
      <c r="F19" s="1601"/>
      <c r="G19" s="1601"/>
      <c r="H19" s="1601"/>
      <c r="I19" s="1601"/>
      <c r="J19" s="1601"/>
      <c r="K19" s="1601"/>
      <c r="L19" s="1601"/>
      <c r="M19" s="1601"/>
      <c r="N19" s="1601"/>
      <c r="O19" s="1601"/>
      <c r="P19" s="1601"/>
      <c r="Q19" s="1601"/>
      <c r="R19" s="1601"/>
      <c r="S19" s="1601"/>
      <c r="T19" s="1601"/>
      <c r="U19" s="1601"/>
      <c r="V19" s="1601"/>
      <c r="W19" s="1601"/>
      <c r="X19" s="1601"/>
      <c r="Y19" s="1601"/>
      <c r="Z19" s="1601"/>
      <c r="AA19" s="1601"/>
      <c r="AB19" s="1601"/>
      <c r="AC19" s="1601"/>
      <c r="AD19" s="1601"/>
      <c r="AE19" s="1601"/>
      <c r="AF19" s="1601"/>
      <c r="AG19" s="1601"/>
      <c r="AH19" s="1601"/>
      <c r="AI19" s="1601"/>
      <c r="AJ19" s="1601"/>
      <c r="AK19" s="1601"/>
      <c r="AL19" s="1601"/>
      <c r="AM19" s="1601"/>
      <c r="AN19" s="1601"/>
      <c r="AO19" s="1601"/>
      <c r="AP19" s="1601"/>
      <c r="AQ19" s="1601"/>
      <c r="AR19" s="1601"/>
      <c r="AS19" s="1601"/>
      <c r="AT19" s="1601"/>
      <c r="AU19" s="1601"/>
      <c r="AV19" s="1601"/>
      <c r="AW19" s="1601"/>
      <c r="AX19" s="1601"/>
      <c r="AY19" s="1601"/>
      <c r="AZ19" s="1601"/>
      <c r="BA19" s="1601"/>
      <c r="BB19" s="1601"/>
      <c r="BC19" s="1601"/>
      <c r="BD19" s="1601"/>
      <c r="BE19" s="1601"/>
      <c r="BF19" s="1601"/>
      <c r="BG19" s="1601"/>
      <c r="BH19" s="1601"/>
      <c r="BI19" s="1601"/>
      <c r="BJ19" s="1601"/>
      <c r="BK19" s="1601"/>
      <c r="BL19" s="1601"/>
      <c r="BM19" s="1601"/>
      <c r="BN19" s="1601"/>
      <c r="BO19" s="1601"/>
      <c r="BP19" s="1601"/>
      <c r="BQ19" s="1603"/>
      <c r="BR19" s="1601"/>
      <c r="BS19" s="1601"/>
      <c r="BT19" s="1601"/>
      <c r="BU19" s="1603"/>
      <c r="BV19" s="1601"/>
      <c r="BW19" s="1601"/>
      <c r="BX19" s="1601"/>
      <c r="BY19" s="1603"/>
      <c r="BZ19" s="1601"/>
      <c r="CA19" s="1601"/>
      <c r="CB19" s="1604"/>
      <c r="CC19" s="1605"/>
      <c r="CD19" s="1606">
        <f>941</f>
      </c>
      <c r="CE19" s="1606">
        <f>986</f>
      </c>
      <c r="CF19" s="1604">
        <f>1036</f>
      </c>
      <c r="CG19" s="1605">
        <f>3999-SUM(CD19:CF19)</f>
      </c>
      <c r="CH19" s="1606">
        <f>1224</f>
      </c>
      <c r="CI19" s="1606">
        <f>1282</f>
      </c>
      <c r="CJ19" s="1606">
        <f>1327</f>
      </c>
      <c r="CK19" s="1605">
        <f>5201-SUM(CH19:CJ19)</f>
      </c>
      <c r="CL19" s="1604">
        <f>1452</f>
      </c>
      <c r="CM19" s="1604">
        <v>1505</v>
      </c>
      <c r="CN19" s="1606">
        <v>1418</v>
      </c>
      <c r="CO19" s="1605">
        <f>5686-SUM(CL19:CN19)</f>
      </c>
      <c r="CP19" s="1604">
        <v>1307</v>
      </c>
      <c r="CQ19" s="1607">
        <v>1358</v>
      </c>
      <c r="CR19" s="1607">
        <v>1190</v>
      </c>
      <c r="CS19" s="1608">
        <f>4961-CP19-CQ19-CR19</f>
      </c>
      <c r="CT19" s="1607">
        <v>1045</v>
      </c>
      <c r="CU19" s="1607">
        <v>1049</v>
      </c>
      <c r="CV19" s="1607">
        <v>901</v>
      </c>
      <c r="CW19" s="1608">
        <f>3763-CT19-CU19-CV19</f>
      </c>
      <c r="CX19" s="1607">
        <v>747</v>
      </c>
      <c r="CY19" s="1607">
        <v>718</v>
      </c>
      <c r="CZ19" s="1607">
        <v>719</v>
      </c>
      <c r="DA19" s="1608">
        <f>2843-CZ19-CY19-CX19</f>
      </c>
      <c r="DB19" s="1609">
        <v>650</v>
      </c>
      <c r="DC19" s="1609">
        <v>700</v>
      </c>
      <c r="DD19" s="1609">
        <v>722</v>
      </c>
      <c r="DE19" s="1608">
        <f>2825-DD19-DC19-DB19</f>
      </c>
      <c r="DF19" s="1609">
        <v>868</v>
      </c>
      <c r="DG19" s="1609">
        <v>918</v>
      </c>
      <c r="DH19" s="1609">
        <v>980</v>
      </c>
      <c r="DI19" s="3167">
        <f>3750-SUM(DF19:DH19)</f>
      </c>
      <c r="DJ19" s="3211">
        <f>1050+50</f>
      </c>
      <c r="DK19" s="3211">
        <f t="shared" ref="DK19:DP19" si="145">1050+50</f>
      </c>
      <c r="DL19" s="3211">
        <f t="shared" si="145"/>
      </c>
      <c r="DM19" s="3280">
        <f t="shared" si="145"/>
      </c>
      <c r="DN19" s="3211">
        <f>1050+50</f>
      </c>
      <c r="DO19" s="3211">
        <f t="shared" si="145"/>
      </c>
      <c r="DP19" s="3211">
        <f t="shared" si="145"/>
      </c>
      <c r="DQ19" s="1610">
        <f>'Balance Sheet'!DQ116</f>
      </c>
      <c r="DR19" s="1611">
        <f>'Balance Sheet'!DR116</f>
      </c>
      <c r="DS19" s="1611">
        <f>'Balance Sheet'!DS116</f>
      </c>
      <c r="DT19" s="1611">
        <f>'Balance Sheet'!DT116</f>
      </c>
      <c r="DU19" s="1610">
        <f>'Balance Sheet'!DU116</f>
      </c>
      <c r="DV19" s="1611">
        <f>'Balance Sheet'!DV116</f>
      </c>
      <c r="DW19" s="1611">
        <f>'Balance Sheet'!DW116</f>
      </c>
      <c r="DX19" s="1611">
        <f>'Balance Sheet'!DX116</f>
      </c>
      <c r="DY19" s="1610">
        <f>'Balance Sheet'!DY116</f>
      </c>
      <c r="DZ19" s="1611">
        <f>'Balance Sheet'!DZ116</f>
      </c>
      <c r="EA19" s="1611">
        <f>'Balance Sheet'!EA116</f>
      </c>
      <c r="EB19" s="1611">
        <f>'Balance Sheet'!EB116</f>
      </c>
      <c r="EC19" s="1610">
        <f>'Balance Sheet'!EC116</f>
      </c>
      <c r="ED19" s="1611">
        <f>'Balance Sheet'!ED116</f>
      </c>
      <c r="EE19" s="1611">
        <f>'Balance Sheet'!EE116</f>
      </c>
      <c r="EF19" s="1611">
        <f>'Balance Sheet'!EF116</f>
      </c>
      <c r="EG19" s="1610">
        <f>'Balance Sheet'!EG116</f>
      </c>
      <c r="EH19" s="1611">
        <f>'Balance Sheet'!EH116</f>
      </c>
      <c r="EI19" s="1611">
        <f>'Balance Sheet'!EI116</f>
      </c>
      <c r="EJ19" s="1611">
        <f>'Balance Sheet'!EJ116</f>
      </c>
      <c r="EK19" s="1610">
        <f>'Balance Sheet'!EK116</f>
      </c>
      <c r="EL19" s="420"/>
      <c r="EM19" s="1269">
        <f t="shared" ref="EM19:EM20" si="146">SUM(B19:E19)</f>
      </c>
      <c r="EN19" s="8">
        <f t="shared" ref="EN19:EN20" si="147">SUM(F19:I19)</f>
      </c>
      <c r="EO19" s="8">
        <f t="shared" ref="EO19:EO20" si="148">SUM(J19:M19)</f>
      </c>
      <c r="EP19" s="8">
        <f t="shared" ref="EP19:EP20" si="149">SUM(N19:Q19)</f>
      </c>
      <c r="EQ19" s="8">
        <f t="shared" ref="EQ19:EQ20" si="150">SUM(R19:U19)</f>
      </c>
      <c r="ER19" s="8">
        <f t="shared" ref="ER19:ER20" si="151">SUM(V19:Y19)</f>
      </c>
      <c r="ES19" s="8">
        <f t="shared" ref="ES19:ES20" si="152">SUM(Z19:AC19)</f>
      </c>
      <c r="ET19" s="8">
        <f t="shared" ref="ET19:ET20" si="153">SUM(AD19:AG19)</f>
      </c>
      <c r="EU19" s="8">
        <f t="shared" ref="EU19:EU20" si="154">SUM(AH19:AK19)</f>
      </c>
      <c r="EV19" s="8">
        <f t="shared" ref="EV19:EV20" si="155">SUM(AL19:AO19)</f>
      </c>
      <c r="EW19" s="8">
        <f t="shared" ref="EW19:EW20" si="156">SUM(AP19:AS19)</f>
      </c>
      <c r="EX19" s="8">
        <f t="shared" ref="EX19:EX20" si="157">SUM(AT19:AW19)</f>
      </c>
      <c r="EY19" s="8">
        <f t="shared" ref="EY19:EY20" si="158">SUM(AX19:BA19)</f>
      </c>
      <c r="EZ19" s="8">
        <f t="shared" ref="EZ19:EZ20" si="159">SUM(BB19:BE19)</f>
      </c>
      <c r="FA19" s="8">
        <f t="shared" ref="FA19:FA20" si="160">SUM(BF19:BI19)</f>
      </c>
      <c r="FB19" s="8">
        <f t="shared" ref="FB19:FB20" si="161">SUM(BJ19:BM19)</f>
      </c>
      <c r="FC19" s="8">
        <f t="shared" ref="FC19:FC20" si="162">SUM(BN19:BQ19)</f>
      </c>
      <c r="FD19" s="8">
        <f t="shared" ref="FD19:FD20" si="163">SUM(BR19:BU19)</f>
      </c>
      <c r="FE19" s="8">
        <f t="shared" ref="FE19:FE20" si="164">SUM(BV19:BY19)</f>
      </c>
      <c r="FF19" s="8">
        <v>0</v>
      </c>
      <c r="FG19" s="8">
        <f>SUM(CD19:CG19)</f>
      </c>
      <c r="FH19" s="8">
        <f>SUM(CH19:CK19)</f>
      </c>
      <c r="FI19" s="2257">
        <f>SUM(CL19:CO19)</f>
      </c>
      <c r="FJ19" s="2257">
        <f>SUM(CP19:CS19)</f>
      </c>
      <c r="FK19" s="2257">
        <f>SUM(CT19:CW19)</f>
      </c>
      <c r="FL19" s="2878">
        <f>SUM(CX19:DA19)</f>
      </c>
      <c r="FM19" s="2257">
        <f>SUM(DB19:DE19)</f>
      </c>
      <c r="FN19" s="2257">
        <f>SUM(DF19:DI19)</f>
      </c>
      <c r="FO19" s="2257">
        <f>SUM(DJ19:DM19)</f>
      </c>
      <c r="FP19" s="2257">
        <f>SUM(DN19:DQ19)</f>
      </c>
      <c r="FQ19" s="2257">
        <f>SUM(DR19:DU19)</f>
      </c>
      <c r="FR19" s="2257">
        <f>SUM(DV19:DY19)</f>
      </c>
      <c r="FS19" s="2257">
        <f>SUM(DZ19:EC19)</f>
      </c>
      <c r="FT19" s="2257">
        <f>SUM(ED19:EG19)</f>
      </c>
      <c r="FU19" s="2879">
        <f>SUM(EH19:EK19)</f>
      </c>
      <c r="FV19" s="2258"/>
      <c r="FW19" s="2257"/>
      <c r="FX19" s="2257"/>
      <c r="FY19" s="2257"/>
      <c r="FZ19" s="2257"/>
      <c r="GA19" s="2257"/>
      <c r="GB19" s="2257"/>
      <c r="GC19" s="2257"/>
      <c r="GD19" s="2257"/>
      <c r="GE19" s="2257"/>
      <c r="GF19" s="2257"/>
      <c r="GG19" s="2257"/>
      <c r="GH19" s="2257"/>
      <c r="GI19" s="2257"/>
      <c r="GJ19" s="2257"/>
      <c r="GK19" s="2257"/>
      <c r="GL19" s="2257"/>
      <c r="GM19" s="2257"/>
      <c r="GN19" s="2257"/>
      <c r="GO19" s="2257"/>
      <c r="GP19" s="2257"/>
      <c r="GQ19" s="2257"/>
      <c r="GR19" s="2257">
        <f>SUM(CI19:CL19)</f>
      </c>
      <c r="GS19" s="2257">
        <f>SUM(CM19:CP19)</f>
      </c>
      <c r="GT19" s="2257">
        <f>SUM(CQ19:CT19)</f>
      </c>
      <c r="GU19" s="2257">
        <f>SUM(CU19:CX19)</f>
      </c>
      <c r="GV19" s="2257">
        <f>SUM(CY19:DB19)</f>
      </c>
      <c r="GW19" s="2257">
        <f>SUM(DC19:DF19)</f>
      </c>
      <c r="GX19" s="2257">
        <f>SUM(DG19:DJ19)</f>
      </c>
      <c r="GY19" s="2257">
        <f>SUM(DK19:DN19)</f>
      </c>
      <c r="GZ19" s="2257">
        <f>SUM(DO19:DR19)</f>
      </c>
      <c r="HA19" s="2257">
        <f>SUM(DS19:DV19)</f>
      </c>
      <c r="HB19" s="2257">
        <f>SUM(DW19:DZ19)</f>
      </c>
      <c r="HC19" s="2257">
        <f>SUM(EA19:ED19)</f>
      </c>
      <c r="HD19" s="2257">
        <f>SUM(EE19:EH19)</f>
      </c>
    </row>
    <row r="20" spans="1:212" hidden="1" outlineLevel="1">
      <c r="A20" s="1612" t="s">
        <v>988</v>
      </c>
      <c r="B20" s="290"/>
      <c r="C20" s="290"/>
      <c r="D20" s="290"/>
      <c r="E20" s="1613"/>
      <c r="F20" s="290"/>
      <c r="G20" s="290"/>
      <c r="H20" s="290"/>
      <c r="I20" s="290"/>
      <c r="J20" s="290"/>
      <c r="K20" s="290"/>
      <c r="L20" s="290"/>
      <c r="M20" s="290"/>
      <c r="N20" s="290"/>
      <c r="O20" s="290"/>
      <c r="P20" s="290"/>
      <c r="Q20" s="290"/>
      <c r="R20" s="290"/>
      <c r="S20" s="290"/>
      <c r="T20" s="290"/>
      <c r="U20" s="290"/>
      <c r="V20" s="290"/>
      <c r="W20" s="290"/>
      <c r="X20" s="290"/>
      <c r="Y20" s="290"/>
      <c r="Z20" s="290"/>
      <c r="AA20" s="290"/>
      <c r="AB20" s="290"/>
      <c r="AC20" s="290"/>
      <c r="AD20" s="290"/>
      <c r="AE20" s="290"/>
      <c r="AF20" s="290"/>
      <c r="AG20" s="290"/>
      <c r="AH20" s="290"/>
      <c r="AI20" s="290"/>
      <c r="AJ20" s="290"/>
      <c r="AK20" s="290"/>
      <c r="AL20" s="290"/>
      <c r="AM20" s="290"/>
      <c r="AN20" s="290"/>
      <c r="AO20" s="290"/>
      <c r="AP20" s="290"/>
      <c r="AQ20" s="290"/>
      <c r="AR20" s="290"/>
      <c r="AS20" s="290"/>
      <c r="AT20" s="290"/>
      <c r="AU20" s="290"/>
      <c r="AV20" s="290"/>
      <c r="AW20" s="290"/>
      <c r="AX20" s="290"/>
      <c r="AY20" s="290"/>
      <c r="AZ20" s="290"/>
      <c r="BA20" s="290"/>
      <c r="BB20" s="290"/>
      <c r="BC20" s="290"/>
      <c r="BD20" s="290"/>
      <c r="BE20" s="290"/>
      <c r="BF20" s="290"/>
      <c r="BG20" s="290"/>
      <c r="BH20" s="290"/>
      <c r="BI20" s="290"/>
      <c r="BJ20" s="290"/>
      <c r="BK20" s="290"/>
      <c r="BL20" s="290"/>
      <c r="BM20" s="290"/>
      <c r="BN20" s="290"/>
      <c r="BO20" s="290"/>
      <c r="BP20" s="290"/>
      <c r="BQ20" s="244"/>
      <c r="BR20" s="290"/>
      <c r="BS20" s="290"/>
      <c r="BT20" s="290"/>
      <c r="BU20" s="244"/>
      <c r="BV20" s="290"/>
      <c r="BW20" s="290"/>
      <c r="BX20" s="290"/>
      <c r="BY20" s="244"/>
      <c r="BZ20" s="290"/>
      <c r="CA20" s="290"/>
      <c r="CB20" s="1614"/>
      <c r="CC20" s="1615"/>
      <c r="CD20" s="1616">
        <f>-263</f>
      </c>
      <c r="CE20" s="1616">
        <f>-510</f>
      </c>
      <c r="CF20" s="1614">
        <f>-263</f>
      </c>
      <c r="CG20" s="1615">
        <f>-1195-SUM(CD20:CF20)</f>
      </c>
      <c r="CH20" s="1616">
        <f>122</f>
      </c>
      <c r="CI20" s="1616">
        <f>-165</f>
      </c>
      <c r="CJ20" s="1616">
        <f>-185</f>
      </c>
      <c r="CK20" s="1615">
        <f>-133-SUM(CH20:CJ20)</f>
      </c>
      <c r="CL20" s="1616">
        <f>38</f>
      </c>
      <c r="CM20" s="1616">
        <v>-439</v>
      </c>
      <c r="CN20" s="1616">
        <v>100</v>
      </c>
      <c r="CO20" s="1615">
        <f>-441-SUM(CL20:CN20)</f>
      </c>
      <c r="CP20" s="1616">
        <v>143</v>
      </c>
      <c r="CQ20" s="1617">
        <v>30</v>
      </c>
      <c r="CR20" s="1617">
        <v>43</v>
      </c>
      <c r="CS20" s="1618">
        <f>422-CP20-CQ20-CR20</f>
      </c>
      <c r="CT20" s="1617">
        <v>89</v>
      </c>
      <c r="CU20" s="1617">
        <v>-10</v>
      </c>
      <c r="CV20" s="1617">
        <v>-158</v>
      </c>
      <c r="CW20" s="1618">
        <f>-87-CT20-CU20-CV20</f>
      </c>
      <c r="CX20" s="1617">
        <v>-64</v>
      </c>
      <c r="CY20" s="1617">
        <v>460</v>
      </c>
      <c r="CZ20" s="1617">
        <v>189</v>
      </c>
      <c r="DA20" s="1618">
        <f>60-CZ20-CY20-CX20</f>
      </c>
      <c r="DB20" s="1617">
        <v>-203</v>
      </c>
      <c r="DC20" s="1617">
        <v>151</v>
      </c>
      <c r="DD20" s="1617">
        <v>-13</v>
      </c>
      <c r="DE20" s="1618">
        <f>-228-DD20-DC20-DB20</f>
      </c>
      <c r="DF20" s="1617">
        <v>-258</v>
      </c>
      <c r="DG20" s="1617">
        <v>76</v>
      </c>
      <c r="DH20" s="1617">
        <v>-247</v>
      </c>
      <c r="DI20" s="3166">
        <f>-382-SUM(DF20:DH20)</f>
      </c>
      <c r="DJ20" s="3227">
        <f t="shared" ref="DJ20:DO20" si="165">DJ21-DJ19</f>
      </c>
      <c r="DK20" s="3227">
        <f t="shared" si="165"/>
      </c>
      <c r="DL20" s="3227">
        <f t="shared" si="165"/>
      </c>
      <c r="DM20" s="3281">
        <f t="shared" si="165"/>
      </c>
      <c r="DN20" s="3227">
        <f t="shared" si="165"/>
      </c>
      <c r="DO20" s="3227">
        <f t="shared" si="165"/>
      </c>
      <c r="DP20" s="3227">
        <f t="shared" ref="DP20" si="166">DP21-DP19</f>
      </c>
      <c r="DQ20" s="1619">
        <v>-75</v>
      </c>
      <c r="DR20" s="1620">
        <v>-75</v>
      </c>
      <c r="DS20" s="1620">
        <v>-75</v>
      </c>
      <c r="DT20" s="1620">
        <v>-75</v>
      </c>
      <c r="DU20" s="1619">
        <v>-75</v>
      </c>
      <c r="DV20" s="1620">
        <v>-75</v>
      </c>
      <c r="DW20" s="1620">
        <v>-75</v>
      </c>
      <c r="DX20" s="1620">
        <v>-75</v>
      </c>
      <c r="DY20" s="1619">
        <v>-75</v>
      </c>
      <c r="DZ20" s="1620">
        <v>-75</v>
      </c>
      <c r="EA20" s="1620">
        <v>-75</v>
      </c>
      <c r="EB20" s="1620">
        <v>-75</v>
      </c>
      <c r="EC20" s="1619">
        <v>-75</v>
      </c>
      <c r="ED20" s="1620">
        <v>-75</v>
      </c>
      <c r="EE20" s="1620">
        <v>-75</v>
      </c>
      <c r="EF20" s="1620">
        <v>-75</v>
      </c>
      <c r="EG20" s="1619">
        <v>-75</v>
      </c>
      <c r="EH20" s="1620">
        <v>-75</v>
      </c>
      <c r="EI20" s="1620">
        <v>-75</v>
      </c>
      <c r="EJ20" s="1620">
        <v>-75</v>
      </c>
      <c r="EK20" s="1619">
        <v>-75</v>
      </c>
      <c r="EL20" s="420"/>
      <c r="EM20" s="1269">
        <f t="shared" si="146"/>
      </c>
      <c r="EN20" s="8">
        <f t="shared" si="147"/>
      </c>
      <c r="EO20" s="8">
        <f t="shared" si="148"/>
      </c>
      <c r="EP20" s="8">
        <f t="shared" si="149"/>
      </c>
      <c r="EQ20" s="8">
        <f t="shared" si="150"/>
      </c>
      <c r="ER20" s="8">
        <f t="shared" si="151"/>
      </c>
      <c r="ES20" s="8">
        <f t="shared" si="152"/>
      </c>
      <c r="ET20" s="8">
        <f t="shared" si="153"/>
      </c>
      <c r="EU20" s="8">
        <f t="shared" si="154"/>
      </c>
      <c r="EV20" s="8">
        <f t="shared" si="155"/>
      </c>
      <c r="EW20" s="8">
        <f t="shared" si="156"/>
      </c>
      <c r="EX20" s="8">
        <f t="shared" si="157"/>
      </c>
      <c r="EY20" s="8">
        <f t="shared" si="158"/>
      </c>
      <c r="EZ20" s="8">
        <f t="shared" si="159"/>
      </c>
      <c r="FA20" s="8">
        <f t="shared" si="160"/>
      </c>
      <c r="FB20" s="8">
        <f t="shared" si="161"/>
      </c>
      <c r="FC20" s="8">
        <f t="shared" si="162"/>
      </c>
      <c r="FD20" s="8">
        <f t="shared" si="163"/>
      </c>
      <c r="FE20" s="8">
        <f t="shared" si="164"/>
      </c>
      <c r="FF20" s="8">
        <v>0</v>
      </c>
      <c r="FG20" s="8">
        <f>SUM(CD20:CG20)</f>
      </c>
      <c r="FH20" s="8">
        <f>SUM(CH20:CK20)</f>
      </c>
      <c r="FI20" s="8">
        <f>SUM(CL20:CO20)</f>
      </c>
      <c r="FJ20" s="8">
        <f>SUM(CP20:CS20)</f>
      </c>
      <c r="FK20" s="8">
        <f>SUM(CT20:CW20)</f>
      </c>
      <c r="FL20" s="1269">
        <f>SUM(CX20:DA20)</f>
      </c>
      <c r="FM20" s="8">
        <f>SUM(DB20:DE20)</f>
      </c>
      <c r="FN20" s="8">
        <f>SUM(DF20:DI20)</f>
      </c>
      <c r="FO20" s="8">
        <f>SUM(DJ20:DM20)</f>
      </c>
      <c r="FP20" s="8">
        <f>SUM(DN20:DQ20)</f>
      </c>
      <c r="FQ20" s="8">
        <f>SUM(DR20:DU20)</f>
      </c>
      <c r="FR20" s="8">
        <f>SUM(DV20:DY20)</f>
      </c>
      <c r="FS20" s="8">
        <f>SUM(DZ20:EC20)</f>
      </c>
      <c r="FT20" s="8">
        <f>SUM(ED20:EG20)</f>
      </c>
      <c r="FU20" s="2873">
        <f>SUM(EH20:EK20)</f>
      </c>
      <c r="FV20" s="371"/>
      <c r="FW20" s="8"/>
      <c r="FX20" s="8"/>
      <c r="FY20" s="8"/>
      <c r="FZ20" s="8"/>
      <c r="GA20" s="8"/>
      <c r="GB20" s="8"/>
      <c r="GC20" s="8"/>
      <c r="GD20" s="8"/>
      <c r="GE20" s="8"/>
      <c r="GF20" s="8"/>
      <c r="GG20" s="8"/>
      <c r="GH20" s="8"/>
      <c r="GI20" s="8"/>
      <c r="GJ20" s="8"/>
      <c r="GK20" s="8"/>
      <c r="GL20" s="8"/>
      <c r="GM20" s="8"/>
      <c r="GN20" s="8"/>
      <c r="GO20" s="8"/>
      <c r="GP20" s="8"/>
      <c r="GQ20" s="8"/>
      <c r="GR20" s="8">
        <f>SUM(CI20:CL20)</f>
      </c>
      <c r="GS20" s="8">
        <f>SUM(CM20:CP20)</f>
      </c>
      <c r="GT20" s="8">
        <f>SUM(CQ20:CT20)</f>
      </c>
      <c r="GU20" s="8">
        <f>SUM(CU20:CX20)</f>
      </c>
      <c r="GV20" s="8">
        <f>SUM(CY20:DB20)</f>
      </c>
      <c r="GW20" s="8">
        <f>SUM(DC20:DF20)</f>
      </c>
      <c r="GX20" s="8">
        <f>SUM(DG20:DJ20)</f>
      </c>
      <c r="GY20" s="8">
        <f>SUM(DK20:DN20)</f>
      </c>
      <c r="GZ20" s="8">
        <f>SUM(DO20:DR20)</f>
      </c>
      <c r="HA20" s="8">
        <f>SUM(DS20:DV20)</f>
      </c>
      <c r="HB20" s="8">
        <f>SUM(DW20:DZ20)</f>
      </c>
      <c r="HC20" s="8">
        <f>SUM(EA20:ED20)</f>
      </c>
      <c r="HD20" s="8">
        <f>SUM(EE20:EH20)</f>
      </c>
    </row>
    <row r="21" spans="1:212" hidden="1" outlineLevel="1">
      <c r="A21" s="1590" t="s">
        <v>78</v>
      </c>
      <c r="B21" s="558">
        <v>10</v>
      </c>
      <c r="C21" s="558">
        <v>7</v>
      </c>
      <c r="D21" s="558">
        <v>65</v>
      </c>
      <c r="E21" s="559">
        <v>6</v>
      </c>
      <c r="F21" s="558">
        <v>4</v>
      </c>
      <c r="G21" s="558">
        <v>8</v>
      </c>
      <c r="H21" s="558">
        <v>4</v>
      </c>
      <c r="I21" s="558">
        <v>9</v>
      </c>
      <c r="J21" s="558">
        <v>7</v>
      </c>
      <c r="K21" s="558">
        <v>8</v>
      </c>
      <c r="L21" s="558">
        <v>8</v>
      </c>
      <c r="M21" s="558">
        <v>5</v>
      </c>
      <c r="N21" s="558">
        <v>10</v>
      </c>
      <c r="O21" s="558">
        <v>19</v>
      </c>
      <c r="P21" s="558">
        <v>24</v>
      </c>
      <c r="Q21" s="558">
        <v>34</v>
      </c>
      <c r="R21" s="558">
        <v>40</v>
      </c>
      <c r="S21" s="558">
        <v>49</v>
      </c>
      <c r="T21" s="558">
        <v>52</v>
      </c>
      <c r="U21" s="558">
        <v>62</v>
      </c>
      <c r="V21" s="558">
        <v>67</v>
      </c>
      <c r="W21" s="558">
        <v>65</v>
      </c>
      <c r="X21" s="558">
        <v>45</v>
      </c>
      <c r="Y21" s="558">
        <v>40</v>
      </c>
      <c r="Z21" s="558">
        <v>34</v>
      </c>
      <c r="AA21" s="558">
        <v>26.6</v>
      </c>
      <c r="AB21" s="558">
        <v>26</v>
      </c>
      <c r="AC21" s="558">
        <v>25</v>
      </c>
      <c r="AD21" s="558">
        <v>29</v>
      </c>
      <c r="AE21" s="558">
        <v>23</v>
      </c>
      <c r="AF21" s="558">
        <v>17</v>
      </c>
      <c r="AG21" s="558">
        <v>10</v>
      </c>
      <c r="AH21" s="558">
        <v>13</v>
      </c>
      <c r="AI21" s="558">
        <v>12</v>
      </c>
      <c r="AJ21" s="558">
        <v>13</v>
      </c>
      <c r="AK21" s="558">
        <v>19</v>
      </c>
      <c r="AL21" s="558">
        <v>26</v>
      </c>
      <c r="AM21" s="558">
        <v>33</v>
      </c>
      <c r="AN21" s="558">
        <v>46</v>
      </c>
      <c r="AO21" s="558">
        <v>60</v>
      </c>
      <c r="AP21" s="558">
        <v>81</v>
      </c>
      <c r="AQ21" s="558">
        <v>76</v>
      </c>
      <c r="AR21" s="558">
        <v>95</v>
      </c>
      <c r="AS21" s="558">
        <v>113</v>
      </c>
      <c r="AT21" s="558">
        <v>126</v>
      </c>
      <c r="AU21" s="558">
        <v>148</v>
      </c>
      <c r="AV21" s="558">
        <v>155</v>
      </c>
      <c r="AW21" s="558">
        <v>170</v>
      </c>
      <c r="AX21" s="558">
        <v>200</v>
      </c>
      <c r="AY21" s="558">
        <v>162</v>
      </c>
      <c r="AZ21" s="558">
        <v>118</v>
      </c>
      <c r="BA21" s="558">
        <v>140</v>
      </c>
      <c r="BB21" s="558">
        <v>158</v>
      </c>
      <c r="BC21" s="558">
        <v>63</v>
      </c>
      <c r="BD21" s="558">
        <v>60</v>
      </c>
      <c r="BE21" s="558">
        <v>45</v>
      </c>
      <c r="BF21" s="558">
        <v>33</v>
      </c>
      <c r="BG21" s="558">
        <v>50</v>
      </c>
      <c r="BH21" s="558">
        <v>58</v>
      </c>
      <c r="BI21" s="558">
        <v>14</v>
      </c>
      <c r="BJ21" s="558">
        <v>136</v>
      </c>
      <c r="BK21" s="558">
        <v>26</v>
      </c>
      <c r="BL21" s="558">
        <v>172</v>
      </c>
      <c r="BM21" s="558">
        <v>81</v>
      </c>
      <c r="BN21" s="558">
        <f>228-91</f>
      </c>
      <c r="BO21" s="558">
        <f>254-106</f>
      </c>
      <c r="BP21" s="558">
        <f>292-4</f>
      </c>
      <c r="BQ21" s="560">
        <v>0</v>
      </c>
      <c r="BR21" s="558">
        <f>421+41</f>
      </c>
      <c r="BS21" s="558">
        <f>420-73</f>
      </c>
      <c r="BT21" s="558">
        <f>385-98</f>
      </c>
      <c r="BU21" s="560">
        <f>1616-324-SUM(BR21:BT21)</f>
      </c>
      <c r="BV21" s="558">
        <f>427-97</f>
      </c>
      <c r="BW21" s="558">
        <f>410-100</f>
      </c>
      <c r="BX21" s="558">
        <f>439-137</f>
      </c>
      <c r="BY21" s="560">
        <f>1795-431-SUM(BV21:BX21)</f>
      </c>
      <c r="BZ21" s="558">
        <f>654-353</f>
      </c>
      <c r="CA21" s="558">
        <f>675-226</f>
      </c>
      <c r="CB21" s="1591">
        <f>766-175</f>
      </c>
      <c r="CC21" s="1592">
        <f>FF21-SUM(BZ21:CB21)</f>
      </c>
      <c r="CD21" s="1593">
        <f>941-263</f>
      </c>
      <c r="CE21" s="1593">
        <f>986-510</f>
      </c>
      <c r="CF21" s="1591">
        <f>1036-263</f>
      </c>
      <c r="CG21" s="1592">
        <f>3999-1195-SUM(CD21:CF21)</f>
      </c>
      <c r="CH21" s="1593">
        <f>1224+122</f>
      </c>
      <c r="CI21" s="1593">
        <f>1282-165</f>
      </c>
      <c r="CJ21" s="1593">
        <f>1327-185</f>
      </c>
      <c r="CK21" s="1592">
        <f>5201-133-SUM(CH21:CJ21)</f>
      </c>
      <c r="CL21" s="1593">
        <f>1452+38</f>
      </c>
      <c r="CM21" s="1593">
        <f>1505-439</f>
      </c>
      <c r="CN21" s="1593">
        <f>1418+100</f>
      </c>
      <c r="CO21" s="1592">
        <f>5686-441-SUM(CL21:CN21)</f>
      </c>
      <c r="CP21" s="1593">
        <f>SUM(CP19:CP20)</f>
      </c>
      <c r="CQ21" s="1594">
        <f>SUM(CQ19:CQ20)</f>
      </c>
      <c r="CR21" s="1594">
        <f>SUM(CR19:CR20)</f>
      </c>
      <c r="CS21" s="1595">
        <f>SUM(CS19:CS20)</f>
      </c>
      <c r="CT21" s="1596">
        <f t="shared" ref="CT21:CY21" si="167">CT18-CT22</f>
      </c>
      <c r="CU21" s="1596">
        <f t="shared" si="167"/>
      </c>
      <c r="CV21" s="1596">
        <f t="shared" si="167"/>
      </c>
      <c r="CW21" s="1595">
        <f t="shared" si="167"/>
      </c>
      <c r="CX21" s="1597">
        <f t="shared" si="167"/>
      </c>
      <c r="CY21" s="1596">
        <f t="shared" si="167"/>
      </c>
      <c r="CZ21" s="1596">
        <f>SUM(CZ19:CZ20)</f>
      </c>
      <c r="DA21" s="1595">
        <f t="shared" ref="DA21:DJ21" si="168">DA18-DA22</f>
      </c>
      <c r="DB21" s="1689">
        <f t="shared" si="168"/>
      </c>
      <c r="DC21" s="1690">
        <f t="shared" si="168"/>
      </c>
      <c r="DD21" s="1690">
        <f t="shared" si="168"/>
      </c>
      <c r="DE21" s="1691">
        <f t="shared" si="168"/>
      </c>
      <c r="DF21" s="1689">
        <f t="shared" si="168"/>
      </c>
      <c r="DG21" s="2912">
        <f t="shared" si="168"/>
      </c>
      <c r="DH21" s="2912">
        <f t="shared" si="168"/>
      </c>
      <c r="DI21" s="2912">
        <f t="shared" si="168"/>
      </c>
      <c r="DJ21" s="1689">
        <f t="shared" si="168"/>
      </c>
      <c r="DK21" s="1690">
        <f t="shared" ref="DK21" si="169">DK18-DK22</f>
      </c>
      <c r="DL21" s="1690">
        <f t="shared" ref="DL21:DO21" si="170">DL18-DL22</f>
      </c>
      <c r="DM21" s="3279">
        <f t="shared" si="170"/>
      </c>
      <c r="DN21" s="1689">
        <f t="shared" si="170"/>
      </c>
      <c r="DO21" s="1690">
        <f t="shared" si="170"/>
      </c>
      <c r="DP21" s="1690">
        <f t="shared" ref="DP21" si="171">DP18-DP22</f>
      </c>
      <c r="DQ21" s="1598">
        <f t="shared" ref="DQ21:DU21" si="172">DQ19+DQ20</f>
      </c>
      <c r="DR21" s="1599">
        <f t="shared" si="172"/>
      </c>
      <c r="DS21" s="1599">
        <f t="shared" si="172"/>
      </c>
      <c r="DT21" s="1599">
        <f t="shared" si="172"/>
      </c>
      <c r="DU21" s="1598">
        <f t="shared" si="172"/>
      </c>
      <c r="DV21" s="1599">
        <f t="shared" ref="DV21:EK21" si="173">DV19+DV20</f>
      </c>
      <c r="DW21" s="1599">
        <f t="shared" si="173"/>
      </c>
      <c r="DX21" s="1599">
        <f t="shared" si="173"/>
      </c>
      <c r="DY21" s="1598">
        <f t="shared" si="173"/>
      </c>
      <c r="DZ21" s="1599">
        <f t="shared" si="173"/>
      </c>
      <c r="EA21" s="1599">
        <f t="shared" si="173"/>
      </c>
      <c r="EB21" s="1599">
        <f t="shared" si="173"/>
      </c>
      <c r="EC21" s="1598">
        <f t="shared" si="173"/>
      </c>
      <c r="ED21" s="1599">
        <f t="shared" si="173"/>
      </c>
      <c r="EE21" s="1599">
        <f t="shared" si="173"/>
      </c>
      <c r="EF21" s="1599">
        <f t="shared" si="173"/>
      </c>
      <c r="EG21" s="1598">
        <f t="shared" si="173"/>
      </c>
      <c r="EH21" s="1599">
        <f t="shared" si="173"/>
      </c>
      <c r="EI21" s="1599">
        <f t="shared" si="173"/>
      </c>
      <c r="EJ21" s="1599">
        <f t="shared" si="173"/>
      </c>
      <c r="EK21" s="1598">
        <f t="shared" si="173"/>
      </c>
      <c r="EL21" s="420"/>
      <c r="EM21" s="1269">
        <f>SUM(B21:E21)</f>
      </c>
      <c r="EN21" s="8">
        <f>SUM(F21:I21)</f>
      </c>
      <c r="EO21" s="8">
        <f>SUM(J21:M21)</f>
      </c>
      <c r="EP21" s="8">
        <f>SUM(N21:Q21)</f>
      </c>
      <c r="EQ21" s="8">
        <f>SUM(R21:U21)</f>
      </c>
      <c r="ER21" s="8">
        <f>SUM(V21:Y21)</f>
      </c>
      <c r="ES21" s="8">
        <f>SUM(Z21:AC21)</f>
      </c>
      <c r="ET21" s="8">
        <f>SUM(AD21:AG21)</f>
      </c>
      <c r="EU21" s="8">
        <f>SUM(AH21:AK21)</f>
      </c>
      <c r="EV21" s="8">
        <f>SUM(AL21:AO21)</f>
      </c>
      <c r="EW21" s="8">
        <f>SUM(AP21:AS21)</f>
      </c>
      <c r="EX21" s="8">
        <f>SUM(AT21:AW21)</f>
      </c>
      <c r="EY21" s="8">
        <f>SUM(AX21:BA21)</f>
      </c>
      <c r="EZ21" s="8">
        <f>SUM(BB21:BE21)</f>
      </c>
      <c r="FA21" s="8">
        <f>SUM(BF21:BI21)</f>
      </c>
      <c r="FB21" s="8">
        <f>SUM(BJ21:BM21)</f>
      </c>
      <c r="FC21" s="8">
        <f>SUM(BN21:BQ21)</f>
      </c>
      <c r="FD21" s="8">
        <f>SUM(BR21:BU21)</f>
      </c>
      <c r="FE21" s="8">
        <f>SUM(BV21:BY21)</f>
      </c>
      <c r="FF21" s="8">
        <f>2921-903</f>
      </c>
      <c r="FG21" s="8">
        <f>SUM(CD21:CG21)</f>
      </c>
      <c r="FH21" s="8">
        <f>SUM(CH21:CK21)</f>
      </c>
      <c r="FI21" s="2255">
        <f t="shared" ref="FI21:FM21" si="174">FI19+FI20</f>
      </c>
      <c r="FJ21" s="2255">
        <f t="shared" si="174"/>
      </c>
      <c r="FK21" s="2255">
        <f t="shared" si="174"/>
      </c>
      <c r="FL21" s="2880">
        <f t="shared" si="174"/>
      </c>
      <c r="FM21" s="2255">
        <f t="shared" si="174"/>
      </c>
      <c r="FN21" s="2255">
        <f>SUM(DF21:DI21)</f>
      </c>
      <c r="FO21" s="2255">
        <f>SUM(DJ21:DM21)</f>
      </c>
      <c r="FP21" s="2255">
        <f>SUM(DN21:DQ21)</f>
      </c>
      <c r="FQ21" s="2255">
        <f>SUM(DR21:DU21)</f>
      </c>
      <c r="FR21" s="2255">
        <f>SUM(DV21:DY21)</f>
      </c>
      <c r="FS21" s="2255">
        <f>SUM(DZ21:EC21)</f>
      </c>
      <c r="FT21" s="2255">
        <f>SUM(ED21:EG21)</f>
      </c>
      <c r="FU21" s="2881">
        <f>SUM(EH21:EK21)</f>
      </c>
      <c r="FV21" s="2256"/>
      <c r="FW21" s="2255">
        <f>SUM(C21:F21)</f>
      </c>
      <c r="FX21" s="2255">
        <f>SUM(G21:J21)</f>
      </c>
      <c r="FY21" s="2255">
        <f>SUM(K21:N21)</f>
      </c>
      <c r="FZ21" s="2255">
        <f>SUM(O21:R21)</f>
      </c>
      <c r="GA21" s="2255">
        <f>SUM(S21:V21)</f>
      </c>
      <c r="GB21" s="2255">
        <f>SUM(W21:Z21)</f>
      </c>
      <c r="GC21" s="2255">
        <f>SUM(AA21:AD21)</f>
      </c>
      <c r="GD21" s="2255">
        <f>SUM(AE21:AH21)</f>
      </c>
      <c r="GE21" s="2255">
        <f>SUM(AI21:AL21)</f>
      </c>
      <c r="GF21" s="2255">
        <f>SUM(AM21:AP21)</f>
      </c>
      <c r="GG21" s="2255">
        <f>SUM(AQ21:AT21)</f>
      </c>
      <c r="GH21" s="2255">
        <f>SUM(AU21:AX21)</f>
      </c>
      <c r="GI21" s="2255">
        <f>SUM(AY21:BB21)</f>
      </c>
      <c r="GJ21" s="2255">
        <f>SUM(BC21:BF21)</f>
      </c>
      <c r="GK21" s="2255">
        <f>SUM(BG21:BJ21)</f>
      </c>
      <c r="GL21" s="2255">
        <f>SUM(BK21:BN21)</f>
      </c>
      <c r="GM21" s="2255">
        <f>SUM(BO21:BR21)</f>
      </c>
      <c r="GN21" s="2255">
        <f>SUM(BS21:BV21)</f>
      </c>
      <c r="GO21" s="2255">
        <f>SUM(BW21:BZ21)</f>
      </c>
      <c r="GP21" s="2255">
        <f>SUM(CA21:CD21)</f>
      </c>
      <c r="GQ21" s="2255">
        <f>SUM(CE21:CH21)</f>
      </c>
      <c r="GR21" s="2255">
        <f t="shared" ref="GR21:GZ21" si="175">GR19+GR20</f>
      </c>
      <c r="GS21" s="2255">
        <f t="shared" si="175"/>
      </c>
      <c r="GT21" s="2255">
        <f t="shared" si="175"/>
      </c>
      <c r="GU21" s="2255">
        <f t="shared" si="175"/>
      </c>
      <c r="GV21" s="2255">
        <f t="shared" si="175"/>
      </c>
      <c r="GW21" s="2255">
        <f t="shared" si="175"/>
      </c>
      <c r="GX21" s="2255">
        <f t="shared" si="175"/>
      </c>
      <c r="GY21" s="2255">
        <f t="shared" si="175"/>
      </c>
      <c r="GZ21" s="2255">
        <f t="shared" si="175"/>
      </c>
      <c r="HA21" s="2255">
        <f t="shared" ref="HA21:HD21" si="176">HA19+HA20</f>
      </c>
      <c r="HB21" s="2255">
        <f t="shared" si="176"/>
      </c>
      <c r="HC21" s="2255">
        <f t="shared" si="176"/>
      </c>
      <c r="HD21" s="2255">
        <f t="shared" si="176"/>
      </c>
    </row>
    <row r="22" spans="1:212" hidden="1" outlineLevel="1">
      <c r="A22" s="133" t="s">
        <v>77</v>
      </c>
      <c r="B22" s="100"/>
      <c r="C22" s="100"/>
      <c r="D22" s="101"/>
      <c r="E22" s="185"/>
      <c r="F22" s="102"/>
      <c r="G22" s="102"/>
      <c r="H22" s="103"/>
      <c r="I22" s="104"/>
      <c r="J22" s="105"/>
      <c r="K22" s="105"/>
      <c r="L22" s="106"/>
      <c r="M22" s="107"/>
      <c r="N22" s="108"/>
      <c r="O22" s="108"/>
      <c r="P22" s="108"/>
      <c r="Q22" s="108"/>
      <c r="R22" s="109"/>
      <c r="S22" s="109"/>
      <c r="T22" s="109"/>
      <c r="U22" s="109"/>
      <c r="V22" s="110"/>
      <c r="W22" s="110"/>
      <c r="X22" s="110"/>
      <c r="Y22" s="110"/>
      <c r="Z22" s="111"/>
      <c r="AA22" s="112"/>
      <c r="AB22" s="112"/>
      <c r="AC22" s="112"/>
      <c r="AD22" s="113"/>
      <c r="AE22" s="114"/>
      <c r="AF22" s="114"/>
      <c r="AG22" s="114"/>
      <c r="AH22" s="115"/>
      <c r="AI22" s="116"/>
      <c r="AJ22" s="116"/>
      <c r="AK22" s="116"/>
      <c r="AL22" s="117"/>
      <c r="AM22" s="117"/>
      <c r="AN22" s="117"/>
      <c r="AO22" s="117"/>
      <c r="AP22" s="118"/>
      <c r="AQ22" s="118"/>
      <c r="AR22" s="118"/>
      <c r="AS22" s="118"/>
      <c r="AT22" s="119"/>
      <c r="AU22" s="119"/>
      <c r="AV22" s="119"/>
      <c r="AW22" s="119"/>
      <c r="AX22" s="65"/>
      <c r="AY22" s="65"/>
      <c r="AZ22" s="65"/>
      <c r="BA22" s="65"/>
      <c r="BB22" s="65"/>
      <c r="BC22" s="65"/>
      <c r="BD22" s="65"/>
      <c r="BE22" s="65"/>
      <c r="BF22" s="65"/>
      <c r="BG22" s="65"/>
      <c r="BH22" s="65"/>
      <c r="BI22" s="65"/>
      <c r="BJ22" s="65"/>
      <c r="BK22" s="65"/>
      <c r="BL22" s="65"/>
      <c r="BM22" s="65"/>
      <c r="BN22" s="65">
        <v>0</v>
      </c>
      <c r="BO22" s="65">
        <v>0</v>
      </c>
      <c r="BP22" s="65">
        <v>0</v>
      </c>
      <c r="BQ22" s="177">
        <v>-51</v>
      </c>
      <c r="BR22" s="65">
        <v>0</v>
      </c>
      <c r="BS22" s="65">
        <v>0</v>
      </c>
      <c r="BT22" s="65">
        <v>-53</v>
      </c>
      <c r="BU22" s="177">
        <f>-136-SUM(BR22:BT22)</f>
      </c>
      <c r="BV22" s="65">
        <v>-84</v>
      </c>
      <c r="BW22" s="65">
        <v>-85</v>
      </c>
      <c r="BX22" s="65">
        <v>-100</v>
      </c>
      <c r="BY22" s="177">
        <f>-384-SUM(BV22:BX22)</f>
      </c>
      <c r="BZ22" s="65">
        <v>-131</v>
      </c>
      <c r="CA22" s="65">
        <v>-163</v>
      </c>
      <c r="CB22" s="34">
        <v>-201</v>
      </c>
      <c r="CC22" s="187">
        <f>FF22-SUM(BZ22:CB22)</f>
      </c>
      <c r="CD22" s="120">
        <v>-276</v>
      </c>
      <c r="CE22" s="77">
        <v>-321</v>
      </c>
      <c r="CF22" s="34">
        <v>-409</v>
      </c>
      <c r="CG22" s="192">
        <f>-1456-SUM(CD22:CF22)</f>
      </c>
      <c r="CH22" s="77">
        <v>-525</v>
      </c>
      <c r="CI22" s="77">
        <v>-530</v>
      </c>
      <c r="CJ22" s="77">
        <v>-602</v>
      </c>
      <c r="CK22" s="192">
        <f>-2323-SUM(CH22:CJ22)</f>
      </c>
      <c r="CL22" s="77">
        <v>-734</v>
      </c>
      <c r="CM22" s="77">
        <v>-792</v>
      </c>
      <c r="CN22" s="77">
        <v>-846</v>
      </c>
      <c r="CO22" s="192">
        <f>-3240-SUM(CL22:CN22)</f>
      </c>
      <c r="CP22" s="77">
        <v>-890</v>
      </c>
      <c r="CQ22" s="77">
        <v>-1010</v>
      </c>
      <c r="CR22" s="77">
        <v>-866</v>
      </c>
      <c r="CS22" s="192">
        <f>-3576-CR22-CQ22-CP22</f>
      </c>
      <c r="CT22" s="77">
        <v>-785</v>
      </c>
      <c r="CU22" s="77">
        <v>-757</v>
      </c>
      <c r="CV22" s="77">
        <v>-697</v>
      </c>
      <c r="CW22" s="192">
        <f>-2873-CV22-CU22-CT22</f>
      </c>
      <c r="CX22" s="77">
        <v>-638</v>
      </c>
      <c r="CY22" s="77">
        <v>-670</v>
      </c>
      <c r="CZ22" s="77">
        <v>-665</v>
      </c>
      <c r="DA22" s="192">
        <f>-2645-CZ22-CY22-CX22</f>
      </c>
      <c r="DB22" s="77">
        <v>-694</v>
      </c>
      <c r="DC22" s="77">
        <v>-691</v>
      </c>
      <c r="DD22" s="77">
        <v>-719</v>
      </c>
      <c r="DE22" s="173">
        <f>-2931-DD22-DC22-DB22</f>
      </c>
      <c r="DF22" s="77">
        <v>-1003</v>
      </c>
      <c r="DG22" s="77">
        <v>-930</v>
      </c>
      <c r="DH22" s="77">
        <v>-998</v>
      </c>
      <c r="DI22" s="173">
        <f>-3933-SUM(DF22:DH22)</f>
      </c>
      <c r="DJ22" s="1184">
        <v>-1050</v>
      </c>
      <c r="DK22" s="1184">
        <v>-1050</v>
      </c>
      <c r="DL22" s="1184">
        <v>-1050</v>
      </c>
      <c r="DM22" s="687">
        <v>-1050</v>
      </c>
      <c r="DN22" s="1184">
        <v>-1050</v>
      </c>
      <c r="DO22" s="1184">
        <v>-1050</v>
      </c>
      <c r="DP22" s="1184">
        <v>-1050</v>
      </c>
      <c r="DQ22" s="176">
        <f>-'Debt Schedule'!DQ208</f>
      </c>
      <c r="DR22" s="85">
        <f>-'Debt Schedule'!DR208</f>
      </c>
      <c r="DS22" s="85">
        <f>-'Debt Schedule'!DS208</f>
      </c>
      <c r="DT22" s="85">
        <f>-'Debt Schedule'!DT208</f>
      </c>
      <c r="DU22" s="176">
        <f>-'Debt Schedule'!DU208</f>
      </c>
      <c r="DV22" s="85">
        <f>-'Debt Schedule'!DV208</f>
      </c>
      <c r="DW22" s="85">
        <f>-'Debt Schedule'!DW208</f>
      </c>
      <c r="DX22" s="85">
        <f>-'Debt Schedule'!DX208</f>
      </c>
      <c r="DY22" s="176">
        <f>-'Debt Schedule'!DY208</f>
      </c>
      <c r="DZ22" s="85">
        <f>-'Debt Schedule'!DZ208</f>
      </c>
      <c r="EA22" s="85">
        <f>-'Debt Schedule'!EA208</f>
      </c>
      <c r="EB22" s="85">
        <f>-'Debt Schedule'!EB208</f>
      </c>
      <c r="EC22" s="176">
        <f>-'Debt Schedule'!EC208</f>
      </c>
      <c r="ED22" s="85">
        <f>-'Debt Schedule'!ED208</f>
      </c>
      <c r="EE22" s="85">
        <f>-'Debt Schedule'!EE208</f>
      </c>
      <c r="EF22" s="85">
        <f>-'Debt Schedule'!EF208</f>
      </c>
      <c r="EG22" s="176">
        <f>-'Debt Schedule'!EG208</f>
      </c>
      <c r="EH22" s="85">
        <f>-'Debt Schedule'!EH208</f>
      </c>
      <c r="EI22" s="85">
        <f>-'Debt Schedule'!EI208</f>
      </c>
      <c r="EJ22" s="85">
        <f>-'Debt Schedule'!EJ208</f>
      </c>
      <c r="EK22" s="176">
        <f>-'Debt Schedule'!EK208</f>
      </c>
      <c r="EL22" s="62"/>
      <c r="EM22" s="1274">
        <f>SUM(B22:E22)</f>
      </c>
      <c r="EN22" s="1267">
        <f>SUM(F22:I22)</f>
      </c>
      <c r="EO22" s="1267">
        <f>SUM(J22:M22)</f>
      </c>
      <c r="EP22" s="1267">
        <f>SUM(N22:Q22)</f>
      </c>
      <c r="EQ22" s="1267">
        <f>SUM(R22:U22)</f>
      </c>
      <c r="ER22" s="1267">
        <f>SUM(V22:Y22)</f>
      </c>
      <c r="ES22" s="1267">
        <f>SUM(Z22:AC22)</f>
      </c>
      <c r="ET22" s="1267">
        <f>SUM(AD22:AG22)</f>
      </c>
      <c r="EU22" s="1267">
        <f>SUM(AH22:AK22)</f>
      </c>
      <c r="EV22" s="1267">
        <f>SUM(AL22:AO22)</f>
      </c>
      <c r="EW22" s="1267">
        <f>SUM(AP22:AS22)</f>
      </c>
      <c r="EX22" s="1267">
        <f>SUM(AT22:AW22)</f>
      </c>
      <c r="EY22" s="1267">
        <f>SUM(AX22:BA22)</f>
      </c>
      <c r="EZ22" s="1267">
        <f>SUM(BB22:BE22)</f>
      </c>
      <c r="FA22" s="1267">
        <f>SUM(BF22:BI22)</f>
      </c>
      <c r="FB22" s="1267">
        <f>SUM(BJ22:BM22)</f>
      </c>
      <c r="FC22" s="1267">
        <f>SUM(BN22:BQ22)</f>
      </c>
      <c r="FD22" s="1267">
        <f>SUM(BR22:BU22)</f>
      </c>
      <c r="FE22" s="1267">
        <f>SUM(BV22:BY22)</f>
      </c>
      <c r="FF22" s="1267">
        <v>-733</v>
      </c>
      <c r="FG22" s="1267">
        <f>SUM(CD22:CG22)</f>
      </c>
      <c r="FH22" s="1267">
        <f>SUM(CH22:CK22)</f>
      </c>
      <c r="FI22" s="1267">
        <f>SUM(CL22:CO22)</f>
      </c>
      <c r="FJ22" s="1267">
        <f>SUM(CP22:CS22)</f>
      </c>
      <c r="FK22" s="1267">
        <f>SUM(CT22:CW22)</f>
      </c>
      <c r="FL22" s="1274">
        <f>SUM(CX22:DA22)</f>
      </c>
      <c r="FM22" s="1267">
        <f>SUM(DB22:DE22)</f>
      </c>
      <c r="FN22" s="1267">
        <f>SUM(DF22:DI22)</f>
      </c>
      <c r="FO22" s="1267">
        <f>SUM(DJ22:DM22)</f>
      </c>
      <c r="FP22" s="1267">
        <f>SUM(DN22:DQ22)</f>
      </c>
      <c r="FQ22" s="1267">
        <f>SUM(DR22:DU22)</f>
      </c>
      <c r="FR22" s="1267">
        <f>SUM(DV22:DY22)</f>
      </c>
      <c r="FS22" s="1267">
        <f>SUM(DZ22:EC22)</f>
      </c>
      <c r="FT22" s="1267">
        <f>SUM(ED22:EG22)</f>
      </c>
      <c r="FU22" s="2882">
        <f>SUM(EH22:EK22)</f>
      </c>
      <c r="FV22" s="371"/>
      <c r="FW22" s="1267">
        <f>SUM(C22:F22)</f>
      </c>
      <c r="FX22" s="1267">
        <f>SUM(G22:J22)</f>
      </c>
      <c r="FY22" s="1267">
        <f>SUM(K22:N22)</f>
      </c>
      <c r="FZ22" s="1267">
        <f>SUM(O22:R22)</f>
      </c>
      <c r="GA22" s="1267">
        <f>SUM(S22:V22)</f>
      </c>
      <c r="GB22" s="1267">
        <f>SUM(W22:Z22)</f>
      </c>
      <c r="GC22" s="1267">
        <f>SUM(AA22:AD22)</f>
      </c>
      <c r="GD22" s="1267">
        <f>SUM(AE22:AH22)</f>
      </c>
      <c r="GE22" s="1267">
        <f>SUM(AI22:AL22)</f>
      </c>
      <c r="GF22" s="1267">
        <f>SUM(AM22:AP22)</f>
      </c>
      <c r="GG22" s="1267">
        <f>SUM(AQ22:AT22)</f>
      </c>
      <c r="GH22" s="1267">
        <f>SUM(AU22:AX22)</f>
      </c>
      <c r="GI22" s="1267">
        <f>SUM(AY22:BB22)</f>
      </c>
      <c r="GJ22" s="1267">
        <f>SUM(BC22:BF22)</f>
      </c>
      <c r="GK22" s="1267">
        <f>SUM(BG22:BJ22)</f>
      </c>
      <c r="GL22" s="1267">
        <f>SUM(BK22:BN22)</f>
      </c>
      <c r="GM22" s="1267">
        <f>SUM(BO22:BR22)</f>
      </c>
      <c r="GN22" s="1267">
        <f>SUM(BS22:BV22)</f>
      </c>
      <c r="GO22" s="1267">
        <f>SUM(BW22:BZ22)</f>
      </c>
      <c r="GP22" s="1267">
        <f>SUM(CA22:CD22)</f>
      </c>
      <c r="GQ22" s="1267">
        <f>SUM(CE22:CH22)</f>
      </c>
      <c r="GR22" s="1267">
        <f>SUM(CI22:CL22)</f>
      </c>
      <c r="GS22" s="1267">
        <f>SUM(CM22:CP22)</f>
      </c>
      <c r="GT22" s="1267">
        <f>SUM(CQ22:CT22)</f>
      </c>
      <c r="GU22" s="1267">
        <f>SUM(CU22:CX22)</f>
      </c>
      <c r="GV22" s="1267">
        <f>SUM(CY22:DB22)</f>
      </c>
      <c r="GW22" s="1267">
        <f>SUM(DC22:DF22)</f>
      </c>
      <c r="GX22" s="1267">
        <f>SUM(DG22:DJ22)</f>
      </c>
      <c r="GY22" s="1267">
        <f>SUM(DK22:DN22)</f>
      </c>
      <c r="GZ22" s="1267">
        <f>SUM(DO22:DR22)</f>
      </c>
      <c r="HA22" s="1267">
        <f>SUM(DS22:DV22)</f>
      </c>
      <c r="HB22" s="1267">
        <f>SUM(DW22:DZ22)</f>
      </c>
      <c r="HC22" s="1267">
        <f>SUM(EA22:ED22)</f>
      </c>
      <c r="HD22" s="1267">
        <f>SUM(EE22:EH22)</f>
      </c>
    </row>
    <row r="23" spans="1:212" s="15" customFormat="1" collapsed="1">
      <c r="A23" s="1180" t="s">
        <v>71</v>
      </c>
      <c r="B23" s="1202">
        <f t="shared" ref="B23:AG23" si="177">+B15+B18</f>
      </c>
      <c r="C23" s="1202">
        <f t="shared" si="177"/>
      </c>
      <c r="D23" s="1202">
        <f t="shared" si="177"/>
      </c>
      <c r="E23" s="1948">
        <f t="shared" si="177"/>
      </c>
      <c r="F23" s="1202">
        <f t="shared" si="177"/>
      </c>
      <c r="G23" s="1202">
        <f t="shared" si="177"/>
      </c>
      <c r="H23" s="1202">
        <f t="shared" si="177"/>
      </c>
      <c r="I23" s="1202">
        <f t="shared" si="177"/>
      </c>
      <c r="J23" s="1202">
        <f t="shared" si="177"/>
      </c>
      <c r="K23" s="1202">
        <f t="shared" si="177"/>
      </c>
      <c r="L23" s="1202">
        <f t="shared" si="177"/>
      </c>
      <c r="M23" s="1202">
        <f t="shared" si="177"/>
      </c>
      <c r="N23" s="1202">
        <f t="shared" si="177"/>
      </c>
      <c r="O23" s="1202">
        <f t="shared" si="177"/>
      </c>
      <c r="P23" s="1202">
        <f t="shared" si="177"/>
      </c>
      <c r="Q23" s="1202">
        <f t="shared" si="177"/>
      </c>
      <c r="R23" s="1202">
        <f t="shared" si="177"/>
      </c>
      <c r="S23" s="1202">
        <f t="shared" si="177"/>
      </c>
      <c r="T23" s="1202">
        <f t="shared" si="177"/>
      </c>
      <c r="U23" s="1202">
        <f t="shared" si="177"/>
      </c>
      <c r="V23" s="1202">
        <f t="shared" si="177"/>
      </c>
      <c r="W23" s="1202">
        <f t="shared" si="177"/>
      </c>
      <c r="X23" s="1202">
        <f t="shared" si="177"/>
      </c>
      <c r="Y23" s="1202">
        <f t="shared" si="177"/>
      </c>
      <c r="Z23" s="1202">
        <f t="shared" si="177"/>
      </c>
      <c r="AA23" s="1202">
        <f t="shared" si="177"/>
      </c>
      <c r="AB23" s="1202">
        <f t="shared" si="177"/>
      </c>
      <c r="AC23" s="1202">
        <f t="shared" si="177"/>
      </c>
      <c r="AD23" s="1202">
        <f t="shared" si="177"/>
      </c>
      <c r="AE23" s="1202">
        <f t="shared" si="177"/>
      </c>
      <c r="AF23" s="1202">
        <f t="shared" si="177"/>
      </c>
      <c r="AG23" s="1202">
        <f t="shared" si="177"/>
      </c>
      <c r="AH23" s="1202">
        <f t="shared" ref="AH23:BM23" si="178">+AH15+AH18</f>
      </c>
      <c r="AI23" s="1202">
        <f t="shared" si="178"/>
      </c>
      <c r="AJ23" s="1202">
        <f t="shared" si="178"/>
      </c>
      <c r="AK23" s="1202">
        <f t="shared" si="178"/>
      </c>
      <c r="AL23" s="1202">
        <f t="shared" si="178"/>
      </c>
      <c r="AM23" s="1202">
        <f t="shared" si="178"/>
      </c>
      <c r="AN23" s="1202">
        <f t="shared" si="178"/>
      </c>
      <c r="AO23" s="1202">
        <f t="shared" si="178"/>
      </c>
      <c r="AP23" s="1202">
        <f t="shared" si="178"/>
      </c>
      <c r="AQ23" s="1202">
        <f t="shared" si="178"/>
      </c>
      <c r="AR23" s="1202">
        <f t="shared" si="178"/>
      </c>
      <c r="AS23" s="1202">
        <f t="shared" si="178"/>
      </c>
      <c r="AT23" s="1202">
        <f t="shared" si="178"/>
      </c>
      <c r="AU23" s="1202">
        <f t="shared" si="178"/>
      </c>
      <c r="AV23" s="1202">
        <f t="shared" si="178"/>
      </c>
      <c r="AW23" s="1202">
        <f t="shared" si="178"/>
      </c>
      <c r="AX23" s="1202">
        <f t="shared" si="178"/>
      </c>
      <c r="AY23" s="1202">
        <f t="shared" si="178"/>
      </c>
      <c r="AZ23" s="1202">
        <f t="shared" si="178"/>
      </c>
      <c r="BA23" s="1202">
        <f t="shared" si="178"/>
      </c>
      <c r="BB23" s="1202">
        <f t="shared" si="178"/>
      </c>
      <c r="BC23" s="1202">
        <f t="shared" si="178"/>
      </c>
      <c r="BD23" s="1202">
        <f t="shared" si="178"/>
      </c>
      <c r="BE23" s="1202">
        <f t="shared" si="178"/>
      </c>
      <c r="BF23" s="1202">
        <f t="shared" si="178"/>
      </c>
      <c r="BG23" s="1202">
        <f t="shared" si="178"/>
      </c>
      <c r="BH23" s="1202">
        <f t="shared" si="178"/>
      </c>
      <c r="BI23" s="1202">
        <f t="shared" si="178"/>
      </c>
      <c r="BJ23" s="1202">
        <f t="shared" si="178"/>
      </c>
      <c r="BK23" s="1202">
        <f t="shared" si="178"/>
      </c>
      <c r="BL23" s="1202">
        <f t="shared" si="178"/>
      </c>
      <c r="BM23" s="1202">
        <f t="shared" si="178"/>
      </c>
      <c r="BN23" s="1202">
        <f t="shared" ref="BN23:CS23" si="179">+BN15+BN18</f>
      </c>
      <c r="BO23" s="1202">
        <f t="shared" si="179"/>
      </c>
      <c r="BP23" s="1202">
        <f t="shared" si="179"/>
      </c>
      <c r="BQ23" s="1203">
        <f t="shared" si="179"/>
      </c>
      <c r="BR23" s="1202">
        <f t="shared" si="179"/>
      </c>
      <c r="BS23" s="1202">
        <f t="shared" si="179"/>
      </c>
      <c r="BT23" s="1202">
        <f t="shared" si="179"/>
      </c>
      <c r="BU23" s="1203">
        <f t="shared" si="179"/>
      </c>
      <c r="BV23" s="1202">
        <f t="shared" si="179"/>
      </c>
      <c r="BW23" s="1202">
        <f t="shared" si="179"/>
      </c>
      <c r="BX23" s="1202">
        <f t="shared" si="179"/>
      </c>
      <c r="BY23" s="1203">
        <f t="shared" si="179"/>
      </c>
      <c r="BZ23" s="1202">
        <f t="shared" si="179"/>
      </c>
      <c r="CA23" s="1202">
        <f t="shared" si="179"/>
      </c>
      <c r="CB23" s="1202">
        <f t="shared" si="179"/>
      </c>
      <c r="CC23" s="1203">
        <f t="shared" si="179"/>
      </c>
      <c r="CD23" s="1202">
        <f t="shared" si="179"/>
      </c>
      <c r="CE23" s="1202">
        <f t="shared" si="179"/>
      </c>
      <c r="CF23" s="1202">
        <f t="shared" si="179"/>
      </c>
      <c r="CG23" s="1203">
        <f t="shared" si="179"/>
      </c>
      <c r="CH23" s="1202">
        <f t="shared" si="179"/>
      </c>
      <c r="CI23" s="1202">
        <f t="shared" si="179"/>
      </c>
      <c r="CJ23" s="1202">
        <f t="shared" si="179"/>
      </c>
      <c r="CK23" s="1203">
        <f t="shared" si="179"/>
      </c>
      <c r="CL23" s="1202">
        <f t="shared" si="179"/>
      </c>
      <c r="CM23" s="1202">
        <f t="shared" si="179"/>
      </c>
      <c r="CN23" s="1202">
        <f t="shared" si="179"/>
      </c>
      <c r="CO23" s="1203">
        <f t="shared" si="179"/>
      </c>
      <c r="CP23" s="1202">
        <f t="shared" si="179"/>
      </c>
      <c r="CQ23" s="1202">
        <f t="shared" si="179"/>
      </c>
      <c r="CR23" s="1202">
        <f t="shared" si="179"/>
      </c>
      <c r="CS23" s="1203">
        <f t="shared" si="179"/>
      </c>
      <c r="CT23" s="1202">
        <f t="shared" ref="CT23:DU23" si="180">+CT15+CT18</f>
      </c>
      <c r="CU23" s="1202">
        <f t="shared" si="180"/>
      </c>
      <c r="CV23" s="1202">
        <f t="shared" si="180"/>
      </c>
      <c r="CW23" s="1203">
        <f t="shared" si="180"/>
      </c>
      <c r="CX23" s="1204">
        <f t="shared" si="180"/>
      </c>
      <c r="CY23" s="1202">
        <f t="shared" si="180"/>
      </c>
      <c r="CZ23" s="1202">
        <f t="shared" si="180"/>
      </c>
      <c r="DA23" s="1203">
        <f t="shared" si="180"/>
      </c>
      <c r="DB23" s="1204">
        <f t="shared" si="180"/>
      </c>
      <c r="DC23" s="1202">
        <f t="shared" si="180"/>
      </c>
      <c r="DD23" s="1202">
        <f t="shared" si="180"/>
      </c>
      <c r="DE23" s="1203">
        <f t="shared" si="180"/>
      </c>
      <c r="DF23" s="1202">
        <f t="shared" ref="DF23" si="181">+DF15+DF18</f>
      </c>
      <c r="DG23" s="1202">
        <f t="shared" si="180"/>
      </c>
      <c r="DH23" s="1202">
        <f>+DH15+DH18</f>
      </c>
      <c r="DI23" s="1203">
        <f t="shared" si="180"/>
      </c>
      <c r="DJ23" s="1202">
        <f t="shared" si="180"/>
      </c>
      <c r="DK23" s="1202">
        <f t="shared" ref="DK23" si="182">+DK15+DK18</f>
      </c>
      <c r="DL23" s="1202">
        <f>+DL15+DL18</f>
      </c>
      <c r="DM23" s="1203">
        <f t="shared" ref="DM23:DO23" si="183">+DM15+DM18</f>
      </c>
      <c r="DN23" s="1202">
        <f t="shared" si="183"/>
      </c>
      <c r="DO23" s="1202">
        <f t="shared" si="183"/>
      </c>
      <c r="DP23" s="1202">
        <f>+DP15+DP18</f>
      </c>
      <c r="DQ23" s="1203">
        <f t="shared" si="180"/>
      </c>
      <c r="DR23" s="1202">
        <f t="shared" si="180"/>
      </c>
      <c r="DS23" s="1202">
        <f t="shared" si="180"/>
      </c>
      <c r="DT23" s="1202">
        <f t="shared" si="180"/>
      </c>
      <c r="DU23" s="1203">
        <f t="shared" si="180"/>
      </c>
      <c r="DV23" s="1202">
        <f t="shared" ref="DV23:EK23" si="184">+DV15+DV18</f>
      </c>
      <c r="DW23" s="1202">
        <f t="shared" si="184"/>
      </c>
      <c r="DX23" s="1202">
        <f t="shared" si="184"/>
      </c>
      <c r="DY23" s="1203">
        <f t="shared" si="184"/>
      </c>
      <c r="DZ23" s="1202">
        <f t="shared" si="184"/>
      </c>
      <c r="EA23" s="1202">
        <f t="shared" si="184"/>
      </c>
      <c r="EB23" s="1202">
        <f t="shared" si="184"/>
      </c>
      <c r="EC23" s="1203">
        <f t="shared" si="184"/>
      </c>
      <c r="ED23" s="1202">
        <f t="shared" si="184"/>
      </c>
      <c r="EE23" s="1202">
        <f t="shared" si="184"/>
      </c>
      <c r="EF23" s="1202">
        <f t="shared" si="184"/>
      </c>
      <c r="EG23" s="1203">
        <f t="shared" si="184"/>
      </c>
      <c r="EH23" s="1202">
        <f t="shared" si="184"/>
      </c>
      <c r="EI23" s="1202">
        <f t="shared" si="184"/>
      </c>
      <c r="EJ23" s="1202">
        <f t="shared" si="184"/>
      </c>
      <c r="EK23" s="1203">
        <f t="shared" si="184"/>
      </c>
      <c r="EL23" s="62"/>
      <c r="EM23" s="1949">
        <f t="shared" ref="EM23:FQ23" si="185">+EM15+EM18</f>
      </c>
      <c r="EN23" s="591">
        <f t="shared" si="185"/>
      </c>
      <c r="EO23" s="591">
        <f t="shared" si="185"/>
      </c>
      <c r="EP23" s="591">
        <f t="shared" si="185"/>
      </c>
      <c r="EQ23" s="591">
        <f t="shared" si="185"/>
      </c>
      <c r="ER23" s="591">
        <f t="shared" si="185"/>
      </c>
      <c r="ES23" s="591">
        <f t="shared" si="185"/>
      </c>
      <c r="ET23" s="591">
        <f t="shared" si="185"/>
      </c>
      <c r="EU23" s="591">
        <f t="shared" si="185"/>
      </c>
      <c r="EV23" s="591">
        <f t="shared" si="185"/>
      </c>
      <c r="EW23" s="591">
        <f t="shared" si="185"/>
      </c>
      <c r="EX23" s="591">
        <f t="shared" si="185"/>
      </c>
      <c r="EY23" s="591">
        <f t="shared" si="185"/>
      </c>
      <c r="EZ23" s="591">
        <f t="shared" si="185"/>
      </c>
      <c r="FA23" s="591">
        <f t="shared" si="185"/>
      </c>
      <c r="FB23" s="591">
        <f t="shared" si="185"/>
      </c>
      <c r="FC23" s="591">
        <f t="shared" si="185"/>
      </c>
      <c r="FD23" s="591">
        <f t="shared" si="185"/>
      </c>
      <c r="FE23" s="591">
        <f t="shared" si="185"/>
      </c>
      <c r="FF23" s="591">
        <f t="shared" si="185"/>
      </c>
      <c r="FG23" s="591">
        <f t="shared" si="185"/>
      </c>
      <c r="FH23" s="591">
        <f t="shared" si="185"/>
      </c>
      <c r="FI23" s="591">
        <f t="shared" si="185"/>
      </c>
      <c r="FJ23" s="591">
        <f t="shared" si="185"/>
      </c>
      <c r="FK23" s="591">
        <f t="shared" si="185"/>
      </c>
      <c r="FL23" s="1949">
        <f t="shared" si="185"/>
      </c>
      <c r="FM23" s="591">
        <f t="shared" si="185"/>
      </c>
      <c r="FN23" s="591">
        <f t="shared" si="185"/>
      </c>
      <c r="FO23" s="591">
        <f t="shared" si="185"/>
      </c>
      <c r="FP23" s="591">
        <f t="shared" si="185"/>
      </c>
      <c r="FQ23" s="591">
        <f t="shared" si="185"/>
      </c>
      <c r="FR23" s="591">
        <f t="shared" ref="FR23:FU23" si="186">+FR15+FR18</f>
      </c>
      <c r="FS23" s="591">
        <f t="shared" si="186"/>
      </c>
      <c r="FT23" s="591">
        <f t="shared" si="186"/>
      </c>
      <c r="FU23" s="2883">
        <f t="shared" si="186"/>
      </c>
      <c r="FV23" s="371"/>
      <c r="FW23" s="591">
        <f t="shared" ref="FW23:GT23" si="187">+FW15+FW18</f>
      </c>
      <c r="FX23" s="591">
        <f t="shared" si="187"/>
      </c>
      <c r="FY23" s="591">
        <f t="shared" si="187"/>
      </c>
      <c r="FZ23" s="591">
        <f t="shared" si="187"/>
      </c>
      <c r="GA23" s="591">
        <f t="shared" si="187"/>
      </c>
      <c r="GB23" s="591">
        <f t="shared" si="187"/>
      </c>
      <c r="GC23" s="591">
        <f t="shared" si="187"/>
      </c>
      <c r="GD23" s="591">
        <f t="shared" si="187"/>
      </c>
      <c r="GE23" s="591">
        <f t="shared" si="187"/>
      </c>
      <c r="GF23" s="591">
        <f t="shared" si="187"/>
      </c>
      <c r="GG23" s="591">
        <f t="shared" si="187"/>
      </c>
      <c r="GH23" s="591">
        <f t="shared" si="187"/>
      </c>
      <c r="GI23" s="591">
        <f t="shared" si="187"/>
      </c>
      <c r="GJ23" s="591">
        <f t="shared" si="187"/>
      </c>
      <c r="GK23" s="591">
        <f t="shared" si="187"/>
      </c>
      <c r="GL23" s="591">
        <f t="shared" si="187"/>
      </c>
      <c r="GM23" s="591">
        <f t="shared" si="187"/>
      </c>
      <c r="GN23" s="591">
        <f t="shared" si="187"/>
      </c>
      <c r="GO23" s="591">
        <f t="shared" si="187"/>
      </c>
      <c r="GP23" s="591">
        <f t="shared" si="187"/>
      </c>
      <c r="GQ23" s="591">
        <f t="shared" si="187"/>
      </c>
      <c r="GR23" s="591">
        <f t="shared" si="187"/>
      </c>
      <c r="GS23" s="591">
        <f t="shared" si="187"/>
      </c>
      <c r="GT23" s="591">
        <f t="shared" si="187"/>
      </c>
      <c r="GU23" s="591">
        <f t="shared" si="71"/>
      </c>
      <c r="GV23" s="591">
        <f t="shared" si="72"/>
      </c>
      <c r="GW23" s="591">
        <f t="shared" si="73"/>
      </c>
      <c r="GX23" s="591">
        <f t="shared" si="74"/>
      </c>
      <c r="GY23" s="591">
        <f t="shared" si="75"/>
      </c>
      <c r="GZ23" s="591">
        <f t="shared" si="76"/>
      </c>
      <c r="HA23" s="591">
        <f>SUM(DS23:DV23)</f>
      </c>
      <c r="HB23" s="591">
        <f>SUM(DW23:DZ23)</f>
      </c>
      <c r="HC23" s="591">
        <f>SUM(EA23:ED23)</f>
      </c>
      <c r="HD23" s="591">
        <f>SUM(EE23:EH23)</f>
      </c>
    </row>
    <row r="24" spans="1:212">
      <c r="A24" s="10" t="s">
        <v>2379</v>
      </c>
      <c r="B24" s="34">
        <v>-40</v>
      </c>
      <c r="C24" s="34">
        <v>-512</v>
      </c>
      <c r="D24" s="34">
        <v>-19</v>
      </c>
      <c r="E24" s="182">
        <v>6</v>
      </c>
      <c r="F24" s="34">
        <v>0</v>
      </c>
      <c r="G24" s="34">
        <v>0</v>
      </c>
      <c r="H24" s="34">
        <v>0</v>
      </c>
      <c r="I24" s="34">
        <v>0</v>
      </c>
      <c r="J24" s="34">
        <v>0</v>
      </c>
      <c r="K24" s="34">
        <v>4</v>
      </c>
      <c r="L24" s="34">
        <v>8.5109999999999992</v>
      </c>
      <c r="M24" s="34">
        <v>8</v>
      </c>
      <c r="N24" s="34">
        <v>13.768000000000001</v>
      </c>
      <c r="O24" s="34">
        <v>12.555882352941165</v>
      </c>
      <c r="P24" s="34">
        <v>14.5365</v>
      </c>
      <c r="Q24" s="34">
        <v>11.311999999999998</v>
      </c>
      <c r="R24" s="34">
        <v>79.012</v>
      </c>
      <c r="S24" s="34">
        <v>59.05</v>
      </c>
      <c r="T24" s="34">
        <v>57</v>
      </c>
      <c r="U24" s="34">
        <v>37.585999999999999</v>
      </c>
      <c r="V24" s="34">
        <v>-105.28400000000001</v>
      </c>
      <c r="W24" s="34">
        <v>17.467500000000001</v>
      </c>
      <c r="X24" s="34">
        <v>26</v>
      </c>
      <c r="Y24" s="34">
        <v>27.702000000000002</v>
      </c>
      <c r="Z24" s="34">
        <v>14.7</v>
      </c>
      <c r="AA24" s="34">
        <v>14.5</v>
      </c>
      <c r="AB24" s="34">
        <v>7</v>
      </c>
      <c r="AC24" s="34">
        <v>3</v>
      </c>
      <c r="AD24" s="34">
        <v>3</v>
      </c>
      <c r="AE24" s="34">
        <v>6</v>
      </c>
      <c r="AF24" s="34">
        <v>7</v>
      </c>
      <c r="AG24" s="34">
        <v>12</v>
      </c>
      <c r="AH24" s="34">
        <v>24</v>
      </c>
      <c r="AI24" s="34">
        <v>21</v>
      </c>
      <c r="AJ24" s="34">
        <v>26</v>
      </c>
      <c r="AK24" s="34">
        <v>42</v>
      </c>
      <c r="AL24" s="34">
        <v>133</v>
      </c>
      <c r="AM24" s="34">
        <v>145</v>
      </c>
      <c r="AN24" s="34">
        <v>153</v>
      </c>
      <c r="AO24" s="34">
        <v>148</v>
      </c>
      <c r="AP24" s="34">
        <v>266</v>
      </c>
      <c r="AQ24" s="34">
        <v>195</v>
      </c>
      <c r="AR24" s="34">
        <v>189</v>
      </c>
      <c r="AS24" s="34">
        <v>179</v>
      </c>
      <c r="AT24" s="34">
        <v>440</v>
      </c>
      <c r="AU24" s="34">
        <v>362</v>
      </c>
      <c r="AV24" s="34">
        <v>394</v>
      </c>
      <c r="AW24" s="34">
        <v>315</v>
      </c>
      <c r="AX24" s="34">
        <v>758</v>
      </c>
      <c r="AY24" s="34">
        <v>509</v>
      </c>
      <c r="AZ24" s="34">
        <v>522</v>
      </c>
      <c r="BA24" s="34">
        <v>1039</v>
      </c>
      <c r="BB24" s="34">
        <v>1004</v>
      </c>
      <c r="BC24" s="34">
        <v>766</v>
      </c>
      <c r="BD24" s="34">
        <v>864</v>
      </c>
      <c r="BE24" s="34">
        <v>1197</v>
      </c>
      <c r="BF24" s="34">
        <v>1380</v>
      </c>
      <c r="BG24" s="34">
        <v>955</v>
      </c>
      <c r="BH24" s="34">
        <v>1039</v>
      </c>
      <c r="BI24" s="34">
        <v>1153</v>
      </c>
      <c r="BJ24" s="34">
        <v>1959</v>
      </c>
      <c r="BK24" s="34">
        <v>1913</v>
      </c>
      <c r="BL24" s="34">
        <v>2243</v>
      </c>
      <c r="BM24" s="34">
        <v>2168</v>
      </c>
      <c r="BN24" s="34">
        <v>4413</v>
      </c>
      <c r="BO24" s="34">
        <v>3910</v>
      </c>
      <c r="BP24" s="34">
        <v>3037</v>
      </c>
      <c r="BQ24" s="173">
        <v>2670</v>
      </c>
      <c r="BR24" s="34">
        <v>4594</v>
      </c>
      <c r="BS24" s="34">
        <v>3358</v>
      </c>
      <c r="BT24" s="34">
        <v>2535</v>
      </c>
      <c r="BU24" s="173">
        <v>2631</v>
      </c>
      <c r="BV24" s="34">
        <v>4637</v>
      </c>
      <c r="BW24" s="34">
        <v>3595</v>
      </c>
      <c r="BX24" s="34">
        <v>2736</v>
      </c>
      <c r="BY24" s="173">
        <v>3005</v>
      </c>
      <c r="BZ24" s="34">
        <v>6392</v>
      </c>
      <c r="CA24" s="34">
        <v>4995</v>
      </c>
      <c r="CB24" s="34">
        <v>3796</v>
      </c>
      <c r="CC24" s="173">
        <v>3938</v>
      </c>
      <c r="CD24" s="34">
        <v>6212</v>
      </c>
      <c r="CE24" s="34">
        <v>3626</v>
      </c>
      <c r="CF24" s="34">
        <v>2673</v>
      </c>
      <c r="CG24" s="173">
        <v>3174</v>
      </c>
      <c r="CH24" s="34">
        <v>6289</v>
      </c>
      <c r="CI24" s="34">
        <v>3655</v>
      </c>
      <c r="CJ24" s="34">
        <v>2591</v>
      </c>
      <c r="CK24" s="173">
        <v>3203</v>
      </c>
      <c r="CL24" s="34">
        <v>6965</v>
      </c>
      <c r="CM24" s="34">
        <v>2346</v>
      </c>
      <c r="CN24" s="34">
        <v>1765</v>
      </c>
      <c r="CO24" s="173">
        <v>2296</v>
      </c>
      <c r="CP24" s="77">
        <v>3941</v>
      </c>
      <c r="CQ24" s="34">
        <v>2232</v>
      </c>
      <c r="CR24" s="34">
        <v>1867</v>
      </c>
      <c r="CS24" s="173">
        <v>2441</v>
      </c>
      <c r="CT24" s="77">
        <v>3682</v>
      </c>
      <c r="CU24" s="34">
        <v>1886</v>
      </c>
      <c r="CV24" s="34">
        <v>1884</v>
      </c>
      <c r="CW24" s="173">
        <v>2228</v>
      </c>
      <c r="CX24" s="382">
        <v>4824</v>
      </c>
      <c r="CY24" s="34">
        <v>4381</v>
      </c>
      <c r="CZ24" s="34">
        <v>2625</v>
      </c>
      <c r="DA24" s="173">
        <v>2697</v>
      </c>
      <c r="DB24" s="382">
        <v>6611</v>
      </c>
      <c r="DC24" s="34">
        <v>5129</v>
      </c>
      <c r="DD24" s="34">
        <v>3624</v>
      </c>
      <c r="DE24" s="192">
        <v>3936</v>
      </c>
      <c r="DF24" s="382">
        <v>5625</v>
      </c>
      <c r="DG24" s="34">
        <v>4222</v>
      </c>
      <c r="DH24" s="34">
        <v>2852</v>
      </c>
      <c r="DI24" s="192">
        <v>4042</v>
      </c>
      <c r="DJ24" s="382">
        <v>6407</v>
      </c>
      <c r="DK24" s="34">
        <v>4422</v>
      </c>
      <c r="DL24" s="34">
        <v>4046</v>
      </c>
      <c r="DM24" s="192">
        <v>4628</v>
      </c>
      <c r="DN24" s="382">
        <v>6254</v>
      </c>
      <c r="DO24" s="34">
        <v>4530</v>
      </c>
      <c r="DP24" s="34">
        <v>4597</v>
      </c>
      <c r="DQ24" s="226">
        <f t="shared" ref="DQ24:DU24" si="188">+DQ23*DQ25</f>
      </c>
      <c r="DR24" s="62">
        <f t="shared" si="188"/>
      </c>
      <c r="DS24" s="62">
        <f t="shared" si="188"/>
      </c>
      <c r="DT24" s="62">
        <f t="shared" si="188"/>
      </c>
      <c r="DU24" s="226">
        <f t="shared" si="188"/>
      </c>
      <c r="DV24" s="62">
        <f t="shared" ref="DV24:EK24" si="189">+DV23*DV25</f>
      </c>
      <c r="DW24" s="62">
        <f t="shared" si="189"/>
      </c>
      <c r="DX24" s="62">
        <f t="shared" si="189"/>
      </c>
      <c r="DY24" s="226">
        <f t="shared" si="189"/>
      </c>
      <c r="DZ24" s="62">
        <f t="shared" si="189"/>
      </c>
      <c r="EA24" s="62">
        <f t="shared" si="189"/>
      </c>
      <c r="EB24" s="62">
        <f t="shared" si="189"/>
      </c>
      <c r="EC24" s="226">
        <f t="shared" si="189"/>
      </c>
      <c r="ED24" s="62">
        <f t="shared" si="189"/>
      </c>
      <c r="EE24" s="62">
        <f t="shared" si="189"/>
      </c>
      <c r="EF24" s="62">
        <f t="shared" si="189"/>
      </c>
      <c r="EG24" s="226">
        <f t="shared" si="189"/>
      </c>
      <c r="EH24" s="62">
        <f t="shared" si="189"/>
      </c>
      <c r="EI24" s="62">
        <f t="shared" si="189"/>
      </c>
      <c r="EJ24" s="62">
        <f t="shared" si="189"/>
      </c>
      <c r="EK24" s="226">
        <f t="shared" si="189"/>
      </c>
      <c r="EL24" s="62"/>
      <c r="EM24" s="1269">
        <f>SUM(B24:E24)</f>
      </c>
      <c r="EN24" s="8">
        <f>SUM(F24:I24)</f>
      </c>
      <c r="EO24" s="8">
        <f>SUM(J24:M24)</f>
      </c>
      <c r="EP24" s="8">
        <f>SUM(N24:Q24)</f>
      </c>
      <c r="EQ24" s="8">
        <f>SUM(R24:U24)</f>
      </c>
      <c r="ER24" s="8">
        <f>SUM(V24:Y24)</f>
      </c>
      <c r="ES24" s="8">
        <f>SUM(Z24:AC24)</f>
      </c>
      <c r="ET24" s="8">
        <f>SUM(AD24:AG24)</f>
      </c>
      <c r="EU24" s="8">
        <f>SUM(AH24:AK24)</f>
      </c>
      <c r="EV24" s="8">
        <f>SUM(AL24:AO24)</f>
      </c>
      <c r="EW24" s="8">
        <f>SUM(AP24:AS24)</f>
      </c>
      <c r="EX24" s="8">
        <f>SUM(AT24:AW24)</f>
      </c>
      <c r="EY24" s="8">
        <f>SUM(AX24:BA24)</f>
      </c>
      <c r="EZ24" s="8">
        <f>SUM(BB24:BE24)</f>
      </c>
      <c r="FA24" s="8">
        <f>SUM(BF24:BI24)</f>
      </c>
      <c r="FB24" s="8">
        <f>SUM(BJ24:BM24)</f>
      </c>
      <c r="FC24" s="8">
        <f>SUM(BN24:BQ24)</f>
      </c>
      <c r="FD24" s="8">
        <f>SUM(BR24:BU24)</f>
      </c>
      <c r="FE24" s="8">
        <f>SUM(BV24:BY24)</f>
      </c>
      <c r="FF24" s="8">
        <f>SUM(BZ24:CC24)</f>
      </c>
      <c r="FG24" s="8">
        <f>SUM(CD24:CG24)</f>
      </c>
      <c r="FH24" s="8">
        <f>SUM(CH24:CK24)</f>
      </c>
      <c r="FI24" s="8">
        <f>SUM(CL24:CO24)</f>
      </c>
      <c r="FJ24" s="8">
        <f>SUM(CP24:CS24)</f>
      </c>
      <c r="FK24" s="8">
        <f>SUM(CT24:CW24)</f>
      </c>
      <c r="FL24" s="1269">
        <f t="shared" si="61"/>
      </c>
      <c r="FM24" s="8">
        <f t="shared" si="62"/>
      </c>
      <c r="FN24" s="8">
        <f t="shared" si="63"/>
      </c>
      <c r="FO24" s="8">
        <f t="shared" si="64"/>
      </c>
      <c r="FP24" s="8">
        <f t="shared" si="65"/>
      </c>
      <c r="FQ24" s="8">
        <f t="shared" si="66"/>
      </c>
      <c r="FR24" s="8">
        <f>SUM(DV24:DY24)</f>
      </c>
      <c r="FS24" s="8">
        <f>SUM(DZ24:EC24)</f>
      </c>
      <c r="FT24" s="8">
        <f>SUM(ED24:EG24)</f>
      </c>
      <c r="FU24" s="2873">
        <f>SUM(EH24:EK24)</f>
      </c>
      <c r="FV24" s="371"/>
      <c r="FW24" s="8">
        <f>SUM(C24:F24)</f>
      </c>
      <c r="FX24" s="8">
        <f>SUM(G24:J24)</f>
      </c>
      <c r="FY24" s="8">
        <f>SUM(K24:N24)</f>
      </c>
      <c r="FZ24" s="8">
        <f>SUM(O24:R24)</f>
      </c>
      <c r="GA24" s="8">
        <f>SUM(S24:V24)</f>
      </c>
      <c r="GB24" s="8">
        <f>SUM(W24:Z24)</f>
      </c>
      <c r="GC24" s="8">
        <f>SUM(AA24:AD24)</f>
      </c>
      <c r="GD24" s="8">
        <f>SUM(AE24:AH24)</f>
      </c>
      <c r="GE24" s="8">
        <f>SUM(AI24:AL24)</f>
      </c>
      <c r="GF24" s="8">
        <f>SUM(AM24:AP24)</f>
      </c>
      <c r="GG24" s="8">
        <f>SUM(AQ24:AT24)</f>
      </c>
      <c r="GH24" s="8">
        <f>SUM(AU24:AX24)</f>
      </c>
      <c r="GI24" s="8">
        <f>SUM(AY24:BB24)</f>
      </c>
      <c r="GJ24" s="8">
        <f>SUM(BC24:BF24)</f>
      </c>
      <c r="GK24" s="8">
        <f>SUM(BG24:BJ24)</f>
      </c>
      <c r="GL24" s="8">
        <f>SUM(BK24:BN24)</f>
      </c>
      <c r="GM24" s="8">
        <f>SUM(BO24:BR24)</f>
      </c>
      <c r="GN24" s="8">
        <f>SUM(BS24:BV24)</f>
      </c>
      <c r="GO24" s="8">
        <f>SUM(BW24:BZ24)</f>
      </c>
      <c r="GP24" s="8">
        <f>SUM(CA24:CD24)</f>
      </c>
      <c r="GQ24" s="8">
        <f>SUM(CE24:CH24)</f>
      </c>
      <c r="GR24" s="8">
        <f>SUM(CI24:CL24)</f>
      </c>
      <c r="GS24" s="8">
        <f>SUM(CM24:CP24)</f>
      </c>
      <c r="GT24" s="8">
        <f>SUM(CQ24:CT24)</f>
      </c>
      <c r="GU24" s="8">
        <f t="shared" si="71"/>
      </c>
      <c r="GV24" s="8">
        <f t="shared" si="72"/>
      </c>
      <c r="GW24" s="8">
        <f t="shared" si="73"/>
      </c>
      <c r="GX24" s="8">
        <f t="shared" si="74"/>
      </c>
      <c r="GY24" s="8">
        <f t="shared" si="75"/>
      </c>
      <c r="GZ24" s="8">
        <f t="shared" si="76"/>
      </c>
      <c r="HA24" s="8">
        <f>SUM(DS24:DV24)</f>
      </c>
      <c r="HB24" s="8">
        <f>SUM(DW24:DZ24)</f>
      </c>
      <c r="HC24" s="8">
        <f>SUM(EA24:ED24)</f>
      </c>
      <c r="HD24" s="8">
        <f>SUM(EE24:EH24)</f>
      </c>
    </row>
    <row r="25" spans="1:212" s="82" customFormat="1">
      <c r="A25" s="335" t="s">
        <v>73</v>
      </c>
      <c r="B25" s="81">
        <f t="shared" ref="B25:AG25" si="190">B24/B23</f>
      </c>
      <c r="C25" s="81">
        <f t="shared" si="190"/>
      </c>
      <c r="D25" s="81">
        <f t="shared" si="190"/>
      </c>
      <c r="E25" s="277">
        <f t="shared" si="190"/>
      </c>
      <c r="F25" s="81">
        <f t="shared" si="190"/>
      </c>
      <c r="G25" s="81">
        <f t="shared" si="190"/>
      </c>
      <c r="H25" s="81">
        <f t="shared" si="190"/>
      </c>
      <c r="I25" s="81">
        <f t="shared" si="190"/>
      </c>
      <c r="J25" s="81">
        <f t="shared" si="190"/>
      </c>
      <c r="K25" s="81">
        <f t="shared" si="190"/>
      </c>
      <c r="L25" s="81">
        <f t="shared" si="190"/>
      </c>
      <c r="M25" s="81">
        <f t="shared" si="190"/>
      </c>
      <c r="N25" s="81">
        <f t="shared" si="190"/>
      </c>
      <c r="O25" s="81">
        <f t="shared" si="190"/>
      </c>
      <c r="P25" s="81">
        <f t="shared" si="190"/>
      </c>
      <c r="Q25" s="81">
        <f t="shared" si="190"/>
      </c>
      <c r="R25" s="81">
        <f t="shared" si="190"/>
      </c>
      <c r="S25" s="81">
        <f t="shared" si="190"/>
      </c>
      <c r="T25" s="81">
        <f t="shared" si="190"/>
      </c>
      <c r="U25" s="81">
        <f t="shared" si="190"/>
      </c>
      <c r="V25" s="81">
        <f t="shared" si="190"/>
      </c>
      <c r="W25" s="81">
        <f t="shared" si="190"/>
      </c>
      <c r="X25" s="81">
        <f t="shared" si="190"/>
      </c>
      <c r="Y25" s="81">
        <f t="shared" si="190"/>
      </c>
      <c r="Z25" s="81">
        <f t="shared" si="190"/>
      </c>
      <c r="AA25" s="81">
        <f t="shared" si="190"/>
      </c>
      <c r="AB25" s="81">
        <f t="shared" si="190"/>
      </c>
      <c r="AC25" s="81">
        <f t="shared" si="190"/>
      </c>
      <c r="AD25" s="81">
        <f t="shared" si="190"/>
      </c>
      <c r="AE25" s="81">
        <f t="shared" si="190"/>
      </c>
      <c r="AF25" s="81">
        <f t="shared" si="190"/>
      </c>
      <c r="AG25" s="81">
        <f t="shared" si="190"/>
      </c>
      <c r="AH25" s="81">
        <f t="shared" ref="AH25:BM25" si="191">AH24/AH23</f>
      </c>
      <c r="AI25" s="81">
        <f t="shared" si="191"/>
      </c>
      <c r="AJ25" s="81">
        <f t="shared" si="191"/>
      </c>
      <c r="AK25" s="81">
        <f t="shared" si="191"/>
      </c>
      <c r="AL25" s="81">
        <f t="shared" si="191"/>
      </c>
      <c r="AM25" s="81">
        <f t="shared" si="191"/>
      </c>
      <c r="AN25" s="81">
        <f t="shared" si="191"/>
      </c>
      <c r="AO25" s="81">
        <f t="shared" si="191"/>
      </c>
      <c r="AP25" s="81">
        <f t="shared" si="191"/>
      </c>
      <c r="AQ25" s="81">
        <f t="shared" si="191"/>
      </c>
      <c r="AR25" s="81">
        <f t="shared" si="191"/>
      </c>
      <c r="AS25" s="81">
        <f t="shared" si="191"/>
      </c>
      <c r="AT25" s="81">
        <f t="shared" si="191"/>
      </c>
      <c r="AU25" s="81">
        <f t="shared" si="191"/>
      </c>
      <c r="AV25" s="81">
        <f t="shared" si="191"/>
      </c>
      <c r="AW25" s="81">
        <f t="shared" si="191"/>
      </c>
      <c r="AX25" s="81">
        <f t="shared" si="191"/>
      </c>
      <c r="AY25" s="81">
        <f t="shared" si="191"/>
      </c>
      <c r="AZ25" s="81">
        <f t="shared" si="191"/>
      </c>
      <c r="BA25" s="81">
        <f t="shared" si="191"/>
      </c>
      <c r="BB25" s="81">
        <f t="shared" si="191"/>
      </c>
      <c r="BC25" s="81">
        <f t="shared" si="191"/>
      </c>
      <c r="BD25" s="81">
        <f t="shared" si="191"/>
      </c>
      <c r="BE25" s="81">
        <f t="shared" si="191"/>
      </c>
      <c r="BF25" s="81">
        <f t="shared" si="191"/>
      </c>
      <c r="BG25" s="81">
        <f t="shared" si="191"/>
      </c>
      <c r="BH25" s="81">
        <f t="shared" si="191"/>
      </c>
      <c r="BI25" s="81">
        <f t="shared" si="191"/>
      </c>
      <c r="BJ25" s="81">
        <f t="shared" si="191"/>
      </c>
      <c r="BK25" s="81">
        <f t="shared" si="191"/>
      </c>
      <c r="BL25" s="81">
        <f t="shared" si="191"/>
      </c>
      <c r="BM25" s="81">
        <f t="shared" si="191"/>
      </c>
      <c r="BN25" s="81">
        <f t="shared" ref="BN25:CS25" si="192">BN24/BN23</f>
      </c>
      <c r="BO25" s="81">
        <f t="shared" si="192"/>
      </c>
      <c r="BP25" s="81">
        <f t="shared" si="192"/>
      </c>
      <c r="BQ25" s="216">
        <f t="shared" si="192"/>
      </c>
      <c r="BR25" s="81">
        <f t="shared" si="192"/>
      </c>
      <c r="BS25" s="81">
        <f t="shared" si="192"/>
      </c>
      <c r="BT25" s="81">
        <f t="shared" si="192"/>
      </c>
      <c r="BU25" s="216">
        <f t="shared" si="192"/>
      </c>
      <c r="BV25" s="81">
        <f t="shared" si="192"/>
      </c>
      <c r="BW25" s="81">
        <f t="shared" si="192"/>
      </c>
      <c r="BX25" s="81">
        <f t="shared" si="192"/>
      </c>
      <c r="BY25" s="216">
        <f t="shared" si="192"/>
      </c>
      <c r="BZ25" s="81">
        <f t="shared" si="192"/>
      </c>
      <c r="CA25" s="81">
        <f t="shared" si="192"/>
      </c>
      <c r="CB25" s="81">
        <f t="shared" si="192"/>
      </c>
      <c r="CC25" s="216">
        <f t="shared" si="192"/>
      </c>
      <c r="CD25" s="81">
        <f t="shared" si="192"/>
      </c>
      <c r="CE25" s="555">
        <f t="shared" si="192"/>
      </c>
      <c r="CF25" s="555">
        <f t="shared" si="192"/>
      </c>
      <c r="CG25" s="556">
        <f t="shared" si="192"/>
      </c>
      <c r="CH25" s="555">
        <f t="shared" si="192"/>
      </c>
      <c r="CI25" s="555">
        <f t="shared" si="192"/>
      </c>
      <c r="CJ25" s="555">
        <f t="shared" si="192"/>
      </c>
      <c r="CK25" s="556">
        <f t="shared" si="192"/>
      </c>
      <c r="CL25" s="555">
        <f t="shared" si="192"/>
      </c>
      <c r="CM25" s="555">
        <f t="shared" si="192"/>
      </c>
      <c r="CN25" s="555">
        <f t="shared" si="192"/>
      </c>
      <c r="CO25" s="556">
        <f t="shared" si="192"/>
      </c>
      <c r="CP25" s="555">
        <f t="shared" si="192"/>
      </c>
      <c r="CQ25" s="555">
        <f t="shared" si="192"/>
      </c>
      <c r="CR25" s="555">
        <f t="shared" si="192"/>
      </c>
      <c r="CS25" s="556">
        <f t="shared" si="192"/>
      </c>
      <c r="CT25" s="555">
        <f t="shared" ref="CT25:DE25" si="193">CT24/CT23</f>
      </c>
      <c r="CU25" s="555">
        <f t="shared" si="193"/>
      </c>
      <c r="CV25" s="555">
        <f t="shared" si="193"/>
      </c>
      <c r="CW25" s="556">
        <f t="shared" si="193"/>
      </c>
      <c r="CX25" s="557">
        <f t="shared" si="193"/>
      </c>
      <c r="CY25" s="555">
        <f t="shared" si="193"/>
      </c>
      <c r="CZ25" s="555">
        <f t="shared" si="193"/>
      </c>
      <c r="DA25" s="556">
        <f t="shared" si="193"/>
      </c>
      <c r="DB25" s="557">
        <f t="shared" si="193"/>
      </c>
      <c r="DC25" s="555">
        <f t="shared" si="193"/>
      </c>
      <c r="DD25" s="555">
        <f t="shared" si="193"/>
      </c>
      <c r="DE25" s="555">
        <f t="shared" si="193"/>
      </c>
      <c r="DF25" s="557">
        <f t="shared" ref="DF25" si="194">DF24/DF23</f>
      </c>
      <c r="DG25" s="555">
        <f>DG24/DG23</f>
      </c>
      <c r="DH25" s="555">
        <f>DH24/DH23</f>
      </c>
      <c r="DI25" s="3151">
        <f>DI24/DI23</f>
      </c>
      <c r="DJ25" s="557">
        <f t="shared" ref="DJ25" si="195">DJ24/DJ23</f>
      </c>
      <c r="DK25" s="555">
        <f>DK24/DK23</f>
      </c>
      <c r="DL25" s="555">
        <f>DL24/DL23</f>
      </c>
      <c r="DM25" s="3151">
        <f>DM24/DM23</f>
      </c>
      <c r="DN25" s="557">
        <f t="shared" ref="DN25" si="196">DN24/DN23</f>
      </c>
      <c r="DO25" s="555">
        <f>DO24/DO23</f>
      </c>
      <c r="DP25" s="555">
        <f>DP24/DP23</f>
      </c>
      <c r="DQ25" s="573">
        <v>0.17</v>
      </c>
      <c r="DR25" s="574">
        <v>0.17</v>
      </c>
      <c r="DS25" s="574">
        <v>0.17</v>
      </c>
      <c r="DT25" s="574">
        <v>0.17</v>
      </c>
      <c r="DU25" s="573">
        <v>0.17</v>
      </c>
      <c r="DV25" s="574">
        <v>0.17</v>
      </c>
      <c r="DW25" s="574">
        <v>0.17</v>
      </c>
      <c r="DX25" s="574">
        <v>0.17</v>
      </c>
      <c r="DY25" s="573">
        <v>0.17</v>
      </c>
      <c r="DZ25" s="574">
        <v>0.17</v>
      </c>
      <c r="EA25" s="574">
        <v>0.17</v>
      </c>
      <c r="EB25" s="574">
        <v>0.17</v>
      </c>
      <c r="EC25" s="573">
        <v>0.17</v>
      </c>
      <c r="ED25" s="574">
        <v>0.17</v>
      </c>
      <c r="EE25" s="574">
        <v>0.17</v>
      </c>
      <c r="EF25" s="574">
        <v>0.17</v>
      </c>
      <c r="EG25" s="573">
        <v>0.17</v>
      </c>
      <c r="EH25" s="574">
        <v>0.17</v>
      </c>
      <c r="EI25" s="574">
        <v>0.17</v>
      </c>
      <c r="EJ25" s="574">
        <v>0.17</v>
      </c>
      <c r="EK25" s="573">
        <v>0.17</v>
      </c>
      <c r="EL25" s="1991"/>
      <c r="EM25" s="690">
        <f t="shared" ref="EM25:FQ25" si="197">EM24/EM23</f>
      </c>
      <c r="EN25" s="693">
        <f t="shared" si="197"/>
      </c>
      <c r="EO25" s="693">
        <f t="shared" si="197"/>
      </c>
      <c r="EP25" s="693">
        <f t="shared" si="197"/>
      </c>
      <c r="EQ25" s="693">
        <f t="shared" si="197"/>
      </c>
      <c r="ER25" s="693">
        <f t="shared" si="197"/>
      </c>
      <c r="ES25" s="693">
        <f t="shared" si="197"/>
      </c>
      <c r="ET25" s="693">
        <f t="shared" si="197"/>
      </c>
      <c r="EU25" s="693">
        <f t="shared" si="197"/>
      </c>
      <c r="EV25" s="693">
        <f t="shared" si="197"/>
      </c>
      <c r="EW25" s="693">
        <f t="shared" si="197"/>
      </c>
      <c r="EX25" s="693">
        <f t="shared" si="197"/>
      </c>
      <c r="EY25" s="693">
        <f t="shared" si="197"/>
      </c>
      <c r="EZ25" s="693">
        <f t="shared" si="197"/>
      </c>
      <c r="FA25" s="693">
        <f t="shared" si="197"/>
      </c>
      <c r="FB25" s="693">
        <f t="shared" si="197"/>
      </c>
      <c r="FC25" s="693">
        <f t="shared" si="197"/>
      </c>
      <c r="FD25" s="693">
        <f t="shared" si="197"/>
      </c>
      <c r="FE25" s="693">
        <f t="shared" si="197"/>
      </c>
      <c r="FF25" s="693">
        <f t="shared" si="197"/>
      </c>
      <c r="FG25" s="693">
        <f t="shared" si="197"/>
      </c>
      <c r="FH25" s="693">
        <f t="shared" si="197"/>
      </c>
      <c r="FI25" s="693">
        <f t="shared" si="197"/>
      </c>
      <c r="FJ25" s="693">
        <f t="shared" si="197"/>
      </c>
      <c r="FK25" s="693">
        <f t="shared" si="197"/>
      </c>
      <c r="FL25" s="690">
        <f t="shared" si="197"/>
      </c>
      <c r="FM25" s="693">
        <f t="shared" si="197"/>
      </c>
      <c r="FN25" s="693">
        <f t="shared" si="197"/>
      </c>
      <c r="FO25" s="693">
        <f t="shared" si="197"/>
      </c>
      <c r="FP25" s="693">
        <f t="shared" si="197"/>
      </c>
      <c r="FQ25" s="693">
        <f t="shared" si="197"/>
      </c>
      <c r="FR25" s="693">
        <f t="shared" ref="FR25:FU25" si="198">FR24/FR23</f>
      </c>
      <c r="FS25" s="693">
        <f t="shared" si="198"/>
      </c>
      <c r="FT25" s="693">
        <f t="shared" si="198"/>
      </c>
      <c r="FU25" s="2884">
        <f t="shared" si="198"/>
      </c>
      <c r="FV25" s="140"/>
      <c r="FW25" s="693">
        <f t="shared" ref="FW25:GZ25" si="199">FW24/FW23</f>
      </c>
      <c r="FX25" s="693">
        <f t="shared" si="199"/>
      </c>
      <c r="FY25" s="693">
        <f t="shared" si="199"/>
      </c>
      <c r="FZ25" s="693">
        <f t="shared" si="199"/>
      </c>
      <c r="GA25" s="693">
        <f t="shared" si="199"/>
      </c>
      <c r="GB25" s="693">
        <f t="shared" si="199"/>
      </c>
      <c r="GC25" s="693">
        <f t="shared" si="199"/>
      </c>
      <c r="GD25" s="693">
        <f t="shared" si="199"/>
      </c>
      <c r="GE25" s="693">
        <f t="shared" si="199"/>
      </c>
      <c r="GF25" s="693">
        <f t="shared" si="199"/>
      </c>
      <c r="GG25" s="693">
        <f t="shared" si="199"/>
      </c>
      <c r="GH25" s="693">
        <f t="shared" si="199"/>
      </c>
      <c r="GI25" s="693">
        <f t="shared" si="199"/>
      </c>
      <c r="GJ25" s="693">
        <f t="shared" si="199"/>
      </c>
      <c r="GK25" s="693">
        <f t="shared" si="199"/>
      </c>
      <c r="GL25" s="693">
        <f t="shared" si="199"/>
      </c>
      <c r="GM25" s="693">
        <f t="shared" si="199"/>
      </c>
      <c r="GN25" s="693">
        <f t="shared" si="199"/>
      </c>
      <c r="GO25" s="693">
        <f t="shared" si="199"/>
      </c>
      <c r="GP25" s="693">
        <f t="shared" si="199"/>
      </c>
      <c r="GQ25" s="693">
        <f t="shared" si="199"/>
      </c>
      <c r="GR25" s="693">
        <f t="shared" si="199"/>
      </c>
      <c r="GS25" s="693">
        <f t="shared" si="199"/>
      </c>
      <c r="GT25" s="693">
        <f t="shared" si="199"/>
      </c>
      <c r="GU25" s="693">
        <f t="shared" si="199"/>
      </c>
      <c r="GV25" s="693">
        <f t="shared" si="199"/>
      </c>
      <c r="GW25" s="693">
        <f t="shared" si="199"/>
      </c>
      <c r="GX25" s="693">
        <f t="shared" si="199"/>
      </c>
      <c r="GY25" s="693">
        <f t="shared" si="199"/>
      </c>
      <c r="GZ25" s="693">
        <f t="shared" si="199"/>
      </c>
      <c r="HA25" s="693">
        <f t="shared" ref="HA25:HD25" si="200">HA24/HA23</f>
      </c>
      <c r="HB25" s="693">
        <f t="shared" si="200"/>
      </c>
      <c r="HC25" s="693">
        <f t="shared" si="200"/>
      </c>
      <c r="HD25" s="693">
        <f t="shared" si="200"/>
      </c>
    </row>
    <row r="26" spans="1:212" s="16" customFormat="1">
      <c r="A26" s="1958" t="s">
        <v>1154</v>
      </c>
      <c r="B26" s="1951">
        <f t="shared" ref="B26:AG26" si="201">+B23-B24</f>
      </c>
      <c r="C26" s="1951">
        <f t="shared" si="201"/>
      </c>
      <c r="D26" s="1951">
        <f t="shared" si="201"/>
      </c>
      <c r="E26" s="1952">
        <f t="shared" si="201"/>
      </c>
      <c r="F26" s="1951">
        <f t="shared" si="201"/>
      </c>
      <c r="G26" s="1951">
        <f t="shared" si="201"/>
      </c>
      <c r="H26" s="1951">
        <f t="shared" si="201"/>
      </c>
      <c r="I26" s="1951">
        <f t="shared" si="201"/>
      </c>
      <c r="J26" s="1951">
        <f t="shared" si="201"/>
      </c>
      <c r="K26" s="1951">
        <f t="shared" si="201"/>
      </c>
      <c r="L26" s="1951">
        <f t="shared" si="201"/>
      </c>
      <c r="M26" s="1951">
        <f t="shared" si="201"/>
      </c>
      <c r="N26" s="1951">
        <f t="shared" si="201"/>
      </c>
      <c r="O26" s="1951">
        <f t="shared" si="201"/>
      </c>
      <c r="P26" s="1951">
        <f t="shared" si="201"/>
      </c>
      <c r="Q26" s="1951">
        <f t="shared" si="201"/>
      </c>
      <c r="R26" s="1951">
        <f t="shared" si="201"/>
      </c>
      <c r="S26" s="1951">
        <f t="shared" si="201"/>
      </c>
      <c r="T26" s="1951">
        <f t="shared" si="201"/>
      </c>
      <c r="U26" s="1951">
        <f t="shared" si="201"/>
      </c>
      <c r="V26" s="1951">
        <f t="shared" si="201"/>
      </c>
      <c r="W26" s="1951">
        <f t="shared" si="201"/>
      </c>
      <c r="X26" s="1951">
        <f t="shared" si="201"/>
      </c>
      <c r="Y26" s="1951">
        <f t="shared" si="201"/>
      </c>
      <c r="Z26" s="1951">
        <f t="shared" si="201"/>
      </c>
      <c r="AA26" s="1951">
        <f t="shared" si="201"/>
      </c>
      <c r="AB26" s="1951">
        <f t="shared" si="201"/>
      </c>
      <c r="AC26" s="1951">
        <f t="shared" si="201"/>
      </c>
      <c r="AD26" s="1951">
        <f t="shared" si="201"/>
      </c>
      <c r="AE26" s="1951">
        <f t="shared" si="201"/>
      </c>
      <c r="AF26" s="1951">
        <f t="shared" si="201"/>
      </c>
      <c r="AG26" s="1951">
        <f t="shared" si="201"/>
      </c>
      <c r="AH26" s="1951">
        <f t="shared" ref="AH26:BM26" si="202">+AH23-AH24</f>
      </c>
      <c r="AI26" s="1951">
        <f t="shared" si="202"/>
      </c>
      <c r="AJ26" s="1951">
        <f t="shared" si="202"/>
      </c>
      <c r="AK26" s="1951">
        <f t="shared" si="202"/>
      </c>
      <c r="AL26" s="1951">
        <f t="shared" si="202"/>
      </c>
      <c r="AM26" s="1951">
        <f t="shared" si="202"/>
      </c>
      <c r="AN26" s="1951">
        <f t="shared" si="202"/>
      </c>
      <c r="AO26" s="1951">
        <f t="shared" si="202"/>
      </c>
      <c r="AP26" s="1951">
        <f t="shared" si="202"/>
      </c>
      <c r="AQ26" s="1951">
        <f t="shared" si="202"/>
      </c>
      <c r="AR26" s="1951">
        <f t="shared" si="202"/>
      </c>
      <c r="AS26" s="1951">
        <f t="shared" si="202"/>
      </c>
      <c r="AT26" s="1951">
        <f t="shared" si="202"/>
      </c>
      <c r="AU26" s="1951">
        <f t="shared" si="202"/>
      </c>
      <c r="AV26" s="1951">
        <f t="shared" si="202"/>
      </c>
      <c r="AW26" s="1951">
        <f t="shared" si="202"/>
      </c>
      <c r="AX26" s="1951">
        <f t="shared" si="202"/>
      </c>
      <c r="AY26" s="1951">
        <f t="shared" si="202"/>
      </c>
      <c r="AZ26" s="1951">
        <f t="shared" si="202"/>
      </c>
      <c r="BA26" s="1951">
        <f t="shared" si="202"/>
      </c>
      <c r="BB26" s="1951">
        <f t="shared" si="202"/>
      </c>
      <c r="BC26" s="1951">
        <f t="shared" si="202"/>
      </c>
      <c r="BD26" s="1951">
        <f t="shared" si="202"/>
      </c>
      <c r="BE26" s="1951">
        <f t="shared" si="202"/>
      </c>
      <c r="BF26" s="1951">
        <f t="shared" si="202"/>
      </c>
      <c r="BG26" s="1951">
        <f t="shared" si="202"/>
      </c>
      <c r="BH26" s="1951">
        <f t="shared" si="202"/>
      </c>
      <c r="BI26" s="1951">
        <f t="shared" si="202"/>
      </c>
      <c r="BJ26" s="1951">
        <f t="shared" si="202"/>
      </c>
      <c r="BK26" s="1951">
        <f t="shared" si="202"/>
      </c>
      <c r="BL26" s="1951">
        <f t="shared" si="202"/>
      </c>
      <c r="BM26" s="1951">
        <f t="shared" si="202"/>
      </c>
      <c r="BN26" s="1951">
        <f t="shared" ref="BN26:CS26" si="203">+BN23-BN24</f>
      </c>
      <c r="BO26" s="1951">
        <f t="shared" si="203"/>
      </c>
      <c r="BP26" s="1951">
        <f t="shared" si="203"/>
      </c>
      <c r="BQ26" s="1953">
        <f t="shared" si="203"/>
      </c>
      <c r="BR26" s="1951">
        <f t="shared" si="203"/>
      </c>
      <c r="BS26" s="1951">
        <f t="shared" si="203"/>
      </c>
      <c r="BT26" s="1951">
        <f t="shared" si="203"/>
      </c>
      <c r="BU26" s="1953">
        <f t="shared" si="203"/>
      </c>
      <c r="BV26" s="1951">
        <f t="shared" si="203"/>
      </c>
      <c r="BW26" s="1951">
        <f t="shared" si="203"/>
      </c>
      <c r="BX26" s="1951">
        <f t="shared" si="203"/>
      </c>
      <c r="BY26" s="1953">
        <f t="shared" si="203"/>
      </c>
      <c r="BZ26" s="1951">
        <f t="shared" si="203"/>
      </c>
      <c r="CA26" s="1951">
        <f t="shared" si="203"/>
      </c>
      <c r="CB26" s="1951">
        <f t="shared" si="203"/>
      </c>
      <c r="CC26" s="1953">
        <f t="shared" si="203"/>
      </c>
      <c r="CD26" s="1951">
        <f t="shared" si="203"/>
      </c>
      <c r="CE26" s="1951">
        <f t="shared" si="203"/>
      </c>
      <c r="CF26" s="1951">
        <f t="shared" si="203"/>
      </c>
      <c r="CG26" s="1953">
        <f t="shared" si="203"/>
      </c>
      <c r="CH26" s="1951">
        <f t="shared" si="203"/>
      </c>
      <c r="CI26" s="1951">
        <f t="shared" si="203"/>
      </c>
      <c r="CJ26" s="1951">
        <f t="shared" si="203"/>
      </c>
      <c r="CK26" s="1953">
        <f t="shared" si="203"/>
      </c>
      <c r="CL26" s="1951">
        <f t="shared" si="203"/>
      </c>
      <c r="CM26" s="1951">
        <f t="shared" si="203"/>
      </c>
      <c r="CN26" s="1951">
        <f t="shared" si="203"/>
      </c>
      <c r="CO26" s="1953">
        <f t="shared" si="203"/>
      </c>
      <c r="CP26" s="1951">
        <f t="shared" si="203"/>
      </c>
      <c r="CQ26" s="1951">
        <f t="shared" si="203"/>
      </c>
      <c r="CR26" s="1951">
        <f t="shared" si="203"/>
      </c>
      <c r="CS26" s="1953">
        <f t="shared" si="203"/>
      </c>
      <c r="CT26" s="1951">
        <f t="shared" ref="CT26:DU26" si="204">+CT23-CT24</f>
      </c>
      <c r="CU26" s="1951">
        <f t="shared" si="204"/>
      </c>
      <c r="CV26" s="1951">
        <f t="shared" si="204"/>
      </c>
      <c r="CW26" s="1953">
        <f t="shared" si="204"/>
      </c>
      <c r="CX26" s="1955">
        <f t="shared" si="204"/>
      </c>
      <c r="CY26" s="1951">
        <f t="shared" si="204"/>
      </c>
      <c r="CZ26" s="1951">
        <f t="shared" si="204"/>
      </c>
      <c r="DA26" s="1953">
        <f t="shared" si="204"/>
      </c>
      <c r="DB26" s="1955">
        <f t="shared" si="204"/>
      </c>
      <c r="DC26" s="1951">
        <f t="shared" si="204"/>
      </c>
      <c r="DD26" s="1951">
        <f t="shared" si="204"/>
      </c>
      <c r="DE26" s="1953">
        <f t="shared" si="204"/>
      </c>
      <c r="DF26" s="1955">
        <f t="shared" ref="DF26" si="205">+DF23-DF24</f>
      </c>
      <c r="DG26" s="1951">
        <f t="shared" si="204"/>
      </c>
      <c r="DH26" s="1951">
        <f t="shared" si="204"/>
      </c>
      <c r="DI26" s="1953">
        <f t="shared" si="204"/>
      </c>
      <c r="DJ26" s="1955">
        <f t="shared" si="204"/>
      </c>
      <c r="DK26" s="1951">
        <f t="shared" ref="DK26:DN26" si="206">+DK23-DK24</f>
      </c>
      <c r="DL26" s="1951">
        <f t="shared" si="206"/>
      </c>
      <c r="DM26" s="1953">
        <f t="shared" si="206"/>
      </c>
      <c r="DN26" s="1955">
        <f t="shared" si="206"/>
      </c>
      <c r="DO26" s="1951">
        <f t="shared" ref="DO26:DP26" si="207">+DO23-DO24</f>
      </c>
      <c r="DP26" s="1951">
        <f t="shared" si="207"/>
      </c>
      <c r="DQ26" s="1953">
        <f t="shared" si="204"/>
      </c>
      <c r="DR26" s="1951">
        <f t="shared" si="204"/>
      </c>
      <c r="DS26" s="1951">
        <f t="shared" si="204"/>
      </c>
      <c r="DT26" s="1951">
        <f t="shared" si="204"/>
      </c>
      <c r="DU26" s="1953">
        <f t="shared" si="204"/>
      </c>
      <c r="DV26" s="1951">
        <f t="shared" ref="DV26:EK26" si="208">+DV23-DV24</f>
      </c>
      <c r="DW26" s="1951">
        <f t="shared" si="208"/>
      </c>
      <c r="DX26" s="1951">
        <f t="shared" si="208"/>
      </c>
      <c r="DY26" s="1953">
        <f t="shared" si="208"/>
      </c>
      <c r="DZ26" s="1951">
        <f t="shared" si="208"/>
      </c>
      <c r="EA26" s="1951">
        <f t="shared" si="208"/>
      </c>
      <c r="EB26" s="1951">
        <f t="shared" si="208"/>
      </c>
      <c r="EC26" s="1953">
        <f t="shared" si="208"/>
      </c>
      <c r="ED26" s="1951">
        <f t="shared" si="208"/>
      </c>
      <c r="EE26" s="1951">
        <f t="shared" si="208"/>
      </c>
      <c r="EF26" s="1951">
        <f t="shared" si="208"/>
      </c>
      <c r="EG26" s="1953">
        <f t="shared" si="208"/>
      </c>
      <c r="EH26" s="1951">
        <f t="shared" si="208"/>
      </c>
      <c r="EI26" s="1951">
        <f t="shared" si="208"/>
      </c>
      <c r="EJ26" s="1951">
        <f t="shared" si="208"/>
      </c>
      <c r="EK26" s="1953">
        <f t="shared" si="208"/>
      </c>
      <c r="EL26" s="90"/>
      <c r="EM26" s="1959">
        <f t="shared" ref="EM26:FQ26" si="209">+EM23-EM24</f>
      </c>
      <c r="EN26" s="1957">
        <f t="shared" si="209"/>
      </c>
      <c r="EO26" s="1957">
        <f t="shared" si="209"/>
      </c>
      <c r="EP26" s="1957">
        <f t="shared" si="209"/>
      </c>
      <c r="EQ26" s="1957">
        <f t="shared" si="209"/>
      </c>
      <c r="ER26" s="1957">
        <f t="shared" si="209"/>
      </c>
      <c r="ES26" s="1957">
        <f t="shared" si="209"/>
      </c>
      <c r="ET26" s="1957">
        <f t="shared" si="209"/>
      </c>
      <c r="EU26" s="1957">
        <f t="shared" si="209"/>
      </c>
      <c r="EV26" s="1957">
        <f t="shared" si="209"/>
      </c>
      <c r="EW26" s="1957">
        <f t="shared" si="209"/>
      </c>
      <c r="EX26" s="1957">
        <f t="shared" si="209"/>
      </c>
      <c r="EY26" s="1957">
        <f t="shared" si="209"/>
      </c>
      <c r="EZ26" s="1957">
        <f t="shared" si="209"/>
      </c>
      <c r="FA26" s="1957">
        <f t="shared" si="209"/>
      </c>
      <c r="FB26" s="1957">
        <f t="shared" si="209"/>
      </c>
      <c r="FC26" s="1957">
        <f t="shared" si="209"/>
      </c>
      <c r="FD26" s="1957">
        <f t="shared" si="209"/>
      </c>
      <c r="FE26" s="1957">
        <f t="shared" si="209"/>
      </c>
      <c r="FF26" s="1957">
        <f t="shared" si="209"/>
      </c>
      <c r="FG26" s="1957">
        <f t="shared" si="209"/>
      </c>
      <c r="FH26" s="1957">
        <f t="shared" si="209"/>
      </c>
      <c r="FI26" s="1957">
        <f t="shared" si="209"/>
      </c>
      <c r="FJ26" s="1957">
        <f t="shared" si="209"/>
      </c>
      <c r="FK26" s="1957">
        <f t="shared" si="209"/>
      </c>
      <c r="FL26" s="1959">
        <f t="shared" si="209"/>
      </c>
      <c r="FM26" s="1957">
        <f t="shared" si="209"/>
      </c>
      <c r="FN26" s="1957">
        <f t="shared" si="209"/>
      </c>
      <c r="FO26" s="1957">
        <f t="shared" si="209"/>
      </c>
      <c r="FP26" s="1957">
        <f t="shared" si="209"/>
      </c>
      <c r="FQ26" s="1957">
        <f t="shared" si="209"/>
      </c>
      <c r="FR26" s="1957">
        <f t="shared" ref="FR26:FU26" si="210">+FR23-FR24</f>
      </c>
      <c r="FS26" s="1957">
        <f t="shared" si="210"/>
      </c>
      <c r="FT26" s="1957">
        <f t="shared" si="210"/>
      </c>
      <c r="FU26" s="2885">
        <f t="shared" si="210"/>
      </c>
      <c r="FV26" s="159"/>
      <c r="FW26" s="1957">
        <f t="shared" ref="FW26:GT26" si="211">+FW23-FW24</f>
      </c>
      <c r="FX26" s="1957">
        <f t="shared" si="211"/>
      </c>
      <c r="FY26" s="1957">
        <f t="shared" si="211"/>
      </c>
      <c r="FZ26" s="1957">
        <f t="shared" si="211"/>
      </c>
      <c r="GA26" s="1957">
        <f t="shared" si="211"/>
      </c>
      <c r="GB26" s="1957">
        <f t="shared" si="211"/>
      </c>
      <c r="GC26" s="1957">
        <f t="shared" si="211"/>
      </c>
      <c r="GD26" s="1957">
        <f t="shared" si="211"/>
      </c>
      <c r="GE26" s="1957">
        <f t="shared" si="211"/>
      </c>
      <c r="GF26" s="1957">
        <f t="shared" si="211"/>
      </c>
      <c r="GG26" s="1957">
        <f t="shared" si="211"/>
      </c>
      <c r="GH26" s="1957">
        <f t="shared" si="211"/>
      </c>
      <c r="GI26" s="1957">
        <f t="shared" si="211"/>
      </c>
      <c r="GJ26" s="1957">
        <f t="shared" si="211"/>
      </c>
      <c r="GK26" s="1957">
        <f t="shared" si="211"/>
      </c>
      <c r="GL26" s="1957">
        <f t="shared" si="211"/>
      </c>
      <c r="GM26" s="1957">
        <f t="shared" si="211"/>
      </c>
      <c r="GN26" s="1957">
        <f t="shared" si="211"/>
      </c>
      <c r="GO26" s="1957">
        <f t="shared" si="211"/>
      </c>
      <c r="GP26" s="1957">
        <f t="shared" si="211"/>
      </c>
      <c r="GQ26" s="1957">
        <f t="shared" si="211"/>
      </c>
      <c r="GR26" s="1957">
        <f t="shared" si="211"/>
      </c>
      <c r="GS26" s="1957">
        <f t="shared" si="211"/>
      </c>
      <c r="GT26" s="1957">
        <f t="shared" si="211"/>
      </c>
      <c r="GU26" s="1957">
        <f>SUM(CU26:CX26)</f>
      </c>
      <c r="GV26" s="1957">
        <f>SUM(CY26:DB26)</f>
      </c>
      <c r="GW26" s="1957">
        <f>SUM(DC26:DF26)</f>
      </c>
      <c r="GX26" s="1957">
        <f>SUM(DG26:DJ26)</f>
      </c>
      <c r="GY26" s="1957">
        <f>SUM(DK26:DN26)</f>
      </c>
      <c r="GZ26" s="1957">
        <f>SUM(DO26:DR26)</f>
      </c>
      <c r="HA26" s="1957">
        <f>SUM(DS26:DV26)</f>
      </c>
      <c r="HB26" s="1957">
        <f>SUM(DW26:DZ26)</f>
      </c>
      <c r="HC26" s="1957">
        <f>SUM(EA26:ED26)</f>
      </c>
      <c r="HD26" s="1957">
        <f>SUM(EE26:EH26)</f>
      </c>
    </row>
    <row r="27" spans="1:212" s="15" customFormat="1">
      <c r="A27" s="3270" t="s">
        <v>79</v>
      </c>
      <c r="B27" s="34">
        <v>0</v>
      </c>
      <c r="C27" s="34">
        <v>284</v>
      </c>
      <c r="D27" s="34">
        <v>0</v>
      </c>
      <c r="E27" s="182">
        <v>-19</v>
      </c>
      <c r="F27" s="34">
        <v>0</v>
      </c>
      <c r="G27" s="34">
        <v>530</v>
      </c>
      <c r="H27" s="34">
        <v>0</v>
      </c>
      <c r="I27" s="34">
        <v>137</v>
      </c>
      <c r="J27" s="34">
        <v>0</v>
      </c>
      <c r="K27" s="34">
        <v>0</v>
      </c>
      <c r="L27" s="34">
        <v>-34</v>
      </c>
      <c r="M27" s="34">
        <v>0</v>
      </c>
      <c r="N27" s="34">
        <v>-29</v>
      </c>
      <c r="O27" s="34">
        <v>-41</v>
      </c>
      <c r="P27" s="34">
        <v>-89</v>
      </c>
      <c r="Q27" s="34">
        <v>-22</v>
      </c>
      <c r="R27" s="34">
        <v>-25</v>
      </c>
      <c r="S27" s="34">
        <v>-73</v>
      </c>
      <c r="T27" s="34">
        <v>-37</v>
      </c>
      <c r="U27" s="34">
        <v>-62</v>
      </c>
      <c r="V27" s="34">
        <v>-53</v>
      </c>
      <c r="W27" s="34">
        <v>-3</v>
      </c>
      <c r="X27" s="34">
        <v>0</v>
      </c>
      <c r="Y27" s="34">
        <v>-1</v>
      </c>
      <c r="Z27" s="34">
        <v>1</v>
      </c>
      <c r="AA27" s="34">
        <v>0</v>
      </c>
      <c r="AB27" s="34">
        <v>0</v>
      </c>
      <c r="AC27" s="34">
        <v>52</v>
      </c>
      <c r="AD27" s="34">
        <v>20</v>
      </c>
      <c r="AE27" s="34">
        <v>2</v>
      </c>
      <c r="AF27" s="34">
        <v>0</v>
      </c>
      <c r="AG27" s="34">
        <v>-15</v>
      </c>
      <c r="AH27" s="34">
        <v>0</v>
      </c>
      <c r="AI27" s="34">
        <v>7</v>
      </c>
      <c r="AJ27" s="34">
        <v>6</v>
      </c>
      <c r="AK27" s="34">
        <v>4</v>
      </c>
      <c r="AL27" s="34">
        <v>0</v>
      </c>
      <c r="AM27" s="34">
        <v>0</v>
      </c>
      <c r="AN27" s="34">
        <v>0</v>
      </c>
      <c r="AO27" s="34">
        <v>-99</v>
      </c>
      <c r="AP27" s="34">
        <v>0</v>
      </c>
      <c r="AQ27" s="34">
        <v>0</v>
      </c>
      <c r="AR27" s="34">
        <v>0</v>
      </c>
      <c r="AS27" s="34">
        <v>0</v>
      </c>
      <c r="AT27" s="34">
        <v>0</v>
      </c>
      <c r="AU27" s="34">
        <v>0</v>
      </c>
      <c r="AV27" s="34">
        <v>0</v>
      </c>
      <c r="AW27" s="34">
        <v>0</v>
      </c>
      <c r="AX27" s="34">
        <v>0</v>
      </c>
      <c r="AY27" s="34">
        <v>0</v>
      </c>
      <c r="AZ27" s="34">
        <v>0</v>
      </c>
      <c r="BA27" s="34">
        <v>0</v>
      </c>
      <c r="BB27" s="34">
        <v>0</v>
      </c>
      <c r="BC27" s="34">
        <v>0</v>
      </c>
      <c r="BD27" s="34">
        <v>0</v>
      </c>
      <c r="BE27" s="34">
        <v>0</v>
      </c>
      <c r="BF27" s="34">
        <v>0</v>
      </c>
      <c r="BG27" s="34">
        <v>0</v>
      </c>
      <c r="BH27" s="34">
        <v>0</v>
      </c>
      <c r="BI27" s="34">
        <v>0</v>
      </c>
      <c r="BJ27" s="34">
        <v>0</v>
      </c>
      <c r="BK27" s="34">
        <v>0</v>
      </c>
      <c r="BL27" s="34">
        <v>0</v>
      </c>
      <c r="BM27" s="34">
        <v>0</v>
      </c>
      <c r="BN27" s="34">
        <v>0</v>
      </c>
      <c r="BO27" s="34">
        <v>0</v>
      </c>
      <c r="BP27" s="34">
        <v>0</v>
      </c>
      <c r="BQ27" s="173">
        <v>0</v>
      </c>
      <c r="BR27" s="34">
        <v>0</v>
      </c>
      <c r="BS27" s="34">
        <v>0</v>
      </c>
      <c r="BT27" s="34">
        <v>0</v>
      </c>
      <c r="BU27" s="173">
        <v>0</v>
      </c>
      <c r="BV27" s="34">
        <v>0</v>
      </c>
      <c r="BW27" s="34">
        <v>0</v>
      </c>
      <c r="BX27" s="34">
        <v>0</v>
      </c>
      <c r="BY27" s="173">
        <v>0</v>
      </c>
      <c r="BZ27" s="34">
        <v>0</v>
      </c>
      <c r="CA27" s="34">
        <v>0</v>
      </c>
      <c r="CB27" s="34">
        <v>0</v>
      </c>
      <c r="CC27" s="173">
        <v>0</v>
      </c>
      <c r="CD27" s="34">
        <v>0</v>
      </c>
      <c r="CE27" s="34">
        <v>0</v>
      </c>
      <c r="CF27" s="3271">
        <v>0</v>
      </c>
      <c r="CG27" s="3272">
        <v>0</v>
      </c>
      <c r="CH27" s="3273">
        <v>0</v>
      </c>
      <c r="CI27" s="3273">
        <v>0</v>
      </c>
      <c r="CJ27" s="3273">
        <v>0</v>
      </c>
      <c r="CK27" s="3272">
        <v>0</v>
      </c>
      <c r="CL27" s="3273">
        <v>0</v>
      </c>
      <c r="CM27" s="3273">
        <v>0</v>
      </c>
      <c r="CN27" s="3273">
        <v>0</v>
      </c>
      <c r="CO27" s="3274">
        <v>0</v>
      </c>
      <c r="CP27" s="3275">
        <v>0</v>
      </c>
      <c r="CQ27" s="3273">
        <v>0</v>
      </c>
      <c r="CR27" s="3275">
        <v>0</v>
      </c>
      <c r="CS27" s="3274">
        <v>0</v>
      </c>
      <c r="CT27" s="3275">
        <v>0</v>
      </c>
      <c r="CU27" s="3273">
        <v>0</v>
      </c>
      <c r="CV27" s="3273">
        <v>0</v>
      </c>
      <c r="CW27" s="3272">
        <v>0</v>
      </c>
      <c r="CX27" s="3276">
        <v>0</v>
      </c>
      <c r="CY27" s="3273">
        <v>0</v>
      </c>
      <c r="CZ27" s="3273">
        <v>0</v>
      </c>
      <c r="DA27" s="3272">
        <v>0</v>
      </c>
      <c r="DB27" s="3276">
        <v>0</v>
      </c>
      <c r="DC27" s="3273">
        <v>0</v>
      </c>
      <c r="DD27" s="3273">
        <v>0</v>
      </c>
      <c r="DE27" s="3277">
        <v>0</v>
      </c>
      <c r="DF27" s="3276">
        <v>0</v>
      </c>
      <c r="DG27" s="3273">
        <v>0</v>
      </c>
      <c r="DH27" s="3273">
        <v>0</v>
      </c>
      <c r="DI27" s="3277">
        <v>0</v>
      </c>
      <c r="DJ27" s="3276">
        <v>0</v>
      </c>
      <c r="DK27" s="3273">
        <v>0</v>
      </c>
      <c r="DL27" s="3273">
        <v>0</v>
      </c>
      <c r="DM27" s="3277">
        <v>10246</v>
      </c>
      <c r="DN27" s="3276">
        <v>0</v>
      </c>
      <c r="DO27" s="3273">
        <v>0</v>
      </c>
      <c r="DP27" s="3273">
        <v>0</v>
      </c>
      <c r="DQ27" s="3277">
        <v>0</v>
      </c>
      <c r="DR27" s="3278">
        <v>0</v>
      </c>
      <c r="DS27" s="3278">
        <v>0</v>
      </c>
      <c r="DT27" s="3278">
        <v>0</v>
      </c>
      <c r="DU27" s="3277">
        <v>0</v>
      </c>
      <c r="DV27" s="3278">
        <v>0</v>
      </c>
      <c r="DW27" s="3278">
        <v>0</v>
      </c>
      <c r="DX27" s="3278">
        <v>0</v>
      </c>
      <c r="DY27" s="3277">
        <v>0</v>
      </c>
      <c r="DZ27" s="3278">
        <v>0</v>
      </c>
      <c r="EA27" s="3278">
        <v>0</v>
      </c>
      <c r="EB27" s="3278">
        <v>0</v>
      </c>
      <c r="EC27" s="3277">
        <v>0</v>
      </c>
      <c r="ED27" s="3278">
        <v>0</v>
      </c>
      <c r="EE27" s="3278">
        <v>0</v>
      </c>
      <c r="EF27" s="3278">
        <v>0</v>
      </c>
      <c r="EG27" s="3277">
        <v>0</v>
      </c>
      <c r="EH27" s="3278">
        <v>0</v>
      </c>
      <c r="EI27" s="3278">
        <v>0</v>
      </c>
      <c r="EJ27" s="3278">
        <v>0</v>
      </c>
      <c r="EK27" s="3277">
        <v>0</v>
      </c>
      <c r="EL27" s="3278"/>
      <c r="EM27" s="1484">
        <f>SUM(B27:E27)</f>
      </c>
      <c r="EN27" s="10">
        <f>SUM(F27:I27)</f>
      </c>
      <c r="EO27" s="10">
        <f>SUM(J27:M27)</f>
      </c>
      <c r="EP27" s="10">
        <f>SUM(N27:Q27)</f>
      </c>
      <c r="EQ27" s="10">
        <f>SUM(R27:U27)</f>
      </c>
      <c r="ER27" s="10">
        <f>SUM(V27:Y27)</f>
      </c>
      <c r="ES27" s="10">
        <f>SUM(Z27:AC27)</f>
      </c>
      <c r="ET27" s="10">
        <f>SUM(AD27:AG27)</f>
      </c>
      <c r="EU27" s="10">
        <f>SUM(AH27:AK27)</f>
      </c>
      <c r="EV27" s="10">
        <f>SUM(AL27:AO27)</f>
      </c>
      <c r="EW27" s="10">
        <f>SUM(AP27:AS27)</f>
      </c>
      <c r="EX27" s="10">
        <f>SUM(AT27:AW27)</f>
      </c>
      <c r="EY27" s="10">
        <f>SUM(AX27:BA27)</f>
      </c>
      <c r="EZ27" s="10">
        <f>SUM(BB27:BE27)</f>
      </c>
      <c r="FA27" s="10">
        <f>SUM(BF27:BI27)</f>
      </c>
      <c r="FB27" s="10">
        <f>SUM(BJ27:BM27)</f>
      </c>
      <c r="FC27" s="10">
        <f>SUM(BN27:BQ27)</f>
      </c>
      <c r="FD27" s="10">
        <f>SUM(BR27:BU27)</f>
      </c>
      <c r="FE27" s="10">
        <f>SUM(BV27:BY27)</f>
      </c>
      <c r="FF27" s="10">
        <f>SUM(BZ27:CC27)</f>
      </c>
      <c r="FG27" s="10">
        <f>SUM(CD27:CG27)</f>
      </c>
      <c r="FH27" s="10">
        <f>SUM(CH27:CK27)</f>
      </c>
      <c r="FI27" s="10">
        <f>SUM(CL27:CO27)</f>
      </c>
      <c r="FJ27" s="10">
        <f>SUM(CP27:CS27)</f>
      </c>
      <c r="FK27" s="10">
        <f>SUM(CT27:CW27)</f>
      </c>
      <c r="FL27" s="1484">
        <f>SUM(CX27:DA27)</f>
      </c>
      <c r="FM27" s="10">
        <f>SUM(DB27:DE27)</f>
      </c>
      <c r="FN27" s="10">
        <f>SUM(DF27:DI27)</f>
      </c>
      <c r="FO27" s="10">
        <f>SUM(DJ27:DM27)</f>
      </c>
      <c r="FP27" s="10">
        <f>SUM(DN27:DQ27)</f>
      </c>
      <c r="FQ27" s="10">
        <f>SUM(DR27:DU27)</f>
      </c>
      <c r="FR27" s="10">
        <f>SUM(DV27:DY27)</f>
      </c>
      <c r="FS27" s="10">
        <f>SUM(DZ27:EC27)</f>
      </c>
      <c r="FT27" s="10">
        <f>SUM(ED27:EG27)</f>
      </c>
      <c r="FU27" s="55">
        <f>SUM(EH27:EK27)</f>
      </c>
      <c r="FV27" s="62"/>
      <c r="FW27" s="10">
        <f>SUM(C27:F27)</f>
      </c>
      <c r="FX27" s="10">
        <f>SUM(G27:J27)</f>
      </c>
      <c r="FY27" s="10">
        <f>SUM(K27:N27)</f>
      </c>
      <c r="FZ27" s="10">
        <f>SUM(O27:R27)</f>
      </c>
      <c r="GA27" s="10">
        <f>SUM(S27:V27)</f>
      </c>
      <c r="GB27" s="10">
        <f>SUM(W27:Z27)</f>
      </c>
      <c r="GC27" s="10">
        <f>SUM(AA27:AD27)</f>
      </c>
      <c r="GD27" s="10">
        <f>SUM(AE27:AH27)</f>
      </c>
      <c r="GE27" s="10">
        <f>SUM(AI27:AL27)</f>
      </c>
      <c r="GF27" s="10">
        <f>SUM(AM27:AP27)</f>
      </c>
      <c r="GG27" s="10">
        <f>SUM(AQ27:AT27)</f>
      </c>
      <c r="GH27" s="10">
        <f>SUM(AU27:AX27)</f>
      </c>
      <c r="GI27" s="10">
        <f>SUM(AY27:BB27)</f>
      </c>
      <c r="GJ27" s="10">
        <f>SUM(BC27:BF27)</f>
      </c>
      <c r="GK27" s="10">
        <f>SUM(BG27:BJ27)</f>
      </c>
      <c r="GL27" s="10">
        <f>SUM(BK27:BN27)</f>
      </c>
      <c r="GM27" s="10">
        <f>SUM(BO27:BR27)</f>
      </c>
      <c r="GN27" s="10">
        <f>SUM(BS27:BV27)</f>
      </c>
      <c r="GO27" s="10">
        <f>SUM(BW27:BZ27)</f>
      </c>
      <c r="GP27" s="10">
        <f>SUM(CA27:CD27)</f>
      </c>
      <c r="GQ27" s="10">
        <f>SUM(CE27:CH27)</f>
      </c>
      <c r="GR27" s="10">
        <f>SUM(CI27:CL27)</f>
      </c>
      <c r="GS27" s="10">
        <f>SUM(CM27:CP27)</f>
      </c>
      <c r="GT27" s="10">
        <f>SUM(CQ27:CT27)</f>
      </c>
      <c r="GU27" s="10">
        <f>SUM(CU27:CX27)</f>
      </c>
      <c r="GV27" s="10">
        <f>SUM(CY27:DB27)</f>
      </c>
      <c r="GW27" s="10">
        <f>SUM(DC27:DF27)</f>
      </c>
      <c r="GX27" s="10">
        <f>SUM(DG27:DJ27)</f>
      </c>
      <c r="GY27" s="10">
        <f>SUM(DK27:DN27)</f>
      </c>
      <c r="GZ27" s="10">
        <f>SUM(DO27:DR27)</f>
      </c>
      <c r="HA27" s="10">
        <f>SUM(DS27:DV27)</f>
      </c>
      <c r="HB27" s="10">
        <f>SUM(DW27:DZ27)</f>
      </c>
      <c r="HC27" s="10">
        <f>SUM(EA27:ED27)</f>
      </c>
      <c r="HD27" s="10">
        <f>SUM(EE27:EH27)</f>
      </c>
    </row>
    <row r="28" spans="1:212" ht="10.8" thickBot="1">
      <c r="A28" s="1960" t="s">
        <v>80</v>
      </c>
      <c r="B28" s="1206">
        <f t="shared" ref="B28:AG28" si="212">+B26-B27</f>
      </c>
      <c r="C28" s="1206">
        <f t="shared" si="212"/>
      </c>
      <c r="D28" s="1206">
        <f t="shared" si="212"/>
      </c>
      <c r="E28" s="1961">
        <f t="shared" si="212"/>
      </c>
      <c r="F28" s="1206">
        <f t="shared" si="212"/>
      </c>
      <c r="G28" s="1206">
        <f t="shared" si="212"/>
      </c>
      <c r="H28" s="1206">
        <f t="shared" si="212"/>
      </c>
      <c r="I28" s="1206">
        <f t="shared" si="212"/>
      </c>
      <c r="J28" s="1206">
        <f t="shared" si="212"/>
      </c>
      <c r="K28" s="1206">
        <f t="shared" si="212"/>
      </c>
      <c r="L28" s="1206">
        <f t="shared" si="212"/>
      </c>
      <c r="M28" s="1206">
        <f t="shared" si="212"/>
      </c>
      <c r="N28" s="1206">
        <f t="shared" si="212"/>
      </c>
      <c r="O28" s="1206">
        <f t="shared" si="212"/>
      </c>
      <c r="P28" s="1206">
        <f t="shared" si="212"/>
      </c>
      <c r="Q28" s="1206">
        <f t="shared" si="212"/>
      </c>
      <c r="R28" s="1206">
        <f t="shared" si="212"/>
      </c>
      <c r="S28" s="1206">
        <f t="shared" si="212"/>
      </c>
      <c r="T28" s="1206">
        <f t="shared" si="212"/>
      </c>
      <c r="U28" s="1206">
        <f t="shared" si="212"/>
      </c>
      <c r="V28" s="1206">
        <f t="shared" si="212"/>
      </c>
      <c r="W28" s="1206">
        <f t="shared" si="212"/>
      </c>
      <c r="X28" s="1206">
        <f t="shared" si="212"/>
      </c>
      <c r="Y28" s="1206">
        <f t="shared" si="212"/>
      </c>
      <c r="Z28" s="1206">
        <f t="shared" si="212"/>
      </c>
      <c r="AA28" s="1206">
        <f t="shared" si="212"/>
      </c>
      <c r="AB28" s="1206">
        <f t="shared" si="212"/>
      </c>
      <c r="AC28" s="1206">
        <f t="shared" si="212"/>
      </c>
      <c r="AD28" s="1206">
        <f t="shared" si="212"/>
      </c>
      <c r="AE28" s="1206">
        <f t="shared" si="212"/>
      </c>
      <c r="AF28" s="1206">
        <f t="shared" si="212"/>
      </c>
      <c r="AG28" s="1206">
        <f t="shared" si="212"/>
      </c>
      <c r="AH28" s="1206">
        <f t="shared" ref="AH28:BM28" si="213">+AH26-AH27</f>
      </c>
      <c r="AI28" s="1206">
        <f t="shared" si="213"/>
      </c>
      <c r="AJ28" s="1206">
        <f t="shared" si="213"/>
      </c>
      <c r="AK28" s="1206">
        <f t="shared" si="213"/>
      </c>
      <c r="AL28" s="1206">
        <f t="shared" si="213"/>
      </c>
      <c r="AM28" s="1206">
        <f t="shared" si="213"/>
      </c>
      <c r="AN28" s="1206">
        <f t="shared" si="213"/>
      </c>
      <c r="AO28" s="1206">
        <f t="shared" si="213"/>
      </c>
      <c r="AP28" s="1206">
        <f t="shared" si="213"/>
      </c>
      <c r="AQ28" s="1206">
        <f t="shared" si="213"/>
      </c>
      <c r="AR28" s="1206">
        <f t="shared" si="213"/>
      </c>
      <c r="AS28" s="1206">
        <f t="shared" si="213"/>
      </c>
      <c r="AT28" s="1206">
        <f t="shared" si="213"/>
      </c>
      <c r="AU28" s="1206">
        <f t="shared" si="213"/>
      </c>
      <c r="AV28" s="1206">
        <f t="shared" si="213"/>
      </c>
      <c r="AW28" s="1206">
        <f t="shared" si="213"/>
      </c>
      <c r="AX28" s="1206">
        <f t="shared" si="213"/>
      </c>
      <c r="AY28" s="1206">
        <f t="shared" si="213"/>
      </c>
      <c r="AZ28" s="1206">
        <f t="shared" si="213"/>
      </c>
      <c r="BA28" s="1206">
        <f t="shared" si="213"/>
      </c>
      <c r="BB28" s="1206">
        <f t="shared" si="213"/>
      </c>
      <c r="BC28" s="1206">
        <f t="shared" si="213"/>
      </c>
      <c r="BD28" s="1206">
        <f t="shared" si="213"/>
      </c>
      <c r="BE28" s="1206">
        <f t="shared" si="213"/>
      </c>
      <c r="BF28" s="1206">
        <f t="shared" si="213"/>
      </c>
      <c r="BG28" s="1206">
        <f t="shared" si="213"/>
      </c>
      <c r="BH28" s="1206">
        <f t="shared" si="213"/>
      </c>
      <c r="BI28" s="1206">
        <f t="shared" si="213"/>
      </c>
      <c r="BJ28" s="1206">
        <f t="shared" si="213"/>
      </c>
      <c r="BK28" s="1206">
        <f t="shared" si="213"/>
      </c>
      <c r="BL28" s="1206">
        <f t="shared" si="213"/>
      </c>
      <c r="BM28" s="1206">
        <f t="shared" si="213"/>
      </c>
      <c r="BN28" s="1206">
        <f t="shared" ref="BN28:CS28" si="214">+BN26-BN27</f>
      </c>
      <c r="BO28" s="1206">
        <f t="shared" si="214"/>
      </c>
      <c r="BP28" s="1206">
        <f t="shared" si="214"/>
      </c>
      <c r="BQ28" s="1207">
        <f t="shared" si="214"/>
      </c>
      <c r="BR28" s="1206">
        <f t="shared" si="214"/>
      </c>
      <c r="BS28" s="1206">
        <f t="shared" si="214"/>
      </c>
      <c r="BT28" s="1206">
        <f t="shared" si="214"/>
      </c>
      <c r="BU28" s="1207">
        <f t="shared" si="214"/>
      </c>
      <c r="BV28" s="1206">
        <f t="shared" si="214"/>
      </c>
      <c r="BW28" s="1206">
        <f t="shared" si="214"/>
      </c>
      <c r="BX28" s="1206">
        <f t="shared" si="214"/>
      </c>
      <c r="BY28" s="1207">
        <f t="shared" si="214"/>
      </c>
      <c r="BZ28" s="1206">
        <f t="shared" si="214"/>
      </c>
      <c r="CA28" s="1206">
        <f t="shared" si="214"/>
      </c>
      <c r="CB28" s="1206">
        <f t="shared" si="214"/>
      </c>
      <c r="CC28" s="1207">
        <f t="shared" si="214"/>
      </c>
      <c r="CD28" s="1206">
        <f t="shared" si="214"/>
      </c>
      <c r="CE28" s="1206">
        <f t="shared" si="214"/>
      </c>
      <c r="CF28" s="1206">
        <f t="shared" si="214"/>
      </c>
      <c r="CG28" s="1207">
        <f t="shared" si="214"/>
      </c>
      <c r="CH28" s="1206">
        <f t="shared" si="214"/>
      </c>
      <c r="CI28" s="1206">
        <f t="shared" si="214"/>
      </c>
      <c r="CJ28" s="1206">
        <f t="shared" si="214"/>
      </c>
      <c r="CK28" s="1207">
        <f t="shared" si="214"/>
      </c>
      <c r="CL28" s="1206">
        <f t="shared" si="214"/>
      </c>
      <c r="CM28" s="1206">
        <f t="shared" si="214"/>
      </c>
      <c r="CN28" s="1206">
        <f t="shared" si="214"/>
      </c>
      <c r="CO28" s="1207">
        <f t="shared" si="214"/>
      </c>
      <c r="CP28" s="1206">
        <f t="shared" si="214"/>
      </c>
      <c r="CQ28" s="1206">
        <f t="shared" si="214"/>
      </c>
      <c r="CR28" s="1206">
        <f t="shared" si="214"/>
      </c>
      <c r="CS28" s="1207">
        <f t="shared" si="214"/>
      </c>
      <c r="CT28" s="1206">
        <f t="shared" ref="CT28:DU28" si="215">+CT26-CT27</f>
      </c>
      <c r="CU28" s="1206">
        <f t="shared" si="215"/>
      </c>
      <c r="CV28" s="1206">
        <f t="shared" si="215"/>
      </c>
      <c r="CW28" s="1207">
        <f t="shared" si="215"/>
      </c>
      <c r="CX28" s="1208">
        <f t="shared" si="215"/>
      </c>
      <c r="CY28" s="1206">
        <f t="shared" si="215"/>
      </c>
      <c r="CZ28" s="1206">
        <f t="shared" si="215"/>
      </c>
      <c r="DA28" s="1207">
        <f t="shared" si="215"/>
      </c>
      <c r="DB28" s="1208">
        <f t="shared" si="215"/>
      </c>
      <c r="DC28" s="1206">
        <f t="shared" si="215"/>
      </c>
      <c r="DD28" s="1206">
        <f t="shared" si="215"/>
      </c>
      <c r="DE28" s="1207">
        <f t="shared" si="215"/>
      </c>
      <c r="DF28" s="1208">
        <f t="shared" ref="DF28" si="216">+DF26-DF27</f>
      </c>
      <c r="DG28" s="1206">
        <f t="shared" si="215"/>
      </c>
      <c r="DH28" s="1206">
        <f>+DH26-DH27</f>
      </c>
      <c r="DI28" s="1207">
        <f t="shared" si="215"/>
      </c>
      <c r="DJ28" s="1208">
        <f t="shared" si="215"/>
      </c>
      <c r="DK28" s="1206">
        <f t="shared" ref="DK28" si="217">+DK26-DK27</f>
      </c>
      <c r="DL28" s="1206">
        <f>+DL26-DL27</f>
      </c>
      <c r="DM28" s="1207">
        <f t="shared" ref="DM28:DO28" si="218">+DM26-DM27</f>
      </c>
      <c r="DN28" s="1208">
        <f t="shared" si="218"/>
      </c>
      <c r="DO28" s="1206">
        <f t="shared" si="218"/>
      </c>
      <c r="DP28" s="1206">
        <f>+DP26-DP27</f>
      </c>
      <c r="DQ28" s="1207">
        <f t="shared" si="215"/>
      </c>
      <c r="DR28" s="1206">
        <f t="shared" si="215"/>
      </c>
      <c r="DS28" s="1206">
        <f t="shared" si="215"/>
      </c>
      <c r="DT28" s="1206">
        <f t="shared" si="215"/>
      </c>
      <c r="DU28" s="1207">
        <f t="shared" si="215"/>
      </c>
      <c r="DV28" s="1206">
        <f t="shared" ref="DV28:EK28" si="219">+DV26-DV27</f>
      </c>
      <c r="DW28" s="1206">
        <f t="shared" si="219"/>
      </c>
      <c r="DX28" s="1206">
        <f t="shared" si="219"/>
      </c>
      <c r="DY28" s="1207">
        <f t="shared" si="219"/>
      </c>
      <c r="DZ28" s="1206">
        <f t="shared" si="219"/>
      </c>
      <c r="EA28" s="1206">
        <f t="shared" si="219"/>
      </c>
      <c r="EB28" s="1206">
        <f t="shared" si="219"/>
      </c>
      <c r="EC28" s="1207">
        <f t="shared" si="219"/>
      </c>
      <c r="ED28" s="1206">
        <f t="shared" si="219"/>
      </c>
      <c r="EE28" s="1206">
        <f t="shared" si="219"/>
      </c>
      <c r="EF28" s="1206">
        <f t="shared" si="219"/>
      </c>
      <c r="EG28" s="1207">
        <f t="shared" si="219"/>
      </c>
      <c r="EH28" s="1206">
        <f t="shared" si="219"/>
      </c>
      <c r="EI28" s="1206">
        <f t="shared" si="219"/>
      </c>
      <c r="EJ28" s="1206">
        <f t="shared" si="219"/>
      </c>
      <c r="EK28" s="1207">
        <f t="shared" si="219"/>
      </c>
      <c r="EL28" s="62"/>
      <c r="EM28" s="1962">
        <f t="shared" ref="EM28:FQ28" si="220">+EM26-EM27</f>
      </c>
      <c r="EN28" s="1963">
        <f t="shared" si="220"/>
      </c>
      <c r="EO28" s="1963">
        <f t="shared" si="220"/>
      </c>
      <c r="EP28" s="1963">
        <f t="shared" si="220"/>
      </c>
      <c r="EQ28" s="1963">
        <f t="shared" si="220"/>
      </c>
      <c r="ER28" s="1963">
        <f t="shared" si="220"/>
      </c>
      <c r="ES28" s="1963">
        <f t="shared" si="220"/>
      </c>
      <c r="ET28" s="1963">
        <f t="shared" si="220"/>
      </c>
      <c r="EU28" s="1963">
        <f t="shared" si="220"/>
      </c>
      <c r="EV28" s="1963">
        <f t="shared" si="220"/>
      </c>
      <c r="EW28" s="1963">
        <f t="shared" si="220"/>
      </c>
      <c r="EX28" s="1963">
        <f t="shared" si="220"/>
      </c>
      <c r="EY28" s="1963">
        <f t="shared" si="220"/>
      </c>
      <c r="EZ28" s="1963">
        <f t="shared" si="220"/>
      </c>
      <c r="FA28" s="1963">
        <f t="shared" si="220"/>
      </c>
      <c r="FB28" s="1963">
        <f t="shared" si="220"/>
      </c>
      <c r="FC28" s="1963">
        <f t="shared" si="220"/>
      </c>
      <c r="FD28" s="1963">
        <f t="shared" si="220"/>
      </c>
      <c r="FE28" s="1963">
        <f t="shared" si="220"/>
      </c>
      <c r="FF28" s="1963">
        <f t="shared" si="220"/>
      </c>
      <c r="FG28" s="1963">
        <f t="shared" si="220"/>
      </c>
      <c r="FH28" s="1963">
        <f t="shared" si="220"/>
      </c>
      <c r="FI28" s="1963">
        <f t="shared" si="220"/>
      </c>
      <c r="FJ28" s="1963">
        <f t="shared" si="220"/>
      </c>
      <c r="FK28" s="1963">
        <f t="shared" si="220"/>
      </c>
      <c r="FL28" s="1962">
        <f t="shared" si="220"/>
      </c>
      <c r="FM28" s="1963">
        <f t="shared" si="220"/>
      </c>
      <c r="FN28" s="1963">
        <f t="shared" si="220"/>
      </c>
      <c r="FO28" s="1963">
        <f t="shared" si="220"/>
      </c>
      <c r="FP28" s="1963">
        <f t="shared" si="220"/>
      </c>
      <c r="FQ28" s="1963">
        <f t="shared" si="220"/>
      </c>
      <c r="FR28" s="1963">
        <f t="shared" ref="FR28:FU28" si="221">+FR26-FR27</f>
      </c>
      <c r="FS28" s="1963">
        <f t="shared" si="221"/>
      </c>
      <c r="FT28" s="1963">
        <f t="shared" si="221"/>
      </c>
      <c r="FU28" s="2886">
        <f t="shared" si="221"/>
      </c>
      <c r="FV28" s="62"/>
      <c r="FW28" s="1963">
        <f t="shared" ref="FW28:GT28" si="222">+FW26-FW27</f>
      </c>
      <c r="FX28" s="1963">
        <f t="shared" si="222"/>
      </c>
      <c r="FY28" s="1963">
        <f t="shared" si="222"/>
      </c>
      <c r="FZ28" s="1963">
        <f t="shared" si="222"/>
      </c>
      <c r="GA28" s="1963">
        <f t="shared" si="222"/>
      </c>
      <c r="GB28" s="1963">
        <f t="shared" si="222"/>
      </c>
      <c r="GC28" s="1963">
        <f t="shared" si="222"/>
      </c>
      <c r="GD28" s="1963">
        <f t="shared" si="222"/>
      </c>
      <c r="GE28" s="1963">
        <f t="shared" si="222"/>
      </c>
      <c r="GF28" s="1963">
        <f t="shared" si="222"/>
      </c>
      <c r="GG28" s="1963">
        <f t="shared" si="222"/>
      </c>
      <c r="GH28" s="1963">
        <f t="shared" si="222"/>
      </c>
      <c r="GI28" s="1963">
        <f t="shared" si="222"/>
      </c>
      <c r="GJ28" s="1963">
        <f t="shared" si="222"/>
      </c>
      <c r="GK28" s="1963">
        <f t="shared" si="222"/>
      </c>
      <c r="GL28" s="1963">
        <f t="shared" si="222"/>
      </c>
      <c r="GM28" s="1963">
        <f t="shared" si="222"/>
      </c>
      <c r="GN28" s="1963">
        <f t="shared" si="222"/>
      </c>
      <c r="GO28" s="1963">
        <f t="shared" si="222"/>
      </c>
      <c r="GP28" s="1963">
        <f t="shared" si="222"/>
      </c>
      <c r="GQ28" s="1963">
        <f t="shared" si="222"/>
      </c>
      <c r="GR28" s="1963">
        <f t="shared" si="222"/>
      </c>
      <c r="GS28" s="1963">
        <f t="shared" si="222"/>
      </c>
      <c r="GT28" s="1963">
        <f t="shared" si="222"/>
      </c>
      <c r="GU28" s="1963">
        <f>SUM(CU28:CX28)</f>
      </c>
      <c r="GV28" s="1963">
        <f>SUM(CY28:DB28)</f>
      </c>
      <c r="GW28" s="1963">
        <f>SUM(DC28:DF28)</f>
      </c>
      <c r="GX28" s="1963">
        <f>SUM(DG28:DJ28)</f>
      </c>
      <c r="GY28" s="1963">
        <f>SUM(DK28:DN28)</f>
      </c>
      <c r="GZ28" s="1963">
        <f>SUM(DO28:DR28)</f>
      </c>
      <c r="HA28" s="1963">
        <f>SUM(DS28:DV28)</f>
      </c>
      <c r="HB28" s="1963">
        <f>SUM(DW28:DZ28)</f>
      </c>
      <c r="HC28" s="1963">
        <f>SUM(EA28:ED28)</f>
      </c>
      <c r="HD28" s="1963">
        <f>SUM(EE28:EH28)</f>
      </c>
    </row>
    <row r="29" spans="1:212" s="585" customFormat="1" ht="10.8" thickTop="1">
      <c r="A29" s="1983" t="s">
        <v>1150</v>
      </c>
      <c r="B29" s="1984">
        <f t="shared" ref="B29:AG29" si="223">B26/B33</f>
      </c>
      <c r="C29" s="1984">
        <f t="shared" si="223"/>
      </c>
      <c r="D29" s="1984">
        <f t="shared" si="223"/>
      </c>
      <c r="E29" s="1985">
        <f t="shared" si="223"/>
      </c>
      <c r="F29" s="1984">
        <f t="shared" si="223"/>
      </c>
      <c r="G29" s="1984">
        <f t="shared" si="223"/>
      </c>
      <c r="H29" s="1984">
        <f t="shared" si="223"/>
      </c>
      <c r="I29" s="1984">
        <f t="shared" si="223"/>
      </c>
      <c r="J29" s="1984">
        <f t="shared" si="223"/>
      </c>
      <c r="K29" s="1984">
        <f t="shared" si="223"/>
      </c>
      <c r="L29" s="1984">
        <f t="shared" si="223"/>
      </c>
      <c r="M29" s="1984">
        <f t="shared" si="223"/>
      </c>
      <c r="N29" s="1984">
        <f t="shared" si="223"/>
      </c>
      <c r="O29" s="1984">
        <f t="shared" si="223"/>
      </c>
      <c r="P29" s="1984">
        <f t="shared" si="223"/>
      </c>
      <c r="Q29" s="1984">
        <f t="shared" si="223"/>
      </c>
      <c r="R29" s="1984">
        <f t="shared" si="223"/>
      </c>
      <c r="S29" s="1984">
        <f t="shared" si="223"/>
      </c>
      <c r="T29" s="1984">
        <f t="shared" si="223"/>
      </c>
      <c r="U29" s="1984">
        <f t="shared" si="223"/>
      </c>
      <c r="V29" s="1984">
        <f t="shared" si="223"/>
      </c>
      <c r="W29" s="1984">
        <f t="shared" si="223"/>
      </c>
      <c r="X29" s="1984">
        <f t="shared" si="223"/>
      </c>
      <c r="Y29" s="1984">
        <f t="shared" si="223"/>
      </c>
      <c r="Z29" s="1984">
        <f t="shared" si="223"/>
      </c>
      <c r="AA29" s="1984">
        <f t="shared" si="223"/>
      </c>
      <c r="AB29" s="1984">
        <f t="shared" si="223"/>
      </c>
      <c r="AC29" s="1984">
        <f t="shared" si="223"/>
      </c>
      <c r="AD29" s="1984">
        <f t="shared" si="223"/>
      </c>
      <c r="AE29" s="1984">
        <f t="shared" si="223"/>
      </c>
      <c r="AF29" s="1984">
        <f t="shared" si="223"/>
      </c>
      <c r="AG29" s="1984">
        <f t="shared" si="223"/>
      </c>
      <c r="AH29" s="1984">
        <f t="shared" ref="AH29:BM29" si="224">AH26/AH33</f>
      </c>
      <c r="AI29" s="1984">
        <f t="shared" si="224"/>
      </c>
      <c r="AJ29" s="1984">
        <f t="shared" si="224"/>
      </c>
      <c r="AK29" s="1984">
        <f t="shared" si="224"/>
      </c>
      <c r="AL29" s="1984">
        <f t="shared" si="224"/>
      </c>
      <c r="AM29" s="1984">
        <f t="shared" si="224"/>
      </c>
      <c r="AN29" s="1984">
        <f t="shared" si="224"/>
      </c>
      <c r="AO29" s="1984">
        <f t="shared" si="224"/>
      </c>
      <c r="AP29" s="1984">
        <f t="shared" si="224"/>
      </c>
      <c r="AQ29" s="1984">
        <f t="shared" si="224"/>
      </c>
      <c r="AR29" s="1984">
        <f t="shared" si="224"/>
      </c>
      <c r="AS29" s="1984">
        <f t="shared" si="224"/>
      </c>
      <c r="AT29" s="1984">
        <f t="shared" si="224"/>
      </c>
      <c r="AU29" s="1984">
        <f t="shared" si="224"/>
      </c>
      <c r="AV29" s="1984">
        <f t="shared" si="224"/>
      </c>
      <c r="AW29" s="1984">
        <f t="shared" si="224"/>
      </c>
      <c r="AX29" s="1984">
        <f t="shared" si="224"/>
      </c>
      <c r="AY29" s="1984">
        <f t="shared" si="224"/>
      </c>
      <c r="AZ29" s="1984">
        <f t="shared" si="224"/>
      </c>
      <c r="BA29" s="1984">
        <f t="shared" si="224"/>
      </c>
      <c r="BB29" s="1984">
        <f t="shared" si="224"/>
      </c>
      <c r="BC29" s="1984">
        <f t="shared" si="224"/>
      </c>
      <c r="BD29" s="1984">
        <f t="shared" si="224"/>
      </c>
      <c r="BE29" s="1984">
        <f t="shared" si="224"/>
      </c>
      <c r="BF29" s="1984">
        <f t="shared" si="224"/>
      </c>
      <c r="BG29" s="1984">
        <f t="shared" si="224"/>
      </c>
      <c r="BH29" s="1984">
        <f t="shared" si="224"/>
      </c>
      <c r="BI29" s="1984">
        <f t="shared" si="224"/>
      </c>
      <c r="BJ29" s="1984">
        <f t="shared" si="224"/>
      </c>
      <c r="BK29" s="1984">
        <f t="shared" si="224"/>
      </c>
      <c r="BL29" s="1984">
        <f t="shared" si="224"/>
      </c>
      <c r="BM29" s="1984">
        <f t="shared" si="224"/>
      </c>
      <c r="BN29" s="1984">
        <f t="shared" ref="BN29:CS29" si="225">BN26/BN33</f>
      </c>
      <c r="BO29" s="1984">
        <f t="shared" si="225"/>
      </c>
      <c r="BP29" s="1984">
        <f t="shared" si="225"/>
      </c>
      <c r="BQ29" s="1986">
        <f t="shared" si="225"/>
      </c>
      <c r="BR29" s="1984">
        <f t="shared" si="225"/>
      </c>
      <c r="BS29" s="1984">
        <f t="shared" si="225"/>
      </c>
      <c r="BT29" s="1984">
        <f t="shared" si="225"/>
      </c>
      <c r="BU29" s="1986">
        <f t="shared" si="225"/>
      </c>
      <c r="BV29" s="1984">
        <f t="shared" si="225"/>
      </c>
      <c r="BW29" s="1984">
        <f t="shared" si="225"/>
      </c>
      <c r="BX29" s="1984">
        <f t="shared" si="225"/>
      </c>
      <c r="BY29" s="1986">
        <f t="shared" si="225"/>
      </c>
      <c r="BZ29" s="1984">
        <f t="shared" si="225"/>
      </c>
      <c r="CA29" s="1984">
        <f t="shared" si="225"/>
      </c>
      <c r="CB29" s="1984">
        <f t="shared" si="225"/>
      </c>
      <c r="CC29" s="1986">
        <f t="shared" si="225"/>
      </c>
      <c r="CD29" s="1984">
        <f t="shared" si="225"/>
      </c>
      <c r="CE29" s="1984">
        <f t="shared" si="225"/>
      </c>
      <c r="CF29" s="1984">
        <f t="shared" si="225"/>
      </c>
      <c r="CG29" s="1986">
        <f t="shared" si="225"/>
      </c>
      <c r="CH29" s="1984">
        <f t="shared" si="225"/>
      </c>
      <c r="CI29" s="1984">
        <f t="shared" si="225"/>
      </c>
      <c r="CJ29" s="1984">
        <f t="shared" si="225"/>
      </c>
      <c r="CK29" s="1986">
        <f t="shared" si="225"/>
      </c>
      <c r="CL29" s="1984">
        <f t="shared" si="225"/>
      </c>
      <c r="CM29" s="1984">
        <f t="shared" si="225"/>
      </c>
      <c r="CN29" s="1984">
        <f t="shared" si="225"/>
      </c>
      <c r="CO29" s="1986">
        <f t="shared" si="225"/>
      </c>
      <c r="CP29" s="1984">
        <f t="shared" si="225"/>
      </c>
      <c r="CQ29" s="1984">
        <f t="shared" si="225"/>
      </c>
      <c r="CR29" s="1984">
        <f t="shared" si="225"/>
      </c>
      <c r="CS29" s="1986">
        <f t="shared" si="225"/>
      </c>
      <c r="CT29" s="1984">
        <f t="shared" ref="CT29:DU29" si="226">CT26/CT33</f>
      </c>
      <c r="CU29" s="1984">
        <f t="shared" si="226"/>
      </c>
      <c r="CV29" s="1984">
        <f t="shared" si="226"/>
      </c>
      <c r="CW29" s="1986">
        <f t="shared" si="226"/>
      </c>
      <c r="CX29" s="1989">
        <f t="shared" si="226"/>
      </c>
      <c r="CY29" s="1984">
        <f t="shared" si="226"/>
      </c>
      <c r="CZ29" s="1984">
        <f t="shared" si="226"/>
      </c>
      <c r="DA29" s="1986">
        <f t="shared" si="226"/>
      </c>
      <c r="DB29" s="1989">
        <f t="shared" si="226"/>
      </c>
      <c r="DC29" s="1984">
        <f t="shared" si="226"/>
      </c>
      <c r="DD29" s="1984">
        <f t="shared" si="226"/>
      </c>
      <c r="DE29" s="1986">
        <f t="shared" si="226"/>
      </c>
      <c r="DF29" s="1989">
        <f t="shared" ref="DF29" si="227">DF26/DF33</f>
      </c>
      <c r="DG29" s="1984">
        <f t="shared" si="226"/>
      </c>
      <c r="DH29" s="1984">
        <f t="shared" si="226"/>
      </c>
      <c r="DI29" s="1986">
        <f t="shared" si="226"/>
      </c>
      <c r="DJ29" s="1989">
        <f t="shared" si="226"/>
      </c>
      <c r="DK29" s="1984">
        <f t="shared" ref="DK29:DN29" si="228">DK26/DK33</f>
      </c>
      <c r="DL29" s="1984">
        <f t="shared" si="228"/>
      </c>
      <c r="DM29" s="1986">
        <f t="shared" si="228"/>
      </c>
      <c r="DN29" s="1989">
        <f t="shared" si="228"/>
      </c>
      <c r="DO29" s="1984">
        <f t="shared" ref="DO29:DP29" si="229">DO26/DO33</f>
      </c>
      <c r="DP29" s="1984">
        <f t="shared" si="229"/>
      </c>
      <c r="DQ29" s="1986">
        <f t="shared" si="226"/>
      </c>
      <c r="DR29" s="1984">
        <f t="shared" si="226"/>
      </c>
      <c r="DS29" s="1984">
        <f t="shared" si="226"/>
      </c>
      <c r="DT29" s="1984">
        <f t="shared" si="226"/>
      </c>
      <c r="DU29" s="1986">
        <f t="shared" si="226"/>
      </c>
      <c r="DV29" s="1984">
        <f t="shared" ref="DV29:EK29" si="230">DV26/DV33</f>
      </c>
      <c r="DW29" s="1984">
        <f t="shared" si="230"/>
      </c>
      <c r="DX29" s="1984">
        <f t="shared" si="230"/>
      </c>
      <c r="DY29" s="1986">
        <f t="shared" si="230"/>
      </c>
      <c r="DZ29" s="1984">
        <f t="shared" si="230"/>
      </c>
      <c r="EA29" s="1984">
        <f t="shared" si="230"/>
      </c>
      <c r="EB29" s="1984">
        <f t="shared" si="230"/>
      </c>
      <c r="EC29" s="1986">
        <f t="shared" si="230"/>
      </c>
      <c r="ED29" s="1984">
        <f t="shared" si="230"/>
      </c>
      <c r="EE29" s="1984">
        <f t="shared" si="230"/>
      </c>
      <c r="EF29" s="1984">
        <f t="shared" si="230"/>
      </c>
      <c r="EG29" s="1986">
        <f t="shared" si="230"/>
      </c>
      <c r="EH29" s="1984">
        <f t="shared" si="230"/>
      </c>
      <c r="EI29" s="1984">
        <f t="shared" si="230"/>
      </c>
      <c r="EJ29" s="1984">
        <f t="shared" si="230"/>
      </c>
      <c r="EK29" s="1986">
        <f t="shared" si="230"/>
      </c>
      <c r="EL29" s="372"/>
      <c r="EM29" s="1987">
        <f t="shared" ref="EM29:FQ29" si="231">EM26/EM33</f>
      </c>
      <c r="EN29" s="1988">
        <f t="shared" si="231"/>
      </c>
      <c r="EO29" s="1988">
        <f t="shared" si="231"/>
      </c>
      <c r="EP29" s="1988">
        <f t="shared" si="231"/>
      </c>
      <c r="EQ29" s="1988">
        <f t="shared" si="231"/>
      </c>
      <c r="ER29" s="1988">
        <f t="shared" si="231"/>
      </c>
      <c r="ES29" s="1988">
        <f t="shared" si="231"/>
      </c>
      <c r="ET29" s="1988">
        <f t="shared" si="231"/>
      </c>
      <c r="EU29" s="1988">
        <f t="shared" si="231"/>
      </c>
      <c r="EV29" s="1988">
        <f t="shared" si="231"/>
      </c>
      <c r="EW29" s="1988">
        <f t="shared" si="231"/>
      </c>
      <c r="EX29" s="1988">
        <f t="shared" si="231"/>
      </c>
      <c r="EY29" s="1988">
        <f t="shared" si="231"/>
      </c>
      <c r="EZ29" s="1988">
        <f t="shared" si="231"/>
      </c>
      <c r="FA29" s="1988">
        <f t="shared" si="231"/>
      </c>
      <c r="FB29" s="1988">
        <f t="shared" si="231"/>
      </c>
      <c r="FC29" s="1988">
        <f t="shared" si="231"/>
      </c>
      <c r="FD29" s="1988">
        <f t="shared" si="231"/>
      </c>
      <c r="FE29" s="1988">
        <f t="shared" si="231"/>
      </c>
      <c r="FF29" s="1988">
        <f t="shared" si="231"/>
      </c>
      <c r="FG29" s="1988">
        <f t="shared" si="231"/>
      </c>
      <c r="FH29" s="1988">
        <f t="shared" si="231"/>
      </c>
      <c r="FI29" s="1988">
        <f t="shared" si="231"/>
      </c>
      <c r="FJ29" s="1988">
        <f t="shared" si="231"/>
      </c>
      <c r="FK29" s="1988">
        <f t="shared" si="231"/>
      </c>
      <c r="FL29" s="1987">
        <f t="shared" si="231"/>
      </c>
      <c r="FM29" s="1988">
        <f t="shared" si="231"/>
      </c>
      <c r="FN29" s="1988">
        <f t="shared" si="231"/>
      </c>
      <c r="FO29" s="1988">
        <f t="shared" si="231"/>
      </c>
      <c r="FP29" s="1988">
        <f t="shared" si="231"/>
      </c>
      <c r="FQ29" s="1988">
        <f t="shared" si="231"/>
      </c>
      <c r="FR29" s="1988">
        <f t="shared" ref="FR29:FU29" si="232">FR26/FR33</f>
      </c>
      <c r="FS29" s="1988">
        <f t="shared" si="232"/>
      </c>
      <c r="FT29" s="1988">
        <f t="shared" si="232"/>
      </c>
      <c r="FU29" s="2887">
        <f t="shared" si="232"/>
      </c>
      <c r="FV29" s="372"/>
      <c r="FW29" s="1988">
        <f t="shared" ref="FW29:GZ29" si="233">FW26/FW33</f>
      </c>
      <c r="FX29" s="1988">
        <f t="shared" si="233"/>
      </c>
      <c r="FY29" s="1988">
        <f t="shared" si="233"/>
      </c>
      <c r="FZ29" s="1988">
        <f t="shared" si="233"/>
      </c>
      <c r="GA29" s="1988">
        <f t="shared" si="233"/>
      </c>
      <c r="GB29" s="1988">
        <f t="shared" si="233"/>
      </c>
      <c r="GC29" s="1988">
        <f t="shared" si="233"/>
      </c>
      <c r="GD29" s="1988">
        <f t="shared" si="233"/>
      </c>
      <c r="GE29" s="1988">
        <f t="shared" si="233"/>
      </c>
      <c r="GF29" s="1988">
        <f t="shared" si="233"/>
      </c>
      <c r="GG29" s="1988">
        <f t="shared" si="233"/>
      </c>
      <c r="GH29" s="1988">
        <f t="shared" si="233"/>
      </c>
      <c r="GI29" s="1988">
        <f t="shared" si="233"/>
      </c>
      <c r="GJ29" s="1988">
        <f t="shared" si="233"/>
      </c>
      <c r="GK29" s="1988">
        <f t="shared" si="233"/>
      </c>
      <c r="GL29" s="1988">
        <f t="shared" si="233"/>
      </c>
      <c r="GM29" s="1988">
        <f t="shared" si="233"/>
      </c>
      <c r="GN29" s="1988">
        <f t="shared" si="233"/>
      </c>
      <c r="GO29" s="1988">
        <f t="shared" si="233"/>
      </c>
      <c r="GP29" s="1988">
        <f t="shared" si="233"/>
      </c>
      <c r="GQ29" s="1988">
        <f t="shared" si="233"/>
      </c>
      <c r="GR29" s="1988">
        <f t="shared" si="233"/>
      </c>
      <c r="GS29" s="1988">
        <f t="shared" si="233"/>
      </c>
      <c r="GT29" s="1988">
        <f t="shared" si="233"/>
      </c>
      <c r="GU29" s="1988">
        <f t="shared" si="233"/>
      </c>
      <c r="GV29" s="1988">
        <f t="shared" si="233"/>
      </c>
      <c r="GW29" s="1988">
        <f t="shared" si="233"/>
      </c>
      <c r="GX29" s="1988">
        <f t="shared" si="233"/>
      </c>
      <c r="GY29" s="1988">
        <f t="shared" si="233"/>
      </c>
      <c r="GZ29" s="1988">
        <f t="shared" si="233"/>
      </c>
      <c r="HA29" s="1988">
        <f t="shared" ref="HA29:HD29" si="234">HA26/HA33</f>
      </c>
      <c r="HB29" s="1988">
        <f t="shared" si="234"/>
      </c>
      <c r="HC29" s="1988">
        <f t="shared" si="234"/>
      </c>
      <c r="HD29" s="1988">
        <f t="shared" si="234"/>
      </c>
    </row>
    <row r="30" spans="1:212" s="583" customFormat="1">
      <c r="A30" s="1964" t="s">
        <v>1151</v>
      </c>
      <c r="B30" s="1965">
        <f t="shared" ref="B30:AG30" si="235">+B26/B34</f>
      </c>
      <c r="C30" s="1965">
        <f t="shared" si="235"/>
      </c>
      <c r="D30" s="1965">
        <f t="shared" si="235"/>
      </c>
      <c r="E30" s="1966">
        <f t="shared" si="235"/>
      </c>
      <c r="F30" s="1965">
        <f t="shared" si="235"/>
      </c>
      <c r="G30" s="1965">
        <f t="shared" si="235"/>
      </c>
      <c r="H30" s="1965">
        <f t="shared" si="235"/>
      </c>
      <c r="I30" s="1965">
        <f t="shared" si="235"/>
      </c>
      <c r="J30" s="1965">
        <f t="shared" si="235"/>
      </c>
      <c r="K30" s="1965">
        <f t="shared" si="235"/>
      </c>
      <c r="L30" s="1965">
        <f t="shared" si="235"/>
      </c>
      <c r="M30" s="1965">
        <f t="shared" si="235"/>
      </c>
      <c r="N30" s="1965">
        <f t="shared" si="235"/>
      </c>
      <c r="O30" s="1965">
        <f t="shared" si="235"/>
      </c>
      <c r="P30" s="1965">
        <f t="shared" si="235"/>
      </c>
      <c r="Q30" s="1965">
        <f t="shared" si="235"/>
      </c>
      <c r="R30" s="1965">
        <f t="shared" si="235"/>
      </c>
      <c r="S30" s="1965">
        <f t="shared" si="235"/>
      </c>
      <c r="T30" s="1965">
        <f t="shared" si="235"/>
      </c>
      <c r="U30" s="1965">
        <f t="shared" si="235"/>
      </c>
      <c r="V30" s="1965">
        <f t="shared" si="235"/>
      </c>
      <c r="W30" s="1965">
        <f t="shared" si="235"/>
      </c>
      <c r="X30" s="1965">
        <f t="shared" si="235"/>
      </c>
      <c r="Y30" s="1965">
        <f t="shared" si="235"/>
      </c>
      <c r="Z30" s="1965">
        <f t="shared" si="235"/>
      </c>
      <c r="AA30" s="1965">
        <f t="shared" si="235"/>
      </c>
      <c r="AB30" s="1965">
        <f t="shared" si="235"/>
      </c>
      <c r="AC30" s="1965">
        <f t="shared" si="235"/>
      </c>
      <c r="AD30" s="1965">
        <f t="shared" si="235"/>
      </c>
      <c r="AE30" s="1965">
        <f t="shared" si="235"/>
      </c>
      <c r="AF30" s="1965">
        <f t="shared" si="235"/>
      </c>
      <c r="AG30" s="1965">
        <f t="shared" si="235"/>
      </c>
      <c r="AH30" s="1965">
        <f t="shared" ref="AH30:BM30" si="236">+AH26/AH34</f>
      </c>
      <c r="AI30" s="1965">
        <f t="shared" si="236"/>
      </c>
      <c r="AJ30" s="1965">
        <f t="shared" si="236"/>
      </c>
      <c r="AK30" s="1965">
        <f t="shared" si="236"/>
      </c>
      <c r="AL30" s="1965">
        <f t="shared" si="236"/>
      </c>
      <c r="AM30" s="1965">
        <f t="shared" si="236"/>
      </c>
      <c r="AN30" s="1965">
        <f t="shared" si="236"/>
      </c>
      <c r="AO30" s="1965">
        <f t="shared" si="236"/>
      </c>
      <c r="AP30" s="1965">
        <f t="shared" si="236"/>
      </c>
      <c r="AQ30" s="1965">
        <f t="shared" si="236"/>
      </c>
      <c r="AR30" s="1965">
        <f t="shared" si="236"/>
      </c>
      <c r="AS30" s="1965">
        <f t="shared" si="236"/>
      </c>
      <c r="AT30" s="1965">
        <f t="shared" si="236"/>
      </c>
      <c r="AU30" s="1965">
        <f t="shared" si="236"/>
      </c>
      <c r="AV30" s="1965">
        <f t="shared" si="236"/>
      </c>
      <c r="AW30" s="1965">
        <f t="shared" si="236"/>
      </c>
      <c r="AX30" s="1965">
        <f t="shared" si="236"/>
      </c>
      <c r="AY30" s="1965">
        <f t="shared" si="236"/>
      </c>
      <c r="AZ30" s="1965">
        <f t="shared" si="236"/>
      </c>
      <c r="BA30" s="1965">
        <f t="shared" si="236"/>
      </c>
      <c r="BB30" s="1965">
        <f t="shared" si="236"/>
      </c>
      <c r="BC30" s="1965">
        <f t="shared" si="236"/>
      </c>
      <c r="BD30" s="1965">
        <f t="shared" si="236"/>
      </c>
      <c r="BE30" s="1965">
        <f t="shared" si="236"/>
      </c>
      <c r="BF30" s="1965">
        <f t="shared" si="236"/>
      </c>
      <c r="BG30" s="1965">
        <f t="shared" si="236"/>
      </c>
      <c r="BH30" s="1965">
        <f t="shared" si="236"/>
      </c>
      <c r="BI30" s="1965">
        <f t="shared" si="236"/>
      </c>
      <c r="BJ30" s="1965">
        <f t="shared" si="236"/>
      </c>
      <c r="BK30" s="1965">
        <f t="shared" si="236"/>
      </c>
      <c r="BL30" s="1965">
        <f t="shared" si="236"/>
      </c>
      <c r="BM30" s="1965">
        <f t="shared" si="236"/>
      </c>
      <c r="BN30" s="1965">
        <f t="shared" ref="BN30:CS30" si="237">+BN26/BN34</f>
      </c>
      <c r="BO30" s="1965">
        <f t="shared" si="237"/>
      </c>
      <c r="BP30" s="1965">
        <f t="shared" si="237"/>
      </c>
      <c r="BQ30" s="1967">
        <f t="shared" si="237"/>
      </c>
      <c r="BR30" s="1965">
        <f t="shared" si="237"/>
      </c>
      <c r="BS30" s="1965">
        <f t="shared" si="237"/>
      </c>
      <c r="BT30" s="1965">
        <f t="shared" si="237"/>
      </c>
      <c r="BU30" s="1967">
        <f t="shared" si="237"/>
      </c>
      <c r="BV30" s="1965">
        <f t="shared" si="237"/>
      </c>
      <c r="BW30" s="1965">
        <f t="shared" si="237"/>
      </c>
      <c r="BX30" s="1965">
        <f t="shared" si="237"/>
      </c>
      <c r="BY30" s="1967">
        <f t="shared" si="237"/>
      </c>
      <c r="BZ30" s="1965">
        <f t="shared" si="237"/>
      </c>
      <c r="CA30" s="1965">
        <f t="shared" si="237"/>
      </c>
      <c r="CB30" s="1965">
        <f t="shared" si="237"/>
      </c>
      <c r="CC30" s="1967">
        <f t="shared" si="237"/>
      </c>
      <c r="CD30" s="1965">
        <f t="shared" si="237"/>
      </c>
      <c r="CE30" s="1965">
        <f t="shared" si="237"/>
      </c>
      <c r="CF30" s="1965">
        <f t="shared" si="237"/>
      </c>
      <c r="CG30" s="1967">
        <f t="shared" si="237"/>
      </c>
      <c r="CH30" s="1965">
        <f t="shared" si="237"/>
      </c>
      <c r="CI30" s="1965">
        <f t="shared" si="237"/>
      </c>
      <c r="CJ30" s="1965">
        <f t="shared" si="237"/>
      </c>
      <c r="CK30" s="1967">
        <f t="shared" si="237"/>
      </c>
      <c r="CL30" s="1965">
        <f t="shared" si="237"/>
      </c>
      <c r="CM30" s="1965">
        <f t="shared" si="237"/>
      </c>
      <c r="CN30" s="1965">
        <f t="shared" si="237"/>
      </c>
      <c r="CO30" s="1967">
        <f t="shared" si="237"/>
      </c>
      <c r="CP30" s="1965">
        <f t="shared" si="237"/>
      </c>
      <c r="CQ30" s="1965">
        <f t="shared" si="237"/>
      </c>
      <c r="CR30" s="1965">
        <f t="shared" si="237"/>
      </c>
      <c r="CS30" s="1967">
        <f t="shared" si="237"/>
      </c>
      <c r="CT30" s="1965">
        <f t="shared" ref="CT30:DU30" si="238">+CT26/CT34</f>
      </c>
      <c r="CU30" s="1965">
        <f t="shared" si="238"/>
      </c>
      <c r="CV30" s="1965">
        <f t="shared" si="238"/>
      </c>
      <c r="CW30" s="1967">
        <f t="shared" si="238"/>
      </c>
      <c r="CX30" s="1968">
        <f t="shared" si="238"/>
      </c>
      <c r="CY30" s="1965">
        <f t="shared" si="238"/>
      </c>
      <c r="CZ30" s="1965">
        <f t="shared" si="238"/>
      </c>
      <c r="DA30" s="1967">
        <f t="shared" si="238"/>
      </c>
      <c r="DB30" s="1968">
        <f t="shared" si="238"/>
      </c>
      <c r="DC30" s="1965">
        <f t="shared" si="238"/>
      </c>
      <c r="DD30" s="1965">
        <f t="shared" si="238"/>
      </c>
      <c r="DE30" s="1967">
        <f t="shared" si="238"/>
      </c>
      <c r="DF30" s="1968">
        <f t="shared" ref="DF30" si="239">+DF26/DF34</f>
      </c>
      <c r="DG30" s="1965">
        <f t="shared" si="238"/>
      </c>
      <c r="DH30" s="1965">
        <f t="shared" si="238"/>
      </c>
      <c r="DI30" s="1967">
        <f t="shared" si="238"/>
      </c>
      <c r="DJ30" s="1968">
        <f t="shared" si="238"/>
      </c>
      <c r="DK30" s="1965">
        <f t="shared" ref="DK30:DN30" si="240">+DK26/DK34</f>
      </c>
      <c r="DL30" s="1965">
        <f t="shared" si="240"/>
      </c>
      <c r="DM30" s="1967">
        <f t="shared" si="240"/>
      </c>
      <c r="DN30" s="1968">
        <f t="shared" si="240"/>
      </c>
      <c r="DO30" s="1965">
        <f t="shared" ref="DO30:DP30" si="241">+DO26/DO34</f>
      </c>
      <c r="DP30" s="1965">
        <f t="shared" si="241"/>
      </c>
      <c r="DQ30" s="1967">
        <f t="shared" si="238"/>
      </c>
      <c r="DR30" s="1965">
        <f t="shared" si="238"/>
      </c>
      <c r="DS30" s="1965">
        <f t="shared" si="238"/>
      </c>
      <c r="DT30" s="1965">
        <f t="shared" si="238"/>
      </c>
      <c r="DU30" s="1967">
        <f t="shared" si="238"/>
      </c>
      <c r="DV30" s="1965">
        <f t="shared" ref="DV30:EK30" si="242">+DV26/DV34</f>
      </c>
      <c r="DW30" s="1965">
        <f t="shared" si="242"/>
      </c>
      <c r="DX30" s="1965">
        <f t="shared" si="242"/>
      </c>
      <c r="DY30" s="1967">
        <f t="shared" si="242"/>
      </c>
      <c r="DZ30" s="1965">
        <f t="shared" si="242"/>
      </c>
      <c r="EA30" s="1965">
        <f t="shared" si="242"/>
      </c>
      <c r="EB30" s="1965">
        <f t="shared" si="242"/>
      </c>
      <c r="EC30" s="1967">
        <f t="shared" si="242"/>
      </c>
      <c r="ED30" s="1965">
        <f t="shared" si="242"/>
      </c>
      <c r="EE30" s="1965">
        <f t="shared" si="242"/>
      </c>
      <c r="EF30" s="1965">
        <f t="shared" si="242"/>
      </c>
      <c r="EG30" s="1967">
        <f t="shared" si="242"/>
      </c>
      <c r="EH30" s="1965">
        <f t="shared" si="242"/>
      </c>
      <c r="EI30" s="1965">
        <f t="shared" si="242"/>
      </c>
      <c r="EJ30" s="1965">
        <f t="shared" si="242"/>
      </c>
      <c r="EK30" s="1967">
        <f t="shared" si="242"/>
      </c>
      <c r="EL30" s="584"/>
      <c r="EM30" s="1969">
        <f t="shared" ref="EM30:FQ30" si="243">+EM26/EM34</f>
      </c>
      <c r="EN30" s="1970">
        <f t="shared" si="243"/>
      </c>
      <c r="EO30" s="1970">
        <f t="shared" si="243"/>
      </c>
      <c r="EP30" s="1970">
        <f t="shared" si="243"/>
      </c>
      <c r="EQ30" s="1970">
        <f t="shared" si="243"/>
      </c>
      <c r="ER30" s="1970">
        <f t="shared" si="243"/>
      </c>
      <c r="ES30" s="1970">
        <f t="shared" si="243"/>
      </c>
      <c r="ET30" s="1970">
        <f t="shared" si="243"/>
      </c>
      <c r="EU30" s="1970">
        <f t="shared" si="243"/>
      </c>
      <c r="EV30" s="1970">
        <f t="shared" si="243"/>
      </c>
      <c r="EW30" s="1970">
        <f t="shared" si="243"/>
      </c>
      <c r="EX30" s="1970">
        <f t="shared" si="243"/>
      </c>
      <c r="EY30" s="1970">
        <f t="shared" si="243"/>
      </c>
      <c r="EZ30" s="1970">
        <f t="shared" si="243"/>
      </c>
      <c r="FA30" s="1970">
        <f t="shared" si="243"/>
      </c>
      <c r="FB30" s="1970">
        <f t="shared" si="243"/>
      </c>
      <c r="FC30" s="1970">
        <f t="shared" si="243"/>
      </c>
      <c r="FD30" s="1970">
        <f t="shared" si="243"/>
      </c>
      <c r="FE30" s="1970">
        <f t="shared" si="243"/>
      </c>
      <c r="FF30" s="1970">
        <f t="shared" si="243"/>
      </c>
      <c r="FG30" s="1970">
        <f t="shared" si="243"/>
      </c>
      <c r="FH30" s="1970">
        <f t="shared" si="243"/>
      </c>
      <c r="FI30" s="1970">
        <f t="shared" si="243"/>
      </c>
      <c r="FJ30" s="1970">
        <f t="shared" si="243"/>
      </c>
      <c r="FK30" s="1970">
        <f t="shared" si="243"/>
      </c>
      <c r="FL30" s="1969">
        <f t="shared" si="243"/>
      </c>
      <c r="FM30" s="1970">
        <f t="shared" si="243"/>
      </c>
      <c r="FN30" s="1970">
        <f t="shared" si="243"/>
      </c>
      <c r="FO30" s="1970">
        <f t="shared" si="243"/>
      </c>
      <c r="FP30" s="1970">
        <f t="shared" si="243"/>
      </c>
      <c r="FQ30" s="1970">
        <f t="shared" si="243"/>
      </c>
      <c r="FR30" s="1970">
        <f t="shared" ref="FR30:FU30" si="244">+FR26/FR34</f>
      </c>
      <c r="FS30" s="1970">
        <f t="shared" si="244"/>
      </c>
      <c r="FT30" s="1970">
        <f t="shared" si="244"/>
      </c>
      <c r="FU30" s="2888">
        <f t="shared" si="244"/>
      </c>
      <c r="FV30" s="584"/>
      <c r="FW30" s="1970">
        <f t="shared" ref="FW30:GZ30" si="245">+FW26/FW34</f>
      </c>
      <c r="FX30" s="1970">
        <f t="shared" si="245"/>
      </c>
      <c r="FY30" s="1970">
        <f t="shared" si="245"/>
      </c>
      <c r="FZ30" s="1970">
        <f t="shared" si="245"/>
      </c>
      <c r="GA30" s="1970">
        <f t="shared" si="245"/>
      </c>
      <c r="GB30" s="1970">
        <f t="shared" si="245"/>
      </c>
      <c r="GC30" s="1970">
        <f t="shared" si="245"/>
      </c>
      <c r="GD30" s="1970">
        <f t="shared" si="245"/>
      </c>
      <c r="GE30" s="1970">
        <f t="shared" si="245"/>
      </c>
      <c r="GF30" s="1970">
        <f t="shared" si="245"/>
      </c>
      <c r="GG30" s="1970">
        <f t="shared" si="245"/>
      </c>
      <c r="GH30" s="1970">
        <f t="shared" si="245"/>
      </c>
      <c r="GI30" s="1970">
        <f t="shared" si="245"/>
      </c>
      <c r="GJ30" s="1970">
        <f t="shared" si="245"/>
      </c>
      <c r="GK30" s="1970">
        <f t="shared" si="245"/>
      </c>
      <c r="GL30" s="1970">
        <f t="shared" si="245"/>
      </c>
      <c r="GM30" s="1970">
        <f t="shared" si="245"/>
      </c>
      <c r="GN30" s="1970">
        <f t="shared" si="245"/>
      </c>
      <c r="GO30" s="1970">
        <f t="shared" si="245"/>
      </c>
      <c r="GP30" s="1970">
        <f t="shared" si="245"/>
      </c>
      <c r="GQ30" s="1970">
        <f t="shared" si="245"/>
      </c>
      <c r="GR30" s="1970">
        <f t="shared" si="245"/>
      </c>
      <c r="GS30" s="1970">
        <f t="shared" si="245"/>
      </c>
      <c r="GT30" s="1970">
        <f t="shared" si="245"/>
      </c>
      <c r="GU30" s="1970">
        <f t="shared" si="245"/>
      </c>
      <c r="GV30" s="1970">
        <f t="shared" si="245"/>
      </c>
      <c r="GW30" s="1970">
        <f t="shared" si="245"/>
      </c>
      <c r="GX30" s="1970">
        <f t="shared" si="245"/>
      </c>
      <c r="GY30" s="1970">
        <f t="shared" si="245"/>
      </c>
      <c r="GZ30" s="1970">
        <f t="shared" si="245"/>
      </c>
      <c r="HA30" s="1970">
        <f t="shared" ref="HA30:HD30" si="246">+HA26/HA34</f>
      </c>
      <c r="HB30" s="1970">
        <f t="shared" si="246"/>
      </c>
      <c r="HC30" s="1970">
        <f t="shared" si="246"/>
      </c>
      <c r="HD30" s="1970">
        <f t="shared" si="246"/>
      </c>
    </row>
    <row r="31" spans="1:212" s="585" customFormat="1">
      <c r="A31" s="1983" t="s">
        <v>1152</v>
      </c>
      <c r="B31" s="1984">
        <f t="shared" ref="B31:AG31" si="247">B28/B33</f>
      </c>
      <c r="C31" s="1984">
        <f t="shared" si="247"/>
      </c>
      <c r="D31" s="1984">
        <f t="shared" si="247"/>
      </c>
      <c r="E31" s="1985">
        <f t="shared" si="247"/>
      </c>
      <c r="F31" s="1984">
        <f t="shared" si="247"/>
      </c>
      <c r="G31" s="1984">
        <f t="shared" si="247"/>
      </c>
      <c r="H31" s="1984">
        <f t="shared" si="247"/>
      </c>
      <c r="I31" s="1984">
        <f t="shared" si="247"/>
      </c>
      <c r="J31" s="1984">
        <f t="shared" si="247"/>
      </c>
      <c r="K31" s="1984">
        <f t="shared" si="247"/>
      </c>
      <c r="L31" s="1984">
        <f t="shared" si="247"/>
      </c>
      <c r="M31" s="1984">
        <f t="shared" si="247"/>
      </c>
      <c r="N31" s="1984">
        <f t="shared" si="247"/>
      </c>
      <c r="O31" s="1984">
        <f t="shared" si="247"/>
      </c>
      <c r="P31" s="1984">
        <f t="shared" si="247"/>
      </c>
      <c r="Q31" s="1984">
        <f t="shared" si="247"/>
      </c>
      <c r="R31" s="1984">
        <f t="shared" si="247"/>
      </c>
      <c r="S31" s="1984">
        <f t="shared" si="247"/>
      </c>
      <c r="T31" s="1984">
        <f t="shared" si="247"/>
      </c>
      <c r="U31" s="1984">
        <f t="shared" si="247"/>
      </c>
      <c r="V31" s="1984">
        <f t="shared" si="247"/>
      </c>
      <c r="W31" s="1984">
        <f t="shared" si="247"/>
      </c>
      <c r="X31" s="1984">
        <f t="shared" si="247"/>
      </c>
      <c r="Y31" s="1984">
        <f t="shared" si="247"/>
      </c>
      <c r="Z31" s="1984">
        <f t="shared" si="247"/>
      </c>
      <c r="AA31" s="1984">
        <f t="shared" si="247"/>
      </c>
      <c r="AB31" s="1984">
        <f t="shared" si="247"/>
      </c>
      <c r="AC31" s="1984">
        <f t="shared" si="247"/>
      </c>
      <c r="AD31" s="1984">
        <f t="shared" si="247"/>
      </c>
      <c r="AE31" s="1984">
        <f t="shared" si="247"/>
      </c>
      <c r="AF31" s="1984">
        <f t="shared" si="247"/>
      </c>
      <c r="AG31" s="1984">
        <f t="shared" si="247"/>
      </c>
      <c r="AH31" s="1984">
        <f t="shared" ref="AH31:BM31" si="248">AH28/AH33</f>
      </c>
      <c r="AI31" s="1984">
        <f t="shared" si="248"/>
      </c>
      <c r="AJ31" s="1984">
        <f t="shared" si="248"/>
      </c>
      <c r="AK31" s="1984">
        <f t="shared" si="248"/>
      </c>
      <c r="AL31" s="1984">
        <f t="shared" si="248"/>
      </c>
      <c r="AM31" s="1984">
        <f t="shared" si="248"/>
      </c>
      <c r="AN31" s="1984">
        <f t="shared" si="248"/>
      </c>
      <c r="AO31" s="1984">
        <f t="shared" si="248"/>
      </c>
      <c r="AP31" s="1984">
        <f t="shared" si="248"/>
      </c>
      <c r="AQ31" s="1984">
        <f t="shared" si="248"/>
      </c>
      <c r="AR31" s="1984">
        <f t="shared" si="248"/>
      </c>
      <c r="AS31" s="1984">
        <f t="shared" si="248"/>
      </c>
      <c r="AT31" s="1984">
        <f t="shared" si="248"/>
      </c>
      <c r="AU31" s="1984">
        <f t="shared" si="248"/>
      </c>
      <c r="AV31" s="1984">
        <f t="shared" si="248"/>
      </c>
      <c r="AW31" s="1984">
        <f t="shared" si="248"/>
      </c>
      <c r="AX31" s="1984">
        <f t="shared" si="248"/>
      </c>
      <c r="AY31" s="1984">
        <f t="shared" si="248"/>
      </c>
      <c r="AZ31" s="1984">
        <f t="shared" si="248"/>
      </c>
      <c r="BA31" s="1984">
        <f t="shared" si="248"/>
      </c>
      <c r="BB31" s="1984">
        <f t="shared" si="248"/>
      </c>
      <c r="BC31" s="1984">
        <f t="shared" si="248"/>
      </c>
      <c r="BD31" s="1984">
        <f t="shared" si="248"/>
      </c>
      <c r="BE31" s="1984">
        <f t="shared" si="248"/>
      </c>
      <c r="BF31" s="1984">
        <f t="shared" si="248"/>
      </c>
      <c r="BG31" s="1984">
        <f t="shared" si="248"/>
      </c>
      <c r="BH31" s="1984">
        <f t="shared" si="248"/>
      </c>
      <c r="BI31" s="1984">
        <f t="shared" si="248"/>
      </c>
      <c r="BJ31" s="1984">
        <f t="shared" si="248"/>
      </c>
      <c r="BK31" s="1984">
        <f t="shared" si="248"/>
      </c>
      <c r="BL31" s="1984">
        <f t="shared" si="248"/>
      </c>
      <c r="BM31" s="1984">
        <f t="shared" si="248"/>
      </c>
      <c r="BN31" s="1984">
        <f t="shared" ref="BN31:CS31" si="249">BN28/BN33</f>
      </c>
      <c r="BO31" s="1984">
        <f t="shared" si="249"/>
      </c>
      <c r="BP31" s="1984">
        <f t="shared" si="249"/>
      </c>
      <c r="BQ31" s="1986">
        <f t="shared" si="249"/>
      </c>
      <c r="BR31" s="1984">
        <f t="shared" si="249"/>
      </c>
      <c r="BS31" s="1984">
        <f t="shared" si="249"/>
      </c>
      <c r="BT31" s="1984">
        <f t="shared" si="249"/>
      </c>
      <c r="BU31" s="1986">
        <f t="shared" si="249"/>
      </c>
      <c r="BV31" s="1984">
        <f t="shared" si="249"/>
      </c>
      <c r="BW31" s="1984">
        <f t="shared" si="249"/>
      </c>
      <c r="BX31" s="1984">
        <f t="shared" si="249"/>
      </c>
      <c r="BY31" s="1986">
        <f t="shared" si="249"/>
      </c>
      <c r="BZ31" s="1984">
        <f t="shared" si="249"/>
      </c>
      <c r="CA31" s="1984">
        <f t="shared" si="249"/>
      </c>
      <c r="CB31" s="1984">
        <f t="shared" si="249"/>
      </c>
      <c r="CC31" s="1986">
        <f t="shared" si="249"/>
      </c>
      <c r="CD31" s="1984">
        <f t="shared" si="249"/>
      </c>
      <c r="CE31" s="1984">
        <f t="shared" si="249"/>
      </c>
      <c r="CF31" s="1984">
        <f t="shared" si="249"/>
      </c>
      <c r="CG31" s="1986">
        <f t="shared" si="249"/>
      </c>
      <c r="CH31" s="1984">
        <f t="shared" si="249"/>
      </c>
      <c r="CI31" s="1984">
        <f t="shared" si="249"/>
      </c>
      <c r="CJ31" s="1984">
        <f t="shared" si="249"/>
      </c>
      <c r="CK31" s="1986">
        <f t="shared" si="249"/>
      </c>
      <c r="CL31" s="1984">
        <f t="shared" si="249"/>
      </c>
      <c r="CM31" s="1984">
        <f t="shared" si="249"/>
      </c>
      <c r="CN31" s="1984">
        <f t="shared" si="249"/>
      </c>
      <c r="CO31" s="1986">
        <f t="shared" si="249"/>
      </c>
      <c r="CP31" s="1984">
        <f t="shared" si="249"/>
      </c>
      <c r="CQ31" s="1984">
        <f t="shared" si="249"/>
      </c>
      <c r="CR31" s="1984">
        <f t="shared" si="249"/>
      </c>
      <c r="CS31" s="1986">
        <f t="shared" si="249"/>
      </c>
      <c r="CT31" s="1984">
        <f t="shared" ref="CT31:DU31" si="250">CT28/CT33</f>
      </c>
      <c r="CU31" s="1984">
        <f t="shared" si="250"/>
      </c>
      <c r="CV31" s="1984">
        <f t="shared" si="250"/>
      </c>
      <c r="CW31" s="1986">
        <f t="shared" si="250"/>
      </c>
      <c r="CX31" s="1984">
        <f t="shared" si="250"/>
      </c>
      <c r="CY31" s="1984">
        <f t="shared" si="250"/>
      </c>
      <c r="CZ31" s="1984">
        <f t="shared" si="250"/>
      </c>
      <c r="DA31" s="1986">
        <f t="shared" si="250"/>
      </c>
      <c r="DB31" s="1984">
        <f t="shared" si="250"/>
      </c>
      <c r="DC31" s="1984">
        <f t="shared" si="250"/>
      </c>
      <c r="DD31" s="1984">
        <f t="shared" si="250"/>
      </c>
      <c r="DE31" s="1986">
        <f t="shared" si="250"/>
      </c>
      <c r="DF31" s="1984">
        <f t="shared" ref="DF31" si="251">DF28/DF33</f>
      </c>
      <c r="DG31" s="1984">
        <f t="shared" si="250"/>
      </c>
      <c r="DH31" s="1984">
        <f t="shared" si="250"/>
      </c>
      <c r="DI31" s="1986">
        <f t="shared" si="250"/>
      </c>
      <c r="DJ31" s="1984">
        <f t="shared" si="250"/>
      </c>
      <c r="DK31" s="1984">
        <f t="shared" ref="DK31:DN31" si="252">DK28/DK33</f>
      </c>
      <c r="DL31" s="1984">
        <f t="shared" si="252"/>
      </c>
      <c r="DM31" s="1986">
        <f t="shared" si="252"/>
      </c>
      <c r="DN31" s="1984">
        <f t="shared" si="252"/>
      </c>
      <c r="DO31" s="1984">
        <f t="shared" ref="DO31:DP31" si="253">DO28/DO33</f>
      </c>
      <c r="DP31" s="1984">
        <f t="shared" si="253"/>
      </c>
      <c r="DQ31" s="1986">
        <f t="shared" si="250"/>
      </c>
      <c r="DR31" s="1984">
        <f t="shared" si="250"/>
      </c>
      <c r="DS31" s="1984">
        <f t="shared" si="250"/>
      </c>
      <c r="DT31" s="1984">
        <f t="shared" si="250"/>
      </c>
      <c r="DU31" s="1986">
        <f t="shared" si="250"/>
      </c>
      <c r="DV31" s="1984">
        <f t="shared" ref="DV31:EK31" si="254">DV28/DV33</f>
      </c>
      <c r="DW31" s="1984">
        <f t="shared" si="254"/>
      </c>
      <c r="DX31" s="1984">
        <f t="shared" si="254"/>
      </c>
      <c r="DY31" s="1986">
        <f t="shared" si="254"/>
      </c>
      <c r="DZ31" s="1984">
        <f t="shared" si="254"/>
      </c>
      <c r="EA31" s="1984">
        <f t="shared" si="254"/>
      </c>
      <c r="EB31" s="1984">
        <f t="shared" si="254"/>
      </c>
      <c r="EC31" s="1986">
        <f t="shared" si="254"/>
      </c>
      <c r="ED31" s="1984">
        <f t="shared" si="254"/>
      </c>
      <c r="EE31" s="1984">
        <f t="shared" si="254"/>
      </c>
      <c r="EF31" s="1984">
        <f t="shared" si="254"/>
      </c>
      <c r="EG31" s="1986">
        <f t="shared" si="254"/>
      </c>
      <c r="EH31" s="1984">
        <f t="shared" si="254"/>
      </c>
      <c r="EI31" s="1984">
        <f t="shared" si="254"/>
      </c>
      <c r="EJ31" s="1984">
        <f t="shared" si="254"/>
      </c>
      <c r="EK31" s="1986">
        <f t="shared" si="254"/>
      </c>
      <c r="EL31" s="372"/>
      <c r="EM31" s="1987">
        <f t="shared" ref="EM31:FQ31" si="255">EM28/EM33</f>
      </c>
      <c r="EN31" s="1988">
        <f t="shared" si="255"/>
      </c>
      <c r="EO31" s="1988">
        <f t="shared" si="255"/>
      </c>
      <c r="EP31" s="1988">
        <f t="shared" si="255"/>
      </c>
      <c r="EQ31" s="1988">
        <f t="shared" si="255"/>
      </c>
      <c r="ER31" s="1988">
        <f t="shared" si="255"/>
      </c>
      <c r="ES31" s="1988">
        <f t="shared" si="255"/>
      </c>
      <c r="ET31" s="1988">
        <f t="shared" si="255"/>
      </c>
      <c r="EU31" s="1988">
        <f t="shared" si="255"/>
      </c>
      <c r="EV31" s="1988">
        <f t="shared" si="255"/>
      </c>
      <c r="EW31" s="1988">
        <f t="shared" si="255"/>
      </c>
      <c r="EX31" s="1988">
        <f t="shared" si="255"/>
      </c>
      <c r="EY31" s="1988">
        <f t="shared" si="255"/>
      </c>
      <c r="EZ31" s="1988">
        <f t="shared" si="255"/>
      </c>
      <c r="FA31" s="1988">
        <f t="shared" si="255"/>
      </c>
      <c r="FB31" s="1988">
        <f t="shared" si="255"/>
      </c>
      <c r="FC31" s="1988">
        <f t="shared" si="255"/>
      </c>
      <c r="FD31" s="1988">
        <f t="shared" si="255"/>
      </c>
      <c r="FE31" s="1988">
        <f t="shared" si="255"/>
      </c>
      <c r="FF31" s="1988">
        <f t="shared" si="255"/>
      </c>
      <c r="FG31" s="1988">
        <f t="shared" si="255"/>
      </c>
      <c r="FH31" s="1988">
        <f t="shared" si="255"/>
      </c>
      <c r="FI31" s="1988">
        <f t="shared" si="255"/>
      </c>
      <c r="FJ31" s="1988">
        <f t="shared" si="255"/>
      </c>
      <c r="FK31" s="1988">
        <f t="shared" si="255"/>
      </c>
      <c r="FL31" s="1987">
        <f t="shared" si="255"/>
      </c>
      <c r="FM31" s="1988">
        <f t="shared" si="255"/>
      </c>
      <c r="FN31" s="1988">
        <f t="shared" si="255"/>
      </c>
      <c r="FO31" s="1988">
        <f t="shared" si="255"/>
      </c>
      <c r="FP31" s="1988">
        <f t="shared" si="255"/>
      </c>
      <c r="FQ31" s="1988">
        <f t="shared" si="255"/>
      </c>
      <c r="FR31" s="1988">
        <f t="shared" ref="FR31:FU31" si="256">FR28/FR33</f>
      </c>
      <c r="FS31" s="1988">
        <f t="shared" si="256"/>
      </c>
      <c r="FT31" s="1988">
        <f t="shared" si="256"/>
      </c>
      <c r="FU31" s="2887">
        <f t="shared" si="256"/>
      </c>
      <c r="FV31" s="372"/>
      <c r="FW31" s="1988">
        <f t="shared" ref="FW31:GZ31" si="257">FW28/FW33</f>
      </c>
      <c r="FX31" s="1988">
        <f t="shared" si="257"/>
      </c>
      <c r="FY31" s="1988">
        <f t="shared" si="257"/>
      </c>
      <c r="FZ31" s="1988">
        <f t="shared" si="257"/>
      </c>
      <c r="GA31" s="1988">
        <f t="shared" si="257"/>
      </c>
      <c r="GB31" s="1988">
        <f t="shared" si="257"/>
      </c>
      <c r="GC31" s="1988">
        <f t="shared" si="257"/>
      </c>
      <c r="GD31" s="1988">
        <f t="shared" si="257"/>
      </c>
      <c r="GE31" s="1988">
        <f t="shared" si="257"/>
      </c>
      <c r="GF31" s="1988">
        <f t="shared" si="257"/>
      </c>
      <c r="GG31" s="1988">
        <f t="shared" si="257"/>
      </c>
      <c r="GH31" s="1988">
        <f t="shared" si="257"/>
      </c>
      <c r="GI31" s="1988">
        <f t="shared" si="257"/>
      </c>
      <c r="GJ31" s="1988">
        <f t="shared" si="257"/>
      </c>
      <c r="GK31" s="1988">
        <f t="shared" si="257"/>
      </c>
      <c r="GL31" s="1988">
        <f t="shared" si="257"/>
      </c>
      <c r="GM31" s="1988">
        <f t="shared" si="257"/>
      </c>
      <c r="GN31" s="1988">
        <f t="shared" si="257"/>
      </c>
      <c r="GO31" s="1988">
        <f t="shared" si="257"/>
      </c>
      <c r="GP31" s="1988">
        <f t="shared" si="257"/>
      </c>
      <c r="GQ31" s="1988">
        <f t="shared" si="257"/>
      </c>
      <c r="GR31" s="1988">
        <f t="shared" si="257"/>
      </c>
      <c r="GS31" s="1988">
        <f t="shared" si="257"/>
      </c>
      <c r="GT31" s="1988">
        <f t="shared" si="257"/>
      </c>
      <c r="GU31" s="1988">
        <f t="shared" si="257"/>
      </c>
      <c r="GV31" s="1988">
        <f t="shared" si="257"/>
      </c>
      <c r="GW31" s="1988">
        <f t="shared" si="257"/>
      </c>
      <c r="GX31" s="1988">
        <f t="shared" si="257"/>
      </c>
      <c r="GY31" s="1988">
        <f t="shared" si="257"/>
      </c>
      <c r="GZ31" s="1988">
        <f t="shared" si="257"/>
      </c>
      <c r="HA31" s="1988">
        <f t="shared" ref="HA31:HD31" si="258">HA28/HA33</f>
      </c>
      <c r="HB31" s="1988">
        <f t="shared" si="258"/>
      </c>
      <c r="HC31" s="1988">
        <f t="shared" si="258"/>
      </c>
      <c r="HD31" s="1988">
        <f t="shared" si="258"/>
      </c>
    </row>
    <row r="32" spans="1:212" s="583" customFormat="1">
      <c r="A32" s="1971" t="s">
        <v>1153</v>
      </c>
      <c r="B32" s="1972">
        <f t="shared" ref="B32:AG32" si="259">B28/B34</f>
      </c>
      <c r="C32" s="1972">
        <f t="shared" si="259"/>
      </c>
      <c r="D32" s="1972">
        <f t="shared" si="259"/>
      </c>
      <c r="E32" s="1973">
        <f t="shared" si="259"/>
      </c>
      <c r="F32" s="1972">
        <f t="shared" si="259"/>
      </c>
      <c r="G32" s="1972">
        <f t="shared" si="259"/>
      </c>
      <c r="H32" s="1972">
        <f t="shared" si="259"/>
      </c>
      <c r="I32" s="1972">
        <f t="shared" si="259"/>
      </c>
      <c r="J32" s="1972">
        <f t="shared" si="259"/>
      </c>
      <c r="K32" s="1972">
        <f t="shared" si="259"/>
      </c>
      <c r="L32" s="1972">
        <f t="shared" si="259"/>
      </c>
      <c r="M32" s="1972">
        <f t="shared" si="259"/>
      </c>
      <c r="N32" s="1972">
        <f t="shared" si="259"/>
      </c>
      <c r="O32" s="1972">
        <f t="shared" si="259"/>
      </c>
      <c r="P32" s="1972">
        <f t="shared" si="259"/>
      </c>
      <c r="Q32" s="1972">
        <f t="shared" si="259"/>
      </c>
      <c r="R32" s="1972">
        <f t="shared" si="259"/>
      </c>
      <c r="S32" s="1972">
        <f t="shared" si="259"/>
      </c>
      <c r="T32" s="1972">
        <f t="shared" si="259"/>
      </c>
      <c r="U32" s="1972">
        <f t="shared" si="259"/>
      </c>
      <c r="V32" s="1972">
        <f t="shared" si="259"/>
      </c>
      <c r="W32" s="1972">
        <f t="shared" si="259"/>
      </c>
      <c r="X32" s="1972">
        <f t="shared" si="259"/>
      </c>
      <c r="Y32" s="1972">
        <f t="shared" si="259"/>
      </c>
      <c r="Z32" s="1972">
        <f t="shared" si="259"/>
      </c>
      <c r="AA32" s="1972">
        <f t="shared" si="259"/>
      </c>
      <c r="AB32" s="1972">
        <f t="shared" si="259"/>
      </c>
      <c r="AC32" s="1972">
        <f t="shared" si="259"/>
      </c>
      <c r="AD32" s="1972">
        <f t="shared" si="259"/>
      </c>
      <c r="AE32" s="1972">
        <f t="shared" si="259"/>
      </c>
      <c r="AF32" s="1972">
        <f t="shared" si="259"/>
      </c>
      <c r="AG32" s="1972">
        <f t="shared" si="259"/>
      </c>
      <c r="AH32" s="1972">
        <f t="shared" ref="AH32:BM32" si="260">AH28/AH34</f>
      </c>
      <c r="AI32" s="1972">
        <f t="shared" si="260"/>
      </c>
      <c r="AJ32" s="1972">
        <f t="shared" si="260"/>
      </c>
      <c r="AK32" s="1972">
        <f t="shared" si="260"/>
      </c>
      <c r="AL32" s="1972">
        <f t="shared" si="260"/>
      </c>
      <c r="AM32" s="1972">
        <f t="shared" si="260"/>
      </c>
      <c r="AN32" s="1972">
        <f t="shared" si="260"/>
      </c>
      <c r="AO32" s="1972">
        <f t="shared" si="260"/>
      </c>
      <c r="AP32" s="1972">
        <f t="shared" si="260"/>
      </c>
      <c r="AQ32" s="1972">
        <f t="shared" si="260"/>
      </c>
      <c r="AR32" s="1972">
        <f t="shared" si="260"/>
      </c>
      <c r="AS32" s="1972">
        <f t="shared" si="260"/>
      </c>
      <c r="AT32" s="1972">
        <f t="shared" si="260"/>
      </c>
      <c r="AU32" s="1972">
        <f t="shared" si="260"/>
      </c>
      <c r="AV32" s="1972">
        <f t="shared" si="260"/>
      </c>
      <c r="AW32" s="1972">
        <f t="shared" si="260"/>
      </c>
      <c r="AX32" s="1972">
        <f t="shared" si="260"/>
      </c>
      <c r="AY32" s="1972">
        <f t="shared" si="260"/>
      </c>
      <c r="AZ32" s="1972">
        <f t="shared" si="260"/>
      </c>
      <c r="BA32" s="1972">
        <f t="shared" si="260"/>
      </c>
      <c r="BB32" s="1972">
        <f t="shared" si="260"/>
      </c>
      <c r="BC32" s="1972">
        <f t="shared" si="260"/>
      </c>
      <c r="BD32" s="1972">
        <f t="shared" si="260"/>
      </c>
      <c r="BE32" s="1972">
        <f t="shared" si="260"/>
      </c>
      <c r="BF32" s="1972">
        <f t="shared" si="260"/>
      </c>
      <c r="BG32" s="1972">
        <f t="shared" si="260"/>
      </c>
      <c r="BH32" s="1972">
        <f t="shared" si="260"/>
      </c>
      <c r="BI32" s="1972">
        <f t="shared" si="260"/>
      </c>
      <c r="BJ32" s="1972">
        <f t="shared" si="260"/>
      </c>
      <c r="BK32" s="1972">
        <f t="shared" si="260"/>
      </c>
      <c r="BL32" s="1972">
        <f t="shared" si="260"/>
      </c>
      <c r="BM32" s="1972">
        <f t="shared" si="260"/>
      </c>
      <c r="BN32" s="1972">
        <f t="shared" ref="BN32:CS32" si="261">BN28/BN34</f>
      </c>
      <c r="BO32" s="1972">
        <f t="shared" si="261"/>
      </c>
      <c r="BP32" s="1972">
        <f t="shared" si="261"/>
      </c>
      <c r="BQ32" s="1974">
        <f t="shared" si="261"/>
      </c>
      <c r="BR32" s="1972">
        <f t="shared" si="261"/>
      </c>
      <c r="BS32" s="1972">
        <f t="shared" si="261"/>
      </c>
      <c r="BT32" s="1972">
        <f t="shared" si="261"/>
      </c>
      <c r="BU32" s="1974">
        <f t="shared" si="261"/>
      </c>
      <c r="BV32" s="1972">
        <f t="shared" si="261"/>
      </c>
      <c r="BW32" s="1972">
        <f t="shared" si="261"/>
      </c>
      <c r="BX32" s="1972">
        <f t="shared" si="261"/>
      </c>
      <c r="BY32" s="1974">
        <f t="shared" si="261"/>
      </c>
      <c r="BZ32" s="1972">
        <f t="shared" si="261"/>
      </c>
      <c r="CA32" s="1972">
        <f t="shared" si="261"/>
      </c>
      <c r="CB32" s="1972">
        <f t="shared" si="261"/>
      </c>
      <c r="CC32" s="1974">
        <f t="shared" si="261"/>
      </c>
      <c r="CD32" s="1972">
        <f t="shared" si="261"/>
      </c>
      <c r="CE32" s="1972">
        <f t="shared" si="261"/>
      </c>
      <c r="CF32" s="1972">
        <f t="shared" si="261"/>
      </c>
      <c r="CG32" s="1974">
        <f t="shared" si="261"/>
      </c>
      <c r="CH32" s="1972">
        <f t="shared" si="261"/>
      </c>
      <c r="CI32" s="1972">
        <f t="shared" si="261"/>
      </c>
      <c r="CJ32" s="1972">
        <f t="shared" si="261"/>
      </c>
      <c r="CK32" s="1974">
        <f t="shared" si="261"/>
      </c>
      <c r="CL32" s="1972">
        <f t="shared" si="261"/>
      </c>
      <c r="CM32" s="1972">
        <f t="shared" si="261"/>
      </c>
      <c r="CN32" s="1972">
        <f t="shared" si="261"/>
      </c>
      <c r="CO32" s="1974">
        <f t="shared" si="261"/>
      </c>
      <c r="CP32" s="1972">
        <f t="shared" si="261"/>
      </c>
      <c r="CQ32" s="1972">
        <f t="shared" si="261"/>
      </c>
      <c r="CR32" s="1972">
        <f t="shared" si="261"/>
      </c>
      <c r="CS32" s="1974">
        <f t="shared" si="261"/>
      </c>
      <c r="CT32" s="1972">
        <f t="shared" ref="CT32:DU32" si="262">CT28/CT34</f>
      </c>
      <c r="CU32" s="1972">
        <f t="shared" si="262"/>
      </c>
      <c r="CV32" s="1972">
        <f t="shared" si="262"/>
      </c>
      <c r="CW32" s="1974">
        <f t="shared" si="262"/>
      </c>
      <c r="CX32" s="1972">
        <f t="shared" si="262"/>
      </c>
      <c r="CY32" s="1972">
        <f t="shared" si="262"/>
      </c>
      <c r="CZ32" s="1972">
        <f t="shared" si="262"/>
      </c>
      <c r="DA32" s="1974">
        <f t="shared" si="262"/>
      </c>
      <c r="DB32" s="1972">
        <f t="shared" si="262"/>
      </c>
      <c r="DC32" s="1972">
        <f t="shared" si="262"/>
      </c>
      <c r="DD32" s="1972">
        <f t="shared" si="262"/>
      </c>
      <c r="DE32" s="1974">
        <f t="shared" si="262"/>
      </c>
      <c r="DF32" s="1972">
        <f t="shared" ref="DF32" si="263">DF28/DF34</f>
      </c>
      <c r="DG32" s="1972">
        <f t="shared" si="262"/>
      </c>
      <c r="DH32" s="1972">
        <f t="shared" si="262"/>
      </c>
      <c r="DI32" s="1974">
        <f t="shared" si="262"/>
      </c>
      <c r="DJ32" s="1972">
        <f t="shared" si="262"/>
      </c>
      <c r="DK32" s="1972">
        <f t="shared" ref="DK32:DL32" si="264">DK28/DK34</f>
      </c>
      <c r="DL32" s="1972">
        <f t="shared" si="264"/>
      </c>
      <c r="DM32" s="1974">
        <f>DM28/DM34</f>
      </c>
      <c r="DN32" s="1972">
        <f t="shared" ref="DN32:DP32" si="265">DN28/DN34</f>
      </c>
      <c r="DO32" s="1972">
        <f t="shared" si="265"/>
      </c>
      <c r="DP32" s="1972">
        <f t="shared" si="265"/>
      </c>
      <c r="DQ32" s="1974">
        <f t="shared" si="262"/>
      </c>
      <c r="DR32" s="1972">
        <f t="shared" si="262"/>
      </c>
      <c r="DS32" s="1972">
        <f t="shared" si="262"/>
      </c>
      <c r="DT32" s="1972">
        <f t="shared" si="262"/>
      </c>
      <c r="DU32" s="1974">
        <f t="shared" si="262"/>
      </c>
      <c r="DV32" s="1972">
        <f t="shared" ref="DV32:EK32" si="266">DV28/DV34</f>
      </c>
      <c r="DW32" s="1972">
        <f t="shared" si="266"/>
      </c>
      <c r="DX32" s="1972">
        <f t="shared" si="266"/>
      </c>
      <c r="DY32" s="1974">
        <f t="shared" si="266"/>
      </c>
      <c r="DZ32" s="1972">
        <f t="shared" si="266"/>
      </c>
      <c r="EA32" s="1972">
        <f t="shared" si="266"/>
      </c>
      <c r="EB32" s="1972">
        <f t="shared" si="266"/>
      </c>
      <c r="EC32" s="1974">
        <f t="shared" si="266"/>
      </c>
      <c r="ED32" s="1972">
        <f t="shared" si="266"/>
      </c>
      <c r="EE32" s="1972">
        <f t="shared" si="266"/>
      </c>
      <c r="EF32" s="1972">
        <f t="shared" si="266"/>
      </c>
      <c r="EG32" s="1974">
        <f t="shared" si="266"/>
      </c>
      <c r="EH32" s="1972">
        <f t="shared" si="266"/>
      </c>
      <c r="EI32" s="1972">
        <f t="shared" si="266"/>
      </c>
      <c r="EJ32" s="1972">
        <f t="shared" si="266"/>
      </c>
      <c r="EK32" s="1974">
        <f t="shared" si="266"/>
      </c>
      <c r="EL32" s="584"/>
      <c r="EM32" s="1975">
        <f t="shared" ref="EM32:FQ32" si="267">EM28/EM34</f>
      </c>
      <c r="EN32" s="1976">
        <f t="shared" si="267"/>
      </c>
      <c r="EO32" s="1976">
        <f t="shared" si="267"/>
      </c>
      <c r="EP32" s="1976">
        <f t="shared" si="267"/>
      </c>
      <c r="EQ32" s="1976">
        <f t="shared" si="267"/>
      </c>
      <c r="ER32" s="1976">
        <f t="shared" si="267"/>
      </c>
      <c r="ES32" s="1976">
        <f t="shared" si="267"/>
      </c>
      <c r="ET32" s="1976">
        <f t="shared" si="267"/>
      </c>
      <c r="EU32" s="1976">
        <f t="shared" si="267"/>
      </c>
      <c r="EV32" s="1976">
        <f t="shared" si="267"/>
      </c>
      <c r="EW32" s="1976">
        <f t="shared" si="267"/>
      </c>
      <c r="EX32" s="1976">
        <f t="shared" si="267"/>
      </c>
      <c r="EY32" s="1976">
        <f t="shared" si="267"/>
      </c>
      <c r="EZ32" s="1976">
        <f t="shared" si="267"/>
      </c>
      <c r="FA32" s="1976">
        <f t="shared" si="267"/>
      </c>
      <c r="FB32" s="1976">
        <f t="shared" si="267"/>
      </c>
      <c r="FC32" s="1976">
        <f t="shared" si="267"/>
      </c>
      <c r="FD32" s="1976">
        <f t="shared" si="267"/>
      </c>
      <c r="FE32" s="1976">
        <f t="shared" si="267"/>
      </c>
      <c r="FF32" s="1976">
        <f t="shared" si="267"/>
      </c>
      <c r="FG32" s="1976">
        <f t="shared" si="267"/>
      </c>
      <c r="FH32" s="1976">
        <f t="shared" si="267"/>
      </c>
      <c r="FI32" s="1976">
        <f t="shared" si="267"/>
      </c>
      <c r="FJ32" s="1976">
        <f t="shared" si="267"/>
      </c>
      <c r="FK32" s="1976">
        <f t="shared" si="267"/>
      </c>
      <c r="FL32" s="1975">
        <f t="shared" si="267"/>
      </c>
      <c r="FM32" s="1976">
        <f t="shared" si="267"/>
      </c>
      <c r="FN32" s="1976">
        <f t="shared" si="267"/>
      </c>
      <c r="FO32" s="1976">
        <f t="shared" si="267"/>
      </c>
      <c r="FP32" s="1976">
        <f t="shared" si="267"/>
      </c>
      <c r="FQ32" s="1976">
        <f t="shared" si="267"/>
      </c>
      <c r="FR32" s="1976">
        <f t="shared" ref="FR32:FU32" si="268">FR28/FR34</f>
      </c>
      <c r="FS32" s="1976">
        <f t="shared" si="268"/>
      </c>
      <c r="FT32" s="1976">
        <f t="shared" si="268"/>
      </c>
      <c r="FU32" s="2889">
        <f t="shared" si="268"/>
      </c>
      <c r="FV32" s="584"/>
      <c r="FW32" s="1976">
        <f t="shared" ref="FW32:GZ32" si="269">FW28/FW34</f>
      </c>
      <c r="FX32" s="1976">
        <f t="shared" si="269"/>
      </c>
      <c r="FY32" s="1976">
        <f t="shared" si="269"/>
      </c>
      <c r="FZ32" s="1976">
        <f t="shared" si="269"/>
      </c>
      <c r="GA32" s="1976">
        <f t="shared" si="269"/>
      </c>
      <c r="GB32" s="1976">
        <f t="shared" si="269"/>
      </c>
      <c r="GC32" s="1976">
        <f t="shared" si="269"/>
      </c>
      <c r="GD32" s="1976">
        <f t="shared" si="269"/>
      </c>
      <c r="GE32" s="1976">
        <f t="shared" si="269"/>
      </c>
      <c r="GF32" s="1976">
        <f t="shared" si="269"/>
      </c>
      <c r="GG32" s="1976">
        <f t="shared" si="269"/>
      </c>
      <c r="GH32" s="1976">
        <f t="shared" si="269"/>
      </c>
      <c r="GI32" s="1976">
        <f t="shared" si="269"/>
      </c>
      <c r="GJ32" s="1976">
        <f t="shared" si="269"/>
      </c>
      <c r="GK32" s="1976">
        <f t="shared" si="269"/>
      </c>
      <c r="GL32" s="1976">
        <f t="shared" si="269"/>
      </c>
      <c r="GM32" s="1976">
        <f t="shared" si="269"/>
      </c>
      <c r="GN32" s="1976">
        <f t="shared" si="269"/>
      </c>
      <c r="GO32" s="1976">
        <f t="shared" si="269"/>
      </c>
      <c r="GP32" s="1976">
        <f t="shared" si="269"/>
      </c>
      <c r="GQ32" s="1976">
        <f t="shared" si="269"/>
      </c>
      <c r="GR32" s="1976">
        <f t="shared" si="269"/>
      </c>
      <c r="GS32" s="1976">
        <f t="shared" si="269"/>
      </c>
      <c r="GT32" s="1976">
        <f t="shared" si="269"/>
      </c>
      <c r="GU32" s="1976">
        <f t="shared" si="269"/>
      </c>
      <c r="GV32" s="1976">
        <f t="shared" si="269"/>
      </c>
      <c r="GW32" s="1976">
        <f t="shared" si="269"/>
      </c>
      <c r="GX32" s="1976">
        <f t="shared" si="269"/>
      </c>
      <c r="GY32" s="1976">
        <f t="shared" si="269"/>
      </c>
      <c r="GZ32" s="1976">
        <f t="shared" si="269"/>
      </c>
      <c r="HA32" s="1976">
        <f t="shared" ref="HA32:HD32" si="270">HA28/HA34</f>
      </c>
      <c r="HB32" s="1976">
        <f t="shared" si="270"/>
      </c>
      <c r="HC32" s="1976">
        <f t="shared" si="270"/>
      </c>
      <c r="HD32" s="1976">
        <f t="shared" si="270"/>
      </c>
    </row>
    <row r="33" spans="1:212">
      <c r="A33" s="554" t="s">
        <v>688</v>
      </c>
      <c r="B33" s="558">
        <v>13775.328</v>
      </c>
      <c r="C33" s="558">
        <v>13849.808000000001</v>
      </c>
      <c r="D33" s="558">
        <v>13858.32</v>
      </c>
      <c r="E33" s="559">
        <v>13979.84</v>
      </c>
      <c r="F33" s="558">
        <v>13947.583999999999</v>
      </c>
      <c r="G33" s="558">
        <v>14068.207999999999</v>
      </c>
      <c r="H33" s="558">
        <v>14168</v>
      </c>
      <c r="I33" s="558">
        <v>14291.984000000002</v>
      </c>
      <c r="J33" s="558">
        <v>14334.768</v>
      </c>
      <c r="K33" s="558">
        <v>14780.527999999998</v>
      </c>
      <c r="L33" s="558">
        <v>14903.616000000002</v>
      </c>
      <c r="M33" s="558">
        <v>15107.903999999999</v>
      </c>
      <c r="N33" s="558">
        <v>15126.944000000001</v>
      </c>
      <c r="O33" s="558">
        <v>15273.552000000001</v>
      </c>
      <c r="P33" s="558">
        <v>16134.048000000001</v>
      </c>
      <c r="Q33" s="558">
        <v>17983.727999999999</v>
      </c>
      <c r="R33" s="558">
        <v>18036.367999999999</v>
      </c>
      <c r="S33" s="558">
        <v>18163.263999999999</v>
      </c>
      <c r="T33" s="558">
        <v>18202.240000000002</v>
      </c>
      <c r="U33" s="558">
        <v>18310.712</v>
      </c>
      <c r="V33" s="558">
        <v>18881.52</v>
      </c>
      <c r="W33" s="558">
        <v>19380.48</v>
      </c>
      <c r="X33" s="558">
        <v>19530.84</v>
      </c>
      <c r="Y33" s="558">
        <v>19645.864000000001</v>
      </c>
      <c r="Z33" s="558">
        <v>19674.48</v>
      </c>
      <c r="AA33" s="558">
        <v>19794.88</v>
      </c>
      <c r="AB33" s="558">
        <v>19956.72</v>
      </c>
      <c r="AC33" s="558">
        <v>20098.960000000003</v>
      </c>
      <c r="AD33" s="558">
        <v>20107.192000000003</v>
      </c>
      <c r="AE33" s="558">
        <v>20187.440000000002</v>
      </c>
      <c r="AF33" s="558">
        <v>20204.407999999999</v>
      </c>
      <c r="AG33" s="558">
        <v>20282.696</v>
      </c>
      <c r="AH33" s="558">
        <v>20297.2</v>
      </c>
      <c r="AI33" s="558">
        <v>20459.432000000001</v>
      </c>
      <c r="AJ33" s="558">
        <v>21001.288</v>
      </c>
      <c r="AK33" s="558">
        <v>21473.928</v>
      </c>
      <c r="AL33" s="558">
        <v>22092.896000000001</v>
      </c>
      <c r="AM33" s="558">
        <v>22628.815999999999</v>
      </c>
      <c r="AN33" s="558">
        <v>22822.576000000001</v>
      </c>
      <c r="AO33" s="558">
        <v>22999.759999999998</v>
      </c>
      <c r="AP33" s="558">
        <v>23261.867999999999</v>
      </c>
      <c r="AQ33" s="558">
        <v>23545.48</v>
      </c>
      <c r="AR33" s="558">
        <v>23838.5</v>
      </c>
      <c r="AS33" s="558">
        <v>23917.236000000001</v>
      </c>
      <c r="AT33" s="558">
        <v>24015.348000000002</v>
      </c>
      <c r="AU33" s="558">
        <v>24164.084000000003</v>
      </c>
      <c r="AV33" s="558">
        <v>24270.567999999999</v>
      </c>
      <c r="AW33" s="558">
        <v>24384.667999999998</v>
      </c>
      <c r="AX33" s="558">
        <v>24524.080000000002</v>
      </c>
      <c r="AY33" s="558">
        <v>24627.288</v>
      </c>
      <c r="AZ33" s="558">
        <v>24744.664000000001</v>
      </c>
      <c r="BA33" s="558">
        <v>24814.664000000001</v>
      </c>
      <c r="BB33" s="558">
        <v>24895.976000000002</v>
      </c>
      <c r="BC33" s="558">
        <v>24953.039999999997</v>
      </c>
      <c r="BD33" s="558">
        <v>25023.936000000002</v>
      </c>
      <c r="BE33" s="558">
        <v>25144.896000000001</v>
      </c>
      <c r="BF33" s="558">
        <v>25299.175999999999</v>
      </c>
      <c r="BG33" s="558">
        <v>25411.344000000001</v>
      </c>
      <c r="BH33" s="558">
        <v>25541.516</v>
      </c>
      <c r="BI33" s="558">
        <v>25607.539999999997</v>
      </c>
      <c r="BJ33" s="558">
        <v>25740.232</v>
      </c>
      <c r="BK33" s="558">
        <v>25849.488000000001</v>
      </c>
      <c r="BL33" s="558">
        <v>25931.023999999998</v>
      </c>
      <c r="BM33" s="558">
        <v>25991.84</v>
      </c>
      <c r="BN33" s="558">
        <v>26069.148000000001</v>
      </c>
      <c r="BO33" s="558">
        <v>26140.295999999998</v>
      </c>
      <c r="BP33" s="558">
        <v>26224.688000000002</v>
      </c>
      <c r="BQ33" s="560">
        <v>26273.603999999999</v>
      </c>
      <c r="BR33" s="558">
        <v>26289.648000000001</v>
      </c>
      <c r="BS33" s="558">
        <v>26309.612000000001</v>
      </c>
      <c r="BT33" s="558">
        <v>25721.304</v>
      </c>
      <c r="BU33" s="560">
        <v>25316.563999999998</v>
      </c>
      <c r="BV33" s="558">
        <v>25090.016</v>
      </c>
      <c r="BW33" s="558">
        <v>24493.196</v>
      </c>
      <c r="BX33" s="558">
        <v>24050.54</v>
      </c>
      <c r="BY33" s="560">
        <v>23735.38</v>
      </c>
      <c r="BZ33" s="558">
        <v>23372.328000000001</v>
      </c>
      <c r="CA33" s="558">
        <v>23175.196</v>
      </c>
      <c r="CB33" s="558">
        <v>22919.544000000002</v>
      </c>
      <c r="CC33" s="560">
        <v>22587.664000000001</v>
      </c>
      <c r="CD33" s="558">
        <v>22235.72</v>
      </c>
      <c r="CE33" s="558">
        <v>22057.524000000001</v>
      </c>
      <c r="CF33" s="558">
        <v>21772.232</v>
      </c>
      <c r="CG33" s="560">
        <v>21467.648000000001</v>
      </c>
      <c r="CH33" s="558">
        <v>21194.644</v>
      </c>
      <c r="CI33" s="558">
        <v>20903.164000000001</v>
      </c>
      <c r="CJ33" s="558">
        <v>20780.351999999999</v>
      </c>
      <c r="CK33" s="560">
        <v>20597.712</v>
      </c>
      <c r="CL33" s="558">
        <v>20451.508000000002</v>
      </c>
      <c r="CM33" s="558">
        <v>20099.508000000002</v>
      </c>
      <c r="CN33" s="558">
        <v>19528.668000000001</v>
      </c>
      <c r="CO33" s="560">
        <v>19206.356</v>
      </c>
      <c r="CP33" s="558">
        <v>18943.28</v>
      </c>
      <c r="CQ33" s="558">
        <v>18696.284</v>
      </c>
      <c r="CR33" s="558">
        <v>18282.531999999999</v>
      </c>
      <c r="CS33" s="560">
        <v>17963.248</v>
      </c>
      <c r="CT33" s="558">
        <v>17660.16</v>
      </c>
      <c r="CU33" s="558">
        <v>17440.403999999999</v>
      </c>
      <c r="CV33" s="558">
        <v>17250.292000000001</v>
      </c>
      <c r="CW33" s="560">
        <v>17057.621999999999</v>
      </c>
      <c r="CX33" s="558">
        <v>16935.118999999999</v>
      </c>
      <c r="CY33" s="558">
        <v>16753.475999999999</v>
      </c>
      <c r="CZ33" s="558">
        <v>16629.370999999999</v>
      </c>
      <c r="DA33" s="560">
        <v>16487.120999999999</v>
      </c>
      <c r="DB33" s="558">
        <v>16391.723999999998</v>
      </c>
      <c r="DC33" s="558">
        <v>16278.802</v>
      </c>
      <c r="DD33" s="558">
        <v>16162.945</v>
      </c>
      <c r="DE33" s="1283">
        <v>16030.382</v>
      </c>
      <c r="DF33" s="558">
        <v>15892.723</v>
      </c>
      <c r="DG33" s="558">
        <v>15787.154</v>
      </c>
      <c r="DH33" s="558">
        <v>15697.614</v>
      </c>
      <c r="DI33" s="1283">
        <v>15599.433999999999</v>
      </c>
      <c r="DJ33" s="558">
        <v>15509.763000000001</v>
      </c>
      <c r="DK33" s="558">
        <v>15405.856</v>
      </c>
      <c r="DL33" s="558">
        <v>15287.521000000001</v>
      </c>
      <c r="DM33" s="1283">
        <v>15171.99</v>
      </c>
      <c r="DN33" s="558">
        <v>15081.724</v>
      </c>
      <c r="DO33" s="558">
        <v>14991.082</v>
      </c>
      <c r="DP33" s="558">
        <v>14902.886</v>
      </c>
      <c r="DQ33" s="1706">
        <f>'Cash Flow Statement'!DQ74</f>
      </c>
      <c r="DR33" s="1705">
        <f>'Cash Flow Statement'!DR74</f>
      </c>
      <c r="DS33" s="1705">
        <f>'Cash Flow Statement'!DS74</f>
      </c>
      <c r="DT33" s="1705">
        <f>'Cash Flow Statement'!DT74</f>
      </c>
      <c r="DU33" s="1706">
        <f>'Cash Flow Statement'!DU74</f>
      </c>
      <c r="DV33" s="1705">
        <f>'Cash Flow Statement'!DV74</f>
      </c>
      <c r="DW33" s="1705">
        <f>'Cash Flow Statement'!DW74</f>
      </c>
      <c r="DX33" s="1705">
        <f>'Cash Flow Statement'!DX74</f>
      </c>
      <c r="DY33" s="1706">
        <f>'Cash Flow Statement'!DY74</f>
      </c>
      <c r="DZ33" s="1705">
        <f>'Cash Flow Statement'!DZ74</f>
      </c>
      <c r="EA33" s="1705">
        <f>'Cash Flow Statement'!EA74</f>
      </c>
      <c r="EB33" s="1705">
        <f>'Cash Flow Statement'!EB74</f>
      </c>
      <c r="EC33" s="1706">
        <f>'Cash Flow Statement'!EC74</f>
      </c>
      <c r="ED33" s="1705">
        <f>'Cash Flow Statement'!ED74</f>
      </c>
      <c r="EE33" s="1705">
        <f>'Cash Flow Statement'!EE74</f>
      </c>
      <c r="EF33" s="1705">
        <f>'Cash Flow Statement'!EF74</f>
      </c>
      <c r="EG33" s="1706">
        <f>'Cash Flow Statement'!EG74</f>
      </c>
      <c r="EH33" s="1705">
        <f>'Cash Flow Statement'!EH74</f>
      </c>
      <c r="EI33" s="1705">
        <f>'Cash Flow Statement'!EI74</f>
      </c>
      <c r="EJ33" s="1705">
        <f>'Cash Flow Statement'!EJ74</f>
      </c>
      <c r="EK33" s="1706">
        <f>'Cash Flow Statement'!EK74</f>
      </c>
      <c r="EL33" s="62"/>
      <c r="EM33" s="691">
        <f>AVERAGE(B33:E33)</f>
      </c>
      <c r="EN33" s="554">
        <f>AVERAGE(F33:I33)</f>
      </c>
      <c r="EO33" s="554">
        <f>AVERAGE(J33:M33)</f>
      </c>
      <c r="EP33" s="554">
        <f>AVERAGE(N33:Q33)</f>
      </c>
      <c r="EQ33" s="554">
        <f>AVERAGE(R33:U33)</f>
      </c>
      <c r="ER33" s="554">
        <f>AVERAGE(V33:Y33)</f>
      </c>
      <c r="ES33" s="554">
        <f>AVERAGE(Z33:AC33)</f>
      </c>
      <c r="ET33" s="554">
        <f>AVERAGE(AD33:AG33)</f>
      </c>
      <c r="EU33" s="554">
        <f>AVERAGE(AH33:AK33)</f>
      </c>
      <c r="EV33" s="554">
        <f>AVERAGE(AL33:AO33)</f>
      </c>
      <c r="EW33" s="554">
        <f>AVERAGE(AP33:AS33)</f>
      </c>
      <c r="EX33" s="554">
        <f>AVERAGE(AT33:AW33)</f>
      </c>
      <c r="EY33" s="554">
        <f>AVERAGE(AX33:BA33)</f>
      </c>
      <c r="EZ33" s="554">
        <f>AVERAGE(BB33:BE33)</f>
      </c>
      <c r="FA33" s="554">
        <f>AVERAGE(BF33:BI33)</f>
      </c>
      <c r="FB33" s="554">
        <f>AVERAGE(BJ33:BM33)</f>
      </c>
      <c r="FC33" s="554">
        <f>AVERAGE(BN33:BQ33)</f>
      </c>
      <c r="FD33" s="554">
        <f>AVERAGE(BR33:BU33)</f>
      </c>
      <c r="FE33" s="554">
        <f>AVERAGE(BV33:BY33)</f>
      </c>
      <c r="FF33" s="554">
        <f>AVERAGE(BZ33:CC33)</f>
      </c>
      <c r="FG33" s="554">
        <f>AVERAGE(CD33:CG33)</f>
      </c>
      <c r="FH33" s="554">
        <f>AVERAGE(CH33:CK33)</f>
      </c>
      <c r="FI33" s="554">
        <f>AVERAGE(CL33:CO33)</f>
      </c>
      <c r="FJ33" s="554">
        <f>AVERAGE(CP33:CS33)</f>
      </c>
      <c r="FK33" s="554">
        <f>AVERAGE(CT33:CW33)</f>
      </c>
      <c r="FL33" s="691">
        <f>SUM(CX33:DA33)/4</f>
      </c>
      <c r="FM33" s="554">
        <f>SUM(DB33:DE33)/4</f>
      </c>
      <c r="FN33" s="554">
        <f>SUM(DF33:DI33)/4</f>
      </c>
      <c r="FO33" s="554">
        <f>SUM(DJ33:DM33)/4</f>
      </c>
      <c r="FP33" s="554">
        <f>SUM(DN33:DQ33)/4</f>
      </c>
      <c r="FQ33" s="554">
        <f>SUM(DR33:DU33)/4</f>
      </c>
      <c r="FR33" s="554">
        <f>SUM(DV33:DY33)/4</f>
      </c>
      <c r="FS33" s="554">
        <f>SUM(DZ33:EC33)/4</f>
      </c>
      <c r="FT33" s="554">
        <f>SUM(ED33:EG33)/4</f>
      </c>
      <c r="FU33" s="2890">
        <f>SUM(EH33:EK33)/4</f>
      </c>
      <c r="FV33" s="2645"/>
      <c r="FW33" s="554">
        <f>AVERAGE(C33:F33)</f>
      </c>
      <c r="FX33" s="554">
        <f>AVERAGE(G33:J33)</f>
      </c>
      <c r="FY33" s="554">
        <f>AVERAGE(K33:N33)</f>
      </c>
      <c r="FZ33" s="554">
        <f>AVERAGE(O33:R33)</f>
      </c>
      <c r="GA33" s="554">
        <f>AVERAGE(S33:V33)</f>
      </c>
      <c r="GB33" s="554">
        <f>AVERAGE(W33:Z33)</f>
      </c>
      <c r="GC33" s="554">
        <f>AVERAGE(AA33:AD33)</f>
      </c>
      <c r="GD33" s="554">
        <f>AVERAGE(AE33:AH33)</f>
      </c>
      <c r="GE33" s="554">
        <f>AVERAGE(AI33:AL33)</f>
      </c>
      <c r="GF33" s="554">
        <f>AVERAGE(AM33:AP33)</f>
      </c>
      <c r="GG33" s="554">
        <f>AVERAGE(AQ33:AT33)</f>
      </c>
      <c r="GH33" s="554">
        <f>AVERAGE(AU33:AX33)</f>
      </c>
      <c r="GI33" s="554">
        <f>AVERAGE(AY33:BB33)</f>
      </c>
      <c r="GJ33" s="554">
        <f>AVERAGE(BC33:BF33)</f>
      </c>
      <c r="GK33" s="554">
        <f>AVERAGE(BG33:BJ33)</f>
      </c>
      <c r="GL33" s="554">
        <f>AVERAGE(BK33:BN33)</f>
      </c>
      <c r="GM33" s="554">
        <f>AVERAGE(BO33:BR33)</f>
      </c>
      <c r="GN33" s="554">
        <f>AVERAGE(BS33:BV33)</f>
      </c>
      <c r="GO33" s="554">
        <f>AVERAGE(BW33:BZ33)</f>
      </c>
      <c r="GP33" s="554">
        <f>AVERAGE(CA33:CD33)</f>
      </c>
      <c r="GQ33" s="554">
        <f>AVERAGE(CE33:CH33)</f>
      </c>
      <c r="GR33" s="554">
        <f>AVERAGE(CI33:CL33)</f>
      </c>
      <c r="GS33" s="554">
        <f>AVERAGE(CM33:CP33)</f>
      </c>
      <c r="GT33" s="554">
        <f>AVERAGE(CQ33:CT33)</f>
      </c>
      <c r="GU33" s="554">
        <f>SUM(CU33:CX33)/4</f>
      </c>
      <c r="GV33" s="554">
        <f>SUM(CY33:DB33)/4</f>
      </c>
      <c r="GW33" s="554">
        <f>SUM(DC33:DF33)/4</f>
      </c>
      <c r="GX33" s="554">
        <f>SUM(DG33:DJ33)/4</f>
      </c>
      <c r="GY33" s="554">
        <f>SUM(DK33:DN33)/4</f>
      </c>
      <c r="GZ33" s="554">
        <f>SUM(DO33:DR33)/4</f>
      </c>
      <c r="HA33" s="554">
        <f>SUM(DS33:DV33)/4</f>
      </c>
      <c r="HB33" s="554">
        <f>SUM(DW33:DZ33)/4</f>
      </c>
      <c r="HC33" s="554">
        <f>SUM(EA33:ED33)/4</f>
      </c>
      <c r="HD33" s="554">
        <f>SUM(EE33:EH33)/4</f>
      </c>
    </row>
    <row r="34" spans="1:212">
      <c r="A34" s="561" t="s">
        <v>75</v>
      </c>
      <c r="B34" s="311">
        <v>13775.328</v>
      </c>
      <c r="C34" s="311">
        <v>13849.808000000001</v>
      </c>
      <c r="D34" s="311">
        <v>13858.32</v>
      </c>
      <c r="E34" s="562">
        <v>13979.84</v>
      </c>
      <c r="F34" s="311">
        <v>13947.583999999999</v>
      </c>
      <c r="G34" s="311">
        <v>14068.207999999999</v>
      </c>
      <c r="H34" s="311">
        <v>14168</v>
      </c>
      <c r="I34" s="311">
        <v>14291.984000000002</v>
      </c>
      <c r="J34" s="311">
        <v>15661.968000000001</v>
      </c>
      <c r="K34" s="311">
        <v>16342.48</v>
      </c>
      <c r="L34" s="311">
        <v>19240.031999999999</v>
      </c>
      <c r="M34" s="311">
        <v>19270.16</v>
      </c>
      <c r="N34" s="311">
        <v>19270.944000000003</v>
      </c>
      <c r="O34" s="311">
        <v>19398.848000000002</v>
      </c>
      <c r="P34" s="311">
        <v>19560.8</v>
      </c>
      <c r="Q34" s="311">
        <v>19801.151999999998</v>
      </c>
      <c r="R34" s="311">
        <v>19982.704000000002</v>
      </c>
      <c r="S34" s="311">
        <v>20383.216</v>
      </c>
      <c r="T34" s="311">
        <v>20261.752</v>
      </c>
      <c r="U34" s="311">
        <v>20259.903999999999</v>
      </c>
      <c r="V34" s="311">
        <v>18881.52</v>
      </c>
      <c r="W34" s="311">
        <v>19757.472000000002</v>
      </c>
      <c r="X34" s="311">
        <v>20090.84</v>
      </c>
      <c r="Y34" s="311">
        <v>19965.399999999998</v>
      </c>
      <c r="Z34" s="311">
        <v>20010.48</v>
      </c>
      <c r="AA34" s="311">
        <v>20494.263999999999</v>
      </c>
      <c r="AB34" s="311">
        <v>20545.392</v>
      </c>
      <c r="AC34" s="311">
        <v>20203.960000000003</v>
      </c>
      <c r="AD34" s="311">
        <v>20213.2</v>
      </c>
      <c r="AE34" s="311">
        <v>20285.608</v>
      </c>
      <c r="AF34" s="311">
        <v>20371.511999999999</v>
      </c>
      <c r="AG34" s="311">
        <v>20761.047999999999</v>
      </c>
      <c r="AH34" s="311">
        <v>20849.248</v>
      </c>
      <c r="AI34" s="311">
        <v>21180.880000000001</v>
      </c>
      <c r="AJ34" s="311">
        <v>21986.775999999998</v>
      </c>
      <c r="AK34" s="311">
        <v>22562.736000000001</v>
      </c>
      <c r="AL34" s="311">
        <v>23486.539999999997</v>
      </c>
      <c r="AM34" s="311">
        <v>24011.903999999999</v>
      </c>
      <c r="AN34" s="311">
        <v>24102.484</v>
      </c>
      <c r="AO34" s="311">
        <v>24261.523999999998</v>
      </c>
      <c r="AP34" s="311">
        <v>24477.795999999998</v>
      </c>
      <c r="AQ34" s="311">
        <v>24599.036</v>
      </c>
      <c r="AR34" s="311">
        <v>24538.304</v>
      </c>
      <c r="AS34" s="311">
        <v>24605.196</v>
      </c>
      <c r="AT34" s="311">
        <v>24732.315999999999</v>
      </c>
      <c r="AU34" s="311">
        <v>24826.284</v>
      </c>
      <c r="AV34" s="311">
        <v>24938.788</v>
      </c>
      <c r="AW34" s="311">
        <v>25078.648000000001</v>
      </c>
      <c r="AX34" s="311">
        <v>25201.511999999999</v>
      </c>
      <c r="AY34" s="311">
        <v>25181.212</v>
      </c>
      <c r="AZ34" s="311">
        <v>25288.675999999999</v>
      </c>
      <c r="BA34" s="311">
        <v>25334.007999999998</v>
      </c>
      <c r="BB34" s="311">
        <v>25241.832000000002</v>
      </c>
      <c r="BC34" s="311">
        <v>25283.804</v>
      </c>
      <c r="BD34" s="311">
        <v>25456.48</v>
      </c>
      <c r="BE34" s="311">
        <v>25602.472000000002</v>
      </c>
      <c r="BF34" s="311">
        <v>25753.923999999999</v>
      </c>
      <c r="BG34" s="311">
        <v>25840.584000000003</v>
      </c>
      <c r="BH34" s="311">
        <v>25966.108</v>
      </c>
      <c r="BI34" s="311">
        <v>26007.100000000002</v>
      </c>
      <c r="BJ34" s="311">
        <v>26128.311999999998</v>
      </c>
      <c r="BK34" s="311">
        <v>26206.432000000001</v>
      </c>
      <c r="BL34" s="311">
        <v>26258.68</v>
      </c>
      <c r="BM34" s="311">
        <v>26306.476000000002</v>
      </c>
      <c r="BN34" s="311">
        <v>26364.016</v>
      </c>
      <c r="BO34" s="311">
        <v>26457.004000000001</v>
      </c>
      <c r="BP34" s="311">
        <v>26517.651999999998</v>
      </c>
      <c r="BQ34" s="374">
        <v>26549.208000000002</v>
      </c>
      <c r="BR34" s="311">
        <v>26522.076000000001</v>
      </c>
      <c r="BS34" s="311">
        <v>26488.98</v>
      </c>
      <c r="BT34" s="311">
        <v>25879.42</v>
      </c>
      <c r="BU34" s="374">
        <v>25455.667999999998</v>
      </c>
      <c r="BV34" s="311">
        <v>25240.655999999999</v>
      </c>
      <c r="BW34" s="311">
        <v>24626.784</v>
      </c>
      <c r="BX34" s="311">
        <v>24206.844000000001</v>
      </c>
      <c r="BY34" s="374">
        <v>23888.328000000001</v>
      </c>
      <c r="BZ34" s="311">
        <v>23527.212</v>
      </c>
      <c r="CA34" s="311">
        <v>23339.432000000001</v>
      </c>
      <c r="CB34" s="311">
        <v>23092.396000000001</v>
      </c>
      <c r="CC34" s="374">
        <v>22730.076000000001</v>
      </c>
      <c r="CD34" s="311">
        <v>22376.508000000002</v>
      </c>
      <c r="CE34" s="311">
        <v>22163.544000000002</v>
      </c>
      <c r="CF34" s="311">
        <v>21891.124</v>
      </c>
      <c r="CG34" s="374">
        <v>21573.331999999999</v>
      </c>
      <c r="CH34" s="311">
        <v>21311.98</v>
      </c>
      <c r="CI34" s="311">
        <v>21046.752</v>
      </c>
      <c r="CJ34" s="311">
        <v>20933.995999999999</v>
      </c>
      <c r="CK34" s="374">
        <v>20734.34</v>
      </c>
      <c r="CL34" s="311">
        <v>20631.148000000001</v>
      </c>
      <c r="CM34" s="311">
        <v>20273.972000000002</v>
      </c>
      <c r="CN34" s="311">
        <v>19706.436000000002</v>
      </c>
      <c r="CO34" s="374">
        <v>19390.187999999998</v>
      </c>
      <c r="CP34" s="311">
        <v>19093.008000000002</v>
      </c>
      <c r="CQ34" s="311">
        <v>18802.583999999999</v>
      </c>
      <c r="CR34" s="311">
        <v>18405.52</v>
      </c>
      <c r="CS34" s="374">
        <v>18081.491999999998</v>
      </c>
      <c r="CT34" s="311">
        <v>17818.416000000001</v>
      </c>
      <c r="CU34" s="311">
        <v>17618.763999999999</v>
      </c>
      <c r="CV34" s="311">
        <v>17419.151999999998</v>
      </c>
      <c r="CW34" s="374">
        <v>17256.521000000001</v>
      </c>
      <c r="CX34" s="311">
        <v>17113.687999999998</v>
      </c>
      <c r="CY34" s="311">
        <v>16929.156999999999</v>
      </c>
      <c r="CZ34" s="311">
        <v>16781.735000000001</v>
      </c>
      <c r="DA34" s="374">
        <v>16635.097000000002</v>
      </c>
      <c r="DB34" s="311">
        <v>16519.291000000001</v>
      </c>
      <c r="DC34" s="311">
        <v>16403.315999999999</v>
      </c>
      <c r="DD34" s="311">
        <v>16262.203</v>
      </c>
      <c r="DE34" s="1621">
        <v>16118.465</v>
      </c>
      <c r="DF34" s="311">
        <v>15955.718000000001</v>
      </c>
      <c r="DG34" s="311">
        <v>15847.05</v>
      </c>
      <c r="DH34" s="311">
        <v>15775.021000000001</v>
      </c>
      <c r="DI34" s="1621">
        <v>15672.4</v>
      </c>
      <c r="DJ34" s="311">
        <v>15576.641</v>
      </c>
      <c r="DK34" s="311">
        <v>15464.709000000001</v>
      </c>
      <c r="DL34" s="311">
        <v>15348.174999999999</v>
      </c>
      <c r="DM34" s="1621">
        <v>15242.852999999999</v>
      </c>
      <c r="DN34" s="311">
        <v>15150.865</v>
      </c>
      <c r="DO34" s="311">
        <v>15056.133</v>
      </c>
      <c r="DP34" s="311">
        <v>14948.179</v>
      </c>
      <c r="DQ34" s="687">
        <f t="shared" ref="DQ34:DU34" si="271">DP34-DP33+DQ33</f>
      </c>
      <c r="DR34" s="688">
        <f t="shared" si="271"/>
      </c>
      <c r="DS34" s="688">
        <f t="shared" si="271"/>
      </c>
      <c r="DT34" s="688">
        <f t="shared" si="271"/>
      </c>
      <c r="DU34" s="687">
        <f t="shared" si="271"/>
      </c>
      <c r="DV34" s="688">
        <f t="shared" ref="DV34" si="272">DU34-DU33+DV33</f>
      </c>
      <c r="DW34" s="688">
        <f t="shared" ref="DW34" si="273">DV34-DV33+DW33</f>
      </c>
      <c r="DX34" s="688">
        <f t="shared" ref="DX34" si="274">DW34-DW33+DX33</f>
      </c>
      <c r="DY34" s="687">
        <f t="shared" ref="DY34" si="275">DX34-DX33+DY33</f>
      </c>
      <c r="DZ34" s="688">
        <f t="shared" ref="DZ34" si="276">DY34-DY33+DZ33</f>
      </c>
      <c r="EA34" s="688">
        <f t="shared" ref="EA34" si="277">DZ34-DZ33+EA33</f>
      </c>
      <c r="EB34" s="688">
        <f t="shared" ref="EB34" si="278">EA34-EA33+EB33</f>
      </c>
      <c r="EC34" s="687">
        <f t="shared" ref="EC34" si="279">EB34-EB33+EC33</f>
      </c>
      <c r="ED34" s="688">
        <f t="shared" ref="ED34" si="280">EC34-EC33+ED33</f>
      </c>
      <c r="EE34" s="688">
        <f t="shared" ref="EE34" si="281">ED34-ED33+EE33</f>
      </c>
      <c r="EF34" s="688">
        <f t="shared" ref="EF34" si="282">EE34-EE33+EF33</f>
      </c>
      <c r="EG34" s="687">
        <f t="shared" ref="EG34" si="283">EF34-EF33+EG33</f>
      </c>
      <c r="EH34" s="688">
        <f t="shared" ref="EH34" si="284">EG34-EG33+EH33</f>
      </c>
      <c r="EI34" s="688">
        <f t="shared" ref="EI34" si="285">EH34-EH33+EI33</f>
      </c>
      <c r="EJ34" s="688">
        <f t="shared" ref="EJ34" si="286">EI34-EI33+EJ33</f>
      </c>
      <c r="EK34" s="687">
        <f t="shared" ref="EK34" si="287">EJ34-EJ33+EK33</f>
      </c>
      <c r="EL34" s="62"/>
      <c r="EM34" s="692">
        <f>AVERAGE(B34:E34)</f>
      </c>
      <c r="EN34" s="197">
        <f>AVERAGE(F34:I34)</f>
      </c>
      <c r="EO34" s="197">
        <f>AVERAGE(J34:M34)</f>
      </c>
      <c r="EP34" s="197">
        <f>AVERAGE(N34:Q34)</f>
      </c>
      <c r="EQ34" s="197">
        <f>AVERAGE(R34:U34)</f>
      </c>
      <c r="ER34" s="197">
        <f>AVERAGE(V34:Y34)</f>
      </c>
      <c r="ES34" s="197">
        <f>AVERAGE(Z34:AC34)</f>
      </c>
      <c r="ET34" s="197">
        <f>AVERAGE(AD34:AG34)</f>
      </c>
      <c r="EU34" s="197">
        <f>AVERAGE(AH34:AK34)</f>
      </c>
      <c r="EV34" s="197">
        <f>AVERAGE(AL34:AO34)</f>
      </c>
      <c r="EW34" s="197">
        <f>AVERAGE(AP34:AS34)</f>
      </c>
      <c r="EX34" s="197">
        <f>AVERAGE(AT34:AW34)</f>
      </c>
      <c r="EY34" s="197">
        <f>AVERAGE(AX34:BA34)</f>
      </c>
      <c r="EZ34" s="197">
        <f>AVERAGE(BB34:BE34)</f>
      </c>
      <c r="FA34" s="197">
        <f>AVERAGE(BF34:BI34)</f>
      </c>
      <c r="FB34" s="197">
        <f>AVERAGE(BJ34:BM34)</f>
      </c>
      <c r="FC34" s="197">
        <f>AVERAGE(BN34:BQ34)</f>
      </c>
      <c r="FD34" s="197">
        <f>AVERAGE(BR34:BU34)</f>
      </c>
      <c r="FE34" s="197">
        <f>AVERAGE(BV34:BY34)</f>
      </c>
      <c r="FF34" s="197">
        <f>AVERAGE(BZ34:CC34)</f>
      </c>
      <c r="FG34" s="197">
        <f>AVERAGE(CD34:CG34)</f>
      </c>
      <c r="FH34" s="197">
        <f>AVERAGE(CH34:CK34)</f>
      </c>
      <c r="FI34" s="197">
        <f>AVERAGE(CL34:CO34)</f>
      </c>
      <c r="FJ34" s="197">
        <f>AVERAGE(CP34:CS34)</f>
      </c>
      <c r="FK34" s="197">
        <f>AVERAGE(CT34:CW34)</f>
      </c>
      <c r="FL34" s="692">
        <f>SUM(CX34:DA34)/4</f>
      </c>
      <c r="FM34" s="197">
        <f>SUM(DB34:DE34)/4</f>
      </c>
      <c r="FN34" s="197">
        <f>SUM(DF34:DI34)/4</f>
      </c>
      <c r="FO34" s="197">
        <f>SUM(DJ34:DM34)/4</f>
      </c>
      <c r="FP34" s="197">
        <f>SUM(DN34:DQ34)/4</f>
      </c>
      <c r="FQ34" s="197">
        <f>SUM(DR34:DU34)/4</f>
      </c>
      <c r="FR34" s="197">
        <f>SUM(DV34:DY34)/4</f>
      </c>
      <c r="FS34" s="197">
        <f>SUM(DZ34:EC34)/4</f>
      </c>
      <c r="FT34" s="197">
        <f>SUM(ED34:EG34)/4</f>
      </c>
      <c r="FU34" s="2891">
        <f>SUM(EH34:EK34)/4</f>
      </c>
      <c r="FV34" s="2645"/>
      <c r="FW34" s="197">
        <f>AVERAGE(C34:F34)</f>
      </c>
      <c r="FX34" s="197">
        <f>AVERAGE(G34:J34)</f>
      </c>
      <c r="FY34" s="197">
        <f>AVERAGE(K34:N34)</f>
      </c>
      <c r="FZ34" s="197">
        <f>AVERAGE(O34:R34)</f>
      </c>
      <c r="GA34" s="197">
        <f>AVERAGE(S34:V34)</f>
      </c>
      <c r="GB34" s="197">
        <f>AVERAGE(W34:Z34)</f>
      </c>
      <c r="GC34" s="197">
        <f>AVERAGE(AA34:AD34)</f>
      </c>
      <c r="GD34" s="197">
        <f>AVERAGE(AE34:AH34)</f>
      </c>
      <c r="GE34" s="197">
        <f>AVERAGE(AI34:AL34)</f>
      </c>
      <c r="GF34" s="197">
        <f>AVERAGE(AM34:AP34)</f>
      </c>
      <c r="GG34" s="197">
        <f>AVERAGE(AQ34:AT34)</f>
      </c>
      <c r="GH34" s="197">
        <f>AVERAGE(AU34:AX34)</f>
      </c>
      <c r="GI34" s="197">
        <f>AVERAGE(AY34:BB34)</f>
      </c>
      <c r="GJ34" s="197">
        <f>AVERAGE(BC34:BF34)</f>
      </c>
      <c r="GK34" s="197">
        <f>AVERAGE(BG34:BJ34)</f>
      </c>
      <c r="GL34" s="197">
        <f>AVERAGE(BK34:BN34)</f>
      </c>
      <c r="GM34" s="197">
        <f>AVERAGE(BO34:BR34)</f>
      </c>
      <c r="GN34" s="197">
        <f>AVERAGE(BS34:BV34)</f>
      </c>
      <c r="GO34" s="197">
        <f>AVERAGE(BW34:BZ34)</f>
      </c>
      <c r="GP34" s="197">
        <f>AVERAGE(CA34:CD34)</f>
      </c>
      <c r="GQ34" s="197">
        <f>AVERAGE(CE34:CH34)</f>
      </c>
      <c r="GR34" s="197">
        <f>AVERAGE(CI34:CL34)</f>
      </c>
      <c r="GS34" s="197">
        <f>AVERAGE(CM34:CP34)</f>
      </c>
      <c r="GT34" s="197">
        <f>AVERAGE(CQ34:CT34)</f>
      </c>
      <c r="GU34" s="197">
        <f>SUM(CU34:CX34)/4</f>
      </c>
      <c r="GV34" s="197">
        <f>SUM(CY34:DB34)/4</f>
      </c>
      <c r="GW34" s="197">
        <f>SUM(DC34:DF34)/4</f>
      </c>
      <c r="GX34" s="197">
        <f>SUM(DG34:DJ34)/4</f>
      </c>
      <c r="GY34" s="197">
        <f>SUM(DK34:DN34)/4</f>
      </c>
      <c r="GZ34" s="197">
        <f>SUM(DO34:DR34)/4</f>
      </c>
      <c r="HA34" s="197">
        <f>SUM(DS34:DV34)/4</f>
      </c>
      <c r="HB34" s="197">
        <f>SUM(DW34:DZ34)/4</f>
      </c>
      <c r="HC34" s="197">
        <f>SUM(EA34:ED34)/4</f>
      </c>
      <c r="HD34" s="197">
        <f>SUM(EE34:EH34)/4</f>
      </c>
    </row>
    <row r="35" spans="1:212" s="3312" customFormat="1">
      <c r="A35" s="3295" t="s">
        <v>74</v>
      </c>
      <c r="B35" s="3296"/>
      <c r="C35" s="3296"/>
      <c r="D35" s="3296"/>
      <c r="E35" s="3297"/>
      <c r="F35" s="3296"/>
      <c r="G35" s="3296"/>
      <c r="H35" s="3296"/>
      <c r="I35" s="3296"/>
      <c r="J35" s="3296"/>
      <c r="K35" s="3296"/>
      <c r="L35" s="3296"/>
      <c r="M35" s="3296"/>
      <c r="N35" s="3296"/>
      <c r="O35" s="3296"/>
      <c r="P35" s="3296"/>
      <c r="Q35" s="3296"/>
      <c r="R35" s="3296"/>
      <c r="S35" s="3296"/>
      <c r="T35" s="3296"/>
      <c r="U35" s="3296"/>
      <c r="V35" s="3296"/>
      <c r="W35" s="3296"/>
      <c r="X35" s="3296"/>
      <c r="Y35" s="3296"/>
      <c r="Z35" s="3296"/>
      <c r="AA35" s="3296"/>
      <c r="AB35" s="3296"/>
      <c r="AC35" s="3296"/>
      <c r="AD35" s="3296"/>
      <c r="AE35" s="3296"/>
      <c r="AF35" s="3296"/>
      <c r="AG35" s="3296"/>
      <c r="AH35" s="3296"/>
      <c r="AI35" s="3296"/>
      <c r="AJ35" s="3296"/>
      <c r="AK35" s="3296"/>
      <c r="AL35" s="3296"/>
      <c r="AM35" s="3296"/>
      <c r="AN35" s="3296"/>
      <c r="AO35" s="3296"/>
      <c r="AP35" s="3296"/>
      <c r="AQ35" s="3296"/>
      <c r="AR35" s="3296"/>
      <c r="AS35" s="3296"/>
      <c r="AT35" s="3296"/>
      <c r="AU35" s="3296"/>
      <c r="AV35" s="3296"/>
      <c r="AW35" s="3296"/>
      <c r="AX35" s="3296"/>
      <c r="AY35" s="3296"/>
      <c r="AZ35" s="3296"/>
      <c r="BA35" s="3296"/>
      <c r="BB35" s="3296"/>
      <c r="BC35" s="3296"/>
      <c r="BD35" s="3296"/>
      <c r="BE35" s="3296"/>
      <c r="BF35" s="3296"/>
      <c r="BG35" s="3296"/>
      <c r="BH35" s="3296"/>
      <c r="BI35" s="3296"/>
      <c r="BJ35" s="3296"/>
      <c r="BK35" s="3296"/>
      <c r="BL35" s="3296"/>
      <c r="BM35" s="3296"/>
      <c r="BN35" s="3296"/>
      <c r="BO35" s="3296"/>
      <c r="BP35" s="3296"/>
      <c r="BQ35" s="3298">
        <v>9.5000000000000001E-2</v>
      </c>
      <c r="BR35" s="3299">
        <v>9.5000000000000001E-2</v>
      </c>
      <c r="BS35" s="3299">
        <v>9.5000000000000001E-2</v>
      </c>
      <c r="BT35" s="3299">
        <v>0.10892857142857142</v>
      </c>
      <c r="BU35" s="3298">
        <v>0.10892857142857142</v>
      </c>
      <c r="BV35" s="3299">
        <v>0.10892857142857142</v>
      </c>
      <c r="BW35" s="3299">
        <v>0.10892857142857142</v>
      </c>
      <c r="BX35" s="3299">
        <v>0.11749999999999999</v>
      </c>
      <c r="BY35" s="3298">
        <v>0.11749999999999999</v>
      </c>
      <c r="BZ35" s="3299">
        <v>0.11749999999999999</v>
      </c>
      <c r="CA35" s="3299">
        <v>0.11749999999999999</v>
      </c>
      <c r="CB35" s="3299">
        <v>0.13</v>
      </c>
      <c r="CC35" s="3298">
        <v>0.13</v>
      </c>
      <c r="CD35" s="3299">
        <v>0.13</v>
      </c>
      <c r="CE35" s="3299">
        <v>0.13</v>
      </c>
      <c r="CF35" s="3300">
        <v>0.14249999999999999</v>
      </c>
      <c r="CG35" s="3301">
        <v>0.14249999999999999</v>
      </c>
      <c r="CH35" s="3300">
        <v>0.14249999999999999</v>
      </c>
      <c r="CI35" s="3300">
        <v>0.14249999999999999</v>
      </c>
      <c r="CJ35" s="3300">
        <v>0.1575</v>
      </c>
      <c r="CK35" s="3301">
        <v>0.1575</v>
      </c>
      <c r="CL35" s="3302">
        <v>0.1575</v>
      </c>
      <c r="CM35" s="3302">
        <v>0.1575</v>
      </c>
      <c r="CN35" s="3300">
        <v>0.1825</v>
      </c>
      <c r="CO35" s="3303">
        <v>0.1825</v>
      </c>
      <c r="CP35" s="3302">
        <v>0.1825</v>
      </c>
      <c r="CQ35" s="3302">
        <v>0.1825</v>
      </c>
      <c r="CR35" s="3302">
        <v>0.1925</v>
      </c>
      <c r="CS35" s="3303">
        <v>0.1925</v>
      </c>
      <c r="CT35" s="3302">
        <v>0.1925</v>
      </c>
      <c r="CU35" s="3302">
        <v>0.1925</v>
      </c>
      <c r="CV35" s="3302">
        <v>0.20499999999999999</v>
      </c>
      <c r="CW35" s="3303">
        <v>0.20499999999999999</v>
      </c>
      <c r="CX35" s="3302">
        <v>0.20499999999999999</v>
      </c>
      <c r="CY35" s="3302">
        <v>0.20499999999999999</v>
      </c>
      <c r="CZ35" s="3302">
        <v>0.22</v>
      </c>
      <c r="DA35" s="3303">
        <v>0.22</v>
      </c>
      <c r="DB35" s="3302">
        <v>0.22</v>
      </c>
      <c r="DC35" s="3302">
        <v>0.22</v>
      </c>
      <c r="DD35" s="3302">
        <v>0.23</v>
      </c>
      <c r="DE35" s="3304">
        <v>0.23</v>
      </c>
      <c r="DF35" s="3302">
        <v>0.23</v>
      </c>
      <c r="DG35" s="3302">
        <f>DF35</f>
      </c>
      <c r="DH35" s="3302">
        <v>0.24</v>
      </c>
      <c r="DI35" s="3304">
        <v>0.24</v>
      </c>
      <c r="DJ35" s="3302">
        <v>0.24</v>
      </c>
      <c r="DK35" s="3302">
        <v>0.24</v>
      </c>
      <c r="DL35" s="3302">
        <v>0.25</v>
      </c>
      <c r="DM35" s="3304">
        <v>0.25</v>
      </c>
      <c r="DN35" s="3302">
        <v>0.25</v>
      </c>
      <c r="DO35" s="3302">
        <v>0.25</v>
      </c>
      <c r="DP35" s="3302">
        <v>0.26</v>
      </c>
      <c r="DQ35" s="3306">
        <f>DP35</f>
      </c>
      <c r="DR35" s="3305">
        <f>DQ35</f>
      </c>
      <c r="DS35" s="3305">
        <f>DR35</f>
      </c>
      <c r="DT35" s="3305">
        <f>DS35+0.01</f>
      </c>
      <c r="DU35" s="3306">
        <f>DT35</f>
      </c>
      <c r="DV35" s="3305">
        <f>DU35</f>
      </c>
      <c r="DW35" s="3305">
        <f>DV35</f>
      </c>
      <c r="DX35" s="3305">
        <f>DW35+0.01</f>
      </c>
      <c r="DY35" s="3306">
        <f>DX35</f>
      </c>
      <c r="DZ35" s="3305">
        <f>DY35</f>
      </c>
      <c r="EA35" s="3305">
        <f>DZ35</f>
      </c>
      <c r="EB35" s="3305">
        <f>EA35+0.01</f>
      </c>
      <c r="EC35" s="3306">
        <f>EB35</f>
      </c>
      <c r="ED35" s="3305">
        <f>EC35</f>
      </c>
      <c r="EE35" s="3305">
        <f>ED35</f>
      </c>
      <c r="EF35" s="3305">
        <f>EE35+0.01</f>
      </c>
      <c r="EG35" s="3306">
        <f>EF35</f>
      </c>
      <c r="EH35" s="3305">
        <f>EG35</f>
      </c>
      <c r="EI35" s="3305">
        <f>EH35</f>
      </c>
      <c r="EJ35" s="3305">
        <f>EI35+0.01</f>
      </c>
      <c r="EK35" s="3306">
        <f>EJ35</f>
      </c>
      <c r="EL35" s="3307"/>
      <c r="EM35" s="3308">
        <f>SUM(B35:E35)</f>
      </c>
      <c r="EN35" s="3309">
        <f>SUM(F35:I35)</f>
      </c>
      <c r="EO35" s="3309">
        <f>SUM(J35:M35)</f>
      </c>
      <c r="EP35" s="3309">
        <f>SUM(N35:Q35)</f>
      </c>
      <c r="EQ35" s="3309">
        <f>SUM(R35:U35)</f>
      </c>
      <c r="ER35" s="3309">
        <f>SUM(V35:Y35)</f>
      </c>
      <c r="ES35" s="3309">
        <f>SUM(Z35:AC35)</f>
      </c>
      <c r="ET35" s="3309">
        <f>SUM(AD35:AG35)</f>
      </c>
      <c r="EU35" s="3309">
        <f>SUM(AH35:AK35)</f>
      </c>
      <c r="EV35" s="3309">
        <f>SUM(AL35:AO35)</f>
      </c>
      <c r="EW35" s="3309">
        <f>SUM(AP35:AS35)</f>
      </c>
      <c r="EX35" s="3309">
        <f>SUM(AT35:AW35)</f>
      </c>
      <c r="EY35" s="3309">
        <f>SUM(AX35:BA35)</f>
      </c>
      <c r="EZ35" s="3309">
        <f>SUM(BB35:BE35)</f>
      </c>
      <c r="FA35" s="3309">
        <f>SUM(BF35:BI35)</f>
      </c>
      <c r="FB35" s="3309">
        <f>SUM(BJ35:BM35)</f>
      </c>
      <c r="FC35" s="3309">
        <f>SUM(BN35:BQ35)</f>
      </c>
      <c r="FD35" s="3309">
        <f>SUM(BR35:BU35)</f>
      </c>
      <c r="FE35" s="3309">
        <f>SUM(BV35:BY35)</f>
      </c>
      <c r="FF35" s="3309">
        <f>SUM(BZ35:CC35)</f>
      </c>
      <c r="FG35" s="3309">
        <f>SUM(CD35:CG35)</f>
      </c>
      <c r="FH35" s="3309">
        <f>SUM(CH35:CK35)</f>
      </c>
      <c r="FI35" s="3309">
        <f>SUM(CL35:CO35)</f>
      </c>
      <c r="FJ35" s="3309">
        <f>SUM(CP35:CS35)</f>
      </c>
      <c r="FK35" s="3309">
        <f>SUM(CT35:CW35)</f>
      </c>
      <c r="FL35" s="3308">
        <f>SUM(CX35:DA35)</f>
      </c>
      <c r="FM35" s="3309">
        <f>SUM(DB35:DE35)</f>
      </c>
      <c r="FN35" s="3309">
        <f>SUM(DF35:DI35)</f>
      </c>
      <c r="FO35" s="3309">
        <f>SUM(DJ35:DM35)</f>
      </c>
      <c r="FP35" s="3309">
        <f>SUM(DN35:DQ35)</f>
      </c>
      <c r="FQ35" s="3309">
        <f>SUM(DR35:DU35)</f>
      </c>
      <c r="FR35" s="3309">
        <f>SUM(DV35:DY35)</f>
      </c>
      <c r="FS35" s="3309">
        <f>SUM(DZ35:EC35)</f>
      </c>
      <c r="FT35" s="3309">
        <f>SUM(ED35:EG35)</f>
      </c>
      <c r="FU35" s="3310">
        <f>SUM(EH35:EK35)</f>
      </c>
      <c r="FV35" s="3311"/>
      <c r="FW35" s="3309">
        <f>SUM(C35:F35)</f>
      </c>
      <c r="FX35" s="3309">
        <f>SUM(G35:J35)</f>
      </c>
      <c r="FY35" s="3309">
        <f>SUM(K35:N35)</f>
      </c>
      <c r="FZ35" s="3309">
        <f>SUM(O35:R35)</f>
      </c>
      <c r="GA35" s="3309">
        <f>SUM(S35:V35)</f>
      </c>
      <c r="GB35" s="3309">
        <f>SUM(W35:Z35)</f>
      </c>
      <c r="GC35" s="3309">
        <f>SUM(AA35:AD35)</f>
      </c>
      <c r="GD35" s="3309">
        <f>SUM(AE35:AH35)</f>
      </c>
      <c r="GE35" s="3309">
        <f>SUM(AI35:AL35)</f>
      </c>
      <c r="GF35" s="3309">
        <f>SUM(AM35:AP35)</f>
      </c>
      <c r="GG35" s="3309">
        <f>SUM(AQ35:AT35)</f>
      </c>
      <c r="GH35" s="3309">
        <f>SUM(AU35:AX35)</f>
      </c>
      <c r="GI35" s="3309">
        <f>SUM(AY35:BB35)</f>
      </c>
      <c r="GJ35" s="3309">
        <f>SUM(BC35:BF35)</f>
      </c>
      <c r="GK35" s="3309">
        <f>SUM(BG35:BJ35)</f>
      </c>
      <c r="GL35" s="3309">
        <f>SUM(BK35:BN35)</f>
      </c>
      <c r="GM35" s="3309">
        <f>SUM(BO35:BR35)</f>
      </c>
      <c r="GN35" s="3309">
        <f>SUM(BS35:BV35)</f>
      </c>
      <c r="GO35" s="3309">
        <f>SUM(BW35:BZ35)</f>
      </c>
      <c r="GP35" s="3309">
        <f>SUM(CA35:CD35)</f>
      </c>
      <c r="GQ35" s="3309">
        <f>SUM(CE35:CH35)</f>
      </c>
      <c r="GR35" s="3309">
        <f>SUM(CI35:CL35)</f>
      </c>
      <c r="GS35" s="3309">
        <f>SUM(CM35:CP35)</f>
      </c>
      <c r="GT35" s="3309">
        <f>SUM(CQ35:CT35)</f>
      </c>
      <c r="GU35" s="3309">
        <f>SUM(CU35:CX35)</f>
      </c>
      <c r="GV35" s="3309">
        <f>SUM(CY35:DB35)</f>
      </c>
      <c r="GW35" s="3309">
        <f>SUM(DC35:DF35)</f>
      </c>
      <c r="GX35" s="3309">
        <f>SUM(DG35:DJ35)</f>
      </c>
      <c r="GY35" s="3309">
        <f>SUM(DK35:DN35)</f>
      </c>
      <c r="GZ35" s="3309">
        <f>SUM(DO35:DR35)</f>
      </c>
      <c r="HA35" s="3309">
        <f>SUM(DS35:DV35)</f>
      </c>
      <c r="HB35" s="3309">
        <f>SUM(DW35:DZ35)</f>
      </c>
      <c r="HC35" s="3309">
        <f>SUM(EA35:ED35)</f>
      </c>
      <c r="HD35" s="3309">
        <f>SUM(EE35:EH35)</f>
      </c>
    </row>
    <row r="36" spans="1:212">
      <c r="A36" s="1"/>
      <c r="E36" s="181"/>
      <c r="BQ36" s="170"/>
      <c r="BU36" s="170"/>
      <c r="BY36" s="170"/>
      <c r="CC36" s="170"/>
      <c r="CD36" s="58"/>
      <c r="CE36" s="58"/>
      <c r="CF36" s="58"/>
      <c r="CG36" s="188"/>
      <c r="CH36" s="517"/>
      <c r="CI36" s="58"/>
      <c r="CJ36" s="58"/>
      <c r="CK36" s="188"/>
      <c r="CL36" s="58"/>
      <c r="CM36" s="58"/>
      <c r="CN36" s="58"/>
      <c r="CO36" s="188"/>
      <c r="CP36" s="58"/>
      <c r="CQ36" s="58"/>
      <c r="CR36" s="58"/>
      <c r="CS36" s="308"/>
      <c r="CT36" s="518"/>
      <c r="CU36" s="58"/>
      <c r="CV36" s="58"/>
      <c r="CW36" s="188"/>
      <c r="CX36" s="58"/>
      <c r="CY36" s="58"/>
      <c r="CZ36" s="58"/>
      <c r="DA36" s="188"/>
      <c r="DB36" s="58"/>
      <c r="DC36" s="58"/>
      <c r="DD36" s="58"/>
      <c r="DE36" s="188"/>
      <c r="DF36" s="58"/>
      <c r="DG36" s="58"/>
      <c r="DH36" s="58"/>
      <c r="DI36" s="188"/>
      <c r="DJ36" s="58"/>
      <c r="DK36" s="58"/>
      <c r="DL36" s="58"/>
      <c r="DM36" s="188"/>
      <c r="DN36" s="58"/>
      <c r="DO36" s="58"/>
      <c r="DP36" s="58"/>
      <c r="DQ36" s="188"/>
      <c r="DR36" s="58"/>
      <c r="DS36" s="58"/>
      <c r="DT36" s="58"/>
      <c r="DU36" s="188"/>
      <c r="DV36" s="58"/>
      <c r="DW36" s="58"/>
      <c r="DX36" s="58"/>
      <c r="DY36" s="188"/>
      <c r="DZ36" s="58"/>
      <c r="EA36" s="58"/>
      <c r="EB36" s="58"/>
      <c r="EC36" s="188"/>
      <c r="ED36" s="58"/>
      <c r="EE36" s="58"/>
      <c r="EF36" s="58"/>
      <c r="EG36" s="188"/>
      <c r="EH36" s="58"/>
      <c r="EI36" s="58"/>
      <c r="EJ36" s="58"/>
      <c r="EK36" s="188"/>
      <c r="EL36" s="89"/>
      <c r="FH36" s="283"/>
      <c r="FI36" s="151"/>
      <c r="FJ36" s="151"/>
      <c r="FK36" s="151"/>
      <c r="FL36" s="2892"/>
      <c r="FQ36" s="58"/>
      <c r="FR36" s="58"/>
      <c r="FS36" s="17"/>
      <c r="FU36" s="53"/>
      <c r="FV36" s="89"/>
    </row>
    <row r="37" spans="1:212" s="1" customFormat="1">
      <c r="A37" s="543"/>
      <c r="B37" s="543" t="str">
        <f t="shared" ref="B37:AG37" si="288">B7</f>
      </c>
      <c r="C37" s="543" t="str">
        <f t="shared" si="288"/>
      </c>
      <c r="D37" s="543" t="str">
        <f t="shared" si="288"/>
      </c>
      <c r="E37" s="544" t="str">
        <f t="shared" si="288"/>
      </c>
      <c r="F37" s="543" t="str">
        <f t="shared" si="288"/>
      </c>
      <c r="G37" s="543" t="str">
        <f t="shared" si="288"/>
      </c>
      <c r="H37" s="543" t="str">
        <f t="shared" si="288"/>
      </c>
      <c r="I37" s="543" t="str">
        <f t="shared" si="288"/>
      </c>
      <c r="J37" s="543" t="str">
        <f t="shared" si="288"/>
      </c>
      <c r="K37" s="543" t="str">
        <f t="shared" si="288"/>
      </c>
      <c r="L37" s="543" t="str">
        <f t="shared" si="288"/>
      </c>
      <c r="M37" s="543" t="str">
        <f t="shared" si="288"/>
      </c>
      <c r="N37" s="543" t="str">
        <f t="shared" si="288"/>
      </c>
      <c r="O37" s="543" t="str">
        <f t="shared" si="288"/>
      </c>
      <c r="P37" s="543" t="str">
        <f t="shared" si="288"/>
      </c>
      <c r="Q37" s="543" t="str">
        <f t="shared" si="288"/>
      </c>
      <c r="R37" s="543" t="str">
        <f t="shared" si="288"/>
      </c>
      <c r="S37" s="543" t="str">
        <f t="shared" si="288"/>
      </c>
      <c r="T37" s="543" t="str">
        <f t="shared" si="288"/>
      </c>
      <c r="U37" s="543" t="str">
        <f t="shared" si="288"/>
      </c>
      <c r="V37" s="543" t="str">
        <f t="shared" si="288"/>
      </c>
      <c r="W37" s="543" t="str">
        <f t="shared" si="288"/>
      </c>
      <c r="X37" s="543" t="str">
        <f t="shared" si="288"/>
      </c>
      <c r="Y37" s="543" t="str">
        <f t="shared" si="288"/>
      </c>
      <c r="Z37" s="543" t="str">
        <f t="shared" si="288"/>
      </c>
      <c r="AA37" s="543" t="str">
        <f t="shared" si="288"/>
      </c>
      <c r="AB37" s="543" t="str">
        <f t="shared" si="288"/>
      </c>
      <c r="AC37" s="543" t="str">
        <f t="shared" si="288"/>
      </c>
      <c r="AD37" s="543" t="str">
        <f t="shared" si="288"/>
      </c>
      <c r="AE37" s="543" t="str">
        <f t="shared" si="288"/>
      </c>
      <c r="AF37" s="543" t="str">
        <f t="shared" si="288"/>
      </c>
      <c r="AG37" s="543" t="str">
        <f t="shared" si="288"/>
      </c>
      <c r="AH37" s="543" t="str">
        <f t="shared" ref="AH37:BM37" si="289">AH7</f>
      </c>
      <c r="AI37" s="543" t="str">
        <f t="shared" si="289"/>
      </c>
      <c r="AJ37" s="543" t="str">
        <f t="shared" si="289"/>
      </c>
      <c r="AK37" s="543" t="str">
        <f t="shared" si="289"/>
      </c>
      <c r="AL37" s="543" t="str">
        <f t="shared" si="289"/>
      </c>
      <c r="AM37" s="543" t="str">
        <f t="shared" si="289"/>
      </c>
      <c r="AN37" s="543" t="str">
        <f t="shared" si="289"/>
      </c>
      <c r="AO37" s="543" t="str">
        <f t="shared" si="289"/>
      </c>
      <c r="AP37" s="543" t="str">
        <f t="shared" si="289"/>
      </c>
      <c r="AQ37" s="543" t="str">
        <f t="shared" si="289"/>
      </c>
      <c r="AR37" s="543" t="str">
        <f t="shared" si="289"/>
      </c>
      <c r="AS37" s="543" t="str">
        <f t="shared" si="289"/>
      </c>
      <c r="AT37" s="543" t="str">
        <f t="shared" si="289"/>
      </c>
      <c r="AU37" s="543" t="str">
        <f t="shared" si="289"/>
      </c>
      <c r="AV37" s="543" t="str">
        <f t="shared" si="289"/>
      </c>
      <c r="AW37" s="543" t="str">
        <f t="shared" si="289"/>
      </c>
      <c r="AX37" s="543" t="str">
        <f t="shared" si="289"/>
      </c>
      <c r="AY37" s="543" t="str">
        <f t="shared" si="289"/>
      </c>
      <c r="AZ37" s="543" t="str">
        <f t="shared" si="289"/>
      </c>
      <c r="BA37" s="543" t="str">
        <f t="shared" si="289"/>
      </c>
      <c r="BB37" s="543" t="str">
        <f t="shared" si="289"/>
      </c>
      <c r="BC37" s="543" t="str">
        <f t="shared" si="289"/>
      </c>
      <c r="BD37" s="543" t="str">
        <f t="shared" si="289"/>
      </c>
      <c r="BE37" s="543" t="str">
        <f t="shared" si="289"/>
      </c>
      <c r="BF37" s="543" t="str">
        <f t="shared" si="289"/>
      </c>
      <c r="BG37" s="543" t="str">
        <f t="shared" si="289"/>
      </c>
      <c r="BH37" s="543" t="str">
        <f t="shared" si="289"/>
      </c>
      <c r="BI37" s="543" t="str">
        <f t="shared" si="289"/>
      </c>
      <c r="BJ37" s="543" t="str">
        <f t="shared" si="289"/>
      </c>
      <c r="BK37" s="543" t="str">
        <f t="shared" si="289"/>
      </c>
      <c r="BL37" s="543" t="str">
        <f t="shared" si="289"/>
      </c>
      <c r="BM37" s="543" t="str">
        <f t="shared" si="289"/>
      </c>
      <c r="BN37" s="543" t="str">
        <f t="shared" ref="BN37:CS37" si="290">BN7</f>
      </c>
      <c r="BO37" s="543" t="str">
        <f t="shared" si="290"/>
      </c>
      <c r="BP37" s="543" t="str">
        <f t="shared" si="290"/>
      </c>
      <c r="BQ37" s="545" t="str">
        <f t="shared" si="290"/>
      </c>
      <c r="BR37" s="543" t="str">
        <f t="shared" si="290"/>
      </c>
      <c r="BS37" s="543" t="str">
        <f t="shared" si="290"/>
      </c>
      <c r="BT37" s="543" t="str">
        <f t="shared" si="290"/>
      </c>
      <c r="BU37" s="545" t="str">
        <f t="shared" si="290"/>
      </c>
      <c r="BV37" s="543" t="str">
        <f t="shared" si="290"/>
      </c>
      <c r="BW37" s="543" t="str">
        <f t="shared" si="290"/>
      </c>
      <c r="BX37" s="543" t="str">
        <f t="shared" si="290"/>
      </c>
      <c r="BY37" s="545" t="str">
        <f t="shared" si="290"/>
      </c>
      <c r="BZ37" s="543" t="str">
        <f t="shared" si="290"/>
      </c>
      <c r="CA37" s="543" t="str">
        <f t="shared" si="290"/>
      </c>
      <c r="CB37" s="543" t="str">
        <f t="shared" si="290"/>
      </c>
      <c r="CC37" s="545" t="str">
        <f t="shared" si="290"/>
      </c>
      <c r="CD37" s="543" t="str">
        <f t="shared" si="290"/>
      </c>
      <c r="CE37" s="543" t="str">
        <f t="shared" si="290"/>
      </c>
      <c r="CF37" s="543" t="str">
        <f t="shared" si="290"/>
      </c>
      <c r="CG37" s="545" t="str">
        <f t="shared" si="290"/>
      </c>
      <c r="CH37" s="543" t="str">
        <f t="shared" si="290"/>
      </c>
      <c r="CI37" s="543" t="str">
        <f t="shared" si="290"/>
      </c>
      <c r="CJ37" s="543" t="str">
        <f t="shared" si="290"/>
      </c>
      <c r="CK37" s="545" t="str">
        <f t="shared" si="290"/>
      </c>
      <c r="CL37" s="543" t="str">
        <f t="shared" si="290"/>
      </c>
      <c r="CM37" s="543" t="str">
        <f t="shared" si="290"/>
      </c>
      <c r="CN37" s="543" t="str">
        <f t="shared" si="290"/>
      </c>
      <c r="CO37" s="545" t="str">
        <f t="shared" si="290"/>
      </c>
      <c r="CP37" s="543" t="str">
        <f t="shared" si="290"/>
      </c>
      <c r="CQ37" s="543" t="str">
        <f t="shared" si="290"/>
      </c>
      <c r="CR37" s="543" t="str">
        <f t="shared" si="290"/>
      </c>
      <c r="CS37" s="547" t="str">
        <f t="shared" si="290"/>
      </c>
      <c r="CT37" s="543" t="str">
        <f t="shared" ref="CT37:DU37" si="291">CT7</f>
      </c>
      <c r="CU37" s="543" t="str">
        <f t="shared" si="291"/>
      </c>
      <c r="CV37" s="543" t="str">
        <f t="shared" si="291"/>
      </c>
      <c r="CW37" s="547" t="str">
        <f t="shared" si="291"/>
      </c>
      <c r="CX37" s="543" t="str">
        <f t="shared" si="291"/>
      </c>
      <c r="CY37" s="543" t="str">
        <f t="shared" si="291"/>
      </c>
      <c r="CZ37" s="543" t="str">
        <f t="shared" si="291"/>
      </c>
      <c r="DA37" s="547" t="str">
        <f t="shared" si="291"/>
      </c>
      <c r="DB37" s="543" t="str">
        <f t="shared" si="291"/>
      </c>
      <c r="DC37" s="543" t="str">
        <f t="shared" si="291"/>
      </c>
      <c r="DD37" s="543" t="str">
        <f t="shared" si="291"/>
      </c>
      <c r="DE37" s="547" t="str">
        <f t="shared" si="291"/>
      </c>
      <c r="DF37" s="543" t="str">
        <f t="shared" si="291"/>
      </c>
      <c r="DG37" s="543" t="str">
        <f t="shared" si="291"/>
      </c>
      <c r="DH37" s="543" t="str">
        <f t="shared" si="291"/>
      </c>
      <c r="DI37" s="547" t="str">
        <f t="shared" si="291"/>
      </c>
      <c r="DJ37" s="543" t="str">
        <f t="shared" si="291"/>
      </c>
      <c r="DK37" s="543" t="str">
        <f t="shared" si="291"/>
      </c>
      <c r="DL37" s="543" t="str">
        <f t="shared" si="291"/>
      </c>
      <c r="DM37" s="547" t="str">
        <f t="shared" si="291"/>
      </c>
      <c r="DN37" s="543" t="str">
        <f t="shared" si="291"/>
      </c>
      <c r="DO37" s="543" t="str">
        <f t="shared" si="291"/>
      </c>
      <c r="DP37" s="543" t="str">
        <f t="shared" si="291"/>
      </c>
      <c r="DQ37" s="547" t="str">
        <f t="shared" si="291"/>
      </c>
      <c r="DR37" s="543" t="str">
        <f t="shared" si="291"/>
      </c>
      <c r="DS37" s="543" t="str">
        <f t="shared" si="291"/>
      </c>
      <c r="DT37" s="543" t="str">
        <f t="shared" si="291"/>
      </c>
      <c r="DU37" s="547" t="str">
        <f t="shared" si="291"/>
      </c>
      <c r="DV37" s="543" t="str">
        <f t="shared" ref="DV37:EK37" si="292">DV7</f>
      </c>
      <c r="DW37" s="543" t="str">
        <f t="shared" si="292"/>
      </c>
      <c r="DX37" s="543" t="str">
        <f t="shared" si="292"/>
      </c>
      <c r="DY37" s="547" t="str">
        <f t="shared" si="292"/>
      </c>
      <c r="DZ37" s="543" t="str">
        <f t="shared" si="292"/>
      </c>
      <c r="EA37" s="543" t="str">
        <f t="shared" si="292"/>
      </c>
      <c r="EB37" s="543" t="str">
        <f t="shared" si="292"/>
      </c>
      <c r="EC37" s="547" t="str">
        <f t="shared" si="292"/>
      </c>
      <c r="ED37" s="543" t="str">
        <f t="shared" si="292"/>
      </c>
      <c r="EE37" s="543" t="str">
        <f t="shared" si="292"/>
      </c>
      <c r="EF37" s="543" t="str">
        <f t="shared" si="292"/>
      </c>
      <c r="EG37" s="547" t="str">
        <f t="shared" si="292"/>
      </c>
      <c r="EH37" s="543" t="str">
        <f t="shared" si="292"/>
      </c>
      <c r="EI37" s="543" t="str">
        <f t="shared" si="292"/>
      </c>
      <c r="EJ37" s="543" t="str">
        <f t="shared" si="292"/>
      </c>
      <c r="EK37" s="547" t="str">
        <f t="shared" si="292"/>
      </c>
      <c r="EL37" s="11"/>
      <c r="EM37" s="696"/>
      <c r="EN37" s="579"/>
      <c r="EO37" s="579"/>
      <c r="EP37" s="579"/>
      <c r="EQ37" s="579"/>
      <c r="ER37" s="579"/>
      <c r="ES37" s="579"/>
      <c r="ET37" s="579"/>
      <c r="EU37" s="579"/>
      <c r="EV37" s="579"/>
      <c r="EW37" s="579"/>
      <c r="EX37" s="579"/>
      <c r="EY37" s="579"/>
      <c r="EZ37" s="579"/>
      <c r="FA37" s="579"/>
      <c r="FB37" s="579"/>
      <c r="FC37" s="579"/>
      <c r="FD37" s="579"/>
      <c r="FE37" s="579"/>
      <c r="FF37" s="580" t="s">
        <v>61</v>
      </c>
      <c r="FG37" s="579"/>
      <c r="FH37" s="579"/>
      <c r="FI37" s="579"/>
      <c r="FJ37" s="579"/>
      <c r="FK37" s="579"/>
      <c r="FL37" s="696"/>
      <c r="FM37" s="579"/>
      <c r="FN37" s="579"/>
      <c r="FO37" s="579"/>
      <c r="FP37" s="579"/>
      <c r="FQ37" s="579"/>
      <c r="FR37" s="579"/>
      <c r="FS37" s="3234"/>
      <c r="FT37" s="579"/>
      <c r="FU37" s="2893"/>
      <c r="FV37" s="152"/>
      <c r="FW37" s="579"/>
      <c r="FX37" s="579"/>
      <c r="FY37" s="579"/>
      <c r="FZ37" s="579"/>
      <c r="GA37" s="579"/>
      <c r="GB37" s="579"/>
      <c r="GC37" s="579"/>
      <c r="GD37" s="579"/>
      <c r="GE37" s="579"/>
      <c r="GF37" s="579"/>
      <c r="GG37" s="579"/>
      <c r="GH37" s="579"/>
      <c r="GI37" s="579"/>
      <c r="GJ37" s="579"/>
      <c r="GK37" s="579"/>
      <c r="GL37" s="579"/>
      <c r="GM37" s="579"/>
      <c r="GN37" s="579"/>
      <c r="GO37" s="579"/>
      <c r="GP37" s="580" t="s">
        <v>62</v>
      </c>
      <c r="GQ37" s="579"/>
      <c r="GR37" s="579"/>
      <c r="GS37" s="579"/>
      <c r="GT37" s="579"/>
      <c r="GU37" s="579"/>
      <c r="GV37" s="579"/>
      <c r="GW37" s="579"/>
      <c r="GX37" s="579"/>
      <c r="GY37" s="579"/>
      <c r="GZ37" s="579"/>
      <c r="HA37" s="579"/>
      <c r="HB37" s="579"/>
      <c r="HC37" s="579"/>
      <c r="HD37" s="579"/>
    </row>
    <row r="38" spans="1:212" s="1" customFormat="1">
      <c r="A38" s="548" t="s">
        <v>1155</v>
      </c>
      <c r="B38" s="549">
        <f t="shared" ref="B38:AG38" si="293">B8</f>
      </c>
      <c r="C38" s="549">
        <f t="shared" si="293"/>
      </c>
      <c r="D38" s="549">
        <f t="shared" si="293"/>
      </c>
      <c r="E38" s="3243">
        <f t="shared" si="293"/>
      </c>
      <c r="F38" s="549">
        <f t="shared" si="293"/>
      </c>
      <c r="G38" s="549">
        <f t="shared" si="293"/>
      </c>
      <c r="H38" s="549">
        <f t="shared" si="293"/>
      </c>
      <c r="I38" s="549">
        <f t="shared" si="293"/>
      </c>
      <c r="J38" s="549">
        <f t="shared" si="293"/>
      </c>
      <c r="K38" s="549">
        <f t="shared" si="293"/>
      </c>
      <c r="L38" s="549">
        <f t="shared" si="293"/>
      </c>
      <c r="M38" s="549">
        <f t="shared" si="293"/>
      </c>
      <c r="N38" s="549">
        <f t="shared" si="293"/>
      </c>
      <c r="O38" s="549">
        <f t="shared" si="293"/>
      </c>
      <c r="P38" s="549">
        <f t="shared" si="293"/>
      </c>
      <c r="Q38" s="549">
        <f t="shared" si="293"/>
      </c>
      <c r="R38" s="549">
        <f t="shared" si="293"/>
      </c>
      <c r="S38" s="549">
        <f t="shared" si="293"/>
      </c>
      <c r="T38" s="549">
        <f t="shared" si="293"/>
      </c>
      <c r="U38" s="549">
        <f t="shared" si="293"/>
      </c>
      <c r="V38" s="549">
        <f t="shared" si="293"/>
      </c>
      <c r="W38" s="549">
        <f t="shared" si="293"/>
      </c>
      <c r="X38" s="549">
        <f t="shared" si="293"/>
      </c>
      <c r="Y38" s="549">
        <f t="shared" si="293"/>
      </c>
      <c r="Z38" s="549">
        <f t="shared" si="293"/>
      </c>
      <c r="AA38" s="549">
        <f t="shared" si="293"/>
      </c>
      <c r="AB38" s="549">
        <f t="shared" si="293"/>
      </c>
      <c r="AC38" s="549">
        <f t="shared" si="293"/>
      </c>
      <c r="AD38" s="549">
        <f t="shared" si="293"/>
      </c>
      <c r="AE38" s="549">
        <f t="shared" si="293"/>
      </c>
      <c r="AF38" s="549">
        <f t="shared" si="293"/>
      </c>
      <c r="AG38" s="549">
        <f t="shared" si="293"/>
      </c>
      <c r="AH38" s="549">
        <f t="shared" ref="AH38:BM38" si="294">AH8</f>
      </c>
      <c r="AI38" s="549">
        <f t="shared" si="294"/>
      </c>
      <c r="AJ38" s="549">
        <f t="shared" si="294"/>
      </c>
      <c r="AK38" s="549">
        <f t="shared" si="294"/>
      </c>
      <c r="AL38" s="549">
        <f t="shared" si="294"/>
      </c>
      <c r="AM38" s="549">
        <f t="shared" si="294"/>
      </c>
      <c r="AN38" s="549">
        <f t="shared" si="294"/>
      </c>
      <c r="AO38" s="549">
        <f t="shared" si="294"/>
      </c>
      <c r="AP38" s="549">
        <f t="shared" si="294"/>
      </c>
      <c r="AQ38" s="549">
        <f t="shared" si="294"/>
      </c>
      <c r="AR38" s="549">
        <f t="shared" si="294"/>
      </c>
      <c r="AS38" s="549">
        <f t="shared" si="294"/>
      </c>
      <c r="AT38" s="549">
        <f t="shared" si="294"/>
      </c>
      <c r="AU38" s="549">
        <f t="shared" si="294"/>
      </c>
      <c r="AV38" s="549">
        <f t="shared" si="294"/>
      </c>
      <c r="AW38" s="549">
        <f t="shared" si="294"/>
      </c>
      <c r="AX38" s="549">
        <f t="shared" si="294"/>
      </c>
      <c r="AY38" s="549">
        <f t="shared" si="294"/>
      </c>
      <c r="AZ38" s="549">
        <f t="shared" si="294"/>
      </c>
      <c r="BA38" s="549">
        <f t="shared" si="294"/>
      </c>
      <c r="BB38" s="549">
        <f t="shared" si="294"/>
      </c>
      <c r="BC38" s="549">
        <f t="shared" si="294"/>
      </c>
      <c r="BD38" s="549">
        <f t="shared" si="294"/>
      </c>
      <c r="BE38" s="549">
        <f t="shared" si="294"/>
      </c>
      <c r="BF38" s="549">
        <f t="shared" si="294"/>
      </c>
      <c r="BG38" s="549">
        <f t="shared" si="294"/>
      </c>
      <c r="BH38" s="549">
        <f t="shared" si="294"/>
      </c>
      <c r="BI38" s="549">
        <f t="shared" si="294"/>
      </c>
      <c r="BJ38" s="549">
        <f t="shared" si="294"/>
      </c>
      <c r="BK38" s="549">
        <f t="shared" si="294"/>
      </c>
      <c r="BL38" s="549">
        <f t="shared" si="294"/>
      </c>
      <c r="BM38" s="549">
        <f t="shared" si="294"/>
      </c>
      <c r="BN38" s="549">
        <f t="shared" ref="BN38:CS38" si="295">BN8</f>
      </c>
      <c r="BO38" s="549">
        <f t="shared" si="295"/>
      </c>
      <c r="BP38" s="549">
        <f t="shared" si="295"/>
      </c>
      <c r="BQ38" s="550">
        <f t="shared" si="295"/>
      </c>
      <c r="BR38" s="549">
        <f t="shared" si="295"/>
      </c>
      <c r="BS38" s="549">
        <f t="shared" si="295"/>
      </c>
      <c r="BT38" s="549">
        <f t="shared" si="295"/>
      </c>
      <c r="BU38" s="550">
        <f t="shared" si="295"/>
      </c>
      <c r="BV38" s="549">
        <f t="shared" si="295"/>
      </c>
      <c r="BW38" s="549">
        <f t="shared" si="295"/>
      </c>
      <c r="BX38" s="549">
        <f t="shared" si="295"/>
      </c>
      <c r="BY38" s="550">
        <f t="shared" si="295"/>
      </c>
      <c r="BZ38" s="549">
        <f t="shared" si="295"/>
      </c>
      <c r="CA38" s="549">
        <f t="shared" si="295"/>
      </c>
      <c r="CB38" s="549">
        <f t="shared" si="295"/>
      </c>
      <c r="CC38" s="550">
        <f t="shared" si="295"/>
      </c>
      <c r="CD38" s="549">
        <f t="shared" si="295"/>
      </c>
      <c r="CE38" s="549">
        <f t="shared" si="295"/>
      </c>
      <c r="CF38" s="549">
        <f t="shared" si="295"/>
      </c>
      <c r="CG38" s="550">
        <f t="shared" si="295"/>
      </c>
      <c r="CH38" s="549">
        <f t="shared" si="295"/>
      </c>
      <c r="CI38" s="549">
        <f t="shared" si="295"/>
      </c>
      <c r="CJ38" s="549">
        <f t="shared" si="295"/>
      </c>
      <c r="CK38" s="550">
        <f t="shared" si="295"/>
      </c>
      <c r="CL38" s="549">
        <f t="shared" si="295"/>
      </c>
      <c r="CM38" s="549">
        <f t="shared" si="295"/>
      </c>
      <c r="CN38" s="549">
        <f t="shared" si="295"/>
      </c>
      <c r="CO38" s="550">
        <f t="shared" si="295"/>
      </c>
      <c r="CP38" s="549">
        <f t="shared" si="295"/>
      </c>
      <c r="CQ38" s="549">
        <f t="shared" si="295"/>
      </c>
      <c r="CR38" s="549">
        <f t="shared" si="295"/>
      </c>
      <c r="CS38" s="550">
        <f t="shared" si="295"/>
      </c>
      <c r="CT38" s="549">
        <f t="shared" ref="CT38:DU38" si="296">CT8</f>
      </c>
      <c r="CU38" s="549">
        <f t="shared" si="296"/>
      </c>
      <c r="CV38" s="549">
        <f t="shared" si="296"/>
      </c>
      <c r="CW38" s="550">
        <f t="shared" si="296"/>
      </c>
      <c r="CX38" s="549">
        <f t="shared" si="296"/>
      </c>
      <c r="CY38" s="549">
        <f t="shared" si="296"/>
      </c>
      <c r="CZ38" s="549">
        <f t="shared" si="296"/>
      </c>
      <c r="DA38" s="550">
        <f t="shared" si="296"/>
      </c>
      <c r="DB38" s="549">
        <f t="shared" si="296"/>
      </c>
      <c r="DC38" s="549">
        <f t="shared" si="296"/>
      </c>
      <c r="DD38" s="549">
        <f t="shared" si="296"/>
      </c>
      <c r="DE38" s="550">
        <f t="shared" si="296"/>
      </c>
      <c r="DF38" s="549">
        <f t="shared" si="296"/>
      </c>
      <c r="DG38" s="549">
        <f t="shared" si="296"/>
      </c>
      <c r="DH38" s="549">
        <f t="shared" si="296"/>
      </c>
      <c r="DI38" s="550">
        <f t="shared" si="296"/>
      </c>
      <c r="DJ38" s="549">
        <f t="shared" si="296"/>
      </c>
      <c r="DK38" s="549">
        <f t="shared" si="296"/>
      </c>
      <c r="DL38" s="549">
        <f t="shared" si="296"/>
      </c>
      <c r="DM38" s="550">
        <f t="shared" si="296"/>
      </c>
      <c r="DN38" s="549">
        <f t="shared" si="296"/>
      </c>
      <c r="DO38" s="549">
        <f t="shared" si="296"/>
      </c>
      <c r="DP38" s="549">
        <f t="shared" si="296"/>
      </c>
      <c r="DQ38" s="550">
        <f t="shared" si="296"/>
      </c>
      <c r="DR38" s="549">
        <f t="shared" si="296"/>
      </c>
      <c r="DS38" s="549">
        <f t="shared" si="296"/>
      </c>
      <c r="DT38" s="549">
        <f t="shared" si="296"/>
      </c>
      <c r="DU38" s="550">
        <f t="shared" si="296"/>
      </c>
      <c r="DV38" s="549">
        <f t="shared" ref="DV38:EK38" si="297">DV8</f>
      </c>
      <c r="DW38" s="549">
        <f t="shared" si="297"/>
      </c>
      <c r="DX38" s="549">
        <f t="shared" si="297"/>
      </c>
      <c r="DY38" s="550">
        <f t="shared" si="297"/>
      </c>
      <c r="DZ38" s="549">
        <f t="shared" si="297"/>
      </c>
      <c r="EA38" s="549">
        <f t="shared" si="297"/>
      </c>
      <c r="EB38" s="549">
        <f t="shared" si="297"/>
      </c>
      <c r="EC38" s="550">
        <f t="shared" si="297"/>
      </c>
      <c r="ED38" s="549">
        <f t="shared" si="297"/>
      </c>
      <c r="EE38" s="549">
        <f t="shared" si="297"/>
      </c>
      <c r="EF38" s="549">
        <f t="shared" si="297"/>
      </c>
      <c r="EG38" s="550">
        <f t="shared" si="297"/>
      </c>
      <c r="EH38" s="549">
        <f t="shared" si="297"/>
      </c>
      <c r="EI38" s="549">
        <f t="shared" si="297"/>
      </c>
      <c r="EJ38" s="549">
        <f t="shared" si="297"/>
      </c>
      <c r="EK38" s="550">
        <f t="shared" si="297"/>
      </c>
      <c r="EL38" s="451"/>
      <c r="EM38" s="697" t="str">
        <f t="shared" ref="EM38:FQ38" si="298">EM8</f>
      </c>
      <c r="EN38" s="694" t="str">
        <f t="shared" si="298"/>
      </c>
      <c r="EO38" s="694" t="str">
        <f t="shared" si="298"/>
      </c>
      <c r="EP38" s="694" t="str">
        <f t="shared" si="298"/>
      </c>
      <c r="EQ38" s="694" t="str">
        <f t="shared" si="298"/>
      </c>
      <c r="ER38" s="694" t="str">
        <f t="shared" si="298"/>
      </c>
      <c r="ES38" s="694" t="str">
        <f t="shared" si="298"/>
      </c>
      <c r="ET38" s="694" t="str">
        <f t="shared" si="298"/>
      </c>
      <c r="EU38" s="694" t="str">
        <f t="shared" si="298"/>
      </c>
      <c r="EV38" s="694" t="str">
        <f t="shared" si="298"/>
      </c>
      <c r="EW38" s="694" t="str">
        <f t="shared" si="298"/>
      </c>
      <c r="EX38" s="694" t="str">
        <f t="shared" si="298"/>
      </c>
      <c r="EY38" s="694" t="str">
        <f t="shared" si="298"/>
      </c>
      <c r="EZ38" s="694" t="str">
        <f t="shared" si="298"/>
      </c>
      <c r="FA38" s="694" t="str">
        <f t="shared" si="298"/>
      </c>
      <c r="FB38" s="694" t="str">
        <f t="shared" si="298"/>
      </c>
      <c r="FC38" s="694" t="str">
        <f t="shared" si="298"/>
      </c>
      <c r="FD38" s="694" t="str">
        <f t="shared" si="298"/>
      </c>
      <c r="FE38" s="694" t="str">
        <f t="shared" si="298"/>
      </c>
      <c r="FF38" s="694" t="str">
        <f t="shared" si="298"/>
      </c>
      <c r="FG38" s="694" t="str">
        <f t="shared" si="298"/>
      </c>
      <c r="FH38" s="694" t="str">
        <f t="shared" si="298"/>
      </c>
      <c r="FI38" s="694" t="str">
        <f t="shared" si="298"/>
      </c>
      <c r="FJ38" s="694" t="str">
        <f t="shared" si="298"/>
      </c>
      <c r="FK38" s="694" t="str">
        <f t="shared" si="298"/>
      </c>
      <c r="FL38" s="697" t="str">
        <f t="shared" si="298"/>
      </c>
      <c r="FM38" s="694" t="str">
        <f t="shared" si="298"/>
      </c>
      <c r="FN38" s="694" t="str">
        <f t="shared" si="298"/>
      </c>
      <c r="FO38" s="694" t="str">
        <f t="shared" si="298"/>
      </c>
      <c r="FP38" s="694" t="str">
        <f t="shared" si="298"/>
      </c>
      <c r="FQ38" s="694" t="str">
        <f t="shared" si="298"/>
      </c>
      <c r="FR38" s="694" t="str">
        <f t="shared" ref="FR38:FU38" si="299">FR8</f>
      </c>
      <c r="FS38" s="694" t="str">
        <f t="shared" si="299"/>
      </c>
      <c r="FT38" s="694" t="str">
        <f t="shared" si="299"/>
      </c>
      <c r="FU38" s="2870" t="str">
        <f t="shared" si="299"/>
      </c>
      <c r="FV38" s="930"/>
      <c r="FW38" s="694">
        <v>1996</v>
      </c>
      <c r="FX38" s="694">
        <v>1997</v>
      </c>
      <c r="FY38" s="694">
        <v>1998</v>
      </c>
      <c r="FZ38" s="694">
        <v>1999</v>
      </c>
      <c r="GA38" s="694" t="s">
        <v>896</v>
      </c>
      <c r="GB38" s="694" t="s">
        <v>897</v>
      </c>
      <c r="GC38" s="694" t="s">
        <v>898</v>
      </c>
      <c r="GD38" s="694" t="s">
        <v>899</v>
      </c>
      <c r="GE38" s="694" t="s">
        <v>900</v>
      </c>
      <c r="GF38" s="694" t="s">
        <v>901</v>
      </c>
      <c r="GG38" s="694" t="s">
        <v>902</v>
      </c>
      <c r="GH38" s="694" t="s">
        <v>903</v>
      </c>
      <c r="GI38" s="694" t="s">
        <v>904</v>
      </c>
      <c r="GJ38" s="694" t="s">
        <v>905</v>
      </c>
      <c r="GK38" s="694" t="s">
        <v>906</v>
      </c>
      <c r="GL38" s="694" t="s">
        <v>907</v>
      </c>
      <c r="GM38" s="694" t="s">
        <v>908</v>
      </c>
      <c r="GN38" s="694" t="s">
        <v>909</v>
      </c>
      <c r="GO38" s="694" t="s">
        <v>910</v>
      </c>
      <c r="GP38" s="694" t="s">
        <v>911</v>
      </c>
      <c r="GQ38" s="694" t="str">
        <f t="shared" ref="GQ38:GZ38" si="300">GQ8</f>
      </c>
      <c r="GR38" s="694" t="str">
        <f t="shared" si="300"/>
      </c>
      <c r="GS38" s="694" t="str">
        <f t="shared" si="300"/>
      </c>
      <c r="GT38" s="694" t="str">
        <f t="shared" si="300"/>
      </c>
      <c r="GU38" s="694" t="str">
        <f t="shared" si="300"/>
      </c>
      <c r="GV38" s="694" t="str">
        <f t="shared" si="300"/>
      </c>
      <c r="GW38" s="694" t="str">
        <f t="shared" si="300"/>
      </c>
      <c r="GX38" s="694" t="str">
        <f t="shared" si="300"/>
      </c>
      <c r="GY38" s="694" t="str">
        <f t="shared" si="300"/>
      </c>
      <c r="GZ38" s="694" t="str">
        <f t="shared" si="300"/>
      </c>
      <c r="HA38" s="694" t="str">
        <f t="shared" ref="HA38:HD38" si="301">HA8</f>
      </c>
      <c r="HB38" s="694" t="str">
        <f t="shared" si="301"/>
      </c>
      <c r="HC38" s="694" t="str">
        <f t="shared" si="301"/>
      </c>
      <c r="HD38" s="694" t="str">
        <f t="shared" si="301"/>
      </c>
    </row>
    <row r="39" spans="1:212">
      <c r="A39" s="591" t="str">
        <f t="shared" ref="A39:A47" si="302">A9</f>
      </c>
      <c r="B39" s="592"/>
      <c r="C39" s="592"/>
      <c r="D39" s="592"/>
      <c r="E39" s="593"/>
      <c r="F39" s="594">
        <f t="shared" ref="F39:F47" si="303">F9/B9-1</f>
      </c>
      <c r="G39" s="594">
        <f t="shared" ref="G39:G47" si="304">G9/C9-1</f>
      </c>
      <c r="H39" s="594">
        <f t="shared" ref="H39:H47" si="305">H9/D9-1</f>
      </c>
      <c r="I39" s="594">
        <f t="shared" ref="I39:I47" si="306">I9/E9-1</f>
      </c>
      <c r="J39" s="594">
        <f t="shared" ref="J39:J47" si="307">J9/F9-1</f>
      </c>
      <c r="K39" s="594">
        <f t="shared" ref="K39:K47" si="308">K9/G9-1</f>
      </c>
      <c r="L39" s="594">
        <f t="shared" ref="L39:L47" si="309">L9/H9-1</f>
      </c>
      <c r="M39" s="594">
        <f t="shared" ref="M39:M47" si="310">M9/I9-1</f>
      </c>
      <c r="N39" s="594">
        <f t="shared" ref="N39:N47" si="311">N9/J9-1</f>
      </c>
      <c r="O39" s="594">
        <f t="shared" ref="O39:O47" si="312">O9/K9-1</f>
      </c>
      <c r="P39" s="594">
        <f t="shared" ref="P39:P47" si="313">P9/L9-1</f>
      </c>
      <c r="Q39" s="594">
        <f t="shared" ref="Q39:Q47" si="314">Q9/M9-1</f>
      </c>
      <c r="R39" s="594">
        <f t="shared" ref="R39:R47" si="315">R9/N9-1</f>
      </c>
      <c r="S39" s="594">
        <f t="shared" ref="S39:S47" si="316">S9/O9-1</f>
      </c>
      <c r="T39" s="594">
        <f t="shared" ref="T39:T47" si="317">T9/P9-1</f>
      </c>
      <c r="U39" s="594">
        <f t="shared" ref="U39:U47" si="318">U9/Q9-1</f>
      </c>
      <c r="V39" s="594">
        <f t="shared" ref="V39:V47" si="319">V9/R9-1</f>
      </c>
      <c r="W39" s="594">
        <f t="shared" ref="W39:W47" si="320">W9/S9-1</f>
      </c>
      <c r="X39" s="594">
        <f t="shared" ref="X39:X47" si="321">X9/T9-1</f>
      </c>
      <c r="Y39" s="594">
        <f t="shared" ref="Y39:Y47" si="322">Y9/U9-1</f>
      </c>
      <c r="Z39" s="594">
        <f t="shared" ref="Z39:Z47" si="323">Z9/V9-1</f>
      </c>
      <c r="AA39" s="594">
        <f t="shared" ref="AA39:AA47" si="324">AA9/W9-1</f>
      </c>
      <c r="AB39" s="594">
        <f t="shared" ref="AB39:AB47" si="325">AB9/X9-1</f>
      </c>
      <c r="AC39" s="594">
        <f t="shared" ref="AC39:AC47" si="326">AC9/Y9-1</f>
      </c>
      <c r="AD39" s="594">
        <f t="shared" ref="AD39:AD47" si="327">AD9/Z9-1</f>
      </c>
      <c r="AE39" s="594">
        <f t="shared" ref="AE39:AE47" si="328">AE9/AA9-1</f>
      </c>
      <c r="AF39" s="594">
        <f t="shared" ref="AF39:AF47" si="329">AF9/AB9-1</f>
      </c>
      <c r="AG39" s="594">
        <f t="shared" ref="AG39:AG47" si="330">AG9/AC9-1</f>
      </c>
      <c r="AH39" s="594">
        <f t="shared" ref="AH39:AH47" si="331">AH9/AD9-1</f>
      </c>
      <c r="AI39" s="594">
        <f t="shared" ref="AI39:AI47" si="332">AI9/AE9-1</f>
      </c>
      <c r="AJ39" s="594">
        <f t="shared" ref="AJ39:AJ47" si="333">AJ9/AF9-1</f>
      </c>
      <c r="AK39" s="594">
        <f t="shared" ref="AK39:AK47" si="334">AK9/AG9-1</f>
      </c>
      <c r="AL39" s="594">
        <f t="shared" ref="AL39:AL47" si="335">AL9/AH9-1</f>
      </c>
      <c r="AM39" s="594">
        <f t="shared" ref="AM39:AM47" si="336">AM9/AI9-1</f>
      </c>
      <c r="AN39" s="594">
        <f t="shared" ref="AN39:AN47" si="337">AN9/AJ9-1</f>
      </c>
      <c r="AO39" s="594">
        <f t="shared" ref="AO39:AO47" si="338">AO9/AK9-1</f>
      </c>
      <c r="AP39" s="594">
        <f t="shared" ref="AP39:AP47" si="339">AP9/AL9-1</f>
      </c>
      <c r="AQ39" s="594">
        <f t="shared" ref="AQ39:AQ47" si="340">AQ9/AM9-1</f>
      </c>
      <c r="AR39" s="594">
        <f t="shared" ref="AR39:AR47" si="341">AR9/AN9-1</f>
      </c>
      <c r="AS39" s="594">
        <f t="shared" ref="AS39:AS47" si="342">AS9/AO9-1</f>
      </c>
      <c r="AT39" s="594">
        <f t="shared" ref="AT39:AT47" si="343">AT9/AP9-1</f>
      </c>
      <c r="AU39" s="594">
        <f t="shared" ref="AU39:AU47" si="344">AU9/AQ9-1</f>
      </c>
      <c r="AV39" s="594">
        <f t="shared" ref="AV39:AV47" si="345">AV9/AR9-1</f>
      </c>
      <c r="AW39" s="594">
        <f t="shared" ref="AW39:AW47" si="346">AW9/AS9-1</f>
      </c>
      <c r="AX39" s="594">
        <f t="shared" ref="AX39:AX47" si="347">AX9/AT9-1</f>
      </c>
      <c r="AY39" s="594">
        <f t="shared" ref="AY39:AY47" si="348">AY9/AU9-1</f>
      </c>
      <c r="AZ39" s="594">
        <f t="shared" ref="AZ39:AZ47" si="349">AZ9/AV9-1</f>
      </c>
      <c r="BA39" s="594">
        <f t="shared" ref="BA39:BA47" si="350">BA9/AW9-1</f>
      </c>
      <c r="BB39" s="594">
        <f t="shared" ref="BB39:BB47" si="351">BB9/AX9-1</f>
      </c>
      <c r="BC39" s="594">
        <f t="shared" ref="BC39:BC47" si="352">BC9/AY9-1</f>
      </c>
      <c r="BD39" s="594">
        <f t="shared" ref="BD39:BD47" si="353">BD9/AZ9-1</f>
      </c>
      <c r="BE39" s="594">
        <f t="shared" ref="BE39:BE47" si="354">BE9/BA9-1</f>
      </c>
      <c r="BF39" s="594">
        <f t="shared" ref="BF39:BF47" si="355">BF9/BB9-1</f>
      </c>
      <c r="BG39" s="594">
        <f t="shared" ref="BG39:BG47" si="356">BG9/BC9-1</f>
      </c>
      <c r="BH39" s="594">
        <f t="shared" ref="BH39:BH47" si="357">BH9/BD9-1</f>
      </c>
      <c r="BI39" s="594">
        <f t="shared" ref="BI39:BI47" si="358">BI9/BE9-1</f>
      </c>
      <c r="BJ39" s="594">
        <f t="shared" ref="BJ39:BJ47" si="359">BJ9/BF9-1</f>
      </c>
      <c r="BK39" s="594">
        <f t="shared" ref="BK39:BK47" si="360">BK9/BG9-1</f>
      </c>
      <c r="BL39" s="594">
        <f t="shared" ref="BL39:BL47" si="361">BL9/BH9-1</f>
      </c>
      <c r="BM39" s="594">
        <f t="shared" ref="BM39:BM47" si="362">BM9/BI9-1</f>
      </c>
      <c r="BN39" s="594">
        <f t="shared" ref="BN39:BN47" si="363">BN9/BJ9-1</f>
      </c>
      <c r="BO39" s="594">
        <f t="shared" ref="BO39:BO47" si="364">BO9/BK9-1</f>
      </c>
      <c r="BP39" s="594">
        <f t="shared" ref="BP39:BP47" si="365">BP9/BL9-1</f>
      </c>
      <c r="BQ39" s="595">
        <f t="shared" ref="BQ39:BQ47" si="366">BQ9/BM9-1</f>
      </c>
      <c r="BR39" s="594">
        <f t="shared" ref="BR39:BR47" si="367">BR9/BN9-1</f>
      </c>
      <c r="BS39" s="594">
        <f t="shared" ref="BS39:BS47" si="368">BS9/BO9-1</f>
      </c>
      <c r="BT39" s="594">
        <f t="shared" ref="BT39:BT47" si="369">BT9/BP9-1</f>
      </c>
      <c r="BU39" s="595">
        <f t="shared" ref="BU39:BU47" si="370">BU9/BQ9-1</f>
      </c>
      <c r="BV39" s="594">
        <f t="shared" ref="BV39:BV47" si="371">BV9/BR9-1</f>
      </c>
      <c r="BW39" s="594">
        <f t="shared" ref="BW39:BW47" si="372">BW9/BS9-1</f>
      </c>
      <c r="BX39" s="594">
        <f t="shared" ref="BX39:BX47" si="373">BX9/BT9-1</f>
      </c>
      <c r="BY39" s="595">
        <f t="shared" ref="BY39:BY47" si="374">BY9/BU9-1</f>
      </c>
      <c r="BZ39" s="594">
        <f t="shared" ref="BZ39:BZ47" si="375">BZ9/BV9-1</f>
      </c>
      <c r="CA39" s="594">
        <f t="shared" ref="CA39:CA47" si="376">CA9/BW9-1</f>
      </c>
      <c r="CB39" s="594">
        <f t="shared" ref="CB39:CB47" si="377">CB9/BX9-1</f>
      </c>
      <c r="CC39" s="595">
        <f t="shared" ref="CC39:CC47" si="378">CC9/BY9-1</f>
      </c>
      <c r="CD39" s="594">
        <f t="shared" ref="CD39:CD47" si="379">CD9/BZ9-1</f>
      </c>
      <c r="CE39" s="594">
        <f t="shared" ref="CE39:CE47" si="380">CE9/CA9-1</f>
      </c>
      <c r="CF39" s="594">
        <f t="shared" ref="CF39:CF47" si="381">CF9/CB9-1</f>
      </c>
      <c r="CG39" s="595">
        <f t="shared" ref="CG39:CG47" si="382">CG9/CC9-1</f>
      </c>
      <c r="CH39" s="594">
        <f t="shared" ref="CH39:CH47" si="383">CH9/CD9-1</f>
      </c>
      <c r="CI39" s="594">
        <f t="shared" ref="CI39:CI47" si="384">CI9/CE9-1</f>
      </c>
      <c r="CJ39" s="594">
        <f t="shared" ref="CJ39:CJ47" si="385">CJ9/CF9-1</f>
      </c>
      <c r="CK39" s="595">
        <f t="shared" ref="CK39:CK47" si="386">CK9/CG9-1</f>
      </c>
      <c r="CL39" s="594">
        <f t="shared" ref="CL39:CL47" si="387">CL9/CH9-1</f>
      </c>
      <c r="CM39" s="594">
        <f t="shared" ref="CM39:CM47" si="388">CM9/CI9-1</f>
      </c>
      <c r="CN39" s="594">
        <f t="shared" ref="CN39:CN47" si="389">CN9/CJ9-1</f>
      </c>
      <c r="CO39" s="595">
        <f t="shared" ref="CO39:CO47" si="390">CO9/CK9-1</f>
      </c>
      <c r="CP39" s="594">
        <f t="shared" ref="CP39:CP47" si="391">CP9/CL9-1</f>
      </c>
      <c r="CQ39" s="594">
        <f t="shared" ref="CQ39:CQ47" si="392">CQ9/CM9-1</f>
      </c>
      <c r="CR39" s="594">
        <f t="shared" ref="CR39:CR47" si="393">CR9/CN9-1</f>
      </c>
      <c r="CS39" s="595">
        <f t="shared" ref="CS39:CS47" si="394">CS9/CO9-1</f>
      </c>
      <c r="CT39" s="594">
        <f t="shared" ref="CT39:CT47" si="395">CT9/CP9-1</f>
      </c>
      <c r="CU39" s="594">
        <f t="shared" ref="CU39:CU47" si="396">CU9/CQ9-1</f>
      </c>
      <c r="CV39" s="594">
        <f t="shared" ref="CV39:CV47" si="397">CV9/CR9-1</f>
      </c>
      <c r="CW39" s="595">
        <f t="shared" ref="CW39:CW47" si="398">CW9/CS9-1</f>
      </c>
      <c r="CX39" s="594">
        <f t="shared" ref="CX39:CX47" si="399">CX9/CT9-1</f>
      </c>
      <c r="CY39" s="594">
        <f t="shared" ref="CY39:CY47" si="400">CY9/CU9-1</f>
      </c>
      <c r="CZ39" s="594">
        <f t="shared" ref="CZ39:CZ47" si="401">CZ9/CV9-1</f>
      </c>
      <c r="DA39" s="595">
        <f t="shared" ref="DA39:DA47" si="402">DA9/CW9-1</f>
      </c>
      <c r="DB39" s="594">
        <f t="shared" ref="DB39:DB47" si="403">DB9/CX9-1</f>
      </c>
      <c r="DC39" s="594">
        <f t="shared" ref="DC39:DC47" si="404">DC9/CY9-1</f>
      </c>
      <c r="DD39" s="594">
        <f t="shared" ref="DD39:DD47" si="405">DD9/CZ9-1</f>
      </c>
      <c r="DE39" s="595">
        <f t="shared" ref="DE39:DE47" si="406">DE9/DA9-1</f>
      </c>
      <c r="DF39" s="594">
        <f t="shared" ref="DF39:DF47" si="407">DF9/DB9-1</f>
      </c>
      <c r="DG39" s="594">
        <f t="shared" ref="DG39:DG47" si="408">DG9/DC9-1</f>
      </c>
      <c r="DH39" s="594">
        <f t="shared" ref="DH39:DH47" si="409">DH9/DD9-1</f>
      </c>
      <c r="DI39" s="595">
        <f t="shared" ref="DI39:DI47" si="410">DI9/DE9-1</f>
      </c>
      <c r="DJ39" s="594">
        <f t="shared" ref="DJ39:DJ47" si="411">DJ9/DF9-1</f>
      </c>
      <c r="DK39" s="594">
        <f t="shared" ref="DK39:DK47" si="412">DK9/DG9-1</f>
      </c>
      <c r="DL39" s="594">
        <f t="shared" ref="DL39:DL47" si="413">DL9/DH9-1</f>
      </c>
      <c r="DM39" s="595">
        <f t="shared" ref="DM39:DM47" si="414">DM9/DI9-1</f>
      </c>
      <c r="DN39" s="594">
        <f t="shared" ref="DN39:DN47" si="415">DN9/DJ9-1</f>
      </c>
      <c r="DO39" s="594">
        <f t="shared" ref="DO39:DO47" si="416">DO9/DK9-1</f>
      </c>
      <c r="DP39" s="594">
        <f t="shared" ref="DP39:DP47" si="417">DP9/DL9-1</f>
      </c>
      <c r="DQ39" s="595">
        <f t="shared" ref="DQ39:DQ47" si="418">DQ9/DM9-1</f>
      </c>
      <c r="DR39" s="594">
        <f t="shared" ref="DR39:DR47" si="419">DR9/DN9-1</f>
      </c>
      <c r="DS39" s="594">
        <f t="shared" ref="DS39:DS47" si="420">DS9/DO9-1</f>
      </c>
      <c r="DT39" s="594">
        <f t="shared" ref="DT39:DT47" si="421">DT9/DP9-1</f>
      </c>
      <c r="DU39" s="595">
        <f t="shared" ref="DU39:DU47" si="422">DU9/DQ9-1</f>
      </c>
      <c r="DV39" s="594">
        <f t="shared" ref="DV39:DV47" si="423">DV9/DR9-1</f>
      </c>
      <c r="DW39" s="594">
        <f t="shared" ref="DW39:DW47" si="424">DW9/DS9-1</f>
      </c>
      <c r="DX39" s="594">
        <f t="shared" ref="DX39:DX47" si="425">DX9/DT9-1</f>
      </c>
      <c r="DY39" s="595">
        <f t="shared" ref="DY39:DY47" si="426">DY9/DU9-1</f>
      </c>
      <c r="DZ39" s="594">
        <f t="shared" ref="DZ39:DZ47" si="427">DZ9/DV9-1</f>
      </c>
      <c r="EA39" s="594">
        <f t="shared" ref="EA39:EA47" si="428">EA9/DW9-1</f>
      </c>
      <c r="EB39" s="594">
        <f t="shared" ref="EB39:EB47" si="429">EB9/DX9-1</f>
      </c>
      <c r="EC39" s="595">
        <f t="shared" ref="EC39:EC47" si="430">EC9/DY9-1</f>
      </c>
      <c r="ED39" s="594">
        <f t="shared" ref="ED39:ED47" si="431">ED9/DZ9-1</f>
      </c>
      <c r="EE39" s="594">
        <f t="shared" ref="EE39:EE47" si="432">EE9/EA9-1</f>
      </c>
      <c r="EF39" s="594">
        <f t="shared" ref="EF39:EF47" si="433">EF9/EB9-1</f>
      </c>
      <c r="EG39" s="595">
        <f t="shared" ref="EG39:EG47" si="434">EG9/EC9-1</f>
      </c>
      <c r="EH39" s="594">
        <f t="shared" ref="EH39:EH47" si="435">EH9/ED9-1</f>
      </c>
      <c r="EI39" s="594">
        <f t="shared" ref="EI39:EI47" si="436">EI9/EE9-1</f>
      </c>
      <c r="EJ39" s="594">
        <f t="shared" ref="EJ39:EJ47" si="437">EJ9/EF9-1</f>
      </c>
      <c r="EK39" s="595">
        <f t="shared" ref="EK39:EK47" si="438">EK9/EG9-1</f>
      </c>
      <c r="EL39" s="3244"/>
      <c r="EM39" s="594"/>
      <c r="EN39" s="594">
        <f t="shared" ref="EN39:FQ39" si="439">EN9/EM9-1</f>
      </c>
      <c r="EO39" s="594">
        <f t="shared" si="439"/>
      </c>
      <c r="EP39" s="594">
        <f t="shared" si="439"/>
      </c>
      <c r="EQ39" s="594">
        <f t="shared" si="439"/>
      </c>
      <c r="ER39" s="594">
        <f t="shared" si="439"/>
      </c>
      <c r="ES39" s="594">
        <f t="shared" si="439"/>
      </c>
      <c r="ET39" s="594">
        <f t="shared" si="439"/>
      </c>
      <c r="EU39" s="594">
        <f t="shared" si="439"/>
      </c>
      <c r="EV39" s="594">
        <f t="shared" si="439"/>
      </c>
      <c r="EW39" s="594">
        <f t="shared" si="439"/>
      </c>
      <c r="EX39" s="594">
        <f t="shared" si="439"/>
      </c>
      <c r="EY39" s="594">
        <f t="shared" si="439"/>
      </c>
      <c r="EZ39" s="594">
        <f t="shared" si="439"/>
      </c>
      <c r="FA39" s="594">
        <f t="shared" si="439"/>
      </c>
      <c r="FB39" s="594">
        <f t="shared" si="439"/>
      </c>
      <c r="FC39" s="594">
        <f t="shared" si="439"/>
      </c>
      <c r="FD39" s="594">
        <f t="shared" si="439"/>
      </c>
      <c r="FE39" s="594">
        <f t="shared" si="439"/>
      </c>
      <c r="FF39" s="594">
        <f t="shared" si="439"/>
      </c>
      <c r="FG39" s="594">
        <f t="shared" si="439"/>
      </c>
      <c r="FH39" s="594">
        <f t="shared" si="439"/>
      </c>
      <c r="FI39" s="594">
        <f t="shared" si="439"/>
      </c>
      <c r="FJ39" s="594">
        <f t="shared" si="439"/>
      </c>
      <c r="FK39" s="594">
        <f t="shared" si="439"/>
      </c>
      <c r="FL39" s="2899">
        <f t="shared" si="439"/>
      </c>
      <c r="FM39" s="594">
        <f t="shared" si="439"/>
      </c>
      <c r="FN39" s="594">
        <f t="shared" si="439"/>
      </c>
      <c r="FO39" s="594">
        <f t="shared" si="439"/>
      </c>
      <c r="FP39" s="594">
        <f t="shared" si="439"/>
      </c>
      <c r="FQ39" s="594">
        <f t="shared" si="439"/>
      </c>
      <c r="FR39" s="594">
        <f t="shared" ref="FR39:FR47" si="440">FR9/FQ9-1</f>
      </c>
      <c r="FS39" s="594">
        <f t="shared" ref="FS39:FS47" si="441">FS9/FR9-1</f>
      </c>
      <c r="FT39" s="594">
        <f t="shared" ref="FT39:FT47" si="442">FT9/FS9-1</f>
      </c>
      <c r="FU39" s="2900">
        <f t="shared" ref="FU39:FU47" si="443">FU9/FT9-1</f>
      </c>
      <c r="FV39" s="3245"/>
      <c r="FW39" s="594"/>
      <c r="FX39" s="594">
        <f t="shared" ref="FX39:GZ39" si="444">FX9/FW9-1</f>
      </c>
      <c r="FY39" s="594">
        <f t="shared" si="444"/>
      </c>
      <c r="FZ39" s="594">
        <f t="shared" si="444"/>
      </c>
      <c r="GA39" s="594">
        <f t="shared" si="444"/>
      </c>
      <c r="GB39" s="594">
        <f t="shared" si="444"/>
      </c>
      <c r="GC39" s="594">
        <f t="shared" si="444"/>
      </c>
      <c r="GD39" s="594">
        <f t="shared" si="444"/>
      </c>
      <c r="GE39" s="594">
        <f t="shared" si="444"/>
      </c>
      <c r="GF39" s="594">
        <f t="shared" si="444"/>
      </c>
      <c r="GG39" s="594">
        <f t="shared" si="444"/>
      </c>
      <c r="GH39" s="594">
        <f t="shared" si="444"/>
      </c>
      <c r="GI39" s="594">
        <f t="shared" si="444"/>
      </c>
      <c r="GJ39" s="594">
        <f t="shared" si="444"/>
      </c>
      <c r="GK39" s="594">
        <f t="shared" si="444"/>
      </c>
      <c r="GL39" s="594">
        <f t="shared" si="444"/>
      </c>
      <c r="GM39" s="594">
        <f t="shared" si="444"/>
      </c>
      <c r="GN39" s="594">
        <f t="shared" si="444"/>
      </c>
      <c r="GO39" s="594">
        <f t="shared" si="444"/>
      </c>
      <c r="GP39" s="594">
        <f t="shared" si="444"/>
      </c>
      <c r="GQ39" s="594">
        <f t="shared" si="444"/>
      </c>
      <c r="GR39" s="594">
        <f t="shared" si="444"/>
      </c>
      <c r="GS39" s="594">
        <f t="shared" si="444"/>
      </c>
      <c r="GT39" s="594">
        <f t="shared" si="444"/>
      </c>
      <c r="GU39" s="594">
        <f t="shared" si="444"/>
      </c>
      <c r="GV39" s="594">
        <f t="shared" si="444"/>
      </c>
      <c r="GW39" s="594">
        <f t="shared" si="444"/>
      </c>
      <c r="GX39" s="594">
        <f t="shared" si="444"/>
      </c>
      <c r="GY39" s="594">
        <f t="shared" si="444"/>
      </c>
      <c r="GZ39" s="594">
        <f t="shared" si="444"/>
      </c>
      <c r="HA39" s="594">
        <f t="shared" ref="HA39:HA47" si="445">HA9/GZ9-1</f>
      </c>
      <c r="HB39" s="594">
        <f>HB9/HA9-1</f>
      </c>
      <c r="HC39" s="594">
        <f t="shared" ref="HC39:HC47" si="446">HC9/HB9-1</f>
      </c>
      <c r="HD39" s="594">
        <f t="shared" ref="HD39:HD47" si="447">HD9/HC9-1</f>
      </c>
    </row>
    <row r="40" spans="1:212">
      <c r="A40" s="586" t="str">
        <f t="shared" si="302"/>
      </c>
      <c r="B40" s="587"/>
      <c r="C40" s="587"/>
      <c r="D40" s="587"/>
      <c r="E40" s="588"/>
      <c r="F40" s="589">
        <f t="shared" si="303"/>
      </c>
      <c r="G40" s="589">
        <f t="shared" si="304"/>
      </c>
      <c r="H40" s="589">
        <f t="shared" si="305"/>
      </c>
      <c r="I40" s="589">
        <f t="shared" si="306"/>
      </c>
      <c r="J40" s="589">
        <f t="shared" si="307"/>
      </c>
      <c r="K40" s="589">
        <f t="shared" si="308"/>
      </c>
      <c r="L40" s="589">
        <f t="shared" si="309"/>
      </c>
      <c r="M40" s="589">
        <f t="shared" si="310"/>
      </c>
      <c r="N40" s="589">
        <f t="shared" si="311"/>
      </c>
      <c r="O40" s="589">
        <f t="shared" si="312"/>
      </c>
      <c r="P40" s="589">
        <f t="shared" si="313"/>
      </c>
      <c r="Q40" s="589">
        <f t="shared" si="314"/>
      </c>
      <c r="R40" s="589">
        <f t="shared" si="315"/>
      </c>
      <c r="S40" s="589">
        <f t="shared" si="316"/>
      </c>
      <c r="T40" s="589">
        <f t="shared" si="317"/>
      </c>
      <c r="U40" s="589">
        <f t="shared" si="318"/>
      </c>
      <c r="V40" s="589">
        <f t="shared" si="319"/>
      </c>
      <c r="W40" s="589">
        <f t="shared" si="320"/>
      </c>
      <c r="X40" s="589">
        <f t="shared" si="321"/>
      </c>
      <c r="Y40" s="589">
        <f t="shared" si="322"/>
      </c>
      <c r="Z40" s="589">
        <f t="shared" si="323"/>
      </c>
      <c r="AA40" s="589">
        <f t="shared" si="324"/>
      </c>
      <c r="AB40" s="589">
        <f t="shared" si="325"/>
      </c>
      <c r="AC40" s="589">
        <f t="shared" si="326"/>
      </c>
      <c r="AD40" s="589">
        <f t="shared" si="327"/>
      </c>
      <c r="AE40" s="589">
        <f t="shared" si="328"/>
      </c>
      <c r="AF40" s="589">
        <f t="shared" si="329"/>
      </c>
      <c r="AG40" s="589">
        <f t="shared" si="330"/>
      </c>
      <c r="AH40" s="589">
        <f t="shared" si="331"/>
      </c>
      <c r="AI40" s="589">
        <f t="shared" si="332"/>
      </c>
      <c r="AJ40" s="589">
        <f t="shared" si="333"/>
      </c>
      <c r="AK40" s="589">
        <f t="shared" si="334"/>
      </c>
      <c r="AL40" s="589">
        <f t="shared" si="335"/>
      </c>
      <c r="AM40" s="589">
        <f t="shared" si="336"/>
      </c>
      <c r="AN40" s="589">
        <f t="shared" si="337"/>
      </c>
      <c r="AO40" s="589">
        <f t="shared" si="338"/>
      </c>
      <c r="AP40" s="589">
        <f t="shared" si="339"/>
      </c>
      <c r="AQ40" s="589">
        <f t="shared" si="340"/>
      </c>
      <c r="AR40" s="589">
        <f t="shared" si="341"/>
      </c>
      <c r="AS40" s="589">
        <f t="shared" si="342"/>
      </c>
      <c r="AT40" s="589">
        <f t="shared" si="343"/>
      </c>
      <c r="AU40" s="589">
        <f t="shared" si="344"/>
      </c>
      <c r="AV40" s="589">
        <f t="shared" si="345"/>
      </c>
      <c r="AW40" s="589">
        <f t="shared" si="346"/>
      </c>
      <c r="AX40" s="589">
        <f t="shared" si="347"/>
      </c>
      <c r="AY40" s="589">
        <f t="shared" si="348"/>
      </c>
      <c r="AZ40" s="589">
        <f t="shared" si="349"/>
      </c>
      <c r="BA40" s="589">
        <f t="shared" si="350"/>
      </c>
      <c r="BB40" s="589">
        <f t="shared" si="351"/>
      </c>
      <c r="BC40" s="589">
        <f t="shared" si="352"/>
      </c>
      <c r="BD40" s="589">
        <f t="shared" si="353"/>
      </c>
      <c r="BE40" s="589">
        <f t="shared" si="354"/>
      </c>
      <c r="BF40" s="589">
        <f t="shared" si="355"/>
      </c>
      <c r="BG40" s="589">
        <f t="shared" si="356"/>
      </c>
      <c r="BH40" s="589">
        <f t="shared" si="357"/>
      </c>
      <c r="BI40" s="589">
        <f t="shared" si="358"/>
      </c>
      <c r="BJ40" s="589">
        <f t="shared" si="359"/>
      </c>
      <c r="BK40" s="589">
        <f t="shared" si="360"/>
      </c>
      <c r="BL40" s="589">
        <f t="shared" si="361"/>
      </c>
      <c r="BM40" s="589">
        <f t="shared" si="362"/>
      </c>
      <c r="BN40" s="589">
        <f t="shared" si="363"/>
      </c>
      <c r="BO40" s="589">
        <f t="shared" si="364"/>
      </c>
      <c r="BP40" s="589">
        <f t="shared" si="365"/>
      </c>
      <c r="BQ40" s="590">
        <f t="shared" si="366"/>
      </c>
      <c r="BR40" s="589">
        <f t="shared" si="367"/>
      </c>
      <c r="BS40" s="589">
        <f t="shared" si="368"/>
      </c>
      <c r="BT40" s="589">
        <f t="shared" si="369"/>
      </c>
      <c r="BU40" s="590">
        <f t="shared" si="370"/>
      </c>
      <c r="BV40" s="589">
        <f t="shared" si="371"/>
      </c>
      <c r="BW40" s="589">
        <f t="shared" si="372"/>
      </c>
      <c r="BX40" s="589">
        <f t="shared" si="373"/>
      </c>
      <c r="BY40" s="590">
        <f t="shared" si="374"/>
      </c>
      <c r="BZ40" s="589">
        <f t="shared" si="375"/>
      </c>
      <c r="CA40" s="589">
        <f t="shared" si="376"/>
      </c>
      <c r="CB40" s="589">
        <f t="shared" si="377"/>
      </c>
      <c r="CC40" s="590">
        <f t="shared" si="378"/>
      </c>
      <c r="CD40" s="589">
        <f t="shared" si="379"/>
      </c>
      <c r="CE40" s="589">
        <f t="shared" si="380"/>
      </c>
      <c r="CF40" s="589">
        <f t="shared" si="381"/>
      </c>
      <c r="CG40" s="590">
        <f t="shared" si="382"/>
      </c>
      <c r="CH40" s="589">
        <f t="shared" si="383"/>
      </c>
      <c r="CI40" s="589">
        <f t="shared" si="384"/>
      </c>
      <c r="CJ40" s="589">
        <f t="shared" si="385"/>
      </c>
      <c r="CK40" s="590">
        <f t="shared" si="386"/>
      </c>
      <c r="CL40" s="589">
        <f t="shared" si="387"/>
      </c>
      <c r="CM40" s="589">
        <f t="shared" si="388"/>
      </c>
      <c r="CN40" s="589">
        <f t="shared" si="389"/>
      </c>
      <c r="CO40" s="590">
        <f t="shared" si="390"/>
      </c>
      <c r="CP40" s="589">
        <f t="shared" si="391"/>
      </c>
      <c r="CQ40" s="589">
        <f t="shared" si="392"/>
      </c>
      <c r="CR40" s="589">
        <f t="shared" si="393"/>
      </c>
      <c r="CS40" s="590">
        <f t="shared" si="394"/>
      </c>
      <c r="CT40" s="589">
        <f t="shared" si="395"/>
      </c>
      <c r="CU40" s="589">
        <f t="shared" si="396"/>
      </c>
      <c r="CV40" s="589">
        <f t="shared" si="397"/>
      </c>
      <c r="CW40" s="590">
        <f t="shared" si="398"/>
      </c>
      <c r="CX40" s="589">
        <f t="shared" si="399"/>
      </c>
      <c r="CY40" s="589">
        <f t="shared" si="400"/>
      </c>
      <c r="CZ40" s="589">
        <f t="shared" si="401"/>
      </c>
      <c r="DA40" s="590">
        <f t="shared" si="402"/>
      </c>
      <c r="DB40" s="589">
        <f t="shared" si="403"/>
      </c>
      <c r="DC40" s="589">
        <f t="shared" si="404"/>
      </c>
      <c r="DD40" s="589">
        <f t="shared" si="405"/>
      </c>
      <c r="DE40" s="590">
        <f t="shared" si="406"/>
      </c>
      <c r="DF40" s="589">
        <f t="shared" si="407"/>
      </c>
      <c r="DG40" s="589">
        <f t="shared" si="408"/>
      </c>
      <c r="DH40" s="589">
        <f t="shared" si="409"/>
      </c>
      <c r="DI40" s="590">
        <f t="shared" si="410"/>
      </c>
      <c r="DJ40" s="589">
        <f t="shared" si="411"/>
      </c>
      <c r="DK40" s="589">
        <f t="shared" si="412"/>
      </c>
      <c r="DL40" s="589">
        <f t="shared" si="413"/>
      </c>
      <c r="DM40" s="590">
        <f t="shared" si="414"/>
      </c>
      <c r="DN40" s="589">
        <f t="shared" si="415"/>
      </c>
      <c r="DO40" s="589">
        <f t="shared" si="416"/>
      </c>
      <c r="DP40" s="589">
        <f t="shared" si="417"/>
      </c>
      <c r="DQ40" s="590">
        <f t="shared" si="418"/>
      </c>
      <c r="DR40" s="589">
        <f t="shared" si="419"/>
      </c>
      <c r="DS40" s="589">
        <f t="shared" si="420"/>
      </c>
      <c r="DT40" s="589">
        <f t="shared" si="421"/>
      </c>
      <c r="DU40" s="590">
        <f t="shared" si="422"/>
      </c>
      <c r="DV40" s="589">
        <f t="shared" si="423"/>
      </c>
      <c r="DW40" s="589">
        <f t="shared" si="424"/>
      </c>
      <c r="DX40" s="589">
        <f t="shared" si="425"/>
      </c>
      <c r="DY40" s="590">
        <f t="shared" si="426"/>
      </c>
      <c r="DZ40" s="589">
        <f t="shared" si="427"/>
      </c>
      <c r="EA40" s="589">
        <f t="shared" si="428"/>
      </c>
      <c r="EB40" s="589">
        <f t="shared" si="429"/>
      </c>
      <c r="EC40" s="590">
        <f t="shared" si="430"/>
      </c>
      <c r="ED40" s="589">
        <f t="shared" si="431"/>
      </c>
      <c r="EE40" s="589">
        <f t="shared" si="432"/>
      </c>
      <c r="EF40" s="589">
        <f t="shared" si="433"/>
      </c>
      <c r="EG40" s="590">
        <f t="shared" si="434"/>
      </c>
      <c r="EH40" s="589">
        <f t="shared" si="435"/>
      </c>
      <c r="EI40" s="589">
        <f t="shared" si="436"/>
      </c>
      <c r="EJ40" s="589">
        <f t="shared" si="437"/>
      </c>
      <c r="EK40" s="590">
        <f t="shared" si="438"/>
      </c>
      <c r="EL40" s="451"/>
      <c r="EM40" s="589"/>
      <c r="EN40" s="589">
        <f t="shared" ref="EN40:FQ40" si="448">EN10/EM10-1</f>
      </c>
      <c r="EO40" s="589">
        <f t="shared" si="448"/>
      </c>
      <c r="EP40" s="589">
        <f t="shared" si="448"/>
      </c>
      <c r="EQ40" s="589">
        <f t="shared" si="448"/>
      </c>
      <c r="ER40" s="589">
        <f t="shared" si="448"/>
      </c>
      <c r="ES40" s="589">
        <f t="shared" si="448"/>
      </c>
      <c r="ET40" s="589">
        <f t="shared" si="448"/>
      </c>
      <c r="EU40" s="589">
        <f t="shared" si="448"/>
      </c>
      <c r="EV40" s="589">
        <f t="shared" si="448"/>
      </c>
      <c r="EW40" s="589">
        <f t="shared" si="448"/>
      </c>
      <c r="EX40" s="589">
        <f t="shared" si="448"/>
      </c>
      <c r="EY40" s="589">
        <f t="shared" si="448"/>
      </c>
      <c r="EZ40" s="589">
        <f t="shared" si="448"/>
      </c>
      <c r="FA40" s="589">
        <f t="shared" si="448"/>
      </c>
      <c r="FB40" s="589">
        <f t="shared" si="448"/>
      </c>
      <c r="FC40" s="589">
        <f t="shared" si="448"/>
      </c>
      <c r="FD40" s="589">
        <f t="shared" si="448"/>
      </c>
      <c r="FE40" s="589">
        <f t="shared" si="448"/>
      </c>
      <c r="FF40" s="589">
        <f t="shared" si="448"/>
      </c>
      <c r="FG40" s="589">
        <f t="shared" si="448"/>
      </c>
      <c r="FH40" s="589">
        <f t="shared" si="448"/>
      </c>
      <c r="FI40" s="589">
        <f t="shared" si="448"/>
      </c>
      <c r="FJ40" s="589">
        <f t="shared" si="448"/>
      </c>
      <c r="FK40" s="589">
        <f t="shared" si="448"/>
      </c>
      <c r="FL40" s="2897">
        <f t="shared" si="448"/>
      </c>
      <c r="FM40" s="589">
        <f t="shared" si="448"/>
      </c>
      <c r="FN40" s="589">
        <f t="shared" si="448"/>
      </c>
      <c r="FO40" s="589">
        <f t="shared" si="448"/>
      </c>
      <c r="FP40" s="589">
        <f t="shared" si="448"/>
      </c>
      <c r="FQ40" s="589">
        <f t="shared" si="448"/>
      </c>
      <c r="FR40" s="589">
        <f t="shared" si="440"/>
      </c>
      <c r="FS40" s="589">
        <f t="shared" si="441"/>
      </c>
      <c r="FT40" s="589">
        <f t="shared" si="442"/>
      </c>
      <c r="FU40" s="2898">
        <f t="shared" si="443"/>
      </c>
      <c r="FV40" s="3246"/>
      <c r="FW40" s="589"/>
      <c r="FX40" s="589">
        <f t="shared" ref="FX40:GZ40" si="449">FX10/FW10-1</f>
      </c>
      <c r="FY40" s="589">
        <f t="shared" si="449"/>
      </c>
      <c r="FZ40" s="589">
        <f t="shared" si="449"/>
      </c>
      <c r="GA40" s="589">
        <f t="shared" si="449"/>
      </c>
      <c r="GB40" s="589">
        <f t="shared" si="449"/>
      </c>
      <c r="GC40" s="589">
        <f t="shared" si="449"/>
      </c>
      <c r="GD40" s="589">
        <f t="shared" si="449"/>
      </c>
      <c r="GE40" s="589">
        <f t="shared" si="449"/>
      </c>
      <c r="GF40" s="589">
        <f t="shared" si="449"/>
      </c>
      <c r="GG40" s="589">
        <f t="shared" si="449"/>
      </c>
      <c r="GH40" s="589">
        <f t="shared" si="449"/>
      </c>
      <c r="GI40" s="589">
        <f t="shared" si="449"/>
      </c>
      <c r="GJ40" s="589">
        <f t="shared" si="449"/>
      </c>
      <c r="GK40" s="589">
        <f t="shared" si="449"/>
      </c>
      <c r="GL40" s="589">
        <f t="shared" si="449"/>
      </c>
      <c r="GM40" s="589">
        <f t="shared" si="449"/>
      </c>
      <c r="GN40" s="589">
        <f t="shared" si="449"/>
      </c>
      <c r="GO40" s="589">
        <f t="shared" si="449"/>
      </c>
      <c r="GP40" s="589">
        <f t="shared" si="449"/>
      </c>
      <c r="GQ40" s="589">
        <f t="shared" si="449"/>
      </c>
      <c r="GR40" s="589">
        <f t="shared" si="449"/>
      </c>
      <c r="GS40" s="589">
        <f t="shared" si="449"/>
      </c>
      <c r="GT40" s="589">
        <f t="shared" si="449"/>
      </c>
      <c r="GU40" s="589">
        <f t="shared" si="449"/>
      </c>
      <c r="GV40" s="589">
        <f t="shared" si="449"/>
      </c>
      <c r="GW40" s="589">
        <f t="shared" si="449"/>
      </c>
      <c r="GX40" s="589">
        <f t="shared" si="449"/>
      </c>
      <c r="GY40" s="589">
        <f t="shared" si="449"/>
      </c>
      <c r="GZ40" s="589">
        <f t="shared" si="449"/>
      </c>
      <c r="HA40" s="589">
        <f t="shared" si="445"/>
      </c>
      <c r="HB40" s="589">
        <f t="shared" ref="HB40:HB47" si="450">HB10/HA10-1</f>
      </c>
      <c r="HC40" s="589">
        <f t="shared" si="446"/>
      </c>
      <c r="HD40" s="589">
        <f t="shared" si="447"/>
      </c>
    </row>
    <row r="41" spans="1:212">
      <c r="A41" s="591" t="str">
        <f t="shared" si="302"/>
      </c>
      <c r="B41" s="592"/>
      <c r="C41" s="592"/>
      <c r="D41" s="592"/>
      <c r="E41" s="593"/>
      <c r="F41" s="594">
        <f t="shared" si="303"/>
      </c>
      <c r="G41" s="594">
        <f t="shared" si="304"/>
      </c>
      <c r="H41" s="594">
        <f t="shared" si="305"/>
      </c>
      <c r="I41" s="594">
        <f t="shared" si="306"/>
      </c>
      <c r="J41" s="594">
        <f t="shared" si="307"/>
      </c>
      <c r="K41" s="594">
        <f t="shared" si="308"/>
      </c>
      <c r="L41" s="594">
        <f t="shared" si="309"/>
      </c>
      <c r="M41" s="594">
        <f t="shared" si="310"/>
      </c>
      <c r="N41" s="594">
        <f t="shared" si="311"/>
      </c>
      <c r="O41" s="594">
        <f t="shared" si="312"/>
      </c>
      <c r="P41" s="594">
        <f t="shared" si="313"/>
      </c>
      <c r="Q41" s="594">
        <f t="shared" si="314"/>
      </c>
      <c r="R41" s="594">
        <f t="shared" si="315"/>
      </c>
      <c r="S41" s="594">
        <f t="shared" si="316"/>
      </c>
      <c r="T41" s="594">
        <f t="shared" si="317"/>
      </c>
      <c r="U41" s="594">
        <f t="shared" si="318"/>
      </c>
      <c r="V41" s="594">
        <f t="shared" si="319"/>
      </c>
      <c r="W41" s="594">
        <f t="shared" si="320"/>
      </c>
      <c r="X41" s="594">
        <f t="shared" si="321"/>
      </c>
      <c r="Y41" s="594">
        <f t="shared" si="322"/>
      </c>
      <c r="Z41" s="594">
        <f t="shared" si="323"/>
      </c>
      <c r="AA41" s="594">
        <f t="shared" si="324"/>
      </c>
      <c r="AB41" s="594">
        <f t="shared" si="325"/>
      </c>
      <c r="AC41" s="594">
        <f t="shared" si="326"/>
      </c>
      <c r="AD41" s="594">
        <f t="shared" si="327"/>
      </c>
      <c r="AE41" s="594">
        <f t="shared" si="328"/>
      </c>
      <c r="AF41" s="594">
        <f t="shared" si="329"/>
      </c>
      <c r="AG41" s="594">
        <f t="shared" si="330"/>
      </c>
      <c r="AH41" s="594">
        <f t="shared" si="331"/>
      </c>
      <c r="AI41" s="594">
        <f t="shared" si="332"/>
      </c>
      <c r="AJ41" s="594">
        <f t="shared" si="333"/>
      </c>
      <c r="AK41" s="594">
        <f t="shared" si="334"/>
      </c>
      <c r="AL41" s="594">
        <f t="shared" si="335"/>
      </c>
      <c r="AM41" s="594">
        <f t="shared" si="336"/>
      </c>
      <c r="AN41" s="594">
        <f t="shared" si="337"/>
      </c>
      <c r="AO41" s="594">
        <f t="shared" si="338"/>
      </c>
      <c r="AP41" s="594">
        <f t="shared" si="339"/>
      </c>
      <c r="AQ41" s="594">
        <f t="shared" si="340"/>
      </c>
      <c r="AR41" s="594">
        <f t="shared" si="341"/>
      </c>
      <c r="AS41" s="594">
        <f t="shared" si="342"/>
      </c>
      <c r="AT41" s="594">
        <f t="shared" si="343"/>
      </c>
      <c r="AU41" s="594">
        <f t="shared" si="344"/>
      </c>
      <c r="AV41" s="594">
        <f t="shared" si="345"/>
      </c>
      <c r="AW41" s="594">
        <f t="shared" si="346"/>
      </c>
      <c r="AX41" s="594">
        <f t="shared" si="347"/>
      </c>
      <c r="AY41" s="594">
        <f t="shared" si="348"/>
      </c>
      <c r="AZ41" s="594">
        <f t="shared" si="349"/>
      </c>
      <c r="BA41" s="594">
        <f t="shared" si="350"/>
      </c>
      <c r="BB41" s="594">
        <f t="shared" si="351"/>
      </c>
      <c r="BC41" s="594">
        <f t="shared" si="352"/>
      </c>
      <c r="BD41" s="594">
        <f t="shared" si="353"/>
      </c>
      <c r="BE41" s="594">
        <f t="shared" si="354"/>
      </c>
      <c r="BF41" s="594">
        <f t="shared" si="355"/>
      </c>
      <c r="BG41" s="594">
        <f t="shared" si="356"/>
      </c>
      <c r="BH41" s="594">
        <f t="shared" si="357"/>
      </c>
      <c r="BI41" s="594">
        <f t="shared" si="358"/>
      </c>
      <c r="BJ41" s="594">
        <f t="shared" si="359"/>
      </c>
      <c r="BK41" s="594">
        <f t="shared" si="360"/>
      </c>
      <c r="BL41" s="594">
        <f t="shared" si="361"/>
      </c>
      <c r="BM41" s="594">
        <f t="shared" si="362"/>
      </c>
      <c r="BN41" s="594">
        <f t="shared" si="363"/>
      </c>
      <c r="BO41" s="594">
        <f t="shared" si="364"/>
      </c>
      <c r="BP41" s="594">
        <f t="shared" si="365"/>
      </c>
      <c r="BQ41" s="595">
        <f t="shared" si="366"/>
      </c>
      <c r="BR41" s="594">
        <f t="shared" si="367"/>
      </c>
      <c r="BS41" s="594">
        <f t="shared" si="368"/>
      </c>
      <c r="BT41" s="594">
        <f t="shared" si="369"/>
      </c>
      <c r="BU41" s="595">
        <f t="shared" si="370"/>
      </c>
      <c r="BV41" s="594">
        <f t="shared" si="371"/>
      </c>
      <c r="BW41" s="594">
        <f t="shared" si="372"/>
      </c>
      <c r="BX41" s="594">
        <f t="shared" si="373"/>
      </c>
      <c r="BY41" s="595">
        <f t="shared" si="374"/>
      </c>
      <c r="BZ41" s="594">
        <f t="shared" si="375"/>
      </c>
      <c r="CA41" s="594">
        <f t="shared" si="376"/>
      </c>
      <c r="CB41" s="594">
        <f t="shared" si="377"/>
      </c>
      <c r="CC41" s="595">
        <f t="shared" si="378"/>
      </c>
      <c r="CD41" s="594">
        <f t="shared" si="379"/>
      </c>
      <c r="CE41" s="594">
        <f t="shared" si="380"/>
      </c>
      <c r="CF41" s="594">
        <f t="shared" si="381"/>
      </c>
      <c r="CG41" s="595">
        <f t="shared" si="382"/>
      </c>
      <c r="CH41" s="594">
        <f t="shared" si="383"/>
      </c>
      <c r="CI41" s="594">
        <f t="shared" si="384"/>
      </c>
      <c r="CJ41" s="594">
        <f t="shared" si="385"/>
      </c>
      <c r="CK41" s="595">
        <f t="shared" si="386"/>
      </c>
      <c r="CL41" s="594">
        <f t="shared" si="387"/>
      </c>
      <c r="CM41" s="594">
        <f t="shared" si="388"/>
      </c>
      <c r="CN41" s="594">
        <f t="shared" si="389"/>
      </c>
      <c r="CO41" s="595">
        <f t="shared" si="390"/>
      </c>
      <c r="CP41" s="594">
        <f t="shared" si="391"/>
      </c>
      <c r="CQ41" s="594">
        <f t="shared" si="392"/>
      </c>
      <c r="CR41" s="594">
        <f t="shared" si="393"/>
      </c>
      <c r="CS41" s="595">
        <f t="shared" si="394"/>
      </c>
      <c r="CT41" s="594">
        <f t="shared" si="395"/>
      </c>
      <c r="CU41" s="594">
        <f t="shared" si="396"/>
      </c>
      <c r="CV41" s="594">
        <f t="shared" si="397"/>
      </c>
      <c r="CW41" s="595">
        <f t="shared" si="398"/>
      </c>
      <c r="CX41" s="594">
        <f t="shared" si="399"/>
      </c>
      <c r="CY41" s="594">
        <f t="shared" si="400"/>
      </c>
      <c r="CZ41" s="594">
        <f t="shared" si="401"/>
      </c>
      <c r="DA41" s="595">
        <f t="shared" si="402"/>
      </c>
      <c r="DB41" s="594">
        <f t="shared" si="403"/>
      </c>
      <c r="DC41" s="594">
        <f t="shared" si="404"/>
      </c>
      <c r="DD41" s="594">
        <f t="shared" si="405"/>
      </c>
      <c r="DE41" s="595">
        <f t="shared" si="406"/>
      </c>
      <c r="DF41" s="594">
        <f t="shared" si="407"/>
      </c>
      <c r="DG41" s="594">
        <f t="shared" si="408"/>
      </c>
      <c r="DH41" s="594">
        <f t="shared" si="409"/>
      </c>
      <c r="DI41" s="595">
        <f t="shared" si="410"/>
      </c>
      <c r="DJ41" s="594">
        <f t="shared" si="411"/>
      </c>
      <c r="DK41" s="594">
        <f t="shared" si="412"/>
      </c>
      <c r="DL41" s="594">
        <f t="shared" si="413"/>
      </c>
      <c r="DM41" s="595">
        <f t="shared" si="414"/>
      </c>
      <c r="DN41" s="594">
        <f t="shared" si="415"/>
      </c>
      <c r="DO41" s="594">
        <f t="shared" si="416"/>
      </c>
      <c r="DP41" s="594">
        <f t="shared" si="417"/>
      </c>
      <c r="DQ41" s="595">
        <f t="shared" si="418"/>
      </c>
      <c r="DR41" s="594">
        <f t="shared" si="419"/>
      </c>
      <c r="DS41" s="594">
        <f t="shared" si="420"/>
      </c>
      <c r="DT41" s="594">
        <f t="shared" si="421"/>
      </c>
      <c r="DU41" s="595">
        <f t="shared" si="422"/>
      </c>
      <c r="DV41" s="594">
        <f t="shared" si="423"/>
      </c>
      <c r="DW41" s="594">
        <f t="shared" si="424"/>
      </c>
      <c r="DX41" s="594">
        <f t="shared" si="425"/>
      </c>
      <c r="DY41" s="595">
        <f t="shared" si="426"/>
      </c>
      <c r="DZ41" s="594">
        <f t="shared" si="427"/>
      </c>
      <c r="EA41" s="594">
        <f t="shared" si="428"/>
      </c>
      <c r="EB41" s="594">
        <f t="shared" si="429"/>
      </c>
      <c r="EC41" s="595">
        <f t="shared" si="430"/>
      </c>
      <c r="ED41" s="594">
        <f t="shared" si="431"/>
      </c>
      <c r="EE41" s="594">
        <f t="shared" si="432"/>
      </c>
      <c r="EF41" s="594">
        <f t="shared" si="433"/>
      </c>
      <c r="EG41" s="595">
        <f t="shared" si="434"/>
      </c>
      <c r="EH41" s="594">
        <f t="shared" si="435"/>
      </c>
      <c r="EI41" s="594">
        <f t="shared" si="436"/>
      </c>
      <c r="EJ41" s="594">
        <f t="shared" si="437"/>
      </c>
      <c r="EK41" s="595">
        <f t="shared" si="438"/>
      </c>
      <c r="EM41" s="594"/>
      <c r="EN41" s="594">
        <f t="shared" ref="EN41:FQ41" si="451">EN11/EM11-1</f>
      </c>
      <c r="EO41" s="594">
        <f t="shared" si="451"/>
      </c>
      <c r="EP41" s="594">
        <f t="shared" si="451"/>
      </c>
      <c r="EQ41" s="594">
        <f t="shared" si="451"/>
      </c>
      <c r="ER41" s="594">
        <f t="shared" si="451"/>
      </c>
      <c r="ES41" s="594">
        <f t="shared" si="451"/>
      </c>
      <c r="ET41" s="594">
        <f t="shared" si="451"/>
      </c>
      <c r="EU41" s="594">
        <f t="shared" si="451"/>
      </c>
      <c r="EV41" s="594">
        <f t="shared" si="451"/>
      </c>
      <c r="EW41" s="594">
        <f t="shared" si="451"/>
      </c>
      <c r="EX41" s="594">
        <f t="shared" si="451"/>
      </c>
      <c r="EY41" s="594">
        <f t="shared" si="451"/>
      </c>
      <c r="EZ41" s="594">
        <f t="shared" si="451"/>
      </c>
      <c r="FA41" s="594">
        <f t="shared" si="451"/>
      </c>
      <c r="FB41" s="594">
        <f t="shared" si="451"/>
      </c>
      <c r="FC41" s="594">
        <f t="shared" si="451"/>
      </c>
      <c r="FD41" s="594">
        <f t="shared" si="451"/>
      </c>
      <c r="FE41" s="594">
        <f t="shared" si="451"/>
      </c>
      <c r="FF41" s="594">
        <f t="shared" si="451"/>
      </c>
      <c r="FG41" s="594">
        <f t="shared" si="451"/>
      </c>
      <c r="FH41" s="594">
        <f t="shared" si="451"/>
      </c>
      <c r="FI41" s="594">
        <f t="shared" si="451"/>
      </c>
      <c r="FJ41" s="594">
        <f t="shared" si="451"/>
      </c>
      <c r="FK41" s="594">
        <f t="shared" si="451"/>
      </c>
      <c r="FL41" s="2899">
        <f t="shared" si="451"/>
      </c>
      <c r="FM41" s="594">
        <f t="shared" si="451"/>
      </c>
      <c r="FN41" s="594">
        <f t="shared" si="451"/>
      </c>
      <c r="FO41" s="594">
        <f t="shared" si="451"/>
      </c>
      <c r="FP41" s="594">
        <f t="shared" si="451"/>
      </c>
      <c r="FQ41" s="594">
        <f t="shared" si="451"/>
      </c>
      <c r="FR41" s="594">
        <f t="shared" si="440"/>
      </c>
      <c r="FS41" s="594">
        <f t="shared" si="441"/>
      </c>
      <c r="FT41" s="594">
        <f t="shared" si="442"/>
      </c>
      <c r="FU41" s="2900">
        <f t="shared" si="443"/>
      </c>
      <c r="FV41" s="89"/>
      <c r="FW41" s="594"/>
      <c r="FX41" s="594">
        <f t="shared" ref="FX41:GZ41" si="452">FX11/FW11-1</f>
      </c>
      <c r="FY41" s="594">
        <f t="shared" si="452"/>
      </c>
      <c r="FZ41" s="594">
        <f t="shared" si="452"/>
      </c>
      <c r="GA41" s="594">
        <f t="shared" si="452"/>
      </c>
      <c r="GB41" s="594">
        <f t="shared" si="452"/>
      </c>
      <c r="GC41" s="594">
        <f t="shared" si="452"/>
      </c>
      <c r="GD41" s="594">
        <f t="shared" si="452"/>
      </c>
      <c r="GE41" s="594">
        <f t="shared" si="452"/>
      </c>
      <c r="GF41" s="594">
        <f t="shared" si="452"/>
      </c>
      <c r="GG41" s="594">
        <f t="shared" si="452"/>
      </c>
      <c r="GH41" s="594">
        <f t="shared" si="452"/>
      </c>
      <c r="GI41" s="594">
        <f t="shared" si="452"/>
      </c>
      <c r="GJ41" s="594">
        <f t="shared" si="452"/>
      </c>
      <c r="GK41" s="594">
        <f t="shared" si="452"/>
      </c>
      <c r="GL41" s="594">
        <f t="shared" si="452"/>
      </c>
      <c r="GM41" s="594">
        <f t="shared" si="452"/>
      </c>
      <c r="GN41" s="594">
        <f t="shared" si="452"/>
      </c>
      <c r="GO41" s="594">
        <f t="shared" si="452"/>
      </c>
      <c r="GP41" s="594">
        <f t="shared" si="452"/>
      </c>
      <c r="GQ41" s="594">
        <f t="shared" si="452"/>
      </c>
      <c r="GR41" s="594">
        <f t="shared" si="452"/>
      </c>
      <c r="GS41" s="594">
        <f t="shared" si="452"/>
      </c>
      <c r="GT41" s="594">
        <f t="shared" si="452"/>
      </c>
      <c r="GU41" s="594">
        <f t="shared" si="452"/>
      </c>
      <c r="GV41" s="594">
        <f t="shared" si="452"/>
      </c>
      <c r="GW41" s="594">
        <f t="shared" si="452"/>
      </c>
      <c r="GX41" s="594">
        <f t="shared" si="452"/>
      </c>
      <c r="GY41" s="594">
        <f t="shared" si="452"/>
      </c>
      <c r="GZ41" s="594">
        <f t="shared" si="452"/>
      </c>
      <c r="HA41" s="594">
        <f t="shared" si="445"/>
      </c>
      <c r="HB41" s="594">
        <f t="shared" si="450"/>
      </c>
      <c r="HC41" s="594">
        <f t="shared" si="446"/>
      </c>
      <c r="HD41" s="594">
        <f t="shared" si="447"/>
      </c>
    </row>
    <row r="42" spans="1:212">
      <c r="A42" s="586" t="str">
        <f t="shared" si="302"/>
      </c>
      <c r="B42" s="587"/>
      <c r="C42" s="587"/>
      <c r="D42" s="587"/>
      <c r="E42" s="588"/>
      <c r="F42" s="589">
        <f t="shared" si="303"/>
      </c>
      <c r="G42" s="589">
        <f t="shared" si="304"/>
      </c>
      <c r="H42" s="589">
        <f t="shared" si="305"/>
      </c>
      <c r="I42" s="589">
        <f t="shared" si="306"/>
      </c>
      <c r="J42" s="589">
        <f t="shared" si="307"/>
      </c>
      <c r="K42" s="589">
        <f t="shared" si="308"/>
      </c>
      <c r="L42" s="589">
        <f t="shared" si="309"/>
      </c>
      <c r="M42" s="589">
        <f t="shared" si="310"/>
      </c>
      <c r="N42" s="589">
        <f t="shared" si="311"/>
      </c>
      <c r="O42" s="589">
        <f t="shared" si="312"/>
      </c>
      <c r="P42" s="589">
        <f t="shared" si="313"/>
      </c>
      <c r="Q42" s="589">
        <f t="shared" si="314"/>
      </c>
      <c r="R42" s="589">
        <f t="shared" si="315"/>
      </c>
      <c r="S42" s="589">
        <f t="shared" si="316"/>
      </c>
      <c r="T42" s="589">
        <f t="shared" si="317"/>
      </c>
      <c r="U42" s="589">
        <f t="shared" si="318"/>
      </c>
      <c r="V42" s="589">
        <f t="shared" si="319"/>
      </c>
      <c r="W42" s="589">
        <f t="shared" si="320"/>
      </c>
      <c r="X42" s="589">
        <f t="shared" si="321"/>
      </c>
      <c r="Y42" s="589">
        <f t="shared" si="322"/>
      </c>
      <c r="Z42" s="589">
        <f t="shared" si="323"/>
      </c>
      <c r="AA42" s="589">
        <f t="shared" si="324"/>
      </c>
      <c r="AB42" s="589">
        <f t="shared" si="325"/>
      </c>
      <c r="AC42" s="589">
        <f t="shared" si="326"/>
      </c>
      <c r="AD42" s="589">
        <f t="shared" si="327"/>
      </c>
      <c r="AE42" s="589">
        <f t="shared" si="328"/>
      </c>
      <c r="AF42" s="589">
        <f t="shared" si="329"/>
      </c>
      <c r="AG42" s="589">
        <f t="shared" si="330"/>
      </c>
      <c r="AH42" s="589">
        <f t="shared" si="331"/>
      </c>
      <c r="AI42" s="589">
        <f t="shared" si="332"/>
      </c>
      <c r="AJ42" s="589">
        <f t="shared" si="333"/>
      </c>
      <c r="AK42" s="589">
        <f t="shared" si="334"/>
      </c>
      <c r="AL42" s="589">
        <f t="shared" si="335"/>
      </c>
      <c r="AM42" s="589">
        <f t="shared" si="336"/>
      </c>
      <c r="AN42" s="589">
        <f t="shared" si="337"/>
      </c>
      <c r="AO42" s="589">
        <f t="shared" si="338"/>
      </c>
      <c r="AP42" s="589">
        <f t="shared" si="339"/>
      </c>
      <c r="AQ42" s="589">
        <f t="shared" si="340"/>
      </c>
      <c r="AR42" s="589">
        <f t="shared" si="341"/>
      </c>
      <c r="AS42" s="589">
        <f t="shared" si="342"/>
      </c>
      <c r="AT42" s="589">
        <f t="shared" si="343"/>
      </c>
      <c r="AU42" s="589">
        <f t="shared" si="344"/>
      </c>
      <c r="AV42" s="589">
        <f t="shared" si="345"/>
      </c>
      <c r="AW42" s="589">
        <f t="shared" si="346"/>
      </c>
      <c r="AX42" s="589">
        <f t="shared" si="347"/>
      </c>
      <c r="AY42" s="589">
        <f t="shared" si="348"/>
      </c>
      <c r="AZ42" s="589">
        <f t="shared" si="349"/>
      </c>
      <c r="BA42" s="589">
        <f t="shared" si="350"/>
      </c>
      <c r="BB42" s="589">
        <f t="shared" si="351"/>
      </c>
      <c r="BC42" s="589">
        <f t="shared" si="352"/>
      </c>
      <c r="BD42" s="589">
        <f t="shared" si="353"/>
      </c>
      <c r="BE42" s="589">
        <f t="shared" si="354"/>
      </c>
      <c r="BF42" s="589">
        <f t="shared" si="355"/>
      </c>
      <c r="BG42" s="589">
        <f t="shared" si="356"/>
      </c>
      <c r="BH42" s="589">
        <f t="shared" si="357"/>
      </c>
      <c r="BI42" s="589">
        <f t="shared" si="358"/>
      </c>
      <c r="BJ42" s="589">
        <f t="shared" si="359"/>
      </c>
      <c r="BK42" s="589">
        <f t="shared" si="360"/>
      </c>
      <c r="BL42" s="589">
        <f t="shared" si="361"/>
      </c>
      <c r="BM42" s="589">
        <f t="shared" si="362"/>
      </c>
      <c r="BN42" s="589">
        <f t="shared" si="363"/>
      </c>
      <c r="BO42" s="589">
        <f t="shared" si="364"/>
      </c>
      <c r="BP42" s="589">
        <f t="shared" si="365"/>
      </c>
      <c r="BQ42" s="590">
        <f t="shared" si="366"/>
      </c>
      <c r="BR42" s="589">
        <f t="shared" si="367"/>
      </c>
      <c r="BS42" s="589">
        <f t="shared" si="368"/>
      </c>
      <c r="BT42" s="589">
        <f t="shared" si="369"/>
      </c>
      <c r="BU42" s="590">
        <f t="shared" si="370"/>
      </c>
      <c r="BV42" s="589">
        <f t="shared" si="371"/>
      </c>
      <c r="BW42" s="589">
        <f t="shared" si="372"/>
      </c>
      <c r="BX42" s="589">
        <f t="shared" si="373"/>
      </c>
      <c r="BY42" s="590">
        <f t="shared" si="374"/>
      </c>
      <c r="BZ42" s="589">
        <f t="shared" si="375"/>
      </c>
      <c r="CA42" s="589">
        <f t="shared" si="376"/>
      </c>
      <c r="CB42" s="589">
        <f t="shared" si="377"/>
      </c>
      <c r="CC42" s="590">
        <f t="shared" si="378"/>
      </c>
      <c r="CD42" s="589">
        <f t="shared" si="379"/>
      </c>
      <c r="CE42" s="589">
        <f t="shared" si="380"/>
      </c>
      <c r="CF42" s="589">
        <f t="shared" si="381"/>
      </c>
      <c r="CG42" s="590">
        <f t="shared" si="382"/>
      </c>
      <c r="CH42" s="589">
        <f t="shared" si="383"/>
      </c>
      <c r="CI42" s="589">
        <f t="shared" si="384"/>
      </c>
      <c r="CJ42" s="589">
        <f t="shared" si="385"/>
      </c>
      <c r="CK42" s="590">
        <f t="shared" si="386"/>
      </c>
      <c r="CL42" s="589">
        <f t="shared" si="387"/>
      </c>
      <c r="CM42" s="589">
        <f t="shared" si="388"/>
      </c>
      <c r="CN42" s="589">
        <f t="shared" si="389"/>
      </c>
      <c r="CO42" s="590">
        <f t="shared" si="390"/>
      </c>
      <c r="CP42" s="589">
        <f t="shared" si="391"/>
      </c>
      <c r="CQ42" s="589">
        <f t="shared" si="392"/>
      </c>
      <c r="CR42" s="589">
        <f t="shared" si="393"/>
      </c>
      <c r="CS42" s="590">
        <f t="shared" si="394"/>
      </c>
      <c r="CT42" s="589">
        <f t="shared" si="395"/>
      </c>
      <c r="CU42" s="589">
        <f t="shared" si="396"/>
      </c>
      <c r="CV42" s="589">
        <f t="shared" si="397"/>
      </c>
      <c r="CW42" s="590">
        <f t="shared" si="398"/>
      </c>
      <c r="CX42" s="589">
        <f t="shared" si="399"/>
      </c>
      <c r="CY42" s="589">
        <f t="shared" si="400"/>
      </c>
      <c r="CZ42" s="589">
        <f t="shared" si="401"/>
      </c>
      <c r="DA42" s="590">
        <f t="shared" si="402"/>
      </c>
      <c r="DB42" s="589">
        <f t="shared" si="403"/>
      </c>
      <c r="DC42" s="589">
        <f t="shared" si="404"/>
      </c>
      <c r="DD42" s="589">
        <f t="shared" si="405"/>
      </c>
      <c r="DE42" s="590">
        <f t="shared" si="406"/>
      </c>
      <c r="DF42" s="589">
        <f t="shared" si="407"/>
      </c>
      <c r="DG42" s="589">
        <f t="shared" si="408"/>
      </c>
      <c r="DH42" s="589">
        <f t="shared" si="409"/>
      </c>
      <c r="DI42" s="590">
        <f t="shared" si="410"/>
      </c>
      <c r="DJ42" s="589">
        <f t="shared" si="411"/>
      </c>
      <c r="DK42" s="589">
        <f t="shared" si="412"/>
      </c>
      <c r="DL42" s="589">
        <f t="shared" si="413"/>
      </c>
      <c r="DM42" s="590">
        <f t="shared" si="414"/>
      </c>
      <c r="DN42" s="589">
        <f t="shared" si="415"/>
      </c>
      <c r="DO42" s="589">
        <f t="shared" si="416"/>
      </c>
      <c r="DP42" s="589">
        <f t="shared" si="417"/>
      </c>
      <c r="DQ42" s="590">
        <f t="shared" si="418"/>
      </c>
      <c r="DR42" s="589">
        <f t="shared" si="419"/>
      </c>
      <c r="DS42" s="589">
        <f t="shared" si="420"/>
      </c>
      <c r="DT42" s="589">
        <f t="shared" si="421"/>
      </c>
      <c r="DU42" s="590">
        <f t="shared" si="422"/>
      </c>
      <c r="DV42" s="589">
        <f t="shared" si="423"/>
      </c>
      <c r="DW42" s="589">
        <f t="shared" si="424"/>
      </c>
      <c r="DX42" s="589">
        <f t="shared" si="425"/>
      </c>
      <c r="DY42" s="590">
        <f t="shared" si="426"/>
      </c>
      <c r="DZ42" s="589">
        <f t="shared" si="427"/>
      </c>
      <c r="EA42" s="589">
        <f t="shared" si="428"/>
      </c>
      <c r="EB42" s="589">
        <f t="shared" si="429"/>
      </c>
      <c r="EC42" s="590">
        <f t="shared" si="430"/>
      </c>
      <c r="ED42" s="589">
        <f t="shared" si="431"/>
      </c>
      <c r="EE42" s="589">
        <f t="shared" si="432"/>
      </c>
      <c r="EF42" s="589">
        <f t="shared" si="433"/>
      </c>
      <c r="EG42" s="590">
        <f t="shared" si="434"/>
      </c>
      <c r="EH42" s="589">
        <f t="shared" si="435"/>
      </c>
      <c r="EI42" s="589">
        <f t="shared" si="436"/>
      </c>
      <c r="EJ42" s="589">
        <f t="shared" si="437"/>
      </c>
      <c r="EK42" s="590">
        <f t="shared" si="438"/>
      </c>
      <c r="EM42" s="589"/>
      <c r="EN42" s="589">
        <f t="shared" ref="EN42:FQ42" si="453">EN12/EM12-1</f>
      </c>
      <c r="EO42" s="589">
        <f t="shared" si="453"/>
      </c>
      <c r="EP42" s="589">
        <f t="shared" si="453"/>
      </c>
      <c r="EQ42" s="589">
        <f t="shared" si="453"/>
      </c>
      <c r="ER42" s="589">
        <f t="shared" si="453"/>
      </c>
      <c r="ES42" s="589">
        <f t="shared" si="453"/>
      </c>
      <c r="ET42" s="589">
        <f t="shared" si="453"/>
      </c>
      <c r="EU42" s="589">
        <f t="shared" si="453"/>
      </c>
      <c r="EV42" s="589">
        <f t="shared" si="453"/>
      </c>
      <c r="EW42" s="589">
        <f t="shared" si="453"/>
      </c>
      <c r="EX42" s="589">
        <f t="shared" si="453"/>
      </c>
      <c r="EY42" s="589">
        <f t="shared" si="453"/>
      </c>
      <c r="EZ42" s="589">
        <f t="shared" si="453"/>
      </c>
      <c r="FA42" s="589">
        <f t="shared" si="453"/>
      </c>
      <c r="FB42" s="589">
        <f t="shared" si="453"/>
      </c>
      <c r="FC42" s="589">
        <f t="shared" si="453"/>
      </c>
      <c r="FD42" s="589">
        <f t="shared" si="453"/>
      </c>
      <c r="FE42" s="589">
        <f t="shared" si="453"/>
      </c>
      <c r="FF42" s="589">
        <f t="shared" si="453"/>
      </c>
      <c r="FG42" s="589">
        <f t="shared" si="453"/>
      </c>
      <c r="FH42" s="589">
        <f t="shared" si="453"/>
      </c>
      <c r="FI42" s="589">
        <f t="shared" si="453"/>
      </c>
      <c r="FJ42" s="589">
        <f t="shared" si="453"/>
      </c>
      <c r="FK42" s="589">
        <f t="shared" si="453"/>
      </c>
      <c r="FL42" s="2897">
        <f t="shared" si="453"/>
      </c>
      <c r="FM42" s="589">
        <f t="shared" si="453"/>
      </c>
      <c r="FN42" s="589">
        <f t="shared" si="453"/>
      </c>
      <c r="FO42" s="589">
        <f t="shared" si="453"/>
      </c>
      <c r="FP42" s="589">
        <f t="shared" si="453"/>
      </c>
      <c r="FQ42" s="589">
        <f t="shared" si="453"/>
      </c>
      <c r="FR42" s="589">
        <f t="shared" si="440"/>
      </c>
      <c r="FS42" s="589">
        <f t="shared" si="441"/>
      </c>
      <c r="FT42" s="589">
        <f t="shared" si="442"/>
      </c>
      <c r="FU42" s="2898">
        <f t="shared" si="443"/>
      </c>
      <c r="FV42" s="89"/>
      <c r="FW42" s="589"/>
      <c r="FX42" s="589">
        <f t="shared" ref="FX42:GZ42" si="454">FX12/FW12-1</f>
      </c>
      <c r="FY42" s="589">
        <f t="shared" si="454"/>
      </c>
      <c r="FZ42" s="589">
        <f t="shared" si="454"/>
      </c>
      <c r="GA42" s="589">
        <f t="shared" si="454"/>
      </c>
      <c r="GB42" s="589">
        <f t="shared" si="454"/>
      </c>
      <c r="GC42" s="589">
        <f t="shared" si="454"/>
      </c>
      <c r="GD42" s="589">
        <f t="shared" si="454"/>
      </c>
      <c r="GE42" s="589">
        <f t="shared" si="454"/>
      </c>
      <c r="GF42" s="589">
        <f t="shared" si="454"/>
      </c>
      <c r="GG42" s="589">
        <f t="shared" si="454"/>
      </c>
      <c r="GH42" s="589">
        <f t="shared" si="454"/>
      </c>
      <c r="GI42" s="589">
        <f t="shared" si="454"/>
      </c>
      <c r="GJ42" s="589">
        <f t="shared" si="454"/>
      </c>
      <c r="GK42" s="589">
        <f t="shared" si="454"/>
      </c>
      <c r="GL42" s="589">
        <f t="shared" si="454"/>
      </c>
      <c r="GM42" s="589">
        <f t="shared" si="454"/>
      </c>
      <c r="GN42" s="589">
        <f t="shared" si="454"/>
      </c>
      <c r="GO42" s="589">
        <f t="shared" si="454"/>
      </c>
      <c r="GP42" s="589">
        <f t="shared" si="454"/>
      </c>
      <c r="GQ42" s="589">
        <f t="shared" si="454"/>
      </c>
      <c r="GR42" s="589">
        <f t="shared" si="454"/>
      </c>
      <c r="GS42" s="589">
        <f t="shared" si="454"/>
      </c>
      <c r="GT42" s="589">
        <f t="shared" si="454"/>
      </c>
      <c r="GU42" s="589">
        <f t="shared" si="454"/>
      </c>
      <c r="GV42" s="589">
        <f t="shared" si="454"/>
      </c>
      <c r="GW42" s="589">
        <f t="shared" si="454"/>
      </c>
      <c r="GX42" s="589">
        <f t="shared" si="454"/>
      </c>
      <c r="GY42" s="589">
        <f t="shared" si="454"/>
      </c>
      <c r="GZ42" s="589">
        <f t="shared" si="454"/>
      </c>
      <c r="HA42" s="589">
        <f t="shared" si="445"/>
      </c>
      <c r="HB42" s="589">
        <f t="shared" si="450"/>
      </c>
      <c r="HC42" s="589">
        <f t="shared" si="446"/>
      </c>
      <c r="HD42" s="589">
        <f t="shared" si="447"/>
      </c>
    </row>
    <row r="43" spans="1:212">
      <c r="A43" s="586" t="str">
        <f t="shared" si="302"/>
      </c>
      <c r="B43" s="587"/>
      <c r="C43" s="587"/>
      <c r="D43" s="587"/>
      <c r="E43" s="588"/>
      <c r="F43" s="589">
        <f t="shared" si="303"/>
      </c>
      <c r="G43" s="589">
        <f t="shared" si="304"/>
      </c>
      <c r="H43" s="589">
        <f t="shared" si="305"/>
      </c>
      <c r="I43" s="589">
        <f t="shared" si="306"/>
      </c>
      <c r="J43" s="589">
        <f t="shared" si="307"/>
      </c>
      <c r="K43" s="589">
        <f t="shared" si="308"/>
      </c>
      <c r="L43" s="589">
        <f t="shared" si="309"/>
      </c>
      <c r="M43" s="589">
        <f t="shared" si="310"/>
      </c>
      <c r="N43" s="589">
        <f t="shared" si="311"/>
      </c>
      <c r="O43" s="589">
        <f t="shared" si="312"/>
      </c>
      <c r="P43" s="589">
        <f t="shared" si="313"/>
      </c>
      <c r="Q43" s="589">
        <f t="shared" si="314"/>
      </c>
      <c r="R43" s="589">
        <f t="shared" si="315"/>
      </c>
      <c r="S43" s="589">
        <f t="shared" si="316"/>
      </c>
      <c r="T43" s="589">
        <f t="shared" si="317"/>
      </c>
      <c r="U43" s="589">
        <f t="shared" si="318"/>
      </c>
      <c r="V43" s="589">
        <f t="shared" si="319"/>
      </c>
      <c r="W43" s="589">
        <f t="shared" si="320"/>
      </c>
      <c r="X43" s="589">
        <f t="shared" si="321"/>
      </c>
      <c r="Y43" s="589">
        <f t="shared" si="322"/>
      </c>
      <c r="Z43" s="589">
        <f t="shared" si="323"/>
      </c>
      <c r="AA43" s="589">
        <f t="shared" si="324"/>
      </c>
      <c r="AB43" s="589">
        <f t="shared" si="325"/>
      </c>
      <c r="AC43" s="589">
        <f t="shared" si="326"/>
      </c>
      <c r="AD43" s="589">
        <f t="shared" si="327"/>
      </c>
      <c r="AE43" s="589">
        <f t="shared" si="328"/>
      </c>
      <c r="AF43" s="589">
        <f t="shared" si="329"/>
      </c>
      <c r="AG43" s="589">
        <f t="shared" si="330"/>
      </c>
      <c r="AH43" s="589">
        <f t="shared" si="331"/>
      </c>
      <c r="AI43" s="589">
        <f t="shared" si="332"/>
      </c>
      <c r="AJ43" s="589">
        <f t="shared" si="333"/>
      </c>
      <c r="AK43" s="589">
        <f t="shared" si="334"/>
      </c>
      <c r="AL43" s="589">
        <f t="shared" si="335"/>
      </c>
      <c r="AM43" s="589">
        <f t="shared" si="336"/>
      </c>
      <c r="AN43" s="589">
        <f t="shared" si="337"/>
      </c>
      <c r="AO43" s="589">
        <f t="shared" si="338"/>
      </c>
      <c r="AP43" s="589">
        <f t="shared" si="339"/>
      </c>
      <c r="AQ43" s="589">
        <f t="shared" si="340"/>
      </c>
      <c r="AR43" s="589">
        <f t="shared" si="341"/>
      </c>
      <c r="AS43" s="589">
        <f t="shared" si="342"/>
      </c>
      <c r="AT43" s="589">
        <f t="shared" si="343"/>
      </c>
      <c r="AU43" s="589">
        <f t="shared" si="344"/>
      </c>
      <c r="AV43" s="589">
        <f t="shared" si="345"/>
      </c>
      <c r="AW43" s="589">
        <f t="shared" si="346"/>
      </c>
      <c r="AX43" s="589">
        <f t="shared" si="347"/>
      </c>
      <c r="AY43" s="589">
        <f t="shared" si="348"/>
      </c>
      <c r="AZ43" s="589">
        <f t="shared" si="349"/>
      </c>
      <c r="BA43" s="589">
        <f t="shared" si="350"/>
      </c>
      <c r="BB43" s="589">
        <f t="shared" si="351"/>
      </c>
      <c r="BC43" s="589">
        <f t="shared" si="352"/>
      </c>
      <c r="BD43" s="589">
        <f t="shared" si="353"/>
      </c>
      <c r="BE43" s="589">
        <f t="shared" si="354"/>
      </c>
      <c r="BF43" s="589">
        <f t="shared" si="355"/>
      </c>
      <c r="BG43" s="589">
        <f t="shared" si="356"/>
      </c>
      <c r="BH43" s="589">
        <f t="shared" si="357"/>
      </c>
      <c r="BI43" s="589">
        <f t="shared" si="358"/>
      </c>
      <c r="BJ43" s="589">
        <f t="shared" si="359"/>
      </c>
      <c r="BK43" s="589">
        <f t="shared" si="360"/>
      </c>
      <c r="BL43" s="589">
        <f t="shared" si="361"/>
      </c>
      <c r="BM43" s="589">
        <f t="shared" si="362"/>
      </c>
      <c r="BN43" s="589">
        <f t="shared" si="363"/>
      </c>
      <c r="BO43" s="589">
        <f t="shared" si="364"/>
      </c>
      <c r="BP43" s="589">
        <f t="shared" si="365"/>
      </c>
      <c r="BQ43" s="590">
        <f t="shared" si="366"/>
      </c>
      <c r="BR43" s="589">
        <f t="shared" si="367"/>
      </c>
      <c r="BS43" s="589">
        <f t="shared" si="368"/>
      </c>
      <c r="BT43" s="589">
        <f t="shared" si="369"/>
      </c>
      <c r="BU43" s="590">
        <f t="shared" si="370"/>
      </c>
      <c r="BV43" s="589">
        <f t="shared" si="371"/>
      </c>
      <c r="BW43" s="589">
        <f t="shared" si="372"/>
      </c>
      <c r="BX43" s="589">
        <f t="shared" si="373"/>
      </c>
      <c r="BY43" s="590">
        <f t="shared" si="374"/>
      </c>
      <c r="BZ43" s="589">
        <f t="shared" si="375"/>
      </c>
      <c r="CA43" s="589">
        <f t="shared" si="376"/>
      </c>
      <c r="CB43" s="589">
        <f t="shared" si="377"/>
      </c>
      <c r="CC43" s="590">
        <f t="shared" si="378"/>
      </c>
      <c r="CD43" s="589">
        <f t="shared" si="379"/>
      </c>
      <c r="CE43" s="589">
        <f t="shared" si="380"/>
      </c>
      <c r="CF43" s="589">
        <f t="shared" si="381"/>
      </c>
      <c r="CG43" s="590">
        <f t="shared" si="382"/>
      </c>
      <c r="CH43" s="589">
        <f t="shared" si="383"/>
      </c>
      <c r="CI43" s="589">
        <f t="shared" si="384"/>
      </c>
      <c r="CJ43" s="589">
        <f t="shared" si="385"/>
      </c>
      <c r="CK43" s="590">
        <f t="shared" si="386"/>
      </c>
      <c r="CL43" s="589">
        <f t="shared" si="387"/>
      </c>
      <c r="CM43" s="589">
        <f t="shared" si="388"/>
      </c>
      <c r="CN43" s="589">
        <f t="shared" si="389"/>
      </c>
      <c r="CO43" s="590">
        <f t="shared" si="390"/>
      </c>
      <c r="CP43" s="589">
        <f t="shared" si="391"/>
      </c>
      <c r="CQ43" s="589">
        <f t="shared" si="392"/>
      </c>
      <c r="CR43" s="589">
        <f t="shared" si="393"/>
      </c>
      <c r="CS43" s="590">
        <f t="shared" si="394"/>
      </c>
      <c r="CT43" s="589">
        <f t="shared" si="395"/>
      </c>
      <c r="CU43" s="589">
        <f t="shared" si="396"/>
      </c>
      <c r="CV43" s="589">
        <f t="shared" si="397"/>
      </c>
      <c r="CW43" s="590">
        <f t="shared" si="398"/>
      </c>
      <c r="CX43" s="589">
        <f t="shared" si="399"/>
      </c>
      <c r="CY43" s="589">
        <f t="shared" si="400"/>
      </c>
      <c r="CZ43" s="589">
        <f t="shared" si="401"/>
      </c>
      <c r="DA43" s="590">
        <f t="shared" si="402"/>
      </c>
      <c r="DB43" s="589">
        <f t="shared" si="403"/>
      </c>
      <c r="DC43" s="589">
        <f t="shared" si="404"/>
      </c>
      <c r="DD43" s="589">
        <f t="shared" si="405"/>
      </c>
      <c r="DE43" s="590">
        <f t="shared" si="406"/>
      </c>
      <c r="DF43" s="589">
        <f t="shared" si="407"/>
      </c>
      <c r="DG43" s="589">
        <f t="shared" si="408"/>
      </c>
      <c r="DH43" s="589">
        <f t="shared" si="409"/>
      </c>
      <c r="DI43" s="590">
        <f t="shared" si="410"/>
      </c>
      <c r="DJ43" s="589">
        <f t="shared" si="411"/>
      </c>
      <c r="DK43" s="589">
        <f t="shared" si="412"/>
      </c>
      <c r="DL43" s="589">
        <f t="shared" si="413"/>
      </c>
      <c r="DM43" s="590">
        <f t="shared" si="414"/>
      </c>
      <c r="DN43" s="589">
        <f t="shared" si="415"/>
      </c>
      <c r="DO43" s="589">
        <f t="shared" si="416"/>
      </c>
      <c r="DP43" s="589">
        <f t="shared" si="417"/>
      </c>
      <c r="DQ43" s="590">
        <f t="shared" si="418"/>
      </c>
      <c r="DR43" s="589">
        <f t="shared" si="419"/>
      </c>
      <c r="DS43" s="589">
        <f t="shared" si="420"/>
      </c>
      <c r="DT43" s="589">
        <f t="shared" si="421"/>
      </c>
      <c r="DU43" s="590">
        <f t="shared" si="422"/>
      </c>
      <c r="DV43" s="589">
        <f t="shared" si="423"/>
      </c>
      <c r="DW43" s="589">
        <f t="shared" si="424"/>
      </c>
      <c r="DX43" s="589">
        <f t="shared" si="425"/>
      </c>
      <c r="DY43" s="590">
        <f t="shared" si="426"/>
      </c>
      <c r="DZ43" s="589">
        <f t="shared" si="427"/>
      </c>
      <c r="EA43" s="589">
        <f t="shared" si="428"/>
      </c>
      <c r="EB43" s="589">
        <f t="shared" si="429"/>
      </c>
      <c r="EC43" s="590">
        <f t="shared" si="430"/>
      </c>
      <c r="ED43" s="589">
        <f t="shared" si="431"/>
      </c>
      <c r="EE43" s="589">
        <f t="shared" si="432"/>
      </c>
      <c r="EF43" s="589">
        <f t="shared" si="433"/>
      </c>
      <c r="EG43" s="590">
        <f t="shared" si="434"/>
      </c>
      <c r="EH43" s="589">
        <f t="shared" si="435"/>
      </c>
      <c r="EI43" s="589">
        <f t="shared" si="436"/>
      </c>
      <c r="EJ43" s="589">
        <f t="shared" si="437"/>
      </c>
      <c r="EK43" s="590">
        <f t="shared" si="438"/>
      </c>
      <c r="EM43" s="589"/>
      <c r="EN43" s="589">
        <f t="shared" ref="EN43:FQ43" si="455">EN13/EM13-1</f>
      </c>
      <c r="EO43" s="589">
        <f t="shared" si="455"/>
      </c>
      <c r="EP43" s="589">
        <f t="shared" si="455"/>
      </c>
      <c r="EQ43" s="589">
        <f t="shared" si="455"/>
      </c>
      <c r="ER43" s="589">
        <f t="shared" si="455"/>
      </c>
      <c r="ES43" s="589">
        <f t="shared" si="455"/>
      </c>
      <c r="ET43" s="589">
        <f t="shared" si="455"/>
      </c>
      <c r="EU43" s="589">
        <f t="shared" si="455"/>
      </c>
      <c r="EV43" s="589">
        <f t="shared" si="455"/>
      </c>
      <c r="EW43" s="589">
        <f t="shared" si="455"/>
      </c>
      <c r="EX43" s="589">
        <f t="shared" si="455"/>
      </c>
      <c r="EY43" s="589">
        <f t="shared" si="455"/>
      </c>
      <c r="EZ43" s="589">
        <f t="shared" si="455"/>
      </c>
      <c r="FA43" s="589">
        <f t="shared" si="455"/>
      </c>
      <c r="FB43" s="589">
        <f t="shared" si="455"/>
      </c>
      <c r="FC43" s="589">
        <f t="shared" si="455"/>
      </c>
      <c r="FD43" s="589">
        <f t="shared" si="455"/>
      </c>
      <c r="FE43" s="589">
        <f t="shared" si="455"/>
      </c>
      <c r="FF43" s="589">
        <f t="shared" si="455"/>
      </c>
      <c r="FG43" s="589">
        <f t="shared" si="455"/>
      </c>
      <c r="FH43" s="589">
        <f t="shared" si="455"/>
      </c>
      <c r="FI43" s="589">
        <f t="shared" si="455"/>
      </c>
      <c r="FJ43" s="589">
        <f t="shared" si="455"/>
      </c>
      <c r="FK43" s="589">
        <f t="shared" si="455"/>
      </c>
      <c r="FL43" s="2897">
        <f t="shared" si="455"/>
      </c>
      <c r="FM43" s="589">
        <f t="shared" si="455"/>
      </c>
      <c r="FN43" s="589">
        <f t="shared" si="455"/>
      </c>
      <c r="FO43" s="589">
        <f t="shared" si="455"/>
      </c>
      <c r="FP43" s="589">
        <f t="shared" si="455"/>
      </c>
      <c r="FQ43" s="589">
        <f t="shared" si="455"/>
      </c>
      <c r="FR43" s="589">
        <f t="shared" si="440"/>
      </c>
      <c r="FS43" s="589">
        <f t="shared" si="441"/>
      </c>
      <c r="FT43" s="589">
        <f t="shared" si="442"/>
      </c>
      <c r="FU43" s="2898">
        <f t="shared" si="443"/>
      </c>
      <c r="FV43" s="89"/>
      <c r="FW43" s="589"/>
      <c r="FX43" s="589">
        <f t="shared" ref="FX43:GZ43" si="456">FX13/FW13-1</f>
      </c>
      <c r="FY43" s="589">
        <f t="shared" si="456"/>
      </c>
      <c r="FZ43" s="589">
        <f t="shared" si="456"/>
      </c>
      <c r="GA43" s="589">
        <f t="shared" si="456"/>
      </c>
      <c r="GB43" s="589">
        <f t="shared" si="456"/>
      </c>
      <c r="GC43" s="589">
        <f t="shared" si="456"/>
      </c>
      <c r="GD43" s="589">
        <f t="shared" si="456"/>
      </c>
      <c r="GE43" s="589">
        <f t="shared" si="456"/>
      </c>
      <c r="GF43" s="589">
        <f t="shared" si="456"/>
      </c>
      <c r="GG43" s="589">
        <f t="shared" si="456"/>
      </c>
      <c r="GH43" s="589">
        <f t="shared" si="456"/>
      </c>
      <c r="GI43" s="589">
        <f t="shared" si="456"/>
      </c>
      <c r="GJ43" s="589">
        <f t="shared" si="456"/>
      </c>
      <c r="GK43" s="589">
        <f t="shared" si="456"/>
      </c>
      <c r="GL43" s="589">
        <f t="shared" si="456"/>
      </c>
      <c r="GM43" s="589">
        <f t="shared" si="456"/>
      </c>
      <c r="GN43" s="589">
        <f t="shared" si="456"/>
      </c>
      <c r="GO43" s="589">
        <f t="shared" si="456"/>
      </c>
      <c r="GP43" s="589">
        <f t="shared" si="456"/>
      </c>
      <c r="GQ43" s="589">
        <f t="shared" si="456"/>
      </c>
      <c r="GR43" s="589">
        <f t="shared" si="456"/>
      </c>
      <c r="GS43" s="589">
        <f t="shared" si="456"/>
      </c>
      <c r="GT43" s="589">
        <f t="shared" si="456"/>
      </c>
      <c r="GU43" s="589">
        <f t="shared" si="456"/>
      </c>
      <c r="GV43" s="589">
        <f t="shared" si="456"/>
      </c>
      <c r="GW43" s="589">
        <f t="shared" si="456"/>
      </c>
      <c r="GX43" s="589">
        <f t="shared" si="456"/>
      </c>
      <c r="GY43" s="589">
        <f t="shared" si="456"/>
      </c>
      <c r="GZ43" s="589">
        <f t="shared" si="456"/>
      </c>
      <c r="HA43" s="589">
        <f t="shared" si="445"/>
      </c>
      <c r="HB43" s="589">
        <f t="shared" si="450"/>
      </c>
      <c r="HC43" s="589">
        <f t="shared" si="446"/>
      </c>
      <c r="HD43" s="589">
        <f t="shared" si="447"/>
      </c>
    </row>
    <row r="44" spans="1:212" s="16" customFormat="1">
      <c r="A44" s="591" t="str">
        <f t="shared" si="302"/>
      </c>
      <c r="B44" s="592"/>
      <c r="C44" s="592"/>
      <c r="D44" s="592"/>
      <c r="E44" s="593"/>
      <c r="F44" s="594">
        <f t="shared" si="303"/>
      </c>
      <c r="G44" s="594">
        <f t="shared" si="304"/>
      </c>
      <c r="H44" s="594">
        <f t="shared" si="305"/>
      </c>
      <c r="I44" s="594">
        <f t="shared" si="306"/>
      </c>
      <c r="J44" s="594">
        <f t="shared" si="307"/>
      </c>
      <c r="K44" s="594">
        <f t="shared" si="308"/>
      </c>
      <c r="L44" s="594">
        <f t="shared" si="309"/>
      </c>
      <c r="M44" s="594">
        <f t="shared" si="310"/>
      </c>
      <c r="N44" s="594">
        <f t="shared" si="311"/>
      </c>
      <c r="O44" s="594">
        <f t="shared" si="312"/>
      </c>
      <c r="P44" s="594">
        <f t="shared" si="313"/>
      </c>
      <c r="Q44" s="594">
        <f t="shared" si="314"/>
      </c>
      <c r="R44" s="594">
        <f t="shared" si="315"/>
      </c>
      <c r="S44" s="594">
        <f t="shared" si="316"/>
      </c>
      <c r="T44" s="594">
        <f t="shared" si="317"/>
      </c>
      <c r="U44" s="594">
        <f t="shared" si="318"/>
      </c>
      <c r="V44" s="594">
        <f t="shared" si="319"/>
      </c>
      <c r="W44" s="594">
        <f t="shared" si="320"/>
      </c>
      <c r="X44" s="594">
        <f t="shared" si="321"/>
      </c>
      <c r="Y44" s="594">
        <f t="shared" si="322"/>
      </c>
      <c r="Z44" s="594">
        <f t="shared" si="323"/>
      </c>
      <c r="AA44" s="594">
        <f t="shared" si="324"/>
      </c>
      <c r="AB44" s="594">
        <f t="shared" si="325"/>
      </c>
      <c r="AC44" s="594">
        <f t="shared" si="326"/>
      </c>
      <c r="AD44" s="594">
        <f t="shared" si="327"/>
      </c>
      <c r="AE44" s="594">
        <f t="shared" si="328"/>
      </c>
      <c r="AF44" s="594">
        <f t="shared" si="329"/>
      </c>
      <c r="AG44" s="594">
        <f t="shared" si="330"/>
      </c>
      <c r="AH44" s="594">
        <f t="shared" si="331"/>
      </c>
      <c r="AI44" s="594">
        <f t="shared" si="332"/>
      </c>
      <c r="AJ44" s="594">
        <f t="shared" si="333"/>
      </c>
      <c r="AK44" s="594">
        <f t="shared" si="334"/>
      </c>
      <c r="AL44" s="594">
        <f t="shared" si="335"/>
      </c>
      <c r="AM44" s="594">
        <f t="shared" si="336"/>
      </c>
      <c r="AN44" s="594">
        <f t="shared" si="337"/>
      </c>
      <c r="AO44" s="594">
        <f t="shared" si="338"/>
      </c>
      <c r="AP44" s="594">
        <f t="shared" si="339"/>
      </c>
      <c r="AQ44" s="594">
        <f t="shared" si="340"/>
      </c>
      <c r="AR44" s="594">
        <f t="shared" si="341"/>
      </c>
      <c r="AS44" s="594">
        <f t="shared" si="342"/>
      </c>
      <c r="AT44" s="594">
        <f t="shared" si="343"/>
      </c>
      <c r="AU44" s="594">
        <f t="shared" si="344"/>
      </c>
      <c r="AV44" s="594">
        <f t="shared" si="345"/>
      </c>
      <c r="AW44" s="594">
        <f t="shared" si="346"/>
      </c>
      <c r="AX44" s="594">
        <f t="shared" si="347"/>
      </c>
      <c r="AY44" s="594">
        <f t="shared" si="348"/>
      </c>
      <c r="AZ44" s="594">
        <f t="shared" si="349"/>
      </c>
      <c r="BA44" s="594">
        <f t="shared" si="350"/>
      </c>
      <c r="BB44" s="594">
        <f t="shared" si="351"/>
      </c>
      <c r="BC44" s="594">
        <f t="shared" si="352"/>
      </c>
      <c r="BD44" s="594">
        <f t="shared" si="353"/>
      </c>
      <c r="BE44" s="594">
        <f t="shared" si="354"/>
      </c>
      <c r="BF44" s="594">
        <f t="shared" si="355"/>
      </c>
      <c r="BG44" s="594">
        <f t="shared" si="356"/>
      </c>
      <c r="BH44" s="594">
        <f t="shared" si="357"/>
      </c>
      <c r="BI44" s="594">
        <f t="shared" si="358"/>
      </c>
      <c r="BJ44" s="594">
        <f t="shared" si="359"/>
      </c>
      <c r="BK44" s="594">
        <f t="shared" si="360"/>
      </c>
      <c r="BL44" s="594">
        <f t="shared" si="361"/>
      </c>
      <c r="BM44" s="594">
        <f t="shared" si="362"/>
      </c>
      <c r="BN44" s="594">
        <f t="shared" si="363"/>
      </c>
      <c r="BO44" s="594">
        <f t="shared" si="364"/>
      </c>
      <c r="BP44" s="594">
        <f t="shared" si="365"/>
      </c>
      <c r="BQ44" s="595">
        <f t="shared" si="366"/>
      </c>
      <c r="BR44" s="594">
        <f t="shared" si="367"/>
      </c>
      <c r="BS44" s="594">
        <f t="shared" si="368"/>
      </c>
      <c r="BT44" s="594">
        <f t="shared" si="369"/>
      </c>
      <c r="BU44" s="595">
        <f t="shared" si="370"/>
      </c>
      <c r="BV44" s="594">
        <f t="shared" si="371"/>
      </c>
      <c r="BW44" s="594">
        <f t="shared" si="372"/>
      </c>
      <c r="BX44" s="594">
        <f t="shared" si="373"/>
      </c>
      <c r="BY44" s="595">
        <f t="shared" si="374"/>
      </c>
      <c r="BZ44" s="594">
        <f t="shared" si="375"/>
      </c>
      <c r="CA44" s="594">
        <f t="shared" si="376"/>
      </c>
      <c r="CB44" s="594">
        <f t="shared" si="377"/>
      </c>
      <c r="CC44" s="595">
        <f t="shared" si="378"/>
      </c>
      <c r="CD44" s="594">
        <f t="shared" si="379"/>
      </c>
      <c r="CE44" s="594">
        <f t="shared" si="380"/>
      </c>
      <c r="CF44" s="594">
        <f t="shared" si="381"/>
      </c>
      <c r="CG44" s="595">
        <f t="shared" si="382"/>
      </c>
      <c r="CH44" s="594">
        <f t="shared" si="383"/>
      </c>
      <c r="CI44" s="594">
        <f t="shared" si="384"/>
      </c>
      <c r="CJ44" s="594">
        <f t="shared" si="385"/>
      </c>
      <c r="CK44" s="595">
        <f t="shared" si="386"/>
      </c>
      <c r="CL44" s="594">
        <f t="shared" si="387"/>
      </c>
      <c r="CM44" s="594">
        <f t="shared" si="388"/>
      </c>
      <c r="CN44" s="594">
        <f t="shared" si="389"/>
      </c>
      <c r="CO44" s="595">
        <f t="shared" si="390"/>
      </c>
      <c r="CP44" s="594">
        <f t="shared" si="391"/>
      </c>
      <c r="CQ44" s="594">
        <f t="shared" si="392"/>
      </c>
      <c r="CR44" s="594">
        <f t="shared" si="393"/>
      </c>
      <c r="CS44" s="595">
        <f t="shared" si="394"/>
      </c>
      <c r="CT44" s="594">
        <f t="shared" si="395"/>
      </c>
      <c r="CU44" s="594">
        <f t="shared" si="396"/>
      </c>
      <c r="CV44" s="594">
        <f t="shared" si="397"/>
      </c>
      <c r="CW44" s="595">
        <f t="shared" si="398"/>
      </c>
      <c r="CX44" s="594">
        <f t="shared" si="399"/>
      </c>
      <c r="CY44" s="594">
        <f t="shared" si="400"/>
      </c>
      <c r="CZ44" s="594">
        <f t="shared" si="401"/>
      </c>
      <c r="DA44" s="595">
        <f t="shared" si="402"/>
      </c>
      <c r="DB44" s="594">
        <f t="shared" si="403"/>
      </c>
      <c r="DC44" s="594">
        <f t="shared" si="404"/>
      </c>
      <c r="DD44" s="594">
        <f t="shared" si="405"/>
      </c>
      <c r="DE44" s="595">
        <f t="shared" si="406"/>
      </c>
      <c r="DF44" s="594">
        <f t="shared" si="407"/>
      </c>
      <c r="DG44" s="594">
        <f t="shared" si="408"/>
      </c>
      <c r="DH44" s="594">
        <f t="shared" si="409"/>
      </c>
      <c r="DI44" s="595">
        <f t="shared" si="410"/>
      </c>
      <c r="DJ44" s="594">
        <f t="shared" si="411"/>
      </c>
      <c r="DK44" s="594">
        <f t="shared" si="412"/>
      </c>
      <c r="DL44" s="594">
        <f t="shared" si="413"/>
      </c>
      <c r="DM44" s="595">
        <f t="shared" si="414"/>
      </c>
      <c r="DN44" s="594">
        <f t="shared" si="415"/>
      </c>
      <c r="DO44" s="594">
        <f t="shared" si="416"/>
      </c>
      <c r="DP44" s="594">
        <f t="shared" si="417"/>
      </c>
      <c r="DQ44" s="595">
        <f t="shared" si="418"/>
      </c>
      <c r="DR44" s="594">
        <f t="shared" si="419"/>
      </c>
      <c r="DS44" s="594">
        <f t="shared" si="420"/>
      </c>
      <c r="DT44" s="594">
        <f t="shared" si="421"/>
      </c>
      <c r="DU44" s="595">
        <f t="shared" si="422"/>
      </c>
      <c r="DV44" s="594">
        <f t="shared" si="423"/>
      </c>
      <c r="DW44" s="594">
        <f t="shared" si="424"/>
      </c>
      <c r="DX44" s="594">
        <f t="shared" si="425"/>
      </c>
      <c r="DY44" s="595">
        <f t="shared" si="426"/>
      </c>
      <c r="DZ44" s="594">
        <f t="shared" si="427"/>
      </c>
      <c r="EA44" s="594">
        <f t="shared" si="428"/>
      </c>
      <c r="EB44" s="594">
        <f t="shared" si="429"/>
      </c>
      <c r="EC44" s="595">
        <f t="shared" si="430"/>
      </c>
      <c r="ED44" s="594">
        <f t="shared" si="431"/>
      </c>
      <c r="EE44" s="594">
        <f t="shared" si="432"/>
      </c>
      <c r="EF44" s="594">
        <f t="shared" si="433"/>
      </c>
      <c r="EG44" s="595">
        <f t="shared" si="434"/>
      </c>
      <c r="EH44" s="594">
        <f t="shared" si="435"/>
      </c>
      <c r="EI44" s="594">
        <f t="shared" si="436"/>
      </c>
      <c r="EJ44" s="594">
        <f t="shared" si="437"/>
      </c>
      <c r="EK44" s="595">
        <f t="shared" si="438"/>
      </c>
      <c r="EM44" s="594"/>
      <c r="EN44" s="594">
        <f t="shared" ref="EN44:FQ44" si="457">EN14/EM14-1</f>
      </c>
      <c r="EO44" s="594">
        <f t="shared" si="457"/>
      </c>
      <c r="EP44" s="594">
        <f t="shared" si="457"/>
      </c>
      <c r="EQ44" s="594">
        <f t="shared" si="457"/>
      </c>
      <c r="ER44" s="594">
        <f t="shared" si="457"/>
      </c>
      <c r="ES44" s="594">
        <f t="shared" si="457"/>
      </c>
      <c r="ET44" s="594">
        <f t="shared" si="457"/>
      </c>
      <c r="EU44" s="594">
        <f t="shared" si="457"/>
      </c>
      <c r="EV44" s="594">
        <f t="shared" si="457"/>
      </c>
      <c r="EW44" s="594">
        <f t="shared" si="457"/>
      </c>
      <c r="EX44" s="594">
        <f t="shared" si="457"/>
      </c>
      <c r="EY44" s="594">
        <f t="shared" si="457"/>
      </c>
      <c r="EZ44" s="594">
        <f t="shared" si="457"/>
      </c>
      <c r="FA44" s="594">
        <f t="shared" si="457"/>
      </c>
      <c r="FB44" s="594">
        <f t="shared" si="457"/>
      </c>
      <c r="FC44" s="594">
        <f t="shared" si="457"/>
      </c>
      <c r="FD44" s="594">
        <f t="shared" si="457"/>
      </c>
      <c r="FE44" s="594">
        <f t="shared" si="457"/>
      </c>
      <c r="FF44" s="594">
        <f t="shared" si="457"/>
      </c>
      <c r="FG44" s="594">
        <f t="shared" si="457"/>
      </c>
      <c r="FH44" s="594">
        <f t="shared" si="457"/>
      </c>
      <c r="FI44" s="594">
        <f t="shared" si="457"/>
      </c>
      <c r="FJ44" s="594">
        <f t="shared" si="457"/>
      </c>
      <c r="FK44" s="594">
        <f t="shared" si="457"/>
      </c>
      <c r="FL44" s="2899">
        <f t="shared" si="457"/>
      </c>
      <c r="FM44" s="594">
        <f t="shared" si="457"/>
      </c>
      <c r="FN44" s="594">
        <f t="shared" si="457"/>
      </c>
      <c r="FO44" s="594">
        <f t="shared" si="457"/>
      </c>
      <c r="FP44" s="594">
        <f t="shared" si="457"/>
      </c>
      <c r="FQ44" s="594">
        <f t="shared" si="457"/>
      </c>
      <c r="FR44" s="594">
        <f t="shared" si="440"/>
      </c>
      <c r="FS44" s="594">
        <f t="shared" si="441"/>
      </c>
      <c r="FT44" s="594">
        <f t="shared" si="442"/>
      </c>
      <c r="FU44" s="2900">
        <f t="shared" si="443"/>
      </c>
      <c r="FV44" s="139"/>
      <c r="FW44" s="594"/>
      <c r="FX44" s="594">
        <f t="shared" ref="FX44:GZ44" si="458">FX14/FW14-1</f>
      </c>
      <c r="FY44" s="594">
        <f t="shared" si="458"/>
      </c>
      <c r="FZ44" s="594">
        <f t="shared" si="458"/>
      </c>
      <c r="GA44" s="594">
        <f t="shared" si="458"/>
      </c>
      <c r="GB44" s="594">
        <f t="shared" si="458"/>
      </c>
      <c r="GC44" s="594">
        <f t="shared" si="458"/>
      </c>
      <c r="GD44" s="594">
        <f t="shared" si="458"/>
      </c>
      <c r="GE44" s="594">
        <f t="shared" si="458"/>
      </c>
      <c r="GF44" s="594">
        <f t="shared" si="458"/>
      </c>
      <c r="GG44" s="594">
        <f t="shared" si="458"/>
      </c>
      <c r="GH44" s="594">
        <f t="shared" si="458"/>
      </c>
      <c r="GI44" s="594">
        <f t="shared" si="458"/>
      </c>
      <c r="GJ44" s="594">
        <f t="shared" si="458"/>
      </c>
      <c r="GK44" s="594">
        <f t="shared" si="458"/>
      </c>
      <c r="GL44" s="594">
        <f t="shared" si="458"/>
      </c>
      <c r="GM44" s="594">
        <f t="shared" si="458"/>
      </c>
      <c r="GN44" s="594">
        <f t="shared" si="458"/>
      </c>
      <c r="GO44" s="594">
        <f t="shared" si="458"/>
      </c>
      <c r="GP44" s="594">
        <f t="shared" si="458"/>
      </c>
      <c r="GQ44" s="594">
        <f t="shared" si="458"/>
      </c>
      <c r="GR44" s="594">
        <f t="shared" si="458"/>
      </c>
      <c r="GS44" s="594">
        <f t="shared" si="458"/>
      </c>
      <c r="GT44" s="594">
        <f t="shared" si="458"/>
      </c>
      <c r="GU44" s="594">
        <f t="shared" si="458"/>
      </c>
      <c r="GV44" s="594">
        <f t="shared" si="458"/>
      </c>
      <c r="GW44" s="594">
        <f t="shared" si="458"/>
      </c>
      <c r="GX44" s="594">
        <f t="shared" si="458"/>
      </c>
      <c r="GY44" s="594">
        <f t="shared" si="458"/>
      </c>
      <c r="GZ44" s="594">
        <f t="shared" si="458"/>
      </c>
      <c r="HA44" s="594">
        <f t="shared" si="445"/>
      </c>
      <c r="HB44" s="594">
        <f t="shared" si="450"/>
      </c>
      <c r="HC44" s="594">
        <f t="shared" si="446"/>
      </c>
      <c r="HD44" s="594">
        <f t="shared" si="447"/>
      </c>
    </row>
    <row r="45" spans="1:212">
      <c r="A45" s="591" t="str">
        <f t="shared" si="302"/>
      </c>
      <c r="B45" s="592"/>
      <c r="C45" s="592"/>
      <c r="D45" s="592"/>
      <c r="E45" s="593"/>
      <c r="F45" s="594">
        <f t="shared" si="303"/>
      </c>
      <c r="G45" s="594">
        <f t="shared" si="304"/>
      </c>
      <c r="H45" s="594">
        <f t="shared" si="305"/>
      </c>
      <c r="I45" s="594">
        <f t="shared" si="306"/>
      </c>
      <c r="J45" s="594">
        <f t="shared" si="307"/>
      </c>
      <c r="K45" s="594">
        <f t="shared" si="308"/>
      </c>
      <c r="L45" s="594">
        <f t="shared" si="309"/>
      </c>
      <c r="M45" s="594">
        <f t="shared" si="310"/>
      </c>
      <c r="N45" s="594">
        <f t="shared" si="311"/>
      </c>
      <c r="O45" s="594">
        <f t="shared" si="312"/>
      </c>
      <c r="P45" s="594">
        <f t="shared" si="313"/>
      </c>
      <c r="Q45" s="594">
        <f t="shared" si="314"/>
      </c>
      <c r="R45" s="594">
        <f t="shared" si="315"/>
      </c>
      <c r="S45" s="594">
        <f t="shared" si="316"/>
      </c>
      <c r="T45" s="594">
        <f t="shared" si="317"/>
      </c>
      <c r="U45" s="594">
        <f t="shared" si="318"/>
      </c>
      <c r="V45" s="594">
        <f t="shared" si="319"/>
      </c>
      <c r="W45" s="594">
        <f t="shared" si="320"/>
      </c>
      <c r="X45" s="594">
        <f t="shared" si="321"/>
      </c>
      <c r="Y45" s="594">
        <f t="shared" si="322"/>
      </c>
      <c r="Z45" s="594">
        <f t="shared" si="323"/>
      </c>
      <c r="AA45" s="594">
        <f t="shared" si="324"/>
      </c>
      <c r="AB45" s="594">
        <f t="shared" si="325"/>
      </c>
      <c r="AC45" s="594">
        <f t="shared" si="326"/>
      </c>
      <c r="AD45" s="594">
        <f t="shared" si="327"/>
      </c>
      <c r="AE45" s="594">
        <f t="shared" si="328"/>
      </c>
      <c r="AF45" s="594">
        <f t="shared" si="329"/>
      </c>
      <c r="AG45" s="594">
        <f t="shared" si="330"/>
      </c>
      <c r="AH45" s="594">
        <f t="shared" si="331"/>
      </c>
      <c r="AI45" s="594">
        <f t="shared" si="332"/>
      </c>
      <c r="AJ45" s="594">
        <f t="shared" si="333"/>
      </c>
      <c r="AK45" s="594">
        <f t="shared" si="334"/>
      </c>
      <c r="AL45" s="594">
        <f t="shared" si="335"/>
      </c>
      <c r="AM45" s="594">
        <f t="shared" si="336"/>
      </c>
      <c r="AN45" s="594">
        <f t="shared" si="337"/>
      </c>
      <c r="AO45" s="594">
        <f t="shared" si="338"/>
      </c>
      <c r="AP45" s="594">
        <f t="shared" si="339"/>
      </c>
      <c r="AQ45" s="594">
        <f t="shared" si="340"/>
      </c>
      <c r="AR45" s="594">
        <f t="shared" si="341"/>
      </c>
      <c r="AS45" s="594">
        <f t="shared" si="342"/>
      </c>
      <c r="AT45" s="594">
        <f t="shared" si="343"/>
      </c>
      <c r="AU45" s="594">
        <f t="shared" si="344"/>
      </c>
      <c r="AV45" s="594">
        <f t="shared" si="345"/>
      </c>
      <c r="AW45" s="594">
        <f t="shared" si="346"/>
      </c>
      <c r="AX45" s="594">
        <f t="shared" si="347"/>
      </c>
      <c r="AY45" s="594">
        <f t="shared" si="348"/>
      </c>
      <c r="AZ45" s="594">
        <f t="shared" si="349"/>
      </c>
      <c r="BA45" s="594">
        <f t="shared" si="350"/>
      </c>
      <c r="BB45" s="594">
        <f t="shared" si="351"/>
      </c>
      <c r="BC45" s="594">
        <f t="shared" si="352"/>
      </c>
      <c r="BD45" s="594">
        <f t="shared" si="353"/>
      </c>
      <c r="BE45" s="594">
        <f t="shared" si="354"/>
      </c>
      <c r="BF45" s="594">
        <f t="shared" si="355"/>
      </c>
      <c r="BG45" s="594">
        <f t="shared" si="356"/>
      </c>
      <c r="BH45" s="594">
        <f t="shared" si="357"/>
      </c>
      <c r="BI45" s="594">
        <f t="shared" si="358"/>
      </c>
      <c r="BJ45" s="594">
        <f t="shared" si="359"/>
      </c>
      <c r="BK45" s="594">
        <f t="shared" si="360"/>
      </c>
      <c r="BL45" s="594">
        <f t="shared" si="361"/>
      </c>
      <c r="BM45" s="594">
        <f t="shared" si="362"/>
      </c>
      <c r="BN45" s="594">
        <f t="shared" si="363"/>
      </c>
      <c r="BO45" s="594">
        <f t="shared" si="364"/>
      </c>
      <c r="BP45" s="594">
        <f t="shared" si="365"/>
      </c>
      <c r="BQ45" s="595">
        <f t="shared" si="366"/>
      </c>
      <c r="BR45" s="594">
        <f t="shared" si="367"/>
      </c>
      <c r="BS45" s="594">
        <f t="shared" si="368"/>
      </c>
      <c r="BT45" s="594">
        <f t="shared" si="369"/>
      </c>
      <c r="BU45" s="595">
        <f t="shared" si="370"/>
      </c>
      <c r="BV45" s="594">
        <f t="shared" si="371"/>
      </c>
      <c r="BW45" s="594">
        <f t="shared" si="372"/>
      </c>
      <c r="BX45" s="594">
        <f t="shared" si="373"/>
      </c>
      <c r="BY45" s="595">
        <f t="shared" si="374"/>
      </c>
      <c r="BZ45" s="594">
        <f t="shared" si="375"/>
      </c>
      <c r="CA45" s="594">
        <f t="shared" si="376"/>
      </c>
      <c r="CB45" s="594">
        <f t="shared" si="377"/>
      </c>
      <c r="CC45" s="595">
        <f t="shared" si="378"/>
      </c>
      <c r="CD45" s="594">
        <f t="shared" si="379"/>
      </c>
      <c r="CE45" s="594">
        <f t="shared" si="380"/>
      </c>
      <c r="CF45" s="594">
        <f t="shared" si="381"/>
      </c>
      <c r="CG45" s="595">
        <f t="shared" si="382"/>
      </c>
      <c r="CH45" s="594">
        <f t="shared" si="383"/>
      </c>
      <c r="CI45" s="594">
        <f t="shared" si="384"/>
      </c>
      <c r="CJ45" s="594">
        <f t="shared" si="385"/>
      </c>
      <c r="CK45" s="595">
        <f t="shared" si="386"/>
      </c>
      <c r="CL45" s="594">
        <f t="shared" si="387"/>
      </c>
      <c r="CM45" s="594">
        <f t="shared" si="388"/>
      </c>
      <c r="CN45" s="594">
        <f t="shared" si="389"/>
      </c>
      <c r="CO45" s="595">
        <f t="shared" si="390"/>
      </c>
      <c r="CP45" s="594">
        <f t="shared" si="391"/>
      </c>
      <c r="CQ45" s="594">
        <f t="shared" si="392"/>
      </c>
      <c r="CR45" s="594">
        <f t="shared" si="393"/>
      </c>
      <c r="CS45" s="595">
        <f t="shared" si="394"/>
      </c>
      <c r="CT45" s="594">
        <f t="shared" si="395"/>
      </c>
      <c r="CU45" s="594">
        <f t="shared" si="396"/>
      </c>
      <c r="CV45" s="594">
        <f t="shared" si="397"/>
      </c>
      <c r="CW45" s="595">
        <f t="shared" si="398"/>
      </c>
      <c r="CX45" s="594">
        <f t="shared" si="399"/>
      </c>
      <c r="CY45" s="594">
        <f t="shared" si="400"/>
      </c>
      <c r="CZ45" s="594">
        <f t="shared" si="401"/>
      </c>
      <c r="DA45" s="595">
        <f t="shared" si="402"/>
      </c>
      <c r="DB45" s="594">
        <f t="shared" si="403"/>
      </c>
      <c r="DC45" s="594">
        <f t="shared" si="404"/>
      </c>
      <c r="DD45" s="594">
        <f t="shared" si="405"/>
      </c>
      <c r="DE45" s="595">
        <f t="shared" si="406"/>
      </c>
      <c r="DF45" s="594">
        <f t="shared" si="407"/>
      </c>
      <c r="DG45" s="594">
        <f t="shared" si="408"/>
      </c>
      <c r="DH45" s="594">
        <f t="shared" si="409"/>
      </c>
      <c r="DI45" s="595">
        <f t="shared" si="410"/>
      </c>
      <c r="DJ45" s="594">
        <f t="shared" si="411"/>
      </c>
      <c r="DK45" s="594">
        <f t="shared" si="412"/>
      </c>
      <c r="DL45" s="594">
        <f t="shared" si="413"/>
      </c>
      <c r="DM45" s="595">
        <f t="shared" si="414"/>
      </c>
      <c r="DN45" s="594">
        <f t="shared" si="415"/>
      </c>
      <c r="DO45" s="594">
        <f t="shared" si="416"/>
      </c>
      <c r="DP45" s="594">
        <f t="shared" si="417"/>
      </c>
      <c r="DQ45" s="595">
        <f t="shared" si="418"/>
      </c>
      <c r="DR45" s="594">
        <f t="shared" si="419"/>
      </c>
      <c r="DS45" s="594">
        <f t="shared" si="420"/>
      </c>
      <c r="DT45" s="594">
        <f t="shared" si="421"/>
      </c>
      <c r="DU45" s="595">
        <f t="shared" si="422"/>
      </c>
      <c r="DV45" s="594">
        <f t="shared" si="423"/>
      </c>
      <c r="DW45" s="594">
        <f t="shared" si="424"/>
      </c>
      <c r="DX45" s="594">
        <f t="shared" si="425"/>
      </c>
      <c r="DY45" s="595">
        <f t="shared" si="426"/>
      </c>
      <c r="DZ45" s="594">
        <f t="shared" si="427"/>
      </c>
      <c r="EA45" s="594">
        <f t="shared" si="428"/>
      </c>
      <c r="EB45" s="594">
        <f t="shared" si="429"/>
      </c>
      <c r="EC45" s="595">
        <f t="shared" si="430"/>
      </c>
      <c r="ED45" s="594">
        <f t="shared" si="431"/>
      </c>
      <c r="EE45" s="594">
        <f t="shared" si="432"/>
      </c>
      <c r="EF45" s="594">
        <f t="shared" si="433"/>
      </c>
      <c r="EG45" s="595">
        <f t="shared" si="434"/>
      </c>
      <c r="EH45" s="594">
        <f t="shared" si="435"/>
      </c>
      <c r="EI45" s="594">
        <f t="shared" si="436"/>
      </c>
      <c r="EJ45" s="594">
        <f t="shared" si="437"/>
      </c>
      <c r="EK45" s="595">
        <f t="shared" si="438"/>
      </c>
      <c r="EM45" s="594"/>
      <c r="EN45" s="594">
        <f t="shared" ref="EN45:FQ45" si="459">EN15/EM15-1</f>
      </c>
      <c r="EO45" s="594">
        <f t="shared" si="459"/>
      </c>
      <c r="EP45" s="594">
        <f t="shared" si="459"/>
      </c>
      <c r="EQ45" s="594">
        <f t="shared" si="459"/>
      </c>
      <c r="ER45" s="594">
        <f t="shared" si="459"/>
      </c>
      <c r="ES45" s="594">
        <f t="shared" si="459"/>
      </c>
      <c r="ET45" s="594">
        <f t="shared" si="459"/>
      </c>
      <c r="EU45" s="594">
        <f t="shared" si="459"/>
      </c>
      <c r="EV45" s="594">
        <f t="shared" si="459"/>
      </c>
      <c r="EW45" s="594">
        <f t="shared" si="459"/>
      </c>
      <c r="EX45" s="594">
        <f t="shared" si="459"/>
      </c>
      <c r="EY45" s="594">
        <f t="shared" si="459"/>
      </c>
      <c r="EZ45" s="594">
        <f t="shared" si="459"/>
      </c>
      <c r="FA45" s="594">
        <f t="shared" si="459"/>
      </c>
      <c r="FB45" s="594">
        <f t="shared" si="459"/>
      </c>
      <c r="FC45" s="594">
        <f t="shared" si="459"/>
      </c>
      <c r="FD45" s="594">
        <f t="shared" si="459"/>
      </c>
      <c r="FE45" s="594">
        <f t="shared" si="459"/>
      </c>
      <c r="FF45" s="594">
        <f t="shared" si="459"/>
      </c>
      <c r="FG45" s="594">
        <f t="shared" si="459"/>
      </c>
      <c r="FH45" s="594">
        <f t="shared" si="459"/>
      </c>
      <c r="FI45" s="594">
        <f t="shared" si="459"/>
      </c>
      <c r="FJ45" s="594">
        <f t="shared" si="459"/>
      </c>
      <c r="FK45" s="594">
        <f t="shared" si="459"/>
      </c>
      <c r="FL45" s="2899">
        <f t="shared" si="459"/>
      </c>
      <c r="FM45" s="594">
        <f t="shared" si="459"/>
      </c>
      <c r="FN45" s="594">
        <f t="shared" si="459"/>
      </c>
      <c r="FO45" s="594">
        <f t="shared" si="459"/>
      </c>
      <c r="FP45" s="594">
        <f t="shared" si="459"/>
      </c>
      <c r="FQ45" s="594">
        <f t="shared" si="459"/>
      </c>
      <c r="FR45" s="594">
        <f t="shared" si="440"/>
      </c>
      <c r="FS45" s="594">
        <f t="shared" si="441"/>
      </c>
      <c r="FT45" s="594">
        <f t="shared" si="442"/>
      </c>
      <c r="FU45" s="2900">
        <f t="shared" si="443"/>
      </c>
      <c r="FV45" s="89"/>
      <c r="FW45" s="594"/>
      <c r="FX45" s="594">
        <f t="shared" ref="FX45:GZ45" si="460">FX15/FW15-1</f>
      </c>
      <c r="FY45" s="594">
        <f t="shared" si="460"/>
      </c>
      <c r="FZ45" s="594">
        <f t="shared" si="460"/>
      </c>
      <c r="GA45" s="594">
        <f t="shared" si="460"/>
      </c>
      <c r="GB45" s="594">
        <f t="shared" si="460"/>
      </c>
      <c r="GC45" s="594">
        <f t="shared" si="460"/>
      </c>
      <c r="GD45" s="594">
        <f t="shared" si="460"/>
      </c>
      <c r="GE45" s="594">
        <f t="shared" si="460"/>
      </c>
      <c r="GF45" s="594">
        <f t="shared" si="460"/>
      </c>
      <c r="GG45" s="594">
        <f t="shared" si="460"/>
      </c>
      <c r="GH45" s="594">
        <f t="shared" si="460"/>
      </c>
      <c r="GI45" s="594">
        <f t="shared" si="460"/>
      </c>
      <c r="GJ45" s="594">
        <f t="shared" si="460"/>
      </c>
      <c r="GK45" s="594">
        <f t="shared" si="460"/>
      </c>
      <c r="GL45" s="594">
        <f t="shared" si="460"/>
      </c>
      <c r="GM45" s="594">
        <f t="shared" si="460"/>
      </c>
      <c r="GN45" s="594">
        <f t="shared" si="460"/>
      </c>
      <c r="GO45" s="594">
        <f t="shared" si="460"/>
      </c>
      <c r="GP45" s="594">
        <f t="shared" si="460"/>
      </c>
      <c r="GQ45" s="594">
        <f t="shared" si="460"/>
      </c>
      <c r="GR45" s="594">
        <f t="shared" si="460"/>
      </c>
      <c r="GS45" s="594">
        <f t="shared" si="460"/>
      </c>
      <c r="GT45" s="594">
        <f t="shared" si="460"/>
      </c>
      <c r="GU45" s="594">
        <f t="shared" si="460"/>
      </c>
      <c r="GV45" s="594">
        <f t="shared" si="460"/>
      </c>
      <c r="GW45" s="594">
        <f t="shared" si="460"/>
      </c>
      <c r="GX45" s="594">
        <f t="shared" si="460"/>
      </c>
      <c r="GY45" s="594">
        <f t="shared" si="460"/>
      </c>
      <c r="GZ45" s="594">
        <f t="shared" si="460"/>
      </c>
      <c r="HA45" s="594">
        <f t="shared" si="445"/>
      </c>
      <c r="HB45" s="594">
        <f t="shared" si="450"/>
      </c>
      <c r="HC45" s="594">
        <f t="shared" si="446"/>
      </c>
      <c r="HD45" s="594">
        <f t="shared" si="447"/>
      </c>
    </row>
    <row r="46" spans="1:212">
      <c r="A46" s="586" t="str">
        <f t="shared" si="302"/>
      </c>
      <c r="B46" s="587"/>
      <c r="C46" s="587"/>
      <c r="D46" s="587"/>
      <c r="E46" s="588"/>
      <c r="F46" s="589">
        <f t="shared" si="303"/>
      </c>
      <c r="G46" s="589">
        <f t="shared" si="304"/>
      </c>
      <c r="H46" s="589">
        <f t="shared" si="305"/>
      </c>
      <c r="I46" s="589">
        <f t="shared" si="306"/>
      </c>
      <c r="J46" s="589">
        <f t="shared" si="307"/>
      </c>
      <c r="K46" s="589">
        <f t="shared" si="308"/>
      </c>
      <c r="L46" s="589">
        <f t="shared" si="309"/>
      </c>
      <c r="M46" s="589">
        <f t="shared" si="310"/>
      </c>
      <c r="N46" s="589">
        <f t="shared" si="311"/>
      </c>
      <c r="O46" s="589">
        <f t="shared" si="312"/>
      </c>
      <c r="P46" s="589">
        <f t="shared" si="313"/>
      </c>
      <c r="Q46" s="589">
        <f t="shared" si="314"/>
      </c>
      <c r="R46" s="589">
        <f t="shared" si="315"/>
      </c>
      <c r="S46" s="589">
        <f t="shared" si="316"/>
      </c>
      <c r="T46" s="589">
        <f t="shared" si="317"/>
      </c>
      <c r="U46" s="589">
        <f t="shared" si="318"/>
      </c>
      <c r="V46" s="589">
        <f t="shared" si="319"/>
      </c>
      <c r="W46" s="589">
        <f t="shared" si="320"/>
      </c>
      <c r="X46" s="589">
        <f t="shared" si="321"/>
      </c>
      <c r="Y46" s="589">
        <f t="shared" si="322"/>
      </c>
      <c r="Z46" s="589">
        <f t="shared" si="323"/>
      </c>
      <c r="AA46" s="589">
        <f t="shared" si="324"/>
      </c>
      <c r="AB46" s="589">
        <f t="shared" si="325"/>
      </c>
      <c r="AC46" s="589">
        <f t="shared" si="326"/>
      </c>
      <c r="AD46" s="589">
        <f t="shared" si="327"/>
      </c>
      <c r="AE46" s="589">
        <f t="shared" si="328"/>
      </c>
      <c r="AF46" s="589">
        <f t="shared" si="329"/>
      </c>
      <c r="AG46" s="589">
        <f t="shared" si="330"/>
      </c>
      <c r="AH46" s="589">
        <f t="shared" si="331"/>
      </c>
      <c r="AI46" s="589">
        <f t="shared" si="332"/>
      </c>
      <c r="AJ46" s="589">
        <f t="shared" si="333"/>
      </c>
      <c r="AK46" s="589">
        <f t="shared" si="334"/>
      </c>
      <c r="AL46" s="589">
        <f t="shared" si="335"/>
      </c>
      <c r="AM46" s="589">
        <f t="shared" si="336"/>
      </c>
      <c r="AN46" s="589">
        <f t="shared" si="337"/>
      </c>
      <c r="AO46" s="589">
        <f t="shared" si="338"/>
      </c>
      <c r="AP46" s="589">
        <f t="shared" si="339"/>
      </c>
      <c r="AQ46" s="589">
        <f t="shared" si="340"/>
      </c>
      <c r="AR46" s="589">
        <f t="shared" si="341"/>
      </c>
      <c r="AS46" s="589">
        <f t="shared" si="342"/>
      </c>
      <c r="AT46" s="589">
        <f t="shared" si="343"/>
      </c>
      <c r="AU46" s="589">
        <f t="shared" si="344"/>
      </c>
      <c r="AV46" s="589">
        <f t="shared" si="345"/>
      </c>
      <c r="AW46" s="589">
        <f t="shared" si="346"/>
      </c>
      <c r="AX46" s="589">
        <f t="shared" si="347"/>
      </c>
      <c r="AY46" s="589">
        <f t="shared" si="348"/>
      </c>
      <c r="AZ46" s="589">
        <f t="shared" si="349"/>
      </c>
      <c r="BA46" s="589">
        <f t="shared" si="350"/>
      </c>
      <c r="BB46" s="589">
        <f t="shared" si="351"/>
      </c>
      <c r="BC46" s="589">
        <f t="shared" si="352"/>
      </c>
      <c r="BD46" s="589">
        <f t="shared" si="353"/>
      </c>
      <c r="BE46" s="589">
        <f t="shared" si="354"/>
      </c>
      <c r="BF46" s="589">
        <f t="shared" si="355"/>
      </c>
      <c r="BG46" s="589">
        <f t="shared" si="356"/>
      </c>
      <c r="BH46" s="589">
        <f t="shared" si="357"/>
      </c>
      <c r="BI46" s="589">
        <f t="shared" si="358"/>
      </c>
      <c r="BJ46" s="589">
        <f t="shared" si="359"/>
      </c>
      <c r="BK46" s="589">
        <f t="shared" si="360"/>
      </c>
      <c r="BL46" s="589">
        <f t="shared" si="361"/>
      </c>
      <c r="BM46" s="589">
        <f t="shared" si="362"/>
      </c>
      <c r="BN46" s="589">
        <f t="shared" si="363"/>
      </c>
      <c r="BO46" s="589">
        <f t="shared" si="364"/>
      </c>
      <c r="BP46" s="589">
        <f t="shared" si="365"/>
      </c>
      <c r="BQ46" s="590">
        <f t="shared" si="366"/>
      </c>
      <c r="BR46" s="589">
        <f t="shared" si="367"/>
      </c>
      <c r="BS46" s="589">
        <f t="shared" si="368"/>
      </c>
      <c r="BT46" s="589">
        <f t="shared" si="369"/>
      </c>
      <c r="BU46" s="590">
        <f t="shared" si="370"/>
      </c>
      <c r="BV46" s="589">
        <f t="shared" si="371"/>
      </c>
      <c r="BW46" s="589">
        <f t="shared" si="372"/>
      </c>
      <c r="BX46" s="589">
        <f t="shared" si="373"/>
      </c>
      <c r="BY46" s="590">
        <f t="shared" si="374"/>
      </c>
      <c r="BZ46" s="589">
        <f t="shared" si="375"/>
      </c>
      <c r="CA46" s="589">
        <f t="shared" si="376"/>
      </c>
      <c r="CB46" s="589">
        <f t="shared" si="377"/>
      </c>
      <c r="CC46" s="590">
        <f t="shared" si="378"/>
      </c>
      <c r="CD46" s="589">
        <f t="shared" si="379"/>
      </c>
      <c r="CE46" s="589">
        <f t="shared" si="380"/>
      </c>
      <c r="CF46" s="589">
        <f t="shared" si="381"/>
      </c>
      <c r="CG46" s="590">
        <f t="shared" si="382"/>
      </c>
      <c r="CH46" s="589">
        <f t="shared" si="383"/>
      </c>
      <c r="CI46" s="589">
        <f t="shared" si="384"/>
      </c>
      <c r="CJ46" s="589">
        <f t="shared" si="385"/>
      </c>
      <c r="CK46" s="590">
        <f t="shared" si="386"/>
      </c>
      <c r="CL46" s="589">
        <f t="shared" si="387"/>
      </c>
      <c r="CM46" s="589">
        <f t="shared" si="388"/>
      </c>
      <c r="CN46" s="589">
        <f t="shared" si="389"/>
      </c>
      <c r="CO46" s="590">
        <f t="shared" si="390"/>
      </c>
      <c r="CP46" s="589">
        <f t="shared" si="391"/>
      </c>
      <c r="CQ46" s="589">
        <f t="shared" si="392"/>
      </c>
      <c r="CR46" s="589">
        <f t="shared" si="393"/>
      </c>
      <c r="CS46" s="590">
        <f t="shared" si="394"/>
      </c>
      <c r="CT46" s="589">
        <f t="shared" si="395"/>
      </c>
      <c r="CU46" s="589">
        <f t="shared" si="396"/>
      </c>
      <c r="CV46" s="589">
        <f t="shared" si="397"/>
      </c>
      <c r="CW46" s="590">
        <f t="shared" si="398"/>
      </c>
      <c r="CX46" s="589">
        <f t="shared" si="399"/>
      </c>
      <c r="CY46" s="589">
        <f t="shared" si="400"/>
      </c>
      <c r="CZ46" s="589">
        <f t="shared" si="401"/>
      </c>
      <c r="DA46" s="590">
        <f t="shared" si="402"/>
      </c>
      <c r="DB46" s="589">
        <f t="shared" si="403"/>
      </c>
      <c r="DC46" s="589">
        <f t="shared" si="404"/>
      </c>
      <c r="DD46" s="589">
        <f t="shared" si="405"/>
      </c>
      <c r="DE46" s="590">
        <f t="shared" si="406"/>
      </c>
      <c r="DF46" s="589">
        <f t="shared" si="407"/>
      </c>
      <c r="DG46" s="589">
        <f t="shared" si="408"/>
      </c>
      <c r="DH46" s="589">
        <f t="shared" si="409"/>
      </c>
      <c r="DI46" s="590">
        <f t="shared" si="410"/>
      </c>
      <c r="DJ46" s="589">
        <f t="shared" si="411"/>
      </c>
      <c r="DK46" s="589">
        <f t="shared" si="412"/>
      </c>
      <c r="DL46" s="589">
        <f t="shared" si="413"/>
      </c>
      <c r="DM46" s="590">
        <f t="shared" si="414"/>
      </c>
      <c r="DN46" s="589">
        <f t="shared" si="415"/>
      </c>
      <c r="DO46" s="589">
        <f t="shared" si="416"/>
      </c>
      <c r="DP46" s="589">
        <f t="shared" si="417"/>
      </c>
      <c r="DQ46" s="590">
        <f t="shared" si="418"/>
      </c>
      <c r="DR46" s="589">
        <f t="shared" si="419"/>
      </c>
      <c r="DS46" s="589">
        <f t="shared" si="420"/>
      </c>
      <c r="DT46" s="589">
        <f t="shared" si="421"/>
      </c>
      <c r="DU46" s="590">
        <f t="shared" si="422"/>
      </c>
      <c r="DV46" s="589">
        <f t="shared" si="423"/>
      </c>
      <c r="DW46" s="589">
        <f t="shared" si="424"/>
      </c>
      <c r="DX46" s="589">
        <f t="shared" si="425"/>
      </c>
      <c r="DY46" s="590">
        <f t="shared" si="426"/>
      </c>
      <c r="DZ46" s="589">
        <f t="shared" si="427"/>
      </c>
      <c r="EA46" s="589">
        <f t="shared" si="428"/>
      </c>
      <c r="EB46" s="589">
        <f t="shared" si="429"/>
      </c>
      <c r="EC46" s="590">
        <f t="shared" si="430"/>
      </c>
      <c r="ED46" s="589">
        <f t="shared" si="431"/>
      </c>
      <c r="EE46" s="589">
        <f t="shared" si="432"/>
      </c>
      <c r="EF46" s="589">
        <f t="shared" si="433"/>
      </c>
      <c r="EG46" s="590">
        <f t="shared" si="434"/>
      </c>
      <c r="EH46" s="589">
        <f t="shared" si="435"/>
      </c>
      <c r="EI46" s="589">
        <f t="shared" si="436"/>
      </c>
      <c r="EJ46" s="589">
        <f t="shared" si="437"/>
      </c>
      <c r="EK46" s="590">
        <f t="shared" si="438"/>
      </c>
      <c r="EM46" s="589"/>
      <c r="EN46" s="589"/>
      <c r="EO46" s="589"/>
      <c r="EP46" s="589"/>
      <c r="EQ46" s="589"/>
      <c r="ER46" s="589"/>
      <c r="ES46" s="589"/>
      <c r="ET46" s="589"/>
      <c r="EU46" s="589"/>
      <c r="EV46" s="589"/>
      <c r="EW46" s="589"/>
      <c r="EX46" s="589"/>
      <c r="EY46" s="589"/>
      <c r="EZ46" s="589"/>
      <c r="FA46" s="589"/>
      <c r="FB46" s="589"/>
      <c r="FC46" s="589"/>
      <c r="FD46" s="589"/>
      <c r="FE46" s="589"/>
      <c r="FF46" s="589"/>
      <c r="FG46" s="589"/>
      <c r="FH46" s="589">
        <f t="shared" ref="FH46:FQ46" si="461">FH16/FG16-1</f>
      </c>
      <c r="FI46" s="589">
        <f t="shared" si="461"/>
      </c>
      <c r="FJ46" s="589">
        <f t="shared" si="461"/>
      </c>
      <c r="FK46" s="589">
        <f t="shared" si="461"/>
      </c>
      <c r="FL46" s="2897">
        <f t="shared" si="461"/>
      </c>
      <c r="FM46" s="589">
        <f t="shared" si="461"/>
      </c>
      <c r="FN46" s="589">
        <f t="shared" si="461"/>
      </c>
      <c r="FO46" s="589">
        <f t="shared" si="461"/>
      </c>
      <c r="FP46" s="589">
        <f t="shared" si="461"/>
      </c>
      <c r="FQ46" s="589">
        <f t="shared" si="461"/>
      </c>
      <c r="FR46" s="589">
        <f t="shared" si="440"/>
      </c>
      <c r="FS46" s="589">
        <f t="shared" si="441"/>
      </c>
      <c r="FT46" s="589">
        <f t="shared" si="442"/>
      </c>
      <c r="FU46" s="2898">
        <f t="shared" si="443"/>
      </c>
      <c r="FV46" s="89"/>
      <c r="FW46" s="589"/>
      <c r="FX46" s="589">
        <f t="shared" ref="FX46:GZ46" si="462">FX16/FW16-1</f>
      </c>
      <c r="FY46" s="589">
        <f t="shared" si="462"/>
      </c>
      <c r="FZ46" s="589">
        <f t="shared" si="462"/>
      </c>
      <c r="GA46" s="589">
        <f t="shared" si="462"/>
      </c>
      <c r="GB46" s="589">
        <f t="shared" si="462"/>
      </c>
      <c r="GC46" s="589">
        <f t="shared" si="462"/>
      </c>
      <c r="GD46" s="589">
        <f t="shared" si="462"/>
      </c>
      <c r="GE46" s="589">
        <f t="shared" si="462"/>
      </c>
      <c r="GF46" s="589">
        <f t="shared" si="462"/>
      </c>
      <c r="GG46" s="589">
        <f t="shared" si="462"/>
      </c>
      <c r="GH46" s="589">
        <f t="shared" si="462"/>
      </c>
      <c r="GI46" s="589">
        <f t="shared" si="462"/>
      </c>
      <c r="GJ46" s="589">
        <f t="shared" si="462"/>
      </c>
      <c r="GK46" s="589">
        <f t="shared" si="462"/>
      </c>
      <c r="GL46" s="589">
        <f t="shared" si="462"/>
      </c>
      <c r="GM46" s="589">
        <f t="shared" si="462"/>
      </c>
      <c r="GN46" s="589">
        <f t="shared" si="462"/>
      </c>
      <c r="GO46" s="589">
        <f t="shared" si="462"/>
      </c>
      <c r="GP46" s="589">
        <f t="shared" si="462"/>
      </c>
      <c r="GQ46" s="589">
        <f t="shared" si="462"/>
      </c>
      <c r="GR46" s="589">
        <f t="shared" si="462"/>
      </c>
      <c r="GS46" s="589">
        <f t="shared" si="462"/>
      </c>
      <c r="GT46" s="589">
        <f t="shared" si="462"/>
      </c>
      <c r="GU46" s="589">
        <f t="shared" si="462"/>
      </c>
      <c r="GV46" s="589">
        <f t="shared" si="462"/>
      </c>
      <c r="GW46" s="589">
        <f t="shared" si="462"/>
      </c>
      <c r="GX46" s="589">
        <f t="shared" si="462"/>
      </c>
      <c r="GY46" s="589">
        <f t="shared" si="462"/>
      </c>
      <c r="GZ46" s="589">
        <f t="shared" si="462"/>
      </c>
      <c r="HA46" s="589">
        <f t="shared" si="445"/>
      </c>
      <c r="HB46" s="589">
        <f t="shared" si="450"/>
      </c>
      <c r="HC46" s="589">
        <f t="shared" si="446"/>
      </c>
      <c r="HD46" s="589">
        <f t="shared" si="447"/>
      </c>
    </row>
    <row r="47" spans="1:212">
      <c r="A47" s="598" t="str">
        <f t="shared" si="302"/>
      </c>
      <c r="B47" s="599"/>
      <c r="C47" s="599"/>
      <c r="D47" s="599"/>
      <c r="E47" s="600"/>
      <c r="F47" s="601">
        <f t="shared" si="303"/>
      </c>
      <c r="G47" s="601">
        <f t="shared" si="304"/>
      </c>
      <c r="H47" s="601">
        <f t="shared" si="305"/>
      </c>
      <c r="I47" s="601">
        <f t="shared" si="306"/>
      </c>
      <c r="J47" s="601">
        <f t="shared" si="307"/>
      </c>
      <c r="K47" s="601">
        <f t="shared" si="308"/>
      </c>
      <c r="L47" s="601">
        <f t="shared" si="309"/>
      </c>
      <c r="M47" s="601">
        <f t="shared" si="310"/>
      </c>
      <c r="N47" s="601">
        <f t="shared" si="311"/>
      </c>
      <c r="O47" s="601">
        <f t="shared" si="312"/>
      </c>
      <c r="P47" s="601">
        <f t="shared" si="313"/>
      </c>
      <c r="Q47" s="601">
        <f t="shared" si="314"/>
      </c>
      <c r="R47" s="601">
        <f t="shared" si="315"/>
      </c>
      <c r="S47" s="601">
        <f t="shared" si="316"/>
      </c>
      <c r="T47" s="601">
        <f t="shared" si="317"/>
      </c>
      <c r="U47" s="601">
        <f t="shared" si="318"/>
      </c>
      <c r="V47" s="601">
        <f t="shared" si="319"/>
      </c>
      <c r="W47" s="601">
        <f t="shared" si="320"/>
      </c>
      <c r="X47" s="601">
        <f t="shared" si="321"/>
      </c>
      <c r="Y47" s="601">
        <f t="shared" si="322"/>
      </c>
      <c r="Z47" s="601">
        <f t="shared" si="323"/>
      </c>
      <c r="AA47" s="601">
        <f t="shared" si="324"/>
      </c>
      <c r="AB47" s="601">
        <f t="shared" si="325"/>
      </c>
      <c r="AC47" s="601">
        <f t="shared" si="326"/>
      </c>
      <c r="AD47" s="601">
        <f t="shared" si="327"/>
      </c>
      <c r="AE47" s="601">
        <f t="shared" si="328"/>
      </c>
      <c r="AF47" s="601">
        <f t="shared" si="329"/>
      </c>
      <c r="AG47" s="601">
        <f t="shared" si="330"/>
      </c>
      <c r="AH47" s="601">
        <f t="shared" si="331"/>
      </c>
      <c r="AI47" s="601">
        <f t="shared" si="332"/>
      </c>
      <c r="AJ47" s="601">
        <f t="shared" si="333"/>
      </c>
      <c r="AK47" s="601">
        <f t="shared" si="334"/>
      </c>
      <c r="AL47" s="601">
        <f t="shared" si="335"/>
      </c>
      <c r="AM47" s="601">
        <f t="shared" si="336"/>
      </c>
      <c r="AN47" s="601">
        <f t="shared" si="337"/>
      </c>
      <c r="AO47" s="601">
        <f t="shared" si="338"/>
      </c>
      <c r="AP47" s="601">
        <f t="shared" si="339"/>
      </c>
      <c r="AQ47" s="601">
        <f t="shared" si="340"/>
      </c>
      <c r="AR47" s="601">
        <f t="shared" si="341"/>
      </c>
      <c r="AS47" s="601">
        <f t="shared" si="342"/>
      </c>
      <c r="AT47" s="601">
        <f t="shared" si="343"/>
      </c>
      <c r="AU47" s="601">
        <f t="shared" si="344"/>
      </c>
      <c r="AV47" s="601">
        <f t="shared" si="345"/>
      </c>
      <c r="AW47" s="601">
        <f t="shared" si="346"/>
      </c>
      <c r="AX47" s="601">
        <f t="shared" si="347"/>
      </c>
      <c r="AY47" s="601">
        <f t="shared" si="348"/>
      </c>
      <c r="AZ47" s="601">
        <f t="shared" si="349"/>
      </c>
      <c r="BA47" s="601">
        <f t="shared" si="350"/>
      </c>
      <c r="BB47" s="601">
        <f t="shared" si="351"/>
      </c>
      <c r="BC47" s="601">
        <f t="shared" si="352"/>
      </c>
      <c r="BD47" s="601">
        <f t="shared" si="353"/>
      </c>
      <c r="BE47" s="601">
        <f t="shared" si="354"/>
      </c>
      <c r="BF47" s="601">
        <f t="shared" si="355"/>
      </c>
      <c r="BG47" s="601">
        <f t="shared" si="356"/>
      </c>
      <c r="BH47" s="601">
        <f t="shared" si="357"/>
      </c>
      <c r="BI47" s="601">
        <f t="shared" si="358"/>
      </c>
      <c r="BJ47" s="601">
        <f t="shared" si="359"/>
      </c>
      <c r="BK47" s="601">
        <f t="shared" si="360"/>
      </c>
      <c r="BL47" s="601">
        <f t="shared" si="361"/>
      </c>
      <c r="BM47" s="601">
        <f t="shared" si="362"/>
      </c>
      <c r="BN47" s="601">
        <f t="shared" si="363"/>
      </c>
      <c r="BO47" s="601">
        <f t="shared" si="364"/>
      </c>
      <c r="BP47" s="601">
        <f t="shared" si="365"/>
      </c>
      <c r="BQ47" s="602">
        <f t="shared" si="366"/>
      </c>
      <c r="BR47" s="601">
        <f t="shared" si="367"/>
      </c>
      <c r="BS47" s="601">
        <f t="shared" si="368"/>
      </c>
      <c r="BT47" s="601">
        <f t="shared" si="369"/>
      </c>
      <c r="BU47" s="602">
        <f t="shared" si="370"/>
      </c>
      <c r="BV47" s="601">
        <f t="shared" si="371"/>
      </c>
      <c r="BW47" s="601">
        <f t="shared" si="372"/>
      </c>
      <c r="BX47" s="601">
        <f t="shared" si="373"/>
      </c>
      <c r="BY47" s="602">
        <f t="shared" si="374"/>
      </c>
      <c r="BZ47" s="601">
        <f t="shared" si="375"/>
      </c>
      <c r="CA47" s="601">
        <f t="shared" si="376"/>
      </c>
      <c r="CB47" s="601">
        <f t="shared" si="377"/>
      </c>
      <c r="CC47" s="602">
        <f t="shared" si="378"/>
      </c>
      <c r="CD47" s="601">
        <f t="shared" si="379"/>
      </c>
      <c r="CE47" s="601">
        <f t="shared" si="380"/>
      </c>
      <c r="CF47" s="601">
        <f t="shared" si="381"/>
      </c>
      <c r="CG47" s="602">
        <f t="shared" si="382"/>
      </c>
      <c r="CH47" s="601">
        <f t="shared" si="383"/>
      </c>
      <c r="CI47" s="601">
        <f t="shared" si="384"/>
      </c>
      <c r="CJ47" s="601">
        <f t="shared" si="385"/>
      </c>
      <c r="CK47" s="602">
        <f t="shared" si="386"/>
      </c>
      <c r="CL47" s="601">
        <f t="shared" si="387"/>
      </c>
      <c r="CM47" s="601">
        <f t="shared" si="388"/>
      </c>
      <c r="CN47" s="601">
        <f t="shared" si="389"/>
      </c>
      <c r="CO47" s="602">
        <f t="shared" si="390"/>
      </c>
      <c r="CP47" s="601">
        <f t="shared" si="391"/>
      </c>
      <c r="CQ47" s="601">
        <f t="shared" si="392"/>
      </c>
      <c r="CR47" s="601">
        <f t="shared" si="393"/>
      </c>
      <c r="CS47" s="602">
        <f t="shared" si="394"/>
      </c>
      <c r="CT47" s="601">
        <f t="shared" si="395"/>
      </c>
      <c r="CU47" s="601">
        <f t="shared" si="396"/>
      </c>
      <c r="CV47" s="601">
        <f t="shared" si="397"/>
      </c>
      <c r="CW47" s="602">
        <f t="shared" si="398"/>
      </c>
      <c r="CX47" s="601">
        <f t="shared" si="399"/>
      </c>
      <c r="CY47" s="601">
        <f t="shared" si="400"/>
      </c>
      <c r="CZ47" s="601">
        <f t="shared" si="401"/>
      </c>
      <c r="DA47" s="602">
        <f t="shared" si="402"/>
      </c>
      <c r="DB47" s="601">
        <f t="shared" si="403"/>
      </c>
      <c r="DC47" s="601">
        <f t="shared" si="404"/>
      </c>
      <c r="DD47" s="601">
        <f t="shared" si="405"/>
      </c>
      <c r="DE47" s="602">
        <f t="shared" si="406"/>
      </c>
      <c r="DF47" s="601">
        <f t="shared" si="407"/>
      </c>
      <c r="DG47" s="601">
        <f t="shared" si="408"/>
      </c>
      <c r="DH47" s="601">
        <f t="shared" si="409"/>
      </c>
      <c r="DI47" s="602">
        <f t="shared" si="410"/>
      </c>
      <c r="DJ47" s="601">
        <f t="shared" si="411"/>
      </c>
      <c r="DK47" s="601">
        <f t="shared" si="412"/>
      </c>
      <c r="DL47" s="601">
        <f t="shared" si="413"/>
      </c>
      <c r="DM47" s="602">
        <f t="shared" si="414"/>
      </c>
      <c r="DN47" s="601">
        <f t="shared" si="415"/>
      </c>
      <c r="DO47" s="601">
        <f t="shared" si="416"/>
      </c>
      <c r="DP47" s="601">
        <f t="shared" si="417"/>
      </c>
      <c r="DQ47" s="602">
        <f t="shared" si="418"/>
      </c>
      <c r="DR47" s="601">
        <f t="shared" si="419"/>
      </c>
      <c r="DS47" s="601">
        <f t="shared" si="420"/>
      </c>
      <c r="DT47" s="601">
        <f t="shared" si="421"/>
      </c>
      <c r="DU47" s="602">
        <f t="shared" si="422"/>
      </c>
      <c r="DV47" s="601">
        <f t="shared" si="423"/>
      </c>
      <c r="DW47" s="601">
        <f t="shared" si="424"/>
      </c>
      <c r="DX47" s="601">
        <f t="shared" si="425"/>
      </c>
      <c r="DY47" s="602">
        <f t="shared" si="426"/>
      </c>
      <c r="DZ47" s="601">
        <f t="shared" si="427"/>
      </c>
      <c r="EA47" s="601">
        <f t="shared" si="428"/>
      </c>
      <c r="EB47" s="601">
        <f t="shared" si="429"/>
      </c>
      <c r="EC47" s="602">
        <f t="shared" si="430"/>
      </c>
      <c r="ED47" s="601">
        <f t="shared" si="431"/>
      </c>
      <c r="EE47" s="601">
        <f t="shared" si="432"/>
      </c>
      <c r="EF47" s="601">
        <f t="shared" si="433"/>
      </c>
      <c r="EG47" s="602">
        <f t="shared" si="434"/>
      </c>
      <c r="EH47" s="601">
        <f t="shared" si="435"/>
      </c>
      <c r="EI47" s="601">
        <f t="shared" si="436"/>
      </c>
      <c r="EJ47" s="601">
        <f t="shared" si="437"/>
      </c>
      <c r="EK47" s="602">
        <f t="shared" si="438"/>
      </c>
      <c r="EM47" s="601"/>
      <c r="EN47" s="601"/>
      <c r="EO47" s="601"/>
      <c r="EP47" s="601"/>
      <c r="EQ47" s="601"/>
      <c r="ER47" s="601"/>
      <c r="ES47" s="601"/>
      <c r="ET47" s="601"/>
      <c r="EU47" s="601"/>
      <c r="EV47" s="601"/>
      <c r="EW47" s="601"/>
      <c r="EX47" s="601"/>
      <c r="EY47" s="601"/>
      <c r="EZ47" s="601"/>
      <c r="FA47" s="601"/>
      <c r="FB47" s="601"/>
      <c r="FC47" s="601"/>
      <c r="FD47" s="601"/>
      <c r="FE47" s="601"/>
      <c r="FF47" s="601"/>
      <c r="FG47" s="601"/>
      <c r="FH47" s="601">
        <f t="shared" ref="FH47:FQ47" si="463">FH17/FG17-1</f>
      </c>
      <c r="FI47" s="601">
        <f t="shared" si="463"/>
      </c>
      <c r="FJ47" s="601">
        <f t="shared" si="463"/>
      </c>
      <c r="FK47" s="601">
        <f t="shared" si="463"/>
      </c>
      <c r="FL47" s="2901">
        <f t="shared" si="463"/>
      </c>
      <c r="FM47" s="601">
        <f t="shared" si="463"/>
      </c>
      <c r="FN47" s="601">
        <f t="shared" si="463"/>
      </c>
      <c r="FO47" s="601">
        <f t="shared" si="463"/>
      </c>
      <c r="FP47" s="601">
        <f t="shared" si="463"/>
      </c>
      <c r="FQ47" s="601">
        <f t="shared" si="463"/>
      </c>
      <c r="FR47" s="601">
        <f t="shared" si="440"/>
      </c>
      <c r="FS47" s="601">
        <f t="shared" si="441"/>
      </c>
      <c r="FT47" s="601">
        <f t="shared" si="442"/>
      </c>
      <c r="FU47" s="2902">
        <f t="shared" si="443"/>
      </c>
      <c r="FV47" s="89"/>
      <c r="FW47" s="601"/>
      <c r="FX47" s="601"/>
      <c r="FY47" s="601"/>
      <c r="FZ47" s="601"/>
      <c r="GA47" s="601"/>
      <c r="GB47" s="601"/>
      <c r="GC47" s="601"/>
      <c r="GD47" s="601"/>
      <c r="GE47" s="601"/>
      <c r="GF47" s="601"/>
      <c r="GG47" s="601"/>
      <c r="GH47" s="601"/>
      <c r="GI47" s="601"/>
      <c r="GJ47" s="601"/>
      <c r="GK47" s="601"/>
      <c r="GL47" s="601"/>
      <c r="GM47" s="601"/>
      <c r="GN47" s="601"/>
      <c r="GO47" s="601"/>
      <c r="GP47" s="601"/>
      <c r="GQ47" s="601"/>
      <c r="GR47" s="601">
        <f t="shared" ref="GR47:GZ47" si="464">GR17/GQ17-1</f>
      </c>
      <c r="GS47" s="601">
        <f t="shared" si="464"/>
      </c>
      <c r="GT47" s="601">
        <f t="shared" si="464"/>
      </c>
      <c r="GU47" s="601">
        <f t="shared" si="464"/>
      </c>
      <c r="GV47" s="601">
        <f t="shared" si="464"/>
      </c>
      <c r="GW47" s="601">
        <f t="shared" si="464"/>
      </c>
      <c r="GX47" s="601">
        <f t="shared" si="464"/>
      </c>
      <c r="GY47" s="601">
        <f t="shared" si="464"/>
      </c>
      <c r="GZ47" s="601">
        <f t="shared" si="464"/>
      </c>
      <c r="HA47" s="601">
        <f t="shared" si="445"/>
      </c>
      <c r="HB47" s="601">
        <f t="shared" si="450"/>
      </c>
      <c r="HC47" s="601">
        <f t="shared" si="446"/>
      </c>
      <c r="HD47" s="601">
        <f t="shared" si="447"/>
      </c>
    </row>
    <row r="48" spans="1:212">
      <c r="A48" s="591" t="str">
        <f>A23</f>
      </c>
      <c r="B48" s="592"/>
      <c r="C48" s="592"/>
      <c r="D48" s="592"/>
      <c r="E48" s="593"/>
      <c r="F48" s="594">
        <f t="shared" ref="F48:AK48" si="465">F23/B23-1</f>
      </c>
      <c r="G48" s="594">
        <f t="shared" si="465"/>
      </c>
      <c r="H48" s="594">
        <f t="shared" si="465"/>
      </c>
      <c r="I48" s="594">
        <f t="shared" si="465"/>
      </c>
      <c r="J48" s="594">
        <f t="shared" si="465"/>
      </c>
      <c r="K48" s="594">
        <f t="shared" si="465"/>
      </c>
      <c r="L48" s="594">
        <f t="shared" si="465"/>
      </c>
      <c r="M48" s="594">
        <f t="shared" si="465"/>
      </c>
      <c r="N48" s="594">
        <f t="shared" si="465"/>
      </c>
      <c r="O48" s="594">
        <f t="shared" si="465"/>
      </c>
      <c r="P48" s="594">
        <f t="shared" si="465"/>
      </c>
      <c r="Q48" s="594">
        <f t="shared" si="465"/>
      </c>
      <c r="R48" s="594">
        <f t="shared" si="465"/>
      </c>
      <c r="S48" s="594">
        <f t="shared" si="465"/>
      </c>
      <c r="T48" s="594">
        <f t="shared" si="465"/>
      </c>
      <c r="U48" s="594">
        <f t="shared" si="465"/>
      </c>
      <c r="V48" s="594">
        <f t="shared" si="465"/>
      </c>
      <c r="W48" s="594">
        <f t="shared" si="465"/>
      </c>
      <c r="X48" s="594">
        <f t="shared" si="465"/>
      </c>
      <c r="Y48" s="594">
        <f t="shared" si="465"/>
      </c>
      <c r="Z48" s="594">
        <f t="shared" si="465"/>
      </c>
      <c r="AA48" s="594">
        <f t="shared" si="465"/>
      </c>
      <c r="AB48" s="594">
        <f t="shared" si="465"/>
      </c>
      <c r="AC48" s="594">
        <f t="shared" si="465"/>
      </c>
      <c r="AD48" s="594">
        <f t="shared" si="465"/>
      </c>
      <c r="AE48" s="594">
        <f t="shared" si="465"/>
      </c>
      <c r="AF48" s="594">
        <f t="shared" si="465"/>
      </c>
      <c r="AG48" s="594">
        <f t="shared" si="465"/>
      </c>
      <c r="AH48" s="594">
        <f t="shared" si="465"/>
      </c>
      <c r="AI48" s="594">
        <f t="shared" si="465"/>
      </c>
      <c r="AJ48" s="594">
        <f t="shared" si="465"/>
      </c>
      <c r="AK48" s="594">
        <f t="shared" si="465"/>
      </c>
      <c r="AL48" s="594">
        <f t="shared" ref="AL48:BQ48" si="466">AL23/AH23-1</f>
      </c>
      <c r="AM48" s="594">
        <f t="shared" si="466"/>
      </c>
      <c r="AN48" s="594">
        <f t="shared" si="466"/>
      </c>
      <c r="AO48" s="594">
        <f t="shared" si="466"/>
      </c>
      <c r="AP48" s="594">
        <f t="shared" si="466"/>
      </c>
      <c r="AQ48" s="594">
        <f t="shared" si="466"/>
      </c>
      <c r="AR48" s="594">
        <f t="shared" si="466"/>
      </c>
      <c r="AS48" s="594">
        <f t="shared" si="466"/>
      </c>
      <c r="AT48" s="594">
        <f t="shared" si="466"/>
      </c>
      <c r="AU48" s="594">
        <f t="shared" si="466"/>
      </c>
      <c r="AV48" s="594">
        <f t="shared" si="466"/>
      </c>
      <c r="AW48" s="594">
        <f t="shared" si="466"/>
      </c>
      <c r="AX48" s="594">
        <f t="shared" si="466"/>
      </c>
      <c r="AY48" s="594">
        <f t="shared" si="466"/>
      </c>
      <c r="AZ48" s="594">
        <f t="shared" si="466"/>
      </c>
      <c r="BA48" s="594">
        <f t="shared" si="466"/>
      </c>
      <c r="BB48" s="594">
        <f t="shared" si="466"/>
      </c>
      <c r="BC48" s="594">
        <f t="shared" si="466"/>
      </c>
      <c r="BD48" s="594">
        <f t="shared" si="466"/>
      </c>
      <c r="BE48" s="594">
        <f t="shared" si="466"/>
      </c>
      <c r="BF48" s="594">
        <f t="shared" si="466"/>
      </c>
      <c r="BG48" s="594">
        <f t="shared" si="466"/>
      </c>
      <c r="BH48" s="594">
        <f t="shared" si="466"/>
      </c>
      <c r="BI48" s="594">
        <f t="shared" si="466"/>
      </c>
      <c r="BJ48" s="594">
        <f t="shared" si="466"/>
      </c>
      <c r="BK48" s="594">
        <f t="shared" si="466"/>
      </c>
      <c r="BL48" s="594">
        <f t="shared" si="466"/>
      </c>
      <c r="BM48" s="594">
        <f t="shared" si="466"/>
      </c>
      <c r="BN48" s="594">
        <f t="shared" si="466"/>
      </c>
      <c r="BO48" s="594">
        <f t="shared" si="466"/>
      </c>
      <c r="BP48" s="594">
        <f t="shared" si="466"/>
      </c>
      <c r="BQ48" s="595">
        <f t="shared" si="466"/>
      </c>
      <c r="BR48" s="594">
        <f t="shared" ref="BR48:CW48" si="467">BR23/BN23-1</f>
      </c>
      <c r="BS48" s="594">
        <f t="shared" si="467"/>
      </c>
      <c r="BT48" s="594">
        <f t="shared" si="467"/>
      </c>
      <c r="BU48" s="595">
        <f t="shared" si="467"/>
      </c>
      <c r="BV48" s="594">
        <f t="shared" si="467"/>
      </c>
      <c r="BW48" s="594">
        <f t="shared" si="467"/>
      </c>
      <c r="BX48" s="594">
        <f t="shared" si="467"/>
      </c>
      <c r="BY48" s="595">
        <f t="shared" si="467"/>
      </c>
      <c r="BZ48" s="594">
        <f t="shared" si="467"/>
      </c>
      <c r="CA48" s="594">
        <f t="shared" si="467"/>
      </c>
      <c r="CB48" s="594">
        <f t="shared" si="467"/>
      </c>
      <c r="CC48" s="595">
        <f t="shared" si="467"/>
      </c>
      <c r="CD48" s="594">
        <f t="shared" si="467"/>
      </c>
      <c r="CE48" s="594">
        <f t="shared" si="467"/>
      </c>
      <c r="CF48" s="594">
        <f t="shared" si="467"/>
      </c>
      <c r="CG48" s="595">
        <f t="shared" si="467"/>
      </c>
      <c r="CH48" s="594">
        <f t="shared" si="467"/>
      </c>
      <c r="CI48" s="594">
        <f t="shared" si="467"/>
      </c>
      <c r="CJ48" s="594">
        <f t="shared" si="467"/>
      </c>
      <c r="CK48" s="595">
        <f t="shared" si="467"/>
      </c>
      <c r="CL48" s="594">
        <f t="shared" si="467"/>
      </c>
      <c r="CM48" s="594">
        <f t="shared" si="467"/>
      </c>
      <c r="CN48" s="594">
        <f t="shared" si="467"/>
      </c>
      <c r="CO48" s="595">
        <f t="shared" si="467"/>
      </c>
      <c r="CP48" s="594">
        <f t="shared" si="467"/>
      </c>
      <c r="CQ48" s="594">
        <f t="shared" si="467"/>
      </c>
      <c r="CR48" s="594">
        <f t="shared" si="467"/>
      </c>
      <c r="CS48" s="595">
        <f t="shared" si="467"/>
      </c>
      <c r="CT48" s="594">
        <f t="shared" si="467"/>
      </c>
      <c r="CU48" s="594">
        <f t="shared" si="467"/>
      </c>
      <c r="CV48" s="594">
        <f t="shared" si="467"/>
      </c>
      <c r="CW48" s="595">
        <f t="shared" si="467"/>
      </c>
      <c r="CX48" s="594">
        <f t="shared" ref="CX48:DU48" si="468">CX23/CT23-1</f>
      </c>
      <c r="CY48" s="594">
        <f t="shared" si="468"/>
      </c>
      <c r="CZ48" s="594">
        <f t="shared" si="468"/>
      </c>
      <c r="DA48" s="595">
        <f t="shared" si="468"/>
      </c>
      <c r="DB48" s="594">
        <f t="shared" si="468"/>
      </c>
      <c r="DC48" s="594">
        <f t="shared" si="468"/>
      </c>
      <c r="DD48" s="594">
        <f t="shared" si="468"/>
      </c>
      <c r="DE48" s="595">
        <f t="shared" si="468"/>
      </c>
      <c r="DF48" s="594">
        <f t="shared" si="468"/>
      </c>
      <c r="DG48" s="594">
        <f t="shared" si="468"/>
      </c>
      <c r="DH48" s="594">
        <f t="shared" si="468"/>
      </c>
      <c r="DI48" s="595">
        <f t="shared" si="468"/>
      </c>
      <c r="DJ48" s="594">
        <f t="shared" si="468"/>
      </c>
      <c r="DK48" s="594">
        <f t="shared" si="468"/>
      </c>
      <c r="DL48" s="594">
        <f t="shared" si="468"/>
      </c>
      <c r="DM48" s="595">
        <f t="shared" si="468"/>
      </c>
      <c r="DN48" s="594">
        <f t="shared" si="468"/>
      </c>
      <c r="DO48" s="594">
        <f t="shared" si="468"/>
      </c>
      <c r="DP48" s="594">
        <f t="shared" si="468"/>
      </c>
      <c r="DQ48" s="595">
        <f t="shared" si="468"/>
      </c>
      <c r="DR48" s="594">
        <f t="shared" si="468"/>
      </c>
      <c r="DS48" s="594">
        <f t="shared" si="468"/>
      </c>
      <c r="DT48" s="594">
        <f t="shared" si="468"/>
      </c>
      <c r="DU48" s="595">
        <f t="shared" si="468"/>
      </c>
      <c r="DV48" s="594">
        <f t="shared" ref="DV48" si="469">DV23/DR23-1</f>
      </c>
      <c r="DW48" s="594">
        <f t="shared" ref="DW48" si="470">DW23/DS23-1</f>
      </c>
      <c r="DX48" s="594">
        <f t="shared" ref="DX48" si="471">DX23/DT23-1</f>
      </c>
      <c r="DY48" s="595">
        <f t="shared" ref="DY48" si="472">DY23/DU23-1</f>
      </c>
      <c r="DZ48" s="594">
        <f t="shared" ref="DZ48" si="473">DZ23/DV23-1</f>
      </c>
      <c r="EA48" s="594">
        <f t="shared" ref="EA48" si="474">EA23/DW23-1</f>
      </c>
      <c r="EB48" s="594">
        <f t="shared" ref="EB48" si="475">EB23/DX23-1</f>
      </c>
      <c r="EC48" s="595">
        <f t="shared" ref="EC48" si="476">EC23/DY23-1</f>
      </c>
      <c r="ED48" s="594">
        <f t="shared" ref="ED48" si="477">ED23/DZ23-1</f>
      </c>
      <c r="EE48" s="594">
        <f t="shared" ref="EE48" si="478">EE23/EA23-1</f>
      </c>
      <c r="EF48" s="594">
        <f t="shared" ref="EF48" si="479">EF23/EB23-1</f>
      </c>
      <c r="EG48" s="595">
        <f t="shared" ref="EG48" si="480">EG23/EC23-1</f>
      </c>
      <c r="EH48" s="594">
        <f t="shared" ref="EH48" si="481">EH23/ED23-1</f>
      </c>
      <c r="EI48" s="594">
        <f t="shared" ref="EI48" si="482">EI23/EE23-1</f>
      </c>
      <c r="EJ48" s="594">
        <f t="shared" ref="EJ48" si="483">EJ23/EF23-1</f>
      </c>
      <c r="EK48" s="595">
        <f t="shared" ref="EK48" si="484">EK23/EG23-1</f>
      </c>
      <c r="EM48" s="594"/>
      <c r="EN48" s="594">
        <f t="shared" ref="EN48:FQ48" si="485">EN23/EM23-1</f>
      </c>
      <c r="EO48" s="594">
        <f t="shared" si="485"/>
      </c>
      <c r="EP48" s="594">
        <f t="shared" si="485"/>
      </c>
      <c r="EQ48" s="594">
        <f t="shared" si="485"/>
      </c>
      <c r="ER48" s="594">
        <f t="shared" si="485"/>
      </c>
      <c r="ES48" s="594">
        <f t="shared" si="485"/>
      </c>
      <c r="ET48" s="594">
        <f t="shared" si="485"/>
      </c>
      <c r="EU48" s="594">
        <f t="shared" si="485"/>
      </c>
      <c r="EV48" s="594">
        <f t="shared" si="485"/>
      </c>
      <c r="EW48" s="594">
        <f t="shared" si="485"/>
      </c>
      <c r="EX48" s="594">
        <f t="shared" si="485"/>
      </c>
      <c r="EY48" s="594">
        <f t="shared" si="485"/>
      </c>
      <c r="EZ48" s="594">
        <f t="shared" si="485"/>
      </c>
      <c r="FA48" s="594">
        <f t="shared" si="485"/>
      </c>
      <c r="FB48" s="594">
        <f t="shared" si="485"/>
      </c>
      <c r="FC48" s="594">
        <f t="shared" si="485"/>
      </c>
      <c r="FD48" s="594">
        <f t="shared" si="485"/>
      </c>
      <c r="FE48" s="594">
        <f t="shared" si="485"/>
      </c>
      <c r="FF48" s="594">
        <f t="shared" si="485"/>
      </c>
      <c r="FG48" s="594">
        <f t="shared" si="485"/>
      </c>
      <c r="FH48" s="594">
        <f t="shared" si="485"/>
      </c>
      <c r="FI48" s="594">
        <f t="shared" si="485"/>
      </c>
      <c r="FJ48" s="594">
        <f t="shared" si="485"/>
      </c>
      <c r="FK48" s="594">
        <f t="shared" si="485"/>
      </c>
      <c r="FL48" s="2899">
        <f t="shared" si="485"/>
      </c>
      <c r="FM48" s="594">
        <f t="shared" si="485"/>
      </c>
      <c r="FN48" s="594">
        <f t="shared" si="485"/>
      </c>
      <c r="FO48" s="594">
        <f t="shared" si="485"/>
      </c>
      <c r="FP48" s="594">
        <f t="shared" si="485"/>
      </c>
      <c r="FQ48" s="594">
        <f t="shared" si="485"/>
      </c>
      <c r="FR48" s="594">
        <f t="shared" ref="FR48" si="486">FR23/FQ23-1</f>
      </c>
      <c r="FS48" s="594">
        <f t="shared" ref="FS48" si="487">FS23/FR23-1</f>
      </c>
      <c r="FT48" s="594">
        <f t="shared" ref="FT48" si="488">FT23/FS23-1</f>
      </c>
      <c r="FU48" s="2900">
        <f t="shared" ref="FU48" si="489">FU23/FT23-1</f>
      </c>
      <c r="FV48" s="89"/>
      <c r="FW48" s="594"/>
      <c r="FX48" s="594">
        <f t="shared" ref="FX48:GZ48" si="490">FX23/FW23-1</f>
      </c>
      <c r="FY48" s="594">
        <f t="shared" si="490"/>
      </c>
      <c r="FZ48" s="594">
        <f t="shared" si="490"/>
      </c>
      <c r="GA48" s="594">
        <f t="shared" si="490"/>
      </c>
      <c r="GB48" s="594">
        <f t="shared" si="490"/>
      </c>
      <c r="GC48" s="594">
        <f t="shared" si="490"/>
      </c>
      <c r="GD48" s="594">
        <f t="shared" si="490"/>
      </c>
      <c r="GE48" s="594">
        <f t="shared" si="490"/>
      </c>
      <c r="GF48" s="594">
        <f t="shared" si="490"/>
      </c>
      <c r="GG48" s="594">
        <f t="shared" si="490"/>
      </c>
      <c r="GH48" s="594">
        <f t="shared" si="490"/>
      </c>
      <c r="GI48" s="594">
        <f t="shared" si="490"/>
      </c>
      <c r="GJ48" s="594">
        <f t="shared" si="490"/>
      </c>
      <c r="GK48" s="594">
        <f t="shared" si="490"/>
      </c>
      <c r="GL48" s="594">
        <f t="shared" si="490"/>
      </c>
      <c r="GM48" s="594">
        <f t="shared" si="490"/>
      </c>
      <c r="GN48" s="594">
        <f t="shared" si="490"/>
      </c>
      <c r="GO48" s="594">
        <f t="shared" si="490"/>
      </c>
      <c r="GP48" s="594">
        <f t="shared" si="490"/>
      </c>
      <c r="GQ48" s="594">
        <f t="shared" si="490"/>
      </c>
      <c r="GR48" s="594">
        <f t="shared" si="490"/>
      </c>
      <c r="GS48" s="594">
        <f t="shared" si="490"/>
      </c>
      <c r="GT48" s="594">
        <f t="shared" si="490"/>
      </c>
      <c r="GU48" s="594">
        <f t="shared" si="490"/>
      </c>
      <c r="GV48" s="594">
        <f t="shared" si="490"/>
      </c>
      <c r="GW48" s="594">
        <f t="shared" si="490"/>
      </c>
      <c r="GX48" s="594">
        <f t="shared" si="490"/>
      </c>
      <c r="GY48" s="594">
        <f t="shared" si="490"/>
      </c>
      <c r="GZ48" s="594">
        <f t="shared" si="490"/>
      </c>
      <c r="HA48" s="594">
        <f t="shared" ref="HA48" si="491">HA23/GZ23-1</f>
      </c>
      <c r="HB48" s="594">
        <f t="shared" ref="HB48" si="492">HB23/HA23-1</f>
      </c>
      <c r="HC48" s="594">
        <f t="shared" ref="HC48" si="493">HC23/HB23-1</f>
      </c>
      <c r="HD48" s="594">
        <f t="shared" ref="HD48" si="494">HD23/HC23-1</f>
      </c>
    </row>
    <row r="49" spans="1:212" s="16" customFormat="1">
      <c r="A49" s="591" t="str">
        <f>A26</f>
      </c>
      <c r="B49" s="592"/>
      <c r="C49" s="592"/>
      <c r="D49" s="592"/>
      <c r="E49" s="593"/>
      <c r="F49" s="594">
        <f t="shared" ref="F49:AK49" si="495">F26/B26-1</f>
      </c>
      <c r="G49" s="594">
        <f t="shared" si="495"/>
      </c>
      <c r="H49" s="594">
        <f t="shared" si="495"/>
      </c>
      <c r="I49" s="594">
        <f t="shared" si="495"/>
      </c>
      <c r="J49" s="594">
        <f t="shared" si="495"/>
      </c>
      <c r="K49" s="594">
        <f t="shared" si="495"/>
      </c>
      <c r="L49" s="594">
        <f t="shared" si="495"/>
      </c>
      <c r="M49" s="594">
        <f t="shared" si="495"/>
      </c>
      <c r="N49" s="594">
        <f t="shared" si="495"/>
      </c>
      <c r="O49" s="594">
        <f t="shared" si="495"/>
      </c>
      <c r="P49" s="594">
        <f t="shared" si="495"/>
      </c>
      <c r="Q49" s="594">
        <f t="shared" si="495"/>
      </c>
      <c r="R49" s="594">
        <f t="shared" si="495"/>
      </c>
      <c r="S49" s="594">
        <f t="shared" si="495"/>
      </c>
      <c r="T49" s="594">
        <f t="shared" si="495"/>
      </c>
      <c r="U49" s="594">
        <f t="shared" si="495"/>
      </c>
      <c r="V49" s="594">
        <f t="shared" si="495"/>
      </c>
      <c r="W49" s="594">
        <f t="shared" si="495"/>
      </c>
      <c r="X49" s="594">
        <f t="shared" si="495"/>
      </c>
      <c r="Y49" s="594">
        <f t="shared" si="495"/>
      </c>
      <c r="Z49" s="594">
        <f t="shared" si="495"/>
      </c>
      <c r="AA49" s="594">
        <f t="shared" si="495"/>
      </c>
      <c r="AB49" s="594">
        <f t="shared" si="495"/>
      </c>
      <c r="AC49" s="594">
        <f t="shared" si="495"/>
      </c>
      <c r="AD49" s="594">
        <f t="shared" si="495"/>
      </c>
      <c r="AE49" s="594">
        <f t="shared" si="495"/>
      </c>
      <c r="AF49" s="594">
        <f t="shared" si="495"/>
      </c>
      <c r="AG49" s="594">
        <f t="shared" si="495"/>
      </c>
      <c r="AH49" s="594">
        <f t="shared" si="495"/>
      </c>
      <c r="AI49" s="594">
        <f t="shared" si="495"/>
      </c>
      <c r="AJ49" s="594">
        <f t="shared" si="495"/>
      </c>
      <c r="AK49" s="594">
        <f t="shared" si="495"/>
      </c>
      <c r="AL49" s="594">
        <f t="shared" ref="AL49:BQ49" si="496">AL26/AH26-1</f>
      </c>
      <c r="AM49" s="594">
        <f t="shared" si="496"/>
      </c>
      <c r="AN49" s="594">
        <f t="shared" si="496"/>
      </c>
      <c r="AO49" s="594">
        <f t="shared" si="496"/>
      </c>
      <c r="AP49" s="594">
        <f t="shared" si="496"/>
      </c>
      <c r="AQ49" s="594">
        <f t="shared" si="496"/>
      </c>
      <c r="AR49" s="594">
        <f t="shared" si="496"/>
      </c>
      <c r="AS49" s="594">
        <f t="shared" si="496"/>
      </c>
      <c r="AT49" s="594">
        <f t="shared" si="496"/>
      </c>
      <c r="AU49" s="594">
        <f t="shared" si="496"/>
      </c>
      <c r="AV49" s="594">
        <f t="shared" si="496"/>
      </c>
      <c r="AW49" s="594">
        <f t="shared" si="496"/>
      </c>
      <c r="AX49" s="594">
        <f t="shared" si="496"/>
      </c>
      <c r="AY49" s="594">
        <f t="shared" si="496"/>
      </c>
      <c r="AZ49" s="594">
        <f t="shared" si="496"/>
      </c>
      <c r="BA49" s="594">
        <f t="shared" si="496"/>
      </c>
      <c r="BB49" s="594">
        <f t="shared" si="496"/>
      </c>
      <c r="BC49" s="594">
        <f t="shared" si="496"/>
      </c>
      <c r="BD49" s="594">
        <f t="shared" si="496"/>
      </c>
      <c r="BE49" s="594">
        <f t="shared" si="496"/>
      </c>
      <c r="BF49" s="594">
        <f t="shared" si="496"/>
      </c>
      <c r="BG49" s="594">
        <f t="shared" si="496"/>
      </c>
      <c r="BH49" s="594">
        <f t="shared" si="496"/>
      </c>
      <c r="BI49" s="594">
        <f t="shared" si="496"/>
      </c>
      <c r="BJ49" s="594">
        <f t="shared" si="496"/>
      </c>
      <c r="BK49" s="594">
        <f t="shared" si="496"/>
      </c>
      <c r="BL49" s="594">
        <f t="shared" si="496"/>
      </c>
      <c r="BM49" s="594">
        <f t="shared" si="496"/>
      </c>
      <c r="BN49" s="594">
        <f t="shared" si="496"/>
      </c>
      <c r="BO49" s="594">
        <f t="shared" si="496"/>
      </c>
      <c r="BP49" s="594">
        <f t="shared" si="496"/>
      </c>
      <c r="BQ49" s="595">
        <f t="shared" si="496"/>
      </c>
      <c r="BR49" s="594">
        <f t="shared" ref="BR49:CW49" si="497">BR26/BN26-1</f>
      </c>
      <c r="BS49" s="594">
        <f t="shared" si="497"/>
      </c>
      <c r="BT49" s="594">
        <f t="shared" si="497"/>
      </c>
      <c r="BU49" s="595">
        <f t="shared" si="497"/>
      </c>
      <c r="BV49" s="594">
        <f t="shared" si="497"/>
      </c>
      <c r="BW49" s="594">
        <f t="shared" si="497"/>
      </c>
      <c r="BX49" s="594">
        <f t="shared" si="497"/>
      </c>
      <c r="BY49" s="595">
        <f t="shared" si="497"/>
      </c>
      <c r="BZ49" s="594">
        <f t="shared" si="497"/>
      </c>
      <c r="CA49" s="594">
        <f t="shared" si="497"/>
      </c>
      <c r="CB49" s="594">
        <f t="shared" si="497"/>
      </c>
      <c r="CC49" s="595">
        <f t="shared" si="497"/>
      </c>
      <c r="CD49" s="594">
        <f t="shared" si="497"/>
      </c>
      <c r="CE49" s="594">
        <f t="shared" si="497"/>
      </c>
      <c r="CF49" s="594">
        <f t="shared" si="497"/>
      </c>
      <c r="CG49" s="595">
        <f t="shared" si="497"/>
      </c>
      <c r="CH49" s="594">
        <f t="shared" si="497"/>
      </c>
      <c r="CI49" s="594">
        <f t="shared" si="497"/>
      </c>
      <c r="CJ49" s="594">
        <f t="shared" si="497"/>
      </c>
      <c r="CK49" s="595">
        <f t="shared" si="497"/>
      </c>
      <c r="CL49" s="594">
        <f t="shared" si="497"/>
      </c>
      <c r="CM49" s="594">
        <f t="shared" si="497"/>
      </c>
      <c r="CN49" s="594">
        <f t="shared" si="497"/>
      </c>
      <c r="CO49" s="595">
        <f t="shared" si="497"/>
      </c>
      <c r="CP49" s="594">
        <f t="shared" si="497"/>
      </c>
      <c r="CQ49" s="594">
        <f t="shared" si="497"/>
      </c>
      <c r="CR49" s="594">
        <f t="shared" si="497"/>
      </c>
      <c r="CS49" s="595">
        <f t="shared" si="497"/>
      </c>
      <c r="CT49" s="594">
        <f t="shared" si="497"/>
      </c>
      <c r="CU49" s="594">
        <f t="shared" si="497"/>
      </c>
      <c r="CV49" s="594">
        <f t="shared" si="497"/>
      </c>
      <c r="CW49" s="595">
        <f t="shared" si="497"/>
      </c>
      <c r="CX49" s="594">
        <f t="shared" ref="CX49:DU49" si="498">CX26/CT26-1</f>
      </c>
      <c r="CY49" s="594">
        <f t="shared" si="498"/>
      </c>
      <c r="CZ49" s="594">
        <f t="shared" si="498"/>
      </c>
      <c r="DA49" s="595">
        <f t="shared" si="498"/>
      </c>
      <c r="DB49" s="594">
        <f t="shared" si="498"/>
      </c>
      <c r="DC49" s="594">
        <f t="shared" si="498"/>
      </c>
      <c r="DD49" s="594">
        <f t="shared" si="498"/>
      </c>
      <c r="DE49" s="595">
        <f t="shared" si="498"/>
      </c>
      <c r="DF49" s="594">
        <f t="shared" si="498"/>
      </c>
      <c r="DG49" s="594">
        <f t="shared" si="498"/>
      </c>
      <c r="DH49" s="594">
        <f t="shared" si="498"/>
      </c>
      <c r="DI49" s="595">
        <f t="shared" si="498"/>
      </c>
      <c r="DJ49" s="594">
        <f t="shared" si="498"/>
      </c>
      <c r="DK49" s="594">
        <f t="shared" si="498"/>
      </c>
      <c r="DL49" s="594">
        <f t="shared" si="498"/>
      </c>
      <c r="DM49" s="595">
        <f t="shared" si="498"/>
      </c>
      <c r="DN49" s="594">
        <f t="shared" si="498"/>
      </c>
      <c r="DO49" s="594">
        <f t="shared" si="498"/>
      </c>
      <c r="DP49" s="594">
        <f t="shared" si="498"/>
      </c>
      <c r="DQ49" s="595">
        <f t="shared" si="498"/>
      </c>
      <c r="DR49" s="594">
        <f t="shared" si="498"/>
      </c>
      <c r="DS49" s="594">
        <f t="shared" si="498"/>
      </c>
      <c r="DT49" s="594">
        <f t="shared" si="498"/>
      </c>
      <c r="DU49" s="595">
        <f t="shared" si="498"/>
      </c>
      <c r="DV49" s="594">
        <f t="shared" ref="DV49" si="499">DV26/DR26-1</f>
      </c>
      <c r="DW49" s="594">
        <f t="shared" ref="DW49" si="500">DW26/DS26-1</f>
      </c>
      <c r="DX49" s="594">
        <f t="shared" ref="DX49" si="501">DX26/DT26-1</f>
      </c>
      <c r="DY49" s="595">
        <f t="shared" ref="DY49" si="502">DY26/DU26-1</f>
      </c>
      <c r="DZ49" s="594">
        <f t="shared" ref="DZ49" si="503">DZ26/DV26-1</f>
      </c>
      <c r="EA49" s="594">
        <f t="shared" ref="EA49" si="504">EA26/DW26-1</f>
      </c>
      <c r="EB49" s="594">
        <f t="shared" ref="EB49" si="505">EB26/DX26-1</f>
      </c>
      <c r="EC49" s="595">
        <f t="shared" ref="EC49" si="506">EC26/DY26-1</f>
      </c>
      <c r="ED49" s="594">
        <f t="shared" ref="ED49" si="507">ED26/DZ26-1</f>
      </c>
      <c r="EE49" s="594">
        <f t="shared" ref="EE49" si="508">EE26/EA26-1</f>
      </c>
      <c r="EF49" s="594">
        <f t="shared" ref="EF49" si="509">EF26/EB26-1</f>
      </c>
      <c r="EG49" s="595">
        <f t="shared" ref="EG49" si="510">EG26/EC26-1</f>
      </c>
      <c r="EH49" s="594">
        <f t="shared" ref="EH49" si="511">EH26/ED26-1</f>
      </c>
      <c r="EI49" s="594">
        <f t="shared" ref="EI49" si="512">EI26/EE26-1</f>
      </c>
      <c r="EJ49" s="594">
        <f t="shared" ref="EJ49" si="513">EJ26/EF26-1</f>
      </c>
      <c r="EK49" s="595">
        <f t="shared" ref="EK49" si="514">EK26/EG26-1</f>
      </c>
      <c r="EL49" s="11"/>
      <c r="EM49" s="594"/>
      <c r="EN49" s="594">
        <f t="shared" ref="EN49:FQ49" si="515">EN26/EM26-1</f>
      </c>
      <c r="EO49" s="594">
        <f t="shared" si="515"/>
      </c>
      <c r="EP49" s="594">
        <f t="shared" si="515"/>
      </c>
      <c r="EQ49" s="594">
        <f t="shared" si="515"/>
      </c>
      <c r="ER49" s="594">
        <f t="shared" si="515"/>
      </c>
      <c r="ES49" s="594">
        <f t="shared" si="515"/>
      </c>
      <c r="ET49" s="594">
        <f t="shared" si="515"/>
      </c>
      <c r="EU49" s="594">
        <f t="shared" si="515"/>
      </c>
      <c r="EV49" s="594">
        <f t="shared" si="515"/>
      </c>
      <c r="EW49" s="594">
        <f t="shared" si="515"/>
      </c>
      <c r="EX49" s="594">
        <f t="shared" si="515"/>
      </c>
      <c r="EY49" s="594">
        <f t="shared" si="515"/>
      </c>
      <c r="EZ49" s="594">
        <f t="shared" si="515"/>
      </c>
      <c r="FA49" s="594">
        <f t="shared" si="515"/>
      </c>
      <c r="FB49" s="594">
        <f t="shared" si="515"/>
      </c>
      <c r="FC49" s="594">
        <f t="shared" si="515"/>
      </c>
      <c r="FD49" s="594">
        <f t="shared" si="515"/>
      </c>
      <c r="FE49" s="594">
        <f t="shared" si="515"/>
      </c>
      <c r="FF49" s="594">
        <f t="shared" si="515"/>
      </c>
      <c r="FG49" s="594">
        <f t="shared" si="515"/>
      </c>
      <c r="FH49" s="594">
        <f t="shared" si="515"/>
      </c>
      <c r="FI49" s="594">
        <f t="shared" si="515"/>
      </c>
      <c r="FJ49" s="594">
        <f t="shared" si="515"/>
      </c>
      <c r="FK49" s="594">
        <f t="shared" si="515"/>
      </c>
      <c r="FL49" s="2899">
        <f t="shared" si="515"/>
      </c>
      <c r="FM49" s="594">
        <f t="shared" si="515"/>
      </c>
      <c r="FN49" s="594">
        <f t="shared" si="515"/>
      </c>
      <c r="FO49" s="594">
        <f t="shared" si="515"/>
      </c>
      <c r="FP49" s="594">
        <f t="shared" si="515"/>
      </c>
      <c r="FQ49" s="594">
        <f t="shared" si="515"/>
      </c>
      <c r="FR49" s="594">
        <f t="shared" ref="FR49" si="516">FR26/FQ26-1</f>
      </c>
      <c r="FS49" s="594">
        <f t="shared" ref="FS49" si="517">FS26/FR26-1</f>
      </c>
      <c r="FT49" s="594">
        <f t="shared" ref="FT49" si="518">FT26/FS26-1</f>
      </c>
      <c r="FU49" s="2900">
        <f t="shared" ref="FU49" si="519">FU26/FT26-1</f>
      </c>
      <c r="FV49" s="139"/>
      <c r="FW49" s="594"/>
      <c r="FX49" s="594">
        <f t="shared" ref="FX49:GZ49" si="520">FX26/FW26-1</f>
      </c>
      <c r="FY49" s="594">
        <f t="shared" si="520"/>
      </c>
      <c r="FZ49" s="594">
        <f t="shared" si="520"/>
      </c>
      <c r="GA49" s="594">
        <f t="shared" si="520"/>
      </c>
      <c r="GB49" s="594">
        <f t="shared" si="520"/>
      </c>
      <c r="GC49" s="594">
        <f t="shared" si="520"/>
      </c>
      <c r="GD49" s="594">
        <f t="shared" si="520"/>
      </c>
      <c r="GE49" s="594">
        <f t="shared" si="520"/>
      </c>
      <c r="GF49" s="594">
        <f t="shared" si="520"/>
      </c>
      <c r="GG49" s="594">
        <f t="shared" si="520"/>
      </c>
      <c r="GH49" s="594">
        <f t="shared" si="520"/>
      </c>
      <c r="GI49" s="594">
        <f t="shared" si="520"/>
      </c>
      <c r="GJ49" s="594">
        <f t="shared" si="520"/>
      </c>
      <c r="GK49" s="594">
        <f t="shared" si="520"/>
      </c>
      <c r="GL49" s="594">
        <f t="shared" si="520"/>
      </c>
      <c r="GM49" s="594">
        <f t="shared" si="520"/>
      </c>
      <c r="GN49" s="594">
        <f t="shared" si="520"/>
      </c>
      <c r="GO49" s="594">
        <f t="shared" si="520"/>
      </c>
      <c r="GP49" s="594">
        <f t="shared" si="520"/>
      </c>
      <c r="GQ49" s="594">
        <f t="shared" si="520"/>
      </c>
      <c r="GR49" s="594">
        <f t="shared" si="520"/>
      </c>
      <c r="GS49" s="594">
        <f t="shared" si="520"/>
      </c>
      <c r="GT49" s="594">
        <f t="shared" si="520"/>
      </c>
      <c r="GU49" s="594">
        <f t="shared" si="520"/>
      </c>
      <c r="GV49" s="594">
        <f t="shared" si="520"/>
      </c>
      <c r="GW49" s="594">
        <f t="shared" si="520"/>
      </c>
      <c r="GX49" s="594">
        <f t="shared" si="520"/>
      </c>
      <c r="GY49" s="594">
        <f t="shared" si="520"/>
      </c>
      <c r="GZ49" s="594">
        <f t="shared" si="520"/>
      </c>
      <c r="HA49" s="594">
        <f t="shared" ref="HA49" si="521">HA26/GZ26-1</f>
      </c>
      <c r="HB49" s="594">
        <f t="shared" ref="HB49" si="522">HB26/HA26-1</f>
      </c>
      <c r="HC49" s="594">
        <f t="shared" ref="HC49" si="523">HC26/HB26-1</f>
      </c>
      <c r="HD49" s="594">
        <f t="shared" ref="HD49" si="524">HD26/HC26-1</f>
      </c>
    </row>
    <row r="50" spans="1:212" s="16" customFormat="1">
      <c r="A50" s="591" t="str">
        <f>A28</f>
      </c>
      <c r="B50" s="592"/>
      <c r="C50" s="592"/>
      <c r="D50" s="592"/>
      <c r="E50" s="593"/>
      <c r="F50" s="594">
        <f t="shared" ref="F50:O53" si="525">F28/B28-1</f>
      </c>
      <c r="G50" s="594">
        <f t="shared" si="525"/>
      </c>
      <c r="H50" s="594">
        <f t="shared" si="525"/>
      </c>
      <c r="I50" s="594">
        <f t="shared" si="525"/>
      </c>
      <c r="J50" s="594">
        <f t="shared" si="525"/>
      </c>
      <c r="K50" s="594">
        <f t="shared" si="525"/>
      </c>
      <c r="L50" s="594">
        <f t="shared" si="525"/>
      </c>
      <c r="M50" s="594">
        <f t="shared" si="525"/>
      </c>
      <c r="N50" s="594">
        <f t="shared" si="525"/>
      </c>
      <c r="O50" s="594">
        <f t="shared" si="525"/>
      </c>
      <c r="P50" s="594">
        <f t="shared" ref="P50:Y53" si="526">P28/L28-1</f>
      </c>
      <c r="Q50" s="594">
        <f t="shared" si="526"/>
      </c>
      <c r="R50" s="594">
        <f t="shared" si="526"/>
      </c>
      <c r="S50" s="594">
        <f t="shared" si="526"/>
      </c>
      <c r="T50" s="594">
        <f t="shared" si="526"/>
      </c>
      <c r="U50" s="594">
        <f t="shared" si="526"/>
      </c>
      <c r="V50" s="594">
        <f t="shared" si="526"/>
      </c>
      <c r="W50" s="594">
        <f t="shared" si="526"/>
      </c>
      <c r="X50" s="594">
        <f t="shared" si="526"/>
      </c>
      <c r="Y50" s="594">
        <f t="shared" si="526"/>
      </c>
      <c r="Z50" s="594">
        <f t="shared" ref="Z50:AI53" si="527">Z28/V28-1</f>
      </c>
      <c r="AA50" s="594">
        <f t="shared" si="527"/>
      </c>
      <c r="AB50" s="594">
        <f t="shared" si="527"/>
      </c>
      <c r="AC50" s="594">
        <f t="shared" si="527"/>
      </c>
      <c r="AD50" s="594">
        <f t="shared" si="527"/>
      </c>
      <c r="AE50" s="594">
        <f t="shared" si="527"/>
      </c>
      <c r="AF50" s="594">
        <f t="shared" si="527"/>
      </c>
      <c r="AG50" s="594">
        <f t="shared" si="527"/>
      </c>
      <c r="AH50" s="594">
        <f t="shared" si="527"/>
      </c>
      <c r="AI50" s="594">
        <f t="shared" si="527"/>
      </c>
      <c r="AJ50" s="594">
        <f t="shared" ref="AJ50:AS53" si="528">AJ28/AF28-1</f>
      </c>
      <c r="AK50" s="594">
        <f t="shared" si="528"/>
      </c>
      <c r="AL50" s="594">
        <f t="shared" si="528"/>
      </c>
      <c r="AM50" s="594">
        <f t="shared" si="528"/>
      </c>
      <c r="AN50" s="594">
        <f t="shared" si="528"/>
      </c>
      <c r="AO50" s="594">
        <f t="shared" si="528"/>
      </c>
      <c r="AP50" s="594">
        <f t="shared" si="528"/>
      </c>
      <c r="AQ50" s="594">
        <f t="shared" si="528"/>
      </c>
      <c r="AR50" s="594">
        <f t="shared" si="528"/>
      </c>
      <c r="AS50" s="594">
        <f t="shared" si="528"/>
      </c>
      <c r="AT50" s="594">
        <f t="shared" ref="AT50:BC53" si="529">AT28/AP28-1</f>
      </c>
      <c r="AU50" s="594">
        <f t="shared" si="529"/>
      </c>
      <c r="AV50" s="594">
        <f t="shared" si="529"/>
      </c>
      <c r="AW50" s="594">
        <f t="shared" si="529"/>
      </c>
      <c r="AX50" s="594">
        <f t="shared" si="529"/>
      </c>
      <c r="AY50" s="594">
        <f t="shared" si="529"/>
      </c>
      <c r="AZ50" s="594">
        <f t="shared" si="529"/>
      </c>
      <c r="BA50" s="594">
        <f t="shared" si="529"/>
      </c>
      <c r="BB50" s="594">
        <f t="shared" si="529"/>
      </c>
      <c r="BC50" s="594">
        <f t="shared" si="529"/>
      </c>
      <c r="BD50" s="594">
        <f t="shared" ref="BD50:BM53" si="530">BD28/AZ28-1</f>
      </c>
      <c r="BE50" s="594">
        <f t="shared" si="530"/>
      </c>
      <c r="BF50" s="594">
        <f t="shared" si="530"/>
      </c>
      <c r="BG50" s="594">
        <f t="shared" si="530"/>
      </c>
      <c r="BH50" s="594">
        <f t="shared" si="530"/>
      </c>
      <c r="BI50" s="594">
        <f t="shared" si="530"/>
      </c>
      <c r="BJ50" s="594">
        <f t="shared" si="530"/>
      </c>
      <c r="BK50" s="594">
        <f t="shared" si="530"/>
      </c>
      <c r="BL50" s="594">
        <f t="shared" si="530"/>
      </c>
      <c r="BM50" s="594">
        <f t="shared" si="530"/>
      </c>
      <c r="BN50" s="594">
        <f t="shared" ref="BN50:BW53" si="531">BN28/BJ28-1</f>
      </c>
      <c r="BO50" s="594">
        <f t="shared" si="531"/>
      </c>
      <c r="BP50" s="594">
        <f t="shared" si="531"/>
      </c>
      <c r="BQ50" s="595">
        <f t="shared" si="531"/>
      </c>
      <c r="BR50" s="594">
        <f t="shared" si="531"/>
      </c>
      <c r="BS50" s="594">
        <f t="shared" si="531"/>
      </c>
      <c r="BT50" s="594">
        <f t="shared" si="531"/>
      </c>
      <c r="BU50" s="595">
        <f t="shared" si="531"/>
      </c>
      <c r="BV50" s="594">
        <f t="shared" si="531"/>
      </c>
      <c r="BW50" s="594">
        <f t="shared" si="531"/>
      </c>
      <c r="BX50" s="594">
        <f t="shared" ref="BX50:CG53" si="532">BX28/BT28-1</f>
      </c>
      <c r="BY50" s="595">
        <f t="shared" si="532"/>
      </c>
      <c r="BZ50" s="594">
        <f t="shared" si="532"/>
      </c>
      <c r="CA50" s="594">
        <f t="shared" si="532"/>
      </c>
      <c r="CB50" s="594">
        <f t="shared" si="532"/>
      </c>
      <c r="CC50" s="595">
        <f t="shared" si="532"/>
      </c>
      <c r="CD50" s="594">
        <f t="shared" si="532"/>
      </c>
      <c r="CE50" s="594">
        <f t="shared" si="532"/>
      </c>
      <c r="CF50" s="594">
        <f t="shared" si="532"/>
      </c>
      <c r="CG50" s="595">
        <f t="shared" si="532"/>
      </c>
      <c r="CH50" s="594">
        <f t="shared" ref="CH50:CQ53" si="533">CH28/CD28-1</f>
      </c>
      <c r="CI50" s="594">
        <f t="shared" si="533"/>
      </c>
      <c r="CJ50" s="594">
        <f t="shared" si="533"/>
      </c>
      <c r="CK50" s="595">
        <f t="shared" si="533"/>
      </c>
      <c r="CL50" s="594">
        <f t="shared" si="533"/>
      </c>
      <c r="CM50" s="594">
        <f t="shared" si="533"/>
      </c>
      <c r="CN50" s="594">
        <f t="shared" si="533"/>
      </c>
      <c r="CO50" s="595">
        <f t="shared" si="533"/>
      </c>
      <c r="CP50" s="594">
        <f t="shared" si="533"/>
      </c>
      <c r="CQ50" s="594">
        <f t="shared" si="533"/>
      </c>
      <c r="CR50" s="594">
        <f t="shared" ref="CR50:DA53" si="534">CR28/CN28-1</f>
      </c>
      <c r="CS50" s="595">
        <f t="shared" si="534"/>
      </c>
      <c r="CT50" s="594">
        <f t="shared" si="534"/>
      </c>
      <c r="CU50" s="594">
        <f t="shared" si="534"/>
      </c>
      <c r="CV50" s="594">
        <f t="shared" si="534"/>
      </c>
      <c r="CW50" s="595">
        <f t="shared" si="534"/>
      </c>
      <c r="CX50" s="594">
        <f t="shared" si="534"/>
      </c>
      <c r="CY50" s="594">
        <f t="shared" si="534"/>
      </c>
      <c r="CZ50" s="594">
        <f t="shared" si="534"/>
      </c>
      <c r="DA50" s="595">
        <f t="shared" si="534"/>
      </c>
      <c r="DB50" s="594">
        <f t="shared" ref="DB50:DK53" si="535">DB28/CX28-1</f>
      </c>
      <c r="DC50" s="594">
        <f t="shared" si="535"/>
      </c>
      <c r="DD50" s="594">
        <f t="shared" si="535"/>
      </c>
      <c r="DE50" s="595">
        <f t="shared" si="535"/>
      </c>
      <c r="DF50" s="594">
        <f t="shared" si="535"/>
      </c>
      <c r="DG50" s="594">
        <f t="shared" si="535"/>
      </c>
      <c r="DH50" s="594">
        <f t="shared" si="535"/>
      </c>
      <c r="DI50" s="595">
        <f t="shared" si="535"/>
      </c>
      <c r="DJ50" s="594">
        <f t="shared" si="535"/>
      </c>
      <c r="DK50" s="594">
        <f t="shared" si="535"/>
      </c>
      <c r="DL50" s="594">
        <f t="shared" ref="DL50:DU53" si="536">DL28/DH28-1</f>
      </c>
      <c r="DM50" s="595">
        <f t="shared" si="536"/>
      </c>
      <c r="DN50" s="594">
        <f t="shared" si="536"/>
      </c>
      <c r="DO50" s="594">
        <f t="shared" si="536"/>
      </c>
      <c r="DP50" s="594">
        <f t="shared" si="536"/>
      </c>
      <c r="DQ50" s="595">
        <f t="shared" si="536"/>
      </c>
      <c r="DR50" s="594">
        <f t="shared" si="536"/>
      </c>
      <c r="DS50" s="594">
        <f t="shared" si="536"/>
      </c>
      <c r="DT50" s="594">
        <f t="shared" si="536"/>
      </c>
      <c r="DU50" s="595">
        <f t="shared" si="536"/>
      </c>
      <c r="DV50" s="594">
        <f t="shared" ref="DV50:DV56" si="537">DV28/DR28-1</f>
      </c>
      <c r="DW50" s="594">
        <f t="shared" ref="DW50:DW56" si="538">DW28/DS28-1</f>
      </c>
      <c r="DX50" s="594">
        <f t="shared" ref="DX50:DX56" si="539">DX28/DT28-1</f>
      </c>
      <c r="DY50" s="595">
        <f t="shared" ref="DY50:DY56" si="540">DY28/DU28-1</f>
      </c>
      <c r="DZ50" s="594">
        <f t="shared" ref="DZ50:DZ56" si="541">DZ28/DV28-1</f>
      </c>
      <c r="EA50" s="594">
        <f t="shared" ref="EA50:EA56" si="542">EA28/DW28-1</f>
      </c>
      <c r="EB50" s="594">
        <f t="shared" ref="EB50:EB56" si="543">EB28/DX28-1</f>
      </c>
      <c r="EC50" s="595">
        <f t="shared" ref="EC50:EC56" si="544">EC28/DY28-1</f>
      </c>
      <c r="ED50" s="594">
        <f t="shared" ref="ED50:ED56" si="545">ED28/DZ28-1</f>
      </c>
      <c r="EE50" s="594">
        <f t="shared" ref="EE50:EE56" si="546">EE28/EA28-1</f>
      </c>
      <c r="EF50" s="594">
        <f t="shared" ref="EF50:EF56" si="547">EF28/EB28-1</f>
      </c>
      <c r="EG50" s="595">
        <f t="shared" ref="EG50:EG56" si="548">EG28/EC28-1</f>
      </c>
      <c r="EH50" s="594">
        <f t="shared" ref="EH50:EH56" si="549">EH28/ED28-1</f>
      </c>
      <c r="EI50" s="594">
        <f t="shared" ref="EI50:EI56" si="550">EI28/EE28-1</f>
      </c>
      <c r="EJ50" s="594">
        <f t="shared" ref="EJ50:EJ56" si="551">EJ28/EF28-1</f>
      </c>
      <c r="EK50" s="595">
        <f t="shared" ref="EK50:EK56" si="552">EK28/EG28-1</f>
      </c>
      <c r="EL50" s="11"/>
      <c r="EM50" s="594"/>
      <c r="EN50" s="594">
        <f t="shared" ref="EN50:FQ50" si="553">EN28/EM28-1</f>
      </c>
      <c r="EO50" s="594">
        <f t="shared" si="553"/>
      </c>
      <c r="EP50" s="594">
        <f t="shared" si="553"/>
      </c>
      <c r="EQ50" s="594">
        <f t="shared" si="553"/>
      </c>
      <c r="ER50" s="594">
        <f t="shared" si="553"/>
      </c>
      <c r="ES50" s="594">
        <f t="shared" si="553"/>
      </c>
      <c r="ET50" s="594">
        <f t="shared" si="553"/>
      </c>
      <c r="EU50" s="594">
        <f t="shared" si="553"/>
      </c>
      <c r="EV50" s="594">
        <f t="shared" si="553"/>
      </c>
      <c r="EW50" s="594">
        <f t="shared" si="553"/>
      </c>
      <c r="EX50" s="594">
        <f t="shared" si="553"/>
      </c>
      <c r="EY50" s="594">
        <f t="shared" si="553"/>
      </c>
      <c r="EZ50" s="594">
        <f t="shared" si="553"/>
      </c>
      <c r="FA50" s="594">
        <f t="shared" si="553"/>
      </c>
      <c r="FB50" s="594">
        <f t="shared" si="553"/>
      </c>
      <c r="FC50" s="594">
        <f t="shared" si="553"/>
      </c>
      <c r="FD50" s="594">
        <f t="shared" si="553"/>
      </c>
      <c r="FE50" s="594">
        <f t="shared" si="553"/>
      </c>
      <c r="FF50" s="594">
        <f t="shared" si="553"/>
      </c>
      <c r="FG50" s="594">
        <f t="shared" si="553"/>
      </c>
      <c r="FH50" s="594">
        <f t="shared" si="553"/>
      </c>
      <c r="FI50" s="594">
        <f t="shared" si="553"/>
      </c>
      <c r="FJ50" s="594">
        <f t="shared" si="553"/>
      </c>
      <c r="FK50" s="594">
        <f t="shared" si="553"/>
      </c>
      <c r="FL50" s="2899">
        <f t="shared" si="553"/>
      </c>
      <c r="FM50" s="594">
        <f t="shared" si="553"/>
      </c>
      <c r="FN50" s="594">
        <f t="shared" si="553"/>
      </c>
      <c r="FO50" s="594">
        <f t="shared" si="553"/>
      </c>
      <c r="FP50" s="594">
        <f t="shared" si="553"/>
      </c>
      <c r="FQ50" s="594">
        <f t="shared" si="553"/>
      </c>
      <c r="FR50" s="594">
        <f t="shared" ref="FR50:FR56" si="554">FR28/FQ28-1</f>
      </c>
      <c r="FS50" s="594">
        <f t="shared" ref="FS50:FS56" si="555">FS28/FR28-1</f>
      </c>
      <c r="FT50" s="594">
        <f t="shared" ref="FT50:FT56" si="556">FT28/FS28-1</f>
      </c>
      <c r="FU50" s="2900">
        <f t="shared" ref="FU50:FU56" si="557">FU28/FT28-1</f>
      </c>
      <c r="FV50" s="139"/>
      <c r="FW50" s="594"/>
      <c r="FX50" s="594">
        <f t="shared" ref="FX50:GZ50" si="558">FX28/FW28-1</f>
      </c>
      <c r="FY50" s="594">
        <f t="shared" si="558"/>
      </c>
      <c r="FZ50" s="594">
        <f t="shared" si="558"/>
      </c>
      <c r="GA50" s="594">
        <f t="shared" si="558"/>
      </c>
      <c r="GB50" s="594">
        <f t="shared" si="558"/>
      </c>
      <c r="GC50" s="594">
        <f t="shared" si="558"/>
      </c>
      <c r="GD50" s="594">
        <f t="shared" si="558"/>
      </c>
      <c r="GE50" s="594">
        <f t="shared" si="558"/>
      </c>
      <c r="GF50" s="594">
        <f t="shared" si="558"/>
      </c>
      <c r="GG50" s="594">
        <f t="shared" si="558"/>
      </c>
      <c r="GH50" s="594">
        <f t="shared" si="558"/>
      </c>
      <c r="GI50" s="594">
        <f t="shared" si="558"/>
      </c>
      <c r="GJ50" s="594">
        <f t="shared" si="558"/>
      </c>
      <c r="GK50" s="594">
        <f t="shared" si="558"/>
      </c>
      <c r="GL50" s="594">
        <f t="shared" si="558"/>
      </c>
      <c r="GM50" s="594">
        <f t="shared" si="558"/>
      </c>
      <c r="GN50" s="594">
        <f t="shared" si="558"/>
      </c>
      <c r="GO50" s="594">
        <f t="shared" si="558"/>
      </c>
      <c r="GP50" s="594">
        <f t="shared" si="558"/>
      </c>
      <c r="GQ50" s="594">
        <f t="shared" si="558"/>
      </c>
      <c r="GR50" s="594">
        <f t="shared" si="558"/>
      </c>
      <c r="GS50" s="594">
        <f t="shared" si="558"/>
      </c>
      <c r="GT50" s="594">
        <f t="shared" si="558"/>
      </c>
      <c r="GU50" s="594">
        <f t="shared" si="558"/>
      </c>
      <c r="GV50" s="594">
        <f t="shared" si="558"/>
      </c>
      <c r="GW50" s="594">
        <f t="shared" si="558"/>
      </c>
      <c r="GX50" s="594">
        <f t="shared" si="558"/>
      </c>
      <c r="GY50" s="594">
        <f t="shared" si="558"/>
      </c>
      <c r="GZ50" s="594">
        <f t="shared" si="558"/>
      </c>
      <c r="HA50" s="594">
        <f t="shared" ref="HA50:HA56" si="559">HA28/GZ28-1</f>
      </c>
      <c r="HB50" s="594">
        <f t="shared" ref="HB50:HB56" si="560">HB28/HA28-1</f>
      </c>
      <c r="HC50" s="594">
        <f t="shared" ref="HC50:HC56" si="561">HC28/HB28-1</f>
      </c>
      <c r="HD50" s="594">
        <f t="shared" ref="HD50:HD56" si="562">HD28/HC28-1</f>
      </c>
    </row>
    <row r="51" spans="1:212">
      <c r="A51" s="586" t="str">
        <f>A29</f>
      </c>
      <c r="B51" s="587"/>
      <c r="C51" s="587"/>
      <c r="D51" s="587"/>
      <c r="E51" s="588"/>
      <c r="F51" s="589">
        <f t="shared" si="525"/>
      </c>
      <c r="G51" s="589">
        <f t="shared" si="525"/>
      </c>
      <c r="H51" s="589">
        <f t="shared" si="525"/>
      </c>
      <c r="I51" s="589">
        <f t="shared" si="525"/>
      </c>
      <c r="J51" s="589">
        <f t="shared" si="525"/>
      </c>
      <c r="K51" s="589">
        <f t="shared" si="525"/>
      </c>
      <c r="L51" s="589">
        <f t="shared" si="525"/>
      </c>
      <c r="M51" s="589">
        <f t="shared" si="525"/>
      </c>
      <c r="N51" s="589">
        <f t="shared" si="525"/>
      </c>
      <c r="O51" s="589">
        <f t="shared" si="525"/>
      </c>
      <c r="P51" s="589">
        <f t="shared" si="526"/>
      </c>
      <c r="Q51" s="589">
        <f t="shared" si="526"/>
      </c>
      <c r="R51" s="589">
        <f t="shared" si="526"/>
      </c>
      <c r="S51" s="589">
        <f t="shared" si="526"/>
      </c>
      <c r="T51" s="589">
        <f t="shared" si="526"/>
      </c>
      <c r="U51" s="589">
        <f t="shared" si="526"/>
      </c>
      <c r="V51" s="589">
        <f t="shared" si="526"/>
      </c>
      <c r="W51" s="589">
        <f t="shared" si="526"/>
      </c>
      <c r="X51" s="589">
        <f t="shared" si="526"/>
      </c>
      <c r="Y51" s="589">
        <f t="shared" si="526"/>
      </c>
      <c r="Z51" s="589">
        <f t="shared" si="527"/>
      </c>
      <c r="AA51" s="589">
        <f t="shared" si="527"/>
      </c>
      <c r="AB51" s="589">
        <f t="shared" si="527"/>
      </c>
      <c r="AC51" s="589">
        <f t="shared" si="527"/>
      </c>
      <c r="AD51" s="589">
        <f t="shared" si="527"/>
      </c>
      <c r="AE51" s="589">
        <f t="shared" si="527"/>
      </c>
      <c r="AF51" s="589">
        <f t="shared" si="527"/>
      </c>
      <c r="AG51" s="589">
        <f t="shared" si="527"/>
      </c>
      <c r="AH51" s="589">
        <f t="shared" si="527"/>
      </c>
      <c r="AI51" s="589">
        <f t="shared" si="527"/>
      </c>
      <c r="AJ51" s="589">
        <f t="shared" si="528"/>
      </c>
      <c r="AK51" s="589">
        <f t="shared" si="528"/>
      </c>
      <c r="AL51" s="589">
        <f t="shared" si="528"/>
      </c>
      <c r="AM51" s="589">
        <f t="shared" si="528"/>
      </c>
      <c r="AN51" s="589">
        <f t="shared" si="528"/>
      </c>
      <c r="AO51" s="589">
        <f t="shared" si="528"/>
      </c>
      <c r="AP51" s="589">
        <f t="shared" si="528"/>
      </c>
      <c r="AQ51" s="589">
        <f t="shared" si="528"/>
      </c>
      <c r="AR51" s="589">
        <f t="shared" si="528"/>
      </c>
      <c r="AS51" s="589">
        <f t="shared" si="528"/>
      </c>
      <c r="AT51" s="589">
        <f t="shared" si="529"/>
      </c>
      <c r="AU51" s="589">
        <f t="shared" si="529"/>
      </c>
      <c r="AV51" s="589">
        <f t="shared" si="529"/>
      </c>
      <c r="AW51" s="589">
        <f t="shared" si="529"/>
      </c>
      <c r="AX51" s="589">
        <f t="shared" si="529"/>
      </c>
      <c r="AY51" s="589">
        <f t="shared" si="529"/>
      </c>
      <c r="AZ51" s="589">
        <f t="shared" si="529"/>
      </c>
      <c r="BA51" s="589">
        <f t="shared" si="529"/>
      </c>
      <c r="BB51" s="589">
        <f t="shared" si="529"/>
      </c>
      <c r="BC51" s="589">
        <f t="shared" si="529"/>
      </c>
      <c r="BD51" s="589">
        <f t="shared" si="530"/>
      </c>
      <c r="BE51" s="589">
        <f t="shared" si="530"/>
      </c>
      <c r="BF51" s="589">
        <f t="shared" si="530"/>
      </c>
      <c r="BG51" s="589">
        <f t="shared" si="530"/>
      </c>
      <c r="BH51" s="589">
        <f t="shared" si="530"/>
      </c>
      <c r="BI51" s="589">
        <f t="shared" si="530"/>
      </c>
      <c r="BJ51" s="589">
        <f t="shared" si="530"/>
      </c>
      <c r="BK51" s="589">
        <f t="shared" si="530"/>
      </c>
      <c r="BL51" s="589">
        <f t="shared" si="530"/>
      </c>
      <c r="BM51" s="589">
        <f t="shared" si="530"/>
      </c>
      <c r="BN51" s="589">
        <f t="shared" si="531"/>
      </c>
      <c r="BO51" s="589">
        <f t="shared" si="531"/>
      </c>
      <c r="BP51" s="589">
        <f t="shared" si="531"/>
      </c>
      <c r="BQ51" s="590">
        <f t="shared" si="531"/>
      </c>
      <c r="BR51" s="589">
        <f t="shared" si="531"/>
      </c>
      <c r="BS51" s="589">
        <f t="shared" si="531"/>
      </c>
      <c r="BT51" s="589">
        <f t="shared" si="531"/>
      </c>
      <c r="BU51" s="590">
        <f t="shared" si="531"/>
      </c>
      <c r="BV51" s="589">
        <f t="shared" si="531"/>
      </c>
      <c r="BW51" s="589">
        <f t="shared" si="531"/>
      </c>
      <c r="BX51" s="589">
        <f t="shared" si="532"/>
      </c>
      <c r="BY51" s="590">
        <f t="shared" si="532"/>
      </c>
      <c r="BZ51" s="589">
        <f t="shared" si="532"/>
      </c>
      <c r="CA51" s="589">
        <f t="shared" si="532"/>
      </c>
      <c r="CB51" s="589">
        <f t="shared" si="532"/>
      </c>
      <c r="CC51" s="590">
        <f t="shared" si="532"/>
      </c>
      <c r="CD51" s="589">
        <f t="shared" si="532"/>
      </c>
      <c r="CE51" s="589">
        <f t="shared" si="532"/>
      </c>
      <c r="CF51" s="589">
        <f t="shared" si="532"/>
      </c>
      <c r="CG51" s="590">
        <f t="shared" si="532"/>
      </c>
      <c r="CH51" s="589">
        <f t="shared" si="533"/>
      </c>
      <c r="CI51" s="589">
        <f t="shared" si="533"/>
      </c>
      <c r="CJ51" s="589">
        <f t="shared" si="533"/>
      </c>
      <c r="CK51" s="590">
        <f t="shared" si="533"/>
      </c>
      <c r="CL51" s="589">
        <f t="shared" si="533"/>
      </c>
      <c r="CM51" s="589">
        <f t="shared" si="533"/>
      </c>
      <c r="CN51" s="589">
        <f t="shared" si="533"/>
      </c>
      <c r="CO51" s="590">
        <f t="shared" si="533"/>
      </c>
      <c r="CP51" s="589">
        <f t="shared" si="533"/>
      </c>
      <c r="CQ51" s="589">
        <f t="shared" si="533"/>
      </c>
      <c r="CR51" s="589">
        <f t="shared" si="534"/>
      </c>
      <c r="CS51" s="590">
        <f t="shared" si="534"/>
      </c>
      <c r="CT51" s="589">
        <f t="shared" si="534"/>
      </c>
      <c r="CU51" s="589">
        <f t="shared" si="534"/>
      </c>
      <c r="CV51" s="589">
        <f t="shared" si="534"/>
      </c>
      <c r="CW51" s="590">
        <f t="shared" si="534"/>
      </c>
      <c r="CX51" s="589">
        <f t="shared" si="534"/>
      </c>
      <c r="CY51" s="589">
        <f t="shared" si="534"/>
      </c>
      <c r="CZ51" s="589">
        <f t="shared" si="534"/>
      </c>
      <c r="DA51" s="590">
        <f t="shared" si="534"/>
      </c>
      <c r="DB51" s="589">
        <f t="shared" si="535"/>
      </c>
      <c r="DC51" s="589">
        <f t="shared" si="535"/>
      </c>
      <c r="DD51" s="589">
        <f t="shared" si="535"/>
      </c>
      <c r="DE51" s="590">
        <f t="shared" si="535"/>
      </c>
      <c r="DF51" s="589">
        <f t="shared" si="535"/>
      </c>
      <c r="DG51" s="589">
        <f t="shared" si="535"/>
      </c>
      <c r="DH51" s="589">
        <f t="shared" si="535"/>
      </c>
      <c r="DI51" s="590">
        <f t="shared" si="535"/>
      </c>
      <c r="DJ51" s="589">
        <f t="shared" si="535"/>
      </c>
      <c r="DK51" s="589">
        <f t="shared" si="535"/>
      </c>
      <c r="DL51" s="589">
        <f t="shared" si="536"/>
      </c>
      <c r="DM51" s="590">
        <f t="shared" si="536"/>
      </c>
      <c r="DN51" s="589">
        <f t="shared" si="536"/>
      </c>
      <c r="DO51" s="589">
        <f t="shared" si="536"/>
      </c>
      <c r="DP51" s="589">
        <f t="shared" si="536"/>
      </c>
      <c r="DQ51" s="590">
        <f t="shared" si="536"/>
      </c>
      <c r="DR51" s="589">
        <f t="shared" si="536"/>
      </c>
      <c r="DS51" s="589">
        <f t="shared" si="536"/>
      </c>
      <c r="DT51" s="589">
        <f t="shared" si="536"/>
      </c>
      <c r="DU51" s="590">
        <f t="shared" si="536"/>
      </c>
      <c r="DV51" s="589">
        <f t="shared" si="537"/>
      </c>
      <c r="DW51" s="589">
        <f t="shared" si="538"/>
      </c>
      <c r="DX51" s="589">
        <f t="shared" si="539"/>
      </c>
      <c r="DY51" s="590">
        <f t="shared" si="540"/>
      </c>
      <c r="DZ51" s="589">
        <f t="shared" si="541"/>
      </c>
      <c r="EA51" s="589">
        <f t="shared" si="542"/>
      </c>
      <c r="EB51" s="589">
        <f t="shared" si="543"/>
      </c>
      <c r="EC51" s="590">
        <f t="shared" si="544"/>
      </c>
      <c r="ED51" s="589">
        <f t="shared" si="545"/>
      </c>
      <c r="EE51" s="589">
        <f t="shared" si="546"/>
      </c>
      <c r="EF51" s="589">
        <f t="shared" si="547"/>
      </c>
      <c r="EG51" s="590">
        <f t="shared" si="548"/>
      </c>
      <c r="EH51" s="589">
        <f t="shared" si="549"/>
      </c>
      <c r="EI51" s="589">
        <f t="shared" si="550"/>
      </c>
      <c r="EJ51" s="589">
        <f t="shared" si="551"/>
      </c>
      <c r="EK51" s="590">
        <f t="shared" si="552"/>
      </c>
      <c r="EM51" s="589"/>
      <c r="EN51" s="589">
        <f t="shared" ref="EN51:FQ51" si="563">EN29/EM29-1</f>
      </c>
      <c r="EO51" s="589">
        <f t="shared" si="563"/>
      </c>
      <c r="EP51" s="589">
        <f t="shared" si="563"/>
      </c>
      <c r="EQ51" s="589">
        <f t="shared" si="563"/>
      </c>
      <c r="ER51" s="589">
        <f t="shared" si="563"/>
      </c>
      <c r="ES51" s="589">
        <f t="shared" si="563"/>
      </c>
      <c r="ET51" s="589">
        <f t="shared" si="563"/>
      </c>
      <c r="EU51" s="589">
        <f t="shared" si="563"/>
      </c>
      <c r="EV51" s="589">
        <f t="shared" si="563"/>
      </c>
      <c r="EW51" s="589">
        <f t="shared" si="563"/>
      </c>
      <c r="EX51" s="589">
        <f t="shared" si="563"/>
      </c>
      <c r="EY51" s="589">
        <f t="shared" si="563"/>
      </c>
      <c r="EZ51" s="589">
        <f t="shared" si="563"/>
      </c>
      <c r="FA51" s="589">
        <f t="shared" si="563"/>
      </c>
      <c r="FB51" s="589">
        <f t="shared" si="563"/>
      </c>
      <c r="FC51" s="589">
        <f t="shared" si="563"/>
      </c>
      <c r="FD51" s="589">
        <f t="shared" si="563"/>
      </c>
      <c r="FE51" s="589">
        <f t="shared" si="563"/>
      </c>
      <c r="FF51" s="589">
        <f t="shared" si="563"/>
      </c>
      <c r="FG51" s="589">
        <f t="shared" si="563"/>
      </c>
      <c r="FH51" s="589">
        <f t="shared" si="563"/>
      </c>
      <c r="FI51" s="589">
        <f t="shared" si="563"/>
      </c>
      <c r="FJ51" s="589">
        <f t="shared" si="563"/>
      </c>
      <c r="FK51" s="589">
        <f t="shared" si="563"/>
      </c>
      <c r="FL51" s="2897">
        <f t="shared" si="563"/>
      </c>
      <c r="FM51" s="589">
        <f t="shared" si="563"/>
      </c>
      <c r="FN51" s="589">
        <f t="shared" si="563"/>
      </c>
      <c r="FO51" s="589">
        <f t="shared" si="563"/>
      </c>
      <c r="FP51" s="589">
        <f t="shared" si="563"/>
      </c>
      <c r="FQ51" s="589">
        <f t="shared" si="563"/>
      </c>
      <c r="FR51" s="589">
        <f t="shared" si="554"/>
      </c>
      <c r="FS51" s="589">
        <f t="shared" si="555"/>
      </c>
      <c r="FT51" s="589">
        <f t="shared" si="556"/>
      </c>
      <c r="FU51" s="2898">
        <f t="shared" si="557"/>
      </c>
      <c r="FV51" s="89"/>
      <c r="FW51" s="589"/>
      <c r="FX51" s="589">
        <f t="shared" ref="FX51:GZ51" si="564">FX29/FW29-1</f>
      </c>
      <c r="FY51" s="589">
        <f t="shared" si="564"/>
      </c>
      <c r="FZ51" s="589">
        <f t="shared" si="564"/>
      </c>
      <c r="GA51" s="589">
        <f t="shared" si="564"/>
      </c>
      <c r="GB51" s="589">
        <f t="shared" si="564"/>
      </c>
      <c r="GC51" s="589">
        <f t="shared" si="564"/>
      </c>
      <c r="GD51" s="589">
        <f t="shared" si="564"/>
      </c>
      <c r="GE51" s="589">
        <f t="shared" si="564"/>
      </c>
      <c r="GF51" s="589">
        <f t="shared" si="564"/>
      </c>
      <c r="GG51" s="589">
        <f t="shared" si="564"/>
      </c>
      <c r="GH51" s="589">
        <f t="shared" si="564"/>
      </c>
      <c r="GI51" s="589">
        <f t="shared" si="564"/>
      </c>
      <c r="GJ51" s="589">
        <f t="shared" si="564"/>
      </c>
      <c r="GK51" s="589">
        <f t="shared" si="564"/>
      </c>
      <c r="GL51" s="589">
        <f t="shared" si="564"/>
      </c>
      <c r="GM51" s="589">
        <f t="shared" si="564"/>
      </c>
      <c r="GN51" s="589">
        <f t="shared" si="564"/>
      </c>
      <c r="GO51" s="589">
        <f t="shared" si="564"/>
      </c>
      <c r="GP51" s="589">
        <f t="shared" si="564"/>
      </c>
      <c r="GQ51" s="589">
        <f t="shared" si="564"/>
      </c>
      <c r="GR51" s="589">
        <f t="shared" si="564"/>
      </c>
      <c r="GS51" s="589">
        <f t="shared" si="564"/>
      </c>
      <c r="GT51" s="589">
        <f t="shared" si="564"/>
      </c>
      <c r="GU51" s="589">
        <f t="shared" si="564"/>
      </c>
      <c r="GV51" s="589">
        <f t="shared" si="564"/>
      </c>
      <c r="GW51" s="589">
        <f t="shared" si="564"/>
      </c>
      <c r="GX51" s="589">
        <f t="shared" si="564"/>
      </c>
      <c r="GY51" s="589">
        <f t="shared" si="564"/>
      </c>
      <c r="GZ51" s="589">
        <f t="shared" si="564"/>
      </c>
      <c r="HA51" s="589">
        <f t="shared" si="559"/>
      </c>
      <c r="HB51" s="589">
        <f t="shared" si="560"/>
      </c>
      <c r="HC51" s="589">
        <f t="shared" si="561"/>
      </c>
      <c r="HD51" s="589">
        <f t="shared" si="562"/>
      </c>
    </row>
    <row r="52" spans="1:212" s="16" customFormat="1">
      <c r="A52" s="603" t="str">
        <f>A30</f>
      </c>
      <c r="B52" s="604"/>
      <c r="C52" s="604"/>
      <c r="D52" s="604"/>
      <c r="E52" s="605"/>
      <c r="F52" s="606">
        <f t="shared" si="525"/>
      </c>
      <c r="G52" s="606">
        <f t="shared" si="525"/>
      </c>
      <c r="H52" s="606">
        <f t="shared" si="525"/>
      </c>
      <c r="I52" s="606">
        <f t="shared" si="525"/>
      </c>
      <c r="J52" s="606">
        <f t="shared" si="525"/>
      </c>
      <c r="K52" s="606">
        <f t="shared" si="525"/>
      </c>
      <c r="L52" s="606">
        <f t="shared" si="525"/>
      </c>
      <c r="M52" s="606">
        <f t="shared" si="525"/>
      </c>
      <c r="N52" s="606">
        <f t="shared" si="525"/>
      </c>
      <c r="O52" s="606">
        <f t="shared" si="525"/>
      </c>
      <c r="P52" s="606">
        <f t="shared" si="526"/>
      </c>
      <c r="Q52" s="606">
        <f t="shared" si="526"/>
      </c>
      <c r="R52" s="606">
        <f t="shared" si="526"/>
      </c>
      <c r="S52" s="606">
        <f t="shared" si="526"/>
      </c>
      <c r="T52" s="606">
        <f t="shared" si="526"/>
      </c>
      <c r="U52" s="606">
        <f t="shared" si="526"/>
      </c>
      <c r="V52" s="606">
        <f t="shared" si="526"/>
      </c>
      <c r="W52" s="606">
        <f t="shared" si="526"/>
      </c>
      <c r="X52" s="606">
        <f t="shared" si="526"/>
      </c>
      <c r="Y52" s="606">
        <f t="shared" si="526"/>
      </c>
      <c r="Z52" s="606">
        <f t="shared" si="527"/>
      </c>
      <c r="AA52" s="606">
        <f t="shared" si="527"/>
      </c>
      <c r="AB52" s="606">
        <f t="shared" si="527"/>
      </c>
      <c r="AC52" s="606">
        <f t="shared" si="527"/>
      </c>
      <c r="AD52" s="606">
        <f t="shared" si="527"/>
      </c>
      <c r="AE52" s="606">
        <f t="shared" si="527"/>
      </c>
      <c r="AF52" s="606">
        <f t="shared" si="527"/>
      </c>
      <c r="AG52" s="606">
        <f t="shared" si="527"/>
      </c>
      <c r="AH52" s="606">
        <f t="shared" si="527"/>
      </c>
      <c r="AI52" s="606">
        <f t="shared" si="527"/>
      </c>
      <c r="AJ52" s="606">
        <f t="shared" si="528"/>
      </c>
      <c r="AK52" s="606">
        <f t="shared" si="528"/>
      </c>
      <c r="AL52" s="606">
        <f t="shared" si="528"/>
      </c>
      <c r="AM52" s="606">
        <f t="shared" si="528"/>
      </c>
      <c r="AN52" s="606">
        <f t="shared" si="528"/>
      </c>
      <c r="AO52" s="606">
        <f t="shared" si="528"/>
      </c>
      <c r="AP52" s="606">
        <f t="shared" si="528"/>
      </c>
      <c r="AQ52" s="606">
        <f t="shared" si="528"/>
      </c>
      <c r="AR52" s="606">
        <f t="shared" si="528"/>
      </c>
      <c r="AS52" s="606">
        <f t="shared" si="528"/>
      </c>
      <c r="AT52" s="606">
        <f t="shared" si="529"/>
      </c>
      <c r="AU52" s="606">
        <f t="shared" si="529"/>
      </c>
      <c r="AV52" s="606">
        <f t="shared" si="529"/>
      </c>
      <c r="AW52" s="606">
        <f t="shared" si="529"/>
      </c>
      <c r="AX52" s="606">
        <f t="shared" si="529"/>
      </c>
      <c r="AY52" s="606">
        <f t="shared" si="529"/>
      </c>
      <c r="AZ52" s="606">
        <f t="shared" si="529"/>
      </c>
      <c r="BA52" s="606">
        <f t="shared" si="529"/>
      </c>
      <c r="BB52" s="606">
        <f t="shared" si="529"/>
      </c>
      <c r="BC52" s="606">
        <f t="shared" si="529"/>
      </c>
      <c r="BD52" s="606">
        <f t="shared" si="530"/>
      </c>
      <c r="BE52" s="606">
        <f t="shared" si="530"/>
      </c>
      <c r="BF52" s="606">
        <f t="shared" si="530"/>
      </c>
      <c r="BG52" s="606">
        <f t="shared" si="530"/>
      </c>
      <c r="BH52" s="606">
        <f t="shared" si="530"/>
      </c>
      <c r="BI52" s="606">
        <f t="shared" si="530"/>
      </c>
      <c r="BJ52" s="606">
        <f t="shared" si="530"/>
      </c>
      <c r="BK52" s="606">
        <f t="shared" si="530"/>
      </c>
      <c r="BL52" s="606">
        <f t="shared" si="530"/>
      </c>
      <c r="BM52" s="606">
        <f t="shared" si="530"/>
      </c>
      <c r="BN52" s="606">
        <f t="shared" si="531"/>
      </c>
      <c r="BO52" s="606">
        <f t="shared" si="531"/>
      </c>
      <c r="BP52" s="606">
        <f t="shared" si="531"/>
      </c>
      <c r="BQ52" s="607">
        <f t="shared" si="531"/>
      </c>
      <c r="BR52" s="606">
        <f t="shared" si="531"/>
      </c>
      <c r="BS52" s="606">
        <f t="shared" si="531"/>
      </c>
      <c r="BT52" s="606">
        <f t="shared" si="531"/>
      </c>
      <c r="BU52" s="607">
        <f t="shared" si="531"/>
      </c>
      <c r="BV52" s="606">
        <f t="shared" si="531"/>
      </c>
      <c r="BW52" s="606">
        <f t="shared" si="531"/>
      </c>
      <c r="BX52" s="606">
        <f t="shared" si="532"/>
      </c>
      <c r="BY52" s="607">
        <f t="shared" si="532"/>
      </c>
      <c r="BZ52" s="606">
        <f t="shared" si="532"/>
      </c>
      <c r="CA52" s="606">
        <f t="shared" si="532"/>
      </c>
      <c r="CB52" s="606">
        <f t="shared" si="532"/>
      </c>
      <c r="CC52" s="607">
        <f t="shared" si="532"/>
      </c>
      <c r="CD52" s="606">
        <f t="shared" si="532"/>
      </c>
      <c r="CE52" s="606">
        <f t="shared" si="532"/>
      </c>
      <c r="CF52" s="606">
        <f t="shared" si="532"/>
      </c>
      <c r="CG52" s="607">
        <f t="shared" si="532"/>
      </c>
      <c r="CH52" s="606">
        <f t="shared" si="533"/>
      </c>
      <c r="CI52" s="606">
        <f t="shared" si="533"/>
      </c>
      <c r="CJ52" s="606">
        <f t="shared" si="533"/>
      </c>
      <c r="CK52" s="607">
        <f t="shared" si="533"/>
      </c>
      <c r="CL52" s="606">
        <f t="shared" si="533"/>
      </c>
      <c r="CM52" s="606">
        <f t="shared" si="533"/>
      </c>
      <c r="CN52" s="606">
        <f t="shared" si="533"/>
      </c>
      <c r="CO52" s="607">
        <f t="shared" si="533"/>
      </c>
      <c r="CP52" s="606">
        <f t="shared" si="533"/>
      </c>
      <c r="CQ52" s="606">
        <f t="shared" si="533"/>
      </c>
      <c r="CR52" s="606">
        <f t="shared" si="534"/>
      </c>
      <c r="CS52" s="607">
        <f t="shared" si="534"/>
      </c>
      <c r="CT52" s="606">
        <f t="shared" si="534"/>
      </c>
      <c r="CU52" s="606">
        <f t="shared" si="534"/>
      </c>
      <c r="CV52" s="606">
        <f t="shared" si="534"/>
      </c>
      <c r="CW52" s="607">
        <f t="shared" si="534"/>
      </c>
      <c r="CX52" s="606">
        <f t="shared" si="534"/>
      </c>
      <c r="CY52" s="606">
        <f t="shared" si="534"/>
      </c>
      <c r="CZ52" s="606">
        <f t="shared" si="534"/>
      </c>
      <c r="DA52" s="607">
        <f t="shared" si="534"/>
      </c>
      <c r="DB52" s="606">
        <f t="shared" si="535"/>
      </c>
      <c r="DC52" s="606">
        <f t="shared" si="535"/>
      </c>
      <c r="DD52" s="606">
        <f t="shared" si="535"/>
      </c>
      <c r="DE52" s="607">
        <f t="shared" si="535"/>
      </c>
      <c r="DF52" s="606">
        <f t="shared" si="535"/>
      </c>
      <c r="DG52" s="606">
        <f t="shared" si="535"/>
      </c>
      <c r="DH52" s="606">
        <f t="shared" si="535"/>
      </c>
      <c r="DI52" s="607">
        <f t="shared" si="535"/>
      </c>
      <c r="DJ52" s="606">
        <f t="shared" si="535"/>
      </c>
      <c r="DK52" s="606">
        <f t="shared" si="535"/>
      </c>
      <c r="DL52" s="606">
        <f t="shared" si="536"/>
      </c>
      <c r="DM52" s="607">
        <f t="shared" si="536"/>
      </c>
      <c r="DN52" s="606">
        <f t="shared" si="536"/>
      </c>
      <c r="DO52" s="606">
        <f t="shared" si="536"/>
      </c>
      <c r="DP52" s="606">
        <f t="shared" si="536"/>
      </c>
      <c r="DQ52" s="607">
        <f t="shared" si="536"/>
      </c>
      <c r="DR52" s="606">
        <f t="shared" si="536"/>
      </c>
      <c r="DS52" s="606">
        <f t="shared" si="536"/>
      </c>
      <c r="DT52" s="606">
        <f t="shared" si="536"/>
      </c>
      <c r="DU52" s="607">
        <f t="shared" si="536"/>
      </c>
      <c r="DV52" s="606">
        <f t="shared" si="537"/>
      </c>
      <c r="DW52" s="606">
        <f t="shared" si="538"/>
      </c>
      <c r="DX52" s="606">
        <f t="shared" si="539"/>
      </c>
      <c r="DY52" s="607">
        <f t="shared" si="540"/>
      </c>
      <c r="DZ52" s="606">
        <f t="shared" si="541"/>
      </c>
      <c r="EA52" s="606">
        <f t="shared" si="542"/>
      </c>
      <c r="EB52" s="606">
        <f t="shared" si="543"/>
      </c>
      <c r="EC52" s="607">
        <f t="shared" si="544"/>
      </c>
      <c r="ED52" s="606">
        <f t="shared" si="545"/>
      </c>
      <c r="EE52" s="606">
        <f t="shared" si="546"/>
      </c>
      <c r="EF52" s="606">
        <f t="shared" si="547"/>
      </c>
      <c r="EG52" s="607">
        <f t="shared" si="548"/>
      </c>
      <c r="EH52" s="606">
        <f t="shared" si="549"/>
      </c>
      <c r="EI52" s="606">
        <f t="shared" si="550"/>
      </c>
      <c r="EJ52" s="606">
        <f t="shared" si="551"/>
      </c>
      <c r="EK52" s="607">
        <f t="shared" si="552"/>
      </c>
      <c r="EL52" s="11"/>
      <c r="EM52" s="606"/>
      <c r="EN52" s="606">
        <f t="shared" ref="EN52:FQ52" si="565">EN30/EM30-1</f>
      </c>
      <c r="EO52" s="606">
        <f t="shared" si="565"/>
      </c>
      <c r="EP52" s="606">
        <f t="shared" si="565"/>
      </c>
      <c r="EQ52" s="606">
        <f t="shared" si="565"/>
      </c>
      <c r="ER52" s="606">
        <f t="shared" si="565"/>
      </c>
      <c r="ES52" s="606">
        <f t="shared" si="565"/>
      </c>
      <c r="ET52" s="606">
        <f t="shared" si="565"/>
      </c>
      <c r="EU52" s="606">
        <f t="shared" si="565"/>
      </c>
      <c r="EV52" s="606">
        <f t="shared" si="565"/>
      </c>
      <c r="EW52" s="606">
        <f t="shared" si="565"/>
      </c>
      <c r="EX52" s="606">
        <f t="shared" si="565"/>
      </c>
      <c r="EY52" s="606">
        <f t="shared" si="565"/>
      </c>
      <c r="EZ52" s="606">
        <f t="shared" si="565"/>
      </c>
      <c r="FA52" s="606">
        <f t="shared" si="565"/>
      </c>
      <c r="FB52" s="606">
        <f t="shared" si="565"/>
      </c>
      <c r="FC52" s="606">
        <f t="shared" si="565"/>
      </c>
      <c r="FD52" s="606">
        <f t="shared" si="565"/>
      </c>
      <c r="FE52" s="606">
        <f t="shared" si="565"/>
      </c>
      <c r="FF52" s="606">
        <f t="shared" si="565"/>
      </c>
      <c r="FG52" s="606">
        <f t="shared" si="565"/>
      </c>
      <c r="FH52" s="606">
        <f t="shared" si="565"/>
      </c>
      <c r="FI52" s="606">
        <f t="shared" si="565"/>
      </c>
      <c r="FJ52" s="606">
        <f t="shared" si="565"/>
      </c>
      <c r="FK52" s="606">
        <f t="shared" si="565"/>
      </c>
      <c r="FL52" s="2903">
        <f t="shared" si="565"/>
      </c>
      <c r="FM52" s="606">
        <f t="shared" si="565"/>
      </c>
      <c r="FN52" s="606">
        <f t="shared" si="565"/>
      </c>
      <c r="FO52" s="606">
        <f t="shared" si="565"/>
      </c>
      <c r="FP52" s="606">
        <f t="shared" si="565"/>
      </c>
      <c r="FQ52" s="606">
        <f t="shared" si="565"/>
      </c>
      <c r="FR52" s="606">
        <f t="shared" si="554"/>
      </c>
      <c r="FS52" s="606">
        <f t="shared" si="555"/>
      </c>
      <c r="FT52" s="606">
        <f t="shared" si="556"/>
      </c>
      <c r="FU52" s="2904">
        <f t="shared" si="557"/>
      </c>
      <c r="FV52" s="139"/>
      <c r="FW52" s="606"/>
      <c r="FX52" s="606">
        <f t="shared" ref="FX52:GZ52" si="566">FX30/FW30-1</f>
      </c>
      <c r="FY52" s="606">
        <f t="shared" si="566"/>
      </c>
      <c r="FZ52" s="606">
        <f t="shared" si="566"/>
      </c>
      <c r="GA52" s="606">
        <f t="shared" si="566"/>
      </c>
      <c r="GB52" s="606">
        <f t="shared" si="566"/>
      </c>
      <c r="GC52" s="606">
        <f t="shared" si="566"/>
      </c>
      <c r="GD52" s="606">
        <f t="shared" si="566"/>
      </c>
      <c r="GE52" s="606">
        <f t="shared" si="566"/>
      </c>
      <c r="GF52" s="606">
        <f t="shared" si="566"/>
      </c>
      <c r="GG52" s="606">
        <f t="shared" si="566"/>
      </c>
      <c r="GH52" s="606">
        <f t="shared" si="566"/>
      </c>
      <c r="GI52" s="606">
        <f t="shared" si="566"/>
      </c>
      <c r="GJ52" s="606">
        <f t="shared" si="566"/>
      </c>
      <c r="GK52" s="606">
        <f t="shared" si="566"/>
      </c>
      <c r="GL52" s="606">
        <f t="shared" si="566"/>
      </c>
      <c r="GM52" s="606">
        <f t="shared" si="566"/>
      </c>
      <c r="GN52" s="606">
        <f t="shared" si="566"/>
      </c>
      <c r="GO52" s="606">
        <f t="shared" si="566"/>
      </c>
      <c r="GP52" s="606">
        <f t="shared" si="566"/>
      </c>
      <c r="GQ52" s="606">
        <f t="shared" si="566"/>
      </c>
      <c r="GR52" s="606">
        <f t="shared" si="566"/>
      </c>
      <c r="GS52" s="606">
        <f t="shared" si="566"/>
      </c>
      <c r="GT52" s="606">
        <f t="shared" si="566"/>
      </c>
      <c r="GU52" s="606">
        <f t="shared" si="566"/>
      </c>
      <c r="GV52" s="606">
        <f t="shared" si="566"/>
      </c>
      <c r="GW52" s="606">
        <f t="shared" si="566"/>
      </c>
      <c r="GX52" s="606">
        <f t="shared" si="566"/>
      </c>
      <c r="GY52" s="606">
        <f t="shared" si="566"/>
      </c>
      <c r="GZ52" s="606">
        <f t="shared" si="566"/>
      </c>
      <c r="HA52" s="606">
        <f t="shared" si="559"/>
      </c>
      <c r="HB52" s="606">
        <f t="shared" si="560"/>
      </c>
      <c r="HC52" s="606">
        <f t="shared" si="561"/>
      </c>
      <c r="HD52" s="606">
        <f t="shared" si="562"/>
      </c>
    </row>
    <row r="53" spans="1:212">
      <c r="A53" s="608" t="str">
        <f>A31</f>
      </c>
      <c r="B53" s="300"/>
      <c r="C53" s="300"/>
      <c r="D53" s="300"/>
      <c r="E53" s="609"/>
      <c r="F53" s="610">
        <f t="shared" si="525"/>
      </c>
      <c r="G53" s="610">
        <f t="shared" si="525"/>
      </c>
      <c r="H53" s="610">
        <f t="shared" si="525"/>
      </c>
      <c r="I53" s="610">
        <f t="shared" si="525"/>
      </c>
      <c r="J53" s="610">
        <f t="shared" si="525"/>
      </c>
      <c r="K53" s="610">
        <f t="shared" si="525"/>
      </c>
      <c r="L53" s="610">
        <f t="shared" si="525"/>
      </c>
      <c r="M53" s="610">
        <f t="shared" si="525"/>
      </c>
      <c r="N53" s="610">
        <f t="shared" si="525"/>
      </c>
      <c r="O53" s="610">
        <f t="shared" si="525"/>
      </c>
      <c r="P53" s="610">
        <f t="shared" si="526"/>
      </c>
      <c r="Q53" s="610">
        <f t="shared" si="526"/>
      </c>
      <c r="R53" s="610">
        <f t="shared" si="526"/>
      </c>
      <c r="S53" s="610">
        <f t="shared" si="526"/>
      </c>
      <c r="T53" s="610">
        <f t="shared" si="526"/>
      </c>
      <c r="U53" s="610">
        <f t="shared" si="526"/>
      </c>
      <c r="V53" s="610">
        <f t="shared" si="526"/>
      </c>
      <c r="W53" s="610">
        <f t="shared" si="526"/>
      </c>
      <c r="X53" s="610">
        <f t="shared" si="526"/>
      </c>
      <c r="Y53" s="610">
        <f t="shared" si="526"/>
      </c>
      <c r="Z53" s="610">
        <f t="shared" si="527"/>
      </c>
      <c r="AA53" s="610">
        <f t="shared" si="527"/>
      </c>
      <c r="AB53" s="610">
        <f t="shared" si="527"/>
      </c>
      <c r="AC53" s="610">
        <f t="shared" si="527"/>
      </c>
      <c r="AD53" s="610">
        <f t="shared" si="527"/>
      </c>
      <c r="AE53" s="610">
        <f t="shared" si="527"/>
      </c>
      <c r="AF53" s="610">
        <f t="shared" si="527"/>
      </c>
      <c r="AG53" s="610">
        <f t="shared" si="527"/>
      </c>
      <c r="AH53" s="610">
        <f t="shared" si="527"/>
      </c>
      <c r="AI53" s="610">
        <f t="shared" si="527"/>
      </c>
      <c r="AJ53" s="610">
        <f t="shared" si="528"/>
      </c>
      <c r="AK53" s="610">
        <f t="shared" si="528"/>
      </c>
      <c r="AL53" s="610">
        <f t="shared" si="528"/>
      </c>
      <c r="AM53" s="610">
        <f t="shared" si="528"/>
      </c>
      <c r="AN53" s="610">
        <f t="shared" si="528"/>
      </c>
      <c r="AO53" s="610">
        <f t="shared" si="528"/>
      </c>
      <c r="AP53" s="610">
        <f t="shared" si="528"/>
      </c>
      <c r="AQ53" s="610">
        <f t="shared" si="528"/>
      </c>
      <c r="AR53" s="610">
        <f t="shared" si="528"/>
      </c>
      <c r="AS53" s="610">
        <f t="shared" si="528"/>
      </c>
      <c r="AT53" s="610">
        <f t="shared" si="529"/>
      </c>
      <c r="AU53" s="610">
        <f t="shared" si="529"/>
      </c>
      <c r="AV53" s="610">
        <f t="shared" si="529"/>
      </c>
      <c r="AW53" s="610">
        <f t="shared" si="529"/>
      </c>
      <c r="AX53" s="610">
        <f t="shared" si="529"/>
      </c>
      <c r="AY53" s="610">
        <f t="shared" si="529"/>
      </c>
      <c r="AZ53" s="610">
        <f t="shared" si="529"/>
      </c>
      <c r="BA53" s="610">
        <f t="shared" si="529"/>
      </c>
      <c r="BB53" s="610">
        <f t="shared" si="529"/>
      </c>
      <c r="BC53" s="610">
        <f t="shared" si="529"/>
      </c>
      <c r="BD53" s="610">
        <f t="shared" si="530"/>
      </c>
      <c r="BE53" s="610">
        <f t="shared" si="530"/>
      </c>
      <c r="BF53" s="610">
        <f t="shared" si="530"/>
      </c>
      <c r="BG53" s="610">
        <f t="shared" si="530"/>
      </c>
      <c r="BH53" s="610">
        <f t="shared" si="530"/>
      </c>
      <c r="BI53" s="610">
        <f t="shared" si="530"/>
      </c>
      <c r="BJ53" s="610">
        <f t="shared" si="530"/>
      </c>
      <c r="BK53" s="610">
        <f t="shared" si="530"/>
      </c>
      <c r="BL53" s="610">
        <f t="shared" si="530"/>
      </c>
      <c r="BM53" s="610">
        <f t="shared" si="530"/>
      </c>
      <c r="BN53" s="610">
        <f t="shared" si="531"/>
      </c>
      <c r="BO53" s="610">
        <f t="shared" si="531"/>
      </c>
      <c r="BP53" s="610">
        <f t="shared" si="531"/>
      </c>
      <c r="BQ53" s="611">
        <f t="shared" si="531"/>
      </c>
      <c r="BR53" s="610">
        <f t="shared" si="531"/>
      </c>
      <c r="BS53" s="610">
        <f t="shared" si="531"/>
      </c>
      <c r="BT53" s="610">
        <f t="shared" si="531"/>
      </c>
      <c r="BU53" s="611">
        <f t="shared" si="531"/>
      </c>
      <c r="BV53" s="610">
        <f t="shared" si="531"/>
      </c>
      <c r="BW53" s="610">
        <f t="shared" si="531"/>
      </c>
      <c r="BX53" s="610">
        <f t="shared" si="532"/>
      </c>
      <c r="BY53" s="611">
        <f t="shared" si="532"/>
      </c>
      <c r="BZ53" s="610">
        <f t="shared" si="532"/>
      </c>
      <c r="CA53" s="610">
        <f t="shared" si="532"/>
      </c>
      <c r="CB53" s="610">
        <f t="shared" si="532"/>
      </c>
      <c r="CC53" s="611">
        <f t="shared" si="532"/>
      </c>
      <c r="CD53" s="610">
        <f t="shared" si="532"/>
      </c>
      <c r="CE53" s="610">
        <f t="shared" si="532"/>
      </c>
      <c r="CF53" s="610">
        <f t="shared" si="532"/>
      </c>
      <c r="CG53" s="611">
        <f t="shared" si="532"/>
      </c>
      <c r="CH53" s="610">
        <f t="shared" si="533"/>
      </c>
      <c r="CI53" s="610">
        <f t="shared" si="533"/>
      </c>
      <c r="CJ53" s="610">
        <f t="shared" si="533"/>
      </c>
      <c r="CK53" s="611">
        <f t="shared" si="533"/>
      </c>
      <c r="CL53" s="610">
        <f t="shared" si="533"/>
      </c>
      <c r="CM53" s="610">
        <f t="shared" si="533"/>
      </c>
      <c r="CN53" s="610">
        <f t="shared" si="533"/>
      </c>
      <c r="CO53" s="611">
        <f t="shared" si="533"/>
      </c>
      <c r="CP53" s="610">
        <f t="shared" si="533"/>
      </c>
      <c r="CQ53" s="610">
        <f t="shared" si="533"/>
      </c>
      <c r="CR53" s="610">
        <f t="shared" si="534"/>
      </c>
      <c r="CS53" s="611">
        <f t="shared" si="534"/>
      </c>
      <c r="CT53" s="610">
        <f t="shared" si="534"/>
      </c>
      <c r="CU53" s="610">
        <f t="shared" si="534"/>
      </c>
      <c r="CV53" s="610">
        <f t="shared" si="534"/>
      </c>
      <c r="CW53" s="611">
        <f t="shared" si="534"/>
      </c>
      <c r="CX53" s="610">
        <f t="shared" si="534"/>
      </c>
      <c r="CY53" s="610">
        <f t="shared" si="534"/>
      </c>
      <c r="CZ53" s="610">
        <f t="shared" si="534"/>
      </c>
      <c r="DA53" s="611">
        <f t="shared" si="534"/>
      </c>
      <c r="DB53" s="610">
        <f t="shared" si="535"/>
      </c>
      <c r="DC53" s="610">
        <f t="shared" si="535"/>
      </c>
      <c r="DD53" s="610">
        <f t="shared" si="535"/>
      </c>
      <c r="DE53" s="611">
        <f t="shared" si="535"/>
      </c>
      <c r="DF53" s="610">
        <f t="shared" si="535"/>
      </c>
      <c r="DG53" s="610">
        <f t="shared" si="535"/>
      </c>
      <c r="DH53" s="610">
        <f t="shared" si="535"/>
      </c>
      <c r="DI53" s="611">
        <f t="shared" si="535"/>
      </c>
      <c r="DJ53" s="610">
        <f t="shared" si="535"/>
      </c>
      <c r="DK53" s="610">
        <f t="shared" si="535"/>
      </c>
      <c r="DL53" s="610">
        <f t="shared" si="536"/>
      </c>
      <c r="DM53" s="611">
        <f t="shared" si="536"/>
      </c>
      <c r="DN53" s="610">
        <f t="shared" si="536"/>
      </c>
      <c r="DO53" s="610">
        <f t="shared" si="536"/>
      </c>
      <c r="DP53" s="610">
        <f t="shared" si="536"/>
      </c>
      <c r="DQ53" s="611">
        <f t="shared" si="536"/>
      </c>
      <c r="DR53" s="610">
        <f t="shared" si="536"/>
      </c>
      <c r="DS53" s="610">
        <f t="shared" si="536"/>
      </c>
      <c r="DT53" s="610">
        <f t="shared" si="536"/>
      </c>
      <c r="DU53" s="611">
        <f t="shared" si="536"/>
      </c>
      <c r="DV53" s="610">
        <f t="shared" si="537"/>
      </c>
      <c r="DW53" s="610">
        <f t="shared" si="538"/>
      </c>
      <c r="DX53" s="610">
        <f t="shared" si="539"/>
      </c>
      <c r="DY53" s="611">
        <f t="shared" si="540"/>
      </c>
      <c r="DZ53" s="610">
        <f t="shared" si="541"/>
      </c>
      <c r="EA53" s="610">
        <f t="shared" si="542"/>
      </c>
      <c r="EB53" s="610">
        <f t="shared" si="543"/>
      </c>
      <c r="EC53" s="611">
        <f t="shared" si="544"/>
      </c>
      <c r="ED53" s="610">
        <f t="shared" si="545"/>
      </c>
      <c r="EE53" s="610">
        <f t="shared" si="546"/>
      </c>
      <c r="EF53" s="610">
        <f t="shared" si="547"/>
      </c>
      <c r="EG53" s="611">
        <f t="shared" si="548"/>
      </c>
      <c r="EH53" s="610">
        <f t="shared" si="549"/>
      </c>
      <c r="EI53" s="610">
        <f t="shared" si="550"/>
      </c>
      <c r="EJ53" s="610">
        <f t="shared" si="551"/>
      </c>
      <c r="EK53" s="611">
        <f t="shared" si="552"/>
      </c>
      <c r="EM53" s="610"/>
      <c r="EN53" s="610">
        <f t="shared" ref="EN53:FQ53" si="567">EN31/EM31-1</f>
      </c>
      <c r="EO53" s="610">
        <f t="shared" si="567"/>
      </c>
      <c r="EP53" s="610">
        <f t="shared" si="567"/>
      </c>
      <c r="EQ53" s="610">
        <f t="shared" si="567"/>
      </c>
      <c r="ER53" s="610">
        <f t="shared" si="567"/>
      </c>
      <c r="ES53" s="610">
        <f t="shared" si="567"/>
      </c>
      <c r="ET53" s="610">
        <f t="shared" si="567"/>
      </c>
      <c r="EU53" s="610">
        <f t="shared" si="567"/>
      </c>
      <c r="EV53" s="610">
        <f t="shared" si="567"/>
      </c>
      <c r="EW53" s="610">
        <f t="shared" si="567"/>
      </c>
      <c r="EX53" s="610">
        <f t="shared" si="567"/>
      </c>
      <c r="EY53" s="610">
        <f t="shared" si="567"/>
      </c>
      <c r="EZ53" s="610">
        <f t="shared" si="567"/>
      </c>
      <c r="FA53" s="610">
        <f t="shared" si="567"/>
      </c>
      <c r="FB53" s="610">
        <f t="shared" si="567"/>
      </c>
      <c r="FC53" s="610">
        <f t="shared" si="567"/>
      </c>
      <c r="FD53" s="610">
        <f t="shared" si="567"/>
      </c>
      <c r="FE53" s="610">
        <f t="shared" si="567"/>
      </c>
      <c r="FF53" s="610">
        <f t="shared" si="567"/>
      </c>
      <c r="FG53" s="610">
        <f t="shared" si="567"/>
      </c>
      <c r="FH53" s="610">
        <f t="shared" si="567"/>
      </c>
      <c r="FI53" s="610">
        <f t="shared" si="567"/>
      </c>
      <c r="FJ53" s="610">
        <f t="shared" si="567"/>
      </c>
      <c r="FK53" s="610">
        <f t="shared" si="567"/>
      </c>
      <c r="FL53" s="2895">
        <f t="shared" si="567"/>
      </c>
      <c r="FM53" s="610">
        <f t="shared" si="567"/>
      </c>
      <c r="FN53" s="610">
        <f t="shared" si="567"/>
      </c>
      <c r="FO53" s="610">
        <f t="shared" si="567"/>
      </c>
      <c r="FP53" s="610">
        <f t="shared" si="567"/>
      </c>
      <c r="FQ53" s="610">
        <f t="shared" si="567"/>
      </c>
      <c r="FR53" s="610">
        <f t="shared" si="554"/>
      </c>
      <c r="FS53" s="610">
        <f t="shared" si="555"/>
      </c>
      <c r="FT53" s="610">
        <f t="shared" si="556"/>
      </c>
      <c r="FU53" s="2896">
        <f t="shared" si="557"/>
      </c>
      <c r="FV53" s="89"/>
      <c r="FW53" s="610"/>
      <c r="FX53" s="610">
        <f t="shared" ref="FX53:GZ53" si="568">FX31/FW31-1</f>
      </c>
      <c r="FY53" s="610">
        <f t="shared" si="568"/>
      </c>
      <c r="FZ53" s="610">
        <f t="shared" si="568"/>
      </c>
      <c r="GA53" s="610">
        <f t="shared" si="568"/>
      </c>
      <c r="GB53" s="610">
        <f t="shared" si="568"/>
      </c>
      <c r="GC53" s="610">
        <f t="shared" si="568"/>
      </c>
      <c r="GD53" s="610">
        <f t="shared" si="568"/>
      </c>
      <c r="GE53" s="610">
        <f t="shared" si="568"/>
      </c>
      <c r="GF53" s="610">
        <f t="shared" si="568"/>
      </c>
      <c r="GG53" s="610">
        <f t="shared" si="568"/>
      </c>
      <c r="GH53" s="610">
        <f t="shared" si="568"/>
      </c>
      <c r="GI53" s="610">
        <f t="shared" si="568"/>
      </c>
      <c r="GJ53" s="610">
        <f t="shared" si="568"/>
      </c>
      <c r="GK53" s="610">
        <f t="shared" si="568"/>
      </c>
      <c r="GL53" s="610">
        <f t="shared" si="568"/>
      </c>
      <c r="GM53" s="610">
        <f t="shared" si="568"/>
      </c>
      <c r="GN53" s="610">
        <f t="shared" si="568"/>
      </c>
      <c r="GO53" s="610">
        <f t="shared" si="568"/>
      </c>
      <c r="GP53" s="610">
        <f t="shared" si="568"/>
      </c>
      <c r="GQ53" s="610">
        <f t="shared" si="568"/>
      </c>
      <c r="GR53" s="610">
        <f t="shared" si="568"/>
      </c>
      <c r="GS53" s="610">
        <f t="shared" si="568"/>
      </c>
      <c r="GT53" s="610">
        <f t="shared" si="568"/>
      </c>
      <c r="GU53" s="610">
        <f t="shared" si="568"/>
      </c>
      <c r="GV53" s="610">
        <f t="shared" si="568"/>
      </c>
      <c r="GW53" s="610">
        <f t="shared" si="568"/>
      </c>
      <c r="GX53" s="610">
        <f t="shared" si="568"/>
      </c>
      <c r="GY53" s="610">
        <f t="shared" si="568"/>
      </c>
      <c r="GZ53" s="610">
        <f t="shared" si="568"/>
      </c>
      <c r="HA53" s="610">
        <f t="shared" si="559"/>
      </c>
      <c r="HB53" s="610">
        <f t="shared" si="560"/>
      </c>
      <c r="HC53" s="610">
        <f t="shared" si="561"/>
      </c>
      <c r="HD53" s="610">
        <f t="shared" si="562"/>
      </c>
    </row>
    <row r="54" spans="1:212" s="16" customFormat="1">
      <c r="A54" s="603" t="str">
        <f t="shared" ref="A54:A56" si="569">A32</f>
      </c>
      <c r="B54" s="604"/>
      <c r="C54" s="604"/>
      <c r="D54" s="604"/>
      <c r="E54" s="605"/>
      <c r="F54" s="606">
        <f t="shared" ref="F54:O56" si="570">F32/B32-1</f>
      </c>
      <c r="G54" s="606">
        <f t="shared" si="570"/>
      </c>
      <c r="H54" s="606">
        <f t="shared" si="570"/>
      </c>
      <c r="I54" s="606">
        <f t="shared" si="570"/>
      </c>
      <c r="J54" s="606">
        <f t="shared" si="570"/>
      </c>
      <c r="K54" s="606">
        <f t="shared" si="570"/>
      </c>
      <c r="L54" s="606">
        <f t="shared" si="570"/>
      </c>
      <c r="M54" s="606">
        <f t="shared" si="570"/>
      </c>
      <c r="N54" s="606">
        <f t="shared" si="570"/>
      </c>
      <c r="O54" s="606">
        <f t="shared" si="570"/>
      </c>
      <c r="P54" s="606">
        <f t="shared" ref="P54:Y56" si="571">P32/L32-1</f>
      </c>
      <c r="Q54" s="606">
        <f t="shared" si="571"/>
      </c>
      <c r="R54" s="606">
        <f t="shared" si="571"/>
      </c>
      <c r="S54" s="606">
        <f t="shared" si="571"/>
      </c>
      <c r="T54" s="606">
        <f t="shared" si="571"/>
      </c>
      <c r="U54" s="606">
        <f t="shared" si="571"/>
      </c>
      <c r="V54" s="606">
        <f t="shared" si="571"/>
      </c>
      <c r="W54" s="606">
        <f t="shared" si="571"/>
      </c>
      <c r="X54" s="606">
        <f t="shared" si="571"/>
      </c>
      <c r="Y54" s="606">
        <f t="shared" si="571"/>
      </c>
      <c r="Z54" s="606">
        <f t="shared" ref="Z54:AI56" si="572">Z32/V32-1</f>
      </c>
      <c r="AA54" s="606">
        <f t="shared" si="572"/>
      </c>
      <c r="AB54" s="606">
        <f t="shared" si="572"/>
      </c>
      <c r="AC54" s="606">
        <f t="shared" si="572"/>
      </c>
      <c r="AD54" s="606">
        <f t="shared" si="572"/>
      </c>
      <c r="AE54" s="606">
        <f t="shared" si="572"/>
      </c>
      <c r="AF54" s="606">
        <f t="shared" si="572"/>
      </c>
      <c r="AG54" s="606">
        <f t="shared" si="572"/>
      </c>
      <c r="AH54" s="606">
        <f t="shared" si="572"/>
      </c>
      <c r="AI54" s="606">
        <f t="shared" si="572"/>
      </c>
      <c r="AJ54" s="606">
        <f t="shared" ref="AJ54:AS56" si="573">AJ32/AF32-1</f>
      </c>
      <c r="AK54" s="606">
        <f t="shared" si="573"/>
      </c>
      <c r="AL54" s="606">
        <f t="shared" si="573"/>
      </c>
      <c r="AM54" s="606">
        <f t="shared" si="573"/>
      </c>
      <c r="AN54" s="606">
        <f t="shared" si="573"/>
      </c>
      <c r="AO54" s="606">
        <f t="shared" si="573"/>
      </c>
      <c r="AP54" s="606">
        <f t="shared" si="573"/>
      </c>
      <c r="AQ54" s="606">
        <f t="shared" si="573"/>
      </c>
      <c r="AR54" s="606">
        <f t="shared" si="573"/>
      </c>
      <c r="AS54" s="606">
        <f t="shared" si="573"/>
      </c>
      <c r="AT54" s="606">
        <f t="shared" ref="AT54:BC56" si="574">AT32/AP32-1</f>
      </c>
      <c r="AU54" s="606">
        <f t="shared" si="574"/>
      </c>
      <c r="AV54" s="606">
        <f t="shared" si="574"/>
      </c>
      <c r="AW54" s="606">
        <f t="shared" si="574"/>
      </c>
      <c r="AX54" s="606">
        <f t="shared" si="574"/>
      </c>
      <c r="AY54" s="606">
        <f t="shared" si="574"/>
      </c>
      <c r="AZ54" s="606">
        <f t="shared" si="574"/>
      </c>
      <c r="BA54" s="606">
        <f t="shared" si="574"/>
      </c>
      <c r="BB54" s="606">
        <f t="shared" si="574"/>
      </c>
      <c r="BC54" s="606">
        <f t="shared" si="574"/>
      </c>
      <c r="BD54" s="606">
        <f t="shared" ref="BD54:BM56" si="575">BD32/AZ32-1</f>
      </c>
      <c r="BE54" s="606">
        <f t="shared" si="575"/>
      </c>
      <c r="BF54" s="606">
        <f t="shared" si="575"/>
      </c>
      <c r="BG54" s="606">
        <f t="shared" si="575"/>
      </c>
      <c r="BH54" s="606">
        <f t="shared" si="575"/>
      </c>
      <c r="BI54" s="606">
        <f t="shared" si="575"/>
      </c>
      <c r="BJ54" s="606">
        <f t="shared" si="575"/>
      </c>
      <c r="BK54" s="606">
        <f t="shared" si="575"/>
      </c>
      <c r="BL54" s="606">
        <f t="shared" si="575"/>
      </c>
      <c r="BM54" s="606">
        <f t="shared" si="575"/>
      </c>
      <c r="BN54" s="606">
        <f t="shared" ref="BN54:BW56" si="576">BN32/BJ32-1</f>
      </c>
      <c r="BO54" s="606">
        <f t="shared" si="576"/>
      </c>
      <c r="BP54" s="606">
        <f t="shared" si="576"/>
      </c>
      <c r="BQ54" s="607">
        <f t="shared" si="576"/>
      </c>
      <c r="BR54" s="606">
        <f t="shared" si="576"/>
      </c>
      <c r="BS54" s="606">
        <f t="shared" si="576"/>
      </c>
      <c r="BT54" s="606">
        <f t="shared" si="576"/>
      </c>
      <c r="BU54" s="607">
        <f t="shared" si="576"/>
      </c>
      <c r="BV54" s="606">
        <f t="shared" si="576"/>
      </c>
      <c r="BW54" s="606">
        <f t="shared" si="576"/>
      </c>
      <c r="BX54" s="606">
        <f t="shared" ref="BX54:CG56" si="577">BX32/BT32-1</f>
      </c>
      <c r="BY54" s="607">
        <f t="shared" si="577"/>
      </c>
      <c r="BZ54" s="606">
        <f t="shared" si="577"/>
      </c>
      <c r="CA54" s="606">
        <f t="shared" si="577"/>
      </c>
      <c r="CB54" s="606">
        <f t="shared" si="577"/>
      </c>
      <c r="CC54" s="607">
        <f t="shared" si="577"/>
      </c>
      <c r="CD54" s="606">
        <f t="shared" si="577"/>
      </c>
      <c r="CE54" s="606">
        <f t="shared" si="577"/>
      </c>
      <c r="CF54" s="606">
        <f t="shared" si="577"/>
      </c>
      <c r="CG54" s="607">
        <f t="shared" si="577"/>
      </c>
      <c r="CH54" s="606">
        <f t="shared" ref="CH54:CQ56" si="578">CH32/CD32-1</f>
      </c>
      <c r="CI54" s="606">
        <f t="shared" si="578"/>
      </c>
      <c r="CJ54" s="606">
        <f t="shared" si="578"/>
      </c>
      <c r="CK54" s="607">
        <f t="shared" si="578"/>
      </c>
      <c r="CL54" s="606">
        <f t="shared" si="578"/>
      </c>
      <c r="CM54" s="606">
        <f t="shared" si="578"/>
      </c>
      <c r="CN54" s="606">
        <f t="shared" si="578"/>
      </c>
      <c r="CO54" s="607">
        <f t="shared" si="578"/>
      </c>
      <c r="CP54" s="606">
        <f t="shared" si="578"/>
      </c>
      <c r="CQ54" s="606">
        <f t="shared" si="578"/>
      </c>
      <c r="CR54" s="606">
        <f t="shared" ref="CR54:DA56" si="579">CR32/CN32-1</f>
      </c>
      <c r="CS54" s="607">
        <f t="shared" si="579"/>
      </c>
      <c r="CT54" s="606">
        <f t="shared" si="579"/>
      </c>
      <c r="CU54" s="606">
        <f t="shared" si="579"/>
      </c>
      <c r="CV54" s="606">
        <f t="shared" si="579"/>
      </c>
      <c r="CW54" s="607">
        <f t="shared" si="579"/>
      </c>
      <c r="CX54" s="606">
        <f t="shared" si="579"/>
      </c>
      <c r="CY54" s="606">
        <f t="shared" si="579"/>
      </c>
      <c r="CZ54" s="606">
        <f t="shared" si="579"/>
      </c>
      <c r="DA54" s="607">
        <f t="shared" si="579"/>
      </c>
      <c r="DB54" s="606">
        <f t="shared" ref="DB54:DK56" si="580">DB32/CX32-1</f>
      </c>
      <c r="DC54" s="606">
        <f t="shared" si="580"/>
      </c>
      <c r="DD54" s="606">
        <f t="shared" si="580"/>
      </c>
      <c r="DE54" s="607">
        <f t="shared" si="580"/>
      </c>
      <c r="DF54" s="606">
        <f t="shared" si="580"/>
      </c>
      <c r="DG54" s="606">
        <f t="shared" si="580"/>
      </c>
      <c r="DH54" s="606">
        <f t="shared" si="580"/>
      </c>
      <c r="DI54" s="607">
        <f t="shared" si="580"/>
      </c>
      <c r="DJ54" s="606">
        <f t="shared" si="580"/>
      </c>
      <c r="DK54" s="606">
        <f t="shared" si="580"/>
      </c>
      <c r="DL54" s="606">
        <f t="shared" ref="DL54:DU56" si="581">DL32/DH32-1</f>
      </c>
      <c r="DM54" s="607">
        <f t="shared" si="581"/>
      </c>
      <c r="DN54" s="606">
        <f t="shared" si="581"/>
      </c>
      <c r="DO54" s="606">
        <f t="shared" si="581"/>
      </c>
      <c r="DP54" s="606">
        <f t="shared" si="581"/>
      </c>
      <c r="DQ54" s="607">
        <f t="shared" si="581"/>
      </c>
      <c r="DR54" s="606">
        <f t="shared" si="581"/>
      </c>
      <c r="DS54" s="606">
        <f t="shared" si="581"/>
      </c>
      <c r="DT54" s="606">
        <f t="shared" si="581"/>
      </c>
      <c r="DU54" s="607">
        <f t="shared" si="581"/>
      </c>
      <c r="DV54" s="606">
        <f t="shared" si="537"/>
      </c>
      <c r="DW54" s="606">
        <f t="shared" si="538"/>
      </c>
      <c r="DX54" s="606">
        <f t="shared" si="539"/>
      </c>
      <c r="DY54" s="607">
        <f t="shared" si="540"/>
      </c>
      <c r="DZ54" s="606">
        <f t="shared" si="541"/>
      </c>
      <c r="EA54" s="606">
        <f t="shared" si="542"/>
      </c>
      <c r="EB54" s="606">
        <f t="shared" si="543"/>
      </c>
      <c r="EC54" s="607">
        <f t="shared" si="544"/>
      </c>
      <c r="ED54" s="606">
        <f t="shared" si="545"/>
      </c>
      <c r="EE54" s="606">
        <f t="shared" si="546"/>
      </c>
      <c r="EF54" s="606">
        <f t="shared" si="547"/>
      </c>
      <c r="EG54" s="607">
        <f t="shared" si="548"/>
      </c>
      <c r="EH54" s="606">
        <f t="shared" si="549"/>
      </c>
      <c r="EI54" s="606">
        <f t="shared" si="550"/>
      </c>
      <c r="EJ54" s="606">
        <f t="shared" si="551"/>
      </c>
      <c r="EK54" s="607">
        <f t="shared" si="552"/>
      </c>
      <c r="EL54" s="11"/>
      <c r="EM54" s="606"/>
      <c r="EN54" s="606">
        <f t="shared" ref="EN54:EN56" si="582">EN32/EM32-1</f>
      </c>
      <c r="EO54" s="606">
        <f t="shared" ref="EO54:FN54" si="583">EO32/EN32-1</f>
      </c>
      <c r="EP54" s="606">
        <f t="shared" si="583"/>
      </c>
      <c r="EQ54" s="606">
        <f t="shared" si="583"/>
      </c>
      <c r="ER54" s="606">
        <f t="shared" si="583"/>
      </c>
      <c r="ES54" s="606">
        <f t="shared" si="583"/>
      </c>
      <c r="ET54" s="606">
        <f t="shared" si="583"/>
      </c>
      <c r="EU54" s="606">
        <f t="shared" si="583"/>
      </c>
      <c r="EV54" s="606">
        <f t="shared" si="583"/>
      </c>
      <c r="EW54" s="606">
        <f t="shared" si="583"/>
      </c>
      <c r="EX54" s="606">
        <f t="shared" si="583"/>
      </c>
      <c r="EY54" s="606">
        <f t="shared" si="583"/>
      </c>
      <c r="EZ54" s="606">
        <f t="shared" si="583"/>
      </c>
      <c r="FA54" s="606">
        <f t="shared" si="583"/>
      </c>
      <c r="FB54" s="606">
        <f t="shared" si="583"/>
      </c>
      <c r="FC54" s="606">
        <f t="shared" si="583"/>
      </c>
      <c r="FD54" s="606">
        <f t="shared" si="583"/>
      </c>
      <c r="FE54" s="606">
        <f t="shared" si="583"/>
      </c>
      <c r="FF54" s="606">
        <f t="shared" si="583"/>
      </c>
      <c r="FG54" s="606">
        <f t="shared" si="583"/>
      </c>
      <c r="FH54" s="606">
        <f t="shared" si="583"/>
      </c>
      <c r="FI54" s="606">
        <f t="shared" si="583"/>
      </c>
      <c r="FJ54" s="606">
        <f t="shared" si="583"/>
      </c>
      <c r="FK54" s="606">
        <f t="shared" si="583"/>
      </c>
      <c r="FL54" s="2903">
        <f t="shared" si="583"/>
      </c>
      <c r="FM54" s="606">
        <f t="shared" si="583"/>
      </c>
      <c r="FN54" s="606">
        <f t="shared" si="583"/>
      </c>
      <c r="FO54" s="606">
        <f t="shared" ref="FO54:FP54" si="584">FO32/FN32-1</f>
      </c>
      <c r="FP54" s="606">
        <f t="shared" si="584"/>
      </c>
      <c r="FQ54" s="606">
        <f t="shared" ref="FQ54" si="585">FQ32/FP32-1</f>
      </c>
      <c r="FR54" s="606">
        <f t="shared" si="554"/>
      </c>
      <c r="FS54" s="606">
        <f t="shared" si="555"/>
      </c>
      <c r="FT54" s="606">
        <f t="shared" si="556"/>
      </c>
      <c r="FU54" s="2904">
        <f t="shared" si="557"/>
      </c>
      <c r="FV54" s="139"/>
      <c r="FW54" s="606"/>
      <c r="FX54" s="606">
        <f t="shared" ref="FX54" si="586">FX32/FW32-1</f>
      </c>
      <c r="FY54" s="606">
        <f t="shared" ref="FY54:GX54" si="587">FY32/FX32-1</f>
      </c>
      <c r="FZ54" s="606">
        <f t="shared" si="587"/>
      </c>
      <c r="GA54" s="606">
        <f t="shared" si="587"/>
      </c>
      <c r="GB54" s="606">
        <f t="shared" si="587"/>
      </c>
      <c r="GC54" s="606">
        <f t="shared" si="587"/>
      </c>
      <c r="GD54" s="606">
        <f t="shared" si="587"/>
      </c>
      <c r="GE54" s="606">
        <f t="shared" si="587"/>
      </c>
      <c r="GF54" s="606">
        <f t="shared" si="587"/>
      </c>
      <c r="GG54" s="606">
        <f t="shared" si="587"/>
      </c>
      <c r="GH54" s="606">
        <f t="shared" si="587"/>
      </c>
      <c r="GI54" s="606">
        <f t="shared" si="587"/>
      </c>
      <c r="GJ54" s="606">
        <f t="shared" si="587"/>
      </c>
      <c r="GK54" s="606">
        <f t="shared" si="587"/>
      </c>
      <c r="GL54" s="606">
        <f t="shared" si="587"/>
      </c>
      <c r="GM54" s="606">
        <f t="shared" si="587"/>
      </c>
      <c r="GN54" s="606">
        <f t="shared" si="587"/>
      </c>
      <c r="GO54" s="606">
        <f t="shared" si="587"/>
      </c>
      <c r="GP54" s="606">
        <f t="shared" si="587"/>
      </c>
      <c r="GQ54" s="606">
        <f t="shared" si="587"/>
      </c>
      <c r="GR54" s="606">
        <f t="shared" si="587"/>
      </c>
      <c r="GS54" s="606">
        <f t="shared" si="587"/>
      </c>
      <c r="GT54" s="606">
        <f t="shared" si="587"/>
      </c>
      <c r="GU54" s="606">
        <f t="shared" si="587"/>
      </c>
      <c r="GV54" s="606">
        <f t="shared" si="587"/>
      </c>
      <c r="GW54" s="606">
        <f t="shared" si="587"/>
      </c>
      <c r="GX54" s="606">
        <f t="shared" si="587"/>
      </c>
      <c r="GY54" s="606">
        <f t="shared" ref="GY54:GZ54" si="588">GY32/GX32-1</f>
      </c>
      <c r="GZ54" s="606">
        <f t="shared" si="588"/>
      </c>
      <c r="HA54" s="606">
        <f t="shared" si="559"/>
      </c>
      <c r="HB54" s="606">
        <f t="shared" si="560"/>
      </c>
      <c r="HC54" s="606">
        <f t="shared" si="561"/>
      </c>
      <c r="HD54" s="606">
        <f t="shared" si="562"/>
      </c>
    </row>
    <row r="55" spans="1:212">
      <c r="A55" s="608" t="str">
        <f t="shared" si="569"/>
      </c>
      <c r="B55" s="300"/>
      <c r="C55" s="300"/>
      <c r="D55" s="300"/>
      <c r="E55" s="609"/>
      <c r="F55" s="610">
        <f t="shared" si="570"/>
      </c>
      <c r="G55" s="610">
        <f t="shared" si="570"/>
      </c>
      <c r="H55" s="610">
        <f t="shared" si="570"/>
      </c>
      <c r="I55" s="610">
        <f t="shared" si="570"/>
      </c>
      <c r="J55" s="610">
        <f t="shared" si="570"/>
      </c>
      <c r="K55" s="610">
        <f t="shared" si="570"/>
      </c>
      <c r="L55" s="610">
        <f t="shared" si="570"/>
      </c>
      <c r="M55" s="610">
        <f t="shared" si="570"/>
      </c>
      <c r="N55" s="610">
        <f t="shared" si="570"/>
      </c>
      <c r="O55" s="610">
        <f t="shared" si="570"/>
      </c>
      <c r="P55" s="610">
        <f t="shared" si="571"/>
      </c>
      <c r="Q55" s="610">
        <f t="shared" si="571"/>
      </c>
      <c r="R55" s="610">
        <f t="shared" si="571"/>
      </c>
      <c r="S55" s="610">
        <f t="shared" si="571"/>
      </c>
      <c r="T55" s="610">
        <f t="shared" si="571"/>
      </c>
      <c r="U55" s="610">
        <f t="shared" si="571"/>
      </c>
      <c r="V55" s="610">
        <f t="shared" si="571"/>
      </c>
      <c r="W55" s="610">
        <f t="shared" si="571"/>
      </c>
      <c r="X55" s="610">
        <f t="shared" si="571"/>
      </c>
      <c r="Y55" s="610">
        <f t="shared" si="571"/>
      </c>
      <c r="Z55" s="610">
        <f t="shared" si="572"/>
      </c>
      <c r="AA55" s="610">
        <f t="shared" si="572"/>
      </c>
      <c r="AB55" s="610">
        <f t="shared" si="572"/>
      </c>
      <c r="AC55" s="610">
        <f t="shared" si="572"/>
      </c>
      <c r="AD55" s="610">
        <f t="shared" si="572"/>
      </c>
      <c r="AE55" s="610">
        <f t="shared" si="572"/>
      </c>
      <c r="AF55" s="610">
        <f t="shared" si="572"/>
      </c>
      <c r="AG55" s="610">
        <f t="shared" si="572"/>
      </c>
      <c r="AH55" s="610">
        <f t="shared" si="572"/>
      </c>
      <c r="AI55" s="610">
        <f t="shared" si="572"/>
      </c>
      <c r="AJ55" s="610">
        <f t="shared" si="573"/>
      </c>
      <c r="AK55" s="610">
        <f t="shared" si="573"/>
      </c>
      <c r="AL55" s="610">
        <f t="shared" si="573"/>
      </c>
      <c r="AM55" s="610">
        <f t="shared" si="573"/>
      </c>
      <c r="AN55" s="610">
        <f t="shared" si="573"/>
      </c>
      <c r="AO55" s="610">
        <f t="shared" si="573"/>
      </c>
      <c r="AP55" s="610">
        <f t="shared" si="573"/>
      </c>
      <c r="AQ55" s="610">
        <f t="shared" si="573"/>
      </c>
      <c r="AR55" s="610">
        <f t="shared" si="573"/>
      </c>
      <c r="AS55" s="610">
        <f t="shared" si="573"/>
      </c>
      <c r="AT55" s="610">
        <f t="shared" si="574"/>
      </c>
      <c r="AU55" s="610">
        <f t="shared" si="574"/>
      </c>
      <c r="AV55" s="610">
        <f t="shared" si="574"/>
      </c>
      <c r="AW55" s="610">
        <f t="shared" si="574"/>
      </c>
      <c r="AX55" s="610">
        <f t="shared" si="574"/>
      </c>
      <c r="AY55" s="610">
        <f t="shared" si="574"/>
      </c>
      <c r="AZ55" s="610">
        <f t="shared" si="574"/>
      </c>
      <c r="BA55" s="610">
        <f t="shared" si="574"/>
      </c>
      <c r="BB55" s="610">
        <f t="shared" si="574"/>
      </c>
      <c r="BC55" s="610">
        <f t="shared" si="574"/>
      </c>
      <c r="BD55" s="610">
        <f t="shared" si="575"/>
      </c>
      <c r="BE55" s="610">
        <f t="shared" si="575"/>
      </c>
      <c r="BF55" s="610">
        <f t="shared" si="575"/>
      </c>
      <c r="BG55" s="610">
        <f t="shared" si="575"/>
      </c>
      <c r="BH55" s="610">
        <f t="shared" si="575"/>
      </c>
      <c r="BI55" s="610">
        <f t="shared" si="575"/>
      </c>
      <c r="BJ55" s="610">
        <f t="shared" si="575"/>
      </c>
      <c r="BK55" s="610">
        <f t="shared" si="575"/>
      </c>
      <c r="BL55" s="610">
        <f t="shared" si="575"/>
      </c>
      <c r="BM55" s="610">
        <f t="shared" si="575"/>
      </c>
      <c r="BN55" s="610">
        <f t="shared" si="576"/>
      </c>
      <c r="BO55" s="610">
        <f t="shared" si="576"/>
      </c>
      <c r="BP55" s="610">
        <f t="shared" si="576"/>
      </c>
      <c r="BQ55" s="611">
        <f t="shared" si="576"/>
      </c>
      <c r="BR55" s="610">
        <f t="shared" si="576"/>
      </c>
      <c r="BS55" s="610">
        <f t="shared" si="576"/>
      </c>
      <c r="BT55" s="610">
        <f t="shared" si="576"/>
      </c>
      <c r="BU55" s="611">
        <f t="shared" si="576"/>
      </c>
      <c r="BV55" s="610">
        <f t="shared" si="576"/>
      </c>
      <c r="BW55" s="610">
        <f t="shared" si="576"/>
      </c>
      <c r="BX55" s="610">
        <f t="shared" si="577"/>
      </c>
      <c r="BY55" s="611">
        <f t="shared" si="577"/>
      </c>
      <c r="BZ55" s="610">
        <f t="shared" si="577"/>
      </c>
      <c r="CA55" s="610">
        <f t="shared" si="577"/>
      </c>
      <c r="CB55" s="610">
        <f t="shared" si="577"/>
      </c>
      <c r="CC55" s="611">
        <f t="shared" si="577"/>
      </c>
      <c r="CD55" s="610">
        <f t="shared" si="577"/>
      </c>
      <c r="CE55" s="610">
        <f t="shared" si="577"/>
      </c>
      <c r="CF55" s="610">
        <f t="shared" si="577"/>
      </c>
      <c r="CG55" s="611">
        <f t="shared" si="577"/>
      </c>
      <c r="CH55" s="610">
        <f t="shared" si="578"/>
      </c>
      <c r="CI55" s="610">
        <f t="shared" si="578"/>
      </c>
      <c r="CJ55" s="610">
        <f t="shared" si="578"/>
      </c>
      <c r="CK55" s="611">
        <f t="shared" si="578"/>
      </c>
      <c r="CL55" s="610">
        <f t="shared" si="578"/>
      </c>
      <c r="CM55" s="610">
        <f t="shared" si="578"/>
      </c>
      <c r="CN55" s="610">
        <f t="shared" si="578"/>
      </c>
      <c r="CO55" s="611">
        <f t="shared" si="578"/>
      </c>
      <c r="CP55" s="610">
        <f t="shared" si="578"/>
      </c>
      <c r="CQ55" s="610">
        <f t="shared" si="578"/>
      </c>
      <c r="CR55" s="610">
        <f t="shared" si="579"/>
      </c>
      <c r="CS55" s="611">
        <f t="shared" si="579"/>
      </c>
      <c r="CT55" s="610">
        <f t="shared" si="579"/>
      </c>
      <c r="CU55" s="610">
        <f t="shared" si="579"/>
      </c>
      <c r="CV55" s="610">
        <f t="shared" si="579"/>
      </c>
      <c r="CW55" s="611">
        <f t="shared" si="579"/>
      </c>
      <c r="CX55" s="610">
        <f t="shared" si="579"/>
      </c>
      <c r="CY55" s="610">
        <f t="shared" si="579"/>
      </c>
      <c r="CZ55" s="610">
        <f t="shared" si="579"/>
      </c>
      <c r="DA55" s="611">
        <f t="shared" si="579"/>
      </c>
      <c r="DB55" s="610">
        <f t="shared" si="580"/>
      </c>
      <c r="DC55" s="610">
        <f t="shared" si="580"/>
      </c>
      <c r="DD55" s="610">
        <f t="shared" si="580"/>
      </c>
      <c r="DE55" s="611">
        <f t="shared" si="580"/>
      </c>
      <c r="DF55" s="610">
        <f t="shared" si="580"/>
      </c>
      <c r="DG55" s="610">
        <f t="shared" si="580"/>
      </c>
      <c r="DH55" s="610">
        <f t="shared" si="580"/>
      </c>
      <c r="DI55" s="611">
        <f t="shared" si="580"/>
      </c>
      <c r="DJ55" s="610">
        <f t="shared" si="580"/>
      </c>
      <c r="DK55" s="610">
        <f t="shared" si="580"/>
      </c>
      <c r="DL55" s="610">
        <f t="shared" si="581"/>
      </c>
      <c r="DM55" s="611">
        <f t="shared" si="581"/>
      </c>
      <c r="DN55" s="610">
        <f t="shared" si="581"/>
      </c>
      <c r="DO55" s="610">
        <f t="shared" si="581"/>
      </c>
      <c r="DP55" s="610">
        <f t="shared" si="581"/>
      </c>
      <c r="DQ55" s="611">
        <f t="shared" si="581"/>
      </c>
      <c r="DR55" s="610">
        <f t="shared" si="581"/>
      </c>
      <c r="DS55" s="610">
        <f t="shared" si="581"/>
      </c>
      <c r="DT55" s="610">
        <f t="shared" si="581"/>
      </c>
      <c r="DU55" s="611">
        <f t="shared" si="581"/>
      </c>
      <c r="DV55" s="610">
        <f t="shared" si="537"/>
      </c>
      <c r="DW55" s="610">
        <f t="shared" si="538"/>
      </c>
      <c r="DX55" s="610">
        <f t="shared" si="539"/>
      </c>
      <c r="DY55" s="611">
        <f t="shared" si="540"/>
      </c>
      <c r="DZ55" s="610">
        <f t="shared" si="541"/>
      </c>
      <c r="EA55" s="610">
        <f t="shared" si="542"/>
      </c>
      <c r="EB55" s="610">
        <f t="shared" si="543"/>
      </c>
      <c r="EC55" s="611">
        <f t="shared" si="544"/>
      </c>
      <c r="ED55" s="610">
        <f t="shared" si="545"/>
      </c>
      <c r="EE55" s="610">
        <f t="shared" si="546"/>
      </c>
      <c r="EF55" s="610">
        <f t="shared" si="547"/>
      </c>
      <c r="EG55" s="611">
        <f t="shared" si="548"/>
      </c>
      <c r="EH55" s="610">
        <f t="shared" si="549"/>
      </c>
      <c r="EI55" s="610">
        <f t="shared" si="550"/>
      </c>
      <c r="EJ55" s="610">
        <f t="shared" si="551"/>
      </c>
      <c r="EK55" s="611">
        <f t="shared" si="552"/>
      </c>
      <c r="EM55" s="610"/>
      <c r="EN55" s="610">
        <f t="shared" si="582"/>
      </c>
      <c r="EO55" s="610">
        <f t="shared" ref="EO55:FN55" si="589">EO33/EN33-1</f>
      </c>
      <c r="EP55" s="610">
        <f t="shared" si="589"/>
      </c>
      <c r="EQ55" s="610">
        <f t="shared" si="589"/>
      </c>
      <c r="ER55" s="610">
        <f t="shared" si="589"/>
      </c>
      <c r="ES55" s="610">
        <f t="shared" si="589"/>
      </c>
      <c r="ET55" s="610">
        <f t="shared" si="589"/>
      </c>
      <c r="EU55" s="610">
        <f t="shared" si="589"/>
      </c>
      <c r="EV55" s="610">
        <f t="shared" si="589"/>
      </c>
      <c r="EW55" s="610">
        <f t="shared" si="589"/>
      </c>
      <c r="EX55" s="610">
        <f t="shared" si="589"/>
      </c>
      <c r="EY55" s="610">
        <f t="shared" si="589"/>
      </c>
      <c r="EZ55" s="610">
        <f t="shared" si="589"/>
      </c>
      <c r="FA55" s="610">
        <f t="shared" si="589"/>
      </c>
      <c r="FB55" s="610">
        <f t="shared" si="589"/>
      </c>
      <c r="FC55" s="610">
        <f t="shared" si="589"/>
      </c>
      <c r="FD55" s="610">
        <f t="shared" si="589"/>
      </c>
      <c r="FE55" s="610">
        <f t="shared" si="589"/>
      </c>
      <c r="FF55" s="610">
        <f t="shared" si="589"/>
      </c>
      <c r="FG55" s="610">
        <f t="shared" si="589"/>
      </c>
      <c r="FH55" s="610">
        <f t="shared" si="589"/>
      </c>
      <c r="FI55" s="610">
        <f t="shared" si="589"/>
      </c>
      <c r="FJ55" s="610">
        <f t="shared" si="589"/>
      </c>
      <c r="FK55" s="610">
        <f t="shared" si="589"/>
      </c>
      <c r="FL55" s="2895">
        <f t="shared" si="589"/>
      </c>
      <c r="FM55" s="610">
        <f t="shared" si="589"/>
      </c>
      <c r="FN55" s="610">
        <f t="shared" si="589"/>
      </c>
      <c r="FO55" s="610">
        <f t="shared" ref="FO55:FP55" si="590">FO33/FN33-1</f>
      </c>
      <c r="FP55" s="610">
        <f t="shared" si="590"/>
      </c>
      <c r="FQ55" s="610">
        <f t="shared" ref="FQ55" si="591">FQ33/FP33-1</f>
      </c>
      <c r="FR55" s="610">
        <f t="shared" si="554"/>
      </c>
      <c r="FS55" s="610">
        <f t="shared" si="555"/>
      </c>
      <c r="FT55" s="610">
        <f t="shared" si="556"/>
      </c>
      <c r="FU55" s="2896">
        <f t="shared" si="557"/>
      </c>
      <c r="FV55" s="89"/>
      <c r="FW55" s="610"/>
      <c r="FX55" s="610">
        <f t="shared" ref="FX55" si="592">FX33/FW33-1</f>
      </c>
      <c r="FY55" s="610">
        <f t="shared" ref="FY55:GX55" si="593">FY33/FX33-1</f>
      </c>
      <c r="FZ55" s="610">
        <f t="shared" si="593"/>
      </c>
      <c r="GA55" s="610">
        <f t="shared" si="593"/>
      </c>
      <c r="GB55" s="610">
        <f t="shared" si="593"/>
      </c>
      <c r="GC55" s="610">
        <f t="shared" si="593"/>
      </c>
      <c r="GD55" s="610">
        <f t="shared" si="593"/>
      </c>
      <c r="GE55" s="610">
        <f t="shared" si="593"/>
      </c>
      <c r="GF55" s="610">
        <f t="shared" si="593"/>
      </c>
      <c r="GG55" s="610">
        <f t="shared" si="593"/>
      </c>
      <c r="GH55" s="610">
        <f t="shared" si="593"/>
      </c>
      <c r="GI55" s="610">
        <f t="shared" si="593"/>
      </c>
      <c r="GJ55" s="610">
        <f t="shared" si="593"/>
      </c>
      <c r="GK55" s="610">
        <f t="shared" si="593"/>
      </c>
      <c r="GL55" s="610">
        <f t="shared" si="593"/>
      </c>
      <c r="GM55" s="610">
        <f t="shared" si="593"/>
      </c>
      <c r="GN55" s="610">
        <f t="shared" si="593"/>
      </c>
      <c r="GO55" s="610">
        <f t="shared" si="593"/>
      </c>
      <c r="GP55" s="610">
        <f t="shared" si="593"/>
      </c>
      <c r="GQ55" s="610">
        <f t="shared" si="593"/>
      </c>
      <c r="GR55" s="610">
        <f t="shared" si="593"/>
      </c>
      <c r="GS55" s="610">
        <f t="shared" si="593"/>
      </c>
      <c r="GT55" s="610">
        <f t="shared" si="593"/>
      </c>
      <c r="GU55" s="610">
        <f t="shared" si="593"/>
      </c>
      <c r="GV55" s="610">
        <f t="shared" si="593"/>
      </c>
      <c r="GW55" s="610">
        <f t="shared" si="593"/>
      </c>
      <c r="GX55" s="610">
        <f t="shared" si="593"/>
      </c>
      <c r="GY55" s="610">
        <f t="shared" ref="GY55:GZ55" si="594">GY33/GX33-1</f>
      </c>
      <c r="GZ55" s="610">
        <f t="shared" si="594"/>
      </c>
      <c r="HA55" s="610">
        <f t="shared" si="559"/>
      </c>
      <c r="HB55" s="610">
        <f t="shared" si="560"/>
      </c>
      <c r="HC55" s="610">
        <f t="shared" si="561"/>
      </c>
      <c r="HD55" s="610">
        <f t="shared" si="562"/>
      </c>
    </row>
    <row r="56" spans="1:212">
      <c r="A56" s="598" t="str">
        <f t="shared" si="569"/>
      </c>
      <c r="B56" s="599"/>
      <c r="C56" s="599"/>
      <c r="D56" s="599"/>
      <c r="E56" s="600"/>
      <c r="F56" s="601">
        <f t="shared" si="570"/>
      </c>
      <c r="G56" s="601">
        <f t="shared" si="570"/>
      </c>
      <c r="H56" s="601">
        <f t="shared" si="570"/>
      </c>
      <c r="I56" s="601">
        <f t="shared" si="570"/>
      </c>
      <c r="J56" s="601">
        <f t="shared" si="570"/>
      </c>
      <c r="K56" s="601">
        <f t="shared" si="570"/>
      </c>
      <c r="L56" s="601">
        <f t="shared" si="570"/>
      </c>
      <c r="M56" s="601">
        <f t="shared" si="570"/>
      </c>
      <c r="N56" s="601">
        <f t="shared" si="570"/>
      </c>
      <c r="O56" s="601">
        <f t="shared" si="570"/>
      </c>
      <c r="P56" s="601">
        <f t="shared" si="571"/>
      </c>
      <c r="Q56" s="601">
        <f t="shared" si="571"/>
      </c>
      <c r="R56" s="601">
        <f t="shared" si="571"/>
      </c>
      <c r="S56" s="601">
        <f t="shared" si="571"/>
      </c>
      <c r="T56" s="601">
        <f t="shared" si="571"/>
      </c>
      <c r="U56" s="601">
        <f t="shared" si="571"/>
      </c>
      <c r="V56" s="601">
        <f t="shared" si="571"/>
      </c>
      <c r="W56" s="601">
        <f t="shared" si="571"/>
      </c>
      <c r="X56" s="601">
        <f t="shared" si="571"/>
      </c>
      <c r="Y56" s="601">
        <f t="shared" si="571"/>
      </c>
      <c r="Z56" s="601">
        <f t="shared" si="572"/>
      </c>
      <c r="AA56" s="601">
        <f t="shared" si="572"/>
      </c>
      <c r="AB56" s="601">
        <f t="shared" si="572"/>
      </c>
      <c r="AC56" s="601">
        <f t="shared" si="572"/>
      </c>
      <c r="AD56" s="601">
        <f t="shared" si="572"/>
      </c>
      <c r="AE56" s="601">
        <f t="shared" si="572"/>
      </c>
      <c r="AF56" s="601">
        <f t="shared" si="572"/>
      </c>
      <c r="AG56" s="601">
        <f t="shared" si="572"/>
      </c>
      <c r="AH56" s="601">
        <f t="shared" si="572"/>
      </c>
      <c r="AI56" s="601">
        <f t="shared" si="572"/>
      </c>
      <c r="AJ56" s="601">
        <f t="shared" si="573"/>
      </c>
      <c r="AK56" s="601">
        <f t="shared" si="573"/>
      </c>
      <c r="AL56" s="601">
        <f t="shared" si="573"/>
      </c>
      <c r="AM56" s="601">
        <f t="shared" si="573"/>
      </c>
      <c r="AN56" s="601">
        <f t="shared" si="573"/>
      </c>
      <c r="AO56" s="601">
        <f t="shared" si="573"/>
      </c>
      <c r="AP56" s="601">
        <f t="shared" si="573"/>
      </c>
      <c r="AQ56" s="601">
        <f t="shared" si="573"/>
      </c>
      <c r="AR56" s="601">
        <f t="shared" si="573"/>
      </c>
      <c r="AS56" s="601">
        <f t="shared" si="573"/>
      </c>
      <c r="AT56" s="601">
        <f t="shared" si="574"/>
      </c>
      <c r="AU56" s="601">
        <f t="shared" si="574"/>
      </c>
      <c r="AV56" s="601">
        <f t="shared" si="574"/>
      </c>
      <c r="AW56" s="601">
        <f t="shared" si="574"/>
      </c>
      <c r="AX56" s="601">
        <f t="shared" si="574"/>
      </c>
      <c r="AY56" s="601">
        <f t="shared" si="574"/>
      </c>
      <c r="AZ56" s="601">
        <f t="shared" si="574"/>
      </c>
      <c r="BA56" s="601">
        <f t="shared" si="574"/>
      </c>
      <c r="BB56" s="601">
        <f t="shared" si="574"/>
      </c>
      <c r="BC56" s="601">
        <f t="shared" si="574"/>
      </c>
      <c r="BD56" s="601">
        <f t="shared" si="575"/>
      </c>
      <c r="BE56" s="601">
        <f t="shared" si="575"/>
      </c>
      <c r="BF56" s="601">
        <f t="shared" si="575"/>
      </c>
      <c r="BG56" s="601">
        <f t="shared" si="575"/>
      </c>
      <c r="BH56" s="601">
        <f t="shared" si="575"/>
      </c>
      <c r="BI56" s="601">
        <f t="shared" si="575"/>
      </c>
      <c r="BJ56" s="601">
        <f t="shared" si="575"/>
      </c>
      <c r="BK56" s="601">
        <f t="shared" si="575"/>
      </c>
      <c r="BL56" s="601">
        <f t="shared" si="575"/>
      </c>
      <c r="BM56" s="601">
        <f t="shared" si="575"/>
      </c>
      <c r="BN56" s="601">
        <f t="shared" si="576"/>
      </c>
      <c r="BO56" s="601">
        <f t="shared" si="576"/>
      </c>
      <c r="BP56" s="601">
        <f t="shared" si="576"/>
      </c>
      <c r="BQ56" s="602">
        <f t="shared" si="576"/>
      </c>
      <c r="BR56" s="601">
        <f t="shared" si="576"/>
      </c>
      <c r="BS56" s="601">
        <f t="shared" si="576"/>
      </c>
      <c r="BT56" s="601">
        <f t="shared" si="576"/>
      </c>
      <c r="BU56" s="602">
        <f t="shared" si="576"/>
      </c>
      <c r="BV56" s="601">
        <f t="shared" si="576"/>
      </c>
      <c r="BW56" s="601">
        <f t="shared" si="576"/>
      </c>
      <c r="BX56" s="601">
        <f t="shared" si="577"/>
      </c>
      <c r="BY56" s="602">
        <f t="shared" si="577"/>
      </c>
      <c r="BZ56" s="601">
        <f t="shared" si="577"/>
      </c>
      <c r="CA56" s="601">
        <f t="shared" si="577"/>
      </c>
      <c r="CB56" s="601">
        <f t="shared" si="577"/>
      </c>
      <c r="CC56" s="602">
        <f t="shared" si="577"/>
      </c>
      <c r="CD56" s="601">
        <f t="shared" si="577"/>
      </c>
      <c r="CE56" s="601">
        <f t="shared" si="577"/>
      </c>
      <c r="CF56" s="601">
        <f t="shared" si="577"/>
      </c>
      <c r="CG56" s="602">
        <f t="shared" si="577"/>
      </c>
      <c r="CH56" s="601">
        <f t="shared" si="578"/>
      </c>
      <c r="CI56" s="601">
        <f t="shared" si="578"/>
      </c>
      <c r="CJ56" s="601">
        <f t="shared" si="578"/>
      </c>
      <c r="CK56" s="602">
        <f t="shared" si="578"/>
      </c>
      <c r="CL56" s="601">
        <f t="shared" si="578"/>
      </c>
      <c r="CM56" s="601">
        <f t="shared" si="578"/>
      </c>
      <c r="CN56" s="601">
        <f t="shared" si="578"/>
      </c>
      <c r="CO56" s="602">
        <f t="shared" si="578"/>
      </c>
      <c r="CP56" s="601">
        <f t="shared" si="578"/>
      </c>
      <c r="CQ56" s="601">
        <f t="shared" si="578"/>
      </c>
      <c r="CR56" s="601">
        <f t="shared" si="579"/>
      </c>
      <c r="CS56" s="602">
        <f t="shared" si="579"/>
      </c>
      <c r="CT56" s="601">
        <f t="shared" si="579"/>
      </c>
      <c r="CU56" s="601">
        <f t="shared" si="579"/>
      </c>
      <c r="CV56" s="601">
        <f t="shared" si="579"/>
      </c>
      <c r="CW56" s="602">
        <f t="shared" si="579"/>
      </c>
      <c r="CX56" s="601">
        <f t="shared" si="579"/>
      </c>
      <c r="CY56" s="601">
        <f t="shared" si="579"/>
      </c>
      <c r="CZ56" s="601">
        <f t="shared" si="579"/>
      </c>
      <c r="DA56" s="602">
        <f t="shared" si="579"/>
      </c>
      <c r="DB56" s="601">
        <f t="shared" si="580"/>
      </c>
      <c r="DC56" s="601">
        <f t="shared" si="580"/>
      </c>
      <c r="DD56" s="601">
        <f t="shared" si="580"/>
      </c>
      <c r="DE56" s="602">
        <f t="shared" si="580"/>
      </c>
      <c r="DF56" s="601">
        <f t="shared" si="580"/>
      </c>
      <c r="DG56" s="601">
        <f t="shared" si="580"/>
      </c>
      <c r="DH56" s="601">
        <f t="shared" si="580"/>
      </c>
      <c r="DI56" s="602">
        <f t="shared" si="580"/>
      </c>
      <c r="DJ56" s="601">
        <f t="shared" si="580"/>
      </c>
      <c r="DK56" s="601">
        <f t="shared" si="580"/>
      </c>
      <c r="DL56" s="601">
        <f t="shared" si="581"/>
      </c>
      <c r="DM56" s="602">
        <f t="shared" si="581"/>
      </c>
      <c r="DN56" s="601">
        <f t="shared" si="581"/>
      </c>
      <c r="DO56" s="601">
        <f t="shared" si="581"/>
      </c>
      <c r="DP56" s="601">
        <f t="shared" si="581"/>
      </c>
      <c r="DQ56" s="602">
        <f t="shared" si="581"/>
      </c>
      <c r="DR56" s="601">
        <f t="shared" si="581"/>
      </c>
      <c r="DS56" s="601">
        <f t="shared" si="581"/>
      </c>
      <c r="DT56" s="601">
        <f t="shared" si="581"/>
      </c>
      <c r="DU56" s="602">
        <f t="shared" si="581"/>
      </c>
      <c r="DV56" s="601">
        <f t="shared" si="537"/>
      </c>
      <c r="DW56" s="601">
        <f t="shared" si="538"/>
      </c>
      <c r="DX56" s="601">
        <f t="shared" si="539"/>
      </c>
      <c r="DY56" s="602">
        <f t="shared" si="540"/>
      </c>
      <c r="DZ56" s="601">
        <f t="shared" si="541"/>
      </c>
      <c r="EA56" s="601">
        <f t="shared" si="542"/>
      </c>
      <c r="EB56" s="601">
        <f t="shared" si="543"/>
      </c>
      <c r="EC56" s="602">
        <f t="shared" si="544"/>
      </c>
      <c r="ED56" s="601">
        <f t="shared" si="545"/>
      </c>
      <c r="EE56" s="601">
        <f t="shared" si="546"/>
      </c>
      <c r="EF56" s="601">
        <f t="shared" si="547"/>
      </c>
      <c r="EG56" s="602">
        <f t="shared" si="548"/>
      </c>
      <c r="EH56" s="601">
        <f t="shared" si="549"/>
      </c>
      <c r="EI56" s="601">
        <f t="shared" si="550"/>
      </c>
      <c r="EJ56" s="601">
        <f t="shared" si="551"/>
      </c>
      <c r="EK56" s="602">
        <f t="shared" si="552"/>
      </c>
      <c r="EM56" s="601"/>
      <c r="EN56" s="601">
        <f t="shared" si="582"/>
      </c>
      <c r="EO56" s="601">
        <f t="shared" ref="EO56:FN56" si="595">EO34/EN34-1</f>
      </c>
      <c r="EP56" s="601">
        <f t="shared" si="595"/>
      </c>
      <c r="EQ56" s="601">
        <f t="shared" si="595"/>
      </c>
      <c r="ER56" s="601">
        <f t="shared" si="595"/>
      </c>
      <c r="ES56" s="601">
        <f t="shared" si="595"/>
      </c>
      <c r="ET56" s="601">
        <f t="shared" si="595"/>
      </c>
      <c r="EU56" s="601">
        <f t="shared" si="595"/>
      </c>
      <c r="EV56" s="601">
        <f t="shared" si="595"/>
      </c>
      <c r="EW56" s="601">
        <f t="shared" si="595"/>
      </c>
      <c r="EX56" s="601">
        <f t="shared" si="595"/>
      </c>
      <c r="EY56" s="601">
        <f t="shared" si="595"/>
      </c>
      <c r="EZ56" s="601">
        <f t="shared" si="595"/>
      </c>
      <c r="FA56" s="601">
        <f t="shared" si="595"/>
      </c>
      <c r="FB56" s="601">
        <f t="shared" si="595"/>
      </c>
      <c r="FC56" s="601">
        <f t="shared" si="595"/>
      </c>
      <c r="FD56" s="601">
        <f t="shared" si="595"/>
      </c>
      <c r="FE56" s="601">
        <f t="shared" si="595"/>
      </c>
      <c r="FF56" s="601">
        <f t="shared" si="595"/>
      </c>
      <c r="FG56" s="601">
        <f t="shared" si="595"/>
      </c>
      <c r="FH56" s="601">
        <f t="shared" si="595"/>
      </c>
      <c r="FI56" s="601">
        <f t="shared" si="595"/>
      </c>
      <c r="FJ56" s="601">
        <f t="shared" si="595"/>
      </c>
      <c r="FK56" s="601">
        <f t="shared" si="595"/>
      </c>
      <c r="FL56" s="2901">
        <f t="shared" si="595"/>
      </c>
      <c r="FM56" s="601">
        <f t="shared" si="595"/>
      </c>
      <c r="FN56" s="601">
        <f t="shared" si="595"/>
      </c>
      <c r="FO56" s="601">
        <f t="shared" ref="FO56:FP56" si="596">FO34/FN34-1</f>
      </c>
      <c r="FP56" s="601">
        <f t="shared" si="596"/>
      </c>
      <c r="FQ56" s="601">
        <f t="shared" ref="FQ56" si="597">FQ34/FP34-1</f>
      </c>
      <c r="FR56" s="601">
        <f t="shared" si="554"/>
      </c>
      <c r="FS56" s="601">
        <f t="shared" si="555"/>
      </c>
      <c r="FT56" s="601">
        <f t="shared" si="556"/>
      </c>
      <c r="FU56" s="2902">
        <f t="shared" si="557"/>
      </c>
      <c r="FV56" s="89"/>
      <c r="FW56" s="601"/>
      <c r="FX56" s="601">
        <f t="shared" ref="FX56" si="598">FX34/FW34-1</f>
      </c>
      <c r="FY56" s="601">
        <f t="shared" ref="FY56:GX56" si="599">FY34/FX34-1</f>
      </c>
      <c r="FZ56" s="601">
        <f t="shared" si="599"/>
      </c>
      <c r="GA56" s="601">
        <f t="shared" si="599"/>
      </c>
      <c r="GB56" s="601">
        <f t="shared" si="599"/>
      </c>
      <c r="GC56" s="601">
        <f t="shared" si="599"/>
      </c>
      <c r="GD56" s="601">
        <f t="shared" si="599"/>
      </c>
      <c r="GE56" s="601">
        <f t="shared" si="599"/>
      </c>
      <c r="GF56" s="601">
        <f t="shared" si="599"/>
      </c>
      <c r="GG56" s="601">
        <f t="shared" si="599"/>
      </c>
      <c r="GH56" s="601">
        <f t="shared" si="599"/>
      </c>
      <c r="GI56" s="601">
        <f t="shared" si="599"/>
      </c>
      <c r="GJ56" s="601">
        <f t="shared" si="599"/>
      </c>
      <c r="GK56" s="601">
        <f t="shared" si="599"/>
      </c>
      <c r="GL56" s="601">
        <f t="shared" si="599"/>
      </c>
      <c r="GM56" s="601">
        <f t="shared" si="599"/>
      </c>
      <c r="GN56" s="601">
        <f t="shared" si="599"/>
      </c>
      <c r="GO56" s="601">
        <f t="shared" si="599"/>
      </c>
      <c r="GP56" s="601">
        <f t="shared" si="599"/>
      </c>
      <c r="GQ56" s="601">
        <f t="shared" si="599"/>
      </c>
      <c r="GR56" s="601">
        <f t="shared" si="599"/>
      </c>
      <c r="GS56" s="601">
        <f t="shared" si="599"/>
      </c>
      <c r="GT56" s="601">
        <f t="shared" si="599"/>
      </c>
      <c r="GU56" s="601">
        <f t="shared" si="599"/>
      </c>
      <c r="GV56" s="601">
        <f t="shared" si="599"/>
      </c>
      <c r="GW56" s="601">
        <f t="shared" si="599"/>
      </c>
      <c r="GX56" s="601">
        <f t="shared" si="599"/>
      </c>
      <c r="GY56" s="601">
        <f t="shared" ref="GY56:GZ56" si="600">GY34/GX34-1</f>
      </c>
      <c r="GZ56" s="601">
        <f t="shared" si="600"/>
      </c>
      <c r="HA56" s="601">
        <f t="shared" si="559"/>
      </c>
      <c r="HB56" s="601">
        <f t="shared" si="560"/>
      </c>
      <c r="HC56" s="601">
        <f t="shared" si="561"/>
      </c>
      <c r="HD56" s="601">
        <f t="shared" si="562"/>
      </c>
    </row>
    <row r="57" spans="1:212">
      <c r="A57" s="8"/>
      <c r="E57" s="181"/>
      <c r="BQ57" s="170"/>
      <c r="BU57" s="170"/>
      <c r="BY57" s="170"/>
      <c r="CC57" s="170"/>
      <c r="CG57" s="170"/>
      <c r="CJ57" s="15"/>
      <c r="CK57" s="170"/>
      <c r="CN57" s="15"/>
      <c r="CO57" s="170"/>
      <c r="CS57" s="170"/>
      <c r="CW57" s="170"/>
      <c r="DA57" s="170"/>
      <c r="DE57" s="260"/>
      <c r="DH57" s="88"/>
      <c r="DI57" s="260"/>
      <c r="DM57" s="260"/>
      <c r="DQ57" s="260"/>
      <c r="DU57" s="260"/>
      <c r="DY57" s="260"/>
      <c r="EC57" s="260"/>
      <c r="EG57" s="260"/>
      <c r="EK57" s="260"/>
      <c r="EQ57" s="15"/>
      <c r="ER57" s="15"/>
      <c r="ES57" s="15"/>
      <c r="ET57" s="15"/>
      <c r="EU57" s="15"/>
      <c r="EV57" s="15"/>
      <c r="EW57" s="15"/>
      <c r="EX57" s="15"/>
      <c r="EY57" s="15"/>
      <c r="EZ57" s="15"/>
      <c r="FA57" s="15"/>
      <c r="FB57" s="15"/>
      <c r="FC57" s="15"/>
      <c r="FD57" s="34"/>
      <c r="FE57" s="34"/>
      <c r="FF57" s="65"/>
      <c r="FG57" s="65"/>
      <c r="FH57" s="65"/>
      <c r="FL57" s="506"/>
      <c r="FU57" s="53"/>
      <c r="FV57" s="89"/>
    </row>
    <row r="58" spans="1:212" s="1" customFormat="1">
      <c r="A58" s="543"/>
      <c r="B58" s="543" t="str">
        <f t="shared" ref="B58:BM58" si="601">B$37</f>
      </c>
      <c r="C58" s="543" t="str">
        <f t="shared" si="601"/>
      </c>
      <c r="D58" s="543" t="str">
        <f t="shared" si="601"/>
      </c>
      <c r="E58" s="544" t="str">
        <f t="shared" si="601"/>
      </c>
      <c r="F58" s="543" t="str">
        <f t="shared" si="601"/>
      </c>
      <c r="G58" s="543" t="str">
        <f t="shared" si="601"/>
      </c>
      <c r="H58" s="543" t="str">
        <f t="shared" si="601"/>
      </c>
      <c r="I58" s="543" t="str">
        <f t="shared" si="601"/>
      </c>
      <c r="J58" s="543" t="str">
        <f t="shared" si="601"/>
      </c>
      <c r="K58" s="543" t="str">
        <f t="shared" si="601"/>
      </c>
      <c r="L58" s="543" t="str">
        <f t="shared" si="601"/>
      </c>
      <c r="M58" s="543" t="str">
        <f t="shared" si="601"/>
      </c>
      <c r="N58" s="543" t="str">
        <f t="shared" si="601"/>
      </c>
      <c r="O58" s="543" t="str">
        <f t="shared" si="601"/>
      </c>
      <c r="P58" s="543" t="str">
        <f t="shared" si="601"/>
      </c>
      <c r="Q58" s="543" t="str">
        <f t="shared" si="601"/>
      </c>
      <c r="R58" s="543" t="str">
        <f t="shared" si="601"/>
      </c>
      <c r="S58" s="543" t="str">
        <f t="shared" si="601"/>
      </c>
      <c r="T58" s="543" t="str">
        <f t="shared" si="601"/>
      </c>
      <c r="U58" s="543" t="str">
        <f t="shared" si="601"/>
      </c>
      <c r="V58" s="543" t="str">
        <f t="shared" si="601"/>
      </c>
      <c r="W58" s="543" t="str">
        <f t="shared" si="601"/>
      </c>
      <c r="X58" s="543" t="str">
        <f t="shared" si="601"/>
      </c>
      <c r="Y58" s="543" t="str">
        <f t="shared" si="601"/>
      </c>
      <c r="Z58" s="543" t="str">
        <f t="shared" si="601"/>
      </c>
      <c r="AA58" s="543" t="str">
        <f t="shared" si="601"/>
      </c>
      <c r="AB58" s="543" t="str">
        <f t="shared" si="601"/>
      </c>
      <c r="AC58" s="543" t="str">
        <f t="shared" si="601"/>
      </c>
      <c r="AD58" s="543" t="str">
        <f t="shared" si="601"/>
      </c>
      <c r="AE58" s="543" t="str">
        <f t="shared" si="601"/>
      </c>
      <c r="AF58" s="543" t="str">
        <f t="shared" si="601"/>
      </c>
      <c r="AG58" s="543" t="str">
        <f t="shared" si="601"/>
      </c>
      <c r="AH58" s="543" t="str">
        <f t="shared" si="601"/>
      </c>
      <c r="AI58" s="543" t="str">
        <f t="shared" si="601"/>
      </c>
      <c r="AJ58" s="543" t="str">
        <f t="shared" si="601"/>
      </c>
      <c r="AK58" s="543" t="str">
        <f t="shared" si="601"/>
      </c>
      <c r="AL58" s="543" t="str">
        <f t="shared" si="601"/>
      </c>
      <c r="AM58" s="543" t="str">
        <f t="shared" si="601"/>
      </c>
      <c r="AN58" s="543" t="str">
        <f t="shared" si="601"/>
      </c>
      <c r="AO58" s="543" t="str">
        <f t="shared" si="601"/>
      </c>
      <c r="AP58" s="543" t="str">
        <f t="shared" si="601"/>
      </c>
      <c r="AQ58" s="543" t="str">
        <f t="shared" si="601"/>
      </c>
      <c r="AR58" s="543" t="str">
        <f t="shared" si="601"/>
      </c>
      <c r="AS58" s="543" t="str">
        <f t="shared" si="601"/>
      </c>
      <c r="AT58" s="543" t="str">
        <f t="shared" si="601"/>
      </c>
      <c r="AU58" s="543" t="str">
        <f t="shared" si="601"/>
      </c>
      <c r="AV58" s="543" t="str">
        <f t="shared" si="601"/>
      </c>
      <c r="AW58" s="543" t="str">
        <f t="shared" si="601"/>
      </c>
      <c r="AX58" s="543" t="str">
        <f t="shared" si="601"/>
      </c>
      <c r="AY58" s="543" t="str">
        <f t="shared" si="601"/>
      </c>
      <c r="AZ58" s="543" t="str">
        <f t="shared" si="601"/>
      </c>
      <c r="BA58" s="543" t="str">
        <f t="shared" si="601"/>
      </c>
      <c r="BB58" s="543" t="str">
        <f t="shared" si="601"/>
      </c>
      <c r="BC58" s="543" t="str">
        <f t="shared" si="601"/>
      </c>
      <c r="BD58" s="543" t="str">
        <f t="shared" si="601"/>
      </c>
      <c r="BE58" s="543" t="str">
        <f t="shared" si="601"/>
      </c>
      <c r="BF58" s="543" t="str">
        <f t="shared" si="601"/>
      </c>
      <c r="BG58" s="543" t="str">
        <f t="shared" si="601"/>
      </c>
      <c r="BH58" s="543" t="str">
        <f t="shared" si="601"/>
      </c>
      <c r="BI58" s="543" t="str">
        <f t="shared" si="601"/>
      </c>
      <c r="BJ58" s="543" t="str">
        <f t="shared" si="601"/>
      </c>
      <c r="BK58" s="543" t="str">
        <f t="shared" si="601"/>
      </c>
      <c r="BL58" s="543" t="str">
        <f t="shared" si="601"/>
      </c>
      <c r="BM58" s="543" t="str">
        <f t="shared" si="601"/>
      </c>
      <c r="BN58" s="543" t="str">
        <f t="shared" ref="BN58:DZ58" si="602">BN$37</f>
      </c>
      <c r="BO58" s="543" t="str">
        <f t="shared" si="602"/>
      </c>
      <c r="BP58" s="543" t="str">
        <f t="shared" si="602"/>
      </c>
      <c r="BQ58" s="545" t="str">
        <f t="shared" si="602"/>
      </c>
      <c r="BR58" s="543" t="str">
        <f t="shared" si="602"/>
      </c>
      <c r="BS58" s="543" t="str">
        <f t="shared" si="602"/>
      </c>
      <c r="BT58" s="543" t="str">
        <f t="shared" si="602"/>
      </c>
      <c r="BU58" s="545" t="str">
        <f t="shared" si="602"/>
      </c>
      <c r="BV58" s="543" t="str">
        <f t="shared" si="602"/>
      </c>
      <c r="BW58" s="543" t="str">
        <f t="shared" si="602"/>
      </c>
      <c r="BX58" s="543" t="str">
        <f t="shared" si="602"/>
      </c>
      <c r="BY58" s="545" t="str">
        <f t="shared" si="602"/>
      </c>
      <c r="BZ58" s="543" t="str">
        <f t="shared" si="602"/>
      </c>
      <c r="CA58" s="543" t="str">
        <f t="shared" si="602"/>
      </c>
      <c r="CB58" s="543" t="str">
        <f t="shared" si="602"/>
      </c>
      <c r="CC58" s="545" t="str">
        <f t="shared" si="602"/>
      </c>
      <c r="CD58" s="543" t="str">
        <f t="shared" si="602"/>
      </c>
      <c r="CE58" s="543" t="str">
        <f t="shared" si="602"/>
      </c>
      <c r="CF58" s="543" t="str">
        <f t="shared" si="602"/>
      </c>
      <c r="CG58" s="545" t="str">
        <f t="shared" si="602"/>
      </c>
      <c r="CH58" s="543" t="str">
        <f t="shared" si="602"/>
      </c>
      <c r="CI58" s="543" t="str">
        <f t="shared" si="602"/>
      </c>
      <c r="CJ58" s="543" t="str">
        <f t="shared" si="602"/>
      </c>
      <c r="CK58" s="545" t="str">
        <f t="shared" si="602"/>
      </c>
      <c r="CL58" s="543" t="str">
        <f t="shared" si="602"/>
      </c>
      <c r="CM58" s="543" t="str">
        <f t="shared" si="602"/>
      </c>
      <c r="CN58" s="543" t="str">
        <f t="shared" si="602"/>
      </c>
      <c r="CO58" s="545" t="str">
        <f t="shared" si="602"/>
      </c>
      <c r="CP58" s="543" t="str">
        <f t="shared" si="602"/>
      </c>
      <c r="CQ58" s="543" t="str">
        <f t="shared" si="602"/>
      </c>
      <c r="CR58" s="543" t="str">
        <f t="shared" si="602"/>
      </c>
      <c r="CS58" s="547" t="str">
        <f t="shared" si="602"/>
      </c>
      <c r="CT58" s="543" t="str">
        <f t="shared" si="602"/>
      </c>
      <c r="CU58" s="543" t="str">
        <f t="shared" si="602"/>
      </c>
      <c r="CV58" s="543" t="str">
        <f t="shared" si="602"/>
      </c>
      <c r="CW58" s="547" t="str">
        <f t="shared" si="602"/>
      </c>
      <c r="CX58" s="543" t="str">
        <f t="shared" si="602"/>
      </c>
      <c r="CY58" s="543" t="str">
        <f t="shared" si="602"/>
      </c>
      <c r="CZ58" s="543" t="str">
        <f t="shared" si="602"/>
      </c>
      <c r="DA58" s="547" t="str">
        <f t="shared" si="602"/>
      </c>
      <c r="DB58" s="543" t="str">
        <f t="shared" si="602"/>
      </c>
      <c r="DC58" s="543" t="str">
        <f t="shared" si="602"/>
      </c>
      <c r="DD58" s="543" t="str">
        <f t="shared" si="602"/>
      </c>
      <c r="DE58" s="547" t="str">
        <f t="shared" si="602"/>
      </c>
      <c r="DF58" s="543" t="str">
        <f t="shared" si="602"/>
      </c>
      <c r="DG58" s="543" t="str">
        <f t="shared" si="602"/>
      </c>
      <c r="DH58" s="543" t="str">
        <f t="shared" si="602"/>
      </c>
      <c r="DI58" s="547" t="str">
        <f t="shared" si="602"/>
      </c>
      <c r="DJ58" s="543" t="str">
        <f t="shared" si="602"/>
      </c>
      <c r="DK58" s="543" t="str">
        <f t="shared" si="602"/>
      </c>
      <c r="DL58" s="543" t="str">
        <f t="shared" si="602"/>
      </c>
      <c r="DM58" s="547" t="str">
        <f t="shared" si="602"/>
      </c>
      <c r="DN58" s="543" t="str">
        <f t="shared" si="602"/>
      </c>
      <c r="DO58" s="543" t="str">
        <f t="shared" si="602"/>
      </c>
      <c r="DP58" s="543" t="str">
        <f t="shared" si="602"/>
      </c>
      <c r="DQ58" s="547" t="str">
        <f t="shared" si="602"/>
      </c>
      <c r="DR58" s="543" t="str">
        <f t="shared" si="602"/>
      </c>
      <c r="DS58" s="543" t="str">
        <f t="shared" si="602"/>
      </c>
      <c r="DT58" s="543" t="str">
        <f t="shared" si="602"/>
      </c>
      <c r="DU58" s="547" t="str">
        <f t="shared" si="602"/>
      </c>
      <c r="DV58" s="543" t="str">
        <f t="shared" si="602"/>
      </c>
      <c r="DW58" s="543" t="str">
        <f t="shared" si="602"/>
      </c>
      <c r="DX58" s="543" t="str">
        <f t="shared" si="602"/>
      </c>
      <c r="DY58" s="547" t="str">
        <f t="shared" si="602"/>
      </c>
      <c r="DZ58" s="543" t="str">
        <f t="shared" si="602"/>
      </c>
      <c r="EA58" s="543" t="str">
        <f t="shared" ref="EA58:EK58" si="603">EA$37</f>
      </c>
      <c r="EB58" s="543" t="str">
        <f t="shared" si="603"/>
      </c>
      <c r="EC58" s="547" t="str">
        <f t="shared" si="603"/>
      </c>
      <c r="ED58" s="543" t="str">
        <f t="shared" si="603"/>
      </c>
      <c r="EE58" s="543" t="str">
        <f t="shared" si="603"/>
      </c>
      <c r="EF58" s="543" t="str">
        <f t="shared" si="603"/>
      </c>
      <c r="EG58" s="547" t="str">
        <f t="shared" si="603"/>
      </c>
      <c r="EH58" s="543" t="str">
        <f t="shared" si="603"/>
      </c>
      <c r="EI58" s="543" t="str">
        <f t="shared" si="603"/>
      </c>
      <c r="EJ58" s="543" t="str">
        <f t="shared" si="603"/>
      </c>
      <c r="EK58" s="547" t="str">
        <f t="shared" si="603"/>
      </c>
      <c r="EL58" s="11"/>
      <c r="EM58" s="696"/>
      <c r="EN58" s="579"/>
      <c r="EO58" s="579"/>
      <c r="EP58" s="579"/>
      <c r="EQ58" s="579"/>
      <c r="ER58" s="579"/>
      <c r="ES58" s="579"/>
      <c r="ET58" s="579"/>
      <c r="EU58" s="579"/>
      <c r="EV58" s="579"/>
      <c r="EW58" s="579"/>
      <c r="EX58" s="579"/>
      <c r="EY58" s="579"/>
      <c r="EZ58" s="579"/>
      <c r="FA58" s="579"/>
      <c r="FB58" s="579"/>
      <c r="FC58" s="579"/>
      <c r="FD58" s="579"/>
      <c r="FE58" s="579"/>
      <c r="FF58" s="580" t="s">
        <v>61</v>
      </c>
      <c r="FG58" s="579"/>
      <c r="FH58" s="579"/>
      <c r="FI58" s="579"/>
      <c r="FJ58" s="579"/>
      <c r="FK58" s="579"/>
      <c r="FL58" s="696"/>
      <c r="FM58" s="579"/>
      <c r="FN58" s="579"/>
      <c r="FO58" s="579"/>
      <c r="FP58" s="579"/>
      <c r="FQ58" s="579"/>
      <c r="FR58" s="579"/>
      <c r="FS58" s="579"/>
      <c r="FT58" s="579"/>
      <c r="FU58" s="2893"/>
      <c r="FV58" s="152"/>
      <c r="FW58" s="579"/>
      <c r="FX58" s="579"/>
      <c r="FY58" s="579"/>
      <c r="FZ58" s="579"/>
      <c r="GA58" s="579"/>
      <c r="GB58" s="579"/>
      <c r="GC58" s="579"/>
      <c r="GD58" s="579"/>
      <c r="GE58" s="579"/>
      <c r="GF58" s="579"/>
      <c r="GG58" s="579"/>
      <c r="GH58" s="579"/>
      <c r="GI58" s="579"/>
      <c r="GJ58" s="579"/>
      <c r="GK58" s="579"/>
      <c r="GL58" s="579"/>
      <c r="GM58" s="579"/>
      <c r="GN58" s="579"/>
      <c r="GO58" s="579"/>
      <c r="GP58" s="580" t="s">
        <v>62</v>
      </c>
      <c r="GQ58" s="579"/>
      <c r="GR58" s="579"/>
      <c r="GS58" s="579"/>
      <c r="GT58" s="579"/>
      <c r="GU58" s="579"/>
      <c r="GV58" s="579"/>
      <c r="GW58" s="579"/>
      <c r="GX58" s="579"/>
      <c r="GY58" s="579"/>
      <c r="GZ58" s="579"/>
      <c r="HA58" s="579"/>
      <c r="HB58" s="579"/>
      <c r="HC58" s="579"/>
      <c r="HD58" s="579"/>
    </row>
    <row r="59" spans="1:212" s="1" customFormat="1">
      <c r="A59" s="575" t="s">
        <v>1156</v>
      </c>
      <c r="B59" s="576">
        <f t="shared" ref="B59:Q59" si="604">B$38</f>
      </c>
      <c r="C59" s="576">
        <f t="shared" si="604"/>
      </c>
      <c r="D59" s="576">
        <f t="shared" si="604"/>
      </c>
      <c r="E59" s="577">
        <f t="shared" si="604"/>
      </c>
      <c r="F59" s="576">
        <f t="shared" si="604"/>
      </c>
      <c r="G59" s="576">
        <f t="shared" si="604"/>
      </c>
      <c r="H59" s="576">
        <f t="shared" si="604"/>
      </c>
      <c r="I59" s="576">
        <f t="shared" si="604"/>
      </c>
      <c r="J59" s="576">
        <f t="shared" si="604"/>
      </c>
      <c r="K59" s="576">
        <f t="shared" si="604"/>
      </c>
      <c r="L59" s="576">
        <f t="shared" si="604"/>
      </c>
      <c r="M59" s="576">
        <f t="shared" si="604"/>
      </c>
      <c r="N59" s="576">
        <f t="shared" si="604"/>
      </c>
      <c r="O59" s="576">
        <f t="shared" si="604"/>
      </c>
      <c r="P59" s="576">
        <f t="shared" si="604"/>
      </c>
      <c r="Q59" s="576">
        <f t="shared" si="604"/>
      </c>
      <c r="R59" s="576">
        <f t="shared" ref="R59:AG59" si="605">R$38</f>
      </c>
      <c r="S59" s="576">
        <f t="shared" si="605"/>
      </c>
      <c r="T59" s="576">
        <f t="shared" si="605"/>
      </c>
      <c r="U59" s="576">
        <f t="shared" si="605"/>
      </c>
      <c r="V59" s="576">
        <f t="shared" si="605"/>
      </c>
      <c r="W59" s="576">
        <f t="shared" si="605"/>
      </c>
      <c r="X59" s="576">
        <f t="shared" si="605"/>
      </c>
      <c r="Y59" s="576">
        <f t="shared" si="605"/>
      </c>
      <c r="Z59" s="576">
        <f t="shared" si="605"/>
      </c>
      <c r="AA59" s="576">
        <f t="shared" si="605"/>
      </c>
      <c r="AB59" s="576">
        <f t="shared" si="605"/>
      </c>
      <c r="AC59" s="576">
        <f t="shared" si="605"/>
      </c>
      <c r="AD59" s="576">
        <f t="shared" si="605"/>
      </c>
      <c r="AE59" s="576">
        <f t="shared" si="605"/>
      </c>
      <c r="AF59" s="576">
        <f t="shared" si="605"/>
      </c>
      <c r="AG59" s="576">
        <f t="shared" si="605"/>
      </c>
      <c r="AH59" s="576">
        <f t="shared" ref="AH59:AW59" si="606">AH$38</f>
      </c>
      <c r="AI59" s="576">
        <f t="shared" si="606"/>
      </c>
      <c r="AJ59" s="576">
        <f t="shared" si="606"/>
      </c>
      <c r="AK59" s="576">
        <f t="shared" si="606"/>
      </c>
      <c r="AL59" s="576">
        <f t="shared" si="606"/>
      </c>
      <c r="AM59" s="576">
        <f t="shared" si="606"/>
      </c>
      <c r="AN59" s="576">
        <f t="shared" si="606"/>
      </c>
      <c r="AO59" s="576">
        <f t="shared" si="606"/>
      </c>
      <c r="AP59" s="576">
        <f t="shared" si="606"/>
      </c>
      <c r="AQ59" s="576">
        <f t="shared" si="606"/>
      </c>
      <c r="AR59" s="576">
        <f t="shared" si="606"/>
      </c>
      <c r="AS59" s="576">
        <f t="shared" si="606"/>
      </c>
      <c r="AT59" s="576">
        <f t="shared" si="606"/>
      </c>
      <c r="AU59" s="576">
        <f t="shared" si="606"/>
      </c>
      <c r="AV59" s="576">
        <f t="shared" si="606"/>
      </c>
      <c r="AW59" s="576">
        <f t="shared" si="606"/>
      </c>
      <c r="AX59" s="576">
        <f t="shared" ref="AX59:BM59" si="607">AX$38</f>
      </c>
      <c r="AY59" s="576">
        <f t="shared" si="607"/>
      </c>
      <c r="AZ59" s="576">
        <f t="shared" si="607"/>
      </c>
      <c r="BA59" s="576">
        <f t="shared" si="607"/>
      </c>
      <c r="BB59" s="576">
        <f t="shared" si="607"/>
      </c>
      <c r="BC59" s="576">
        <f t="shared" si="607"/>
      </c>
      <c r="BD59" s="576">
        <f t="shared" si="607"/>
      </c>
      <c r="BE59" s="576">
        <f t="shared" si="607"/>
      </c>
      <c r="BF59" s="576">
        <f t="shared" si="607"/>
      </c>
      <c r="BG59" s="576">
        <f t="shared" si="607"/>
      </c>
      <c r="BH59" s="576">
        <f t="shared" si="607"/>
      </c>
      <c r="BI59" s="576">
        <f t="shared" si="607"/>
      </c>
      <c r="BJ59" s="576">
        <f t="shared" si="607"/>
      </c>
      <c r="BK59" s="576">
        <f t="shared" si="607"/>
      </c>
      <c r="BL59" s="576">
        <f t="shared" si="607"/>
      </c>
      <c r="BM59" s="576">
        <f t="shared" si="607"/>
      </c>
      <c r="BN59" s="576">
        <f t="shared" ref="BN59:CC59" si="608">BN$38</f>
      </c>
      <c r="BO59" s="576">
        <f t="shared" si="608"/>
      </c>
      <c r="BP59" s="576">
        <f t="shared" si="608"/>
      </c>
      <c r="BQ59" s="578">
        <f t="shared" si="608"/>
      </c>
      <c r="BR59" s="576">
        <f t="shared" si="608"/>
      </c>
      <c r="BS59" s="576">
        <f t="shared" si="608"/>
      </c>
      <c r="BT59" s="576">
        <f t="shared" si="608"/>
      </c>
      <c r="BU59" s="578">
        <f t="shared" si="608"/>
      </c>
      <c r="BV59" s="576">
        <f t="shared" si="608"/>
      </c>
      <c r="BW59" s="576">
        <f t="shared" si="608"/>
      </c>
      <c r="BX59" s="576">
        <f t="shared" si="608"/>
      </c>
      <c r="BY59" s="578">
        <f t="shared" si="608"/>
      </c>
      <c r="BZ59" s="576">
        <f t="shared" si="608"/>
      </c>
      <c r="CA59" s="576">
        <f t="shared" si="608"/>
      </c>
      <c r="CB59" s="576">
        <f t="shared" si="608"/>
      </c>
      <c r="CC59" s="578">
        <f t="shared" si="608"/>
      </c>
      <c r="CD59" s="576">
        <f t="shared" ref="CD59:CS59" si="609">CD$38</f>
      </c>
      <c r="CE59" s="576">
        <f t="shared" si="609"/>
      </c>
      <c r="CF59" s="576">
        <f t="shared" si="609"/>
      </c>
      <c r="CG59" s="578">
        <f t="shared" si="609"/>
      </c>
      <c r="CH59" s="576">
        <f t="shared" si="609"/>
      </c>
      <c r="CI59" s="576">
        <f t="shared" si="609"/>
      </c>
      <c r="CJ59" s="576">
        <f t="shared" si="609"/>
      </c>
      <c r="CK59" s="578">
        <f t="shared" si="609"/>
      </c>
      <c r="CL59" s="576">
        <f t="shared" si="609"/>
      </c>
      <c r="CM59" s="576">
        <f t="shared" si="609"/>
      </c>
      <c r="CN59" s="576">
        <f t="shared" si="609"/>
      </c>
      <c r="CO59" s="578">
        <f t="shared" si="609"/>
      </c>
      <c r="CP59" s="576">
        <f t="shared" si="609"/>
      </c>
      <c r="CQ59" s="576">
        <f t="shared" si="609"/>
      </c>
      <c r="CR59" s="576">
        <f t="shared" si="609"/>
      </c>
      <c r="CS59" s="578">
        <f t="shared" si="609"/>
      </c>
      <c r="CT59" s="576">
        <f t="shared" ref="CT59:EK59" si="610">CT$38</f>
      </c>
      <c r="CU59" s="576">
        <f t="shared" si="610"/>
      </c>
      <c r="CV59" s="576">
        <f t="shared" si="610"/>
      </c>
      <c r="CW59" s="578">
        <f t="shared" si="610"/>
      </c>
      <c r="CX59" s="576">
        <f t="shared" si="610"/>
      </c>
      <c r="CY59" s="576">
        <f t="shared" si="610"/>
      </c>
      <c r="CZ59" s="576">
        <f t="shared" si="610"/>
      </c>
      <c r="DA59" s="578">
        <f t="shared" si="610"/>
      </c>
      <c r="DB59" s="576">
        <f t="shared" si="610"/>
      </c>
      <c r="DC59" s="576">
        <f t="shared" si="610"/>
      </c>
      <c r="DD59" s="576">
        <f t="shared" si="610"/>
      </c>
      <c r="DE59" s="578">
        <f t="shared" si="610"/>
      </c>
      <c r="DF59" s="576">
        <f t="shared" si="610"/>
      </c>
      <c r="DG59" s="576">
        <f t="shared" si="610"/>
      </c>
      <c r="DH59" s="576">
        <f t="shared" si="610"/>
      </c>
      <c r="DI59" s="578">
        <f t="shared" si="610"/>
      </c>
      <c r="DJ59" s="576">
        <f t="shared" si="610"/>
      </c>
      <c r="DK59" s="576">
        <f t="shared" si="610"/>
      </c>
      <c r="DL59" s="576">
        <f t="shared" si="610"/>
      </c>
      <c r="DM59" s="578">
        <f t="shared" si="610"/>
      </c>
      <c r="DN59" s="576">
        <f t="shared" si="610"/>
      </c>
      <c r="DO59" s="576">
        <f t="shared" si="610"/>
      </c>
      <c r="DP59" s="576">
        <f t="shared" si="610"/>
      </c>
      <c r="DQ59" s="578">
        <f t="shared" si="610"/>
      </c>
      <c r="DR59" s="576">
        <f t="shared" si="610"/>
      </c>
      <c r="DS59" s="576">
        <f t="shared" si="610"/>
      </c>
      <c r="DT59" s="576">
        <f t="shared" si="610"/>
      </c>
      <c r="DU59" s="578">
        <f t="shared" si="610"/>
      </c>
      <c r="DV59" s="576">
        <f t="shared" si="610"/>
      </c>
      <c r="DW59" s="576">
        <f t="shared" si="610"/>
      </c>
      <c r="DX59" s="576">
        <f t="shared" si="610"/>
      </c>
      <c r="DY59" s="578">
        <f t="shared" si="610"/>
      </c>
      <c r="DZ59" s="576">
        <f t="shared" si="610"/>
      </c>
      <c r="EA59" s="576">
        <f t="shared" si="610"/>
      </c>
      <c r="EB59" s="576">
        <f t="shared" si="610"/>
      </c>
      <c r="EC59" s="578">
        <f t="shared" si="610"/>
      </c>
      <c r="ED59" s="576">
        <f t="shared" si="610"/>
      </c>
      <c r="EE59" s="576">
        <f t="shared" si="610"/>
      </c>
      <c r="EF59" s="576">
        <f t="shared" si="610"/>
      </c>
      <c r="EG59" s="578">
        <f t="shared" si="610"/>
      </c>
      <c r="EH59" s="576">
        <f t="shared" si="610"/>
      </c>
      <c r="EI59" s="576">
        <f t="shared" si="610"/>
      </c>
      <c r="EJ59" s="576">
        <f t="shared" si="610"/>
      </c>
      <c r="EK59" s="578">
        <f t="shared" si="610"/>
      </c>
      <c r="EL59" s="11"/>
      <c r="EM59" s="698" t="str">
        <f>EM$38</f>
      </c>
      <c r="EN59" s="582" t="str">
        <f t="shared" ref="EN59:FO59" si="611">EN$38</f>
      </c>
      <c r="EO59" s="582" t="str">
        <f t="shared" si="611"/>
      </c>
      <c r="EP59" s="582" t="str">
        <f t="shared" si="611"/>
      </c>
      <c r="EQ59" s="582" t="str">
        <f t="shared" si="611"/>
      </c>
      <c r="ER59" s="582" t="str">
        <f t="shared" si="611"/>
      </c>
      <c r="ES59" s="582" t="str">
        <f t="shared" si="611"/>
      </c>
      <c r="ET59" s="582" t="str">
        <f t="shared" si="611"/>
      </c>
      <c r="EU59" s="582" t="str">
        <f t="shared" si="611"/>
      </c>
      <c r="EV59" s="582" t="str">
        <f t="shared" si="611"/>
      </c>
      <c r="EW59" s="582" t="str">
        <f t="shared" si="611"/>
      </c>
      <c r="EX59" s="582" t="str">
        <f t="shared" si="611"/>
      </c>
      <c r="EY59" s="582" t="str">
        <f t="shared" si="611"/>
      </c>
      <c r="EZ59" s="582" t="str">
        <f t="shared" si="611"/>
      </c>
      <c r="FA59" s="582" t="str">
        <f t="shared" si="611"/>
      </c>
      <c r="FB59" s="582" t="str">
        <f t="shared" si="611"/>
      </c>
      <c r="FC59" s="582" t="str">
        <f t="shared" si="611"/>
      </c>
      <c r="FD59" s="582" t="str">
        <f t="shared" si="611"/>
      </c>
      <c r="FE59" s="582" t="str">
        <f t="shared" si="611"/>
      </c>
      <c r="FF59" s="582" t="str">
        <f t="shared" si="611"/>
      </c>
      <c r="FG59" s="582" t="str">
        <f t="shared" si="611"/>
      </c>
      <c r="FH59" s="582" t="str">
        <f t="shared" si="611"/>
      </c>
      <c r="FI59" s="582" t="str">
        <f t="shared" si="611"/>
      </c>
      <c r="FJ59" s="582" t="str">
        <f t="shared" si="611"/>
      </c>
      <c r="FK59" s="582" t="str">
        <f t="shared" si="611"/>
      </c>
      <c r="FL59" s="698" t="str">
        <f t="shared" si="611"/>
      </c>
      <c r="FM59" s="582" t="str">
        <f t="shared" si="611"/>
      </c>
      <c r="FN59" s="582" t="str">
        <f t="shared" si="611"/>
      </c>
      <c r="FO59" s="582" t="str">
        <f t="shared" si="611"/>
      </c>
      <c r="FP59" s="582" t="str">
        <f t="shared" ref="FP59" si="612">FP$38</f>
      </c>
      <c r="FQ59" s="582" t="str">
        <f t="shared" ref="FQ59:FU59" si="613">FQ$38</f>
      </c>
      <c r="FR59" s="582" t="str">
        <f t="shared" si="613"/>
      </c>
      <c r="FS59" s="582" t="str">
        <f t="shared" si="613"/>
      </c>
      <c r="FT59" s="582" t="str">
        <f t="shared" si="613"/>
      </c>
      <c r="FU59" s="2894" t="str">
        <f t="shared" si="613"/>
      </c>
      <c r="FV59" s="152"/>
      <c r="FW59" s="582">
        <v>1996</v>
      </c>
      <c r="FX59" s="582">
        <v>1997</v>
      </c>
      <c r="FY59" s="582">
        <v>1998</v>
      </c>
      <c r="FZ59" s="582">
        <v>1999</v>
      </c>
      <c r="GA59" s="582" t="s">
        <v>896</v>
      </c>
      <c r="GB59" s="582" t="s">
        <v>897</v>
      </c>
      <c r="GC59" s="582" t="s">
        <v>898</v>
      </c>
      <c r="GD59" s="582" t="s">
        <v>899</v>
      </c>
      <c r="GE59" s="582" t="s">
        <v>900</v>
      </c>
      <c r="GF59" s="582" t="s">
        <v>901</v>
      </c>
      <c r="GG59" s="582" t="s">
        <v>902</v>
      </c>
      <c r="GH59" s="582" t="s">
        <v>903</v>
      </c>
      <c r="GI59" s="582" t="s">
        <v>904</v>
      </c>
      <c r="GJ59" s="582" t="s">
        <v>905</v>
      </c>
      <c r="GK59" s="582" t="s">
        <v>906</v>
      </c>
      <c r="GL59" s="582" t="s">
        <v>907</v>
      </c>
      <c r="GM59" s="582" t="s">
        <v>908</v>
      </c>
      <c r="GN59" s="582" t="s">
        <v>909</v>
      </c>
      <c r="GO59" s="582" t="s">
        <v>910</v>
      </c>
      <c r="GP59" s="582" t="s">
        <v>911</v>
      </c>
      <c r="GQ59" s="582" t="str">
        <f t="shared" ref="GQ59:GX59" si="614">GQ$38</f>
      </c>
      <c r="GR59" s="582" t="str">
        <f t="shared" si="614"/>
      </c>
      <c r="GS59" s="582" t="str">
        <f t="shared" si="614"/>
      </c>
      <c r="GT59" s="582" t="str">
        <f t="shared" si="614"/>
      </c>
      <c r="GU59" s="582" t="str">
        <f t="shared" si="614"/>
      </c>
      <c r="GV59" s="582" t="str">
        <f t="shared" si="614"/>
      </c>
      <c r="GW59" s="582" t="str">
        <f t="shared" si="614"/>
      </c>
      <c r="GX59" s="582" t="str">
        <f t="shared" si="614"/>
      </c>
      <c r="GY59" s="582" t="str">
        <f t="shared" ref="GY59" si="615">GY$38</f>
      </c>
      <c r="GZ59" s="582" t="str">
        <f t="shared" ref="GZ59:HD59" si="616">GZ$38</f>
      </c>
      <c r="HA59" s="582" t="str">
        <f t="shared" si="616"/>
      </c>
      <c r="HB59" s="582" t="str">
        <f t="shared" si="616"/>
      </c>
      <c r="HC59" s="582" t="str">
        <f t="shared" si="616"/>
      </c>
      <c r="HD59" s="582" t="str">
        <f t="shared" si="616"/>
      </c>
    </row>
    <row r="60" spans="1:212" s="58" customFormat="1">
      <c r="A60" s="612" t="str">
        <f t="shared" ref="A60:A68" si="617">A9</f>
      </c>
      <c r="B60" s="613">
        <f t="shared" ref="B60:AG60" si="618">B9/B$9</f>
      </c>
      <c r="C60" s="613">
        <f t="shared" si="618"/>
      </c>
      <c r="D60" s="613">
        <f t="shared" si="618"/>
      </c>
      <c r="E60" s="614">
        <f t="shared" si="618"/>
      </c>
      <c r="F60" s="613">
        <f t="shared" si="618"/>
      </c>
      <c r="G60" s="613">
        <f t="shared" si="618"/>
      </c>
      <c r="H60" s="613">
        <f t="shared" si="618"/>
      </c>
      <c r="I60" s="613">
        <f t="shared" si="618"/>
      </c>
      <c r="J60" s="613">
        <f t="shared" si="618"/>
      </c>
      <c r="K60" s="613">
        <f t="shared" si="618"/>
      </c>
      <c r="L60" s="613">
        <f t="shared" si="618"/>
      </c>
      <c r="M60" s="613">
        <f t="shared" si="618"/>
      </c>
      <c r="N60" s="613">
        <f t="shared" si="618"/>
      </c>
      <c r="O60" s="613">
        <f t="shared" si="618"/>
      </c>
      <c r="P60" s="613">
        <f t="shared" si="618"/>
      </c>
      <c r="Q60" s="613">
        <f t="shared" si="618"/>
      </c>
      <c r="R60" s="613">
        <f t="shared" si="618"/>
      </c>
      <c r="S60" s="613">
        <f t="shared" si="618"/>
      </c>
      <c r="T60" s="613">
        <f t="shared" si="618"/>
      </c>
      <c r="U60" s="613">
        <f t="shared" si="618"/>
      </c>
      <c r="V60" s="613">
        <f t="shared" si="618"/>
      </c>
      <c r="W60" s="613">
        <f t="shared" si="618"/>
      </c>
      <c r="X60" s="613">
        <f t="shared" si="618"/>
      </c>
      <c r="Y60" s="613">
        <f t="shared" si="618"/>
      </c>
      <c r="Z60" s="613">
        <f t="shared" si="618"/>
      </c>
      <c r="AA60" s="613">
        <f t="shared" si="618"/>
      </c>
      <c r="AB60" s="613">
        <f t="shared" si="618"/>
      </c>
      <c r="AC60" s="613">
        <f t="shared" si="618"/>
      </c>
      <c r="AD60" s="613">
        <f t="shared" si="618"/>
      </c>
      <c r="AE60" s="613">
        <f t="shared" si="618"/>
      </c>
      <c r="AF60" s="613">
        <f t="shared" si="618"/>
      </c>
      <c r="AG60" s="613">
        <f t="shared" si="618"/>
      </c>
      <c r="AH60" s="613">
        <f t="shared" ref="AH60:BM60" si="619">AH9/AH$9</f>
      </c>
      <c r="AI60" s="613">
        <f t="shared" si="619"/>
      </c>
      <c r="AJ60" s="613">
        <f t="shared" si="619"/>
      </c>
      <c r="AK60" s="613">
        <f t="shared" si="619"/>
      </c>
      <c r="AL60" s="613">
        <f t="shared" si="619"/>
      </c>
      <c r="AM60" s="613">
        <f t="shared" si="619"/>
      </c>
      <c r="AN60" s="613">
        <f t="shared" si="619"/>
      </c>
      <c r="AO60" s="613">
        <f t="shared" si="619"/>
      </c>
      <c r="AP60" s="613">
        <f t="shared" si="619"/>
      </c>
      <c r="AQ60" s="613">
        <f t="shared" si="619"/>
      </c>
      <c r="AR60" s="613">
        <f t="shared" si="619"/>
      </c>
      <c r="AS60" s="613">
        <f t="shared" si="619"/>
      </c>
      <c r="AT60" s="613">
        <f t="shared" si="619"/>
      </c>
      <c r="AU60" s="613">
        <f t="shared" si="619"/>
      </c>
      <c r="AV60" s="613">
        <f t="shared" si="619"/>
      </c>
      <c r="AW60" s="613">
        <f t="shared" si="619"/>
      </c>
      <c r="AX60" s="613">
        <f t="shared" si="619"/>
      </c>
      <c r="AY60" s="613">
        <f t="shared" si="619"/>
      </c>
      <c r="AZ60" s="613">
        <f t="shared" si="619"/>
      </c>
      <c r="BA60" s="613">
        <f t="shared" si="619"/>
      </c>
      <c r="BB60" s="613">
        <f t="shared" si="619"/>
      </c>
      <c r="BC60" s="613">
        <f t="shared" si="619"/>
      </c>
      <c r="BD60" s="613">
        <f t="shared" si="619"/>
      </c>
      <c r="BE60" s="613">
        <f t="shared" si="619"/>
      </c>
      <c r="BF60" s="613">
        <f t="shared" si="619"/>
      </c>
      <c r="BG60" s="613">
        <f t="shared" si="619"/>
      </c>
      <c r="BH60" s="613">
        <f t="shared" si="619"/>
      </c>
      <c r="BI60" s="613">
        <f t="shared" si="619"/>
      </c>
      <c r="BJ60" s="613">
        <f t="shared" si="619"/>
      </c>
      <c r="BK60" s="613">
        <f t="shared" si="619"/>
      </c>
      <c r="BL60" s="613">
        <f t="shared" si="619"/>
      </c>
      <c r="BM60" s="613">
        <f t="shared" si="619"/>
      </c>
      <c r="BN60" s="613">
        <f t="shared" ref="BN60:CS60" si="620">BN9/BN$9</f>
      </c>
      <c r="BO60" s="613">
        <f t="shared" si="620"/>
      </c>
      <c r="BP60" s="613">
        <f t="shared" si="620"/>
      </c>
      <c r="BQ60" s="615">
        <f t="shared" si="620"/>
      </c>
      <c r="BR60" s="613">
        <f t="shared" si="620"/>
      </c>
      <c r="BS60" s="613">
        <f t="shared" si="620"/>
      </c>
      <c r="BT60" s="613">
        <f t="shared" si="620"/>
      </c>
      <c r="BU60" s="615">
        <f t="shared" si="620"/>
      </c>
      <c r="BV60" s="613">
        <f t="shared" si="620"/>
      </c>
      <c r="BW60" s="613">
        <f t="shared" si="620"/>
      </c>
      <c r="BX60" s="613">
        <f t="shared" si="620"/>
      </c>
      <c r="BY60" s="615">
        <f t="shared" si="620"/>
      </c>
      <c r="BZ60" s="613">
        <f t="shared" si="620"/>
      </c>
      <c r="CA60" s="613">
        <f t="shared" si="620"/>
      </c>
      <c r="CB60" s="613">
        <f t="shared" si="620"/>
      </c>
      <c r="CC60" s="615">
        <f t="shared" si="620"/>
      </c>
      <c r="CD60" s="613">
        <f t="shared" si="620"/>
      </c>
      <c r="CE60" s="613">
        <f t="shared" si="620"/>
      </c>
      <c r="CF60" s="613">
        <f t="shared" si="620"/>
      </c>
      <c r="CG60" s="615">
        <f t="shared" si="620"/>
      </c>
      <c r="CH60" s="613">
        <f t="shared" si="620"/>
      </c>
      <c r="CI60" s="613">
        <f t="shared" si="620"/>
      </c>
      <c r="CJ60" s="613">
        <f t="shared" si="620"/>
      </c>
      <c r="CK60" s="615">
        <f t="shared" si="620"/>
      </c>
      <c r="CL60" s="613">
        <f t="shared" si="620"/>
      </c>
      <c r="CM60" s="613">
        <f t="shared" si="620"/>
      </c>
      <c r="CN60" s="613">
        <f t="shared" si="620"/>
      </c>
      <c r="CO60" s="615">
        <f t="shared" si="620"/>
      </c>
      <c r="CP60" s="613">
        <f t="shared" si="620"/>
      </c>
      <c r="CQ60" s="613">
        <f t="shared" si="620"/>
      </c>
      <c r="CR60" s="613">
        <f t="shared" si="620"/>
      </c>
      <c r="CS60" s="615">
        <f t="shared" si="620"/>
      </c>
      <c r="CT60" s="613">
        <f t="shared" ref="CT60:DU60" si="621">CT9/CT$9</f>
      </c>
      <c r="CU60" s="613">
        <f t="shared" si="621"/>
      </c>
      <c r="CV60" s="613">
        <f t="shared" si="621"/>
      </c>
      <c r="CW60" s="615">
        <f t="shared" si="621"/>
      </c>
      <c r="CX60" s="613">
        <f t="shared" si="621"/>
      </c>
      <c r="CY60" s="613">
        <f t="shared" si="621"/>
      </c>
      <c r="CZ60" s="613">
        <f t="shared" si="621"/>
      </c>
      <c r="DA60" s="615">
        <f t="shared" si="621"/>
      </c>
      <c r="DB60" s="613">
        <f t="shared" si="621"/>
      </c>
      <c r="DC60" s="613">
        <f t="shared" si="621"/>
      </c>
      <c r="DD60" s="613">
        <f t="shared" si="621"/>
      </c>
      <c r="DE60" s="615">
        <f t="shared" si="621"/>
      </c>
      <c r="DF60" s="613">
        <f t="shared" si="621"/>
      </c>
      <c r="DG60" s="613">
        <f t="shared" si="621"/>
      </c>
      <c r="DH60" s="613">
        <f t="shared" si="621"/>
      </c>
      <c r="DI60" s="615">
        <f t="shared" si="621"/>
      </c>
      <c r="DJ60" s="613">
        <f t="shared" si="621"/>
      </c>
      <c r="DK60" s="613">
        <f t="shared" si="621"/>
      </c>
      <c r="DL60" s="613">
        <f t="shared" si="621"/>
      </c>
      <c r="DM60" s="615">
        <f t="shared" si="621"/>
      </c>
      <c r="DN60" s="613">
        <f t="shared" si="621"/>
      </c>
      <c r="DO60" s="613">
        <f t="shared" si="621"/>
      </c>
      <c r="DP60" s="613">
        <f t="shared" si="621"/>
      </c>
      <c r="DQ60" s="615">
        <f t="shared" si="621"/>
      </c>
      <c r="DR60" s="613">
        <f t="shared" si="621"/>
      </c>
      <c r="DS60" s="613">
        <f t="shared" si="621"/>
      </c>
      <c r="DT60" s="613">
        <f t="shared" si="621"/>
      </c>
      <c r="DU60" s="615">
        <f t="shared" si="621"/>
      </c>
      <c r="DV60" s="613">
        <f t="shared" ref="DV60:EK60" si="622">DV9/DV$9</f>
      </c>
      <c r="DW60" s="613">
        <f t="shared" si="622"/>
      </c>
      <c r="DX60" s="613">
        <f t="shared" si="622"/>
      </c>
      <c r="DY60" s="615">
        <f t="shared" si="622"/>
      </c>
      <c r="DZ60" s="613">
        <f t="shared" si="622"/>
      </c>
      <c r="EA60" s="613">
        <f t="shared" si="622"/>
      </c>
      <c r="EB60" s="613">
        <f t="shared" si="622"/>
      </c>
      <c r="EC60" s="615">
        <f t="shared" si="622"/>
      </c>
      <c r="ED60" s="613">
        <f t="shared" si="622"/>
      </c>
      <c r="EE60" s="613">
        <f t="shared" si="622"/>
      </c>
      <c r="EF60" s="613">
        <f t="shared" si="622"/>
      </c>
      <c r="EG60" s="615">
        <f t="shared" si="622"/>
      </c>
      <c r="EH60" s="613">
        <f t="shared" si="622"/>
      </c>
      <c r="EI60" s="613">
        <f t="shared" si="622"/>
      </c>
      <c r="EJ60" s="613">
        <f t="shared" si="622"/>
      </c>
      <c r="EK60" s="615">
        <f t="shared" si="622"/>
      </c>
      <c r="EL60" s="11"/>
      <c r="EM60" s="699">
        <f t="shared" ref="EM60:FQ60" si="623">EM9/EM$9</f>
      </c>
      <c r="EN60" s="628">
        <f t="shared" si="623"/>
      </c>
      <c r="EO60" s="628">
        <f t="shared" si="623"/>
      </c>
      <c r="EP60" s="628">
        <f t="shared" si="623"/>
      </c>
      <c r="EQ60" s="628">
        <f t="shared" si="623"/>
      </c>
      <c r="ER60" s="628">
        <f t="shared" si="623"/>
      </c>
      <c r="ES60" s="628">
        <f t="shared" si="623"/>
      </c>
      <c r="ET60" s="628">
        <f t="shared" si="623"/>
      </c>
      <c r="EU60" s="628">
        <f t="shared" si="623"/>
      </c>
      <c r="EV60" s="628">
        <f t="shared" si="623"/>
      </c>
      <c r="EW60" s="628">
        <f t="shared" si="623"/>
      </c>
      <c r="EX60" s="628">
        <f t="shared" si="623"/>
      </c>
      <c r="EY60" s="628">
        <f t="shared" si="623"/>
      </c>
      <c r="EZ60" s="628">
        <f t="shared" si="623"/>
      </c>
      <c r="FA60" s="628">
        <f t="shared" si="623"/>
      </c>
      <c r="FB60" s="628">
        <f t="shared" si="623"/>
      </c>
      <c r="FC60" s="628">
        <f t="shared" si="623"/>
      </c>
      <c r="FD60" s="628">
        <f t="shared" si="623"/>
      </c>
      <c r="FE60" s="628">
        <f t="shared" si="623"/>
      </c>
      <c r="FF60" s="628">
        <f t="shared" si="623"/>
      </c>
      <c r="FG60" s="628">
        <f t="shared" si="623"/>
      </c>
      <c r="FH60" s="628">
        <f t="shared" si="623"/>
      </c>
      <c r="FI60" s="628">
        <f t="shared" si="623"/>
      </c>
      <c r="FJ60" s="628">
        <f t="shared" si="623"/>
      </c>
      <c r="FK60" s="628">
        <f t="shared" si="623"/>
      </c>
      <c r="FL60" s="699">
        <f t="shared" si="623"/>
      </c>
      <c r="FM60" s="628">
        <f t="shared" si="623"/>
      </c>
      <c r="FN60" s="628">
        <f t="shared" si="623"/>
      </c>
      <c r="FO60" s="628">
        <f t="shared" si="623"/>
      </c>
      <c r="FP60" s="628">
        <f t="shared" si="623"/>
      </c>
      <c r="FQ60" s="628">
        <f t="shared" si="623"/>
      </c>
      <c r="FR60" s="628">
        <f t="shared" ref="FR60:FU60" si="624">FR9/FR$9</f>
      </c>
      <c r="FS60" s="628">
        <f t="shared" si="624"/>
      </c>
      <c r="FT60" s="628">
        <f t="shared" si="624"/>
      </c>
      <c r="FU60" s="2905">
        <f t="shared" si="624"/>
      </c>
      <c r="FV60" s="88"/>
      <c r="FW60" s="628">
        <f t="shared" ref="FW60:GZ60" si="625">FW9/FW$9</f>
      </c>
      <c r="FX60" s="628">
        <f t="shared" si="625"/>
      </c>
      <c r="FY60" s="628">
        <f t="shared" si="625"/>
      </c>
      <c r="FZ60" s="628">
        <f t="shared" si="625"/>
      </c>
      <c r="GA60" s="628">
        <f t="shared" si="625"/>
      </c>
      <c r="GB60" s="628">
        <f t="shared" si="625"/>
      </c>
      <c r="GC60" s="628">
        <f t="shared" si="625"/>
      </c>
      <c r="GD60" s="628">
        <f t="shared" si="625"/>
      </c>
      <c r="GE60" s="628">
        <f t="shared" si="625"/>
      </c>
      <c r="GF60" s="628">
        <f t="shared" si="625"/>
      </c>
      <c r="GG60" s="628">
        <f t="shared" si="625"/>
      </c>
      <c r="GH60" s="628">
        <f t="shared" si="625"/>
      </c>
      <c r="GI60" s="628">
        <f t="shared" si="625"/>
      </c>
      <c r="GJ60" s="628">
        <f t="shared" si="625"/>
      </c>
      <c r="GK60" s="628">
        <f t="shared" si="625"/>
      </c>
      <c r="GL60" s="628">
        <f t="shared" si="625"/>
      </c>
      <c r="GM60" s="628">
        <f t="shared" si="625"/>
      </c>
      <c r="GN60" s="628">
        <f t="shared" si="625"/>
      </c>
      <c r="GO60" s="628">
        <f t="shared" si="625"/>
      </c>
      <c r="GP60" s="628">
        <f t="shared" si="625"/>
      </c>
      <c r="GQ60" s="628">
        <f t="shared" si="625"/>
      </c>
      <c r="GR60" s="628">
        <f t="shared" si="625"/>
      </c>
      <c r="GS60" s="628">
        <f t="shared" si="625"/>
      </c>
      <c r="GT60" s="628">
        <f t="shared" si="625"/>
      </c>
      <c r="GU60" s="628">
        <f t="shared" si="625"/>
      </c>
      <c r="GV60" s="628">
        <f t="shared" si="625"/>
      </c>
      <c r="GW60" s="628">
        <f t="shared" si="625"/>
      </c>
      <c r="GX60" s="628">
        <f t="shared" si="625"/>
      </c>
      <c r="GY60" s="628">
        <f t="shared" si="625"/>
      </c>
      <c r="GZ60" s="628">
        <f t="shared" si="625"/>
      </c>
      <c r="HA60" s="628">
        <f t="shared" ref="HA60:HD60" si="626">HA9/HA$9</f>
      </c>
      <c r="HB60" s="628">
        <f t="shared" si="626"/>
      </c>
      <c r="HC60" s="628">
        <f t="shared" si="626"/>
      </c>
      <c r="HD60" s="628">
        <f t="shared" si="626"/>
      </c>
    </row>
    <row r="61" spans="1:212" s="58" customFormat="1">
      <c r="A61" s="612" t="str">
        <f t="shared" si="617"/>
      </c>
      <c r="B61" s="613">
        <f t="shared" ref="B61:AG61" si="627">B10/B$9</f>
      </c>
      <c r="C61" s="613">
        <f t="shared" si="627"/>
      </c>
      <c r="D61" s="613">
        <f t="shared" si="627"/>
      </c>
      <c r="E61" s="614">
        <f t="shared" si="627"/>
      </c>
      <c r="F61" s="613">
        <f t="shared" si="627"/>
      </c>
      <c r="G61" s="613">
        <f t="shared" si="627"/>
      </c>
      <c r="H61" s="613">
        <f t="shared" si="627"/>
      </c>
      <c r="I61" s="613">
        <f t="shared" si="627"/>
      </c>
      <c r="J61" s="613">
        <f t="shared" si="627"/>
      </c>
      <c r="K61" s="613">
        <f t="shared" si="627"/>
      </c>
      <c r="L61" s="613">
        <f t="shared" si="627"/>
      </c>
      <c r="M61" s="613">
        <f t="shared" si="627"/>
      </c>
      <c r="N61" s="613">
        <f t="shared" si="627"/>
      </c>
      <c r="O61" s="613">
        <f t="shared" si="627"/>
      </c>
      <c r="P61" s="613">
        <f t="shared" si="627"/>
      </c>
      <c r="Q61" s="613">
        <f t="shared" si="627"/>
      </c>
      <c r="R61" s="613">
        <f t="shared" si="627"/>
      </c>
      <c r="S61" s="613">
        <f t="shared" si="627"/>
      </c>
      <c r="T61" s="613">
        <f t="shared" si="627"/>
      </c>
      <c r="U61" s="613">
        <f t="shared" si="627"/>
      </c>
      <c r="V61" s="613">
        <f t="shared" si="627"/>
      </c>
      <c r="W61" s="613">
        <f t="shared" si="627"/>
      </c>
      <c r="X61" s="613">
        <f t="shared" si="627"/>
      </c>
      <c r="Y61" s="613">
        <f t="shared" si="627"/>
      </c>
      <c r="Z61" s="613">
        <f t="shared" si="627"/>
      </c>
      <c r="AA61" s="613">
        <f t="shared" si="627"/>
      </c>
      <c r="AB61" s="613">
        <f t="shared" si="627"/>
      </c>
      <c r="AC61" s="613">
        <f t="shared" si="627"/>
      </c>
      <c r="AD61" s="613">
        <f t="shared" si="627"/>
      </c>
      <c r="AE61" s="613">
        <f t="shared" si="627"/>
      </c>
      <c r="AF61" s="613">
        <f t="shared" si="627"/>
      </c>
      <c r="AG61" s="613">
        <f t="shared" si="627"/>
      </c>
      <c r="AH61" s="613">
        <f t="shared" ref="AH61:BM61" si="628">AH10/AH$9</f>
      </c>
      <c r="AI61" s="613">
        <f t="shared" si="628"/>
      </c>
      <c r="AJ61" s="613">
        <f t="shared" si="628"/>
      </c>
      <c r="AK61" s="613">
        <f t="shared" si="628"/>
      </c>
      <c r="AL61" s="613">
        <f t="shared" si="628"/>
      </c>
      <c r="AM61" s="613">
        <f t="shared" si="628"/>
      </c>
      <c r="AN61" s="613">
        <f t="shared" si="628"/>
      </c>
      <c r="AO61" s="613">
        <f t="shared" si="628"/>
      </c>
      <c r="AP61" s="613">
        <f t="shared" si="628"/>
      </c>
      <c r="AQ61" s="613">
        <f t="shared" si="628"/>
      </c>
      <c r="AR61" s="613">
        <f t="shared" si="628"/>
      </c>
      <c r="AS61" s="613">
        <f t="shared" si="628"/>
      </c>
      <c r="AT61" s="613">
        <f t="shared" si="628"/>
      </c>
      <c r="AU61" s="613">
        <f t="shared" si="628"/>
      </c>
      <c r="AV61" s="613">
        <f t="shared" si="628"/>
      </c>
      <c r="AW61" s="613">
        <f t="shared" si="628"/>
      </c>
      <c r="AX61" s="613">
        <f t="shared" si="628"/>
      </c>
      <c r="AY61" s="613">
        <f t="shared" si="628"/>
      </c>
      <c r="AZ61" s="613">
        <f t="shared" si="628"/>
      </c>
      <c r="BA61" s="613">
        <f t="shared" si="628"/>
      </c>
      <c r="BB61" s="613">
        <f t="shared" si="628"/>
      </c>
      <c r="BC61" s="613">
        <f t="shared" si="628"/>
      </c>
      <c r="BD61" s="613">
        <f t="shared" si="628"/>
      </c>
      <c r="BE61" s="613">
        <f t="shared" si="628"/>
      </c>
      <c r="BF61" s="613">
        <f t="shared" si="628"/>
      </c>
      <c r="BG61" s="613">
        <f t="shared" si="628"/>
      </c>
      <c r="BH61" s="613">
        <f t="shared" si="628"/>
      </c>
      <c r="BI61" s="613">
        <f t="shared" si="628"/>
      </c>
      <c r="BJ61" s="613">
        <f t="shared" si="628"/>
      </c>
      <c r="BK61" s="613">
        <f t="shared" si="628"/>
      </c>
      <c r="BL61" s="613">
        <f t="shared" si="628"/>
      </c>
      <c r="BM61" s="613">
        <f t="shared" si="628"/>
      </c>
      <c r="BN61" s="613">
        <f t="shared" ref="BN61:CS61" si="629">BN10/BN$9</f>
      </c>
      <c r="BO61" s="613">
        <f t="shared" si="629"/>
      </c>
      <c r="BP61" s="613">
        <f t="shared" si="629"/>
      </c>
      <c r="BQ61" s="615">
        <f t="shared" si="629"/>
      </c>
      <c r="BR61" s="613">
        <f t="shared" si="629"/>
      </c>
      <c r="BS61" s="613">
        <f t="shared" si="629"/>
      </c>
      <c r="BT61" s="613">
        <f t="shared" si="629"/>
      </c>
      <c r="BU61" s="615">
        <f t="shared" si="629"/>
      </c>
      <c r="BV61" s="613">
        <f t="shared" si="629"/>
      </c>
      <c r="BW61" s="613">
        <f t="shared" si="629"/>
      </c>
      <c r="BX61" s="613">
        <f t="shared" si="629"/>
      </c>
      <c r="BY61" s="615">
        <f t="shared" si="629"/>
      </c>
      <c r="BZ61" s="613">
        <f t="shared" si="629"/>
      </c>
      <c r="CA61" s="613">
        <f t="shared" si="629"/>
      </c>
      <c r="CB61" s="613">
        <f t="shared" si="629"/>
      </c>
      <c r="CC61" s="615">
        <f t="shared" si="629"/>
      </c>
      <c r="CD61" s="613">
        <f t="shared" si="629"/>
      </c>
      <c r="CE61" s="613">
        <f t="shared" si="629"/>
      </c>
      <c r="CF61" s="613">
        <f t="shared" si="629"/>
      </c>
      <c r="CG61" s="615">
        <f t="shared" si="629"/>
      </c>
      <c r="CH61" s="613">
        <f t="shared" si="629"/>
      </c>
      <c r="CI61" s="613">
        <f t="shared" si="629"/>
      </c>
      <c r="CJ61" s="613">
        <f t="shared" si="629"/>
      </c>
      <c r="CK61" s="615">
        <f t="shared" si="629"/>
      </c>
      <c r="CL61" s="613">
        <f t="shared" si="629"/>
      </c>
      <c r="CM61" s="613">
        <f t="shared" si="629"/>
      </c>
      <c r="CN61" s="613">
        <f t="shared" si="629"/>
      </c>
      <c r="CO61" s="615">
        <f t="shared" si="629"/>
      </c>
      <c r="CP61" s="613">
        <f t="shared" si="629"/>
      </c>
      <c r="CQ61" s="613">
        <f t="shared" si="629"/>
      </c>
      <c r="CR61" s="613">
        <f t="shared" si="629"/>
      </c>
      <c r="CS61" s="615">
        <f t="shared" si="629"/>
      </c>
      <c r="CT61" s="613">
        <f t="shared" ref="CT61:DU61" si="630">CT10/CT$9</f>
      </c>
      <c r="CU61" s="613">
        <f t="shared" si="630"/>
      </c>
      <c r="CV61" s="613">
        <f t="shared" si="630"/>
      </c>
      <c r="CW61" s="615">
        <f t="shared" si="630"/>
      </c>
      <c r="CX61" s="613">
        <f t="shared" si="630"/>
      </c>
      <c r="CY61" s="613">
        <f t="shared" si="630"/>
      </c>
      <c r="CZ61" s="613">
        <f t="shared" si="630"/>
      </c>
      <c r="DA61" s="615">
        <f t="shared" si="630"/>
      </c>
      <c r="DB61" s="613">
        <f t="shared" si="630"/>
      </c>
      <c r="DC61" s="613">
        <f t="shared" si="630"/>
      </c>
      <c r="DD61" s="613">
        <f t="shared" si="630"/>
      </c>
      <c r="DE61" s="615">
        <f t="shared" si="630"/>
      </c>
      <c r="DF61" s="613">
        <f t="shared" si="630"/>
      </c>
      <c r="DG61" s="613">
        <f t="shared" si="630"/>
      </c>
      <c r="DH61" s="613">
        <f t="shared" si="630"/>
      </c>
      <c r="DI61" s="615">
        <f t="shared" si="630"/>
      </c>
      <c r="DJ61" s="613">
        <f t="shared" si="630"/>
      </c>
      <c r="DK61" s="613">
        <f t="shared" si="630"/>
      </c>
      <c r="DL61" s="613">
        <f t="shared" si="630"/>
      </c>
      <c r="DM61" s="615">
        <f t="shared" si="630"/>
      </c>
      <c r="DN61" s="613">
        <f t="shared" si="630"/>
      </c>
      <c r="DO61" s="613">
        <f t="shared" si="630"/>
      </c>
      <c r="DP61" s="613">
        <f t="shared" si="630"/>
      </c>
      <c r="DQ61" s="615">
        <f t="shared" si="630"/>
      </c>
      <c r="DR61" s="613">
        <f t="shared" si="630"/>
      </c>
      <c r="DS61" s="613">
        <f t="shared" si="630"/>
      </c>
      <c r="DT61" s="613">
        <f t="shared" si="630"/>
      </c>
      <c r="DU61" s="615">
        <f t="shared" si="630"/>
      </c>
      <c r="DV61" s="613">
        <f t="shared" ref="DV61:EK61" si="631">DV10/DV$9</f>
      </c>
      <c r="DW61" s="613">
        <f t="shared" si="631"/>
      </c>
      <c r="DX61" s="613">
        <f t="shared" si="631"/>
      </c>
      <c r="DY61" s="615">
        <f t="shared" si="631"/>
      </c>
      <c r="DZ61" s="613">
        <f t="shared" si="631"/>
      </c>
      <c r="EA61" s="613">
        <f t="shared" si="631"/>
      </c>
      <c r="EB61" s="613">
        <f t="shared" si="631"/>
      </c>
      <c r="EC61" s="615">
        <f t="shared" si="631"/>
      </c>
      <c r="ED61" s="613">
        <f t="shared" si="631"/>
      </c>
      <c r="EE61" s="613">
        <f t="shared" si="631"/>
      </c>
      <c r="EF61" s="613">
        <f t="shared" si="631"/>
      </c>
      <c r="EG61" s="615">
        <f t="shared" si="631"/>
      </c>
      <c r="EH61" s="613">
        <f t="shared" si="631"/>
      </c>
      <c r="EI61" s="613">
        <f t="shared" si="631"/>
      </c>
      <c r="EJ61" s="613">
        <f t="shared" si="631"/>
      </c>
      <c r="EK61" s="615">
        <f t="shared" si="631"/>
      </c>
      <c r="EL61" s="11"/>
      <c r="EM61" s="700">
        <f t="shared" ref="EM61:FQ61" si="632">EM10/EM$9</f>
      </c>
      <c r="EN61" s="613">
        <f t="shared" si="632"/>
      </c>
      <c r="EO61" s="613">
        <f t="shared" si="632"/>
      </c>
      <c r="EP61" s="613">
        <f t="shared" si="632"/>
      </c>
      <c r="EQ61" s="613">
        <f t="shared" si="632"/>
      </c>
      <c r="ER61" s="613">
        <f t="shared" si="632"/>
      </c>
      <c r="ES61" s="613">
        <f t="shared" si="632"/>
      </c>
      <c r="ET61" s="613">
        <f t="shared" si="632"/>
      </c>
      <c r="EU61" s="613">
        <f t="shared" si="632"/>
      </c>
      <c r="EV61" s="613">
        <f t="shared" si="632"/>
      </c>
      <c r="EW61" s="613">
        <f t="shared" si="632"/>
      </c>
      <c r="EX61" s="613">
        <f t="shared" si="632"/>
      </c>
      <c r="EY61" s="613">
        <f t="shared" si="632"/>
      </c>
      <c r="EZ61" s="613">
        <f t="shared" si="632"/>
      </c>
      <c r="FA61" s="613">
        <f t="shared" si="632"/>
      </c>
      <c r="FB61" s="613">
        <f t="shared" si="632"/>
      </c>
      <c r="FC61" s="613">
        <f t="shared" si="632"/>
      </c>
      <c r="FD61" s="613">
        <f t="shared" si="632"/>
      </c>
      <c r="FE61" s="613">
        <f t="shared" si="632"/>
      </c>
      <c r="FF61" s="613">
        <f t="shared" si="632"/>
      </c>
      <c r="FG61" s="613">
        <f t="shared" si="632"/>
      </c>
      <c r="FH61" s="613">
        <f t="shared" si="632"/>
      </c>
      <c r="FI61" s="613">
        <f t="shared" si="632"/>
      </c>
      <c r="FJ61" s="613">
        <f t="shared" si="632"/>
      </c>
      <c r="FK61" s="613">
        <f t="shared" si="632"/>
      </c>
      <c r="FL61" s="700">
        <f t="shared" si="632"/>
      </c>
      <c r="FM61" s="613">
        <f t="shared" si="632"/>
      </c>
      <c r="FN61" s="613">
        <f t="shared" si="632"/>
      </c>
      <c r="FO61" s="613">
        <f t="shared" si="632"/>
      </c>
      <c r="FP61" s="613">
        <f t="shared" si="632"/>
      </c>
      <c r="FQ61" s="613">
        <f t="shared" si="632"/>
      </c>
      <c r="FR61" s="613">
        <f t="shared" ref="FR61:FU61" si="633">FR10/FR$9</f>
      </c>
      <c r="FS61" s="613">
        <f t="shared" si="633"/>
      </c>
      <c r="FT61" s="613">
        <f t="shared" si="633"/>
      </c>
      <c r="FU61" s="2906">
        <f t="shared" si="633"/>
      </c>
      <c r="FV61" s="88"/>
      <c r="FW61" s="613">
        <f t="shared" ref="FW61:GZ61" si="634">FW10/FW$9</f>
      </c>
      <c r="FX61" s="613">
        <f t="shared" si="634"/>
      </c>
      <c r="FY61" s="613">
        <f t="shared" si="634"/>
      </c>
      <c r="FZ61" s="613">
        <f t="shared" si="634"/>
      </c>
      <c r="GA61" s="613">
        <f t="shared" si="634"/>
      </c>
      <c r="GB61" s="613">
        <f t="shared" si="634"/>
      </c>
      <c r="GC61" s="613">
        <f t="shared" si="634"/>
      </c>
      <c r="GD61" s="613">
        <f t="shared" si="634"/>
      </c>
      <c r="GE61" s="613">
        <f t="shared" si="634"/>
      </c>
      <c r="GF61" s="613">
        <f t="shared" si="634"/>
      </c>
      <c r="GG61" s="613">
        <f t="shared" si="634"/>
      </c>
      <c r="GH61" s="613">
        <f t="shared" si="634"/>
      </c>
      <c r="GI61" s="613">
        <f t="shared" si="634"/>
      </c>
      <c r="GJ61" s="613">
        <f t="shared" si="634"/>
      </c>
      <c r="GK61" s="613">
        <f t="shared" si="634"/>
      </c>
      <c r="GL61" s="613">
        <f t="shared" si="634"/>
      </c>
      <c r="GM61" s="613">
        <f t="shared" si="634"/>
      </c>
      <c r="GN61" s="613">
        <f t="shared" si="634"/>
      </c>
      <c r="GO61" s="613">
        <f t="shared" si="634"/>
      </c>
      <c r="GP61" s="613">
        <f t="shared" si="634"/>
      </c>
      <c r="GQ61" s="613">
        <f t="shared" si="634"/>
      </c>
      <c r="GR61" s="613">
        <f t="shared" si="634"/>
      </c>
      <c r="GS61" s="613">
        <f t="shared" si="634"/>
      </c>
      <c r="GT61" s="613">
        <f t="shared" si="634"/>
      </c>
      <c r="GU61" s="613">
        <f t="shared" si="634"/>
      </c>
      <c r="GV61" s="613">
        <f t="shared" si="634"/>
      </c>
      <c r="GW61" s="613">
        <f t="shared" si="634"/>
      </c>
      <c r="GX61" s="613">
        <f t="shared" si="634"/>
      </c>
      <c r="GY61" s="613">
        <f t="shared" si="634"/>
      </c>
      <c r="GZ61" s="613">
        <f t="shared" si="634"/>
      </c>
      <c r="HA61" s="613">
        <f t="shared" ref="HA61:HD61" si="635">HA10/HA$9</f>
      </c>
      <c r="HB61" s="613">
        <f t="shared" si="635"/>
      </c>
      <c r="HC61" s="613">
        <f t="shared" si="635"/>
      </c>
      <c r="HD61" s="613">
        <f t="shared" si="635"/>
      </c>
    </row>
    <row r="62" spans="1:212" s="58" customFormat="1">
      <c r="A62" s="616" t="str">
        <f t="shared" si="617"/>
      </c>
      <c r="B62" s="617">
        <f t="shared" ref="B62:AG62" si="636">B11/B$9</f>
      </c>
      <c r="C62" s="617">
        <f t="shared" si="636"/>
      </c>
      <c r="D62" s="617">
        <f t="shared" si="636"/>
      </c>
      <c r="E62" s="618">
        <f t="shared" si="636"/>
      </c>
      <c r="F62" s="617">
        <f t="shared" si="636"/>
      </c>
      <c r="G62" s="617">
        <f t="shared" si="636"/>
      </c>
      <c r="H62" s="617">
        <f t="shared" si="636"/>
      </c>
      <c r="I62" s="617">
        <f t="shared" si="636"/>
      </c>
      <c r="J62" s="617">
        <f t="shared" si="636"/>
      </c>
      <c r="K62" s="617">
        <f t="shared" si="636"/>
      </c>
      <c r="L62" s="617">
        <f t="shared" si="636"/>
      </c>
      <c r="M62" s="617">
        <f t="shared" si="636"/>
      </c>
      <c r="N62" s="617">
        <f t="shared" si="636"/>
      </c>
      <c r="O62" s="617">
        <f t="shared" si="636"/>
      </c>
      <c r="P62" s="617">
        <f t="shared" si="636"/>
      </c>
      <c r="Q62" s="617">
        <f t="shared" si="636"/>
      </c>
      <c r="R62" s="617">
        <f t="shared" si="636"/>
      </c>
      <c r="S62" s="617">
        <f t="shared" si="636"/>
      </c>
      <c r="T62" s="617">
        <f t="shared" si="636"/>
      </c>
      <c r="U62" s="617">
        <f t="shared" si="636"/>
      </c>
      <c r="V62" s="617">
        <f t="shared" si="636"/>
      </c>
      <c r="W62" s="617">
        <f t="shared" si="636"/>
      </c>
      <c r="X62" s="617">
        <f t="shared" si="636"/>
      </c>
      <c r="Y62" s="617">
        <f t="shared" si="636"/>
      </c>
      <c r="Z62" s="617">
        <f t="shared" si="636"/>
      </c>
      <c r="AA62" s="617">
        <f t="shared" si="636"/>
      </c>
      <c r="AB62" s="617">
        <f t="shared" si="636"/>
      </c>
      <c r="AC62" s="617">
        <f t="shared" si="636"/>
      </c>
      <c r="AD62" s="617">
        <f t="shared" si="636"/>
      </c>
      <c r="AE62" s="617">
        <f t="shared" si="636"/>
      </c>
      <c r="AF62" s="617">
        <f t="shared" si="636"/>
      </c>
      <c r="AG62" s="617">
        <f t="shared" si="636"/>
      </c>
      <c r="AH62" s="617">
        <f t="shared" ref="AH62:BM62" si="637">AH11/AH$9</f>
      </c>
      <c r="AI62" s="617">
        <f t="shared" si="637"/>
      </c>
      <c r="AJ62" s="617">
        <f t="shared" si="637"/>
      </c>
      <c r="AK62" s="617">
        <f t="shared" si="637"/>
      </c>
      <c r="AL62" s="617">
        <f t="shared" si="637"/>
      </c>
      <c r="AM62" s="617">
        <f t="shared" si="637"/>
      </c>
      <c r="AN62" s="617">
        <f t="shared" si="637"/>
      </c>
      <c r="AO62" s="617">
        <f t="shared" si="637"/>
      </c>
      <c r="AP62" s="617">
        <f t="shared" si="637"/>
      </c>
      <c r="AQ62" s="617">
        <f t="shared" si="637"/>
      </c>
      <c r="AR62" s="617">
        <f t="shared" si="637"/>
      </c>
      <c r="AS62" s="617">
        <f t="shared" si="637"/>
      </c>
      <c r="AT62" s="617">
        <f t="shared" si="637"/>
      </c>
      <c r="AU62" s="617">
        <f t="shared" si="637"/>
      </c>
      <c r="AV62" s="617">
        <f t="shared" si="637"/>
      </c>
      <c r="AW62" s="617">
        <f t="shared" si="637"/>
      </c>
      <c r="AX62" s="617">
        <f t="shared" si="637"/>
      </c>
      <c r="AY62" s="617">
        <f t="shared" si="637"/>
      </c>
      <c r="AZ62" s="617">
        <f t="shared" si="637"/>
      </c>
      <c r="BA62" s="617">
        <f t="shared" si="637"/>
      </c>
      <c r="BB62" s="617">
        <f t="shared" si="637"/>
      </c>
      <c r="BC62" s="617">
        <f t="shared" si="637"/>
      </c>
      <c r="BD62" s="617">
        <f t="shared" si="637"/>
      </c>
      <c r="BE62" s="617">
        <f t="shared" si="637"/>
      </c>
      <c r="BF62" s="617">
        <f t="shared" si="637"/>
      </c>
      <c r="BG62" s="617">
        <f t="shared" si="637"/>
      </c>
      <c r="BH62" s="617">
        <f t="shared" si="637"/>
      </c>
      <c r="BI62" s="617">
        <f t="shared" si="637"/>
      </c>
      <c r="BJ62" s="617">
        <f t="shared" si="637"/>
      </c>
      <c r="BK62" s="617">
        <f t="shared" si="637"/>
      </c>
      <c r="BL62" s="617">
        <f t="shared" si="637"/>
      </c>
      <c r="BM62" s="617">
        <f t="shared" si="637"/>
      </c>
      <c r="BN62" s="617">
        <f t="shared" ref="BN62:CS62" si="638">BN11/BN$9</f>
      </c>
      <c r="BO62" s="617">
        <f t="shared" si="638"/>
      </c>
      <c r="BP62" s="617">
        <f t="shared" si="638"/>
      </c>
      <c r="BQ62" s="619">
        <f t="shared" si="638"/>
      </c>
      <c r="BR62" s="617">
        <f t="shared" si="638"/>
      </c>
      <c r="BS62" s="617">
        <f t="shared" si="638"/>
      </c>
      <c r="BT62" s="617">
        <f t="shared" si="638"/>
      </c>
      <c r="BU62" s="619">
        <f t="shared" si="638"/>
      </c>
      <c r="BV62" s="617">
        <f t="shared" si="638"/>
      </c>
      <c r="BW62" s="617">
        <f t="shared" si="638"/>
      </c>
      <c r="BX62" s="617">
        <f t="shared" si="638"/>
      </c>
      <c r="BY62" s="619">
        <f t="shared" si="638"/>
      </c>
      <c r="BZ62" s="617">
        <f t="shared" si="638"/>
      </c>
      <c r="CA62" s="617">
        <f t="shared" si="638"/>
      </c>
      <c r="CB62" s="617">
        <f t="shared" si="638"/>
      </c>
      <c r="CC62" s="619">
        <f t="shared" si="638"/>
      </c>
      <c r="CD62" s="617">
        <f t="shared" si="638"/>
      </c>
      <c r="CE62" s="617">
        <f t="shared" si="638"/>
      </c>
      <c r="CF62" s="617">
        <f t="shared" si="638"/>
      </c>
      <c r="CG62" s="619">
        <f t="shared" si="638"/>
      </c>
      <c r="CH62" s="617">
        <f t="shared" si="638"/>
      </c>
      <c r="CI62" s="617">
        <f t="shared" si="638"/>
      </c>
      <c r="CJ62" s="617">
        <f t="shared" si="638"/>
      </c>
      <c r="CK62" s="619">
        <f t="shared" si="638"/>
      </c>
      <c r="CL62" s="617">
        <f t="shared" si="638"/>
      </c>
      <c r="CM62" s="617">
        <f t="shared" si="638"/>
      </c>
      <c r="CN62" s="617">
        <f t="shared" si="638"/>
      </c>
      <c r="CO62" s="619">
        <f t="shared" si="638"/>
      </c>
      <c r="CP62" s="617">
        <f t="shared" si="638"/>
      </c>
      <c r="CQ62" s="617">
        <f t="shared" si="638"/>
      </c>
      <c r="CR62" s="617">
        <f t="shared" si="638"/>
      </c>
      <c r="CS62" s="619">
        <f t="shared" si="638"/>
      </c>
      <c r="CT62" s="617">
        <f t="shared" ref="CT62:DU62" si="639">CT11/CT$9</f>
      </c>
      <c r="CU62" s="617">
        <f t="shared" si="639"/>
      </c>
      <c r="CV62" s="617">
        <f t="shared" si="639"/>
      </c>
      <c r="CW62" s="619">
        <f t="shared" si="639"/>
      </c>
      <c r="CX62" s="617">
        <f t="shared" si="639"/>
      </c>
      <c r="CY62" s="617">
        <f t="shared" si="639"/>
      </c>
      <c r="CZ62" s="617">
        <f t="shared" si="639"/>
      </c>
      <c r="DA62" s="619">
        <f t="shared" si="639"/>
      </c>
      <c r="DB62" s="617">
        <f t="shared" si="639"/>
      </c>
      <c r="DC62" s="617">
        <f t="shared" si="639"/>
      </c>
      <c r="DD62" s="617">
        <f t="shared" si="639"/>
      </c>
      <c r="DE62" s="619">
        <f t="shared" si="639"/>
      </c>
      <c r="DF62" s="617">
        <f t="shared" si="639"/>
      </c>
      <c r="DG62" s="617">
        <f t="shared" si="639"/>
      </c>
      <c r="DH62" s="617">
        <f t="shared" si="639"/>
      </c>
      <c r="DI62" s="619">
        <f t="shared" si="639"/>
      </c>
      <c r="DJ62" s="617">
        <f t="shared" si="639"/>
      </c>
      <c r="DK62" s="617">
        <f t="shared" si="639"/>
      </c>
      <c r="DL62" s="617">
        <f t="shared" si="639"/>
      </c>
      <c r="DM62" s="619">
        <f t="shared" si="639"/>
      </c>
      <c r="DN62" s="617">
        <f t="shared" si="639"/>
      </c>
      <c r="DO62" s="617">
        <f t="shared" si="639"/>
      </c>
      <c r="DP62" s="617">
        <f t="shared" si="639"/>
      </c>
      <c r="DQ62" s="619">
        <f t="shared" si="639"/>
      </c>
      <c r="DR62" s="617">
        <f t="shared" si="639"/>
      </c>
      <c r="DS62" s="617">
        <f t="shared" si="639"/>
      </c>
      <c r="DT62" s="617">
        <f t="shared" si="639"/>
      </c>
      <c r="DU62" s="619">
        <f t="shared" si="639"/>
      </c>
      <c r="DV62" s="617">
        <f t="shared" ref="DV62:EK62" si="640">DV11/DV$9</f>
      </c>
      <c r="DW62" s="617">
        <f t="shared" si="640"/>
      </c>
      <c r="DX62" s="617">
        <f t="shared" si="640"/>
      </c>
      <c r="DY62" s="619">
        <f t="shared" si="640"/>
      </c>
      <c r="DZ62" s="617">
        <f t="shared" si="640"/>
      </c>
      <c r="EA62" s="617">
        <f t="shared" si="640"/>
      </c>
      <c r="EB62" s="617">
        <f t="shared" si="640"/>
      </c>
      <c r="EC62" s="619">
        <f t="shared" si="640"/>
      </c>
      <c r="ED62" s="617">
        <f t="shared" si="640"/>
      </c>
      <c r="EE62" s="617">
        <f t="shared" si="640"/>
      </c>
      <c r="EF62" s="617">
        <f t="shared" si="640"/>
      </c>
      <c r="EG62" s="619">
        <f t="shared" si="640"/>
      </c>
      <c r="EH62" s="617">
        <f t="shared" si="640"/>
      </c>
      <c r="EI62" s="617">
        <f t="shared" si="640"/>
      </c>
      <c r="EJ62" s="617">
        <f t="shared" si="640"/>
      </c>
      <c r="EK62" s="619">
        <f t="shared" si="640"/>
      </c>
      <c r="EL62" s="11"/>
      <c r="EM62" s="701">
        <f t="shared" ref="EM62:FQ62" si="641">EM11/EM$9</f>
      </c>
      <c r="EN62" s="617">
        <f t="shared" si="641"/>
      </c>
      <c r="EO62" s="617">
        <f t="shared" si="641"/>
      </c>
      <c r="EP62" s="617">
        <f t="shared" si="641"/>
      </c>
      <c r="EQ62" s="617">
        <f t="shared" si="641"/>
      </c>
      <c r="ER62" s="617">
        <f t="shared" si="641"/>
      </c>
      <c r="ES62" s="617">
        <f t="shared" si="641"/>
      </c>
      <c r="ET62" s="617">
        <f t="shared" si="641"/>
      </c>
      <c r="EU62" s="617">
        <f t="shared" si="641"/>
      </c>
      <c r="EV62" s="617">
        <f t="shared" si="641"/>
      </c>
      <c r="EW62" s="617">
        <f t="shared" si="641"/>
      </c>
      <c r="EX62" s="617">
        <f t="shared" si="641"/>
      </c>
      <c r="EY62" s="617">
        <f t="shared" si="641"/>
      </c>
      <c r="EZ62" s="617">
        <f t="shared" si="641"/>
      </c>
      <c r="FA62" s="617">
        <f t="shared" si="641"/>
      </c>
      <c r="FB62" s="617">
        <f t="shared" si="641"/>
      </c>
      <c r="FC62" s="617">
        <f t="shared" si="641"/>
      </c>
      <c r="FD62" s="617">
        <f t="shared" si="641"/>
      </c>
      <c r="FE62" s="617">
        <f t="shared" si="641"/>
      </c>
      <c r="FF62" s="617">
        <f t="shared" si="641"/>
      </c>
      <c r="FG62" s="617">
        <f t="shared" si="641"/>
      </c>
      <c r="FH62" s="617">
        <f t="shared" si="641"/>
      </c>
      <c r="FI62" s="617">
        <f t="shared" si="641"/>
      </c>
      <c r="FJ62" s="617">
        <f t="shared" si="641"/>
      </c>
      <c r="FK62" s="617">
        <f t="shared" si="641"/>
      </c>
      <c r="FL62" s="701">
        <f t="shared" si="641"/>
      </c>
      <c r="FM62" s="617">
        <f t="shared" si="641"/>
      </c>
      <c r="FN62" s="617">
        <f t="shared" si="641"/>
      </c>
      <c r="FO62" s="617">
        <f t="shared" si="641"/>
      </c>
      <c r="FP62" s="617">
        <f t="shared" si="641"/>
      </c>
      <c r="FQ62" s="617">
        <f t="shared" si="641"/>
      </c>
      <c r="FR62" s="617">
        <f t="shared" ref="FR62:FU62" si="642">FR11/FR$9</f>
      </c>
      <c r="FS62" s="617">
        <f t="shared" si="642"/>
      </c>
      <c r="FT62" s="617">
        <f t="shared" si="642"/>
      </c>
      <c r="FU62" s="2907">
        <f t="shared" si="642"/>
      </c>
      <c r="FV62" s="88"/>
      <c r="FW62" s="617">
        <f t="shared" ref="FW62:GZ62" si="643">FW11/FW$9</f>
      </c>
      <c r="FX62" s="617">
        <f t="shared" si="643"/>
      </c>
      <c r="FY62" s="617">
        <f t="shared" si="643"/>
      </c>
      <c r="FZ62" s="617">
        <f t="shared" si="643"/>
      </c>
      <c r="GA62" s="617">
        <f t="shared" si="643"/>
      </c>
      <c r="GB62" s="617">
        <f t="shared" si="643"/>
      </c>
      <c r="GC62" s="617">
        <f t="shared" si="643"/>
      </c>
      <c r="GD62" s="617">
        <f t="shared" si="643"/>
      </c>
      <c r="GE62" s="617">
        <f t="shared" si="643"/>
      </c>
      <c r="GF62" s="617">
        <f t="shared" si="643"/>
      </c>
      <c r="GG62" s="617">
        <f t="shared" si="643"/>
      </c>
      <c r="GH62" s="617">
        <f t="shared" si="643"/>
      </c>
      <c r="GI62" s="617">
        <f t="shared" si="643"/>
      </c>
      <c r="GJ62" s="617">
        <f t="shared" si="643"/>
      </c>
      <c r="GK62" s="617">
        <f t="shared" si="643"/>
      </c>
      <c r="GL62" s="617">
        <f t="shared" si="643"/>
      </c>
      <c r="GM62" s="617">
        <f t="shared" si="643"/>
      </c>
      <c r="GN62" s="617">
        <f t="shared" si="643"/>
      </c>
      <c r="GO62" s="617">
        <f t="shared" si="643"/>
      </c>
      <c r="GP62" s="617">
        <f t="shared" si="643"/>
      </c>
      <c r="GQ62" s="617">
        <f t="shared" si="643"/>
      </c>
      <c r="GR62" s="617">
        <f t="shared" si="643"/>
      </c>
      <c r="GS62" s="617">
        <f t="shared" si="643"/>
      </c>
      <c r="GT62" s="617">
        <f t="shared" si="643"/>
      </c>
      <c r="GU62" s="617">
        <f t="shared" si="643"/>
      </c>
      <c r="GV62" s="617">
        <f t="shared" si="643"/>
      </c>
      <c r="GW62" s="617">
        <f t="shared" si="643"/>
      </c>
      <c r="GX62" s="617">
        <f t="shared" si="643"/>
      </c>
      <c r="GY62" s="617">
        <f t="shared" si="643"/>
      </c>
      <c r="GZ62" s="617">
        <f t="shared" si="643"/>
      </c>
      <c r="HA62" s="617">
        <f t="shared" ref="HA62:HD62" si="644">HA11/HA$9</f>
      </c>
      <c r="HB62" s="617">
        <f t="shared" si="644"/>
      </c>
      <c r="HC62" s="617">
        <f t="shared" si="644"/>
      </c>
      <c r="HD62" s="617">
        <f t="shared" si="644"/>
      </c>
    </row>
    <row r="63" spans="1:212" s="58" customFormat="1">
      <c r="A63" s="612" t="str">
        <f t="shared" si="617"/>
      </c>
      <c r="B63" s="613">
        <f t="shared" ref="B63:AG63" si="645">B12/B$9</f>
      </c>
      <c r="C63" s="613">
        <f t="shared" si="645"/>
      </c>
      <c r="D63" s="613">
        <f t="shared" si="645"/>
      </c>
      <c r="E63" s="614">
        <f t="shared" si="645"/>
      </c>
      <c r="F63" s="613">
        <f t="shared" si="645"/>
      </c>
      <c r="G63" s="613">
        <f t="shared" si="645"/>
      </c>
      <c r="H63" s="613">
        <f t="shared" si="645"/>
      </c>
      <c r="I63" s="613">
        <f t="shared" si="645"/>
      </c>
      <c r="J63" s="613">
        <f t="shared" si="645"/>
      </c>
      <c r="K63" s="613">
        <f t="shared" si="645"/>
      </c>
      <c r="L63" s="613">
        <f t="shared" si="645"/>
      </c>
      <c r="M63" s="613">
        <f t="shared" si="645"/>
      </c>
      <c r="N63" s="613">
        <f t="shared" si="645"/>
      </c>
      <c r="O63" s="613">
        <f t="shared" si="645"/>
      </c>
      <c r="P63" s="613">
        <f t="shared" si="645"/>
      </c>
      <c r="Q63" s="613">
        <f t="shared" si="645"/>
      </c>
      <c r="R63" s="613">
        <f t="shared" si="645"/>
      </c>
      <c r="S63" s="613">
        <f t="shared" si="645"/>
      </c>
      <c r="T63" s="613">
        <f t="shared" si="645"/>
      </c>
      <c r="U63" s="613">
        <f t="shared" si="645"/>
      </c>
      <c r="V63" s="613">
        <f t="shared" si="645"/>
      </c>
      <c r="W63" s="613">
        <f t="shared" si="645"/>
      </c>
      <c r="X63" s="613">
        <f t="shared" si="645"/>
      </c>
      <c r="Y63" s="613">
        <f t="shared" si="645"/>
      </c>
      <c r="Z63" s="613">
        <f t="shared" si="645"/>
      </c>
      <c r="AA63" s="613">
        <f t="shared" si="645"/>
      </c>
      <c r="AB63" s="613">
        <f t="shared" si="645"/>
      </c>
      <c r="AC63" s="613">
        <f t="shared" si="645"/>
      </c>
      <c r="AD63" s="613">
        <f t="shared" si="645"/>
      </c>
      <c r="AE63" s="613">
        <f t="shared" si="645"/>
      </c>
      <c r="AF63" s="613">
        <f t="shared" si="645"/>
      </c>
      <c r="AG63" s="613">
        <f t="shared" si="645"/>
      </c>
      <c r="AH63" s="613">
        <f t="shared" ref="AH63:BM63" si="646">AH12/AH$9</f>
      </c>
      <c r="AI63" s="613">
        <f t="shared" si="646"/>
      </c>
      <c r="AJ63" s="613">
        <f t="shared" si="646"/>
      </c>
      <c r="AK63" s="613">
        <f t="shared" si="646"/>
      </c>
      <c r="AL63" s="613">
        <f t="shared" si="646"/>
      </c>
      <c r="AM63" s="613">
        <f t="shared" si="646"/>
      </c>
      <c r="AN63" s="613">
        <f t="shared" si="646"/>
      </c>
      <c r="AO63" s="613">
        <f t="shared" si="646"/>
      </c>
      <c r="AP63" s="613">
        <f t="shared" si="646"/>
      </c>
      <c r="AQ63" s="613">
        <f t="shared" si="646"/>
      </c>
      <c r="AR63" s="613">
        <f t="shared" si="646"/>
      </c>
      <c r="AS63" s="613">
        <f t="shared" si="646"/>
      </c>
      <c r="AT63" s="613">
        <f t="shared" si="646"/>
      </c>
      <c r="AU63" s="613">
        <f t="shared" si="646"/>
      </c>
      <c r="AV63" s="613">
        <f t="shared" si="646"/>
      </c>
      <c r="AW63" s="613">
        <f t="shared" si="646"/>
      </c>
      <c r="AX63" s="613">
        <f t="shared" si="646"/>
      </c>
      <c r="AY63" s="613">
        <f t="shared" si="646"/>
      </c>
      <c r="AZ63" s="613">
        <f t="shared" si="646"/>
      </c>
      <c r="BA63" s="613">
        <f t="shared" si="646"/>
      </c>
      <c r="BB63" s="613">
        <f t="shared" si="646"/>
      </c>
      <c r="BC63" s="613">
        <f t="shared" si="646"/>
      </c>
      <c r="BD63" s="613">
        <f t="shared" si="646"/>
      </c>
      <c r="BE63" s="613">
        <f t="shared" si="646"/>
      </c>
      <c r="BF63" s="613">
        <f t="shared" si="646"/>
      </c>
      <c r="BG63" s="613">
        <f t="shared" si="646"/>
      </c>
      <c r="BH63" s="613">
        <f t="shared" si="646"/>
      </c>
      <c r="BI63" s="613">
        <f t="shared" si="646"/>
      </c>
      <c r="BJ63" s="613">
        <f t="shared" si="646"/>
      </c>
      <c r="BK63" s="613">
        <f t="shared" si="646"/>
      </c>
      <c r="BL63" s="613">
        <f t="shared" si="646"/>
      </c>
      <c r="BM63" s="613">
        <f t="shared" si="646"/>
      </c>
      <c r="BN63" s="613">
        <f t="shared" ref="BN63:CS63" si="647">BN12/BN$9</f>
      </c>
      <c r="BO63" s="613">
        <f t="shared" si="647"/>
      </c>
      <c r="BP63" s="613">
        <f t="shared" si="647"/>
      </c>
      <c r="BQ63" s="615">
        <f t="shared" si="647"/>
      </c>
      <c r="BR63" s="613">
        <f t="shared" si="647"/>
      </c>
      <c r="BS63" s="613">
        <f t="shared" si="647"/>
      </c>
      <c r="BT63" s="613">
        <f t="shared" si="647"/>
      </c>
      <c r="BU63" s="615">
        <f t="shared" si="647"/>
      </c>
      <c r="BV63" s="613">
        <f t="shared" si="647"/>
      </c>
      <c r="BW63" s="613">
        <f t="shared" si="647"/>
      </c>
      <c r="BX63" s="613">
        <f t="shared" si="647"/>
      </c>
      <c r="BY63" s="615">
        <f t="shared" si="647"/>
      </c>
      <c r="BZ63" s="613">
        <f t="shared" si="647"/>
      </c>
      <c r="CA63" s="613">
        <f t="shared" si="647"/>
      </c>
      <c r="CB63" s="613">
        <f t="shared" si="647"/>
      </c>
      <c r="CC63" s="615">
        <f t="shared" si="647"/>
      </c>
      <c r="CD63" s="613">
        <f t="shared" si="647"/>
      </c>
      <c r="CE63" s="613">
        <f t="shared" si="647"/>
      </c>
      <c r="CF63" s="613">
        <f t="shared" si="647"/>
      </c>
      <c r="CG63" s="615">
        <f t="shared" si="647"/>
      </c>
      <c r="CH63" s="613">
        <f t="shared" si="647"/>
      </c>
      <c r="CI63" s="613">
        <f t="shared" si="647"/>
      </c>
      <c r="CJ63" s="613">
        <f t="shared" si="647"/>
      </c>
      <c r="CK63" s="615">
        <f t="shared" si="647"/>
      </c>
      <c r="CL63" s="613">
        <f t="shared" si="647"/>
      </c>
      <c r="CM63" s="613">
        <f t="shared" si="647"/>
      </c>
      <c r="CN63" s="613">
        <f t="shared" si="647"/>
      </c>
      <c r="CO63" s="615">
        <f t="shared" si="647"/>
      </c>
      <c r="CP63" s="613">
        <f t="shared" si="647"/>
      </c>
      <c r="CQ63" s="613">
        <f t="shared" si="647"/>
      </c>
      <c r="CR63" s="613">
        <f t="shared" si="647"/>
      </c>
      <c r="CS63" s="615">
        <f t="shared" si="647"/>
      </c>
      <c r="CT63" s="613">
        <f t="shared" ref="CT63:DU63" si="648">CT12/CT$9</f>
      </c>
      <c r="CU63" s="613">
        <f t="shared" si="648"/>
      </c>
      <c r="CV63" s="613">
        <f t="shared" si="648"/>
      </c>
      <c r="CW63" s="615">
        <f t="shared" si="648"/>
      </c>
      <c r="CX63" s="613">
        <f t="shared" si="648"/>
      </c>
      <c r="CY63" s="613">
        <f t="shared" si="648"/>
      </c>
      <c r="CZ63" s="613">
        <f t="shared" si="648"/>
      </c>
      <c r="DA63" s="615">
        <f t="shared" si="648"/>
      </c>
      <c r="DB63" s="613">
        <f t="shared" si="648"/>
      </c>
      <c r="DC63" s="613">
        <f t="shared" si="648"/>
      </c>
      <c r="DD63" s="613">
        <f t="shared" si="648"/>
      </c>
      <c r="DE63" s="615">
        <f t="shared" si="648"/>
      </c>
      <c r="DF63" s="613">
        <f t="shared" si="648"/>
      </c>
      <c r="DG63" s="613">
        <f t="shared" si="648"/>
      </c>
      <c r="DH63" s="613">
        <f t="shared" si="648"/>
      </c>
      <c r="DI63" s="615">
        <f t="shared" si="648"/>
      </c>
      <c r="DJ63" s="613">
        <f t="shared" si="648"/>
      </c>
      <c r="DK63" s="613">
        <f t="shared" si="648"/>
      </c>
      <c r="DL63" s="613">
        <f t="shared" si="648"/>
      </c>
      <c r="DM63" s="615">
        <f t="shared" si="648"/>
      </c>
      <c r="DN63" s="613">
        <f t="shared" si="648"/>
      </c>
      <c r="DO63" s="613">
        <f t="shared" si="648"/>
      </c>
      <c r="DP63" s="613">
        <f t="shared" si="648"/>
      </c>
      <c r="DQ63" s="615">
        <f t="shared" si="648"/>
      </c>
      <c r="DR63" s="613">
        <f t="shared" si="648"/>
      </c>
      <c r="DS63" s="613">
        <f t="shared" si="648"/>
      </c>
      <c r="DT63" s="613">
        <f t="shared" si="648"/>
      </c>
      <c r="DU63" s="615">
        <f t="shared" si="648"/>
      </c>
      <c r="DV63" s="613">
        <f t="shared" ref="DV63:EK63" si="649">DV12/DV$9</f>
      </c>
      <c r="DW63" s="613">
        <f t="shared" si="649"/>
      </c>
      <c r="DX63" s="613">
        <f t="shared" si="649"/>
      </c>
      <c r="DY63" s="615">
        <f t="shared" si="649"/>
      </c>
      <c r="DZ63" s="613">
        <f t="shared" si="649"/>
      </c>
      <c r="EA63" s="613">
        <f t="shared" si="649"/>
      </c>
      <c r="EB63" s="613">
        <f t="shared" si="649"/>
      </c>
      <c r="EC63" s="615">
        <f t="shared" si="649"/>
      </c>
      <c r="ED63" s="613">
        <f t="shared" si="649"/>
      </c>
      <c r="EE63" s="613">
        <f t="shared" si="649"/>
      </c>
      <c r="EF63" s="613">
        <f t="shared" si="649"/>
      </c>
      <c r="EG63" s="615">
        <f t="shared" si="649"/>
      </c>
      <c r="EH63" s="613">
        <f t="shared" si="649"/>
      </c>
      <c r="EI63" s="613">
        <f t="shared" si="649"/>
      </c>
      <c r="EJ63" s="613">
        <f t="shared" si="649"/>
      </c>
      <c r="EK63" s="615">
        <f t="shared" si="649"/>
      </c>
      <c r="EL63" s="11"/>
      <c r="EM63" s="700">
        <f t="shared" ref="EM63:FQ63" si="650">EM12/EM$9</f>
      </c>
      <c r="EN63" s="613">
        <f t="shared" si="650"/>
      </c>
      <c r="EO63" s="613">
        <f t="shared" si="650"/>
      </c>
      <c r="EP63" s="613">
        <f t="shared" si="650"/>
      </c>
      <c r="EQ63" s="613">
        <f t="shared" si="650"/>
      </c>
      <c r="ER63" s="613">
        <f t="shared" si="650"/>
      </c>
      <c r="ES63" s="613">
        <f t="shared" si="650"/>
      </c>
      <c r="ET63" s="613">
        <f t="shared" si="650"/>
      </c>
      <c r="EU63" s="613">
        <f t="shared" si="650"/>
      </c>
      <c r="EV63" s="613">
        <f t="shared" si="650"/>
      </c>
      <c r="EW63" s="613">
        <f t="shared" si="650"/>
      </c>
      <c r="EX63" s="613">
        <f t="shared" si="650"/>
      </c>
      <c r="EY63" s="613">
        <f t="shared" si="650"/>
      </c>
      <c r="EZ63" s="613">
        <f t="shared" si="650"/>
      </c>
      <c r="FA63" s="613">
        <f t="shared" si="650"/>
      </c>
      <c r="FB63" s="613">
        <f t="shared" si="650"/>
      </c>
      <c r="FC63" s="613">
        <f t="shared" si="650"/>
      </c>
      <c r="FD63" s="613">
        <f t="shared" si="650"/>
      </c>
      <c r="FE63" s="613">
        <f t="shared" si="650"/>
      </c>
      <c r="FF63" s="613">
        <f t="shared" si="650"/>
      </c>
      <c r="FG63" s="613">
        <f t="shared" si="650"/>
      </c>
      <c r="FH63" s="613">
        <f t="shared" si="650"/>
      </c>
      <c r="FI63" s="613">
        <f t="shared" si="650"/>
      </c>
      <c r="FJ63" s="613">
        <f t="shared" si="650"/>
      </c>
      <c r="FK63" s="613">
        <f t="shared" si="650"/>
      </c>
      <c r="FL63" s="700">
        <f t="shared" si="650"/>
      </c>
      <c r="FM63" s="613">
        <f t="shared" si="650"/>
      </c>
      <c r="FN63" s="613">
        <f t="shared" si="650"/>
      </c>
      <c r="FO63" s="613">
        <f t="shared" si="650"/>
      </c>
      <c r="FP63" s="613">
        <f t="shared" si="650"/>
      </c>
      <c r="FQ63" s="613">
        <f t="shared" si="650"/>
      </c>
      <c r="FR63" s="613">
        <f t="shared" ref="FR63:FU63" si="651">FR12/FR$9</f>
      </c>
      <c r="FS63" s="613">
        <f t="shared" si="651"/>
      </c>
      <c r="FT63" s="613">
        <f t="shared" si="651"/>
      </c>
      <c r="FU63" s="2906">
        <f t="shared" si="651"/>
      </c>
      <c r="FV63" s="88"/>
      <c r="FW63" s="613">
        <f t="shared" ref="FW63:GZ63" si="652">FW12/FW$9</f>
      </c>
      <c r="FX63" s="613">
        <f t="shared" si="652"/>
      </c>
      <c r="FY63" s="613">
        <f t="shared" si="652"/>
      </c>
      <c r="FZ63" s="613">
        <f t="shared" si="652"/>
      </c>
      <c r="GA63" s="613">
        <f t="shared" si="652"/>
      </c>
      <c r="GB63" s="613">
        <f t="shared" si="652"/>
      </c>
      <c r="GC63" s="613">
        <f t="shared" si="652"/>
      </c>
      <c r="GD63" s="613">
        <f t="shared" si="652"/>
      </c>
      <c r="GE63" s="613">
        <f t="shared" si="652"/>
      </c>
      <c r="GF63" s="613">
        <f t="shared" si="652"/>
      </c>
      <c r="GG63" s="613">
        <f t="shared" si="652"/>
      </c>
      <c r="GH63" s="613">
        <f t="shared" si="652"/>
      </c>
      <c r="GI63" s="613">
        <f t="shared" si="652"/>
      </c>
      <c r="GJ63" s="613">
        <f t="shared" si="652"/>
      </c>
      <c r="GK63" s="613">
        <f t="shared" si="652"/>
      </c>
      <c r="GL63" s="613">
        <f t="shared" si="652"/>
      </c>
      <c r="GM63" s="613">
        <f t="shared" si="652"/>
      </c>
      <c r="GN63" s="613">
        <f t="shared" si="652"/>
      </c>
      <c r="GO63" s="613">
        <f t="shared" si="652"/>
      </c>
      <c r="GP63" s="613">
        <f t="shared" si="652"/>
      </c>
      <c r="GQ63" s="613">
        <f t="shared" si="652"/>
      </c>
      <c r="GR63" s="613">
        <f t="shared" si="652"/>
      </c>
      <c r="GS63" s="613">
        <f t="shared" si="652"/>
      </c>
      <c r="GT63" s="613">
        <f t="shared" si="652"/>
      </c>
      <c r="GU63" s="613">
        <f t="shared" si="652"/>
      </c>
      <c r="GV63" s="613">
        <f t="shared" si="652"/>
      </c>
      <c r="GW63" s="613">
        <f t="shared" si="652"/>
      </c>
      <c r="GX63" s="613">
        <f t="shared" si="652"/>
      </c>
      <c r="GY63" s="613">
        <f t="shared" si="652"/>
      </c>
      <c r="GZ63" s="613">
        <f t="shared" si="652"/>
      </c>
      <c r="HA63" s="613">
        <f t="shared" ref="HA63:HD63" si="653">HA12/HA$9</f>
      </c>
      <c r="HB63" s="613">
        <f t="shared" si="653"/>
      </c>
      <c r="HC63" s="613">
        <f t="shared" si="653"/>
      </c>
      <c r="HD63" s="613">
        <f t="shared" si="653"/>
      </c>
    </row>
    <row r="64" spans="1:212" s="58" customFormat="1">
      <c r="A64" s="612" t="str">
        <f t="shared" si="617"/>
      </c>
      <c r="B64" s="613">
        <f t="shared" ref="B64:AG64" si="654">B13/B$9</f>
      </c>
      <c r="C64" s="613">
        <f t="shared" si="654"/>
      </c>
      <c r="D64" s="613">
        <f t="shared" si="654"/>
      </c>
      <c r="E64" s="614">
        <f t="shared" si="654"/>
      </c>
      <c r="F64" s="613">
        <f t="shared" si="654"/>
      </c>
      <c r="G64" s="613">
        <f t="shared" si="654"/>
      </c>
      <c r="H64" s="613">
        <f t="shared" si="654"/>
      </c>
      <c r="I64" s="613">
        <f t="shared" si="654"/>
      </c>
      <c r="J64" s="613">
        <f t="shared" si="654"/>
      </c>
      <c r="K64" s="613">
        <f t="shared" si="654"/>
      </c>
      <c r="L64" s="613">
        <f t="shared" si="654"/>
      </c>
      <c r="M64" s="613">
        <f t="shared" si="654"/>
      </c>
      <c r="N64" s="613">
        <f t="shared" si="654"/>
      </c>
      <c r="O64" s="613">
        <f t="shared" si="654"/>
      </c>
      <c r="P64" s="613">
        <f t="shared" si="654"/>
      </c>
      <c r="Q64" s="613">
        <f t="shared" si="654"/>
      </c>
      <c r="R64" s="613">
        <f t="shared" si="654"/>
      </c>
      <c r="S64" s="613">
        <f t="shared" si="654"/>
      </c>
      <c r="T64" s="613">
        <f t="shared" si="654"/>
      </c>
      <c r="U64" s="613">
        <f t="shared" si="654"/>
      </c>
      <c r="V64" s="613">
        <f t="shared" si="654"/>
      </c>
      <c r="W64" s="613">
        <f t="shared" si="654"/>
      </c>
      <c r="X64" s="613">
        <f t="shared" si="654"/>
      </c>
      <c r="Y64" s="613">
        <f t="shared" si="654"/>
      </c>
      <c r="Z64" s="613">
        <f t="shared" si="654"/>
      </c>
      <c r="AA64" s="613">
        <f t="shared" si="654"/>
      </c>
      <c r="AB64" s="613">
        <f t="shared" si="654"/>
      </c>
      <c r="AC64" s="613">
        <f t="shared" si="654"/>
      </c>
      <c r="AD64" s="613">
        <f t="shared" si="654"/>
      </c>
      <c r="AE64" s="613">
        <f t="shared" si="654"/>
      </c>
      <c r="AF64" s="613">
        <f t="shared" si="654"/>
      </c>
      <c r="AG64" s="613">
        <f t="shared" si="654"/>
      </c>
      <c r="AH64" s="613">
        <f t="shared" ref="AH64:BM64" si="655">AH13/AH$9</f>
      </c>
      <c r="AI64" s="613">
        <f t="shared" si="655"/>
      </c>
      <c r="AJ64" s="613">
        <f t="shared" si="655"/>
      </c>
      <c r="AK64" s="613">
        <f t="shared" si="655"/>
      </c>
      <c r="AL64" s="613">
        <f t="shared" si="655"/>
      </c>
      <c r="AM64" s="613">
        <f t="shared" si="655"/>
      </c>
      <c r="AN64" s="613">
        <f t="shared" si="655"/>
      </c>
      <c r="AO64" s="613">
        <f t="shared" si="655"/>
      </c>
      <c r="AP64" s="613">
        <f t="shared" si="655"/>
      </c>
      <c r="AQ64" s="613">
        <f t="shared" si="655"/>
      </c>
      <c r="AR64" s="613">
        <f t="shared" si="655"/>
      </c>
      <c r="AS64" s="613">
        <f t="shared" si="655"/>
      </c>
      <c r="AT64" s="613">
        <f t="shared" si="655"/>
      </c>
      <c r="AU64" s="613">
        <f t="shared" si="655"/>
      </c>
      <c r="AV64" s="613">
        <f t="shared" si="655"/>
      </c>
      <c r="AW64" s="613">
        <f t="shared" si="655"/>
      </c>
      <c r="AX64" s="613">
        <f t="shared" si="655"/>
      </c>
      <c r="AY64" s="613">
        <f t="shared" si="655"/>
      </c>
      <c r="AZ64" s="613">
        <f t="shared" si="655"/>
      </c>
      <c r="BA64" s="613">
        <f t="shared" si="655"/>
      </c>
      <c r="BB64" s="613">
        <f t="shared" si="655"/>
      </c>
      <c r="BC64" s="613">
        <f t="shared" si="655"/>
      </c>
      <c r="BD64" s="613">
        <f t="shared" si="655"/>
      </c>
      <c r="BE64" s="613">
        <f t="shared" si="655"/>
      </c>
      <c r="BF64" s="613">
        <f t="shared" si="655"/>
      </c>
      <c r="BG64" s="613">
        <f t="shared" si="655"/>
      </c>
      <c r="BH64" s="613">
        <f t="shared" si="655"/>
      </c>
      <c r="BI64" s="613">
        <f t="shared" si="655"/>
      </c>
      <c r="BJ64" s="613">
        <f t="shared" si="655"/>
      </c>
      <c r="BK64" s="613">
        <f t="shared" si="655"/>
      </c>
      <c r="BL64" s="613">
        <f t="shared" si="655"/>
      </c>
      <c r="BM64" s="613">
        <f t="shared" si="655"/>
      </c>
      <c r="BN64" s="613">
        <f t="shared" ref="BN64:CS64" si="656">BN13/BN$9</f>
      </c>
      <c r="BO64" s="613">
        <f t="shared" si="656"/>
      </c>
      <c r="BP64" s="613">
        <f t="shared" si="656"/>
      </c>
      <c r="BQ64" s="615">
        <f t="shared" si="656"/>
      </c>
      <c r="BR64" s="613">
        <f t="shared" si="656"/>
      </c>
      <c r="BS64" s="613">
        <f t="shared" si="656"/>
      </c>
      <c r="BT64" s="613">
        <f t="shared" si="656"/>
      </c>
      <c r="BU64" s="615">
        <f t="shared" si="656"/>
      </c>
      <c r="BV64" s="613">
        <f t="shared" si="656"/>
      </c>
      <c r="BW64" s="613">
        <f t="shared" si="656"/>
      </c>
      <c r="BX64" s="613">
        <f t="shared" si="656"/>
      </c>
      <c r="BY64" s="615">
        <f t="shared" si="656"/>
      </c>
      <c r="BZ64" s="613">
        <f t="shared" si="656"/>
      </c>
      <c r="CA64" s="613">
        <f t="shared" si="656"/>
      </c>
      <c r="CB64" s="613">
        <f t="shared" si="656"/>
      </c>
      <c r="CC64" s="615">
        <f t="shared" si="656"/>
      </c>
      <c r="CD64" s="613">
        <f t="shared" si="656"/>
      </c>
      <c r="CE64" s="613">
        <f t="shared" si="656"/>
      </c>
      <c r="CF64" s="613">
        <f t="shared" si="656"/>
      </c>
      <c r="CG64" s="615">
        <f t="shared" si="656"/>
      </c>
      <c r="CH64" s="613">
        <f t="shared" si="656"/>
      </c>
      <c r="CI64" s="613">
        <f t="shared" si="656"/>
      </c>
      <c r="CJ64" s="613">
        <f t="shared" si="656"/>
      </c>
      <c r="CK64" s="615">
        <f t="shared" si="656"/>
      </c>
      <c r="CL64" s="613">
        <f t="shared" si="656"/>
      </c>
      <c r="CM64" s="613">
        <f t="shared" si="656"/>
      </c>
      <c r="CN64" s="613">
        <f t="shared" si="656"/>
      </c>
      <c r="CO64" s="615">
        <f t="shared" si="656"/>
      </c>
      <c r="CP64" s="613">
        <f t="shared" si="656"/>
      </c>
      <c r="CQ64" s="613">
        <f t="shared" si="656"/>
      </c>
      <c r="CR64" s="613">
        <f t="shared" si="656"/>
      </c>
      <c r="CS64" s="615">
        <f t="shared" si="656"/>
      </c>
      <c r="CT64" s="613">
        <f t="shared" ref="CT64:DU64" si="657">CT13/CT$9</f>
      </c>
      <c r="CU64" s="613">
        <f t="shared" si="657"/>
      </c>
      <c r="CV64" s="613">
        <f t="shared" si="657"/>
      </c>
      <c r="CW64" s="615">
        <f t="shared" si="657"/>
      </c>
      <c r="CX64" s="613">
        <f t="shared" si="657"/>
      </c>
      <c r="CY64" s="613">
        <f t="shared" si="657"/>
      </c>
      <c r="CZ64" s="613">
        <f t="shared" si="657"/>
      </c>
      <c r="DA64" s="615">
        <f t="shared" si="657"/>
      </c>
      <c r="DB64" s="613">
        <f t="shared" si="657"/>
      </c>
      <c r="DC64" s="613">
        <f t="shared" si="657"/>
      </c>
      <c r="DD64" s="613">
        <f t="shared" si="657"/>
      </c>
      <c r="DE64" s="615">
        <f t="shared" si="657"/>
      </c>
      <c r="DF64" s="613">
        <f t="shared" si="657"/>
      </c>
      <c r="DG64" s="613">
        <f t="shared" si="657"/>
      </c>
      <c r="DH64" s="613">
        <f t="shared" si="657"/>
      </c>
      <c r="DI64" s="615">
        <f t="shared" si="657"/>
      </c>
      <c r="DJ64" s="613">
        <f t="shared" si="657"/>
      </c>
      <c r="DK64" s="613">
        <f t="shared" si="657"/>
      </c>
      <c r="DL64" s="613">
        <f t="shared" si="657"/>
      </c>
      <c r="DM64" s="615">
        <f t="shared" si="657"/>
      </c>
      <c r="DN64" s="613">
        <f t="shared" si="657"/>
      </c>
      <c r="DO64" s="613">
        <f t="shared" si="657"/>
      </c>
      <c r="DP64" s="613">
        <f t="shared" si="657"/>
      </c>
      <c r="DQ64" s="615">
        <f t="shared" si="657"/>
      </c>
      <c r="DR64" s="613">
        <f t="shared" si="657"/>
      </c>
      <c r="DS64" s="613">
        <f t="shared" si="657"/>
      </c>
      <c r="DT64" s="613">
        <f t="shared" si="657"/>
      </c>
      <c r="DU64" s="615">
        <f t="shared" si="657"/>
      </c>
      <c r="DV64" s="613">
        <f t="shared" ref="DV64:EK64" si="658">DV13/DV$9</f>
      </c>
      <c r="DW64" s="613">
        <f t="shared" si="658"/>
      </c>
      <c r="DX64" s="613">
        <f t="shared" si="658"/>
      </c>
      <c r="DY64" s="615">
        <f t="shared" si="658"/>
      </c>
      <c r="DZ64" s="613">
        <f t="shared" si="658"/>
      </c>
      <c r="EA64" s="613">
        <f t="shared" si="658"/>
      </c>
      <c r="EB64" s="613">
        <f t="shared" si="658"/>
      </c>
      <c r="EC64" s="615">
        <f t="shared" si="658"/>
      </c>
      <c r="ED64" s="613">
        <f t="shared" si="658"/>
      </c>
      <c r="EE64" s="613">
        <f t="shared" si="658"/>
      </c>
      <c r="EF64" s="613">
        <f t="shared" si="658"/>
      </c>
      <c r="EG64" s="615">
        <f t="shared" si="658"/>
      </c>
      <c r="EH64" s="613">
        <f t="shared" si="658"/>
      </c>
      <c r="EI64" s="613">
        <f t="shared" si="658"/>
      </c>
      <c r="EJ64" s="613">
        <f t="shared" si="658"/>
      </c>
      <c r="EK64" s="615">
        <f t="shared" si="658"/>
      </c>
      <c r="EL64" s="11"/>
      <c r="EM64" s="700">
        <f t="shared" ref="EM64:FQ64" si="659">EM13/EM$9</f>
      </c>
      <c r="EN64" s="613">
        <f t="shared" si="659"/>
      </c>
      <c r="EO64" s="613">
        <f t="shared" si="659"/>
      </c>
      <c r="EP64" s="613">
        <f t="shared" si="659"/>
      </c>
      <c r="EQ64" s="613">
        <f t="shared" si="659"/>
      </c>
      <c r="ER64" s="613">
        <f t="shared" si="659"/>
      </c>
      <c r="ES64" s="613">
        <f t="shared" si="659"/>
      </c>
      <c r="ET64" s="613">
        <f t="shared" si="659"/>
      </c>
      <c r="EU64" s="613">
        <f t="shared" si="659"/>
      </c>
      <c r="EV64" s="613">
        <f t="shared" si="659"/>
      </c>
      <c r="EW64" s="613">
        <f t="shared" si="659"/>
      </c>
      <c r="EX64" s="613">
        <f t="shared" si="659"/>
      </c>
      <c r="EY64" s="613">
        <f t="shared" si="659"/>
      </c>
      <c r="EZ64" s="613">
        <f t="shared" si="659"/>
      </c>
      <c r="FA64" s="613">
        <f t="shared" si="659"/>
      </c>
      <c r="FB64" s="613">
        <f t="shared" si="659"/>
      </c>
      <c r="FC64" s="613">
        <f t="shared" si="659"/>
      </c>
      <c r="FD64" s="613">
        <f t="shared" si="659"/>
      </c>
      <c r="FE64" s="613">
        <f t="shared" si="659"/>
      </c>
      <c r="FF64" s="613">
        <f t="shared" si="659"/>
      </c>
      <c r="FG64" s="613">
        <f t="shared" si="659"/>
      </c>
      <c r="FH64" s="613">
        <f t="shared" si="659"/>
      </c>
      <c r="FI64" s="613">
        <f t="shared" si="659"/>
      </c>
      <c r="FJ64" s="613">
        <f t="shared" si="659"/>
      </c>
      <c r="FK64" s="613">
        <f t="shared" si="659"/>
      </c>
      <c r="FL64" s="700">
        <f t="shared" si="659"/>
      </c>
      <c r="FM64" s="613">
        <f t="shared" si="659"/>
      </c>
      <c r="FN64" s="613">
        <f t="shared" si="659"/>
      </c>
      <c r="FO64" s="613">
        <f t="shared" si="659"/>
      </c>
      <c r="FP64" s="613">
        <f t="shared" si="659"/>
      </c>
      <c r="FQ64" s="613">
        <f t="shared" si="659"/>
      </c>
      <c r="FR64" s="613">
        <f t="shared" ref="FR64:FU64" si="660">FR13/FR$9</f>
      </c>
      <c r="FS64" s="613">
        <f t="shared" si="660"/>
      </c>
      <c r="FT64" s="613">
        <f t="shared" si="660"/>
      </c>
      <c r="FU64" s="2906">
        <f t="shared" si="660"/>
      </c>
      <c r="FV64" s="88"/>
      <c r="FW64" s="613">
        <f t="shared" ref="FW64:GZ64" si="661">FW13/FW$9</f>
      </c>
      <c r="FX64" s="613">
        <f t="shared" si="661"/>
      </c>
      <c r="FY64" s="613">
        <f t="shared" si="661"/>
      </c>
      <c r="FZ64" s="613">
        <f t="shared" si="661"/>
      </c>
      <c r="GA64" s="613">
        <f t="shared" si="661"/>
      </c>
      <c r="GB64" s="613">
        <f t="shared" si="661"/>
      </c>
      <c r="GC64" s="613">
        <f t="shared" si="661"/>
      </c>
      <c r="GD64" s="613">
        <f t="shared" si="661"/>
      </c>
      <c r="GE64" s="613">
        <f t="shared" si="661"/>
      </c>
      <c r="GF64" s="613">
        <f t="shared" si="661"/>
      </c>
      <c r="GG64" s="613">
        <f t="shared" si="661"/>
      </c>
      <c r="GH64" s="613">
        <f t="shared" si="661"/>
      </c>
      <c r="GI64" s="613">
        <f t="shared" si="661"/>
      </c>
      <c r="GJ64" s="613">
        <f t="shared" si="661"/>
      </c>
      <c r="GK64" s="613">
        <f t="shared" si="661"/>
      </c>
      <c r="GL64" s="613">
        <f t="shared" si="661"/>
      </c>
      <c r="GM64" s="613">
        <f t="shared" si="661"/>
      </c>
      <c r="GN64" s="613">
        <f t="shared" si="661"/>
      </c>
      <c r="GO64" s="613">
        <f t="shared" si="661"/>
      </c>
      <c r="GP64" s="613">
        <f t="shared" si="661"/>
      </c>
      <c r="GQ64" s="613">
        <f t="shared" si="661"/>
      </c>
      <c r="GR64" s="613">
        <f t="shared" si="661"/>
      </c>
      <c r="GS64" s="613">
        <f t="shared" si="661"/>
      </c>
      <c r="GT64" s="613">
        <f t="shared" si="661"/>
      </c>
      <c r="GU64" s="613">
        <f t="shared" si="661"/>
      </c>
      <c r="GV64" s="613">
        <f t="shared" si="661"/>
      </c>
      <c r="GW64" s="613">
        <f t="shared" si="661"/>
      </c>
      <c r="GX64" s="613">
        <f t="shared" si="661"/>
      </c>
      <c r="GY64" s="613">
        <f t="shared" si="661"/>
      </c>
      <c r="GZ64" s="613">
        <f t="shared" si="661"/>
      </c>
      <c r="HA64" s="613">
        <f t="shared" ref="HA64:HD64" si="662">HA13/HA$9</f>
      </c>
      <c r="HB64" s="613">
        <f t="shared" si="662"/>
      </c>
      <c r="HC64" s="613">
        <f t="shared" si="662"/>
      </c>
      <c r="HD64" s="613">
        <f t="shared" si="662"/>
      </c>
    </row>
    <row r="65" spans="1:212" s="58" customFormat="1">
      <c r="A65" s="620" t="str">
        <f t="shared" si="617"/>
      </c>
      <c r="B65" s="621">
        <f t="shared" ref="B65:AG65" si="663">B14/B$9</f>
      </c>
      <c r="C65" s="621">
        <f t="shared" si="663"/>
      </c>
      <c r="D65" s="621">
        <f t="shared" si="663"/>
      </c>
      <c r="E65" s="622">
        <f t="shared" si="663"/>
      </c>
      <c r="F65" s="621">
        <f t="shared" si="663"/>
      </c>
      <c r="G65" s="621">
        <f t="shared" si="663"/>
      </c>
      <c r="H65" s="621">
        <f t="shared" si="663"/>
      </c>
      <c r="I65" s="621">
        <f t="shared" si="663"/>
      </c>
      <c r="J65" s="621">
        <f t="shared" si="663"/>
      </c>
      <c r="K65" s="621">
        <f t="shared" si="663"/>
      </c>
      <c r="L65" s="621">
        <f t="shared" si="663"/>
      </c>
      <c r="M65" s="621">
        <f t="shared" si="663"/>
      </c>
      <c r="N65" s="621">
        <f t="shared" si="663"/>
      </c>
      <c r="O65" s="621">
        <f t="shared" si="663"/>
      </c>
      <c r="P65" s="621">
        <f t="shared" si="663"/>
      </c>
      <c r="Q65" s="621">
        <f t="shared" si="663"/>
      </c>
      <c r="R65" s="621">
        <f t="shared" si="663"/>
      </c>
      <c r="S65" s="621">
        <f t="shared" si="663"/>
      </c>
      <c r="T65" s="621">
        <f t="shared" si="663"/>
      </c>
      <c r="U65" s="621">
        <f t="shared" si="663"/>
      </c>
      <c r="V65" s="621">
        <f t="shared" si="663"/>
      </c>
      <c r="W65" s="621">
        <f t="shared" si="663"/>
      </c>
      <c r="X65" s="621">
        <f t="shared" si="663"/>
      </c>
      <c r="Y65" s="621">
        <f t="shared" si="663"/>
      </c>
      <c r="Z65" s="621">
        <f t="shared" si="663"/>
      </c>
      <c r="AA65" s="621">
        <f t="shared" si="663"/>
      </c>
      <c r="AB65" s="621">
        <f t="shared" si="663"/>
      </c>
      <c r="AC65" s="621">
        <f t="shared" si="663"/>
      </c>
      <c r="AD65" s="621">
        <f t="shared" si="663"/>
      </c>
      <c r="AE65" s="621">
        <f t="shared" si="663"/>
      </c>
      <c r="AF65" s="621">
        <f t="shared" si="663"/>
      </c>
      <c r="AG65" s="621">
        <f t="shared" si="663"/>
      </c>
      <c r="AH65" s="621">
        <f t="shared" ref="AH65:BM65" si="664">AH14/AH$9</f>
      </c>
      <c r="AI65" s="621">
        <f t="shared" si="664"/>
      </c>
      <c r="AJ65" s="621">
        <f t="shared" si="664"/>
      </c>
      <c r="AK65" s="621">
        <f t="shared" si="664"/>
      </c>
      <c r="AL65" s="621">
        <f t="shared" si="664"/>
      </c>
      <c r="AM65" s="621">
        <f t="shared" si="664"/>
      </c>
      <c r="AN65" s="621">
        <f t="shared" si="664"/>
      </c>
      <c r="AO65" s="621">
        <f t="shared" si="664"/>
      </c>
      <c r="AP65" s="621">
        <f t="shared" si="664"/>
      </c>
      <c r="AQ65" s="621">
        <f t="shared" si="664"/>
      </c>
      <c r="AR65" s="621">
        <f t="shared" si="664"/>
      </c>
      <c r="AS65" s="621">
        <f t="shared" si="664"/>
      </c>
      <c r="AT65" s="621">
        <f t="shared" si="664"/>
      </c>
      <c r="AU65" s="621">
        <f t="shared" si="664"/>
      </c>
      <c r="AV65" s="621">
        <f t="shared" si="664"/>
      </c>
      <c r="AW65" s="621">
        <f t="shared" si="664"/>
      </c>
      <c r="AX65" s="621">
        <f t="shared" si="664"/>
      </c>
      <c r="AY65" s="621">
        <f t="shared" si="664"/>
      </c>
      <c r="AZ65" s="621">
        <f t="shared" si="664"/>
      </c>
      <c r="BA65" s="621">
        <f t="shared" si="664"/>
      </c>
      <c r="BB65" s="621">
        <f t="shared" si="664"/>
      </c>
      <c r="BC65" s="621">
        <f t="shared" si="664"/>
      </c>
      <c r="BD65" s="621">
        <f t="shared" si="664"/>
      </c>
      <c r="BE65" s="621">
        <f t="shared" si="664"/>
      </c>
      <c r="BF65" s="621">
        <f t="shared" si="664"/>
      </c>
      <c r="BG65" s="621">
        <f t="shared" si="664"/>
      </c>
      <c r="BH65" s="621">
        <f t="shared" si="664"/>
      </c>
      <c r="BI65" s="621">
        <f t="shared" si="664"/>
      </c>
      <c r="BJ65" s="621">
        <f t="shared" si="664"/>
      </c>
      <c r="BK65" s="621">
        <f t="shared" si="664"/>
      </c>
      <c r="BL65" s="621">
        <f t="shared" si="664"/>
      </c>
      <c r="BM65" s="621">
        <f t="shared" si="664"/>
      </c>
      <c r="BN65" s="621">
        <f t="shared" ref="BN65:CS65" si="665">BN14/BN$9</f>
      </c>
      <c r="BO65" s="621">
        <f t="shared" si="665"/>
      </c>
      <c r="BP65" s="621">
        <f t="shared" si="665"/>
      </c>
      <c r="BQ65" s="623">
        <f t="shared" si="665"/>
      </c>
      <c r="BR65" s="621">
        <f t="shared" si="665"/>
      </c>
      <c r="BS65" s="621">
        <f t="shared" si="665"/>
      </c>
      <c r="BT65" s="621">
        <f t="shared" si="665"/>
      </c>
      <c r="BU65" s="623">
        <f t="shared" si="665"/>
      </c>
      <c r="BV65" s="621">
        <f t="shared" si="665"/>
      </c>
      <c r="BW65" s="621">
        <f t="shared" si="665"/>
      </c>
      <c r="BX65" s="621">
        <f t="shared" si="665"/>
      </c>
      <c r="BY65" s="623">
        <f t="shared" si="665"/>
      </c>
      <c r="BZ65" s="621">
        <f t="shared" si="665"/>
      </c>
      <c r="CA65" s="621">
        <f t="shared" si="665"/>
      </c>
      <c r="CB65" s="621">
        <f t="shared" si="665"/>
      </c>
      <c r="CC65" s="623">
        <f t="shared" si="665"/>
      </c>
      <c r="CD65" s="621">
        <f t="shared" si="665"/>
      </c>
      <c r="CE65" s="621">
        <f t="shared" si="665"/>
      </c>
      <c r="CF65" s="621">
        <f t="shared" si="665"/>
      </c>
      <c r="CG65" s="623">
        <f t="shared" si="665"/>
      </c>
      <c r="CH65" s="621">
        <f t="shared" si="665"/>
      </c>
      <c r="CI65" s="621">
        <f t="shared" si="665"/>
      </c>
      <c r="CJ65" s="621">
        <f t="shared" si="665"/>
      </c>
      <c r="CK65" s="623">
        <f t="shared" si="665"/>
      </c>
      <c r="CL65" s="621">
        <f t="shared" si="665"/>
      </c>
      <c r="CM65" s="621">
        <f t="shared" si="665"/>
      </c>
      <c r="CN65" s="621">
        <f t="shared" si="665"/>
      </c>
      <c r="CO65" s="623">
        <f t="shared" si="665"/>
      </c>
      <c r="CP65" s="621">
        <f t="shared" si="665"/>
      </c>
      <c r="CQ65" s="621">
        <f t="shared" si="665"/>
      </c>
      <c r="CR65" s="621">
        <f t="shared" si="665"/>
      </c>
      <c r="CS65" s="623">
        <f t="shared" si="665"/>
      </c>
      <c r="CT65" s="621">
        <f t="shared" ref="CT65:DU65" si="666">CT14/CT$9</f>
      </c>
      <c r="CU65" s="621">
        <f t="shared" si="666"/>
      </c>
      <c r="CV65" s="621">
        <f t="shared" si="666"/>
      </c>
      <c r="CW65" s="623">
        <f t="shared" si="666"/>
      </c>
      <c r="CX65" s="621">
        <f t="shared" si="666"/>
      </c>
      <c r="CY65" s="621">
        <f t="shared" si="666"/>
      </c>
      <c r="CZ65" s="621">
        <f t="shared" si="666"/>
      </c>
      <c r="DA65" s="623">
        <f t="shared" si="666"/>
      </c>
      <c r="DB65" s="621">
        <f t="shared" si="666"/>
      </c>
      <c r="DC65" s="621">
        <f t="shared" si="666"/>
      </c>
      <c r="DD65" s="621">
        <f t="shared" si="666"/>
      </c>
      <c r="DE65" s="623">
        <f t="shared" si="666"/>
      </c>
      <c r="DF65" s="621">
        <f t="shared" si="666"/>
      </c>
      <c r="DG65" s="621">
        <f t="shared" si="666"/>
      </c>
      <c r="DH65" s="621">
        <f t="shared" si="666"/>
      </c>
      <c r="DI65" s="623">
        <f t="shared" si="666"/>
      </c>
      <c r="DJ65" s="621">
        <f t="shared" si="666"/>
      </c>
      <c r="DK65" s="621">
        <f t="shared" si="666"/>
      </c>
      <c r="DL65" s="621">
        <f t="shared" si="666"/>
      </c>
      <c r="DM65" s="623">
        <f t="shared" si="666"/>
      </c>
      <c r="DN65" s="621">
        <f t="shared" si="666"/>
      </c>
      <c r="DO65" s="621">
        <f t="shared" si="666"/>
      </c>
      <c r="DP65" s="621">
        <f t="shared" si="666"/>
      </c>
      <c r="DQ65" s="623">
        <f t="shared" si="666"/>
      </c>
      <c r="DR65" s="621">
        <f t="shared" si="666"/>
      </c>
      <c r="DS65" s="621">
        <f t="shared" si="666"/>
      </c>
      <c r="DT65" s="621">
        <f t="shared" si="666"/>
      </c>
      <c r="DU65" s="623">
        <f t="shared" si="666"/>
      </c>
      <c r="DV65" s="621">
        <f t="shared" ref="DV65:EK65" si="667">DV14/DV$9</f>
      </c>
      <c r="DW65" s="621">
        <f t="shared" si="667"/>
      </c>
      <c r="DX65" s="621">
        <f t="shared" si="667"/>
      </c>
      <c r="DY65" s="623">
        <f t="shared" si="667"/>
      </c>
      <c r="DZ65" s="621">
        <f t="shared" si="667"/>
      </c>
      <c r="EA65" s="621">
        <f t="shared" si="667"/>
      </c>
      <c r="EB65" s="621">
        <f t="shared" si="667"/>
      </c>
      <c r="EC65" s="623">
        <f t="shared" si="667"/>
      </c>
      <c r="ED65" s="621">
        <f t="shared" si="667"/>
      </c>
      <c r="EE65" s="621">
        <f t="shared" si="667"/>
      </c>
      <c r="EF65" s="621">
        <f t="shared" si="667"/>
      </c>
      <c r="EG65" s="623">
        <f t="shared" si="667"/>
      </c>
      <c r="EH65" s="621">
        <f t="shared" si="667"/>
      </c>
      <c r="EI65" s="621">
        <f t="shared" si="667"/>
      </c>
      <c r="EJ65" s="621">
        <f t="shared" si="667"/>
      </c>
      <c r="EK65" s="623">
        <f t="shared" si="667"/>
      </c>
      <c r="EL65" s="11"/>
      <c r="EM65" s="702">
        <f t="shared" ref="EM65:FQ65" si="668">EM14/EM$9</f>
      </c>
      <c r="EN65" s="621">
        <f t="shared" si="668"/>
      </c>
      <c r="EO65" s="621">
        <f t="shared" si="668"/>
      </c>
      <c r="EP65" s="621">
        <f t="shared" si="668"/>
      </c>
      <c r="EQ65" s="621">
        <f t="shared" si="668"/>
      </c>
      <c r="ER65" s="621">
        <f t="shared" si="668"/>
      </c>
      <c r="ES65" s="621">
        <f t="shared" si="668"/>
      </c>
      <c r="ET65" s="621">
        <f t="shared" si="668"/>
      </c>
      <c r="EU65" s="621">
        <f t="shared" si="668"/>
      </c>
      <c r="EV65" s="621">
        <f t="shared" si="668"/>
      </c>
      <c r="EW65" s="621">
        <f t="shared" si="668"/>
      </c>
      <c r="EX65" s="621">
        <f t="shared" si="668"/>
      </c>
      <c r="EY65" s="621">
        <f t="shared" si="668"/>
      </c>
      <c r="EZ65" s="621">
        <f t="shared" si="668"/>
      </c>
      <c r="FA65" s="621">
        <f t="shared" si="668"/>
      </c>
      <c r="FB65" s="621">
        <f t="shared" si="668"/>
      </c>
      <c r="FC65" s="621">
        <f t="shared" si="668"/>
      </c>
      <c r="FD65" s="621">
        <f t="shared" si="668"/>
      </c>
      <c r="FE65" s="621">
        <f t="shared" si="668"/>
      </c>
      <c r="FF65" s="621">
        <f t="shared" si="668"/>
      </c>
      <c r="FG65" s="621">
        <f t="shared" si="668"/>
      </c>
      <c r="FH65" s="621">
        <f t="shared" si="668"/>
      </c>
      <c r="FI65" s="621">
        <f t="shared" si="668"/>
      </c>
      <c r="FJ65" s="621">
        <f t="shared" si="668"/>
      </c>
      <c r="FK65" s="621">
        <f t="shared" si="668"/>
      </c>
      <c r="FL65" s="702">
        <f t="shared" si="668"/>
      </c>
      <c r="FM65" s="621">
        <f t="shared" si="668"/>
      </c>
      <c r="FN65" s="621">
        <f t="shared" si="668"/>
      </c>
      <c r="FO65" s="621">
        <f t="shared" si="668"/>
      </c>
      <c r="FP65" s="621">
        <f t="shared" si="668"/>
      </c>
      <c r="FQ65" s="621">
        <f t="shared" si="668"/>
      </c>
      <c r="FR65" s="621">
        <f t="shared" ref="FR65:FU65" si="669">FR14/FR$9</f>
      </c>
      <c r="FS65" s="621">
        <f t="shared" si="669"/>
      </c>
      <c r="FT65" s="621">
        <f t="shared" si="669"/>
      </c>
      <c r="FU65" s="2908">
        <f t="shared" si="669"/>
      </c>
      <c r="FV65" s="88"/>
      <c r="FW65" s="621">
        <f t="shared" ref="FW65:GZ65" si="670">FW14/FW$9</f>
      </c>
      <c r="FX65" s="621">
        <f t="shared" si="670"/>
      </c>
      <c r="FY65" s="621">
        <f t="shared" si="670"/>
      </c>
      <c r="FZ65" s="621">
        <f t="shared" si="670"/>
      </c>
      <c r="GA65" s="621">
        <f t="shared" si="670"/>
      </c>
      <c r="GB65" s="621">
        <f t="shared" si="670"/>
      </c>
      <c r="GC65" s="621">
        <f t="shared" si="670"/>
      </c>
      <c r="GD65" s="621">
        <f t="shared" si="670"/>
      </c>
      <c r="GE65" s="621">
        <f t="shared" si="670"/>
      </c>
      <c r="GF65" s="621">
        <f t="shared" si="670"/>
      </c>
      <c r="GG65" s="621">
        <f t="shared" si="670"/>
      </c>
      <c r="GH65" s="621">
        <f t="shared" si="670"/>
      </c>
      <c r="GI65" s="621">
        <f t="shared" si="670"/>
      </c>
      <c r="GJ65" s="621">
        <f t="shared" si="670"/>
      </c>
      <c r="GK65" s="621">
        <f t="shared" si="670"/>
      </c>
      <c r="GL65" s="621">
        <f t="shared" si="670"/>
      </c>
      <c r="GM65" s="621">
        <f t="shared" si="670"/>
      </c>
      <c r="GN65" s="621">
        <f t="shared" si="670"/>
      </c>
      <c r="GO65" s="621">
        <f t="shared" si="670"/>
      </c>
      <c r="GP65" s="621">
        <f t="shared" si="670"/>
      </c>
      <c r="GQ65" s="621">
        <f t="shared" si="670"/>
      </c>
      <c r="GR65" s="621">
        <f t="shared" si="670"/>
      </c>
      <c r="GS65" s="621">
        <f t="shared" si="670"/>
      </c>
      <c r="GT65" s="621">
        <f t="shared" si="670"/>
      </c>
      <c r="GU65" s="621">
        <f t="shared" si="670"/>
      </c>
      <c r="GV65" s="621">
        <f t="shared" si="670"/>
      </c>
      <c r="GW65" s="621">
        <f t="shared" si="670"/>
      </c>
      <c r="GX65" s="621">
        <f t="shared" si="670"/>
      </c>
      <c r="GY65" s="621">
        <f t="shared" si="670"/>
      </c>
      <c r="GZ65" s="621">
        <f t="shared" si="670"/>
      </c>
      <c r="HA65" s="621">
        <f t="shared" ref="HA65:HD65" si="671">HA14/HA$9</f>
      </c>
      <c r="HB65" s="621">
        <f t="shared" si="671"/>
      </c>
      <c r="HC65" s="621">
        <f t="shared" si="671"/>
      </c>
      <c r="HD65" s="621">
        <f t="shared" si="671"/>
      </c>
    </row>
    <row r="66" spans="1:212" s="58" customFormat="1">
      <c r="A66" s="616" t="str">
        <f t="shared" si="617"/>
      </c>
      <c r="B66" s="617">
        <f t="shared" ref="B66:AG66" si="672">B15/B$9</f>
      </c>
      <c r="C66" s="617">
        <f t="shared" si="672"/>
      </c>
      <c r="D66" s="617">
        <f t="shared" si="672"/>
      </c>
      <c r="E66" s="618">
        <f t="shared" si="672"/>
      </c>
      <c r="F66" s="617">
        <f t="shared" si="672"/>
      </c>
      <c r="G66" s="617">
        <f t="shared" si="672"/>
      </c>
      <c r="H66" s="617">
        <f t="shared" si="672"/>
      </c>
      <c r="I66" s="617">
        <f t="shared" si="672"/>
      </c>
      <c r="J66" s="617">
        <f t="shared" si="672"/>
      </c>
      <c r="K66" s="617">
        <f t="shared" si="672"/>
      </c>
      <c r="L66" s="617">
        <f t="shared" si="672"/>
      </c>
      <c r="M66" s="617">
        <f t="shared" si="672"/>
      </c>
      <c r="N66" s="617">
        <f t="shared" si="672"/>
      </c>
      <c r="O66" s="617">
        <f t="shared" si="672"/>
      </c>
      <c r="P66" s="617">
        <f t="shared" si="672"/>
      </c>
      <c r="Q66" s="617">
        <f t="shared" si="672"/>
      </c>
      <c r="R66" s="617">
        <f t="shared" si="672"/>
      </c>
      <c r="S66" s="617">
        <f t="shared" si="672"/>
      </c>
      <c r="T66" s="617">
        <f t="shared" si="672"/>
      </c>
      <c r="U66" s="617">
        <f t="shared" si="672"/>
      </c>
      <c r="V66" s="617">
        <f t="shared" si="672"/>
      </c>
      <c r="W66" s="617">
        <f t="shared" si="672"/>
      </c>
      <c r="X66" s="617">
        <f t="shared" si="672"/>
      </c>
      <c r="Y66" s="617">
        <f t="shared" si="672"/>
      </c>
      <c r="Z66" s="617">
        <f t="shared" si="672"/>
      </c>
      <c r="AA66" s="617">
        <f t="shared" si="672"/>
      </c>
      <c r="AB66" s="617">
        <f t="shared" si="672"/>
      </c>
      <c r="AC66" s="617">
        <f t="shared" si="672"/>
      </c>
      <c r="AD66" s="617">
        <f t="shared" si="672"/>
      </c>
      <c r="AE66" s="617">
        <f t="shared" si="672"/>
      </c>
      <c r="AF66" s="617">
        <f t="shared" si="672"/>
      </c>
      <c r="AG66" s="617">
        <f t="shared" si="672"/>
      </c>
      <c r="AH66" s="617">
        <f t="shared" ref="AH66:BM66" si="673">AH15/AH$9</f>
      </c>
      <c r="AI66" s="617">
        <f t="shared" si="673"/>
      </c>
      <c r="AJ66" s="617">
        <f t="shared" si="673"/>
      </c>
      <c r="AK66" s="617">
        <f t="shared" si="673"/>
      </c>
      <c r="AL66" s="617">
        <f t="shared" si="673"/>
      </c>
      <c r="AM66" s="617">
        <f t="shared" si="673"/>
      </c>
      <c r="AN66" s="617">
        <f t="shared" si="673"/>
      </c>
      <c r="AO66" s="617">
        <f t="shared" si="673"/>
      </c>
      <c r="AP66" s="617">
        <f t="shared" si="673"/>
      </c>
      <c r="AQ66" s="617">
        <f t="shared" si="673"/>
      </c>
      <c r="AR66" s="617">
        <f t="shared" si="673"/>
      </c>
      <c r="AS66" s="617">
        <f t="shared" si="673"/>
      </c>
      <c r="AT66" s="617">
        <f t="shared" si="673"/>
      </c>
      <c r="AU66" s="617">
        <f t="shared" si="673"/>
      </c>
      <c r="AV66" s="617">
        <f t="shared" si="673"/>
      </c>
      <c r="AW66" s="617">
        <f t="shared" si="673"/>
      </c>
      <c r="AX66" s="617">
        <f t="shared" si="673"/>
      </c>
      <c r="AY66" s="617">
        <f t="shared" si="673"/>
      </c>
      <c r="AZ66" s="617">
        <f t="shared" si="673"/>
      </c>
      <c r="BA66" s="617">
        <f t="shared" si="673"/>
      </c>
      <c r="BB66" s="617">
        <f t="shared" si="673"/>
      </c>
      <c r="BC66" s="617">
        <f t="shared" si="673"/>
      </c>
      <c r="BD66" s="617">
        <f t="shared" si="673"/>
      </c>
      <c r="BE66" s="617">
        <f t="shared" si="673"/>
      </c>
      <c r="BF66" s="617">
        <f t="shared" si="673"/>
      </c>
      <c r="BG66" s="617">
        <f t="shared" si="673"/>
      </c>
      <c r="BH66" s="617">
        <f t="shared" si="673"/>
      </c>
      <c r="BI66" s="617">
        <f t="shared" si="673"/>
      </c>
      <c r="BJ66" s="617">
        <f t="shared" si="673"/>
      </c>
      <c r="BK66" s="617">
        <f t="shared" si="673"/>
      </c>
      <c r="BL66" s="617">
        <f t="shared" si="673"/>
      </c>
      <c r="BM66" s="617">
        <f t="shared" si="673"/>
      </c>
      <c r="BN66" s="617">
        <f t="shared" ref="BN66:CS66" si="674">BN15/BN$9</f>
      </c>
      <c r="BO66" s="617">
        <f t="shared" si="674"/>
      </c>
      <c r="BP66" s="617">
        <f t="shared" si="674"/>
      </c>
      <c r="BQ66" s="619">
        <f t="shared" si="674"/>
      </c>
      <c r="BR66" s="617">
        <f t="shared" si="674"/>
      </c>
      <c r="BS66" s="617">
        <f t="shared" si="674"/>
      </c>
      <c r="BT66" s="617">
        <f t="shared" si="674"/>
      </c>
      <c r="BU66" s="619">
        <f t="shared" si="674"/>
      </c>
      <c r="BV66" s="617">
        <f t="shared" si="674"/>
      </c>
      <c r="BW66" s="617">
        <f t="shared" si="674"/>
      </c>
      <c r="BX66" s="617">
        <f t="shared" si="674"/>
      </c>
      <c r="BY66" s="619">
        <f t="shared" si="674"/>
      </c>
      <c r="BZ66" s="617">
        <f t="shared" si="674"/>
      </c>
      <c r="CA66" s="617">
        <f t="shared" si="674"/>
      </c>
      <c r="CB66" s="617">
        <f t="shared" si="674"/>
      </c>
      <c r="CC66" s="619">
        <f t="shared" si="674"/>
      </c>
      <c r="CD66" s="617">
        <f t="shared" si="674"/>
      </c>
      <c r="CE66" s="617">
        <f t="shared" si="674"/>
      </c>
      <c r="CF66" s="617">
        <f t="shared" si="674"/>
      </c>
      <c r="CG66" s="619">
        <f t="shared" si="674"/>
      </c>
      <c r="CH66" s="617">
        <f t="shared" si="674"/>
      </c>
      <c r="CI66" s="617">
        <f t="shared" si="674"/>
      </c>
      <c r="CJ66" s="617">
        <f t="shared" si="674"/>
      </c>
      <c r="CK66" s="619">
        <f t="shared" si="674"/>
      </c>
      <c r="CL66" s="617">
        <f t="shared" si="674"/>
      </c>
      <c r="CM66" s="617">
        <f t="shared" si="674"/>
      </c>
      <c r="CN66" s="617">
        <f t="shared" si="674"/>
      </c>
      <c r="CO66" s="619">
        <f t="shared" si="674"/>
      </c>
      <c r="CP66" s="617">
        <f t="shared" si="674"/>
      </c>
      <c r="CQ66" s="617">
        <f t="shared" si="674"/>
      </c>
      <c r="CR66" s="617">
        <f t="shared" si="674"/>
      </c>
      <c r="CS66" s="619">
        <f t="shared" si="674"/>
      </c>
      <c r="CT66" s="617">
        <f t="shared" ref="CT66:DU66" si="675">CT15/CT$9</f>
      </c>
      <c r="CU66" s="617">
        <f t="shared" si="675"/>
      </c>
      <c r="CV66" s="617">
        <f t="shared" si="675"/>
      </c>
      <c r="CW66" s="619">
        <f t="shared" si="675"/>
      </c>
      <c r="CX66" s="617">
        <f t="shared" si="675"/>
      </c>
      <c r="CY66" s="617">
        <f t="shared" si="675"/>
      </c>
      <c r="CZ66" s="617">
        <f t="shared" si="675"/>
      </c>
      <c r="DA66" s="619">
        <f t="shared" si="675"/>
      </c>
      <c r="DB66" s="617">
        <f t="shared" si="675"/>
      </c>
      <c r="DC66" s="617">
        <f t="shared" si="675"/>
      </c>
      <c r="DD66" s="617">
        <f t="shared" si="675"/>
      </c>
      <c r="DE66" s="619">
        <f t="shared" si="675"/>
      </c>
      <c r="DF66" s="617">
        <f t="shared" si="675"/>
      </c>
      <c r="DG66" s="617">
        <f t="shared" si="675"/>
      </c>
      <c r="DH66" s="617">
        <f t="shared" si="675"/>
      </c>
      <c r="DI66" s="619">
        <f t="shared" si="675"/>
      </c>
      <c r="DJ66" s="617">
        <f t="shared" si="675"/>
      </c>
      <c r="DK66" s="617">
        <f t="shared" si="675"/>
      </c>
      <c r="DL66" s="617">
        <f t="shared" si="675"/>
      </c>
      <c r="DM66" s="619">
        <f t="shared" si="675"/>
      </c>
      <c r="DN66" s="617">
        <f t="shared" si="675"/>
      </c>
      <c r="DO66" s="617">
        <f t="shared" si="675"/>
      </c>
      <c r="DP66" s="617">
        <f t="shared" si="675"/>
      </c>
      <c r="DQ66" s="619">
        <f t="shared" si="675"/>
      </c>
      <c r="DR66" s="617">
        <f t="shared" si="675"/>
      </c>
      <c r="DS66" s="617">
        <f t="shared" si="675"/>
      </c>
      <c r="DT66" s="617">
        <f t="shared" si="675"/>
      </c>
      <c r="DU66" s="619">
        <f t="shared" si="675"/>
      </c>
      <c r="DV66" s="617">
        <f t="shared" ref="DV66:EK66" si="676">DV15/DV$9</f>
      </c>
      <c r="DW66" s="617">
        <f t="shared" si="676"/>
      </c>
      <c r="DX66" s="617">
        <f t="shared" si="676"/>
      </c>
      <c r="DY66" s="619">
        <f t="shared" si="676"/>
      </c>
      <c r="DZ66" s="617">
        <f t="shared" si="676"/>
      </c>
      <c r="EA66" s="617">
        <f t="shared" si="676"/>
      </c>
      <c r="EB66" s="617">
        <f t="shared" si="676"/>
      </c>
      <c r="EC66" s="619">
        <f t="shared" si="676"/>
      </c>
      <c r="ED66" s="617">
        <f t="shared" si="676"/>
      </c>
      <c r="EE66" s="617">
        <f t="shared" si="676"/>
      </c>
      <c r="EF66" s="617">
        <f t="shared" si="676"/>
      </c>
      <c r="EG66" s="619">
        <f t="shared" si="676"/>
      </c>
      <c r="EH66" s="617">
        <f t="shared" si="676"/>
      </c>
      <c r="EI66" s="617">
        <f t="shared" si="676"/>
      </c>
      <c r="EJ66" s="617">
        <f t="shared" si="676"/>
      </c>
      <c r="EK66" s="619">
        <f t="shared" si="676"/>
      </c>
      <c r="EL66" s="11"/>
      <c r="EM66" s="701">
        <f t="shared" ref="EM66:FQ66" si="677">EM15/EM$9</f>
      </c>
      <c r="EN66" s="617">
        <f t="shared" si="677"/>
      </c>
      <c r="EO66" s="617">
        <f t="shared" si="677"/>
      </c>
      <c r="EP66" s="617">
        <f t="shared" si="677"/>
      </c>
      <c r="EQ66" s="617">
        <f t="shared" si="677"/>
      </c>
      <c r="ER66" s="617">
        <f t="shared" si="677"/>
      </c>
      <c r="ES66" s="617">
        <f t="shared" si="677"/>
      </c>
      <c r="ET66" s="617">
        <f t="shared" si="677"/>
      </c>
      <c r="EU66" s="617">
        <f t="shared" si="677"/>
      </c>
      <c r="EV66" s="617">
        <f t="shared" si="677"/>
      </c>
      <c r="EW66" s="617">
        <f t="shared" si="677"/>
      </c>
      <c r="EX66" s="617">
        <f t="shared" si="677"/>
      </c>
      <c r="EY66" s="617">
        <f t="shared" si="677"/>
      </c>
      <c r="EZ66" s="617">
        <f t="shared" si="677"/>
      </c>
      <c r="FA66" s="617">
        <f t="shared" si="677"/>
      </c>
      <c r="FB66" s="617">
        <f t="shared" si="677"/>
      </c>
      <c r="FC66" s="617">
        <f t="shared" si="677"/>
      </c>
      <c r="FD66" s="617">
        <f t="shared" si="677"/>
      </c>
      <c r="FE66" s="617">
        <f t="shared" si="677"/>
      </c>
      <c r="FF66" s="617">
        <f t="shared" si="677"/>
      </c>
      <c r="FG66" s="617">
        <f t="shared" si="677"/>
      </c>
      <c r="FH66" s="617">
        <f t="shared" si="677"/>
      </c>
      <c r="FI66" s="617">
        <f t="shared" si="677"/>
      </c>
      <c r="FJ66" s="617">
        <f t="shared" si="677"/>
      </c>
      <c r="FK66" s="617">
        <f t="shared" si="677"/>
      </c>
      <c r="FL66" s="701">
        <f t="shared" si="677"/>
      </c>
      <c r="FM66" s="617">
        <f t="shared" si="677"/>
      </c>
      <c r="FN66" s="617">
        <f t="shared" si="677"/>
      </c>
      <c r="FO66" s="617">
        <f t="shared" si="677"/>
      </c>
      <c r="FP66" s="617">
        <f t="shared" si="677"/>
      </c>
      <c r="FQ66" s="617">
        <f t="shared" si="677"/>
      </c>
      <c r="FR66" s="617">
        <f t="shared" ref="FR66:FU66" si="678">FR15/FR$9</f>
      </c>
      <c r="FS66" s="617">
        <f t="shared" si="678"/>
      </c>
      <c r="FT66" s="617">
        <f t="shared" si="678"/>
      </c>
      <c r="FU66" s="2907">
        <f t="shared" si="678"/>
      </c>
      <c r="FW66" s="617">
        <f t="shared" ref="FW66:GZ66" si="679">FW15/FW$9</f>
      </c>
      <c r="FX66" s="617">
        <f t="shared" si="679"/>
      </c>
      <c r="FY66" s="617">
        <f t="shared" si="679"/>
      </c>
      <c r="FZ66" s="617">
        <f t="shared" si="679"/>
      </c>
      <c r="GA66" s="617">
        <f t="shared" si="679"/>
      </c>
      <c r="GB66" s="617">
        <f t="shared" si="679"/>
      </c>
      <c r="GC66" s="617">
        <f t="shared" si="679"/>
      </c>
      <c r="GD66" s="617">
        <f t="shared" si="679"/>
      </c>
      <c r="GE66" s="617">
        <f t="shared" si="679"/>
      </c>
      <c r="GF66" s="617">
        <f t="shared" si="679"/>
      </c>
      <c r="GG66" s="617">
        <f t="shared" si="679"/>
      </c>
      <c r="GH66" s="617">
        <f t="shared" si="679"/>
      </c>
      <c r="GI66" s="617">
        <f t="shared" si="679"/>
      </c>
      <c r="GJ66" s="617">
        <f t="shared" si="679"/>
      </c>
      <c r="GK66" s="617">
        <f t="shared" si="679"/>
      </c>
      <c r="GL66" s="617">
        <f t="shared" si="679"/>
      </c>
      <c r="GM66" s="617">
        <f t="shared" si="679"/>
      </c>
      <c r="GN66" s="617">
        <f t="shared" si="679"/>
      </c>
      <c r="GO66" s="617">
        <f t="shared" si="679"/>
      </c>
      <c r="GP66" s="617">
        <f t="shared" si="679"/>
      </c>
      <c r="GQ66" s="617">
        <f t="shared" si="679"/>
      </c>
      <c r="GR66" s="617">
        <f t="shared" si="679"/>
      </c>
      <c r="GS66" s="617">
        <f t="shared" si="679"/>
      </c>
      <c r="GT66" s="617">
        <f t="shared" si="679"/>
      </c>
      <c r="GU66" s="617">
        <f t="shared" si="679"/>
      </c>
      <c r="GV66" s="617">
        <f t="shared" si="679"/>
      </c>
      <c r="GW66" s="617">
        <f t="shared" si="679"/>
      </c>
      <c r="GX66" s="617">
        <f t="shared" si="679"/>
      </c>
      <c r="GY66" s="617">
        <f t="shared" si="679"/>
      </c>
      <c r="GZ66" s="617">
        <f t="shared" si="679"/>
      </c>
      <c r="HA66" s="617">
        <f t="shared" ref="HA66:HD66" si="680">HA15/HA$9</f>
      </c>
      <c r="HB66" s="617">
        <f t="shared" si="680"/>
      </c>
      <c r="HC66" s="617">
        <f t="shared" si="680"/>
      </c>
      <c r="HD66" s="617">
        <f t="shared" si="680"/>
      </c>
    </row>
    <row r="67" spans="1:212" s="58" customFormat="1">
      <c r="A67" s="612" t="str">
        <f t="shared" si="617"/>
      </c>
      <c r="B67" s="613">
        <f t="shared" ref="B67:AG67" si="681">B16/B$9</f>
      </c>
      <c r="C67" s="613">
        <f t="shared" si="681"/>
      </c>
      <c r="D67" s="613">
        <f t="shared" si="681"/>
      </c>
      <c r="E67" s="614">
        <f t="shared" si="681"/>
      </c>
      <c r="F67" s="613">
        <f t="shared" si="681"/>
      </c>
      <c r="G67" s="613">
        <f t="shared" si="681"/>
      </c>
      <c r="H67" s="613">
        <f t="shared" si="681"/>
      </c>
      <c r="I67" s="613">
        <f t="shared" si="681"/>
      </c>
      <c r="J67" s="613">
        <f t="shared" si="681"/>
      </c>
      <c r="K67" s="613">
        <f t="shared" si="681"/>
      </c>
      <c r="L67" s="613">
        <f t="shared" si="681"/>
      </c>
      <c r="M67" s="613">
        <f t="shared" si="681"/>
      </c>
      <c r="N67" s="613">
        <f t="shared" si="681"/>
      </c>
      <c r="O67" s="613">
        <f t="shared" si="681"/>
      </c>
      <c r="P67" s="613">
        <f t="shared" si="681"/>
      </c>
      <c r="Q67" s="613">
        <f t="shared" si="681"/>
      </c>
      <c r="R67" s="613">
        <f t="shared" si="681"/>
      </c>
      <c r="S67" s="613">
        <f t="shared" si="681"/>
      </c>
      <c r="T67" s="613">
        <f t="shared" si="681"/>
      </c>
      <c r="U67" s="613">
        <f t="shared" si="681"/>
      </c>
      <c r="V67" s="613">
        <f t="shared" si="681"/>
      </c>
      <c r="W67" s="613">
        <f t="shared" si="681"/>
      </c>
      <c r="X67" s="613">
        <f t="shared" si="681"/>
      </c>
      <c r="Y67" s="613">
        <f t="shared" si="681"/>
      </c>
      <c r="Z67" s="613">
        <f t="shared" si="681"/>
      </c>
      <c r="AA67" s="613">
        <f t="shared" si="681"/>
      </c>
      <c r="AB67" s="613">
        <f t="shared" si="681"/>
      </c>
      <c r="AC67" s="613">
        <f t="shared" si="681"/>
      </c>
      <c r="AD67" s="613">
        <f t="shared" si="681"/>
      </c>
      <c r="AE67" s="613">
        <f t="shared" si="681"/>
      </c>
      <c r="AF67" s="613">
        <f t="shared" si="681"/>
      </c>
      <c r="AG67" s="613">
        <f t="shared" si="681"/>
      </c>
      <c r="AH67" s="613">
        <f t="shared" ref="AH67:BM67" si="682">AH16/AH$9</f>
      </c>
      <c r="AI67" s="613">
        <f t="shared" si="682"/>
      </c>
      <c r="AJ67" s="613">
        <f t="shared" si="682"/>
      </c>
      <c r="AK67" s="613">
        <f t="shared" si="682"/>
      </c>
      <c r="AL67" s="613">
        <f t="shared" si="682"/>
      </c>
      <c r="AM67" s="613">
        <f t="shared" si="682"/>
      </c>
      <c r="AN67" s="613">
        <f t="shared" si="682"/>
      </c>
      <c r="AO67" s="613">
        <f t="shared" si="682"/>
      </c>
      <c r="AP67" s="613">
        <f t="shared" si="682"/>
      </c>
      <c r="AQ67" s="613">
        <f t="shared" si="682"/>
      </c>
      <c r="AR67" s="613">
        <f t="shared" si="682"/>
      </c>
      <c r="AS67" s="613">
        <f t="shared" si="682"/>
      </c>
      <c r="AT67" s="613">
        <f t="shared" si="682"/>
      </c>
      <c r="AU67" s="613">
        <f t="shared" si="682"/>
      </c>
      <c r="AV67" s="613">
        <f t="shared" si="682"/>
      </c>
      <c r="AW67" s="613">
        <f t="shared" si="682"/>
      </c>
      <c r="AX67" s="613">
        <f t="shared" si="682"/>
      </c>
      <c r="AY67" s="613">
        <f t="shared" si="682"/>
      </c>
      <c r="AZ67" s="613">
        <f t="shared" si="682"/>
      </c>
      <c r="BA67" s="613">
        <f t="shared" si="682"/>
      </c>
      <c r="BB67" s="613">
        <f t="shared" si="682"/>
      </c>
      <c r="BC67" s="613">
        <f t="shared" si="682"/>
      </c>
      <c r="BD67" s="613">
        <f t="shared" si="682"/>
      </c>
      <c r="BE67" s="613">
        <f t="shared" si="682"/>
      </c>
      <c r="BF67" s="613">
        <f t="shared" si="682"/>
      </c>
      <c r="BG67" s="613">
        <f t="shared" si="682"/>
      </c>
      <c r="BH67" s="613">
        <f t="shared" si="682"/>
      </c>
      <c r="BI67" s="613">
        <f t="shared" si="682"/>
      </c>
      <c r="BJ67" s="613">
        <f t="shared" si="682"/>
      </c>
      <c r="BK67" s="613">
        <f t="shared" si="682"/>
      </c>
      <c r="BL67" s="613">
        <f t="shared" si="682"/>
      </c>
      <c r="BM67" s="613">
        <f t="shared" si="682"/>
      </c>
      <c r="BN67" s="613">
        <f t="shared" ref="BN67:CS67" si="683">BN16/BN$9</f>
      </c>
      <c r="BO67" s="613">
        <f t="shared" si="683"/>
      </c>
      <c r="BP67" s="613">
        <f t="shared" si="683"/>
      </c>
      <c r="BQ67" s="615">
        <f t="shared" si="683"/>
      </c>
      <c r="BR67" s="613">
        <f t="shared" si="683"/>
      </c>
      <c r="BS67" s="613">
        <f t="shared" si="683"/>
      </c>
      <c r="BT67" s="613">
        <f t="shared" si="683"/>
      </c>
      <c r="BU67" s="615">
        <f t="shared" si="683"/>
      </c>
      <c r="BV67" s="613">
        <f t="shared" si="683"/>
      </c>
      <c r="BW67" s="613">
        <f t="shared" si="683"/>
      </c>
      <c r="BX67" s="613">
        <f t="shared" si="683"/>
      </c>
      <c r="BY67" s="615">
        <f t="shared" si="683"/>
      </c>
      <c r="BZ67" s="613">
        <f t="shared" si="683"/>
      </c>
      <c r="CA67" s="613">
        <f t="shared" si="683"/>
      </c>
      <c r="CB67" s="613">
        <f t="shared" si="683"/>
      </c>
      <c r="CC67" s="615">
        <f t="shared" si="683"/>
      </c>
      <c r="CD67" s="613">
        <f t="shared" si="683"/>
      </c>
      <c r="CE67" s="613">
        <f t="shared" si="683"/>
      </c>
      <c r="CF67" s="613">
        <f t="shared" si="683"/>
      </c>
      <c r="CG67" s="615">
        <f t="shared" si="683"/>
      </c>
      <c r="CH67" s="613">
        <f t="shared" si="683"/>
      </c>
      <c r="CI67" s="613">
        <f t="shared" si="683"/>
      </c>
      <c r="CJ67" s="613">
        <f t="shared" si="683"/>
      </c>
      <c r="CK67" s="615">
        <f t="shared" si="683"/>
      </c>
      <c r="CL67" s="613">
        <f t="shared" si="683"/>
      </c>
      <c r="CM67" s="613">
        <f t="shared" si="683"/>
      </c>
      <c r="CN67" s="613">
        <f t="shared" si="683"/>
      </c>
      <c r="CO67" s="615">
        <f t="shared" si="683"/>
      </c>
      <c r="CP67" s="613">
        <f t="shared" si="683"/>
      </c>
      <c r="CQ67" s="613">
        <f t="shared" si="683"/>
      </c>
      <c r="CR67" s="613">
        <f t="shared" si="683"/>
      </c>
      <c r="CS67" s="615">
        <f t="shared" si="683"/>
      </c>
      <c r="CT67" s="613">
        <f t="shared" ref="CT67:DU67" si="684">CT16/CT$9</f>
      </c>
      <c r="CU67" s="613">
        <f t="shared" si="684"/>
      </c>
      <c r="CV67" s="613">
        <f t="shared" si="684"/>
      </c>
      <c r="CW67" s="615">
        <f t="shared" si="684"/>
      </c>
      <c r="CX67" s="613">
        <f t="shared" si="684"/>
      </c>
      <c r="CY67" s="613">
        <f t="shared" si="684"/>
      </c>
      <c r="CZ67" s="613">
        <f t="shared" si="684"/>
      </c>
      <c r="DA67" s="615">
        <f t="shared" si="684"/>
      </c>
      <c r="DB67" s="613">
        <f t="shared" si="684"/>
      </c>
      <c r="DC67" s="613">
        <f t="shared" si="684"/>
      </c>
      <c r="DD67" s="613">
        <f t="shared" si="684"/>
      </c>
      <c r="DE67" s="615">
        <f t="shared" si="684"/>
      </c>
      <c r="DF67" s="613">
        <f t="shared" si="684"/>
      </c>
      <c r="DG67" s="613">
        <f t="shared" si="684"/>
      </c>
      <c r="DH67" s="613">
        <f t="shared" si="684"/>
      </c>
      <c r="DI67" s="615">
        <f t="shared" si="684"/>
      </c>
      <c r="DJ67" s="613">
        <f t="shared" si="684"/>
      </c>
      <c r="DK67" s="613">
        <f t="shared" si="684"/>
      </c>
      <c r="DL67" s="613">
        <f t="shared" si="684"/>
      </c>
      <c r="DM67" s="615">
        <f t="shared" si="684"/>
      </c>
      <c r="DN67" s="613">
        <f t="shared" si="684"/>
      </c>
      <c r="DO67" s="613">
        <f t="shared" si="684"/>
      </c>
      <c r="DP67" s="613">
        <f t="shared" si="684"/>
      </c>
      <c r="DQ67" s="615">
        <f t="shared" si="684"/>
      </c>
      <c r="DR67" s="613">
        <f t="shared" si="684"/>
      </c>
      <c r="DS67" s="613">
        <f t="shared" si="684"/>
      </c>
      <c r="DT67" s="613">
        <f t="shared" si="684"/>
      </c>
      <c r="DU67" s="615">
        <f t="shared" si="684"/>
      </c>
      <c r="DV67" s="613">
        <f t="shared" ref="DV67:EK67" si="685">DV16/DV$9</f>
      </c>
      <c r="DW67" s="613">
        <f t="shared" si="685"/>
      </c>
      <c r="DX67" s="613">
        <f t="shared" si="685"/>
      </c>
      <c r="DY67" s="615">
        <f t="shared" si="685"/>
      </c>
      <c r="DZ67" s="613">
        <f t="shared" si="685"/>
      </c>
      <c r="EA67" s="613">
        <f t="shared" si="685"/>
      </c>
      <c r="EB67" s="613">
        <f t="shared" si="685"/>
      </c>
      <c r="EC67" s="615">
        <f t="shared" si="685"/>
      </c>
      <c r="ED67" s="613">
        <f t="shared" si="685"/>
      </c>
      <c r="EE67" s="613">
        <f t="shared" si="685"/>
      </c>
      <c r="EF67" s="613">
        <f t="shared" si="685"/>
      </c>
      <c r="EG67" s="615">
        <f t="shared" si="685"/>
      </c>
      <c r="EH67" s="613">
        <f t="shared" si="685"/>
      </c>
      <c r="EI67" s="613">
        <f t="shared" si="685"/>
      </c>
      <c r="EJ67" s="613">
        <f t="shared" si="685"/>
      </c>
      <c r="EK67" s="615">
        <f t="shared" si="685"/>
      </c>
      <c r="EL67" s="11"/>
      <c r="EM67" s="700"/>
      <c r="EN67" s="613"/>
      <c r="EO67" s="613"/>
      <c r="EP67" s="613"/>
      <c r="EQ67" s="613"/>
      <c r="ER67" s="613"/>
      <c r="ES67" s="613"/>
      <c r="ET67" s="613"/>
      <c r="EU67" s="613"/>
      <c r="EV67" s="613"/>
      <c r="EW67" s="613"/>
      <c r="EX67" s="613"/>
      <c r="EY67" s="613"/>
      <c r="EZ67" s="613"/>
      <c r="FA67" s="613"/>
      <c r="FB67" s="613"/>
      <c r="FC67" s="613"/>
      <c r="FD67" s="613"/>
      <c r="FE67" s="613"/>
      <c r="FF67" s="613"/>
      <c r="FG67" s="613">
        <f t="shared" ref="FG67:FQ67" si="686">FG16/FG$9</f>
      </c>
      <c r="FH67" s="613">
        <f t="shared" si="686"/>
      </c>
      <c r="FI67" s="613">
        <f t="shared" si="686"/>
      </c>
      <c r="FJ67" s="613">
        <f t="shared" si="686"/>
      </c>
      <c r="FK67" s="613">
        <f t="shared" si="686"/>
      </c>
      <c r="FL67" s="700">
        <f t="shared" si="686"/>
      </c>
      <c r="FM67" s="613">
        <f t="shared" si="686"/>
      </c>
      <c r="FN67" s="613">
        <f t="shared" si="686"/>
      </c>
      <c r="FO67" s="613">
        <f t="shared" si="686"/>
      </c>
      <c r="FP67" s="613">
        <f t="shared" si="686"/>
      </c>
      <c r="FQ67" s="613">
        <f t="shared" si="686"/>
      </c>
      <c r="FR67" s="613">
        <f t="shared" ref="FR67:FU67" si="687">FR16/FR$9</f>
      </c>
      <c r="FS67" s="613">
        <f t="shared" si="687"/>
      </c>
      <c r="FT67" s="613">
        <f t="shared" si="687"/>
      </c>
      <c r="FU67" s="2906">
        <f t="shared" si="687"/>
      </c>
      <c r="FW67" s="613">
        <f t="shared" ref="FW67:GZ67" si="688">FW16/FW$9</f>
      </c>
      <c r="FX67" s="613">
        <f t="shared" si="688"/>
      </c>
      <c r="FY67" s="613">
        <f t="shared" si="688"/>
      </c>
      <c r="FZ67" s="613">
        <f t="shared" si="688"/>
      </c>
      <c r="GA67" s="613">
        <f t="shared" si="688"/>
      </c>
      <c r="GB67" s="613">
        <f t="shared" si="688"/>
      </c>
      <c r="GC67" s="613">
        <f t="shared" si="688"/>
      </c>
      <c r="GD67" s="613">
        <f t="shared" si="688"/>
      </c>
      <c r="GE67" s="613">
        <f t="shared" si="688"/>
      </c>
      <c r="GF67" s="613">
        <f t="shared" si="688"/>
      </c>
      <c r="GG67" s="613">
        <f t="shared" si="688"/>
      </c>
      <c r="GH67" s="613">
        <f t="shared" si="688"/>
      </c>
      <c r="GI67" s="613">
        <f t="shared" si="688"/>
      </c>
      <c r="GJ67" s="613">
        <f t="shared" si="688"/>
      </c>
      <c r="GK67" s="613">
        <f t="shared" si="688"/>
      </c>
      <c r="GL67" s="613">
        <f t="shared" si="688"/>
      </c>
      <c r="GM67" s="613">
        <f t="shared" si="688"/>
      </c>
      <c r="GN67" s="613">
        <f t="shared" si="688"/>
      </c>
      <c r="GO67" s="613">
        <f t="shared" si="688"/>
      </c>
      <c r="GP67" s="613">
        <f t="shared" si="688"/>
      </c>
      <c r="GQ67" s="613">
        <f t="shared" si="688"/>
      </c>
      <c r="GR67" s="613">
        <f t="shared" si="688"/>
      </c>
      <c r="GS67" s="613">
        <f t="shared" si="688"/>
      </c>
      <c r="GT67" s="613">
        <f t="shared" si="688"/>
      </c>
      <c r="GU67" s="613">
        <f t="shared" si="688"/>
      </c>
      <c r="GV67" s="613">
        <f t="shared" si="688"/>
      </c>
      <c r="GW67" s="613">
        <f t="shared" si="688"/>
      </c>
      <c r="GX67" s="613">
        <f t="shared" si="688"/>
      </c>
      <c r="GY67" s="613">
        <f t="shared" si="688"/>
      </c>
      <c r="GZ67" s="613">
        <f t="shared" si="688"/>
      </c>
      <c r="HA67" s="613">
        <f t="shared" ref="HA67:HD67" si="689">HA16/HA$9</f>
      </c>
      <c r="HB67" s="613">
        <f t="shared" si="689"/>
      </c>
      <c r="HC67" s="613">
        <f t="shared" si="689"/>
      </c>
      <c r="HD67" s="613">
        <f t="shared" si="689"/>
      </c>
    </row>
    <row r="68" spans="1:212" s="58" customFormat="1">
      <c r="A68" s="624" t="str">
        <f t="shared" si="617"/>
      </c>
      <c r="B68" s="625">
        <f t="shared" ref="B68:AG68" si="690">B17/B$9</f>
      </c>
      <c r="C68" s="625">
        <f t="shared" si="690"/>
      </c>
      <c r="D68" s="625">
        <f t="shared" si="690"/>
      </c>
      <c r="E68" s="626">
        <f t="shared" si="690"/>
      </c>
      <c r="F68" s="625">
        <f t="shared" si="690"/>
      </c>
      <c r="G68" s="625">
        <f t="shared" si="690"/>
      </c>
      <c r="H68" s="625">
        <f t="shared" si="690"/>
      </c>
      <c r="I68" s="625">
        <f t="shared" si="690"/>
      </c>
      <c r="J68" s="625">
        <f t="shared" si="690"/>
      </c>
      <c r="K68" s="625">
        <f t="shared" si="690"/>
      </c>
      <c r="L68" s="625">
        <f t="shared" si="690"/>
      </c>
      <c r="M68" s="625">
        <f t="shared" si="690"/>
      </c>
      <c r="N68" s="625">
        <f t="shared" si="690"/>
      </c>
      <c r="O68" s="625">
        <f t="shared" si="690"/>
      </c>
      <c r="P68" s="625">
        <f t="shared" si="690"/>
      </c>
      <c r="Q68" s="625">
        <f t="shared" si="690"/>
      </c>
      <c r="R68" s="625">
        <f t="shared" si="690"/>
      </c>
      <c r="S68" s="625">
        <f t="shared" si="690"/>
      </c>
      <c r="T68" s="625">
        <f t="shared" si="690"/>
      </c>
      <c r="U68" s="625">
        <f t="shared" si="690"/>
      </c>
      <c r="V68" s="625">
        <f t="shared" si="690"/>
      </c>
      <c r="W68" s="625">
        <f t="shared" si="690"/>
      </c>
      <c r="X68" s="625">
        <f t="shared" si="690"/>
      </c>
      <c r="Y68" s="625">
        <f t="shared" si="690"/>
      </c>
      <c r="Z68" s="625">
        <f t="shared" si="690"/>
      </c>
      <c r="AA68" s="625">
        <f t="shared" si="690"/>
      </c>
      <c r="AB68" s="625">
        <f t="shared" si="690"/>
      </c>
      <c r="AC68" s="625">
        <f t="shared" si="690"/>
      </c>
      <c r="AD68" s="625">
        <f t="shared" si="690"/>
      </c>
      <c r="AE68" s="625">
        <f t="shared" si="690"/>
      </c>
      <c r="AF68" s="625">
        <f t="shared" si="690"/>
      </c>
      <c r="AG68" s="625">
        <f t="shared" si="690"/>
      </c>
      <c r="AH68" s="625">
        <f t="shared" ref="AH68:BM68" si="691">AH17/AH$9</f>
      </c>
      <c r="AI68" s="625">
        <f t="shared" si="691"/>
      </c>
      <c r="AJ68" s="625">
        <f t="shared" si="691"/>
      </c>
      <c r="AK68" s="625">
        <f t="shared" si="691"/>
      </c>
      <c r="AL68" s="625">
        <f t="shared" si="691"/>
      </c>
      <c r="AM68" s="625">
        <f t="shared" si="691"/>
      </c>
      <c r="AN68" s="625">
        <f t="shared" si="691"/>
      </c>
      <c r="AO68" s="625">
        <f t="shared" si="691"/>
      </c>
      <c r="AP68" s="625">
        <f t="shared" si="691"/>
      </c>
      <c r="AQ68" s="625">
        <f t="shared" si="691"/>
      </c>
      <c r="AR68" s="625">
        <f t="shared" si="691"/>
      </c>
      <c r="AS68" s="625">
        <f t="shared" si="691"/>
      </c>
      <c r="AT68" s="625">
        <f t="shared" si="691"/>
      </c>
      <c r="AU68" s="625">
        <f t="shared" si="691"/>
      </c>
      <c r="AV68" s="625">
        <f t="shared" si="691"/>
      </c>
      <c r="AW68" s="625">
        <f t="shared" si="691"/>
      </c>
      <c r="AX68" s="625">
        <f t="shared" si="691"/>
      </c>
      <c r="AY68" s="625">
        <f t="shared" si="691"/>
      </c>
      <c r="AZ68" s="625">
        <f t="shared" si="691"/>
      </c>
      <c r="BA68" s="625">
        <f t="shared" si="691"/>
      </c>
      <c r="BB68" s="625">
        <f t="shared" si="691"/>
      </c>
      <c r="BC68" s="625">
        <f t="shared" si="691"/>
      </c>
      <c r="BD68" s="625">
        <f t="shared" si="691"/>
      </c>
      <c r="BE68" s="625">
        <f t="shared" si="691"/>
      </c>
      <c r="BF68" s="625">
        <f t="shared" si="691"/>
      </c>
      <c r="BG68" s="625">
        <f t="shared" si="691"/>
      </c>
      <c r="BH68" s="625">
        <f t="shared" si="691"/>
      </c>
      <c r="BI68" s="625">
        <f t="shared" si="691"/>
      </c>
      <c r="BJ68" s="625">
        <f t="shared" si="691"/>
      </c>
      <c r="BK68" s="625">
        <f t="shared" si="691"/>
      </c>
      <c r="BL68" s="625">
        <f t="shared" si="691"/>
      </c>
      <c r="BM68" s="625">
        <f t="shared" si="691"/>
      </c>
      <c r="BN68" s="625">
        <f t="shared" ref="BN68:CS68" si="692">BN17/BN$9</f>
      </c>
      <c r="BO68" s="625">
        <f t="shared" si="692"/>
      </c>
      <c r="BP68" s="625">
        <f t="shared" si="692"/>
      </c>
      <c r="BQ68" s="627">
        <f t="shared" si="692"/>
      </c>
      <c r="BR68" s="625">
        <f t="shared" si="692"/>
      </c>
      <c r="BS68" s="625">
        <f t="shared" si="692"/>
      </c>
      <c r="BT68" s="625">
        <f t="shared" si="692"/>
      </c>
      <c r="BU68" s="627">
        <f t="shared" si="692"/>
      </c>
      <c r="BV68" s="625">
        <f t="shared" si="692"/>
      </c>
      <c r="BW68" s="625">
        <f t="shared" si="692"/>
      </c>
      <c r="BX68" s="625">
        <f t="shared" si="692"/>
      </c>
      <c r="BY68" s="627">
        <f t="shared" si="692"/>
      </c>
      <c r="BZ68" s="625">
        <f t="shared" si="692"/>
      </c>
      <c r="CA68" s="625">
        <f t="shared" si="692"/>
      </c>
      <c r="CB68" s="625">
        <f t="shared" si="692"/>
      </c>
      <c r="CC68" s="627">
        <f t="shared" si="692"/>
      </c>
      <c r="CD68" s="625">
        <f t="shared" si="692"/>
      </c>
      <c r="CE68" s="625">
        <f t="shared" si="692"/>
      </c>
      <c r="CF68" s="625">
        <f t="shared" si="692"/>
      </c>
      <c r="CG68" s="627">
        <f t="shared" si="692"/>
      </c>
      <c r="CH68" s="625">
        <f t="shared" si="692"/>
      </c>
      <c r="CI68" s="625">
        <f t="shared" si="692"/>
      </c>
      <c r="CJ68" s="625">
        <f t="shared" si="692"/>
      </c>
      <c r="CK68" s="627">
        <f t="shared" si="692"/>
      </c>
      <c r="CL68" s="625">
        <f t="shared" si="692"/>
      </c>
      <c r="CM68" s="625">
        <f t="shared" si="692"/>
      </c>
      <c r="CN68" s="625">
        <f t="shared" si="692"/>
      </c>
      <c r="CO68" s="627">
        <f t="shared" si="692"/>
      </c>
      <c r="CP68" s="625">
        <f t="shared" si="692"/>
      </c>
      <c r="CQ68" s="625">
        <f t="shared" si="692"/>
      </c>
      <c r="CR68" s="625">
        <f t="shared" si="692"/>
      </c>
      <c r="CS68" s="627">
        <f t="shared" si="692"/>
      </c>
      <c r="CT68" s="625">
        <f t="shared" ref="CT68:DU68" si="693">CT17/CT$9</f>
      </c>
      <c r="CU68" s="625">
        <f t="shared" si="693"/>
      </c>
      <c r="CV68" s="625">
        <f t="shared" si="693"/>
      </c>
      <c r="CW68" s="627">
        <f t="shared" si="693"/>
      </c>
      <c r="CX68" s="625">
        <f t="shared" si="693"/>
      </c>
      <c r="CY68" s="625">
        <f t="shared" si="693"/>
      </c>
      <c r="CZ68" s="625">
        <f t="shared" si="693"/>
      </c>
      <c r="DA68" s="627">
        <f t="shared" si="693"/>
      </c>
      <c r="DB68" s="625">
        <f t="shared" si="693"/>
      </c>
      <c r="DC68" s="625">
        <f t="shared" si="693"/>
      </c>
      <c r="DD68" s="625">
        <f t="shared" si="693"/>
      </c>
      <c r="DE68" s="627">
        <f t="shared" si="693"/>
      </c>
      <c r="DF68" s="625">
        <f t="shared" si="693"/>
      </c>
      <c r="DG68" s="625">
        <f t="shared" si="693"/>
      </c>
      <c r="DH68" s="625">
        <f t="shared" si="693"/>
      </c>
      <c r="DI68" s="627">
        <f t="shared" si="693"/>
      </c>
      <c r="DJ68" s="625">
        <f t="shared" si="693"/>
      </c>
      <c r="DK68" s="625">
        <f t="shared" si="693"/>
      </c>
      <c r="DL68" s="625">
        <f t="shared" si="693"/>
      </c>
      <c r="DM68" s="627">
        <f t="shared" si="693"/>
      </c>
      <c r="DN68" s="625">
        <f t="shared" si="693"/>
      </c>
      <c r="DO68" s="625">
        <f t="shared" si="693"/>
      </c>
      <c r="DP68" s="625">
        <f t="shared" si="693"/>
      </c>
      <c r="DQ68" s="627">
        <f t="shared" si="693"/>
      </c>
      <c r="DR68" s="625">
        <f t="shared" si="693"/>
      </c>
      <c r="DS68" s="625">
        <f t="shared" si="693"/>
      </c>
      <c r="DT68" s="625">
        <f t="shared" si="693"/>
      </c>
      <c r="DU68" s="627">
        <f t="shared" si="693"/>
      </c>
      <c r="DV68" s="625">
        <f t="shared" ref="DV68:EK68" si="694">DV17/DV$9</f>
      </c>
      <c r="DW68" s="625">
        <f t="shared" si="694"/>
      </c>
      <c r="DX68" s="625">
        <f t="shared" si="694"/>
      </c>
      <c r="DY68" s="627">
        <f t="shared" si="694"/>
      </c>
      <c r="DZ68" s="625">
        <f t="shared" si="694"/>
      </c>
      <c r="EA68" s="625">
        <f t="shared" si="694"/>
      </c>
      <c r="EB68" s="625">
        <f t="shared" si="694"/>
      </c>
      <c r="EC68" s="627">
        <f t="shared" si="694"/>
      </c>
      <c r="ED68" s="625">
        <f t="shared" si="694"/>
      </c>
      <c r="EE68" s="625">
        <f t="shared" si="694"/>
      </c>
      <c r="EF68" s="625">
        <f t="shared" si="694"/>
      </c>
      <c r="EG68" s="627">
        <f t="shared" si="694"/>
      </c>
      <c r="EH68" s="625">
        <f t="shared" si="694"/>
      </c>
      <c r="EI68" s="625">
        <f t="shared" si="694"/>
      </c>
      <c r="EJ68" s="625">
        <f t="shared" si="694"/>
      </c>
      <c r="EK68" s="627">
        <f t="shared" si="694"/>
      </c>
      <c r="EL68" s="11"/>
      <c r="EM68" s="703"/>
      <c r="EN68" s="625"/>
      <c r="EO68" s="625"/>
      <c r="EP68" s="625"/>
      <c r="EQ68" s="625"/>
      <c r="ER68" s="625"/>
      <c r="ES68" s="625"/>
      <c r="ET68" s="625"/>
      <c r="EU68" s="625"/>
      <c r="EV68" s="625"/>
      <c r="EW68" s="625"/>
      <c r="EX68" s="625"/>
      <c r="EY68" s="625"/>
      <c r="EZ68" s="625"/>
      <c r="FA68" s="625"/>
      <c r="FB68" s="625"/>
      <c r="FC68" s="625"/>
      <c r="FD68" s="625"/>
      <c r="FE68" s="625"/>
      <c r="FF68" s="625"/>
      <c r="FG68" s="625">
        <f t="shared" ref="FG68:FQ68" si="695">FG17/FG$9</f>
      </c>
      <c r="FH68" s="625">
        <f t="shared" si="695"/>
      </c>
      <c r="FI68" s="625">
        <f t="shared" si="695"/>
      </c>
      <c r="FJ68" s="625">
        <f t="shared" si="695"/>
      </c>
      <c r="FK68" s="625">
        <f t="shared" si="695"/>
      </c>
      <c r="FL68" s="703">
        <f t="shared" si="695"/>
      </c>
      <c r="FM68" s="625">
        <f t="shared" si="695"/>
      </c>
      <c r="FN68" s="625">
        <f t="shared" si="695"/>
      </c>
      <c r="FO68" s="625">
        <f t="shared" si="695"/>
      </c>
      <c r="FP68" s="625">
        <f t="shared" si="695"/>
      </c>
      <c r="FQ68" s="625">
        <f t="shared" si="695"/>
      </c>
      <c r="FR68" s="625">
        <f t="shared" ref="FR68:FU68" si="696">FR17/FR$9</f>
      </c>
      <c r="FS68" s="625">
        <f t="shared" si="696"/>
      </c>
      <c r="FT68" s="625">
        <f t="shared" si="696"/>
      </c>
      <c r="FU68" s="2909">
        <f t="shared" si="696"/>
      </c>
      <c r="FW68" s="625"/>
      <c r="FX68" s="625"/>
      <c r="FY68" s="625"/>
      <c r="FZ68" s="625"/>
      <c r="GA68" s="625"/>
      <c r="GB68" s="625"/>
      <c r="GC68" s="625"/>
      <c r="GD68" s="625"/>
      <c r="GE68" s="625"/>
      <c r="GF68" s="625"/>
      <c r="GG68" s="625"/>
      <c r="GH68" s="625"/>
      <c r="GI68" s="625"/>
      <c r="GJ68" s="625"/>
      <c r="GK68" s="625"/>
      <c r="GL68" s="625"/>
      <c r="GM68" s="625"/>
      <c r="GN68" s="625"/>
      <c r="GO68" s="625"/>
      <c r="GP68" s="625"/>
      <c r="GQ68" s="625">
        <f t="shared" ref="GQ68:GZ68" si="697">GQ17/GQ$9</f>
      </c>
      <c r="GR68" s="625">
        <f t="shared" si="697"/>
      </c>
      <c r="GS68" s="625">
        <f t="shared" si="697"/>
      </c>
      <c r="GT68" s="625">
        <f t="shared" si="697"/>
      </c>
      <c r="GU68" s="625">
        <f t="shared" si="697"/>
      </c>
      <c r="GV68" s="625">
        <f t="shared" si="697"/>
      </c>
      <c r="GW68" s="625">
        <f t="shared" si="697"/>
      </c>
      <c r="GX68" s="625">
        <f t="shared" si="697"/>
      </c>
      <c r="GY68" s="625">
        <f t="shared" si="697"/>
      </c>
      <c r="GZ68" s="625">
        <f t="shared" si="697"/>
      </c>
      <c r="HA68" s="625">
        <f t="shared" ref="HA68:HD68" si="698">HA17/HA$9</f>
      </c>
      <c r="HB68" s="625">
        <f t="shared" si="698"/>
      </c>
      <c r="HC68" s="625">
        <f t="shared" si="698"/>
      </c>
      <c r="HD68" s="625">
        <f t="shared" si="698"/>
      </c>
    </row>
    <row r="69" spans="1:212" s="58" customFormat="1">
      <c r="A69" s="616" t="str">
        <f>A23</f>
      </c>
      <c r="B69" s="617">
        <f t="shared" ref="B69:AG69" si="699">B23/B$9</f>
      </c>
      <c r="C69" s="617">
        <f t="shared" si="699"/>
      </c>
      <c r="D69" s="617">
        <f t="shared" si="699"/>
      </c>
      <c r="E69" s="618">
        <f t="shared" si="699"/>
      </c>
      <c r="F69" s="617">
        <f t="shared" si="699"/>
      </c>
      <c r="G69" s="617">
        <f t="shared" si="699"/>
      </c>
      <c r="H69" s="617">
        <f t="shared" si="699"/>
      </c>
      <c r="I69" s="617">
        <f t="shared" si="699"/>
      </c>
      <c r="J69" s="617">
        <f t="shared" si="699"/>
      </c>
      <c r="K69" s="617">
        <f t="shared" si="699"/>
      </c>
      <c r="L69" s="617">
        <f t="shared" si="699"/>
      </c>
      <c r="M69" s="617">
        <f t="shared" si="699"/>
      </c>
      <c r="N69" s="617">
        <f t="shared" si="699"/>
      </c>
      <c r="O69" s="617">
        <f t="shared" si="699"/>
      </c>
      <c r="P69" s="617">
        <f t="shared" si="699"/>
      </c>
      <c r="Q69" s="617">
        <f t="shared" si="699"/>
      </c>
      <c r="R69" s="617">
        <f t="shared" si="699"/>
      </c>
      <c r="S69" s="617">
        <f t="shared" si="699"/>
      </c>
      <c r="T69" s="617">
        <f t="shared" si="699"/>
      </c>
      <c r="U69" s="617">
        <f t="shared" si="699"/>
      </c>
      <c r="V69" s="617">
        <f t="shared" si="699"/>
      </c>
      <c r="W69" s="617">
        <f t="shared" si="699"/>
      </c>
      <c r="X69" s="617">
        <f t="shared" si="699"/>
      </c>
      <c r="Y69" s="617">
        <f t="shared" si="699"/>
      </c>
      <c r="Z69" s="617">
        <f t="shared" si="699"/>
      </c>
      <c r="AA69" s="617">
        <f t="shared" si="699"/>
      </c>
      <c r="AB69" s="617">
        <f t="shared" si="699"/>
      </c>
      <c r="AC69" s="617">
        <f t="shared" si="699"/>
      </c>
      <c r="AD69" s="617">
        <f t="shared" si="699"/>
      </c>
      <c r="AE69" s="617">
        <f t="shared" si="699"/>
      </c>
      <c r="AF69" s="617">
        <f t="shared" si="699"/>
      </c>
      <c r="AG69" s="617">
        <f t="shared" si="699"/>
      </c>
      <c r="AH69" s="617">
        <f t="shared" ref="AH69:BM69" si="700">AH23/AH$9</f>
      </c>
      <c r="AI69" s="617">
        <f t="shared" si="700"/>
      </c>
      <c r="AJ69" s="617">
        <f t="shared" si="700"/>
      </c>
      <c r="AK69" s="617">
        <f t="shared" si="700"/>
      </c>
      <c r="AL69" s="617">
        <f t="shared" si="700"/>
      </c>
      <c r="AM69" s="617">
        <f t="shared" si="700"/>
      </c>
      <c r="AN69" s="617">
        <f t="shared" si="700"/>
      </c>
      <c r="AO69" s="617">
        <f t="shared" si="700"/>
      </c>
      <c r="AP69" s="617">
        <f t="shared" si="700"/>
      </c>
      <c r="AQ69" s="617">
        <f t="shared" si="700"/>
      </c>
      <c r="AR69" s="617">
        <f t="shared" si="700"/>
      </c>
      <c r="AS69" s="617">
        <f t="shared" si="700"/>
      </c>
      <c r="AT69" s="617">
        <f t="shared" si="700"/>
      </c>
      <c r="AU69" s="617">
        <f t="shared" si="700"/>
      </c>
      <c r="AV69" s="617">
        <f t="shared" si="700"/>
      </c>
      <c r="AW69" s="617">
        <f t="shared" si="700"/>
      </c>
      <c r="AX69" s="617">
        <f t="shared" si="700"/>
      </c>
      <c r="AY69" s="617">
        <f t="shared" si="700"/>
      </c>
      <c r="AZ69" s="617">
        <f t="shared" si="700"/>
      </c>
      <c r="BA69" s="617">
        <f t="shared" si="700"/>
      </c>
      <c r="BB69" s="617">
        <f t="shared" si="700"/>
      </c>
      <c r="BC69" s="617">
        <f t="shared" si="700"/>
      </c>
      <c r="BD69" s="617">
        <f t="shared" si="700"/>
      </c>
      <c r="BE69" s="617">
        <f t="shared" si="700"/>
      </c>
      <c r="BF69" s="617">
        <f t="shared" si="700"/>
      </c>
      <c r="BG69" s="617">
        <f t="shared" si="700"/>
      </c>
      <c r="BH69" s="617">
        <f t="shared" si="700"/>
      </c>
      <c r="BI69" s="617">
        <f t="shared" si="700"/>
      </c>
      <c r="BJ69" s="617">
        <f t="shared" si="700"/>
      </c>
      <c r="BK69" s="617">
        <f t="shared" si="700"/>
      </c>
      <c r="BL69" s="617">
        <f t="shared" si="700"/>
      </c>
      <c r="BM69" s="617">
        <f t="shared" si="700"/>
      </c>
      <c r="BN69" s="617">
        <f t="shared" ref="BN69:CS69" si="701">BN23/BN$9</f>
      </c>
      <c r="BO69" s="617">
        <f t="shared" si="701"/>
      </c>
      <c r="BP69" s="617">
        <f t="shared" si="701"/>
      </c>
      <c r="BQ69" s="619">
        <f t="shared" si="701"/>
      </c>
      <c r="BR69" s="617">
        <f t="shared" si="701"/>
      </c>
      <c r="BS69" s="617">
        <f t="shared" si="701"/>
      </c>
      <c r="BT69" s="617">
        <f t="shared" si="701"/>
      </c>
      <c r="BU69" s="619">
        <f t="shared" si="701"/>
      </c>
      <c r="BV69" s="617">
        <f t="shared" si="701"/>
      </c>
      <c r="BW69" s="617">
        <f t="shared" si="701"/>
      </c>
      <c r="BX69" s="617">
        <f t="shared" si="701"/>
      </c>
      <c r="BY69" s="619">
        <f t="shared" si="701"/>
      </c>
      <c r="BZ69" s="617">
        <f t="shared" si="701"/>
      </c>
      <c r="CA69" s="617">
        <f t="shared" si="701"/>
      </c>
      <c r="CB69" s="617">
        <f t="shared" si="701"/>
      </c>
      <c r="CC69" s="619">
        <f t="shared" si="701"/>
      </c>
      <c r="CD69" s="617">
        <f t="shared" si="701"/>
      </c>
      <c r="CE69" s="617">
        <f t="shared" si="701"/>
      </c>
      <c r="CF69" s="617">
        <f t="shared" si="701"/>
      </c>
      <c r="CG69" s="619">
        <f t="shared" si="701"/>
      </c>
      <c r="CH69" s="617">
        <f t="shared" si="701"/>
      </c>
      <c r="CI69" s="617">
        <f t="shared" si="701"/>
      </c>
      <c r="CJ69" s="617">
        <f t="shared" si="701"/>
      </c>
      <c r="CK69" s="619">
        <f t="shared" si="701"/>
      </c>
      <c r="CL69" s="617">
        <f t="shared" si="701"/>
      </c>
      <c r="CM69" s="617">
        <f t="shared" si="701"/>
      </c>
      <c r="CN69" s="617">
        <f t="shared" si="701"/>
      </c>
      <c r="CO69" s="619">
        <f t="shared" si="701"/>
      </c>
      <c r="CP69" s="617">
        <f t="shared" si="701"/>
      </c>
      <c r="CQ69" s="617">
        <f t="shared" si="701"/>
      </c>
      <c r="CR69" s="617">
        <f t="shared" si="701"/>
      </c>
      <c r="CS69" s="619">
        <f t="shared" si="701"/>
      </c>
      <c r="CT69" s="617">
        <f t="shared" ref="CT69:DU69" si="702">CT23/CT$9</f>
      </c>
      <c r="CU69" s="617">
        <f t="shared" si="702"/>
      </c>
      <c r="CV69" s="617">
        <f t="shared" si="702"/>
      </c>
      <c r="CW69" s="619">
        <f t="shared" si="702"/>
      </c>
      <c r="CX69" s="617">
        <f t="shared" si="702"/>
      </c>
      <c r="CY69" s="617">
        <f t="shared" si="702"/>
      </c>
      <c r="CZ69" s="617">
        <f t="shared" si="702"/>
      </c>
      <c r="DA69" s="619">
        <f t="shared" si="702"/>
      </c>
      <c r="DB69" s="617">
        <f t="shared" si="702"/>
      </c>
      <c r="DC69" s="617">
        <f t="shared" si="702"/>
      </c>
      <c r="DD69" s="617">
        <f t="shared" si="702"/>
      </c>
      <c r="DE69" s="619">
        <f t="shared" si="702"/>
      </c>
      <c r="DF69" s="617">
        <f t="shared" si="702"/>
      </c>
      <c r="DG69" s="617">
        <f t="shared" si="702"/>
      </c>
      <c r="DH69" s="617">
        <f t="shared" si="702"/>
      </c>
      <c r="DI69" s="619">
        <f t="shared" si="702"/>
      </c>
      <c r="DJ69" s="617">
        <f t="shared" si="702"/>
      </c>
      <c r="DK69" s="617">
        <f t="shared" si="702"/>
      </c>
      <c r="DL69" s="617">
        <f t="shared" si="702"/>
      </c>
      <c r="DM69" s="619">
        <f t="shared" si="702"/>
      </c>
      <c r="DN69" s="617">
        <f t="shared" si="702"/>
      </c>
      <c r="DO69" s="617">
        <f t="shared" si="702"/>
      </c>
      <c r="DP69" s="617">
        <f t="shared" si="702"/>
      </c>
      <c r="DQ69" s="619">
        <f t="shared" si="702"/>
      </c>
      <c r="DR69" s="617">
        <f t="shared" si="702"/>
      </c>
      <c r="DS69" s="617">
        <f t="shared" si="702"/>
      </c>
      <c r="DT69" s="617">
        <f t="shared" si="702"/>
      </c>
      <c r="DU69" s="619">
        <f t="shared" si="702"/>
      </c>
      <c r="DV69" s="617">
        <f t="shared" ref="DV69:EK69" si="703">DV23/DV$9</f>
      </c>
      <c r="DW69" s="617">
        <f t="shared" si="703"/>
      </c>
      <c r="DX69" s="617">
        <f t="shared" si="703"/>
      </c>
      <c r="DY69" s="619">
        <f t="shared" si="703"/>
      </c>
      <c r="DZ69" s="617">
        <f t="shared" si="703"/>
      </c>
      <c r="EA69" s="617">
        <f t="shared" si="703"/>
      </c>
      <c r="EB69" s="617">
        <f t="shared" si="703"/>
      </c>
      <c r="EC69" s="619">
        <f t="shared" si="703"/>
      </c>
      <c r="ED69" s="617">
        <f t="shared" si="703"/>
      </c>
      <c r="EE69" s="617">
        <f t="shared" si="703"/>
      </c>
      <c r="EF69" s="617">
        <f t="shared" si="703"/>
      </c>
      <c r="EG69" s="619">
        <f t="shared" si="703"/>
      </c>
      <c r="EH69" s="617">
        <f t="shared" si="703"/>
      </c>
      <c r="EI69" s="617">
        <f t="shared" si="703"/>
      </c>
      <c r="EJ69" s="617">
        <f t="shared" si="703"/>
      </c>
      <c r="EK69" s="619">
        <f t="shared" si="703"/>
      </c>
      <c r="EL69" s="11"/>
      <c r="EM69" s="701">
        <f t="shared" ref="EM69:FQ69" si="704">EM23/EM$9</f>
      </c>
      <c r="EN69" s="617">
        <f t="shared" si="704"/>
      </c>
      <c r="EO69" s="617">
        <f t="shared" si="704"/>
      </c>
      <c r="EP69" s="617">
        <f t="shared" si="704"/>
      </c>
      <c r="EQ69" s="617">
        <f t="shared" si="704"/>
      </c>
      <c r="ER69" s="617">
        <f t="shared" si="704"/>
      </c>
      <c r="ES69" s="617">
        <f t="shared" si="704"/>
      </c>
      <c r="ET69" s="617">
        <f t="shared" si="704"/>
      </c>
      <c r="EU69" s="617">
        <f t="shared" si="704"/>
      </c>
      <c r="EV69" s="617">
        <f t="shared" si="704"/>
      </c>
      <c r="EW69" s="617">
        <f t="shared" si="704"/>
      </c>
      <c r="EX69" s="617">
        <f t="shared" si="704"/>
      </c>
      <c r="EY69" s="617">
        <f t="shared" si="704"/>
      </c>
      <c r="EZ69" s="617">
        <f t="shared" si="704"/>
      </c>
      <c r="FA69" s="617">
        <f t="shared" si="704"/>
      </c>
      <c r="FB69" s="617">
        <f t="shared" si="704"/>
      </c>
      <c r="FC69" s="617">
        <f t="shared" si="704"/>
      </c>
      <c r="FD69" s="617">
        <f t="shared" si="704"/>
      </c>
      <c r="FE69" s="617">
        <f t="shared" si="704"/>
      </c>
      <c r="FF69" s="617">
        <f t="shared" si="704"/>
      </c>
      <c r="FG69" s="617">
        <f t="shared" si="704"/>
      </c>
      <c r="FH69" s="617">
        <f t="shared" si="704"/>
      </c>
      <c r="FI69" s="617">
        <f t="shared" si="704"/>
      </c>
      <c r="FJ69" s="617">
        <f t="shared" si="704"/>
      </c>
      <c r="FK69" s="617">
        <f t="shared" si="704"/>
      </c>
      <c r="FL69" s="701">
        <f t="shared" si="704"/>
      </c>
      <c r="FM69" s="617">
        <f t="shared" si="704"/>
      </c>
      <c r="FN69" s="617">
        <f t="shared" si="704"/>
      </c>
      <c r="FO69" s="617">
        <f t="shared" si="704"/>
      </c>
      <c r="FP69" s="617">
        <f t="shared" si="704"/>
      </c>
      <c r="FQ69" s="617">
        <f t="shared" si="704"/>
      </c>
      <c r="FR69" s="617">
        <f t="shared" ref="FR69:FU69" si="705">FR23/FR$9</f>
      </c>
      <c r="FS69" s="617">
        <f t="shared" si="705"/>
      </c>
      <c r="FT69" s="617">
        <f t="shared" si="705"/>
      </c>
      <c r="FU69" s="2907">
        <f t="shared" si="705"/>
      </c>
      <c r="FW69" s="617">
        <f t="shared" ref="FW69:GZ69" si="706">FW23/FW$9</f>
      </c>
      <c r="FX69" s="617">
        <f t="shared" si="706"/>
      </c>
      <c r="FY69" s="617">
        <f t="shared" si="706"/>
      </c>
      <c r="FZ69" s="617">
        <f t="shared" si="706"/>
      </c>
      <c r="GA69" s="617">
        <f t="shared" si="706"/>
      </c>
      <c r="GB69" s="617">
        <f t="shared" si="706"/>
      </c>
      <c r="GC69" s="617">
        <f t="shared" si="706"/>
      </c>
      <c r="GD69" s="617">
        <f t="shared" si="706"/>
      </c>
      <c r="GE69" s="617">
        <f t="shared" si="706"/>
      </c>
      <c r="GF69" s="617">
        <f t="shared" si="706"/>
      </c>
      <c r="GG69" s="617">
        <f t="shared" si="706"/>
      </c>
      <c r="GH69" s="617">
        <f t="shared" si="706"/>
      </c>
      <c r="GI69" s="617">
        <f t="shared" si="706"/>
      </c>
      <c r="GJ69" s="617">
        <f t="shared" si="706"/>
      </c>
      <c r="GK69" s="617">
        <f t="shared" si="706"/>
      </c>
      <c r="GL69" s="617">
        <f t="shared" si="706"/>
      </c>
      <c r="GM69" s="617">
        <f t="shared" si="706"/>
      </c>
      <c r="GN69" s="617">
        <f t="shared" si="706"/>
      </c>
      <c r="GO69" s="617">
        <f t="shared" si="706"/>
      </c>
      <c r="GP69" s="617">
        <f t="shared" si="706"/>
      </c>
      <c r="GQ69" s="617">
        <f t="shared" si="706"/>
      </c>
      <c r="GR69" s="617">
        <f t="shared" si="706"/>
      </c>
      <c r="GS69" s="617">
        <f t="shared" si="706"/>
      </c>
      <c r="GT69" s="617">
        <f t="shared" si="706"/>
      </c>
      <c r="GU69" s="617">
        <f t="shared" si="706"/>
      </c>
      <c r="GV69" s="617">
        <f t="shared" si="706"/>
      </c>
      <c r="GW69" s="617">
        <f t="shared" si="706"/>
      </c>
      <c r="GX69" s="617">
        <f t="shared" si="706"/>
      </c>
      <c r="GY69" s="617">
        <f t="shared" si="706"/>
      </c>
      <c r="GZ69" s="617">
        <f t="shared" si="706"/>
      </c>
      <c r="HA69" s="617">
        <f t="shared" ref="HA69:HD69" si="707">HA23/HA$9</f>
      </c>
      <c r="HB69" s="617">
        <f t="shared" si="707"/>
      </c>
      <c r="HC69" s="617">
        <f t="shared" si="707"/>
      </c>
      <c r="HD69" s="617">
        <f t="shared" si="707"/>
      </c>
    </row>
    <row r="70" spans="1:212" s="58" customFormat="1">
      <c r="A70" s="616" t="str">
        <f>A26</f>
      </c>
      <c r="B70" s="617">
        <f t="shared" ref="B70:AG70" si="708">B26/B$9</f>
      </c>
      <c r="C70" s="617">
        <f t="shared" si="708"/>
      </c>
      <c r="D70" s="617">
        <f t="shared" si="708"/>
      </c>
      <c r="E70" s="618">
        <f t="shared" si="708"/>
      </c>
      <c r="F70" s="617">
        <f t="shared" si="708"/>
      </c>
      <c r="G70" s="617">
        <f t="shared" si="708"/>
      </c>
      <c r="H70" s="617">
        <f t="shared" si="708"/>
      </c>
      <c r="I70" s="617">
        <f t="shared" si="708"/>
      </c>
      <c r="J70" s="617">
        <f t="shared" si="708"/>
      </c>
      <c r="K70" s="617">
        <f t="shared" si="708"/>
      </c>
      <c r="L70" s="617">
        <f t="shared" si="708"/>
      </c>
      <c r="M70" s="617">
        <f t="shared" si="708"/>
      </c>
      <c r="N70" s="617">
        <f t="shared" si="708"/>
      </c>
      <c r="O70" s="617">
        <f t="shared" si="708"/>
      </c>
      <c r="P70" s="617">
        <f t="shared" si="708"/>
      </c>
      <c r="Q70" s="617">
        <f t="shared" si="708"/>
      </c>
      <c r="R70" s="617">
        <f t="shared" si="708"/>
      </c>
      <c r="S70" s="617">
        <f t="shared" si="708"/>
      </c>
      <c r="T70" s="617">
        <f t="shared" si="708"/>
      </c>
      <c r="U70" s="617">
        <f t="shared" si="708"/>
      </c>
      <c r="V70" s="617">
        <f t="shared" si="708"/>
      </c>
      <c r="W70" s="617">
        <f t="shared" si="708"/>
      </c>
      <c r="X70" s="617">
        <f t="shared" si="708"/>
      </c>
      <c r="Y70" s="617">
        <f t="shared" si="708"/>
      </c>
      <c r="Z70" s="617">
        <f t="shared" si="708"/>
      </c>
      <c r="AA70" s="617">
        <f t="shared" si="708"/>
      </c>
      <c r="AB70" s="617">
        <f t="shared" si="708"/>
      </c>
      <c r="AC70" s="617">
        <f t="shared" si="708"/>
      </c>
      <c r="AD70" s="617">
        <f t="shared" si="708"/>
      </c>
      <c r="AE70" s="617">
        <f t="shared" si="708"/>
      </c>
      <c r="AF70" s="617">
        <f t="shared" si="708"/>
      </c>
      <c r="AG70" s="617">
        <f t="shared" si="708"/>
      </c>
      <c r="AH70" s="617">
        <f t="shared" ref="AH70:BM70" si="709">AH26/AH$9</f>
      </c>
      <c r="AI70" s="617">
        <f t="shared" si="709"/>
      </c>
      <c r="AJ70" s="617">
        <f t="shared" si="709"/>
      </c>
      <c r="AK70" s="617">
        <f t="shared" si="709"/>
      </c>
      <c r="AL70" s="617">
        <f t="shared" si="709"/>
      </c>
      <c r="AM70" s="617">
        <f t="shared" si="709"/>
      </c>
      <c r="AN70" s="617">
        <f t="shared" si="709"/>
      </c>
      <c r="AO70" s="617">
        <f t="shared" si="709"/>
      </c>
      <c r="AP70" s="617">
        <f t="shared" si="709"/>
      </c>
      <c r="AQ70" s="617">
        <f t="shared" si="709"/>
      </c>
      <c r="AR70" s="617">
        <f t="shared" si="709"/>
      </c>
      <c r="AS70" s="617">
        <f t="shared" si="709"/>
      </c>
      <c r="AT70" s="617">
        <f t="shared" si="709"/>
      </c>
      <c r="AU70" s="617">
        <f t="shared" si="709"/>
      </c>
      <c r="AV70" s="617">
        <f t="shared" si="709"/>
      </c>
      <c r="AW70" s="617">
        <f t="shared" si="709"/>
      </c>
      <c r="AX70" s="617">
        <f t="shared" si="709"/>
      </c>
      <c r="AY70" s="617">
        <f t="shared" si="709"/>
      </c>
      <c r="AZ70" s="617">
        <f t="shared" si="709"/>
      </c>
      <c r="BA70" s="617">
        <f t="shared" si="709"/>
      </c>
      <c r="BB70" s="617">
        <f t="shared" si="709"/>
      </c>
      <c r="BC70" s="617">
        <f t="shared" si="709"/>
      </c>
      <c r="BD70" s="617">
        <f t="shared" si="709"/>
      </c>
      <c r="BE70" s="617">
        <f t="shared" si="709"/>
      </c>
      <c r="BF70" s="617">
        <f t="shared" si="709"/>
      </c>
      <c r="BG70" s="617">
        <f t="shared" si="709"/>
      </c>
      <c r="BH70" s="617">
        <f t="shared" si="709"/>
      </c>
      <c r="BI70" s="617">
        <f t="shared" si="709"/>
      </c>
      <c r="BJ70" s="617">
        <f t="shared" si="709"/>
      </c>
      <c r="BK70" s="617">
        <f t="shared" si="709"/>
      </c>
      <c r="BL70" s="617">
        <f t="shared" si="709"/>
      </c>
      <c r="BM70" s="617">
        <f t="shared" si="709"/>
      </c>
      <c r="BN70" s="617">
        <f t="shared" ref="BN70:CS70" si="710">BN26/BN$9</f>
      </c>
      <c r="BO70" s="617">
        <f t="shared" si="710"/>
      </c>
      <c r="BP70" s="617">
        <f t="shared" si="710"/>
      </c>
      <c r="BQ70" s="619">
        <f t="shared" si="710"/>
      </c>
      <c r="BR70" s="617">
        <f t="shared" si="710"/>
      </c>
      <c r="BS70" s="617">
        <f t="shared" si="710"/>
      </c>
      <c r="BT70" s="617">
        <f t="shared" si="710"/>
      </c>
      <c r="BU70" s="619">
        <f t="shared" si="710"/>
      </c>
      <c r="BV70" s="617">
        <f t="shared" si="710"/>
      </c>
      <c r="BW70" s="617">
        <f t="shared" si="710"/>
      </c>
      <c r="BX70" s="617">
        <f t="shared" si="710"/>
      </c>
      <c r="BY70" s="619">
        <f t="shared" si="710"/>
      </c>
      <c r="BZ70" s="617">
        <f t="shared" si="710"/>
      </c>
      <c r="CA70" s="617">
        <f t="shared" si="710"/>
      </c>
      <c r="CB70" s="617">
        <f t="shared" si="710"/>
      </c>
      <c r="CC70" s="619">
        <f t="shared" si="710"/>
      </c>
      <c r="CD70" s="617">
        <f t="shared" si="710"/>
      </c>
      <c r="CE70" s="617">
        <f t="shared" si="710"/>
      </c>
      <c r="CF70" s="617">
        <f t="shared" si="710"/>
      </c>
      <c r="CG70" s="619">
        <f t="shared" si="710"/>
      </c>
      <c r="CH70" s="617">
        <f t="shared" si="710"/>
      </c>
      <c r="CI70" s="617">
        <f t="shared" si="710"/>
      </c>
      <c r="CJ70" s="617">
        <f t="shared" si="710"/>
      </c>
      <c r="CK70" s="619">
        <f t="shared" si="710"/>
      </c>
      <c r="CL70" s="617">
        <f t="shared" si="710"/>
      </c>
      <c r="CM70" s="617">
        <f t="shared" si="710"/>
      </c>
      <c r="CN70" s="617">
        <f t="shared" si="710"/>
      </c>
      <c r="CO70" s="619">
        <f t="shared" si="710"/>
      </c>
      <c r="CP70" s="617">
        <f t="shared" si="710"/>
      </c>
      <c r="CQ70" s="617">
        <f t="shared" si="710"/>
      </c>
      <c r="CR70" s="617">
        <f t="shared" si="710"/>
      </c>
      <c r="CS70" s="619">
        <f t="shared" si="710"/>
      </c>
      <c r="CT70" s="617">
        <f t="shared" ref="CT70:DU70" si="711">CT26/CT$9</f>
      </c>
      <c r="CU70" s="617">
        <f t="shared" si="711"/>
      </c>
      <c r="CV70" s="617">
        <f t="shared" si="711"/>
      </c>
      <c r="CW70" s="619">
        <f t="shared" si="711"/>
      </c>
      <c r="CX70" s="617">
        <f t="shared" si="711"/>
      </c>
      <c r="CY70" s="617">
        <f t="shared" si="711"/>
      </c>
      <c r="CZ70" s="617">
        <f t="shared" si="711"/>
      </c>
      <c r="DA70" s="619">
        <f t="shared" si="711"/>
      </c>
      <c r="DB70" s="617">
        <f t="shared" si="711"/>
      </c>
      <c r="DC70" s="617">
        <f t="shared" si="711"/>
      </c>
      <c r="DD70" s="617">
        <f t="shared" si="711"/>
      </c>
      <c r="DE70" s="619">
        <f t="shared" si="711"/>
      </c>
      <c r="DF70" s="617">
        <f t="shared" si="711"/>
      </c>
      <c r="DG70" s="617">
        <f t="shared" si="711"/>
      </c>
      <c r="DH70" s="617">
        <f t="shared" si="711"/>
      </c>
      <c r="DI70" s="619">
        <f t="shared" si="711"/>
      </c>
      <c r="DJ70" s="617">
        <f t="shared" si="711"/>
      </c>
      <c r="DK70" s="617">
        <f t="shared" si="711"/>
      </c>
      <c r="DL70" s="617">
        <f t="shared" si="711"/>
      </c>
      <c r="DM70" s="619">
        <f t="shared" si="711"/>
      </c>
      <c r="DN70" s="617">
        <f t="shared" si="711"/>
      </c>
      <c r="DO70" s="617">
        <f t="shared" si="711"/>
      </c>
      <c r="DP70" s="617">
        <f t="shared" si="711"/>
      </c>
      <c r="DQ70" s="619">
        <f t="shared" si="711"/>
      </c>
      <c r="DR70" s="617">
        <f t="shared" si="711"/>
      </c>
      <c r="DS70" s="617">
        <f t="shared" si="711"/>
      </c>
      <c r="DT70" s="617">
        <f t="shared" si="711"/>
      </c>
      <c r="DU70" s="619">
        <f t="shared" si="711"/>
      </c>
      <c r="DV70" s="617">
        <f t="shared" ref="DV70:EK70" si="712">DV26/DV$9</f>
      </c>
      <c r="DW70" s="617">
        <f t="shared" si="712"/>
      </c>
      <c r="DX70" s="617">
        <f t="shared" si="712"/>
      </c>
      <c r="DY70" s="619">
        <f t="shared" si="712"/>
      </c>
      <c r="DZ70" s="617">
        <f t="shared" si="712"/>
      </c>
      <c r="EA70" s="617">
        <f t="shared" si="712"/>
      </c>
      <c r="EB70" s="617">
        <f t="shared" si="712"/>
      </c>
      <c r="EC70" s="619">
        <f t="shared" si="712"/>
      </c>
      <c r="ED70" s="617">
        <f t="shared" si="712"/>
      </c>
      <c r="EE70" s="617">
        <f t="shared" si="712"/>
      </c>
      <c r="EF70" s="617">
        <f t="shared" si="712"/>
      </c>
      <c r="EG70" s="619">
        <f t="shared" si="712"/>
      </c>
      <c r="EH70" s="617">
        <f t="shared" si="712"/>
      </c>
      <c r="EI70" s="617">
        <f t="shared" si="712"/>
      </c>
      <c r="EJ70" s="617">
        <f t="shared" si="712"/>
      </c>
      <c r="EK70" s="619">
        <f t="shared" si="712"/>
      </c>
      <c r="EL70" s="11"/>
      <c r="EM70" s="701">
        <f t="shared" ref="EM70:FQ70" si="713">EM26/EM$9</f>
      </c>
      <c r="EN70" s="617">
        <f t="shared" si="713"/>
      </c>
      <c r="EO70" s="617">
        <f t="shared" si="713"/>
      </c>
      <c r="EP70" s="617">
        <f t="shared" si="713"/>
      </c>
      <c r="EQ70" s="617">
        <f t="shared" si="713"/>
      </c>
      <c r="ER70" s="617">
        <f t="shared" si="713"/>
      </c>
      <c r="ES70" s="617">
        <f t="shared" si="713"/>
      </c>
      <c r="ET70" s="617">
        <f t="shared" si="713"/>
      </c>
      <c r="EU70" s="617">
        <f t="shared" si="713"/>
      </c>
      <c r="EV70" s="617">
        <f t="shared" si="713"/>
      </c>
      <c r="EW70" s="617">
        <f t="shared" si="713"/>
      </c>
      <c r="EX70" s="617">
        <f t="shared" si="713"/>
      </c>
      <c r="EY70" s="617">
        <f t="shared" si="713"/>
      </c>
      <c r="EZ70" s="617">
        <f t="shared" si="713"/>
      </c>
      <c r="FA70" s="617">
        <f t="shared" si="713"/>
      </c>
      <c r="FB70" s="617">
        <f t="shared" si="713"/>
      </c>
      <c r="FC70" s="617">
        <f t="shared" si="713"/>
      </c>
      <c r="FD70" s="617">
        <f t="shared" si="713"/>
      </c>
      <c r="FE70" s="617">
        <f t="shared" si="713"/>
      </c>
      <c r="FF70" s="617">
        <f t="shared" si="713"/>
      </c>
      <c r="FG70" s="617">
        <f t="shared" si="713"/>
      </c>
      <c r="FH70" s="617">
        <f t="shared" si="713"/>
      </c>
      <c r="FI70" s="617">
        <f t="shared" si="713"/>
      </c>
      <c r="FJ70" s="617">
        <f t="shared" si="713"/>
      </c>
      <c r="FK70" s="617">
        <f t="shared" si="713"/>
      </c>
      <c r="FL70" s="701">
        <f t="shared" si="713"/>
      </c>
      <c r="FM70" s="617">
        <f t="shared" si="713"/>
      </c>
      <c r="FN70" s="617">
        <f t="shared" si="713"/>
      </c>
      <c r="FO70" s="617">
        <f t="shared" si="713"/>
      </c>
      <c r="FP70" s="617">
        <f t="shared" si="713"/>
      </c>
      <c r="FQ70" s="617">
        <f t="shared" si="713"/>
      </c>
      <c r="FR70" s="617">
        <f t="shared" ref="FR70:FU70" si="714">FR26/FR$9</f>
      </c>
      <c r="FS70" s="617">
        <f t="shared" si="714"/>
      </c>
      <c r="FT70" s="617">
        <f t="shared" si="714"/>
      </c>
      <c r="FU70" s="2907">
        <f t="shared" si="714"/>
      </c>
      <c r="FW70" s="617">
        <f t="shared" ref="FW70:GZ70" si="715">FW26/FW$9</f>
      </c>
      <c r="FX70" s="617">
        <f t="shared" si="715"/>
      </c>
      <c r="FY70" s="617">
        <f t="shared" si="715"/>
      </c>
      <c r="FZ70" s="617">
        <f t="shared" si="715"/>
      </c>
      <c r="GA70" s="617">
        <f t="shared" si="715"/>
      </c>
      <c r="GB70" s="617">
        <f t="shared" si="715"/>
      </c>
      <c r="GC70" s="617">
        <f t="shared" si="715"/>
      </c>
      <c r="GD70" s="617">
        <f t="shared" si="715"/>
      </c>
      <c r="GE70" s="617">
        <f t="shared" si="715"/>
      </c>
      <c r="GF70" s="617">
        <f t="shared" si="715"/>
      </c>
      <c r="GG70" s="617">
        <f t="shared" si="715"/>
      </c>
      <c r="GH70" s="617">
        <f t="shared" si="715"/>
      </c>
      <c r="GI70" s="617">
        <f t="shared" si="715"/>
      </c>
      <c r="GJ70" s="617">
        <f t="shared" si="715"/>
      </c>
      <c r="GK70" s="617">
        <f t="shared" si="715"/>
      </c>
      <c r="GL70" s="617">
        <f t="shared" si="715"/>
      </c>
      <c r="GM70" s="617">
        <f t="shared" si="715"/>
      </c>
      <c r="GN70" s="617">
        <f t="shared" si="715"/>
      </c>
      <c r="GO70" s="617">
        <f t="shared" si="715"/>
      </c>
      <c r="GP70" s="617">
        <f t="shared" si="715"/>
      </c>
      <c r="GQ70" s="617">
        <f t="shared" si="715"/>
      </c>
      <c r="GR70" s="617">
        <f t="shared" si="715"/>
      </c>
      <c r="GS70" s="617">
        <f t="shared" si="715"/>
      </c>
      <c r="GT70" s="617">
        <f t="shared" si="715"/>
      </c>
      <c r="GU70" s="617">
        <f t="shared" si="715"/>
      </c>
      <c r="GV70" s="617">
        <f t="shared" si="715"/>
      </c>
      <c r="GW70" s="617">
        <f t="shared" si="715"/>
      </c>
      <c r="GX70" s="617">
        <f t="shared" si="715"/>
      </c>
      <c r="GY70" s="617">
        <f t="shared" si="715"/>
      </c>
      <c r="GZ70" s="617">
        <f t="shared" si="715"/>
      </c>
      <c r="HA70" s="617">
        <f t="shared" ref="HA70:HD70" si="716">HA26/HA$9</f>
      </c>
      <c r="HB70" s="617">
        <f t="shared" si="716"/>
      </c>
      <c r="HC70" s="617">
        <f t="shared" si="716"/>
      </c>
      <c r="HD70" s="617">
        <f t="shared" si="716"/>
      </c>
    </row>
    <row r="71" spans="1:212" s="58" customFormat="1">
      <c r="A71" s="616" t="str">
        <f>A28</f>
      </c>
      <c r="B71" s="617">
        <f t="shared" ref="B71:AG71" si="717">B28/B$9</f>
      </c>
      <c r="C71" s="617">
        <f t="shared" si="717"/>
      </c>
      <c r="D71" s="617">
        <f t="shared" si="717"/>
      </c>
      <c r="E71" s="618">
        <f t="shared" si="717"/>
      </c>
      <c r="F71" s="617">
        <f t="shared" si="717"/>
      </c>
      <c r="G71" s="617">
        <f t="shared" si="717"/>
      </c>
      <c r="H71" s="617">
        <f t="shared" si="717"/>
      </c>
      <c r="I71" s="617">
        <f t="shared" si="717"/>
      </c>
      <c r="J71" s="617">
        <f t="shared" si="717"/>
      </c>
      <c r="K71" s="617">
        <f t="shared" si="717"/>
      </c>
      <c r="L71" s="617">
        <f t="shared" si="717"/>
      </c>
      <c r="M71" s="617">
        <f t="shared" si="717"/>
      </c>
      <c r="N71" s="617">
        <f t="shared" si="717"/>
      </c>
      <c r="O71" s="617">
        <f t="shared" si="717"/>
      </c>
      <c r="P71" s="617">
        <f t="shared" si="717"/>
      </c>
      <c r="Q71" s="617">
        <f t="shared" si="717"/>
      </c>
      <c r="R71" s="617">
        <f t="shared" si="717"/>
      </c>
      <c r="S71" s="617">
        <f t="shared" si="717"/>
      </c>
      <c r="T71" s="617">
        <f t="shared" si="717"/>
      </c>
      <c r="U71" s="617">
        <f t="shared" si="717"/>
      </c>
      <c r="V71" s="617">
        <f t="shared" si="717"/>
      </c>
      <c r="W71" s="617">
        <f t="shared" si="717"/>
      </c>
      <c r="X71" s="617">
        <f t="shared" si="717"/>
      </c>
      <c r="Y71" s="617">
        <f t="shared" si="717"/>
      </c>
      <c r="Z71" s="617">
        <f t="shared" si="717"/>
      </c>
      <c r="AA71" s="617">
        <f t="shared" si="717"/>
      </c>
      <c r="AB71" s="617">
        <f t="shared" si="717"/>
      </c>
      <c r="AC71" s="617">
        <f t="shared" si="717"/>
      </c>
      <c r="AD71" s="617">
        <f t="shared" si="717"/>
      </c>
      <c r="AE71" s="617">
        <f t="shared" si="717"/>
      </c>
      <c r="AF71" s="617">
        <f t="shared" si="717"/>
      </c>
      <c r="AG71" s="617">
        <f t="shared" si="717"/>
      </c>
      <c r="AH71" s="617">
        <f t="shared" ref="AH71:BM71" si="718">AH28/AH$9</f>
      </c>
      <c r="AI71" s="617">
        <f t="shared" si="718"/>
      </c>
      <c r="AJ71" s="617">
        <f t="shared" si="718"/>
      </c>
      <c r="AK71" s="617">
        <f t="shared" si="718"/>
      </c>
      <c r="AL71" s="617">
        <f t="shared" si="718"/>
      </c>
      <c r="AM71" s="617">
        <f t="shared" si="718"/>
      </c>
      <c r="AN71" s="617">
        <f t="shared" si="718"/>
      </c>
      <c r="AO71" s="617">
        <f t="shared" si="718"/>
      </c>
      <c r="AP71" s="617">
        <f t="shared" si="718"/>
      </c>
      <c r="AQ71" s="617">
        <f t="shared" si="718"/>
      </c>
      <c r="AR71" s="617">
        <f t="shared" si="718"/>
      </c>
      <c r="AS71" s="617">
        <f t="shared" si="718"/>
      </c>
      <c r="AT71" s="617">
        <f t="shared" si="718"/>
      </c>
      <c r="AU71" s="617">
        <f t="shared" si="718"/>
      </c>
      <c r="AV71" s="617">
        <f t="shared" si="718"/>
      </c>
      <c r="AW71" s="617">
        <f t="shared" si="718"/>
      </c>
      <c r="AX71" s="617">
        <f t="shared" si="718"/>
      </c>
      <c r="AY71" s="617">
        <f t="shared" si="718"/>
      </c>
      <c r="AZ71" s="617">
        <f t="shared" si="718"/>
      </c>
      <c r="BA71" s="617">
        <f t="shared" si="718"/>
      </c>
      <c r="BB71" s="617">
        <f t="shared" si="718"/>
      </c>
      <c r="BC71" s="617">
        <f t="shared" si="718"/>
      </c>
      <c r="BD71" s="617">
        <f t="shared" si="718"/>
      </c>
      <c r="BE71" s="617">
        <f t="shared" si="718"/>
      </c>
      <c r="BF71" s="617">
        <f t="shared" si="718"/>
      </c>
      <c r="BG71" s="617">
        <f t="shared" si="718"/>
      </c>
      <c r="BH71" s="617">
        <f t="shared" si="718"/>
      </c>
      <c r="BI71" s="617">
        <f t="shared" si="718"/>
      </c>
      <c r="BJ71" s="617">
        <f t="shared" si="718"/>
      </c>
      <c r="BK71" s="617">
        <f t="shared" si="718"/>
      </c>
      <c r="BL71" s="617">
        <f t="shared" si="718"/>
      </c>
      <c r="BM71" s="617">
        <f t="shared" si="718"/>
      </c>
      <c r="BN71" s="617">
        <f t="shared" ref="BN71:CS71" si="719">BN28/BN$9</f>
      </c>
      <c r="BO71" s="617">
        <f t="shared" si="719"/>
      </c>
      <c r="BP71" s="617">
        <f t="shared" si="719"/>
      </c>
      <c r="BQ71" s="619">
        <f t="shared" si="719"/>
      </c>
      <c r="BR71" s="617">
        <f t="shared" si="719"/>
      </c>
      <c r="BS71" s="617">
        <f t="shared" si="719"/>
      </c>
      <c r="BT71" s="617">
        <f t="shared" si="719"/>
      </c>
      <c r="BU71" s="619">
        <f t="shared" si="719"/>
      </c>
      <c r="BV71" s="617">
        <f t="shared" si="719"/>
      </c>
      <c r="BW71" s="617">
        <f t="shared" si="719"/>
      </c>
      <c r="BX71" s="617">
        <f t="shared" si="719"/>
      </c>
      <c r="BY71" s="619">
        <f t="shared" si="719"/>
      </c>
      <c r="BZ71" s="617">
        <f t="shared" si="719"/>
      </c>
      <c r="CA71" s="617">
        <f t="shared" si="719"/>
      </c>
      <c r="CB71" s="617">
        <f t="shared" si="719"/>
      </c>
      <c r="CC71" s="619">
        <f t="shared" si="719"/>
      </c>
      <c r="CD71" s="617">
        <f t="shared" si="719"/>
      </c>
      <c r="CE71" s="617">
        <f t="shared" si="719"/>
      </c>
      <c r="CF71" s="617">
        <f t="shared" si="719"/>
      </c>
      <c r="CG71" s="619">
        <f t="shared" si="719"/>
      </c>
      <c r="CH71" s="617">
        <f t="shared" si="719"/>
      </c>
      <c r="CI71" s="617">
        <f t="shared" si="719"/>
      </c>
      <c r="CJ71" s="617">
        <f t="shared" si="719"/>
      </c>
      <c r="CK71" s="619">
        <f t="shared" si="719"/>
      </c>
      <c r="CL71" s="617">
        <f t="shared" si="719"/>
      </c>
      <c r="CM71" s="617">
        <f t="shared" si="719"/>
      </c>
      <c r="CN71" s="617">
        <f t="shared" si="719"/>
      </c>
      <c r="CO71" s="619">
        <f t="shared" si="719"/>
      </c>
      <c r="CP71" s="617">
        <f t="shared" si="719"/>
      </c>
      <c r="CQ71" s="617">
        <f t="shared" si="719"/>
      </c>
      <c r="CR71" s="617">
        <f t="shared" si="719"/>
      </c>
      <c r="CS71" s="619">
        <f t="shared" si="719"/>
      </c>
      <c r="CT71" s="617">
        <f t="shared" ref="CT71:DU71" si="720">CT28/CT$9</f>
      </c>
      <c r="CU71" s="617">
        <f t="shared" si="720"/>
      </c>
      <c r="CV71" s="617">
        <f t="shared" si="720"/>
      </c>
      <c r="CW71" s="619">
        <f t="shared" si="720"/>
      </c>
      <c r="CX71" s="617">
        <f t="shared" si="720"/>
      </c>
      <c r="CY71" s="617">
        <f t="shared" si="720"/>
      </c>
      <c r="CZ71" s="617">
        <f t="shared" si="720"/>
      </c>
      <c r="DA71" s="619">
        <f t="shared" si="720"/>
      </c>
      <c r="DB71" s="617">
        <f t="shared" si="720"/>
      </c>
      <c r="DC71" s="617">
        <f t="shared" si="720"/>
      </c>
      <c r="DD71" s="617">
        <f t="shared" si="720"/>
      </c>
      <c r="DE71" s="619">
        <f t="shared" si="720"/>
      </c>
      <c r="DF71" s="617">
        <f t="shared" si="720"/>
      </c>
      <c r="DG71" s="617">
        <f t="shared" si="720"/>
      </c>
      <c r="DH71" s="617">
        <f t="shared" si="720"/>
      </c>
      <c r="DI71" s="619">
        <f t="shared" si="720"/>
      </c>
      <c r="DJ71" s="617">
        <f t="shared" si="720"/>
      </c>
      <c r="DK71" s="617">
        <f t="shared" si="720"/>
      </c>
      <c r="DL71" s="617">
        <f t="shared" si="720"/>
      </c>
      <c r="DM71" s="619">
        <f t="shared" si="720"/>
      </c>
      <c r="DN71" s="617">
        <f t="shared" si="720"/>
      </c>
      <c r="DO71" s="617">
        <f t="shared" si="720"/>
      </c>
      <c r="DP71" s="617">
        <f t="shared" si="720"/>
      </c>
      <c r="DQ71" s="619">
        <f t="shared" si="720"/>
      </c>
      <c r="DR71" s="617">
        <f t="shared" si="720"/>
      </c>
      <c r="DS71" s="617">
        <f t="shared" si="720"/>
      </c>
      <c r="DT71" s="617">
        <f t="shared" si="720"/>
      </c>
      <c r="DU71" s="619">
        <f t="shared" si="720"/>
      </c>
      <c r="DV71" s="617">
        <f t="shared" ref="DV71:EK71" si="721">DV28/DV$9</f>
      </c>
      <c r="DW71" s="617">
        <f t="shared" si="721"/>
      </c>
      <c r="DX71" s="617">
        <f t="shared" si="721"/>
      </c>
      <c r="DY71" s="619">
        <f t="shared" si="721"/>
      </c>
      <c r="DZ71" s="617">
        <f t="shared" si="721"/>
      </c>
      <c r="EA71" s="617">
        <f t="shared" si="721"/>
      </c>
      <c r="EB71" s="617">
        <f t="shared" si="721"/>
      </c>
      <c r="EC71" s="619">
        <f t="shared" si="721"/>
      </c>
      <c r="ED71" s="617">
        <f t="shared" si="721"/>
      </c>
      <c r="EE71" s="617">
        <f t="shared" si="721"/>
      </c>
      <c r="EF71" s="617">
        <f t="shared" si="721"/>
      </c>
      <c r="EG71" s="619">
        <f t="shared" si="721"/>
      </c>
      <c r="EH71" s="617">
        <f t="shared" si="721"/>
      </c>
      <c r="EI71" s="617">
        <f t="shared" si="721"/>
      </c>
      <c r="EJ71" s="617">
        <f t="shared" si="721"/>
      </c>
      <c r="EK71" s="619">
        <f t="shared" si="721"/>
      </c>
      <c r="EL71" s="11"/>
      <c r="EM71" s="701">
        <f t="shared" ref="EM71:FQ71" si="722">EM28/EM$9</f>
      </c>
      <c r="EN71" s="617">
        <f t="shared" si="722"/>
      </c>
      <c r="EO71" s="617">
        <f t="shared" si="722"/>
      </c>
      <c r="EP71" s="617">
        <f t="shared" si="722"/>
      </c>
      <c r="EQ71" s="617">
        <f t="shared" si="722"/>
      </c>
      <c r="ER71" s="617">
        <f t="shared" si="722"/>
      </c>
      <c r="ES71" s="617">
        <f t="shared" si="722"/>
      </c>
      <c r="ET71" s="617">
        <f t="shared" si="722"/>
      </c>
      <c r="EU71" s="617">
        <f t="shared" si="722"/>
      </c>
      <c r="EV71" s="617">
        <f t="shared" si="722"/>
      </c>
      <c r="EW71" s="617">
        <f t="shared" si="722"/>
      </c>
      <c r="EX71" s="617">
        <f t="shared" si="722"/>
      </c>
      <c r="EY71" s="617">
        <f t="shared" si="722"/>
      </c>
      <c r="EZ71" s="617">
        <f t="shared" si="722"/>
      </c>
      <c r="FA71" s="617">
        <f t="shared" si="722"/>
      </c>
      <c r="FB71" s="617">
        <f t="shared" si="722"/>
      </c>
      <c r="FC71" s="617">
        <f t="shared" si="722"/>
      </c>
      <c r="FD71" s="617">
        <f t="shared" si="722"/>
      </c>
      <c r="FE71" s="617">
        <f t="shared" si="722"/>
      </c>
      <c r="FF71" s="617">
        <f t="shared" si="722"/>
      </c>
      <c r="FG71" s="617">
        <f t="shared" si="722"/>
      </c>
      <c r="FH71" s="617">
        <f t="shared" si="722"/>
      </c>
      <c r="FI71" s="617">
        <f t="shared" si="722"/>
      </c>
      <c r="FJ71" s="617">
        <f t="shared" si="722"/>
      </c>
      <c r="FK71" s="617">
        <f t="shared" si="722"/>
      </c>
      <c r="FL71" s="701">
        <f t="shared" si="722"/>
      </c>
      <c r="FM71" s="617">
        <f t="shared" si="722"/>
      </c>
      <c r="FN71" s="617">
        <f t="shared" si="722"/>
      </c>
      <c r="FO71" s="617">
        <f t="shared" si="722"/>
      </c>
      <c r="FP71" s="617">
        <f t="shared" si="722"/>
      </c>
      <c r="FQ71" s="617">
        <f t="shared" si="722"/>
      </c>
      <c r="FR71" s="617">
        <f t="shared" ref="FR71:FU71" si="723">FR28/FR$9</f>
      </c>
      <c r="FS71" s="617">
        <f t="shared" si="723"/>
      </c>
      <c r="FT71" s="617">
        <f t="shared" si="723"/>
      </c>
      <c r="FU71" s="2907">
        <f t="shared" si="723"/>
      </c>
      <c r="FW71" s="617">
        <f t="shared" ref="FW71:GZ71" si="724">FW28/FW$9</f>
      </c>
      <c r="FX71" s="617">
        <f t="shared" si="724"/>
      </c>
      <c r="FY71" s="617">
        <f t="shared" si="724"/>
      </c>
      <c r="FZ71" s="617">
        <f t="shared" si="724"/>
      </c>
      <c r="GA71" s="617">
        <f t="shared" si="724"/>
      </c>
      <c r="GB71" s="617">
        <f t="shared" si="724"/>
      </c>
      <c r="GC71" s="617">
        <f t="shared" si="724"/>
      </c>
      <c r="GD71" s="617">
        <f t="shared" si="724"/>
      </c>
      <c r="GE71" s="617">
        <f t="shared" si="724"/>
      </c>
      <c r="GF71" s="617">
        <f t="shared" si="724"/>
      </c>
      <c r="GG71" s="617">
        <f t="shared" si="724"/>
      </c>
      <c r="GH71" s="617">
        <f t="shared" si="724"/>
      </c>
      <c r="GI71" s="617">
        <f t="shared" si="724"/>
      </c>
      <c r="GJ71" s="617">
        <f t="shared" si="724"/>
      </c>
      <c r="GK71" s="617">
        <f t="shared" si="724"/>
      </c>
      <c r="GL71" s="617">
        <f t="shared" si="724"/>
      </c>
      <c r="GM71" s="617">
        <f t="shared" si="724"/>
      </c>
      <c r="GN71" s="617">
        <f t="shared" si="724"/>
      </c>
      <c r="GO71" s="617">
        <f t="shared" si="724"/>
      </c>
      <c r="GP71" s="617">
        <f t="shared" si="724"/>
      </c>
      <c r="GQ71" s="617">
        <f t="shared" si="724"/>
      </c>
      <c r="GR71" s="617">
        <f t="shared" si="724"/>
      </c>
      <c r="GS71" s="617">
        <f t="shared" si="724"/>
      </c>
      <c r="GT71" s="617">
        <f t="shared" si="724"/>
      </c>
      <c r="GU71" s="617">
        <f t="shared" si="724"/>
      </c>
      <c r="GV71" s="617">
        <f t="shared" si="724"/>
      </c>
      <c r="GW71" s="617">
        <f t="shared" si="724"/>
      </c>
      <c r="GX71" s="617">
        <f t="shared" si="724"/>
      </c>
      <c r="GY71" s="617">
        <f t="shared" si="724"/>
      </c>
      <c r="GZ71" s="617">
        <f t="shared" si="724"/>
      </c>
      <c r="HA71" s="617">
        <f t="shared" ref="HA71:HD71" si="725">HA28/HA$9</f>
      </c>
      <c r="HB71" s="617">
        <f t="shared" si="725"/>
      </c>
      <c r="HC71" s="617">
        <f t="shared" si="725"/>
      </c>
      <c r="HD71" s="617">
        <f t="shared" si="725"/>
      </c>
    </row>
    <row r="72" spans="1:212">
      <c r="A72" s="8"/>
      <c r="E72" s="181"/>
      <c r="BQ72" s="170"/>
      <c r="BU72" s="170"/>
      <c r="BY72" s="170"/>
      <c r="CC72" s="170"/>
      <c r="CG72" s="170"/>
      <c r="CJ72" s="15"/>
      <c r="CK72" s="170"/>
      <c r="CN72" s="15"/>
      <c r="CO72" s="170"/>
      <c r="CS72" s="170"/>
      <c r="CW72" s="170"/>
      <c r="DA72" s="170"/>
      <c r="DE72" s="260"/>
      <c r="DI72" s="260"/>
      <c r="DM72" s="260"/>
      <c r="DQ72" s="260"/>
      <c r="DU72" s="260"/>
      <c r="DY72" s="260"/>
      <c r="EC72" s="260"/>
      <c r="EG72" s="260"/>
      <c r="EK72" s="260"/>
    </row>
    <row r="73" spans="1:212" s="1" customFormat="1">
      <c r="A73" s="543"/>
      <c r="B73" s="543" t="str">
        <f t="shared" ref="B73:BM73" si="726">B$37</f>
      </c>
      <c r="C73" s="543" t="str">
        <f t="shared" si="726"/>
      </c>
      <c r="D73" s="543" t="str">
        <f t="shared" si="726"/>
      </c>
      <c r="E73" s="544" t="str">
        <f t="shared" si="726"/>
      </c>
      <c r="F73" s="543" t="str">
        <f t="shared" si="726"/>
      </c>
      <c r="G73" s="543" t="str">
        <f t="shared" si="726"/>
      </c>
      <c r="H73" s="543" t="str">
        <f t="shared" si="726"/>
      </c>
      <c r="I73" s="543" t="str">
        <f t="shared" si="726"/>
      </c>
      <c r="J73" s="543" t="str">
        <f t="shared" si="726"/>
      </c>
      <c r="K73" s="543" t="str">
        <f t="shared" si="726"/>
      </c>
      <c r="L73" s="543" t="str">
        <f t="shared" si="726"/>
      </c>
      <c r="M73" s="543" t="str">
        <f t="shared" si="726"/>
      </c>
      <c r="N73" s="543" t="str">
        <f t="shared" si="726"/>
      </c>
      <c r="O73" s="543" t="str">
        <f t="shared" si="726"/>
      </c>
      <c r="P73" s="543" t="str">
        <f t="shared" si="726"/>
      </c>
      <c r="Q73" s="543" t="str">
        <f t="shared" si="726"/>
      </c>
      <c r="R73" s="543" t="str">
        <f t="shared" si="726"/>
      </c>
      <c r="S73" s="543" t="str">
        <f t="shared" si="726"/>
      </c>
      <c r="T73" s="543" t="str">
        <f t="shared" si="726"/>
      </c>
      <c r="U73" s="543" t="str">
        <f t="shared" si="726"/>
      </c>
      <c r="V73" s="543" t="str">
        <f t="shared" si="726"/>
      </c>
      <c r="W73" s="543" t="str">
        <f t="shared" si="726"/>
      </c>
      <c r="X73" s="543" t="str">
        <f t="shared" si="726"/>
      </c>
      <c r="Y73" s="543" t="str">
        <f t="shared" si="726"/>
      </c>
      <c r="Z73" s="543" t="str">
        <f t="shared" si="726"/>
      </c>
      <c r="AA73" s="543" t="str">
        <f t="shared" si="726"/>
      </c>
      <c r="AB73" s="543" t="str">
        <f t="shared" si="726"/>
      </c>
      <c r="AC73" s="543" t="str">
        <f t="shared" si="726"/>
      </c>
      <c r="AD73" s="543" t="str">
        <f t="shared" si="726"/>
      </c>
      <c r="AE73" s="543" t="str">
        <f t="shared" si="726"/>
      </c>
      <c r="AF73" s="543" t="str">
        <f t="shared" si="726"/>
      </c>
      <c r="AG73" s="543" t="str">
        <f t="shared" si="726"/>
      </c>
      <c r="AH73" s="543" t="str">
        <f t="shared" si="726"/>
      </c>
      <c r="AI73" s="543" t="str">
        <f t="shared" si="726"/>
      </c>
      <c r="AJ73" s="543" t="str">
        <f t="shared" si="726"/>
      </c>
      <c r="AK73" s="543" t="str">
        <f t="shared" si="726"/>
      </c>
      <c r="AL73" s="543" t="str">
        <f t="shared" si="726"/>
      </c>
      <c r="AM73" s="543" t="str">
        <f t="shared" si="726"/>
      </c>
      <c r="AN73" s="543" t="str">
        <f t="shared" si="726"/>
      </c>
      <c r="AO73" s="543" t="str">
        <f t="shared" si="726"/>
      </c>
      <c r="AP73" s="543" t="str">
        <f t="shared" si="726"/>
      </c>
      <c r="AQ73" s="543" t="str">
        <f t="shared" si="726"/>
      </c>
      <c r="AR73" s="543" t="str">
        <f t="shared" si="726"/>
      </c>
      <c r="AS73" s="543" t="str">
        <f t="shared" si="726"/>
      </c>
      <c r="AT73" s="543" t="str">
        <f t="shared" si="726"/>
      </c>
      <c r="AU73" s="543" t="str">
        <f t="shared" si="726"/>
      </c>
      <c r="AV73" s="543" t="str">
        <f t="shared" si="726"/>
      </c>
      <c r="AW73" s="543" t="str">
        <f t="shared" si="726"/>
      </c>
      <c r="AX73" s="543" t="str">
        <f t="shared" si="726"/>
      </c>
      <c r="AY73" s="543" t="str">
        <f t="shared" si="726"/>
      </c>
      <c r="AZ73" s="543" t="str">
        <f t="shared" si="726"/>
      </c>
      <c r="BA73" s="543" t="str">
        <f t="shared" si="726"/>
      </c>
      <c r="BB73" s="543" t="str">
        <f t="shared" si="726"/>
      </c>
      <c r="BC73" s="543" t="str">
        <f t="shared" si="726"/>
      </c>
      <c r="BD73" s="543" t="str">
        <f t="shared" si="726"/>
      </c>
      <c r="BE73" s="543" t="str">
        <f t="shared" si="726"/>
      </c>
      <c r="BF73" s="543" t="str">
        <f t="shared" si="726"/>
      </c>
      <c r="BG73" s="543" t="str">
        <f t="shared" si="726"/>
      </c>
      <c r="BH73" s="543" t="str">
        <f t="shared" si="726"/>
      </c>
      <c r="BI73" s="543" t="str">
        <f t="shared" si="726"/>
      </c>
      <c r="BJ73" s="543" t="str">
        <f t="shared" si="726"/>
      </c>
      <c r="BK73" s="543" t="str">
        <f t="shared" si="726"/>
      </c>
      <c r="BL73" s="543" t="str">
        <f t="shared" si="726"/>
      </c>
      <c r="BM73" s="543" t="str">
        <f t="shared" si="726"/>
      </c>
      <c r="BN73" s="543" t="str">
        <f t="shared" ref="BN73:DZ73" si="727">BN$37</f>
      </c>
      <c r="BO73" s="543" t="str">
        <f t="shared" si="727"/>
      </c>
      <c r="BP73" s="543" t="str">
        <f t="shared" si="727"/>
      </c>
      <c r="BQ73" s="545" t="str">
        <f t="shared" si="727"/>
      </c>
      <c r="BR73" s="543" t="str">
        <f t="shared" si="727"/>
      </c>
      <c r="BS73" s="543" t="str">
        <f t="shared" si="727"/>
      </c>
      <c r="BT73" s="543" t="str">
        <f t="shared" si="727"/>
      </c>
      <c r="BU73" s="545" t="str">
        <f t="shared" si="727"/>
      </c>
      <c r="BV73" s="543" t="str">
        <f t="shared" si="727"/>
      </c>
      <c r="BW73" s="543" t="str">
        <f t="shared" si="727"/>
      </c>
      <c r="BX73" s="543" t="str">
        <f t="shared" si="727"/>
      </c>
      <c r="BY73" s="545" t="str">
        <f t="shared" si="727"/>
      </c>
      <c r="BZ73" s="543" t="str">
        <f t="shared" si="727"/>
      </c>
      <c r="CA73" s="543" t="str">
        <f t="shared" si="727"/>
      </c>
      <c r="CB73" s="543" t="str">
        <f t="shared" si="727"/>
      </c>
      <c r="CC73" s="545" t="str">
        <f t="shared" si="727"/>
      </c>
      <c r="CD73" s="543" t="str">
        <f t="shared" si="727"/>
      </c>
      <c r="CE73" s="543" t="str">
        <f t="shared" si="727"/>
      </c>
      <c r="CF73" s="543" t="str">
        <f t="shared" si="727"/>
      </c>
      <c r="CG73" s="545" t="str">
        <f t="shared" si="727"/>
      </c>
      <c r="CH73" s="543" t="str">
        <f t="shared" si="727"/>
      </c>
      <c r="CI73" s="543" t="str">
        <f t="shared" si="727"/>
      </c>
      <c r="CJ73" s="543" t="str">
        <f t="shared" si="727"/>
      </c>
      <c r="CK73" s="545" t="str">
        <f t="shared" si="727"/>
      </c>
      <c r="CL73" s="543" t="str">
        <f t="shared" si="727"/>
      </c>
      <c r="CM73" s="543" t="str">
        <f t="shared" si="727"/>
      </c>
      <c r="CN73" s="543" t="str">
        <f t="shared" si="727"/>
      </c>
      <c r="CO73" s="545" t="str">
        <f t="shared" si="727"/>
      </c>
      <c r="CP73" s="543" t="str">
        <f t="shared" si="727"/>
      </c>
      <c r="CQ73" s="543" t="str">
        <f t="shared" si="727"/>
      </c>
      <c r="CR73" s="543" t="str">
        <f t="shared" si="727"/>
      </c>
      <c r="CS73" s="547" t="str">
        <f t="shared" si="727"/>
      </c>
      <c r="CT73" s="543" t="str">
        <f t="shared" si="727"/>
      </c>
      <c r="CU73" s="543" t="str">
        <f t="shared" si="727"/>
      </c>
      <c r="CV73" s="543" t="str">
        <f t="shared" si="727"/>
      </c>
      <c r="CW73" s="547" t="str">
        <f t="shared" si="727"/>
      </c>
      <c r="CX73" s="543" t="str">
        <f t="shared" si="727"/>
      </c>
      <c r="CY73" s="543" t="str">
        <f t="shared" si="727"/>
      </c>
      <c r="CZ73" s="543" t="str">
        <f t="shared" si="727"/>
      </c>
      <c r="DA73" s="547" t="str">
        <f t="shared" si="727"/>
      </c>
      <c r="DB73" s="543" t="str">
        <f t="shared" si="727"/>
      </c>
      <c r="DC73" s="543" t="str">
        <f t="shared" si="727"/>
      </c>
      <c r="DD73" s="543" t="str">
        <f t="shared" si="727"/>
      </c>
      <c r="DE73" s="547" t="str">
        <f t="shared" si="727"/>
      </c>
      <c r="DF73" s="543" t="str">
        <f t="shared" si="727"/>
      </c>
      <c r="DG73" s="543" t="str">
        <f t="shared" si="727"/>
      </c>
      <c r="DH73" s="543" t="str">
        <f t="shared" si="727"/>
      </c>
      <c r="DI73" s="547" t="str">
        <f t="shared" si="727"/>
      </c>
      <c r="DJ73" s="543" t="str">
        <f t="shared" si="727"/>
      </c>
      <c r="DK73" s="543" t="str">
        <f t="shared" si="727"/>
      </c>
      <c r="DL73" s="543" t="str">
        <f t="shared" si="727"/>
      </c>
      <c r="DM73" s="547" t="str">
        <f t="shared" si="727"/>
      </c>
      <c r="DN73" s="543" t="str">
        <f t="shared" si="727"/>
      </c>
      <c r="DO73" s="543" t="str">
        <f t="shared" si="727"/>
      </c>
      <c r="DP73" s="543" t="str">
        <f t="shared" si="727"/>
      </c>
      <c r="DQ73" s="547" t="str">
        <f t="shared" si="727"/>
      </c>
      <c r="DR73" s="543" t="str">
        <f t="shared" si="727"/>
      </c>
      <c r="DS73" s="543" t="str">
        <f t="shared" si="727"/>
      </c>
      <c r="DT73" s="543" t="str">
        <f t="shared" si="727"/>
      </c>
      <c r="DU73" s="547" t="str">
        <f t="shared" si="727"/>
      </c>
      <c r="DV73" s="543" t="str">
        <f t="shared" si="727"/>
      </c>
      <c r="DW73" s="543" t="str">
        <f t="shared" si="727"/>
      </c>
      <c r="DX73" s="543" t="str">
        <f t="shared" si="727"/>
      </c>
      <c r="DY73" s="547" t="str">
        <f t="shared" si="727"/>
      </c>
      <c r="DZ73" s="543" t="str">
        <f t="shared" si="727"/>
      </c>
      <c r="EA73" s="543" t="str">
        <f t="shared" ref="EA73:EK73" si="728">EA$37</f>
      </c>
      <c r="EB73" s="543" t="str">
        <f t="shared" si="728"/>
      </c>
      <c r="EC73" s="547" t="str">
        <f t="shared" si="728"/>
      </c>
      <c r="ED73" s="543" t="str">
        <f t="shared" si="728"/>
      </c>
      <c r="EE73" s="543" t="str">
        <f t="shared" si="728"/>
      </c>
      <c r="EF73" s="543" t="str">
        <f t="shared" si="728"/>
      </c>
      <c r="EG73" s="547" t="str">
        <f t="shared" si="728"/>
      </c>
      <c r="EH73" s="543" t="str">
        <f t="shared" si="728"/>
      </c>
      <c r="EI73" s="543" t="str">
        <f t="shared" si="728"/>
      </c>
      <c r="EJ73" s="543" t="str">
        <f t="shared" si="728"/>
      </c>
      <c r="EK73" s="547" t="str">
        <f t="shared" si="728"/>
      </c>
      <c r="EL73" s="11"/>
      <c r="EM73" s="11"/>
      <c r="EN73" s="11"/>
      <c r="EO73" s="11"/>
      <c r="EP73" s="11"/>
      <c r="EQ73" s="11"/>
      <c r="ER73" s="11"/>
      <c r="ES73" s="11"/>
      <c r="ET73" s="11"/>
      <c r="EU73" s="11"/>
      <c r="EV73" s="11"/>
      <c r="EW73" s="11"/>
      <c r="EX73" s="11"/>
      <c r="EY73" s="11"/>
      <c r="EZ73" s="11"/>
      <c r="FA73" s="11"/>
      <c r="FB73" s="11"/>
      <c r="FC73" s="11"/>
      <c r="FD73" s="11"/>
      <c r="FE73" s="11"/>
      <c r="FF73" s="11"/>
      <c r="FG73" s="11"/>
      <c r="FH73" s="11"/>
      <c r="FI73" s="11"/>
      <c r="FJ73" s="11"/>
      <c r="FK73" s="11"/>
      <c r="FL73" s="11"/>
      <c r="FM73" s="11"/>
      <c r="FN73" s="11"/>
      <c r="FO73" s="11"/>
      <c r="FP73" s="11"/>
      <c r="FQ73" s="11"/>
      <c r="FR73" s="11"/>
      <c r="FS73" s="11"/>
      <c r="FT73" s="11"/>
      <c r="FU73" s="11"/>
      <c r="FV73" s="11"/>
      <c r="FW73" s="11"/>
      <c r="FX73" s="11"/>
      <c r="FY73" s="11"/>
      <c r="FZ73" s="11"/>
      <c r="GA73" s="11"/>
      <c r="GB73" s="11"/>
      <c r="GC73" s="11"/>
      <c r="GD73" s="11"/>
      <c r="GE73" s="11"/>
      <c r="GF73" s="11"/>
      <c r="GG73" s="11"/>
      <c r="GH73" s="11"/>
      <c r="GI73" s="11"/>
      <c r="GJ73" s="11"/>
      <c r="GK73" s="11"/>
      <c r="GL73" s="11"/>
      <c r="GM73" s="11"/>
      <c r="GN73" s="11"/>
      <c r="GO73" s="11"/>
      <c r="GP73" s="11"/>
      <c r="GQ73" s="11"/>
      <c r="GR73" s="11"/>
      <c r="GS73" s="11"/>
      <c r="GT73" s="11"/>
      <c r="GU73" s="11"/>
      <c r="GV73" s="11"/>
      <c r="GW73" s="11"/>
      <c r="GX73" s="11"/>
      <c r="GY73" s="11"/>
      <c r="GZ73" s="11"/>
      <c r="HA73" s="11"/>
      <c r="HB73" s="11"/>
      <c r="HC73" s="11"/>
      <c r="HD73" s="11"/>
    </row>
    <row r="74" spans="1:212" s="1" customFormat="1">
      <c r="A74" s="575" t="s">
        <v>1157</v>
      </c>
      <c r="B74" s="576">
        <f t="shared" ref="B74:BM74" si="729">B$38</f>
      </c>
      <c r="C74" s="576">
        <f t="shared" si="729"/>
      </c>
      <c r="D74" s="576">
        <f t="shared" si="729"/>
      </c>
      <c r="E74" s="577">
        <f t="shared" si="729"/>
      </c>
      <c r="F74" s="576">
        <f t="shared" si="729"/>
      </c>
      <c r="G74" s="576">
        <f t="shared" si="729"/>
      </c>
      <c r="H74" s="576">
        <f t="shared" si="729"/>
      </c>
      <c r="I74" s="576">
        <f t="shared" si="729"/>
      </c>
      <c r="J74" s="576">
        <f t="shared" si="729"/>
      </c>
      <c r="K74" s="576">
        <f t="shared" si="729"/>
      </c>
      <c r="L74" s="576">
        <f t="shared" si="729"/>
      </c>
      <c r="M74" s="576">
        <f t="shared" si="729"/>
      </c>
      <c r="N74" s="576">
        <f t="shared" si="729"/>
      </c>
      <c r="O74" s="576">
        <f t="shared" si="729"/>
      </c>
      <c r="P74" s="576">
        <f t="shared" si="729"/>
      </c>
      <c r="Q74" s="576">
        <f t="shared" si="729"/>
      </c>
      <c r="R74" s="576">
        <f t="shared" si="729"/>
      </c>
      <c r="S74" s="576">
        <f t="shared" si="729"/>
      </c>
      <c r="T74" s="576">
        <f t="shared" si="729"/>
      </c>
      <c r="U74" s="576">
        <f t="shared" si="729"/>
      </c>
      <c r="V74" s="576">
        <f t="shared" si="729"/>
      </c>
      <c r="W74" s="576">
        <f t="shared" si="729"/>
      </c>
      <c r="X74" s="576">
        <f t="shared" si="729"/>
      </c>
      <c r="Y74" s="576">
        <f t="shared" si="729"/>
      </c>
      <c r="Z74" s="576">
        <f t="shared" si="729"/>
      </c>
      <c r="AA74" s="576">
        <f t="shared" si="729"/>
      </c>
      <c r="AB74" s="576">
        <f t="shared" si="729"/>
      </c>
      <c r="AC74" s="576">
        <f t="shared" si="729"/>
      </c>
      <c r="AD74" s="576">
        <f t="shared" si="729"/>
      </c>
      <c r="AE74" s="576">
        <f t="shared" si="729"/>
      </c>
      <c r="AF74" s="576">
        <f t="shared" si="729"/>
      </c>
      <c r="AG74" s="576">
        <f t="shared" si="729"/>
      </c>
      <c r="AH74" s="576">
        <f t="shared" si="729"/>
      </c>
      <c r="AI74" s="576">
        <f t="shared" si="729"/>
      </c>
      <c r="AJ74" s="576">
        <f t="shared" si="729"/>
      </c>
      <c r="AK74" s="576">
        <f t="shared" si="729"/>
      </c>
      <c r="AL74" s="576">
        <f t="shared" si="729"/>
      </c>
      <c r="AM74" s="576">
        <f t="shared" si="729"/>
      </c>
      <c r="AN74" s="576">
        <f t="shared" si="729"/>
      </c>
      <c r="AO74" s="576">
        <f t="shared" si="729"/>
      </c>
      <c r="AP74" s="576">
        <f t="shared" si="729"/>
      </c>
      <c r="AQ74" s="576">
        <f t="shared" si="729"/>
      </c>
      <c r="AR74" s="576">
        <f t="shared" si="729"/>
      </c>
      <c r="AS74" s="576">
        <f t="shared" si="729"/>
      </c>
      <c r="AT74" s="576">
        <f t="shared" si="729"/>
      </c>
      <c r="AU74" s="576">
        <f t="shared" si="729"/>
      </c>
      <c r="AV74" s="576">
        <f t="shared" si="729"/>
      </c>
      <c r="AW74" s="576">
        <f t="shared" si="729"/>
      </c>
      <c r="AX74" s="576">
        <f t="shared" si="729"/>
      </c>
      <c r="AY74" s="576">
        <f t="shared" si="729"/>
      </c>
      <c r="AZ74" s="576">
        <f t="shared" si="729"/>
      </c>
      <c r="BA74" s="576">
        <f t="shared" si="729"/>
      </c>
      <c r="BB74" s="576">
        <f t="shared" si="729"/>
      </c>
      <c r="BC74" s="576">
        <f t="shared" si="729"/>
      </c>
      <c r="BD74" s="576">
        <f t="shared" si="729"/>
      </c>
      <c r="BE74" s="576">
        <f t="shared" si="729"/>
      </c>
      <c r="BF74" s="576">
        <f t="shared" si="729"/>
      </c>
      <c r="BG74" s="576">
        <f t="shared" si="729"/>
      </c>
      <c r="BH74" s="576">
        <f t="shared" si="729"/>
      </c>
      <c r="BI74" s="576">
        <f t="shared" si="729"/>
      </c>
      <c r="BJ74" s="576">
        <f t="shared" si="729"/>
      </c>
      <c r="BK74" s="576">
        <f t="shared" si="729"/>
      </c>
      <c r="BL74" s="576">
        <f t="shared" si="729"/>
      </c>
      <c r="BM74" s="576">
        <f t="shared" si="729"/>
      </c>
      <c r="BN74" s="576">
        <f t="shared" ref="BN74:DZ74" si="730">BN$38</f>
      </c>
      <c r="BO74" s="576">
        <f t="shared" si="730"/>
      </c>
      <c r="BP74" s="576">
        <f t="shared" si="730"/>
      </c>
      <c r="BQ74" s="578">
        <f t="shared" si="730"/>
      </c>
      <c r="BR74" s="576">
        <f t="shared" si="730"/>
      </c>
      <c r="BS74" s="576">
        <f t="shared" si="730"/>
      </c>
      <c r="BT74" s="576">
        <f t="shared" si="730"/>
      </c>
      <c r="BU74" s="578">
        <f t="shared" si="730"/>
      </c>
      <c r="BV74" s="576">
        <f t="shared" si="730"/>
      </c>
      <c r="BW74" s="576">
        <f t="shared" si="730"/>
      </c>
      <c r="BX74" s="576">
        <f t="shared" si="730"/>
      </c>
      <c r="BY74" s="578">
        <f t="shared" si="730"/>
      </c>
      <c r="BZ74" s="576">
        <f t="shared" si="730"/>
      </c>
      <c r="CA74" s="576">
        <f t="shared" si="730"/>
      </c>
      <c r="CB74" s="576">
        <f t="shared" si="730"/>
      </c>
      <c r="CC74" s="578">
        <f t="shared" si="730"/>
      </c>
      <c r="CD74" s="576">
        <f t="shared" si="730"/>
      </c>
      <c r="CE74" s="576">
        <f t="shared" si="730"/>
      </c>
      <c r="CF74" s="576">
        <f t="shared" si="730"/>
      </c>
      <c r="CG74" s="578">
        <f t="shared" si="730"/>
      </c>
      <c r="CH74" s="576">
        <f t="shared" si="730"/>
      </c>
      <c r="CI74" s="576">
        <f t="shared" si="730"/>
      </c>
      <c r="CJ74" s="576">
        <f t="shared" si="730"/>
      </c>
      <c r="CK74" s="578">
        <f t="shared" si="730"/>
      </c>
      <c r="CL74" s="576">
        <f t="shared" si="730"/>
      </c>
      <c r="CM74" s="576">
        <f t="shared" si="730"/>
      </c>
      <c r="CN74" s="576">
        <f t="shared" si="730"/>
      </c>
      <c r="CO74" s="578">
        <f t="shared" si="730"/>
      </c>
      <c r="CP74" s="576">
        <f t="shared" si="730"/>
      </c>
      <c r="CQ74" s="576">
        <f t="shared" si="730"/>
      </c>
      <c r="CR74" s="576">
        <f t="shared" si="730"/>
      </c>
      <c r="CS74" s="578">
        <f t="shared" si="730"/>
      </c>
      <c r="CT74" s="576">
        <f t="shared" si="730"/>
      </c>
      <c r="CU74" s="576">
        <f t="shared" si="730"/>
      </c>
      <c r="CV74" s="576">
        <f t="shared" si="730"/>
      </c>
      <c r="CW74" s="578">
        <f t="shared" si="730"/>
      </c>
      <c r="CX74" s="576">
        <f t="shared" si="730"/>
      </c>
      <c r="CY74" s="576">
        <f t="shared" si="730"/>
      </c>
      <c r="CZ74" s="576">
        <f t="shared" si="730"/>
      </c>
      <c r="DA74" s="578">
        <f t="shared" si="730"/>
      </c>
      <c r="DB74" s="576">
        <f t="shared" si="730"/>
      </c>
      <c r="DC74" s="576">
        <f t="shared" si="730"/>
      </c>
      <c r="DD74" s="576">
        <f t="shared" si="730"/>
      </c>
      <c r="DE74" s="578">
        <f t="shared" si="730"/>
      </c>
      <c r="DF74" s="576">
        <f t="shared" si="730"/>
      </c>
      <c r="DG74" s="576">
        <f t="shared" si="730"/>
      </c>
      <c r="DH74" s="576">
        <f t="shared" si="730"/>
      </c>
      <c r="DI74" s="578">
        <f t="shared" si="730"/>
      </c>
      <c r="DJ74" s="576">
        <f t="shared" si="730"/>
      </c>
      <c r="DK74" s="576">
        <f t="shared" si="730"/>
      </c>
      <c r="DL74" s="576">
        <f t="shared" si="730"/>
      </c>
      <c r="DM74" s="578">
        <f t="shared" si="730"/>
      </c>
      <c r="DN74" s="576">
        <f t="shared" si="730"/>
      </c>
      <c r="DO74" s="576">
        <f t="shared" si="730"/>
      </c>
      <c r="DP74" s="576">
        <f t="shared" si="730"/>
      </c>
      <c r="DQ74" s="578">
        <f t="shared" si="730"/>
      </c>
      <c r="DR74" s="576">
        <f t="shared" si="730"/>
      </c>
      <c r="DS74" s="576">
        <f t="shared" si="730"/>
      </c>
      <c r="DT74" s="576">
        <f t="shared" si="730"/>
      </c>
      <c r="DU74" s="578">
        <f t="shared" si="730"/>
      </c>
      <c r="DV74" s="576">
        <f t="shared" si="730"/>
      </c>
      <c r="DW74" s="576">
        <f t="shared" si="730"/>
      </c>
      <c r="DX74" s="576">
        <f t="shared" si="730"/>
      </c>
      <c r="DY74" s="578">
        <f t="shared" si="730"/>
      </c>
      <c r="DZ74" s="576">
        <f t="shared" si="730"/>
      </c>
      <c r="EA74" s="576">
        <f t="shared" ref="EA74:EK74" si="731">EA$38</f>
      </c>
      <c r="EB74" s="576">
        <f t="shared" si="731"/>
      </c>
      <c r="EC74" s="578">
        <f t="shared" si="731"/>
      </c>
      <c r="ED74" s="576">
        <f t="shared" si="731"/>
      </c>
      <c r="EE74" s="576">
        <f t="shared" si="731"/>
      </c>
      <c r="EF74" s="576">
        <f t="shared" si="731"/>
      </c>
      <c r="EG74" s="578">
        <f t="shared" si="731"/>
      </c>
      <c r="EH74" s="576">
        <f t="shared" si="731"/>
      </c>
      <c r="EI74" s="576">
        <f t="shared" si="731"/>
      </c>
      <c r="EJ74" s="576">
        <f t="shared" si="731"/>
      </c>
      <c r="EK74" s="578">
        <f t="shared" si="731"/>
      </c>
      <c r="EL74" s="11"/>
      <c r="EM74" s="11"/>
      <c r="EN74" s="11"/>
      <c r="EO74" s="11"/>
      <c r="EP74" s="11"/>
      <c r="EQ74" s="11"/>
      <c r="ER74" s="11"/>
      <c r="ES74" s="11"/>
      <c r="ET74" s="11"/>
      <c r="EU74" s="11"/>
      <c r="EV74" s="11"/>
      <c r="EW74" s="11"/>
      <c r="EX74" s="11"/>
      <c r="EY74" s="11"/>
      <c r="EZ74" s="11"/>
      <c r="FA74" s="11"/>
      <c r="FB74" s="11"/>
      <c r="FC74" s="11"/>
      <c r="FD74" s="11"/>
      <c r="FE74" s="11"/>
      <c r="FF74" s="11"/>
      <c r="FG74" s="11"/>
      <c r="FH74" s="11"/>
      <c r="FI74" s="11"/>
      <c r="FJ74" s="11"/>
      <c r="FK74" s="11"/>
      <c r="FL74" s="11"/>
      <c r="FM74" s="11"/>
      <c r="FN74" s="11"/>
      <c r="FO74" s="11"/>
      <c r="FP74" s="11"/>
      <c r="FQ74" s="11"/>
      <c r="FR74" s="11"/>
      <c r="FS74" s="11"/>
      <c r="FT74" s="11"/>
      <c r="FU74" s="11"/>
      <c r="FV74" s="11"/>
      <c r="FW74" s="11"/>
      <c r="FX74" s="11"/>
      <c r="FY74" s="11"/>
      <c r="FZ74" s="11"/>
      <c r="GA74" s="11"/>
      <c r="GB74" s="11"/>
      <c r="GC74" s="11"/>
      <c r="GD74" s="11"/>
      <c r="GE74" s="11"/>
      <c r="GF74" s="11"/>
      <c r="GG74" s="11"/>
      <c r="GH74" s="11"/>
      <c r="GI74" s="11"/>
      <c r="GJ74" s="11"/>
      <c r="GK74" s="11"/>
      <c r="GL74" s="11"/>
      <c r="GM74" s="11"/>
      <c r="GN74" s="11"/>
      <c r="GO74" s="11"/>
      <c r="GP74" s="11"/>
      <c r="GQ74" s="11"/>
      <c r="GR74" s="11"/>
      <c r="GS74" s="11"/>
      <c r="GT74" s="11"/>
      <c r="GU74" s="11"/>
      <c r="GV74" s="11"/>
      <c r="GW74" s="11"/>
      <c r="GX74" s="11"/>
      <c r="GY74" s="11"/>
      <c r="GZ74" s="11"/>
      <c r="HA74" s="11"/>
      <c r="HB74" s="11"/>
      <c r="HC74" s="11"/>
      <c r="HD74" s="11"/>
    </row>
    <row r="75" spans="1:212" s="17" customFormat="1">
      <c r="A75" s="629" t="str">
        <f t="shared" ref="A75:A83" si="732">A9</f>
      </c>
      <c r="B75" s="589"/>
      <c r="C75" s="589">
        <f t="shared" ref="C75:AH75" si="733">C9/B9-1</f>
      </c>
      <c r="D75" s="589">
        <f t="shared" si="733"/>
      </c>
      <c r="E75" s="630">
        <f t="shared" si="733"/>
      </c>
      <c r="F75" s="589">
        <f t="shared" si="733"/>
      </c>
      <c r="G75" s="589">
        <f t="shared" si="733"/>
      </c>
      <c r="H75" s="589">
        <f t="shared" si="733"/>
      </c>
      <c r="I75" s="589">
        <f t="shared" si="733"/>
      </c>
      <c r="J75" s="589">
        <f t="shared" si="733"/>
      </c>
      <c r="K75" s="589">
        <f t="shared" si="733"/>
      </c>
      <c r="L75" s="589">
        <f t="shared" si="733"/>
      </c>
      <c r="M75" s="589">
        <f t="shared" si="733"/>
      </c>
      <c r="N75" s="589">
        <f t="shared" si="733"/>
      </c>
      <c r="O75" s="589">
        <f t="shared" si="733"/>
      </c>
      <c r="P75" s="589">
        <f t="shared" si="733"/>
      </c>
      <c r="Q75" s="589">
        <f t="shared" si="733"/>
      </c>
      <c r="R75" s="589">
        <f t="shared" si="733"/>
      </c>
      <c r="S75" s="589">
        <f t="shared" si="733"/>
      </c>
      <c r="T75" s="589">
        <f t="shared" si="733"/>
      </c>
      <c r="U75" s="589">
        <f t="shared" si="733"/>
      </c>
      <c r="V75" s="589">
        <f t="shared" si="733"/>
      </c>
      <c r="W75" s="589">
        <f t="shared" si="733"/>
      </c>
      <c r="X75" s="589">
        <f t="shared" si="733"/>
      </c>
      <c r="Y75" s="589">
        <f t="shared" si="733"/>
      </c>
      <c r="Z75" s="589">
        <f t="shared" si="733"/>
      </c>
      <c r="AA75" s="589">
        <f t="shared" si="733"/>
      </c>
      <c r="AB75" s="589">
        <f t="shared" si="733"/>
      </c>
      <c r="AC75" s="589">
        <f t="shared" si="733"/>
      </c>
      <c r="AD75" s="589">
        <f t="shared" si="733"/>
      </c>
      <c r="AE75" s="589">
        <f t="shared" si="733"/>
      </c>
      <c r="AF75" s="589">
        <f t="shared" si="733"/>
      </c>
      <c r="AG75" s="589">
        <f t="shared" si="733"/>
      </c>
      <c r="AH75" s="589">
        <f t="shared" si="733"/>
      </c>
      <c r="AI75" s="589">
        <f t="shared" ref="AI75:BN75" si="734">AI9/AH9-1</f>
      </c>
      <c r="AJ75" s="589">
        <f t="shared" si="734"/>
      </c>
      <c r="AK75" s="589">
        <f t="shared" si="734"/>
      </c>
      <c r="AL75" s="589">
        <f t="shared" si="734"/>
      </c>
      <c r="AM75" s="589">
        <f t="shared" si="734"/>
      </c>
      <c r="AN75" s="589">
        <f t="shared" si="734"/>
      </c>
      <c r="AO75" s="589">
        <f t="shared" si="734"/>
      </c>
      <c r="AP75" s="589">
        <f t="shared" si="734"/>
      </c>
      <c r="AQ75" s="589">
        <f t="shared" si="734"/>
      </c>
      <c r="AR75" s="589">
        <f t="shared" si="734"/>
      </c>
      <c r="AS75" s="589">
        <f t="shared" si="734"/>
      </c>
      <c r="AT75" s="589">
        <f t="shared" si="734"/>
      </c>
      <c r="AU75" s="589">
        <f t="shared" si="734"/>
      </c>
      <c r="AV75" s="589">
        <f t="shared" si="734"/>
      </c>
      <c r="AW75" s="589">
        <f t="shared" si="734"/>
      </c>
      <c r="AX75" s="589">
        <f t="shared" si="734"/>
      </c>
      <c r="AY75" s="589">
        <f t="shared" si="734"/>
      </c>
      <c r="AZ75" s="589">
        <f t="shared" si="734"/>
      </c>
      <c r="BA75" s="589">
        <f t="shared" si="734"/>
      </c>
      <c r="BB75" s="589">
        <f t="shared" si="734"/>
      </c>
      <c r="BC75" s="589">
        <f t="shared" si="734"/>
      </c>
      <c r="BD75" s="589">
        <f t="shared" si="734"/>
      </c>
      <c r="BE75" s="589">
        <f t="shared" si="734"/>
      </c>
      <c r="BF75" s="589">
        <f t="shared" si="734"/>
      </c>
      <c r="BG75" s="589">
        <f t="shared" si="734"/>
      </c>
      <c r="BH75" s="589">
        <f t="shared" si="734"/>
      </c>
      <c r="BI75" s="589">
        <f t="shared" si="734"/>
      </c>
      <c r="BJ75" s="589">
        <f t="shared" si="734"/>
      </c>
      <c r="BK75" s="589">
        <f t="shared" si="734"/>
      </c>
      <c r="BL75" s="589">
        <f t="shared" si="734"/>
      </c>
      <c r="BM75" s="589">
        <f t="shared" si="734"/>
      </c>
      <c r="BN75" s="589">
        <f t="shared" si="734"/>
      </c>
      <c r="BO75" s="589">
        <f t="shared" ref="BO75:CT75" si="735">BO9/BN9-1</f>
      </c>
      <c r="BP75" s="589">
        <f t="shared" si="735"/>
      </c>
      <c r="BQ75" s="590">
        <f t="shared" si="735"/>
      </c>
      <c r="BR75" s="589">
        <f t="shared" si="735"/>
      </c>
      <c r="BS75" s="589">
        <f t="shared" si="735"/>
      </c>
      <c r="BT75" s="589">
        <f t="shared" si="735"/>
      </c>
      <c r="BU75" s="590">
        <f t="shared" si="735"/>
      </c>
      <c r="BV75" s="589">
        <f t="shared" si="735"/>
      </c>
      <c r="BW75" s="589">
        <f t="shared" si="735"/>
      </c>
      <c r="BX75" s="589">
        <f t="shared" si="735"/>
      </c>
      <c r="BY75" s="590">
        <f t="shared" si="735"/>
      </c>
      <c r="BZ75" s="589">
        <f t="shared" si="735"/>
      </c>
      <c r="CA75" s="589">
        <f t="shared" si="735"/>
      </c>
      <c r="CB75" s="589">
        <f t="shared" si="735"/>
      </c>
      <c r="CC75" s="590">
        <f t="shared" si="735"/>
      </c>
      <c r="CD75" s="589">
        <f t="shared" si="735"/>
      </c>
      <c r="CE75" s="589">
        <f t="shared" si="735"/>
      </c>
      <c r="CF75" s="589">
        <f t="shared" si="735"/>
      </c>
      <c r="CG75" s="590">
        <f t="shared" si="735"/>
      </c>
      <c r="CH75" s="589">
        <f t="shared" si="735"/>
      </c>
      <c r="CI75" s="589">
        <f t="shared" si="735"/>
      </c>
      <c r="CJ75" s="589">
        <f t="shared" si="735"/>
      </c>
      <c r="CK75" s="590">
        <f t="shared" si="735"/>
      </c>
      <c r="CL75" s="589">
        <f t="shared" si="735"/>
      </c>
      <c r="CM75" s="589">
        <f t="shared" si="735"/>
      </c>
      <c r="CN75" s="589">
        <f t="shared" si="735"/>
      </c>
      <c r="CO75" s="590">
        <f t="shared" si="735"/>
      </c>
      <c r="CP75" s="589">
        <f t="shared" si="735"/>
      </c>
      <c r="CQ75" s="589">
        <f t="shared" si="735"/>
      </c>
      <c r="CR75" s="589">
        <f t="shared" si="735"/>
      </c>
      <c r="CS75" s="590">
        <f t="shared" si="735"/>
      </c>
      <c r="CT75" s="589">
        <f t="shared" si="735"/>
      </c>
      <c r="CU75" s="589">
        <f t="shared" ref="CU75:DU75" si="736">CU9/CT9-1</f>
      </c>
      <c r="CV75" s="589">
        <f t="shared" si="736"/>
      </c>
      <c r="CW75" s="590">
        <f t="shared" si="736"/>
      </c>
      <c r="CX75" s="589">
        <f t="shared" si="736"/>
      </c>
      <c r="CY75" s="589">
        <f t="shared" si="736"/>
      </c>
      <c r="CZ75" s="589">
        <f t="shared" si="736"/>
      </c>
      <c r="DA75" s="590">
        <f t="shared" si="736"/>
      </c>
      <c r="DB75" s="589">
        <f t="shared" si="736"/>
      </c>
      <c r="DC75" s="589">
        <f t="shared" si="736"/>
      </c>
      <c r="DD75" s="589">
        <f t="shared" si="736"/>
      </c>
      <c r="DE75" s="590">
        <f t="shared" si="736"/>
      </c>
      <c r="DF75" s="589">
        <f t="shared" si="736"/>
      </c>
      <c r="DG75" s="589">
        <f t="shared" si="736"/>
      </c>
      <c r="DH75" s="589">
        <f t="shared" si="736"/>
      </c>
      <c r="DI75" s="590">
        <f t="shared" si="736"/>
      </c>
      <c r="DJ75" s="589">
        <f t="shared" si="736"/>
      </c>
      <c r="DK75" s="589">
        <f t="shared" si="736"/>
      </c>
      <c r="DL75" s="589">
        <f t="shared" si="736"/>
      </c>
      <c r="DM75" s="590">
        <f t="shared" si="736"/>
      </c>
      <c r="DN75" s="589">
        <f t="shared" si="736"/>
      </c>
      <c r="DO75" s="589">
        <f t="shared" si="736"/>
      </c>
      <c r="DP75" s="589">
        <f t="shared" si="736"/>
      </c>
      <c r="DQ75" s="590">
        <f t="shared" si="736"/>
      </c>
      <c r="DR75" s="589">
        <f t="shared" si="736"/>
      </c>
      <c r="DS75" s="589">
        <f t="shared" si="736"/>
      </c>
      <c r="DT75" s="589">
        <f t="shared" si="736"/>
      </c>
      <c r="DU75" s="590">
        <f t="shared" si="736"/>
      </c>
      <c r="DV75" s="589">
        <f t="shared" ref="DV75:DV83" si="737">DV9/DU9-1</f>
      </c>
      <c r="DW75" s="589">
        <f t="shared" ref="DW75:DW83" si="738">DW9/DV9-1</f>
      </c>
      <c r="DX75" s="589">
        <f t="shared" ref="DX75:DX83" si="739">DX9/DW9-1</f>
      </c>
      <c r="DY75" s="590">
        <f t="shared" ref="DY75:DY83" si="740">DY9/DX9-1</f>
      </c>
      <c r="DZ75" s="589">
        <f t="shared" ref="DZ75:DZ83" si="741">DZ9/DY9-1</f>
      </c>
      <c r="EA75" s="589">
        <f t="shared" ref="EA75:EA83" si="742">EA9/DZ9-1</f>
      </c>
      <c r="EB75" s="589">
        <f t="shared" ref="EB75:EB83" si="743">EB9/EA9-1</f>
      </c>
      <c r="EC75" s="590">
        <f t="shared" ref="EC75:EC83" si="744">EC9/EB9-1</f>
      </c>
      <c r="ED75" s="589">
        <f t="shared" ref="ED75:ED83" si="745">ED9/EC9-1</f>
      </c>
      <c r="EE75" s="589">
        <f t="shared" ref="EE75:EE83" si="746">EE9/ED9-1</f>
      </c>
      <c r="EF75" s="589">
        <f t="shared" ref="EF75:EF83" si="747">EF9/EE9-1</f>
      </c>
      <c r="EG75" s="590">
        <f t="shared" ref="EG75:EG83" si="748">EG9/EF9-1</f>
      </c>
      <c r="EH75" s="589">
        <f t="shared" ref="EH75:EH83" si="749">EH9/EG9-1</f>
      </c>
      <c r="EI75" s="589">
        <f t="shared" ref="EI75:EI83" si="750">EI9/EH9-1</f>
      </c>
      <c r="EJ75" s="589">
        <f t="shared" ref="EJ75:EJ83" si="751">EJ9/EI9-1</f>
      </c>
      <c r="EK75" s="590">
        <f t="shared" ref="EK75:EK83" si="752">EK9/EJ9-1</f>
      </c>
      <c r="EL75" s="11"/>
      <c r="EM75" s="11"/>
      <c r="EN75" s="11"/>
      <c r="EO75" s="11"/>
      <c r="EP75" s="11"/>
      <c r="EQ75" s="11"/>
      <c r="ER75" s="11"/>
      <c r="ES75" s="11"/>
      <c r="ET75" s="11"/>
      <c r="EU75" s="11"/>
      <c r="EV75" s="11"/>
      <c r="EW75" s="11"/>
      <c r="EX75" s="11"/>
      <c r="EY75" s="11"/>
      <c r="EZ75" s="11"/>
      <c r="FA75" s="11"/>
      <c r="FB75" s="11"/>
      <c r="FC75" s="11"/>
      <c r="FD75" s="11"/>
      <c r="FE75" s="11"/>
      <c r="FF75" s="11"/>
      <c r="FG75" s="11"/>
      <c r="FH75" s="11"/>
      <c r="FI75" s="11"/>
      <c r="FJ75" s="11"/>
      <c r="FK75" s="11"/>
      <c r="FL75" s="11"/>
      <c r="FM75" s="11"/>
      <c r="FN75" s="11"/>
      <c r="FO75" s="11"/>
      <c r="FP75" s="11"/>
      <c r="FQ75" s="11"/>
      <c r="FR75" s="11"/>
      <c r="FS75" s="11"/>
      <c r="FT75" s="11"/>
      <c r="FU75" s="11"/>
      <c r="FV75" s="11"/>
      <c r="FW75" s="11"/>
      <c r="FX75" s="11"/>
      <c r="FY75" s="11"/>
      <c r="FZ75" s="11"/>
      <c r="GA75" s="11"/>
      <c r="GB75" s="11"/>
      <c r="GC75" s="11"/>
      <c r="GD75" s="11"/>
      <c r="GE75" s="11"/>
      <c r="GF75" s="11"/>
      <c r="GG75" s="11"/>
      <c r="GH75" s="11"/>
      <c r="GI75" s="11"/>
      <c r="GJ75" s="11"/>
      <c r="GK75" s="11"/>
      <c r="GL75" s="11"/>
      <c r="GM75" s="11"/>
      <c r="GN75" s="11"/>
      <c r="GO75" s="11"/>
      <c r="GP75" s="11"/>
      <c r="GQ75" s="11"/>
      <c r="GR75" s="11"/>
      <c r="GS75" s="11"/>
      <c r="GT75" s="11"/>
      <c r="GU75" s="11"/>
      <c r="GV75" s="11"/>
      <c r="GW75" s="11"/>
      <c r="GX75" s="11"/>
      <c r="GY75" s="11"/>
      <c r="GZ75" s="11"/>
      <c r="HA75" s="11"/>
      <c r="HB75" s="11"/>
      <c r="HC75" s="11"/>
      <c r="HD75" s="11"/>
    </row>
    <row r="76" spans="1:212" s="17" customFormat="1">
      <c r="A76" s="629" t="str">
        <f t="shared" si="732"/>
      </c>
      <c r="B76" s="589"/>
      <c r="C76" s="589">
        <f t="shared" ref="C76:AH76" si="753">C10/B10-1</f>
      </c>
      <c r="D76" s="589">
        <f t="shared" si="753"/>
      </c>
      <c r="E76" s="630">
        <f t="shared" si="753"/>
      </c>
      <c r="F76" s="589">
        <f t="shared" si="753"/>
      </c>
      <c r="G76" s="589">
        <f t="shared" si="753"/>
      </c>
      <c r="H76" s="589">
        <f t="shared" si="753"/>
      </c>
      <c r="I76" s="589">
        <f t="shared" si="753"/>
      </c>
      <c r="J76" s="589">
        <f t="shared" si="753"/>
      </c>
      <c r="K76" s="589">
        <f t="shared" si="753"/>
      </c>
      <c r="L76" s="589">
        <f t="shared" si="753"/>
      </c>
      <c r="M76" s="589">
        <f t="shared" si="753"/>
      </c>
      <c r="N76" s="589">
        <f t="shared" si="753"/>
      </c>
      <c r="O76" s="589">
        <f t="shared" si="753"/>
      </c>
      <c r="P76" s="589">
        <f t="shared" si="753"/>
      </c>
      <c r="Q76" s="589">
        <f t="shared" si="753"/>
      </c>
      <c r="R76" s="589">
        <f t="shared" si="753"/>
      </c>
      <c r="S76" s="589">
        <f t="shared" si="753"/>
      </c>
      <c r="T76" s="589">
        <f t="shared" si="753"/>
      </c>
      <c r="U76" s="589">
        <f t="shared" si="753"/>
      </c>
      <c r="V76" s="589">
        <f t="shared" si="753"/>
      </c>
      <c r="W76" s="589">
        <f t="shared" si="753"/>
      </c>
      <c r="X76" s="589">
        <f t="shared" si="753"/>
      </c>
      <c r="Y76" s="589">
        <f t="shared" si="753"/>
      </c>
      <c r="Z76" s="589">
        <f t="shared" si="753"/>
      </c>
      <c r="AA76" s="589">
        <f t="shared" si="753"/>
      </c>
      <c r="AB76" s="589">
        <f t="shared" si="753"/>
      </c>
      <c r="AC76" s="589">
        <f t="shared" si="753"/>
      </c>
      <c r="AD76" s="589">
        <f t="shared" si="753"/>
      </c>
      <c r="AE76" s="589">
        <f t="shared" si="753"/>
      </c>
      <c r="AF76" s="589">
        <f t="shared" si="753"/>
      </c>
      <c r="AG76" s="589">
        <f t="shared" si="753"/>
      </c>
      <c r="AH76" s="589">
        <f t="shared" si="753"/>
      </c>
      <c r="AI76" s="589">
        <f t="shared" ref="AI76:BN76" si="754">AI10/AH10-1</f>
      </c>
      <c r="AJ76" s="589">
        <f t="shared" si="754"/>
      </c>
      <c r="AK76" s="589">
        <f t="shared" si="754"/>
      </c>
      <c r="AL76" s="589">
        <f t="shared" si="754"/>
      </c>
      <c r="AM76" s="589">
        <f t="shared" si="754"/>
      </c>
      <c r="AN76" s="589">
        <f t="shared" si="754"/>
      </c>
      <c r="AO76" s="589">
        <f t="shared" si="754"/>
      </c>
      <c r="AP76" s="589">
        <f t="shared" si="754"/>
      </c>
      <c r="AQ76" s="589">
        <f t="shared" si="754"/>
      </c>
      <c r="AR76" s="589">
        <f t="shared" si="754"/>
      </c>
      <c r="AS76" s="589">
        <f t="shared" si="754"/>
      </c>
      <c r="AT76" s="589">
        <f t="shared" si="754"/>
      </c>
      <c r="AU76" s="589">
        <f t="shared" si="754"/>
      </c>
      <c r="AV76" s="589">
        <f t="shared" si="754"/>
      </c>
      <c r="AW76" s="589">
        <f t="shared" si="754"/>
      </c>
      <c r="AX76" s="589">
        <f t="shared" si="754"/>
      </c>
      <c r="AY76" s="589">
        <f t="shared" si="754"/>
      </c>
      <c r="AZ76" s="589">
        <f t="shared" si="754"/>
      </c>
      <c r="BA76" s="589">
        <f t="shared" si="754"/>
      </c>
      <c r="BB76" s="589">
        <f t="shared" si="754"/>
      </c>
      <c r="BC76" s="589">
        <f t="shared" si="754"/>
      </c>
      <c r="BD76" s="589">
        <f t="shared" si="754"/>
      </c>
      <c r="BE76" s="589">
        <f t="shared" si="754"/>
      </c>
      <c r="BF76" s="589">
        <f t="shared" si="754"/>
      </c>
      <c r="BG76" s="589">
        <f t="shared" si="754"/>
      </c>
      <c r="BH76" s="589">
        <f t="shared" si="754"/>
      </c>
      <c r="BI76" s="589">
        <f t="shared" si="754"/>
      </c>
      <c r="BJ76" s="589">
        <f t="shared" si="754"/>
      </c>
      <c r="BK76" s="589">
        <f t="shared" si="754"/>
      </c>
      <c r="BL76" s="589">
        <f t="shared" si="754"/>
      </c>
      <c r="BM76" s="589">
        <f t="shared" si="754"/>
      </c>
      <c r="BN76" s="589">
        <f t="shared" si="754"/>
      </c>
      <c r="BO76" s="589">
        <f t="shared" ref="BO76:CT76" si="755">BO10/BN10-1</f>
      </c>
      <c r="BP76" s="589">
        <f t="shared" si="755"/>
      </c>
      <c r="BQ76" s="590">
        <f t="shared" si="755"/>
      </c>
      <c r="BR76" s="589">
        <f t="shared" si="755"/>
      </c>
      <c r="BS76" s="589">
        <f t="shared" si="755"/>
      </c>
      <c r="BT76" s="589">
        <f t="shared" si="755"/>
      </c>
      <c r="BU76" s="590">
        <f t="shared" si="755"/>
      </c>
      <c r="BV76" s="589">
        <f t="shared" si="755"/>
      </c>
      <c r="BW76" s="589">
        <f t="shared" si="755"/>
      </c>
      <c r="BX76" s="589">
        <f t="shared" si="755"/>
      </c>
      <c r="BY76" s="590">
        <f t="shared" si="755"/>
      </c>
      <c r="BZ76" s="589">
        <f t="shared" si="755"/>
      </c>
      <c r="CA76" s="589">
        <f t="shared" si="755"/>
      </c>
      <c r="CB76" s="589">
        <f t="shared" si="755"/>
      </c>
      <c r="CC76" s="590">
        <f t="shared" si="755"/>
      </c>
      <c r="CD76" s="589">
        <f t="shared" si="755"/>
      </c>
      <c r="CE76" s="589">
        <f t="shared" si="755"/>
      </c>
      <c r="CF76" s="589">
        <f t="shared" si="755"/>
      </c>
      <c r="CG76" s="590">
        <f t="shared" si="755"/>
      </c>
      <c r="CH76" s="589">
        <f t="shared" si="755"/>
      </c>
      <c r="CI76" s="589">
        <f t="shared" si="755"/>
      </c>
      <c r="CJ76" s="589">
        <f t="shared" si="755"/>
      </c>
      <c r="CK76" s="590">
        <f t="shared" si="755"/>
      </c>
      <c r="CL76" s="589">
        <f t="shared" si="755"/>
      </c>
      <c r="CM76" s="589">
        <f t="shared" si="755"/>
      </c>
      <c r="CN76" s="589">
        <f t="shared" si="755"/>
      </c>
      <c r="CO76" s="590">
        <f t="shared" si="755"/>
      </c>
      <c r="CP76" s="589">
        <f t="shared" si="755"/>
      </c>
      <c r="CQ76" s="589">
        <f t="shared" si="755"/>
      </c>
      <c r="CR76" s="589">
        <f t="shared" si="755"/>
      </c>
      <c r="CS76" s="590">
        <f t="shared" si="755"/>
      </c>
      <c r="CT76" s="589">
        <f t="shared" si="755"/>
      </c>
      <c r="CU76" s="589">
        <f t="shared" ref="CU76:DU76" si="756">CU10/CT10-1</f>
      </c>
      <c r="CV76" s="589">
        <f t="shared" si="756"/>
      </c>
      <c r="CW76" s="590">
        <f t="shared" si="756"/>
      </c>
      <c r="CX76" s="589">
        <f t="shared" si="756"/>
      </c>
      <c r="CY76" s="589">
        <f t="shared" si="756"/>
      </c>
      <c r="CZ76" s="589">
        <f t="shared" si="756"/>
      </c>
      <c r="DA76" s="590">
        <f t="shared" si="756"/>
      </c>
      <c r="DB76" s="589">
        <f t="shared" si="756"/>
      </c>
      <c r="DC76" s="589">
        <f t="shared" si="756"/>
      </c>
      <c r="DD76" s="589">
        <f t="shared" si="756"/>
      </c>
      <c r="DE76" s="590">
        <f t="shared" si="756"/>
      </c>
      <c r="DF76" s="589">
        <f t="shared" si="756"/>
      </c>
      <c r="DG76" s="589">
        <f t="shared" si="756"/>
      </c>
      <c r="DH76" s="589">
        <f t="shared" si="756"/>
      </c>
      <c r="DI76" s="590">
        <f t="shared" si="756"/>
      </c>
      <c r="DJ76" s="589">
        <f t="shared" si="756"/>
      </c>
      <c r="DK76" s="589">
        <f t="shared" si="756"/>
      </c>
      <c r="DL76" s="589">
        <f t="shared" si="756"/>
      </c>
      <c r="DM76" s="590">
        <f t="shared" si="756"/>
      </c>
      <c r="DN76" s="589">
        <f t="shared" si="756"/>
      </c>
      <c r="DO76" s="589">
        <f t="shared" si="756"/>
      </c>
      <c r="DP76" s="589">
        <f t="shared" si="756"/>
      </c>
      <c r="DQ76" s="590">
        <f t="shared" si="756"/>
      </c>
      <c r="DR76" s="589">
        <f t="shared" si="756"/>
      </c>
      <c r="DS76" s="589">
        <f t="shared" si="756"/>
      </c>
      <c r="DT76" s="589">
        <f t="shared" si="756"/>
      </c>
      <c r="DU76" s="590">
        <f t="shared" si="756"/>
      </c>
      <c r="DV76" s="589">
        <f t="shared" si="737"/>
      </c>
      <c r="DW76" s="589">
        <f t="shared" si="738"/>
      </c>
      <c r="DX76" s="589">
        <f t="shared" si="739"/>
      </c>
      <c r="DY76" s="590">
        <f t="shared" si="740"/>
      </c>
      <c r="DZ76" s="589">
        <f t="shared" si="741"/>
      </c>
      <c r="EA76" s="589">
        <f t="shared" si="742"/>
      </c>
      <c r="EB76" s="589">
        <f t="shared" si="743"/>
      </c>
      <c r="EC76" s="590">
        <f t="shared" si="744"/>
      </c>
      <c r="ED76" s="589">
        <f t="shared" si="745"/>
      </c>
      <c r="EE76" s="589">
        <f t="shared" si="746"/>
      </c>
      <c r="EF76" s="589">
        <f t="shared" si="747"/>
      </c>
      <c r="EG76" s="590">
        <f t="shared" si="748"/>
      </c>
      <c r="EH76" s="589">
        <f t="shared" si="749"/>
      </c>
      <c r="EI76" s="589">
        <f t="shared" si="750"/>
      </c>
      <c r="EJ76" s="589">
        <f t="shared" si="751"/>
      </c>
      <c r="EK76" s="590">
        <f t="shared" si="752"/>
      </c>
      <c r="EL76" s="11"/>
      <c r="FD76" s="66"/>
      <c r="FE76" s="66"/>
      <c r="FF76" s="66"/>
      <c r="FG76" s="66"/>
      <c r="FH76" s="66"/>
    </row>
    <row r="77" spans="1:212" s="17" customFormat="1">
      <c r="A77" s="637" t="str">
        <f t="shared" si="732"/>
      </c>
      <c r="B77" s="594"/>
      <c r="C77" s="594">
        <f t="shared" ref="C77:AH77" si="757">C11/B11-1</f>
      </c>
      <c r="D77" s="594">
        <f t="shared" si="757"/>
      </c>
      <c r="E77" s="631">
        <f t="shared" si="757"/>
      </c>
      <c r="F77" s="594">
        <f t="shared" si="757"/>
      </c>
      <c r="G77" s="594">
        <f t="shared" si="757"/>
      </c>
      <c r="H77" s="594">
        <f t="shared" si="757"/>
      </c>
      <c r="I77" s="594">
        <f t="shared" si="757"/>
      </c>
      <c r="J77" s="594">
        <f t="shared" si="757"/>
      </c>
      <c r="K77" s="594">
        <f t="shared" si="757"/>
      </c>
      <c r="L77" s="594">
        <f t="shared" si="757"/>
      </c>
      <c r="M77" s="594">
        <f t="shared" si="757"/>
      </c>
      <c r="N77" s="594">
        <f t="shared" si="757"/>
      </c>
      <c r="O77" s="594">
        <f t="shared" si="757"/>
      </c>
      <c r="P77" s="594">
        <f t="shared" si="757"/>
      </c>
      <c r="Q77" s="594">
        <f t="shared" si="757"/>
      </c>
      <c r="R77" s="594">
        <f t="shared" si="757"/>
      </c>
      <c r="S77" s="594">
        <f t="shared" si="757"/>
      </c>
      <c r="T77" s="594">
        <f t="shared" si="757"/>
      </c>
      <c r="U77" s="594">
        <f t="shared" si="757"/>
      </c>
      <c r="V77" s="594">
        <f t="shared" si="757"/>
      </c>
      <c r="W77" s="594">
        <f t="shared" si="757"/>
      </c>
      <c r="X77" s="594">
        <f t="shared" si="757"/>
      </c>
      <c r="Y77" s="594">
        <f t="shared" si="757"/>
      </c>
      <c r="Z77" s="594">
        <f t="shared" si="757"/>
      </c>
      <c r="AA77" s="594">
        <f t="shared" si="757"/>
      </c>
      <c r="AB77" s="594">
        <f t="shared" si="757"/>
      </c>
      <c r="AC77" s="594">
        <f t="shared" si="757"/>
      </c>
      <c r="AD77" s="594">
        <f t="shared" si="757"/>
      </c>
      <c r="AE77" s="594">
        <f t="shared" si="757"/>
      </c>
      <c r="AF77" s="594">
        <f t="shared" si="757"/>
      </c>
      <c r="AG77" s="594">
        <f t="shared" si="757"/>
      </c>
      <c r="AH77" s="594">
        <f t="shared" si="757"/>
      </c>
      <c r="AI77" s="594">
        <f t="shared" ref="AI77:BN77" si="758">AI11/AH11-1</f>
      </c>
      <c r="AJ77" s="594">
        <f t="shared" si="758"/>
      </c>
      <c r="AK77" s="594">
        <f t="shared" si="758"/>
      </c>
      <c r="AL77" s="594">
        <f t="shared" si="758"/>
      </c>
      <c r="AM77" s="594">
        <f t="shared" si="758"/>
      </c>
      <c r="AN77" s="594">
        <f t="shared" si="758"/>
      </c>
      <c r="AO77" s="594">
        <f t="shared" si="758"/>
      </c>
      <c r="AP77" s="594">
        <f t="shared" si="758"/>
      </c>
      <c r="AQ77" s="594">
        <f t="shared" si="758"/>
      </c>
      <c r="AR77" s="594">
        <f t="shared" si="758"/>
      </c>
      <c r="AS77" s="594">
        <f t="shared" si="758"/>
      </c>
      <c r="AT77" s="594">
        <f t="shared" si="758"/>
      </c>
      <c r="AU77" s="594">
        <f t="shared" si="758"/>
      </c>
      <c r="AV77" s="594">
        <f t="shared" si="758"/>
      </c>
      <c r="AW77" s="594">
        <f t="shared" si="758"/>
      </c>
      <c r="AX77" s="594">
        <f t="shared" si="758"/>
      </c>
      <c r="AY77" s="594">
        <f t="shared" si="758"/>
      </c>
      <c r="AZ77" s="594">
        <f t="shared" si="758"/>
      </c>
      <c r="BA77" s="594">
        <f t="shared" si="758"/>
      </c>
      <c r="BB77" s="594">
        <f t="shared" si="758"/>
      </c>
      <c r="BC77" s="594">
        <f t="shared" si="758"/>
      </c>
      <c r="BD77" s="594">
        <f t="shared" si="758"/>
      </c>
      <c r="BE77" s="594">
        <f t="shared" si="758"/>
      </c>
      <c r="BF77" s="594">
        <f t="shared" si="758"/>
      </c>
      <c r="BG77" s="594">
        <f t="shared" si="758"/>
      </c>
      <c r="BH77" s="594">
        <f t="shared" si="758"/>
      </c>
      <c r="BI77" s="594">
        <f t="shared" si="758"/>
      </c>
      <c r="BJ77" s="594">
        <f t="shared" si="758"/>
      </c>
      <c r="BK77" s="594">
        <f t="shared" si="758"/>
      </c>
      <c r="BL77" s="594">
        <f t="shared" si="758"/>
      </c>
      <c r="BM77" s="594">
        <f t="shared" si="758"/>
      </c>
      <c r="BN77" s="594">
        <f t="shared" si="758"/>
      </c>
      <c r="BO77" s="594">
        <f t="shared" ref="BO77:CT77" si="759">BO11/BN11-1</f>
      </c>
      <c r="BP77" s="594">
        <f t="shared" si="759"/>
      </c>
      <c r="BQ77" s="595">
        <f t="shared" si="759"/>
      </c>
      <c r="BR77" s="594">
        <f t="shared" si="759"/>
      </c>
      <c r="BS77" s="594">
        <f t="shared" si="759"/>
      </c>
      <c r="BT77" s="594">
        <f t="shared" si="759"/>
      </c>
      <c r="BU77" s="595">
        <f t="shared" si="759"/>
      </c>
      <c r="BV77" s="594">
        <f t="shared" si="759"/>
      </c>
      <c r="BW77" s="594">
        <f t="shared" si="759"/>
      </c>
      <c r="BX77" s="594">
        <f t="shared" si="759"/>
      </c>
      <c r="BY77" s="595">
        <f t="shared" si="759"/>
      </c>
      <c r="BZ77" s="594">
        <f t="shared" si="759"/>
      </c>
      <c r="CA77" s="594">
        <f t="shared" si="759"/>
      </c>
      <c r="CB77" s="594">
        <f t="shared" si="759"/>
      </c>
      <c r="CC77" s="595">
        <f t="shared" si="759"/>
      </c>
      <c r="CD77" s="594">
        <f t="shared" si="759"/>
      </c>
      <c r="CE77" s="594">
        <f t="shared" si="759"/>
      </c>
      <c r="CF77" s="594">
        <f t="shared" si="759"/>
      </c>
      <c r="CG77" s="595">
        <f t="shared" si="759"/>
      </c>
      <c r="CH77" s="594">
        <f t="shared" si="759"/>
      </c>
      <c r="CI77" s="594">
        <f t="shared" si="759"/>
      </c>
      <c r="CJ77" s="594">
        <f t="shared" si="759"/>
      </c>
      <c r="CK77" s="595">
        <f t="shared" si="759"/>
      </c>
      <c r="CL77" s="594">
        <f t="shared" si="759"/>
      </c>
      <c r="CM77" s="594">
        <f t="shared" si="759"/>
      </c>
      <c r="CN77" s="594">
        <f t="shared" si="759"/>
      </c>
      <c r="CO77" s="595">
        <f t="shared" si="759"/>
      </c>
      <c r="CP77" s="594">
        <f t="shared" si="759"/>
      </c>
      <c r="CQ77" s="594">
        <f t="shared" si="759"/>
      </c>
      <c r="CR77" s="594">
        <f t="shared" si="759"/>
      </c>
      <c r="CS77" s="595">
        <f t="shared" si="759"/>
      </c>
      <c r="CT77" s="594">
        <f t="shared" si="759"/>
      </c>
      <c r="CU77" s="594">
        <f t="shared" ref="CU77:DU77" si="760">CU11/CT11-1</f>
      </c>
      <c r="CV77" s="594">
        <f t="shared" si="760"/>
      </c>
      <c r="CW77" s="595">
        <f t="shared" si="760"/>
      </c>
      <c r="CX77" s="594">
        <f t="shared" si="760"/>
      </c>
      <c r="CY77" s="594">
        <f t="shared" si="760"/>
      </c>
      <c r="CZ77" s="594">
        <f t="shared" si="760"/>
      </c>
      <c r="DA77" s="595">
        <f t="shared" si="760"/>
      </c>
      <c r="DB77" s="594">
        <f t="shared" si="760"/>
      </c>
      <c r="DC77" s="594">
        <f t="shared" si="760"/>
      </c>
      <c r="DD77" s="594">
        <f t="shared" si="760"/>
      </c>
      <c r="DE77" s="595">
        <f t="shared" si="760"/>
      </c>
      <c r="DF77" s="594">
        <f t="shared" si="760"/>
      </c>
      <c r="DG77" s="594">
        <f t="shared" si="760"/>
      </c>
      <c r="DH77" s="594">
        <f t="shared" si="760"/>
      </c>
      <c r="DI77" s="595">
        <f t="shared" si="760"/>
      </c>
      <c r="DJ77" s="594">
        <f t="shared" si="760"/>
      </c>
      <c r="DK77" s="594">
        <f t="shared" si="760"/>
      </c>
      <c r="DL77" s="594">
        <f t="shared" si="760"/>
      </c>
      <c r="DM77" s="595">
        <f t="shared" si="760"/>
      </c>
      <c r="DN77" s="594">
        <f t="shared" si="760"/>
      </c>
      <c r="DO77" s="594">
        <f t="shared" si="760"/>
      </c>
      <c r="DP77" s="594">
        <f t="shared" si="760"/>
      </c>
      <c r="DQ77" s="595">
        <f t="shared" si="760"/>
      </c>
      <c r="DR77" s="594">
        <f t="shared" si="760"/>
      </c>
      <c r="DS77" s="594">
        <f t="shared" si="760"/>
      </c>
      <c r="DT77" s="594">
        <f t="shared" si="760"/>
      </c>
      <c r="DU77" s="595">
        <f t="shared" si="760"/>
      </c>
      <c r="DV77" s="594">
        <f t="shared" si="737"/>
      </c>
      <c r="DW77" s="594">
        <f t="shared" si="738"/>
      </c>
      <c r="DX77" s="594">
        <f t="shared" si="739"/>
      </c>
      <c r="DY77" s="595">
        <f t="shared" si="740"/>
      </c>
      <c r="DZ77" s="594">
        <f t="shared" si="741"/>
      </c>
      <c r="EA77" s="594">
        <f t="shared" si="742"/>
      </c>
      <c r="EB77" s="594">
        <f t="shared" si="743"/>
      </c>
      <c r="EC77" s="595">
        <f t="shared" si="744"/>
      </c>
      <c r="ED77" s="594">
        <f t="shared" si="745"/>
      </c>
      <c r="EE77" s="594">
        <f t="shared" si="746"/>
      </c>
      <c r="EF77" s="594">
        <f t="shared" si="747"/>
      </c>
      <c r="EG77" s="595">
        <f t="shared" si="748"/>
      </c>
      <c r="EH77" s="594">
        <f t="shared" si="749"/>
      </c>
      <c r="EI77" s="594">
        <f t="shared" si="750"/>
      </c>
      <c r="EJ77" s="594">
        <f t="shared" si="751"/>
      </c>
      <c r="EK77" s="595">
        <f t="shared" si="752"/>
      </c>
      <c r="EL77" s="11"/>
      <c r="FD77" s="66"/>
      <c r="FE77" s="66"/>
      <c r="FF77" s="66"/>
      <c r="FG77" s="66"/>
      <c r="FH77" s="66"/>
    </row>
    <row r="78" spans="1:212" s="17" customFormat="1">
      <c r="A78" s="629" t="str">
        <f t="shared" si="732"/>
      </c>
      <c r="B78" s="589"/>
      <c r="C78" s="589">
        <f t="shared" ref="C78:AH78" si="761">C12/B12-1</f>
      </c>
      <c r="D78" s="589">
        <f t="shared" si="761"/>
      </c>
      <c r="E78" s="630">
        <f t="shared" si="761"/>
      </c>
      <c r="F78" s="589">
        <f t="shared" si="761"/>
      </c>
      <c r="G78" s="589">
        <f t="shared" si="761"/>
      </c>
      <c r="H78" s="589">
        <f t="shared" si="761"/>
      </c>
      <c r="I78" s="589">
        <f t="shared" si="761"/>
      </c>
      <c r="J78" s="589">
        <f t="shared" si="761"/>
      </c>
      <c r="K78" s="589">
        <f t="shared" si="761"/>
      </c>
      <c r="L78" s="589">
        <f t="shared" si="761"/>
      </c>
      <c r="M78" s="589">
        <f t="shared" si="761"/>
      </c>
      <c r="N78" s="589">
        <f t="shared" si="761"/>
      </c>
      <c r="O78" s="589">
        <f t="shared" si="761"/>
      </c>
      <c r="P78" s="589">
        <f t="shared" si="761"/>
      </c>
      <c r="Q78" s="589">
        <f t="shared" si="761"/>
      </c>
      <c r="R78" s="589">
        <f t="shared" si="761"/>
      </c>
      <c r="S78" s="589">
        <f t="shared" si="761"/>
      </c>
      <c r="T78" s="589">
        <f t="shared" si="761"/>
      </c>
      <c r="U78" s="589">
        <f t="shared" si="761"/>
      </c>
      <c r="V78" s="589">
        <f t="shared" si="761"/>
      </c>
      <c r="W78" s="589">
        <f t="shared" si="761"/>
      </c>
      <c r="X78" s="589">
        <f t="shared" si="761"/>
      </c>
      <c r="Y78" s="589">
        <f t="shared" si="761"/>
      </c>
      <c r="Z78" s="589">
        <f t="shared" si="761"/>
      </c>
      <c r="AA78" s="589">
        <f t="shared" si="761"/>
      </c>
      <c r="AB78" s="589">
        <f t="shared" si="761"/>
      </c>
      <c r="AC78" s="589">
        <f t="shared" si="761"/>
      </c>
      <c r="AD78" s="589">
        <f t="shared" si="761"/>
      </c>
      <c r="AE78" s="589">
        <f t="shared" si="761"/>
      </c>
      <c r="AF78" s="589">
        <f t="shared" si="761"/>
      </c>
      <c r="AG78" s="589">
        <f t="shared" si="761"/>
      </c>
      <c r="AH78" s="589">
        <f t="shared" si="761"/>
      </c>
      <c r="AI78" s="589">
        <f t="shared" ref="AI78:BN78" si="762">AI12/AH12-1</f>
      </c>
      <c r="AJ78" s="589">
        <f t="shared" si="762"/>
      </c>
      <c r="AK78" s="589">
        <f t="shared" si="762"/>
      </c>
      <c r="AL78" s="589">
        <f t="shared" si="762"/>
      </c>
      <c r="AM78" s="589">
        <f t="shared" si="762"/>
      </c>
      <c r="AN78" s="589">
        <f t="shared" si="762"/>
      </c>
      <c r="AO78" s="589">
        <f t="shared" si="762"/>
      </c>
      <c r="AP78" s="589">
        <f t="shared" si="762"/>
      </c>
      <c r="AQ78" s="589">
        <f t="shared" si="762"/>
      </c>
      <c r="AR78" s="589">
        <f t="shared" si="762"/>
      </c>
      <c r="AS78" s="589">
        <f t="shared" si="762"/>
      </c>
      <c r="AT78" s="589">
        <f t="shared" si="762"/>
      </c>
      <c r="AU78" s="589">
        <f t="shared" si="762"/>
      </c>
      <c r="AV78" s="589">
        <f t="shared" si="762"/>
      </c>
      <c r="AW78" s="589">
        <f t="shared" si="762"/>
      </c>
      <c r="AX78" s="589">
        <f t="shared" si="762"/>
      </c>
      <c r="AY78" s="589">
        <f t="shared" si="762"/>
      </c>
      <c r="AZ78" s="589">
        <f t="shared" si="762"/>
      </c>
      <c r="BA78" s="589">
        <f t="shared" si="762"/>
      </c>
      <c r="BB78" s="589">
        <f t="shared" si="762"/>
      </c>
      <c r="BC78" s="589">
        <f t="shared" si="762"/>
      </c>
      <c r="BD78" s="589">
        <f t="shared" si="762"/>
      </c>
      <c r="BE78" s="589">
        <f t="shared" si="762"/>
      </c>
      <c r="BF78" s="589">
        <f t="shared" si="762"/>
      </c>
      <c r="BG78" s="589">
        <f t="shared" si="762"/>
      </c>
      <c r="BH78" s="589">
        <f t="shared" si="762"/>
      </c>
      <c r="BI78" s="589">
        <f t="shared" si="762"/>
      </c>
      <c r="BJ78" s="589">
        <f t="shared" si="762"/>
      </c>
      <c r="BK78" s="589">
        <f t="shared" si="762"/>
      </c>
      <c r="BL78" s="589">
        <f t="shared" si="762"/>
      </c>
      <c r="BM78" s="589">
        <f t="shared" si="762"/>
      </c>
      <c r="BN78" s="589">
        <f t="shared" si="762"/>
      </c>
      <c r="BO78" s="589">
        <f t="shared" ref="BO78:CT78" si="763">BO12/BN12-1</f>
      </c>
      <c r="BP78" s="589">
        <f t="shared" si="763"/>
      </c>
      <c r="BQ78" s="590">
        <f t="shared" si="763"/>
      </c>
      <c r="BR78" s="589">
        <f t="shared" si="763"/>
      </c>
      <c r="BS78" s="589">
        <f t="shared" si="763"/>
      </c>
      <c r="BT78" s="589">
        <f t="shared" si="763"/>
      </c>
      <c r="BU78" s="590">
        <f t="shared" si="763"/>
      </c>
      <c r="BV78" s="589">
        <f t="shared" si="763"/>
      </c>
      <c r="BW78" s="589">
        <f t="shared" si="763"/>
      </c>
      <c r="BX78" s="589">
        <f t="shared" si="763"/>
      </c>
      <c r="BY78" s="590">
        <f t="shared" si="763"/>
      </c>
      <c r="BZ78" s="589">
        <f t="shared" si="763"/>
      </c>
      <c r="CA78" s="589">
        <f t="shared" si="763"/>
      </c>
      <c r="CB78" s="589">
        <f t="shared" si="763"/>
      </c>
      <c r="CC78" s="590">
        <f t="shared" si="763"/>
      </c>
      <c r="CD78" s="589">
        <f t="shared" si="763"/>
      </c>
      <c r="CE78" s="589">
        <f t="shared" si="763"/>
      </c>
      <c r="CF78" s="589">
        <f t="shared" si="763"/>
      </c>
      <c r="CG78" s="590">
        <f t="shared" si="763"/>
      </c>
      <c r="CH78" s="589">
        <f t="shared" si="763"/>
      </c>
      <c r="CI78" s="589">
        <f t="shared" si="763"/>
      </c>
      <c r="CJ78" s="589">
        <f t="shared" si="763"/>
      </c>
      <c r="CK78" s="590">
        <f t="shared" si="763"/>
      </c>
      <c r="CL78" s="589">
        <f t="shared" si="763"/>
      </c>
      <c r="CM78" s="589">
        <f t="shared" si="763"/>
      </c>
      <c r="CN78" s="589">
        <f t="shared" si="763"/>
      </c>
      <c r="CO78" s="590">
        <f t="shared" si="763"/>
      </c>
      <c r="CP78" s="589">
        <f t="shared" si="763"/>
      </c>
      <c r="CQ78" s="589">
        <f t="shared" si="763"/>
      </c>
      <c r="CR78" s="589">
        <f t="shared" si="763"/>
      </c>
      <c r="CS78" s="590">
        <f t="shared" si="763"/>
      </c>
      <c r="CT78" s="589">
        <f t="shared" si="763"/>
      </c>
      <c r="CU78" s="589">
        <f t="shared" ref="CU78:DU78" si="764">CU12/CT12-1</f>
      </c>
      <c r="CV78" s="589">
        <f t="shared" si="764"/>
      </c>
      <c r="CW78" s="590">
        <f t="shared" si="764"/>
      </c>
      <c r="CX78" s="589">
        <f t="shared" si="764"/>
      </c>
      <c r="CY78" s="589">
        <f t="shared" si="764"/>
      </c>
      <c r="CZ78" s="589">
        <f t="shared" si="764"/>
      </c>
      <c r="DA78" s="590">
        <f t="shared" si="764"/>
      </c>
      <c r="DB78" s="589">
        <f t="shared" si="764"/>
      </c>
      <c r="DC78" s="589">
        <f t="shared" si="764"/>
      </c>
      <c r="DD78" s="589">
        <f t="shared" si="764"/>
      </c>
      <c r="DE78" s="590">
        <f t="shared" si="764"/>
      </c>
      <c r="DF78" s="589">
        <f t="shared" si="764"/>
      </c>
      <c r="DG78" s="589">
        <f t="shared" si="764"/>
      </c>
      <c r="DH78" s="589">
        <f t="shared" si="764"/>
      </c>
      <c r="DI78" s="590">
        <f t="shared" si="764"/>
      </c>
      <c r="DJ78" s="589">
        <f t="shared" si="764"/>
      </c>
      <c r="DK78" s="589">
        <f t="shared" si="764"/>
      </c>
      <c r="DL78" s="589">
        <f t="shared" si="764"/>
      </c>
      <c r="DM78" s="590">
        <f t="shared" si="764"/>
      </c>
      <c r="DN78" s="589">
        <f t="shared" si="764"/>
      </c>
      <c r="DO78" s="589">
        <f t="shared" si="764"/>
      </c>
      <c r="DP78" s="589">
        <f t="shared" si="764"/>
      </c>
      <c r="DQ78" s="590">
        <f t="shared" si="764"/>
      </c>
      <c r="DR78" s="589">
        <f t="shared" si="764"/>
      </c>
      <c r="DS78" s="589">
        <f t="shared" si="764"/>
      </c>
      <c r="DT78" s="589">
        <f t="shared" si="764"/>
      </c>
      <c r="DU78" s="590">
        <f t="shared" si="764"/>
      </c>
      <c r="DV78" s="589">
        <f t="shared" si="737"/>
      </c>
      <c r="DW78" s="589">
        <f t="shared" si="738"/>
      </c>
      <c r="DX78" s="589">
        <f t="shared" si="739"/>
      </c>
      <c r="DY78" s="590">
        <f t="shared" si="740"/>
      </c>
      <c r="DZ78" s="589">
        <f t="shared" si="741"/>
      </c>
      <c r="EA78" s="589">
        <f t="shared" si="742"/>
      </c>
      <c r="EB78" s="589">
        <f t="shared" si="743"/>
      </c>
      <c r="EC78" s="590">
        <f t="shared" si="744"/>
      </c>
      <c r="ED78" s="589">
        <f t="shared" si="745"/>
      </c>
      <c r="EE78" s="589">
        <f t="shared" si="746"/>
      </c>
      <c r="EF78" s="589">
        <f t="shared" si="747"/>
      </c>
      <c r="EG78" s="590">
        <f t="shared" si="748"/>
      </c>
      <c r="EH78" s="589">
        <f t="shared" si="749"/>
      </c>
      <c r="EI78" s="589">
        <f t="shared" si="750"/>
      </c>
      <c r="EJ78" s="589">
        <f t="shared" si="751"/>
      </c>
      <c r="EK78" s="590">
        <f t="shared" si="752"/>
      </c>
      <c r="EL78" s="11"/>
      <c r="FD78" s="66"/>
      <c r="FE78" s="66"/>
      <c r="FF78" s="66"/>
      <c r="FG78" s="66"/>
      <c r="FH78" s="66"/>
    </row>
    <row r="79" spans="1:212" s="17" customFormat="1">
      <c r="A79" s="629" t="str">
        <f t="shared" si="732"/>
      </c>
      <c r="B79" s="589"/>
      <c r="C79" s="589">
        <f t="shared" ref="C79:AH79" si="765">C13/B13-1</f>
      </c>
      <c r="D79" s="589">
        <f t="shared" si="765"/>
      </c>
      <c r="E79" s="630">
        <f t="shared" si="765"/>
      </c>
      <c r="F79" s="589">
        <f t="shared" si="765"/>
      </c>
      <c r="G79" s="589">
        <f t="shared" si="765"/>
      </c>
      <c r="H79" s="589">
        <f t="shared" si="765"/>
      </c>
      <c r="I79" s="589">
        <f t="shared" si="765"/>
      </c>
      <c r="J79" s="589">
        <f t="shared" si="765"/>
      </c>
      <c r="K79" s="589">
        <f t="shared" si="765"/>
      </c>
      <c r="L79" s="589">
        <f t="shared" si="765"/>
      </c>
      <c r="M79" s="589">
        <f t="shared" si="765"/>
      </c>
      <c r="N79" s="589">
        <f t="shared" si="765"/>
      </c>
      <c r="O79" s="589">
        <f t="shared" si="765"/>
      </c>
      <c r="P79" s="589">
        <f t="shared" si="765"/>
      </c>
      <c r="Q79" s="589">
        <f t="shared" si="765"/>
      </c>
      <c r="R79" s="589">
        <f t="shared" si="765"/>
      </c>
      <c r="S79" s="589">
        <f t="shared" si="765"/>
      </c>
      <c r="T79" s="589">
        <f t="shared" si="765"/>
      </c>
      <c r="U79" s="589">
        <f t="shared" si="765"/>
      </c>
      <c r="V79" s="589">
        <f t="shared" si="765"/>
      </c>
      <c r="W79" s="589">
        <f t="shared" si="765"/>
      </c>
      <c r="X79" s="589">
        <f t="shared" si="765"/>
      </c>
      <c r="Y79" s="589">
        <f t="shared" si="765"/>
      </c>
      <c r="Z79" s="589">
        <f t="shared" si="765"/>
      </c>
      <c r="AA79" s="589">
        <f t="shared" si="765"/>
      </c>
      <c r="AB79" s="589">
        <f t="shared" si="765"/>
      </c>
      <c r="AC79" s="589">
        <f t="shared" si="765"/>
      </c>
      <c r="AD79" s="589">
        <f t="shared" si="765"/>
      </c>
      <c r="AE79" s="589">
        <f t="shared" si="765"/>
      </c>
      <c r="AF79" s="589">
        <f t="shared" si="765"/>
      </c>
      <c r="AG79" s="589">
        <f t="shared" si="765"/>
      </c>
      <c r="AH79" s="589">
        <f t="shared" si="765"/>
      </c>
      <c r="AI79" s="589">
        <f t="shared" ref="AI79:BN79" si="766">AI13/AH13-1</f>
      </c>
      <c r="AJ79" s="589">
        <f t="shared" si="766"/>
      </c>
      <c r="AK79" s="589">
        <f t="shared" si="766"/>
      </c>
      <c r="AL79" s="589">
        <f t="shared" si="766"/>
      </c>
      <c r="AM79" s="589">
        <f t="shared" si="766"/>
      </c>
      <c r="AN79" s="589">
        <f t="shared" si="766"/>
      </c>
      <c r="AO79" s="589">
        <f t="shared" si="766"/>
      </c>
      <c r="AP79" s="589">
        <f t="shared" si="766"/>
      </c>
      <c r="AQ79" s="589">
        <f t="shared" si="766"/>
      </c>
      <c r="AR79" s="589">
        <f t="shared" si="766"/>
      </c>
      <c r="AS79" s="589">
        <f t="shared" si="766"/>
      </c>
      <c r="AT79" s="589">
        <f t="shared" si="766"/>
      </c>
      <c r="AU79" s="589">
        <f t="shared" si="766"/>
      </c>
      <c r="AV79" s="589">
        <f t="shared" si="766"/>
      </c>
      <c r="AW79" s="589">
        <f t="shared" si="766"/>
      </c>
      <c r="AX79" s="589">
        <f t="shared" si="766"/>
      </c>
      <c r="AY79" s="589">
        <f t="shared" si="766"/>
      </c>
      <c r="AZ79" s="589">
        <f t="shared" si="766"/>
      </c>
      <c r="BA79" s="589">
        <f t="shared" si="766"/>
      </c>
      <c r="BB79" s="589">
        <f t="shared" si="766"/>
      </c>
      <c r="BC79" s="589">
        <f t="shared" si="766"/>
      </c>
      <c r="BD79" s="589">
        <f t="shared" si="766"/>
      </c>
      <c r="BE79" s="589">
        <f t="shared" si="766"/>
      </c>
      <c r="BF79" s="589">
        <f t="shared" si="766"/>
      </c>
      <c r="BG79" s="589">
        <f t="shared" si="766"/>
      </c>
      <c r="BH79" s="589">
        <f t="shared" si="766"/>
      </c>
      <c r="BI79" s="589">
        <f t="shared" si="766"/>
      </c>
      <c r="BJ79" s="589">
        <f t="shared" si="766"/>
      </c>
      <c r="BK79" s="589">
        <f t="shared" si="766"/>
      </c>
      <c r="BL79" s="589">
        <f t="shared" si="766"/>
      </c>
      <c r="BM79" s="589">
        <f t="shared" si="766"/>
      </c>
      <c r="BN79" s="589">
        <f t="shared" si="766"/>
      </c>
      <c r="BO79" s="589">
        <f t="shared" ref="BO79:CT79" si="767">BO13/BN13-1</f>
      </c>
      <c r="BP79" s="589">
        <f t="shared" si="767"/>
      </c>
      <c r="BQ79" s="590">
        <f t="shared" si="767"/>
      </c>
      <c r="BR79" s="589">
        <f t="shared" si="767"/>
      </c>
      <c r="BS79" s="589">
        <f t="shared" si="767"/>
      </c>
      <c r="BT79" s="589">
        <f t="shared" si="767"/>
      </c>
      <c r="BU79" s="590">
        <f t="shared" si="767"/>
      </c>
      <c r="BV79" s="589">
        <f t="shared" si="767"/>
      </c>
      <c r="BW79" s="589">
        <f t="shared" si="767"/>
      </c>
      <c r="BX79" s="589">
        <f t="shared" si="767"/>
      </c>
      <c r="BY79" s="590">
        <f t="shared" si="767"/>
      </c>
      <c r="BZ79" s="589">
        <f t="shared" si="767"/>
      </c>
      <c r="CA79" s="589">
        <f t="shared" si="767"/>
      </c>
      <c r="CB79" s="589">
        <f t="shared" si="767"/>
      </c>
      <c r="CC79" s="590">
        <f t="shared" si="767"/>
      </c>
      <c r="CD79" s="589">
        <f t="shared" si="767"/>
      </c>
      <c r="CE79" s="589">
        <f t="shared" si="767"/>
      </c>
      <c r="CF79" s="589">
        <f t="shared" si="767"/>
      </c>
      <c r="CG79" s="590">
        <f t="shared" si="767"/>
      </c>
      <c r="CH79" s="589">
        <f t="shared" si="767"/>
      </c>
      <c r="CI79" s="589">
        <f t="shared" si="767"/>
      </c>
      <c r="CJ79" s="589">
        <f t="shared" si="767"/>
      </c>
      <c r="CK79" s="590">
        <f t="shared" si="767"/>
      </c>
      <c r="CL79" s="589">
        <f t="shared" si="767"/>
      </c>
      <c r="CM79" s="589">
        <f t="shared" si="767"/>
      </c>
      <c r="CN79" s="589">
        <f t="shared" si="767"/>
      </c>
      <c r="CO79" s="590">
        <f t="shared" si="767"/>
      </c>
      <c r="CP79" s="589">
        <f t="shared" si="767"/>
      </c>
      <c r="CQ79" s="589">
        <f t="shared" si="767"/>
      </c>
      <c r="CR79" s="589">
        <f t="shared" si="767"/>
      </c>
      <c r="CS79" s="590">
        <f t="shared" si="767"/>
      </c>
      <c r="CT79" s="589">
        <f t="shared" si="767"/>
      </c>
      <c r="CU79" s="589">
        <f t="shared" ref="CU79:DU79" si="768">CU13/CT13-1</f>
      </c>
      <c r="CV79" s="589">
        <f t="shared" si="768"/>
      </c>
      <c r="CW79" s="590">
        <f t="shared" si="768"/>
      </c>
      <c r="CX79" s="589">
        <f t="shared" si="768"/>
      </c>
      <c r="CY79" s="589">
        <f t="shared" si="768"/>
      </c>
      <c r="CZ79" s="589">
        <f t="shared" si="768"/>
      </c>
      <c r="DA79" s="590">
        <f t="shared" si="768"/>
      </c>
      <c r="DB79" s="589">
        <f t="shared" si="768"/>
      </c>
      <c r="DC79" s="589">
        <f t="shared" si="768"/>
      </c>
      <c r="DD79" s="589">
        <f t="shared" si="768"/>
      </c>
      <c r="DE79" s="590">
        <f t="shared" si="768"/>
      </c>
      <c r="DF79" s="589">
        <f t="shared" si="768"/>
      </c>
      <c r="DG79" s="589">
        <f t="shared" si="768"/>
      </c>
      <c r="DH79" s="589">
        <f t="shared" si="768"/>
      </c>
      <c r="DI79" s="590">
        <f t="shared" si="768"/>
      </c>
      <c r="DJ79" s="589">
        <f t="shared" si="768"/>
      </c>
      <c r="DK79" s="589">
        <f t="shared" si="768"/>
      </c>
      <c r="DL79" s="589">
        <f t="shared" si="768"/>
      </c>
      <c r="DM79" s="590">
        <f t="shared" si="768"/>
      </c>
      <c r="DN79" s="589">
        <f t="shared" si="768"/>
      </c>
      <c r="DO79" s="589">
        <f t="shared" si="768"/>
      </c>
      <c r="DP79" s="589">
        <f t="shared" si="768"/>
      </c>
      <c r="DQ79" s="590">
        <f t="shared" si="768"/>
      </c>
      <c r="DR79" s="589">
        <f t="shared" si="768"/>
      </c>
      <c r="DS79" s="589">
        <f t="shared" si="768"/>
      </c>
      <c r="DT79" s="589">
        <f t="shared" si="768"/>
      </c>
      <c r="DU79" s="590">
        <f t="shared" si="768"/>
      </c>
      <c r="DV79" s="589">
        <f t="shared" si="737"/>
      </c>
      <c r="DW79" s="589">
        <f t="shared" si="738"/>
      </c>
      <c r="DX79" s="589">
        <f t="shared" si="739"/>
      </c>
      <c r="DY79" s="590">
        <f t="shared" si="740"/>
      </c>
      <c r="DZ79" s="589">
        <f t="shared" si="741"/>
      </c>
      <c r="EA79" s="589">
        <f t="shared" si="742"/>
      </c>
      <c r="EB79" s="589">
        <f t="shared" si="743"/>
      </c>
      <c r="EC79" s="590">
        <f t="shared" si="744"/>
      </c>
      <c r="ED79" s="589">
        <f t="shared" si="745"/>
      </c>
      <c r="EE79" s="589">
        <f t="shared" si="746"/>
      </c>
      <c r="EF79" s="589">
        <f t="shared" si="747"/>
      </c>
      <c r="EG79" s="590">
        <f t="shared" si="748"/>
      </c>
      <c r="EH79" s="589">
        <f t="shared" si="749"/>
      </c>
      <c r="EI79" s="589">
        <f t="shared" si="750"/>
      </c>
      <c r="EJ79" s="589">
        <f t="shared" si="751"/>
      </c>
      <c r="EK79" s="590">
        <f t="shared" si="752"/>
      </c>
      <c r="EL79" s="11"/>
      <c r="FD79" s="66"/>
      <c r="FE79" s="66"/>
      <c r="FF79" s="66"/>
      <c r="FG79" s="66"/>
      <c r="FH79" s="66"/>
    </row>
    <row r="80" spans="1:212" s="17" customFormat="1">
      <c r="A80" s="638" t="str">
        <f t="shared" si="732"/>
      </c>
      <c r="B80" s="596"/>
      <c r="C80" s="596">
        <f t="shared" ref="C80:AH80" si="769">C14/B14-1</f>
      </c>
      <c r="D80" s="596">
        <f t="shared" si="769"/>
      </c>
      <c r="E80" s="632">
        <f t="shared" si="769"/>
      </c>
      <c r="F80" s="596">
        <f t="shared" si="769"/>
      </c>
      <c r="G80" s="596">
        <f t="shared" si="769"/>
      </c>
      <c r="H80" s="596">
        <f t="shared" si="769"/>
      </c>
      <c r="I80" s="596">
        <f t="shared" si="769"/>
      </c>
      <c r="J80" s="596">
        <f t="shared" si="769"/>
      </c>
      <c r="K80" s="596">
        <f t="shared" si="769"/>
      </c>
      <c r="L80" s="596">
        <f t="shared" si="769"/>
      </c>
      <c r="M80" s="596">
        <f t="shared" si="769"/>
      </c>
      <c r="N80" s="596">
        <f t="shared" si="769"/>
      </c>
      <c r="O80" s="596">
        <f t="shared" si="769"/>
      </c>
      <c r="P80" s="596">
        <f t="shared" si="769"/>
      </c>
      <c r="Q80" s="596">
        <f t="shared" si="769"/>
      </c>
      <c r="R80" s="596">
        <f t="shared" si="769"/>
      </c>
      <c r="S80" s="596">
        <f t="shared" si="769"/>
      </c>
      <c r="T80" s="596">
        <f t="shared" si="769"/>
      </c>
      <c r="U80" s="596">
        <f t="shared" si="769"/>
      </c>
      <c r="V80" s="596">
        <f t="shared" si="769"/>
      </c>
      <c r="W80" s="596">
        <f t="shared" si="769"/>
      </c>
      <c r="X80" s="596">
        <f t="shared" si="769"/>
      </c>
      <c r="Y80" s="596">
        <f t="shared" si="769"/>
      </c>
      <c r="Z80" s="596">
        <f t="shared" si="769"/>
      </c>
      <c r="AA80" s="596">
        <f t="shared" si="769"/>
      </c>
      <c r="AB80" s="596">
        <f t="shared" si="769"/>
      </c>
      <c r="AC80" s="596">
        <f t="shared" si="769"/>
      </c>
      <c r="AD80" s="596">
        <f t="shared" si="769"/>
      </c>
      <c r="AE80" s="596">
        <f t="shared" si="769"/>
      </c>
      <c r="AF80" s="596">
        <f t="shared" si="769"/>
      </c>
      <c r="AG80" s="596">
        <f t="shared" si="769"/>
      </c>
      <c r="AH80" s="596">
        <f t="shared" si="769"/>
      </c>
      <c r="AI80" s="596">
        <f t="shared" ref="AI80:BN80" si="770">AI14/AH14-1</f>
      </c>
      <c r="AJ80" s="596">
        <f t="shared" si="770"/>
      </c>
      <c r="AK80" s="596">
        <f t="shared" si="770"/>
      </c>
      <c r="AL80" s="596">
        <f t="shared" si="770"/>
      </c>
      <c r="AM80" s="596">
        <f t="shared" si="770"/>
      </c>
      <c r="AN80" s="596">
        <f t="shared" si="770"/>
      </c>
      <c r="AO80" s="596">
        <f t="shared" si="770"/>
      </c>
      <c r="AP80" s="596">
        <f t="shared" si="770"/>
      </c>
      <c r="AQ80" s="596">
        <f t="shared" si="770"/>
      </c>
      <c r="AR80" s="596">
        <f t="shared" si="770"/>
      </c>
      <c r="AS80" s="596">
        <f t="shared" si="770"/>
      </c>
      <c r="AT80" s="596">
        <f t="shared" si="770"/>
      </c>
      <c r="AU80" s="596">
        <f t="shared" si="770"/>
      </c>
      <c r="AV80" s="596">
        <f t="shared" si="770"/>
      </c>
      <c r="AW80" s="596">
        <f t="shared" si="770"/>
      </c>
      <c r="AX80" s="596">
        <f t="shared" si="770"/>
      </c>
      <c r="AY80" s="596">
        <f t="shared" si="770"/>
      </c>
      <c r="AZ80" s="596">
        <f t="shared" si="770"/>
      </c>
      <c r="BA80" s="596">
        <f t="shared" si="770"/>
      </c>
      <c r="BB80" s="596">
        <f t="shared" si="770"/>
      </c>
      <c r="BC80" s="596">
        <f t="shared" si="770"/>
      </c>
      <c r="BD80" s="596">
        <f t="shared" si="770"/>
      </c>
      <c r="BE80" s="596">
        <f t="shared" si="770"/>
      </c>
      <c r="BF80" s="596">
        <f t="shared" si="770"/>
      </c>
      <c r="BG80" s="596">
        <f t="shared" si="770"/>
      </c>
      <c r="BH80" s="596">
        <f t="shared" si="770"/>
      </c>
      <c r="BI80" s="596">
        <f t="shared" si="770"/>
      </c>
      <c r="BJ80" s="596">
        <f t="shared" si="770"/>
      </c>
      <c r="BK80" s="596">
        <f t="shared" si="770"/>
      </c>
      <c r="BL80" s="596">
        <f t="shared" si="770"/>
      </c>
      <c r="BM80" s="596">
        <f t="shared" si="770"/>
      </c>
      <c r="BN80" s="596">
        <f t="shared" si="770"/>
      </c>
      <c r="BO80" s="596">
        <f t="shared" ref="BO80:CT80" si="771">BO14/BN14-1</f>
      </c>
      <c r="BP80" s="596">
        <f t="shared" si="771"/>
      </c>
      <c r="BQ80" s="597">
        <f t="shared" si="771"/>
      </c>
      <c r="BR80" s="596">
        <f t="shared" si="771"/>
      </c>
      <c r="BS80" s="596">
        <f t="shared" si="771"/>
      </c>
      <c r="BT80" s="596">
        <f t="shared" si="771"/>
      </c>
      <c r="BU80" s="597">
        <f t="shared" si="771"/>
      </c>
      <c r="BV80" s="596">
        <f t="shared" si="771"/>
      </c>
      <c r="BW80" s="596">
        <f t="shared" si="771"/>
      </c>
      <c r="BX80" s="596">
        <f t="shared" si="771"/>
      </c>
      <c r="BY80" s="597">
        <f t="shared" si="771"/>
      </c>
      <c r="BZ80" s="596">
        <f t="shared" si="771"/>
      </c>
      <c r="CA80" s="596">
        <f t="shared" si="771"/>
      </c>
      <c r="CB80" s="596">
        <f t="shared" si="771"/>
      </c>
      <c r="CC80" s="597">
        <f t="shared" si="771"/>
      </c>
      <c r="CD80" s="596">
        <f t="shared" si="771"/>
      </c>
      <c r="CE80" s="596">
        <f t="shared" si="771"/>
      </c>
      <c r="CF80" s="596">
        <f t="shared" si="771"/>
      </c>
      <c r="CG80" s="597">
        <f t="shared" si="771"/>
      </c>
      <c r="CH80" s="596">
        <f t="shared" si="771"/>
      </c>
      <c r="CI80" s="596">
        <f t="shared" si="771"/>
      </c>
      <c r="CJ80" s="596">
        <f t="shared" si="771"/>
      </c>
      <c r="CK80" s="597">
        <f t="shared" si="771"/>
      </c>
      <c r="CL80" s="596">
        <f t="shared" si="771"/>
      </c>
      <c r="CM80" s="596">
        <f t="shared" si="771"/>
      </c>
      <c r="CN80" s="596">
        <f t="shared" si="771"/>
      </c>
      <c r="CO80" s="597">
        <f t="shared" si="771"/>
      </c>
      <c r="CP80" s="596">
        <f t="shared" si="771"/>
      </c>
      <c r="CQ80" s="596">
        <f t="shared" si="771"/>
      </c>
      <c r="CR80" s="596">
        <f t="shared" si="771"/>
      </c>
      <c r="CS80" s="597">
        <f t="shared" si="771"/>
      </c>
      <c r="CT80" s="596">
        <f t="shared" si="771"/>
      </c>
      <c r="CU80" s="596">
        <f t="shared" ref="CU80:DU80" si="772">CU14/CT14-1</f>
      </c>
      <c r="CV80" s="596">
        <f t="shared" si="772"/>
      </c>
      <c r="CW80" s="597">
        <f t="shared" si="772"/>
      </c>
      <c r="CX80" s="596">
        <f t="shared" si="772"/>
      </c>
      <c r="CY80" s="596">
        <f t="shared" si="772"/>
      </c>
      <c r="CZ80" s="596">
        <f t="shared" si="772"/>
      </c>
      <c r="DA80" s="597">
        <f t="shared" si="772"/>
      </c>
      <c r="DB80" s="596">
        <f t="shared" si="772"/>
      </c>
      <c r="DC80" s="596">
        <f t="shared" si="772"/>
      </c>
      <c r="DD80" s="596">
        <f t="shared" si="772"/>
      </c>
      <c r="DE80" s="597">
        <f t="shared" si="772"/>
      </c>
      <c r="DF80" s="596">
        <f t="shared" si="772"/>
      </c>
      <c r="DG80" s="596">
        <f>DG14/DF14-1</f>
      </c>
      <c r="DH80" s="596">
        <f t="shared" si="772"/>
      </c>
      <c r="DI80" s="597">
        <f t="shared" si="772"/>
      </c>
      <c r="DJ80" s="596">
        <f t="shared" si="772"/>
      </c>
      <c r="DK80" s="596">
        <f t="shared" si="772"/>
      </c>
      <c r="DL80" s="596">
        <f t="shared" si="772"/>
      </c>
      <c r="DM80" s="597">
        <f t="shared" si="772"/>
      </c>
      <c r="DN80" s="596">
        <f t="shared" si="772"/>
      </c>
      <c r="DO80" s="596">
        <f t="shared" si="772"/>
      </c>
      <c r="DP80" s="596">
        <f t="shared" si="772"/>
      </c>
      <c r="DQ80" s="597">
        <f t="shared" si="772"/>
      </c>
      <c r="DR80" s="596">
        <f t="shared" si="772"/>
      </c>
      <c r="DS80" s="596">
        <f t="shared" si="772"/>
      </c>
      <c r="DT80" s="596">
        <f t="shared" si="772"/>
      </c>
      <c r="DU80" s="597">
        <f t="shared" si="772"/>
      </c>
      <c r="DV80" s="596">
        <f t="shared" si="737"/>
      </c>
      <c r="DW80" s="596">
        <f t="shared" si="738"/>
      </c>
      <c r="DX80" s="596">
        <f t="shared" si="739"/>
      </c>
      <c r="DY80" s="597">
        <f t="shared" si="740"/>
      </c>
      <c r="DZ80" s="596">
        <f t="shared" si="741"/>
      </c>
      <c r="EA80" s="596">
        <f t="shared" si="742"/>
      </c>
      <c r="EB80" s="596">
        <f t="shared" si="743"/>
      </c>
      <c r="EC80" s="597">
        <f t="shared" si="744"/>
      </c>
      <c r="ED80" s="596">
        <f t="shared" si="745"/>
      </c>
      <c r="EE80" s="596">
        <f t="shared" si="746"/>
      </c>
      <c r="EF80" s="596">
        <f t="shared" si="747"/>
      </c>
      <c r="EG80" s="597">
        <f t="shared" si="748"/>
      </c>
      <c r="EH80" s="596">
        <f t="shared" si="749"/>
      </c>
      <c r="EI80" s="596">
        <f t="shared" si="750"/>
      </c>
      <c r="EJ80" s="596">
        <f t="shared" si="751"/>
      </c>
      <c r="EK80" s="597">
        <f t="shared" si="752"/>
      </c>
      <c r="EL80" s="11"/>
      <c r="FD80" s="66"/>
      <c r="FE80" s="66"/>
      <c r="FF80" s="66"/>
      <c r="FG80" s="66"/>
      <c r="FH80" s="66"/>
    </row>
    <row r="81" spans="1:212" s="17" customFormat="1">
      <c r="A81" s="637" t="str">
        <f t="shared" si="732"/>
      </c>
      <c r="B81" s="594"/>
      <c r="C81" s="594">
        <f t="shared" ref="C81:AH81" si="773">C15/B15-1</f>
      </c>
      <c r="D81" s="594">
        <f t="shared" si="773"/>
      </c>
      <c r="E81" s="631">
        <f t="shared" si="773"/>
      </c>
      <c r="F81" s="594">
        <f t="shared" si="773"/>
      </c>
      <c r="G81" s="594">
        <f t="shared" si="773"/>
      </c>
      <c r="H81" s="594">
        <f t="shared" si="773"/>
      </c>
      <c r="I81" s="594">
        <f t="shared" si="773"/>
      </c>
      <c r="J81" s="594">
        <f t="shared" si="773"/>
      </c>
      <c r="K81" s="594">
        <f t="shared" si="773"/>
      </c>
      <c r="L81" s="594">
        <f t="shared" si="773"/>
      </c>
      <c r="M81" s="594">
        <f t="shared" si="773"/>
      </c>
      <c r="N81" s="594">
        <f t="shared" si="773"/>
      </c>
      <c r="O81" s="594">
        <f t="shared" si="773"/>
      </c>
      <c r="P81" s="594">
        <f t="shared" si="773"/>
      </c>
      <c r="Q81" s="594">
        <f t="shared" si="773"/>
      </c>
      <c r="R81" s="594">
        <f t="shared" si="773"/>
      </c>
      <c r="S81" s="594">
        <f t="shared" si="773"/>
      </c>
      <c r="T81" s="594">
        <f t="shared" si="773"/>
      </c>
      <c r="U81" s="594">
        <f t="shared" si="773"/>
      </c>
      <c r="V81" s="594">
        <f t="shared" si="773"/>
      </c>
      <c r="W81" s="594">
        <f t="shared" si="773"/>
      </c>
      <c r="X81" s="594">
        <f t="shared" si="773"/>
      </c>
      <c r="Y81" s="594">
        <f t="shared" si="773"/>
      </c>
      <c r="Z81" s="594">
        <f t="shared" si="773"/>
      </c>
      <c r="AA81" s="594">
        <f t="shared" si="773"/>
      </c>
      <c r="AB81" s="594">
        <f t="shared" si="773"/>
      </c>
      <c r="AC81" s="594">
        <f t="shared" si="773"/>
      </c>
      <c r="AD81" s="594">
        <f t="shared" si="773"/>
      </c>
      <c r="AE81" s="594">
        <f t="shared" si="773"/>
      </c>
      <c r="AF81" s="594">
        <f t="shared" si="773"/>
      </c>
      <c r="AG81" s="594">
        <f t="shared" si="773"/>
      </c>
      <c r="AH81" s="594">
        <f t="shared" si="773"/>
      </c>
      <c r="AI81" s="594">
        <f t="shared" ref="AI81:BN81" si="774">AI15/AH15-1</f>
      </c>
      <c r="AJ81" s="594">
        <f t="shared" si="774"/>
      </c>
      <c r="AK81" s="594">
        <f t="shared" si="774"/>
      </c>
      <c r="AL81" s="594">
        <f t="shared" si="774"/>
      </c>
      <c r="AM81" s="594">
        <f t="shared" si="774"/>
      </c>
      <c r="AN81" s="594">
        <f t="shared" si="774"/>
      </c>
      <c r="AO81" s="594">
        <f t="shared" si="774"/>
      </c>
      <c r="AP81" s="594">
        <f t="shared" si="774"/>
      </c>
      <c r="AQ81" s="594">
        <f t="shared" si="774"/>
      </c>
      <c r="AR81" s="594">
        <f t="shared" si="774"/>
      </c>
      <c r="AS81" s="594">
        <f t="shared" si="774"/>
      </c>
      <c r="AT81" s="594">
        <f t="shared" si="774"/>
      </c>
      <c r="AU81" s="594">
        <f t="shared" si="774"/>
      </c>
      <c r="AV81" s="594">
        <f t="shared" si="774"/>
      </c>
      <c r="AW81" s="594">
        <f t="shared" si="774"/>
      </c>
      <c r="AX81" s="594">
        <f t="shared" si="774"/>
      </c>
      <c r="AY81" s="594">
        <f t="shared" si="774"/>
      </c>
      <c r="AZ81" s="594">
        <f t="shared" si="774"/>
      </c>
      <c r="BA81" s="594">
        <f t="shared" si="774"/>
      </c>
      <c r="BB81" s="594">
        <f t="shared" si="774"/>
      </c>
      <c r="BC81" s="594">
        <f t="shared" si="774"/>
      </c>
      <c r="BD81" s="594">
        <f t="shared" si="774"/>
      </c>
      <c r="BE81" s="594">
        <f t="shared" si="774"/>
      </c>
      <c r="BF81" s="594">
        <f t="shared" si="774"/>
      </c>
      <c r="BG81" s="594">
        <f t="shared" si="774"/>
      </c>
      <c r="BH81" s="594">
        <f t="shared" si="774"/>
      </c>
      <c r="BI81" s="594">
        <f t="shared" si="774"/>
      </c>
      <c r="BJ81" s="594">
        <f t="shared" si="774"/>
      </c>
      <c r="BK81" s="594">
        <f t="shared" si="774"/>
      </c>
      <c r="BL81" s="594">
        <f t="shared" si="774"/>
      </c>
      <c r="BM81" s="594">
        <f t="shared" si="774"/>
      </c>
      <c r="BN81" s="594">
        <f t="shared" si="774"/>
      </c>
      <c r="BO81" s="594">
        <f t="shared" ref="BO81:CT81" si="775">BO15/BN15-1</f>
      </c>
      <c r="BP81" s="594">
        <f t="shared" si="775"/>
      </c>
      <c r="BQ81" s="595">
        <f t="shared" si="775"/>
      </c>
      <c r="BR81" s="594">
        <f t="shared" si="775"/>
      </c>
      <c r="BS81" s="594">
        <f t="shared" si="775"/>
      </c>
      <c r="BT81" s="594">
        <f t="shared" si="775"/>
      </c>
      <c r="BU81" s="595">
        <f t="shared" si="775"/>
      </c>
      <c r="BV81" s="594">
        <f t="shared" si="775"/>
      </c>
      <c r="BW81" s="594">
        <f t="shared" si="775"/>
      </c>
      <c r="BX81" s="594">
        <f t="shared" si="775"/>
      </c>
      <c r="BY81" s="595">
        <f t="shared" si="775"/>
      </c>
      <c r="BZ81" s="594">
        <f t="shared" si="775"/>
      </c>
      <c r="CA81" s="594">
        <f t="shared" si="775"/>
      </c>
      <c r="CB81" s="594">
        <f t="shared" si="775"/>
      </c>
      <c r="CC81" s="595">
        <f t="shared" si="775"/>
      </c>
      <c r="CD81" s="594">
        <f t="shared" si="775"/>
      </c>
      <c r="CE81" s="594">
        <f t="shared" si="775"/>
      </c>
      <c r="CF81" s="594">
        <f t="shared" si="775"/>
      </c>
      <c r="CG81" s="595">
        <f t="shared" si="775"/>
      </c>
      <c r="CH81" s="594">
        <f t="shared" si="775"/>
      </c>
      <c r="CI81" s="594">
        <f t="shared" si="775"/>
      </c>
      <c r="CJ81" s="594">
        <f t="shared" si="775"/>
      </c>
      <c r="CK81" s="595">
        <f t="shared" si="775"/>
      </c>
      <c r="CL81" s="594">
        <f t="shared" si="775"/>
      </c>
      <c r="CM81" s="594">
        <f t="shared" si="775"/>
      </c>
      <c r="CN81" s="594">
        <f t="shared" si="775"/>
      </c>
      <c r="CO81" s="595">
        <f t="shared" si="775"/>
      </c>
      <c r="CP81" s="594">
        <f t="shared" si="775"/>
      </c>
      <c r="CQ81" s="594">
        <f t="shared" si="775"/>
      </c>
      <c r="CR81" s="594">
        <f t="shared" si="775"/>
      </c>
      <c r="CS81" s="595">
        <f t="shared" si="775"/>
      </c>
      <c r="CT81" s="594">
        <f t="shared" si="775"/>
      </c>
      <c r="CU81" s="594">
        <f t="shared" ref="CU81:DU81" si="776">CU15/CT15-1</f>
      </c>
      <c r="CV81" s="594">
        <f t="shared" si="776"/>
      </c>
      <c r="CW81" s="595">
        <f t="shared" si="776"/>
      </c>
      <c r="CX81" s="594">
        <f t="shared" si="776"/>
      </c>
      <c r="CY81" s="594">
        <f t="shared" si="776"/>
      </c>
      <c r="CZ81" s="594">
        <f t="shared" si="776"/>
      </c>
      <c r="DA81" s="595">
        <f t="shared" si="776"/>
      </c>
      <c r="DB81" s="594">
        <f t="shared" si="776"/>
      </c>
      <c r="DC81" s="594">
        <f t="shared" si="776"/>
      </c>
      <c r="DD81" s="594">
        <f t="shared" si="776"/>
      </c>
      <c r="DE81" s="595">
        <f t="shared" si="776"/>
      </c>
      <c r="DF81" s="594">
        <f t="shared" si="776"/>
      </c>
      <c r="DG81" s="594">
        <f t="shared" si="776"/>
      </c>
      <c r="DH81" s="594">
        <f t="shared" si="776"/>
      </c>
      <c r="DI81" s="595">
        <f t="shared" si="776"/>
      </c>
      <c r="DJ81" s="594">
        <f t="shared" si="776"/>
      </c>
      <c r="DK81" s="594">
        <f t="shared" si="776"/>
      </c>
      <c r="DL81" s="594">
        <f t="shared" si="776"/>
      </c>
      <c r="DM81" s="595">
        <f t="shared" si="776"/>
      </c>
      <c r="DN81" s="594">
        <f t="shared" si="776"/>
      </c>
      <c r="DO81" s="594">
        <f t="shared" si="776"/>
      </c>
      <c r="DP81" s="594">
        <f t="shared" si="776"/>
      </c>
      <c r="DQ81" s="595">
        <f t="shared" si="776"/>
      </c>
      <c r="DR81" s="594">
        <f t="shared" si="776"/>
      </c>
      <c r="DS81" s="594">
        <f t="shared" si="776"/>
      </c>
      <c r="DT81" s="594">
        <f t="shared" si="776"/>
      </c>
      <c r="DU81" s="595">
        <f t="shared" si="776"/>
      </c>
      <c r="DV81" s="594">
        <f t="shared" si="737"/>
      </c>
      <c r="DW81" s="594">
        <f t="shared" si="738"/>
      </c>
      <c r="DX81" s="594">
        <f t="shared" si="739"/>
      </c>
      <c r="DY81" s="595">
        <f t="shared" si="740"/>
      </c>
      <c r="DZ81" s="594">
        <f t="shared" si="741"/>
      </c>
      <c r="EA81" s="594">
        <f t="shared" si="742"/>
      </c>
      <c r="EB81" s="594">
        <f t="shared" si="743"/>
      </c>
      <c r="EC81" s="595">
        <f t="shared" si="744"/>
      </c>
      <c r="ED81" s="594">
        <f t="shared" si="745"/>
      </c>
      <c r="EE81" s="594">
        <f t="shared" si="746"/>
      </c>
      <c r="EF81" s="594">
        <f t="shared" si="747"/>
      </c>
      <c r="EG81" s="595">
        <f t="shared" si="748"/>
      </c>
      <c r="EH81" s="594">
        <f t="shared" si="749"/>
      </c>
      <c r="EI81" s="594">
        <f t="shared" si="750"/>
      </c>
      <c r="EJ81" s="594">
        <f t="shared" si="751"/>
      </c>
      <c r="EK81" s="595">
        <f t="shared" si="752"/>
      </c>
      <c r="EL81" s="11"/>
      <c r="FD81" s="66"/>
      <c r="FE81" s="66"/>
      <c r="FF81" s="66"/>
      <c r="FG81" s="66"/>
      <c r="FH81" s="66"/>
    </row>
    <row r="82" spans="1:212" s="17" customFormat="1">
      <c r="A82" s="629" t="str">
        <f t="shared" si="732"/>
      </c>
      <c r="B82" s="589"/>
      <c r="C82" s="589">
        <f t="shared" ref="C82:AH82" si="777">C16/B16-1</f>
      </c>
      <c r="D82" s="589">
        <f t="shared" si="777"/>
      </c>
      <c r="E82" s="630">
        <f t="shared" si="777"/>
      </c>
      <c r="F82" s="589">
        <f t="shared" si="777"/>
      </c>
      <c r="G82" s="589">
        <f t="shared" si="777"/>
      </c>
      <c r="H82" s="589">
        <f t="shared" si="777"/>
      </c>
      <c r="I82" s="589">
        <f t="shared" si="777"/>
      </c>
      <c r="J82" s="589">
        <f t="shared" si="777"/>
      </c>
      <c r="K82" s="589">
        <f t="shared" si="777"/>
      </c>
      <c r="L82" s="589">
        <f t="shared" si="777"/>
      </c>
      <c r="M82" s="589">
        <f t="shared" si="777"/>
      </c>
      <c r="N82" s="589">
        <f t="shared" si="777"/>
      </c>
      <c r="O82" s="589">
        <f t="shared" si="777"/>
      </c>
      <c r="P82" s="589">
        <f t="shared" si="777"/>
      </c>
      <c r="Q82" s="589">
        <f t="shared" si="777"/>
      </c>
      <c r="R82" s="589">
        <f t="shared" si="777"/>
      </c>
      <c r="S82" s="589">
        <f t="shared" si="777"/>
      </c>
      <c r="T82" s="589">
        <f t="shared" si="777"/>
      </c>
      <c r="U82" s="589">
        <f t="shared" si="777"/>
      </c>
      <c r="V82" s="589">
        <f t="shared" si="777"/>
      </c>
      <c r="W82" s="589">
        <f t="shared" si="777"/>
      </c>
      <c r="X82" s="589">
        <f t="shared" si="777"/>
      </c>
      <c r="Y82" s="589">
        <f t="shared" si="777"/>
      </c>
      <c r="Z82" s="589">
        <f t="shared" si="777"/>
      </c>
      <c r="AA82" s="589">
        <f t="shared" si="777"/>
      </c>
      <c r="AB82" s="589">
        <f t="shared" si="777"/>
      </c>
      <c r="AC82" s="589">
        <f t="shared" si="777"/>
      </c>
      <c r="AD82" s="589">
        <f t="shared" si="777"/>
      </c>
      <c r="AE82" s="589">
        <f t="shared" si="777"/>
      </c>
      <c r="AF82" s="589">
        <f t="shared" si="777"/>
      </c>
      <c r="AG82" s="589">
        <f t="shared" si="777"/>
      </c>
      <c r="AH82" s="589">
        <f t="shared" si="777"/>
      </c>
      <c r="AI82" s="589">
        <f t="shared" ref="AI82:BN82" si="778">AI16/AH16-1</f>
      </c>
      <c r="AJ82" s="589">
        <f t="shared" si="778"/>
      </c>
      <c r="AK82" s="589">
        <f t="shared" si="778"/>
      </c>
      <c r="AL82" s="589">
        <f t="shared" si="778"/>
      </c>
      <c r="AM82" s="589">
        <f t="shared" si="778"/>
      </c>
      <c r="AN82" s="589">
        <f t="shared" si="778"/>
      </c>
      <c r="AO82" s="589">
        <f t="shared" si="778"/>
      </c>
      <c r="AP82" s="589">
        <f t="shared" si="778"/>
      </c>
      <c r="AQ82" s="589">
        <f t="shared" si="778"/>
      </c>
      <c r="AR82" s="589">
        <f t="shared" si="778"/>
      </c>
      <c r="AS82" s="589">
        <f t="shared" si="778"/>
      </c>
      <c r="AT82" s="589">
        <f t="shared" si="778"/>
      </c>
      <c r="AU82" s="589">
        <f t="shared" si="778"/>
      </c>
      <c r="AV82" s="589">
        <f t="shared" si="778"/>
      </c>
      <c r="AW82" s="589">
        <f t="shared" si="778"/>
      </c>
      <c r="AX82" s="589">
        <f t="shared" si="778"/>
      </c>
      <c r="AY82" s="589">
        <f t="shared" si="778"/>
      </c>
      <c r="AZ82" s="589">
        <f t="shared" si="778"/>
      </c>
      <c r="BA82" s="589">
        <f t="shared" si="778"/>
      </c>
      <c r="BB82" s="589">
        <f t="shared" si="778"/>
      </c>
      <c r="BC82" s="589">
        <f t="shared" si="778"/>
      </c>
      <c r="BD82" s="589">
        <f t="shared" si="778"/>
      </c>
      <c r="BE82" s="589">
        <f t="shared" si="778"/>
      </c>
      <c r="BF82" s="589">
        <f t="shared" si="778"/>
      </c>
      <c r="BG82" s="589">
        <f t="shared" si="778"/>
      </c>
      <c r="BH82" s="589">
        <f t="shared" si="778"/>
      </c>
      <c r="BI82" s="589">
        <f t="shared" si="778"/>
      </c>
      <c r="BJ82" s="589">
        <f t="shared" si="778"/>
      </c>
      <c r="BK82" s="589">
        <f t="shared" si="778"/>
      </c>
      <c r="BL82" s="589">
        <f t="shared" si="778"/>
      </c>
      <c r="BM82" s="589">
        <f t="shared" si="778"/>
      </c>
      <c r="BN82" s="589">
        <f t="shared" si="778"/>
      </c>
      <c r="BO82" s="589">
        <f t="shared" ref="BO82:CT82" si="779">BO16/BN16-1</f>
      </c>
      <c r="BP82" s="589">
        <f t="shared" si="779"/>
      </c>
      <c r="BQ82" s="590">
        <f t="shared" si="779"/>
      </c>
      <c r="BR82" s="589">
        <f t="shared" si="779"/>
      </c>
      <c r="BS82" s="589">
        <f t="shared" si="779"/>
      </c>
      <c r="BT82" s="589">
        <f t="shared" si="779"/>
      </c>
      <c r="BU82" s="590">
        <f t="shared" si="779"/>
      </c>
      <c r="BV82" s="589">
        <f t="shared" si="779"/>
      </c>
      <c r="BW82" s="589">
        <f t="shared" si="779"/>
      </c>
      <c r="BX82" s="589">
        <f t="shared" si="779"/>
      </c>
      <c r="BY82" s="590">
        <f t="shared" si="779"/>
      </c>
      <c r="BZ82" s="589">
        <f t="shared" si="779"/>
      </c>
      <c r="CA82" s="589">
        <f t="shared" si="779"/>
      </c>
      <c r="CB82" s="589">
        <f t="shared" si="779"/>
      </c>
      <c r="CC82" s="590">
        <f t="shared" si="779"/>
      </c>
      <c r="CD82" s="589">
        <f t="shared" si="779"/>
      </c>
      <c r="CE82" s="589">
        <f t="shared" si="779"/>
      </c>
      <c r="CF82" s="589">
        <f t="shared" si="779"/>
      </c>
      <c r="CG82" s="590">
        <f t="shared" si="779"/>
      </c>
      <c r="CH82" s="589">
        <f t="shared" si="779"/>
      </c>
      <c r="CI82" s="589">
        <f t="shared" si="779"/>
      </c>
      <c r="CJ82" s="589">
        <f t="shared" si="779"/>
      </c>
      <c r="CK82" s="590">
        <f t="shared" si="779"/>
      </c>
      <c r="CL82" s="589">
        <f t="shared" si="779"/>
      </c>
      <c r="CM82" s="589">
        <f t="shared" si="779"/>
      </c>
      <c r="CN82" s="589">
        <f t="shared" si="779"/>
      </c>
      <c r="CO82" s="590">
        <f t="shared" si="779"/>
      </c>
      <c r="CP82" s="589">
        <f t="shared" si="779"/>
      </c>
      <c r="CQ82" s="589">
        <f t="shared" si="779"/>
      </c>
      <c r="CR82" s="589">
        <f t="shared" si="779"/>
      </c>
      <c r="CS82" s="590">
        <f t="shared" si="779"/>
      </c>
      <c r="CT82" s="589">
        <f t="shared" si="779"/>
      </c>
      <c r="CU82" s="589">
        <f t="shared" ref="CU82:DU82" si="780">CU16/CT16-1</f>
      </c>
      <c r="CV82" s="589">
        <f t="shared" si="780"/>
      </c>
      <c r="CW82" s="590">
        <f t="shared" si="780"/>
      </c>
      <c r="CX82" s="589">
        <f t="shared" si="780"/>
      </c>
      <c r="CY82" s="589">
        <f t="shared" si="780"/>
      </c>
      <c r="CZ82" s="589">
        <f t="shared" si="780"/>
      </c>
      <c r="DA82" s="590">
        <f t="shared" si="780"/>
      </c>
      <c r="DB82" s="589">
        <f t="shared" si="780"/>
      </c>
      <c r="DC82" s="589">
        <f t="shared" si="780"/>
      </c>
      <c r="DD82" s="589">
        <f t="shared" si="780"/>
      </c>
      <c r="DE82" s="590">
        <f t="shared" si="780"/>
      </c>
      <c r="DF82" s="589">
        <f t="shared" si="780"/>
      </c>
      <c r="DG82" s="589">
        <f t="shared" si="780"/>
      </c>
      <c r="DH82" s="589">
        <f t="shared" si="780"/>
      </c>
      <c r="DI82" s="590">
        <f t="shared" si="780"/>
      </c>
      <c r="DJ82" s="589">
        <f t="shared" si="780"/>
      </c>
      <c r="DK82" s="589">
        <f t="shared" si="780"/>
      </c>
      <c r="DL82" s="589">
        <f t="shared" si="780"/>
      </c>
      <c r="DM82" s="590">
        <f t="shared" si="780"/>
      </c>
      <c r="DN82" s="589">
        <f t="shared" si="780"/>
      </c>
      <c r="DO82" s="589">
        <f t="shared" si="780"/>
      </c>
      <c r="DP82" s="589">
        <f t="shared" si="780"/>
      </c>
      <c r="DQ82" s="590">
        <f t="shared" si="780"/>
      </c>
      <c r="DR82" s="589">
        <f t="shared" si="780"/>
      </c>
      <c r="DS82" s="589">
        <f t="shared" si="780"/>
      </c>
      <c r="DT82" s="589">
        <f t="shared" si="780"/>
      </c>
      <c r="DU82" s="590">
        <f t="shared" si="780"/>
      </c>
      <c r="DV82" s="589">
        <f t="shared" si="737"/>
      </c>
      <c r="DW82" s="589">
        <f t="shared" si="738"/>
      </c>
      <c r="DX82" s="589">
        <f t="shared" si="739"/>
      </c>
      <c r="DY82" s="590">
        <f t="shared" si="740"/>
      </c>
      <c r="DZ82" s="589">
        <f t="shared" si="741"/>
      </c>
      <c r="EA82" s="589">
        <f t="shared" si="742"/>
      </c>
      <c r="EB82" s="589">
        <f t="shared" si="743"/>
      </c>
      <c r="EC82" s="590">
        <f t="shared" si="744"/>
      </c>
      <c r="ED82" s="589">
        <f t="shared" si="745"/>
      </c>
      <c r="EE82" s="589">
        <f t="shared" si="746"/>
      </c>
      <c r="EF82" s="589">
        <f t="shared" si="747"/>
      </c>
      <c r="EG82" s="590">
        <f t="shared" si="748"/>
      </c>
      <c r="EH82" s="589">
        <f t="shared" si="749"/>
      </c>
      <c r="EI82" s="589">
        <f t="shared" si="750"/>
      </c>
      <c r="EJ82" s="589">
        <f t="shared" si="751"/>
      </c>
      <c r="EK82" s="590">
        <f t="shared" si="752"/>
      </c>
      <c r="EL82" s="11"/>
      <c r="FD82" s="66"/>
      <c r="FE82" s="66"/>
      <c r="FF82" s="66"/>
      <c r="FG82" s="66"/>
      <c r="FH82" s="66"/>
    </row>
    <row r="83" spans="1:212" s="17" customFormat="1">
      <c r="A83" s="639" t="str">
        <f t="shared" si="732"/>
      </c>
      <c r="B83" s="601"/>
      <c r="C83" s="601">
        <f t="shared" ref="C83:AH83" si="781">C17/B17-1</f>
      </c>
      <c r="D83" s="601">
        <f t="shared" si="781"/>
      </c>
      <c r="E83" s="633">
        <f t="shared" si="781"/>
      </c>
      <c r="F83" s="601">
        <f t="shared" si="781"/>
      </c>
      <c r="G83" s="601">
        <f t="shared" si="781"/>
      </c>
      <c r="H83" s="601">
        <f t="shared" si="781"/>
      </c>
      <c r="I83" s="601">
        <f t="shared" si="781"/>
      </c>
      <c r="J83" s="601">
        <f t="shared" si="781"/>
      </c>
      <c r="K83" s="601">
        <f t="shared" si="781"/>
      </c>
      <c r="L83" s="601">
        <f t="shared" si="781"/>
      </c>
      <c r="M83" s="601">
        <f t="shared" si="781"/>
      </c>
      <c r="N83" s="601">
        <f t="shared" si="781"/>
      </c>
      <c r="O83" s="601">
        <f t="shared" si="781"/>
      </c>
      <c r="P83" s="601">
        <f t="shared" si="781"/>
      </c>
      <c r="Q83" s="601">
        <f t="shared" si="781"/>
      </c>
      <c r="R83" s="601">
        <f t="shared" si="781"/>
      </c>
      <c r="S83" s="601">
        <f t="shared" si="781"/>
      </c>
      <c r="T83" s="601">
        <f t="shared" si="781"/>
      </c>
      <c r="U83" s="601">
        <f t="shared" si="781"/>
      </c>
      <c r="V83" s="601">
        <f t="shared" si="781"/>
      </c>
      <c r="W83" s="601">
        <f t="shared" si="781"/>
      </c>
      <c r="X83" s="601">
        <f t="shared" si="781"/>
      </c>
      <c r="Y83" s="601">
        <f t="shared" si="781"/>
      </c>
      <c r="Z83" s="601">
        <f t="shared" si="781"/>
      </c>
      <c r="AA83" s="601">
        <f t="shared" si="781"/>
      </c>
      <c r="AB83" s="601">
        <f t="shared" si="781"/>
      </c>
      <c r="AC83" s="601">
        <f t="shared" si="781"/>
      </c>
      <c r="AD83" s="601">
        <f t="shared" si="781"/>
      </c>
      <c r="AE83" s="601">
        <f t="shared" si="781"/>
      </c>
      <c r="AF83" s="601">
        <f t="shared" si="781"/>
      </c>
      <c r="AG83" s="601">
        <f t="shared" si="781"/>
      </c>
      <c r="AH83" s="601">
        <f t="shared" si="781"/>
      </c>
      <c r="AI83" s="601">
        <f t="shared" ref="AI83:BN83" si="782">AI17/AH17-1</f>
      </c>
      <c r="AJ83" s="601">
        <f t="shared" si="782"/>
      </c>
      <c r="AK83" s="601">
        <f t="shared" si="782"/>
      </c>
      <c r="AL83" s="601">
        <f t="shared" si="782"/>
      </c>
      <c r="AM83" s="601">
        <f t="shared" si="782"/>
      </c>
      <c r="AN83" s="601">
        <f t="shared" si="782"/>
      </c>
      <c r="AO83" s="601">
        <f t="shared" si="782"/>
      </c>
      <c r="AP83" s="601">
        <f t="shared" si="782"/>
      </c>
      <c r="AQ83" s="601">
        <f t="shared" si="782"/>
      </c>
      <c r="AR83" s="601">
        <f t="shared" si="782"/>
      </c>
      <c r="AS83" s="601">
        <f t="shared" si="782"/>
      </c>
      <c r="AT83" s="601">
        <f t="shared" si="782"/>
      </c>
      <c r="AU83" s="601">
        <f t="shared" si="782"/>
      </c>
      <c r="AV83" s="601">
        <f t="shared" si="782"/>
      </c>
      <c r="AW83" s="601">
        <f t="shared" si="782"/>
      </c>
      <c r="AX83" s="601">
        <f t="shared" si="782"/>
      </c>
      <c r="AY83" s="601">
        <f t="shared" si="782"/>
      </c>
      <c r="AZ83" s="601">
        <f t="shared" si="782"/>
      </c>
      <c r="BA83" s="601">
        <f t="shared" si="782"/>
      </c>
      <c r="BB83" s="601">
        <f t="shared" si="782"/>
      </c>
      <c r="BC83" s="601">
        <f t="shared" si="782"/>
      </c>
      <c r="BD83" s="601">
        <f t="shared" si="782"/>
      </c>
      <c r="BE83" s="601">
        <f t="shared" si="782"/>
      </c>
      <c r="BF83" s="601">
        <f t="shared" si="782"/>
      </c>
      <c r="BG83" s="601">
        <f t="shared" si="782"/>
      </c>
      <c r="BH83" s="601">
        <f t="shared" si="782"/>
      </c>
      <c r="BI83" s="601">
        <f t="shared" si="782"/>
      </c>
      <c r="BJ83" s="601">
        <f t="shared" si="782"/>
      </c>
      <c r="BK83" s="601">
        <f t="shared" si="782"/>
      </c>
      <c r="BL83" s="601">
        <f t="shared" si="782"/>
      </c>
      <c r="BM83" s="601">
        <f t="shared" si="782"/>
      </c>
      <c r="BN83" s="601">
        <f t="shared" si="782"/>
      </c>
      <c r="BO83" s="601">
        <f t="shared" ref="BO83:CT83" si="783">BO17/BN17-1</f>
      </c>
      <c r="BP83" s="601">
        <f t="shared" si="783"/>
      </c>
      <c r="BQ83" s="602">
        <f t="shared" si="783"/>
      </c>
      <c r="BR83" s="601">
        <f t="shared" si="783"/>
      </c>
      <c r="BS83" s="601">
        <f t="shared" si="783"/>
      </c>
      <c r="BT83" s="601">
        <f t="shared" si="783"/>
      </c>
      <c r="BU83" s="602">
        <f t="shared" si="783"/>
      </c>
      <c r="BV83" s="601">
        <f t="shared" si="783"/>
      </c>
      <c r="BW83" s="601">
        <f t="shared" si="783"/>
      </c>
      <c r="BX83" s="601">
        <f t="shared" si="783"/>
      </c>
      <c r="BY83" s="602">
        <f t="shared" si="783"/>
      </c>
      <c r="BZ83" s="601">
        <f t="shared" si="783"/>
      </c>
      <c r="CA83" s="601">
        <f t="shared" si="783"/>
      </c>
      <c r="CB83" s="601">
        <f t="shared" si="783"/>
      </c>
      <c r="CC83" s="602">
        <f t="shared" si="783"/>
      </c>
      <c r="CD83" s="601">
        <f t="shared" si="783"/>
      </c>
      <c r="CE83" s="601">
        <f t="shared" si="783"/>
      </c>
      <c r="CF83" s="601">
        <f t="shared" si="783"/>
      </c>
      <c r="CG83" s="602">
        <f t="shared" si="783"/>
      </c>
      <c r="CH83" s="601">
        <f t="shared" si="783"/>
      </c>
      <c r="CI83" s="601">
        <f t="shared" si="783"/>
      </c>
      <c r="CJ83" s="601">
        <f t="shared" si="783"/>
      </c>
      <c r="CK83" s="602">
        <f t="shared" si="783"/>
      </c>
      <c r="CL83" s="601">
        <f t="shared" si="783"/>
      </c>
      <c r="CM83" s="601">
        <f t="shared" si="783"/>
      </c>
      <c r="CN83" s="601">
        <f t="shared" si="783"/>
      </c>
      <c r="CO83" s="602">
        <f t="shared" si="783"/>
      </c>
      <c r="CP83" s="601">
        <f t="shared" si="783"/>
      </c>
      <c r="CQ83" s="601">
        <f t="shared" si="783"/>
      </c>
      <c r="CR83" s="601">
        <f t="shared" si="783"/>
      </c>
      <c r="CS83" s="602">
        <f t="shared" si="783"/>
      </c>
      <c r="CT83" s="601">
        <f t="shared" si="783"/>
      </c>
      <c r="CU83" s="601">
        <f t="shared" ref="CU83:DU83" si="784">CU17/CT17-1</f>
      </c>
      <c r="CV83" s="601">
        <f t="shared" si="784"/>
      </c>
      <c r="CW83" s="602">
        <f t="shared" si="784"/>
      </c>
      <c r="CX83" s="601">
        <f t="shared" si="784"/>
      </c>
      <c r="CY83" s="601">
        <f t="shared" si="784"/>
      </c>
      <c r="CZ83" s="601">
        <f t="shared" si="784"/>
      </c>
      <c r="DA83" s="602">
        <f t="shared" si="784"/>
      </c>
      <c r="DB83" s="601">
        <f t="shared" si="784"/>
      </c>
      <c r="DC83" s="601">
        <f t="shared" si="784"/>
      </c>
      <c r="DD83" s="601">
        <f t="shared" si="784"/>
      </c>
      <c r="DE83" s="602">
        <f t="shared" si="784"/>
      </c>
      <c r="DF83" s="601">
        <f t="shared" si="784"/>
      </c>
      <c r="DG83" s="601">
        <f t="shared" si="784"/>
      </c>
      <c r="DH83" s="601">
        <f t="shared" si="784"/>
      </c>
      <c r="DI83" s="602">
        <f t="shared" si="784"/>
      </c>
      <c r="DJ83" s="601">
        <f t="shared" si="784"/>
      </c>
      <c r="DK83" s="601">
        <f t="shared" si="784"/>
      </c>
      <c r="DL83" s="601">
        <f t="shared" si="784"/>
      </c>
      <c r="DM83" s="602">
        <f t="shared" si="784"/>
      </c>
      <c r="DN83" s="601">
        <f t="shared" si="784"/>
      </c>
      <c r="DO83" s="601">
        <f t="shared" si="784"/>
      </c>
      <c r="DP83" s="601">
        <f t="shared" si="784"/>
      </c>
      <c r="DQ83" s="602">
        <f t="shared" si="784"/>
      </c>
      <c r="DR83" s="601">
        <f t="shared" si="784"/>
      </c>
      <c r="DS83" s="601">
        <f t="shared" si="784"/>
      </c>
      <c r="DT83" s="601">
        <f t="shared" si="784"/>
      </c>
      <c r="DU83" s="602">
        <f t="shared" si="784"/>
      </c>
      <c r="DV83" s="601">
        <f t="shared" si="737"/>
      </c>
      <c r="DW83" s="601">
        <f t="shared" si="738"/>
      </c>
      <c r="DX83" s="601">
        <f t="shared" si="739"/>
      </c>
      <c r="DY83" s="602">
        <f t="shared" si="740"/>
      </c>
      <c r="DZ83" s="601">
        <f t="shared" si="741"/>
      </c>
      <c r="EA83" s="601">
        <f t="shared" si="742"/>
      </c>
      <c r="EB83" s="601">
        <f t="shared" si="743"/>
      </c>
      <c r="EC83" s="602">
        <f t="shared" si="744"/>
      </c>
      <c r="ED83" s="601">
        <f t="shared" si="745"/>
      </c>
      <c r="EE83" s="601">
        <f t="shared" si="746"/>
      </c>
      <c r="EF83" s="601">
        <f t="shared" si="747"/>
      </c>
      <c r="EG83" s="602">
        <f t="shared" si="748"/>
      </c>
      <c r="EH83" s="601">
        <f t="shared" si="749"/>
      </c>
      <c r="EI83" s="601">
        <f t="shared" si="750"/>
      </c>
      <c r="EJ83" s="601">
        <f t="shared" si="751"/>
      </c>
      <c r="EK83" s="602">
        <f t="shared" si="752"/>
      </c>
      <c r="EL83" s="11"/>
      <c r="FD83" s="66"/>
      <c r="FE83" s="66"/>
      <c r="FF83" s="66"/>
      <c r="FG83" s="66"/>
      <c r="FH83" s="66"/>
    </row>
    <row r="84" spans="1:212" s="50" customFormat="1">
      <c r="A84" s="637" t="str">
        <f>A23</f>
      </c>
      <c r="B84" s="594"/>
      <c r="C84" s="594">
        <f t="shared" ref="C84:AH84" si="785">C23/B23-1</f>
      </c>
      <c r="D84" s="594">
        <f t="shared" si="785"/>
      </c>
      <c r="E84" s="631">
        <f t="shared" si="785"/>
      </c>
      <c r="F84" s="594">
        <f t="shared" si="785"/>
      </c>
      <c r="G84" s="594">
        <f t="shared" si="785"/>
      </c>
      <c r="H84" s="594">
        <f t="shared" si="785"/>
      </c>
      <c r="I84" s="594">
        <f t="shared" si="785"/>
      </c>
      <c r="J84" s="594">
        <f t="shared" si="785"/>
      </c>
      <c r="K84" s="594">
        <f t="shared" si="785"/>
      </c>
      <c r="L84" s="594">
        <f t="shared" si="785"/>
      </c>
      <c r="M84" s="594">
        <f t="shared" si="785"/>
      </c>
      <c r="N84" s="594">
        <f t="shared" si="785"/>
      </c>
      <c r="O84" s="594">
        <f t="shared" si="785"/>
      </c>
      <c r="P84" s="594">
        <f t="shared" si="785"/>
      </c>
      <c r="Q84" s="594">
        <f t="shared" si="785"/>
      </c>
      <c r="R84" s="594">
        <f t="shared" si="785"/>
      </c>
      <c r="S84" s="594">
        <f t="shared" si="785"/>
      </c>
      <c r="T84" s="594">
        <f t="shared" si="785"/>
      </c>
      <c r="U84" s="594">
        <f t="shared" si="785"/>
      </c>
      <c r="V84" s="594">
        <f t="shared" si="785"/>
      </c>
      <c r="W84" s="594">
        <f t="shared" si="785"/>
      </c>
      <c r="X84" s="594">
        <f t="shared" si="785"/>
      </c>
      <c r="Y84" s="594">
        <f t="shared" si="785"/>
      </c>
      <c r="Z84" s="594">
        <f t="shared" si="785"/>
      </c>
      <c r="AA84" s="594">
        <f t="shared" si="785"/>
      </c>
      <c r="AB84" s="594">
        <f t="shared" si="785"/>
      </c>
      <c r="AC84" s="594">
        <f t="shared" si="785"/>
      </c>
      <c r="AD84" s="594">
        <f t="shared" si="785"/>
      </c>
      <c r="AE84" s="594">
        <f t="shared" si="785"/>
      </c>
      <c r="AF84" s="594">
        <f t="shared" si="785"/>
      </c>
      <c r="AG84" s="594">
        <f t="shared" si="785"/>
      </c>
      <c r="AH84" s="594">
        <f t="shared" si="785"/>
      </c>
      <c r="AI84" s="594">
        <f t="shared" ref="AI84:BN84" si="786">AI23/AH23-1</f>
      </c>
      <c r="AJ84" s="594">
        <f t="shared" si="786"/>
      </c>
      <c r="AK84" s="594">
        <f t="shared" si="786"/>
      </c>
      <c r="AL84" s="594">
        <f t="shared" si="786"/>
      </c>
      <c r="AM84" s="594">
        <f t="shared" si="786"/>
      </c>
      <c r="AN84" s="594">
        <f t="shared" si="786"/>
      </c>
      <c r="AO84" s="594">
        <f t="shared" si="786"/>
      </c>
      <c r="AP84" s="594">
        <f t="shared" si="786"/>
      </c>
      <c r="AQ84" s="594">
        <f t="shared" si="786"/>
      </c>
      <c r="AR84" s="594">
        <f t="shared" si="786"/>
      </c>
      <c r="AS84" s="594">
        <f t="shared" si="786"/>
      </c>
      <c r="AT84" s="594">
        <f t="shared" si="786"/>
      </c>
      <c r="AU84" s="594">
        <f t="shared" si="786"/>
      </c>
      <c r="AV84" s="594">
        <f t="shared" si="786"/>
      </c>
      <c r="AW84" s="594">
        <f t="shared" si="786"/>
      </c>
      <c r="AX84" s="594">
        <f t="shared" si="786"/>
      </c>
      <c r="AY84" s="594">
        <f t="shared" si="786"/>
      </c>
      <c r="AZ84" s="594">
        <f t="shared" si="786"/>
      </c>
      <c r="BA84" s="594">
        <f t="shared" si="786"/>
      </c>
      <c r="BB84" s="594">
        <f t="shared" si="786"/>
      </c>
      <c r="BC84" s="594">
        <f t="shared" si="786"/>
      </c>
      <c r="BD84" s="594">
        <f t="shared" si="786"/>
      </c>
      <c r="BE84" s="594">
        <f t="shared" si="786"/>
      </c>
      <c r="BF84" s="594">
        <f t="shared" si="786"/>
      </c>
      <c r="BG84" s="594">
        <f t="shared" si="786"/>
      </c>
      <c r="BH84" s="594">
        <f t="shared" si="786"/>
      </c>
      <c r="BI84" s="594">
        <f t="shared" si="786"/>
      </c>
      <c r="BJ84" s="594">
        <f t="shared" si="786"/>
      </c>
      <c r="BK84" s="594">
        <f t="shared" si="786"/>
      </c>
      <c r="BL84" s="594">
        <f t="shared" si="786"/>
      </c>
      <c r="BM84" s="594">
        <f t="shared" si="786"/>
      </c>
      <c r="BN84" s="594">
        <f t="shared" si="786"/>
      </c>
      <c r="BO84" s="594">
        <f t="shared" ref="BO84:CT84" si="787">BO23/BN23-1</f>
      </c>
      <c r="BP84" s="594">
        <f t="shared" si="787"/>
      </c>
      <c r="BQ84" s="595">
        <f t="shared" si="787"/>
      </c>
      <c r="BR84" s="594">
        <f t="shared" si="787"/>
      </c>
      <c r="BS84" s="594">
        <f t="shared" si="787"/>
      </c>
      <c r="BT84" s="594">
        <f t="shared" si="787"/>
      </c>
      <c r="BU84" s="595">
        <f t="shared" si="787"/>
      </c>
      <c r="BV84" s="594">
        <f t="shared" si="787"/>
      </c>
      <c r="BW84" s="594">
        <f t="shared" si="787"/>
      </c>
      <c r="BX84" s="594">
        <f t="shared" si="787"/>
      </c>
      <c r="BY84" s="595">
        <f t="shared" si="787"/>
      </c>
      <c r="BZ84" s="594">
        <f t="shared" si="787"/>
      </c>
      <c r="CA84" s="594">
        <f t="shared" si="787"/>
      </c>
      <c r="CB84" s="594">
        <f t="shared" si="787"/>
      </c>
      <c r="CC84" s="595">
        <f t="shared" si="787"/>
      </c>
      <c r="CD84" s="594">
        <f t="shared" si="787"/>
      </c>
      <c r="CE84" s="594">
        <f t="shared" si="787"/>
      </c>
      <c r="CF84" s="594">
        <f t="shared" si="787"/>
      </c>
      <c r="CG84" s="595">
        <f t="shared" si="787"/>
      </c>
      <c r="CH84" s="594">
        <f t="shared" si="787"/>
      </c>
      <c r="CI84" s="594">
        <f t="shared" si="787"/>
      </c>
      <c r="CJ84" s="594">
        <f t="shared" si="787"/>
      </c>
      <c r="CK84" s="595">
        <f t="shared" si="787"/>
      </c>
      <c r="CL84" s="594">
        <f t="shared" si="787"/>
      </c>
      <c r="CM84" s="594">
        <f t="shared" si="787"/>
      </c>
      <c r="CN84" s="594">
        <f t="shared" si="787"/>
      </c>
      <c r="CO84" s="595">
        <f t="shared" si="787"/>
      </c>
      <c r="CP84" s="594">
        <f t="shared" si="787"/>
      </c>
      <c r="CQ84" s="594">
        <f t="shared" si="787"/>
      </c>
      <c r="CR84" s="594">
        <f t="shared" si="787"/>
      </c>
      <c r="CS84" s="595">
        <f t="shared" si="787"/>
      </c>
      <c r="CT84" s="594">
        <f t="shared" si="787"/>
      </c>
      <c r="CU84" s="594">
        <f t="shared" ref="CU84:DU84" si="788">CU23/CT23-1</f>
      </c>
      <c r="CV84" s="594">
        <f t="shared" si="788"/>
      </c>
      <c r="CW84" s="595">
        <f t="shared" si="788"/>
      </c>
      <c r="CX84" s="594">
        <f t="shared" si="788"/>
      </c>
      <c r="CY84" s="594">
        <f t="shared" si="788"/>
      </c>
      <c r="CZ84" s="594">
        <f t="shared" si="788"/>
      </c>
      <c r="DA84" s="595">
        <f t="shared" si="788"/>
      </c>
      <c r="DB84" s="594">
        <f t="shared" si="788"/>
      </c>
      <c r="DC84" s="594">
        <f t="shared" si="788"/>
      </c>
      <c r="DD84" s="594">
        <f t="shared" si="788"/>
      </c>
      <c r="DE84" s="595">
        <f t="shared" si="788"/>
      </c>
      <c r="DF84" s="594">
        <f t="shared" si="788"/>
      </c>
      <c r="DG84" s="594">
        <f t="shared" si="788"/>
      </c>
      <c r="DH84" s="594">
        <f t="shared" si="788"/>
      </c>
      <c r="DI84" s="595">
        <f t="shared" si="788"/>
      </c>
      <c r="DJ84" s="594">
        <f t="shared" si="788"/>
      </c>
      <c r="DK84" s="594">
        <f t="shared" si="788"/>
      </c>
      <c r="DL84" s="594">
        <f t="shared" si="788"/>
      </c>
      <c r="DM84" s="595">
        <f t="shared" si="788"/>
      </c>
      <c r="DN84" s="594">
        <f t="shared" si="788"/>
      </c>
      <c r="DO84" s="594">
        <f t="shared" si="788"/>
      </c>
      <c r="DP84" s="594">
        <f t="shared" si="788"/>
      </c>
      <c r="DQ84" s="595">
        <f t="shared" si="788"/>
      </c>
      <c r="DR84" s="594">
        <f t="shared" si="788"/>
      </c>
      <c r="DS84" s="594">
        <f t="shared" si="788"/>
      </c>
      <c r="DT84" s="594">
        <f t="shared" si="788"/>
      </c>
      <c r="DU84" s="595">
        <f t="shared" si="788"/>
      </c>
      <c r="DV84" s="594">
        <f t="shared" ref="DV84" si="789">DV23/DU23-1</f>
      </c>
      <c r="DW84" s="594">
        <f t="shared" ref="DW84" si="790">DW23/DV23-1</f>
      </c>
      <c r="DX84" s="594">
        <f t="shared" ref="DX84" si="791">DX23/DW23-1</f>
      </c>
      <c r="DY84" s="595">
        <f t="shared" ref="DY84" si="792">DY23/DX23-1</f>
      </c>
      <c r="DZ84" s="594">
        <f t="shared" ref="DZ84" si="793">DZ23/DY23-1</f>
      </c>
      <c r="EA84" s="594">
        <f t="shared" ref="EA84" si="794">EA23/DZ23-1</f>
      </c>
      <c r="EB84" s="594">
        <f t="shared" ref="EB84" si="795">EB23/EA23-1</f>
      </c>
      <c r="EC84" s="595">
        <f t="shared" ref="EC84" si="796">EC23/EB23-1</f>
      </c>
      <c r="ED84" s="594">
        <f t="shared" ref="ED84" si="797">ED23/EC23-1</f>
      </c>
      <c r="EE84" s="594">
        <f t="shared" ref="EE84" si="798">EE23/ED23-1</f>
      </c>
      <c r="EF84" s="594">
        <f t="shared" ref="EF84" si="799">EF23/EE23-1</f>
      </c>
      <c r="EG84" s="595">
        <f t="shared" ref="EG84" si="800">EG23/EF23-1</f>
      </c>
      <c r="EH84" s="594">
        <f t="shared" ref="EH84" si="801">EH23/EG23-1</f>
      </c>
      <c r="EI84" s="594">
        <f t="shared" ref="EI84" si="802">EI23/EH23-1</f>
      </c>
      <c r="EJ84" s="594">
        <f t="shared" ref="EJ84" si="803">EJ23/EI23-1</f>
      </c>
      <c r="EK84" s="595">
        <f t="shared" ref="EK84" si="804">EK23/EJ23-1</f>
      </c>
      <c r="EL84" s="11"/>
      <c r="FD84" s="634"/>
      <c r="FE84" s="634"/>
      <c r="FF84" s="634"/>
      <c r="FG84" s="634"/>
      <c r="FH84" s="634"/>
    </row>
    <row r="85" spans="1:212" s="17" customFormat="1">
      <c r="A85" s="637" t="str">
        <f>A26</f>
      </c>
      <c r="B85" s="594"/>
      <c r="C85" s="594">
        <f t="shared" ref="C85:AH85" si="805">C26/B26-1</f>
      </c>
      <c r="D85" s="594">
        <f t="shared" si="805"/>
      </c>
      <c r="E85" s="631">
        <f t="shared" si="805"/>
      </c>
      <c r="F85" s="594">
        <f t="shared" si="805"/>
      </c>
      <c r="G85" s="594">
        <f t="shared" si="805"/>
      </c>
      <c r="H85" s="594">
        <f t="shared" si="805"/>
      </c>
      <c r="I85" s="594">
        <f t="shared" si="805"/>
      </c>
      <c r="J85" s="594">
        <f t="shared" si="805"/>
      </c>
      <c r="K85" s="594">
        <f t="shared" si="805"/>
      </c>
      <c r="L85" s="594">
        <f t="shared" si="805"/>
      </c>
      <c r="M85" s="594">
        <f t="shared" si="805"/>
      </c>
      <c r="N85" s="594">
        <f t="shared" si="805"/>
      </c>
      <c r="O85" s="594">
        <f t="shared" si="805"/>
      </c>
      <c r="P85" s="594">
        <f t="shared" si="805"/>
      </c>
      <c r="Q85" s="594">
        <f t="shared" si="805"/>
      </c>
      <c r="R85" s="594">
        <f t="shared" si="805"/>
      </c>
      <c r="S85" s="594">
        <f t="shared" si="805"/>
      </c>
      <c r="T85" s="594">
        <f t="shared" si="805"/>
      </c>
      <c r="U85" s="594">
        <f t="shared" si="805"/>
      </c>
      <c r="V85" s="594">
        <f t="shared" si="805"/>
      </c>
      <c r="W85" s="594">
        <f t="shared" si="805"/>
      </c>
      <c r="X85" s="594">
        <f t="shared" si="805"/>
      </c>
      <c r="Y85" s="594">
        <f t="shared" si="805"/>
      </c>
      <c r="Z85" s="594">
        <f t="shared" si="805"/>
      </c>
      <c r="AA85" s="594">
        <f t="shared" si="805"/>
      </c>
      <c r="AB85" s="594">
        <f t="shared" si="805"/>
      </c>
      <c r="AC85" s="594">
        <f t="shared" si="805"/>
      </c>
      <c r="AD85" s="594">
        <f t="shared" si="805"/>
      </c>
      <c r="AE85" s="594">
        <f t="shared" si="805"/>
      </c>
      <c r="AF85" s="594">
        <f t="shared" si="805"/>
      </c>
      <c r="AG85" s="594">
        <f t="shared" si="805"/>
      </c>
      <c r="AH85" s="594">
        <f t="shared" si="805"/>
      </c>
      <c r="AI85" s="594">
        <f t="shared" ref="AI85:BN85" si="806">AI26/AH26-1</f>
      </c>
      <c r="AJ85" s="594">
        <f t="shared" si="806"/>
      </c>
      <c r="AK85" s="594">
        <f t="shared" si="806"/>
      </c>
      <c r="AL85" s="594">
        <f t="shared" si="806"/>
      </c>
      <c r="AM85" s="594">
        <f t="shared" si="806"/>
      </c>
      <c r="AN85" s="594">
        <f t="shared" si="806"/>
      </c>
      <c r="AO85" s="594">
        <f t="shared" si="806"/>
      </c>
      <c r="AP85" s="594">
        <f t="shared" si="806"/>
      </c>
      <c r="AQ85" s="594">
        <f t="shared" si="806"/>
      </c>
      <c r="AR85" s="594">
        <f t="shared" si="806"/>
      </c>
      <c r="AS85" s="594">
        <f t="shared" si="806"/>
      </c>
      <c r="AT85" s="594">
        <f t="shared" si="806"/>
      </c>
      <c r="AU85" s="594">
        <f t="shared" si="806"/>
      </c>
      <c r="AV85" s="594">
        <f t="shared" si="806"/>
      </c>
      <c r="AW85" s="594">
        <f t="shared" si="806"/>
      </c>
      <c r="AX85" s="594">
        <f t="shared" si="806"/>
      </c>
      <c r="AY85" s="594">
        <f t="shared" si="806"/>
      </c>
      <c r="AZ85" s="594">
        <f t="shared" si="806"/>
      </c>
      <c r="BA85" s="594">
        <f t="shared" si="806"/>
      </c>
      <c r="BB85" s="594">
        <f t="shared" si="806"/>
      </c>
      <c r="BC85" s="594">
        <f t="shared" si="806"/>
      </c>
      <c r="BD85" s="594">
        <f t="shared" si="806"/>
      </c>
      <c r="BE85" s="594">
        <f t="shared" si="806"/>
      </c>
      <c r="BF85" s="594">
        <f t="shared" si="806"/>
      </c>
      <c r="BG85" s="594">
        <f t="shared" si="806"/>
      </c>
      <c r="BH85" s="594">
        <f t="shared" si="806"/>
      </c>
      <c r="BI85" s="594">
        <f t="shared" si="806"/>
      </c>
      <c r="BJ85" s="594">
        <f t="shared" si="806"/>
      </c>
      <c r="BK85" s="594">
        <f t="shared" si="806"/>
      </c>
      <c r="BL85" s="594">
        <f t="shared" si="806"/>
      </c>
      <c r="BM85" s="594">
        <f t="shared" si="806"/>
      </c>
      <c r="BN85" s="594">
        <f t="shared" si="806"/>
      </c>
      <c r="BO85" s="594">
        <f t="shared" ref="BO85:CT85" si="807">BO26/BN26-1</f>
      </c>
      <c r="BP85" s="594">
        <f t="shared" si="807"/>
      </c>
      <c r="BQ85" s="595">
        <f t="shared" si="807"/>
      </c>
      <c r="BR85" s="594">
        <f t="shared" si="807"/>
      </c>
      <c r="BS85" s="594">
        <f t="shared" si="807"/>
      </c>
      <c r="BT85" s="594">
        <f t="shared" si="807"/>
      </c>
      <c r="BU85" s="595">
        <f t="shared" si="807"/>
      </c>
      <c r="BV85" s="594">
        <f t="shared" si="807"/>
      </c>
      <c r="BW85" s="594">
        <f t="shared" si="807"/>
      </c>
      <c r="BX85" s="594">
        <f t="shared" si="807"/>
      </c>
      <c r="BY85" s="595">
        <f t="shared" si="807"/>
      </c>
      <c r="BZ85" s="594">
        <f t="shared" si="807"/>
      </c>
      <c r="CA85" s="594">
        <f t="shared" si="807"/>
      </c>
      <c r="CB85" s="594">
        <f t="shared" si="807"/>
      </c>
      <c r="CC85" s="595">
        <f t="shared" si="807"/>
      </c>
      <c r="CD85" s="594">
        <f t="shared" si="807"/>
      </c>
      <c r="CE85" s="594">
        <f t="shared" si="807"/>
      </c>
      <c r="CF85" s="594">
        <f t="shared" si="807"/>
      </c>
      <c r="CG85" s="595">
        <f t="shared" si="807"/>
      </c>
      <c r="CH85" s="594">
        <f t="shared" si="807"/>
      </c>
      <c r="CI85" s="594">
        <f t="shared" si="807"/>
      </c>
      <c r="CJ85" s="594">
        <f t="shared" si="807"/>
      </c>
      <c r="CK85" s="595">
        <f t="shared" si="807"/>
      </c>
      <c r="CL85" s="594">
        <f t="shared" si="807"/>
      </c>
      <c r="CM85" s="594">
        <f t="shared" si="807"/>
      </c>
      <c r="CN85" s="594">
        <f t="shared" si="807"/>
      </c>
      <c r="CO85" s="595">
        <f t="shared" si="807"/>
      </c>
      <c r="CP85" s="594">
        <f t="shared" si="807"/>
      </c>
      <c r="CQ85" s="594">
        <f t="shared" si="807"/>
      </c>
      <c r="CR85" s="594">
        <f t="shared" si="807"/>
      </c>
      <c r="CS85" s="595">
        <f t="shared" si="807"/>
      </c>
      <c r="CT85" s="594">
        <f t="shared" si="807"/>
      </c>
      <c r="CU85" s="594">
        <f t="shared" ref="CU85:DU85" si="808">CU26/CT26-1</f>
      </c>
      <c r="CV85" s="594">
        <f t="shared" si="808"/>
      </c>
      <c r="CW85" s="595">
        <f t="shared" si="808"/>
      </c>
      <c r="CX85" s="594">
        <f t="shared" si="808"/>
      </c>
      <c r="CY85" s="594">
        <f t="shared" si="808"/>
      </c>
      <c r="CZ85" s="594">
        <f t="shared" si="808"/>
      </c>
      <c r="DA85" s="595">
        <f t="shared" si="808"/>
      </c>
      <c r="DB85" s="594">
        <f t="shared" si="808"/>
      </c>
      <c r="DC85" s="594">
        <f t="shared" si="808"/>
      </c>
      <c r="DD85" s="594">
        <f t="shared" si="808"/>
      </c>
      <c r="DE85" s="595">
        <f t="shared" si="808"/>
      </c>
      <c r="DF85" s="594">
        <f t="shared" si="808"/>
      </c>
      <c r="DG85" s="594">
        <f t="shared" si="808"/>
      </c>
      <c r="DH85" s="594">
        <f t="shared" si="808"/>
      </c>
      <c r="DI85" s="595">
        <f t="shared" si="808"/>
      </c>
      <c r="DJ85" s="594">
        <f t="shared" si="808"/>
      </c>
      <c r="DK85" s="594">
        <f t="shared" si="808"/>
      </c>
      <c r="DL85" s="594">
        <f t="shared" si="808"/>
      </c>
      <c r="DM85" s="595">
        <f t="shared" si="808"/>
      </c>
      <c r="DN85" s="594">
        <f t="shared" si="808"/>
      </c>
      <c r="DO85" s="594">
        <f t="shared" si="808"/>
      </c>
      <c r="DP85" s="594">
        <f t="shared" si="808"/>
      </c>
      <c r="DQ85" s="595">
        <f t="shared" si="808"/>
      </c>
      <c r="DR85" s="594">
        <f t="shared" si="808"/>
      </c>
      <c r="DS85" s="594">
        <f t="shared" si="808"/>
      </c>
      <c r="DT85" s="594">
        <f t="shared" si="808"/>
      </c>
      <c r="DU85" s="595">
        <f t="shared" si="808"/>
      </c>
      <c r="DV85" s="594">
        <f t="shared" ref="DV85" si="809">DV26/DU26-1</f>
      </c>
      <c r="DW85" s="594">
        <f t="shared" ref="DW85" si="810">DW26/DV26-1</f>
      </c>
      <c r="DX85" s="594">
        <f t="shared" ref="DX85" si="811">DX26/DW26-1</f>
      </c>
      <c r="DY85" s="595">
        <f t="shared" ref="DY85" si="812">DY26/DX26-1</f>
      </c>
      <c r="DZ85" s="594">
        <f t="shared" ref="DZ85" si="813">DZ26/DY26-1</f>
      </c>
      <c r="EA85" s="594">
        <f t="shared" ref="EA85" si="814">EA26/DZ26-1</f>
      </c>
      <c r="EB85" s="594">
        <f t="shared" ref="EB85" si="815">EB26/EA26-1</f>
      </c>
      <c r="EC85" s="595">
        <f t="shared" ref="EC85" si="816">EC26/EB26-1</f>
      </c>
      <c r="ED85" s="594">
        <f t="shared" ref="ED85" si="817">ED26/EC26-1</f>
      </c>
      <c r="EE85" s="594">
        <f t="shared" ref="EE85" si="818">EE26/ED26-1</f>
      </c>
      <c r="EF85" s="594">
        <f t="shared" ref="EF85" si="819">EF26/EE26-1</f>
      </c>
      <c r="EG85" s="595">
        <f t="shared" ref="EG85" si="820">EG26/EF26-1</f>
      </c>
      <c r="EH85" s="594">
        <f t="shared" ref="EH85" si="821">EH26/EG26-1</f>
      </c>
      <c r="EI85" s="594">
        <f t="shared" ref="EI85" si="822">EI26/EH26-1</f>
      </c>
      <c r="EJ85" s="594">
        <f t="shared" ref="EJ85" si="823">EJ26/EI26-1</f>
      </c>
      <c r="EK85" s="595">
        <f t="shared" ref="EK85" si="824">EK26/EJ26-1</f>
      </c>
      <c r="EL85" s="11"/>
      <c r="FD85" s="66"/>
      <c r="FE85" s="66"/>
      <c r="FF85" s="66"/>
      <c r="FG85" s="66"/>
      <c r="FH85" s="66"/>
    </row>
    <row r="86" spans="1:212" s="17" customFormat="1">
      <c r="A86" s="637" t="str">
        <f>A28</f>
      </c>
      <c r="B86" s="594"/>
      <c r="C86" s="594">
        <f t="shared" ref="C86:AH86" si="825">C28/B28-1</f>
      </c>
      <c r="D86" s="594">
        <f t="shared" si="825"/>
      </c>
      <c r="E86" s="631">
        <f t="shared" si="825"/>
      </c>
      <c r="F86" s="594">
        <f t="shared" si="825"/>
      </c>
      <c r="G86" s="594">
        <f t="shared" si="825"/>
      </c>
      <c r="H86" s="594">
        <f t="shared" si="825"/>
      </c>
      <c r="I86" s="594">
        <f t="shared" si="825"/>
      </c>
      <c r="J86" s="594">
        <f t="shared" si="825"/>
      </c>
      <c r="K86" s="594">
        <f t="shared" si="825"/>
      </c>
      <c r="L86" s="594">
        <f t="shared" si="825"/>
      </c>
      <c r="M86" s="594">
        <f t="shared" si="825"/>
      </c>
      <c r="N86" s="594">
        <f t="shared" si="825"/>
      </c>
      <c r="O86" s="594">
        <f t="shared" si="825"/>
      </c>
      <c r="P86" s="594">
        <f t="shared" si="825"/>
      </c>
      <c r="Q86" s="594">
        <f t="shared" si="825"/>
      </c>
      <c r="R86" s="594">
        <f t="shared" si="825"/>
      </c>
      <c r="S86" s="594">
        <f t="shared" si="825"/>
      </c>
      <c r="T86" s="594">
        <f t="shared" si="825"/>
      </c>
      <c r="U86" s="594">
        <f t="shared" si="825"/>
      </c>
      <c r="V86" s="594">
        <f t="shared" si="825"/>
      </c>
      <c r="W86" s="594">
        <f t="shared" si="825"/>
      </c>
      <c r="X86" s="594">
        <f t="shared" si="825"/>
      </c>
      <c r="Y86" s="594">
        <f t="shared" si="825"/>
      </c>
      <c r="Z86" s="594">
        <f t="shared" si="825"/>
      </c>
      <c r="AA86" s="594">
        <f t="shared" si="825"/>
      </c>
      <c r="AB86" s="594">
        <f t="shared" si="825"/>
      </c>
      <c r="AC86" s="594">
        <f t="shared" si="825"/>
      </c>
      <c r="AD86" s="594">
        <f t="shared" si="825"/>
      </c>
      <c r="AE86" s="594">
        <f t="shared" si="825"/>
      </c>
      <c r="AF86" s="594">
        <f t="shared" si="825"/>
      </c>
      <c r="AG86" s="594">
        <f t="shared" si="825"/>
      </c>
      <c r="AH86" s="594">
        <f t="shared" si="825"/>
      </c>
      <c r="AI86" s="594">
        <f t="shared" ref="AI86:BN86" si="826">AI28/AH28-1</f>
      </c>
      <c r="AJ86" s="594">
        <f t="shared" si="826"/>
      </c>
      <c r="AK86" s="594">
        <f t="shared" si="826"/>
      </c>
      <c r="AL86" s="594">
        <f t="shared" si="826"/>
      </c>
      <c r="AM86" s="594">
        <f t="shared" si="826"/>
      </c>
      <c r="AN86" s="594">
        <f t="shared" si="826"/>
      </c>
      <c r="AO86" s="594">
        <f t="shared" si="826"/>
      </c>
      <c r="AP86" s="594">
        <f t="shared" si="826"/>
      </c>
      <c r="AQ86" s="594">
        <f t="shared" si="826"/>
      </c>
      <c r="AR86" s="594">
        <f t="shared" si="826"/>
      </c>
      <c r="AS86" s="594">
        <f t="shared" si="826"/>
      </c>
      <c r="AT86" s="594">
        <f t="shared" si="826"/>
      </c>
      <c r="AU86" s="594">
        <f t="shared" si="826"/>
      </c>
      <c r="AV86" s="594">
        <f t="shared" si="826"/>
      </c>
      <c r="AW86" s="594">
        <f t="shared" si="826"/>
      </c>
      <c r="AX86" s="594">
        <f t="shared" si="826"/>
      </c>
      <c r="AY86" s="594">
        <f t="shared" si="826"/>
      </c>
      <c r="AZ86" s="594">
        <f t="shared" si="826"/>
      </c>
      <c r="BA86" s="594">
        <f t="shared" si="826"/>
      </c>
      <c r="BB86" s="594">
        <f t="shared" si="826"/>
      </c>
      <c r="BC86" s="594">
        <f t="shared" si="826"/>
      </c>
      <c r="BD86" s="594">
        <f t="shared" si="826"/>
      </c>
      <c r="BE86" s="594">
        <f t="shared" si="826"/>
      </c>
      <c r="BF86" s="594">
        <f t="shared" si="826"/>
      </c>
      <c r="BG86" s="594">
        <f t="shared" si="826"/>
      </c>
      <c r="BH86" s="594">
        <f t="shared" si="826"/>
      </c>
      <c r="BI86" s="594">
        <f t="shared" si="826"/>
      </c>
      <c r="BJ86" s="594">
        <f t="shared" si="826"/>
      </c>
      <c r="BK86" s="594">
        <f t="shared" si="826"/>
      </c>
      <c r="BL86" s="594">
        <f t="shared" si="826"/>
      </c>
      <c r="BM86" s="594">
        <f t="shared" si="826"/>
      </c>
      <c r="BN86" s="594">
        <f t="shared" si="826"/>
      </c>
      <c r="BO86" s="594">
        <f t="shared" ref="BO86:CT86" si="827">BO28/BN28-1</f>
      </c>
      <c r="BP86" s="594">
        <f t="shared" si="827"/>
      </c>
      <c r="BQ86" s="595">
        <f t="shared" si="827"/>
      </c>
      <c r="BR86" s="594">
        <f t="shared" si="827"/>
      </c>
      <c r="BS86" s="594">
        <f t="shared" si="827"/>
      </c>
      <c r="BT86" s="594">
        <f t="shared" si="827"/>
      </c>
      <c r="BU86" s="595">
        <f t="shared" si="827"/>
      </c>
      <c r="BV86" s="594">
        <f t="shared" si="827"/>
      </c>
      <c r="BW86" s="594">
        <f t="shared" si="827"/>
      </c>
      <c r="BX86" s="594">
        <f t="shared" si="827"/>
      </c>
      <c r="BY86" s="595">
        <f t="shared" si="827"/>
      </c>
      <c r="BZ86" s="594">
        <f t="shared" si="827"/>
      </c>
      <c r="CA86" s="594">
        <f t="shared" si="827"/>
      </c>
      <c r="CB86" s="594">
        <f t="shared" si="827"/>
      </c>
      <c r="CC86" s="595">
        <f t="shared" si="827"/>
      </c>
      <c r="CD86" s="594">
        <f t="shared" si="827"/>
      </c>
      <c r="CE86" s="594">
        <f t="shared" si="827"/>
      </c>
      <c r="CF86" s="594">
        <f t="shared" si="827"/>
      </c>
      <c r="CG86" s="595">
        <f t="shared" si="827"/>
      </c>
      <c r="CH86" s="594">
        <f t="shared" si="827"/>
      </c>
      <c r="CI86" s="594">
        <f t="shared" si="827"/>
      </c>
      <c r="CJ86" s="594">
        <f t="shared" si="827"/>
      </c>
      <c r="CK86" s="595">
        <f t="shared" si="827"/>
      </c>
      <c r="CL86" s="594">
        <f t="shared" si="827"/>
      </c>
      <c r="CM86" s="594">
        <f t="shared" si="827"/>
      </c>
      <c r="CN86" s="594">
        <f t="shared" si="827"/>
      </c>
      <c r="CO86" s="595">
        <f t="shared" si="827"/>
      </c>
      <c r="CP86" s="594">
        <f t="shared" si="827"/>
      </c>
      <c r="CQ86" s="594">
        <f t="shared" si="827"/>
      </c>
      <c r="CR86" s="594">
        <f t="shared" si="827"/>
      </c>
      <c r="CS86" s="595">
        <f t="shared" si="827"/>
      </c>
      <c r="CT86" s="594">
        <f t="shared" si="827"/>
      </c>
      <c r="CU86" s="594">
        <f t="shared" ref="CU86:DU86" si="828">CU28/CT28-1</f>
      </c>
      <c r="CV86" s="594">
        <f t="shared" si="828"/>
      </c>
      <c r="CW86" s="595">
        <f t="shared" si="828"/>
      </c>
      <c r="CX86" s="594">
        <f t="shared" si="828"/>
      </c>
      <c r="CY86" s="594">
        <f t="shared" si="828"/>
      </c>
      <c r="CZ86" s="594">
        <f t="shared" si="828"/>
      </c>
      <c r="DA86" s="595">
        <f t="shared" si="828"/>
      </c>
      <c r="DB86" s="594">
        <f t="shared" si="828"/>
      </c>
      <c r="DC86" s="594">
        <f t="shared" si="828"/>
      </c>
      <c r="DD86" s="594">
        <f t="shared" si="828"/>
      </c>
      <c r="DE86" s="595">
        <f t="shared" si="828"/>
      </c>
      <c r="DF86" s="594">
        <f t="shared" si="828"/>
      </c>
      <c r="DG86" s="594">
        <f t="shared" si="828"/>
      </c>
      <c r="DH86" s="594">
        <f t="shared" si="828"/>
      </c>
      <c r="DI86" s="595">
        <f t="shared" si="828"/>
      </c>
      <c r="DJ86" s="594">
        <f t="shared" si="828"/>
      </c>
      <c r="DK86" s="594">
        <f t="shared" si="828"/>
      </c>
      <c r="DL86" s="594">
        <f t="shared" si="828"/>
      </c>
      <c r="DM86" s="595">
        <f t="shared" si="828"/>
      </c>
      <c r="DN86" s="594">
        <f t="shared" si="828"/>
      </c>
      <c r="DO86" s="594">
        <f t="shared" si="828"/>
      </c>
      <c r="DP86" s="594">
        <f t="shared" si="828"/>
      </c>
      <c r="DQ86" s="595">
        <f t="shared" si="828"/>
      </c>
      <c r="DR86" s="594">
        <f t="shared" si="828"/>
      </c>
      <c r="DS86" s="594">
        <f t="shared" si="828"/>
      </c>
      <c r="DT86" s="594">
        <f t="shared" si="828"/>
      </c>
      <c r="DU86" s="595">
        <f t="shared" si="828"/>
      </c>
      <c r="DV86" s="594">
        <f t="shared" ref="DV86:DV92" si="829">DV28/DU28-1</f>
      </c>
      <c r="DW86" s="594">
        <f t="shared" ref="DW86:DW92" si="830">DW28/DV28-1</f>
      </c>
      <c r="DX86" s="594">
        <f t="shared" ref="DX86:DX92" si="831">DX28/DW28-1</f>
      </c>
      <c r="DY86" s="595">
        <f t="shared" ref="DY86:DY92" si="832">DY28/DX28-1</f>
      </c>
      <c r="DZ86" s="594">
        <f t="shared" ref="DZ86:DZ92" si="833">DZ28/DY28-1</f>
      </c>
      <c r="EA86" s="594">
        <f t="shared" ref="EA86:EA92" si="834">EA28/DZ28-1</f>
      </c>
      <c r="EB86" s="594">
        <f t="shared" ref="EB86:EB92" si="835">EB28/EA28-1</f>
      </c>
      <c r="EC86" s="595">
        <f t="shared" ref="EC86:EC92" si="836">EC28/EB28-1</f>
      </c>
      <c r="ED86" s="594">
        <f t="shared" ref="ED86:ED92" si="837">ED28/EC28-1</f>
      </c>
      <c r="EE86" s="594">
        <f t="shared" ref="EE86:EE92" si="838">EE28/ED28-1</f>
      </c>
      <c r="EF86" s="594">
        <f t="shared" ref="EF86:EF92" si="839">EF28/EE28-1</f>
      </c>
      <c r="EG86" s="595">
        <f t="shared" ref="EG86:EG92" si="840">EG28/EF28-1</f>
      </c>
      <c r="EH86" s="594">
        <f t="shared" ref="EH86:EH92" si="841">EH28/EG28-1</f>
      </c>
      <c r="EI86" s="594">
        <f t="shared" ref="EI86:EI92" si="842">EI28/EH28-1</f>
      </c>
      <c r="EJ86" s="594">
        <f t="shared" ref="EJ86:EJ92" si="843">EJ28/EI28-1</f>
      </c>
      <c r="EK86" s="595">
        <f t="shared" ref="EK86:EK92" si="844">EK28/EJ28-1</f>
      </c>
      <c r="EL86" s="11"/>
      <c r="FD86" s="66"/>
      <c r="FE86" s="66"/>
      <c r="FF86" s="66"/>
      <c r="FG86" s="66"/>
      <c r="FH86" s="66"/>
    </row>
    <row r="87" spans="1:212" s="17" customFormat="1">
      <c r="A87" s="629" t="str">
        <f>A29</f>
      </c>
      <c r="B87" s="589"/>
      <c r="C87" s="589">
        <f t="shared" ref="C87:AH87" si="845">C29/B29-1</f>
      </c>
      <c r="D87" s="589">
        <f t="shared" si="845"/>
      </c>
      <c r="E87" s="630">
        <f t="shared" si="845"/>
      </c>
      <c r="F87" s="589">
        <f t="shared" si="845"/>
      </c>
      <c r="G87" s="589">
        <f t="shared" si="845"/>
      </c>
      <c r="H87" s="589">
        <f t="shared" si="845"/>
      </c>
      <c r="I87" s="589">
        <f t="shared" si="845"/>
      </c>
      <c r="J87" s="589">
        <f t="shared" si="845"/>
      </c>
      <c r="K87" s="589">
        <f t="shared" si="845"/>
      </c>
      <c r="L87" s="589">
        <f t="shared" si="845"/>
      </c>
      <c r="M87" s="589">
        <f t="shared" si="845"/>
      </c>
      <c r="N87" s="589">
        <f t="shared" si="845"/>
      </c>
      <c r="O87" s="589">
        <f t="shared" si="845"/>
      </c>
      <c r="P87" s="589">
        <f t="shared" si="845"/>
      </c>
      <c r="Q87" s="589">
        <f t="shared" si="845"/>
      </c>
      <c r="R87" s="589">
        <f t="shared" si="845"/>
      </c>
      <c r="S87" s="589">
        <f t="shared" si="845"/>
      </c>
      <c r="T87" s="589">
        <f t="shared" si="845"/>
      </c>
      <c r="U87" s="589">
        <f t="shared" si="845"/>
      </c>
      <c r="V87" s="589">
        <f t="shared" si="845"/>
      </c>
      <c r="W87" s="589">
        <f t="shared" si="845"/>
      </c>
      <c r="X87" s="589">
        <f t="shared" si="845"/>
      </c>
      <c r="Y87" s="589">
        <f t="shared" si="845"/>
      </c>
      <c r="Z87" s="589">
        <f t="shared" si="845"/>
      </c>
      <c r="AA87" s="589">
        <f t="shared" si="845"/>
      </c>
      <c r="AB87" s="589">
        <f t="shared" si="845"/>
      </c>
      <c r="AC87" s="589">
        <f t="shared" si="845"/>
      </c>
      <c r="AD87" s="589">
        <f t="shared" si="845"/>
      </c>
      <c r="AE87" s="589">
        <f t="shared" si="845"/>
      </c>
      <c r="AF87" s="589">
        <f t="shared" si="845"/>
      </c>
      <c r="AG87" s="589">
        <f t="shared" si="845"/>
      </c>
      <c r="AH87" s="589">
        <f t="shared" si="845"/>
      </c>
      <c r="AI87" s="589">
        <f t="shared" ref="AI87:BN87" si="846">AI29/AH29-1</f>
      </c>
      <c r="AJ87" s="589">
        <f t="shared" si="846"/>
      </c>
      <c r="AK87" s="589">
        <f t="shared" si="846"/>
      </c>
      <c r="AL87" s="589">
        <f t="shared" si="846"/>
      </c>
      <c r="AM87" s="589">
        <f t="shared" si="846"/>
      </c>
      <c r="AN87" s="589">
        <f t="shared" si="846"/>
      </c>
      <c r="AO87" s="589">
        <f t="shared" si="846"/>
      </c>
      <c r="AP87" s="589">
        <f t="shared" si="846"/>
      </c>
      <c r="AQ87" s="589">
        <f t="shared" si="846"/>
      </c>
      <c r="AR87" s="589">
        <f t="shared" si="846"/>
      </c>
      <c r="AS87" s="589">
        <f t="shared" si="846"/>
      </c>
      <c r="AT87" s="589">
        <f t="shared" si="846"/>
      </c>
      <c r="AU87" s="589">
        <f t="shared" si="846"/>
      </c>
      <c r="AV87" s="589">
        <f t="shared" si="846"/>
      </c>
      <c r="AW87" s="589">
        <f t="shared" si="846"/>
      </c>
      <c r="AX87" s="589">
        <f t="shared" si="846"/>
      </c>
      <c r="AY87" s="589">
        <f t="shared" si="846"/>
      </c>
      <c r="AZ87" s="589">
        <f t="shared" si="846"/>
      </c>
      <c r="BA87" s="589">
        <f t="shared" si="846"/>
      </c>
      <c r="BB87" s="589">
        <f t="shared" si="846"/>
      </c>
      <c r="BC87" s="589">
        <f t="shared" si="846"/>
      </c>
      <c r="BD87" s="589">
        <f t="shared" si="846"/>
      </c>
      <c r="BE87" s="589">
        <f t="shared" si="846"/>
      </c>
      <c r="BF87" s="589">
        <f t="shared" si="846"/>
      </c>
      <c r="BG87" s="589">
        <f t="shared" si="846"/>
      </c>
      <c r="BH87" s="589">
        <f t="shared" si="846"/>
      </c>
      <c r="BI87" s="589">
        <f t="shared" si="846"/>
      </c>
      <c r="BJ87" s="589">
        <f t="shared" si="846"/>
      </c>
      <c r="BK87" s="589">
        <f t="shared" si="846"/>
      </c>
      <c r="BL87" s="589">
        <f t="shared" si="846"/>
      </c>
      <c r="BM87" s="589">
        <f t="shared" si="846"/>
      </c>
      <c r="BN87" s="589">
        <f t="shared" si="846"/>
      </c>
      <c r="BO87" s="589">
        <f t="shared" ref="BO87:CT87" si="847">BO29/BN29-1</f>
      </c>
      <c r="BP87" s="589">
        <f t="shared" si="847"/>
      </c>
      <c r="BQ87" s="590">
        <f t="shared" si="847"/>
      </c>
      <c r="BR87" s="589">
        <f t="shared" si="847"/>
      </c>
      <c r="BS87" s="589">
        <f t="shared" si="847"/>
      </c>
      <c r="BT87" s="589">
        <f t="shared" si="847"/>
      </c>
      <c r="BU87" s="590">
        <f t="shared" si="847"/>
      </c>
      <c r="BV87" s="589">
        <f t="shared" si="847"/>
      </c>
      <c r="BW87" s="589">
        <f t="shared" si="847"/>
      </c>
      <c r="BX87" s="589">
        <f t="shared" si="847"/>
      </c>
      <c r="BY87" s="590">
        <f t="shared" si="847"/>
      </c>
      <c r="BZ87" s="589">
        <f t="shared" si="847"/>
      </c>
      <c r="CA87" s="589">
        <f t="shared" si="847"/>
      </c>
      <c r="CB87" s="589">
        <f t="shared" si="847"/>
      </c>
      <c r="CC87" s="590">
        <f t="shared" si="847"/>
      </c>
      <c r="CD87" s="589">
        <f t="shared" si="847"/>
      </c>
      <c r="CE87" s="589">
        <f t="shared" si="847"/>
      </c>
      <c r="CF87" s="589">
        <f t="shared" si="847"/>
      </c>
      <c r="CG87" s="590">
        <f t="shared" si="847"/>
      </c>
      <c r="CH87" s="589">
        <f t="shared" si="847"/>
      </c>
      <c r="CI87" s="589">
        <f t="shared" si="847"/>
      </c>
      <c r="CJ87" s="589">
        <f t="shared" si="847"/>
      </c>
      <c r="CK87" s="590">
        <f t="shared" si="847"/>
      </c>
      <c r="CL87" s="589">
        <f t="shared" si="847"/>
      </c>
      <c r="CM87" s="589">
        <f t="shared" si="847"/>
      </c>
      <c r="CN87" s="589">
        <f t="shared" si="847"/>
      </c>
      <c r="CO87" s="590">
        <f t="shared" si="847"/>
      </c>
      <c r="CP87" s="589">
        <f t="shared" si="847"/>
      </c>
      <c r="CQ87" s="589">
        <f t="shared" si="847"/>
      </c>
      <c r="CR87" s="589">
        <f t="shared" si="847"/>
      </c>
      <c r="CS87" s="590">
        <f t="shared" si="847"/>
      </c>
      <c r="CT87" s="589">
        <f t="shared" si="847"/>
      </c>
      <c r="CU87" s="589">
        <f t="shared" ref="CU87:DU87" si="848">CU29/CT29-1</f>
      </c>
      <c r="CV87" s="589">
        <f t="shared" si="848"/>
      </c>
      <c r="CW87" s="590">
        <f t="shared" si="848"/>
      </c>
      <c r="CX87" s="589">
        <f t="shared" si="848"/>
      </c>
      <c r="CY87" s="589">
        <f t="shared" si="848"/>
      </c>
      <c r="CZ87" s="589">
        <f t="shared" si="848"/>
      </c>
      <c r="DA87" s="590">
        <f t="shared" si="848"/>
      </c>
      <c r="DB87" s="589">
        <f t="shared" si="848"/>
      </c>
      <c r="DC87" s="589">
        <f t="shared" si="848"/>
      </c>
      <c r="DD87" s="589">
        <f t="shared" si="848"/>
      </c>
      <c r="DE87" s="590">
        <f t="shared" si="848"/>
      </c>
      <c r="DF87" s="589">
        <f t="shared" si="848"/>
      </c>
      <c r="DG87" s="589">
        <f t="shared" si="848"/>
      </c>
      <c r="DH87" s="589">
        <f t="shared" si="848"/>
      </c>
      <c r="DI87" s="590">
        <f t="shared" si="848"/>
      </c>
      <c r="DJ87" s="589">
        <f t="shared" si="848"/>
      </c>
      <c r="DK87" s="589">
        <f t="shared" si="848"/>
      </c>
      <c r="DL87" s="589">
        <f t="shared" si="848"/>
      </c>
      <c r="DM87" s="590">
        <f t="shared" si="848"/>
      </c>
      <c r="DN87" s="589">
        <f t="shared" si="848"/>
      </c>
      <c r="DO87" s="589">
        <f t="shared" si="848"/>
      </c>
      <c r="DP87" s="589">
        <f t="shared" si="848"/>
      </c>
      <c r="DQ87" s="590">
        <f t="shared" si="848"/>
      </c>
      <c r="DR87" s="589">
        <f t="shared" si="848"/>
      </c>
      <c r="DS87" s="589">
        <f t="shared" si="848"/>
      </c>
      <c r="DT87" s="589">
        <f t="shared" si="848"/>
      </c>
      <c r="DU87" s="590">
        <f t="shared" si="848"/>
      </c>
      <c r="DV87" s="589">
        <f t="shared" si="829"/>
      </c>
      <c r="DW87" s="589">
        <f t="shared" si="830"/>
      </c>
      <c r="DX87" s="589">
        <f t="shared" si="831"/>
      </c>
      <c r="DY87" s="590">
        <f t="shared" si="832"/>
      </c>
      <c r="DZ87" s="589">
        <f t="shared" si="833"/>
      </c>
      <c r="EA87" s="589">
        <f t="shared" si="834"/>
      </c>
      <c r="EB87" s="589">
        <f t="shared" si="835"/>
      </c>
      <c r="EC87" s="590">
        <f t="shared" si="836"/>
      </c>
      <c r="ED87" s="589">
        <f t="shared" si="837"/>
      </c>
      <c r="EE87" s="589">
        <f t="shared" si="838"/>
      </c>
      <c r="EF87" s="589">
        <f t="shared" si="839"/>
      </c>
      <c r="EG87" s="590">
        <f t="shared" si="840"/>
      </c>
      <c r="EH87" s="589">
        <f t="shared" si="841"/>
      </c>
      <c r="EI87" s="589">
        <f t="shared" si="842"/>
      </c>
      <c r="EJ87" s="589">
        <f t="shared" si="843"/>
      </c>
      <c r="EK87" s="590">
        <f t="shared" si="844"/>
      </c>
      <c r="EL87" s="11"/>
      <c r="FD87" s="66"/>
      <c r="FE87" s="66"/>
      <c r="FF87" s="66"/>
      <c r="FG87" s="66"/>
      <c r="FH87" s="66"/>
    </row>
    <row r="88" spans="1:212" s="17" customFormat="1">
      <c r="A88" s="640" t="str">
        <f>A30</f>
      </c>
      <c r="B88" s="606"/>
      <c r="C88" s="606">
        <f t="shared" ref="C88:AH88" si="849">C30/B30-1</f>
      </c>
      <c r="D88" s="606">
        <f t="shared" si="849"/>
      </c>
      <c r="E88" s="635">
        <f t="shared" si="849"/>
      </c>
      <c r="F88" s="606">
        <f t="shared" si="849"/>
      </c>
      <c r="G88" s="606">
        <f t="shared" si="849"/>
      </c>
      <c r="H88" s="606">
        <f t="shared" si="849"/>
      </c>
      <c r="I88" s="606">
        <f t="shared" si="849"/>
      </c>
      <c r="J88" s="606">
        <f t="shared" si="849"/>
      </c>
      <c r="K88" s="606">
        <f t="shared" si="849"/>
      </c>
      <c r="L88" s="606">
        <f t="shared" si="849"/>
      </c>
      <c r="M88" s="606">
        <f t="shared" si="849"/>
      </c>
      <c r="N88" s="606">
        <f t="shared" si="849"/>
      </c>
      <c r="O88" s="606">
        <f t="shared" si="849"/>
      </c>
      <c r="P88" s="606">
        <f t="shared" si="849"/>
      </c>
      <c r="Q88" s="606">
        <f t="shared" si="849"/>
      </c>
      <c r="R88" s="606">
        <f t="shared" si="849"/>
      </c>
      <c r="S88" s="606">
        <f t="shared" si="849"/>
      </c>
      <c r="T88" s="606">
        <f t="shared" si="849"/>
      </c>
      <c r="U88" s="606">
        <f t="shared" si="849"/>
      </c>
      <c r="V88" s="606">
        <f t="shared" si="849"/>
      </c>
      <c r="W88" s="606">
        <f t="shared" si="849"/>
      </c>
      <c r="X88" s="606">
        <f t="shared" si="849"/>
      </c>
      <c r="Y88" s="606">
        <f t="shared" si="849"/>
      </c>
      <c r="Z88" s="606">
        <f t="shared" si="849"/>
      </c>
      <c r="AA88" s="606">
        <f t="shared" si="849"/>
      </c>
      <c r="AB88" s="606">
        <f t="shared" si="849"/>
      </c>
      <c r="AC88" s="606">
        <f t="shared" si="849"/>
      </c>
      <c r="AD88" s="606">
        <f t="shared" si="849"/>
      </c>
      <c r="AE88" s="606">
        <f t="shared" si="849"/>
      </c>
      <c r="AF88" s="606">
        <f t="shared" si="849"/>
      </c>
      <c r="AG88" s="606">
        <f t="shared" si="849"/>
      </c>
      <c r="AH88" s="606">
        <f t="shared" si="849"/>
      </c>
      <c r="AI88" s="606">
        <f t="shared" ref="AI88:BN88" si="850">AI30/AH30-1</f>
      </c>
      <c r="AJ88" s="606">
        <f t="shared" si="850"/>
      </c>
      <c r="AK88" s="606">
        <f t="shared" si="850"/>
      </c>
      <c r="AL88" s="606">
        <f t="shared" si="850"/>
      </c>
      <c r="AM88" s="606">
        <f t="shared" si="850"/>
      </c>
      <c r="AN88" s="606">
        <f t="shared" si="850"/>
      </c>
      <c r="AO88" s="606">
        <f t="shared" si="850"/>
      </c>
      <c r="AP88" s="606">
        <f t="shared" si="850"/>
      </c>
      <c r="AQ88" s="606">
        <f t="shared" si="850"/>
      </c>
      <c r="AR88" s="606">
        <f t="shared" si="850"/>
      </c>
      <c r="AS88" s="606">
        <f t="shared" si="850"/>
      </c>
      <c r="AT88" s="606">
        <f t="shared" si="850"/>
      </c>
      <c r="AU88" s="606">
        <f t="shared" si="850"/>
      </c>
      <c r="AV88" s="606">
        <f t="shared" si="850"/>
      </c>
      <c r="AW88" s="606">
        <f t="shared" si="850"/>
      </c>
      <c r="AX88" s="606">
        <f t="shared" si="850"/>
      </c>
      <c r="AY88" s="606">
        <f t="shared" si="850"/>
      </c>
      <c r="AZ88" s="606">
        <f t="shared" si="850"/>
      </c>
      <c r="BA88" s="606">
        <f t="shared" si="850"/>
      </c>
      <c r="BB88" s="606">
        <f t="shared" si="850"/>
      </c>
      <c r="BC88" s="606">
        <f t="shared" si="850"/>
      </c>
      <c r="BD88" s="606">
        <f t="shared" si="850"/>
      </c>
      <c r="BE88" s="606">
        <f t="shared" si="850"/>
      </c>
      <c r="BF88" s="606">
        <f t="shared" si="850"/>
      </c>
      <c r="BG88" s="606">
        <f t="shared" si="850"/>
      </c>
      <c r="BH88" s="606">
        <f t="shared" si="850"/>
      </c>
      <c r="BI88" s="606">
        <f t="shared" si="850"/>
      </c>
      <c r="BJ88" s="606">
        <f t="shared" si="850"/>
      </c>
      <c r="BK88" s="606">
        <f t="shared" si="850"/>
      </c>
      <c r="BL88" s="606">
        <f t="shared" si="850"/>
      </c>
      <c r="BM88" s="606">
        <f t="shared" si="850"/>
      </c>
      <c r="BN88" s="606">
        <f t="shared" si="850"/>
      </c>
      <c r="BO88" s="606">
        <f t="shared" ref="BO88:CT88" si="851">BO30/BN30-1</f>
      </c>
      <c r="BP88" s="606">
        <f t="shared" si="851"/>
      </c>
      <c r="BQ88" s="607">
        <f t="shared" si="851"/>
      </c>
      <c r="BR88" s="606">
        <f t="shared" si="851"/>
      </c>
      <c r="BS88" s="606">
        <f t="shared" si="851"/>
      </c>
      <c r="BT88" s="606">
        <f t="shared" si="851"/>
      </c>
      <c r="BU88" s="607">
        <f t="shared" si="851"/>
      </c>
      <c r="BV88" s="606">
        <f t="shared" si="851"/>
      </c>
      <c r="BW88" s="606">
        <f t="shared" si="851"/>
      </c>
      <c r="BX88" s="606">
        <f t="shared" si="851"/>
      </c>
      <c r="BY88" s="607">
        <f t="shared" si="851"/>
      </c>
      <c r="BZ88" s="606">
        <f t="shared" si="851"/>
      </c>
      <c r="CA88" s="606">
        <f t="shared" si="851"/>
      </c>
      <c r="CB88" s="606">
        <f t="shared" si="851"/>
      </c>
      <c r="CC88" s="607">
        <f t="shared" si="851"/>
      </c>
      <c r="CD88" s="606">
        <f t="shared" si="851"/>
      </c>
      <c r="CE88" s="606">
        <f t="shared" si="851"/>
      </c>
      <c r="CF88" s="606">
        <f t="shared" si="851"/>
      </c>
      <c r="CG88" s="607">
        <f t="shared" si="851"/>
      </c>
      <c r="CH88" s="606">
        <f t="shared" si="851"/>
      </c>
      <c r="CI88" s="606">
        <f t="shared" si="851"/>
      </c>
      <c r="CJ88" s="606">
        <f t="shared" si="851"/>
      </c>
      <c r="CK88" s="607">
        <f t="shared" si="851"/>
      </c>
      <c r="CL88" s="606">
        <f t="shared" si="851"/>
      </c>
      <c r="CM88" s="606">
        <f t="shared" si="851"/>
      </c>
      <c r="CN88" s="606">
        <f t="shared" si="851"/>
      </c>
      <c r="CO88" s="607">
        <f t="shared" si="851"/>
      </c>
      <c r="CP88" s="606">
        <f t="shared" si="851"/>
      </c>
      <c r="CQ88" s="606">
        <f t="shared" si="851"/>
      </c>
      <c r="CR88" s="606">
        <f t="shared" si="851"/>
      </c>
      <c r="CS88" s="607">
        <f t="shared" si="851"/>
      </c>
      <c r="CT88" s="606">
        <f t="shared" si="851"/>
      </c>
      <c r="CU88" s="606">
        <f t="shared" ref="CU88:DU88" si="852">CU30/CT30-1</f>
      </c>
      <c r="CV88" s="606">
        <f t="shared" si="852"/>
      </c>
      <c r="CW88" s="607">
        <f t="shared" si="852"/>
      </c>
      <c r="CX88" s="606">
        <f t="shared" si="852"/>
      </c>
      <c r="CY88" s="606">
        <f t="shared" si="852"/>
      </c>
      <c r="CZ88" s="606">
        <f t="shared" si="852"/>
      </c>
      <c r="DA88" s="607">
        <f t="shared" si="852"/>
      </c>
      <c r="DB88" s="606">
        <f t="shared" si="852"/>
      </c>
      <c r="DC88" s="606">
        <f t="shared" si="852"/>
      </c>
      <c r="DD88" s="606">
        <f t="shared" si="852"/>
      </c>
      <c r="DE88" s="607">
        <f t="shared" si="852"/>
      </c>
      <c r="DF88" s="606">
        <f t="shared" si="852"/>
      </c>
      <c r="DG88" s="606">
        <f t="shared" si="852"/>
      </c>
      <c r="DH88" s="606">
        <f t="shared" si="852"/>
      </c>
      <c r="DI88" s="607">
        <f t="shared" si="852"/>
      </c>
      <c r="DJ88" s="606">
        <f t="shared" si="852"/>
      </c>
      <c r="DK88" s="606">
        <f t="shared" si="852"/>
      </c>
      <c r="DL88" s="606">
        <f t="shared" si="852"/>
      </c>
      <c r="DM88" s="607">
        <f t="shared" si="852"/>
      </c>
      <c r="DN88" s="606">
        <f t="shared" si="852"/>
      </c>
      <c r="DO88" s="606">
        <f t="shared" si="852"/>
      </c>
      <c r="DP88" s="606">
        <f t="shared" si="852"/>
      </c>
      <c r="DQ88" s="607">
        <f t="shared" si="852"/>
      </c>
      <c r="DR88" s="606">
        <f t="shared" si="852"/>
      </c>
      <c r="DS88" s="606">
        <f t="shared" si="852"/>
      </c>
      <c r="DT88" s="606">
        <f t="shared" si="852"/>
      </c>
      <c r="DU88" s="607">
        <f t="shared" si="852"/>
      </c>
      <c r="DV88" s="606">
        <f t="shared" si="829"/>
      </c>
      <c r="DW88" s="606">
        <f t="shared" si="830"/>
      </c>
      <c r="DX88" s="606">
        <f t="shared" si="831"/>
      </c>
      <c r="DY88" s="607">
        <f t="shared" si="832"/>
      </c>
      <c r="DZ88" s="606">
        <f t="shared" si="833"/>
      </c>
      <c r="EA88" s="606">
        <f t="shared" si="834"/>
      </c>
      <c r="EB88" s="606">
        <f t="shared" si="835"/>
      </c>
      <c r="EC88" s="607">
        <f t="shared" si="836"/>
      </c>
      <c r="ED88" s="606">
        <f t="shared" si="837"/>
      </c>
      <c r="EE88" s="606">
        <f t="shared" si="838"/>
      </c>
      <c r="EF88" s="606">
        <f t="shared" si="839"/>
      </c>
      <c r="EG88" s="607">
        <f t="shared" si="840"/>
      </c>
      <c r="EH88" s="606">
        <f t="shared" si="841"/>
      </c>
      <c r="EI88" s="606">
        <f t="shared" si="842"/>
      </c>
      <c r="EJ88" s="606">
        <f t="shared" si="843"/>
      </c>
      <c r="EK88" s="607">
        <f t="shared" si="844"/>
      </c>
      <c r="EL88" s="11"/>
      <c r="FD88" s="66"/>
      <c r="FE88" s="66"/>
      <c r="FF88" s="66"/>
      <c r="FG88" s="66"/>
      <c r="FH88" s="66"/>
    </row>
    <row r="89" spans="1:212" s="17" customFormat="1">
      <c r="A89" s="641" t="str">
        <f>A31</f>
      </c>
      <c r="B89" s="610"/>
      <c r="C89" s="610">
        <f t="shared" ref="C89:AH89" si="853">C31/B31-1</f>
      </c>
      <c r="D89" s="610">
        <f t="shared" si="853"/>
      </c>
      <c r="E89" s="636">
        <f t="shared" si="853"/>
      </c>
      <c r="F89" s="610">
        <f t="shared" si="853"/>
      </c>
      <c r="G89" s="610">
        <f t="shared" si="853"/>
      </c>
      <c r="H89" s="610">
        <f t="shared" si="853"/>
      </c>
      <c r="I89" s="610">
        <f t="shared" si="853"/>
      </c>
      <c r="J89" s="610">
        <f t="shared" si="853"/>
      </c>
      <c r="K89" s="610">
        <f t="shared" si="853"/>
      </c>
      <c r="L89" s="610">
        <f t="shared" si="853"/>
      </c>
      <c r="M89" s="610">
        <f t="shared" si="853"/>
      </c>
      <c r="N89" s="610">
        <f t="shared" si="853"/>
      </c>
      <c r="O89" s="610">
        <f t="shared" si="853"/>
      </c>
      <c r="P89" s="610">
        <f t="shared" si="853"/>
      </c>
      <c r="Q89" s="610">
        <f t="shared" si="853"/>
      </c>
      <c r="R89" s="610">
        <f t="shared" si="853"/>
      </c>
      <c r="S89" s="610">
        <f t="shared" si="853"/>
      </c>
      <c r="T89" s="610">
        <f t="shared" si="853"/>
      </c>
      <c r="U89" s="610">
        <f t="shared" si="853"/>
      </c>
      <c r="V89" s="610">
        <f t="shared" si="853"/>
      </c>
      <c r="W89" s="610">
        <f t="shared" si="853"/>
      </c>
      <c r="X89" s="610">
        <f t="shared" si="853"/>
      </c>
      <c r="Y89" s="610">
        <f t="shared" si="853"/>
      </c>
      <c r="Z89" s="610">
        <f t="shared" si="853"/>
      </c>
      <c r="AA89" s="610">
        <f t="shared" si="853"/>
      </c>
      <c r="AB89" s="610">
        <f t="shared" si="853"/>
      </c>
      <c r="AC89" s="610">
        <f t="shared" si="853"/>
      </c>
      <c r="AD89" s="610">
        <f t="shared" si="853"/>
      </c>
      <c r="AE89" s="610">
        <f t="shared" si="853"/>
      </c>
      <c r="AF89" s="610">
        <f t="shared" si="853"/>
      </c>
      <c r="AG89" s="610">
        <f t="shared" si="853"/>
      </c>
      <c r="AH89" s="610">
        <f t="shared" si="853"/>
      </c>
      <c r="AI89" s="610">
        <f t="shared" ref="AI89:BN89" si="854">AI31/AH31-1</f>
      </c>
      <c r="AJ89" s="610">
        <f t="shared" si="854"/>
      </c>
      <c r="AK89" s="610">
        <f t="shared" si="854"/>
      </c>
      <c r="AL89" s="610">
        <f t="shared" si="854"/>
      </c>
      <c r="AM89" s="610">
        <f t="shared" si="854"/>
      </c>
      <c r="AN89" s="610">
        <f t="shared" si="854"/>
      </c>
      <c r="AO89" s="610">
        <f t="shared" si="854"/>
      </c>
      <c r="AP89" s="610">
        <f t="shared" si="854"/>
      </c>
      <c r="AQ89" s="610">
        <f t="shared" si="854"/>
      </c>
      <c r="AR89" s="610">
        <f t="shared" si="854"/>
      </c>
      <c r="AS89" s="610">
        <f t="shared" si="854"/>
      </c>
      <c r="AT89" s="610">
        <f t="shared" si="854"/>
      </c>
      <c r="AU89" s="610">
        <f t="shared" si="854"/>
      </c>
      <c r="AV89" s="610">
        <f t="shared" si="854"/>
      </c>
      <c r="AW89" s="610">
        <f t="shared" si="854"/>
      </c>
      <c r="AX89" s="610">
        <f t="shared" si="854"/>
      </c>
      <c r="AY89" s="610">
        <f t="shared" si="854"/>
      </c>
      <c r="AZ89" s="610">
        <f t="shared" si="854"/>
      </c>
      <c r="BA89" s="610">
        <f t="shared" si="854"/>
      </c>
      <c r="BB89" s="610">
        <f t="shared" si="854"/>
      </c>
      <c r="BC89" s="610">
        <f t="shared" si="854"/>
      </c>
      <c r="BD89" s="610">
        <f t="shared" si="854"/>
      </c>
      <c r="BE89" s="610">
        <f t="shared" si="854"/>
      </c>
      <c r="BF89" s="610">
        <f t="shared" si="854"/>
      </c>
      <c r="BG89" s="610">
        <f t="shared" si="854"/>
      </c>
      <c r="BH89" s="610">
        <f t="shared" si="854"/>
      </c>
      <c r="BI89" s="610">
        <f t="shared" si="854"/>
      </c>
      <c r="BJ89" s="610">
        <f t="shared" si="854"/>
      </c>
      <c r="BK89" s="610">
        <f t="shared" si="854"/>
      </c>
      <c r="BL89" s="610">
        <f t="shared" si="854"/>
      </c>
      <c r="BM89" s="610">
        <f t="shared" si="854"/>
      </c>
      <c r="BN89" s="610">
        <f t="shared" si="854"/>
      </c>
      <c r="BO89" s="610">
        <f t="shared" ref="BO89:CT89" si="855">BO31/BN31-1</f>
      </c>
      <c r="BP89" s="610">
        <f t="shared" si="855"/>
      </c>
      <c r="BQ89" s="611">
        <f t="shared" si="855"/>
      </c>
      <c r="BR89" s="610">
        <f t="shared" si="855"/>
      </c>
      <c r="BS89" s="610">
        <f t="shared" si="855"/>
      </c>
      <c r="BT89" s="610">
        <f t="shared" si="855"/>
      </c>
      <c r="BU89" s="611">
        <f t="shared" si="855"/>
      </c>
      <c r="BV89" s="610">
        <f t="shared" si="855"/>
      </c>
      <c r="BW89" s="610">
        <f t="shared" si="855"/>
      </c>
      <c r="BX89" s="610">
        <f t="shared" si="855"/>
      </c>
      <c r="BY89" s="611">
        <f t="shared" si="855"/>
      </c>
      <c r="BZ89" s="610">
        <f t="shared" si="855"/>
      </c>
      <c r="CA89" s="610">
        <f t="shared" si="855"/>
      </c>
      <c r="CB89" s="610">
        <f t="shared" si="855"/>
      </c>
      <c r="CC89" s="611">
        <f t="shared" si="855"/>
      </c>
      <c r="CD89" s="610">
        <f t="shared" si="855"/>
      </c>
      <c r="CE89" s="610">
        <f t="shared" si="855"/>
      </c>
      <c r="CF89" s="610">
        <f t="shared" si="855"/>
      </c>
      <c r="CG89" s="611">
        <f t="shared" si="855"/>
      </c>
      <c r="CH89" s="610">
        <f t="shared" si="855"/>
      </c>
      <c r="CI89" s="610">
        <f t="shared" si="855"/>
      </c>
      <c r="CJ89" s="610">
        <f t="shared" si="855"/>
      </c>
      <c r="CK89" s="611">
        <f t="shared" si="855"/>
      </c>
      <c r="CL89" s="610">
        <f t="shared" si="855"/>
      </c>
      <c r="CM89" s="610">
        <f t="shared" si="855"/>
      </c>
      <c r="CN89" s="610">
        <f t="shared" si="855"/>
      </c>
      <c r="CO89" s="611">
        <f t="shared" si="855"/>
      </c>
      <c r="CP89" s="610">
        <f t="shared" si="855"/>
      </c>
      <c r="CQ89" s="610">
        <f t="shared" si="855"/>
      </c>
      <c r="CR89" s="610">
        <f t="shared" si="855"/>
      </c>
      <c r="CS89" s="611">
        <f t="shared" si="855"/>
      </c>
      <c r="CT89" s="610">
        <f t="shared" si="855"/>
      </c>
      <c r="CU89" s="610">
        <f t="shared" ref="CU89:DU89" si="856">CU31/CT31-1</f>
      </c>
      <c r="CV89" s="610">
        <f t="shared" si="856"/>
      </c>
      <c r="CW89" s="611">
        <f t="shared" si="856"/>
      </c>
      <c r="CX89" s="610">
        <f t="shared" si="856"/>
      </c>
      <c r="CY89" s="610">
        <f t="shared" si="856"/>
      </c>
      <c r="CZ89" s="610">
        <f t="shared" si="856"/>
      </c>
      <c r="DA89" s="611">
        <f t="shared" si="856"/>
      </c>
      <c r="DB89" s="610">
        <f t="shared" si="856"/>
      </c>
      <c r="DC89" s="610">
        <f t="shared" si="856"/>
      </c>
      <c r="DD89" s="610">
        <f t="shared" si="856"/>
      </c>
      <c r="DE89" s="611">
        <f t="shared" si="856"/>
      </c>
      <c r="DF89" s="610">
        <f t="shared" si="856"/>
      </c>
      <c r="DG89" s="610">
        <f t="shared" si="856"/>
      </c>
      <c r="DH89" s="610">
        <f t="shared" si="856"/>
      </c>
      <c r="DI89" s="611">
        <f t="shared" si="856"/>
      </c>
      <c r="DJ89" s="610">
        <f t="shared" si="856"/>
      </c>
      <c r="DK89" s="610">
        <f t="shared" si="856"/>
      </c>
      <c r="DL89" s="610">
        <f t="shared" si="856"/>
      </c>
      <c r="DM89" s="611">
        <f t="shared" si="856"/>
      </c>
      <c r="DN89" s="610">
        <f t="shared" si="856"/>
      </c>
      <c r="DO89" s="610">
        <f t="shared" si="856"/>
      </c>
      <c r="DP89" s="610">
        <f t="shared" si="856"/>
      </c>
      <c r="DQ89" s="611">
        <f t="shared" si="856"/>
      </c>
      <c r="DR89" s="610">
        <f t="shared" si="856"/>
      </c>
      <c r="DS89" s="610">
        <f t="shared" si="856"/>
      </c>
      <c r="DT89" s="610">
        <f t="shared" si="856"/>
      </c>
      <c r="DU89" s="611">
        <f t="shared" si="856"/>
      </c>
      <c r="DV89" s="610">
        <f t="shared" si="829"/>
      </c>
      <c r="DW89" s="610">
        <f t="shared" si="830"/>
      </c>
      <c r="DX89" s="610">
        <f t="shared" si="831"/>
      </c>
      <c r="DY89" s="611">
        <f t="shared" si="832"/>
      </c>
      <c r="DZ89" s="610">
        <f t="shared" si="833"/>
      </c>
      <c r="EA89" s="610">
        <f t="shared" si="834"/>
      </c>
      <c r="EB89" s="610">
        <f t="shared" si="835"/>
      </c>
      <c r="EC89" s="611">
        <f t="shared" si="836"/>
      </c>
      <c r="ED89" s="610">
        <f t="shared" si="837"/>
      </c>
      <c r="EE89" s="610">
        <f t="shared" si="838"/>
      </c>
      <c r="EF89" s="610">
        <f t="shared" si="839"/>
      </c>
      <c r="EG89" s="611">
        <f t="shared" si="840"/>
      </c>
      <c r="EH89" s="610">
        <f t="shared" si="841"/>
      </c>
      <c r="EI89" s="610">
        <f t="shared" si="842"/>
      </c>
      <c r="EJ89" s="610">
        <f t="shared" si="843"/>
      </c>
      <c r="EK89" s="611">
        <f t="shared" si="844"/>
      </c>
      <c r="EL89" s="11"/>
      <c r="FD89" s="66"/>
      <c r="FE89" s="66"/>
      <c r="FF89" s="66"/>
      <c r="FG89" s="66"/>
      <c r="FH89" s="66"/>
    </row>
    <row r="90" spans="1:212" s="17" customFormat="1">
      <c r="A90" s="640" t="str">
        <f t="shared" ref="A90:A92" si="857">A32</f>
      </c>
      <c r="B90" s="606"/>
      <c r="C90" s="606">
        <f t="shared" ref="C90:AH90" si="858">C32/B32-1</f>
      </c>
      <c r="D90" s="606">
        <f t="shared" si="858"/>
      </c>
      <c r="E90" s="635">
        <f t="shared" si="858"/>
      </c>
      <c r="F90" s="606">
        <f t="shared" si="858"/>
      </c>
      <c r="G90" s="606">
        <f t="shared" si="858"/>
      </c>
      <c r="H90" s="606">
        <f t="shared" si="858"/>
      </c>
      <c r="I90" s="606">
        <f t="shared" si="858"/>
      </c>
      <c r="J90" s="606">
        <f t="shared" si="858"/>
      </c>
      <c r="K90" s="606">
        <f t="shared" si="858"/>
      </c>
      <c r="L90" s="606">
        <f t="shared" si="858"/>
      </c>
      <c r="M90" s="606">
        <f t="shared" si="858"/>
      </c>
      <c r="N90" s="606">
        <f t="shared" si="858"/>
      </c>
      <c r="O90" s="606">
        <f t="shared" si="858"/>
      </c>
      <c r="P90" s="606">
        <f t="shared" si="858"/>
      </c>
      <c r="Q90" s="606">
        <f t="shared" si="858"/>
      </c>
      <c r="R90" s="606">
        <f t="shared" si="858"/>
      </c>
      <c r="S90" s="606">
        <f t="shared" si="858"/>
      </c>
      <c r="T90" s="606">
        <f t="shared" si="858"/>
      </c>
      <c r="U90" s="606">
        <f t="shared" si="858"/>
      </c>
      <c r="V90" s="606">
        <f t="shared" si="858"/>
      </c>
      <c r="W90" s="606">
        <f t="shared" si="858"/>
      </c>
      <c r="X90" s="606">
        <f t="shared" si="858"/>
      </c>
      <c r="Y90" s="606">
        <f t="shared" si="858"/>
      </c>
      <c r="Z90" s="606">
        <f t="shared" si="858"/>
      </c>
      <c r="AA90" s="606">
        <f t="shared" si="858"/>
      </c>
      <c r="AB90" s="606">
        <f t="shared" si="858"/>
      </c>
      <c r="AC90" s="606">
        <f t="shared" si="858"/>
      </c>
      <c r="AD90" s="606">
        <f t="shared" si="858"/>
      </c>
      <c r="AE90" s="606">
        <f t="shared" si="858"/>
      </c>
      <c r="AF90" s="606">
        <f t="shared" si="858"/>
      </c>
      <c r="AG90" s="606">
        <f t="shared" si="858"/>
      </c>
      <c r="AH90" s="606">
        <f t="shared" si="858"/>
      </c>
      <c r="AI90" s="606">
        <f t="shared" ref="AI90:BN90" si="859">AI32/AH32-1</f>
      </c>
      <c r="AJ90" s="606">
        <f t="shared" si="859"/>
      </c>
      <c r="AK90" s="606">
        <f t="shared" si="859"/>
      </c>
      <c r="AL90" s="606">
        <f t="shared" si="859"/>
      </c>
      <c r="AM90" s="606">
        <f t="shared" si="859"/>
      </c>
      <c r="AN90" s="606">
        <f t="shared" si="859"/>
      </c>
      <c r="AO90" s="606">
        <f t="shared" si="859"/>
      </c>
      <c r="AP90" s="606">
        <f t="shared" si="859"/>
      </c>
      <c r="AQ90" s="606">
        <f t="shared" si="859"/>
      </c>
      <c r="AR90" s="606">
        <f t="shared" si="859"/>
      </c>
      <c r="AS90" s="606">
        <f t="shared" si="859"/>
      </c>
      <c r="AT90" s="606">
        <f t="shared" si="859"/>
      </c>
      <c r="AU90" s="606">
        <f t="shared" si="859"/>
      </c>
      <c r="AV90" s="606">
        <f t="shared" si="859"/>
      </c>
      <c r="AW90" s="606">
        <f t="shared" si="859"/>
      </c>
      <c r="AX90" s="606">
        <f t="shared" si="859"/>
      </c>
      <c r="AY90" s="606">
        <f t="shared" si="859"/>
      </c>
      <c r="AZ90" s="606">
        <f t="shared" si="859"/>
      </c>
      <c r="BA90" s="606">
        <f t="shared" si="859"/>
      </c>
      <c r="BB90" s="606">
        <f t="shared" si="859"/>
      </c>
      <c r="BC90" s="606">
        <f t="shared" si="859"/>
      </c>
      <c r="BD90" s="606">
        <f t="shared" si="859"/>
      </c>
      <c r="BE90" s="606">
        <f t="shared" si="859"/>
      </c>
      <c r="BF90" s="606">
        <f t="shared" si="859"/>
      </c>
      <c r="BG90" s="606">
        <f t="shared" si="859"/>
      </c>
      <c r="BH90" s="606">
        <f t="shared" si="859"/>
      </c>
      <c r="BI90" s="606">
        <f t="shared" si="859"/>
      </c>
      <c r="BJ90" s="606">
        <f t="shared" si="859"/>
      </c>
      <c r="BK90" s="606">
        <f t="shared" si="859"/>
      </c>
      <c r="BL90" s="606">
        <f t="shared" si="859"/>
      </c>
      <c r="BM90" s="606">
        <f t="shared" si="859"/>
      </c>
      <c r="BN90" s="606">
        <f t="shared" si="859"/>
      </c>
      <c r="BO90" s="606">
        <f t="shared" ref="BO90:CT90" si="860">BO32/BN32-1</f>
      </c>
      <c r="BP90" s="606">
        <f t="shared" si="860"/>
      </c>
      <c r="BQ90" s="607">
        <f t="shared" si="860"/>
      </c>
      <c r="BR90" s="606">
        <f t="shared" si="860"/>
      </c>
      <c r="BS90" s="606">
        <f t="shared" si="860"/>
      </c>
      <c r="BT90" s="606">
        <f t="shared" si="860"/>
      </c>
      <c r="BU90" s="607">
        <f t="shared" si="860"/>
      </c>
      <c r="BV90" s="606">
        <f t="shared" si="860"/>
      </c>
      <c r="BW90" s="606">
        <f t="shared" si="860"/>
      </c>
      <c r="BX90" s="606">
        <f t="shared" si="860"/>
      </c>
      <c r="BY90" s="607">
        <f t="shared" si="860"/>
      </c>
      <c r="BZ90" s="606">
        <f t="shared" si="860"/>
      </c>
      <c r="CA90" s="606">
        <f t="shared" si="860"/>
      </c>
      <c r="CB90" s="606">
        <f t="shared" si="860"/>
      </c>
      <c r="CC90" s="607">
        <f t="shared" si="860"/>
      </c>
      <c r="CD90" s="606">
        <f t="shared" si="860"/>
      </c>
      <c r="CE90" s="606">
        <f t="shared" si="860"/>
      </c>
      <c r="CF90" s="606">
        <f t="shared" si="860"/>
      </c>
      <c r="CG90" s="607">
        <f t="shared" si="860"/>
      </c>
      <c r="CH90" s="606">
        <f t="shared" si="860"/>
      </c>
      <c r="CI90" s="606">
        <f t="shared" si="860"/>
      </c>
      <c r="CJ90" s="606">
        <f t="shared" si="860"/>
      </c>
      <c r="CK90" s="607">
        <f t="shared" si="860"/>
      </c>
      <c r="CL90" s="606">
        <f t="shared" si="860"/>
      </c>
      <c r="CM90" s="606">
        <f t="shared" si="860"/>
      </c>
      <c r="CN90" s="606">
        <f t="shared" si="860"/>
      </c>
      <c r="CO90" s="607">
        <f t="shared" si="860"/>
      </c>
      <c r="CP90" s="606">
        <f t="shared" si="860"/>
      </c>
      <c r="CQ90" s="606">
        <f t="shared" si="860"/>
      </c>
      <c r="CR90" s="606">
        <f t="shared" si="860"/>
      </c>
      <c r="CS90" s="607">
        <f t="shared" si="860"/>
      </c>
      <c r="CT90" s="606">
        <f t="shared" si="860"/>
      </c>
      <c r="CU90" s="606">
        <f t="shared" ref="CU90:DU90" si="861">CU32/CT32-1</f>
      </c>
      <c r="CV90" s="606">
        <f t="shared" si="861"/>
      </c>
      <c r="CW90" s="607">
        <f t="shared" si="861"/>
      </c>
      <c r="CX90" s="606">
        <f t="shared" si="861"/>
      </c>
      <c r="CY90" s="606">
        <f t="shared" si="861"/>
      </c>
      <c r="CZ90" s="606">
        <f t="shared" si="861"/>
      </c>
      <c r="DA90" s="607">
        <f t="shared" si="861"/>
      </c>
      <c r="DB90" s="606">
        <f t="shared" si="861"/>
      </c>
      <c r="DC90" s="606">
        <f t="shared" si="861"/>
      </c>
      <c r="DD90" s="606">
        <f t="shared" si="861"/>
      </c>
      <c r="DE90" s="607">
        <f t="shared" si="861"/>
      </c>
      <c r="DF90" s="606">
        <f t="shared" si="861"/>
      </c>
      <c r="DG90" s="606">
        <f t="shared" si="861"/>
      </c>
      <c r="DH90" s="606">
        <f t="shared" si="861"/>
      </c>
      <c r="DI90" s="607">
        <f t="shared" si="861"/>
      </c>
      <c r="DJ90" s="606">
        <f t="shared" si="861"/>
      </c>
      <c r="DK90" s="606">
        <f t="shared" si="861"/>
      </c>
      <c r="DL90" s="606">
        <f t="shared" si="861"/>
      </c>
      <c r="DM90" s="607">
        <f t="shared" si="861"/>
      </c>
      <c r="DN90" s="606">
        <f t="shared" si="861"/>
      </c>
      <c r="DO90" s="606">
        <f t="shared" si="861"/>
      </c>
      <c r="DP90" s="606">
        <f t="shared" si="861"/>
      </c>
      <c r="DQ90" s="607">
        <f t="shared" si="861"/>
      </c>
      <c r="DR90" s="606">
        <f t="shared" si="861"/>
      </c>
      <c r="DS90" s="606">
        <f t="shared" si="861"/>
      </c>
      <c r="DT90" s="606">
        <f t="shared" si="861"/>
      </c>
      <c r="DU90" s="607">
        <f t="shared" si="861"/>
      </c>
      <c r="DV90" s="606">
        <f t="shared" si="829"/>
      </c>
      <c r="DW90" s="606">
        <f t="shared" si="830"/>
      </c>
      <c r="DX90" s="606">
        <f t="shared" si="831"/>
      </c>
      <c r="DY90" s="607">
        <f t="shared" si="832"/>
      </c>
      <c r="DZ90" s="606">
        <f t="shared" si="833"/>
      </c>
      <c r="EA90" s="606">
        <f t="shared" si="834"/>
      </c>
      <c r="EB90" s="606">
        <f t="shared" si="835"/>
      </c>
      <c r="EC90" s="607">
        <f t="shared" si="836"/>
      </c>
      <c r="ED90" s="606">
        <f t="shared" si="837"/>
      </c>
      <c r="EE90" s="606">
        <f t="shared" si="838"/>
      </c>
      <c r="EF90" s="606">
        <f t="shared" si="839"/>
      </c>
      <c r="EG90" s="607">
        <f t="shared" si="840"/>
      </c>
      <c r="EH90" s="606">
        <f t="shared" si="841"/>
      </c>
      <c r="EI90" s="606">
        <f t="shared" si="842"/>
      </c>
      <c r="EJ90" s="606">
        <f t="shared" si="843"/>
      </c>
      <c r="EK90" s="607">
        <f t="shared" si="844"/>
      </c>
      <c r="EL90" s="11"/>
      <c r="FD90" s="66"/>
      <c r="FE90" s="66"/>
      <c r="FF90" s="66"/>
      <c r="FG90" s="66"/>
      <c r="FH90" s="66"/>
    </row>
    <row r="91" spans="1:212" s="17" customFormat="1">
      <c r="A91" s="641" t="str">
        <f t="shared" si="857"/>
      </c>
      <c r="B91" s="610"/>
      <c r="C91" s="610">
        <f t="shared" ref="C91:AH91" si="862">C33/B33-1</f>
      </c>
      <c r="D91" s="610">
        <f t="shared" si="862"/>
      </c>
      <c r="E91" s="636">
        <f t="shared" si="862"/>
      </c>
      <c r="F91" s="610">
        <f t="shared" si="862"/>
      </c>
      <c r="G91" s="610">
        <f t="shared" si="862"/>
      </c>
      <c r="H91" s="610">
        <f t="shared" si="862"/>
      </c>
      <c r="I91" s="610">
        <f t="shared" si="862"/>
      </c>
      <c r="J91" s="610">
        <f t="shared" si="862"/>
      </c>
      <c r="K91" s="610">
        <f t="shared" si="862"/>
      </c>
      <c r="L91" s="610">
        <f t="shared" si="862"/>
      </c>
      <c r="M91" s="610">
        <f t="shared" si="862"/>
      </c>
      <c r="N91" s="610">
        <f t="shared" si="862"/>
      </c>
      <c r="O91" s="610">
        <f t="shared" si="862"/>
      </c>
      <c r="P91" s="610">
        <f t="shared" si="862"/>
      </c>
      <c r="Q91" s="610">
        <f t="shared" si="862"/>
      </c>
      <c r="R91" s="610">
        <f t="shared" si="862"/>
      </c>
      <c r="S91" s="610">
        <f t="shared" si="862"/>
      </c>
      <c r="T91" s="610">
        <f t="shared" si="862"/>
      </c>
      <c r="U91" s="610">
        <f t="shared" si="862"/>
      </c>
      <c r="V91" s="610">
        <f t="shared" si="862"/>
      </c>
      <c r="W91" s="610">
        <f t="shared" si="862"/>
      </c>
      <c r="X91" s="610">
        <f t="shared" si="862"/>
      </c>
      <c r="Y91" s="610">
        <f t="shared" si="862"/>
      </c>
      <c r="Z91" s="610">
        <f t="shared" si="862"/>
      </c>
      <c r="AA91" s="610">
        <f t="shared" si="862"/>
      </c>
      <c r="AB91" s="610">
        <f t="shared" si="862"/>
      </c>
      <c r="AC91" s="610">
        <f t="shared" si="862"/>
      </c>
      <c r="AD91" s="610">
        <f t="shared" si="862"/>
      </c>
      <c r="AE91" s="610">
        <f t="shared" si="862"/>
      </c>
      <c r="AF91" s="610">
        <f t="shared" si="862"/>
      </c>
      <c r="AG91" s="610">
        <f t="shared" si="862"/>
      </c>
      <c r="AH91" s="610">
        <f t="shared" si="862"/>
      </c>
      <c r="AI91" s="610">
        <f t="shared" ref="AI91:BN91" si="863">AI33/AH33-1</f>
      </c>
      <c r="AJ91" s="610">
        <f t="shared" si="863"/>
      </c>
      <c r="AK91" s="610">
        <f t="shared" si="863"/>
      </c>
      <c r="AL91" s="610">
        <f t="shared" si="863"/>
      </c>
      <c r="AM91" s="610">
        <f t="shared" si="863"/>
      </c>
      <c r="AN91" s="610">
        <f t="shared" si="863"/>
      </c>
      <c r="AO91" s="610">
        <f t="shared" si="863"/>
      </c>
      <c r="AP91" s="610">
        <f t="shared" si="863"/>
      </c>
      <c r="AQ91" s="610">
        <f t="shared" si="863"/>
      </c>
      <c r="AR91" s="610">
        <f t="shared" si="863"/>
      </c>
      <c r="AS91" s="610">
        <f t="shared" si="863"/>
      </c>
      <c r="AT91" s="610">
        <f t="shared" si="863"/>
      </c>
      <c r="AU91" s="610">
        <f t="shared" si="863"/>
      </c>
      <c r="AV91" s="610">
        <f t="shared" si="863"/>
      </c>
      <c r="AW91" s="610">
        <f t="shared" si="863"/>
      </c>
      <c r="AX91" s="610">
        <f t="shared" si="863"/>
      </c>
      <c r="AY91" s="610">
        <f t="shared" si="863"/>
      </c>
      <c r="AZ91" s="610">
        <f t="shared" si="863"/>
      </c>
      <c r="BA91" s="610">
        <f t="shared" si="863"/>
      </c>
      <c r="BB91" s="610">
        <f t="shared" si="863"/>
      </c>
      <c r="BC91" s="610">
        <f t="shared" si="863"/>
      </c>
      <c r="BD91" s="610">
        <f t="shared" si="863"/>
      </c>
      <c r="BE91" s="610">
        <f t="shared" si="863"/>
      </c>
      <c r="BF91" s="610">
        <f t="shared" si="863"/>
      </c>
      <c r="BG91" s="610">
        <f t="shared" si="863"/>
      </c>
      <c r="BH91" s="610">
        <f t="shared" si="863"/>
      </c>
      <c r="BI91" s="610">
        <f t="shared" si="863"/>
      </c>
      <c r="BJ91" s="610">
        <f t="shared" si="863"/>
      </c>
      <c r="BK91" s="610">
        <f t="shared" si="863"/>
      </c>
      <c r="BL91" s="610">
        <f t="shared" si="863"/>
      </c>
      <c r="BM91" s="610">
        <f t="shared" si="863"/>
      </c>
      <c r="BN91" s="610">
        <f t="shared" si="863"/>
      </c>
      <c r="BO91" s="610">
        <f t="shared" ref="BO91:CT91" si="864">BO33/BN33-1</f>
      </c>
      <c r="BP91" s="610">
        <f t="shared" si="864"/>
      </c>
      <c r="BQ91" s="611">
        <f t="shared" si="864"/>
      </c>
      <c r="BR91" s="610">
        <f t="shared" si="864"/>
      </c>
      <c r="BS91" s="610">
        <f t="shared" si="864"/>
      </c>
      <c r="BT91" s="610">
        <f t="shared" si="864"/>
      </c>
      <c r="BU91" s="611">
        <f t="shared" si="864"/>
      </c>
      <c r="BV91" s="610">
        <f t="shared" si="864"/>
      </c>
      <c r="BW91" s="610">
        <f t="shared" si="864"/>
      </c>
      <c r="BX91" s="610">
        <f t="shared" si="864"/>
      </c>
      <c r="BY91" s="611">
        <f t="shared" si="864"/>
      </c>
      <c r="BZ91" s="610">
        <f t="shared" si="864"/>
      </c>
      <c r="CA91" s="610">
        <f t="shared" si="864"/>
      </c>
      <c r="CB91" s="610">
        <f t="shared" si="864"/>
      </c>
      <c r="CC91" s="611">
        <f t="shared" si="864"/>
      </c>
      <c r="CD91" s="610">
        <f t="shared" si="864"/>
      </c>
      <c r="CE91" s="610">
        <f t="shared" si="864"/>
      </c>
      <c r="CF91" s="610">
        <f t="shared" si="864"/>
      </c>
      <c r="CG91" s="611">
        <f t="shared" si="864"/>
      </c>
      <c r="CH91" s="610">
        <f t="shared" si="864"/>
      </c>
      <c r="CI91" s="610">
        <f t="shared" si="864"/>
      </c>
      <c r="CJ91" s="610">
        <f t="shared" si="864"/>
      </c>
      <c r="CK91" s="611">
        <f t="shared" si="864"/>
      </c>
      <c r="CL91" s="610">
        <f t="shared" si="864"/>
      </c>
      <c r="CM91" s="610">
        <f t="shared" si="864"/>
      </c>
      <c r="CN91" s="610">
        <f t="shared" si="864"/>
      </c>
      <c r="CO91" s="611">
        <f t="shared" si="864"/>
      </c>
      <c r="CP91" s="610">
        <f t="shared" si="864"/>
      </c>
      <c r="CQ91" s="610">
        <f t="shared" si="864"/>
      </c>
      <c r="CR91" s="610">
        <f t="shared" si="864"/>
      </c>
      <c r="CS91" s="611">
        <f t="shared" si="864"/>
      </c>
      <c r="CT91" s="610">
        <f t="shared" si="864"/>
      </c>
      <c r="CU91" s="610">
        <f t="shared" ref="CU91:DU91" si="865">CU33/CT33-1</f>
      </c>
      <c r="CV91" s="610">
        <f t="shared" si="865"/>
      </c>
      <c r="CW91" s="611">
        <f t="shared" si="865"/>
      </c>
      <c r="CX91" s="610">
        <f t="shared" si="865"/>
      </c>
      <c r="CY91" s="610">
        <f t="shared" si="865"/>
      </c>
      <c r="CZ91" s="610">
        <f t="shared" si="865"/>
      </c>
      <c r="DA91" s="611">
        <f t="shared" si="865"/>
      </c>
      <c r="DB91" s="610">
        <f t="shared" si="865"/>
      </c>
      <c r="DC91" s="610">
        <f t="shared" si="865"/>
      </c>
      <c r="DD91" s="610">
        <f t="shared" si="865"/>
      </c>
      <c r="DE91" s="611">
        <f t="shared" si="865"/>
      </c>
      <c r="DF91" s="610">
        <f t="shared" si="865"/>
      </c>
      <c r="DG91" s="610">
        <f t="shared" si="865"/>
      </c>
      <c r="DH91" s="610">
        <f t="shared" si="865"/>
      </c>
      <c r="DI91" s="611">
        <f t="shared" si="865"/>
      </c>
      <c r="DJ91" s="610">
        <f t="shared" si="865"/>
      </c>
      <c r="DK91" s="610">
        <f t="shared" si="865"/>
      </c>
      <c r="DL91" s="610">
        <f t="shared" si="865"/>
      </c>
      <c r="DM91" s="611">
        <f t="shared" si="865"/>
      </c>
      <c r="DN91" s="610">
        <f t="shared" si="865"/>
      </c>
      <c r="DO91" s="610">
        <f t="shared" si="865"/>
      </c>
      <c r="DP91" s="610">
        <f t="shared" si="865"/>
      </c>
      <c r="DQ91" s="611">
        <f t="shared" si="865"/>
      </c>
      <c r="DR91" s="610">
        <f t="shared" si="865"/>
      </c>
      <c r="DS91" s="610">
        <f t="shared" si="865"/>
      </c>
      <c r="DT91" s="610">
        <f t="shared" si="865"/>
      </c>
      <c r="DU91" s="611">
        <f t="shared" si="865"/>
      </c>
      <c r="DV91" s="610">
        <f t="shared" si="829"/>
      </c>
      <c r="DW91" s="610">
        <f t="shared" si="830"/>
      </c>
      <c r="DX91" s="610">
        <f t="shared" si="831"/>
      </c>
      <c r="DY91" s="611">
        <f t="shared" si="832"/>
      </c>
      <c r="DZ91" s="610">
        <f t="shared" si="833"/>
      </c>
      <c r="EA91" s="610">
        <f t="shared" si="834"/>
      </c>
      <c r="EB91" s="610">
        <f t="shared" si="835"/>
      </c>
      <c r="EC91" s="611">
        <f t="shared" si="836"/>
      </c>
      <c r="ED91" s="610">
        <f t="shared" si="837"/>
      </c>
      <c r="EE91" s="610">
        <f t="shared" si="838"/>
      </c>
      <c r="EF91" s="610">
        <f t="shared" si="839"/>
      </c>
      <c r="EG91" s="611">
        <f t="shared" si="840"/>
      </c>
      <c r="EH91" s="610">
        <f t="shared" si="841"/>
      </c>
      <c r="EI91" s="610">
        <f t="shared" si="842"/>
      </c>
      <c r="EJ91" s="610">
        <f t="shared" si="843"/>
      </c>
      <c r="EK91" s="611">
        <f t="shared" si="844"/>
      </c>
      <c r="EL91" s="11"/>
      <c r="FD91" s="66"/>
      <c r="FE91" s="66"/>
      <c r="FF91" s="66"/>
      <c r="FG91" s="66"/>
      <c r="FH91" s="66"/>
    </row>
    <row r="92" spans="1:212" s="17" customFormat="1">
      <c r="A92" s="639" t="str">
        <f t="shared" si="857"/>
      </c>
      <c r="B92" s="601"/>
      <c r="C92" s="601">
        <f t="shared" ref="C92:AH92" si="866">C34/B34-1</f>
      </c>
      <c r="D92" s="601">
        <f t="shared" si="866"/>
      </c>
      <c r="E92" s="633">
        <f t="shared" si="866"/>
      </c>
      <c r="F92" s="601">
        <f t="shared" si="866"/>
      </c>
      <c r="G92" s="601">
        <f t="shared" si="866"/>
      </c>
      <c r="H92" s="601">
        <f t="shared" si="866"/>
      </c>
      <c r="I92" s="601">
        <f t="shared" si="866"/>
      </c>
      <c r="J92" s="601">
        <f t="shared" si="866"/>
      </c>
      <c r="K92" s="601">
        <f t="shared" si="866"/>
      </c>
      <c r="L92" s="601">
        <f t="shared" si="866"/>
      </c>
      <c r="M92" s="601">
        <f t="shared" si="866"/>
      </c>
      <c r="N92" s="601">
        <f t="shared" si="866"/>
      </c>
      <c r="O92" s="601">
        <f t="shared" si="866"/>
      </c>
      <c r="P92" s="601">
        <f t="shared" si="866"/>
      </c>
      <c r="Q92" s="601">
        <f t="shared" si="866"/>
      </c>
      <c r="R92" s="601">
        <f t="shared" si="866"/>
      </c>
      <c r="S92" s="601">
        <f t="shared" si="866"/>
      </c>
      <c r="T92" s="601">
        <f t="shared" si="866"/>
      </c>
      <c r="U92" s="601">
        <f t="shared" si="866"/>
      </c>
      <c r="V92" s="601">
        <f t="shared" si="866"/>
      </c>
      <c r="W92" s="601">
        <f t="shared" si="866"/>
      </c>
      <c r="X92" s="601">
        <f t="shared" si="866"/>
      </c>
      <c r="Y92" s="601">
        <f t="shared" si="866"/>
      </c>
      <c r="Z92" s="601">
        <f t="shared" si="866"/>
      </c>
      <c r="AA92" s="601">
        <f t="shared" si="866"/>
      </c>
      <c r="AB92" s="601">
        <f t="shared" si="866"/>
      </c>
      <c r="AC92" s="601">
        <f t="shared" si="866"/>
      </c>
      <c r="AD92" s="601">
        <f t="shared" si="866"/>
      </c>
      <c r="AE92" s="601">
        <f t="shared" si="866"/>
      </c>
      <c r="AF92" s="601">
        <f t="shared" si="866"/>
      </c>
      <c r="AG92" s="601">
        <f t="shared" si="866"/>
      </c>
      <c r="AH92" s="601">
        <f t="shared" si="866"/>
      </c>
      <c r="AI92" s="601">
        <f t="shared" ref="AI92:BN92" si="867">AI34/AH34-1</f>
      </c>
      <c r="AJ92" s="601">
        <f t="shared" si="867"/>
      </c>
      <c r="AK92" s="601">
        <f t="shared" si="867"/>
      </c>
      <c r="AL92" s="601">
        <f t="shared" si="867"/>
      </c>
      <c r="AM92" s="601">
        <f t="shared" si="867"/>
      </c>
      <c r="AN92" s="601">
        <f t="shared" si="867"/>
      </c>
      <c r="AO92" s="601">
        <f t="shared" si="867"/>
      </c>
      <c r="AP92" s="601">
        <f t="shared" si="867"/>
      </c>
      <c r="AQ92" s="601">
        <f t="shared" si="867"/>
      </c>
      <c r="AR92" s="601">
        <f t="shared" si="867"/>
      </c>
      <c r="AS92" s="601">
        <f t="shared" si="867"/>
      </c>
      <c r="AT92" s="601">
        <f t="shared" si="867"/>
      </c>
      <c r="AU92" s="601">
        <f t="shared" si="867"/>
      </c>
      <c r="AV92" s="601">
        <f t="shared" si="867"/>
      </c>
      <c r="AW92" s="601">
        <f t="shared" si="867"/>
      </c>
      <c r="AX92" s="601">
        <f t="shared" si="867"/>
      </c>
      <c r="AY92" s="601">
        <f t="shared" si="867"/>
      </c>
      <c r="AZ92" s="601">
        <f t="shared" si="867"/>
      </c>
      <c r="BA92" s="601">
        <f t="shared" si="867"/>
      </c>
      <c r="BB92" s="601">
        <f t="shared" si="867"/>
      </c>
      <c r="BC92" s="601">
        <f t="shared" si="867"/>
      </c>
      <c r="BD92" s="601">
        <f t="shared" si="867"/>
      </c>
      <c r="BE92" s="601">
        <f t="shared" si="867"/>
      </c>
      <c r="BF92" s="601">
        <f t="shared" si="867"/>
      </c>
      <c r="BG92" s="601">
        <f t="shared" si="867"/>
      </c>
      <c r="BH92" s="601">
        <f t="shared" si="867"/>
      </c>
      <c r="BI92" s="601">
        <f t="shared" si="867"/>
      </c>
      <c r="BJ92" s="601">
        <f t="shared" si="867"/>
      </c>
      <c r="BK92" s="601">
        <f t="shared" si="867"/>
      </c>
      <c r="BL92" s="601">
        <f t="shared" si="867"/>
      </c>
      <c r="BM92" s="601">
        <f t="shared" si="867"/>
      </c>
      <c r="BN92" s="601">
        <f t="shared" si="867"/>
      </c>
      <c r="BO92" s="601">
        <f t="shared" ref="BO92:CT92" si="868">BO34/BN34-1</f>
      </c>
      <c r="BP92" s="601">
        <f t="shared" si="868"/>
      </c>
      <c r="BQ92" s="602">
        <f t="shared" si="868"/>
      </c>
      <c r="BR92" s="601">
        <f t="shared" si="868"/>
      </c>
      <c r="BS92" s="601">
        <f t="shared" si="868"/>
      </c>
      <c r="BT92" s="601">
        <f t="shared" si="868"/>
      </c>
      <c r="BU92" s="602">
        <f t="shared" si="868"/>
      </c>
      <c r="BV92" s="601">
        <f t="shared" si="868"/>
      </c>
      <c r="BW92" s="601">
        <f t="shared" si="868"/>
      </c>
      <c r="BX92" s="601">
        <f t="shared" si="868"/>
      </c>
      <c r="BY92" s="602">
        <f t="shared" si="868"/>
      </c>
      <c r="BZ92" s="601">
        <f t="shared" si="868"/>
      </c>
      <c r="CA92" s="601">
        <f t="shared" si="868"/>
      </c>
      <c r="CB92" s="601">
        <f t="shared" si="868"/>
      </c>
      <c r="CC92" s="602">
        <f t="shared" si="868"/>
      </c>
      <c r="CD92" s="601">
        <f t="shared" si="868"/>
      </c>
      <c r="CE92" s="601">
        <f t="shared" si="868"/>
      </c>
      <c r="CF92" s="601">
        <f t="shared" si="868"/>
      </c>
      <c r="CG92" s="602">
        <f t="shared" si="868"/>
      </c>
      <c r="CH92" s="601">
        <f t="shared" si="868"/>
      </c>
      <c r="CI92" s="601">
        <f t="shared" si="868"/>
      </c>
      <c r="CJ92" s="601">
        <f t="shared" si="868"/>
      </c>
      <c r="CK92" s="602">
        <f t="shared" si="868"/>
      </c>
      <c r="CL92" s="601">
        <f t="shared" si="868"/>
      </c>
      <c r="CM92" s="601">
        <f t="shared" si="868"/>
      </c>
      <c r="CN92" s="601">
        <f t="shared" si="868"/>
      </c>
      <c r="CO92" s="602">
        <f t="shared" si="868"/>
      </c>
      <c r="CP92" s="601">
        <f t="shared" si="868"/>
      </c>
      <c r="CQ92" s="601">
        <f t="shared" si="868"/>
      </c>
      <c r="CR92" s="601">
        <f t="shared" si="868"/>
      </c>
      <c r="CS92" s="602">
        <f t="shared" si="868"/>
      </c>
      <c r="CT92" s="601">
        <f t="shared" si="868"/>
      </c>
      <c r="CU92" s="601">
        <f t="shared" ref="CU92:DU92" si="869">CU34/CT34-1</f>
      </c>
      <c r="CV92" s="601">
        <f t="shared" si="869"/>
      </c>
      <c r="CW92" s="602">
        <f t="shared" si="869"/>
      </c>
      <c r="CX92" s="601">
        <f t="shared" si="869"/>
      </c>
      <c r="CY92" s="601">
        <f t="shared" si="869"/>
      </c>
      <c r="CZ92" s="601">
        <f t="shared" si="869"/>
      </c>
      <c r="DA92" s="602">
        <f t="shared" si="869"/>
      </c>
      <c r="DB92" s="601">
        <f t="shared" si="869"/>
      </c>
      <c r="DC92" s="601">
        <f t="shared" si="869"/>
      </c>
      <c r="DD92" s="601">
        <f t="shared" si="869"/>
      </c>
      <c r="DE92" s="602">
        <f t="shared" si="869"/>
      </c>
      <c r="DF92" s="601">
        <f t="shared" si="869"/>
      </c>
      <c r="DG92" s="601">
        <f t="shared" si="869"/>
      </c>
      <c r="DH92" s="601">
        <f t="shared" si="869"/>
      </c>
      <c r="DI92" s="602">
        <f t="shared" si="869"/>
      </c>
      <c r="DJ92" s="601">
        <f t="shared" si="869"/>
      </c>
      <c r="DK92" s="601">
        <f t="shared" si="869"/>
      </c>
      <c r="DL92" s="601">
        <f t="shared" si="869"/>
      </c>
      <c r="DM92" s="602">
        <f t="shared" si="869"/>
      </c>
      <c r="DN92" s="601">
        <f t="shared" si="869"/>
      </c>
      <c r="DO92" s="601">
        <f t="shared" si="869"/>
      </c>
      <c r="DP92" s="601">
        <f t="shared" si="869"/>
      </c>
      <c r="DQ92" s="602">
        <f t="shared" si="869"/>
      </c>
      <c r="DR92" s="601">
        <f t="shared" si="869"/>
      </c>
      <c r="DS92" s="601">
        <f t="shared" si="869"/>
      </c>
      <c r="DT92" s="601">
        <f t="shared" si="869"/>
      </c>
      <c r="DU92" s="602">
        <f t="shared" si="869"/>
      </c>
      <c r="DV92" s="601">
        <f t="shared" si="829"/>
      </c>
      <c r="DW92" s="601">
        <f t="shared" si="830"/>
      </c>
      <c r="DX92" s="601">
        <f t="shared" si="831"/>
      </c>
      <c r="DY92" s="602">
        <f t="shared" si="832"/>
      </c>
      <c r="DZ92" s="601">
        <f t="shared" si="833"/>
      </c>
      <c r="EA92" s="601">
        <f t="shared" si="834"/>
      </c>
      <c r="EB92" s="601">
        <f t="shared" si="835"/>
      </c>
      <c r="EC92" s="602">
        <f t="shared" si="836"/>
      </c>
      <c r="ED92" s="601">
        <f t="shared" si="837"/>
      </c>
      <c r="EE92" s="601">
        <f t="shared" si="838"/>
      </c>
      <c r="EF92" s="601">
        <f t="shared" si="839"/>
      </c>
      <c r="EG92" s="602">
        <f t="shared" si="840"/>
      </c>
      <c r="EH92" s="601">
        <f t="shared" si="841"/>
      </c>
      <c r="EI92" s="601">
        <f t="shared" si="842"/>
      </c>
      <c r="EJ92" s="601">
        <f t="shared" si="843"/>
      </c>
      <c r="EK92" s="602">
        <f t="shared" si="844"/>
      </c>
      <c r="EL92" s="11"/>
      <c r="FD92" s="66"/>
      <c r="FE92" s="66"/>
      <c r="FF92" s="66"/>
      <c r="FG92" s="66"/>
      <c r="FH92" s="66"/>
    </row>
    <row r="93" spans="1:212">
      <c r="A93" s="8"/>
      <c r="E93" s="181"/>
      <c r="BQ93" s="170"/>
      <c r="BU93" s="170"/>
      <c r="BY93" s="170"/>
      <c r="CC93" s="170"/>
      <c r="CG93" s="170"/>
      <c r="CJ93" s="15"/>
      <c r="CK93" s="170"/>
      <c r="CN93" s="15"/>
      <c r="CO93" s="170"/>
      <c r="CS93" s="170"/>
      <c r="CW93" s="170"/>
      <c r="DA93" s="170"/>
      <c r="DE93" s="260"/>
      <c r="DI93" s="260"/>
      <c r="DM93" s="260"/>
      <c r="DQ93" s="260"/>
      <c r="DU93" s="260"/>
      <c r="DY93" s="260"/>
      <c r="EC93" s="260"/>
      <c r="EG93" s="260"/>
      <c r="EK93" s="260"/>
      <c r="EQ93" s="15"/>
      <c r="ER93" s="15"/>
      <c r="ES93" s="15"/>
      <c r="ET93" s="15"/>
      <c r="EU93" s="15"/>
      <c r="EV93" s="15"/>
      <c r="EW93" s="15"/>
      <c r="EX93" s="15"/>
      <c r="EY93" s="15"/>
      <c r="EZ93" s="15"/>
      <c r="FA93" s="15"/>
      <c r="FB93" s="15"/>
      <c r="FC93" s="15"/>
      <c r="FD93" s="34"/>
      <c r="FE93" s="34"/>
      <c r="FF93" s="65"/>
      <c r="FG93" s="65"/>
      <c r="FH93" s="65"/>
    </row>
    <row r="94" spans="1:212" s="1" customFormat="1">
      <c r="A94" s="543"/>
      <c r="B94" s="543" t="str">
        <f t="shared" ref="B94:BM94" si="870">B$37</f>
      </c>
      <c r="C94" s="543" t="str">
        <f t="shared" si="870"/>
      </c>
      <c r="D94" s="543" t="str">
        <f t="shared" si="870"/>
      </c>
      <c r="E94" s="544" t="str">
        <f t="shared" si="870"/>
      </c>
      <c r="F94" s="543" t="str">
        <f t="shared" si="870"/>
      </c>
      <c r="G94" s="543" t="str">
        <f t="shared" si="870"/>
      </c>
      <c r="H94" s="543" t="str">
        <f t="shared" si="870"/>
      </c>
      <c r="I94" s="543" t="str">
        <f t="shared" si="870"/>
      </c>
      <c r="J94" s="543" t="str">
        <f t="shared" si="870"/>
      </c>
      <c r="K94" s="543" t="str">
        <f t="shared" si="870"/>
      </c>
      <c r="L94" s="543" t="str">
        <f t="shared" si="870"/>
      </c>
      <c r="M94" s="543" t="str">
        <f t="shared" si="870"/>
      </c>
      <c r="N94" s="543" t="str">
        <f t="shared" si="870"/>
      </c>
      <c r="O94" s="543" t="str">
        <f t="shared" si="870"/>
      </c>
      <c r="P94" s="543" t="str">
        <f t="shared" si="870"/>
      </c>
      <c r="Q94" s="543" t="str">
        <f t="shared" si="870"/>
      </c>
      <c r="R94" s="543" t="str">
        <f t="shared" si="870"/>
      </c>
      <c r="S94" s="543" t="str">
        <f t="shared" si="870"/>
      </c>
      <c r="T94" s="543" t="str">
        <f t="shared" si="870"/>
      </c>
      <c r="U94" s="543" t="str">
        <f t="shared" si="870"/>
      </c>
      <c r="V94" s="543" t="str">
        <f t="shared" si="870"/>
      </c>
      <c r="W94" s="543" t="str">
        <f t="shared" si="870"/>
      </c>
      <c r="X94" s="543" t="str">
        <f t="shared" si="870"/>
      </c>
      <c r="Y94" s="543" t="str">
        <f t="shared" si="870"/>
      </c>
      <c r="Z94" s="543" t="str">
        <f t="shared" si="870"/>
      </c>
      <c r="AA94" s="543" t="str">
        <f t="shared" si="870"/>
      </c>
      <c r="AB94" s="543" t="str">
        <f t="shared" si="870"/>
      </c>
      <c r="AC94" s="543" t="str">
        <f t="shared" si="870"/>
      </c>
      <c r="AD94" s="543" t="str">
        <f t="shared" si="870"/>
      </c>
      <c r="AE94" s="543" t="str">
        <f t="shared" si="870"/>
      </c>
      <c r="AF94" s="543" t="str">
        <f t="shared" si="870"/>
      </c>
      <c r="AG94" s="543" t="str">
        <f t="shared" si="870"/>
      </c>
      <c r="AH94" s="543" t="str">
        <f t="shared" si="870"/>
      </c>
      <c r="AI94" s="543" t="str">
        <f t="shared" si="870"/>
      </c>
      <c r="AJ94" s="543" t="str">
        <f t="shared" si="870"/>
      </c>
      <c r="AK94" s="543" t="str">
        <f t="shared" si="870"/>
      </c>
      <c r="AL94" s="543" t="str">
        <f t="shared" si="870"/>
      </c>
      <c r="AM94" s="543" t="str">
        <f t="shared" si="870"/>
      </c>
      <c r="AN94" s="543" t="str">
        <f t="shared" si="870"/>
      </c>
      <c r="AO94" s="543" t="str">
        <f t="shared" si="870"/>
      </c>
      <c r="AP94" s="543" t="str">
        <f t="shared" si="870"/>
      </c>
      <c r="AQ94" s="543" t="str">
        <f t="shared" si="870"/>
      </c>
      <c r="AR94" s="543" t="str">
        <f t="shared" si="870"/>
      </c>
      <c r="AS94" s="543" t="str">
        <f t="shared" si="870"/>
      </c>
      <c r="AT94" s="543" t="str">
        <f t="shared" si="870"/>
      </c>
      <c r="AU94" s="543" t="str">
        <f t="shared" si="870"/>
      </c>
      <c r="AV94" s="543" t="str">
        <f t="shared" si="870"/>
      </c>
      <c r="AW94" s="543" t="str">
        <f t="shared" si="870"/>
      </c>
      <c r="AX94" s="543" t="str">
        <f t="shared" si="870"/>
      </c>
      <c r="AY94" s="543" t="str">
        <f t="shared" si="870"/>
      </c>
      <c r="AZ94" s="543" t="str">
        <f t="shared" si="870"/>
      </c>
      <c r="BA94" s="543" t="str">
        <f t="shared" si="870"/>
      </c>
      <c r="BB94" s="543" t="str">
        <f t="shared" si="870"/>
      </c>
      <c r="BC94" s="543" t="str">
        <f t="shared" si="870"/>
      </c>
      <c r="BD94" s="543" t="str">
        <f t="shared" si="870"/>
      </c>
      <c r="BE94" s="543" t="str">
        <f t="shared" si="870"/>
      </c>
      <c r="BF94" s="543" t="str">
        <f t="shared" si="870"/>
      </c>
      <c r="BG94" s="543" t="str">
        <f t="shared" si="870"/>
      </c>
      <c r="BH94" s="543" t="str">
        <f t="shared" si="870"/>
      </c>
      <c r="BI94" s="543" t="str">
        <f t="shared" si="870"/>
      </c>
      <c r="BJ94" s="543" t="str">
        <f t="shared" si="870"/>
      </c>
      <c r="BK94" s="543" t="str">
        <f t="shared" si="870"/>
      </c>
      <c r="BL94" s="543" t="str">
        <f t="shared" si="870"/>
      </c>
      <c r="BM94" s="543" t="str">
        <f t="shared" si="870"/>
      </c>
      <c r="BN94" s="543" t="str">
        <f t="shared" ref="BN94:DZ94" si="871">BN$37</f>
      </c>
      <c r="BO94" s="543" t="str">
        <f t="shared" si="871"/>
      </c>
      <c r="BP94" s="543" t="str">
        <f t="shared" si="871"/>
      </c>
      <c r="BQ94" s="545" t="str">
        <f t="shared" si="871"/>
      </c>
      <c r="BR94" s="543" t="str">
        <f t="shared" si="871"/>
      </c>
      <c r="BS94" s="543" t="str">
        <f t="shared" si="871"/>
      </c>
      <c r="BT94" s="543" t="str">
        <f t="shared" si="871"/>
      </c>
      <c r="BU94" s="545" t="str">
        <f t="shared" si="871"/>
      </c>
      <c r="BV94" s="543" t="str">
        <f t="shared" si="871"/>
      </c>
      <c r="BW94" s="543" t="str">
        <f t="shared" si="871"/>
      </c>
      <c r="BX94" s="543" t="str">
        <f t="shared" si="871"/>
      </c>
      <c r="BY94" s="545" t="str">
        <f t="shared" si="871"/>
      </c>
      <c r="BZ94" s="543" t="str">
        <f t="shared" si="871"/>
      </c>
      <c r="CA94" s="543" t="str">
        <f t="shared" si="871"/>
      </c>
      <c r="CB94" s="543" t="str">
        <f t="shared" si="871"/>
      </c>
      <c r="CC94" s="545" t="str">
        <f t="shared" si="871"/>
      </c>
      <c r="CD94" s="543" t="str">
        <f t="shared" si="871"/>
      </c>
      <c r="CE94" s="543" t="str">
        <f t="shared" si="871"/>
      </c>
      <c r="CF94" s="543" t="str">
        <f t="shared" si="871"/>
      </c>
      <c r="CG94" s="545" t="str">
        <f t="shared" si="871"/>
      </c>
      <c r="CH94" s="543" t="str">
        <f t="shared" si="871"/>
      </c>
      <c r="CI94" s="543" t="str">
        <f t="shared" si="871"/>
      </c>
      <c r="CJ94" s="543" t="str">
        <f t="shared" si="871"/>
      </c>
      <c r="CK94" s="545" t="str">
        <f t="shared" si="871"/>
      </c>
      <c r="CL94" s="543" t="str">
        <f t="shared" si="871"/>
      </c>
      <c r="CM94" s="543" t="str">
        <f t="shared" si="871"/>
      </c>
      <c r="CN94" s="543" t="str">
        <f t="shared" si="871"/>
      </c>
      <c r="CO94" s="545" t="str">
        <f t="shared" si="871"/>
      </c>
      <c r="CP94" s="543" t="str">
        <f t="shared" si="871"/>
      </c>
      <c r="CQ94" s="543" t="str">
        <f t="shared" si="871"/>
      </c>
      <c r="CR94" s="543" t="str">
        <f t="shared" si="871"/>
      </c>
      <c r="CS94" s="547" t="str">
        <f t="shared" si="871"/>
      </c>
      <c r="CT94" s="543" t="str">
        <f t="shared" si="871"/>
      </c>
      <c r="CU94" s="543" t="str">
        <f t="shared" si="871"/>
      </c>
      <c r="CV94" s="543" t="str">
        <f t="shared" si="871"/>
      </c>
      <c r="CW94" s="547" t="str">
        <f t="shared" si="871"/>
      </c>
      <c r="CX94" s="543" t="str">
        <f t="shared" si="871"/>
      </c>
      <c r="CY94" s="543" t="str">
        <f t="shared" si="871"/>
      </c>
      <c r="CZ94" s="543" t="str">
        <f t="shared" si="871"/>
      </c>
      <c r="DA94" s="547" t="str">
        <f t="shared" si="871"/>
      </c>
      <c r="DB94" s="543" t="str">
        <f t="shared" si="871"/>
      </c>
      <c r="DC94" s="543" t="str">
        <f t="shared" si="871"/>
      </c>
      <c r="DD94" s="543" t="str">
        <f t="shared" si="871"/>
      </c>
      <c r="DE94" s="547" t="str">
        <f t="shared" si="871"/>
      </c>
      <c r="DF94" s="543" t="str">
        <f t="shared" si="871"/>
      </c>
      <c r="DG94" s="543" t="str">
        <f t="shared" si="871"/>
      </c>
      <c r="DH94" s="543" t="str">
        <f t="shared" si="871"/>
      </c>
      <c r="DI94" s="547" t="str">
        <f t="shared" si="871"/>
      </c>
      <c r="DJ94" s="543" t="str">
        <f t="shared" si="871"/>
      </c>
      <c r="DK94" s="543" t="str">
        <f t="shared" si="871"/>
      </c>
      <c r="DL94" s="543" t="str">
        <f t="shared" si="871"/>
      </c>
      <c r="DM94" s="547" t="str">
        <f t="shared" si="871"/>
      </c>
      <c r="DN94" s="543" t="str">
        <f t="shared" si="871"/>
      </c>
      <c r="DO94" s="543" t="str">
        <f t="shared" si="871"/>
      </c>
      <c r="DP94" s="543" t="str">
        <f t="shared" si="871"/>
      </c>
      <c r="DQ94" s="547" t="str">
        <f t="shared" si="871"/>
      </c>
      <c r="DR94" s="543" t="str">
        <f t="shared" si="871"/>
      </c>
      <c r="DS94" s="543" t="str">
        <f t="shared" si="871"/>
      </c>
      <c r="DT94" s="543" t="str">
        <f t="shared" si="871"/>
      </c>
      <c r="DU94" s="547" t="str">
        <f t="shared" si="871"/>
      </c>
      <c r="DV94" s="543" t="str">
        <f t="shared" si="871"/>
      </c>
      <c r="DW94" s="543" t="str">
        <f t="shared" si="871"/>
      </c>
      <c r="DX94" s="543" t="str">
        <f t="shared" si="871"/>
      </c>
      <c r="DY94" s="547" t="str">
        <f t="shared" si="871"/>
      </c>
      <c r="DZ94" s="543" t="str">
        <f t="shared" si="871"/>
      </c>
      <c r="EA94" s="543" t="str">
        <f t="shared" ref="EA94:EK94" si="872">EA$37</f>
      </c>
      <c r="EB94" s="543" t="str">
        <f t="shared" si="872"/>
      </c>
      <c r="EC94" s="547" t="str">
        <f t="shared" si="872"/>
      </c>
      <c r="ED94" s="543" t="str">
        <f t="shared" si="872"/>
      </c>
      <c r="EE94" s="543" t="str">
        <f t="shared" si="872"/>
      </c>
      <c r="EF94" s="543" t="str">
        <f t="shared" si="872"/>
      </c>
      <c r="EG94" s="547" t="str">
        <f t="shared" si="872"/>
      </c>
      <c r="EH94" s="543" t="str">
        <f t="shared" si="872"/>
      </c>
      <c r="EI94" s="543" t="str">
        <f t="shared" si="872"/>
      </c>
      <c r="EJ94" s="543" t="str">
        <f t="shared" si="872"/>
      </c>
      <c r="EK94" s="547" t="str">
        <f t="shared" si="872"/>
      </c>
      <c r="EL94" s="11"/>
      <c r="EM94" s="696"/>
      <c r="EN94" s="579"/>
      <c r="EO94" s="579"/>
      <c r="EP94" s="579"/>
      <c r="EQ94" s="579"/>
      <c r="ER94" s="579"/>
      <c r="ES94" s="579"/>
      <c r="ET94" s="579"/>
      <c r="EU94" s="579"/>
      <c r="EV94" s="579"/>
      <c r="EW94" s="579"/>
      <c r="EX94" s="579"/>
      <c r="EY94" s="579"/>
      <c r="EZ94" s="579"/>
      <c r="FA94" s="579"/>
      <c r="FB94" s="579"/>
      <c r="FC94" s="579"/>
      <c r="FD94" s="579"/>
      <c r="FE94" s="579"/>
      <c r="FF94" s="580" t="s">
        <v>61</v>
      </c>
      <c r="FG94" s="579"/>
      <c r="FH94" s="579"/>
      <c r="FI94" s="579"/>
      <c r="FJ94" s="579"/>
      <c r="FK94" s="579"/>
      <c r="FL94" s="579"/>
      <c r="FM94" s="579"/>
      <c r="FN94" s="579"/>
      <c r="FO94" s="579"/>
      <c r="FP94" s="579"/>
      <c r="FQ94" s="579"/>
      <c r="FR94" s="579"/>
      <c r="FS94" s="579"/>
      <c r="FT94" s="579"/>
      <c r="FU94" s="579"/>
      <c r="FV94" s="579"/>
      <c r="FW94" s="579"/>
      <c r="FX94" s="579"/>
      <c r="FY94" s="579"/>
      <c r="FZ94" s="579"/>
      <c r="GA94" s="579"/>
      <c r="GB94" s="579"/>
      <c r="GC94" s="579"/>
      <c r="GD94" s="579"/>
      <c r="GE94" s="579"/>
      <c r="GF94" s="579"/>
      <c r="GG94" s="579"/>
      <c r="GH94" s="579"/>
      <c r="GI94" s="579"/>
      <c r="GJ94" s="579"/>
      <c r="GK94" s="579"/>
      <c r="GL94" s="579"/>
      <c r="GM94" s="579"/>
      <c r="GN94" s="579"/>
      <c r="GO94" s="579"/>
      <c r="GP94" s="580" t="s">
        <v>62</v>
      </c>
      <c r="GQ94" s="579"/>
      <c r="GR94" s="579"/>
      <c r="GS94" s="579"/>
      <c r="GT94" s="579"/>
      <c r="GU94" s="579"/>
      <c r="GV94" s="579"/>
      <c r="GW94" s="579"/>
      <c r="GX94" s="579"/>
      <c r="GY94" s="579"/>
      <c r="GZ94" s="579"/>
      <c r="HA94" s="579"/>
      <c r="HB94" s="579"/>
      <c r="HC94" s="579"/>
      <c r="HD94" s="579"/>
    </row>
    <row r="95" spans="1:212" s="1" customFormat="1">
      <c r="A95" s="575" t="s">
        <v>1158</v>
      </c>
      <c r="B95" s="576">
        <f t="shared" ref="B95:BM95" si="873">B$38</f>
      </c>
      <c r="C95" s="576">
        <f t="shared" si="873"/>
      </c>
      <c r="D95" s="576">
        <f t="shared" si="873"/>
      </c>
      <c r="E95" s="577">
        <f t="shared" si="873"/>
      </c>
      <c r="F95" s="576">
        <f t="shared" si="873"/>
      </c>
      <c r="G95" s="576">
        <f t="shared" si="873"/>
      </c>
      <c r="H95" s="576">
        <f t="shared" si="873"/>
      </c>
      <c r="I95" s="576">
        <f t="shared" si="873"/>
      </c>
      <c r="J95" s="576">
        <f t="shared" si="873"/>
      </c>
      <c r="K95" s="576">
        <f t="shared" si="873"/>
      </c>
      <c r="L95" s="576">
        <f t="shared" si="873"/>
      </c>
      <c r="M95" s="576">
        <f t="shared" si="873"/>
      </c>
      <c r="N95" s="576">
        <f t="shared" si="873"/>
      </c>
      <c r="O95" s="576">
        <f t="shared" si="873"/>
      </c>
      <c r="P95" s="576">
        <f t="shared" si="873"/>
      </c>
      <c r="Q95" s="576">
        <f t="shared" si="873"/>
      </c>
      <c r="R95" s="576">
        <f t="shared" si="873"/>
      </c>
      <c r="S95" s="576">
        <f t="shared" si="873"/>
      </c>
      <c r="T95" s="576">
        <f t="shared" si="873"/>
      </c>
      <c r="U95" s="576">
        <f t="shared" si="873"/>
      </c>
      <c r="V95" s="576">
        <f t="shared" si="873"/>
      </c>
      <c r="W95" s="576">
        <f t="shared" si="873"/>
      </c>
      <c r="X95" s="576">
        <f t="shared" si="873"/>
      </c>
      <c r="Y95" s="576">
        <f t="shared" si="873"/>
      </c>
      <c r="Z95" s="576">
        <f t="shared" si="873"/>
      </c>
      <c r="AA95" s="576">
        <f t="shared" si="873"/>
      </c>
      <c r="AB95" s="576">
        <f t="shared" si="873"/>
      </c>
      <c r="AC95" s="576">
        <f t="shared" si="873"/>
      </c>
      <c r="AD95" s="576">
        <f t="shared" si="873"/>
      </c>
      <c r="AE95" s="576">
        <f t="shared" si="873"/>
      </c>
      <c r="AF95" s="576">
        <f t="shared" si="873"/>
      </c>
      <c r="AG95" s="576">
        <f t="shared" si="873"/>
      </c>
      <c r="AH95" s="576">
        <f t="shared" si="873"/>
      </c>
      <c r="AI95" s="576">
        <f t="shared" si="873"/>
      </c>
      <c r="AJ95" s="576">
        <f t="shared" si="873"/>
      </c>
      <c r="AK95" s="576">
        <f t="shared" si="873"/>
      </c>
      <c r="AL95" s="576">
        <f t="shared" si="873"/>
      </c>
      <c r="AM95" s="576">
        <f t="shared" si="873"/>
      </c>
      <c r="AN95" s="576">
        <f t="shared" si="873"/>
      </c>
      <c r="AO95" s="576">
        <f t="shared" si="873"/>
      </c>
      <c r="AP95" s="576">
        <f t="shared" si="873"/>
      </c>
      <c r="AQ95" s="576">
        <f t="shared" si="873"/>
      </c>
      <c r="AR95" s="576">
        <f t="shared" si="873"/>
      </c>
      <c r="AS95" s="576">
        <f t="shared" si="873"/>
      </c>
      <c r="AT95" s="576">
        <f t="shared" si="873"/>
      </c>
      <c r="AU95" s="576">
        <f t="shared" si="873"/>
      </c>
      <c r="AV95" s="576">
        <f t="shared" si="873"/>
      </c>
      <c r="AW95" s="576">
        <f t="shared" si="873"/>
      </c>
      <c r="AX95" s="576">
        <f t="shared" si="873"/>
      </c>
      <c r="AY95" s="576">
        <f t="shared" si="873"/>
      </c>
      <c r="AZ95" s="576">
        <f t="shared" si="873"/>
      </c>
      <c r="BA95" s="576">
        <f t="shared" si="873"/>
      </c>
      <c r="BB95" s="576">
        <f t="shared" si="873"/>
      </c>
      <c r="BC95" s="576">
        <f t="shared" si="873"/>
      </c>
      <c r="BD95" s="576">
        <f t="shared" si="873"/>
      </c>
      <c r="BE95" s="576">
        <f t="shared" si="873"/>
      </c>
      <c r="BF95" s="576">
        <f t="shared" si="873"/>
      </c>
      <c r="BG95" s="576">
        <f t="shared" si="873"/>
      </c>
      <c r="BH95" s="576">
        <f t="shared" si="873"/>
      </c>
      <c r="BI95" s="576">
        <f t="shared" si="873"/>
      </c>
      <c r="BJ95" s="576">
        <f t="shared" si="873"/>
      </c>
      <c r="BK95" s="576">
        <f t="shared" si="873"/>
      </c>
      <c r="BL95" s="576">
        <f t="shared" si="873"/>
      </c>
      <c r="BM95" s="576">
        <f t="shared" si="873"/>
      </c>
      <c r="BN95" s="576">
        <f t="shared" ref="BN95:DZ95" si="874">BN$38</f>
      </c>
      <c r="BO95" s="576">
        <f t="shared" si="874"/>
      </c>
      <c r="BP95" s="576">
        <f t="shared" si="874"/>
      </c>
      <c r="BQ95" s="578">
        <f t="shared" si="874"/>
      </c>
      <c r="BR95" s="576">
        <f t="shared" si="874"/>
      </c>
      <c r="BS95" s="576">
        <f t="shared" si="874"/>
      </c>
      <c r="BT95" s="576">
        <f t="shared" si="874"/>
      </c>
      <c r="BU95" s="578">
        <f t="shared" si="874"/>
      </c>
      <c r="BV95" s="576">
        <f t="shared" si="874"/>
      </c>
      <c r="BW95" s="576">
        <f t="shared" si="874"/>
      </c>
      <c r="BX95" s="576">
        <f t="shared" si="874"/>
      </c>
      <c r="BY95" s="578">
        <f t="shared" si="874"/>
      </c>
      <c r="BZ95" s="576">
        <f t="shared" si="874"/>
      </c>
      <c r="CA95" s="576">
        <f t="shared" si="874"/>
      </c>
      <c r="CB95" s="576">
        <f t="shared" si="874"/>
      </c>
      <c r="CC95" s="578">
        <f t="shared" si="874"/>
      </c>
      <c r="CD95" s="576">
        <f t="shared" si="874"/>
      </c>
      <c r="CE95" s="576">
        <f t="shared" si="874"/>
      </c>
      <c r="CF95" s="576">
        <f t="shared" si="874"/>
      </c>
      <c r="CG95" s="578">
        <f t="shared" si="874"/>
      </c>
      <c r="CH95" s="576">
        <f t="shared" si="874"/>
      </c>
      <c r="CI95" s="576">
        <f t="shared" si="874"/>
      </c>
      <c r="CJ95" s="576">
        <f t="shared" si="874"/>
      </c>
      <c r="CK95" s="578">
        <f t="shared" si="874"/>
      </c>
      <c r="CL95" s="576">
        <f t="shared" si="874"/>
      </c>
      <c r="CM95" s="576">
        <f t="shared" si="874"/>
      </c>
      <c r="CN95" s="576">
        <f t="shared" si="874"/>
      </c>
      <c r="CO95" s="578">
        <f t="shared" si="874"/>
      </c>
      <c r="CP95" s="576">
        <f t="shared" si="874"/>
      </c>
      <c r="CQ95" s="576">
        <f t="shared" si="874"/>
      </c>
      <c r="CR95" s="576">
        <f t="shared" si="874"/>
      </c>
      <c r="CS95" s="578">
        <f t="shared" si="874"/>
      </c>
      <c r="CT95" s="576">
        <f t="shared" si="874"/>
      </c>
      <c r="CU95" s="576">
        <f t="shared" si="874"/>
      </c>
      <c r="CV95" s="576">
        <f t="shared" si="874"/>
      </c>
      <c r="CW95" s="578">
        <f t="shared" si="874"/>
      </c>
      <c r="CX95" s="576">
        <f t="shared" si="874"/>
      </c>
      <c r="CY95" s="576">
        <f t="shared" si="874"/>
      </c>
      <c r="CZ95" s="576">
        <f t="shared" si="874"/>
      </c>
      <c r="DA95" s="578">
        <f t="shared" si="874"/>
      </c>
      <c r="DB95" s="576">
        <f t="shared" si="874"/>
      </c>
      <c r="DC95" s="576">
        <f t="shared" si="874"/>
      </c>
      <c r="DD95" s="576">
        <f t="shared" si="874"/>
      </c>
      <c r="DE95" s="578">
        <f t="shared" si="874"/>
      </c>
      <c r="DF95" s="576">
        <f t="shared" si="874"/>
      </c>
      <c r="DG95" s="576">
        <f t="shared" si="874"/>
      </c>
      <c r="DH95" s="576">
        <f t="shared" si="874"/>
      </c>
      <c r="DI95" s="578">
        <f t="shared" si="874"/>
      </c>
      <c r="DJ95" s="576">
        <f t="shared" si="874"/>
      </c>
      <c r="DK95" s="576">
        <f t="shared" si="874"/>
      </c>
      <c r="DL95" s="576">
        <f t="shared" si="874"/>
      </c>
      <c r="DM95" s="578">
        <f t="shared" si="874"/>
      </c>
      <c r="DN95" s="576">
        <f t="shared" si="874"/>
      </c>
      <c r="DO95" s="576">
        <f t="shared" si="874"/>
      </c>
      <c r="DP95" s="576">
        <f t="shared" si="874"/>
      </c>
      <c r="DQ95" s="578">
        <f t="shared" si="874"/>
      </c>
      <c r="DR95" s="576">
        <f t="shared" si="874"/>
      </c>
      <c r="DS95" s="576">
        <f t="shared" si="874"/>
      </c>
      <c r="DT95" s="576">
        <f t="shared" si="874"/>
      </c>
      <c r="DU95" s="578">
        <f t="shared" si="874"/>
      </c>
      <c r="DV95" s="576">
        <f t="shared" si="874"/>
      </c>
      <c r="DW95" s="576">
        <f t="shared" si="874"/>
      </c>
      <c r="DX95" s="576">
        <f t="shared" si="874"/>
      </c>
      <c r="DY95" s="578">
        <f t="shared" si="874"/>
      </c>
      <c r="DZ95" s="576">
        <f t="shared" si="874"/>
      </c>
      <c r="EA95" s="576">
        <f t="shared" ref="EA95:EK95" si="875">EA$38</f>
      </c>
      <c r="EB95" s="576">
        <f t="shared" si="875"/>
      </c>
      <c r="EC95" s="578">
        <f t="shared" si="875"/>
      </c>
      <c r="ED95" s="576">
        <f t="shared" si="875"/>
      </c>
      <c r="EE95" s="576">
        <f t="shared" si="875"/>
      </c>
      <c r="EF95" s="576">
        <f t="shared" si="875"/>
      </c>
      <c r="EG95" s="578">
        <f t="shared" si="875"/>
      </c>
      <c r="EH95" s="576">
        <f t="shared" si="875"/>
      </c>
      <c r="EI95" s="576">
        <f t="shared" si="875"/>
      </c>
      <c r="EJ95" s="576">
        <f t="shared" si="875"/>
      </c>
      <c r="EK95" s="578">
        <f t="shared" si="875"/>
      </c>
      <c r="EL95" s="11"/>
      <c r="EM95" s="698" t="str">
        <f>EM$38</f>
      </c>
      <c r="EN95" s="582" t="str">
        <f t="shared" ref="EN95:FO95" si="876">EN$38</f>
      </c>
      <c r="EO95" s="582" t="str">
        <f t="shared" si="876"/>
      </c>
      <c r="EP95" s="582" t="str">
        <f t="shared" si="876"/>
      </c>
      <c r="EQ95" s="582" t="str">
        <f t="shared" si="876"/>
      </c>
      <c r="ER95" s="582" t="str">
        <f t="shared" si="876"/>
      </c>
      <c r="ES95" s="582" t="str">
        <f t="shared" si="876"/>
      </c>
      <c r="ET95" s="582" t="str">
        <f t="shared" si="876"/>
      </c>
      <c r="EU95" s="582" t="str">
        <f t="shared" si="876"/>
      </c>
      <c r="EV95" s="582" t="str">
        <f t="shared" si="876"/>
      </c>
      <c r="EW95" s="582" t="str">
        <f t="shared" si="876"/>
      </c>
      <c r="EX95" s="582" t="str">
        <f t="shared" si="876"/>
      </c>
      <c r="EY95" s="582" t="str">
        <f t="shared" si="876"/>
      </c>
      <c r="EZ95" s="582" t="str">
        <f t="shared" si="876"/>
      </c>
      <c r="FA95" s="582" t="str">
        <f t="shared" si="876"/>
      </c>
      <c r="FB95" s="582" t="str">
        <f t="shared" si="876"/>
      </c>
      <c r="FC95" s="582" t="str">
        <f t="shared" si="876"/>
      </c>
      <c r="FD95" s="582" t="str">
        <f t="shared" si="876"/>
      </c>
      <c r="FE95" s="582" t="str">
        <f t="shared" si="876"/>
      </c>
      <c r="FF95" s="582" t="str">
        <f t="shared" si="876"/>
      </c>
      <c r="FG95" s="582" t="str">
        <f t="shared" si="876"/>
      </c>
      <c r="FH95" s="582" t="str">
        <f t="shared" si="876"/>
      </c>
      <c r="FI95" s="582" t="str">
        <f t="shared" si="876"/>
      </c>
      <c r="FJ95" s="582" t="str">
        <f t="shared" si="876"/>
      </c>
      <c r="FK95" s="582" t="str">
        <f t="shared" si="876"/>
      </c>
      <c r="FL95" s="582" t="str">
        <f t="shared" si="876"/>
      </c>
      <c r="FM95" s="582" t="str">
        <f t="shared" si="876"/>
      </c>
      <c r="FN95" s="582" t="str">
        <f t="shared" si="876"/>
      </c>
      <c r="FO95" s="582" t="str">
        <f t="shared" si="876"/>
      </c>
      <c r="FP95" s="582" t="str">
        <f t="shared" ref="FP95" si="877">FP$38</f>
      </c>
      <c r="FQ95" s="582" t="str">
        <f t="shared" ref="FQ95:FU95" si="878">FQ$38</f>
      </c>
      <c r="FR95" s="582" t="str">
        <f t="shared" si="878"/>
      </c>
      <c r="FS95" s="582" t="str">
        <f t="shared" si="878"/>
      </c>
      <c r="FT95" s="582" t="str">
        <f t="shared" si="878"/>
      </c>
      <c r="FU95" s="582" t="str">
        <f t="shared" si="878"/>
      </c>
      <c r="FV95" s="581"/>
      <c r="FW95" s="582">
        <v>1996</v>
      </c>
      <c r="FX95" s="582">
        <v>1997</v>
      </c>
      <c r="FY95" s="582">
        <v>1998</v>
      </c>
      <c r="FZ95" s="582">
        <v>1999</v>
      </c>
      <c r="GA95" s="582" t="s">
        <v>896</v>
      </c>
      <c r="GB95" s="582" t="s">
        <v>897</v>
      </c>
      <c r="GC95" s="582" t="s">
        <v>898</v>
      </c>
      <c r="GD95" s="582" t="s">
        <v>899</v>
      </c>
      <c r="GE95" s="582" t="s">
        <v>900</v>
      </c>
      <c r="GF95" s="582" t="s">
        <v>901</v>
      </c>
      <c r="GG95" s="582" t="s">
        <v>902</v>
      </c>
      <c r="GH95" s="582" t="s">
        <v>903</v>
      </c>
      <c r="GI95" s="582" t="s">
        <v>904</v>
      </c>
      <c r="GJ95" s="582" t="s">
        <v>905</v>
      </c>
      <c r="GK95" s="582" t="s">
        <v>906</v>
      </c>
      <c r="GL95" s="582" t="s">
        <v>907</v>
      </c>
      <c r="GM95" s="582" t="s">
        <v>908</v>
      </c>
      <c r="GN95" s="582" t="s">
        <v>909</v>
      </c>
      <c r="GO95" s="582" t="s">
        <v>910</v>
      </c>
      <c r="GP95" s="582" t="s">
        <v>911</v>
      </c>
      <c r="GQ95" s="582" t="str">
        <f t="shared" ref="GQ95:GX95" si="879">GQ$38</f>
      </c>
      <c r="GR95" s="582" t="str">
        <f t="shared" si="879"/>
      </c>
      <c r="GS95" s="582" t="str">
        <f t="shared" si="879"/>
      </c>
      <c r="GT95" s="582" t="str">
        <f t="shared" si="879"/>
      </c>
      <c r="GU95" s="582" t="str">
        <f t="shared" si="879"/>
      </c>
      <c r="GV95" s="582" t="str">
        <f t="shared" si="879"/>
      </c>
      <c r="GW95" s="582" t="str">
        <f t="shared" si="879"/>
      </c>
      <c r="GX95" s="582" t="str">
        <f t="shared" si="879"/>
      </c>
      <c r="GY95" s="582" t="str">
        <f t="shared" ref="GY95" si="880">GY$38</f>
      </c>
      <c r="GZ95" s="582" t="str">
        <f t="shared" ref="GZ95:HD95" si="881">GZ$38</f>
      </c>
      <c r="HA95" s="582" t="str">
        <f t="shared" si="881"/>
      </c>
      <c r="HB95" s="582" t="str">
        <f t="shared" si="881"/>
      </c>
      <c r="HC95" s="582" t="str">
        <f t="shared" si="881"/>
      </c>
      <c r="HD95" s="582" t="str">
        <f t="shared" si="881"/>
      </c>
    </row>
    <row r="96" spans="1:212" s="673" customFormat="1">
      <c r="A96" s="667" t="str">
        <f t="shared" ref="A96:A104" si="882">A9</f>
      </c>
      <c r="B96" s="668"/>
      <c r="C96" s="668"/>
      <c r="D96" s="668"/>
      <c r="E96" s="669"/>
      <c r="F96" s="668">
        <f t="shared" ref="F96:F104" si="883">F9-B9</f>
      </c>
      <c r="G96" s="668">
        <f t="shared" ref="G96:G104" si="884">G9-C9</f>
      </c>
      <c r="H96" s="668">
        <f t="shared" ref="H96:H104" si="885">H9-D9</f>
      </c>
      <c r="I96" s="668">
        <f t="shared" ref="I96:I104" si="886">I9-E9</f>
      </c>
      <c r="J96" s="668">
        <f t="shared" ref="J96:J104" si="887">J9-F9</f>
      </c>
      <c r="K96" s="668">
        <f t="shared" ref="K96:K104" si="888">K9-G9</f>
      </c>
      <c r="L96" s="668">
        <f t="shared" ref="L96:L104" si="889">L9-H9</f>
      </c>
      <c r="M96" s="668">
        <f t="shared" ref="M96:M104" si="890">M9-I9</f>
      </c>
      <c r="N96" s="668">
        <f t="shared" ref="N96:N104" si="891">N9-J9</f>
      </c>
      <c r="O96" s="668">
        <f t="shared" ref="O96:O104" si="892">O9-K9</f>
      </c>
      <c r="P96" s="668">
        <f t="shared" ref="P96:P104" si="893">P9-L9</f>
      </c>
      <c r="Q96" s="668">
        <f t="shared" ref="Q96:Q104" si="894">Q9-M9</f>
      </c>
      <c r="R96" s="668">
        <f t="shared" ref="R96:R104" si="895">R9-N9</f>
      </c>
      <c r="S96" s="668">
        <f t="shared" ref="S96:S104" si="896">S9-O9</f>
      </c>
      <c r="T96" s="668">
        <f t="shared" ref="T96:T104" si="897">T9-P9</f>
      </c>
      <c r="U96" s="668">
        <f t="shared" ref="U96:U104" si="898">U9-Q9</f>
      </c>
      <c r="V96" s="668">
        <f t="shared" ref="V96:V104" si="899">V9-R9</f>
      </c>
      <c r="W96" s="668">
        <f t="shared" ref="W96:W104" si="900">W9-S9</f>
      </c>
      <c r="X96" s="668">
        <f t="shared" ref="X96:X104" si="901">X9-T9</f>
      </c>
      <c r="Y96" s="668">
        <f t="shared" ref="Y96:Y104" si="902">Y9-U9</f>
      </c>
      <c r="Z96" s="668">
        <f t="shared" ref="Z96:Z104" si="903">Z9-V9</f>
      </c>
      <c r="AA96" s="668">
        <f t="shared" ref="AA96:AA104" si="904">AA9-W9</f>
      </c>
      <c r="AB96" s="668">
        <f t="shared" ref="AB96:AB104" si="905">AB9-X9</f>
      </c>
      <c r="AC96" s="668">
        <f t="shared" ref="AC96:AC104" si="906">AC9-Y9</f>
      </c>
      <c r="AD96" s="668">
        <f t="shared" ref="AD96:AD104" si="907">AD9-Z9</f>
      </c>
      <c r="AE96" s="668">
        <f t="shared" ref="AE96:AE104" si="908">AE9-AA9</f>
      </c>
      <c r="AF96" s="668">
        <f t="shared" ref="AF96:AF104" si="909">AF9-AB9</f>
      </c>
      <c r="AG96" s="668">
        <f t="shared" ref="AG96:AG104" si="910">AG9-AC9</f>
      </c>
      <c r="AH96" s="668">
        <f t="shared" ref="AH96:AH104" si="911">AH9-AD9</f>
      </c>
      <c r="AI96" s="668">
        <f t="shared" ref="AI96:AI104" si="912">AI9-AE9</f>
      </c>
      <c r="AJ96" s="668">
        <f t="shared" ref="AJ96:AJ104" si="913">AJ9-AF9</f>
      </c>
      <c r="AK96" s="668">
        <f t="shared" ref="AK96:AK104" si="914">AK9-AG9</f>
      </c>
      <c r="AL96" s="668">
        <f t="shared" ref="AL96:AL104" si="915">AL9-AH9</f>
      </c>
      <c r="AM96" s="668">
        <f t="shared" ref="AM96:AM104" si="916">AM9-AI9</f>
      </c>
      <c r="AN96" s="668">
        <f t="shared" ref="AN96:AN104" si="917">AN9-AJ9</f>
      </c>
      <c r="AO96" s="668">
        <f t="shared" ref="AO96:AO104" si="918">AO9-AK9</f>
      </c>
      <c r="AP96" s="668">
        <f t="shared" ref="AP96:AP104" si="919">AP9-AL9</f>
      </c>
      <c r="AQ96" s="668">
        <f t="shared" ref="AQ96:AQ104" si="920">AQ9-AM9</f>
      </c>
      <c r="AR96" s="668">
        <f t="shared" ref="AR96:AR104" si="921">AR9-AN9</f>
      </c>
      <c r="AS96" s="668">
        <f t="shared" ref="AS96:AS104" si="922">AS9-AO9</f>
      </c>
      <c r="AT96" s="668">
        <f t="shared" ref="AT96:AT104" si="923">AT9-AP9</f>
      </c>
      <c r="AU96" s="668">
        <f t="shared" ref="AU96:AU104" si="924">AU9-AQ9</f>
      </c>
      <c r="AV96" s="668">
        <f t="shared" ref="AV96:AV104" si="925">AV9-AR9</f>
      </c>
      <c r="AW96" s="668">
        <f t="shared" ref="AW96:AW104" si="926">AW9-AS9</f>
      </c>
      <c r="AX96" s="668">
        <f t="shared" ref="AX96:AX104" si="927">AX9-AT9</f>
      </c>
      <c r="AY96" s="668">
        <f t="shared" ref="AY96:AY104" si="928">AY9-AU9</f>
      </c>
      <c r="AZ96" s="668">
        <f t="shared" ref="AZ96:AZ104" si="929">AZ9-AV9</f>
      </c>
      <c r="BA96" s="668">
        <f t="shared" ref="BA96:BA104" si="930">BA9-AW9</f>
      </c>
      <c r="BB96" s="668">
        <f t="shared" ref="BB96:BB104" si="931">BB9-AX9</f>
      </c>
      <c r="BC96" s="668">
        <f t="shared" ref="BC96:BC104" si="932">BC9-AY9</f>
      </c>
      <c r="BD96" s="668">
        <f t="shared" ref="BD96:BD104" si="933">BD9-AZ9</f>
      </c>
      <c r="BE96" s="668">
        <f t="shared" ref="BE96:BE104" si="934">BE9-BA9</f>
      </c>
      <c r="BF96" s="668">
        <f t="shared" ref="BF96:BF104" si="935">BF9-BB9</f>
      </c>
      <c r="BG96" s="668">
        <f t="shared" ref="BG96:BG104" si="936">BG9-BC9</f>
      </c>
      <c r="BH96" s="668">
        <f t="shared" ref="BH96:BH104" si="937">BH9-BD9</f>
      </c>
      <c r="BI96" s="668">
        <f t="shared" ref="BI96:BI104" si="938">BI9-BE9</f>
      </c>
      <c r="BJ96" s="668">
        <f t="shared" ref="BJ96:BJ104" si="939">BJ9-BF9</f>
      </c>
      <c r="BK96" s="668">
        <f t="shared" ref="BK96:BK104" si="940">BK9-BG9</f>
      </c>
      <c r="BL96" s="668">
        <f t="shared" ref="BL96:BL104" si="941">BL9-BH9</f>
      </c>
      <c r="BM96" s="668">
        <f t="shared" ref="BM96:BM104" si="942">BM9-BI9</f>
      </c>
      <c r="BN96" s="668">
        <f t="shared" ref="BN96:BN104" si="943">BN9-BJ9</f>
      </c>
      <c r="BO96" s="668">
        <f t="shared" ref="BO96:BO104" si="944">BO9-BK9</f>
      </c>
      <c r="BP96" s="668">
        <f t="shared" ref="BP96:BP104" si="945">BP9-BL9</f>
      </c>
      <c r="BQ96" s="670">
        <f t="shared" ref="BQ96:BQ104" si="946">BQ9-BM9</f>
      </c>
      <c r="BR96" s="668">
        <f t="shared" ref="BR96:BR104" si="947">BR9-BN9</f>
      </c>
      <c r="BS96" s="668">
        <f t="shared" ref="BS96:BS104" si="948">BS9-BO9</f>
      </c>
      <c r="BT96" s="668">
        <f t="shared" ref="BT96:BT104" si="949">BT9-BP9</f>
      </c>
      <c r="BU96" s="670">
        <f t="shared" ref="BU96:BU104" si="950">BU9-BQ9</f>
      </c>
      <c r="BV96" s="668">
        <f t="shared" ref="BV96:BV104" si="951">BV9-BR9</f>
      </c>
      <c r="BW96" s="668">
        <f t="shared" ref="BW96:BW104" si="952">BW9-BS9</f>
      </c>
      <c r="BX96" s="668">
        <f t="shared" ref="BX96:BX104" si="953">BX9-BT9</f>
      </c>
      <c r="BY96" s="670">
        <f t="shared" ref="BY96:BY104" si="954">BY9-BU9</f>
      </c>
      <c r="BZ96" s="668">
        <f t="shared" ref="BZ96:BZ104" si="955">BZ9-BV9</f>
      </c>
      <c r="CA96" s="668">
        <f t="shared" ref="CA96:CA104" si="956">CA9-BW9</f>
      </c>
      <c r="CB96" s="668">
        <f t="shared" ref="CB96:CB104" si="957">CB9-BX9</f>
      </c>
      <c r="CC96" s="670">
        <f t="shared" ref="CC96:CC104" si="958">CC9-BY9</f>
      </c>
      <c r="CD96" s="668">
        <f t="shared" ref="CD96:CD104" si="959">CD9-BZ9</f>
      </c>
      <c r="CE96" s="668">
        <f t="shared" ref="CE96:CE104" si="960">CE9-CA9</f>
      </c>
      <c r="CF96" s="668">
        <f t="shared" ref="CF96:CF104" si="961">CF9-CB9</f>
      </c>
      <c r="CG96" s="670">
        <f t="shared" ref="CG96:CG104" si="962">CG9-CC9</f>
      </c>
      <c r="CH96" s="668">
        <f t="shared" ref="CH96:CH104" si="963">CH9-CD9</f>
      </c>
      <c r="CI96" s="668">
        <f t="shared" ref="CI96:CI104" si="964">CI9-CE9</f>
      </c>
      <c r="CJ96" s="668">
        <f t="shared" ref="CJ96:CJ104" si="965">CJ9-CF9</f>
      </c>
      <c r="CK96" s="670">
        <f t="shared" ref="CK96:CK104" si="966">CK9-CG9</f>
      </c>
      <c r="CL96" s="668">
        <f t="shared" ref="CL96:CL104" si="967">CL9-CH9</f>
      </c>
      <c r="CM96" s="668">
        <f t="shared" ref="CM96:CM104" si="968">CM9-CI9</f>
      </c>
      <c r="CN96" s="668">
        <f t="shared" ref="CN96:CN104" si="969">CN9-CJ9</f>
      </c>
      <c r="CO96" s="670">
        <f t="shared" ref="CO96:CO104" si="970">CO9-CK9</f>
      </c>
      <c r="CP96" s="668">
        <f t="shared" ref="CP96:CP104" si="971">CP9-CL9</f>
      </c>
      <c r="CQ96" s="668">
        <f t="shared" ref="CQ96:CQ104" si="972">CQ9-CM9</f>
      </c>
      <c r="CR96" s="668">
        <f t="shared" ref="CR96:CR104" si="973">CR9-CN9</f>
      </c>
      <c r="CS96" s="670">
        <f t="shared" ref="CS96:CS104" si="974">CS9-CO9</f>
      </c>
      <c r="CT96" s="668">
        <f t="shared" ref="CT96:CT104" si="975">CT9-CP9</f>
      </c>
      <c r="CU96" s="668">
        <f t="shared" ref="CU96:CU104" si="976">CU9-CQ9</f>
      </c>
      <c r="CV96" s="668">
        <f t="shared" ref="CV96:CV104" si="977">CV9-CR9</f>
      </c>
      <c r="CW96" s="670">
        <f t="shared" ref="CW96:CW104" si="978">CW9-CS9</f>
      </c>
      <c r="CX96" s="668">
        <f t="shared" ref="CX96:CX104" si="979">CX9-CT9</f>
      </c>
      <c r="CY96" s="668">
        <f t="shared" ref="CY96:CY104" si="980">CY9-CU9</f>
      </c>
      <c r="CZ96" s="668">
        <f t="shared" ref="CZ96:CZ104" si="981">CZ9-CV9</f>
      </c>
      <c r="DA96" s="670">
        <f t="shared" ref="DA96:DA104" si="982">DA9-CW9</f>
      </c>
      <c r="DB96" s="668">
        <f t="shared" ref="DB96:DB104" si="983">DB9-CX9</f>
      </c>
      <c r="DC96" s="668">
        <f t="shared" ref="DC96:DC104" si="984">DC9-CY9</f>
      </c>
      <c r="DD96" s="668">
        <f t="shared" ref="DD96:DD104" si="985">DD9-CZ9</f>
      </c>
      <c r="DE96" s="670">
        <f t="shared" ref="DE96:DE104" si="986">DE9-DA9</f>
      </c>
      <c r="DF96" s="668">
        <f t="shared" ref="DF96:DF104" si="987">DF9-DB9</f>
      </c>
      <c r="DG96" s="668">
        <f t="shared" ref="DG96:DG104" si="988">DG9-DC9</f>
      </c>
      <c r="DH96" s="668">
        <f t="shared" ref="DH96:DH104" si="989">DH9-DD9</f>
      </c>
      <c r="DI96" s="670">
        <f t="shared" ref="DI96:DI104" si="990">DI9-DE9</f>
      </c>
      <c r="DJ96" s="668">
        <f t="shared" ref="DJ96:DJ104" si="991">DJ9-DF9</f>
      </c>
      <c r="DK96" s="668">
        <f t="shared" ref="DK96:DK104" si="992">DK9-DG9</f>
      </c>
      <c r="DL96" s="668">
        <f t="shared" ref="DL96:DL104" si="993">DL9-DH9</f>
      </c>
      <c r="DM96" s="670">
        <f t="shared" ref="DM96:DM104" si="994">DM9-DI9</f>
      </c>
      <c r="DN96" s="668">
        <f t="shared" ref="DN96:DN104" si="995">DN9-DJ9</f>
      </c>
      <c r="DO96" s="668">
        <f t="shared" ref="DO96:DO104" si="996">DO9-DK9</f>
      </c>
      <c r="DP96" s="668">
        <f t="shared" ref="DP96:DP104" si="997">DP9-DL9</f>
      </c>
      <c r="DQ96" s="670">
        <f t="shared" ref="DQ96:DQ104" si="998">DQ9-DM9</f>
      </c>
      <c r="DR96" s="668">
        <f t="shared" ref="DR96:DR104" si="999">DR9-DN9</f>
      </c>
      <c r="DS96" s="668">
        <f t="shared" ref="DS96:DS104" si="1000">DS9-DO9</f>
      </c>
      <c r="DT96" s="668">
        <f t="shared" ref="DT96:DT104" si="1001">DT9-DP9</f>
      </c>
      <c r="DU96" s="670">
        <f t="shared" ref="DU96:DU104" si="1002">DU9-DQ9</f>
      </c>
      <c r="DV96" s="668">
        <f t="shared" ref="DV96:DV104" si="1003">DV9-DR9</f>
      </c>
      <c r="DW96" s="668">
        <f t="shared" ref="DW96:DW104" si="1004">DW9-DS9</f>
      </c>
      <c r="DX96" s="668">
        <f t="shared" ref="DX96:DX104" si="1005">DX9-DT9</f>
      </c>
      <c r="DY96" s="670">
        <f t="shared" ref="DY96:DY104" si="1006">DY9-DU9</f>
      </c>
      <c r="DZ96" s="668">
        <f t="shared" ref="DZ96:DZ104" si="1007">DZ9-DV9</f>
      </c>
      <c r="EA96" s="668">
        <f t="shared" ref="EA96:EA104" si="1008">EA9-DW9</f>
      </c>
      <c r="EB96" s="668">
        <f t="shared" ref="EB96:EB104" si="1009">EB9-DX9</f>
      </c>
      <c r="EC96" s="670">
        <f t="shared" ref="EC96:EC104" si="1010">EC9-DY9</f>
      </c>
      <c r="ED96" s="668">
        <f t="shared" ref="ED96:ED104" si="1011">ED9-DZ9</f>
      </c>
      <c r="EE96" s="668">
        <f t="shared" ref="EE96:EE104" si="1012">EE9-EA9</f>
      </c>
      <c r="EF96" s="668">
        <f t="shared" ref="EF96:EF104" si="1013">EF9-EB9</f>
      </c>
      <c r="EG96" s="670">
        <f t="shared" ref="EG96:EG104" si="1014">EG9-EC9</f>
      </c>
      <c r="EH96" s="668">
        <f t="shared" ref="EH96:EH104" si="1015">EH9-ED9</f>
      </c>
      <c r="EI96" s="668">
        <f t="shared" ref="EI96:EI104" si="1016">EI9-EE9</f>
      </c>
      <c r="EJ96" s="668">
        <f t="shared" ref="EJ96:EJ104" si="1017">EJ9-EF9</f>
      </c>
      <c r="EK96" s="670">
        <f t="shared" ref="EK96:EK104" si="1018">EK9-EG9</f>
      </c>
      <c r="EL96" s="11"/>
      <c r="EM96" s="668"/>
      <c r="EN96" s="704">
        <f t="shared" ref="EN96:FQ96" si="1019">EN9-EM9</f>
      </c>
      <c r="EO96" s="704">
        <f t="shared" si="1019"/>
      </c>
      <c r="EP96" s="704">
        <f t="shared" si="1019"/>
      </c>
      <c r="EQ96" s="704">
        <f t="shared" si="1019"/>
      </c>
      <c r="ER96" s="704">
        <f t="shared" si="1019"/>
      </c>
      <c r="ES96" s="704">
        <f t="shared" si="1019"/>
      </c>
      <c r="ET96" s="704">
        <f t="shared" si="1019"/>
      </c>
      <c r="EU96" s="704">
        <f t="shared" si="1019"/>
      </c>
      <c r="EV96" s="704">
        <f t="shared" si="1019"/>
      </c>
      <c r="EW96" s="704">
        <f t="shared" si="1019"/>
      </c>
      <c r="EX96" s="704">
        <f t="shared" si="1019"/>
      </c>
      <c r="EY96" s="704">
        <f t="shared" si="1019"/>
      </c>
      <c r="EZ96" s="704">
        <f t="shared" si="1019"/>
      </c>
      <c r="FA96" s="704">
        <f t="shared" si="1019"/>
      </c>
      <c r="FB96" s="704">
        <f t="shared" si="1019"/>
      </c>
      <c r="FC96" s="704">
        <f t="shared" si="1019"/>
      </c>
      <c r="FD96" s="704">
        <f t="shared" si="1019"/>
      </c>
      <c r="FE96" s="704">
        <f t="shared" si="1019"/>
      </c>
      <c r="FF96" s="704">
        <f t="shared" si="1019"/>
      </c>
      <c r="FG96" s="704">
        <f t="shared" si="1019"/>
      </c>
      <c r="FH96" s="704">
        <f t="shared" si="1019"/>
      </c>
      <c r="FI96" s="704">
        <f t="shared" si="1019"/>
      </c>
      <c r="FJ96" s="704">
        <f t="shared" si="1019"/>
      </c>
      <c r="FK96" s="704">
        <f t="shared" si="1019"/>
      </c>
      <c r="FL96" s="704">
        <f t="shared" si="1019"/>
      </c>
      <c r="FM96" s="704">
        <f t="shared" si="1019"/>
      </c>
      <c r="FN96" s="704">
        <f t="shared" si="1019"/>
      </c>
      <c r="FO96" s="704">
        <f t="shared" si="1019"/>
      </c>
      <c r="FP96" s="704">
        <f t="shared" si="1019"/>
      </c>
      <c r="FQ96" s="704">
        <f t="shared" si="1019"/>
      </c>
      <c r="FR96" s="704">
        <f t="shared" ref="FR96:FR104" si="1020">FR9-FQ9</f>
      </c>
      <c r="FS96" s="704">
        <f t="shared" ref="FS96:FS104" si="1021">FS9-FR9</f>
      </c>
      <c r="FT96" s="704">
        <f t="shared" ref="FT96:FT104" si="1022">FT9-FS9</f>
      </c>
      <c r="FU96" s="704">
        <f t="shared" ref="FU96:FU104" si="1023">FU9-FT9</f>
      </c>
      <c r="FW96" s="704"/>
      <c r="FX96" s="704">
        <f t="shared" ref="FX96:GZ96" si="1024">FX9-FW9</f>
      </c>
      <c r="FY96" s="704">
        <f t="shared" si="1024"/>
      </c>
      <c r="FZ96" s="704">
        <f t="shared" si="1024"/>
      </c>
      <c r="GA96" s="704">
        <f t="shared" si="1024"/>
      </c>
      <c r="GB96" s="704">
        <f t="shared" si="1024"/>
      </c>
      <c r="GC96" s="704">
        <f t="shared" si="1024"/>
      </c>
      <c r="GD96" s="704">
        <f t="shared" si="1024"/>
      </c>
      <c r="GE96" s="704">
        <f t="shared" si="1024"/>
      </c>
      <c r="GF96" s="704">
        <f t="shared" si="1024"/>
      </c>
      <c r="GG96" s="704">
        <f t="shared" si="1024"/>
      </c>
      <c r="GH96" s="704">
        <f t="shared" si="1024"/>
      </c>
      <c r="GI96" s="704">
        <f t="shared" si="1024"/>
      </c>
      <c r="GJ96" s="704">
        <f t="shared" si="1024"/>
      </c>
      <c r="GK96" s="704">
        <f t="shared" si="1024"/>
      </c>
      <c r="GL96" s="704">
        <f t="shared" si="1024"/>
      </c>
      <c r="GM96" s="704">
        <f t="shared" si="1024"/>
      </c>
      <c r="GN96" s="704">
        <f t="shared" si="1024"/>
      </c>
      <c r="GO96" s="704">
        <f t="shared" si="1024"/>
      </c>
      <c r="GP96" s="704">
        <f t="shared" si="1024"/>
      </c>
      <c r="GQ96" s="704">
        <f t="shared" si="1024"/>
      </c>
      <c r="GR96" s="704">
        <f t="shared" si="1024"/>
      </c>
      <c r="GS96" s="704">
        <f t="shared" si="1024"/>
      </c>
      <c r="GT96" s="704">
        <f t="shared" si="1024"/>
      </c>
      <c r="GU96" s="704">
        <f t="shared" si="1024"/>
      </c>
      <c r="GV96" s="704">
        <f t="shared" si="1024"/>
      </c>
      <c r="GW96" s="704">
        <f t="shared" si="1024"/>
      </c>
      <c r="GX96" s="704">
        <f t="shared" si="1024"/>
      </c>
      <c r="GY96" s="704">
        <f t="shared" si="1024"/>
      </c>
      <c r="GZ96" s="704">
        <f t="shared" si="1024"/>
      </c>
      <c r="HA96" s="704">
        <f t="shared" ref="HA96:HA104" si="1025">HA9-GZ9</f>
      </c>
      <c r="HB96" s="704">
        <f t="shared" ref="HB96:HB104" si="1026">HB9-HA9</f>
      </c>
      <c r="HC96" s="704">
        <f t="shared" ref="HC96:HC104" si="1027">HC9-HB9</f>
      </c>
      <c r="HD96" s="704">
        <f t="shared" ref="HD96:HD104" si="1028">HD9-HC9</f>
      </c>
    </row>
    <row r="97" spans="1:212" s="673" customFormat="1">
      <c r="A97" s="667" t="str">
        <f t="shared" si="882"/>
      </c>
      <c r="B97" s="668"/>
      <c r="C97" s="668"/>
      <c r="D97" s="668"/>
      <c r="E97" s="669"/>
      <c r="F97" s="668">
        <f t="shared" si="883"/>
      </c>
      <c r="G97" s="668">
        <f t="shared" si="884"/>
      </c>
      <c r="H97" s="668">
        <f t="shared" si="885"/>
      </c>
      <c r="I97" s="668">
        <f t="shared" si="886"/>
      </c>
      <c r="J97" s="668">
        <f t="shared" si="887"/>
      </c>
      <c r="K97" s="668">
        <f t="shared" si="888"/>
      </c>
      <c r="L97" s="668">
        <f t="shared" si="889"/>
      </c>
      <c r="M97" s="668">
        <f t="shared" si="890"/>
      </c>
      <c r="N97" s="668">
        <f t="shared" si="891"/>
      </c>
      <c r="O97" s="668">
        <f t="shared" si="892"/>
      </c>
      <c r="P97" s="668">
        <f t="shared" si="893"/>
      </c>
      <c r="Q97" s="668">
        <f t="shared" si="894"/>
      </c>
      <c r="R97" s="668">
        <f t="shared" si="895"/>
      </c>
      <c r="S97" s="668">
        <f t="shared" si="896"/>
      </c>
      <c r="T97" s="668">
        <f t="shared" si="897"/>
      </c>
      <c r="U97" s="668">
        <f t="shared" si="898"/>
      </c>
      <c r="V97" s="668">
        <f t="shared" si="899"/>
      </c>
      <c r="W97" s="668">
        <f t="shared" si="900"/>
      </c>
      <c r="X97" s="668">
        <f t="shared" si="901"/>
      </c>
      <c r="Y97" s="668">
        <f t="shared" si="902"/>
      </c>
      <c r="Z97" s="668">
        <f t="shared" si="903"/>
      </c>
      <c r="AA97" s="668">
        <f t="shared" si="904"/>
      </c>
      <c r="AB97" s="668">
        <f t="shared" si="905"/>
      </c>
      <c r="AC97" s="668">
        <f t="shared" si="906"/>
      </c>
      <c r="AD97" s="668">
        <f t="shared" si="907"/>
      </c>
      <c r="AE97" s="668">
        <f t="shared" si="908"/>
      </c>
      <c r="AF97" s="668">
        <f t="shared" si="909"/>
      </c>
      <c r="AG97" s="668">
        <f t="shared" si="910"/>
      </c>
      <c r="AH97" s="668">
        <f t="shared" si="911"/>
      </c>
      <c r="AI97" s="668">
        <f t="shared" si="912"/>
      </c>
      <c r="AJ97" s="668">
        <f t="shared" si="913"/>
      </c>
      <c r="AK97" s="668">
        <f t="shared" si="914"/>
      </c>
      <c r="AL97" s="668">
        <f t="shared" si="915"/>
      </c>
      <c r="AM97" s="668">
        <f t="shared" si="916"/>
      </c>
      <c r="AN97" s="668">
        <f t="shared" si="917"/>
      </c>
      <c r="AO97" s="668">
        <f t="shared" si="918"/>
      </c>
      <c r="AP97" s="668">
        <f t="shared" si="919"/>
      </c>
      <c r="AQ97" s="668">
        <f t="shared" si="920"/>
      </c>
      <c r="AR97" s="668">
        <f t="shared" si="921"/>
      </c>
      <c r="AS97" s="668">
        <f t="shared" si="922"/>
      </c>
      <c r="AT97" s="668">
        <f t="shared" si="923"/>
      </c>
      <c r="AU97" s="668">
        <f t="shared" si="924"/>
      </c>
      <c r="AV97" s="668">
        <f t="shared" si="925"/>
      </c>
      <c r="AW97" s="668">
        <f t="shared" si="926"/>
      </c>
      <c r="AX97" s="668">
        <f t="shared" si="927"/>
      </c>
      <c r="AY97" s="668">
        <f t="shared" si="928"/>
      </c>
      <c r="AZ97" s="668">
        <f t="shared" si="929"/>
      </c>
      <c r="BA97" s="668">
        <f t="shared" si="930"/>
      </c>
      <c r="BB97" s="668">
        <f t="shared" si="931"/>
      </c>
      <c r="BC97" s="668">
        <f t="shared" si="932"/>
      </c>
      <c r="BD97" s="668">
        <f t="shared" si="933"/>
      </c>
      <c r="BE97" s="668">
        <f t="shared" si="934"/>
      </c>
      <c r="BF97" s="668">
        <f t="shared" si="935"/>
      </c>
      <c r="BG97" s="668">
        <f t="shared" si="936"/>
      </c>
      <c r="BH97" s="668">
        <f t="shared" si="937"/>
      </c>
      <c r="BI97" s="668">
        <f t="shared" si="938"/>
      </c>
      <c r="BJ97" s="668">
        <f t="shared" si="939"/>
      </c>
      <c r="BK97" s="668">
        <f t="shared" si="940"/>
      </c>
      <c r="BL97" s="668">
        <f t="shared" si="941"/>
      </c>
      <c r="BM97" s="668">
        <f t="shared" si="942"/>
      </c>
      <c r="BN97" s="668">
        <f t="shared" si="943"/>
      </c>
      <c r="BO97" s="668">
        <f t="shared" si="944"/>
      </c>
      <c r="BP97" s="668">
        <f t="shared" si="945"/>
      </c>
      <c r="BQ97" s="670">
        <f t="shared" si="946"/>
      </c>
      <c r="BR97" s="668">
        <f t="shared" si="947"/>
      </c>
      <c r="BS97" s="668">
        <f t="shared" si="948"/>
      </c>
      <c r="BT97" s="668">
        <f t="shared" si="949"/>
      </c>
      <c r="BU97" s="670">
        <f t="shared" si="950"/>
      </c>
      <c r="BV97" s="668">
        <f t="shared" si="951"/>
      </c>
      <c r="BW97" s="668">
        <f t="shared" si="952"/>
      </c>
      <c r="BX97" s="668">
        <f t="shared" si="953"/>
      </c>
      <c r="BY97" s="670">
        <f t="shared" si="954"/>
      </c>
      <c r="BZ97" s="668">
        <f t="shared" si="955"/>
      </c>
      <c r="CA97" s="668">
        <f t="shared" si="956"/>
      </c>
      <c r="CB97" s="668">
        <f t="shared" si="957"/>
      </c>
      <c r="CC97" s="670">
        <f t="shared" si="958"/>
      </c>
      <c r="CD97" s="668">
        <f t="shared" si="959"/>
      </c>
      <c r="CE97" s="668">
        <f t="shared" si="960"/>
      </c>
      <c r="CF97" s="668">
        <f t="shared" si="961"/>
      </c>
      <c r="CG97" s="670">
        <f t="shared" si="962"/>
      </c>
      <c r="CH97" s="668">
        <f t="shared" si="963"/>
      </c>
      <c r="CI97" s="668">
        <f t="shared" si="964"/>
      </c>
      <c r="CJ97" s="668">
        <f t="shared" si="965"/>
      </c>
      <c r="CK97" s="670">
        <f t="shared" si="966"/>
      </c>
      <c r="CL97" s="668">
        <f t="shared" si="967"/>
      </c>
      <c r="CM97" s="668">
        <f t="shared" si="968"/>
      </c>
      <c r="CN97" s="668">
        <f t="shared" si="969"/>
      </c>
      <c r="CO97" s="670">
        <f t="shared" si="970"/>
      </c>
      <c r="CP97" s="668">
        <f t="shared" si="971"/>
      </c>
      <c r="CQ97" s="668">
        <f t="shared" si="972"/>
      </c>
      <c r="CR97" s="668">
        <f t="shared" si="973"/>
      </c>
      <c r="CS97" s="670">
        <f t="shared" si="974"/>
      </c>
      <c r="CT97" s="668">
        <f t="shared" si="975"/>
      </c>
      <c r="CU97" s="668">
        <f t="shared" si="976"/>
      </c>
      <c r="CV97" s="668">
        <f t="shared" si="977"/>
      </c>
      <c r="CW97" s="670">
        <f t="shared" si="978"/>
      </c>
      <c r="CX97" s="668">
        <f t="shared" si="979"/>
      </c>
      <c r="CY97" s="668">
        <f t="shared" si="980"/>
      </c>
      <c r="CZ97" s="668">
        <f t="shared" si="981"/>
      </c>
      <c r="DA97" s="670">
        <f t="shared" si="982"/>
      </c>
      <c r="DB97" s="668">
        <f t="shared" si="983"/>
      </c>
      <c r="DC97" s="668">
        <f t="shared" si="984"/>
      </c>
      <c r="DD97" s="668">
        <f t="shared" si="985"/>
      </c>
      <c r="DE97" s="670">
        <f t="shared" si="986"/>
      </c>
      <c r="DF97" s="668">
        <f t="shared" si="987"/>
      </c>
      <c r="DG97" s="668">
        <f t="shared" si="988"/>
      </c>
      <c r="DH97" s="668">
        <f t="shared" si="989"/>
      </c>
      <c r="DI97" s="670">
        <f t="shared" si="990"/>
      </c>
      <c r="DJ97" s="668">
        <f t="shared" si="991"/>
      </c>
      <c r="DK97" s="668">
        <f t="shared" si="992"/>
      </c>
      <c r="DL97" s="668">
        <f t="shared" si="993"/>
      </c>
      <c r="DM97" s="670">
        <f t="shared" si="994"/>
      </c>
      <c r="DN97" s="668">
        <f t="shared" si="995"/>
      </c>
      <c r="DO97" s="668">
        <f t="shared" si="996"/>
      </c>
      <c r="DP97" s="668">
        <f t="shared" si="997"/>
      </c>
      <c r="DQ97" s="670">
        <f t="shared" si="998"/>
      </c>
      <c r="DR97" s="668">
        <f t="shared" si="999"/>
      </c>
      <c r="DS97" s="668">
        <f t="shared" si="1000"/>
      </c>
      <c r="DT97" s="668">
        <f t="shared" si="1001"/>
      </c>
      <c r="DU97" s="670">
        <f t="shared" si="1002"/>
      </c>
      <c r="DV97" s="668">
        <f t="shared" si="1003"/>
      </c>
      <c r="DW97" s="668">
        <f t="shared" si="1004"/>
      </c>
      <c r="DX97" s="668">
        <f t="shared" si="1005"/>
      </c>
      <c r="DY97" s="670">
        <f t="shared" si="1006"/>
      </c>
      <c r="DZ97" s="668">
        <f t="shared" si="1007"/>
      </c>
      <c r="EA97" s="668">
        <f t="shared" si="1008"/>
      </c>
      <c r="EB97" s="668">
        <f t="shared" si="1009"/>
      </c>
      <c r="EC97" s="670">
        <f t="shared" si="1010"/>
      </c>
      <c r="ED97" s="668">
        <f t="shared" si="1011"/>
      </c>
      <c r="EE97" s="668">
        <f t="shared" si="1012"/>
      </c>
      <c r="EF97" s="668">
        <f t="shared" si="1013"/>
      </c>
      <c r="EG97" s="670">
        <f t="shared" si="1014"/>
      </c>
      <c r="EH97" s="668">
        <f t="shared" si="1015"/>
      </c>
      <c r="EI97" s="668">
        <f t="shared" si="1016"/>
      </c>
      <c r="EJ97" s="668">
        <f t="shared" si="1017"/>
      </c>
      <c r="EK97" s="670">
        <f t="shared" si="1018"/>
      </c>
      <c r="EL97" s="11"/>
      <c r="EM97" s="668"/>
      <c r="EN97" s="668">
        <f t="shared" ref="EN97:FQ97" si="1029">EN10-EM10</f>
      </c>
      <c r="EO97" s="668">
        <f t="shared" si="1029"/>
      </c>
      <c r="EP97" s="668">
        <f t="shared" si="1029"/>
      </c>
      <c r="EQ97" s="668">
        <f t="shared" si="1029"/>
      </c>
      <c r="ER97" s="668">
        <f t="shared" si="1029"/>
      </c>
      <c r="ES97" s="668">
        <f t="shared" si="1029"/>
      </c>
      <c r="ET97" s="668">
        <f t="shared" si="1029"/>
      </c>
      <c r="EU97" s="668">
        <f t="shared" si="1029"/>
      </c>
      <c r="EV97" s="668">
        <f t="shared" si="1029"/>
      </c>
      <c r="EW97" s="668">
        <f t="shared" si="1029"/>
      </c>
      <c r="EX97" s="668">
        <f t="shared" si="1029"/>
      </c>
      <c r="EY97" s="668">
        <f t="shared" si="1029"/>
      </c>
      <c r="EZ97" s="668">
        <f t="shared" si="1029"/>
      </c>
      <c r="FA97" s="668">
        <f t="shared" si="1029"/>
      </c>
      <c r="FB97" s="668">
        <f t="shared" si="1029"/>
      </c>
      <c r="FC97" s="668">
        <f t="shared" si="1029"/>
      </c>
      <c r="FD97" s="668">
        <f t="shared" si="1029"/>
      </c>
      <c r="FE97" s="668">
        <f t="shared" si="1029"/>
      </c>
      <c r="FF97" s="668">
        <f t="shared" si="1029"/>
      </c>
      <c r="FG97" s="668">
        <f t="shared" si="1029"/>
      </c>
      <c r="FH97" s="668">
        <f t="shared" si="1029"/>
      </c>
      <c r="FI97" s="668">
        <f t="shared" si="1029"/>
      </c>
      <c r="FJ97" s="668">
        <f t="shared" si="1029"/>
      </c>
      <c r="FK97" s="668">
        <f t="shared" si="1029"/>
      </c>
      <c r="FL97" s="668">
        <f t="shared" si="1029"/>
      </c>
      <c r="FM97" s="668">
        <f t="shared" si="1029"/>
      </c>
      <c r="FN97" s="668">
        <f t="shared" si="1029"/>
      </c>
      <c r="FO97" s="668">
        <f t="shared" si="1029"/>
      </c>
      <c r="FP97" s="668">
        <f t="shared" si="1029"/>
      </c>
      <c r="FQ97" s="668">
        <f t="shared" si="1029"/>
      </c>
      <c r="FR97" s="668">
        <f t="shared" si="1020"/>
      </c>
      <c r="FS97" s="668">
        <f t="shared" si="1021"/>
      </c>
      <c r="FT97" s="668">
        <f t="shared" si="1022"/>
      </c>
      <c r="FU97" s="668">
        <f t="shared" si="1023"/>
      </c>
      <c r="FW97" s="668"/>
      <c r="FX97" s="668">
        <f t="shared" ref="FX97:GZ97" si="1030">FX10-FW10</f>
      </c>
      <c r="FY97" s="668">
        <f t="shared" si="1030"/>
      </c>
      <c r="FZ97" s="668">
        <f t="shared" si="1030"/>
      </c>
      <c r="GA97" s="668">
        <f t="shared" si="1030"/>
      </c>
      <c r="GB97" s="668">
        <f t="shared" si="1030"/>
      </c>
      <c r="GC97" s="668">
        <f t="shared" si="1030"/>
      </c>
      <c r="GD97" s="668">
        <f t="shared" si="1030"/>
      </c>
      <c r="GE97" s="668">
        <f t="shared" si="1030"/>
      </c>
      <c r="GF97" s="668">
        <f t="shared" si="1030"/>
      </c>
      <c r="GG97" s="668">
        <f t="shared" si="1030"/>
      </c>
      <c r="GH97" s="668">
        <f t="shared" si="1030"/>
      </c>
      <c r="GI97" s="668">
        <f t="shared" si="1030"/>
      </c>
      <c r="GJ97" s="668">
        <f t="shared" si="1030"/>
      </c>
      <c r="GK97" s="668">
        <f t="shared" si="1030"/>
      </c>
      <c r="GL97" s="668">
        <f t="shared" si="1030"/>
      </c>
      <c r="GM97" s="668">
        <f t="shared" si="1030"/>
      </c>
      <c r="GN97" s="668">
        <f t="shared" si="1030"/>
      </c>
      <c r="GO97" s="668">
        <f t="shared" si="1030"/>
      </c>
      <c r="GP97" s="668">
        <f t="shared" si="1030"/>
      </c>
      <c r="GQ97" s="668">
        <f t="shared" si="1030"/>
      </c>
      <c r="GR97" s="668">
        <f t="shared" si="1030"/>
      </c>
      <c r="GS97" s="668">
        <f t="shared" si="1030"/>
      </c>
      <c r="GT97" s="668">
        <f t="shared" si="1030"/>
      </c>
      <c r="GU97" s="668">
        <f t="shared" si="1030"/>
      </c>
      <c r="GV97" s="668">
        <f t="shared" si="1030"/>
      </c>
      <c r="GW97" s="668">
        <f t="shared" si="1030"/>
      </c>
      <c r="GX97" s="668">
        <f t="shared" si="1030"/>
      </c>
      <c r="GY97" s="668">
        <f t="shared" si="1030"/>
      </c>
      <c r="GZ97" s="668">
        <f t="shared" si="1030"/>
      </c>
      <c r="HA97" s="668">
        <f t="shared" si="1025"/>
      </c>
      <c r="HB97" s="668">
        <f t="shared" si="1026"/>
      </c>
      <c r="HC97" s="668">
        <f t="shared" si="1027"/>
      </c>
      <c r="HD97" s="668">
        <f t="shared" si="1028"/>
      </c>
    </row>
    <row r="98" spans="1:212" s="673" customFormat="1">
      <c r="A98" s="675" t="str">
        <f t="shared" si="882"/>
      </c>
      <c r="B98" s="676"/>
      <c r="C98" s="676"/>
      <c r="D98" s="676"/>
      <c r="E98" s="677"/>
      <c r="F98" s="676">
        <f t="shared" si="883"/>
      </c>
      <c r="G98" s="676">
        <f t="shared" si="884"/>
      </c>
      <c r="H98" s="676">
        <f t="shared" si="885"/>
      </c>
      <c r="I98" s="676">
        <f t="shared" si="886"/>
      </c>
      <c r="J98" s="676">
        <f t="shared" si="887"/>
      </c>
      <c r="K98" s="676">
        <f t="shared" si="888"/>
      </c>
      <c r="L98" s="676">
        <f t="shared" si="889"/>
      </c>
      <c r="M98" s="676">
        <f t="shared" si="890"/>
      </c>
      <c r="N98" s="676">
        <f t="shared" si="891"/>
      </c>
      <c r="O98" s="676">
        <f t="shared" si="892"/>
      </c>
      <c r="P98" s="676">
        <f t="shared" si="893"/>
      </c>
      <c r="Q98" s="676">
        <f t="shared" si="894"/>
      </c>
      <c r="R98" s="676">
        <f t="shared" si="895"/>
      </c>
      <c r="S98" s="676">
        <f t="shared" si="896"/>
      </c>
      <c r="T98" s="676">
        <f t="shared" si="897"/>
      </c>
      <c r="U98" s="676">
        <f t="shared" si="898"/>
      </c>
      <c r="V98" s="676">
        <f t="shared" si="899"/>
      </c>
      <c r="W98" s="676">
        <f t="shared" si="900"/>
      </c>
      <c r="X98" s="676">
        <f t="shared" si="901"/>
      </c>
      <c r="Y98" s="676">
        <f t="shared" si="902"/>
      </c>
      <c r="Z98" s="676">
        <f t="shared" si="903"/>
      </c>
      <c r="AA98" s="676">
        <f t="shared" si="904"/>
      </c>
      <c r="AB98" s="676">
        <f t="shared" si="905"/>
      </c>
      <c r="AC98" s="676">
        <f t="shared" si="906"/>
      </c>
      <c r="AD98" s="676">
        <f t="shared" si="907"/>
      </c>
      <c r="AE98" s="676">
        <f t="shared" si="908"/>
      </c>
      <c r="AF98" s="676">
        <f t="shared" si="909"/>
      </c>
      <c r="AG98" s="676">
        <f t="shared" si="910"/>
      </c>
      <c r="AH98" s="676">
        <f t="shared" si="911"/>
      </c>
      <c r="AI98" s="676">
        <f t="shared" si="912"/>
      </c>
      <c r="AJ98" s="676">
        <f t="shared" si="913"/>
      </c>
      <c r="AK98" s="676">
        <f t="shared" si="914"/>
      </c>
      <c r="AL98" s="676">
        <f t="shared" si="915"/>
      </c>
      <c r="AM98" s="676">
        <f t="shared" si="916"/>
      </c>
      <c r="AN98" s="676">
        <f t="shared" si="917"/>
      </c>
      <c r="AO98" s="676">
        <f t="shared" si="918"/>
      </c>
      <c r="AP98" s="676">
        <f t="shared" si="919"/>
      </c>
      <c r="AQ98" s="676">
        <f t="shared" si="920"/>
      </c>
      <c r="AR98" s="676">
        <f t="shared" si="921"/>
      </c>
      <c r="AS98" s="676">
        <f t="shared" si="922"/>
      </c>
      <c r="AT98" s="676">
        <f t="shared" si="923"/>
      </c>
      <c r="AU98" s="676">
        <f t="shared" si="924"/>
      </c>
      <c r="AV98" s="676">
        <f t="shared" si="925"/>
      </c>
      <c r="AW98" s="676">
        <f t="shared" si="926"/>
      </c>
      <c r="AX98" s="676">
        <f t="shared" si="927"/>
      </c>
      <c r="AY98" s="676">
        <f t="shared" si="928"/>
      </c>
      <c r="AZ98" s="676">
        <f t="shared" si="929"/>
      </c>
      <c r="BA98" s="676">
        <f t="shared" si="930"/>
      </c>
      <c r="BB98" s="676">
        <f t="shared" si="931"/>
      </c>
      <c r="BC98" s="676">
        <f t="shared" si="932"/>
      </c>
      <c r="BD98" s="676">
        <f t="shared" si="933"/>
      </c>
      <c r="BE98" s="676">
        <f t="shared" si="934"/>
      </c>
      <c r="BF98" s="676">
        <f t="shared" si="935"/>
      </c>
      <c r="BG98" s="676">
        <f t="shared" si="936"/>
      </c>
      <c r="BH98" s="676">
        <f t="shared" si="937"/>
      </c>
      <c r="BI98" s="676">
        <f t="shared" si="938"/>
      </c>
      <c r="BJ98" s="676">
        <f t="shared" si="939"/>
      </c>
      <c r="BK98" s="676">
        <f t="shared" si="940"/>
      </c>
      <c r="BL98" s="676">
        <f t="shared" si="941"/>
      </c>
      <c r="BM98" s="676">
        <f t="shared" si="942"/>
      </c>
      <c r="BN98" s="676">
        <f t="shared" si="943"/>
      </c>
      <c r="BO98" s="676">
        <f t="shared" si="944"/>
      </c>
      <c r="BP98" s="676">
        <f t="shared" si="945"/>
      </c>
      <c r="BQ98" s="678">
        <f t="shared" si="946"/>
      </c>
      <c r="BR98" s="676">
        <f t="shared" si="947"/>
      </c>
      <c r="BS98" s="676">
        <f t="shared" si="948"/>
      </c>
      <c r="BT98" s="676">
        <f t="shared" si="949"/>
      </c>
      <c r="BU98" s="678">
        <f t="shared" si="950"/>
      </c>
      <c r="BV98" s="676">
        <f t="shared" si="951"/>
      </c>
      <c r="BW98" s="676">
        <f t="shared" si="952"/>
      </c>
      <c r="BX98" s="676">
        <f t="shared" si="953"/>
      </c>
      <c r="BY98" s="678">
        <f t="shared" si="954"/>
      </c>
      <c r="BZ98" s="676">
        <f t="shared" si="955"/>
      </c>
      <c r="CA98" s="676">
        <f t="shared" si="956"/>
      </c>
      <c r="CB98" s="676">
        <f t="shared" si="957"/>
      </c>
      <c r="CC98" s="678">
        <f t="shared" si="958"/>
      </c>
      <c r="CD98" s="676">
        <f t="shared" si="959"/>
      </c>
      <c r="CE98" s="676">
        <f t="shared" si="960"/>
      </c>
      <c r="CF98" s="676">
        <f t="shared" si="961"/>
      </c>
      <c r="CG98" s="678">
        <f t="shared" si="962"/>
      </c>
      <c r="CH98" s="676">
        <f t="shared" si="963"/>
      </c>
      <c r="CI98" s="676">
        <f t="shared" si="964"/>
      </c>
      <c r="CJ98" s="676">
        <f t="shared" si="965"/>
      </c>
      <c r="CK98" s="678">
        <f t="shared" si="966"/>
      </c>
      <c r="CL98" s="676">
        <f t="shared" si="967"/>
      </c>
      <c r="CM98" s="676">
        <f t="shared" si="968"/>
      </c>
      <c r="CN98" s="676">
        <f t="shared" si="969"/>
      </c>
      <c r="CO98" s="678">
        <f t="shared" si="970"/>
      </c>
      <c r="CP98" s="676">
        <f t="shared" si="971"/>
      </c>
      <c r="CQ98" s="676">
        <f t="shared" si="972"/>
      </c>
      <c r="CR98" s="676">
        <f t="shared" si="973"/>
      </c>
      <c r="CS98" s="678">
        <f t="shared" si="974"/>
      </c>
      <c r="CT98" s="676">
        <f t="shared" si="975"/>
      </c>
      <c r="CU98" s="676">
        <f t="shared" si="976"/>
      </c>
      <c r="CV98" s="676">
        <f t="shared" si="977"/>
      </c>
      <c r="CW98" s="678">
        <f t="shared" si="978"/>
      </c>
      <c r="CX98" s="676">
        <f t="shared" si="979"/>
      </c>
      <c r="CY98" s="676">
        <f t="shared" si="980"/>
      </c>
      <c r="CZ98" s="676">
        <f t="shared" si="981"/>
      </c>
      <c r="DA98" s="678">
        <f t="shared" si="982"/>
      </c>
      <c r="DB98" s="676">
        <f t="shared" si="983"/>
      </c>
      <c r="DC98" s="676">
        <f t="shared" si="984"/>
      </c>
      <c r="DD98" s="676">
        <f t="shared" si="985"/>
      </c>
      <c r="DE98" s="678">
        <f t="shared" si="986"/>
      </c>
      <c r="DF98" s="676">
        <f t="shared" si="987"/>
      </c>
      <c r="DG98" s="676">
        <f t="shared" si="988"/>
      </c>
      <c r="DH98" s="676">
        <f t="shared" si="989"/>
      </c>
      <c r="DI98" s="678">
        <f t="shared" si="990"/>
      </c>
      <c r="DJ98" s="676">
        <f t="shared" si="991"/>
      </c>
      <c r="DK98" s="676">
        <f t="shared" si="992"/>
      </c>
      <c r="DL98" s="676">
        <f t="shared" si="993"/>
      </c>
      <c r="DM98" s="678">
        <f t="shared" si="994"/>
      </c>
      <c r="DN98" s="676">
        <f t="shared" si="995"/>
      </c>
      <c r="DO98" s="676">
        <f t="shared" si="996"/>
      </c>
      <c r="DP98" s="676">
        <f t="shared" si="997"/>
      </c>
      <c r="DQ98" s="678">
        <f t="shared" si="998"/>
      </c>
      <c r="DR98" s="676">
        <f t="shared" si="999"/>
      </c>
      <c r="DS98" s="676">
        <f t="shared" si="1000"/>
      </c>
      <c r="DT98" s="676">
        <f t="shared" si="1001"/>
      </c>
      <c r="DU98" s="678">
        <f t="shared" si="1002"/>
      </c>
      <c r="DV98" s="676">
        <f t="shared" si="1003"/>
      </c>
      <c r="DW98" s="676">
        <f t="shared" si="1004"/>
      </c>
      <c r="DX98" s="676">
        <f t="shared" si="1005"/>
      </c>
      <c r="DY98" s="678">
        <f t="shared" si="1006"/>
      </c>
      <c r="DZ98" s="676">
        <f t="shared" si="1007"/>
      </c>
      <c r="EA98" s="676">
        <f t="shared" si="1008"/>
      </c>
      <c r="EB98" s="676">
        <f t="shared" si="1009"/>
      </c>
      <c r="EC98" s="678">
        <f t="shared" si="1010"/>
      </c>
      <c r="ED98" s="676">
        <f t="shared" si="1011"/>
      </c>
      <c r="EE98" s="676">
        <f t="shared" si="1012"/>
      </c>
      <c r="EF98" s="676">
        <f t="shared" si="1013"/>
      </c>
      <c r="EG98" s="678">
        <f t="shared" si="1014"/>
      </c>
      <c r="EH98" s="676">
        <f t="shared" si="1015"/>
      </c>
      <c r="EI98" s="676">
        <f t="shared" si="1016"/>
      </c>
      <c r="EJ98" s="676">
        <f t="shared" si="1017"/>
      </c>
      <c r="EK98" s="678">
        <f t="shared" si="1018"/>
      </c>
      <c r="EL98" s="11"/>
      <c r="EM98" s="676"/>
      <c r="EN98" s="676">
        <f t="shared" ref="EN98:FQ98" si="1031">EN11-EM11</f>
      </c>
      <c r="EO98" s="676">
        <f t="shared" si="1031"/>
      </c>
      <c r="EP98" s="676">
        <f t="shared" si="1031"/>
      </c>
      <c r="EQ98" s="676">
        <f t="shared" si="1031"/>
      </c>
      <c r="ER98" s="676">
        <f t="shared" si="1031"/>
      </c>
      <c r="ES98" s="676">
        <f t="shared" si="1031"/>
      </c>
      <c r="ET98" s="676">
        <f t="shared" si="1031"/>
      </c>
      <c r="EU98" s="676">
        <f t="shared" si="1031"/>
      </c>
      <c r="EV98" s="676">
        <f t="shared" si="1031"/>
      </c>
      <c r="EW98" s="676">
        <f t="shared" si="1031"/>
      </c>
      <c r="EX98" s="676">
        <f t="shared" si="1031"/>
      </c>
      <c r="EY98" s="676">
        <f t="shared" si="1031"/>
      </c>
      <c r="EZ98" s="676">
        <f t="shared" si="1031"/>
      </c>
      <c r="FA98" s="676">
        <f t="shared" si="1031"/>
      </c>
      <c r="FB98" s="676">
        <f t="shared" si="1031"/>
      </c>
      <c r="FC98" s="676">
        <f t="shared" si="1031"/>
      </c>
      <c r="FD98" s="676">
        <f t="shared" si="1031"/>
      </c>
      <c r="FE98" s="676">
        <f t="shared" si="1031"/>
      </c>
      <c r="FF98" s="676">
        <f t="shared" si="1031"/>
      </c>
      <c r="FG98" s="676">
        <f t="shared" si="1031"/>
      </c>
      <c r="FH98" s="676">
        <f t="shared" si="1031"/>
      </c>
      <c r="FI98" s="676">
        <f t="shared" si="1031"/>
      </c>
      <c r="FJ98" s="676">
        <f t="shared" si="1031"/>
      </c>
      <c r="FK98" s="676">
        <f t="shared" si="1031"/>
      </c>
      <c r="FL98" s="676">
        <f t="shared" si="1031"/>
      </c>
      <c r="FM98" s="676">
        <f t="shared" si="1031"/>
      </c>
      <c r="FN98" s="676">
        <f t="shared" si="1031"/>
      </c>
      <c r="FO98" s="676">
        <f t="shared" si="1031"/>
      </c>
      <c r="FP98" s="676">
        <f t="shared" si="1031"/>
      </c>
      <c r="FQ98" s="676">
        <f t="shared" si="1031"/>
      </c>
      <c r="FR98" s="676">
        <f t="shared" si="1020"/>
      </c>
      <c r="FS98" s="676">
        <f t="shared" si="1021"/>
      </c>
      <c r="FT98" s="676">
        <f t="shared" si="1022"/>
      </c>
      <c r="FU98" s="676">
        <f t="shared" si="1023"/>
      </c>
      <c r="FW98" s="676"/>
      <c r="FX98" s="676">
        <f t="shared" ref="FX98:GZ98" si="1032">FX11-FW11</f>
      </c>
      <c r="FY98" s="676">
        <f t="shared" si="1032"/>
      </c>
      <c r="FZ98" s="676">
        <f t="shared" si="1032"/>
      </c>
      <c r="GA98" s="676">
        <f t="shared" si="1032"/>
      </c>
      <c r="GB98" s="676">
        <f t="shared" si="1032"/>
      </c>
      <c r="GC98" s="676">
        <f t="shared" si="1032"/>
      </c>
      <c r="GD98" s="676">
        <f t="shared" si="1032"/>
      </c>
      <c r="GE98" s="676">
        <f t="shared" si="1032"/>
      </c>
      <c r="GF98" s="676">
        <f t="shared" si="1032"/>
      </c>
      <c r="GG98" s="676">
        <f t="shared" si="1032"/>
      </c>
      <c r="GH98" s="676">
        <f t="shared" si="1032"/>
      </c>
      <c r="GI98" s="676">
        <f t="shared" si="1032"/>
      </c>
      <c r="GJ98" s="676">
        <f t="shared" si="1032"/>
      </c>
      <c r="GK98" s="676">
        <f t="shared" si="1032"/>
      </c>
      <c r="GL98" s="676">
        <f t="shared" si="1032"/>
      </c>
      <c r="GM98" s="676">
        <f t="shared" si="1032"/>
      </c>
      <c r="GN98" s="676">
        <f t="shared" si="1032"/>
      </c>
      <c r="GO98" s="676">
        <f t="shared" si="1032"/>
      </c>
      <c r="GP98" s="676">
        <f t="shared" si="1032"/>
      </c>
      <c r="GQ98" s="676">
        <f t="shared" si="1032"/>
      </c>
      <c r="GR98" s="676">
        <f t="shared" si="1032"/>
      </c>
      <c r="GS98" s="676">
        <f t="shared" si="1032"/>
      </c>
      <c r="GT98" s="676">
        <f t="shared" si="1032"/>
      </c>
      <c r="GU98" s="676">
        <f t="shared" si="1032"/>
      </c>
      <c r="GV98" s="676">
        <f t="shared" si="1032"/>
      </c>
      <c r="GW98" s="676">
        <f t="shared" si="1032"/>
      </c>
      <c r="GX98" s="676">
        <f t="shared" si="1032"/>
      </c>
      <c r="GY98" s="676">
        <f t="shared" si="1032"/>
      </c>
      <c r="GZ98" s="676">
        <f t="shared" si="1032"/>
      </c>
      <c r="HA98" s="676">
        <f t="shared" si="1025"/>
      </c>
      <c r="HB98" s="676">
        <f t="shared" si="1026"/>
      </c>
      <c r="HC98" s="676">
        <f t="shared" si="1027"/>
      </c>
      <c r="HD98" s="676">
        <f t="shared" si="1028"/>
      </c>
    </row>
    <row r="99" spans="1:212" s="673" customFormat="1">
      <c r="A99" s="667" t="str">
        <f t="shared" si="882"/>
      </c>
      <c r="B99" s="668"/>
      <c r="C99" s="668"/>
      <c r="D99" s="668"/>
      <c r="E99" s="669"/>
      <c r="F99" s="668">
        <f t="shared" si="883"/>
      </c>
      <c r="G99" s="668">
        <f t="shared" si="884"/>
      </c>
      <c r="H99" s="668">
        <f t="shared" si="885"/>
      </c>
      <c r="I99" s="668">
        <f t="shared" si="886"/>
      </c>
      <c r="J99" s="668">
        <f t="shared" si="887"/>
      </c>
      <c r="K99" s="668">
        <f t="shared" si="888"/>
      </c>
      <c r="L99" s="668">
        <f t="shared" si="889"/>
      </c>
      <c r="M99" s="668">
        <f t="shared" si="890"/>
      </c>
      <c r="N99" s="668">
        <f t="shared" si="891"/>
      </c>
      <c r="O99" s="668">
        <f t="shared" si="892"/>
      </c>
      <c r="P99" s="668">
        <f t="shared" si="893"/>
      </c>
      <c r="Q99" s="668">
        <f t="shared" si="894"/>
      </c>
      <c r="R99" s="668">
        <f t="shared" si="895"/>
      </c>
      <c r="S99" s="668">
        <f t="shared" si="896"/>
      </c>
      <c r="T99" s="668">
        <f t="shared" si="897"/>
      </c>
      <c r="U99" s="668">
        <f t="shared" si="898"/>
      </c>
      <c r="V99" s="668">
        <f t="shared" si="899"/>
      </c>
      <c r="W99" s="668">
        <f t="shared" si="900"/>
      </c>
      <c r="X99" s="668">
        <f t="shared" si="901"/>
      </c>
      <c r="Y99" s="668">
        <f t="shared" si="902"/>
      </c>
      <c r="Z99" s="668">
        <f t="shared" si="903"/>
      </c>
      <c r="AA99" s="668">
        <f t="shared" si="904"/>
      </c>
      <c r="AB99" s="668">
        <f t="shared" si="905"/>
      </c>
      <c r="AC99" s="668">
        <f t="shared" si="906"/>
      </c>
      <c r="AD99" s="668">
        <f t="shared" si="907"/>
      </c>
      <c r="AE99" s="668">
        <f t="shared" si="908"/>
      </c>
      <c r="AF99" s="668">
        <f t="shared" si="909"/>
      </c>
      <c r="AG99" s="668">
        <f t="shared" si="910"/>
      </c>
      <c r="AH99" s="668">
        <f t="shared" si="911"/>
      </c>
      <c r="AI99" s="668">
        <f t="shared" si="912"/>
      </c>
      <c r="AJ99" s="668">
        <f t="shared" si="913"/>
      </c>
      <c r="AK99" s="668">
        <f t="shared" si="914"/>
      </c>
      <c r="AL99" s="668">
        <f t="shared" si="915"/>
      </c>
      <c r="AM99" s="668">
        <f t="shared" si="916"/>
      </c>
      <c r="AN99" s="668">
        <f t="shared" si="917"/>
      </c>
      <c r="AO99" s="668">
        <f t="shared" si="918"/>
      </c>
      <c r="AP99" s="668">
        <f t="shared" si="919"/>
      </c>
      <c r="AQ99" s="668">
        <f t="shared" si="920"/>
      </c>
      <c r="AR99" s="668">
        <f t="shared" si="921"/>
      </c>
      <c r="AS99" s="668">
        <f t="shared" si="922"/>
      </c>
      <c r="AT99" s="668">
        <f t="shared" si="923"/>
      </c>
      <c r="AU99" s="668">
        <f t="shared" si="924"/>
      </c>
      <c r="AV99" s="668">
        <f t="shared" si="925"/>
      </c>
      <c r="AW99" s="668">
        <f t="shared" si="926"/>
      </c>
      <c r="AX99" s="668">
        <f t="shared" si="927"/>
      </c>
      <c r="AY99" s="668">
        <f t="shared" si="928"/>
      </c>
      <c r="AZ99" s="668">
        <f t="shared" si="929"/>
      </c>
      <c r="BA99" s="668">
        <f t="shared" si="930"/>
      </c>
      <c r="BB99" s="668">
        <f t="shared" si="931"/>
      </c>
      <c r="BC99" s="668">
        <f t="shared" si="932"/>
      </c>
      <c r="BD99" s="668">
        <f t="shared" si="933"/>
      </c>
      <c r="BE99" s="668">
        <f t="shared" si="934"/>
      </c>
      <c r="BF99" s="668">
        <f t="shared" si="935"/>
      </c>
      <c r="BG99" s="668">
        <f t="shared" si="936"/>
      </c>
      <c r="BH99" s="668">
        <f t="shared" si="937"/>
      </c>
      <c r="BI99" s="668">
        <f t="shared" si="938"/>
      </c>
      <c r="BJ99" s="668">
        <f t="shared" si="939"/>
      </c>
      <c r="BK99" s="668">
        <f t="shared" si="940"/>
      </c>
      <c r="BL99" s="668">
        <f t="shared" si="941"/>
      </c>
      <c r="BM99" s="668">
        <f t="shared" si="942"/>
      </c>
      <c r="BN99" s="668">
        <f t="shared" si="943"/>
      </c>
      <c r="BO99" s="668">
        <f t="shared" si="944"/>
      </c>
      <c r="BP99" s="668">
        <f t="shared" si="945"/>
      </c>
      <c r="BQ99" s="670">
        <f t="shared" si="946"/>
      </c>
      <c r="BR99" s="668">
        <f t="shared" si="947"/>
      </c>
      <c r="BS99" s="668">
        <f t="shared" si="948"/>
      </c>
      <c r="BT99" s="668">
        <f t="shared" si="949"/>
      </c>
      <c r="BU99" s="670">
        <f t="shared" si="950"/>
      </c>
      <c r="BV99" s="668">
        <f t="shared" si="951"/>
      </c>
      <c r="BW99" s="668">
        <f t="shared" si="952"/>
      </c>
      <c r="BX99" s="668">
        <f t="shared" si="953"/>
      </c>
      <c r="BY99" s="670">
        <f t="shared" si="954"/>
      </c>
      <c r="BZ99" s="668">
        <f t="shared" si="955"/>
      </c>
      <c r="CA99" s="668">
        <f t="shared" si="956"/>
      </c>
      <c r="CB99" s="668">
        <f t="shared" si="957"/>
      </c>
      <c r="CC99" s="670">
        <f t="shared" si="958"/>
      </c>
      <c r="CD99" s="668">
        <f t="shared" si="959"/>
      </c>
      <c r="CE99" s="668">
        <f t="shared" si="960"/>
      </c>
      <c r="CF99" s="668">
        <f t="shared" si="961"/>
      </c>
      <c r="CG99" s="670">
        <f t="shared" si="962"/>
      </c>
      <c r="CH99" s="668">
        <f t="shared" si="963"/>
      </c>
      <c r="CI99" s="668">
        <f t="shared" si="964"/>
      </c>
      <c r="CJ99" s="668">
        <f t="shared" si="965"/>
      </c>
      <c r="CK99" s="670">
        <f t="shared" si="966"/>
      </c>
      <c r="CL99" s="668">
        <f t="shared" si="967"/>
      </c>
      <c r="CM99" s="668">
        <f t="shared" si="968"/>
      </c>
      <c r="CN99" s="668">
        <f t="shared" si="969"/>
      </c>
      <c r="CO99" s="670">
        <f t="shared" si="970"/>
      </c>
      <c r="CP99" s="668">
        <f t="shared" si="971"/>
      </c>
      <c r="CQ99" s="668">
        <f t="shared" si="972"/>
      </c>
      <c r="CR99" s="668">
        <f t="shared" si="973"/>
      </c>
      <c r="CS99" s="670">
        <f t="shared" si="974"/>
      </c>
      <c r="CT99" s="668">
        <f t="shared" si="975"/>
      </c>
      <c r="CU99" s="668">
        <f t="shared" si="976"/>
      </c>
      <c r="CV99" s="668">
        <f t="shared" si="977"/>
      </c>
      <c r="CW99" s="670">
        <f t="shared" si="978"/>
      </c>
      <c r="CX99" s="668">
        <f t="shared" si="979"/>
      </c>
      <c r="CY99" s="668">
        <f t="shared" si="980"/>
      </c>
      <c r="CZ99" s="668">
        <f t="shared" si="981"/>
      </c>
      <c r="DA99" s="670">
        <f t="shared" si="982"/>
      </c>
      <c r="DB99" s="668">
        <f t="shared" si="983"/>
      </c>
      <c r="DC99" s="668">
        <f t="shared" si="984"/>
      </c>
      <c r="DD99" s="668">
        <f t="shared" si="985"/>
      </c>
      <c r="DE99" s="670">
        <f t="shared" si="986"/>
      </c>
      <c r="DF99" s="668">
        <f t="shared" si="987"/>
      </c>
      <c r="DG99" s="668">
        <f t="shared" si="988"/>
      </c>
      <c r="DH99" s="668">
        <f t="shared" si="989"/>
      </c>
      <c r="DI99" s="670">
        <f t="shared" si="990"/>
      </c>
      <c r="DJ99" s="668">
        <f t="shared" si="991"/>
      </c>
      <c r="DK99" s="668">
        <f t="shared" si="992"/>
      </c>
      <c r="DL99" s="668">
        <f t="shared" si="993"/>
      </c>
      <c r="DM99" s="670">
        <f t="shared" si="994"/>
      </c>
      <c r="DN99" s="668">
        <f t="shared" si="995"/>
      </c>
      <c r="DO99" s="668">
        <f t="shared" si="996"/>
      </c>
      <c r="DP99" s="668">
        <f t="shared" si="997"/>
      </c>
      <c r="DQ99" s="670">
        <f t="shared" si="998"/>
      </c>
      <c r="DR99" s="668">
        <f t="shared" si="999"/>
      </c>
      <c r="DS99" s="668">
        <f t="shared" si="1000"/>
      </c>
      <c r="DT99" s="668">
        <f t="shared" si="1001"/>
      </c>
      <c r="DU99" s="670">
        <f t="shared" si="1002"/>
      </c>
      <c r="DV99" s="668">
        <f t="shared" si="1003"/>
      </c>
      <c r="DW99" s="668">
        <f t="shared" si="1004"/>
      </c>
      <c r="DX99" s="668">
        <f t="shared" si="1005"/>
      </c>
      <c r="DY99" s="670">
        <f t="shared" si="1006"/>
      </c>
      <c r="DZ99" s="668">
        <f t="shared" si="1007"/>
      </c>
      <c r="EA99" s="668">
        <f t="shared" si="1008"/>
      </c>
      <c r="EB99" s="668">
        <f t="shared" si="1009"/>
      </c>
      <c r="EC99" s="670">
        <f t="shared" si="1010"/>
      </c>
      <c r="ED99" s="668">
        <f t="shared" si="1011"/>
      </c>
      <c r="EE99" s="668">
        <f t="shared" si="1012"/>
      </c>
      <c r="EF99" s="668">
        <f t="shared" si="1013"/>
      </c>
      <c r="EG99" s="670">
        <f t="shared" si="1014"/>
      </c>
      <c r="EH99" s="668">
        <f t="shared" si="1015"/>
      </c>
      <c r="EI99" s="668">
        <f t="shared" si="1016"/>
      </c>
      <c r="EJ99" s="668">
        <f t="shared" si="1017"/>
      </c>
      <c r="EK99" s="670">
        <f t="shared" si="1018"/>
      </c>
      <c r="EL99" s="11"/>
      <c r="EM99" s="668"/>
      <c r="EN99" s="668">
        <f t="shared" ref="EN99:FQ99" si="1033">EN12-EM12</f>
      </c>
      <c r="EO99" s="668">
        <f t="shared" si="1033"/>
      </c>
      <c r="EP99" s="668">
        <f t="shared" si="1033"/>
      </c>
      <c r="EQ99" s="668">
        <f t="shared" si="1033"/>
      </c>
      <c r="ER99" s="668">
        <f t="shared" si="1033"/>
      </c>
      <c r="ES99" s="668">
        <f t="shared" si="1033"/>
      </c>
      <c r="ET99" s="668">
        <f t="shared" si="1033"/>
      </c>
      <c r="EU99" s="668">
        <f t="shared" si="1033"/>
      </c>
      <c r="EV99" s="668">
        <f t="shared" si="1033"/>
      </c>
      <c r="EW99" s="668">
        <f t="shared" si="1033"/>
      </c>
      <c r="EX99" s="668">
        <f t="shared" si="1033"/>
      </c>
      <c r="EY99" s="668">
        <f t="shared" si="1033"/>
      </c>
      <c r="EZ99" s="668">
        <f t="shared" si="1033"/>
      </c>
      <c r="FA99" s="668">
        <f t="shared" si="1033"/>
      </c>
      <c r="FB99" s="668">
        <f t="shared" si="1033"/>
      </c>
      <c r="FC99" s="668">
        <f t="shared" si="1033"/>
      </c>
      <c r="FD99" s="668">
        <f t="shared" si="1033"/>
      </c>
      <c r="FE99" s="668">
        <f t="shared" si="1033"/>
      </c>
      <c r="FF99" s="668">
        <f t="shared" si="1033"/>
      </c>
      <c r="FG99" s="668">
        <f t="shared" si="1033"/>
      </c>
      <c r="FH99" s="668">
        <f t="shared" si="1033"/>
      </c>
      <c r="FI99" s="668">
        <f t="shared" si="1033"/>
      </c>
      <c r="FJ99" s="668">
        <f t="shared" si="1033"/>
      </c>
      <c r="FK99" s="668">
        <f t="shared" si="1033"/>
      </c>
      <c r="FL99" s="668">
        <f t="shared" si="1033"/>
      </c>
      <c r="FM99" s="668">
        <f t="shared" si="1033"/>
      </c>
      <c r="FN99" s="668">
        <f t="shared" si="1033"/>
      </c>
      <c r="FO99" s="668">
        <f t="shared" si="1033"/>
      </c>
      <c r="FP99" s="668">
        <f t="shared" si="1033"/>
      </c>
      <c r="FQ99" s="668">
        <f t="shared" si="1033"/>
      </c>
      <c r="FR99" s="668">
        <f t="shared" si="1020"/>
      </c>
      <c r="FS99" s="668">
        <f t="shared" si="1021"/>
      </c>
      <c r="FT99" s="668">
        <f t="shared" si="1022"/>
      </c>
      <c r="FU99" s="668">
        <f t="shared" si="1023"/>
      </c>
      <c r="FW99" s="668"/>
      <c r="FX99" s="668">
        <f t="shared" ref="FX99:GZ99" si="1034">FX12-FW12</f>
      </c>
      <c r="FY99" s="668">
        <f t="shared" si="1034"/>
      </c>
      <c r="FZ99" s="668">
        <f t="shared" si="1034"/>
      </c>
      <c r="GA99" s="668">
        <f t="shared" si="1034"/>
      </c>
      <c r="GB99" s="668">
        <f t="shared" si="1034"/>
      </c>
      <c r="GC99" s="668">
        <f t="shared" si="1034"/>
      </c>
      <c r="GD99" s="668">
        <f t="shared" si="1034"/>
      </c>
      <c r="GE99" s="668">
        <f t="shared" si="1034"/>
      </c>
      <c r="GF99" s="668">
        <f t="shared" si="1034"/>
      </c>
      <c r="GG99" s="668">
        <f t="shared" si="1034"/>
      </c>
      <c r="GH99" s="668">
        <f t="shared" si="1034"/>
      </c>
      <c r="GI99" s="668">
        <f t="shared" si="1034"/>
      </c>
      <c r="GJ99" s="668">
        <f t="shared" si="1034"/>
      </c>
      <c r="GK99" s="668">
        <f t="shared" si="1034"/>
      </c>
      <c r="GL99" s="668">
        <f t="shared" si="1034"/>
      </c>
      <c r="GM99" s="668">
        <f t="shared" si="1034"/>
      </c>
      <c r="GN99" s="668">
        <f t="shared" si="1034"/>
      </c>
      <c r="GO99" s="668">
        <f t="shared" si="1034"/>
      </c>
      <c r="GP99" s="668">
        <f t="shared" si="1034"/>
      </c>
      <c r="GQ99" s="668">
        <f t="shared" si="1034"/>
      </c>
      <c r="GR99" s="668">
        <f t="shared" si="1034"/>
      </c>
      <c r="GS99" s="668">
        <f t="shared" si="1034"/>
      </c>
      <c r="GT99" s="668">
        <f t="shared" si="1034"/>
      </c>
      <c r="GU99" s="668">
        <f t="shared" si="1034"/>
      </c>
      <c r="GV99" s="668">
        <f t="shared" si="1034"/>
      </c>
      <c r="GW99" s="668">
        <f t="shared" si="1034"/>
      </c>
      <c r="GX99" s="668">
        <f t="shared" si="1034"/>
      </c>
      <c r="GY99" s="668">
        <f t="shared" si="1034"/>
      </c>
      <c r="GZ99" s="668">
        <f t="shared" si="1034"/>
      </c>
      <c r="HA99" s="668">
        <f t="shared" si="1025"/>
      </c>
      <c r="HB99" s="668">
        <f t="shared" si="1026"/>
      </c>
      <c r="HC99" s="668">
        <f t="shared" si="1027"/>
      </c>
      <c r="HD99" s="668">
        <f t="shared" si="1028"/>
      </c>
    </row>
    <row r="100" spans="1:212" s="673" customFormat="1">
      <c r="A100" s="667" t="str">
        <f t="shared" si="882"/>
      </c>
      <c r="B100" s="668"/>
      <c r="C100" s="668"/>
      <c r="D100" s="668"/>
      <c r="E100" s="669"/>
      <c r="F100" s="668">
        <f t="shared" si="883"/>
      </c>
      <c r="G100" s="668">
        <f t="shared" si="884"/>
      </c>
      <c r="H100" s="668">
        <f t="shared" si="885"/>
      </c>
      <c r="I100" s="668">
        <f t="shared" si="886"/>
      </c>
      <c r="J100" s="668">
        <f t="shared" si="887"/>
      </c>
      <c r="K100" s="668">
        <f t="shared" si="888"/>
      </c>
      <c r="L100" s="668">
        <f t="shared" si="889"/>
      </c>
      <c r="M100" s="668">
        <f t="shared" si="890"/>
      </c>
      <c r="N100" s="668">
        <f t="shared" si="891"/>
      </c>
      <c r="O100" s="668">
        <f t="shared" si="892"/>
      </c>
      <c r="P100" s="668">
        <f t="shared" si="893"/>
      </c>
      <c r="Q100" s="668">
        <f t="shared" si="894"/>
      </c>
      <c r="R100" s="668">
        <f t="shared" si="895"/>
      </c>
      <c r="S100" s="668">
        <f t="shared" si="896"/>
      </c>
      <c r="T100" s="668">
        <f t="shared" si="897"/>
      </c>
      <c r="U100" s="668">
        <f t="shared" si="898"/>
      </c>
      <c r="V100" s="668">
        <f t="shared" si="899"/>
      </c>
      <c r="W100" s="668">
        <f t="shared" si="900"/>
      </c>
      <c r="X100" s="668">
        <f t="shared" si="901"/>
      </c>
      <c r="Y100" s="668">
        <f t="shared" si="902"/>
      </c>
      <c r="Z100" s="668">
        <f t="shared" si="903"/>
      </c>
      <c r="AA100" s="668">
        <f t="shared" si="904"/>
      </c>
      <c r="AB100" s="668">
        <f t="shared" si="905"/>
      </c>
      <c r="AC100" s="668">
        <f t="shared" si="906"/>
      </c>
      <c r="AD100" s="668">
        <f t="shared" si="907"/>
      </c>
      <c r="AE100" s="668">
        <f t="shared" si="908"/>
      </c>
      <c r="AF100" s="668">
        <f t="shared" si="909"/>
      </c>
      <c r="AG100" s="668">
        <f t="shared" si="910"/>
      </c>
      <c r="AH100" s="668">
        <f t="shared" si="911"/>
      </c>
      <c r="AI100" s="668">
        <f t="shared" si="912"/>
      </c>
      <c r="AJ100" s="668">
        <f t="shared" si="913"/>
      </c>
      <c r="AK100" s="668">
        <f t="shared" si="914"/>
      </c>
      <c r="AL100" s="668">
        <f t="shared" si="915"/>
      </c>
      <c r="AM100" s="668">
        <f t="shared" si="916"/>
      </c>
      <c r="AN100" s="668">
        <f t="shared" si="917"/>
      </c>
      <c r="AO100" s="668">
        <f t="shared" si="918"/>
      </c>
      <c r="AP100" s="668">
        <f t="shared" si="919"/>
      </c>
      <c r="AQ100" s="668">
        <f t="shared" si="920"/>
      </c>
      <c r="AR100" s="668">
        <f t="shared" si="921"/>
      </c>
      <c r="AS100" s="668">
        <f t="shared" si="922"/>
      </c>
      <c r="AT100" s="668">
        <f t="shared" si="923"/>
      </c>
      <c r="AU100" s="668">
        <f t="shared" si="924"/>
      </c>
      <c r="AV100" s="668">
        <f t="shared" si="925"/>
      </c>
      <c r="AW100" s="668">
        <f t="shared" si="926"/>
      </c>
      <c r="AX100" s="668">
        <f t="shared" si="927"/>
      </c>
      <c r="AY100" s="668">
        <f t="shared" si="928"/>
      </c>
      <c r="AZ100" s="668">
        <f t="shared" si="929"/>
      </c>
      <c r="BA100" s="668">
        <f t="shared" si="930"/>
      </c>
      <c r="BB100" s="668">
        <f t="shared" si="931"/>
      </c>
      <c r="BC100" s="668">
        <f t="shared" si="932"/>
      </c>
      <c r="BD100" s="668">
        <f t="shared" si="933"/>
      </c>
      <c r="BE100" s="668">
        <f t="shared" si="934"/>
      </c>
      <c r="BF100" s="668">
        <f t="shared" si="935"/>
      </c>
      <c r="BG100" s="668">
        <f t="shared" si="936"/>
      </c>
      <c r="BH100" s="668">
        <f t="shared" si="937"/>
      </c>
      <c r="BI100" s="668">
        <f t="shared" si="938"/>
      </c>
      <c r="BJ100" s="668">
        <f t="shared" si="939"/>
      </c>
      <c r="BK100" s="668">
        <f t="shared" si="940"/>
      </c>
      <c r="BL100" s="668">
        <f t="shared" si="941"/>
      </c>
      <c r="BM100" s="668">
        <f t="shared" si="942"/>
      </c>
      <c r="BN100" s="668">
        <f t="shared" si="943"/>
      </c>
      <c r="BO100" s="668">
        <f t="shared" si="944"/>
      </c>
      <c r="BP100" s="668">
        <f t="shared" si="945"/>
      </c>
      <c r="BQ100" s="670">
        <f t="shared" si="946"/>
      </c>
      <c r="BR100" s="668">
        <f t="shared" si="947"/>
      </c>
      <c r="BS100" s="668">
        <f t="shared" si="948"/>
      </c>
      <c r="BT100" s="668">
        <f t="shared" si="949"/>
      </c>
      <c r="BU100" s="670">
        <f t="shared" si="950"/>
      </c>
      <c r="BV100" s="668">
        <f t="shared" si="951"/>
      </c>
      <c r="BW100" s="668">
        <f t="shared" si="952"/>
      </c>
      <c r="BX100" s="668">
        <f t="shared" si="953"/>
      </c>
      <c r="BY100" s="670">
        <f t="shared" si="954"/>
      </c>
      <c r="BZ100" s="668">
        <f t="shared" si="955"/>
      </c>
      <c r="CA100" s="668">
        <f t="shared" si="956"/>
      </c>
      <c r="CB100" s="668">
        <f t="shared" si="957"/>
      </c>
      <c r="CC100" s="670">
        <f t="shared" si="958"/>
      </c>
      <c r="CD100" s="668">
        <f t="shared" si="959"/>
      </c>
      <c r="CE100" s="668">
        <f t="shared" si="960"/>
      </c>
      <c r="CF100" s="668">
        <f t="shared" si="961"/>
      </c>
      <c r="CG100" s="670">
        <f t="shared" si="962"/>
      </c>
      <c r="CH100" s="668">
        <f t="shared" si="963"/>
      </c>
      <c r="CI100" s="668">
        <f t="shared" si="964"/>
      </c>
      <c r="CJ100" s="668">
        <f t="shared" si="965"/>
      </c>
      <c r="CK100" s="670">
        <f t="shared" si="966"/>
      </c>
      <c r="CL100" s="668">
        <f t="shared" si="967"/>
      </c>
      <c r="CM100" s="668">
        <f t="shared" si="968"/>
      </c>
      <c r="CN100" s="668">
        <f t="shared" si="969"/>
      </c>
      <c r="CO100" s="670">
        <f t="shared" si="970"/>
      </c>
      <c r="CP100" s="668">
        <f t="shared" si="971"/>
      </c>
      <c r="CQ100" s="668">
        <f t="shared" si="972"/>
      </c>
      <c r="CR100" s="668">
        <f t="shared" si="973"/>
      </c>
      <c r="CS100" s="670">
        <f t="shared" si="974"/>
      </c>
      <c r="CT100" s="668">
        <f t="shared" si="975"/>
      </c>
      <c r="CU100" s="668">
        <f t="shared" si="976"/>
      </c>
      <c r="CV100" s="668">
        <f t="shared" si="977"/>
      </c>
      <c r="CW100" s="670">
        <f t="shared" si="978"/>
      </c>
      <c r="CX100" s="668">
        <f t="shared" si="979"/>
      </c>
      <c r="CY100" s="668">
        <f t="shared" si="980"/>
      </c>
      <c r="CZ100" s="668">
        <f t="shared" si="981"/>
      </c>
      <c r="DA100" s="670">
        <f t="shared" si="982"/>
      </c>
      <c r="DB100" s="668">
        <f t="shared" si="983"/>
      </c>
      <c r="DC100" s="668">
        <f t="shared" si="984"/>
      </c>
      <c r="DD100" s="668">
        <f t="shared" si="985"/>
      </c>
      <c r="DE100" s="670">
        <f t="shared" si="986"/>
      </c>
      <c r="DF100" s="668">
        <f t="shared" si="987"/>
      </c>
      <c r="DG100" s="668">
        <f t="shared" si="988"/>
      </c>
      <c r="DH100" s="668">
        <f t="shared" si="989"/>
      </c>
      <c r="DI100" s="670">
        <f t="shared" si="990"/>
      </c>
      <c r="DJ100" s="668">
        <f t="shared" si="991"/>
      </c>
      <c r="DK100" s="668">
        <f t="shared" si="992"/>
      </c>
      <c r="DL100" s="668">
        <f t="shared" si="993"/>
      </c>
      <c r="DM100" s="670">
        <f t="shared" si="994"/>
      </c>
      <c r="DN100" s="668">
        <f t="shared" si="995"/>
      </c>
      <c r="DO100" s="668">
        <f t="shared" si="996"/>
      </c>
      <c r="DP100" s="668">
        <f t="shared" si="997"/>
      </c>
      <c r="DQ100" s="670">
        <f t="shared" si="998"/>
      </c>
      <c r="DR100" s="668">
        <f t="shared" si="999"/>
      </c>
      <c r="DS100" s="668">
        <f t="shared" si="1000"/>
      </c>
      <c r="DT100" s="668">
        <f t="shared" si="1001"/>
      </c>
      <c r="DU100" s="670">
        <f t="shared" si="1002"/>
      </c>
      <c r="DV100" s="668">
        <f t="shared" si="1003"/>
      </c>
      <c r="DW100" s="668">
        <f t="shared" si="1004"/>
      </c>
      <c r="DX100" s="668">
        <f t="shared" si="1005"/>
      </c>
      <c r="DY100" s="670">
        <f t="shared" si="1006"/>
      </c>
      <c r="DZ100" s="668">
        <f t="shared" si="1007"/>
      </c>
      <c r="EA100" s="668">
        <f t="shared" si="1008"/>
      </c>
      <c r="EB100" s="668">
        <f t="shared" si="1009"/>
      </c>
      <c r="EC100" s="670">
        <f t="shared" si="1010"/>
      </c>
      <c r="ED100" s="668">
        <f t="shared" si="1011"/>
      </c>
      <c r="EE100" s="668">
        <f t="shared" si="1012"/>
      </c>
      <c r="EF100" s="668">
        <f t="shared" si="1013"/>
      </c>
      <c r="EG100" s="670">
        <f t="shared" si="1014"/>
      </c>
      <c r="EH100" s="668">
        <f t="shared" si="1015"/>
      </c>
      <c r="EI100" s="668">
        <f t="shared" si="1016"/>
      </c>
      <c r="EJ100" s="668">
        <f t="shared" si="1017"/>
      </c>
      <c r="EK100" s="670">
        <f t="shared" si="1018"/>
      </c>
      <c r="EL100" s="11"/>
      <c r="EM100" s="668"/>
      <c r="EN100" s="668">
        <f t="shared" ref="EN100:FQ100" si="1035">EN13-EM13</f>
      </c>
      <c r="EO100" s="668">
        <f t="shared" si="1035"/>
      </c>
      <c r="EP100" s="668">
        <f t="shared" si="1035"/>
      </c>
      <c r="EQ100" s="668">
        <f t="shared" si="1035"/>
      </c>
      <c r="ER100" s="668">
        <f t="shared" si="1035"/>
      </c>
      <c r="ES100" s="668">
        <f t="shared" si="1035"/>
      </c>
      <c r="ET100" s="668">
        <f t="shared" si="1035"/>
      </c>
      <c r="EU100" s="668">
        <f t="shared" si="1035"/>
      </c>
      <c r="EV100" s="668">
        <f t="shared" si="1035"/>
      </c>
      <c r="EW100" s="668">
        <f t="shared" si="1035"/>
      </c>
      <c r="EX100" s="668">
        <f t="shared" si="1035"/>
      </c>
      <c r="EY100" s="668">
        <f t="shared" si="1035"/>
      </c>
      <c r="EZ100" s="668">
        <f t="shared" si="1035"/>
      </c>
      <c r="FA100" s="668">
        <f t="shared" si="1035"/>
      </c>
      <c r="FB100" s="668">
        <f t="shared" si="1035"/>
      </c>
      <c r="FC100" s="668">
        <f t="shared" si="1035"/>
      </c>
      <c r="FD100" s="668">
        <f t="shared" si="1035"/>
      </c>
      <c r="FE100" s="668">
        <f t="shared" si="1035"/>
      </c>
      <c r="FF100" s="668">
        <f t="shared" si="1035"/>
      </c>
      <c r="FG100" s="668">
        <f t="shared" si="1035"/>
      </c>
      <c r="FH100" s="668">
        <f t="shared" si="1035"/>
      </c>
      <c r="FI100" s="668">
        <f t="shared" si="1035"/>
      </c>
      <c r="FJ100" s="668">
        <f t="shared" si="1035"/>
      </c>
      <c r="FK100" s="668">
        <f t="shared" si="1035"/>
      </c>
      <c r="FL100" s="668">
        <f t="shared" si="1035"/>
      </c>
      <c r="FM100" s="668">
        <f t="shared" si="1035"/>
      </c>
      <c r="FN100" s="668">
        <f t="shared" si="1035"/>
      </c>
      <c r="FO100" s="668">
        <f t="shared" si="1035"/>
      </c>
      <c r="FP100" s="668">
        <f t="shared" si="1035"/>
      </c>
      <c r="FQ100" s="668">
        <f t="shared" si="1035"/>
      </c>
      <c r="FR100" s="668">
        <f t="shared" si="1020"/>
      </c>
      <c r="FS100" s="668">
        <f t="shared" si="1021"/>
      </c>
      <c r="FT100" s="668">
        <f t="shared" si="1022"/>
      </c>
      <c r="FU100" s="668">
        <f t="shared" si="1023"/>
      </c>
      <c r="FW100" s="668"/>
      <c r="FX100" s="668">
        <f t="shared" ref="FX100:GZ100" si="1036">FX13-FW13</f>
      </c>
      <c r="FY100" s="668">
        <f t="shared" si="1036"/>
      </c>
      <c r="FZ100" s="668">
        <f t="shared" si="1036"/>
      </c>
      <c r="GA100" s="668">
        <f t="shared" si="1036"/>
      </c>
      <c r="GB100" s="668">
        <f t="shared" si="1036"/>
      </c>
      <c r="GC100" s="668">
        <f t="shared" si="1036"/>
      </c>
      <c r="GD100" s="668">
        <f t="shared" si="1036"/>
      </c>
      <c r="GE100" s="668">
        <f t="shared" si="1036"/>
      </c>
      <c r="GF100" s="668">
        <f t="shared" si="1036"/>
      </c>
      <c r="GG100" s="668">
        <f t="shared" si="1036"/>
      </c>
      <c r="GH100" s="668">
        <f t="shared" si="1036"/>
      </c>
      <c r="GI100" s="668">
        <f t="shared" si="1036"/>
      </c>
      <c r="GJ100" s="668">
        <f t="shared" si="1036"/>
      </c>
      <c r="GK100" s="668">
        <f t="shared" si="1036"/>
      </c>
      <c r="GL100" s="668">
        <f t="shared" si="1036"/>
      </c>
      <c r="GM100" s="668">
        <f t="shared" si="1036"/>
      </c>
      <c r="GN100" s="668">
        <f t="shared" si="1036"/>
      </c>
      <c r="GO100" s="668">
        <f t="shared" si="1036"/>
      </c>
      <c r="GP100" s="668">
        <f t="shared" si="1036"/>
      </c>
      <c r="GQ100" s="668">
        <f t="shared" si="1036"/>
      </c>
      <c r="GR100" s="668">
        <f t="shared" si="1036"/>
      </c>
      <c r="GS100" s="668">
        <f t="shared" si="1036"/>
      </c>
      <c r="GT100" s="668">
        <f t="shared" si="1036"/>
      </c>
      <c r="GU100" s="668">
        <f t="shared" si="1036"/>
      </c>
      <c r="GV100" s="668">
        <f t="shared" si="1036"/>
      </c>
      <c r="GW100" s="668">
        <f t="shared" si="1036"/>
      </c>
      <c r="GX100" s="668">
        <f t="shared" si="1036"/>
      </c>
      <c r="GY100" s="668">
        <f t="shared" si="1036"/>
      </c>
      <c r="GZ100" s="668">
        <f t="shared" si="1036"/>
      </c>
      <c r="HA100" s="668">
        <f t="shared" si="1025"/>
      </c>
      <c r="HB100" s="668">
        <f t="shared" si="1026"/>
      </c>
      <c r="HC100" s="668">
        <f t="shared" si="1027"/>
      </c>
      <c r="HD100" s="668">
        <f t="shared" si="1028"/>
      </c>
    </row>
    <row r="101" spans="1:212" s="673" customFormat="1">
      <c r="A101" s="679" t="str">
        <f t="shared" si="882"/>
      </c>
      <c r="B101" s="680"/>
      <c r="C101" s="680"/>
      <c r="D101" s="680"/>
      <c r="E101" s="681"/>
      <c r="F101" s="680">
        <f t="shared" si="883"/>
      </c>
      <c r="G101" s="680">
        <f t="shared" si="884"/>
      </c>
      <c r="H101" s="680">
        <f t="shared" si="885"/>
      </c>
      <c r="I101" s="680">
        <f t="shared" si="886"/>
      </c>
      <c r="J101" s="680">
        <f t="shared" si="887"/>
      </c>
      <c r="K101" s="680">
        <f t="shared" si="888"/>
      </c>
      <c r="L101" s="680">
        <f t="shared" si="889"/>
      </c>
      <c r="M101" s="680">
        <f t="shared" si="890"/>
      </c>
      <c r="N101" s="680">
        <f t="shared" si="891"/>
      </c>
      <c r="O101" s="680">
        <f t="shared" si="892"/>
      </c>
      <c r="P101" s="680">
        <f t="shared" si="893"/>
      </c>
      <c r="Q101" s="680">
        <f t="shared" si="894"/>
      </c>
      <c r="R101" s="680">
        <f t="shared" si="895"/>
      </c>
      <c r="S101" s="680">
        <f t="shared" si="896"/>
      </c>
      <c r="T101" s="680">
        <f t="shared" si="897"/>
      </c>
      <c r="U101" s="680">
        <f t="shared" si="898"/>
      </c>
      <c r="V101" s="680">
        <f t="shared" si="899"/>
      </c>
      <c r="W101" s="680">
        <f t="shared" si="900"/>
      </c>
      <c r="X101" s="680">
        <f t="shared" si="901"/>
      </c>
      <c r="Y101" s="680">
        <f t="shared" si="902"/>
      </c>
      <c r="Z101" s="680">
        <f t="shared" si="903"/>
      </c>
      <c r="AA101" s="680">
        <f t="shared" si="904"/>
      </c>
      <c r="AB101" s="680">
        <f t="shared" si="905"/>
      </c>
      <c r="AC101" s="680">
        <f t="shared" si="906"/>
      </c>
      <c r="AD101" s="680">
        <f t="shared" si="907"/>
      </c>
      <c r="AE101" s="680">
        <f t="shared" si="908"/>
      </c>
      <c r="AF101" s="680">
        <f t="shared" si="909"/>
      </c>
      <c r="AG101" s="680">
        <f t="shared" si="910"/>
      </c>
      <c r="AH101" s="680">
        <f t="shared" si="911"/>
      </c>
      <c r="AI101" s="680">
        <f t="shared" si="912"/>
      </c>
      <c r="AJ101" s="680">
        <f t="shared" si="913"/>
      </c>
      <c r="AK101" s="680">
        <f t="shared" si="914"/>
      </c>
      <c r="AL101" s="680">
        <f t="shared" si="915"/>
      </c>
      <c r="AM101" s="680">
        <f t="shared" si="916"/>
      </c>
      <c r="AN101" s="680">
        <f t="shared" si="917"/>
      </c>
      <c r="AO101" s="680">
        <f t="shared" si="918"/>
      </c>
      <c r="AP101" s="680">
        <f t="shared" si="919"/>
      </c>
      <c r="AQ101" s="680">
        <f t="shared" si="920"/>
      </c>
      <c r="AR101" s="680">
        <f t="shared" si="921"/>
      </c>
      <c r="AS101" s="680">
        <f t="shared" si="922"/>
      </c>
      <c r="AT101" s="680">
        <f t="shared" si="923"/>
      </c>
      <c r="AU101" s="680">
        <f t="shared" si="924"/>
      </c>
      <c r="AV101" s="680">
        <f t="shared" si="925"/>
      </c>
      <c r="AW101" s="680">
        <f t="shared" si="926"/>
      </c>
      <c r="AX101" s="680">
        <f t="shared" si="927"/>
      </c>
      <c r="AY101" s="680">
        <f t="shared" si="928"/>
      </c>
      <c r="AZ101" s="680">
        <f t="shared" si="929"/>
      </c>
      <c r="BA101" s="680">
        <f t="shared" si="930"/>
      </c>
      <c r="BB101" s="680">
        <f t="shared" si="931"/>
      </c>
      <c r="BC101" s="680">
        <f t="shared" si="932"/>
      </c>
      <c r="BD101" s="680">
        <f t="shared" si="933"/>
      </c>
      <c r="BE101" s="680">
        <f t="shared" si="934"/>
      </c>
      <c r="BF101" s="680">
        <f t="shared" si="935"/>
      </c>
      <c r="BG101" s="680">
        <f t="shared" si="936"/>
      </c>
      <c r="BH101" s="680">
        <f t="shared" si="937"/>
      </c>
      <c r="BI101" s="680">
        <f t="shared" si="938"/>
      </c>
      <c r="BJ101" s="680">
        <f t="shared" si="939"/>
      </c>
      <c r="BK101" s="680">
        <f t="shared" si="940"/>
      </c>
      <c r="BL101" s="680">
        <f t="shared" si="941"/>
      </c>
      <c r="BM101" s="680">
        <f t="shared" si="942"/>
      </c>
      <c r="BN101" s="680">
        <f t="shared" si="943"/>
      </c>
      <c r="BO101" s="680">
        <f t="shared" si="944"/>
      </c>
      <c r="BP101" s="680">
        <f t="shared" si="945"/>
      </c>
      <c r="BQ101" s="682">
        <f t="shared" si="946"/>
      </c>
      <c r="BR101" s="680">
        <f t="shared" si="947"/>
      </c>
      <c r="BS101" s="680">
        <f t="shared" si="948"/>
      </c>
      <c r="BT101" s="680">
        <f t="shared" si="949"/>
      </c>
      <c r="BU101" s="682">
        <f t="shared" si="950"/>
      </c>
      <c r="BV101" s="680">
        <f t="shared" si="951"/>
      </c>
      <c r="BW101" s="680">
        <f t="shared" si="952"/>
      </c>
      <c r="BX101" s="680">
        <f t="shared" si="953"/>
      </c>
      <c r="BY101" s="682">
        <f t="shared" si="954"/>
      </c>
      <c r="BZ101" s="680">
        <f t="shared" si="955"/>
      </c>
      <c r="CA101" s="680">
        <f t="shared" si="956"/>
      </c>
      <c r="CB101" s="680">
        <f t="shared" si="957"/>
      </c>
      <c r="CC101" s="682">
        <f t="shared" si="958"/>
      </c>
      <c r="CD101" s="680">
        <f t="shared" si="959"/>
      </c>
      <c r="CE101" s="680">
        <f t="shared" si="960"/>
      </c>
      <c r="CF101" s="680">
        <f t="shared" si="961"/>
      </c>
      <c r="CG101" s="682">
        <f t="shared" si="962"/>
      </c>
      <c r="CH101" s="680">
        <f t="shared" si="963"/>
      </c>
      <c r="CI101" s="680">
        <f t="shared" si="964"/>
      </c>
      <c r="CJ101" s="680">
        <f t="shared" si="965"/>
      </c>
      <c r="CK101" s="682">
        <f t="shared" si="966"/>
      </c>
      <c r="CL101" s="680">
        <f t="shared" si="967"/>
      </c>
      <c r="CM101" s="680">
        <f t="shared" si="968"/>
      </c>
      <c r="CN101" s="680">
        <f t="shared" si="969"/>
      </c>
      <c r="CO101" s="682">
        <f t="shared" si="970"/>
      </c>
      <c r="CP101" s="680">
        <f t="shared" si="971"/>
      </c>
      <c r="CQ101" s="680">
        <f t="shared" si="972"/>
      </c>
      <c r="CR101" s="680">
        <f t="shared" si="973"/>
      </c>
      <c r="CS101" s="682">
        <f t="shared" si="974"/>
      </c>
      <c r="CT101" s="680">
        <f t="shared" si="975"/>
      </c>
      <c r="CU101" s="680">
        <f t="shared" si="976"/>
      </c>
      <c r="CV101" s="680">
        <f t="shared" si="977"/>
      </c>
      <c r="CW101" s="682">
        <f t="shared" si="978"/>
      </c>
      <c r="CX101" s="680">
        <f t="shared" si="979"/>
      </c>
      <c r="CY101" s="680">
        <f t="shared" si="980"/>
      </c>
      <c r="CZ101" s="680">
        <f t="shared" si="981"/>
      </c>
      <c r="DA101" s="682">
        <f t="shared" si="982"/>
      </c>
      <c r="DB101" s="680">
        <f t="shared" si="983"/>
      </c>
      <c r="DC101" s="680">
        <f t="shared" si="984"/>
      </c>
      <c r="DD101" s="680">
        <f t="shared" si="985"/>
      </c>
      <c r="DE101" s="682">
        <f t="shared" si="986"/>
      </c>
      <c r="DF101" s="680">
        <f t="shared" si="987"/>
      </c>
      <c r="DG101" s="680">
        <f t="shared" si="988"/>
      </c>
      <c r="DH101" s="680">
        <f t="shared" si="989"/>
      </c>
      <c r="DI101" s="682">
        <f t="shared" si="990"/>
      </c>
      <c r="DJ101" s="680">
        <f t="shared" si="991"/>
      </c>
      <c r="DK101" s="680">
        <f t="shared" si="992"/>
      </c>
      <c r="DL101" s="680">
        <f t="shared" si="993"/>
      </c>
      <c r="DM101" s="682">
        <f t="shared" si="994"/>
      </c>
      <c r="DN101" s="680">
        <f t="shared" si="995"/>
      </c>
      <c r="DO101" s="680">
        <f t="shared" si="996"/>
      </c>
      <c r="DP101" s="680">
        <f t="shared" si="997"/>
      </c>
      <c r="DQ101" s="682">
        <f t="shared" si="998"/>
      </c>
      <c r="DR101" s="680">
        <f t="shared" si="999"/>
      </c>
      <c r="DS101" s="680">
        <f t="shared" si="1000"/>
      </c>
      <c r="DT101" s="680">
        <f t="shared" si="1001"/>
      </c>
      <c r="DU101" s="682">
        <f t="shared" si="1002"/>
      </c>
      <c r="DV101" s="680">
        <f t="shared" si="1003"/>
      </c>
      <c r="DW101" s="680">
        <f t="shared" si="1004"/>
      </c>
      <c r="DX101" s="680">
        <f t="shared" si="1005"/>
      </c>
      <c r="DY101" s="682">
        <f t="shared" si="1006"/>
      </c>
      <c r="DZ101" s="680">
        <f t="shared" si="1007"/>
      </c>
      <c r="EA101" s="680">
        <f t="shared" si="1008"/>
      </c>
      <c r="EB101" s="680">
        <f t="shared" si="1009"/>
      </c>
      <c r="EC101" s="682">
        <f t="shared" si="1010"/>
      </c>
      <c r="ED101" s="680">
        <f t="shared" si="1011"/>
      </c>
      <c r="EE101" s="680">
        <f t="shared" si="1012"/>
      </c>
      <c r="EF101" s="680">
        <f t="shared" si="1013"/>
      </c>
      <c r="EG101" s="682">
        <f t="shared" si="1014"/>
      </c>
      <c r="EH101" s="680">
        <f t="shared" si="1015"/>
      </c>
      <c r="EI101" s="680">
        <f t="shared" si="1016"/>
      </c>
      <c r="EJ101" s="680">
        <f t="shared" si="1017"/>
      </c>
      <c r="EK101" s="682">
        <f t="shared" si="1018"/>
      </c>
      <c r="EL101" s="11"/>
      <c r="EM101" s="680"/>
      <c r="EN101" s="680">
        <f t="shared" ref="EN101:FQ101" si="1037">EN14-EM14</f>
      </c>
      <c r="EO101" s="680">
        <f t="shared" si="1037"/>
      </c>
      <c r="EP101" s="680">
        <f t="shared" si="1037"/>
      </c>
      <c r="EQ101" s="680">
        <f t="shared" si="1037"/>
      </c>
      <c r="ER101" s="680">
        <f t="shared" si="1037"/>
      </c>
      <c r="ES101" s="680">
        <f t="shared" si="1037"/>
      </c>
      <c r="ET101" s="680">
        <f t="shared" si="1037"/>
      </c>
      <c r="EU101" s="680">
        <f t="shared" si="1037"/>
      </c>
      <c r="EV101" s="680">
        <f t="shared" si="1037"/>
      </c>
      <c r="EW101" s="680">
        <f t="shared" si="1037"/>
      </c>
      <c r="EX101" s="680">
        <f t="shared" si="1037"/>
      </c>
      <c r="EY101" s="680">
        <f t="shared" si="1037"/>
      </c>
      <c r="EZ101" s="680">
        <f t="shared" si="1037"/>
      </c>
      <c r="FA101" s="680">
        <f t="shared" si="1037"/>
      </c>
      <c r="FB101" s="680">
        <f t="shared" si="1037"/>
      </c>
      <c r="FC101" s="680">
        <f t="shared" si="1037"/>
      </c>
      <c r="FD101" s="680">
        <f t="shared" si="1037"/>
      </c>
      <c r="FE101" s="680">
        <f t="shared" si="1037"/>
      </c>
      <c r="FF101" s="680">
        <f t="shared" si="1037"/>
      </c>
      <c r="FG101" s="680">
        <f t="shared" si="1037"/>
      </c>
      <c r="FH101" s="680">
        <f t="shared" si="1037"/>
      </c>
      <c r="FI101" s="680">
        <f t="shared" si="1037"/>
      </c>
      <c r="FJ101" s="680">
        <f t="shared" si="1037"/>
      </c>
      <c r="FK101" s="680">
        <f t="shared" si="1037"/>
      </c>
      <c r="FL101" s="680">
        <f t="shared" si="1037"/>
      </c>
      <c r="FM101" s="680">
        <f t="shared" si="1037"/>
      </c>
      <c r="FN101" s="680">
        <f t="shared" si="1037"/>
      </c>
      <c r="FO101" s="680">
        <f t="shared" si="1037"/>
      </c>
      <c r="FP101" s="680">
        <f t="shared" si="1037"/>
      </c>
      <c r="FQ101" s="680">
        <f t="shared" si="1037"/>
      </c>
      <c r="FR101" s="680">
        <f t="shared" si="1020"/>
      </c>
      <c r="FS101" s="680">
        <f t="shared" si="1021"/>
      </c>
      <c r="FT101" s="680">
        <f t="shared" si="1022"/>
      </c>
      <c r="FU101" s="680">
        <f t="shared" si="1023"/>
      </c>
      <c r="FW101" s="680"/>
      <c r="FX101" s="680">
        <f t="shared" ref="FX101:GZ101" si="1038">FX14-FW14</f>
      </c>
      <c r="FY101" s="680">
        <f t="shared" si="1038"/>
      </c>
      <c r="FZ101" s="680">
        <f t="shared" si="1038"/>
      </c>
      <c r="GA101" s="680">
        <f t="shared" si="1038"/>
      </c>
      <c r="GB101" s="680">
        <f t="shared" si="1038"/>
      </c>
      <c r="GC101" s="680">
        <f t="shared" si="1038"/>
      </c>
      <c r="GD101" s="680">
        <f t="shared" si="1038"/>
      </c>
      <c r="GE101" s="680">
        <f t="shared" si="1038"/>
      </c>
      <c r="GF101" s="680">
        <f t="shared" si="1038"/>
      </c>
      <c r="GG101" s="680">
        <f t="shared" si="1038"/>
      </c>
      <c r="GH101" s="680">
        <f t="shared" si="1038"/>
      </c>
      <c r="GI101" s="680">
        <f t="shared" si="1038"/>
      </c>
      <c r="GJ101" s="680">
        <f t="shared" si="1038"/>
      </c>
      <c r="GK101" s="680">
        <f t="shared" si="1038"/>
      </c>
      <c r="GL101" s="680">
        <f t="shared" si="1038"/>
      </c>
      <c r="GM101" s="680">
        <f t="shared" si="1038"/>
      </c>
      <c r="GN101" s="680">
        <f t="shared" si="1038"/>
      </c>
      <c r="GO101" s="680">
        <f t="shared" si="1038"/>
      </c>
      <c r="GP101" s="680">
        <f t="shared" si="1038"/>
      </c>
      <c r="GQ101" s="680">
        <f t="shared" si="1038"/>
      </c>
      <c r="GR101" s="680">
        <f t="shared" si="1038"/>
      </c>
      <c r="GS101" s="680">
        <f t="shared" si="1038"/>
      </c>
      <c r="GT101" s="680">
        <f t="shared" si="1038"/>
      </c>
      <c r="GU101" s="680">
        <f t="shared" si="1038"/>
      </c>
      <c r="GV101" s="680">
        <f t="shared" si="1038"/>
      </c>
      <c r="GW101" s="680">
        <f t="shared" si="1038"/>
      </c>
      <c r="GX101" s="680">
        <f t="shared" si="1038"/>
      </c>
      <c r="GY101" s="680">
        <f t="shared" si="1038"/>
      </c>
      <c r="GZ101" s="680">
        <f t="shared" si="1038"/>
      </c>
      <c r="HA101" s="680">
        <f t="shared" si="1025"/>
      </c>
      <c r="HB101" s="680">
        <f t="shared" si="1026"/>
      </c>
      <c r="HC101" s="680">
        <f t="shared" si="1027"/>
      </c>
      <c r="HD101" s="680">
        <f t="shared" si="1028"/>
      </c>
    </row>
    <row r="102" spans="1:212" s="673" customFormat="1">
      <c r="A102" s="675" t="str">
        <f t="shared" si="882"/>
      </c>
      <c r="B102" s="676"/>
      <c r="C102" s="676"/>
      <c r="D102" s="676"/>
      <c r="E102" s="677"/>
      <c r="F102" s="676">
        <f t="shared" si="883"/>
      </c>
      <c r="G102" s="676">
        <f t="shared" si="884"/>
      </c>
      <c r="H102" s="676">
        <f t="shared" si="885"/>
      </c>
      <c r="I102" s="676">
        <f t="shared" si="886"/>
      </c>
      <c r="J102" s="676">
        <f t="shared" si="887"/>
      </c>
      <c r="K102" s="676">
        <f t="shared" si="888"/>
      </c>
      <c r="L102" s="676">
        <f t="shared" si="889"/>
      </c>
      <c r="M102" s="676">
        <f t="shared" si="890"/>
      </c>
      <c r="N102" s="676">
        <f t="shared" si="891"/>
      </c>
      <c r="O102" s="676">
        <f t="shared" si="892"/>
      </c>
      <c r="P102" s="676">
        <f t="shared" si="893"/>
      </c>
      <c r="Q102" s="676">
        <f t="shared" si="894"/>
      </c>
      <c r="R102" s="676">
        <f t="shared" si="895"/>
      </c>
      <c r="S102" s="676">
        <f t="shared" si="896"/>
      </c>
      <c r="T102" s="676">
        <f t="shared" si="897"/>
      </c>
      <c r="U102" s="676">
        <f t="shared" si="898"/>
      </c>
      <c r="V102" s="676">
        <f t="shared" si="899"/>
      </c>
      <c r="W102" s="676">
        <f t="shared" si="900"/>
      </c>
      <c r="X102" s="676">
        <f t="shared" si="901"/>
      </c>
      <c r="Y102" s="676">
        <f t="shared" si="902"/>
      </c>
      <c r="Z102" s="676">
        <f t="shared" si="903"/>
      </c>
      <c r="AA102" s="676">
        <f t="shared" si="904"/>
      </c>
      <c r="AB102" s="676">
        <f t="shared" si="905"/>
      </c>
      <c r="AC102" s="676">
        <f t="shared" si="906"/>
      </c>
      <c r="AD102" s="676">
        <f t="shared" si="907"/>
      </c>
      <c r="AE102" s="676">
        <f t="shared" si="908"/>
      </c>
      <c r="AF102" s="676">
        <f t="shared" si="909"/>
      </c>
      <c r="AG102" s="676">
        <f t="shared" si="910"/>
      </c>
      <c r="AH102" s="676">
        <f t="shared" si="911"/>
      </c>
      <c r="AI102" s="676">
        <f t="shared" si="912"/>
      </c>
      <c r="AJ102" s="676">
        <f t="shared" si="913"/>
      </c>
      <c r="AK102" s="676">
        <f t="shared" si="914"/>
      </c>
      <c r="AL102" s="676">
        <f t="shared" si="915"/>
      </c>
      <c r="AM102" s="676">
        <f t="shared" si="916"/>
      </c>
      <c r="AN102" s="676">
        <f t="shared" si="917"/>
      </c>
      <c r="AO102" s="676">
        <f t="shared" si="918"/>
      </c>
      <c r="AP102" s="676">
        <f t="shared" si="919"/>
      </c>
      <c r="AQ102" s="676">
        <f t="shared" si="920"/>
      </c>
      <c r="AR102" s="676">
        <f t="shared" si="921"/>
      </c>
      <c r="AS102" s="676">
        <f t="shared" si="922"/>
      </c>
      <c r="AT102" s="676">
        <f t="shared" si="923"/>
      </c>
      <c r="AU102" s="676">
        <f t="shared" si="924"/>
      </c>
      <c r="AV102" s="676">
        <f t="shared" si="925"/>
      </c>
      <c r="AW102" s="676">
        <f t="shared" si="926"/>
      </c>
      <c r="AX102" s="676">
        <f t="shared" si="927"/>
      </c>
      <c r="AY102" s="676">
        <f t="shared" si="928"/>
      </c>
      <c r="AZ102" s="676">
        <f t="shared" si="929"/>
      </c>
      <c r="BA102" s="676">
        <f t="shared" si="930"/>
      </c>
      <c r="BB102" s="676">
        <f t="shared" si="931"/>
      </c>
      <c r="BC102" s="676">
        <f t="shared" si="932"/>
      </c>
      <c r="BD102" s="676">
        <f t="shared" si="933"/>
      </c>
      <c r="BE102" s="676">
        <f t="shared" si="934"/>
      </c>
      <c r="BF102" s="676">
        <f t="shared" si="935"/>
      </c>
      <c r="BG102" s="676">
        <f t="shared" si="936"/>
      </c>
      <c r="BH102" s="676">
        <f t="shared" si="937"/>
      </c>
      <c r="BI102" s="676">
        <f t="shared" si="938"/>
      </c>
      <c r="BJ102" s="676">
        <f t="shared" si="939"/>
      </c>
      <c r="BK102" s="676">
        <f t="shared" si="940"/>
      </c>
      <c r="BL102" s="676">
        <f t="shared" si="941"/>
      </c>
      <c r="BM102" s="676">
        <f t="shared" si="942"/>
      </c>
      <c r="BN102" s="676">
        <f t="shared" si="943"/>
      </c>
      <c r="BO102" s="676">
        <f t="shared" si="944"/>
      </c>
      <c r="BP102" s="676">
        <f t="shared" si="945"/>
      </c>
      <c r="BQ102" s="678">
        <f t="shared" si="946"/>
      </c>
      <c r="BR102" s="676">
        <f t="shared" si="947"/>
      </c>
      <c r="BS102" s="676">
        <f t="shared" si="948"/>
      </c>
      <c r="BT102" s="676">
        <f t="shared" si="949"/>
      </c>
      <c r="BU102" s="678">
        <f t="shared" si="950"/>
      </c>
      <c r="BV102" s="676">
        <f t="shared" si="951"/>
      </c>
      <c r="BW102" s="676">
        <f t="shared" si="952"/>
      </c>
      <c r="BX102" s="676">
        <f t="shared" si="953"/>
      </c>
      <c r="BY102" s="678">
        <f t="shared" si="954"/>
      </c>
      <c r="BZ102" s="676">
        <f t="shared" si="955"/>
      </c>
      <c r="CA102" s="676">
        <f t="shared" si="956"/>
      </c>
      <c r="CB102" s="676">
        <f t="shared" si="957"/>
      </c>
      <c r="CC102" s="678">
        <f t="shared" si="958"/>
      </c>
      <c r="CD102" s="676">
        <f t="shared" si="959"/>
      </c>
      <c r="CE102" s="676">
        <f t="shared" si="960"/>
      </c>
      <c r="CF102" s="676">
        <f t="shared" si="961"/>
      </c>
      <c r="CG102" s="678">
        <f t="shared" si="962"/>
      </c>
      <c r="CH102" s="676">
        <f t="shared" si="963"/>
      </c>
      <c r="CI102" s="676">
        <f t="shared" si="964"/>
      </c>
      <c r="CJ102" s="676">
        <f t="shared" si="965"/>
      </c>
      <c r="CK102" s="678">
        <f t="shared" si="966"/>
      </c>
      <c r="CL102" s="676">
        <f t="shared" si="967"/>
      </c>
      <c r="CM102" s="676">
        <f t="shared" si="968"/>
      </c>
      <c r="CN102" s="676">
        <f t="shared" si="969"/>
      </c>
      <c r="CO102" s="678">
        <f t="shared" si="970"/>
      </c>
      <c r="CP102" s="676">
        <f t="shared" si="971"/>
      </c>
      <c r="CQ102" s="676">
        <f t="shared" si="972"/>
      </c>
      <c r="CR102" s="676">
        <f t="shared" si="973"/>
      </c>
      <c r="CS102" s="678">
        <f t="shared" si="974"/>
      </c>
      <c r="CT102" s="676">
        <f t="shared" si="975"/>
      </c>
      <c r="CU102" s="676">
        <f t="shared" si="976"/>
      </c>
      <c r="CV102" s="676">
        <f t="shared" si="977"/>
      </c>
      <c r="CW102" s="678">
        <f t="shared" si="978"/>
      </c>
      <c r="CX102" s="676">
        <f t="shared" si="979"/>
      </c>
      <c r="CY102" s="676">
        <f t="shared" si="980"/>
      </c>
      <c r="CZ102" s="676">
        <f t="shared" si="981"/>
      </c>
      <c r="DA102" s="678">
        <f t="shared" si="982"/>
      </c>
      <c r="DB102" s="676">
        <f t="shared" si="983"/>
      </c>
      <c r="DC102" s="676">
        <f t="shared" si="984"/>
      </c>
      <c r="DD102" s="676">
        <f t="shared" si="985"/>
      </c>
      <c r="DE102" s="678">
        <f t="shared" si="986"/>
      </c>
      <c r="DF102" s="676">
        <f t="shared" si="987"/>
      </c>
      <c r="DG102" s="676">
        <f t="shared" si="988"/>
      </c>
      <c r="DH102" s="676">
        <f t="shared" si="989"/>
      </c>
      <c r="DI102" s="678">
        <f t="shared" si="990"/>
      </c>
      <c r="DJ102" s="676">
        <f t="shared" si="991"/>
      </c>
      <c r="DK102" s="676">
        <f t="shared" si="992"/>
      </c>
      <c r="DL102" s="676">
        <f t="shared" si="993"/>
      </c>
      <c r="DM102" s="678">
        <f t="shared" si="994"/>
      </c>
      <c r="DN102" s="676">
        <f t="shared" si="995"/>
      </c>
      <c r="DO102" s="676">
        <f t="shared" si="996"/>
      </c>
      <c r="DP102" s="676">
        <f t="shared" si="997"/>
      </c>
      <c r="DQ102" s="678">
        <f t="shared" si="998"/>
      </c>
      <c r="DR102" s="676">
        <f t="shared" si="999"/>
      </c>
      <c r="DS102" s="676">
        <f t="shared" si="1000"/>
      </c>
      <c r="DT102" s="676">
        <f t="shared" si="1001"/>
      </c>
      <c r="DU102" s="678">
        <f t="shared" si="1002"/>
      </c>
      <c r="DV102" s="676">
        <f t="shared" si="1003"/>
      </c>
      <c r="DW102" s="676">
        <f t="shared" si="1004"/>
      </c>
      <c r="DX102" s="676">
        <f t="shared" si="1005"/>
      </c>
      <c r="DY102" s="678">
        <f t="shared" si="1006"/>
      </c>
      <c r="DZ102" s="676">
        <f t="shared" si="1007"/>
      </c>
      <c r="EA102" s="676">
        <f t="shared" si="1008"/>
      </c>
      <c r="EB102" s="676">
        <f t="shared" si="1009"/>
      </c>
      <c r="EC102" s="678">
        <f t="shared" si="1010"/>
      </c>
      <c r="ED102" s="676">
        <f t="shared" si="1011"/>
      </c>
      <c r="EE102" s="676">
        <f t="shared" si="1012"/>
      </c>
      <c r="EF102" s="676">
        <f t="shared" si="1013"/>
      </c>
      <c r="EG102" s="678">
        <f t="shared" si="1014"/>
      </c>
      <c r="EH102" s="676">
        <f t="shared" si="1015"/>
      </c>
      <c r="EI102" s="676">
        <f t="shared" si="1016"/>
      </c>
      <c r="EJ102" s="676">
        <f t="shared" si="1017"/>
      </c>
      <c r="EK102" s="678">
        <f t="shared" si="1018"/>
      </c>
      <c r="EL102" s="11"/>
      <c r="EM102" s="676"/>
      <c r="EN102" s="676">
        <f t="shared" ref="EN102:FQ102" si="1039">EN15-EM15</f>
      </c>
      <c r="EO102" s="676">
        <f t="shared" si="1039"/>
      </c>
      <c r="EP102" s="676">
        <f t="shared" si="1039"/>
      </c>
      <c r="EQ102" s="676">
        <f t="shared" si="1039"/>
      </c>
      <c r="ER102" s="676">
        <f t="shared" si="1039"/>
      </c>
      <c r="ES102" s="676">
        <f t="shared" si="1039"/>
      </c>
      <c r="ET102" s="676">
        <f t="shared" si="1039"/>
      </c>
      <c r="EU102" s="676">
        <f t="shared" si="1039"/>
      </c>
      <c r="EV102" s="676">
        <f t="shared" si="1039"/>
      </c>
      <c r="EW102" s="676">
        <f t="shared" si="1039"/>
      </c>
      <c r="EX102" s="676">
        <f t="shared" si="1039"/>
      </c>
      <c r="EY102" s="676">
        <f t="shared" si="1039"/>
      </c>
      <c r="EZ102" s="676">
        <f t="shared" si="1039"/>
      </c>
      <c r="FA102" s="676">
        <f t="shared" si="1039"/>
      </c>
      <c r="FB102" s="676">
        <f t="shared" si="1039"/>
      </c>
      <c r="FC102" s="676">
        <f t="shared" si="1039"/>
      </c>
      <c r="FD102" s="676">
        <f t="shared" si="1039"/>
      </c>
      <c r="FE102" s="676">
        <f t="shared" si="1039"/>
      </c>
      <c r="FF102" s="676">
        <f t="shared" si="1039"/>
      </c>
      <c r="FG102" s="676">
        <f t="shared" si="1039"/>
      </c>
      <c r="FH102" s="676">
        <f t="shared" si="1039"/>
      </c>
      <c r="FI102" s="676">
        <f t="shared" si="1039"/>
      </c>
      <c r="FJ102" s="676">
        <f t="shared" si="1039"/>
      </c>
      <c r="FK102" s="676">
        <f t="shared" si="1039"/>
      </c>
      <c r="FL102" s="676">
        <f t="shared" si="1039"/>
      </c>
      <c r="FM102" s="676">
        <f t="shared" si="1039"/>
      </c>
      <c r="FN102" s="676">
        <f t="shared" si="1039"/>
      </c>
      <c r="FO102" s="676">
        <f t="shared" si="1039"/>
      </c>
      <c r="FP102" s="676">
        <f t="shared" si="1039"/>
      </c>
      <c r="FQ102" s="676">
        <f t="shared" si="1039"/>
      </c>
      <c r="FR102" s="676">
        <f t="shared" si="1020"/>
      </c>
      <c r="FS102" s="676">
        <f t="shared" si="1021"/>
      </c>
      <c r="FT102" s="676">
        <f t="shared" si="1022"/>
      </c>
      <c r="FU102" s="676">
        <f t="shared" si="1023"/>
      </c>
      <c r="FW102" s="676"/>
      <c r="FX102" s="676">
        <f t="shared" ref="FX102:GZ102" si="1040">FX15-FW15</f>
      </c>
      <c r="FY102" s="676">
        <f t="shared" si="1040"/>
      </c>
      <c r="FZ102" s="676">
        <f t="shared" si="1040"/>
      </c>
      <c r="GA102" s="676">
        <f t="shared" si="1040"/>
      </c>
      <c r="GB102" s="676">
        <f t="shared" si="1040"/>
      </c>
      <c r="GC102" s="676">
        <f t="shared" si="1040"/>
      </c>
      <c r="GD102" s="676">
        <f t="shared" si="1040"/>
      </c>
      <c r="GE102" s="676">
        <f t="shared" si="1040"/>
      </c>
      <c r="GF102" s="676">
        <f t="shared" si="1040"/>
      </c>
      <c r="GG102" s="676">
        <f t="shared" si="1040"/>
      </c>
      <c r="GH102" s="676">
        <f t="shared" si="1040"/>
      </c>
      <c r="GI102" s="676">
        <f t="shared" si="1040"/>
      </c>
      <c r="GJ102" s="676">
        <f t="shared" si="1040"/>
      </c>
      <c r="GK102" s="676">
        <f t="shared" si="1040"/>
      </c>
      <c r="GL102" s="676">
        <f t="shared" si="1040"/>
      </c>
      <c r="GM102" s="676">
        <f t="shared" si="1040"/>
      </c>
      <c r="GN102" s="676">
        <f t="shared" si="1040"/>
      </c>
      <c r="GO102" s="676">
        <f t="shared" si="1040"/>
      </c>
      <c r="GP102" s="676">
        <f t="shared" si="1040"/>
      </c>
      <c r="GQ102" s="676">
        <f t="shared" si="1040"/>
      </c>
      <c r="GR102" s="676">
        <f t="shared" si="1040"/>
      </c>
      <c r="GS102" s="676">
        <f t="shared" si="1040"/>
      </c>
      <c r="GT102" s="676">
        <f t="shared" si="1040"/>
      </c>
      <c r="GU102" s="676">
        <f t="shared" si="1040"/>
      </c>
      <c r="GV102" s="676">
        <f t="shared" si="1040"/>
      </c>
      <c r="GW102" s="676">
        <f t="shared" si="1040"/>
      </c>
      <c r="GX102" s="676">
        <f t="shared" si="1040"/>
      </c>
      <c r="GY102" s="676">
        <f t="shared" si="1040"/>
      </c>
      <c r="GZ102" s="676">
        <f t="shared" si="1040"/>
      </c>
      <c r="HA102" s="676">
        <f t="shared" si="1025"/>
      </c>
      <c r="HB102" s="676">
        <f t="shared" si="1026"/>
      </c>
      <c r="HC102" s="676">
        <f t="shared" si="1027"/>
      </c>
      <c r="HD102" s="676">
        <f t="shared" si="1028"/>
      </c>
    </row>
    <row r="103" spans="1:212" s="673" customFormat="1">
      <c r="A103" s="667" t="str">
        <f t="shared" si="882"/>
      </c>
      <c r="B103" s="668"/>
      <c r="C103" s="668"/>
      <c r="D103" s="668"/>
      <c r="E103" s="669"/>
      <c r="F103" s="668">
        <f t="shared" si="883"/>
      </c>
      <c r="G103" s="668">
        <f t="shared" si="884"/>
      </c>
      <c r="H103" s="668">
        <f t="shared" si="885"/>
      </c>
      <c r="I103" s="668">
        <f t="shared" si="886"/>
      </c>
      <c r="J103" s="668">
        <f t="shared" si="887"/>
      </c>
      <c r="K103" s="668">
        <f t="shared" si="888"/>
      </c>
      <c r="L103" s="668">
        <f t="shared" si="889"/>
      </c>
      <c r="M103" s="668">
        <f t="shared" si="890"/>
      </c>
      <c r="N103" s="668">
        <f t="shared" si="891"/>
      </c>
      <c r="O103" s="668">
        <f t="shared" si="892"/>
      </c>
      <c r="P103" s="668">
        <f t="shared" si="893"/>
      </c>
      <c r="Q103" s="668">
        <f t="shared" si="894"/>
      </c>
      <c r="R103" s="668">
        <f t="shared" si="895"/>
      </c>
      <c r="S103" s="668">
        <f t="shared" si="896"/>
      </c>
      <c r="T103" s="668">
        <f t="shared" si="897"/>
      </c>
      <c r="U103" s="668">
        <f t="shared" si="898"/>
      </c>
      <c r="V103" s="668">
        <f t="shared" si="899"/>
      </c>
      <c r="W103" s="668">
        <f t="shared" si="900"/>
      </c>
      <c r="X103" s="668">
        <f t="shared" si="901"/>
      </c>
      <c r="Y103" s="668">
        <f t="shared" si="902"/>
      </c>
      <c r="Z103" s="668">
        <f t="shared" si="903"/>
      </c>
      <c r="AA103" s="668">
        <f t="shared" si="904"/>
      </c>
      <c r="AB103" s="668">
        <f t="shared" si="905"/>
      </c>
      <c r="AC103" s="668">
        <f t="shared" si="906"/>
      </c>
      <c r="AD103" s="668">
        <f t="shared" si="907"/>
      </c>
      <c r="AE103" s="668">
        <f t="shared" si="908"/>
      </c>
      <c r="AF103" s="668">
        <f t="shared" si="909"/>
      </c>
      <c r="AG103" s="668">
        <f t="shared" si="910"/>
      </c>
      <c r="AH103" s="668">
        <f t="shared" si="911"/>
      </c>
      <c r="AI103" s="668">
        <f t="shared" si="912"/>
      </c>
      <c r="AJ103" s="668">
        <f t="shared" si="913"/>
      </c>
      <c r="AK103" s="668">
        <f t="shared" si="914"/>
      </c>
      <c r="AL103" s="668">
        <f t="shared" si="915"/>
      </c>
      <c r="AM103" s="668">
        <f t="shared" si="916"/>
      </c>
      <c r="AN103" s="668">
        <f t="shared" si="917"/>
      </c>
      <c r="AO103" s="668">
        <f t="shared" si="918"/>
      </c>
      <c r="AP103" s="668">
        <f t="shared" si="919"/>
      </c>
      <c r="AQ103" s="668">
        <f t="shared" si="920"/>
      </c>
      <c r="AR103" s="668">
        <f t="shared" si="921"/>
      </c>
      <c r="AS103" s="668">
        <f t="shared" si="922"/>
      </c>
      <c r="AT103" s="668">
        <f t="shared" si="923"/>
      </c>
      <c r="AU103" s="668">
        <f t="shared" si="924"/>
      </c>
      <c r="AV103" s="668">
        <f t="shared" si="925"/>
      </c>
      <c r="AW103" s="668">
        <f t="shared" si="926"/>
      </c>
      <c r="AX103" s="668">
        <f t="shared" si="927"/>
      </c>
      <c r="AY103" s="668">
        <f t="shared" si="928"/>
      </c>
      <c r="AZ103" s="668">
        <f t="shared" si="929"/>
      </c>
      <c r="BA103" s="668">
        <f t="shared" si="930"/>
      </c>
      <c r="BB103" s="668">
        <f t="shared" si="931"/>
      </c>
      <c r="BC103" s="668">
        <f t="shared" si="932"/>
      </c>
      <c r="BD103" s="668">
        <f t="shared" si="933"/>
      </c>
      <c r="BE103" s="668">
        <f t="shared" si="934"/>
      </c>
      <c r="BF103" s="668">
        <f t="shared" si="935"/>
      </c>
      <c r="BG103" s="668">
        <f t="shared" si="936"/>
      </c>
      <c r="BH103" s="668">
        <f t="shared" si="937"/>
      </c>
      <c r="BI103" s="668">
        <f t="shared" si="938"/>
      </c>
      <c r="BJ103" s="668">
        <f t="shared" si="939"/>
      </c>
      <c r="BK103" s="668">
        <f t="shared" si="940"/>
      </c>
      <c r="BL103" s="668">
        <f t="shared" si="941"/>
      </c>
      <c r="BM103" s="668">
        <f t="shared" si="942"/>
      </c>
      <c r="BN103" s="668">
        <f t="shared" si="943"/>
      </c>
      <c r="BO103" s="668">
        <f t="shared" si="944"/>
      </c>
      <c r="BP103" s="668">
        <f t="shared" si="945"/>
      </c>
      <c r="BQ103" s="670">
        <f t="shared" si="946"/>
      </c>
      <c r="BR103" s="668">
        <f t="shared" si="947"/>
      </c>
      <c r="BS103" s="668">
        <f t="shared" si="948"/>
      </c>
      <c r="BT103" s="668">
        <f t="shared" si="949"/>
      </c>
      <c r="BU103" s="670">
        <f t="shared" si="950"/>
      </c>
      <c r="BV103" s="668">
        <f t="shared" si="951"/>
      </c>
      <c r="BW103" s="668">
        <f t="shared" si="952"/>
      </c>
      <c r="BX103" s="668">
        <f t="shared" si="953"/>
      </c>
      <c r="BY103" s="670">
        <f t="shared" si="954"/>
      </c>
      <c r="BZ103" s="668">
        <f t="shared" si="955"/>
      </c>
      <c r="CA103" s="668">
        <f t="shared" si="956"/>
      </c>
      <c r="CB103" s="668">
        <f t="shared" si="957"/>
      </c>
      <c r="CC103" s="670">
        <f t="shared" si="958"/>
      </c>
      <c r="CD103" s="668">
        <f t="shared" si="959"/>
      </c>
      <c r="CE103" s="668">
        <f t="shared" si="960"/>
      </c>
      <c r="CF103" s="668">
        <f t="shared" si="961"/>
      </c>
      <c r="CG103" s="670">
        <f t="shared" si="962"/>
      </c>
      <c r="CH103" s="668">
        <f t="shared" si="963"/>
      </c>
      <c r="CI103" s="668">
        <f t="shared" si="964"/>
      </c>
      <c r="CJ103" s="668">
        <f t="shared" si="965"/>
      </c>
      <c r="CK103" s="670">
        <f t="shared" si="966"/>
      </c>
      <c r="CL103" s="668">
        <f t="shared" si="967"/>
      </c>
      <c r="CM103" s="668">
        <f t="shared" si="968"/>
      </c>
      <c r="CN103" s="668">
        <f t="shared" si="969"/>
      </c>
      <c r="CO103" s="670">
        <f t="shared" si="970"/>
      </c>
      <c r="CP103" s="668">
        <f t="shared" si="971"/>
      </c>
      <c r="CQ103" s="668">
        <f t="shared" si="972"/>
      </c>
      <c r="CR103" s="668">
        <f t="shared" si="973"/>
      </c>
      <c r="CS103" s="670">
        <f t="shared" si="974"/>
      </c>
      <c r="CT103" s="668">
        <f t="shared" si="975"/>
      </c>
      <c r="CU103" s="668">
        <f t="shared" si="976"/>
      </c>
      <c r="CV103" s="668">
        <f t="shared" si="977"/>
      </c>
      <c r="CW103" s="670">
        <f t="shared" si="978"/>
      </c>
      <c r="CX103" s="668">
        <f t="shared" si="979"/>
      </c>
      <c r="CY103" s="668">
        <f t="shared" si="980"/>
      </c>
      <c r="CZ103" s="668">
        <f t="shared" si="981"/>
      </c>
      <c r="DA103" s="670">
        <f t="shared" si="982"/>
      </c>
      <c r="DB103" s="668">
        <f t="shared" si="983"/>
      </c>
      <c r="DC103" s="668">
        <f t="shared" si="984"/>
      </c>
      <c r="DD103" s="668">
        <f t="shared" si="985"/>
      </c>
      <c r="DE103" s="670">
        <f t="shared" si="986"/>
      </c>
      <c r="DF103" s="668">
        <f t="shared" si="987"/>
      </c>
      <c r="DG103" s="668">
        <f t="shared" si="988"/>
      </c>
      <c r="DH103" s="668">
        <f t="shared" si="989"/>
      </c>
      <c r="DI103" s="670">
        <f t="shared" si="990"/>
      </c>
      <c r="DJ103" s="668">
        <f t="shared" si="991"/>
      </c>
      <c r="DK103" s="668">
        <f t="shared" si="992"/>
      </c>
      <c r="DL103" s="668">
        <f t="shared" si="993"/>
      </c>
      <c r="DM103" s="670">
        <f t="shared" si="994"/>
      </c>
      <c r="DN103" s="668">
        <f t="shared" si="995"/>
      </c>
      <c r="DO103" s="668">
        <f t="shared" si="996"/>
      </c>
      <c r="DP103" s="668">
        <f t="shared" si="997"/>
      </c>
      <c r="DQ103" s="670">
        <f t="shared" si="998"/>
      </c>
      <c r="DR103" s="668">
        <f t="shared" si="999"/>
      </c>
      <c r="DS103" s="668">
        <f t="shared" si="1000"/>
      </c>
      <c r="DT103" s="668">
        <f t="shared" si="1001"/>
      </c>
      <c r="DU103" s="670">
        <f t="shared" si="1002"/>
      </c>
      <c r="DV103" s="668">
        <f t="shared" si="1003"/>
      </c>
      <c r="DW103" s="668">
        <f t="shared" si="1004"/>
      </c>
      <c r="DX103" s="668">
        <f t="shared" si="1005"/>
      </c>
      <c r="DY103" s="670">
        <f t="shared" si="1006"/>
      </c>
      <c r="DZ103" s="668">
        <f t="shared" si="1007"/>
      </c>
      <c r="EA103" s="668">
        <f t="shared" si="1008"/>
      </c>
      <c r="EB103" s="668">
        <f t="shared" si="1009"/>
      </c>
      <c r="EC103" s="670">
        <f t="shared" si="1010"/>
      </c>
      <c r="ED103" s="668">
        <f t="shared" si="1011"/>
      </c>
      <c r="EE103" s="668">
        <f t="shared" si="1012"/>
      </c>
      <c r="EF103" s="668">
        <f t="shared" si="1013"/>
      </c>
      <c r="EG103" s="670">
        <f t="shared" si="1014"/>
      </c>
      <c r="EH103" s="668">
        <f t="shared" si="1015"/>
      </c>
      <c r="EI103" s="668">
        <f t="shared" si="1016"/>
      </c>
      <c r="EJ103" s="668">
        <f t="shared" si="1017"/>
      </c>
      <c r="EK103" s="670">
        <f t="shared" si="1018"/>
      </c>
      <c r="EL103" s="11"/>
      <c r="EM103" s="668"/>
      <c r="EN103" s="668"/>
      <c r="EO103" s="668"/>
      <c r="EP103" s="668"/>
      <c r="EQ103" s="668"/>
      <c r="ER103" s="668"/>
      <c r="ES103" s="668"/>
      <c r="ET103" s="668"/>
      <c r="EU103" s="668"/>
      <c r="EV103" s="668"/>
      <c r="EW103" s="668"/>
      <c r="EX103" s="668"/>
      <c r="EY103" s="668"/>
      <c r="EZ103" s="668"/>
      <c r="FA103" s="668"/>
      <c r="FB103" s="668"/>
      <c r="FC103" s="668"/>
      <c r="FD103" s="668"/>
      <c r="FE103" s="668"/>
      <c r="FF103" s="668"/>
      <c r="FG103" s="668">
        <f t="shared" ref="FG103:FQ103" si="1041">FG16-FF16</f>
      </c>
      <c r="FH103" s="668">
        <f t="shared" si="1041"/>
      </c>
      <c r="FI103" s="668">
        <f t="shared" si="1041"/>
      </c>
      <c r="FJ103" s="668">
        <f t="shared" si="1041"/>
      </c>
      <c r="FK103" s="668">
        <f t="shared" si="1041"/>
      </c>
      <c r="FL103" s="668">
        <f t="shared" si="1041"/>
      </c>
      <c r="FM103" s="668">
        <f t="shared" si="1041"/>
      </c>
      <c r="FN103" s="668">
        <f t="shared" si="1041"/>
      </c>
      <c r="FO103" s="668">
        <f t="shared" si="1041"/>
      </c>
      <c r="FP103" s="668">
        <f t="shared" si="1041"/>
      </c>
      <c r="FQ103" s="668">
        <f t="shared" si="1041"/>
      </c>
      <c r="FR103" s="668">
        <f t="shared" si="1020"/>
      </c>
      <c r="FS103" s="668">
        <f t="shared" si="1021"/>
      </c>
      <c r="FT103" s="668">
        <f t="shared" si="1022"/>
      </c>
      <c r="FU103" s="668">
        <f t="shared" si="1023"/>
      </c>
      <c r="FW103" s="668"/>
      <c r="FX103" s="668">
        <f t="shared" ref="FX103:GZ103" si="1042">FX16-FW16</f>
      </c>
      <c r="FY103" s="668">
        <f t="shared" si="1042"/>
      </c>
      <c r="FZ103" s="668">
        <f t="shared" si="1042"/>
      </c>
      <c r="GA103" s="668">
        <f t="shared" si="1042"/>
      </c>
      <c r="GB103" s="668">
        <f t="shared" si="1042"/>
      </c>
      <c r="GC103" s="668">
        <f t="shared" si="1042"/>
      </c>
      <c r="GD103" s="668">
        <f t="shared" si="1042"/>
      </c>
      <c r="GE103" s="668">
        <f t="shared" si="1042"/>
      </c>
      <c r="GF103" s="668">
        <f t="shared" si="1042"/>
      </c>
      <c r="GG103" s="668">
        <f t="shared" si="1042"/>
      </c>
      <c r="GH103" s="668">
        <f t="shared" si="1042"/>
      </c>
      <c r="GI103" s="668">
        <f t="shared" si="1042"/>
      </c>
      <c r="GJ103" s="668">
        <f t="shared" si="1042"/>
      </c>
      <c r="GK103" s="668">
        <f t="shared" si="1042"/>
      </c>
      <c r="GL103" s="668">
        <f t="shared" si="1042"/>
      </c>
      <c r="GM103" s="668">
        <f t="shared" si="1042"/>
      </c>
      <c r="GN103" s="668">
        <f t="shared" si="1042"/>
      </c>
      <c r="GO103" s="668">
        <f t="shared" si="1042"/>
      </c>
      <c r="GP103" s="668">
        <f t="shared" si="1042"/>
      </c>
      <c r="GQ103" s="668">
        <f t="shared" si="1042"/>
      </c>
      <c r="GR103" s="668">
        <f t="shared" si="1042"/>
      </c>
      <c r="GS103" s="668">
        <f t="shared" si="1042"/>
      </c>
      <c r="GT103" s="668">
        <f t="shared" si="1042"/>
      </c>
      <c r="GU103" s="668">
        <f t="shared" si="1042"/>
      </c>
      <c r="GV103" s="668">
        <f t="shared" si="1042"/>
      </c>
      <c r="GW103" s="668">
        <f t="shared" si="1042"/>
      </c>
      <c r="GX103" s="668">
        <f t="shared" si="1042"/>
      </c>
      <c r="GY103" s="668">
        <f t="shared" si="1042"/>
      </c>
      <c r="GZ103" s="668">
        <f t="shared" si="1042"/>
      </c>
      <c r="HA103" s="668">
        <f t="shared" si="1025"/>
      </c>
      <c r="HB103" s="668">
        <f t="shared" si="1026"/>
      </c>
      <c r="HC103" s="668">
        <f t="shared" si="1027"/>
      </c>
      <c r="HD103" s="668">
        <f t="shared" si="1028"/>
      </c>
    </row>
    <row r="104" spans="1:212" s="673" customFormat="1">
      <c r="A104" s="683" t="str">
        <f t="shared" si="882"/>
      </c>
      <c r="B104" s="684"/>
      <c r="C104" s="684"/>
      <c r="D104" s="684"/>
      <c r="E104" s="685"/>
      <c r="F104" s="684">
        <f t="shared" si="883"/>
      </c>
      <c r="G104" s="684">
        <f t="shared" si="884"/>
      </c>
      <c r="H104" s="684">
        <f t="shared" si="885"/>
      </c>
      <c r="I104" s="684">
        <f t="shared" si="886"/>
      </c>
      <c r="J104" s="684">
        <f t="shared" si="887"/>
      </c>
      <c r="K104" s="684">
        <f t="shared" si="888"/>
      </c>
      <c r="L104" s="684">
        <f t="shared" si="889"/>
      </c>
      <c r="M104" s="684">
        <f t="shared" si="890"/>
      </c>
      <c r="N104" s="684">
        <f t="shared" si="891"/>
      </c>
      <c r="O104" s="684">
        <f t="shared" si="892"/>
      </c>
      <c r="P104" s="684">
        <f t="shared" si="893"/>
      </c>
      <c r="Q104" s="684">
        <f t="shared" si="894"/>
      </c>
      <c r="R104" s="684">
        <f t="shared" si="895"/>
      </c>
      <c r="S104" s="684">
        <f t="shared" si="896"/>
      </c>
      <c r="T104" s="684">
        <f t="shared" si="897"/>
      </c>
      <c r="U104" s="684">
        <f t="shared" si="898"/>
      </c>
      <c r="V104" s="684">
        <f t="shared" si="899"/>
      </c>
      <c r="W104" s="684">
        <f t="shared" si="900"/>
      </c>
      <c r="X104" s="684">
        <f t="shared" si="901"/>
      </c>
      <c r="Y104" s="684">
        <f t="shared" si="902"/>
      </c>
      <c r="Z104" s="684">
        <f t="shared" si="903"/>
      </c>
      <c r="AA104" s="684">
        <f t="shared" si="904"/>
      </c>
      <c r="AB104" s="684">
        <f t="shared" si="905"/>
      </c>
      <c r="AC104" s="684">
        <f t="shared" si="906"/>
      </c>
      <c r="AD104" s="684">
        <f t="shared" si="907"/>
      </c>
      <c r="AE104" s="684">
        <f t="shared" si="908"/>
      </c>
      <c r="AF104" s="684">
        <f t="shared" si="909"/>
      </c>
      <c r="AG104" s="684">
        <f t="shared" si="910"/>
      </c>
      <c r="AH104" s="684">
        <f t="shared" si="911"/>
      </c>
      <c r="AI104" s="684">
        <f t="shared" si="912"/>
      </c>
      <c r="AJ104" s="684">
        <f t="shared" si="913"/>
      </c>
      <c r="AK104" s="684">
        <f t="shared" si="914"/>
      </c>
      <c r="AL104" s="684">
        <f t="shared" si="915"/>
      </c>
      <c r="AM104" s="684">
        <f t="shared" si="916"/>
      </c>
      <c r="AN104" s="684">
        <f t="shared" si="917"/>
      </c>
      <c r="AO104" s="684">
        <f t="shared" si="918"/>
      </c>
      <c r="AP104" s="684">
        <f t="shared" si="919"/>
      </c>
      <c r="AQ104" s="684">
        <f t="shared" si="920"/>
      </c>
      <c r="AR104" s="684">
        <f t="shared" si="921"/>
      </c>
      <c r="AS104" s="684">
        <f t="shared" si="922"/>
      </c>
      <c r="AT104" s="684">
        <f t="shared" si="923"/>
      </c>
      <c r="AU104" s="684">
        <f t="shared" si="924"/>
      </c>
      <c r="AV104" s="684">
        <f t="shared" si="925"/>
      </c>
      <c r="AW104" s="684">
        <f t="shared" si="926"/>
      </c>
      <c r="AX104" s="684">
        <f t="shared" si="927"/>
      </c>
      <c r="AY104" s="684">
        <f t="shared" si="928"/>
      </c>
      <c r="AZ104" s="684">
        <f t="shared" si="929"/>
      </c>
      <c r="BA104" s="684">
        <f t="shared" si="930"/>
      </c>
      <c r="BB104" s="684">
        <f t="shared" si="931"/>
      </c>
      <c r="BC104" s="684">
        <f t="shared" si="932"/>
      </c>
      <c r="BD104" s="684">
        <f t="shared" si="933"/>
      </c>
      <c r="BE104" s="684">
        <f t="shared" si="934"/>
      </c>
      <c r="BF104" s="684">
        <f t="shared" si="935"/>
      </c>
      <c r="BG104" s="684">
        <f t="shared" si="936"/>
      </c>
      <c r="BH104" s="684">
        <f t="shared" si="937"/>
      </c>
      <c r="BI104" s="684">
        <f t="shared" si="938"/>
      </c>
      <c r="BJ104" s="684">
        <f t="shared" si="939"/>
      </c>
      <c r="BK104" s="684">
        <f t="shared" si="940"/>
      </c>
      <c r="BL104" s="684">
        <f t="shared" si="941"/>
      </c>
      <c r="BM104" s="684">
        <f t="shared" si="942"/>
      </c>
      <c r="BN104" s="684">
        <f t="shared" si="943"/>
      </c>
      <c r="BO104" s="684">
        <f t="shared" si="944"/>
      </c>
      <c r="BP104" s="684">
        <f t="shared" si="945"/>
      </c>
      <c r="BQ104" s="686">
        <f t="shared" si="946"/>
      </c>
      <c r="BR104" s="684">
        <f t="shared" si="947"/>
      </c>
      <c r="BS104" s="684">
        <f t="shared" si="948"/>
      </c>
      <c r="BT104" s="684">
        <f t="shared" si="949"/>
      </c>
      <c r="BU104" s="686">
        <f t="shared" si="950"/>
      </c>
      <c r="BV104" s="684">
        <f t="shared" si="951"/>
      </c>
      <c r="BW104" s="684">
        <f t="shared" si="952"/>
      </c>
      <c r="BX104" s="684">
        <f t="shared" si="953"/>
      </c>
      <c r="BY104" s="686">
        <f t="shared" si="954"/>
      </c>
      <c r="BZ104" s="684">
        <f t="shared" si="955"/>
      </c>
      <c r="CA104" s="684">
        <f t="shared" si="956"/>
      </c>
      <c r="CB104" s="684">
        <f t="shared" si="957"/>
      </c>
      <c r="CC104" s="686">
        <f t="shared" si="958"/>
      </c>
      <c r="CD104" s="684">
        <f t="shared" si="959"/>
      </c>
      <c r="CE104" s="684">
        <f t="shared" si="960"/>
      </c>
      <c r="CF104" s="684">
        <f t="shared" si="961"/>
      </c>
      <c r="CG104" s="686">
        <f t="shared" si="962"/>
      </c>
      <c r="CH104" s="684">
        <f t="shared" si="963"/>
      </c>
      <c r="CI104" s="684">
        <f t="shared" si="964"/>
      </c>
      <c r="CJ104" s="684">
        <f t="shared" si="965"/>
      </c>
      <c r="CK104" s="686">
        <f t="shared" si="966"/>
      </c>
      <c r="CL104" s="684">
        <f t="shared" si="967"/>
      </c>
      <c r="CM104" s="684">
        <f t="shared" si="968"/>
      </c>
      <c r="CN104" s="684">
        <f t="shared" si="969"/>
      </c>
      <c r="CO104" s="686">
        <f t="shared" si="970"/>
      </c>
      <c r="CP104" s="684">
        <f t="shared" si="971"/>
      </c>
      <c r="CQ104" s="684">
        <f t="shared" si="972"/>
      </c>
      <c r="CR104" s="684">
        <f t="shared" si="973"/>
      </c>
      <c r="CS104" s="686">
        <f t="shared" si="974"/>
      </c>
      <c r="CT104" s="684">
        <f t="shared" si="975"/>
      </c>
      <c r="CU104" s="684">
        <f t="shared" si="976"/>
      </c>
      <c r="CV104" s="684">
        <f t="shared" si="977"/>
      </c>
      <c r="CW104" s="686">
        <f t="shared" si="978"/>
      </c>
      <c r="CX104" s="684">
        <f t="shared" si="979"/>
      </c>
      <c r="CY104" s="684">
        <f t="shared" si="980"/>
      </c>
      <c r="CZ104" s="684">
        <f t="shared" si="981"/>
      </c>
      <c r="DA104" s="686">
        <f t="shared" si="982"/>
      </c>
      <c r="DB104" s="684">
        <f t="shared" si="983"/>
      </c>
      <c r="DC104" s="684">
        <f t="shared" si="984"/>
      </c>
      <c r="DD104" s="684">
        <f t="shared" si="985"/>
      </c>
      <c r="DE104" s="686">
        <f t="shared" si="986"/>
      </c>
      <c r="DF104" s="684">
        <f t="shared" si="987"/>
      </c>
      <c r="DG104" s="684">
        <f t="shared" si="988"/>
      </c>
      <c r="DH104" s="684">
        <f t="shared" si="989"/>
      </c>
      <c r="DI104" s="686">
        <f t="shared" si="990"/>
      </c>
      <c r="DJ104" s="684">
        <f t="shared" si="991"/>
      </c>
      <c r="DK104" s="684">
        <f t="shared" si="992"/>
      </c>
      <c r="DL104" s="684">
        <f t="shared" si="993"/>
      </c>
      <c r="DM104" s="686">
        <f t="shared" si="994"/>
      </c>
      <c r="DN104" s="684">
        <f t="shared" si="995"/>
      </c>
      <c r="DO104" s="684">
        <f t="shared" si="996"/>
      </c>
      <c r="DP104" s="684">
        <f t="shared" si="997"/>
      </c>
      <c r="DQ104" s="686">
        <f t="shared" si="998"/>
      </c>
      <c r="DR104" s="684">
        <f t="shared" si="999"/>
      </c>
      <c r="DS104" s="684">
        <f t="shared" si="1000"/>
      </c>
      <c r="DT104" s="684">
        <f t="shared" si="1001"/>
      </c>
      <c r="DU104" s="686">
        <f t="shared" si="1002"/>
      </c>
      <c r="DV104" s="684">
        <f t="shared" si="1003"/>
      </c>
      <c r="DW104" s="684">
        <f t="shared" si="1004"/>
      </c>
      <c r="DX104" s="684">
        <f t="shared" si="1005"/>
      </c>
      <c r="DY104" s="686">
        <f t="shared" si="1006"/>
      </c>
      <c r="DZ104" s="684">
        <f t="shared" si="1007"/>
      </c>
      <c r="EA104" s="684">
        <f t="shared" si="1008"/>
      </c>
      <c r="EB104" s="684">
        <f t="shared" si="1009"/>
      </c>
      <c r="EC104" s="686">
        <f t="shared" si="1010"/>
      </c>
      <c r="ED104" s="684">
        <f t="shared" si="1011"/>
      </c>
      <c r="EE104" s="684">
        <f t="shared" si="1012"/>
      </c>
      <c r="EF104" s="684">
        <f t="shared" si="1013"/>
      </c>
      <c r="EG104" s="686">
        <f t="shared" si="1014"/>
      </c>
      <c r="EH104" s="684">
        <f t="shared" si="1015"/>
      </c>
      <c r="EI104" s="684">
        <f t="shared" si="1016"/>
      </c>
      <c r="EJ104" s="684">
        <f t="shared" si="1017"/>
      </c>
      <c r="EK104" s="686">
        <f t="shared" si="1018"/>
      </c>
      <c r="EL104" s="11"/>
      <c r="EM104" s="684"/>
      <c r="EN104" s="684"/>
      <c r="EO104" s="684"/>
      <c r="EP104" s="684"/>
      <c r="EQ104" s="684"/>
      <c r="ER104" s="684"/>
      <c r="ES104" s="684"/>
      <c r="ET104" s="684"/>
      <c r="EU104" s="684"/>
      <c r="EV104" s="684"/>
      <c r="EW104" s="684"/>
      <c r="EX104" s="684"/>
      <c r="EY104" s="684"/>
      <c r="EZ104" s="684"/>
      <c r="FA104" s="684"/>
      <c r="FB104" s="684"/>
      <c r="FC104" s="684"/>
      <c r="FD104" s="684"/>
      <c r="FE104" s="684"/>
      <c r="FF104" s="684"/>
      <c r="FG104" s="684">
        <f t="shared" ref="FG104:FQ104" si="1043">FG17-FF17</f>
      </c>
      <c r="FH104" s="684">
        <f t="shared" si="1043"/>
      </c>
      <c r="FI104" s="684">
        <f t="shared" si="1043"/>
      </c>
      <c r="FJ104" s="684">
        <f t="shared" si="1043"/>
      </c>
      <c r="FK104" s="684">
        <f t="shared" si="1043"/>
      </c>
      <c r="FL104" s="684">
        <f t="shared" si="1043"/>
      </c>
      <c r="FM104" s="684">
        <f t="shared" si="1043"/>
      </c>
      <c r="FN104" s="684">
        <f t="shared" si="1043"/>
      </c>
      <c r="FO104" s="684">
        <f t="shared" si="1043"/>
      </c>
      <c r="FP104" s="684">
        <f t="shared" si="1043"/>
      </c>
      <c r="FQ104" s="684">
        <f t="shared" si="1043"/>
      </c>
      <c r="FR104" s="684">
        <f t="shared" si="1020"/>
      </c>
      <c r="FS104" s="684">
        <f t="shared" si="1021"/>
      </c>
      <c r="FT104" s="684">
        <f t="shared" si="1022"/>
      </c>
      <c r="FU104" s="684">
        <f t="shared" si="1023"/>
      </c>
      <c r="FW104" s="684"/>
      <c r="FX104" s="684"/>
      <c r="FY104" s="684"/>
      <c r="FZ104" s="684"/>
      <c r="GA104" s="684"/>
      <c r="GB104" s="684"/>
      <c r="GC104" s="684"/>
      <c r="GD104" s="684"/>
      <c r="GE104" s="684"/>
      <c r="GF104" s="684"/>
      <c r="GG104" s="684"/>
      <c r="GH104" s="684"/>
      <c r="GI104" s="684"/>
      <c r="GJ104" s="684"/>
      <c r="GK104" s="684"/>
      <c r="GL104" s="684"/>
      <c r="GM104" s="684"/>
      <c r="GN104" s="684"/>
      <c r="GO104" s="684"/>
      <c r="GP104" s="684"/>
      <c r="GQ104" s="684">
        <f t="shared" ref="GQ104:GZ104" si="1044">GQ17-GP17</f>
      </c>
      <c r="GR104" s="684">
        <f t="shared" si="1044"/>
      </c>
      <c r="GS104" s="684">
        <f t="shared" si="1044"/>
      </c>
      <c r="GT104" s="684">
        <f t="shared" si="1044"/>
      </c>
      <c r="GU104" s="684">
        <f t="shared" si="1044"/>
      </c>
      <c r="GV104" s="684">
        <f t="shared" si="1044"/>
      </c>
      <c r="GW104" s="684">
        <f t="shared" si="1044"/>
      </c>
      <c r="GX104" s="684">
        <f t="shared" si="1044"/>
      </c>
      <c r="GY104" s="684">
        <f t="shared" si="1044"/>
      </c>
      <c r="GZ104" s="684">
        <f t="shared" si="1044"/>
      </c>
      <c r="HA104" s="684">
        <f t="shared" si="1025"/>
      </c>
      <c r="HB104" s="684">
        <f t="shared" si="1026"/>
      </c>
      <c r="HC104" s="684">
        <f t="shared" si="1027"/>
      </c>
      <c r="HD104" s="684">
        <f t="shared" si="1028"/>
      </c>
    </row>
    <row r="105" spans="1:212" s="673" customFormat="1">
      <c r="A105" s="675" t="str">
        <f>A23</f>
      </c>
      <c r="B105" s="676"/>
      <c r="C105" s="676"/>
      <c r="D105" s="676"/>
      <c r="E105" s="677"/>
      <c r="F105" s="676">
        <f t="shared" ref="F105:AK105" si="1045">F23-B23</f>
      </c>
      <c r="G105" s="676">
        <f t="shared" si="1045"/>
      </c>
      <c r="H105" s="676">
        <f t="shared" si="1045"/>
      </c>
      <c r="I105" s="676">
        <f t="shared" si="1045"/>
      </c>
      <c r="J105" s="676">
        <f t="shared" si="1045"/>
      </c>
      <c r="K105" s="676">
        <f t="shared" si="1045"/>
      </c>
      <c r="L105" s="676">
        <f t="shared" si="1045"/>
      </c>
      <c r="M105" s="676">
        <f t="shared" si="1045"/>
      </c>
      <c r="N105" s="676">
        <f t="shared" si="1045"/>
      </c>
      <c r="O105" s="676">
        <f t="shared" si="1045"/>
      </c>
      <c r="P105" s="676">
        <f t="shared" si="1045"/>
      </c>
      <c r="Q105" s="676">
        <f t="shared" si="1045"/>
      </c>
      <c r="R105" s="676">
        <f t="shared" si="1045"/>
      </c>
      <c r="S105" s="676">
        <f t="shared" si="1045"/>
      </c>
      <c r="T105" s="676">
        <f t="shared" si="1045"/>
      </c>
      <c r="U105" s="676">
        <f t="shared" si="1045"/>
      </c>
      <c r="V105" s="676">
        <f t="shared" si="1045"/>
      </c>
      <c r="W105" s="676">
        <f t="shared" si="1045"/>
      </c>
      <c r="X105" s="676">
        <f t="shared" si="1045"/>
      </c>
      <c r="Y105" s="676">
        <f t="shared" si="1045"/>
      </c>
      <c r="Z105" s="676">
        <f t="shared" si="1045"/>
      </c>
      <c r="AA105" s="676">
        <f t="shared" si="1045"/>
      </c>
      <c r="AB105" s="676">
        <f t="shared" si="1045"/>
      </c>
      <c r="AC105" s="676">
        <f t="shared" si="1045"/>
      </c>
      <c r="AD105" s="676">
        <f t="shared" si="1045"/>
      </c>
      <c r="AE105" s="676">
        <f t="shared" si="1045"/>
      </c>
      <c r="AF105" s="676">
        <f t="shared" si="1045"/>
      </c>
      <c r="AG105" s="676">
        <f t="shared" si="1045"/>
      </c>
      <c r="AH105" s="676">
        <f t="shared" si="1045"/>
      </c>
      <c r="AI105" s="676">
        <f t="shared" si="1045"/>
      </c>
      <c r="AJ105" s="676">
        <f t="shared" si="1045"/>
      </c>
      <c r="AK105" s="676">
        <f t="shared" si="1045"/>
      </c>
      <c r="AL105" s="676">
        <f t="shared" ref="AL105:BQ105" si="1046">AL23-AH23</f>
      </c>
      <c r="AM105" s="676">
        <f t="shared" si="1046"/>
      </c>
      <c r="AN105" s="676">
        <f t="shared" si="1046"/>
      </c>
      <c r="AO105" s="676">
        <f t="shared" si="1046"/>
      </c>
      <c r="AP105" s="676">
        <f t="shared" si="1046"/>
      </c>
      <c r="AQ105" s="676">
        <f t="shared" si="1046"/>
      </c>
      <c r="AR105" s="676">
        <f t="shared" si="1046"/>
      </c>
      <c r="AS105" s="676">
        <f t="shared" si="1046"/>
      </c>
      <c r="AT105" s="676">
        <f t="shared" si="1046"/>
      </c>
      <c r="AU105" s="676">
        <f t="shared" si="1046"/>
      </c>
      <c r="AV105" s="676">
        <f t="shared" si="1046"/>
      </c>
      <c r="AW105" s="676">
        <f t="shared" si="1046"/>
      </c>
      <c r="AX105" s="676">
        <f t="shared" si="1046"/>
      </c>
      <c r="AY105" s="676">
        <f t="shared" si="1046"/>
      </c>
      <c r="AZ105" s="676">
        <f t="shared" si="1046"/>
      </c>
      <c r="BA105" s="676">
        <f t="shared" si="1046"/>
      </c>
      <c r="BB105" s="676">
        <f t="shared" si="1046"/>
      </c>
      <c r="BC105" s="676">
        <f t="shared" si="1046"/>
      </c>
      <c r="BD105" s="676">
        <f t="shared" si="1046"/>
      </c>
      <c r="BE105" s="676">
        <f t="shared" si="1046"/>
      </c>
      <c r="BF105" s="676">
        <f t="shared" si="1046"/>
      </c>
      <c r="BG105" s="676">
        <f t="shared" si="1046"/>
      </c>
      <c r="BH105" s="676">
        <f t="shared" si="1046"/>
      </c>
      <c r="BI105" s="676">
        <f t="shared" si="1046"/>
      </c>
      <c r="BJ105" s="676">
        <f t="shared" si="1046"/>
      </c>
      <c r="BK105" s="676">
        <f t="shared" si="1046"/>
      </c>
      <c r="BL105" s="676">
        <f t="shared" si="1046"/>
      </c>
      <c r="BM105" s="676">
        <f t="shared" si="1046"/>
      </c>
      <c r="BN105" s="676">
        <f t="shared" si="1046"/>
      </c>
      <c r="BO105" s="676">
        <f t="shared" si="1046"/>
      </c>
      <c r="BP105" s="676">
        <f t="shared" si="1046"/>
      </c>
      <c r="BQ105" s="678">
        <f t="shared" si="1046"/>
      </c>
      <c r="BR105" s="676">
        <f t="shared" ref="BR105:CW105" si="1047">BR23-BN23</f>
      </c>
      <c r="BS105" s="676">
        <f t="shared" si="1047"/>
      </c>
      <c r="BT105" s="676">
        <f t="shared" si="1047"/>
      </c>
      <c r="BU105" s="678">
        <f t="shared" si="1047"/>
      </c>
      <c r="BV105" s="676">
        <f t="shared" si="1047"/>
      </c>
      <c r="BW105" s="676">
        <f t="shared" si="1047"/>
      </c>
      <c r="BX105" s="676">
        <f t="shared" si="1047"/>
      </c>
      <c r="BY105" s="678">
        <f t="shared" si="1047"/>
      </c>
      <c r="BZ105" s="676">
        <f t="shared" si="1047"/>
      </c>
      <c r="CA105" s="676">
        <f t="shared" si="1047"/>
      </c>
      <c r="CB105" s="676">
        <f t="shared" si="1047"/>
      </c>
      <c r="CC105" s="678">
        <f t="shared" si="1047"/>
      </c>
      <c r="CD105" s="676">
        <f t="shared" si="1047"/>
      </c>
      <c r="CE105" s="676">
        <f t="shared" si="1047"/>
      </c>
      <c r="CF105" s="676">
        <f t="shared" si="1047"/>
      </c>
      <c r="CG105" s="678">
        <f t="shared" si="1047"/>
      </c>
      <c r="CH105" s="676">
        <f t="shared" si="1047"/>
      </c>
      <c r="CI105" s="676">
        <f t="shared" si="1047"/>
      </c>
      <c r="CJ105" s="676">
        <f t="shared" si="1047"/>
      </c>
      <c r="CK105" s="678">
        <f t="shared" si="1047"/>
      </c>
      <c r="CL105" s="676">
        <f t="shared" si="1047"/>
      </c>
      <c r="CM105" s="676">
        <f t="shared" si="1047"/>
      </c>
      <c r="CN105" s="676">
        <f t="shared" si="1047"/>
      </c>
      <c r="CO105" s="678">
        <f t="shared" si="1047"/>
      </c>
      <c r="CP105" s="676">
        <f t="shared" si="1047"/>
      </c>
      <c r="CQ105" s="676">
        <f t="shared" si="1047"/>
      </c>
      <c r="CR105" s="676">
        <f t="shared" si="1047"/>
      </c>
      <c r="CS105" s="678">
        <f t="shared" si="1047"/>
      </c>
      <c r="CT105" s="676">
        <f t="shared" si="1047"/>
      </c>
      <c r="CU105" s="676">
        <f t="shared" si="1047"/>
      </c>
      <c r="CV105" s="676">
        <f t="shared" si="1047"/>
      </c>
      <c r="CW105" s="678">
        <f t="shared" si="1047"/>
      </c>
      <c r="CX105" s="676">
        <f t="shared" ref="CX105:DU105" si="1048">CX23-CT23</f>
      </c>
      <c r="CY105" s="676">
        <f t="shared" si="1048"/>
      </c>
      <c r="CZ105" s="676">
        <f t="shared" si="1048"/>
      </c>
      <c r="DA105" s="678">
        <f t="shared" si="1048"/>
      </c>
      <c r="DB105" s="676">
        <f t="shared" si="1048"/>
      </c>
      <c r="DC105" s="676">
        <f t="shared" si="1048"/>
      </c>
      <c r="DD105" s="676">
        <f t="shared" si="1048"/>
      </c>
      <c r="DE105" s="678">
        <f t="shared" si="1048"/>
      </c>
      <c r="DF105" s="676">
        <f t="shared" si="1048"/>
      </c>
      <c r="DG105" s="676">
        <f t="shared" si="1048"/>
      </c>
      <c r="DH105" s="676">
        <f t="shared" si="1048"/>
      </c>
      <c r="DI105" s="678">
        <f t="shared" si="1048"/>
      </c>
      <c r="DJ105" s="676">
        <f t="shared" si="1048"/>
      </c>
      <c r="DK105" s="676">
        <f t="shared" si="1048"/>
      </c>
      <c r="DL105" s="676">
        <f t="shared" si="1048"/>
      </c>
      <c r="DM105" s="678">
        <f t="shared" si="1048"/>
      </c>
      <c r="DN105" s="676">
        <f t="shared" si="1048"/>
      </c>
      <c r="DO105" s="676">
        <f t="shared" si="1048"/>
      </c>
      <c r="DP105" s="676">
        <f t="shared" si="1048"/>
      </c>
      <c r="DQ105" s="678">
        <f t="shared" si="1048"/>
      </c>
      <c r="DR105" s="676">
        <f t="shared" si="1048"/>
      </c>
      <c r="DS105" s="676">
        <f t="shared" si="1048"/>
      </c>
      <c r="DT105" s="676">
        <f t="shared" si="1048"/>
      </c>
      <c r="DU105" s="678">
        <f t="shared" si="1048"/>
      </c>
      <c r="DV105" s="676">
        <f t="shared" ref="DV105" si="1049">DV23-DR23</f>
      </c>
      <c r="DW105" s="676">
        <f t="shared" ref="DW105" si="1050">DW23-DS23</f>
      </c>
      <c r="DX105" s="676">
        <f t="shared" ref="DX105" si="1051">DX23-DT23</f>
      </c>
      <c r="DY105" s="678">
        <f t="shared" ref="DY105" si="1052">DY23-DU23</f>
      </c>
      <c r="DZ105" s="676">
        <f t="shared" ref="DZ105" si="1053">DZ23-DV23</f>
      </c>
      <c r="EA105" s="676">
        <f t="shared" ref="EA105" si="1054">EA23-DW23</f>
      </c>
      <c r="EB105" s="676">
        <f t="shared" ref="EB105" si="1055">EB23-DX23</f>
      </c>
      <c r="EC105" s="678">
        <f t="shared" ref="EC105" si="1056">EC23-DY23</f>
      </c>
      <c r="ED105" s="676">
        <f t="shared" ref="ED105" si="1057">ED23-DZ23</f>
      </c>
      <c r="EE105" s="676">
        <f t="shared" ref="EE105" si="1058">EE23-EA23</f>
      </c>
      <c r="EF105" s="676">
        <f t="shared" ref="EF105" si="1059">EF23-EB23</f>
      </c>
      <c r="EG105" s="678">
        <f t="shared" ref="EG105" si="1060">EG23-EC23</f>
      </c>
      <c r="EH105" s="676">
        <f t="shared" ref="EH105" si="1061">EH23-ED23</f>
      </c>
      <c r="EI105" s="676">
        <f t="shared" ref="EI105" si="1062">EI23-EE23</f>
      </c>
      <c r="EJ105" s="676">
        <f t="shared" ref="EJ105" si="1063">EJ23-EF23</f>
      </c>
      <c r="EK105" s="678">
        <f t="shared" ref="EK105" si="1064">EK23-EG23</f>
      </c>
      <c r="EL105" s="11"/>
      <c r="EM105" s="676"/>
      <c r="EN105" s="676">
        <f t="shared" ref="EN105:FQ105" si="1065">EN23-EM23</f>
      </c>
      <c r="EO105" s="676">
        <f t="shared" si="1065"/>
      </c>
      <c r="EP105" s="676">
        <f t="shared" si="1065"/>
      </c>
      <c r="EQ105" s="676">
        <f t="shared" si="1065"/>
      </c>
      <c r="ER105" s="676">
        <f t="shared" si="1065"/>
      </c>
      <c r="ES105" s="676">
        <f t="shared" si="1065"/>
      </c>
      <c r="ET105" s="676">
        <f t="shared" si="1065"/>
      </c>
      <c r="EU105" s="676">
        <f t="shared" si="1065"/>
      </c>
      <c r="EV105" s="676">
        <f t="shared" si="1065"/>
      </c>
      <c r="EW105" s="676">
        <f t="shared" si="1065"/>
      </c>
      <c r="EX105" s="676">
        <f t="shared" si="1065"/>
      </c>
      <c r="EY105" s="676">
        <f t="shared" si="1065"/>
      </c>
      <c r="EZ105" s="676">
        <f t="shared" si="1065"/>
      </c>
      <c r="FA105" s="676">
        <f t="shared" si="1065"/>
      </c>
      <c r="FB105" s="676">
        <f t="shared" si="1065"/>
      </c>
      <c r="FC105" s="676">
        <f t="shared" si="1065"/>
      </c>
      <c r="FD105" s="676">
        <f t="shared" si="1065"/>
      </c>
      <c r="FE105" s="676">
        <f t="shared" si="1065"/>
      </c>
      <c r="FF105" s="676">
        <f t="shared" si="1065"/>
      </c>
      <c r="FG105" s="676">
        <f t="shared" si="1065"/>
      </c>
      <c r="FH105" s="676">
        <f t="shared" si="1065"/>
      </c>
      <c r="FI105" s="676">
        <f t="shared" si="1065"/>
      </c>
      <c r="FJ105" s="676">
        <f t="shared" si="1065"/>
      </c>
      <c r="FK105" s="676">
        <f t="shared" si="1065"/>
      </c>
      <c r="FL105" s="676">
        <f t="shared" si="1065"/>
      </c>
      <c r="FM105" s="676">
        <f t="shared" si="1065"/>
      </c>
      <c r="FN105" s="676">
        <f t="shared" si="1065"/>
      </c>
      <c r="FO105" s="676">
        <f t="shared" si="1065"/>
      </c>
      <c r="FP105" s="676">
        <f t="shared" si="1065"/>
      </c>
      <c r="FQ105" s="676">
        <f t="shared" si="1065"/>
      </c>
      <c r="FR105" s="676">
        <f t="shared" ref="FR105" si="1066">FR23-FQ23</f>
      </c>
      <c r="FS105" s="676">
        <f t="shared" ref="FS105" si="1067">FS23-FR23</f>
      </c>
      <c r="FT105" s="676">
        <f t="shared" ref="FT105" si="1068">FT23-FS23</f>
      </c>
      <c r="FU105" s="676">
        <f t="shared" ref="FU105" si="1069">FU23-FT23</f>
      </c>
      <c r="FW105" s="676"/>
      <c r="FX105" s="676">
        <f t="shared" ref="FX105:GZ105" si="1070">FX23-FW23</f>
      </c>
      <c r="FY105" s="676">
        <f t="shared" si="1070"/>
      </c>
      <c r="FZ105" s="676">
        <f t="shared" si="1070"/>
      </c>
      <c r="GA105" s="676">
        <f t="shared" si="1070"/>
      </c>
      <c r="GB105" s="676">
        <f t="shared" si="1070"/>
      </c>
      <c r="GC105" s="676">
        <f t="shared" si="1070"/>
      </c>
      <c r="GD105" s="676">
        <f t="shared" si="1070"/>
      </c>
      <c r="GE105" s="676">
        <f t="shared" si="1070"/>
      </c>
      <c r="GF105" s="676">
        <f t="shared" si="1070"/>
      </c>
      <c r="GG105" s="676">
        <f t="shared" si="1070"/>
      </c>
      <c r="GH105" s="676">
        <f t="shared" si="1070"/>
      </c>
      <c r="GI105" s="676">
        <f t="shared" si="1070"/>
      </c>
      <c r="GJ105" s="676">
        <f t="shared" si="1070"/>
      </c>
      <c r="GK105" s="676">
        <f t="shared" si="1070"/>
      </c>
      <c r="GL105" s="676">
        <f t="shared" si="1070"/>
      </c>
      <c r="GM105" s="676">
        <f t="shared" si="1070"/>
      </c>
      <c r="GN105" s="676">
        <f t="shared" si="1070"/>
      </c>
      <c r="GO105" s="676">
        <f t="shared" si="1070"/>
      </c>
      <c r="GP105" s="676">
        <f t="shared" si="1070"/>
      </c>
      <c r="GQ105" s="676">
        <f t="shared" si="1070"/>
      </c>
      <c r="GR105" s="676">
        <f t="shared" si="1070"/>
      </c>
      <c r="GS105" s="676">
        <f t="shared" si="1070"/>
      </c>
      <c r="GT105" s="676">
        <f t="shared" si="1070"/>
      </c>
      <c r="GU105" s="676">
        <f t="shared" si="1070"/>
      </c>
      <c r="GV105" s="676">
        <f t="shared" si="1070"/>
      </c>
      <c r="GW105" s="676">
        <f t="shared" si="1070"/>
      </c>
      <c r="GX105" s="676">
        <f t="shared" si="1070"/>
      </c>
      <c r="GY105" s="676">
        <f t="shared" si="1070"/>
      </c>
      <c r="GZ105" s="676">
        <f t="shared" si="1070"/>
      </c>
      <c r="HA105" s="676">
        <f t="shared" ref="HA105" si="1071">HA23-GZ23</f>
      </c>
      <c r="HB105" s="676">
        <f t="shared" ref="HB105" si="1072">HB23-HA23</f>
      </c>
      <c r="HC105" s="676">
        <f t="shared" ref="HC105" si="1073">HC23-HB23</f>
      </c>
      <c r="HD105" s="676">
        <f t="shared" ref="HD105" si="1074">HD23-HC23</f>
      </c>
    </row>
    <row r="106" spans="1:212" s="673" customFormat="1">
      <c r="A106" s="675" t="str">
        <f>A26</f>
      </c>
      <c r="B106" s="676"/>
      <c r="C106" s="676"/>
      <c r="D106" s="676"/>
      <c r="E106" s="677"/>
      <c r="F106" s="676">
        <f t="shared" ref="F106:AK106" si="1075">F26-B26</f>
      </c>
      <c r="G106" s="676">
        <f t="shared" si="1075"/>
      </c>
      <c r="H106" s="676">
        <f t="shared" si="1075"/>
      </c>
      <c r="I106" s="676">
        <f t="shared" si="1075"/>
      </c>
      <c r="J106" s="676">
        <f t="shared" si="1075"/>
      </c>
      <c r="K106" s="676">
        <f t="shared" si="1075"/>
      </c>
      <c r="L106" s="676">
        <f t="shared" si="1075"/>
      </c>
      <c r="M106" s="676">
        <f t="shared" si="1075"/>
      </c>
      <c r="N106" s="676">
        <f t="shared" si="1075"/>
      </c>
      <c r="O106" s="676">
        <f t="shared" si="1075"/>
      </c>
      <c r="P106" s="676">
        <f t="shared" si="1075"/>
      </c>
      <c r="Q106" s="676">
        <f t="shared" si="1075"/>
      </c>
      <c r="R106" s="676">
        <f t="shared" si="1075"/>
      </c>
      <c r="S106" s="676">
        <f t="shared" si="1075"/>
      </c>
      <c r="T106" s="676">
        <f t="shared" si="1075"/>
      </c>
      <c r="U106" s="676">
        <f t="shared" si="1075"/>
      </c>
      <c r="V106" s="676">
        <f t="shared" si="1075"/>
      </c>
      <c r="W106" s="676">
        <f t="shared" si="1075"/>
      </c>
      <c r="X106" s="676">
        <f t="shared" si="1075"/>
      </c>
      <c r="Y106" s="676">
        <f t="shared" si="1075"/>
      </c>
      <c r="Z106" s="676">
        <f t="shared" si="1075"/>
      </c>
      <c r="AA106" s="676">
        <f t="shared" si="1075"/>
      </c>
      <c r="AB106" s="676">
        <f t="shared" si="1075"/>
      </c>
      <c r="AC106" s="676">
        <f t="shared" si="1075"/>
      </c>
      <c r="AD106" s="676">
        <f t="shared" si="1075"/>
      </c>
      <c r="AE106" s="676">
        <f t="shared" si="1075"/>
      </c>
      <c r="AF106" s="676">
        <f t="shared" si="1075"/>
      </c>
      <c r="AG106" s="676">
        <f t="shared" si="1075"/>
      </c>
      <c r="AH106" s="676">
        <f t="shared" si="1075"/>
      </c>
      <c r="AI106" s="676">
        <f t="shared" si="1075"/>
      </c>
      <c r="AJ106" s="676">
        <f t="shared" si="1075"/>
      </c>
      <c r="AK106" s="676">
        <f t="shared" si="1075"/>
      </c>
      <c r="AL106" s="676">
        <f t="shared" ref="AL106:BQ106" si="1076">AL26-AH26</f>
      </c>
      <c r="AM106" s="676">
        <f t="shared" si="1076"/>
      </c>
      <c r="AN106" s="676">
        <f t="shared" si="1076"/>
      </c>
      <c r="AO106" s="676">
        <f t="shared" si="1076"/>
      </c>
      <c r="AP106" s="676">
        <f t="shared" si="1076"/>
      </c>
      <c r="AQ106" s="676">
        <f t="shared" si="1076"/>
      </c>
      <c r="AR106" s="676">
        <f t="shared" si="1076"/>
      </c>
      <c r="AS106" s="676">
        <f t="shared" si="1076"/>
      </c>
      <c r="AT106" s="676">
        <f t="shared" si="1076"/>
      </c>
      <c r="AU106" s="676">
        <f t="shared" si="1076"/>
      </c>
      <c r="AV106" s="676">
        <f t="shared" si="1076"/>
      </c>
      <c r="AW106" s="676">
        <f t="shared" si="1076"/>
      </c>
      <c r="AX106" s="676">
        <f t="shared" si="1076"/>
      </c>
      <c r="AY106" s="676">
        <f t="shared" si="1076"/>
      </c>
      <c r="AZ106" s="676">
        <f t="shared" si="1076"/>
      </c>
      <c r="BA106" s="676">
        <f t="shared" si="1076"/>
      </c>
      <c r="BB106" s="676">
        <f t="shared" si="1076"/>
      </c>
      <c r="BC106" s="676">
        <f t="shared" si="1076"/>
      </c>
      <c r="BD106" s="676">
        <f t="shared" si="1076"/>
      </c>
      <c r="BE106" s="676">
        <f t="shared" si="1076"/>
      </c>
      <c r="BF106" s="676">
        <f t="shared" si="1076"/>
      </c>
      <c r="BG106" s="676">
        <f t="shared" si="1076"/>
      </c>
      <c r="BH106" s="676">
        <f t="shared" si="1076"/>
      </c>
      <c r="BI106" s="676">
        <f t="shared" si="1076"/>
      </c>
      <c r="BJ106" s="676">
        <f t="shared" si="1076"/>
      </c>
      <c r="BK106" s="676">
        <f t="shared" si="1076"/>
      </c>
      <c r="BL106" s="676">
        <f t="shared" si="1076"/>
      </c>
      <c r="BM106" s="676">
        <f t="shared" si="1076"/>
      </c>
      <c r="BN106" s="676">
        <f t="shared" si="1076"/>
      </c>
      <c r="BO106" s="676">
        <f t="shared" si="1076"/>
      </c>
      <c r="BP106" s="676">
        <f t="shared" si="1076"/>
      </c>
      <c r="BQ106" s="678">
        <f t="shared" si="1076"/>
      </c>
      <c r="BR106" s="676">
        <f t="shared" ref="BR106:CW106" si="1077">BR26-BN26</f>
      </c>
      <c r="BS106" s="676">
        <f t="shared" si="1077"/>
      </c>
      <c r="BT106" s="676">
        <f t="shared" si="1077"/>
      </c>
      <c r="BU106" s="678">
        <f t="shared" si="1077"/>
      </c>
      <c r="BV106" s="676">
        <f t="shared" si="1077"/>
      </c>
      <c r="BW106" s="676">
        <f t="shared" si="1077"/>
      </c>
      <c r="BX106" s="676">
        <f t="shared" si="1077"/>
      </c>
      <c r="BY106" s="678">
        <f t="shared" si="1077"/>
      </c>
      <c r="BZ106" s="676">
        <f t="shared" si="1077"/>
      </c>
      <c r="CA106" s="676">
        <f t="shared" si="1077"/>
      </c>
      <c r="CB106" s="676">
        <f t="shared" si="1077"/>
      </c>
      <c r="CC106" s="678">
        <f t="shared" si="1077"/>
      </c>
      <c r="CD106" s="676">
        <f t="shared" si="1077"/>
      </c>
      <c r="CE106" s="676">
        <f t="shared" si="1077"/>
      </c>
      <c r="CF106" s="676">
        <f t="shared" si="1077"/>
      </c>
      <c r="CG106" s="678">
        <f t="shared" si="1077"/>
      </c>
      <c r="CH106" s="676">
        <f t="shared" si="1077"/>
      </c>
      <c r="CI106" s="676">
        <f t="shared" si="1077"/>
      </c>
      <c r="CJ106" s="676">
        <f t="shared" si="1077"/>
      </c>
      <c r="CK106" s="678">
        <f t="shared" si="1077"/>
      </c>
      <c r="CL106" s="676">
        <f t="shared" si="1077"/>
      </c>
      <c r="CM106" s="676">
        <f t="shared" si="1077"/>
      </c>
      <c r="CN106" s="676">
        <f t="shared" si="1077"/>
      </c>
      <c r="CO106" s="678">
        <f t="shared" si="1077"/>
      </c>
      <c r="CP106" s="676">
        <f t="shared" si="1077"/>
      </c>
      <c r="CQ106" s="676">
        <f t="shared" si="1077"/>
      </c>
      <c r="CR106" s="676">
        <f t="shared" si="1077"/>
      </c>
      <c r="CS106" s="678">
        <f t="shared" si="1077"/>
      </c>
      <c r="CT106" s="676">
        <f t="shared" si="1077"/>
      </c>
      <c r="CU106" s="676">
        <f t="shared" si="1077"/>
      </c>
      <c r="CV106" s="676">
        <f t="shared" si="1077"/>
      </c>
      <c r="CW106" s="678">
        <f t="shared" si="1077"/>
      </c>
      <c r="CX106" s="676">
        <f t="shared" ref="CX106:DU106" si="1078">CX26-CT26</f>
      </c>
      <c r="CY106" s="676">
        <f t="shared" si="1078"/>
      </c>
      <c r="CZ106" s="676">
        <f t="shared" si="1078"/>
      </c>
      <c r="DA106" s="678">
        <f t="shared" si="1078"/>
      </c>
      <c r="DB106" s="676">
        <f t="shared" si="1078"/>
      </c>
      <c r="DC106" s="676">
        <f t="shared" si="1078"/>
      </c>
      <c r="DD106" s="676">
        <f t="shared" si="1078"/>
      </c>
      <c r="DE106" s="678">
        <f t="shared" si="1078"/>
      </c>
      <c r="DF106" s="676">
        <f t="shared" si="1078"/>
      </c>
      <c r="DG106" s="676">
        <f t="shared" si="1078"/>
      </c>
      <c r="DH106" s="676">
        <f t="shared" si="1078"/>
      </c>
      <c r="DI106" s="678">
        <f t="shared" si="1078"/>
      </c>
      <c r="DJ106" s="676">
        <f t="shared" si="1078"/>
      </c>
      <c r="DK106" s="676">
        <f t="shared" si="1078"/>
      </c>
      <c r="DL106" s="676">
        <f t="shared" si="1078"/>
      </c>
      <c r="DM106" s="678">
        <f t="shared" si="1078"/>
      </c>
      <c r="DN106" s="676">
        <f t="shared" si="1078"/>
      </c>
      <c r="DO106" s="676">
        <f t="shared" si="1078"/>
      </c>
      <c r="DP106" s="676">
        <f t="shared" si="1078"/>
      </c>
      <c r="DQ106" s="678">
        <f t="shared" si="1078"/>
      </c>
      <c r="DR106" s="676">
        <f t="shared" si="1078"/>
      </c>
      <c r="DS106" s="676">
        <f t="shared" si="1078"/>
      </c>
      <c r="DT106" s="676">
        <f t="shared" si="1078"/>
      </c>
      <c r="DU106" s="678">
        <f t="shared" si="1078"/>
      </c>
      <c r="DV106" s="676">
        <f t="shared" ref="DV106" si="1079">DV26-DR26</f>
      </c>
      <c r="DW106" s="676">
        <f t="shared" ref="DW106" si="1080">DW26-DS26</f>
      </c>
      <c r="DX106" s="676">
        <f t="shared" ref="DX106" si="1081">DX26-DT26</f>
      </c>
      <c r="DY106" s="678">
        <f t="shared" ref="DY106" si="1082">DY26-DU26</f>
      </c>
      <c r="DZ106" s="676">
        <f t="shared" ref="DZ106" si="1083">DZ26-DV26</f>
      </c>
      <c r="EA106" s="676">
        <f t="shared" ref="EA106" si="1084">EA26-DW26</f>
      </c>
      <c r="EB106" s="676">
        <f t="shared" ref="EB106" si="1085">EB26-DX26</f>
      </c>
      <c r="EC106" s="678">
        <f t="shared" ref="EC106" si="1086">EC26-DY26</f>
      </c>
      <c r="ED106" s="676">
        <f t="shared" ref="ED106" si="1087">ED26-DZ26</f>
      </c>
      <c r="EE106" s="676">
        <f t="shared" ref="EE106" si="1088">EE26-EA26</f>
      </c>
      <c r="EF106" s="676">
        <f t="shared" ref="EF106" si="1089">EF26-EB26</f>
      </c>
      <c r="EG106" s="678">
        <f t="shared" ref="EG106" si="1090">EG26-EC26</f>
      </c>
      <c r="EH106" s="676">
        <f t="shared" ref="EH106" si="1091">EH26-ED26</f>
      </c>
      <c r="EI106" s="676">
        <f t="shared" ref="EI106" si="1092">EI26-EE26</f>
      </c>
      <c r="EJ106" s="676">
        <f t="shared" ref="EJ106" si="1093">EJ26-EF26</f>
      </c>
      <c r="EK106" s="678">
        <f t="shared" ref="EK106" si="1094">EK26-EG26</f>
      </c>
      <c r="EL106" s="11"/>
      <c r="EM106" s="676"/>
      <c r="EN106" s="676">
        <f t="shared" ref="EN106:FQ106" si="1095">EN26-EM26</f>
      </c>
      <c r="EO106" s="676">
        <f t="shared" si="1095"/>
      </c>
      <c r="EP106" s="676">
        <f t="shared" si="1095"/>
      </c>
      <c r="EQ106" s="676">
        <f t="shared" si="1095"/>
      </c>
      <c r="ER106" s="676">
        <f t="shared" si="1095"/>
      </c>
      <c r="ES106" s="676">
        <f t="shared" si="1095"/>
      </c>
      <c r="ET106" s="676">
        <f t="shared" si="1095"/>
      </c>
      <c r="EU106" s="676">
        <f t="shared" si="1095"/>
      </c>
      <c r="EV106" s="676">
        <f t="shared" si="1095"/>
      </c>
      <c r="EW106" s="676">
        <f t="shared" si="1095"/>
      </c>
      <c r="EX106" s="676">
        <f t="shared" si="1095"/>
      </c>
      <c r="EY106" s="676">
        <f t="shared" si="1095"/>
      </c>
      <c r="EZ106" s="676">
        <f t="shared" si="1095"/>
      </c>
      <c r="FA106" s="676">
        <f t="shared" si="1095"/>
      </c>
      <c r="FB106" s="676">
        <f t="shared" si="1095"/>
      </c>
      <c r="FC106" s="676">
        <f t="shared" si="1095"/>
      </c>
      <c r="FD106" s="676">
        <f t="shared" si="1095"/>
      </c>
      <c r="FE106" s="676">
        <f t="shared" si="1095"/>
      </c>
      <c r="FF106" s="676">
        <f t="shared" si="1095"/>
      </c>
      <c r="FG106" s="676">
        <f t="shared" si="1095"/>
      </c>
      <c r="FH106" s="676">
        <f t="shared" si="1095"/>
      </c>
      <c r="FI106" s="676">
        <f t="shared" si="1095"/>
      </c>
      <c r="FJ106" s="676">
        <f t="shared" si="1095"/>
      </c>
      <c r="FK106" s="676">
        <f t="shared" si="1095"/>
      </c>
      <c r="FL106" s="676">
        <f t="shared" si="1095"/>
      </c>
      <c r="FM106" s="676">
        <f t="shared" si="1095"/>
      </c>
      <c r="FN106" s="676">
        <f t="shared" si="1095"/>
      </c>
      <c r="FO106" s="676">
        <f t="shared" si="1095"/>
      </c>
      <c r="FP106" s="676">
        <f t="shared" si="1095"/>
      </c>
      <c r="FQ106" s="676">
        <f t="shared" si="1095"/>
      </c>
      <c r="FR106" s="676">
        <f t="shared" ref="FR106" si="1096">FR26-FQ26</f>
      </c>
      <c r="FS106" s="676">
        <f t="shared" ref="FS106" si="1097">FS26-FR26</f>
      </c>
      <c r="FT106" s="676">
        <f t="shared" ref="FT106" si="1098">FT26-FS26</f>
      </c>
      <c r="FU106" s="676">
        <f t="shared" ref="FU106" si="1099">FU26-FT26</f>
      </c>
      <c r="FW106" s="676"/>
      <c r="FX106" s="676">
        <f t="shared" ref="FX106:GZ106" si="1100">FX26-FW26</f>
      </c>
      <c r="FY106" s="676">
        <f t="shared" si="1100"/>
      </c>
      <c r="FZ106" s="676">
        <f t="shared" si="1100"/>
      </c>
      <c r="GA106" s="676">
        <f t="shared" si="1100"/>
      </c>
      <c r="GB106" s="676">
        <f t="shared" si="1100"/>
      </c>
      <c r="GC106" s="676">
        <f t="shared" si="1100"/>
      </c>
      <c r="GD106" s="676">
        <f t="shared" si="1100"/>
      </c>
      <c r="GE106" s="676">
        <f t="shared" si="1100"/>
      </c>
      <c r="GF106" s="676">
        <f t="shared" si="1100"/>
      </c>
      <c r="GG106" s="676">
        <f t="shared" si="1100"/>
      </c>
      <c r="GH106" s="676">
        <f t="shared" si="1100"/>
      </c>
      <c r="GI106" s="676">
        <f t="shared" si="1100"/>
      </c>
      <c r="GJ106" s="676">
        <f t="shared" si="1100"/>
      </c>
      <c r="GK106" s="676">
        <f t="shared" si="1100"/>
      </c>
      <c r="GL106" s="676">
        <f t="shared" si="1100"/>
      </c>
      <c r="GM106" s="676">
        <f t="shared" si="1100"/>
      </c>
      <c r="GN106" s="676">
        <f t="shared" si="1100"/>
      </c>
      <c r="GO106" s="676">
        <f t="shared" si="1100"/>
      </c>
      <c r="GP106" s="676">
        <f t="shared" si="1100"/>
      </c>
      <c r="GQ106" s="676">
        <f t="shared" si="1100"/>
      </c>
      <c r="GR106" s="676">
        <f t="shared" si="1100"/>
      </c>
      <c r="GS106" s="676">
        <f t="shared" si="1100"/>
      </c>
      <c r="GT106" s="676">
        <f t="shared" si="1100"/>
      </c>
      <c r="GU106" s="676">
        <f t="shared" si="1100"/>
      </c>
      <c r="GV106" s="676">
        <f t="shared" si="1100"/>
      </c>
      <c r="GW106" s="676">
        <f t="shared" si="1100"/>
      </c>
      <c r="GX106" s="676">
        <f t="shared" si="1100"/>
      </c>
      <c r="GY106" s="676">
        <f t="shared" si="1100"/>
      </c>
      <c r="GZ106" s="676">
        <f t="shared" si="1100"/>
      </c>
      <c r="HA106" s="676">
        <f t="shared" ref="HA106" si="1101">HA26-GZ26</f>
      </c>
      <c r="HB106" s="676">
        <f t="shared" ref="HB106" si="1102">HB26-HA26</f>
      </c>
      <c r="HC106" s="676">
        <f t="shared" ref="HC106" si="1103">HC26-HB26</f>
      </c>
      <c r="HD106" s="676">
        <f t="shared" ref="HD106" si="1104">HD26-HC26</f>
      </c>
    </row>
    <row r="107" spans="1:212" s="673" customFormat="1">
      <c r="A107" s="675" t="str">
        <f>A28</f>
      </c>
      <c r="B107" s="676"/>
      <c r="C107" s="676"/>
      <c r="D107" s="676"/>
      <c r="E107" s="677"/>
      <c r="F107" s="676">
        <f t="shared" ref="F107:O110" si="1105">F28-B28</f>
      </c>
      <c r="G107" s="676">
        <f t="shared" si="1105"/>
      </c>
      <c r="H107" s="676">
        <f t="shared" si="1105"/>
      </c>
      <c r="I107" s="676">
        <f t="shared" si="1105"/>
      </c>
      <c r="J107" s="676">
        <f t="shared" si="1105"/>
      </c>
      <c r="K107" s="676">
        <f t="shared" si="1105"/>
      </c>
      <c r="L107" s="676">
        <f t="shared" si="1105"/>
      </c>
      <c r="M107" s="676">
        <f t="shared" si="1105"/>
      </c>
      <c r="N107" s="676">
        <f t="shared" si="1105"/>
      </c>
      <c r="O107" s="676">
        <f t="shared" si="1105"/>
      </c>
      <c r="P107" s="676">
        <f t="shared" ref="P107:Y110" si="1106">P28-L28</f>
      </c>
      <c r="Q107" s="676">
        <f t="shared" si="1106"/>
      </c>
      <c r="R107" s="676">
        <f t="shared" si="1106"/>
      </c>
      <c r="S107" s="676">
        <f t="shared" si="1106"/>
      </c>
      <c r="T107" s="676">
        <f t="shared" si="1106"/>
      </c>
      <c r="U107" s="676">
        <f t="shared" si="1106"/>
      </c>
      <c r="V107" s="676">
        <f t="shared" si="1106"/>
      </c>
      <c r="W107" s="676">
        <f t="shared" si="1106"/>
      </c>
      <c r="X107" s="676">
        <f t="shared" si="1106"/>
      </c>
      <c r="Y107" s="676">
        <f t="shared" si="1106"/>
      </c>
      <c r="Z107" s="676">
        <f t="shared" ref="Z107:AI110" si="1107">Z28-V28</f>
      </c>
      <c r="AA107" s="676">
        <f t="shared" si="1107"/>
      </c>
      <c r="AB107" s="676">
        <f t="shared" si="1107"/>
      </c>
      <c r="AC107" s="676">
        <f t="shared" si="1107"/>
      </c>
      <c r="AD107" s="676">
        <f t="shared" si="1107"/>
      </c>
      <c r="AE107" s="676">
        <f t="shared" si="1107"/>
      </c>
      <c r="AF107" s="676">
        <f t="shared" si="1107"/>
      </c>
      <c r="AG107" s="676">
        <f t="shared" si="1107"/>
      </c>
      <c r="AH107" s="676">
        <f t="shared" si="1107"/>
      </c>
      <c r="AI107" s="676">
        <f t="shared" si="1107"/>
      </c>
      <c r="AJ107" s="676">
        <f t="shared" ref="AJ107:AS110" si="1108">AJ28-AF28</f>
      </c>
      <c r="AK107" s="676">
        <f t="shared" si="1108"/>
      </c>
      <c r="AL107" s="676">
        <f t="shared" si="1108"/>
      </c>
      <c r="AM107" s="676">
        <f t="shared" si="1108"/>
      </c>
      <c r="AN107" s="676">
        <f t="shared" si="1108"/>
      </c>
      <c r="AO107" s="676">
        <f t="shared" si="1108"/>
      </c>
      <c r="AP107" s="676">
        <f t="shared" si="1108"/>
      </c>
      <c r="AQ107" s="676">
        <f t="shared" si="1108"/>
      </c>
      <c r="AR107" s="676">
        <f t="shared" si="1108"/>
      </c>
      <c r="AS107" s="676">
        <f t="shared" si="1108"/>
      </c>
      <c r="AT107" s="676">
        <f t="shared" ref="AT107:BC110" si="1109">AT28-AP28</f>
      </c>
      <c r="AU107" s="676">
        <f t="shared" si="1109"/>
      </c>
      <c r="AV107" s="676">
        <f t="shared" si="1109"/>
      </c>
      <c r="AW107" s="676">
        <f t="shared" si="1109"/>
      </c>
      <c r="AX107" s="676">
        <f t="shared" si="1109"/>
      </c>
      <c r="AY107" s="676">
        <f t="shared" si="1109"/>
      </c>
      <c r="AZ107" s="676">
        <f t="shared" si="1109"/>
      </c>
      <c r="BA107" s="676">
        <f t="shared" si="1109"/>
      </c>
      <c r="BB107" s="676">
        <f t="shared" si="1109"/>
      </c>
      <c r="BC107" s="676">
        <f t="shared" si="1109"/>
      </c>
      <c r="BD107" s="676">
        <f t="shared" ref="BD107:BM110" si="1110">BD28-AZ28</f>
      </c>
      <c r="BE107" s="676">
        <f t="shared" si="1110"/>
      </c>
      <c r="BF107" s="676">
        <f t="shared" si="1110"/>
      </c>
      <c r="BG107" s="676">
        <f t="shared" si="1110"/>
      </c>
      <c r="BH107" s="676">
        <f t="shared" si="1110"/>
      </c>
      <c r="BI107" s="676">
        <f t="shared" si="1110"/>
      </c>
      <c r="BJ107" s="676">
        <f t="shared" si="1110"/>
      </c>
      <c r="BK107" s="676">
        <f t="shared" si="1110"/>
      </c>
      <c r="BL107" s="676">
        <f t="shared" si="1110"/>
      </c>
      <c r="BM107" s="676">
        <f t="shared" si="1110"/>
      </c>
      <c r="BN107" s="676">
        <f t="shared" ref="BN107:BW110" si="1111">BN28-BJ28</f>
      </c>
      <c r="BO107" s="676">
        <f t="shared" si="1111"/>
      </c>
      <c r="BP107" s="676">
        <f t="shared" si="1111"/>
      </c>
      <c r="BQ107" s="678">
        <f t="shared" si="1111"/>
      </c>
      <c r="BR107" s="676">
        <f t="shared" si="1111"/>
      </c>
      <c r="BS107" s="676">
        <f t="shared" si="1111"/>
      </c>
      <c r="BT107" s="676">
        <f t="shared" si="1111"/>
      </c>
      <c r="BU107" s="678">
        <f t="shared" si="1111"/>
      </c>
      <c r="BV107" s="676">
        <f t="shared" si="1111"/>
      </c>
      <c r="BW107" s="676">
        <f t="shared" si="1111"/>
      </c>
      <c r="BX107" s="676">
        <f t="shared" ref="BX107:CG110" si="1112">BX28-BT28</f>
      </c>
      <c r="BY107" s="678">
        <f t="shared" si="1112"/>
      </c>
      <c r="BZ107" s="676">
        <f t="shared" si="1112"/>
      </c>
      <c r="CA107" s="676">
        <f t="shared" si="1112"/>
      </c>
      <c r="CB107" s="676">
        <f t="shared" si="1112"/>
      </c>
      <c r="CC107" s="678">
        <f t="shared" si="1112"/>
      </c>
      <c r="CD107" s="676">
        <f t="shared" si="1112"/>
      </c>
      <c r="CE107" s="676">
        <f t="shared" si="1112"/>
      </c>
      <c r="CF107" s="676">
        <f t="shared" si="1112"/>
      </c>
      <c r="CG107" s="678">
        <f t="shared" si="1112"/>
      </c>
      <c r="CH107" s="676">
        <f t="shared" ref="CH107:CQ110" si="1113">CH28-CD28</f>
      </c>
      <c r="CI107" s="676">
        <f t="shared" si="1113"/>
      </c>
      <c r="CJ107" s="676">
        <f t="shared" si="1113"/>
      </c>
      <c r="CK107" s="678">
        <f t="shared" si="1113"/>
      </c>
      <c r="CL107" s="676">
        <f t="shared" si="1113"/>
      </c>
      <c r="CM107" s="676">
        <f t="shared" si="1113"/>
      </c>
      <c r="CN107" s="676">
        <f t="shared" si="1113"/>
      </c>
      <c r="CO107" s="678">
        <f t="shared" si="1113"/>
      </c>
      <c r="CP107" s="676">
        <f t="shared" si="1113"/>
      </c>
      <c r="CQ107" s="676">
        <f t="shared" si="1113"/>
      </c>
      <c r="CR107" s="676">
        <f t="shared" ref="CR107:DA110" si="1114">CR28-CN28</f>
      </c>
      <c r="CS107" s="678">
        <f t="shared" si="1114"/>
      </c>
      <c r="CT107" s="676">
        <f t="shared" si="1114"/>
      </c>
      <c r="CU107" s="676">
        <f t="shared" si="1114"/>
      </c>
      <c r="CV107" s="676">
        <f t="shared" si="1114"/>
      </c>
      <c r="CW107" s="678">
        <f t="shared" si="1114"/>
      </c>
      <c r="CX107" s="676">
        <f t="shared" si="1114"/>
      </c>
      <c r="CY107" s="676">
        <f t="shared" si="1114"/>
      </c>
      <c r="CZ107" s="676">
        <f t="shared" si="1114"/>
      </c>
      <c r="DA107" s="678">
        <f t="shared" si="1114"/>
      </c>
      <c r="DB107" s="676">
        <f t="shared" ref="DB107:DK110" si="1115">DB28-CX28</f>
      </c>
      <c r="DC107" s="676">
        <f t="shared" si="1115"/>
      </c>
      <c r="DD107" s="676">
        <f t="shared" si="1115"/>
      </c>
      <c r="DE107" s="678">
        <f t="shared" si="1115"/>
      </c>
      <c r="DF107" s="676">
        <f t="shared" si="1115"/>
      </c>
      <c r="DG107" s="676">
        <f t="shared" si="1115"/>
      </c>
      <c r="DH107" s="676">
        <f t="shared" si="1115"/>
      </c>
      <c r="DI107" s="678">
        <f t="shared" si="1115"/>
      </c>
      <c r="DJ107" s="676">
        <f t="shared" si="1115"/>
      </c>
      <c r="DK107" s="676">
        <f t="shared" si="1115"/>
      </c>
      <c r="DL107" s="676">
        <f t="shared" ref="DL107:DU110" si="1116">DL28-DH28</f>
      </c>
      <c r="DM107" s="678">
        <f t="shared" si="1116"/>
      </c>
      <c r="DN107" s="676">
        <f t="shared" si="1116"/>
      </c>
      <c r="DO107" s="676">
        <f t="shared" si="1116"/>
      </c>
      <c r="DP107" s="676">
        <f t="shared" si="1116"/>
      </c>
      <c r="DQ107" s="678">
        <f t="shared" si="1116"/>
      </c>
      <c r="DR107" s="676">
        <f t="shared" si="1116"/>
      </c>
      <c r="DS107" s="676">
        <f t="shared" si="1116"/>
      </c>
      <c r="DT107" s="676">
        <f t="shared" si="1116"/>
      </c>
      <c r="DU107" s="678">
        <f t="shared" si="1116"/>
      </c>
      <c r="DV107" s="676">
        <f t="shared" ref="DV107:DV113" si="1117">DV28-DR28</f>
      </c>
      <c r="DW107" s="676">
        <f t="shared" ref="DW107:DW113" si="1118">DW28-DS28</f>
      </c>
      <c r="DX107" s="676">
        <f t="shared" ref="DX107:DX113" si="1119">DX28-DT28</f>
      </c>
      <c r="DY107" s="678">
        <f t="shared" ref="DY107:DY113" si="1120">DY28-DU28</f>
      </c>
      <c r="DZ107" s="676">
        <f t="shared" ref="DZ107:DZ113" si="1121">DZ28-DV28</f>
      </c>
      <c r="EA107" s="676">
        <f t="shared" ref="EA107:EA113" si="1122">EA28-DW28</f>
      </c>
      <c r="EB107" s="676">
        <f t="shared" ref="EB107:EB113" si="1123">EB28-DX28</f>
      </c>
      <c r="EC107" s="678">
        <f t="shared" ref="EC107:EC113" si="1124">EC28-DY28</f>
      </c>
      <c r="ED107" s="676">
        <f t="shared" ref="ED107:ED113" si="1125">ED28-DZ28</f>
      </c>
      <c r="EE107" s="676">
        <f t="shared" ref="EE107:EE113" si="1126">EE28-EA28</f>
      </c>
      <c r="EF107" s="676">
        <f t="shared" ref="EF107:EF113" si="1127">EF28-EB28</f>
      </c>
      <c r="EG107" s="678">
        <f t="shared" ref="EG107:EG113" si="1128">EG28-EC28</f>
      </c>
      <c r="EH107" s="676">
        <f t="shared" ref="EH107:EH113" si="1129">EH28-ED28</f>
      </c>
      <c r="EI107" s="676">
        <f t="shared" ref="EI107:EI113" si="1130">EI28-EE28</f>
      </c>
      <c r="EJ107" s="676">
        <f t="shared" ref="EJ107:EJ113" si="1131">EJ28-EF28</f>
      </c>
      <c r="EK107" s="678">
        <f t="shared" ref="EK107:EK113" si="1132">EK28-EG28</f>
      </c>
      <c r="EL107" s="11"/>
      <c r="EM107" s="676"/>
      <c r="EN107" s="676">
        <f t="shared" ref="EN107:FQ107" si="1133">EN28-EM28</f>
      </c>
      <c r="EO107" s="676">
        <f t="shared" si="1133"/>
      </c>
      <c r="EP107" s="676">
        <f t="shared" si="1133"/>
      </c>
      <c r="EQ107" s="676">
        <f t="shared" si="1133"/>
      </c>
      <c r="ER107" s="676">
        <f t="shared" si="1133"/>
      </c>
      <c r="ES107" s="676">
        <f t="shared" si="1133"/>
      </c>
      <c r="ET107" s="676">
        <f t="shared" si="1133"/>
      </c>
      <c r="EU107" s="676">
        <f t="shared" si="1133"/>
      </c>
      <c r="EV107" s="676">
        <f t="shared" si="1133"/>
      </c>
      <c r="EW107" s="676">
        <f t="shared" si="1133"/>
      </c>
      <c r="EX107" s="676">
        <f t="shared" si="1133"/>
      </c>
      <c r="EY107" s="676">
        <f t="shared" si="1133"/>
      </c>
      <c r="EZ107" s="676">
        <f t="shared" si="1133"/>
      </c>
      <c r="FA107" s="676">
        <f t="shared" si="1133"/>
      </c>
      <c r="FB107" s="676">
        <f t="shared" si="1133"/>
      </c>
      <c r="FC107" s="676">
        <f t="shared" si="1133"/>
      </c>
      <c r="FD107" s="676">
        <f t="shared" si="1133"/>
      </c>
      <c r="FE107" s="676">
        <f t="shared" si="1133"/>
      </c>
      <c r="FF107" s="676">
        <f t="shared" si="1133"/>
      </c>
      <c r="FG107" s="676">
        <f t="shared" si="1133"/>
      </c>
      <c r="FH107" s="676">
        <f t="shared" si="1133"/>
      </c>
      <c r="FI107" s="676">
        <f t="shared" si="1133"/>
      </c>
      <c r="FJ107" s="676">
        <f t="shared" si="1133"/>
      </c>
      <c r="FK107" s="676">
        <f t="shared" si="1133"/>
      </c>
      <c r="FL107" s="676">
        <f t="shared" si="1133"/>
      </c>
      <c r="FM107" s="676">
        <f t="shared" si="1133"/>
      </c>
      <c r="FN107" s="676">
        <f t="shared" si="1133"/>
      </c>
      <c r="FO107" s="676">
        <f t="shared" si="1133"/>
      </c>
      <c r="FP107" s="676">
        <f t="shared" si="1133"/>
      </c>
      <c r="FQ107" s="676">
        <f t="shared" si="1133"/>
      </c>
      <c r="FR107" s="676">
        <f t="shared" ref="FR107:FR113" si="1134">FR28-FQ28</f>
      </c>
      <c r="FS107" s="676">
        <f t="shared" ref="FS107:FS113" si="1135">FS28-FR28</f>
      </c>
      <c r="FT107" s="676">
        <f t="shared" ref="FT107:FT113" si="1136">FT28-FS28</f>
      </c>
      <c r="FU107" s="676">
        <f t="shared" ref="FU107:FU113" si="1137">FU28-FT28</f>
      </c>
      <c r="FW107" s="676"/>
      <c r="FX107" s="676">
        <f t="shared" ref="FX107:GZ107" si="1138">FX28-FW28</f>
      </c>
      <c r="FY107" s="676">
        <f t="shared" si="1138"/>
      </c>
      <c r="FZ107" s="676">
        <f t="shared" si="1138"/>
      </c>
      <c r="GA107" s="676">
        <f t="shared" si="1138"/>
      </c>
      <c r="GB107" s="676">
        <f t="shared" si="1138"/>
      </c>
      <c r="GC107" s="676">
        <f t="shared" si="1138"/>
      </c>
      <c r="GD107" s="676">
        <f t="shared" si="1138"/>
      </c>
      <c r="GE107" s="676">
        <f t="shared" si="1138"/>
      </c>
      <c r="GF107" s="676">
        <f t="shared" si="1138"/>
      </c>
      <c r="GG107" s="676">
        <f t="shared" si="1138"/>
      </c>
      <c r="GH107" s="676">
        <f t="shared" si="1138"/>
      </c>
      <c r="GI107" s="676">
        <f t="shared" si="1138"/>
      </c>
      <c r="GJ107" s="676">
        <f t="shared" si="1138"/>
      </c>
      <c r="GK107" s="676">
        <f t="shared" si="1138"/>
      </c>
      <c r="GL107" s="676">
        <f t="shared" si="1138"/>
      </c>
      <c r="GM107" s="676">
        <f t="shared" si="1138"/>
      </c>
      <c r="GN107" s="676">
        <f t="shared" si="1138"/>
      </c>
      <c r="GO107" s="676">
        <f t="shared" si="1138"/>
      </c>
      <c r="GP107" s="676">
        <f t="shared" si="1138"/>
      </c>
      <c r="GQ107" s="676">
        <f t="shared" si="1138"/>
      </c>
      <c r="GR107" s="676">
        <f t="shared" si="1138"/>
      </c>
      <c r="GS107" s="676">
        <f t="shared" si="1138"/>
      </c>
      <c r="GT107" s="676">
        <f t="shared" si="1138"/>
      </c>
      <c r="GU107" s="676">
        <f t="shared" si="1138"/>
      </c>
      <c r="GV107" s="676">
        <f t="shared" si="1138"/>
      </c>
      <c r="GW107" s="676">
        <f t="shared" si="1138"/>
      </c>
      <c r="GX107" s="676">
        <f t="shared" si="1138"/>
      </c>
      <c r="GY107" s="676">
        <f t="shared" si="1138"/>
      </c>
      <c r="GZ107" s="676">
        <f t="shared" si="1138"/>
      </c>
      <c r="HA107" s="676">
        <f t="shared" ref="HA107:HA113" si="1139">HA28-GZ28</f>
      </c>
      <c r="HB107" s="676">
        <f t="shared" ref="HB107:HB113" si="1140">HB28-HA28</f>
      </c>
      <c r="HC107" s="676">
        <f t="shared" ref="HC107:HC113" si="1141">HC28-HB28</f>
      </c>
      <c r="HD107" s="676">
        <f t="shared" ref="HD107:HD113" si="1142">HD28-HC28</f>
      </c>
    </row>
    <row r="108" spans="1:212" s="79" customFormat="1">
      <c r="A108" s="642" t="str">
        <f>A29</f>
      </c>
      <c r="B108" s="643"/>
      <c r="C108" s="643"/>
      <c r="D108" s="643"/>
      <c r="E108" s="644"/>
      <c r="F108" s="643">
        <f t="shared" si="1105"/>
      </c>
      <c r="G108" s="643">
        <f t="shared" si="1105"/>
      </c>
      <c r="H108" s="643">
        <f t="shared" si="1105"/>
      </c>
      <c r="I108" s="643">
        <f t="shared" si="1105"/>
      </c>
      <c r="J108" s="643">
        <f t="shared" si="1105"/>
      </c>
      <c r="K108" s="643">
        <f t="shared" si="1105"/>
      </c>
      <c r="L108" s="643">
        <f t="shared" si="1105"/>
      </c>
      <c r="M108" s="643">
        <f t="shared" si="1105"/>
      </c>
      <c r="N108" s="643">
        <f t="shared" si="1105"/>
      </c>
      <c r="O108" s="643">
        <f t="shared" si="1105"/>
      </c>
      <c r="P108" s="643">
        <f t="shared" si="1106"/>
      </c>
      <c r="Q108" s="643">
        <f t="shared" si="1106"/>
      </c>
      <c r="R108" s="643">
        <f t="shared" si="1106"/>
      </c>
      <c r="S108" s="643">
        <f t="shared" si="1106"/>
      </c>
      <c r="T108" s="643">
        <f t="shared" si="1106"/>
      </c>
      <c r="U108" s="643">
        <f t="shared" si="1106"/>
      </c>
      <c r="V108" s="643">
        <f t="shared" si="1106"/>
      </c>
      <c r="W108" s="643">
        <f t="shared" si="1106"/>
      </c>
      <c r="X108" s="643">
        <f t="shared" si="1106"/>
      </c>
      <c r="Y108" s="643">
        <f t="shared" si="1106"/>
      </c>
      <c r="Z108" s="643">
        <f t="shared" si="1107"/>
      </c>
      <c r="AA108" s="643">
        <f t="shared" si="1107"/>
      </c>
      <c r="AB108" s="643">
        <f t="shared" si="1107"/>
      </c>
      <c r="AC108" s="643">
        <f t="shared" si="1107"/>
      </c>
      <c r="AD108" s="643">
        <f t="shared" si="1107"/>
      </c>
      <c r="AE108" s="643">
        <f t="shared" si="1107"/>
      </c>
      <c r="AF108" s="643">
        <f t="shared" si="1107"/>
      </c>
      <c r="AG108" s="643">
        <f t="shared" si="1107"/>
      </c>
      <c r="AH108" s="643">
        <f t="shared" si="1107"/>
      </c>
      <c r="AI108" s="643">
        <f t="shared" si="1107"/>
      </c>
      <c r="AJ108" s="643">
        <f t="shared" si="1108"/>
      </c>
      <c r="AK108" s="643">
        <f t="shared" si="1108"/>
      </c>
      <c r="AL108" s="643">
        <f t="shared" si="1108"/>
      </c>
      <c r="AM108" s="643">
        <f t="shared" si="1108"/>
      </c>
      <c r="AN108" s="643">
        <f t="shared" si="1108"/>
      </c>
      <c r="AO108" s="643">
        <f t="shared" si="1108"/>
      </c>
      <c r="AP108" s="643">
        <f t="shared" si="1108"/>
      </c>
      <c r="AQ108" s="643">
        <f t="shared" si="1108"/>
      </c>
      <c r="AR108" s="643">
        <f t="shared" si="1108"/>
      </c>
      <c r="AS108" s="643">
        <f t="shared" si="1108"/>
      </c>
      <c r="AT108" s="643">
        <f t="shared" si="1109"/>
      </c>
      <c r="AU108" s="643">
        <f t="shared" si="1109"/>
      </c>
      <c r="AV108" s="643">
        <f t="shared" si="1109"/>
      </c>
      <c r="AW108" s="643">
        <f t="shared" si="1109"/>
      </c>
      <c r="AX108" s="643">
        <f t="shared" si="1109"/>
      </c>
      <c r="AY108" s="643">
        <f t="shared" si="1109"/>
      </c>
      <c r="AZ108" s="643">
        <f t="shared" si="1109"/>
      </c>
      <c r="BA108" s="643">
        <f t="shared" si="1109"/>
      </c>
      <c r="BB108" s="643">
        <f t="shared" si="1109"/>
      </c>
      <c r="BC108" s="643">
        <f t="shared" si="1109"/>
      </c>
      <c r="BD108" s="643">
        <f t="shared" si="1110"/>
      </c>
      <c r="BE108" s="643">
        <f t="shared" si="1110"/>
      </c>
      <c r="BF108" s="643">
        <f t="shared" si="1110"/>
      </c>
      <c r="BG108" s="643">
        <f t="shared" si="1110"/>
      </c>
      <c r="BH108" s="643">
        <f t="shared" si="1110"/>
      </c>
      <c r="BI108" s="643">
        <f t="shared" si="1110"/>
      </c>
      <c r="BJ108" s="643">
        <f t="shared" si="1110"/>
      </c>
      <c r="BK108" s="643">
        <f t="shared" si="1110"/>
      </c>
      <c r="BL108" s="643">
        <f t="shared" si="1110"/>
      </c>
      <c r="BM108" s="643">
        <f t="shared" si="1110"/>
      </c>
      <c r="BN108" s="643">
        <f t="shared" si="1111"/>
      </c>
      <c r="BO108" s="643">
        <f t="shared" si="1111"/>
      </c>
      <c r="BP108" s="643">
        <f t="shared" si="1111"/>
      </c>
      <c r="BQ108" s="645">
        <f t="shared" si="1111"/>
      </c>
      <c r="BR108" s="643">
        <f t="shared" si="1111"/>
      </c>
      <c r="BS108" s="643">
        <f t="shared" si="1111"/>
      </c>
      <c r="BT108" s="643">
        <f t="shared" si="1111"/>
      </c>
      <c r="BU108" s="645">
        <f t="shared" si="1111"/>
      </c>
      <c r="BV108" s="643">
        <f t="shared" si="1111"/>
      </c>
      <c r="BW108" s="643">
        <f t="shared" si="1111"/>
      </c>
      <c r="BX108" s="643">
        <f t="shared" si="1112"/>
      </c>
      <c r="BY108" s="645">
        <f t="shared" si="1112"/>
      </c>
      <c r="BZ108" s="643">
        <f t="shared" si="1112"/>
      </c>
      <c r="CA108" s="643">
        <f t="shared" si="1112"/>
      </c>
      <c r="CB108" s="643">
        <f t="shared" si="1112"/>
      </c>
      <c r="CC108" s="645">
        <f t="shared" si="1112"/>
      </c>
      <c r="CD108" s="643">
        <f t="shared" si="1112"/>
      </c>
      <c r="CE108" s="643">
        <f t="shared" si="1112"/>
      </c>
      <c r="CF108" s="643">
        <f t="shared" si="1112"/>
      </c>
      <c r="CG108" s="645">
        <f t="shared" si="1112"/>
      </c>
      <c r="CH108" s="643">
        <f t="shared" si="1113"/>
      </c>
      <c r="CI108" s="643">
        <f t="shared" si="1113"/>
      </c>
      <c r="CJ108" s="643">
        <f t="shared" si="1113"/>
      </c>
      <c r="CK108" s="645">
        <f t="shared" si="1113"/>
      </c>
      <c r="CL108" s="643">
        <f t="shared" si="1113"/>
      </c>
      <c r="CM108" s="643">
        <f t="shared" si="1113"/>
      </c>
      <c r="CN108" s="643">
        <f t="shared" si="1113"/>
      </c>
      <c r="CO108" s="645">
        <f t="shared" si="1113"/>
      </c>
      <c r="CP108" s="643">
        <f t="shared" si="1113"/>
      </c>
      <c r="CQ108" s="643">
        <f t="shared" si="1113"/>
      </c>
      <c r="CR108" s="643">
        <f t="shared" si="1114"/>
      </c>
      <c r="CS108" s="645">
        <f t="shared" si="1114"/>
      </c>
      <c r="CT108" s="643">
        <f t="shared" si="1114"/>
      </c>
      <c r="CU108" s="643">
        <f t="shared" si="1114"/>
      </c>
      <c r="CV108" s="643">
        <f t="shared" si="1114"/>
      </c>
      <c r="CW108" s="645">
        <f t="shared" si="1114"/>
      </c>
      <c r="CX108" s="643">
        <f t="shared" si="1114"/>
      </c>
      <c r="CY108" s="643">
        <f t="shared" si="1114"/>
      </c>
      <c r="CZ108" s="643">
        <f t="shared" si="1114"/>
      </c>
      <c r="DA108" s="645">
        <f t="shared" si="1114"/>
      </c>
      <c r="DB108" s="643">
        <f t="shared" si="1115"/>
      </c>
      <c r="DC108" s="643">
        <f t="shared" si="1115"/>
      </c>
      <c r="DD108" s="643">
        <f t="shared" si="1115"/>
      </c>
      <c r="DE108" s="645">
        <f t="shared" si="1115"/>
      </c>
      <c r="DF108" s="643">
        <f t="shared" si="1115"/>
      </c>
      <c r="DG108" s="643">
        <f t="shared" si="1115"/>
      </c>
      <c r="DH108" s="643">
        <f t="shared" si="1115"/>
      </c>
      <c r="DI108" s="645">
        <f t="shared" si="1115"/>
      </c>
      <c r="DJ108" s="643">
        <f t="shared" si="1115"/>
      </c>
      <c r="DK108" s="643">
        <f t="shared" si="1115"/>
      </c>
      <c r="DL108" s="643">
        <f t="shared" si="1116"/>
      </c>
      <c r="DM108" s="645">
        <f t="shared" si="1116"/>
      </c>
      <c r="DN108" s="643">
        <f t="shared" si="1116"/>
      </c>
      <c r="DO108" s="643">
        <f t="shared" si="1116"/>
      </c>
      <c r="DP108" s="643">
        <f t="shared" si="1116"/>
      </c>
      <c r="DQ108" s="645">
        <f t="shared" si="1116"/>
      </c>
      <c r="DR108" s="643">
        <f t="shared" si="1116"/>
      </c>
      <c r="DS108" s="643">
        <f t="shared" si="1116"/>
      </c>
      <c r="DT108" s="643">
        <f t="shared" si="1116"/>
      </c>
      <c r="DU108" s="645">
        <f t="shared" si="1116"/>
      </c>
      <c r="DV108" s="643">
        <f t="shared" si="1117"/>
      </c>
      <c r="DW108" s="643">
        <f t="shared" si="1118"/>
      </c>
      <c r="DX108" s="643">
        <f t="shared" si="1119"/>
      </c>
      <c r="DY108" s="645">
        <f t="shared" si="1120"/>
      </c>
      <c r="DZ108" s="643">
        <f t="shared" si="1121"/>
      </c>
      <c r="EA108" s="643">
        <f t="shared" si="1122"/>
      </c>
      <c r="EB108" s="643">
        <f t="shared" si="1123"/>
      </c>
      <c r="EC108" s="645">
        <f t="shared" si="1124"/>
      </c>
      <c r="ED108" s="643">
        <f t="shared" si="1125"/>
      </c>
      <c r="EE108" s="643">
        <f t="shared" si="1126"/>
      </c>
      <c r="EF108" s="643">
        <f t="shared" si="1127"/>
      </c>
      <c r="EG108" s="645">
        <f t="shared" si="1128"/>
      </c>
      <c r="EH108" s="643">
        <f t="shared" si="1129"/>
      </c>
      <c r="EI108" s="643">
        <f t="shared" si="1130"/>
      </c>
      <c r="EJ108" s="643">
        <f t="shared" si="1131"/>
      </c>
      <c r="EK108" s="645">
        <f t="shared" si="1132"/>
      </c>
      <c r="EL108" s="11"/>
      <c r="EM108" s="643"/>
      <c r="EN108" s="643">
        <f t="shared" ref="EN108:FQ108" si="1143">EN29-EM29</f>
      </c>
      <c r="EO108" s="643">
        <f t="shared" si="1143"/>
      </c>
      <c r="EP108" s="643">
        <f t="shared" si="1143"/>
      </c>
      <c r="EQ108" s="643">
        <f t="shared" si="1143"/>
      </c>
      <c r="ER108" s="643">
        <f t="shared" si="1143"/>
      </c>
      <c r="ES108" s="643">
        <f t="shared" si="1143"/>
      </c>
      <c r="ET108" s="643">
        <f t="shared" si="1143"/>
      </c>
      <c r="EU108" s="643">
        <f t="shared" si="1143"/>
      </c>
      <c r="EV108" s="643">
        <f t="shared" si="1143"/>
      </c>
      <c r="EW108" s="643">
        <f t="shared" si="1143"/>
      </c>
      <c r="EX108" s="643">
        <f t="shared" si="1143"/>
      </c>
      <c r="EY108" s="643">
        <f t="shared" si="1143"/>
      </c>
      <c r="EZ108" s="643">
        <f t="shared" si="1143"/>
      </c>
      <c r="FA108" s="643">
        <f t="shared" si="1143"/>
      </c>
      <c r="FB108" s="643">
        <f t="shared" si="1143"/>
      </c>
      <c r="FC108" s="643">
        <f t="shared" si="1143"/>
      </c>
      <c r="FD108" s="643">
        <f t="shared" si="1143"/>
      </c>
      <c r="FE108" s="643">
        <f t="shared" si="1143"/>
      </c>
      <c r="FF108" s="643">
        <f t="shared" si="1143"/>
      </c>
      <c r="FG108" s="643">
        <f t="shared" si="1143"/>
      </c>
      <c r="FH108" s="643">
        <f t="shared" si="1143"/>
      </c>
      <c r="FI108" s="643">
        <f t="shared" si="1143"/>
      </c>
      <c r="FJ108" s="643">
        <f t="shared" si="1143"/>
      </c>
      <c r="FK108" s="643">
        <f t="shared" si="1143"/>
      </c>
      <c r="FL108" s="643">
        <f t="shared" si="1143"/>
      </c>
      <c r="FM108" s="643">
        <f t="shared" si="1143"/>
      </c>
      <c r="FN108" s="643">
        <f t="shared" si="1143"/>
      </c>
      <c r="FO108" s="643">
        <f t="shared" si="1143"/>
      </c>
      <c r="FP108" s="643">
        <f t="shared" si="1143"/>
      </c>
      <c r="FQ108" s="643">
        <f t="shared" si="1143"/>
      </c>
      <c r="FR108" s="643">
        <f t="shared" si="1134"/>
      </c>
      <c r="FS108" s="643">
        <f t="shared" si="1135"/>
      </c>
      <c r="FT108" s="643">
        <f t="shared" si="1136"/>
      </c>
      <c r="FU108" s="643">
        <f t="shared" si="1137"/>
      </c>
      <c r="FW108" s="643"/>
      <c r="FX108" s="643">
        <f t="shared" ref="FX108:GZ108" si="1144">FX29-FW29</f>
      </c>
      <c r="FY108" s="643">
        <f t="shared" si="1144"/>
      </c>
      <c r="FZ108" s="643">
        <f t="shared" si="1144"/>
      </c>
      <c r="GA108" s="643">
        <f t="shared" si="1144"/>
      </c>
      <c r="GB108" s="643">
        <f t="shared" si="1144"/>
      </c>
      <c r="GC108" s="643">
        <f t="shared" si="1144"/>
      </c>
      <c r="GD108" s="643">
        <f t="shared" si="1144"/>
      </c>
      <c r="GE108" s="643">
        <f t="shared" si="1144"/>
      </c>
      <c r="GF108" s="643">
        <f t="shared" si="1144"/>
      </c>
      <c r="GG108" s="643">
        <f t="shared" si="1144"/>
      </c>
      <c r="GH108" s="643">
        <f t="shared" si="1144"/>
      </c>
      <c r="GI108" s="643">
        <f t="shared" si="1144"/>
      </c>
      <c r="GJ108" s="643">
        <f t="shared" si="1144"/>
      </c>
      <c r="GK108" s="643">
        <f t="shared" si="1144"/>
      </c>
      <c r="GL108" s="643">
        <f t="shared" si="1144"/>
      </c>
      <c r="GM108" s="643">
        <f t="shared" si="1144"/>
      </c>
      <c r="GN108" s="643">
        <f t="shared" si="1144"/>
      </c>
      <c r="GO108" s="643">
        <f t="shared" si="1144"/>
      </c>
      <c r="GP108" s="643">
        <f t="shared" si="1144"/>
      </c>
      <c r="GQ108" s="643">
        <f t="shared" si="1144"/>
      </c>
      <c r="GR108" s="643">
        <f t="shared" si="1144"/>
      </c>
      <c r="GS108" s="643">
        <f t="shared" si="1144"/>
      </c>
      <c r="GT108" s="643">
        <f t="shared" si="1144"/>
      </c>
      <c r="GU108" s="643">
        <f t="shared" si="1144"/>
      </c>
      <c r="GV108" s="643">
        <f t="shared" si="1144"/>
      </c>
      <c r="GW108" s="643">
        <f t="shared" si="1144"/>
      </c>
      <c r="GX108" s="643">
        <f t="shared" si="1144"/>
      </c>
      <c r="GY108" s="643">
        <f t="shared" si="1144"/>
      </c>
      <c r="GZ108" s="643">
        <f t="shared" si="1144"/>
      </c>
      <c r="HA108" s="643">
        <f t="shared" si="1139"/>
      </c>
      <c r="HB108" s="643">
        <f t="shared" si="1140"/>
      </c>
      <c r="HC108" s="643">
        <f t="shared" si="1141"/>
      </c>
      <c r="HD108" s="643">
        <f t="shared" si="1142"/>
      </c>
    </row>
    <row r="109" spans="1:212" s="79" customFormat="1">
      <c r="A109" s="646" t="str">
        <f>A30</f>
      </c>
      <c r="B109" s="647"/>
      <c r="C109" s="647"/>
      <c r="D109" s="647"/>
      <c r="E109" s="648"/>
      <c r="F109" s="647">
        <f t="shared" si="1105"/>
      </c>
      <c r="G109" s="647">
        <f t="shared" si="1105"/>
      </c>
      <c r="H109" s="647">
        <f t="shared" si="1105"/>
      </c>
      <c r="I109" s="647">
        <f t="shared" si="1105"/>
      </c>
      <c r="J109" s="647">
        <f t="shared" si="1105"/>
      </c>
      <c r="K109" s="647">
        <f t="shared" si="1105"/>
      </c>
      <c r="L109" s="647">
        <f t="shared" si="1105"/>
      </c>
      <c r="M109" s="647">
        <f t="shared" si="1105"/>
      </c>
      <c r="N109" s="647">
        <f t="shared" si="1105"/>
      </c>
      <c r="O109" s="647">
        <f t="shared" si="1105"/>
      </c>
      <c r="P109" s="647">
        <f t="shared" si="1106"/>
      </c>
      <c r="Q109" s="647">
        <f t="shared" si="1106"/>
      </c>
      <c r="R109" s="647">
        <f t="shared" si="1106"/>
      </c>
      <c r="S109" s="647">
        <f t="shared" si="1106"/>
      </c>
      <c r="T109" s="647">
        <f t="shared" si="1106"/>
      </c>
      <c r="U109" s="647">
        <f t="shared" si="1106"/>
      </c>
      <c r="V109" s="647">
        <f t="shared" si="1106"/>
      </c>
      <c r="W109" s="647">
        <f t="shared" si="1106"/>
      </c>
      <c r="X109" s="647">
        <f t="shared" si="1106"/>
      </c>
      <c r="Y109" s="647">
        <f t="shared" si="1106"/>
      </c>
      <c r="Z109" s="647">
        <f t="shared" si="1107"/>
      </c>
      <c r="AA109" s="647">
        <f t="shared" si="1107"/>
      </c>
      <c r="AB109" s="647">
        <f t="shared" si="1107"/>
      </c>
      <c r="AC109" s="647">
        <f t="shared" si="1107"/>
      </c>
      <c r="AD109" s="647">
        <f t="shared" si="1107"/>
      </c>
      <c r="AE109" s="647">
        <f t="shared" si="1107"/>
      </c>
      <c r="AF109" s="647">
        <f t="shared" si="1107"/>
      </c>
      <c r="AG109" s="647">
        <f t="shared" si="1107"/>
      </c>
      <c r="AH109" s="647">
        <f t="shared" si="1107"/>
      </c>
      <c r="AI109" s="647">
        <f t="shared" si="1107"/>
      </c>
      <c r="AJ109" s="647">
        <f t="shared" si="1108"/>
      </c>
      <c r="AK109" s="647">
        <f t="shared" si="1108"/>
      </c>
      <c r="AL109" s="647">
        <f t="shared" si="1108"/>
      </c>
      <c r="AM109" s="647">
        <f t="shared" si="1108"/>
      </c>
      <c r="AN109" s="647">
        <f t="shared" si="1108"/>
      </c>
      <c r="AO109" s="647">
        <f t="shared" si="1108"/>
      </c>
      <c r="AP109" s="647">
        <f t="shared" si="1108"/>
      </c>
      <c r="AQ109" s="647">
        <f t="shared" si="1108"/>
      </c>
      <c r="AR109" s="647">
        <f t="shared" si="1108"/>
      </c>
      <c r="AS109" s="647">
        <f t="shared" si="1108"/>
      </c>
      <c r="AT109" s="647">
        <f t="shared" si="1109"/>
      </c>
      <c r="AU109" s="647">
        <f t="shared" si="1109"/>
      </c>
      <c r="AV109" s="647">
        <f t="shared" si="1109"/>
      </c>
      <c r="AW109" s="647">
        <f t="shared" si="1109"/>
      </c>
      <c r="AX109" s="647">
        <f t="shared" si="1109"/>
      </c>
      <c r="AY109" s="647">
        <f t="shared" si="1109"/>
      </c>
      <c r="AZ109" s="647">
        <f t="shared" si="1109"/>
      </c>
      <c r="BA109" s="647">
        <f t="shared" si="1109"/>
      </c>
      <c r="BB109" s="647">
        <f t="shared" si="1109"/>
      </c>
      <c r="BC109" s="647">
        <f t="shared" si="1109"/>
      </c>
      <c r="BD109" s="647">
        <f t="shared" si="1110"/>
      </c>
      <c r="BE109" s="647">
        <f t="shared" si="1110"/>
      </c>
      <c r="BF109" s="647">
        <f t="shared" si="1110"/>
      </c>
      <c r="BG109" s="647">
        <f t="shared" si="1110"/>
      </c>
      <c r="BH109" s="647">
        <f t="shared" si="1110"/>
      </c>
      <c r="BI109" s="647">
        <f t="shared" si="1110"/>
      </c>
      <c r="BJ109" s="647">
        <f t="shared" si="1110"/>
      </c>
      <c r="BK109" s="647">
        <f t="shared" si="1110"/>
      </c>
      <c r="BL109" s="647">
        <f t="shared" si="1110"/>
      </c>
      <c r="BM109" s="647">
        <f t="shared" si="1110"/>
      </c>
      <c r="BN109" s="647">
        <f t="shared" si="1111"/>
      </c>
      <c r="BO109" s="647">
        <f t="shared" si="1111"/>
      </c>
      <c r="BP109" s="647">
        <f t="shared" si="1111"/>
      </c>
      <c r="BQ109" s="649">
        <f t="shared" si="1111"/>
      </c>
      <c r="BR109" s="647">
        <f t="shared" si="1111"/>
      </c>
      <c r="BS109" s="647">
        <f t="shared" si="1111"/>
      </c>
      <c r="BT109" s="647">
        <f t="shared" si="1111"/>
      </c>
      <c r="BU109" s="649">
        <f t="shared" si="1111"/>
      </c>
      <c r="BV109" s="647">
        <f t="shared" si="1111"/>
      </c>
      <c r="BW109" s="647">
        <f t="shared" si="1111"/>
      </c>
      <c r="BX109" s="647">
        <f t="shared" si="1112"/>
      </c>
      <c r="BY109" s="649">
        <f t="shared" si="1112"/>
      </c>
      <c r="BZ109" s="647">
        <f t="shared" si="1112"/>
      </c>
      <c r="CA109" s="647">
        <f t="shared" si="1112"/>
      </c>
      <c r="CB109" s="647">
        <f t="shared" si="1112"/>
      </c>
      <c r="CC109" s="649">
        <f t="shared" si="1112"/>
      </c>
      <c r="CD109" s="647">
        <f t="shared" si="1112"/>
      </c>
      <c r="CE109" s="647">
        <f t="shared" si="1112"/>
      </c>
      <c r="CF109" s="647">
        <f t="shared" si="1112"/>
      </c>
      <c r="CG109" s="649">
        <f t="shared" si="1112"/>
      </c>
      <c r="CH109" s="647">
        <f t="shared" si="1113"/>
      </c>
      <c r="CI109" s="647">
        <f t="shared" si="1113"/>
      </c>
      <c r="CJ109" s="647">
        <f t="shared" si="1113"/>
      </c>
      <c r="CK109" s="649">
        <f t="shared" si="1113"/>
      </c>
      <c r="CL109" s="647">
        <f t="shared" si="1113"/>
      </c>
      <c r="CM109" s="647">
        <f t="shared" si="1113"/>
      </c>
      <c r="CN109" s="647">
        <f t="shared" si="1113"/>
      </c>
      <c r="CO109" s="649">
        <f t="shared" si="1113"/>
      </c>
      <c r="CP109" s="647">
        <f t="shared" si="1113"/>
      </c>
      <c r="CQ109" s="647">
        <f t="shared" si="1113"/>
      </c>
      <c r="CR109" s="647">
        <f t="shared" si="1114"/>
      </c>
      <c r="CS109" s="649">
        <f t="shared" si="1114"/>
      </c>
      <c r="CT109" s="647">
        <f t="shared" si="1114"/>
      </c>
      <c r="CU109" s="647">
        <f t="shared" si="1114"/>
      </c>
      <c r="CV109" s="647">
        <f t="shared" si="1114"/>
      </c>
      <c r="CW109" s="649">
        <f t="shared" si="1114"/>
      </c>
      <c r="CX109" s="647">
        <f t="shared" si="1114"/>
      </c>
      <c r="CY109" s="647">
        <f t="shared" si="1114"/>
      </c>
      <c r="CZ109" s="647">
        <f t="shared" si="1114"/>
      </c>
      <c r="DA109" s="649">
        <f t="shared" si="1114"/>
      </c>
      <c r="DB109" s="647">
        <f t="shared" si="1115"/>
      </c>
      <c r="DC109" s="647">
        <f t="shared" si="1115"/>
      </c>
      <c r="DD109" s="647">
        <f t="shared" si="1115"/>
      </c>
      <c r="DE109" s="649">
        <f t="shared" si="1115"/>
      </c>
      <c r="DF109" s="647">
        <f t="shared" si="1115"/>
      </c>
      <c r="DG109" s="647">
        <f t="shared" si="1115"/>
      </c>
      <c r="DH109" s="647">
        <f t="shared" si="1115"/>
      </c>
      <c r="DI109" s="649">
        <f t="shared" si="1115"/>
      </c>
      <c r="DJ109" s="647">
        <f t="shared" si="1115"/>
      </c>
      <c r="DK109" s="647">
        <f t="shared" si="1115"/>
      </c>
      <c r="DL109" s="647">
        <f t="shared" si="1116"/>
      </c>
      <c r="DM109" s="649">
        <f t="shared" si="1116"/>
      </c>
      <c r="DN109" s="647">
        <f t="shared" si="1116"/>
      </c>
      <c r="DO109" s="647">
        <f t="shared" si="1116"/>
      </c>
      <c r="DP109" s="647">
        <f t="shared" si="1116"/>
      </c>
      <c r="DQ109" s="649">
        <f t="shared" si="1116"/>
      </c>
      <c r="DR109" s="647">
        <f t="shared" si="1116"/>
      </c>
      <c r="DS109" s="647">
        <f t="shared" si="1116"/>
      </c>
      <c r="DT109" s="647">
        <f t="shared" si="1116"/>
      </c>
      <c r="DU109" s="649">
        <f t="shared" si="1116"/>
      </c>
      <c r="DV109" s="647">
        <f t="shared" si="1117"/>
      </c>
      <c r="DW109" s="647">
        <f t="shared" si="1118"/>
      </c>
      <c r="DX109" s="647">
        <f t="shared" si="1119"/>
      </c>
      <c r="DY109" s="649">
        <f t="shared" si="1120"/>
      </c>
      <c r="DZ109" s="647">
        <f t="shared" si="1121"/>
      </c>
      <c r="EA109" s="647">
        <f t="shared" si="1122"/>
      </c>
      <c r="EB109" s="647">
        <f t="shared" si="1123"/>
      </c>
      <c r="EC109" s="649">
        <f t="shared" si="1124"/>
      </c>
      <c r="ED109" s="647">
        <f t="shared" si="1125"/>
      </c>
      <c r="EE109" s="647">
        <f t="shared" si="1126"/>
      </c>
      <c r="EF109" s="647">
        <f t="shared" si="1127"/>
      </c>
      <c r="EG109" s="649">
        <f t="shared" si="1128"/>
      </c>
      <c r="EH109" s="647">
        <f t="shared" si="1129"/>
      </c>
      <c r="EI109" s="647">
        <f t="shared" si="1130"/>
      </c>
      <c r="EJ109" s="647">
        <f t="shared" si="1131"/>
      </c>
      <c r="EK109" s="649">
        <f t="shared" si="1132"/>
      </c>
      <c r="EL109" s="11"/>
      <c r="EM109" s="647"/>
      <c r="EN109" s="647">
        <f t="shared" ref="EN109:FQ109" si="1145">EN30-EM30</f>
      </c>
      <c r="EO109" s="647">
        <f t="shared" si="1145"/>
      </c>
      <c r="EP109" s="647">
        <f t="shared" si="1145"/>
      </c>
      <c r="EQ109" s="647">
        <f t="shared" si="1145"/>
      </c>
      <c r="ER109" s="647">
        <f t="shared" si="1145"/>
      </c>
      <c r="ES109" s="647">
        <f t="shared" si="1145"/>
      </c>
      <c r="ET109" s="647">
        <f t="shared" si="1145"/>
      </c>
      <c r="EU109" s="647">
        <f t="shared" si="1145"/>
      </c>
      <c r="EV109" s="647">
        <f t="shared" si="1145"/>
      </c>
      <c r="EW109" s="647">
        <f t="shared" si="1145"/>
      </c>
      <c r="EX109" s="647">
        <f t="shared" si="1145"/>
      </c>
      <c r="EY109" s="647">
        <f t="shared" si="1145"/>
      </c>
      <c r="EZ109" s="647">
        <f t="shared" si="1145"/>
      </c>
      <c r="FA109" s="647">
        <f t="shared" si="1145"/>
      </c>
      <c r="FB109" s="647">
        <f t="shared" si="1145"/>
      </c>
      <c r="FC109" s="647">
        <f t="shared" si="1145"/>
      </c>
      <c r="FD109" s="647">
        <f t="shared" si="1145"/>
      </c>
      <c r="FE109" s="647">
        <f t="shared" si="1145"/>
      </c>
      <c r="FF109" s="647">
        <f t="shared" si="1145"/>
      </c>
      <c r="FG109" s="647">
        <f t="shared" si="1145"/>
      </c>
      <c r="FH109" s="647">
        <f t="shared" si="1145"/>
      </c>
      <c r="FI109" s="647">
        <f t="shared" si="1145"/>
      </c>
      <c r="FJ109" s="647">
        <f t="shared" si="1145"/>
      </c>
      <c r="FK109" s="647">
        <f t="shared" si="1145"/>
      </c>
      <c r="FL109" s="647">
        <f t="shared" si="1145"/>
      </c>
      <c r="FM109" s="647">
        <f t="shared" si="1145"/>
      </c>
      <c r="FN109" s="647">
        <f t="shared" si="1145"/>
      </c>
      <c r="FO109" s="647">
        <f t="shared" si="1145"/>
      </c>
      <c r="FP109" s="647">
        <f t="shared" si="1145"/>
      </c>
      <c r="FQ109" s="647">
        <f t="shared" si="1145"/>
      </c>
      <c r="FR109" s="647">
        <f t="shared" si="1134"/>
      </c>
      <c r="FS109" s="647">
        <f t="shared" si="1135"/>
      </c>
      <c r="FT109" s="647">
        <f t="shared" si="1136"/>
      </c>
      <c r="FU109" s="647">
        <f t="shared" si="1137"/>
      </c>
      <c r="FW109" s="647"/>
      <c r="FX109" s="647">
        <f t="shared" ref="FX109:GZ109" si="1146">FX30-FW30</f>
      </c>
      <c r="FY109" s="647">
        <f t="shared" si="1146"/>
      </c>
      <c r="FZ109" s="647">
        <f t="shared" si="1146"/>
      </c>
      <c r="GA109" s="647">
        <f t="shared" si="1146"/>
      </c>
      <c r="GB109" s="647">
        <f t="shared" si="1146"/>
      </c>
      <c r="GC109" s="647">
        <f t="shared" si="1146"/>
      </c>
      <c r="GD109" s="647">
        <f t="shared" si="1146"/>
      </c>
      <c r="GE109" s="647">
        <f t="shared" si="1146"/>
      </c>
      <c r="GF109" s="647">
        <f t="shared" si="1146"/>
      </c>
      <c r="GG109" s="647">
        <f t="shared" si="1146"/>
      </c>
      <c r="GH109" s="647">
        <f t="shared" si="1146"/>
      </c>
      <c r="GI109" s="647">
        <f t="shared" si="1146"/>
      </c>
      <c r="GJ109" s="647">
        <f t="shared" si="1146"/>
      </c>
      <c r="GK109" s="647">
        <f t="shared" si="1146"/>
      </c>
      <c r="GL109" s="647">
        <f t="shared" si="1146"/>
      </c>
      <c r="GM109" s="647">
        <f t="shared" si="1146"/>
      </c>
      <c r="GN109" s="647">
        <f t="shared" si="1146"/>
      </c>
      <c r="GO109" s="647">
        <f t="shared" si="1146"/>
      </c>
      <c r="GP109" s="647">
        <f t="shared" si="1146"/>
      </c>
      <c r="GQ109" s="647">
        <f t="shared" si="1146"/>
      </c>
      <c r="GR109" s="647">
        <f t="shared" si="1146"/>
      </c>
      <c r="GS109" s="647">
        <f t="shared" si="1146"/>
      </c>
      <c r="GT109" s="647">
        <f t="shared" si="1146"/>
      </c>
      <c r="GU109" s="647">
        <f t="shared" si="1146"/>
      </c>
      <c r="GV109" s="647">
        <f t="shared" si="1146"/>
      </c>
      <c r="GW109" s="647">
        <f t="shared" si="1146"/>
      </c>
      <c r="GX109" s="647">
        <f t="shared" si="1146"/>
      </c>
      <c r="GY109" s="647">
        <f t="shared" si="1146"/>
      </c>
      <c r="GZ109" s="647">
        <f t="shared" si="1146"/>
      </c>
      <c r="HA109" s="647">
        <f t="shared" si="1139"/>
      </c>
      <c r="HB109" s="647">
        <f t="shared" si="1140"/>
      </c>
      <c r="HC109" s="647">
        <f t="shared" si="1141"/>
      </c>
      <c r="HD109" s="647">
        <f t="shared" si="1142"/>
      </c>
    </row>
    <row r="110" spans="1:212" s="79" customFormat="1">
      <c r="A110" s="650" t="str">
        <f>A31</f>
      </c>
      <c r="B110" s="651"/>
      <c r="C110" s="651"/>
      <c r="D110" s="651"/>
      <c r="E110" s="652"/>
      <c r="F110" s="651">
        <f t="shared" si="1105"/>
      </c>
      <c r="G110" s="651">
        <f t="shared" si="1105"/>
      </c>
      <c r="H110" s="651">
        <f t="shared" si="1105"/>
      </c>
      <c r="I110" s="651">
        <f t="shared" si="1105"/>
      </c>
      <c r="J110" s="651">
        <f t="shared" si="1105"/>
      </c>
      <c r="K110" s="651">
        <f t="shared" si="1105"/>
      </c>
      <c r="L110" s="651">
        <f t="shared" si="1105"/>
      </c>
      <c r="M110" s="651">
        <f t="shared" si="1105"/>
      </c>
      <c r="N110" s="651">
        <f t="shared" si="1105"/>
      </c>
      <c r="O110" s="651">
        <f t="shared" si="1105"/>
      </c>
      <c r="P110" s="651">
        <f t="shared" si="1106"/>
      </c>
      <c r="Q110" s="651">
        <f t="shared" si="1106"/>
      </c>
      <c r="R110" s="651">
        <f t="shared" si="1106"/>
      </c>
      <c r="S110" s="651">
        <f t="shared" si="1106"/>
      </c>
      <c r="T110" s="651">
        <f t="shared" si="1106"/>
      </c>
      <c r="U110" s="651">
        <f t="shared" si="1106"/>
      </c>
      <c r="V110" s="651">
        <f t="shared" si="1106"/>
      </c>
      <c r="W110" s="651">
        <f t="shared" si="1106"/>
      </c>
      <c r="X110" s="651">
        <f t="shared" si="1106"/>
      </c>
      <c r="Y110" s="651">
        <f t="shared" si="1106"/>
      </c>
      <c r="Z110" s="651">
        <f t="shared" si="1107"/>
      </c>
      <c r="AA110" s="651">
        <f t="shared" si="1107"/>
      </c>
      <c r="AB110" s="651">
        <f t="shared" si="1107"/>
      </c>
      <c r="AC110" s="651">
        <f t="shared" si="1107"/>
      </c>
      <c r="AD110" s="651">
        <f t="shared" si="1107"/>
      </c>
      <c r="AE110" s="651">
        <f t="shared" si="1107"/>
      </c>
      <c r="AF110" s="651">
        <f t="shared" si="1107"/>
      </c>
      <c r="AG110" s="651">
        <f t="shared" si="1107"/>
      </c>
      <c r="AH110" s="651">
        <f t="shared" si="1107"/>
      </c>
      <c r="AI110" s="651">
        <f t="shared" si="1107"/>
      </c>
      <c r="AJ110" s="651">
        <f t="shared" si="1108"/>
      </c>
      <c r="AK110" s="651">
        <f t="shared" si="1108"/>
      </c>
      <c r="AL110" s="651">
        <f t="shared" si="1108"/>
      </c>
      <c r="AM110" s="651">
        <f t="shared" si="1108"/>
      </c>
      <c r="AN110" s="651">
        <f t="shared" si="1108"/>
      </c>
      <c r="AO110" s="651">
        <f t="shared" si="1108"/>
      </c>
      <c r="AP110" s="651">
        <f t="shared" si="1108"/>
      </c>
      <c r="AQ110" s="651">
        <f t="shared" si="1108"/>
      </c>
      <c r="AR110" s="651">
        <f t="shared" si="1108"/>
      </c>
      <c r="AS110" s="651">
        <f t="shared" si="1108"/>
      </c>
      <c r="AT110" s="651">
        <f t="shared" si="1109"/>
      </c>
      <c r="AU110" s="651">
        <f t="shared" si="1109"/>
      </c>
      <c r="AV110" s="651">
        <f t="shared" si="1109"/>
      </c>
      <c r="AW110" s="651">
        <f t="shared" si="1109"/>
      </c>
      <c r="AX110" s="651">
        <f t="shared" si="1109"/>
      </c>
      <c r="AY110" s="651">
        <f t="shared" si="1109"/>
      </c>
      <c r="AZ110" s="651">
        <f t="shared" si="1109"/>
      </c>
      <c r="BA110" s="651">
        <f t="shared" si="1109"/>
      </c>
      <c r="BB110" s="651">
        <f t="shared" si="1109"/>
      </c>
      <c r="BC110" s="651">
        <f t="shared" si="1109"/>
      </c>
      <c r="BD110" s="651">
        <f t="shared" si="1110"/>
      </c>
      <c r="BE110" s="651">
        <f t="shared" si="1110"/>
      </c>
      <c r="BF110" s="651">
        <f t="shared" si="1110"/>
      </c>
      <c r="BG110" s="651">
        <f t="shared" si="1110"/>
      </c>
      <c r="BH110" s="651">
        <f t="shared" si="1110"/>
      </c>
      <c r="BI110" s="651">
        <f t="shared" si="1110"/>
      </c>
      <c r="BJ110" s="651">
        <f t="shared" si="1110"/>
      </c>
      <c r="BK110" s="651">
        <f t="shared" si="1110"/>
      </c>
      <c r="BL110" s="651">
        <f t="shared" si="1110"/>
      </c>
      <c r="BM110" s="651">
        <f t="shared" si="1110"/>
      </c>
      <c r="BN110" s="651">
        <f t="shared" si="1111"/>
      </c>
      <c r="BO110" s="651">
        <f t="shared" si="1111"/>
      </c>
      <c r="BP110" s="651">
        <f t="shared" si="1111"/>
      </c>
      <c r="BQ110" s="653">
        <f t="shared" si="1111"/>
      </c>
      <c r="BR110" s="651">
        <f t="shared" si="1111"/>
      </c>
      <c r="BS110" s="651">
        <f t="shared" si="1111"/>
      </c>
      <c r="BT110" s="651">
        <f t="shared" si="1111"/>
      </c>
      <c r="BU110" s="653">
        <f t="shared" si="1111"/>
      </c>
      <c r="BV110" s="651">
        <f t="shared" si="1111"/>
      </c>
      <c r="BW110" s="651">
        <f t="shared" si="1111"/>
      </c>
      <c r="BX110" s="651">
        <f t="shared" si="1112"/>
      </c>
      <c r="BY110" s="653">
        <f t="shared" si="1112"/>
      </c>
      <c r="BZ110" s="651">
        <f t="shared" si="1112"/>
      </c>
      <c r="CA110" s="651">
        <f t="shared" si="1112"/>
      </c>
      <c r="CB110" s="651">
        <f t="shared" si="1112"/>
      </c>
      <c r="CC110" s="653">
        <f t="shared" si="1112"/>
      </c>
      <c r="CD110" s="651">
        <f t="shared" si="1112"/>
      </c>
      <c r="CE110" s="651">
        <f t="shared" si="1112"/>
      </c>
      <c r="CF110" s="651">
        <f t="shared" si="1112"/>
      </c>
      <c r="CG110" s="653">
        <f t="shared" si="1112"/>
      </c>
      <c r="CH110" s="651">
        <f t="shared" si="1113"/>
      </c>
      <c r="CI110" s="651">
        <f t="shared" si="1113"/>
      </c>
      <c r="CJ110" s="651">
        <f t="shared" si="1113"/>
      </c>
      <c r="CK110" s="653">
        <f t="shared" si="1113"/>
      </c>
      <c r="CL110" s="651">
        <f t="shared" si="1113"/>
      </c>
      <c r="CM110" s="651">
        <f t="shared" si="1113"/>
      </c>
      <c r="CN110" s="651">
        <f t="shared" si="1113"/>
      </c>
      <c r="CO110" s="653">
        <f t="shared" si="1113"/>
      </c>
      <c r="CP110" s="651">
        <f t="shared" si="1113"/>
      </c>
      <c r="CQ110" s="651">
        <f t="shared" si="1113"/>
      </c>
      <c r="CR110" s="651">
        <f t="shared" si="1114"/>
      </c>
      <c r="CS110" s="653">
        <f t="shared" si="1114"/>
      </c>
      <c r="CT110" s="651">
        <f t="shared" si="1114"/>
      </c>
      <c r="CU110" s="651">
        <f t="shared" si="1114"/>
      </c>
      <c r="CV110" s="651">
        <f t="shared" si="1114"/>
      </c>
      <c r="CW110" s="653">
        <f t="shared" si="1114"/>
      </c>
      <c r="CX110" s="651">
        <f t="shared" si="1114"/>
      </c>
      <c r="CY110" s="651">
        <f t="shared" si="1114"/>
      </c>
      <c r="CZ110" s="651">
        <f t="shared" si="1114"/>
      </c>
      <c r="DA110" s="653">
        <f t="shared" si="1114"/>
      </c>
      <c r="DB110" s="651">
        <f t="shared" si="1115"/>
      </c>
      <c r="DC110" s="651">
        <f t="shared" si="1115"/>
      </c>
      <c r="DD110" s="651">
        <f t="shared" si="1115"/>
      </c>
      <c r="DE110" s="653">
        <f t="shared" si="1115"/>
      </c>
      <c r="DF110" s="651">
        <f t="shared" si="1115"/>
      </c>
      <c r="DG110" s="651">
        <f t="shared" si="1115"/>
      </c>
      <c r="DH110" s="651">
        <f t="shared" si="1115"/>
      </c>
      <c r="DI110" s="653">
        <f t="shared" si="1115"/>
      </c>
      <c r="DJ110" s="651">
        <f t="shared" si="1115"/>
      </c>
      <c r="DK110" s="651">
        <f t="shared" si="1115"/>
      </c>
      <c r="DL110" s="651">
        <f t="shared" si="1116"/>
      </c>
      <c r="DM110" s="653">
        <f t="shared" si="1116"/>
      </c>
      <c r="DN110" s="651">
        <f t="shared" si="1116"/>
      </c>
      <c r="DO110" s="651">
        <f t="shared" si="1116"/>
      </c>
      <c r="DP110" s="651">
        <f t="shared" si="1116"/>
      </c>
      <c r="DQ110" s="653">
        <f t="shared" si="1116"/>
      </c>
      <c r="DR110" s="651">
        <f t="shared" si="1116"/>
      </c>
      <c r="DS110" s="651">
        <f t="shared" si="1116"/>
      </c>
      <c r="DT110" s="651">
        <f t="shared" si="1116"/>
      </c>
      <c r="DU110" s="653">
        <f t="shared" si="1116"/>
      </c>
      <c r="DV110" s="651">
        <f t="shared" si="1117"/>
      </c>
      <c r="DW110" s="651">
        <f t="shared" si="1118"/>
      </c>
      <c r="DX110" s="651">
        <f t="shared" si="1119"/>
      </c>
      <c r="DY110" s="653">
        <f t="shared" si="1120"/>
      </c>
      <c r="DZ110" s="651">
        <f t="shared" si="1121"/>
      </c>
      <c r="EA110" s="651">
        <f t="shared" si="1122"/>
      </c>
      <c r="EB110" s="651">
        <f t="shared" si="1123"/>
      </c>
      <c r="EC110" s="653">
        <f t="shared" si="1124"/>
      </c>
      <c r="ED110" s="651">
        <f t="shared" si="1125"/>
      </c>
      <c r="EE110" s="651">
        <f t="shared" si="1126"/>
      </c>
      <c r="EF110" s="651">
        <f t="shared" si="1127"/>
      </c>
      <c r="EG110" s="653">
        <f t="shared" si="1128"/>
      </c>
      <c r="EH110" s="651">
        <f t="shared" si="1129"/>
      </c>
      <c r="EI110" s="651">
        <f t="shared" si="1130"/>
      </c>
      <c r="EJ110" s="651">
        <f t="shared" si="1131"/>
      </c>
      <c r="EK110" s="653">
        <f t="shared" si="1132"/>
      </c>
      <c r="EL110" s="11"/>
      <c r="EM110" s="651"/>
      <c r="EN110" s="651">
        <f t="shared" ref="EN110:FQ110" si="1147">EN31-EM31</f>
      </c>
      <c r="EO110" s="651">
        <f t="shared" si="1147"/>
      </c>
      <c r="EP110" s="651">
        <f t="shared" si="1147"/>
      </c>
      <c r="EQ110" s="651">
        <f t="shared" si="1147"/>
      </c>
      <c r="ER110" s="651">
        <f t="shared" si="1147"/>
      </c>
      <c r="ES110" s="651">
        <f t="shared" si="1147"/>
      </c>
      <c r="ET110" s="651">
        <f t="shared" si="1147"/>
      </c>
      <c r="EU110" s="651">
        <f t="shared" si="1147"/>
      </c>
      <c r="EV110" s="651">
        <f t="shared" si="1147"/>
      </c>
      <c r="EW110" s="651">
        <f t="shared" si="1147"/>
      </c>
      <c r="EX110" s="651">
        <f t="shared" si="1147"/>
      </c>
      <c r="EY110" s="651">
        <f t="shared" si="1147"/>
      </c>
      <c r="EZ110" s="651">
        <f t="shared" si="1147"/>
      </c>
      <c r="FA110" s="651">
        <f t="shared" si="1147"/>
      </c>
      <c r="FB110" s="651">
        <f t="shared" si="1147"/>
      </c>
      <c r="FC110" s="651">
        <f t="shared" si="1147"/>
      </c>
      <c r="FD110" s="651">
        <f t="shared" si="1147"/>
      </c>
      <c r="FE110" s="651">
        <f t="shared" si="1147"/>
      </c>
      <c r="FF110" s="651">
        <f t="shared" si="1147"/>
      </c>
      <c r="FG110" s="651">
        <f t="shared" si="1147"/>
      </c>
      <c r="FH110" s="651">
        <f t="shared" si="1147"/>
      </c>
      <c r="FI110" s="651">
        <f t="shared" si="1147"/>
      </c>
      <c r="FJ110" s="651">
        <f t="shared" si="1147"/>
      </c>
      <c r="FK110" s="651">
        <f t="shared" si="1147"/>
      </c>
      <c r="FL110" s="651">
        <f t="shared" si="1147"/>
      </c>
      <c r="FM110" s="651">
        <f t="shared" si="1147"/>
      </c>
      <c r="FN110" s="651">
        <f t="shared" si="1147"/>
      </c>
      <c r="FO110" s="651">
        <f t="shared" si="1147"/>
      </c>
      <c r="FP110" s="651">
        <f t="shared" si="1147"/>
      </c>
      <c r="FQ110" s="651">
        <f t="shared" si="1147"/>
      </c>
      <c r="FR110" s="651">
        <f t="shared" si="1134"/>
      </c>
      <c r="FS110" s="651">
        <f t="shared" si="1135"/>
      </c>
      <c r="FT110" s="651">
        <f t="shared" si="1136"/>
      </c>
      <c r="FU110" s="651">
        <f t="shared" si="1137"/>
      </c>
      <c r="FW110" s="651"/>
      <c r="FX110" s="651">
        <f t="shared" ref="FX110:GZ110" si="1148">FX31-FW31</f>
      </c>
      <c r="FY110" s="651">
        <f t="shared" si="1148"/>
      </c>
      <c r="FZ110" s="651">
        <f t="shared" si="1148"/>
      </c>
      <c r="GA110" s="651">
        <f t="shared" si="1148"/>
      </c>
      <c r="GB110" s="651">
        <f t="shared" si="1148"/>
      </c>
      <c r="GC110" s="651">
        <f t="shared" si="1148"/>
      </c>
      <c r="GD110" s="651">
        <f t="shared" si="1148"/>
      </c>
      <c r="GE110" s="651">
        <f t="shared" si="1148"/>
      </c>
      <c r="GF110" s="651">
        <f t="shared" si="1148"/>
      </c>
      <c r="GG110" s="651">
        <f t="shared" si="1148"/>
      </c>
      <c r="GH110" s="651">
        <f t="shared" si="1148"/>
      </c>
      <c r="GI110" s="651">
        <f t="shared" si="1148"/>
      </c>
      <c r="GJ110" s="651">
        <f t="shared" si="1148"/>
      </c>
      <c r="GK110" s="651">
        <f t="shared" si="1148"/>
      </c>
      <c r="GL110" s="651">
        <f t="shared" si="1148"/>
      </c>
      <c r="GM110" s="651">
        <f t="shared" si="1148"/>
      </c>
      <c r="GN110" s="651">
        <f t="shared" si="1148"/>
      </c>
      <c r="GO110" s="651">
        <f t="shared" si="1148"/>
      </c>
      <c r="GP110" s="651">
        <f t="shared" si="1148"/>
      </c>
      <c r="GQ110" s="651">
        <f t="shared" si="1148"/>
      </c>
      <c r="GR110" s="651">
        <f t="shared" si="1148"/>
      </c>
      <c r="GS110" s="651">
        <f t="shared" si="1148"/>
      </c>
      <c r="GT110" s="651">
        <f t="shared" si="1148"/>
      </c>
      <c r="GU110" s="651">
        <f t="shared" si="1148"/>
      </c>
      <c r="GV110" s="651">
        <f t="shared" si="1148"/>
      </c>
      <c r="GW110" s="651">
        <f t="shared" si="1148"/>
      </c>
      <c r="GX110" s="651">
        <f t="shared" si="1148"/>
      </c>
      <c r="GY110" s="651">
        <f t="shared" si="1148"/>
      </c>
      <c r="GZ110" s="651">
        <f t="shared" si="1148"/>
      </c>
      <c r="HA110" s="651">
        <f t="shared" si="1139"/>
      </c>
      <c r="HB110" s="651">
        <f t="shared" si="1140"/>
      </c>
      <c r="HC110" s="651">
        <f t="shared" si="1141"/>
      </c>
      <c r="HD110" s="651">
        <f t="shared" si="1142"/>
      </c>
    </row>
    <row r="111" spans="1:212" s="79" customFormat="1">
      <c r="A111" s="646" t="str">
        <f t="shared" ref="A111:A113" si="1149">A32</f>
      </c>
      <c r="B111" s="647"/>
      <c r="C111" s="647"/>
      <c r="D111" s="647"/>
      <c r="E111" s="648"/>
      <c r="F111" s="647">
        <f t="shared" ref="F111:O113" si="1150">F32-B32</f>
      </c>
      <c r="G111" s="647">
        <f t="shared" si="1150"/>
      </c>
      <c r="H111" s="647">
        <f t="shared" si="1150"/>
      </c>
      <c r="I111" s="647">
        <f t="shared" si="1150"/>
      </c>
      <c r="J111" s="647">
        <f t="shared" si="1150"/>
      </c>
      <c r="K111" s="647">
        <f t="shared" si="1150"/>
      </c>
      <c r="L111" s="647">
        <f t="shared" si="1150"/>
      </c>
      <c r="M111" s="647">
        <f t="shared" si="1150"/>
      </c>
      <c r="N111" s="647">
        <f t="shared" si="1150"/>
      </c>
      <c r="O111" s="647">
        <f t="shared" si="1150"/>
      </c>
      <c r="P111" s="647">
        <f t="shared" ref="P111:Y113" si="1151">P32-L32</f>
      </c>
      <c r="Q111" s="647">
        <f t="shared" si="1151"/>
      </c>
      <c r="R111" s="647">
        <f t="shared" si="1151"/>
      </c>
      <c r="S111" s="647">
        <f t="shared" si="1151"/>
      </c>
      <c r="T111" s="647">
        <f t="shared" si="1151"/>
      </c>
      <c r="U111" s="647">
        <f t="shared" si="1151"/>
      </c>
      <c r="V111" s="647">
        <f t="shared" si="1151"/>
      </c>
      <c r="W111" s="647">
        <f t="shared" si="1151"/>
      </c>
      <c r="X111" s="647">
        <f t="shared" si="1151"/>
      </c>
      <c r="Y111" s="647">
        <f t="shared" si="1151"/>
      </c>
      <c r="Z111" s="647">
        <f t="shared" ref="Z111:AI113" si="1152">Z32-V32</f>
      </c>
      <c r="AA111" s="647">
        <f t="shared" si="1152"/>
      </c>
      <c r="AB111" s="647">
        <f t="shared" si="1152"/>
      </c>
      <c r="AC111" s="647">
        <f t="shared" si="1152"/>
      </c>
      <c r="AD111" s="647">
        <f t="shared" si="1152"/>
      </c>
      <c r="AE111" s="647">
        <f t="shared" si="1152"/>
      </c>
      <c r="AF111" s="647">
        <f t="shared" si="1152"/>
      </c>
      <c r="AG111" s="647">
        <f t="shared" si="1152"/>
      </c>
      <c r="AH111" s="647">
        <f t="shared" si="1152"/>
      </c>
      <c r="AI111" s="647">
        <f t="shared" si="1152"/>
      </c>
      <c r="AJ111" s="647">
        <f t="shared" ref="AJ111:AS113" si="1153">AJ32-AF32</f>
      </c>
      <c r="AK111" s="647">
        <f t="shared" si="1153"/>
      </c>
      <c r="AL111" s="647">
        <f t="shared" si="1153"/>
      </c>
      <c r="AM111" s="647">
        <f t="shared" si="1153"/>
      </c>
      <c r="AN111" s="647">
        <f t="shared" si="1153"/>
      </c>
      <c r="AO111" s="647">
        <f t="shared" si="1153"/>
      </c>
      <c r="AP111" s="647">
        <f t="shared" si="1153"/>
      </c>
      <c r="AQ111" s="647">
        <f t="shared" si="1153"/>
      </c>
      <c r="AR111" s="647">
        <f t="shared" si="1153"/>
      </c>
      <c r="AS111" s="647">
        <f t="shared" si="1153"/>
      </c>
      <c r="AT111" s="647">
        <f t="shared" ref="AT111:BC113" si="1154">AT32-AP32</f>
      </c>
      <c r="AU111" s="647">
        <f t="shared" si="1154"/>
      </c>
      <c r="AV111" s="647">
        <f t="shared" si="1154"/>
      </c>
      <c r="AW111" s="647">
        <f t="shared" si="1154"/>
      </c>
      <c r="AX111" s="647">
        <f t="shared" si="1154"/>
      </c>
      <c r="AY111" s="647">
        <f t="shared" si="1154"/>
      </c>
      <c r="AZ111" s="647">
        <f t="shared" si="1154"/>
      </c>
      <c r="BA111" s="647">
        <f t="shared" si="1154"/>
      </c>
      <c r="BB111" s="647">
        <f t="shared" si="1154"/>
      </c>
      <c r="BC111" s="647">
        <f t="shared" si="1154"/>
      </c>
      <c r="BD111" s="647">
        <f t="shared" ref="BD111:BM113" si="1155">BD32-AZ32</f>
      </c>
      <c r="BE111" s="647">
        <f t="shared" si="1155"/>
      </c>
      <c r="BF111" s="647">
        <f t="shared" si="1155"/>
      </c>
      <c r="BG111" s="647">
        <f t="shared" si="1155"/>
      </c>
      <c r="BH111" s="647">
        <f t="shared" si="1155"/>
      </c>
      <c r="BI111" s="647">
        <f t="shared" si="1155"/>
      </c>
      <c r="BJ111" s="647">
        <f t="shared" si="1155"/>
      </c>
      <c r="BK111" s="647">
        <f t="shared" si="1155"/>
      </c>
      <c r="BL111" s="647">
        <f t="shared" si="1155"/>
      </c>
      <c r="BM111" s="647">
        <f t="shared" si="1155"/>
      </c>
      <c r="BN111" s="647">
        <f t="shared" ref="BN111:BW113" si="1156">BN32-BJ32</f>
      </c>
      <c r="BO111" s="647">
        <f t="shared" si="1156"/>
      </c>
      <c r="BP111" s="647">
        <f t="shared" si="1156"/>
      </c>
      <c r="BQ111" s="649">
        <f t="shared" si="1156"/>
      </c>
      <c r="BR111" s="647">
        <f t="shared" si="1156"/>
      </c>
      <c r="BS111" s="647">
        <f t="shared" si="1156"/>
      </c>
      <c r="BT111" s="647">
        <f t="shared" si="1156"/>
      </c>
      <c r="BU111" s="649">
        <f t="shared" si="1156"/>
      </c>
      <c r="BV111" s="647">
        <f t="shared" si="1156"/>
      </c>
      <c r="BW111" s="647">
        <f t="shared" si="1156"/>
      </c>
      <c r="BX111" s="647">
        <f t="shared" ref="BX111:CG113" si="1157">BX32-BT32</f>
      </c>
      <c r="BY111" s="649">
        <f t="shared" si="1157"/>
      </c>
      <c r="BZ111" s="647">
        <f t="shared" si="1157"/>
      </c>
      <c r="CA111" s="647">
        <f t="shared" si="1157"/>
      </c>
      <c r="CB111" s="647">
        <f t="shared" si="1157"/>
      </c>
      <c r="CC111" s="649">
        <f t="shared" si="1157"/>
      </c>
      <c r="CD111" s="647">
        <f t="shared" si="1157"/>
      </c>
      <c r="CE111" s="647">
        <f t="shared" si="1157"/>
      </c>
      <c r="CF111" s="647">
        <f t="shared" si="1157"/>
      </c>
      <c r="CG111" s="649">
        <f t="shared" si="1157"/>
      </c>
      <c r="CH111" s="647">
        <f t="shared" ref="CH111:CQ113" si="1158">CH32-CD32</f>
      </c>
      <c r="CI111" s="647">
        <f t="shared" si="1158"/>
      </c>
      <c r="CJ111" s="647">
        <f t="shared" si="1158"/>
      </c>
      <c r="CK111" s="649">
        <f t="shared" si="1158"/>
      </c>
      <c r="CL111" s="647">
        <f t="shared" si="1158"/>
      </c>
      <c r="CM111" s="647">
        <f t="shared" si="1158"/>
      </c>
      <c r="CN111" s="647">
        <f t="shared" si="1158"/>
      </c>
      <c r="CO111" s="649">
        <f t="shared" si="1158"/>
      </c>
      <c r="CP111" s="647">
        <f t="shared" si="1158"/>
      </c>
      <c r="CQ111" s="647">
        <f t="shared" si="1158"/>
      </c>
      <c r="CR111" s="647">
        <f t="shared" ref="CR111:DA113" si="1159">CR32-CN32</f>
      </c>
      <c r="CS111" s="649">
        <f t="shared" si="1159"/>
      </c>
      <c r="CT111" s="647">
        <f t="shared" si="1159"/>
      </c>
      <c r="CU111" s="647">
        <f t="shared" si="1159"/>
      </c>
      <c r="CV111" s="647">
        <f t="shared" si="1159"/>
      </c>
      <c r="CW111" s="649">
        <f t="shared" si="1159"/>
      </c>
      <c r="CX111" s="647">
        <f t="shared" si="1159"/>
      </c>
      <c r="CY111" s="647">
        <f t="shared" si="1159"/>
      </c>
      <c r="CZ111" s="647">
        <f t="shared" si="1159"/>
      </c>
      <c r="DA111" s="649">
        <f t="shared" si="1159"/>
      </c>
      <c r="DB111" s="647">
        <f t="shared" ref="DB111:DK113" si="1160">DB32-CX32</f>
      </c>
      <c r="DC111" s="647">
        <f t="shared" si="1160"/>
      </c>
      <c r="DD111" s="647">
        <f t="shared" si="1160"/>
      </c>
      <c r="DE111" s="649">
        <f t="shared" si="1160"/>
      </c>
      <c r="DF111" s="647">
        <f t="shared" si="1160"/>
      </c>
      <c r="DG111" s="647">
        <f t="shared" si="1160"/>
      </c>
      <c r="DH111" s="647">
        <f t="shared" si="1160"/>
      </c>
      <c r="DI111" s="649">
        <f t="shared" si="1160"/>
      </c>
      <c r="DJ111" s="647">
        <f t="shared" si="1160"/>
      </c>
      <c r="DK111" s="647">
        <f t="shared" si="1160"/>
      </c>
      <c r="DL111" s="647">
        <f t="shared" ref="DL111:DU113" si="1161">DL32-DH32</f>
      </c>
      <c r="DM111" s="649">
        <f t="shared" si="1161"/>
      </c>
      <c r="DN111" s="647">
        <f t="shared" si="1161"/>
      </c>
      <c r="DO111" s="647">
        <f t="shared" si="1161"/>
      </c>
      <c r="DP111" s="647">
        <f t="shared" si="1161"/>
      </c>
      <c r="DQ111" s="649">
        <f t="shared" si="1161"/>
      </c>
      <c r="DR111" s="647">
        <f t="shared" si="1161"/>
      </c>
      <c r="DS111" s="647">
        <f t="shared" si="1161"/>
      </c>
      <c r="DT111" s="647">
        <f t="shared" si="1161"/>
      </c>
      <c r="DU111" s="649">
        <f t="shared" si="1161"/>
      </c>
      <c r="DV111" s="647">
        <f t="shared" si="1117"/>
      </c>
      <c r="DW111" s="647">
        <f t="shared" si="1118"/>
      </c>
      <c r="DX111" s="647">
        <f t="shared" si="1119"/>
      </c>
      <c r="DY111" s="649">
        <f t="shared" si="1120"/>
      </c>
      <c r="DZ111" s="647">
        <f t="shared" si="1121"/>
      </c>
      <c r="EA111" s="647">
        <f t="shared" si="1122"/>
      </c>
      <c r="EB111" s="647">
        <f t="shared" si="1123"/>
      </c>
      <c r="EC111" s="649">
        <f t="shared" si="1124"/>
      </c>
      <c r="ED111" s="647">
        <f t="shared" si="1125"/>
      </c>
      <c r="EE111" s="647">
        <f t="shared" si="1126"/>
      </c>
      <c r="EF111" s="647">
        <f t="shared" si="1127"/>
      </c>
      <c r="EG111" s="649">
        <f t="shared" si="1128"/>
      </c>
      <c r="EH111" s="647">
        <f t="shared" si="1129"/>
      </c>
      <c r="EI111" s="647">
        <f t="shared" si="1130"/>
      </c>
      <c r="EJ111" s="647">
        <f t="shared" si="1131"/>
      </c>
      <c r="EK111" s="649">
        <f t="shared" si="1132"/>
      </c>
      <c r="EL111" s="11"/>
      <c r="EM111" s="647"/>
      <c r="EN111" s="647">
        <f t="shared" ref="EN111:EN113" si="1162">EN32-EM32</f>
      </c>
      <c r="EO111" s="647">
        <f t="shared" ref="EO111:FO111" si="1163">EO32-EN32</f>
      </c>
      <c r="EP111" s="647">
        <f t="shared" si="1163"/>
      </c>
      <c r="EQ111" s="647">
        <f t="shared" si="1163"/>
      </c>
      <c r="ER111" s="647">
        <f t="shared" si="1163"/>
      </c>
      <c r="ES111" s="647">
        <f t="shared" si="1163"/>
      </c>
      <c r="ET111" s="647">
        <f t="shared" si="1163"/>
      </c>
      <c r="EU111" s="647">
        <f t="shared" si="1163"/>
      </c>
      <c r="EV111" s="647">
        <f t="shared" si="1163"/>
      </c>
      <c r="EW111" s="647">
        <f t="shared" si="1163"/>
      </c>
      <c r="EX111" s="647">
        <f t="shared" si="1163"/>
      </c>
      <c r="EY111" s="647">
        <f t="shared" si="1163"/>
      </c>
      <c r="EZ111" s="647">
        <f t="shared" si="1163"/>
      </c>
      <c r="FA111" s="647">
        <f t="shared" si="1163"/>
      </c>
      <c r="FB111" s="647">
        <f t="shared" si="1163"/>
      </c>
      <c r="FC111" s="647">
        <f t="shared" si="1163"/>
      </c>
      <c r="FD111" s="647">
        <f t="shared" si="1163"/>
      </c>
      <c r="FE111" s="647">
        <f t="shared" si="1163"/>
      </c>
      <c r="FF111" s="647">
        <f t="shared" si="1163"/>
      </c>
      <c r="FG111" s="647">
        <f t="shared" si="1163"/>
      </c>
      <c r="FH111" s="647">
        <f t="shared" si="1163"/>
      </c>
      <c r="FI111" s="647">
        <f t="shared" si="1163"/>
      </c>
      <c r="FJ111" s="647">
        <f t="shared" si="1163"/>
      </c>
      <c r="FK111" s="647">
        <f t="shared" si="1163"/>
      </c>
      <c r="FL111" s="647">
        <f t="shared" si="1163"/>
      </c>
      <c r="FM111" s="647">
        <f t="shared" si="1163"/>
      </c>
      <c r="FN111" s="647">
        <f t="shared" si="1163"/>
      </c>
      <c r="FO111" s="647">
        <f t="shared" si="1163"/>
      </c>
      <c r="FP111" s="647">
        <f t="shared" ref="FP111:FQ111" si="1164">FP32-FO32</f>
      </c>
      <c r="FQ111" s="647">
        <f t="shared" si="1164"/>
      </c>
      <c r="FR111" s="647">
        <f t="shared" si="1134"/>
      </c>
      <c r="FS111" s="647">
        <f t="shared" si="1135"/>
      </c>
      <c r="FT111" s="647">
        <f t="shared" si="1136"/>
      </c>
      <c r="FU111" s="647">
        <f t="shared" si="1137"/>
      </c>
      <c r="FW111" s="647"/>
      <c r="FX111" s="647">
        <f t="shared" ref="FX111" si="1165">FX32-FW32</f>
      </c>
      <c r="FY111" s="647">
        <f t="shared" ref="FY111:GX111" si="1166">FY32-FX32</f>
      </c>
      <c r="FZ111" s="647">
        <f t="shared" si="1166"/>
      </c>
      <c r="GA111" s="647">
        <f t="shared" si="1166"/>
      </c>
      <c r="GB111" s="647">
        <f t="shared" si="1166"/>
      </c>
      <c r="GC111" s="647">
        <f t="shared" si="1166"/>
      </c>
      <c r="GD111" s="647">
        <f t="shared" si="1166"/>
      </c>
      <c r="GE111" s="647">
        <f t="shared" si="1166"/>
      </c>
      <c r="GF111" s="647">
        <f t="shared" si="1166"/>
      </c>
      <c r="GG111" s="647">
        <f t="shared" si="1166"/>
      </c>
      <c r="GH111" s="647">
        <f t="shared" si="1166"/>
      </c>
      <c r="GI111" s="647">
        <f t="shared" si="1166"/>
      </c>
      <c r="GJ111" s="647">
        <f t="shared" si="1166"/>
      </c>
      <c r="GK111" s="647">
        <f t="shared" si="1166"/>
      </c>
      <c r="GL111" s="647">
        <f t="shared" si="1166"/>
      </c>
      <c r="GM111" s="647">
        <f t="shared" si="1166"/>
      </c>
      <c r="GN111" s="647">
        <f t="shared" si="1166"/>
      </c>
      <c r="GO111" s="647">
        <f t="shared" si="1166"/>
      </c>
      <c r="GP111" s="647">
        <f t="shared" si="1166"/>
      </c>
      <c r="GQ111" s="647">
        <f t="shared" si="1166"/>
      </c>
      <c r="GR111" s="647">
        <f t="shared" si="1166"/>
      </c>
      <c r="GS111" s="647">
        <f t="shared" si="1166"/>
      </c>
      <c r="GT111" s="647">
        <f t="shared" si="1166"/>
      </c>
      <c r="GU111" s="647">
        <f t="shared" si="1166"/>
      </c>
      <c r="GV111" s="647">
        <f t="shared" si="1166"/>
      </c>
      <c r="GW111" s="647">
        <f t="shared" si="1166"/>
      </c>
      <c r="GX111" s="647">
        <f t="shared" si="1166"/>
      </c>
      <c r="GY111" s="647">
        <f t="shared" ref="GY111:GZ111" si="1167">GY32-GX32</f>
      </c>
      <c r="GZ111" s="647">
        <f t="shared" si="1167"/>
      </c>
      <c r="HA111" s="647">
        <f t="shared" si="1139"/>
      </c>
      <c r="HB111" s="647">
        <f t="shared" si="1140"/>
      </c>
      <c r="HC111" s="647">
        <f t="shared" si="1141"/>
      </c>
      <c r="HD111" s="647">
        <f t="shared" si="1142"/>
      </c>
    </row>
    <row r="112" spans="1:212" s="658" customFormat="1">
      <c r="A112" s="654" t="str">
        <f t="shared" si="1149"/>
      </c>
      <c r="B112" s="655"/>
      <c r="C112" s="655"/>
      <c r="D112" s="655"/>
      <c r="E112" s="656"/>
      <c r="F112" s="655">
        <f t="shared" si="1150"/>
      </c>
      <c r="G112" s="655">
        <f t="shared" si="1150"/>
      </c>
      <c r="H112" s="655">
        <f t="shared" si="1150"/>
      </c>
      <c r="I112" s="655">
        <f t="shared" si="1150"/>
      </c>
      <c r="J112" s="655">
        <f t="shared" si="1150"/>
      </c>
      <c r="K112" s="655">
        <f t="shared" si="1150"/>
      </c>
      <c r="L112" s="655">
        <f t="shared" si="1150"/>
      </c>
      <c r="M112" s="655">
        <f t="shared" si="1150"/>
      </c>
      <c r="N112" s="655">
        <f t="shared" si="1150"/>
      </c>
      <c r="O112" s="655">
        <f t="shared" si="1150"/>
      </c>
      <c r="P112" s="655">
        <f t="shared" si="1151"/>
      </c>
      <c r="Q112" s="655">
        <f t="shared" si="1151"/>
      </c>
      <c r="R112" s="655">
        <f t="shared" si="1151"/>
      </c>
      <c r="S112" s="655">
        <f t="shared" si="1151"/>
      </c>
      <c r="T112" s="655">
        <f t="shared" si="1151"/>
      </c>
      <c r="U112" s="655">
        <f t="shared" si="1151"/>
      </c>
      <c r="V112" s="655">
        <f t="shared" si="1151"/>
      </c>
      <c r="W112" s="655">
        <f t="shared" si="1151"/>
      </c>
      <c r="X112" s="655">
        <f t="shared" si="1151"/>
      </c>
      <c r="Y112" s="655">
        <f t="shared" si="1151"/>
      </c>
      <c r="Z112" s="655">
        <f t="shared" si="1152"/>
      </c>
      <c r="AA112" s="655">
        <f t="shared" si="1152"/>
      </c>
      <c r="AB112" s="655">
        <f t="shared" si="1152"/>
      </c>
      <c r="AC112" s="655">
        <f t="shared" si="1152"/>
      </c>
      <c r="AD112" s="655">
        <f t="shared" si="1152"/>
      </c>
      <c r="AE112" s="655">
        <f t="shared" si="1152"/>
      </c>
      <c r="AF112" s="655">
        <f t="shared" si="1152"/>
      </c>
      <c r="AG112" s="655">
        <f t="shared" si="1152"/>
      </c>
      <c r="AH112" s="655">
        <f t="shared" si="1152"/>
      </c>
      <c r="AI112" s="655">
        <f t="shared" si="1152"/>
      </c>
      <c r="AJ112" s="655">
        <f t="shared" si="1153"/>
      </c>
      <c r="AK112" s="655">
        <f t="shared" si="1153"/>
      </c>
      <c r="AL112" s="655">
        <f t="shared" si="1153"/>
      </c>
      <c r="AM112" s="655">
        <f t="shared" si="1153"/>
      </c>
      <c r="AN112" s="655">
        <f t="shared" si="1153"/>
      </c>
      <c r="AO112" s="655">
        <f t="shared" si="1153"/>
      </c>
      <c r="AP112" s="655">
        <f t="shared" si="1153"/>
      </c>
      <c r="AQ112" s="655">
        <f t="shared" si="1153"/>
      </c>
      <c r="AR112" s="655">
        <f t="shared" si="1153"/>
      </c>
      <c r="AS112" s="655">
        <f t="shared" si="1153"/>
      </c>
      <c r="AT112" s="655">
        <f t="shared" si="1154"/>
      </c>
      <c r="AU112" s="655">
        <f t="shared" si="1154"/>
      </c>
      <c r="AV112" s="655">
        <f t="shared" si="1154"/>
      </c>
      <c r="AW112" s="655">
        <f t="shared" si="1154"/>
      </c>
      <c r="AX112" s="655">
        <f t="shared" si="1154"/>
      </c>
      <c r="AY112" s="655">
        <f t="shared" si="1154"/>
      </c>
      <c r="AZ112" s="655">
        <f t="shared" si="1154"/>
      </c>
      <c r="BA112" s="655">
        <f t="shared" si="1154"/>
      </c>
      <c r="BB112" s="655">
        <f t="shared" si="1154"/>
      </c>
      <c r="BC112" s="655">
        <f t="shared" si="1154"/>
      </c>
      <c r="BD112" s="655">
        <f t="shared" si="1155"/>
      </c>
      <c r="BE112" s="655">
        <f t="shared" si="1155"/>
      </c>
      <c r="BF112" s="655">
        <f t="shared" si="1155"/>
      </c>
      <c r="BG112" s="655">
        <f t="shared" si="1155"/>
      </c>
      <c r="BH112" s="655">
        <f t="shared" si="1155"/>
      </c>
      <c r="BI112" s="655">
        <f t="shared" si="1155"/>
      </c>
      <c r="BJ112" s="655">
        <f t="shared" si="1155"/>
      </c>
      <c r="BK112" s="655">
        <f t="shared" si="1155"/>
      </c>
      <c r="BL112" s="655">
        <f t="shared" si="1155"/>
      </c>
      <c r="BM112" s="655">
        <f t="shared" si="1155"/>
      </c>
      <c r="BN112" s="655">
        <f t="shared" si="1156"/>
      </c>
      <c r="BO112" s="655">
        <f t="shared" si="1156"/>
      </c>
      <c r="BP112" s="655">
        <f t="shared" si="1156"/>
      </c>
      <c r="BQ112" s="657">
        <f t="shared" si="1156"/>
      </c>
      <c r="BR112" s="655">
        <f t="shared" si="1156"/>
      </c>
      <c r="BS112" s="655">
        <f t="shared" si="1156"/>
      </c>
      <c r="BT112" s="655">
        <f t="shared" si="1156"/>
      </c>
      <c r="BU112" s="657">
        <f t="shared" si="1156"/>
      </c>
      <c r="BV112" s="655">
        <f t="shared" si="1156"/>
      </c>
      <c r="BW112" s="655">
        <f t="shared" si="1156"/>
      </c>
      <c r="BX112" s="655">
        <f t="shared" si="1157"/>
      </c>
      <c r="BY112" s="657">
        <f t="shared" si="1157"/>
      </c>
      <c r="BZ112" s="655">
        <f t="shared" si="1157"/>
      </c>
      <c r="CA112" s="655">
        <f t="shared" si="1157"/>
      </c>
      <c r="CB112" s="655">
        <f t="shared" si="1157"/>
      </c>
      <c r="CC112" s="657">
        <f t="shared" si="1157"/>
      </c>
      <c r="CD112" s="655">
        <f t="shared" si="1157"/>
      </c>
      <c r="CE112" s="655">
        <f t="shared" si="1157"/>
      </c>
      <c r="CF112" s="655">
        <f t="shared" si="1157"/>
      </c>
      <c r="CG112" s="657">
        <f t="shared" si="1157"/>
      </c>
      <c r="CH112" s="655">
        <f t="shared" si="1158"/>
      </c>
      <c r="CI112" s="655">
        <f t="shared" si="1158"/>
      </c>
      <c r="CJ112" s="655">
        <f t="shared" si="1158"/>
      </c>
      <c r="CK112" s="657">
        <f t="shared" si="1158"/>
      </c>
      <c r="CL112" s="655">
        <f t="shared" si="1158"/>
      </c>
      <c r="CM112" s="655">
        <f t="shared" si="1158"/>
      </c>
      <c r="CN112" s="655">
        <f t="shared" si="1158"/>
      </c>
      <c r="CO112" s="657">
        <f t="shared" si="1158"/>
      </c>
      <c r="CP112" s="655">
        <f t="shared" si="1158"/>
      </c>
      <c r="CQ112" s="655">
        <f t="shared" si="1158"/>
      </c>
      <c r="CR112" s="655">
        <f t="shared" si="1159"/>
      </c>
      <c r="CS112" s="657">
        <f t="shared" si="1159"/>
      </c>
      <c r="CT112" s="655">
        <f t="shared" si="1159"/>
      </c>
      <c r="CU112" s="655">
        <f t="shared" si="1159"/>
      </c>
      <c r="CV112" s="655">
        <f t="shared" si="1159"/>
      </c>
      <c r="CW112" s="657">
        <f t="shared" si="1159"/>
      </c>
      <c r="CX112" s="655">
        <f t="shared" si="1159"/>
      </c>
      <c r="CY112" s="655">
        <f t="shared" si="1159"/>
      </c>
      <c r="CZ112" s="655">
        <f t="shared" si="1159"/>
      </c>
      <c r="DA112" s="657">
        <f t="shared" si="1159"/>
      </c>
      <c r="DB112" s="655">
        <f t="shared" si="1160"/>
      </c>
      <c r="DC112" s="655">
        <f t="shared" si="1160"/>
      </c>
      <c r="DD112" s="655">
        <f t="shared" si="1160"/>
      </c>
      <c r="DE112" s="657">
        <f t="shared" si="1160"/>
      </c>
      <c r="DF112" s="655">
        <f t="shared" si="1160"/>
      </c>
      <c r="DG112" s="655">
        <f t="shared" si="1160"/>
      </c>
      <c r="DH112" s="655">
        <f t="shared" si="1160"/>
      </c>
      <c r="DI112" s="657">
        <f t="shared" si="1160"/>
      </c>
      <c r="DJ112" s="655">
        <f t="shared" si="1160"/>
      </c>
      <c r="DK112" s="655">
        <f t="shared" si="1160"/>
      </c>
      <c r="DL112" s="655">
        <f t="shared" si="1161"/>
      </c>
      <c r="DM112" s="657">
        <f t="shared" si="1161"/>
      </c>
      <c r="DN112" s="655">
        <f t="shared" si="1161"/>
      </c>
      <c r="DO112" s="655">
        <f t="shared" si="1161"/>
      </c>
      <c r="DP112" s="655">
        <f t="shared" si="1161"/>
      </c>
      <c r="DQ112" s="657">
        <f t="shared" si="1161"/>
      </c>
      <c r="DR112" s="655">
        <f t="shared" si="1161"/>
      </c>
      <c r="DS112" s="655">
        <f t="shared" si="1161"/>
      </c>
      <c r="DT112" s="655">
        <f t="shared" si="1161"/>
      </c>
      <c r="DU112" s="657">
        <f t="shared" si="1161"/>
      </c>
      <c r="DV112" s="655">
        <f t="shared" si="1117"/>
      </c>
      <c r="DW112" s="655">
        <f t="shared" si="1118"/>
      </c>
      <c r="DX112" s="655">
        <f t="shared" si="1119"/>
      </c>
      <c r="DY112" s="657">
        <f t="shared" si="1120"/>
      </c>
      <c r="DZ112" s="655">
        <f t="shared" si="1121"/>
      </c>
      <c r="EA112" s="655">
        <f t="shared" si="1122"/>
      </c>
      <c r="EB112" s="655">
        <f t="shared" si="1123"/>
      </c>
      <c r="EC112" s="657">
        <f t="shared" si="1124"/>
      </c>
      <c r="ED112" s="655">
        <f t="shared" si="1125"/>
      </c>
      <c r="EE112" s="655">
        <f t="shared" si="1126"/>
      </c>
      <c r="EF112" s="655">
        <f t="shared" si="1127"/>
      </c>
      <c r="EG112" s="657">
        <f t="shared" si="1128"/>
      </c>
      <c r="EH112" s="655">
        <f t="shared" si="1129"/>
      </c>
      <c r="EI112" s="655">
        <f t="shared" si="1130"/>
      </c>
      <c r="EJ112" s="655">
        <f t="shared" si="1131"/>
      </c>
      <c r="EK112" s="657">
        <f t="shared" si="1132"/>
      </c>
      <c r="EL112" s="11"/>
      <c r="EM112" s="655"/>
      <c r="EN112" s="655">
        <f t="shared" si="1162"/>
      </c>
      <c r="EO112" s="655">
        <f t="shared" ref="EO112:FO112" si="1168">EO33-EN33</f>
      </c>
      <c r="EP112" s="655">
        <f t="shared" si="1168"/>
      </c>
      <c r="EQ112" s="655">
        <f t="shared" si="1168"/>
      </c>
      <c r="ER112" s="655">
        <f t="shared" si="1168"/>
      </c>
      <c r="ES112" s="655">
        <f t="shared" si="1168"/>
      </c>
      <c r="ET112" s="655">
        <f t="shared" si="1168"/>
      </c>
      <c r="EU112" s="655">
        <f t="shared" si="1168"/>
      </c>
      <c r="EV112" s="655">
        <f t="shared" si="1168"/>
      </c>
      <c r="EW112" s="655">
        <f t="shared" si="1168"/>
      </c>
      <c r="EX112" s="655">
        <f t="shared" si="1168"/>
      </c>
      <c r="EY112" s="655">
        <f t="shared" si="1168"/>
      </c>
      <c r="EZ112" s="655">
        <f t="shared" si="1168"/>
      </c>
      <c r="FA112" s="655">
        <f t="shared" si="1168"/>
      </c>
      <c r="FB112" s="655">
        <f t="shared" si="1168"/>
      </c>
      <c r="FC112" s="655">
        <f t="shared" si="1168"/>
      </c>
      <c r="FD112" s="655">
        <f t="shared" si="1168"/>
      </c>
      <c r="FE112" s="655">
        <f t="shared" si="1168"/>
      </c>
      <c r="FF112" s="655">
        <f t="shared" si="1168"/>
      </c>
      <c r="FG112" s="655">
        <f t="shared" si="1168"/>
      </c>
      <c r="FH112" s="655">
        <f t="shared" si="1168"/>
      </c>
      <c r="FI112" s="655">
        <f t="shared" si="1168"/>
      </c>
      <c r="FJ112" s="655">
        <f t="shared" si="1168"/>
      </c>
      <c r="FK112" s="655">
        <f t="shared" si="1168"/>
      </c>
      <c r="FL112" s="655">
        <f t="shared" si="1168"/>
      </c>
      <c r="FM112" s="655">
        <f t="shared" si="1168"/>
      </c>
      <c r="FN112" s="655">
        <f t="shared" si="1168"/>
      </c>
      <c r="FO112" s="655">
        <f t="shared" si="1168"/>
      </c>
      <c r="FP112" s="655">
        <f t="shared" ref="FP112:FQ112" si="1169">FP33-FO33</f>
      </c>
      <c r="FQ112" s="655">
        <f t="shared" si="1169"/>
      </c>
      <c r="FR112" s="655">
        <f t="shared" si="1134"/>
      </c>
      <c r="FS112" s="655">
        <f t="shared" si="1135"/>
      </c>
      <c r="FT112" s="655">
        <f t="shared" si="1136"/>
      </c>
      <c r="FU112" s="655">
        <f t="shared" si="1137"/>
      </c>
      <c r="FW112" s="655"/>
      <c r="FX112" s="655">
        <f t="shared" ref="FX112" si="1170">FX33-FW33</f>
      </c>
      <c r="FY112" s="655">
        <f t="shared" ref="FY112:GX112" si="1171">FY33-FX33</f>
      </c>
      <c r="FZ112" s="655">
        <f t="shared" si="1171"/>
      </c>
      <c r="GA112" s="655">
        <f t="shared" si="1171"/>
      </c>
      <c r="GB112" s="655">
        <f t="shared" si="1171"/>
      </c>
      <c r="GC112" s="655">
        <f t="shared" si="1171"/>
      </c>
      <c r="GD112" s="655">
        <f t="shared" si="1171"/>
      </c>
      <c r="GE112" s="655">
        <f t="shared" si="1171"/>
      </c>
      <c r="GF112" s="655">
        <f t="shared" si="1171"/>
      </c>
      <c r="GG112" s="655">
        <f t="shared" si="1171"/>
      </c>
      <c r="GH112" s="655">
        <f t="shared" si="1171"/>
      </c>
      <c r="GI112" s="655">
        <f t="shared" si="1171"/>
      </c>
      <c r="GJ112" s="655">
        <f t="shared" si="1171"/>
      </c>
      <c r="GK112" s="655">
        <f t="shared" si="1171"/>
      </c>
      <c r="GL112" s="655">
        <f t="shared" si="1171"/>
      </c>
      <c r="GM112" s="655">
        <f t="shared" si="1171"/>
      </c>
      <c r="GN112" s="655">
        <f t="shared" si="1171"/>
      </c>
      <c r="GO112" s="655">
        <f t="shared" si="1171"/>
      </c>
      <c r="GP112" s="655">
        <f t="shared" si="1171"/>
      </c>
      <c r="GQ112" s="655">
        <f t="shared" si="1171"/>
      </c>
      <c r="GR112" s="655">
        <f t="shared" si="1171"/>
      </c>
      <c r="GS112" s="655">
        <f t="shared" si="1171"/>
      </c>
      <c r="GT112" s="655">
        <f t="shared" si="1171"/>
      </c>
      <c r="GU112" s="655">
        <f t="shared" si="1171"/>
      </c>
      <c r="GV112" s="655">
        <f t="shared" si="1171"/>
      </c>
      <c r="GW112" s="655">
        <f t="shared" si="1171"/>
      </c>
      <c r="GX112" s="655">
        <f t="shared" si="1171"/>
      </c>
      <c r="GY112" s="655">
        <f t="shared" ref="GY112:GZ112" si="1172">GY33-GX33</f>
      </c>
      <c r="GZ112" s="655">
        <f t="shared" si="1172"/>
      </c>
      <c r="HA112" s="655">
        <f t="shared" si="1139"/>
      </c>
      <c r="HB112" s="655">
        <f t="shared" si="1140"/>
      </c>
      <c r="HC112" s="655">
        <f t="shared" si="1141"/>
      </c>
      <c r="HD112" s="655">
        <f t="shared" si="1142"/>
      </c>
    </row>
    <row r="113" spans="1:212" s="658" customFormat="1">
      <c r="A113" s="659" t="str">
        <f t="shared" si="1149"/>
      </c>
      <c r="B113" s="660"/>
      <c r="C113" s="660"/>
      <c r="D113" s="660"/>
      <c r="E113" s="661"/>
      <c r="F113" s="660">
        <f t="shared" si="1150"/>
      </c>
      <c r="G113" s="660">
        <f t="shared" si="1150"/>
      </c>
      <c r="H113" s="660">
        <f t="shared" si="1150"/>
      </c>
      <c r="I113" s="660">
        <f t="shared" si="1150"/>
      </c>
      <c r="J113" s="660">
        <f t="shared" si="1150"/>
      </c>
      <c r="K113" s="660">
        <f t="shared" si="1150"/>
      </c>
      <c r="L113" s="660">
        <f t="shared" si="1150"/>
      </c>
      <c r="M113" s="660">
        <f t="shared" si="1150"/>
      </c>
      <c r="N113" s="660">
        <f t="shared" si="1150"/>
      </c>
      <c r="O113" s="660">
        <f t="shared" si="1150"/>
      </c>
      <c r="P113" s="660">
        <f t="shared" si="1151"/>
      </c>
      <c r="Q113" s="660">
        <f t="shared" si="1151"/>
      </c>
      <c r="R113" s="660">
        <f t="shared" si="1151"/>
      </c>
      <c r="S113" s="660">
        <f t="shared" si="1151"/>
      </c>
      <c r="T113" s="660">
        <f t="shared" si="1151"/>
      </c>
      <c r="U113" s="660">
        <f t="shared" si="1151"/>
      </c>
      <c r="V113" s="660">
        <f t="shared" si="1151"/>
      </c>
      <c r="W113" s="660">
        <f t="shared" si="1151"/>
      </c>
      <c r="X113" s="660">
        <f t="shared" si="1151"/>
      </c>
      <c r="Y113" s="660">
        <f t="shared" si="1151"/>
      </c>
      <c r="Z113" s="660">
        <f t="shared" si="1152"/>
      </c>
      <c r="AA113" s="660">
        <f t="shared" si="1152"/>
      </c>
      <c r="AB113" s="660">
        <f t="shared" si="1152"/>
      </c>
      <c r="AC113" s="660">
        <f t="shared" si="1152"/>
      </c>
      <c r="AD113" s="660">
        <f t="shared" si="1152"/>
      </c>
      <c r="AE113" s="660">
        <f t="shared" si="1152"/>
      </c>
      <c r="AF113" s="660">
        <f t="shared" si="1152"/>
      </c>
      <c r="AG113" s="660">
        <f t="shared" si="1152"/>
      </c>
      <c r="AH113" s="660">
        <f t="shared" si="1152"/>
      </c>
      <c r="AI113" s="660">
        <f t="shared" si="1152"/>
      </c>
      <c r="AJ113" s="660">
        <f t="shared" si="1153"/>
      </c>
      <c r="AK113" s="660">
        <f t="shared" si="1153"/>
      </c>
      <c r="AL113" s="660">
        <f t="shared" si="1153"/>
      </c>
      <c r="AM113" s="660">
        <f t="shared" si="1153"/>
      </c>
      <c r="AN113" s="660">
        <f t="shared" si="1153"/>
      </c>
      <c r="AO113" s="660">
        <f t="shared" si="1153"/>
      </c>
      <c r="AP113" s="660">
        <f t="shared" si="1153"/>
      </c>
      <c r="AQ113" s="660">
        <f t="shared" si="1153"/>
      </c>
      <c r="AR113" s="660">
        <f t="shared" si="1153"/>
      </c>
      <c r="AS113" s="660">
        <f t="shared" si="1153"/>
      </c>
      <c r="AT113" s="660">
        <f t="shared" si="1154"/>
      </c>
      <c r="AU113" s="660">
        <f t="shared" si="1154"/>
      </c>
      <c r="AV113" s="660">
        <f t="shared" si="1154"/>
      </c>
      <c r="AW113" s="660">
        <f t="shared" si="1154"/>
      </c>
      <c r="AX113" s="660">
        <f t="shared" si="1154"/>
      </c>
      <c r="AY113" s="660">
        <f t="shared" si="1154"/>
      </c>
      <c r="AZ113" s="660">
        <f t="shared" si="1154"/>
      </c>
      <c r="BA113" s="660">
        <f t="shared" si="1154"/>
      </c>
      <c r="BB113" s="660">
        <f t="shared" si="1154"/>
      </c>
      <c r="BC113" s="660">
        <f t="shared" si="1154"/>
      </c>
      <c r="BD113" s="660">
        <f t="shared" si="1155"/>
      </c>
      <c r="BE113" s="660">
        <f t="shared" si="1155"/>
      </c>
      <c r="BF113" s="660">
        <f t="shared" si="1155"/>
      </c>
      <c r="BG113" s="660">
        <f t="shared" si="1155"/>
      </c>
      <c r="BH113" s="660">
        <f t="shared" si="1155"/>
      </c>
      <c r="BI113" s="660">
        <f t="shared" si="1155"/>
      </c>
      <c r="BJ113" s="660">
        <f t="shared" si="1155"/>
      </c>
      <c r="BK113" s="660">
        <f t="shared" si="1155"/>
      </c>
      <c r="BL113" s="660">
        <f t="shared" si="1155"/>
      </c>
      <c r="BM113" s="660">
        <f t="shared" si="1155"/>
      </c>
      <c r="BN113" s="660">
        <f t="shared" si="1156"/>
      </c>
      <c r="BO113" s="660">
        <f t="shared" si="1156"/>
      </c>
      <c r="BP113" s="660">
        <f t="shared" si="1156"/>
      </c>
      <c r="BQ113" s="662">
        <f t="shared" si="1156"/>
      </c>
      <c r="BR113" s="660">
        <f t="shared" si="1156"/>
      </c>
      <c r="BS113" s="660">
        <f t="shared" si="1156"/>
      </c>
      <c r="BT113" s="660">
        <f t="shared" si="1156"/>
      </c>
      <c r="BU113" s="662">
        <f t="shared" si="1156"/>
      </c>
      <c r="BV113" s="660">
        <f t="shared" si="1156"/>
      </c>
      <c r="BW113" s="660">
        <f t="shared" si="1156"/>
      </c>
      <c r="BX113" s="660">
        <f t="shared" si="1157"/>
      </c>
      <c r="BY113" s="662">
        <f t="shared" si="1157"/>
      </c>
      <c r="BZ113" s="660">
        <f t="shared" si="1157"/>
      </c>
      <c r="CA113" s="660">
        <f t="shared" si="1157"/>
      </c>
      <c r="CB113" s="660">
        <f t="shared" si="1157"/>
      </c>
      <c r="CC113" s="662">
        <f t="shared" si="1157"/>
      </c>
      <c r="CD113" s="660">
        <f t="shared" si="1157"/>
      </c>
      <c r="CE113" s="660">
        <f t="shared" si="1157"/>
      </c>
      <c r="CF113" s="660">
        <f t="shared" si="1157"/>
      </c>
      <c r="CG113" s="662">
        <f t="shared" si="1157"/>
      </c>
      <c r="CH113" s="660">
        <f t="shared" si="1158"/>
      </c>
      <c r="CI113" s="660">
        <f t="shared" si="1158"/>
      </c>
      <c r="CJ113" s="660">
        <f t="shared" si="1158"/>
      </c>
      <c r="CK113" s="662">
        <f t="shared" si="1158"/>
      </c>
      <c r="CL113" s="660">
        <f t="shared" si="1158"/>
      </c>
      <c r="CM113" s="660">
        <f t="shared" si="1158"/>
      </c>
      <c r="CN113" s="660">
        <f t="shared" si="1158"/>
      </c>
      <c r="CO113" s="662">
        <f t="shared" si="1158"/>
      </c>
      <c r="CP113" s="660">
        <f t="shared" si="1158"/>
      </c>
      <c r="CQ113" s="660">
        <f t="shared" si="1158"/>
      </c>
      <c r="CR113" s="660">
        <f t="shared" si="1159"/>
      </c>
      <c r="CS113" s="662">
        <f t="shared" si="1159"/>
      </c>
      <c r="CT113" s="660">
        <f t="shared" si="1159"/>
      </c>
      <c r="CU113" s="660">
        <f t="shared" si="1159"/>
      </c>
      <c r="CV113" s="660">
        <f t="shared" si="1159"/>
      </c>
      <c r="CW113" s="662">
        <f t="shared" si="1159"/>
      </c>
      <c r="CX113" s="660">
        <f t="shared" si="1159"/>
      </c>
      <c r="CY113" s="660">
        <f t="shared" si="1159"/>
      </c>
      <c r="CZ113" s="660">
        <f t="shared" si="1159"/>
      </c>
      <c r="DA113" s="662">
        <f t="shared" si="1159"/>
      </c>
      <c r="DB113" s="660">
        <f t="shared" si="1160"/>
      </c>
      <c r="DC113" s="660">
        <f t="shared" si="1160"/>
      </c>
      <c r="DD113" s="660">
        <f t="shared" si="1160"/>
      </c>
      <c r="DE113" s="662">
        <f t="shared" si="1160"/>
      </c>
      <c r="DF113" s="660">
        <f t="shared" si="1160"/>
      </c>
      <c r="DG113" s="660">
        <f t="shared" si="1160"/>
      </c>
      <c r="DH113" s="660">
        <f t="shared" si="1160"/>
      </c>
      <c r="DI113" s="662">
        <f t="shared" si="1160"/>
      </c>
      <c r="DJ113" s="660">
        <f t="shared" si="1160"/>
      </c>
      <c r="DK113" s="660">
        <f t="shared" si="1160"/>
      </c>
      <c r="DL113" s="660">
        <f t="shared" si="1161"/>
      </c>
      <c r="DM113" s="662">
        <f t="shared" si="1161"/>
      </c>
      <c r="DN113" s="660">
        <f t="shared" si="1161"/>
      </c>
      <c r="DO113" s="660">
        <f t="shared" si="1161"/>
      </c>
      <c r="DP113" s="660">
        <f t="shared" si="1161"/>
      </c>
      <c r="DQ113" s="662">
        <f t="shared" si="1161"/>
      </c>
      <c r="DR113" s="660">
        <f t="shared" si="1161"/>
      </c>
      <c r="DS113" s="660">
        <f t="shared" si="1161"/>
      </c>
      <c r="DT113" s="660">
        <f t="shared" si="1161"/>
      </c>
      <c r="DU113" s="662">
        <f t="shared" si="1161"/>
      </c>
      <c r="DV113" s="660">
        <f t="shared" si="1117"/>
      </c>
      <c r="DW113" s="660">
        <f t="shared" si="1118"/>
      </c>
      <c r="DX113" s="660">
        <f t="shared" si="1119"/>
      </c>
      <c r="DY113" s="662">
        <f t="shared" si="1120"/>
      </c>
      <c r="DZ113" s="660">
        <f t="shared" si="1121"/>
      </c>
      <c r="EA113" s="660">
        <f t="shared" si="1122"/>
      </c>
      <c r="EB113" s="660">
        <f t="shared" si="1123"/>
      </c>
      <c r="EC113" s="662">
        <f t="shared" si="1124"/>
      </c>
      <c r="ED113" s="660">
        <f t="shared" si="1125"/>
      </c>
      <c r="EE113" s="660">
        <f t="shared" si="1126"/>
      </c>
      <c r="EF113" s="660">
        <f t="shared" si="1127"/>
      </c>
      <c r="EG113" s="662">
        <f t="shared" si="1128"/>
      </c>
      <c r="EH113" s="660">
        <f t="shared" si="1129"/>
      </c>
      <c r="EI113" s="660">
        <f t="shared" si="1130"/>
      </c>
      <c r="EJ113" s="660">
        <f t="shared" si="1131"/>
      </c>
      <c r="EK113" s="662">
        <f t="shared" si="1132"/>
      </c>
      <c r="EL113" s="11"/>
      <c r="EM113" s="660"/>
      <c r="EN113" s="660">
        <f t="shared" si="1162"/>
      </c>
      <c r="EO113" s="660">
        <f t="shared" ref="EO113:FO113" si="1173">EO34-EN34</f>
      </c>
      <c r="EP113" s="660">
        <f t="shared" si="1173"/>
      </c>
      <c r="EQ113" s="660">
        <f t="shared" si="1173"/>
      </c>
      <c r="ER113" s="660">
        <f t="shared" si="1173"/>
      </c>
      <c r="ES113" s="660">
        <f t="shared" si="1173"/>
      </c>
      <c r="ET113" s="660">
        <f t="shared" si="1173"/>
      </c>
      <c r="EU113" s="660">
        <f t="shared" si="1173"/>
      </c>
      <c r="EV113" s="660">
        <f t="shared" si="1173"/>
      </c>
      <c r="EW113" s="660">
        <f t="shared" si="1173"/>
      </c>
      <c r="EX113" s="660">
        <f t="shared" si="1173"/>
      </c>
      <c r="EY113" s="660">
        <f t="shared" si="1173"/>
      </c>
      <c r="EZ113" s="660">
        <f t="shared" si="1173"/>
      </c>
      <c r="FA113" s="660">
        <f t="shared" si="1173"/>
      </c>
      <c r="FB113" s="660">
        <f t="shared" si="1173"/>
      </c>
      <c r="FC113" s="660">
        <f t="shared" si="1173"/>
      </c>
      <c r="FD113" s="660">
        <f t="shared" si="1173"/>
      </c>
      <c r="FE113" s="660">
        <f t="shared" si="1173"/>
      </c>
      <c r="FF113" s="660">
        <f t="shared" si="1173"/>
      </c>
      <c r="FG113" s="660">
        <f t="shared" si="1173"/>
      </c>
      <c r="FH113" s="660">
        <f t="shared" si="1173"/>
      </c>
      <c r="FI113" s="660">
        <f t="shared" si="1173"/>
      </c>
      <c r="FJ113" s="660">
        <f t="shared" si="1173"/>
      </c>
      <c r="FK113" s="660">
        <f t="shared" si="1173"/>
      </c>
      <c r="FL113" s="660">
        <f t="shared" si="1173"/>
      </c>
      <c r="FM113" s="660">
        <f t="shared" si="1173"/>
      </c>
      <c r="FN113" s="660">
        <f t="shared" si="1173"/>
      </c>
      <c r="FO113" s="660">
        <f t="shared" si="1173"/>
      </c>
      <c r="FP113" s="660">
        <f t="shared" ref="FP113:FQ113" si="1174">FP34-FO34</f>
      </c>
      <c r="FQ113" s="660">
        <f t="shared" si="1174"/>
      </c>
      <c r="FR113" s="660">
        <f t="shared" si="1134"/>
      </c>
      <c r="FS113" s="660">
        <f t="shared" si="1135"/>
      </c>
      <c r="FT113" s="660">
        <f t="shared" si="1136"/>
      </c>
      <c r="FU113" s="660">
        <f t="shared" si="1137"/>
      </c>
      <c r="FW113" s="660"/>
      <c r="FX113" s="660">
        <f t="shared" ref="FX113" si="1175">FX34-FW34</f>
      </c>
      <c r="FY113" s="660">
        <f t="shared" ref="FY113:GX113" si="1176">FY34-FX34</f>
      </c>
      <c r="FZ113" s="660">
        <f t="shared" si="1176"/>
      </c>
      <c r="GA113" s="660">
        <f t="shared" si="1176"/>
      </c>
      <c r="GB113" s="660">
        <f t="shared" si="1176"/>
      </c>
      <c r="GC113" s="660">
        <f t="shared" si="1176"/>
      </c>
      <c r="GD113" s="660">
        <f t="shared" si="1176"/>
      </c>
      <c r="GE113" s="660">
        <f t="shared" si="1176"/>
      </c>
      <c r="GF113" s="660">
        <f t="shared" si="1176"/>
      </c>
      <c r="GG113" s="660">
        <f t="shared" si="1176"/>
      </c>
      <c r="GH113" s="660">
        <f t="shared" si="1176"/>
      </c>
      <c r="GI113" s="660">
        <f t="shared" si="1176"/>
      </c>
      <c r="GJ113" s="660">
        <f t="shared" si="1176"/>
      </c>
      <c r="GK113" s="660">
        <f t="shared" si="1176"/>
      </c>
      <c r="GL113" s="660">
        <f t="shared" si="1176"/>
      </c>
      <c r="GM113" s="660">
        <f t="shared" si="1176"/>
      </c>
      <c r="GN113" s="660">
        <f t="shared" si="1176"/>
      </c>
      <c r="GO113" s="660">
        <f t="shared" si="1176"/>
      </c>
      <c r="GP113" s="660">
        <f t="shared" si="1176"/>
      </c>
      <c r="GQ113" s="660">
        <f t="shared" si="1176"/>
      </c>
      <c r="GR113" s="660">
        <f t="shared" si="1176"/>
      </c>
      <c r="GS113" s="660">
        <f t="shared" si="1176"/>
      </c>
      <c r="GT113" s="660">
        <f t="shared" si="1176"/>
      </c>
      <c r="GU113" s="660">
        <f t="shared" si="1176"/>
      </c>
      <c r="GV113" s="660">
        <f t="shared" si="1176"/>
      </c>
      <c r="GW113" s="660">
        <f t="shared" si="1176"/>
      </c>
      <c r="GX113" s="660">
        <f t="shared" si="1176"/>
      </c>
      <c r="GY113" s="660">
        <f t="shared" ref="GY113:GZ113" si="1177">GY34-GX34</f>
      </c>
      <c r="GZ113" s="660">
        <f t="shared" si="1177"/>
      </c>
      <c r="HA113" s="660">
        <f t="shared" si="1139"/>
      </c>
      <c r="HB113" s="660">
        <f t="shared" si="1140"/>
      </c>
      <c r="HC113" s="660">
        <f t="shared" si="1141"/>
      </c>
      <c r="HD113" s="660">
        <f t="shared" si="1142"/>
      </c>
    </row>
    <row r="114" spans="1:212" s="658" customFormat="1">
      <c r="A114" s="663"/>
      <c r="B114" s="664"/>
      <c r="C114" s="664"/>
      <c r="D114" s="664"/>
      <c r="E114" s="665"/>
      <c r="F114" s="664"/>
      <c r="G114" s="664"/>
      <c r="H114" s="664"/>
      <c r="I114" s="664"/>
      <c r="J114" s="664"/>
      <c r="K114" s="664"/>
      <c r="L114" s="664"/>
      <c r="M114" s="664"/>
      <c r="N114" s="664"/>
      <c r="O114" s="664"/>
      <c r="P114" s="664"/>
      <c r="Q114" s="664"/>
      <c r="R114" s="664"/>
      <c r="S114" s="664"/>
      <c r="T114" s="664"/>
      <c r="U114" s="664"/>
      <c r="V114" s="664"/>
      <c r="W114" s="664"/>
      <c r="X114" s="664"/>
      <c r="Y114" s="664"/>
      <c r="Z114" s="664"/>
      <c r="AA114" s="664"/>
      <c r="AB114" s="664"/>
      <c r="AC114" s="664"/>
      <c r="AD114" s="664"/>
      <c r="AE114" s="664"/>
      <c r="AF114" s="664"/>
      <c r="AG114" s="664"/>
      <c r="AH114" s="664"/>
      <c r="AI114" s="664"/>
      <c r="AJ114" s="664"/>
      <c r="AK114" s="664"/>
      <c r="AL114" s="664"/>
      <c r="AM114" s="664"/>
      <c r="AN114" s="664"/>
      <c r="AO114" s="664"/>
      <c r="AP114" s="664"/>
      <c r="AQ114" s="664"/>
      <c r="AR114" s="664"/>
      <c r="AS114" s="664"/>
      <c r="AT114" s="664"/>
      <c r="AU114" s="664"/>
      <c r="AV114" s="664"/>
      <c r="AW114" s="664"/>
      <c r="AX114" s="664"/>
      <c r="AY114" s="664"/>
      <c r="AZ114" s="664"/>
      <c r="BA114" s="664"/>
      <c r="BB114" s="664"/>
      <c r="BC114" s="664"/>
      <c r="BD114" s="664"/>
      <c r="BE114" s="664"/>
      <c r="BF114" s="664"/>
      <c r="BG114" s="664"/>
      <c r="BH114" s="664"/>
      <c r="BI114" s="664"/>
      <c r="BJ114" s="664"/>
      <c r="BK114" s="664"/>
      <c r="BL114" s="664"/>
      <c r="BM114" s="664"/>
      <c r="BN114" s="664"/>
      <c r="BO114" s="664"/>
      <c r="BP114" s="664"/>
      <c r="BQ114" s="666"/>
      <c r="BR114" s="664"/>
      <c r="BS114" s="664"/>
      <c r="BT114" s="664"/>
      <c r="BU114" s="666"/>
      <c r="BV114" s="664"/>
      <c r="BW114" s="664"/>
      <c r="BX114" s="664"/>
      <c r="BY114" s="666"/>
      <c r="BZ114" s="664"/>
      <c r="CA114" s="664"/>
      <c r="CB114" s="664"/>
      <c r="CC114" s="666"/>
      <c r="CD114" s="664"/>
      <c r="CE114" s="664"/>
      <c r="CF114" s="664"/>
      <c r="CG114" s="666"/>
      <c r="CH114" s="664"/>
      <c r="CI114" s="664"/>
      <c r="CJ114" s="664"/>
      <c r="CK114" s="666"/>
      <c r="CL114" s="664"/>
      <c r="CM114" s="664"/>
      <c r="CN114" s="664"/>
      <c r="CO114" s="666"/>
      <c r="CP114" s="664"/>
      <c r="CQ114" s="664"/>
      <c r="CR114" s="664"/>
      <c r="CS114" s="666"/>
      <c r="CT114" s="664"/>
      <c r="CU114" s="664"/>
      <c r="CV114" s="664"/>
      <c r="CW114" s="666"/>
      <c r="CX114" s="664"/>
      <c r="CY114" s="664"/>
      <c r="CZ114" s="664"/>
      <c r="DA114" s="666"/>
      <c r="DB114" s="664"/>
      <c r="DC114" s="664"/>
      <c r="DD114" s="664"/>
      <c r="DE114" s="666"/>
      <c r="DF114" s="664"/>
      <c r="DG114" s="664"/>
      <c r="DH114" s="664"/>
      <c r="DI114" s="666"/>
      <c r="DJ114" s="664"/>
      <c r="DK114" s="664"/>
      <c r="DL114" s="664"/>
      <c r="DM114" s="666"/>
      <c r="DN114" s="664"/>
      <c r="DO114" s="664"/>
      <c r="DP114" s="664"/>
      <c r="DQ114" s="666"/>
      <c r="DR114" s="664"/>
      <c r="DS114" s="664"/>
      <c r="DT114" s="664"/>
      <c r="DU114" s="666"/>
      <c r="DV114" s="664"/>
      <c r="DW114" s="664"/>
      <c r="DX114" s="664"/>
      <c r="DY114" s="666"/>
      <c r="DZ114" s="664"/>
      <c r="EA114" s="664"/>
      <c r="EB114" s="664"/>
      <c r="EC114" s="666"/>
      <c r="ED114" s="664"/>
      <c r="EE114" s="664"/>
      <c r="EF114" s="664"/>
      <c r="EG114" s="666"/>
      <c r="EH114" s="664"/>
      <c r="EI114" s="664"/>
      <c r="EJ114" s="664"/>
      <c r="EK114" s="666"/>
      <c r="EL114" s="11"/>
    </row>
    <row r="115" spans="1:212" s="1" customFormat="1">
      <c r="A115" s="543"/>
      <c r="B115" s="543" t="str">
        <f t="shared" ref="B115:BM115" si="1178">B$37</f>
      </c>
      <c r="C115" s="543" t="str">
        <f t="shared" si="1178"/>
      </c>
      <c r="D115" s="543" t="str">
        <f t="shared" si="1178"/>
      </c>
      <c r="E115" s="544" t="str">
        <f t="shared" si="1178"/>
      </c>
      <c r="F115" s="543" t="str">
        <f t="shared" si="1178"/>
      </c>
      <c r="G115" s="543" t="str">
        <f t="shared" si="1178"/>
      </c>
      <c r="H115" s="543" t="str">
        <f t="shared" si="1178"/>
      </c>
      <c r="I115" s="543" t="str">
        <f t="shared" si="1178"/>
      </c>
      <c r="J115" s="543" t="str">
        <f t="shared" si="1178"/>
      </c>
      <c r="K115" s="543" t="str">
        <f t="shared" si="1178"/>
      </c>
      <c r="L115" s="543" t="str">
        <f t="shared" si="1178"/>
      </c>
      <c r="M115" s="543" t="str">
        <f t="shared" si="1178"/>
      </c>
      <c r="N115" s="543" t="str">
        <f t="shared" si="1178"/>
      </c>
      <c r="O115" s="543" t="str">
        <f t="shared" si="1178"/>
      </c>
      <c r="P115" s="543" t="str">
        <f t="shared" si="1178"/>
      </c>
      <c r="Q115" s="543" t="str">
        <f t="shared" si="1178"/>
      </c>
      <c r="R115" s="543" t="str">
        <f t="shared" si="1178"/>
      </c>
      <c r="S115" s="543" t="str">
        <f t="shared" si="1178"/>
      </c>
      <c r="T115" s="543" t="str">
        <f t="shared" si="1178"/>
      </c>
      <c r="U115" s="543" t="str">
        <f t="shared" si="1178"/>
      </c>
      <c r="V115" s="543" t="str">
        <f t="shared" si="1178"/>
      </c>
      <c r="W115" s="543" t="str">
        <f t="shared" si="1178"/>
      </c>
      <c r="X115" s="543" t="str">
        <f t="shared" si="1178"/>
      </c>
      <c r="Y115" s="543" t="str">
        <f t="shared" si="1178"/>
      </c>
      <c r="Z115" s="543" t="str">
        <f t="shared" si="1178"/>
      </c>
      <c r="AA115" s="543" t="str">
        <f t="shared" si="1178"/>
      </c>
      <c r="AB115" s="543" t="str">
        <f t="shared" si="1178"/>
      </c>
      <c r="AC115" s="543" t="str">
        <f t="shared" si="1178"/>
      </c>
      <c r="AD115" s="543" t="str">
        <f t="shared" si="1178"/>
      </c>
      <c r="AE115" s="543" t="str">
        <f t="shared" si="1178"/>
      </c>
      <c r="AF115" s="543" t="str">
        <f t="shared" si="1178"/>
      </c>
      <c r="AG115" s="543" t="str">
        <f t="shared" si="1178"/>
      </c>
      <c r="AH115" s="543" t="str">
        <f t="shared" si="1178"/>
      </c>
      <c r="AI115" s="543" t="str">
        <f t="shared" si="1178"/>
      </c>
      <c r="AJ115" s="543" t="str">
        <f t="shared" si="1178"/>
      </c>
      <c r="AK115" s="543" t="str">
        <f t="shared" si="1178"/>
      </c>
      <c r="AL115" s="543" t="str">
        <f t="shared" si="1178"/>
      </c>
      <c r="AM115" s="543" t="str">
        <f t="shared" si="1178"/>
      </c>
      <c r="AN115" s="543" t="str">
        <f t="shared" si="1178"/>
      </c>
      <c r="AO115" s="543" t="str">
        <f t="shared" si="1178"/>
      </c>
      <c r="AP115" s="543" t="str">
        <f t="shared" si="1178"/>
      </c>
      <c r="AQ115" s="543" t="str">
        <f t="shared" si="1178"/>
      </c>
      <c r="AR115" s="543" t="str">
        <f t="shared" si="1178"/>
      </c>
      <c r="AS115" s="543" t="str">
        <f t="shared" si="1178"/>
      </c>
      <c r="AT115" s="543" t="str">
        <f t="shared" si="1178"/>
      </c>
      <c r="AU115" s="543" t="str">
        <f t="shared" si="1178"/>
      </c>
      <c r="AV115" s="543" t="str">
        <f t="shared" si="1178"/>
      </c>
      <c r="AW115" s="543" t="str">
        <f t="shared" si="1178"/>
      </c>
      <c r="AX115" s="543" t="str">
        <f t="shared" si="1178"/>
      </c>
      <c r="AY115" s="543" t="str">
        <f t="shared" si="1178"/>
      </c>
      <c r="AZ115" s="543" t="str">
        <f t="shared" si="1178"/>
      </c>
      <c r="BA115" s="543" t="str">
        <f t="shared" si="1178"/>
      </c>
      <c r="BB115" s="543" t="str">
        <f t="shared" si="1178"/>
      </c>
      <c r="BC115" s="543" t="str">
        <f t="shared" si="1178"/>
      </c>
      <c r="BD115" s="543" t="str">
        <f t="shared" si="1178"/>
      </c>
      <c r="BE115" s="543" t="str">
        <f t="shared" si="1178"/>
      </c>
      <c r="BF115" s="543" t="str">
        <f t="shared" si="1178"/>
      </c>
      <c r="BG115" s="543" t="str">
        <f t="shared" si="1178"/>
      </c>
      <c r="BH115" s="543" t="str">
        <f t="shared" si="1178"/>
      </c>
      <c r="BI115" s="543" t="str">
        <f t="shared" si="1178"/>
      </c>
      <c r="BJ115" s="543" t="str">
        <f t="shared" si="1178"/>
      </c>
      <c r="BK115" s="543" t="str">
        <f t="shared" si="1178"/>
      </c>
      <c r="BL115" s="543" t="str">
        <f t="shared" si="1178"/>
      </c>
      <c r="BM115" s="543" t="str">
        <f t="shared" si="1178"/>
      </c>
      <c r="BN115" s="543" t="str">
        <f t="shared" ref="BN115:DZ115" si="1179">BN$37</f>
      </c>
      <c r="BO115" s="543" t="str">
        <f t="shared" si="1179"/>
      </c>
      <c r="BP115" s="543" t="str">
        <f t="shared" si="1179"/>
      </c>
      <c r="BQ115" s="545" t="str">
        <f t="shared" si="1179"/>
      </c>
      <c r="BR115" s="543" t="str">
        <f t="shared" si="1179"/>
      </c>
      <c r="BS115" s="543" t="str">
        <f t="shared" si="1179"/>
      </c>
      <c r="BT115" s="543" t="str">
        <f t="shared" si="1179"/>
      </c>
      <c r="BU115" s="545" t="str">
        <f t="shared" si="1179"/>
      </c>
      <c r="BV115" s="543" t="str">
        <f t="shared" si="1179"/>
      </c>
      <c r="BW115" s="543" t="str">
        <f t="shared" si="1179"/>
      </c>
      <c r="BX115" s="543" t="str">
        <f t="shared" si="1179"/>
      </c>
      <c r="BY115" s="545" t="str">
        <f t="shared" si="1179"/>
      </c>
      <c r="BZ115" s="543" t="str">
        <f t="shared" si="1179"/>
      </c>
      <c r="CA115" s="543" t="str">
        <f t="shared" si="1179"/>
      </c>
      <c r="CB115" s="543" t="str">
        <f t="shared" si="1179"/>
      </c>
      <c r="CC115" s="545" t="str">
        <f t="shared" si="1179"/>
      </c>
      <c r="CD115" s="543" t="str">
        <f t="shared" si="1179"/>
      </c>
      <c r="CE115" s="543" t="str">
        <f t="shared" si="1179"/>
      </c>
      <c r="CF115" s="543" t="str">
        <f t="shared" si="1179"/>
      </c>
      <c r="CG115" s="545" t="str">
        <f t="shared" si="1179"/>
      </c>
      <c r="CH115" s="543" t="str">
        <f t="shared" si="1179"/>
      </c>
      <c r="CI115" s="543" t="str">
        <f t="shared" si="1179"/>
      </c>
      <c r="CJ115" s="543" t="str">
        <f t="shared" si="1179"/>
      </c>
      <c r="CK115" s="545" t="str">
        <f t="shared" si="1179"/>
      </c>
      <c r="CL115" s="543" t="str">
        <f t="shared" si="1179"/>
      </c>
      <c r="CM115" s="543" t="str">
        <f t="shared" si="1179"/>
      </c>
      <c r="CN115" s="543" t="str">
        <f t="shared" si="1179"/>
      </c>
      <c r="CO115" s="545" t="str">
        <f t="shared" si="1179"/>
      </c>
      <c r="CP115" s="543" t="str">
        <f t="shared" si="1179"/>
      </c>
      <c r="CQ115" s="543" t="str">
        <f t="shared" si="1179"/>
      </c>
      <c r="CR115" s="543" t="str">
        <f t="shared" si="1179"/>
      </c>
      <c r="CS115" s="547" t="str">
        <f t="shared" si="1179"/>
      </c>
      <c r="CT115" s="543" t="str">
        <f t="shared" si="1179"/>
      </c>
      <c r="CU115" s="543" t="str">
        <f t="shared" si="1179"/>
      </c>
      <c r="CV115" s="543" t="str">
        <f t="shared" si="1179"/>
      </c>
      <c r="CW115" s="547" t="str">
        <f t="shared" si="1179"/>
      </c>
      <c r="CX115" s="543" t="str">
        <f t="shared" si="1179"/>
      </c>
      <c r="CY115" s="543" t="str">
        <f t="shared" si="1179"/>
      </c>
      <c r="CZ115" s="543" t="str">
        <f t="shared" si="1179"/>
      </c>
      <c r="DA115" s="547" t="str">
        <f t="shared" si="1179"/>
      </c>
      <c r="DB115" s="543" t="str">
        <f t="shared" si="1179"/>
      </c>
      <c r="DC115" s="543" t="str">
        <f t="shared" si="1179"/>
      </c>
      <c r="DD115" s="543" t="str">
        <f t="shared" si="1179"/>
      </c>
      <c r="DE115" s="547" t="str">
        <f t="shared" si="1179"/>
      </c>
      <c r="DF115" s="543" t="str">
        <f t="shared" si="1179"/>
      </c>
      <c r="DG115" s="543" t="str">
        <f t="shared" si="1179"/>
      </c>
      <c r="DH115" s="543" t="str">
        <f t="shared" si="1179"/>
      </c>
      <c r="DI115" s="547" t="str">
        <f t="shared" si="1179"/>
      </c>
      <c r="DJ115" s="543" t="str">
        <f t="shared" si="1179"/>
      </c>
      <c r="DK115" s="543" t="str">
        <f t="shared" si="1179"/>
      </c>
      <c r="DL115" s="543" t="str">
        <f t="shared" si="1179"/>
      </c>
      <c r="DM115" s="547" t="str">
        <f t="shared" si="1179"/>
      </c>
      <c r="DN115" s="543" t="str">
        <f t="shared" si="1179"/>
      </c>
      <c r="DO115" s="543" t="str">
        <f t="shared" si="1179"/>
      </c>
      <c r="DP115" s="543" t="str">
        <f t="shared" si="1179"/>
      </c>
      <c r="DQ115" s="547" t="str">
        <f t="shared" si="1179"/>
      </c>
      <c r="DR115" s="543" t="str">
        <f t="shared" si="1179"/>
      </c>
      <c r="DS115" s="543" t="str">
        <f t="shared" si="1179"/>
      </c>
      <c r="DT115" s="543" t="str">
        <f t="shared" si="1179"/>
      </c>
      <c r="DU115" s="547" t="str">
        <f t="shared" si="1179"/>
      </c>
      <c r="DV115" s="543" t="str">
        <f t="shared" si="1179"/>
      </c>
      <c r="DW115" s="543" t="str">
        <f t="shared" si="1179"/>
      </c>
      <c r="DX115" s="543" t="str">
        <f t="shared" si="1179"/>
      </c>
      <c r="DY115" s="547" t="str">
        <f t="shared" si="1179"/>
      </c>
      <c r="DZ115" s="543" t="str">
        <f t="shared" si="1179"/>
      </c>
      <c r="EA115" s="543" t="str">
        <f t="shared" ref="EA115:EK115" si="1180">EA$37</f>
      </c>
      <c r="EB115" s="543" t="str">
        <f t="shared" si="1180"/>
      </c>
      <c r="EC115" s="547" t="str">
        <f t="shared" si="1180"/>
      </c>
      <c r="ED115" s="543" t="str">
        <f t="shared" si="1180"/>
      </c>
      <c r="EE115" s="543" t="str">
        <f t="shared" si="1180"/>
      </c>
      <c r="EF115" s="543" t="str">
        <f t="shared" si="1180"/>
      </c>
      <c r="EG115" s="547" t="str">
        <f t="shared" si="1180"/>
      </c>
      <c r="EH115" s="543" t="str">
        <f t="shared" si="1180"/>
      </c>
      <c r="EI115" s="543" t="str">
        <f t="shared" si="1180"/>
      </c>
      <c r="EJ115" s="543" t="str">
        <f t="shared" si="1180"/>
      </c>
      <c r="EK115" s="547" t="str">
        <f t="shared" si="1180"/>
      </c>
      <c r="EL115" s="11"/>
      <c r="EM115" s="658"/>
      <c r="EN115" s="658"/>
      <c r="EO115" s="658"/>
      <c r="EP115" s="658"/>
      <c r="EQ115" s="658"/>
      <c r="ER115" s="658"/>
      <c r="ES115" s="658"/>
      <c r="ET115" s="658"/>
      <c r="EU115" s="658"/>
      <c r="EV115" s="658"/>
      <c r="EW115" s="658"/>
      <c r="EX115" s="658"/>
      <c r="EY115" s="658"/>
      <c r="EZ115" s="658"/>
      <c r="FA115" s="658"/>
      <c r="FB115" s="658"/>
      <c r="FC115" s="658"/>
      <c r="FD115" s="658"/>
      <c r="FE115" s="658"/>
      <c r="FF115" s="658"/>
      <c r="FG115" s="658"/>
      <c r="FH115" s="658"/>
      <c r="FI115" s="658"/>
      <c r="FJ115" s="658"/>
      <c r="FK115" s="658"/>
      <c r="FL115" s="658"/>
      <c r="FM115" s="658"/>
      <c r="FN115" s="658"/>
      <c r="FO115" s="658"/>
      <c r="FP115" s="658"/>
      <c r="FQ115" s="658"/>
      <c r="FR115" s="658"/>
      <c r="FS115" s="658"/>
      <c r="FT115" s="658"/>
      <c r="FU115" s="658"/>
      <c r="FV115" s="658"/>
      <c r="FW115" s="658"/>
      <c r="FX115" s="658"/>
      <c r="FY115" s="658"/>
      <c r="FZ115" s="658"/>
      <c r="GA115" s="658"/>
      <c r="GB115" s="658"/>
      <c r="GC115" s="658"/>
      <c r="GD115" s="658"/>
      <c r="GE115" s="658"/>
      <c r="GF115" s="658"/>
      <c r="GG115" s="658"/>
      <c r="GH115" s="658"/>
      <c r="GI115" s="658"/>
      <c r="GJ115" s="658"/>
      <c r="GK115" s="658"/>
      <c r="GL115" s="658"/>
      <c r="GM115" s="658"/>
      <c r="GN115" s="658"/>
      <c r="GO115" s="658"/>
      <c r="GP115" s="658"/>
      <c r="GQ115" s="658"/>
      <c r="GR115" s="658"/>
      <c r="GS115" s="658"/>
      <c r="GT115" s="658"/>
      <c r="GU115" s="658"/>
      <c r="GV115" s="658"/>
      <c r="GW115" s="658"/>
      <c r="GX115" s="658"/>
      <c r="GY115" s="658"/>
      <c r="GZ115" s="658"/>
      <c r="HA115" s="658"/>
      <c r="HB115" s="658"/>
      <c r="HC115" s="658"/>
      <c r="HD115" s="658"/>
    </row>
    <row r="116" spans="1:212" s="1" customFormat="1">
      <c r="A116" s="575" t="s">
        <v>1159</v>
      </c>
      <c r="B116" s="576">
        <f t="shared" ref="B116:BM116" si="1181">B$38</f>
      </c>
      <c r="C116" s="576">
        <f t="shared" si="1181"/>
      </c>
      <c r="D116" s="576">
        <f t="shared" si="1181"/>
      </c>
      <c r="E116" s="577">
        <f t="shared" si="1181"/>
      </c>
      <c r="F116" s="576">
        <f t="shared" si="1181"/>
      </c>
      <c r="G116" s="576">
        <f t="shared" si="1181"/>
      </c>
      <c r="H116" s="576">
        <f t="shared" si="1181"/>
      </c>
      <c r="I116" s="576">
        <f t="shared" si="1181"/>
      </c>
      <c r="J116" s="576">
        <f t="shared" si="1181"/>
      </c>
      <c r="K116" s="576">
        <f t="shared" si="1181"/>
      </c>
      <c r="L116" s="576">
        <f t="shared" si="1181"/>
      </c>
      <c r="M116" s="576">
        <f t="shared" si="1181"/>
      </c>
      <c r="N116" s="576">
        <f t="shared" si="1181"/>
      </c>
      <c r="O116" s="576">
        <f t="shared" si="1181"/>
      </c>
      <c r="P116" s="576">
        <f t="shared" si="1181"/>
      </c>
      <c r="Q116" s="576">
        <f t="shared" si="1181"/>
      </c>
      <c r="R116" s="576">
        <f t="shared" si="1181"/>
      </c>
      <c r="S116" s="576">
        <f t="shared" si="1181"/>
      </c>
      <c r="T116" s="576">
        <f t="shared" si="1181"/>
      </c>
      <c r="U116" s="576">
        <f t="shared" si="1181"/>
      </c>
      <c r="V116" s="576">
        <f t="shared" si="1181"/>
      </c>
      <c r="W116" s="576">
        <f t="shared" si="1181"/>
      </c>
      <c r="X116" s="576">
        <f t="shared" si="1181"/>
      </c>
      <c r="Y116" s="576">
        <f t="shared" si="1181"/>
      </c>
      <c r="Z116" s="576">
        <f t="shared" si="1181"/>
      </c>
      <c r="AA116" s="576">
        <f t="shared" si="1181"/>
      </c>
      <c r="AB116" s="576">
        <f t="shared" si="1181"/>
      </c>
      <c r="AC116" s="576">
        <f t="shared" si="1181"/>
      </c>
      <c r="AD116" s="576">
        <f t="shared" si="1181"/>
      </c>
      <c r="AE116" s="576">
        <f t="shared" si="1181"/>
      </c>
      <c r="AF116" s="576">
        <f t="shared" si="1181"/>
      </c>
      <c r="AG116" s="576">
        <f t="shared" si="1181"/>
      </c>
      <c r="AH116" s="576">
        <f t="shared" si="1181"/>
      </c>
      <c r="AI116" s="576">
        <f t="shared" si="1181"/>
      </c>
      <c r="AJ116" s="576">
        <f t="shared" si="1181"/>
      </c>
      <c r="AK116" s="576">
        <f t="shared" si="1181"/>
      </c>
      <c r="AL116" s="576">
        <f t="shared" si="1181"/>
      </c>
      <c r="AM116" s="576">
        <f t="shared" si="1181"/>
      </c>
      <c r="AN116" s="576">
        <f t="shared" si="1181"/>
      </c>
      <c r="AO116" s="576">
        <f t="shared" si="1181"/>
      </c>
      <c r="AP116" s="576">
        <f t="shared" si="1181"/>
      </c>
      <c r="AQ116" s="576">
        <f t="shared" si="1181"/>
      </c>
      <c r="AR116" s="576">
        <f t="shared" si="1181"/>
      </c>
      <c r="AS116" s="576">
        <f t="shared" si="1181"/>
      </c>
      <c r="AT116" s="576">
        <f t="shared" si="1181"/>
      </c>
      <c r="AU116" s="576">
        <f t="shared" si="1181"/>
      </c>
      <c r="AV116" s="576">
        <f t="shared" si="1181"/>
      </c>
      <c r="AW116" s="576">
        <f t="shared" si="1181"/>
      </c>
      <c r="AX116" s="576">
        <f t="shared" si="1181"/>
      </c>
      <c r="AY116" s="576">
        <f t="shared" si="1181"/>
      </c>
      <c r="AZ116" s="576">
        <f t="shared" si="1181"/>
      </c>
      <c r="BA116" s="576">
        <f t="shared" si="1181"/>
      </c>
      <c r="BB116" s="576">
        <f t="shared" si="1181"/>
      </c>
      <c r="BC116" s="576">
        <f t="shared" si="1181"/>
      </c>
      <c r="BD116" s="576">
        <f t="shared" si="1181"/>
      </c>
      <c r="BE116" s="576">
        <f t="shared" si="1181"/>
      </c>
      <c r="BF116" s="576">
        <f t="shared" si="1181"/>
      </c>
      <c r="BG116" s="576">
        <f t="shared" si="1181"/>
      </c>
      <c r="BH116" s="576">
        <f t="shared" si="1181"/>
      </c>
      <c r="BI116" s="576">
        <f t="shared" si="1181"/>
      </c>
      <c r="BJ116" s="576">
        <f t="shared" si="1181"/>
      </c>
      <c r="BK116" s="576">
        <f t="shared" si="1181"/>
      </c>
      <c r="BL116" s="576">
        <f t="shared" si="1181"/>
      </c>
      <c r="BM116" s="576">
        <f t="shared" si="1181"/>
      </c>
      <c r="BN116" s="576">
        <f t="shared" ref="BN116:DZ116" si="1182">BN$38</f>
      </c>
      <c r="BO116" s="576">
        <f t="shared" si="1182"/>
      </c>
      <c r="BP116" s="576">
        <f t="shared" si="1182"/>
      </c>
      <c r="BQ116" s="578">
        <f t="shared" si="1182"/>
      </c>
      <c r="BR116" s="576">
        <f t="shared" si="1182"/>
      </c>
      <c r="BS116" s="576">
        <f t="shared" si="1182"/>
      </c>
      <c r="BT116" s="576">
        <f t="shared" si="1182"/>
      </c>
      <c r="BU116" s="578">
        <f t="shared" si="1182"/>
      </c>
      <c r="BV116" s="576">
        <f t="shared" si="1182"/>
      </c>
      <c r="BW116" s="576">
        <f t="shared" si="1182"/>
      </c>
      <c r="BX116" s="576">
        <f t="shared" si="1182"/>
      </c>
      <c r="BY116" s="578">
        <f t="shared" si="1182"/>
      </c>
      <c r="BZ116" s="576">
        <f t="shared" si="1182"/>
      </c>
      <c r="CA116" s="576">
        <f t="shared" si="1182"/>
      </c>
      <c r="CB116" s="576">
        <f t="shared" si="1182"/>
      </c>
      <c r="CC116" s="578">
        <f t="shared" si="1182"/>
      </c>
      <c r="CD116" s="576">
        <f t="shared" si="1182"/>
      </c>
      <c r="CE116" s="576">
        <f t="shared" si="1182"/>
      </c>
      <c r="CF116" s="576">
        <f t="shared" si="1182"/>
      </c>
      <c r="CG116" s="578">
        <f t="shared" si="1182"/>
      </c>
      <c r="CH116" s="576">
        <f t="shared" si="1182"/>
      </c>
      <c r="CI116" s="576">
        <f t="shared" si="1182"/>
      </c>
      <c r="CJ116" s="576">
        <f t="shared" si="1182"/>
      </c>
      <c r="CK116" s="578">
        <f t="shared" si="1182"/>
      </c>
      <c r="CL116" s="576">
        <f t="shared" si="1182"/>
      </c>
      <c r="CM116" s="576">
        <f t="shared" si="1182"/>
      </c>
      <c r="CN116" s="576">
        <f t="shared" si="1182"/>
      </c>
      <c r="CO116" s="578">
        <f t="shared" si="1182"/>
      </c>
      <c r="CP116" s="576">
        <f t="shared" si="1182"/>
      </c>
      <c r="CQ116" s="576">
        <f t="shared" si="1182"/>
      </c>
      <c r="CR116" s="576">
        <f t="shared" si="1182"/>
      </c>
      <c r="CS116" s="578">
        <f t="shared" si="1182"/>
      </c>
      <c r="CT116" s="576">
        <f t="shared" si="1182"/>
      </c>
      <c r="CU116" s="576">
        <f t="shared" si="1182"/>
      </c>
      <c r="CV116" s="576">
        <f t="shared" si="1182"/>
      </c>
      <c r="CW116" s="578">
        <f t="shared" si="1182"/>
      </c>
      <c r="CX116" s="576">
        <f t="shared" si="1182"/>
      </c>
      <c r="CY116" s="576">
        <f t="shared" si="1182"/>
      </c>
      <c r="CZ116" s="576">
        <f t="shared" si="1182"/>
      </c>
      <c r="DA116" s="578">
        <f t="shared" si="1182"/>
      </c>
      <c r="DB116" s="576">
        <f t="shared" si="1182"/>
      </c>
      <c r="DC116" s="576">
        <f t="shared" si="1182"/>
      </c>
      <c r="DD116" s="576">
        <f t="shared" si="1182"/>
      </c>
      <c r="DE116" s="578">
        <f t="shared" si="1182"/>
      </c>
      <c r="DF116" s="576">
        <f t="shared" si="1182"/>
      </c>
      <c r="DG116" s="576">
        <f t="shared" si="1182"/>
      </c>
      <c r="DH116" s="576">
        <f t="shared" si="1182"/>
      </c>
      <c r="DI116" s="578">
        <f t="shared" si="1182"/>
      </c>
      <c r="DJ116" s="576">
        <f t="shared" si="1182"/>
      </c>
      <c r="DK116" s="576">
        <f t="shared" si="1182"/>
      </c>
      <c r="DL116" s="576">
        <f t="shared" si="1182"/>
      </c>
      <c r="DM116" s="578">
        <f t="shared" si="1182"/>
      </c>
      <c r="DN116" s="576">
        <f t="shared" si="1182"/>
      </c>
      <c r="DO116" s="576">
        <f t="shared" si="1182"/>
      </c>
      <c r="DP116" s="576">
        <f t="shared" si="1182"/>
      </c>
      <c r="DQ116" s="578">
        <f t="shared" si="1182"/>
      </c>
      <c r="DR116" s="576">
        <f t="shared" si="1182"/>
      </c>
      <c r="DS116" s="576">
        <f t="shared" si="1182"/>
      </c>
      <c r="DT116" s="576">
        <f t="shared" si="1182"/>
      </c>
      <c r="DU116" s="578">
        <f t="shared" si="1182"/>
      </c>
      <c r="DV116" s="576">
        <f t="shared" si="1182"/>
      </c>
      <c r="DW116" s="576">
        <f t="shared" si="1182"/>
      </c>
      <c r="DX116" s="576">
        <f t="shared" si="1182"/>
      </c>
      <c r="DY116" s="578">
        <f t="shared" si="1182"/>
      </c>
      <c r="DZ116" s="576">
        <f t="shared" si="1182"/>
      </c>
      <c r="EA116" s="576">
        <f t="shared" ref="EA116:EK116" si="1183">EA$38</f>
      </c>
      <c r="EB116" s="576">
        <f t="shared" si="1183"/>
      </c>
      <c r="EC116" s="578">
        <f t="shared" si="1183"/>
      </c>
      <c r="ED116" s="576">
        <f t="shared" si="1183"/>
      </c>
      <c r="EE116" s="576">
        <f t="shared" si="1183"/>
      </c>
      <c r="EF116" s="576">
        <f t="shared" si="1183"/>
      </c>
      <c r="EG116" s="578">
        <f t="shared" si="1183"/>
      </c>
      <c r="EH116" s="576">
        <f t="shared" si="1183"/>
      </c>
      <c r="EI116" s="576">
        <f t="shared" si="1183"/>
      </c>
      <c r="EJ116" s="576">
        <f t="shared" si="1183"/>
      </c>
      <c r="EK116" s="578">
        <f t="shared" si="1183"/>
      </c>
      <c r="EL116" s="11"/>
      <c r="EM116" s="658"/>
      <c r="EN116" s="658"/>
      <c r="EO116" s="658"/>
      <c r="EP116" s="658"/>
      <c r="EQ116" s="658"/>
      <c r="ER116" s="658"/>
      <c r="ES116" s="658"/>
      <c r="ET116" s="658"/>
      <c r="EU116" s="658"/>
      <c r="EV116" s="658"/>
      <c r="EW116" s="658"/>
      <c r="EX116" s="658"/>
      <c r="EY116" s="658"/>
      <c r="EZ116" s="658"/>
      <c r="FA116" s="658"/>
      <c r="FB116" s="658"/>
      <c r="FC116" s="658"/>
      <c r="FD116" s="658"/>
      <c r="FE116" s="658"/>
      <c r="FF116" s="658"/>
      <c r="FG116" s="658"/>
      <c r="FH116" s="658"/>
      <c r="FI116" s="658"/>
      <c r="FJ116" s="658"/>
      <c r="FK116" s="658"/>
      <c r="FL116" s="658"/>
      <c r="FM116" s="658"/>
      <c r="FN116" s="658"/>
      <c r="FO116" s="658"/>
      <c r="FP116" s="658"/>
      <c r="FQ116" s="658"/>
      <c r="FR116" s="658"/>
      <c r="FS116" s="658"/>
      <c r="FT116" s="658"/>
      <c r="FU116" s="658"/>
      <c r="FV116" s="658"/>
      <c r="FW116" s="658"/>
      <c r="FX116" s="658"/>
      <c r="FY116" s="658"/>
      <c r="FZ116" s="658"/>
      <c r="GA116" s="658"/>
      <c r="GB116" s="658"/>
      <c r="GC116" s="658"/>
      <c r="GD116" s="658"/>
      <c r="GE116" s="658"/>
      <c r="GF116" s="658"/>
      <c r="GG116" s="658"/>
      <c r="GH116" s="658"/>
      <c r="GI116" s="658"/>
      <c r="GJ116" s="658"/>
      <c r="GK116" s="658"/>
      <c r="GL116" s="658"/>
      <c r="GM116" s="658"/>
      <c r="GN116" s="658"/>
      <c r="GO116" s="658"/>
      <c r="GP116" s="658"/>
      <c r="GQ116" s="658"/>
      <c r="GR116" s="658"/>
      <c r="GS116" s="658"/>
      <c r="GT116" s="658"/>
      <c r="GU116" s="658"/>
      <c r="GV116" s="658"/>
      <c r="GW116" s="658"/>
      <c r="GX116" s="658"/>
      <c r="GY116" s="658"/>
      <c r="GZ116" s="658"/>
      <c r="HA116" s="658"/>
      <c r="HB116" s="658"/>
      <c r="HC116" s="658"/>
      <c r="HD116" s="658"/>
    </row>
    <row r="117" spans="1:212" s="673" customFormat="1" ht="11.4">
      <c r="A117" s="667" t="str">
        <f t="shared" ref="A117:A125" si="1184">A9</f>
      </c>
      <c r="B117" s="668"/>
      <c r="C117" s="668">
        <f t="shared" ref="C117:AH117" si="1185">C9-B9</f>
      </c>
      <c r="D117" s="668">
        <f t="shared" si="1185"/>
      </c>
      <c r="E117" s="669">
        <f t="shared" si="1185"/>
      </c>
      <c r="F117" s="668">
        <f t="shared" si="1185"/>
      </c>
      <c r="G117" s="668">
        <f t="shared" si="1185"/>
      </c>
      <c r="H117" s="668">
        <f t="shared" si="1185"/>
      </c>
      <c r="I117" s="668">
        <f t="shared" si="1185"/>
      </c>
      <c r="J117" s="668">
        <f t="shared" si="1185"/>
      </c>
      <c r="K117" s="668">
        <f t="shared" si="1185"/>
      </c>
      <c r="L117" s="668">
        <f t="shared" si="1185"/>
      </c>
      <c r="M117" s="668">
        <f t="shared" si="1185"/>
      </c>
      <c r="N117" s="668">
        <f t="shared" si="1185"/>
      </c>
      <c r="O117" s="668">
        <f t="shared" si="1185"/>
      </c>
      <c r="P117" s="668">
        <f t="shared" si="1185"/>
      </c>
      <c r="Q117" s="668">
        <f t="shared" si="1185"/>
      </c>
      <c r="R117" s="668">
        <f t="shared" si="1185"/>
      </c>
      <c r="S117" s="668">
        <f t="shared" si="1185"/>
      </c>
      <c r="T117" s="668">
        <f t="shared" si="1185"/>
      </c>
      <c r="U117" s="668">
        <f t="shared" si="1185"/>
      </c>
      <c r="V117" s="668">
        <f t="shared" si="1185"/>
      </c>
      <c r="W117" s="668">
        <f t="shared" si="1185"/>
      </c>
      <c r="X117" s="668">
        <f t="shared" si="1185"/>
      </c>
      <c r="Y117" s="668">
        <f t="shared" si="1185"/>
      </c>
      <c r="Z117" s="668">
        <f t="shared" si="1185"/>
      </c>
      <c r="AA117" s="668">
        <f t="shared" si="1185"/>
      </c>
      <c r="AB117" s="668">
        <f t="shared" si="1185"/>
      </c>
      <c r="AC117" s="668">
        <f t="shared" si="1185"/>
      </c>
      <c r="AD117" s="668">
        <f t="shared" si="1185"/>
      </c>
      <c r="AE117" s="668">
        <f t="shared" si="1185"/>
      </c>
      <c r="AF117" s="668">
        <f t="shared" si="1185"/>
      </c>
      <c r="AG117" s="668">
        <f t="shared" si="1185"/>
      </c>
      <c r="AH117" s="668">
        <f t="shared" si="1185"/>
      </c>
      <c r="AI117" s="668">
        <f t="shared" ref="AI117:BN117" si="1186">AI9-AH9</f>
      </c>
      <c r="AJ117" s="668">
        <f t="shared" si="1186"/>
      </c>
      <c r="AK117" s="668">
        <f t="shared" si="1186"/>
      </c>
      <c r="AL117" s="668">
        <f t="shared" si="1186"/>
      </c>
      <c r="AM117" s="668">
        <f t="shared" si="1186"/>
      </c>
      <c r="AN117" s="668">
        <f t="shared" si="1186"/>
      </c>
      <c r="AO117" s="668">
        <f t="shared" si="1186"/>
      </c>
      <c r="AP117" s="668">
        <f t="shared" si="1186"/>
      </c>
      <c r="AQ117" s="668">
        <f t="shared" si="1186"/>
      </c>
      <c r="AR117" s="668">
        <f t="shared" si="1186"/>
      </c>
      <c r="AS117" s="668">
        <f t="shared" si="1186"/>
      </c>
      <c r="AT117" s="668">
        <f t="shared" si="1186"/>
      </c>
      <c r="AU117" s="668">
        <f t="shared" si="1186"/>
      </c>
      <c r="AV117" s="668">
        <f t="shared" si="1186"/>
      </c>
      <c r="AW117" s="668">
        <f t="shared" si="1186"/>
      </c>
      <c r="AX117" s="668">
        <f t="shared" si="1186"/>
      </c>
      <c r="AY117" s="668">
        <f t="shared" si="1186"/>
      </c>
      <c r="AZ117" s="668">
        <f t="shared" si="1186"/>
      </c>
      <c r="BA117" s="668">
        <f t="shared" si="1186"/>
      </c>
      <c r="BB117" s="668">
        <f t="shared" si="1186"/>
      </c>
      <c r="BC117" s="668">
        <f t="shared" si="1186"/>
      </c>
      <c r="BD117" s="668">
        <f t="shared" si="1186"/>
      </c>
      <c r="BE117" s="668">
        <f t="shared" si="1186"/>
      </c>
      <c r="BF117" s="668">
        <f t="shared" si="1186"/>
      </c>
      <c r="BG117" s="668">
        <f t="shared" si="1186"/>
      </c>
      <c r="BH117" s="668">
        <f t="shared" si="1186"/>
      </c>
      <c r="BI117" s="668">
        <f t="shared" si="1186"/>
      </c>
      <c r="BJ117" s="668">
        <f t="shared" si="1186"/>
      </c>
      <c r="BK117" s="668">
        <f t="shared" si="1186"/>
      </c>
      <c r="BL117" s="668">
        <f t="shared" si="1186"/>
      </c>
      <c r="BM117" s="668">
        <f t="shared" si="1186"/>
      </c>
      <c r="BN117" s="668">
        <f t="shared" si="1186"/>
      </c>
      <c r="BO117" s="668">
        <f t="shared" ref="BO117:CT117" si="1187">BO9-BN9</f>
      </c>
      <c r="BP117" s="668">
        <f t="shared" si="1187"/>
      </c>
      <c r="BQ117" s="670">
        <f t="shared" si="1187"/>
      </c>
      <c r="BR117" s="668">
        <f t="shared" si="1187"/>
      </c>
      <c r="BS117" s="668">
        <f t="shared" si="1187"/>
      </c>
      <c r="BT117" s="668">
        <f t="shared" si="1187"/>
      </c>
      <c r="BU117" s="670">
        <f t="shared" si="1187"/>
      </c>
      <c r="BV117" s="668">
        <f t="shared" si="1187"/>
      </c>
      <c r="BW117" s="668">
        <f t="shared" si="1187"/>
      </c>
      <c r="BX117" s="668">
        <f t="shared" si="1187"/>
      </c>
      <c r="BY117" s="670">
        <f t="shared" si="1187"/>
      </c>
      <c r="BZ117" s="668">
        <f t="shared" si="1187"/>
      </c>
      <c r="CA117" s="668">
        <f t="shared" si="1187"/>
      </c>
      <c r="CB117" s="668">
        <f t="shared" si="1187"/>
      </c>
      <c r="CC117" s="670">
        <f t="shared" si="1187"/>
      </c>
      <c r="CD117" s="668">
        <f t="shared" si="1187"/>
      </c>
      <c r="CE117" s="668">
        <f t="shared" si="1187"/>
      </c>
      <c r="CF117" s="668">
        <f t="shared" si="1187"/>
      </c>
      <c r="CG117" s="670">
        <f t="shared" si="1187"/>
      </c>
      <c r="CH117" s="668">
        <f t="shared" si="1187"/>
      </c>
      <c r="CI117" s="668">
        <f t="shared" si="1187"/>
      </c>
      <c r="CJ117" s="668">
        <f t="shared" si="1187"/>
      </c>
      <c r="CK117" s="670">
        <f t="shared" si="1187"/>
      </c>
      <c r="CL117" s="668">
        <f t="shared" si="1187"/>
      </c>
      <c r="CM117" s="668">
        <f t="shared" si="1187"/>
      </c>
      <c r="CN117" s="668">
        <f t="shared" si="1187"/>
      </c>
      <c r="CO117" s="670">
        <f t="shared" si="1187"/>
      </c>
      <c r="CP117" s="668">
        <f t="shared" si="1187"/>
      </c>
      <c r="CQ117" s="668">
        <f t="shared" si="1187"/>
      </c>
      <c r="CR117" s="668">
        <f t="shared" si="1187"/>
      </c>
      <c r="CS117" s="670">
        <f t="shared" si="1187"/>
      </c>
      <c r="CT117" s="668">
        <f t="shared" si="1187"/>
      </c>
      <c r="CU117" s="668">
        <f t="shared" ref="CU117:DU117" si="1188">CU9-CT9</f>
      </c>
      <c r="CV117" s="668">
        <f t="shared" si="1188"/>
      </c>
      <c r="CW117" s="670">
        <f t="shared" si="1188"/>
      </c>
      <c r="CX117" s="668">
        <f t="shared" si="1188"/>
      </c>
      <c r="CY117" s="668">
        <f t="shared" si="1188"/>
      </c>
      <c r="CZ117" s="668">
        <f t="shared" si="1188"/>
      </c>
      <c r="DA117" s="670">
        <f t="shared" si="1188"/>
      </c>
      <c r="DB117" s="668">
        <f t="shared" si="1188"/>
      </c>
      <c r="DC117" s="668">
        <f t="shared" si="1188"/>
      </c>
      <c r="DD117" s="668">
        <f t="shared" si="1188"/>
      </c>
      <c r="DE117" s="670">
        <f t="shared" si="1188"/>
      </c>
      <c r="DF117" s="668">
        <f t="shared" si="1188"/>
      </c>
      <c r="DG117" s="668">
        <f t="shared" si="1188"/>
      </c>
      <c r="DH117" s="668">
        <f t="shared" si="1188"/>
      </c>
      <c r="DI117" s="670">
        <f t="shared" si="1188"/>
      </c>
      <c r="DJ117" s="668">
        <f t="shared" si="1188"/>
      </c>
      <c r="DK117" s="668">
        <f t="shared" si="1188"/>
      </c>
      <c r="DL117" s="668">
        <f t="shared" si="1188"/>
      </c>
      <c r="DM117" s="670">
        <f t="shared" si="1188"/>
      </c>
      <c r="DN117" s="668">
        <f t="shared" si="1188"/>
      </c>
      <c r="DO117" s="668">
        <f t="shared" si="1188"/>
      </c>
      <c r="DP117" s="668">
        <f t="shared" si="1188"/>
      </c>
      <c r="DQ117" s="670">
        <f t="shared" si="1188"/>
      </c>
      <c r="DR117" s="668">
        <f t="shared" si="1188"/>
      </c>
      <c r="DS117" s="668">
        <f t="shared" si="1188"/>
      </c>
      <c r="DT117" s="668">
        <f t="shared" si="1188"/>
      </c>
      <c r="DU117" s="670">
        <f t="shared" si="1188"/>
      </c>
      <c r="DV117" s="668">
        <f t="shared" ref="DV117:DV119" si="1189">DV9-DU9</f>
      </c>
      <c r="DW117" s="668">
        <f t="shared" ref="DW117:DW119" si="1190">DW9-DV9</f>
      </c>
      <c r="DX117" s="668">
        <f t="shared" ref="DX117:DX119" si="1191">DX9-DW9</f>
      </c>
      <c r="DY117" s="670">
        <f t="shared" ref="DY117:DY119" si="1192">DY9-DX9</f>
      </c>
      <c r="DZ117" s="668">
        <f t="shared" ref="DZ117:DZ119" si="1193">DZ9-DY9</f>
      </c>
      <c r="EA117" s="668">
        <f t="shared" ref="EA117:EA119" si="1194">EA9-DZ9</f>
      </c>
      <c r="EB117" s="668">
        <f t="shared" ref="EB117:EB119" si="1195">EB9-EA9</f>
      </c>
      <c r="EC117" s="670">
        <f t="shared" ref="EC117:EC119" si="1196">EC9-EB9</f>
      </c>
      <c r="ED117" s="668">
        <f t="shared" ref="ED117:ED119" si="1197">ED9-EC9</f>
      </c>
      <c r="EE117" s="668">
        <f t="shared" ref="EE117:EE119" si="1198">EE9-ED9</f>
      </c>
      <c r="EF117" s="668">
        <f t="shared" ref="EF117:EF119" si="1199">EF9-EE9</f>
      </c>
      <c r="EG117" s="670">
        <f t="shared" ref="EG117:EG119" si="1200">EG9-EF9</f>
      </c>
      <c r="EH117" s="668">
        <f t="shared" ref="EH117:EH119" si="1201">EH9-EG9</f>
      </c>
      <c r="EI117" s="668">
        <f t="shared" ref="EI117:EI119" si="1202">EI9-EH9</f>
      </c>
      <c r="EJ117" s="668">
        <f t="shared" ref="EJ117:EJ119" si="1203">EJ9-EI9</f>
      </c>
      <c r="EK117" s="670">
        <f t="shared" ref="EK117:EK119" si="1204">EK9-EJ9</f>
      </c>
      <c r="EL117" s="11"/>
      <c r="FM117" s="3125" t="s">
        <v>2298</v>
      </c>
      <c r="FN117" s="3134"/>
      <c r="FO117" s="3134"/>
      <c r="FP117" s="3134"/>
      <c r="FQ117" s="3134"/>
    </row>
    <row r="118" spans="1:212" s="673" customFormat="1" ht="11.4">
      <c r="A118" s="667" t="str">
        <f t="shared" si="1184"/>
      </c>
      <c r="B118" s="668"/>
      <c r="C118" s="668">
        <f t="shared" ref="C118:AH118" si="1205">C10-B10</f>
      </c>
      <c r="D118" s="668">
        <f t="shared" si="1205"/>
      </c>
      <c r="E118" s="669">
        <f t="shared" si="1205"/>
      </c>
      <c r="F118" s="668">
        <f t="shared" si="1205"/>
      </c>
      <c r="G118" s="668">
        <f t="shared" si="1205"/>
      </c>
      <c r="H118" s="668">
        <f t="shared" si="1205"/>
      </c>
      <c r="I118" s="668">
        <f t="shared" si="1205"/>
      </c>
      <c r="J118" s="668">
        <f t="shared" si="1205"/>
      </c>
      <c r="K118" s="668">
        <f t="shared" si="1205"/>
      </c>
      <c r="L118" s="668">
        <f t="shared" si="1205"/>
      </c>
      <c r="M118" s="668">
        <f t="shared" si="1205"/>
      </c>
      <c r="N118" s="668">
        <f t="shared" si="1205"/>
      </c>
      <c r="O118" s="668">
        <f t="shared" si="1205"/>
      </c>
      <c r="P118" s="668">
        <f t="shared" si="1205"/>
      </c>
      <c r="Q118" s="668">
        <f t="shared" si="1205"/>
      </c>
      <c r="R118" s="668">
        <f t="shared" si="1205"/>
      </c>
      <c r="S118" s="668">
        <f t="shared" si="1205"/>
      </c>
      <c r="T118" s="668">
        <f t="shared" si="1205"/>
      </c>
      <c r="U118" s="668">
        <f t="shared" si="1205"/>
      </c>
      <c r="V118" s="668">
        <f t="shared" si="1205"/>
      </c>
      <c r="W118" s="668">
        <f t="shared" si="1205"/>
      </c>
      <c r="X118" s="668">
        <f t="shared" si="1205"/>
      </c>
      <c r="Y118" s="668">
        <f t="shared" si="1205"/>
      </c>
      <c r="Z118" s="668">
        <f t="shared" si="1205"/>
      </c>
      <c r="AA118" s="668">
        <f t="shared" si="1205"/>
      </c>
      <c r="AB118" s="668">
        <f t="shared" si="1205"/>
      </c>
      <c r="AC118" s="668">
        <f t="shared" si="1205"/>
      </c>
      <c r="AD118" s="668">
        <f t="shared" si="1205"/>
      </c>
      <c r="AE118" s="668">
        <f t="shared" si="1205"/>
      </c>
      <c r="AF118" s="668">
        <f t="shared" si="1205"/>
      </c>
      <c r="AG118" s="668">
        <f t="shared" si="1205"/>
      </c>
      <c r="AH118" s="668">
        <f t="shared" si="1205"/>
      </c>
      <c r="AI118" s="668">
        <f t="shared" ref="AI118:BN118" si="1206">AI10-AH10</f>
      </c>
      <c r="AJ118" s="668">
        <f t="shared" si="1206"/>
      </c>
      <c r="AK118" s="668">
        <f t="shared" si="1206"/>
      </c>
      <c r="AL118" s="668">
        <f t="shared" si="1206"/>
      </c>
      <c r="AM118" s="668">
        <f t="shared" si="1206"/>
      </c>
      <c r="AN118" s="668">
        <f t="shared" si="1206"/>
      </c>
      <c r="AO118" s="668">
        <f t="shared" si="1206"/>
      </c>
      <c r="AP118" s="668">
        <f t="shared" si="1206"/>
      </c>
      <c r="AQ118" s="668">
        <f t="shared" si="1206"/>
      </c>
      <c r="AR118" s="668">
        <f t="shared" si="1206"/>
      </c>
      <c r="AS118" s="668">
        <f t="shared" si="1206"/>
      </c>
      <c r="AT118" s="668">
        <f t="shared" si="1206"/>
      </c>
      <c r="AU118" s="668">
        <f t="shared" si="1206"/>
      </c>
      <c r="AV118" s="668">
        <f t="shared" si="1206"/>
      </c>
      <c r="AW118" s="668">
        <f t="shared" si="1206"/>
      </c>
      <c r="AX118" s="668">
        <f t="shared" si="1206"/>
      </c>
      <c r="AY118" s="668">
        <f t="shared" si="1206"/>
      </c>
      <c r="AZ118" s="668">
        <f t="shared" si="1206"/>
      </c>
      <c r="BA118" s="668">
        <f t="shared" si="1206"/>
      </c>
      <c r="BB118" s="668">
        <f t="shared" si="1206"/>
      </c>
      <c r="BC118" s="668">
        <f t="shared" si="1206"/>
      </c>
      <c r="BD118" s="668">
        <f t="shared" si="1206"/>
      </c>
      <c r="BE118" s="668">
        <f t="shared" si="1206"/>
      </c>
      <c r="BF118" s="668">
        <f t="shared" si="1206"/>
      </c>
      <c r="BG118" s="668">
        <f t="shared" si="1206"/>
      </c>
      <c r="BH118" s="668">
        <f t="shared" si="1206"/>
      </c>
      <c r="BI118" s="668">
        <f t="shared" si="1206"/>
      </c>
      <c r="BJ118" s="668">
        <f t="shared" si="1206"/>
      </c>
      <c r="BK118" s="668">
        <f t="shared" si="1206"/>
      </c>
      <c r="BL118" s="668">
        <f t="shared" si="1206"/>
      </c>
      <c r="BM118" s="668">
        <f t="shared" si="1206"/>
      </c>
      <c r="BN118" s="668">
        <f t="shared" si="1206"/>
      </c>
      <c r="BO118" s="668">
        <f t="shared" ref="BO118:CT118" si="1207">BO10-BN10</f>
      </c>
      <c r="BP118" s="668">
        <f t="shared" si="1207"/>
      </c>
      <c r="BQ118" s="670">
        <f t="shared" si="1207"/>
      </c>
      <c r="BR118" s="668">
        <f t="shared" si="1207"/>
      </c>
      <c r="BS118" s="668">
        <f t="shared" si="1207"/>
      </c>
      <c r="BT118" s="668">
        <f t="shared" si="1207"/>
      </c>
      <c r="BU118" s="670">
        <f t="shared" si="1207"/>
      </c>
      <c r="BV118" s="668">
        <f t="shared" si="1207"/>
      </c>
      <c r="BW118" s="668">
        <f t="shared" si="1207"/>
      </c>
      <c r="BX118" s="668">
        <f t="shared" si="1207"/>
      </c>
      <c r="BY118" s="670">
        <f t="shared" si="1207"/>
      </c>
      <c r="BZ118" s="668">
        <f t="shared" si="1207"/>
      </c>
      <c r="CA118" s="668">
        <f t="shared" si="1207"/>
      </c>
      <c r="CB118" s="668">
        <f t="shared" si="1207"/>
      </c>
      <c r="CC118" s="670">
        <f t="shared" si="1207"/>
      </c>
      <c r="CD118" s="668">
        <f t="shared" si="1207"/>
      </c>
      <c r="CE118" s="668">
        <f t="shared" si="1207"/>
      </c>
      <c r="CF118" s="668">
        <f t="shared" si="1207"/>
      </c>
      <c r="CG118" s="670">
        <f t="shared" si="1207"/>
      </c>
      <c r="CH118" s="668">
        <f t="shared" si="1207"/>
      </c>
      <c r="CI118" s="668">
        <f t="shared" si="1207"/>
      </c>
      <c r="CJ118" s="668">
        <f t="shared" si="1207"/>
      </c>
      <c r="CK118" s="670">
        <f t="shared" si="1207"/>
      </c>
      <c r="CL118" s="668">
        <f t="shared" si="1207"/>
      </c>
      <c r="CM118" s="668">
        <f t="shared" si="1207"/>
      </c>
      <c r="CN118" s="668">
        <f t="shared" si="1207"/>
      </c>
      <c r="CO118" s="670">
        <f t="shared" si="1207"/>
      </c>
      <c r="CP118" s="668">
        <f t="shared" si="1207"/>
      </c>
      <c r="CQ118" s="668">
        <f t="shared" si="1207"/>
      </c>
      <c r="CR118" s="668">
        <f t="shared" si="1207"/>
      </c>
      <c r="CS118" s="670">
        <f t="shared" si="1207"/>
      </c>
      <c r="CT118" s="668">
        <f t="shared" si="1207"/>
      </c>
      <c r="CU118" s="668">
        <f t="shared" ref="CU118:DU118" si="1208">CU10-CT10</f>
      </c>
      <c r="CV118" s="668">
        <f t="shared" si="1208"/>
      </c>
      <c r="CW118" s="670">
        <f t="shared" si="1208"/>
      </c>
      <c r="CX118" s="668">
        <f t="shared" si="1208"/>
      </c>
      <c r="CY118" s="668">
        <f t="shared" si="1208"/>
      </c>
      <c r="CZ118" s="668">
        <f t="shared" si="1208"/>
      </c>
      <c r="DA118" s="670">
        <f t="shared" si="1208"/>
      </c>
      <c r="DB118" s="668">
        <f t="shared" si="1208"/>
      </c>
      <c r="DC118" s="668">
        <f t="shared" si="1208"/>
      </c>
      <c r="DD118" s="668">
        <f t="shared" si="1208"/>
      </c>
      <c r="DE118" s="670">
        <f t="shared" si="1208"/>
      </c>
      <c r="DF118" s="668">
        <f t="shared" si="1208"/>
      </c>
      <c r="DG118" s="668">
        <f t="shared" si="1208"/>
      </c>
      <c r="DH118" s="668">
        <f t="shared" si="1208"/>
      </c>
      <c r="DI118" s="670">
        <f t="shared" si="1208"/>
      </c>
      <c r="DJ118" s="668">
        <f t="shared" si="1208"/>
      </c>
      <c r="DK118" s="668">
        <f t="shared" si="1208"/>
      </c>
      <c r="DL118" s="668">
        <f t="shared" si="1208"/>
      </c>
      <c r="DM118" s="670">
        <f t="shared" si="1208"/>
      </c>
      <c r="DN118" s="668">
        <f t="shared" si="1208"/>
      </c>
      <c r="DO118" s="668">
        <f t="shared" si="1208"/>
      </c>
      <c r="DP118" s="668">
        <f t="shared" si="1208"/>
      </c>
      <c r="DQ118" s="670">
        <f t="shared" si="1208"/>
      </c>
      <c r="DR118" s="668">
        <f t="shared" si="1208"/>
      </c>
      <c r="DS118" s="668">
        <f t="shared" si="1208"/>
      </c>
      <c r="DT118" s="668">
        <f t="shared" si="1208"/>
      </c>
      <c r="DU118" s="670">
        <f t="shared" si="1208"/>
      </c>
      <c r="DV118" s="668">
        <f t="shared" si="1189"/>
      </c>
      <c r="DW118" s="668">
        <f t="shared" si="1190"/>
      </c>
      <c r="DX118" s="668">
        <f t="shared" si="1191"/>
      </c>
      <c r="DY118" s="670">
        <f t="shared" si="1192"/>
      </c>
      <c r="DZ118" s="668">
        <f t="shared" si="1193"/>
      </c>
      <c r="EA118" s="668">
        <f t="shared" si="1194"/>
      </c>
      <c r="EB118" s="668">
        <f t="shared" si="1195"/>
      </c>
      <c r="EC118" s="670">
        <f t="shared" si="1196"/>
      </c>
      <c r="ED118" s="668">
        <f t="shared" si="1197"/>
      </c>
      <c r="EE118" s="668">
        <f t="shared" si="1198"/>
      </c>
      <c r="EF118" s="668">
        <f t="shared" si="1199"/>
      </c>
      <c r="EG118" s="670">
        <f t="shared" si="1200"/>
      </c>
      <c r="EH118" s="668">
        <f t="shared" si="1201"/>
      </c>
      <c r="EI118" s="668">
        <f t="shared" si="1202"/>
      </c>
      <c r="EJ118" s="668">
        <f t="shared" si="1203"/>
      </c>
      <c r="EK118" s="670">
        <f t="shared" si="1204"/>
      </c>
      <c r="EL118" s="11"/>
      <c r="FM118" s="2570"/>
      <c r="FN118" s="3136" t="s">
        <v>2283</v>
      </c>
      <c r="FO118" s="3136" t="s">
        <v>2284</v>
      </c>
      <c r="FP118" s="3136" t="s">
        <v>2285</v>
      </c>
      <c r="FQ118" s="3136" t="s">
        <v>2286</v>
      </c>
    </row>
    <row r="119" spans="1:212" s="673" customFormat="1" ht="11.4">
      <c r="A119" s="675" t="str">
        <f t="shared" si="1184"/>
      </c>
      <c r="B119" s="676"/>
      <c r="C119" s="676">
        <f t="shared" ref="C119:AH119" si="1209">C11-B11</f>
      </c>
      <c r="D119" s="676">
        <f t="shared" si="1209"/>
      </c>
      <c r="E119" s="677">
        <f t="shared" si="1209"/>
      </c>
      <c r="F119" s="676">
        <f t="shared" si="1209"/>
      </c>
      <c r="G119" s="676">
        <f t="shared" si="1209"/>
      </c>
      <c r="H119" s="676">
        <f t="shared" si="1209"/>
      </c>
      <c r="I119" s="676">
        <f t="shared" si="1209"/>
      </c>
      <c r="J119" s="676">
        <f t="shared" si="1209"/>
      </c>
      <c r="K119" s="676">
        <f t="shared" si="1209"/>
      </c>
      <c r="L119" s="676">
        <f t="shared" si="1209"/>
      </c>
      <c r="M119" s="676">
        <f t="shared" si="1209"/>
      </c>
      <c r="N119" s="676">
        <f t="shared" si="1209"/>
      </c>
      <c r="O119" s="676">
        <f t="shared" si="1209"/>
      </c>
      <c r="P119" s="676">
        <f t="shared" si="1209"/>
      </c>
      <c r="Q119" s="676">
        <f t="shared" si="1209"/>
      </c>
      <c r="R119" s="676">
        <f t="shared" si="1209"/>
      </c>
      <c r="S119" s="676">
        <f t="shared" si="1209"/>
      </c>
      <c r="T119" s="676">
        <f t="shared" si="1209"/>
      </c>
      <c r="U119" s="676">
        <f t="shared" si="1209"/>
      </c>
      <c r="V119" s="676">
        <f t="shared" si="1209"/>
      </c>
      <c r="W119" s="676">
        <f t="shared" si="1209"/>
      </c>
      <c r="X119" s="676">
        <f t="shared" si="1209"/>
      </c>
      <c r="Y119" s="676">
        <f t="shared" si="1209"/>
      </c>
      <c r="Z119" s="676">
        <f t="shared" si="1209"/>
      </c>
      <c r="AA119" s="676">
        <f t="shared" si="1209"/>
      </c>
      <c r="AB119" s="676">
        <f t="shared" si="1209"/>
      </c>
      <c r="AC119" s="676">
        <f t="shared" si="1209"/>
      </c>
      <c r="AD119" s="676">
        <f t="shared" si="1209"/>
      </c>
      <c r="AE119" s="676">
        <f t="shared" si="1209"/>
      </c>
      <c r="AF119" s="676">
        <f t="shared" si="1209"/>
      </c>
      <c r="AG119" s="676">
        <f t="shared" si="1209"/>
      </c>
      <c r="AH119" s="676">
        <f t="shared" si="1209"/>
      </c>
      <c r="AI119" s="676">
        <f t="shared" ref="AI119:BN119" si="1210">AI11-AH11</f>
      </c>
      <c r="AJ119" s="676">
        <f t="shared" si="1210"/>
      </c>
      <c r="AK119" s="676">
        <f t="shared" si="1210"/>
      </c>
      <c r="AL119" s="676">
        <f t="shared" si="1210"/>
      </c>
      <c r="AM119" s="676">
        <f t="shared" si="1210"/>
      </c>
      <c r="AN119" s="676">
        <f t="shared" si="1210"/>
      </c>
      <c r="AO119" s="676">
        <f t="shared" si="1210"/>
      </c>
      <c r="AP119" s="676">
        <f t="shared" si="1210"/>
      </c>
      <c r="AQ119" s="676">
        <f t="shared" si="1210"/>
      </c>
      <c r="AR119" s="676">
        <f t="shared" si="1210"/>
      </c>
      <c r="AS119" s="676">
        <f t="shared" si="1210"/>
      </c>
      <c r="AT119" s="676">
        <f t="shared" si="1210"/>
      </c>
      <c r="AU119" s="676">
        <f t="shared" si="1210"/>
      </c>
      <c r="AV119" s="676">
        <f t="shared" si="1210"/>
      </c>
      <c r="AW119" s="676">
        <f t="shared" si="1210"/>
      </c>
      <c r="AX119" s="676">
        <f t="shared" si="1210"/>
      </c>
      <c r="AY119" s="676">
        <f t="shared" si="1210"/>
      </c>
      <c r="AZ119" s="676">
        <f t="shared" si="1210"/>
      </c>
      <c r="BA119" s="676">
        <f t="shared" si="1210"/>
      </c>
      <c r="BB119" s="676">
        <f t="shared" si="1210"/>
      </c>
      <c r="BC119" s="676">
        <f t="shared" si="1210"/>
      </c>
      <c r="BD119" s="676">
        <f t="shared" si="1210"/>
      </c>
      <c r="BE119" s="676">
        <f t="shared" si="1210"/>
      </c>
      <c r="BF119" s="676">
        <f t="shared" si="1210"/>
      </c>
      <c r="BG119" s="676">
        <f t="shared" si="1210"/>
      </c>
      <c r="BH119" s="676">
        <f t="shared" si="1210"/>
      </c>
      <c r="BI119" s="676">
        <f t="shared" si="1210"/>
      </c>
      <c r="BJ119" s="676">
        <f t="shared" si="1210"/>
      </c>
      <c r="BK119" s="676">
        <f t="shared" si="1210"/>
      </c>
      <c r="BL119" s="676">
        <f t="shared" si="1210"/>
      </c>
      <c r="BM119" s="676">
        <f t="shared" si="1210"/>
      </c>
      <c r="BN119" s="676">
        <f t="shared" si="1210"/>
      </c>
      <c r="BO119" s="676">
        <f t="shared" ref="BO119:CT119" si="1211">BO11-BN11</f>
      </c>
      <c r="BP119" s="676">
        <f t="shared" si="1211"/>
      </c>
      <c r="BQ119" s="678">
        <f t="shared" si="1211"/>
      </c>
      <c r="BR119" s="676">
        <f t="shared" si="1211"/>
      </c>
      <c r="BS119" s="676">
        <f t="shared" si="1211"/>
      </c>
      <c r="BT119" s="676">
        <f t="shared" si="1211"/>
      </c>
      <c r="BU119" s="678">
        <f t="shared" si="1211"/>
      </c>
      <c r="BV119" s="676">
        <f t="shared" si="1211"/>
      </c>
      <c r="BW119" s="676">
        <f t="shared" si="1211"/>
      </c>
      <c r="BX119" s="676">
        <f t="shared" si="1211"/>
      </c>
      <c r="BY119" s="678">
        <f t="shared" si="1211"/>
      </c>
      <c r="BZ119" s="676">
        <f t="shared" si="1211"/>
      </c>
      <c r="CA119" s="676">
        <f t="shared" si="1211"/>
      </c>
      <c r="CB119" s="676">
        <f t="shared" si="1211"/>
      </c>
      <c r="CC119" s="678">
        <f t="shared" si="1211"/>
      </c>
      <c r="CD119" s="676">
        <f t="shared" si="1211"/>
      </c>
      <c r="CE119" s="676">
        <f t="shared" si="1211"/>
      </c>
      <c r="CF119" s="676">
        <f t="shared" si="1211"/>
      </c>
      <c r="CG119" s="678">
        <f t="shared" si="1211"/>
      </c>
      <c r="CH119" s="676">
        <f t="shared" si="1211"/>
      </c>
      <c r="CI119" s="676">
        <f t="shared" si="1211"/>
      </c>
      <c r="CJ119" s="676">
        <f t="shared" si="1211"/>
      </c>
      <c r="CK119" s="678">
        <f t="shared" si="1211"/>
      </c>
      <c r="CL119" s="676">
        <f t="shared" si="1211"/>
      </c>
      <c r="CM119" s="676">
        <f t="shared" si="1211"/>
      </c>
      <c r="CN119" s="676">
        <f t="shared" si="1211"/>
      </c>
      <c r="CO119" s="678">
        <f t="shared" si="1211"/>
      </c>
      <c r="CP119" s="676">
        <f t="shared" si="1211"/>
      </c>
      <c r="CQ119" s="676">
        <f t="shared" si="1211"/>
      </c>
      <c r="CR119" s="676">
        <f t="shared" si="1211"/>
      </c>
      <c r="CS119" s="678">
        <f t="shared" si="1211"/>
      </c>
      <c r="CT119" s="676">
        <f t="shared" si="1211"/>
      </c>
      <c r="CU119" s="676">
        <f t="shared" ref="CU119:DU119" si="1212">CU11-CT11</f>
      </c>
      <c r="CV119" s="676">
        <f t="shared" si="1212"/>
      </c>
      <c r="CW119" s="678">
        <f t="shared" si="1212"/>
      </c>
      <c r="CX119" s="676">
        <f t="shared" si="1212"/>
      </c>
      <c r="CY119" s="676">
        <f t="shared" si="1212"/>
      </c>
      <c r="CZ119" s="676">
        <f t="shared" si="1212"/>
      </c>
      <c r="DA119" s="678">
        <f t="shared" si="1212"/>
      </c>
      <c r="DB119" s="676">
        <f t="shared" si="1212"/>
      </c>
      <c r="DC119" s="676">
        <f t="shared" si="1212"/>
      </c>
      <c r="DD119" s="676">
        <f t="shared" si="1212"/>
      </c>
      <c r="DE119" s="678">
        <f t="shared" si="1212"/>
      </c>
      <c r="DF119" s="676">
        <f t="shared" si="1212"/>
      </c>
      <c r="DG119" s="676">
        <f t="shared" si="1212"/>
      </c>
      <c r="DH119" s="676">
        <f t="shared" si="1212"/>
      </c>
      <c r="DI119" s="678">
        <f t="shared" si="1212"/>
      </c>
      <c r="DJ119" s="676">
        <f t="shared" si="1212"/>
      </c>
      <c r="DK119" s="676">
        <f t="shared" si="1212"/>
      </c>
      <c r="DL119" s="676">
        <f t="shared" si="1212"/>
      </c>
      <c r="DM119" s="678">
        <f t="shared" si="1212"/>
      </c>
      <c r="DN119" s="676">
        <f t="shared" si="1212"/>
      </c>
      <c r="DO119" s="676">
        <f t="shared" si="1212"/>
      </c>
      <c r="DP119" s="676">
        <f t="shared" si="1212"/>
      </c>
      <c r="DQ119" s="678">
        <f t="shared" si="1212"/>
      </c>
      <c r="DR119" s="676">
        <f t="shared" si="1212"/>
      </c>
      <c r="DS119" s="676">
        <f t="shared" si="1212"/>
      </c>
      <c r="DT119" s="676">
        <f t="shared" si="1212"/>
      </c>
      <c r="DU119" s="678">
        <f t="shared" si="1212"/>
      </c>
      <c r="DV119" s="676">
        <f t="shared" si="1189"/>
      </c>
      <c r="DW119" s="676">
        <f t="shared" si="1190"/>
      </c>
      <c r="DX119" s="676">
        <f t="shared" si="1191"/>
      </c>
      <c r="DY119" s="678">
        <f t="shared" si="1192"/>
      </c>
      <c r="DZ119" s="676">
        <f t="shared" si="1193"/>
      </c>
      <c r="EA119" s="676">
        <f t="shared" si="1194"/>
      </c>
      <c r="EB119" s="676">
        <f t="shared" si="1195"/>
      </c>
      <c r="EC119" s="678">
        <f t="shared" si="1196"/>
      </c>
      <c r="ED119" s="676">
        <f t="shared" si="1197"/>
      </c>
      <c r="EE119" s="676">
        <f t="shared" si="1198"/>
      </c>
      <c r="EF119" s="676">
        <f t="shared" si="1199"/>
      </c>
      <c r="EG119" s="678">
        <f t="shared" si="1200"/>
      </c>
      <c r="EH119" s="676">
        <f t="shared" si="1201"/>
      </c>
      <c r="EI119" s="676">
        <f t="shared" si="1202"/>
      </c>
      <c r="EJ119" s="676">
        <f t="shared" si="1203"/>
      </c>
      <c r="EK119" s="678">
        <f t="shared" si="1204"/>
      </c>
      <c r="EL119" s="11"/>
      <c r="FD119" s="674"/>
      <c r="FE119" s="674"/>
      <c r="FF119" s="674"/>
      <c r="FG119" s="674"/>
      <c r="FH119" s="674"/>
      <c r="FM119" s="3126" t="s">
        <v>2297</v>
      </c>
      <c r="FN119" s="3142">
        <f>VLOOKUP($A$122,$A$122:$EL$122,MATCH(CONCATENATE(FN$118,$FM119),$A$7:$EL$7,0),0)</f>
      </c>
      <c r="FO119" s="3142">
        <f t="shared" ref="FO119:FQ134" si="1213">VLOOKUP($A$122,$A$122:$EL$122,MATCH(CONCATENATE(FO$118,$FM119),$A$7:$EL$7,0),0)</f>
      </c>
      <c r="FP119" s="3142">
        <f t="shared" si="1213"/>
      </c>
      <c r="FQ119" s="3142">
        <f t="shared" si="1213"/>
      </c>
    </row>
    <row r="120" spans="1:212" s="673" customFormat="1" ht="11.4">
      <c r="A120" s="667" t="str">
        <f t="shared" si="1184"/>
      </c>
      <c r="B120" s="668"/>
      <c r="C120" s="668">
        <f t="shared" ref="C120:AH120" si="1214">C12-B12</f>
      </c>
      <c r="D120" s="668">
        <f t="shared" si="1214"/>
      </c>
      <c r="E120" s="669">
        <f t="shared" si="1214"/>
      </c>
      <c r="F120" s="668">
        <f t="shared" si="1214"/>
      </c>
      <c r="G120" s="668">
        <f t="shared" si="1214"/>
      </c>
      <c r="H120" s="668">
        <f t="shared" si="1214"/>
      </c>
      <c r="I120" s="668">
        <f t="shared" si="1214"/>
      </c>
      <c r="J120" s="668">
        <f t="shared" si="1214"/>
      </c>
      <c r="K120" s="668">
        <f t="shared" si="1214"/>
      </c>
      <c r="L120" s="668">
        <f t="shared" si="1214"/>
      </c>
      <c r="M120" s="668">
        <f t="shared" si="1214"/>
      </c>
      <c r="N120" s="668">
        <f t="shared" si="1214"/>
      </c>
      <c r="O120" s="668">
        <f t="shared" si="1214"/>
      </c>
      <c r="P120" s="668">
        <f t="shared" si="1214"/>
      </c>
      <c r="Q120" s="668">
        <f t="shared" si="1214"/>
      </c>
      <c r="R120" s="668">
        <f t="shared" si="1214"/>
      </c>
      <c r="S120" s="668">
        <f t="shared" si="1214"/>
      </c>
      <c r="T120" s="668">
        <f t="shared" si="1214"/>
      </c>
      <c r="U120" s="668">
        <f t="shared" si="1214"/>
      </c>
      <c r="V120" s="668">
        <f t="shared" si="1214"/>
      </c>
      <c r="W120" s="668">
        <f t="shared" si="1214"/>
      </c>
      <c r="X120" s="668">
        <f t="shared" si="1214"/>
      </c>
      <c r="Y120" s="668">
        <f t="shared" si="1214"/>
      </c>
      <c r="Z120" s="668">
        <f t="shared" si="1214"/>
      </c>
      <c r="AA120" s="668">
        <f t="shared" si="1214"/>
      </c>
      <c r="AB120" s="668">
        <f t="shared" si="1214"/>
      </c>
      <c r="AC120" s="668">
        <f t="shared" si="1214"/>
      </c>
      <c r="AD120" s="668">
        <f t="shared" si="1214"/>
      </c>
      <c r="AE120" s="668">
        <f t="shared" si="1214"/>
      </c>
      <c r="AF120" s="668">
        <f t="shared" si="1214"/>
      </c>
      <c r="AG120" s="668">
        <f t="shared" si="1214"/>
      </c>
      <c r="AH120" s="668">
        <f t="shared" si="1214"/>
      </c>
      <c r="AI120" s="668">
        <f t="shared" ref="AI120:BN120" si="1215">AI12-AH12</f>
      </c>
      <c r="AJ120" s="668">
        <f t="shared" si="1215"/>
      </c>
      <c r="AK120" s="668">
        <f t="shared" si="1215"/>
      </c>
      <c r="AL120" s="668">
        <f t="shared" si="1215"/>
      </c>
      <c r="AM120" s="668">
        <f t="shared" si="1215"/>
      </c>
      <c r="AN120" s="668">
        <f t="shared" si="1215"/>
      </c>
      <c r="AO120" s="668">
        <f t="shared" si="1215"/>
      </c>
      <c r="AP120" s="668">
        <f t="shared" si="1215"/>
      </c>
      <c r="AQ120" s="668">
        <f t="shared" si="1215"/>
      </c>
      <c r="AR120" s="668">
        <f t="shared" si="1215"/>
      </c>
      <c r="AS120" s="668">
        <f t="shared" si="1215"/>
      </c>
      <c r="AT120" s="668">
        <f t="shared" si="1215"/>
      </c>
      <c r="AU120" s="668">
        <f t="shared" si="1215"/>
      </c>
      <c r="AV120" s="668">
        <f t="shared" si="1215"/>
      </c>
      <c r="AW120" s="668">
        <f t="shared" si="1215"/>
      </c>
      <c r="AX120" s="668">
        <f t="shared" si="1215"/>
      </c>
      <c r="AY120" s="668">
        <f t="shared" si="1215"/>
      </c>
      <c r="AZ120" s="668">
        <f t="shared" si="1215"/>
      </c>
      <c r="BA120" s="668">
        <f t="shared" si="1215"/>
      </c>
      <c r="BB120" s="668">
        <f t="shared" si="1215"/>
      </c>
      <c r="BC120" s="668">
        <f t="shared" si="1215"/>
      </c>
      <c r="BD120" s="668">
        <f t="shared" si="1215"/>
      </c>
      <c r="BE120" s="668">
        <f t="shared" si="1215"/>
      </c>
      <c r="BF120" s="668">
        <f t="shared" si="1215"/>
      </c>
      <c r="BG120" s="668">
        <f t="shared" si="1215"/>
      </c>
      <c r="BH120" s="668">
        <f t="shared" si="1215"/>
      </c>
      <c r="BI120" s="668">
        <f t="shared" si="1215"/>
      </c>
      <c r="BJ120" s="668">
        <f t="shared" si="1215"/>
      </c>
      <c r="BK120" s="668">
        <f t="shared" si="1215"/>
      </c>
      <c r="BL120" s="668">
        <f t="shared" si="1215"/>
      </c>
      <c r="BM120" s="668">
        <f t="shared" si="1215"/>
      </c>
      <c r="BN120" s="668">
        <f t="shared" si="1215"/>
      </c>
      <c r="BO120" s="668">
        <f t="shared" ref="BO120:CT120" si="1216">BO12-BN12</f>
      </c>
      <c r="BP120" s="668">
        <f t="shared" si="1216"/>
      </c>
      <c r="BQ120" s="670">
        <f t="shared" si="1216"/>
      </c>
      <c r="BR120" s="668">
        <f t="shared" si="1216"/>
      </c>
      <c r="BS120" s="668">
        <f t="shared" si="1216"/>
      </c>
      <c r="BT120" s="668">
        <f t="shared" si="1216"/>
      </c>
      <c r="BU120" s="670">
        <f t="shared" si="1216"/>
      </c>
      <c r="BV120" s="668">
        <f t="shared" si="1216"/>
      </c>
      <c r="BW120" s="668">
        <f t="shared" si="1216"/>
      </c>
      <c r="BX120" s="668">
        <f t="shared" si="1216"/>
      </c>
      <c r="BY120" s="670">
        <f t="shared" si="1216"/>
      </c>
      <c r="BZ120" s="668">
        <f t="shared" si="1216"/>
      </c>
      <c r="CA120" s="668">
        <f t="shared" si="1216"/>
      </c>
      <c r="CB120" s="668">
        <f t="shared" si="1216"/>
      </c>
      <c r="CC120" s="670">
        <f t="shared" si="1216"/>
      </c>
      <c r="CD120" s="668">
        <f t="shared" si="1216"/>
      </c>
      <c r="CE120" s="668">
        <f t="shared" si="1216"/>
      </c>
      <c r="CF120" s="668">
        <f t="shared" si="1216"/>
      </c>
      <c r="CG120" s="670">
        <f t="shared" si="1216"/>
      </c>
      <c r="CH120" s="668">
        <f t="shared" si="1216"/>
      </c>
      <c r="CI120" s="668">
        <f t="shared" si="1216"/>
      </c>
      <c r="CJ120" s="668">
        <f t="shared" si="1216"/>
      </c>
      <c r="CK120" s="670">
        <f t="shared" si="1216"/>
      </c>
      <c r="CL120" s="668">
        <f t="shared" si="1216"/>
      </c>
      <c r="CM120" s="668">
        <f t="shared" si="1216"/>
      </c>
      <c r="CN120" s="668">
        <f t="shared" si="1216"/>
      </c>
      <c r="CO120" s="670">
        <f t="shared" si="1216"/>
      </c>
      <c r="CP120" s="668">
        <f t="shared" si="1216"/>
      </c>
      <c r="CQ120" s="668">
        <f t="shared" si="1216"/>
      </c>
      <c r="CR120" s="668">
        <f t="shared" si="1216"/>
      </c>
      <c r="CS120" s="670">
        <f t="shared" si="1216"/>
      </c>
      <c r="CT120" s="668">
        <f t="shared" si="1216"/>
      </c>
      <c r="CU120" s="668">
        <f t="shared" ref="CU120:DP121" si="1217">CU12-CT12</f>
      </c>
      <c r="CV120" s="668">
        <f t="shared" si="1217"/>
      </c>
      <c r="CW120" s="670">
        <f t="shared" si="1217"/>
      </c>
      <c r="CX120" s="668">
        <f t="shared" si="1217"/>
      </c>
      <c r="CY120" s="668">
        <f t="shared" si="1217"/>
      </c>
      <c r="CZ120" s="668">
        <f t="shared" si="1217"/>
      </c>
      <c r="DA120" s="670">
        <f t="shared" si="1217"/>
      </c>
      <c r="DB120" s="668">
        <f t="shared" si="1217"/>
      </c>
      <c r="DC120" s="668">
        <f t="shared" si="1217"/>
      </c>
      <c r="DD120" s="668">
        <f t="shared" si="1217"/>
      </c>
      <c r="DE120" s="670">
        <f t="shared" si="1217"/>
      </c>
      <c r="DF120" s="668">
        <f t="shared" si="1217"/>
      </c>
      <c r="DG120" s="668">
        <f t="shared" si="1217"/>
      </c>
      <c r="DH120" s="668">
        <f t="shared" si="1217"/>
      </c>
      <c r="DI120" s="670">
        <f t="shared" si="1217"/>
      </c>
      <c r="DJ120" s="668">
        <f t="shared" si="1217"/>
      </c>
      <c r="DK120" s="668">
        <f t="shared" si="1217"/>
      </c>
      <c r="DL120" s="668">
        <f t="shared" si="1217"/>
      </c>
      <c r="DM120" s="670">
        <f t="shared" si="1217"/>
      </c>
      <c r="DN120" s="668">
        <f t="shared" si="1217"/>
      </c>
      <c r="DO120" s="668">
        <f t="shared" si="1217"/>
      </c>
      <c r="DP120" s="668">
        <f t="shared" si="1217"/>
      </c>
      <c r="DQ120" s="671">
        <v>50</v>
      </c>
      <c r="DR120" s="672">
        <v>500</v>
      </c>
      <c r="DS120" s="672">
        <v>100</v>
      </c>
      <c r="DT120" s="672">
        <v>200</v>
      </c>
      <c r="DU120" s="671">
        <v>50</v>
      </c>
      <c r="DV120" s="672">
        <v>500</v>
      </c>
      <c r="DW120" s="672">
        <v>100</v>
      </c>
      <c r="DX120" s="672">
        <v>200</v>
      </c>
      <c r="DY120" s="671">
        <v>50</v>
      </c>
      <c r="DZ120" s="672">
        <v>500</v>
      </c>
      <c r="EA120" s="672">
        <v>100</v>
      </c>
      <c r="EB120" s="672">
        <v>200</v>
      </c>
      <c r="EC120" s="671">
        <v>50</v>
      </c>
      <c r="ED120" s="672">
        <v>500</v>
      </c>
      <c r="EE120" s="672">
        <v>100</v>
      </c>
      <c r="EF120" s="672">
        <v>200</v>
      </c>
      <c r="EG120" s="671">
        <v>50</v>
      </c>
      <c r="EH120" s="672">
        <v>500</v>
      </c>
      <c r="EI120" s="672">
        <v>100</v>
      </c>
      <c r="EJ120" s="672">
        <v>200</v>
      </c>
      <c r="EK120" s="671">
        <v>50</v>
      </c>
      <c r="EL120" s="11"/>
      <c r="FD120" s="674"/>
      <c r="FE120" s="674"/>
      <c r="FF120" s="674"/>
      <c r="FG120" s="674"/>
      <c r="FH120" s="674"/>
      <c r="FM120" s="3126" t="s">
        <v>2296</v>
      </c>
      <c r="FN120" s="3142">
        <f t="shared" ref="FN120:FQ135" si="1218">VLOOKUP($A$122,$A$122:$EL$122,MATCH(CONCATENATE(FN$118,$FM120),$A$7:$EL$7,0),0)</f>
      </c>
      <c r="FO120" s="3142">
        <f t="shared" si="1213"/>
      </c>
      <c r="FP120" s="3142">
        <f t="shared" si="1213"/>
      </c>
      <c r="FQ120" s="3142">
        <f t="shared" si="1213"/>
      </c>
    </row>
    <row r="121" spans="1:212" s="673" customFormat="1" ht="11.4">
      <c r="A121" s="667" t="str">
        <f t="shared" si="1184"/>
      </c>
      <c r="B121" s="668"/>
      <c r="C121" s="668">
        <f t="shared" ref="C121:AH121" si="1219">C13-B13</f>
      </c>
      <c r="D121" s="668">
        <f t="shared" si="1219"/>
      </c>
      <c r="E121" s="669">
        <f t="shared" si="1219"/>
      </c>
      <c r="F121" s="668">
        <f t="shared" si="1219"/>
      </c>
      <c r="G121" s="668">
        <f t="shared" si="1219"/>
      </c>
      <c r="H121" s="668">
        <f t="shared" si="1219"/>
      </c>
      <c r="I121" s="668">
        <f t="shared" si="1219"/>
      </c>
      <c r="J121" s="668">
        <f t="shared" si="1219"/>
      </c>
      <c r="K121" s="668">
        <f t="shared" si="1219"/>
      </c>
      <c r="L121" s="668">
        <f t="shared" si="1219"/>
      </c>
      <c r="M121" s="668">
        <f t="shared" si="1219"/>
      </c>
      <c r="N121" s="668">
        <f t="shared" si="1219"/>
      </c>
      <c r="O121" s="668">
        <f t="shared" si="1219"/>
      </c>
      <c r="P121" s="668">
        <f t="shared" si="1219"/>
      </c>
      <c r="Q121" s="668">
        <f t="shared" si="1219"/>
      </c>
      <c r="R121" s="668">
        <f t="shared" si="1219"/>
      </c>
      <c r="S121" s="668">
        <f t="shared" si="1219"/>
      </c>
      <c r="T121" s="668">
        <f t="shared" si="1219"/>
      </c>
      <c r="U121" s="668">
        <f t="shared" si="1219"/>
      </c>
      <c r="V121" s="668">
        <f t="shared" si="1219"/>
      </c>
      <c r="W121" s="668">
        <f t="shared" si="1219"/>
      </c>
      <c r="X121" s="668">
        <f t="shared" si="1219"/>
      </c>
      <c r="Y121" s="668">
        <f t="shared" si="1219"/>
      </c>
      <c r="Z121" s="668">
        <f t="shared" si="1219"/>
      </c>
      <c r="AA121" s="668">
        <f t="shared" si="1219"/>
      </c>
      <c r="AB121" s="668">
        <f t="shared" si="1219"/>
      </c>
      <c r="AC121" s="668">
        <f t="shared" si="1219"/>
      </c>
      <c r="AD121" s="668">
        <f t="shared" si="1219"/>
      </c>
      <c r="AE121" s="668">
        <f t="shared" si="1219"/>
      </c>
      <c r="AF121" s="668">
        <f t="shared" si="1219"/>
      </c>
      <c r="AG121" s="668">
        <f t="shared" si="1219"/>
      </c>
      <c r="AH121" s="668">
        <f t="shared" si="1219"/>
      </c>
      <c r="AI121" s="668">
        <f t="shared" ref="AI121:BN121" si="1220">AI13-AH13</f>
      </c>
      <c r="AJ121" s="668">
        <f t="shared" si="1220"/>
      </c>
      <c r="AK121" s="668">
        <f t="shared" si="1220"/>
      </c>
      <c r="AL121" s="668">
        <f t="shared" si="1220"/>
      </c>
      <c r="AM121" s="668">
        <f t="shared" si="1220"/>
      </c>
      <c r="AN121" s="668">
        <f t="shared" si="1220"/>
      </c>
      <c r="AO121" s="668">
        <f t="shared" si="1220"/>
      </c>
      <c r="AP121" s="668">
        <f t="shared" si="1220"/>
      </c>
      <c r="AQ121" s="668">
        <f t="shared" si="1220"/>
      </c>
      <c r="AR121" s="668">
        <f t="shared" si="1220"/>
      </c>
      <c r="AS121" s="668">
        <f t="shared" si="1220"/>
      </c>
      <c r="AT121" s="668">
        <f t="shared" si="1220"/>
      </c>
      <c r="AU121" s="668">
        <f t="shared" si="1220"/>
      </c>
      <c r="AV121" s="668">
        <f t="shared" si="1220"/>
      </c>
      <c r="AW121" s="668">
        <f t="shared" si="1220"/>
      </c>
      <c r="AX121" s="668">
        <f t="shared" si="1220"/>
      </c>
      <c r="AY121" s="668">
        <f t="shared" si="1220"/>
      </c>
      <c r="AZ121" s="668">
        <f t="shared" si="1220"/>
      </c>
      <c r="BA121" s="668">
        <f t="shared" si="1220"/>
      </c>
      <c r="BB121" s="668">
        <f t="shared" si="1220"/>
      </c>
      <c r="BC121" s="668">
        <f t="shared" si="1220"/>
      </c>
      <c r="BD121" s="668">
        <f t="shared" si="1220"/>
      </c>
      <c r="BE121" s="668">
        <f t="shared" si="1220"/>
      </c>
      <c r="BF121" s="668">
        <f t="shared" si="1220"/>
      </c>
      <c r="BG121" s="668">
        <f t="shared" si="1220"/>
      </c>
      <c r="BH121" s="668">
        <f t="shared" si="1220"/>
      </c>
      <c r="BI121" s="668">
        <f t="shared" si="1220"/>
      </c>
      <c r="BJ121" s="668">
        <f t="shared" si="1220"/>
      </c>
      <c r="BK121" s="668">
        <f t="shared" si="1220"/>
      </c>
      <c r="BL121" s="668">
        <f t="shared" si="1220"/>
      </c>
      <c r="BM121" s="668">
        <f t="shared" si="1220"/>
      </c>
      <c r="BN121" s="668">
        <f t="shared" si="1220"/>
      </c>
      <c r="BO121" s="668">
        <f t="shared" ref="BO121:CT121" si="1221">BO13-BN13</f>
      </c>
      <c r="BP121" s="668">
        <f t="shared" si="1221"/>
      </c>
      <c r="BQ121" s="670">
        <f t="shared" si="1221"/>
      </c>
      <c r="BR121" s="668">
        <f t="shared" si="1221"/>
      </c>
      <c r="BS121" s="668">
        <f t="shared" si="1221"/>
      </c>
      <c r="BT121" s="668">
        <f t="shared" si="1221"/>
      </c>
      <c r="BU121" s="670">
        <f t="shared" si="1221"/>
      </c>
      <c r="BV121" s="668">
        <f t="shared" si="1221"/>
      </c>
      <c r="BW121" s="668">
        <f t="shared" si="1221"/>
      </c>
      <c r="BX121" s="668">
        <f t="shared" si="1221"/>
      </c>
      <c r="BY121" s="670">
        <f t="shared" si="1221"/>
      </c>
      <c r="BZ121" s="668">
        <f t="shared" si="1221"/>
      </c>
      <c r="CA121" s="668">
        <f t="shared" si="1221"/>
      </c>
      <c r="CB121" s="668">
        <f t="shared" si="1221"/>
      </c>
      <c r="CC121" s="670">
        <f t="shared" si="1221"/>
      </c>
      <c r="CD121" s="668">
        <f t="shared" si="1221"/>
      </c>
      <c r="CE121" s="668">
        <f t="shared" si="1221"/>
      </c>
      <c r="CF121" s="668">
        <f t="shared" si="1221"/>
      </c>
      <c r="CG121" s="670">
        <f t="shared" si="1221"/>
      </c>
      <c r="CH121" s="668">
        <f t="shared" si="1221"/>
      </c>
      <c r="CI121" s="668">
        <f t="shared" si="1221"/>
      </c>
      <c r="CJ121" s="668">
        <f t="shared" si="1221"/>
      </c>
      <c r="CK121" s="670">
        <f t="shared" si="1221"/>
      </c>
      <c r="CL121" s="668">
        <f t="shared" si="1221"/>
      </c>
      <c r="CM121" s="668">
        <f t="shared" si="1221"/>
      </c>
      <c r="CN121" s="668">
        <f t="shared" si="1221"/>
      </c>
      <c r="CO121" s="670">
        <f t="shared" si="1221"/>
      </c>
      <c r="CP121" s="668">
        <f t="shared" si="1221"/>
      </c>
      <c r="CQ121" s="668">
        <f t="shared" si="1221"/>
      </c>
      <c r="CR121" s="668">
        <f t="shared" si="1221"/>
      </c>
      <c r="CS121" s="670">
        <f t="shared" si="1221"/>
      </c>
      <c r="CT121" s="668">
        <f t="shared" si="1221"/>
      </c>
      <c r="CU121" s="668">
        <f t="shared" ref="CU121:DM121" si="1222">CU13-CT13</f>
      </c>
      <c r="CV121" s="668">
        <f t="shared" si="1222"/>
      </c>
      <c r="CW121" s="670">
        <f t="shared" si="1222"/>
      </c>
      <c r="CX121" s="668">
        <f t="shared" si="1222"/>
      </c>
      <c r="CY121" s="668">
        <f t="shared" si="1222"/>
      </c>
      <c r="CZ121" s="668">
        <f t="shared" si="1222"/>
      </c>
      <c r="DA121" s="670">
        <f t="shared" si="1222"/>
      </c>
      <c r="DB121" s="668">
        <f t="shared" si="1222"/>
      </c>
      <c r="DC121" s="668">
        <f t="shared" si="1222"/>
      </c>
      <c r="DD121" s="668">
        <f t="shared" si="1222"/>
      </c>
      <c r="DE121" s="670">
        <f t="shared" si="1222"/>
      </c>
      <c r="DF121" s="668">
        <f>DF13-DE13</f>
      </c>
      <c r="DG121" s="668">
        <f t="shared" si="1222"/>
      </c>
      <c r="DH121" s="668">
        <f t="shared" si="1222"/>
      </c>
      <c r="DI121" s="670">
        <f t="shared" si="1222"/>
      </c>
      <c r="DJ121" s="668">
        <f>DJ13-DI13</f>
      </c>
      <c r="DK121" s="668">
        <f t="shared" si="1222"/>
      </c>
      <c r="DL121" s="668">
        <f t="shared" si="1222"/>
      </c>
      <c r="DM121" s="670">
        <f t="shared" si="1222"/>
      </c>
      <c r="DN121" s="668">
        <f>DN13-DM13</f>
      </c>
      <c r="DO121" s="668">
        <f>DO13-DN13</f>
      </c>
      <c r="DP121" s="668">
        <f t="shared" si="1217"/>
      </c>
      <c r="DQ121" s="671">
        <v>100</v>
      </c>
      <c r="DR121" s="672">
        <v>500</v>
      </c>
      <c r="DS121" s="672">
        <v>-350</v>
      </c>
      <c r="DT121" s="672">
        <v>-50</v>
      </c>
      <c r="DU121" s="671">
        <v>100</v>
      </c>
      <c r="DV121" s="672">
        <v>500</v>
      </c>
      <c r="DW121" s="672">
        <v>-350</v>
      </c>
      <c r="DX121" s="672">
        <v>-50</v>
      </c>
      <c r="DY121" s="671">
        <v>100</v>
      </c>
      <c r="DZ121" s="672">
        <v>500</v>
      </c>
      <c r="EA121" s="672">
        <v>-350</v>
      </c>
      <c r="EB121" s="672">
        <v>-50</v>
      </c>
      <c r="EC121" s="671">
        <v>100</v>
      </c>
      <c r="ED121" s="672">
        <v>500</v>
      </c>
      <c r="EE121" s="672">
        <v>-350</v>
      </c>
      <c r="EF121" s="672">
        <v>-50</v>
      </c>
      <c r="EG121" s="671">
        <v>100</v>
      </c>
      <c r="EH121" s="672">
        <v>500</v>
      </c>
      <c r="EI121" s="672">
        <v>-350</v>
      </c>
      <c r="EJ121" s="672">
        <v>-50</v>
      </c>
      <c r="EK121" s="671">
        <v>100</v>
      </c>
      <c r="EL121" s="11"/>
      <c r="FD121" s="674"/>
      <c r="FE121" s="674"/>
      <c r="FF121" s="674"/>
      <c r="FG121" s="674"/>
      <c r="FH121" s="674"/>
      <c r="FM121" s="3126" t="s">
        <v>2295</v>
      </c>
      <c r="FN121" s="3142">
        <f t="shared" si="1218"/>
      </c>
      <c r="FO121" s="3142">
        <f t="shared" si="1213"/>
      </c>
      <c r="FP121" s="3142">
        <f t="shared" si="1213"/>
      </c>
      <c r="FQ121" s="3142">
        <f t="shared" si="1213"/>
      </c>
    </row>
    <row r="122" spans="1:212" s="673" customFormat="1" ht="11.4">
      <c r="A122" s="679" t="str">
        <f t="shared" si="1184"/>
      </c>
      <c r="B122" s="680"/>
      <c r="C122" s="680">
        <f t="shared" ref="C122:AH122" si="1223">C14-B14</f>
      </c>
      <c r="D122" s="680">
        <f t="shared" si="1223"/>
      </c>
      <c r="E122" s="681">
        <f t="shared" si="1223"/>
      </c>
      <c r="F122" s="680">
        <f t="shared" si="1223"/>
      </c>
      <c r="G122" s="680">
        <f t="shared" si="1223"/>
      </c>
      <c r="H122" s="680">
        <f t="shared" si="1223"/>
      </c>
      <c r="I122" s="680">
        <f t="shared" si="1223"/>
      </c>
      <c r="J122" s="680">
        <f t="shared" si="1223"/>
      </c>
      <c r="K122" s="680">
        <f t="shared" si="1223"/>
      </c>
      <c r="L122" s="680">
        <f t="shared" si="1223"/>
      </c>
      <c r="M122" s="680">
        <f t="shared" si="1223"/>
      </c>
      <c r="N122" s="680">
        <f t="shared" si="1223"/>
      </c>
      <c r="O122" s="680">
        <f t="shared" si="1223"/>
      </c>
      <c r="P122" s="680">
        <f t="shared" si="1223"/>
      </c>
      <c r="Q122" s="680">
        <f t="shared" si="1223"/>
      </c>
      <c r="R122" s="680">
        <f t="shared" si="1223"/>
      </c>
      <c r="S122" s="680">
        <f t="shared" si="1223"/>
      </c>
      <c r="T122" s="680">
        <f t="shared" si="1223"/>
      </c>
      <c r="U122" s="680">
        <f t="shared" si="1223"/>
      </c>
      <c r="V122" s="680">
        <f t="shared" si="1223"/>
      </c>
      <c r="W122" s="680">
        <f t="shared" si="1223"/>
      </c>
      <c r="X122" s="680">
        <f t="shared" si="1223"/>
      </c>
      <c r="Y122" s="680">
        <f t="shared" si="1223"/>
      </c>
      <c r="Z122" s="680">
        <f t="shared" si="1223"/>
      </c>
      <c r="AA122" s="680">
        <f t="shared" si="1223"/>
      </c>
      <c r="AB122" s="680">
        <f t="shared" si="1223"/>
      </c>
      <c r="AC122" s="680">
        <f t="shared" si="1223"/>
      </c>
      <c r="AD122" s="680">
        <f t="shared" si="1223"/>
      </c>
      <c r="AE122" s="680">
        <f t="shared" si="1223"/>
      </c>
      <c r="AF122" s="680">
        <f t="shared" si="1223"/>
      </c>
      <c r="AG122" s="680">
        <f t="shared" si="1223"/>
      </c>
      <c r="AH122" s="680">
        <f t="shared" si="1223"/>
      </c>
      <c r="AI122" s="680">
        <f t="shared" ref="AI122:BN122" si="1224">AI14-AH14</f>
      </c>
      <c r="AJ122" s="680">
        <f t="shared" si="1224"/>
      </c>
      <c r="AK122" s="680">
        <f t="shared" si="1224"/>
      </c>
      <c r="AL122" s="680">
        <f t="shared" si="1224"/>
      </c>
      <c r="AM122" s="680">
        <f t="shared" si="1224"/>
      </c>
      <c r="AN122" s="680">
        <f t="shared" si="1224"/>
      </c>
      <c r="AO122" s="680">
        <f t="shared" si="1224"/>
      </c>
      <c r="AP122" s="680">
        <f t="shared" si="1224"/>
      </c>
      <c r="AQ122" s="680">
        <f t="shared" si="1224"/>
      </c>
      <c r="AR122" s="680">
        <f t="shared" si="1224"/>
      </c>
      <c r="AS122" s="680">
        <f t="shared" si="1224"/>
      </c>
      <c r="AT122" s="680">
        <f t="shared" si="1224"/>
      </c>
      <c r="AU122" s="680">
        <f t="shared" si="1224"/>
      </c>
      <c r="AV122" s="680">
        <f t="shared" si="1224"/>
      </c>
      <c r="AW122" s="680">
        <f t="shared" si="1224"/>
      </c>
      <c r="AX122" s="680">
        <f t="shared" si="1224"/>
      </c>
      <c r="AY122" s="680">
        <f t="shared" si="1224"/>
      </c>
      <c r="AZ122" s="680">
        <f t="shared" si="1224"/>
      </c>
      <c r="BA122" s="680">
        <f t="shared" si="1224"/>
      </c>
      <c r="BB122" s="680">
        <f t="shared" si="1224"/>
      </c>
      <c r="BC122" s="680">
        <f t="shared" si="1224"/>
      </c>
      <c r="BD122" s="680">
        <f t="shared" si="1224"/>
      </c>
      <c r="BE122" s="680">
        <f t="shared" si="1224"/>
      </c>
      <c r="BF122" s="680">
        <f t="shared" si="1224"/>
      </c>
      <c r="BG122" s="680">
        <f t="shared" si="1224"/>
      </c>
      <c r="BH122" s="680">
        <f t="shared" si="1224"/>
      </c>
      <c r="BI122" s="680">
        <f t="shared" si="1224"/>
      </c>
      <c r="BJ122" s="680">
        <f t="shared" si="1224"/>
      </c>
      <c r="BK122" s="680">
        <f t="shared" si="1224"/>
      </c>
      <c r="BL122" s="680">
        <f t="shared" si="1224"/>
      </c>
      <c r="BM122" s="680">
        <f t="shared" si="1224"/>
      </c>
      <c r="BN122" s="680">
        <f t="shared" si="1224"/>
      </c>
      <c r="BO122" s="680">
        <f t="shared" ref="BO122:CT122" si="1225">BO14-BN14</f>
      </c>
      <c r="BP122" s="680">
        <f t="shared" si="1225"/>
      </c>
      <c r="BQ122" s="682">
        <f t="shared" si="1225"/>
      </c>
      <c r="BR122" s="680">
        <f t="shared" si="1225"/>
      </c>
      <c r="BS122" s="680">
        <f t="shared" si="1225"/>
      </c>
      <c r="BT122" s="680">
        <f t="shared" si="1225"/>
      </c>
      <c r="BU122" s="682">
        <f t="shared" si="1225"/>
      </c>
      <c r="BV122" s="680">
        <f t="shared" si="1225"/>
      </c>
      <c r="BW122" s="680">
        <f t="shared" si="1225"/>
      </c>
      <c r="BX122" s="680">
        <f t="shared" si="1225"/>
      </c>
      <c r="BY122" s="682">
        <f t="shared" si="1225"/>
      </c>
      <c r="BZ122" s="680">
        <f t="shared" si="1225"/>
      </c>
      <c r="CA122" s="680">
        <f t="shared" si="1225"/>
      </c>
      <c r="CB122" s="680">
        <f t="shared" si="1225"/>
      </c>
      <c r="CC122" s="682">
        <f t="shared" si="1225"/>
      </c>
      <c r="CD122" s="680">
        <f t="shared" si="1225"/>
      </c>
      <c r="CE122" s="680">
        <f t="shared" si="1225"/>
      </c>
      <c r="CF122" s="680">
        <f t="shared" si="1225"/>
      </c>
      <c r="CG122" s="682">
        <f t="shared" si="1225"/>
      </c>
      <c r="CH122" s="680">
        <f t="shared" si="1225"/>
      </c>
      <c r="CI122" s="680">
        <f t="shared" si="1225"/>
      </c>
      <c r="CJ122" s="680">
        <f t="shared" si="1225"/>
      </c>
      <c r="CK122" s="682">
        <f t="shared" si="1225"/>
      </c>
      <c r="CL122" s="680">
        <f t="shared" si="1225"/>
      </c>
      <c r="CM122" s="680">
        <f t="shared" si="1225"/>
      </c>
      <c r="CN122" s="680">
        <f t="shared" si="1225"/>
      </c>
      <c r="CO122" s="682">
        <f t="shared" si="1225"/>
      </c>
      <c r="CP122" s="680">
        <f t="shared" si="1225"/>
      </c>
      <c r="CQ122" s="680">
        <f t="shared" si="1225"/>
      </c>
      <c r="CR122" s="680">
        <f t="shared" si="1225"/>
      </c>
      <c r="CS122" s="682">
        <f t="shared" si="1225"/>
      </c>
      <c r="CT122" s="680">
        <f t="shared" si="1225"/>
      </c>
      <c r="CU122" s="680">
        <f t="shared" ref="CU122:DE122" si="1226">CU14-CT14</f>
      </c>
      <c r="CV122" s="680">
        <f t="shared" si="1226"/>
      </c>
      <c r="CW122" s="682">
        <f t="shared" si="1226"/>
      </c>
      <c r="CX122" s="680">
        <f t="shared" si="1226"/>
      </c>
      <c r="CY122" s="680">
        <f t="shared" si="1226"/>
      </c>
      <c r="CZ122" s="680">
        <f t="shared" si="1226"/>
      </c>
      <c r="DA122" s="682">
        <f t="shared" si="1226"/>
      </c>
      <c r="DB122" s="680">
        <f t="shared" si="1226"/>
      </c>
      <c r="DC122" s="680">
        <f t="shared" si="1226"/>
      </c>
      <c r="DD122" s="680">
        <f t="shared" si="1226"/>
      </c>
      <c r="DE122" s="682">
        <f t="shared" si="1226"/>
      </c>
      <c r="DF122" s="680">
        <f t="shared" ref="DF122:DU122" si="1227">DF14-DE14</f>
      </c>
      <c r="DG122" s="680">
        <f t="shared" si="1227"/>
      </c>
      <c r="DH122" s="680">
        <f t="shared" si="1227"/>
      </c>
      <c r="DI122" s="682">
        <f t="shared" si="1227"/>
      </c>
      <c r="DJ122" s="680">
        <f t="shared" si="1227"/>
      </c>
      <c r="DK122" s="680">
        <f t="shared" si="1227"/>
      </c>
      <c r="DL122" s="680">
        <f t="shared" si="1227"/>
      </c>
      <c r="DM122" s="682">
        <f t="shared" si="1227"/>
      </c>
      <c r="DN122" s="680">
        <f t="shared" si="1227"/>
      </c>
      <c r="DO122" s="680">
        <f t="shared" si="1227"/>
      </c>
      <c r="DP122" s="680">
        <f t="shared" si="1227"/>
      </c>
      <c r="DQ122" s="682">
        <f t="shared" si="1227"/>
      </c>
      <c r="DR122" s="680">
        <f t="shared" si="1227"/>
      </c>
      <c r="DS122" s="680">
        <f t="shared" si="1227"/>
      </c>
      <c r="DT122" s="680">
        <f t="shared" si="1227"/>
      </c>
      <c r="DU122" s="682">
        <f t="shared" si="1227"/>
      </c>
      <c r="DV122" s="680">
        <f t="shared" ref="DV122:DV125" si="1228">DV14-DU14</f>
      </c>
      <c r="DW122" s="680">
        <f t="shared" ref="DW122:DW125" si="1229">DW14-DV14</f>
      </c>
      <c r="DX122" s="680">
        <f t="shared" ref="DX122:DX125" si="1230">DX14-DW14</f>
      </c>
      <c r="DY122" s="682">
        <f t="shared" ref="DY122:DY125" si="1231">DY14-DX14</f>
      </c>
      <c r="DZ122" s="680">
        <f t="shared" ref="DZ122:DZ125" si="1232">DZ14-DY14</f>
      </c>
      <c r="EA122" s="680">
        <f t="shared" ref="EA122:EA125" si="1233">EA14-DZ14</f>
      </c>
      <c r="EB122" s="680">
        <f t="shared" ref="EB122:EB125" si="1234">EB14-EA14</f>
      </c>
      <c r="EC122" s="682">
        <f t="shared" ref="EC122:EC125" si="1235">EC14-EB14</f>
      </c>
      <c r="ED122" s="680">
        <f t="shared" ref="ED122:ED125" si="1236">ED14-EC14</f>
      </c>
      <c r="EE122" s="680">
        <f t="shared" ref="EE122:EE125" si="1237">EE14-ED14</f>
      </c>
      <c r="EF122" s="680">
        <f t="shared" ref="EF122:EF125" si="1238">EF14-EE14</f>
      </c>
      <c r="EG122" s="682">
        <f t="shared" ref="EG122:EG125" si="1239">EG14-EF14</f>
      </c>
      <c r="EH122" s="680">
        <f t="shared" ref="EH122:EH125" si="1240">EH14-EG14</f>
      </c>
      <c r="EI122" s="680">
        <f t="shared" ref="EI122:EI125" si="1241">EI14-EH14</f>
      </c>
      <c r="EJ122" s="680">
        <f t="shared" ref="EJ122:EJ125" si="1242">EJ14-EI14</f>
      </c>
      <c r="EK122" s="682">
        <f t="shared" ref="EK122:EK125" si="1243">EK14-EJ14</f>
      </c>
      <c r="EL122" s="11"/>
      <c r="FD122" s="674"/>
      <c r="FE122" s="674"/>
      <c r="FF122" s="674"/>
      <c r="FG122" s="674"/>
      <c r="FH122" s="674"/>
      <c r="FM122" s="3126" t="s">
        <v>2294</v>
      </c>
      <c r="FN122" s="3142">
        <f t="shared" si="1218"/>
      </c>
      <c r="FO122" s="3142">
        <f t="shared" si="1213"/>
      </c>
      <c r="FP122" s="3142">
        <f t="shared" si="1213"/>
      </c>
      <c r="FQ122" s="3142">
        <f t="shared" si="1213"/>
      </c>
    </row>
    <row r="123" spans="1:212" s="673" customFormat="1" ht="11.4">
      <c r="A123" s="675" t="str">
        <f t="shared" si="1184"/>
      </c>
      <c r="B123" s="676"/>
      <c r="C123" s="676">
        <f t="shared" ref="C123:AH123" si="1244">C15-B15</f>
      </c>
      <c r="D123" s="676">
        <f t="shared" si="1244"/>
      </c>
      <c r="E123" s="677">
        <f t="shared" si="1244"/>
      </c>
      <c r="F123" s="676">
        <f t="shared" si="1244"/>
      </c>
      <c r="G123" s="676">
        <f t="shared" si="1244"/>
      </c>
      <c r="H123" s="676">
        <f t="shared" si="1244"/>
      </c>
      <c r="I123" s="676">
        <f t="shared" si="1244"/>
      </c>
      <c r="J123" s="676">
        <f t="shared" si="1244"/>
      </c>
      <c r="K123" s="676">
        <f t="shared" si="1244"/>
      </c>
      <c r="L123" s="676">
        <f t="shared" si="1244"/>
      </c>
      <c r="M123" s="676">
        <f t="shared" si="1244"/>
      </c>
      <c r="N123" s="676">
        <f t="shared" si="1244"/>
      </c>
      <c r="O123" s="676">
        <f t="shared" si="1244"/>
      </c>
      <c r="P123" s="676">
        <f t="shared" si="1244"/>
      </c>
      <c r="Q123" s="676">
        <f t="shared" si="1244"/>
      </c>
      <c r="R123" s="676">
        <f t="shared" si="1244"/>
      </c>
      <c r="S123" s="676">
        <f t="shared" si="1244"/>
      </c>
      <c r="T123" s="676">
        <f t="shared" si="1244"/>
      </c>
      <c r="U123" s="676">
        <f t="shared" si="1244"/>
      </c>
      <c r="V123" s="676">
        <f t="shared" si="1244"/>
      </c>
      <c r="W123" s="676">
        <f t="shared" si="1244"/>
      </c>
      <c r="X123" s="676">
        <f t="shared" si="1244"/>
      </c>
      <c r="Y123" s="676">
        <f t="shared" si="1244"/>
      </c>
      <c r="Z123" s="676">
        <f t="shared" si="1244"/>
      </c>
      <c r="AA123" s="676">
        <f t="shared" si="1244"/>
      </c>
      <c r="AB123" s="676">
        <f t="shared" si="1244"/>
      </c>
      <c r="AC123" s="676">
        <f t="shared" si="1244"/>
      </c>
      <c r="AD123" s="676">
        <f t="shared" si="1244"/>
      </c>
      <c r="AE123" s="676">
        <f t="shared" si="1244"/>
      </c>
      <c r="AF123" s="676">
        <f t="shared" si="1244"/>
      </c>
      <c r="AG123" s="676">
        <f t="shared" si="1244"/>
      </c>
      <c r="AH123" s="676">
        <f t="shared" si="1244"/>
      </c>
      <c r="AI123" s="676">
        <f t="shared" ref="AI123:BN123" si="1245">AI15-AH15</f>
      </c>
      <c r="AJ123" s="676">
        <f t="shared" si="1245"/>
      </c>
      <c r="AK123" s="676">
        <f t="shared" si="1245"/>
      </c>
      <c r="AL123" s="676">
        <f t="shared" si="1245"/>
      </c>
      <c r="AM123" s="676">
        <f t="shared" si="1245"/>
      </c>
      <c r="AN123" s="676">
        <f t="shared" si="1245"/>
      </c>
      <c r="AO123" s="676">
        <f t="shared" si="1245"/>
      </c>
      <c r="AP123" s="676">
        <f t="shared" si="1245"/>
      </c>
      <c r="AQ123" s="676">
        <f t="shared" si="1245"/>
      </c>
      <c r="AR123" s="676">
        <f t="shared" si="1245"/>
      </c>
      <c r="AS123" s="676">
        <f t="shared" si="1245"/>
      </c>
      <c r="AT123" s="676">
        <f t="shared" si="1245"/>
      </c>
      <c r="AU123" s="676">
        <f t="shared" si="1245"/>
      </c>
      <c r="AV123" s="676">
        <f t="shared" si="1245"/>
      </c>
      <c r="AW123" s="676">
        <f t="shared" si="1245"/>
      </c>
      <c r="AX123" s="676">
        <f t="shared" si="1245"/>
      </c>
      <c r="AY123" s="676">
        <f t="shared" si="1245"/>
      </c>
      <c r="AZ123" s="676">
        <f t="shared" si="1245"/>
      </c>
      <c r="BA123" s="676">
        <f t="shared" si="1245"/>
      </c>
      <c r="BB123" s="676">
        <f t="shared" si="1245"/>
      </c>
      <c r="BC123" s="676">
        <f t="shared" si="1245"/>
      </c>
      <c r="BD123" s="676">
        <f t="shared" si="1245"/>
      </c>
      <c r="BE123" s="676">
        <f t="shared" si="1245"/>
      </c>
      <c r="BF123" s="676">
        <f t="shared" si="1245"/>
      </c>
      <c r="BG123" s="676">
        <f t="shared" si="1245"/>
      </c>
      <c r="BH123" s="676">
        <f t="shared" si="1245"/>
      </c>
      <c r="BI123" s="676">
        <f t="shared" si="1245"/>
      </c>
      <c r="BJ123" s="676">
        <f t="shared" si="1245"/>
      </c>
      <c r="BK123" s="676">
        <f t="shared" si="1245"/>
      </c>
      <c r="BL123" s="676">
        <f t="shared" si="1245"/>
      </c>
      <c r="BM123" s="676">
        <f t="shared" si="1245"/>
      </c>
      <c r="BN123" s="676">
        <f t="shared" si="1245"/>
      </c>
      <c r="BO123" s="676">
        <f t="shared" ref="BO123:CT123" si="1246">BO15-BN15</f>
      </c>
      <c r="BP123" s="676">
        <f t="shared" si="1246"/>
      </c>
      <c r="BQ123" s="678">
        <f t="shared" si="1246"/>
      </c>
      <c r="BR123" s="676">
        <f t="shared" si="1246"/>
      </c>
      <c r="BS123" s="676">
        <f t="shared" si="1246"/>
      </c>
      <c r="BT123" s="676">
        <f t="shared" si="1246"/>
      </c>
      <c r="BU123" s="678">
        <f t="shared" si="1246"/>
      </c>
      <c r="BV123" s="676">
        <f t="shared" si="1246"/>
      </c>
      <c r="BW123" s="676">
        <f t="shared" si="1246"/>
      </c>
      <c r="BX123" s="676">
        <f t="shared" si="1246"/>
      </c>
      <c r="BY123" s="678">
        <f t="shared" si="1246"/>
      </c>
      <c r="BZ123" s="676">
        <f t="shared" si="1246"/>
      </c>
      <c r="CA123" s="676">
        <f t="shared" si="1246"/>
      </c>
      <c r="CB123" s="676">
        <f t="shared" si="1246"/>
      </c>
      <c r="CC123" s="678">
        <f t="shared" si="1246"/>
      </c>
      <c r="CD123" s="676">
        <f t="shared" si="1246"/>
      </c>
      <c r="CE123" s="676">
        <f t="shared" si="1246"/>
      </c>
      <c r="CF123" s="676">
        <f t="shared" si="1246"/>
      </c>
      <c r="CG123" s="678">
        <f t="shared" si="1246"/>
      </c>
      <c r="CH123" s="676">
        <f t="shared" si="1246"/>
      </c>
      <c r="CI123" s="676">
        <f t="shared" si="1246"/>
      </c>
      <c r="CJ123" s="676">
        <f t="shared" si="1246"/>
      </c>
      <c r="CK123" s="678">
        <f t="shared" si="1246"/>
      </c>
      <c r="CL123" s="676">
        <f t="shared" si="1246"/>
      </c>
      <c r="CM123" s="676">
        <f t="shared" si="1246"/>
      </c>
      <c r="CN123" s="676">
        <f t="shared" si="1246"/>
      </c>
      <c r="CO123" s="678">
        <f t="shared" si="1246"/>
      </c>
      <c r="CP123" s="676">
        <f t="shared" si="1246"/>
      </c>
      <c r="CQ123" s="676">
        <f t="shared" si="1246"/>
      </c>
      <c r="CR123" s="676">
        <f t="shared" si="1246"/>
      </c>
      <c r="CS123" s="678">
        <f t="shared" si="1246"/>
      </c>
      <c r="CT123" s="676">
        <f t="shared" si="1246"/>
      </c>
      <c r="CU123" s="676">
        <f t="shared" ref="CU123:DE123" si="1247">CU15-CT15</f>
      </c>
      <c r="CV123" s="676">
        <f t="shared" si="1247"/>
      </c>
      <c r="CW123" s="678">
        <f t="shared" si="1247"/>
      </c>
      <c r="CX123" s="676">
        <f t="shared" si="1247"/>
      </c>
      <c r="CY123" s="676">
        <f t="shared" si="1247"/>
      </c>
      <c r="CZ123" s="676">
        <f t="shared" si="1247"/>
      </c>
      <c r="DA123" s="678">
        <f t="shared" si="1247"/>
      </c>
      <c r="DB123" s="676">
        <f t="shared" si="1247"/>
      </c>
      <c r="DC123" s="676">
        <f t="shared" si="1247"/>
      </c>
      <c r="DD123" s="676">
        <f t="shared" si="1247"/>
      </c>
      <c r="DE123" s="678">
        <f t="shared" si="1247"/>
      </c>
      <c r="DF123" s="676">
        <f t="shared" ref="DF123:DU123" si="1248">DF15-DE15</f>
      </c>
      <c r="DG123" s="676">
        <f t="shared" si="1248"/>
      </c>
      <c r="DH123" s="676">
        <f t="shared" si="1248"/>
      </c>
      <c r="DI123" s="678">
        <f t="shared" si="1248"/>
      </c>
      <c r="DJ123" s="676">
        <f t="shared" si="1248"/>
      </c>
      <c r="DK123" s="676">
        <f t="shared" si="1248"/>
      </c>
      <c r="DL123" s="676">
        <f t="shared" si="1248"/>
      </c>
      <c r="DM123" s="678">
        <f t="shared" si="1248"/>
      </c>
      <c r="DN123" s="676">
        <f t="shared" si="1248"/>
      </c>
      <c r="DO123" s="676">
        <f t="shared" si="1248"/>
      </c>
      <c r="DP123" s="676">
        <f t="shared" si="1248"/>
      </c>
      <c r="DQ123" s="678">
        <f t="shared" si="1248"/>
      </c>
      <c r="DR123" s="676">
        <f t="shared" si="1248"/>
      </c>
      <c r="DS123" s="676">
        <f t="shared" si="1248"/>
      </c>
      <c r="DT123" s="676">
        <f t="shared" si="1248"/>
      </c>
      <c r="DU123" s="678">
        <f t="shared" si="1248"/>
      </c>
      <c r="DV123" s="676">
        <f t="shared" si="1228"/>
      </c>
      <c r="DW123" s="676">
        <f t="shared" si="1229"/>
      </c>
      <c r="DX123" s="676">
        <f t="shared" si="1230"/>
      </c>
      <c r="DY123" s="678">
        <f t="shared" si="1231"/>
      </c>
      <c r="DZ123" s="676">
        <f t="shared" si="1232"/>
      </c>
      <c r="EA123" s="676">
        <f t="shared" si="1233"/>
      </c>
      <c r="EB123" s="676">
        <f t="shared" si="1234"/>
      </c>
      <c r="EC123" s="678">
        <f t="shared" si="1235"/>
      </c>
      <c r="ED123" s="676">
        <f t="shared" si="1236"/>
      </c>
      <c r="EE123" s="676">
        <f t="shared" si="1237"/>
      </c>
      <c r="EF123" s="676">
        <f t="shared" si="1238"/>
      </c>
      <c r="EG123" s="678">
        <f t="shared" si="1239"/>
      </c>
      <c r="EH123" s="676">
        <f t="shared" si="1240"/>
      </c>
      <c r="EI123" s="676">
        <f t="shared" si="1241"/>
      </c>
      <c r="EJ123" s="676">
        <f t="shared" si="1242"/>
      </c>
      <c r="EK123" s="678">
        <f t="shared" si="1243"/>
      </c>
      <c r="EL123" s="11"/>
      <c r="FD123" s="674"/>
      <c r="FE123" s="674"/>
      <c r="FF123" s="674"/>
      <c r="FG123" s="674"/>
      <c r="FH123" s="674"/>
      <c r="FM123" s="3126" t="s">
        <v>2293</v>
      </c>
      <c r="FN123" s="3142">
        <f t="shared" si="1218"/>
      </c>
      <c r="FO123" s="3142">
        <f t="shared" si="1213"/>
      </c>
      <c r="FP123" s="3142">
        <f t="shared" si="1213"/>
      </c>
      <c r="FQ123" s="3142">
        <f t="shared" si="1213"/>
      </c>
    </row>
    <row r="124" spans="1:212" s="673" customFormat="1" ht="11.4">
      <c r="A124" s="667" t="str">
        <f t="shared" si="1184"/>
      </c>
      <c r="B124" s="668"/>
      <c r="C124" s="668">
        <f t="shared" ref="C124:AH124" si="1249">C16-B16</f>
      </c>
      <c r="D124" s="668">
        <f t="shared" si="1249"/>
      </c>
      <c r="E124" s="669">
        <f t="shared" si="1249"/>
      </c>
      <c r="F124" s="668">
        <f t="shared" si="1249"/>
      </c>
      <c r="G124" s="668">
        <f t="shared" si="1249"/>
      </c>
      <c r="H124" s="668">
        <f t="shared" si="1249"/>
      </c>
      <c r="I124" s="668">
        <f t="shared" si="1249"/>
      </c>
      <c r="J124" s="668">
        <f t="shared" si="1249"/>
      </c>
      <c r="K124" s="668">
        <f t="shared" si="1249"/>
      </c>
      <c r="L124" s="668">
        <f t="shared" si="1249"/>
      </c>
      <c r="M124" s="668">
        <f t="shared" si="1249"/>
      </c>
      <c r="N124" s="668">
        <f t="shared" si="1249"/>
      </c>
      <c r="O124" s="668">
        <f t="shared" si="1249"/>
      </c>
      <c r="P124" s="668">
        <f t="shared" si="1249"/>
      </c>
      <c r="Q124" s="668">
        <f t="shared" si="1249"/>
      </c>
      <c r="R124" s="668">
        <f t="shared" si="1249"/>
      </c>
      <c r="S124" s="668">
        <f t="shared" si="1249"/>
      </c>
      <c r="T124" s="668">
        <f t="shared" si="1249"/>
      </c>
      <c r="U124" s="668">
        <f t="shared" si="1249"/>
      </c>
      <c r="V124" s="668">
        <f t="shared" si="1249"/>
      </c>
      <c r="W124" s="668">
        <f t="shared" si="1249"/>
      </c>
      <c r="X124" s="668">
        <f t="shared" si="1249"/>
      </c>
      <c r="Y124" s="668">
        <f t="shared" si="1249"/>
      </c>
      <c r="Z124" s="668">
        <f t="shared" si="1249"/>
      </c>
      <c r="AA124" s="668">
        <f t="shared" si="1249"/>
      </c>
      <c r="AB124" s="668">
        <f t="shared" si="1249"/>
      </c>
      <c r="AC124" s="668">
        <f t="shared" si="1249"/>
      </c>
      <c r="AD124" s="668">
        <f t="shared" si="1249"/>
      </c>
      <c r="AE124" s="668">
        <f t="shared" si="1249"/>
      </c>
      <c r="AF124" s="668">
        <f t="shared" si="1249"/>
      </c>
      <c r="AG124" s="668">
        <f t="shared" si="1249"/>
      </c>
      <c r="AH124" s="668">
        <f t="shared" si="1249"/>
      </c>
      <c r="AI124" s="668">
        <f t="shared" ref="AI124:BN124" si="1250">AI16-AH16</f>
      </c>
      <c r="AJ124" s="668">
        <f t="shared" si="1250"/>
      </c>
      <c r="AK124" s="668">
        <f t="shared" si="1250"/>
      </c>
      <c r="AL124" s="668">
        <f t="shared" si="1250"/>
      </c>
      <c r="AM124" s="668">
        <f t="shared" si="1250"/>
      </c>
      <c r="AN124" s="668">
        <f t="shared" si="1250"/>
      </c>
      <c r="AO124" s="668">
        <f t="shared" si="1250"/>
      </c>
      <c r="AP124" s="668">
        <f t="shared" si="1250"/>
      </c>
      <c r="AQ124" s="668">
        <f t="shared" si="1250"/>
      </c>
      <c r="AR124" s="668">
        <f t="shared" si="1250"/>
      </c>
      <c r="AS124" s="668">
        <f t="shared" si="1250"/>
      </c>
      <c r="AT124" s="668">
        <f t="shared" si="1250"/>
      </c>
      <c r="AU124" s="668">
        <f t="shared" si="1250"/>
      </c>
      <c r="AV124" s="668">
        <f t="shared" si="1250"/>
      </c>
      <c r="AW124" s="668">
        <f t="shared" si="1250"/>
      </c>
      <c r="AX124" s="668">
        <f t="shared" si="1250"/>
      </c>
      <c r="AY124" s="668">
        <f t="shared" si="1250"/>
      </c>
      <c r="AZ124" s="668">
        <f t="shared" si="1250"/>
      </c>
      <c r="BA124" s="668">
        <f t="shared" si="1250"/>
      </c>
      <c r="BB124" s="668">
        <f t="shared" si="1250"/>
      </c>
      <c r="BC124" s="668">
        <f t="shared" si="1250"/>
      </c>
      <c r="BD124" s="668">
        <f t="shared" si="1250"/>
      </c>
      <c r="BE124" s="668">
        <f t="shared" si="1250"/>
      </c>
      <c r="BF124" s="668">
        <f t="shared" si="1250"/>
      </c>
      <c r="BG124" s="668">
        <f t="shared" si="1250"/>
      </c>
      <c r="BH124" s="668">
        <f t="shared" si="1250"/>
      </c>
      <c r="BI124" s="668">
        <f t="shared" si="1250"/>
      </c>
      <c r="BJ124" s="668">
        <f t="shared" si="1250"/>
      </c>
      <c r="BK124" s="668">
        <f t="shared" si="1250"/>
      </c>
      <c r="BL124" s="668">
        <f t="shared" si="1250"/>
      </c>
      <c r="BM124" s="668">
        <f t="shared" si="1250"/>
      </c>
      <c r="BN124" s="668">
        <f t="shared" si="1250"/>
      </c>
      <c r="BO124" s="668">
        <f t="shared" ref="BO124:CT124" si="1251">BO16-BN16</f>
      </c>
      <c r="BP124" s="668">
        <f t="shared" si="1251"/>
      </c>
      <c r="BQ124" s="670">
        <f t="shared" si="1251"/>
      </c>
      <c r="BR124" s="668">
        <f t="shared" si="1251"/>
      </c>
      <c r="BS124" s="668">
        <f t="shared" si="1251"/>
      </c>
      <c r="BT124" s="668">
        <f t="shared" si="1251"/>
      </c>
      <c r="BU124" s="670">
        <f t="shared" si="1251"/>
      </c>
      <c r="BV124" s="668">
        <f t="shared" si="1251"/>
      </c>
      <c r="BW124" s="668">
        <f t="shared" si="1251"/>
      </c>
      <c r="BX124" s="668">
        <f t="shared" si="1251"/>
      </c>
      <c r="BY124" s="670">
        <f t="shared" si="1251"/>
      </c>
      <c r="BZ124" s="668">
        <f t="shared" si="1251"/>
      </c>
      <c r="CA124" s="668">
        <f t="shared" si="1251"/>
      </c>
      <c r="CB124" s="668">
        <f t="shared" si="1251"/>
      </c>
      <c r="CC124" s="670">
        <f t="shared" si="1251"/>
      </c>
      <c r="CD124" s="668">
        <f t="shared" si="1251"/>
      </c>
      <c r="CE124" s="668">
        <f t="shared" si="1251"/>
      </c>
      <c r="CF124" s="668">
        <f t="shared" si="1251"/>
      </c>
      <c r="CG124" s="670">
        <f t="shared" si="1251"/>
      </c>
      <c r="CH124" s="668">
        <f t="shared" si="1251"/>
      </c>
      <c r="CI124" s="668">
        <f t="shared" si="1251"/>
      </c>
      <c r="CJ124" s="668">
        <f t="shared" si="1251"/>
      </c>
      <c r="CK124" s="670">
        <f t="shared" si="1251"/>
      </c>
      <c r="CL124" s="668">
        <f t="shared" si="1251"/>
      </c>
      <c r="CM124" s="668">
        <f t="shared" si="1251"/>
      </c>
      <c r="CN124" s="668">
        <f t="shared" si="1251"/>
      </c>
      <c r="CO124" s="670">
        <f t="shared" si="1251"/>
      </c>
      <c r="CP124" s="668">
        <f t="shared" si="1251"/>
      </c>
      <c r="CQ124" s="668">
        <f t="shared" si="1251"/>
      </c>
      <c r="CR124" s="668">
        <f t="shared" si="1251"/>
      </c>
      <c r="CS124" s="670">
        <f t="shared" si="1251"/>
      </c>
      <c r="CT124" s="668">
        <f t="shared" si="1251"/>
      </c>
      <c r="CU124" s="668">
        <f t="shared" ref="CU124:DE124" si="1252">CU16-CT16</f>
      </c>
      <c r="CV124" s="668">
        <f t="shared" si="1252"/>
      </c>
      <c r="CW124" s="670">
        <f t="shared" si="1252"/>
      </c>
      <c r="CX124" s="668">
        <f t="shared" si="1252"/>
      </c>
      <c r="CY124" s="668">
        <f t="shared" si="1252"/>
      </c>
      <c r="CZ124" s="668">
        <f t="shared" si="1252"/>
      </c>
      <c r="DA124" s="670">
        <f t="shared" si="1252"/>
      </c>
      <c r="DB124" s="668">
        <f t="shared" si="1252"/>
      </c>
      <c r="DC124" s="668">
        <f t="shared" si="1252"/>
      </c>
      <c r="DD124" s="668">
        <f t="shared" si="1252"/>
      </c>
      <c r="DE124" s="670">
        <f t="shared" si="1252"/>
      </c>
      <c r="DF124" s="668">
        <f t="shared" ref="DF124:DU124" si="1253">DF16-DE16</f>
      </c>
      <c r="DG124" s="668">
        <f t="shared" si="1253"/>
      </c>
      <c r="DH124" s="668">
        <f t="shared" si="1253"/>
      </c>
      <c r="DI124" s="670">
        <f t="shared" si="1253"/>
      </c>
      <c r="DJ124" s="668">
        <f t="shared" si="1253"/>
      </c>
      <c r="DK124" s="668">
        <f t="shared" si="1253"/>
      </c>
      <c r="DL124" s="668">
        <f t="shared" si="1253"/>
      </c>
      <c r="DM124" s="670">
        <f t="shared" si="1253"/>
      </c>
      <c r="DN124" s="668">
        <f t="shared" si="1253"/>
      </c>
      <c r="DO124" s="668">
        <f t="shared" si="1253"/>
      </c>
      <c r="DP124" s="668">
        <f t="shared" si="1253"/>
      </c>
      <c r="DQ124" s="670">
        <f t="shared" si="1253"/>
      </c>
      <c r="DR124" s="668">
        <f t="shared" si="1253"/>
      </c>
      <c r="DS124" s="668">
        <f t="shared" si="1253"/>
      </c>
      <c r="DT124" s="668">
        <f t="shared" si="1253"/>
      </c>
      <c r="DU124" s="670">
        <f t="shared" si="1253"/>
      </c>
      <c r="DV124" s="668">
        <f t="shared" si="1228"/>
      </c>
      <c r="DW124" s="668">
        <f t="shared" si="1229"/>
      </c>
      <c r="DX124" s="668">
        <f t="shared" si="1230"/>
      </c>
      <c r="DY124" s="670">
        <f t="shared" si="1231"/>
      </c>
      <c r="DZ124" s="668">
        <f t="shared" si="1232"/>
      </c>
      <c r="EA124" s="668">
        <f t="shared" si="1233"/>
      </c>
      <c r="EB124" s="668">
        <f t="shared" si="1234"/>
      </c>
      <c r="EC124" s="670">
        <f t="shared" si="1235"/>
      </c>
      <c r="ED124" s="668">
        <f t="shared" si="1236"/>
      </c>
      <c r="EE124" s="668">
        <f t="shared" si="1237"/>
      </c>
      <c r="EF124" s="668">
        <f t="shared" si="1238"/>
      </c>
      <c r="EG124" s="670">
        <f t="shared" si="1239"/>
      </c>
      <c r="EH124" s="668">
        <f t="shared" si="1240"/>
      </c>
      <c r="EI124" s="668">
        <f t="shared" si="1241"/>
      </c>
      <c r="EJ124" s="668">
        <f t="shared" si="1242"/>
      </c>
      <c r="EK124" s="670">
        <f t="shared" si="1243"/>
      </c>
      <c r="EL124" s="11"/>
      <c r="FD124" s="674"/>
      <c r="FE124" s="674"/>
      <c r="FF124" s="674"/>
      <c r="FG124" s="674"/>
      <c r="FH124" s="674"/>
      <c r="FM124" s="3126" t="s">
        <v>2292</v>
      </c>
      <c r="FN124" s="3141">
        <f t="shared" si="1218"/>
      </c>
      <c r="FO124" s="3141">
        <f t="shared" si="1213"/>
      </c>
      <c r="FP124" s="3141">
        <f t="shared" si="1213"/>
      </c>
      <c r="FQ124" s="3141">
        <f t="shared" si="1213"/>
      </c>
    </row>
    <row r="125" spans="1:212" s="673" customFormat="1" ht="11.4">
      <c r="A125" s="683" t="str">
        <f t="shared" si="1184"/>
      </c>
      <c r="B125" s="684"/>
      <c r="C125" s="684">
        <f t="shared" ref="C125:AH125" si="1254">C17-B17</f>
      </c>
      <c r="D125" s="684">
        <f t="shared" si="1254"/>
      </c>
      <c r="E125" s="685">
        <f t="shared" si="1254"/>
      </c>
      <c r="F125" s="684">
        <f t="shared" si="1254"/>
      </c>
      <c r="G125" s="684">
        <f t="shared" si="1254"/>
      </c>
      <c r="H125" s="684">
        <f t="shared" si="1254"/>
      </c>
      <c r="I125" s="684">
        <f t="shared" si="1254"/>
      </c>
      <c r="J125" s="684">
        <f t="shared" si="1254"/>
      </c>
      <c r="K125" s="684">
        <f t="shared" si="1254"/>
      </c>
      <c r="L125" s="684">
        <f t="shared" si="1254"/>
      </c>
      <c r="M125" s="684">
        <f t="shared" si="1254"/>
      </c>
      <c r="N125" s="684">
        <f t="shared" si="1254"/>
      </c>
      <c r="O125" s="684">
        <f t="shared" si="1254"/>
      </c>
      <c r="P125" s="684">
        <f t="shared" si="1254"/>
      </c>
      <c r="Q125" s="684">
        <f t="shared" si="1254"/>
      </c>
      <c r="R125" s="684">
        <f t="shared" si="1254"/>
      </c>
      <c r="S125" s="684">
        <f t="shared" si="1254"/>
      </c>
      <c r="T125" s="684">
        <f t="shared" si="1254"/>
      </c>
      <c r="U125" s="684">
        <f t="shared" si="1254"/>
      </c>
      <c r="V125" s="684">
        <f t="shared" si="1254"/>
      </c>
      <c r="W125" s="684">
        <f t="shared" si="1254"/>
      </c>
      <c r="X125" s="684">
        <f t="shared" si="1254"/>
      </c>
      <c r="Y125" s="684">
        <f t="shared" si="1254"/>
      </c>
      <c r="Z125" s="684">
        <f t="shared" si="1254"/>
      </c>
      <c r="AA125" s="684">
        <f t="shared" si="1254"/>
      </c>
      <c r="AB125" s="684">
        <f t="shared" si="1254"/>
      </c>
      <c r="AC125" s="684">
        <f t="shared" si="1254"/>
      </c>
      <c r="AD125" s="684">
        <f t="shared" si="1254"/>
      </c>
      <c r="AE125" s="684">
        <f t="shared" si="1254"/>
      </c>
      <c r="AF125" s="684">
        <f t="shared" si="1254"/>
      </c>
      <c r="AG125" s="684">
        <f t="shared" si="1254"/>
      </c>
      <c r="AH125" s="684">
        <f t="shared" si="1254"/>
      </c>
      <c r="AI125" s="684">
        <f t="shared" ref="AI125:BN125" si="1255">AI17-AH17</f>
      </c>
      <c r="AJ125" s="684">
        <f t="shared" si="1255"/>
      </c>
      <c r="AK125" s="684">
        <f t="shared" si="1255"/>
      </c>
      <c r="AL125" s="684">
        <f t="shared" si="1255"/>
      </c>
      <c r="AM125" s="684">
        <f t="shared" si="1255"/>
      </c>
      <c r="AN125" s="684">
        <f t="shared" si="1255"/>
      </c>
      <c r="AO125" s="684">
        <f t="shared" si="1255"/>
      </c>
      <c r="AP125" s="684">
        <f t="shared" si="1255"/>
      </c>
      <c r="AQ125" s="684">
        <f t="shared" si="1255"/>
      </c>
      <c r="AR125" s="684">
        <f t="shared" si="1255"/>
      </c>
      <c r="AS125" s="684">
        <f t="shared" si="1255"/>
      </c>
      <c r="AT125" s="684">
        <f t="shared" si="1255"/>
      </c>
      <c r="AU125" s="684">
        <f t="shared" si="1255"/>
      </c>
      <c r="AV125" s="684">
        <f t="shared" si="1255"/>
      </c>
      <c r="AW125" s="684">
        <f t="shared" si="1255"/>
      </c>
      <c r="AX125" s="684">
        <f t="shared" si="1255"/>
      </c>
      <c r="AY125" s="684">
        <f t="shared" si="1255"/>
      </c>
      <c r="AZ125" s="684">
        <f t="shared" si="1255"/>
      </c>
      <c r="BA125" s="684">
        <f t="shared" si="1255"/>
      </c>
      <c r="BB125" s="684">
        <f t="shared" si="1255"/>
      </c>
      <c r="BC125" s="684">
        <f t="shared" si="1255"/>
      </c>
      <c r="BD125" s="684">
        <f t="shared" si="1255"/>
      </c>
      <c r="BE125" s="684">
        <f t="shared" si="1255"/>
      </c>
      <c r="BF125" s="684">
        <f t="shared" si="1255"/>
      </c>
      <c r="BG125" s="684">
        <f t="shared" si="1255"/>
      </c>
      <c r="BH125" s="684">
        <f t="shared" si="1255"/>
      </c>
      <c r="BI125" s="684">
        <f t="shared" si="1255"/>
      </c>
      <c r="BJ125" s="684">
        <f t="shared" si="1255"/>
      </c>
      <c r="BK125" s="684">
        <f t="shared" si="1255"/>
      </c>
      <c r="BL125" s="684">
        <f t="shared" si="1255"/>
      </c>
      <c r="BM125" s="684">
        <f t="shared" si="1255"/>
      </c>
      <c r="BN125" s="684">
        <f t="shared" si="1255"/>
      </c>
      <c r="BO125" s="684">
        <f t="shared" ref="BO125:CT125" si="1256">BO17-BN17</f>
      </c>
      <c r="BP125" s="684">
        <f t="shared" si="1256"/>
      </c>
      <c r="BQ125" s="686">
        <f t="shared" si="1256"/>
      </c>
      <c r="BR125" s="684">
        <f t="shared" si="1256"/>
      </c>
      <c r="BS125" s="684">
        <f t="shared" si="1256"/>
      </c>
      <c r="BT125" s="684">
        <f t="shared" si="1256"/>
      </c>
      <c r="BU125" s="686">
        <f t="shared" si="1256"/>
      </c>
      <c r="BV125" s="684">
        <f t="shared" si="1256"/>
      </c>
      <c r="BW125" s="684">
        <f t="shared" si="1256"/>
      </c>
      <c r="BX125" s="684">
        <f t="shared" si="1256"/>
      </c>
      <c r="BY125" s="686">
        <f t="shared" si="1256"/>
      </c>
      <c r="BZ125" s="684">
        <f t="shared" si="1256"/>
      </c>
      <c r="CA125" s="684">
        <f t="shared" si="1256"/>
      </c>
      <c r="CB125" s="684">
        <f t="shared" si="1256"/>
      </c>
      <c r="CC125" s="686">
        <f t="shared" si="1256"/>
      </c>
      <c r="CD125" s="684">
        <f t="shared" si="1256"/>
      </c>
      <c r="CE125" s="684">
        <f t="shared" si="1256"/>
      </c>
      <c r="CF125" s="684">
        <f t="shared" si="1256"/>
      </c>
      <c r="CG125" s="686">
        <f t="shared" si="1256"/>
      </c>
      <c r="CH125" s="684">
        <f t="shared" si="1256"/>
      </c>
      <c r="CI125" s="684">
        <f t="shared" si="1256"/>
      </c>
      <c r="CJ125" s="684">
        <f t="shared" si="1256"/>
      </c>
      <c r="CK125" s="686">
        <f t="shared" si="1256"/>
      </c>
      <c r="CL125" s="684">
        <f t="shared" si="1256"/>
      </c>
      <c r="CM125" s="684">
        <f t="shared" si="1256"/>
      </c>
      <c r="CN125" s="684">
        <f t="shared" si="1256"/>
      </c>
      <c r="CO125" s="686">
        <f t="shared" si="1256"/>
      </c>
      <c r="CP125" s="684">
        <f t="shared" si="1256"/>
      </c>
      <c r="CQ125" s="684">
        <f t="shared" si="1256"/>
      </c>
      <c r="CR125" s="684">
        <f t="shared" si="1256"/>
      </c>
      <c r="CS125" s="686">
        <f t="shared" si="1256"/>
      </c>
      <c r="CT125" s="684">
        <f t="shared" si="1256"/>
      </c>
      <c r="CU125" s="684">
        <f t="shared" ref="CU125:DE125" si="1257">CU17-CT17</f>
      </c>
      <c r="CV125" s="684">
        <f t="shared" si="1257"/>
      </c>
      <c r="CW125" s="686">
        <f t="shared" si="1257"/>
      </c>
      <c r="CX125" s="684">
        <f t="shared" si="1257"/>
      </c>
      <c r="CY125" s="684">
        <f t="shared" si="1257"/>
      </c>
      <c r="CZ125" s="684">
        <f t="shared" si="1257"/>
      </c>
      <c r="DA125" s="686">
        <f t="shared" si="1257"/>
      </c>
      <c r="DB125" s="684">
        <f t="shared" si="1257"/>
      </c>
      <c r="DC125" s="684">
        <f t="shared" si="1257"/>
      </c>
      <c r="DD125" s="684">
        <f t="shared" si="1257"/>
      </c>
      <c r="DE125" s="686">
        <f t="shared" si="1257"/>
      </c>
      <c r="DF125" s="684">
        <f t="shared" ref="DF125:DU125" si="1258">DF17-DE17</f>
      </c>
      <c r="DG125" s="684">
        <f t="shared" si="1258"/>
      </c>
      <c r="DH125" s="684">
        <f t="shared" si="1258"/>
      </c>
      <c r="DI125" s="686">
        <f t="shared" si="1258"/>
      </c>
      <c r="DJ125" s="684">
        <f t="shared" si="1258"/>
      </c>
      <c r="DK125" s="684">
        <f t="shared" si="1258"/>
      </c>
      <c r="DL125" s="684">
        <f t="shared" si="1258"/>
      </c>
      <c r="DM125" s="686">
        <f t="shared" si="1258"/>
      </c>
      <c r="DN125" s="684">
        <f t="shared" si="1258"/>
      </c>
      <c r="DO125" s="684">
        <f t="shared" si="1258"/>
      </c>
      <c r="DP125" s="684">
        <f t="shared" si="1258"/>
      </c>
      <c r="DQ125" s="686">
        <f t="shared" si="1258"/>
      </c>
      <c r="DR125" s="684">
        <f t="shared" si="1258"/>
      </c>
      <c r="DS125" s="684">
        <f t="shared" si="1258"/>
      </c>
      <c r="DT125" s="684">
        <f t="shared" si="1258"/>
      </c>
      <c r="DU125" s="686">
        <f t="shared" si="1258"/>
      </c>
      <c r="DV125" s="684">
        <f t="shared" si="1228"/>
      </c>
      <c r="DW125" s="684">
        <f t="shared" si="1229"/>
      </c>
      <c r="DX125" s="684">
        <f t="shared" si="1230"/>
      </c>
      <c r="DY125" s="686">
        <f t="shared" si="1231"/>
      </c>
      <c r="DZ125" s="684">
        <f t="shared" si="1232"/>
      </c>
      <c r="EA125" s="684">
        <f t="shared" si="1233"/>
      </c>
      <c r="EB125" s="684">
        <f t="shared" si="1234"/>
      </c>
      <c r="EC125" s="686">
        <f t="shared" si="1235"/>
      </c>
      <c r="ED125" s="684">
        <f t="shared" si="1236"/>
      </c>
      <c r="EE125" s="684">
        <f t="shared" si="1237"/>
      </c>
      <c r="EF125" s="684">
        <f t="shared" si="1238"/>
      </c>
      <c r="EG125" s="686">
        <f t="shared" si="1239"/>
      </c>
      <c r="EH125" s="684">
        <f t="shared" si="1240"/>
      </c>
      <c r="EI125" s="684">
        <f t="shared" si="1241"/>
      </c>
      <c r="EJ125" s="684">
        <f t="shared" si="1242"/>
      </c>
      <c r="EK125" s="686">
        <f t="shared" si="1243"/>
      </c>
      <c r="EL125" s="11"/>
      <c r="FD125" s="674"/>
      <c r="FE125" s="674"/>
      <c r="FF125" s="674"/>
      <c r="FG125" s="674"/>
      <c r="FH125" s="674"/>
      <c r="FM125" s="3126" t="s">
        <v>2291</v>
      </c>
      <c r="FN125" s="3141">
        <f t="shared" si="1218"/>
      </c>
      <c r="FO125" s="3141">
        <f t="shared" si="1213"/>
      </c>
      <c r="FP125" s="3141">
        <f t="shared" si="1213"/>
      </c>
      <c r="FQ125" s="3141">
        <f t="shared" si="1213"/>
      </c>
    </row>
    <row r="126" spans="1:212" s="673" customFormat="1" ht="11.4">
      <c r="A126" s="675" t="str">
        <f>A23</f>
      </c>
      <c r="B126" s="676"/>
      <c r="C126" s="676">
        <f t="shared" ref="C126:AH126" si="1259">C23-B23</f>
      </c>
      <c r="D126" s="676">
        <f t="shared" si="1259"/>
      </c>
      <c r="E126" s="677">
        <f t="shared" si="1259"/>
      </c>
      <c r="F126" s="676">
        <f t="shared" si="1259"/>
      </c>
      <c r="G126" s="676">
        <f t="shared" si="1259"/>
      </c>
      <c r="H126" s="676">
        <f t="shared" si="1259"/>
      </c>
      <c r="I126" s="676">
        <f t="shared" si="1259"/>
      </c>
      <c r="J126" s="676">
        <f t="shared" si="1259"/>
      </c>
      <c r="K126" s="676">
        <f t="shared" si="1259"/>
      </c>
      <c r="L126" s="676">
        <f t="shared" si="1259"/>
      </c>
      <c r="M126" s="676">
        <f t="shared" si="1259"/>
      </c>
      <c r="N126" s="676">
        <f t="shared" si="1259"/>
      </c>
      <c r="O126" s="676">
        <f t="shared" si="1259"/>
      </c>
      <c r="P126" s="676">
        <f t="shared" si="1259"/>
      </c>
      <c r="Q126" s="676">
        <f t="shared" si="1259"/>
      </c>
      <c r="R126" s="676">
        <f t="shared" si="1259"/>
      </c>
      <c r="S126" s="676">
        <f t="shared" si="1259"/>
      </c>
      <c r="T126" s="676">
        <f t="shared" si="1259"/>
      </c>
      <c r="U126" s="676">
        <f t="shared" si="1259"/>
      </c>
      <c r="V126" s="676">
        <f t="shared" si="1259"/>
      </c>
      <c r="W126" s="676">
        <f t="shared" si="1259"/>
      </c>
      <c r="X126" s="676">
        <f t="shared" si="1259"/>
      </c>
      <c r="Y126" s="676">
        <f t="shared" si="1259"/>
      </c>
      <c r="Z126" s="676">
        <f t="shared" si="1259"/>
      </c>
      <c r="AA126" s="676">
        <f t="shared" si="1259"/>
      </c>
      <c r="AB126" s="676">
        <f t="shared" si="1259"/>
      </c>
      <c r="AC126" s="676">
        <f t="shared" si="1259"/>
      </c>
      <c r="AD126" s="676">
        <f t="shared" si="1259"/>
      </c>
      <c r="AE126" s="676">
        <f t="shared" si="1259"/>
      </c>
      <c r="AF126" s="676">
        <f t="shared" si="1259"/>
      </c>
      <c r="AG126" s="676">
        <f t="shared" si="1259"/>
      </c>
      <c r="AH126" s="676">
        <f t="shared" si="1259"/>
      </c>
      <c r="AI126" s="676">
        <f t="shared" ref="AI126:BN126" si="1260">AI23-AH23</f>
      </c>
      <c r="AJ126" s="676">
        <f t="shared" si="1260"/>
      </c>
      <c r="AK126" s="676">
        <f t="shared" si="1260"/>
      </c>
      <c r="AL126" s="676">
        <f t="shared" si="1260"/>
      </c>
      <c r="AM126" s="676">
        <f t="shared" si="1260"/>
      </c>
      <c r="AN126" s="676">
        <f t="shared" si="1260"/>
      </c>
      <c r="AO126" s="676">
        <f t="shared" si="1260"/>
      </c>
      <c r="AP126" s="676">
        <f t="shared" si="1260"/>
      </c>
      <c r="AQ126" s="676">
        <f t="shared" si="1260"/>
      </c>
      <c r="AR126" s="676">
        <f t="shared" si="1260"/>
      </c>
      <c r="AS126" s="676">
        <f t="shared" si="1260"/>
      </c>
      <c r="AT126" s="676">
        <f t="shared" si="1260"/>
      </c>
      <c r="AU126" s="676">
        <f t="shared" si="1260"/>
      </c>
      <c r="AV126" s="676">
        <f t="shared" si="1260"/>
      </c>
      <c r="AW126" s="676">
        <f t="shared" si="1260"/>
      </c>
      <c r="AX126" s="676">
        <f t="shared" si="1260"/>
      </c>
      <c r="AY126" s="676">
        <f t="shared" si="1260"/>
      </c>
      <c r="AZ126" s="676">
        <f t="shared" si="1260"/>
      </c>
      <c r="BA126" s="676">
        <f t="shared" si="1260"/>
      </c>
      <c r="BB126" s="676">
        <f t="shared" si="1260"/>
      </c>
      <c r="BC126" s="676">
        <f t="shared" si="1260"/>
      </c>
      <c r="BD126" s="676">
        <f t="shared" si="1260"/>
      </c>
      <c r="BE126" s="676">
        <f t="shared" si="1260"/>
      </c>
      <c r="BF126" s="676">
        <f t="shared" si="1260"/>
      </c>
      <c r="BG126" s="676">
        <f t="shared" si="1260"/>
      </c>
      <c r="BH126" s="676">
        <f t="shared" si="1260"/>
      </c>
      <c r="BI126" s="676">
        <f t="shared" si="1260"/>
      </c>
      <c r="BJ126" s="676">
        <f t="shared" si="1260"/>
      </c>
      <c r="BK126" s="676">
        <f t="shared" si="1260"/>
      </c>
      <c r="BL126" s="676">
        <f t="shared" si="1260"/>
      </c>
      <c r="BM126" s="676">
        <f t="shared" si="1260"/>
      </c>
      <c r="BN126" s="676">
        <f t="shared" si="1260"/>
      </c>
      <c r="BO126" s="676">
        <f t="shared" ref="BO126:CT126" si="1261">BO23-BN23</f>
      </c>
      <c r="BP126" s="676">
        <f t="shared" si="1261"/>
      </c>
      <c r="BQ126" s="678">
        <f t="shared" si="1261"/>
      </c>
      <c r="BR126" s="676">
        <f t="shared" si="1261"/>
      </c>
      <c r="BS126" s="676">
        <f t="shared" si="1261"/>
      </c>
      <c r="BT126" s="676">
        <f t="shared" si="1261"/>
      </c>
      <c r="BU126" s="678">
        <f t="shared" si="1261"/>
      </c>
      <c r="BV126" s="676">
        <f t="shared" si="1261"/>
      </c>
      <c r="BW126" s="676">
        <f t="shared" si="1261"/>
      </c>
      <c r="BX126" s="676">
        <f t="shared" si="1261"/>
      </c>
      <c r="BY126" s="678">
        <f t="shared" si="1261"/>
      </c>
      <c r="BZ126" s="676">
        <f t="shared" si="1261"/>
      </c>
      <c r="CA126" s="676">
        <f t="shared" si="1261"/>
      </c>
      <c r="CB126" s="676">
        <f t="shared" si="1261"/>
      </c>
      <c r="CC126" s="678">
        <f t="shared" si="1261"/>
      </c>
      <c r="CD126" s="676">
        <f t="shared" si="1261"/>
      </c>
      <c r="CE126" s="676">
        <f t="shared" si="1261"/>
      </c>
      <c r="CF126" s="676">
        <f t="shared" si="1261"/>
      </c>
      <c r="CG126" s="678">
        <f t="shared" si="1261"/>
      </c>
      <c r="CH126" s="676">
        <f t="shared" si="1261"/>
      </c>
      <c r="CI126" s="676">
        <f t="shared" si="1261"/>
      </c>
      <c r="CJ126" s="676">
        <f t="shared" si="1261"/>
      </c>
      <c r="CK126" s="678">
        <f t="shared" si="1261"/>
      </c>
      <c r="CL126" s="676">
        <f t="shared" si="1261"/>
      </c>
      <c r="CM126" s="676">
        <f t="shared" si="1261"/>
      </c>
      <c r="CN126" s="676">
        <f t="shared" si="1261"/>
      </c>
      <c r="CO126" s="678">
        <f t="shared" si="1261"/>
      </c>
      <c r="CP126" s="676">
        <f t="shared" si="1261"/>
      </c>
      <c r="CQ126" s="676">
        <f t="shared" si="1261"/>
      </c>
      <c r="CR126" s="676">
        <f t="shared" si="1261"/>
      </c>
      <c r="CS126" s="678">
        <f t="shared" si="1261"/>
      </c>
      <c r="CT126" s="676">
        <f t="shared" si="1261"/>
      </c>
      <c r="CU126" s="676">
        <f t="shared" ref="CU126:DU126" si="1262">CU23-CT23</f>
      </c>
      <c r="CV126" s="676">
        <f t="shared" si="1262"/>
      </c>
      <c r="CW126" s="678">
        <f t="shared" si="1262"/>
      </c>
      <c r="CX126" s="676">
        <f t="shared" si="1262"/>
      </c>
      <c r="CY126" s="676">
        <f t="shared" si="1262"/>
      </c>
      <c r="CZ126" s="676">
        <f t="shared" si="1262"/>
      </c>
      <c r="DA126" s="678">
        <f t="shared" si="1262"/>
      </c>
      <c r="DB126" s="676">
        <f t="shared" si="1262"/>
      </c>
      <c r="DC126" s="676">
        <f t="shared" si="1262"/>
      </c>
      <c r="DD126" s="676">
        <f t="shared" si="1262"/>
      </c>
      <c r="DE126" s="678">
        <f t="shared" si="1262"/>
      </c>
      <c r="DF126" s="676">
        <f t="shared" si="1262"/>
      </c>
      <c r="DG126" s="676">
        <f t="shared" si="1262"/>
      </c>
      <c r="DH126" s="676">
        <f t="shared" si="1262"/>
      </c>
      <c r="DI126" s="678">
        <f t="shared" si="1262"/>
      </c>
      <c r="DJ126" s="676">
        <f t="shared" si="1262"/>
      </c>
      <c r="DK126" s="676">
        <f t="shared" si="1262"/>
      </c>
      <c r="DL126" s="676">
        <f t="shared" si="1262"/>
      </c>
      <c r="DM126" s="678">
        <f t="shared" si="1262"/>
      </c>
      <c r="DN126" s="676">
        <f t="shared" si="1262"/>
      </c>
      <c r="DO126" s="676">
        <f t="shared" si="1262"/>
      </c>
      <c r="DP126" s="676">
        <f t="shared" si="1262"/>
      </c>
      <c r="DQ126" s="678">
        <f t="shared" si="1262"/>
      </c>
      <c r="DR126" s="676">
        <f t="shared" si="1262"/>
      </c>
      <c r="DS126" s="676">
        <f t="shared" si="1262"/>
      </c>
      <c r="DT126" s="676">
        <f t="shared" si="1262"/>
      </c>
      <c r="DU126" s="678">
        <f t="shared" si="1262"/>
      </c>
      <c r="DV126" s="676">
        <f t="shared" ref="DV126" si="1263">DV23-DU23</f>
      </c>
      <c r="DW126" s="676">
        <f t="shared" ref="DW126" si="1264">DW23-DV23</f>
      </c>
      <c r="DX126" s="676">
        <f t="shared" ref="DX126" si="1265">DX23-DW23</f>
      </c>
      <c r="DY126" s="678">
        <f t="shared" ref="DY126" si="1266">DY23-DX23</f>
      </c>
      <c r="DZ126" s="676">
        <f t="shared" ref="DZ126" si="1267">DZ23-DY23</f>
      </c>
      <c r="EA126" s="676">
        <f t="shared" ref="EA126" si="1268">EA23-DZ23</f>
      </c>
      <c r="EB126" s="676">
        <f t="shared" ref="EB126" si="1269">EB23-EA23</f>
      </c>
      <c r="EC126" s="678">
        <f t="shared" ref="EC126" si="1270">EC23-EB23</f>
      </c>
      <c r="ED126" s="676">
        <f t="shared" ref="ED126" si="1271">ED23-EC23</f>
      </c>
      <c r="EE126" s="676">
        <f t="shared" ref="EE126" si="1272">EE23-ED23</f>
      </c>
      <c r="EF126" s="676">
        <f t="shared" ref="EF126" si="1273">EF23-EE23</f>
      </c>
      <c r="EG126" s="678">
        <f t="shared" ref="EG126" si="1274">EG23-EF23</f>
      </c>
      <c r="EH126" s="676">
        <f t="shared" ref="EH126" si="1275">EH23-EG23</f>
      </c>
      <c r="EI126" s="676">
        <f t="shared" ref="EI126" si="1276">EI23-EH23</f>
      </c>
      <c r="EJ126" s="676">
        <f t="shared" ref="EJ126" si="1277">EJ23-EI23</f>
      </c>
      <c r="EK126" s="678">
        <f t="shared" ref="EK126" si="1278">EK23-EJ23</f>
      </c>
      <c r="EL126" s="11"/>
      <c r="FD126" s="674"/>
      <c r="FE126" s="674"/>
      <c r="FF126" s="674"/>
      <c r="FG126" s="674"/>
      <c r="FH126" s="674"/>
      <c r="FM126" s="3126" t="s">
        <v>2290</v>
      </c>
      <c r="FN126" s="3141">
        <f t="shared" si="1218"/>
      </c>
      <c r="FO126" s="3141">
        <f t="shared" si="1213"/>
      </c>
      <c r="FP126" s="3141">
        <f t="shared" si="1213"/>
      </c>
      <c r="FQ126" s="3141">
        <f t="shared" si="1213"/>
      </c>
    </row>
    <row r="127" spans="1:212" s="673" customFormat="1" ht="11.4">
      <c r="A127" s="675" t="str">
        <f>A26</f>
      </c>
      <c r="B127" s="676"/>
      <c r="C127" s="676">
        <f t="shared" ref="C127:AH127" si="1279">C26-B26</f>
      </c>
      <c r="D127" s="676">
        <f t="shared" si="1279"/>
      </c>
      <c r="E127" s="677">
        <f t="shared" si="1279"/>
      </c>
      <c r="F127" s="676">
        <f t="shared" si="1279"/>
      </c>
      <c r="G127" s="676">
        <f t="shared" si="1279"/>
      </c>
      <c r="H127" s="676">
        <f t="shared" si="1279"/>
      </c>
      <c r="I127" s="676">
        <f t="shared" si="1279"/>
      </c>
      <c r="J127" s="676">
        <f t="shared" si="1279"/>
      </c>
      <c r="K127" s="676">
        <f t="shared" si="1279"/>
      </c>
      <c r="L127" s="676">
        <f t="shared" si="1279"/>
      </c>
      <c r="M127" s="676">
        <f t="shared" si="1279"/>
      </c>
      <c r="N127" s="676">
        <f t="shared" si="1279"/>
      </c>
      <c r="O127" s="676">
        <f t="shared" si="1279"/>
      </c>
      <c r="P127" s="676">
        <f t="shared" si="1279"/>
      </c>
      <c r="Q127" s="676">
        <f t="shared" si="1279"/>
      </c>
      <c r="R127" s="676">
        <f t="shared" si="1279"/>
      </c>
      <c r="S127" s="676">
        <f t="shared" si="1279"/>
      </c>
      <c r="T127" s="676">
        <f t="shared" si="1279"/>
      </c>
      <c r="U127" s="676">
        <f t="shared" si="1279"/>
      </c>
      <c r="V127" s="676">
        <f t="shared" si="1279"/>
      </c>
      <c r="W127" s="676">
        <f t="shared" si="1279"/>
      </c>
      <c r="X127" s="676">
        <f t="shared" si="1279"/>
      </c>
      <c r="Y127" s="676">
        <f t="shared" si="1279"/>
      </c>
      <c r="Z127" s="676">
        <f t="shared" si="1279"/>
      </c>
      <c r="AA127" s="676">
        <f t="shared" si="1279"/>
      </c>
      <c r="AB127" s="676">
        <f t="shared" si="1279"/>
      </c>
      <c r="AC127" s="676">
        <f t="shared" si="1279"/>
      </c>
      <c r="AD127" s="676">
        <f t="shared" si="1279"/>
      </c>
      <c r="AE127" s="676">
        <f t="shared" si="1279"/>
      </c>
      <c r="AF127" s="676">
        <f t="shared" si="1279"/>
      </c>
      <c r="AG127" s="676">
        <f t="shared" si="1279"/>
      </c>
      <c r="AH127" s="676">
        <f t="shared" si="1279"/>
      </c>
      <c r="AI127" s="676">
        <f t="shared" ref="AI127:BN127" si="1280">AI26-AH26</f>
      </c>
      <c r="AJ127" s="676">
        <f t="shared" si="1280"/>
      </c>
      <c r="AK127" s="676">
        <f t="shared" si="1280"/>
      </c>
      <c r="AL127" s="676">
        <f t="shared" si="1280"/>
      </c>
      <c r="AM127" s="676">
        <f t="shared" si="1280"/>
      </c>
      <c r="AN127" s="676">
        <f t="shared" si="1280"/>
      </c>
      <c r="AO127" s="676">
        <f t="shared" si="1280"/>
      </c>
      <c r="AP127" s="676">
        <f t="shared" si="1280"/>
      </c>
      <c r="AQ127" s="676">
        <f t="shared" si="1280"/>
      </c>
      <c r="AR127" s="676">
        <f t="shared" si="1280"/>
      </c>
      <c r="AS127" s="676">
        <f t="shared" si="1280"/>
      </c>
      <c r="AT127" s="676">
        <f t="shared" si="1280"/>
      </c>
      <c r="AU127" s="676">
        <f t="shared" si="1280"/>
      </c>
      <c r="AV127" s="676">
        <f t="shared" si="1280"/>
      </c>
      <c r="AW127" s="676">
        <f t="shared" si="1280"/>
      </c>
      <c r="AX127" s="676">
        <f t="shared" si="1280"/>
      </c>
      <c r="AY127" s="676">
        <f t="shared" si="1280"/>
      </c>
      <c r="AZ127" s="676">
        <f t="shared" si="1280"/>
      </c>
      <c r="BA127" s="676">
        <f t="shared" si="1280"/>
      </c>
      <c r="BB127" s="676">
        <f t="shared" si="1280"/>
      </c>
      <c r="BC127" s="676">
        <f t="shared" si="1280"/>
      </c>
      <c r="BD127" s="676">
        <f t="shared" si="1280"/>
      </c>
      <c r="BE127" s="676">
        <f t="shared" si="1280"/>
      </c>
      <c r="BF127" s="676">
        <f t="shared" si="1280"/>
      </c>
      <c r="BG127" s="676">
        <f t="shared" si="1280"/>
      </c>
      <c r="BH127" s="676">
        <f t="shared" si="1280"/>
      </c>
      <c r="BI127" s="676">
        <f t="shared" si="1280"/>
      </c>
      <c r="BJ127" s="676">
        <f t="shared" si="1280"/>
      </c>
      <c r="BK127" s="676">
        <f t="shared" si="1280"/>
      </c>
      <c r="BL127" s="676">
        <f t="shared" si="1280"/>
      </c>
      <c r="BM127" s="676">
        <f t="shared" si="1280"/>
      </c>
      <c r="BN127" s="676">
        <f t="shared" si="1280"/>
      </c>
      <c r="BO127" s="676">
        <f t="shared" ref="BO127:CT127" si="1281">BO26-BN26</f>
      </c>
      <c r="BP127" s="676">
        <f t="shared" si="1281"/>
      </c>
      <c r="BQ127" s="678">
        <f t="shared" si="1281"/>
      </c>
      <c r="BR127" s="676">
        <f t="shared" si="1281"/>
      </c>
      <c r="BS127" s="676">
        <f t="shared" si="1281"/>
      </c>
      <c r="BT127" s="676">
        <f t="shared" si="1281"/>
      </c>
      <c r="BU127" s="678">
        <f t="shared" si="1281"/>
      </c>
      <c r="BV127" s="676">
        <f t="shared" si="1281"/>
      </c>
      <c r="BW127" s="676">
        <f t="shared" si="1281"/>
      </c>
      <c r="BX127" s="676">
        <f t="shared" si="1281"/>
      </c>
      <c r="BY127" s="678">
        <f t="shared" si="1281"/>
      </c>
      <c r="BZ127" s="676">
        <f t="shared" si="1281"/>
      </c>
      <c r="CA127" s="676">
        <f t="shared" si="1281"/>
      </c>
      <c r="CB127" s="676">
        <f t="shared" si="1281"/>
      </c>
      <c r="CC127" s="678">
        <f t="shared" si="1281"/>
      </c>
      <c r="CD127" s="676">
        <f t="shared" si="1281"/>
      </c>
      <c r="CE127" s="676">
        <f t="shared" si="1281"/>
      </c>
      <c r="CF127" s="676">
        <f t="shared" si="1281"/>
      </c>
      <c r="CG127" s="678">
        <f t="shared" si="1281"/>
      </c>
      <c r="CH127" s="676">
        <f t="shared" si="1281"/>
      </c>
      <c r="CI127" s="676">
        <f t="shared" si="1281"/>
      </c>
      <c r="CJ127" s="676">
        <f t="shared" si="1281"/>
      </c>
      <c r="CK127" s="678">
        <f t="shared" si="1281"/>
      </c>
      <c r="CL127" s="676">
        <f t="shared" si="1281"/>
      </c>
      <c r="CM127" s="676">
        <f t="shared" si="1281"/>
      </c>
      <c r="CN127" s="676">
        <f t="shared" si="1281"/>
      </c>
      <c r="CO127" s="678">
        <f t="shared" si="1281"/>
      </c>
      <c r="CP127" s="676">
        <f t="shared" si="1281"/>
      </c>
      <c r="CQ127" s="676">
        <f t="shared" si="1281"/>
      </c>
      <c r="CR127" s="676">
        <f t="shared" si="1281"/>
      </c>
      <c r="CS127" s="678">
        <f t="shared" si="1281"/>
      </c>
      <c r="CT127" s="676">
        <f t="shared" si="1281"/>
      </c>
      <c r="CU127" s="676">
        <f t="shared" ref="CU127:DU127" si="1282">CU26-CT26</f>
      </c>
      <c r="CV127" s="676">
        <f t="shared" si="1282"/>
      </c>
      <c r="CW127" s="678">
        <f t="shared" si="1282"/>
      </c>
      <c r="CX127" s="676">
        <f t="shared" si="1282"/>
      </c>
      <c r="CY127" s="676">
        <f t="shared" si="1282"/>
      </c>
      <c r="CZ127" s="676">
        <f t="shared" si="1282"/>
      </c>
      <c r="DA127" s="678">
        <f t="shared" si="1282"/>
      </c>
      <c r="DB127" s="676">
        <f t="shared" si="1282"/>
      </c>
      <c r="DC127" s="676">
        <f t="shared" si="1282"/>
      </c>
      <c r="DD127" s="676">
        <f t="shared" si="1282"/>
      </c>
      <c r="DE127" s="678">
        <f t="shared" si="1282"/>
      </c>
      <c r="DF127" s="676">
        <f t="shared" si="1282"/>
      </c>
      <c r="DG127" s="676">
        <f t="shared" si="1282"/>
      </c>
      <c r="DH127" s="676">
        <f t="shared" si="1282"/>
      </c>
      <c r="DI127" s="678">
        <f t="shared" si="1282"/>
      </c>
      <c r="DJ127" s="676">
        <f t="shared" si="1282"/>
      </c>
      <c r="DK127" s="676">
        <f t="shared" si="1282"/>
      </c>
      <c r="DL127" s="676">
        <f t="shared" si="1282"/>
      </c>
      <c r="DM127" s="678">
        <f t="shared" si="1282"/>
      </c>
      <c r="DN127" s="676">
        <f t="shared" si="1282"/>
      </c>
      <c r="DO127" s="676">
        <f t="shared" si="1282"/>
      </c>
      <c r="DP127" s="676">
        <f t="shared" si="1282"/>
      </c>
      <c r="DQ127" s="678">
        <f t="shared" si="1282"/>
      </c>
      <c r="DR127" s="676">
        <f t="shared" si="1282"/>
      </c>
      <c r="DS127" s="676">
        <f t="shared" si="1282"/>
      </c>
      <c r="DT127" s="676">
        <f t="shared" si="1282"/>
      </c>
      <c r="DU127" s="678">
        <f t="shared" si="1282"/>
      </c>
      <c r="DV127" s="676">
        <f t="shared" ref="DV127" si="1283">DV26-DU26</f>
      </c>
      <c r="DW127" s="676">
        <f t="shared" ref="DW127" si="1284">DW26-DV26</f>
      </c>
      <c r="DX127" s="676">
        <f t="shared" ref="DX127" si="1285">DX26-DW26</f>
      </c>
      <c r="DY127" s="678">
        <f t="shared" ref="DY127" si="1286">DY26-DX26</f>
      </c>
      <c r="DZ127" s="676">
        <f t="shared" ref="DZ127" si="1287">DZ26-DY26</f>
      </c>
      <c r="EA127" s="676">
        <f t="shared" ref="EA127" si="1288">EA26-DZ26</f>
      </c>
      <c r="EB127" s="676">
        <f t="shared" ref="EB127" si="1289">EB26-EA26</f>
      </c>
      <c r="EC127" s="678">
        <f t="shared" ref="EC127" si="1290">EC26-EB26</f>
      </c>
      <c r="ED127" s="676">
        <f t="shared" ref="ED127" si="1291">ED26-EC26</f>
      </c>
      <c r="EE127" s="676">
        <f t="shared" ref="EE127" si="1292">EE26-ED26</f>
      </c>
      <c r="EF127" s="676">
        <f t="shared" ref="EF127" si="1293">EF26-EE26</f>
      </c>
      <c r="EG127" s="678">
        <f t="shared" ref="EG127" si="1294">EG26-EF26</f>
      </c>
      <c r="EH127" s="676">
        <f t="shared" ref="EH127" si="1295">EH26-EG26</f>
      </c>
      <c r="EI127" s="676">
        <f t="shared" ref="EI127" si="1296">EI26-EH26</f>
      </c>
      <c r="EJ127" s="676">
        <f t="shared" ref="EJ127" si="1297">EJ26-EI26</f>
      </c>
      <c r="EK127" s="678">
        <f t="shared" ref="EK127" si="1298">EK26-EJ26</f>
      </c>
      <c r="EL127" s="11"/>
      <c r="FD127" s="674"/>
      <c r="FE127" s="674"/>
      <c r="FF127" s="674"/>
      <c r="FG127" s="674"/>
      <c r="FH127" s="674"/>
      <c r="FM127" s="3126" t="s">
        <v>2289</v>
      </c>
      <c r="FN127" s="3141">
        <f t="shared" si="1218"/>
      </c>
      <c r="FO127" s="3141">
        <f t="shared" si="1213"/>
      </c>
      <c r="FP127" s="3141">
        <f t="shared" si="1213"/>
      </c>
      <c r="FQ127" s="3141">
        <f t="shared" si="1213"/>
      </c>
    </row>
    <row r="128" spans="1:212" s="673" customFormat="1" ht="11.4">
      <c r="A128" s="675" t="str">
        <f>A28</f>
      </c>
      <c r="B128" s="676"/>
      <c r="C128" s="676">
        <f t="shared" ref="C128:AH128" si="1299">C28-B28</f>
      </c>
      <c r="D128" s="676">
        <f t="shared" si="1299"/>
      </c>
      <c r="E128" s="677">
        <f t="shared" si="1299"/>
      </c>
      <c r="F128" s="676">
        <f t="shared" si="1299"/>
      </c>
      <c r="G128" s="676">
        <f t="shared" si="1299"/>
      </c>
      <c r="H128" s="676">
        <f t="shared" si="1299"/>
      </c>
      <c r="I128" s="676">
        <f t="shared" si="1299"/>
      </c>
      <c r="J128" s="676">
        <f t="shared" si="1299"/>
      </c>
      <c r="K128" s="676">
        <f t="shared" si="1299"/>
      </c>
      <c r="L128" s="676">
        <f t="shared" si="1299"/>
      </c>
      <c r="M128" s="676">
        <f t="shared" si="1299"/>
      </c>
      <c r="N128" s="676">
        <f t="shared" si="1299"/>
      </c>
      <c r="O128" s="676">
        <f t="shared" si="1299"/>
      </c>
      <c r="P128" s="676">
        <f t="shared" si="1299"/>
      </c>
      <c r="Q128" s="676">
        <f t="shared" si="1299"/>
      </c>
      <c r="R128" s="676">
        <f t="shared" si="1299"/>
      </c>
      <c r="S128" s="676">
        <f t="shared" si="1299"/>
      </c>
      <c r="T128" s="676">
        <f t="shared" si="1299"/>
      </c>
      <c r="U128" s="676">
        <f t="shared" si="1299"/>
      </c>
      <c r="V128" s="676">
        <f t="shared" si="1299"/>
      </c>
      <c r="W128" s="676">
        <f t="shared" si="1299"/>
      </c>
      <c r="X128" s="676">
        <f t="shared" si="1299"/>
      </c>
      <c r="Y128" s="676">
        <f t="shared" si="1299"/>
      </c>
      <c r="Z128" s="676">
        <f t="shared" si="1299"/>
      </c>
      <c r="AA128" s="676">
        <f t="shared" si="1299"/>
      </c>
      <c r="AB128" s="676">
        <f t="shared" si="1299"/>
      </c>
      <c r="AC128" s="676">
        <f t="shared" si="1299"/>
      </c>
      <c r="AD128" s="676">
        <f t="shared" si="1299"/>
      </c>
      <c r="AE128" s="676">
        <f t="shared" si="1299"/>
      </c>
      <c r="AF128" s="676">
        <f t="shared" si="1299"/>
      </c>
      <c r="AG128" s="676">
        <f t="shared" si="1299"/>
      </c>
      <c r="AH128" s="676">
        <f t="shared" si="1299"/>
      </c>
      <c r="AI128" s="676">
        <f t="shared" ref="AI128:BN128" si="1300">AI28-AH28</f>
      </c>
      <c r="AJ128" s="676">
        <f t="shared" si="1300"/>
      </c>
      <c r="AK128" s="676">
        <f t="shared" si="1300"/>
      </c>
      <c r="AL128" s="676">
        <f t="shared" si="1300"/>
      </c>
      <c r="AM128" s="676">
        <f t="shared" si="1300"/>
      </c>
      <c r="AN128" s="676">
        <f t="shared" si="1300"/>
      </c>
      <c r="AO128" s="676">
        <f t="shared" si="1300"/>
      </c>
      <c r="AP128" s="676">
        <f t="shared" si="1300"/>
      </c>
      <c r="AQ128" s="676">
        <f t="shared" si="1300"/>
      </c>
      <c r="AR128" s="676">
        <f t="shared" si="1300"/>
      </c>
      <c r="AS128" s="676">
        <f t="shared" si="1300"/>
      </c>
      <c r="AT128" s="676">
        <f t="shared" si="1300"/>
      </c>
      <c r="AU128" s="676">
        <f t="shared" si="1300"/>
      </c>
      <c r="AV128" s="676">
        <f t="shared" si="1300"/>
      </c>
      <c r="AW128" s="676">
        <f t="shared" si="1300"/>
      </c>
      <c r="AX128" s="676">
        <f t="shared" si="1300"/>
      </c>
      <c r="AY128" s="676">
        <f t="shared" si="1300"/>
      </c>
      <c r="AZ128" s="676">
        <f t="shared" si="1300"/>
      </c>
      <c r="BA128" s="676">
        <f t="shared" si="1300"/>
      </c>
      <c r="BB128" s="676">
        <f t="shared" si="1300"/>
      </c>
      <c r="BC128" s="676">
        <f t="shared" si="1300"/>
      </c>
      <c r="BD128" s="676">
        <f t="shared" si="1300"/>
      </c>
      <c r="BE128" s="676">
        <f t="shared" si="1300"/>
      </c>
      <c r="BF128" s="676">
        <f t="shared" si="1300"/>
      </c>
      <c r="BG128" s="676">
        <f t="shared" si="1300"/>
      </c>
      <c r="BH128" s="676">
        <f t="shared" si="1300"/>
      </c>
      <c r="BI128" s="676">
        <f t="shared" si="1300"/>
      </c>
      <c r="BJ128" s="676">
        <f t="shared" si="1300"/>
      </c>
      <c r="BK128" s="676">
        <f t="shared" si="1300"/>
      </c>
      <c r="BL128" s="676">
        <f t="shared" si="1300"/>
      </c>
      <c r="BM128" s="676">
        <f t="shared" si="1300"/>
      </c>
      <c r="BN128" s="676">
        <f t="shared" si="1300"/>
      </c>
      <c r="BO128" s="676">
        <f t="shared" ref="BO128:CT128" si="1301">BO28-BN28</f>
      </c>
      <c r="BP128" s="676">
        <f t="shared" si="1301"/>
      </c>
      <c r="BQ128" s="678">
        <f t="shared" si="1301"/>
      </c>
      <c r="BR128" s="676">
        <f t="shared" si="1301"/>
      </c>
      <c r="BS128" s="676">
        <f t="shared" si="1301"/>
      </c>
      <c r="BT128" s="676">
        <f t="shared" si="1301"/>
      </c>
      <c r="BU128" s="678">
        <f t="shared" si="1301"/>
      </c>
      <c r="BV128" s="676">
        <f t="shared" si="1301"/>
      </c>
      <c r="BW128" s="676">
        <f t="shared" si="1301"/>
      </c>
      <c r="BX128" s="676">
        <f t="shared" si="1301"/>
      </c>
      <c r="BY128" s="678">
        <f t="shared" si="1301"/>
      </c>
      <c r="BZ128" s="676">
        <f t="shared" si="1301"/>
      </c>
      <c r="CA128" s="676">
        <f t="shared" si="1301"/>
      </c>
      <c r="CB128" s="676">
        <f t="shared" si="1301"/>
      </c>
      <c r="CC128" s="678">
        <f t="shared" si="1301"/>
      </c>
      <c r="CD128" s="676">
        <f t="shared" si="1301"/>
      </c>
      <c r="CE128" s="676">
        <f t="shared" si="1301"/>
      </c>
      <c r="CF128" s="676">
        <f t="shared" si="1301"/>
      </c>
      <c r="CG128" s="678">
        <f t="shared" si="1301"/>
      </c>
      <c r="CH128" s="676">
        <f t="shared" si="1301"/>
      </c>
      <c r="CI128" s="676">
        <f t="shared" si="1301"/>
      </c>
      <c r="CJ128" s="676">
        <f t="shared" si="1301"/>
      </c>
      <c r="CK128" s="678">
        <f t="shared" si="1301"/>
      </c>
      <c r="CL128" s="676">
        <f t="shared" si="1301"/>
      </c>
      <c r="CM128" s="676">
        <f t="shared" si="1301"/>
      </c>
      <c r="CN128" s="676">
        <f t="shared" si="1301"/>
      </c>
      <c r="CO128" s="678">
        <f t="shared" si="1301"/>
      </c>
      <c r="CP128" s="676">
        <f t="shared" si="1301"/>
      </c>
      <c r="CQ128" s="676">
        <f t="shared" si="1301"/>
      </c>
      <c r="CR128" s="676">
        <f t="shared" si="1301"/>
      </c>
      <c r="CS128" s="678">
        <f t="shared" si="1301"/>
      </c>
      <c r="CT128" s="676">
        <f t="shared" si="1301"/>
      </c>
      <c r="CU128" s="676">
        <f t="shared" ref="CU128:DU128" si="1302">CU28-CT28</f>
      </c>
      <c r="CV128" s="676">
        <f t="shared" si="1302"/>
      </c>
      <c r="CW128" s="678">
        <f t="shared" si="1302"/>
      </c>
      <c r="CX128" s="676">
        <f t="shared" si="1302"/>
      </c>
      <c r="CY128" s="676">
        <f t="shared" si="1302"/>
      </c>
      <c r="CZ128" s="676">
        <f t="shared" si="1302"/>
      </c>
      <c r="DA128" s="678">
        <f t="shared" si="1302"/>
      </c>
      <c r="DB128" s="676">
        <f t="shared" si="1302"/>
      </c>
      <c r="DC128" s="676">
        <f t="shared" si="1302"/>
      </c>
      <c r="DD128" s="676">
        <f t="shared" si="1302"/>
      </c>
      <c r="DE128" s="678">
        <f t="shared" si="1302"/>
      </c>
      <c r="DF128" s="676">
        <f t="shared" si="1302"/>
      </c>
      <c r="DG128" s="676">
        <f t="shared" si="1302"/>
      </c>
      <c r="DH128" s="676">
        <f t="shared" si="1302"/>
      </c>
      <c r="DI128" s="678">
        <f t="shared" si="1302"/>
      </c>
      <c r="DJ128" s="676">
        <f t="shared" si="1302"/>
      </c>
      <c r="DK128" s="676">
        <f t="shared" si="1302"/>
      </c>
      <c r="DL128" s="676">
        <f t="shared" si="1302"/>
      </c>
      <c r="DM128" s="678">
        <f t="shared" si="1302"/>
      </c>
      <c r="DN128" s="676">
        <f t="shared" si="1302"/>
      </c>
      <c r="DO128" s="676">
        <f t="shared" si="1302"/>
      </c>
      <c r="DP128" s="676">
        <f t="shared" si="1302"/>
      </c>
      <c r="DQ128" s="678">
        <f t="shared" si="1302"/>
      </c>
      <c r="DR128" s="676">
        <f t="shared" si="1302"/>
      </c>
      <c r="DS128" s="676">
        <f t="shared" si="1302"/>
      </c>
      <c r="DT128" s="676">
        <f t="shared" si="1302"/>
      </c>
      <c r="DU128" s="678">
        <f t="shared" si="1302"/>
      </c>
      <c r="DV128" s="676">
        <f t="shared" ref="DV128:DV134" si="1303">DV28-DU28</f>
      </c>
      <c r="DW128" s="676">
        <f t="shared" ref="DW128:DW134" si="1304">DW28-DV28</f>
      </c>
      <c r="DX128" s="676">
        <f t="shared" ref="DX128:DX134" si="1305">DX28-DW28</f>
      </c>
      <c r="DY128" s="678">
        <f t="shared" ref="DY128:DY134" si="1306">DY28-DX28</f>
      </c>
      <c r="DZ128" s="676">
        <f t="shared" ref="DZ128:DZ134" si="1307">DZ28-DY28</f>
      </c>
      <c r="EA128" s="676">
        <f t="shared" ref="EA128:EA134" si="1308">EA28-DZ28</f>
      </c>
      <c r="EB128" s="676">
        <f t="shared" ref="EB128:EB134" si="1309">EB28-EA28</f>
      </c>
      <c r="EC128" s="678">
        <f t="shared" ref="EC128:EC134" si="1310">EC28-EB28</f>
      </c>
      <c r="ED128" s="676">
        <f t="shared" ref="ED128:ED134" si="1311">ED28-EC28</f>
      </c>
      <c r="EE128" s="676">
        <f t="shared" ref="EE128:EE134" si="1312">EE28-ED28</f>
      </c>
      <c r="EF128" s="676">
        <f t="shared" ref="EF128:EF134" si="1313">EF28-EE28</f>
      </c>
      <c r="EG128" s="678">
        <f t="shared" ref="EG128:EG134" si="1314">EG28-EF28</f>
      </c>
      <c r="EH128" s="676">
        <f t="shared" ref="EH128:EH134" si="1315">EH28-EG28</f>
      </c>
      <c r="EI128" s="676">
        <f t="shared" ref="EI128:EI134" si="1316">EI28-EH28</f>
      </c>
      <c r="EJ128" s="676">
        <f t="shared" ref="EJ128:EJ134" si="1317">EJ28-EI28</f>
      </c>
      <c r="EK128" s="678">
        <f t="shared" ref="EK128:EK134" si="1318">EK28-EJ28</f>
      </c>
      <c r="EL128" s="11"/>
      <c r="FD128" s="674"/>
      <c r="FE128" s="674"/>
      <c r="FF128" s="674"/>
      <c r="FG128" s="674"/>
      <c r="FH128" s="674"/>
      <c r="FM128" s="3126" t="s">
        <v>2288</v>
      </c>
      <c r="FN128" s="3141">
        <f t="shared" si="1218"/>
      </c>
      <c r="FO128" s="3141">
        <f t="shared" si="1213"/>
      </c>
      <c r="FP128" s="3141">
        <f t="shared" si="1213"/>
      </c>
      <c r="FQ128" s="3141">
        <f t="shared" si="1213"/>
      </c>
    </row>
    <row r="129" spans="1:173" ht="11.4">
      <c r="A129" s="642" t="str">
        <f>A29</f>
      </c>
      <c r="B129" s="643"/>
      <c r="C129" s="643">
        <f t="shared" ref="C129:AH129" si="1319">C29-B29</f>
      </c>
      <c r="D129" s="643">
        <f t="shared" si="1319"/>
      </c>
      <c r="E129" s="644">
        <f t="shared" si="1319"/>
      </c>
      <c r="F129" s="643">
        <f t="shared" si="1319"/>
      </c>
      <c r="G129" s="643">
        <f t="shared" si="1319"/>
      </c>
      <c r="H129" s="643">
        <f t="shared" si="1319"/>
      </c>
      <c r="I129" s="643">
        <f t="shared" si="1319"/>
      </c>
      <c r="J129" s="643">
        <f t="shared" si="1319"/>
      </c>
      <c r="K129" s="643">
        <f t="shared" si="1319"/>
      </c>
      <c r="L129" s="643">
        <f t="shared" si="1319"/>
      </c>
      <c r="M129" s="643">
        <f t="shared" si="1319"/>
      </c>
      <c r="N129" s="643">
        <f t="shared" si="1319"/>
      </c>
      <c r="O129" s="643">
        <f t="shared" si="1319"/>
      </c>
      <c r="P129" s="643">
        <f t="shared" si="1319"/>
      </c>
      <c r="Q129" s="643">
        <f t="shared" si="1319"/>
      </c>
      <c r="R129" s="643">
        <f t="shared" si="1319"/>
      </c>
      <c r="S129" s="643">
        <f t="shared" si="1319"/>
      </c>
      <c r="T129" s="643">
        <f t="shared" si="1319"/>
      </c>
      <c r="U129" s="643">
        <f t="shared" si="1319"/>
      </c>
      <c r="V129" s="643">
        <f t="shared" si="1319"/>
      </c>
      <c r="W129" s="643">
        <f t="shared" si="1319"/>
      </c>
      <c r="X129" s="643">
        <f t="shared" si="1319"/>
      </c>
      <c r="Y129" s="643">
        <f t="shared" si="1319"/>
      </c>
      <c r="Z129" s="643">
        <f t="shared" si="1319"/>
      </c>
      <c r="AA129" s="643">
        <f t="shared" si="1319"/>
      </c>
      <c r="AB129" s="643">
        <f t="shared" si="1319"/>
      </c>
      <c r="AC129" s="643">
        <f t="shared" si="1319"/>
      </c>
      <c r="AD129" s="643">
        <f t="shared" si="1319"/>
      </c>
      <c r="AE129" s="643">
        <f t="shared" si="1319"/>
      </c>
      <c r="AF129" s="643">
        <f t="shared" si="1319"/>
      </c>
      <c r="AG129" s="643">
        <f t="shared" si="1319"/>
      </c>
      <c r="AH129" s="643">
        <f t="shared" si="1319"/>
      </c>
      <c r="AI129" s="643">
        <f t="shared" ref="AI129:BN129" si="1320">AI29-AH29</f>
      </c>
      <c r="AJ129" s="643">
        <f t="shared" si="1320"/>
      </c>
      <c r="AK129" s="643">
        <f t="shared" si="1320"/>
      </c>
      <c r="AL129" s="643">
        <f t="shared" si="1320"/>
      </c>
      <c r="AM129" s="643">
        <f t="shared" si="1320"/>
      </c>
      <c r="AN129" s="643">
        <f t="shared" si="1320"/>
      </c>
      <c r="AO129" s="643">
        <f t="shared" si="1320"/>
      </c>
      <c r="AP129" s="643">
        <f t="shared" si="1320"/>
      </c>
      <c r="AQ129" s="643">
        <f t="shared" si="1320"/>
      </c>
      <c r="AR129" s="643">
        <f t="shared" si="1320"/>
      </c>
      <c r="AS129" s="643">
        <f t="shared" si="1320"/>
      </c>
      <c r="AT129" s="643">
        <f t="shared" si="1320"/>
      </c>
      <c r="AU129" s="643">
        <f t="shared" si="1320"/>
      </c>
      <c r="AV129" s="643">
        <f t="shared" si="1320"/>
      </c>
      <c r="AW129" s="643">
        <f t="shared" si="1320"/>
      </c>
      <c r="AX129" s="643">
        <f t="shared" si="1320"/>
      </c>
      <c r="AY129" s="643">
        <f t="shared" si="1320"/>
      </c>
      <c r="AZ129" s="643">
        <f t="shared" si="1320"/>
      </c>
      <c r="BA129" s="643">
        <f t="shared" si="1320"/>
      </c>
      <c r="BB129" s="643">
        <f t="shared" si="1320"/>
      </c>
      <c r="BC129" s="643">
        <f t="shared" si="1320"/>
      </c>
      <c r="BD129" s="643">
        <f t="shared" si="1320"/>
      </c>
      <c r="BE129" s="643">
        <f t="shared" si="1320"/>
      </c>
      <c r="BF129" s="643">
        <f t="shared" si="1320"/>
      </c>
      <c r="BG129" s="643">
        <f t="shared" si="1320"/>
      </c>
      <c r="BH129" s="643">
        <f t="shared" si="1320"/>
      </c>
      <c r="BI129" s="643">
        <f t="shared" si="1320"/>
      </c>
      <c r="BJ129" s="643">
        <f t="shared" si="1320"/>
      </c>
      <c r="BK129" s="643">
        <f t="shared" si="1320"/>
      </c>
      <c r="BL129" s="643">
        <f t="shared" si="1320"/>
      </c>
      <c r="BM129" s="643">
        <f t="shared" si="1320"/>
      </c>
      <c r="BN129" s="643">
        <f t="shared" si="1320"/>
      </c>
      <c r="BO129" s="643">
        <f t="shared" ref="BO129:CT129" si="1321">BO29-BN29</f>
      </c>
      <c r="BP129" s="643">
        <f t="shared" si="1321"/>
      </c>
      <c r="BQ129" s="645">
        <f t="shared" si="1321"/>
      </c>
      <c r="BR129" s="643">
        <f t="shared" si="1321"/>
      </c>
      <c r="BS129" s="643">
        <f t="shared" si="1321"/>
      </c>
      <c r="BT129" s="643">
        <f t="shared" si="1321"/>
      </c>
      <c r="BU129" s="645">
        <f t="shared" si="1321"/>
      </c>
      <c r="BV129" s="643">
        <f t="shared" si="1321"/>
      </c>
      <c r="BW129" s="643">
        <f t="shared" si="1321"/>
      </c>
      <c r="BX129" s="643">
        <f t="shared" si="1321"/>
      </c>
      <c r="BY129" s="645">
        <f t="shared" si="1321"/>
      </c>
      <c r="BZ129" s="643">
        <f t="shared" si="1321"/>
      </c>
      <c r="CA129" s="643">
        <f t="shared" si="1321"/>
      </c>
      <c r="CB129" s="643">
        <f t="shared" si="1321"/>
      </c>
      <c r="CC129" s="645">
        <f t="shared" si="1321"/>
      </c>
      <c r="CD129" s="643">
        <f t="shared" si="1321"/>
      </c>
      <c r="CE129" s="643">
        <f t="shared" si="1321"/>
      </c>
      <c r="CF129" s="643">
        <f t="shared" si="1321"/>
      </c>
      <c r="CG129" s="645">
        <f t="shared" si="1321"/>
      </c>
      <c r="CH129" s="643">
        <f t="shared" si="1321"/>
      </c>
      <c r="CI129" s="643">
        <f t="shared" si="1321"/>
      </c>
      <c r="CJ129" s="643">
        <f t="shared" si="1321"/>
      </c>
      <c r="CK129" s="645">
        <f t="shared" si="1321"/>
      </c>
      <c r="CL129" s="643">
        <f t="shared" si="1321"/>
      </c>
      <c r="CM129" s="643">
        <f t="shared" si="1321"/>
      </c>
      <c r="CN129" s="643">
        <f t="shared" si="1321"/>
      </c>
      <c r="CO129" s="645">
        <f t="shared" si="1321"/>
      </c>
      <c r="CP129" s="643">
        <f t="shared" si="1321"/>
      </c>
      <c r="CQ129" s="643">
        <f t="shared" si="1321"/>
      </c>
      <c r="CR129" s="643">
        <f t="shared" si="1321"/>
      </c>
      <c r="CS129" s="645">
        <f t="shared" si="1321"/>
      </c>
      <c r="CT129" s="643">
        <f t="shared" si="1321"/>
      </c>
      <c r="CU129" s="643">
        <f t="shared" ref="CU129:DU129" si="1322">CU29-CT29</f>
      </c>
      <c r="CV129" s="643">
        <f t="shared" si="1322"/>
      </c>
      <c r="CW129" s="645">
        <f t="shared" si="1322"/>
      </c>
      <c r="CX129" s="643">
        <f t="shared" si="1322"/>
      </c>
      <c r="CY129" s="643">
        <f t="shared" si="1322"/>
      </c>
      <c r="CZ129" s="643">
        <f t="shared" si="1322"/>
      </c>
      <c r="DA129" s="645">
        <f t="shared" si="1322"/>
      </c>
      <c r="DB129" s="643">
        <f t="shared" si="1322"/>
      </c>
      <c r="DC129" s="643">
        <f t="shared" si="1322"/>
      </c>
      <c r="DD129" s="643">
        <f t="shared" si="1322"/>
      </c>
      <c r="DE129" s="645">
        <f t="shared" si="1322"/>
      </c>
      <c r="DF129" s="643">
        <f t="shared" si="1322"/>
      </c>
      <c r="DG129" s="643">
        <f t="shared" si="1322"/>
      </c>
      <c r="DH129" s="643">
        <f t="shared" si="1322"/>
      </c>
      <c r="DI129" s="645">
        <f t="shared" si="1322"/>
      </c>
      <c r="DJ129" s="643">
        <f t="shared" si="1322"/>
      </c>
      <c r="DK129" s="643">
        <f t="shared" si="1322"/>
      </c>
      <c r="DL129" s="643">
        <f t="shared" si="1322"/>
      </c>
      <c r="DM129" s="645">
        <f t="shared" si="1322"/>
      </c>
      <c r="DN129" s="643">
        <f t="shared" si="1322"/>
      </c>
      <c r="DO129" s="643">
        <f t="shared" si="1322"/>
      </c>
      <c r="DP129" s="643">
        <f t="shared" si="1322"/>
      </c>
      <c r="DQ129" s="645">
        <f t="shared" si="1322"/>
      </c>
      <c r="DR129" s="643">
        <f t="shared" si="1322"/>
      </c>
      <c r="DS129" s="643">
        <f t="shared" si="1322"/>
      </c>
      <c r="DT129" s="643">
        <f t="shared" si="1322"/>
      </c>
      <c r="DU129" s="645">
        <f t="shared" si="1322"/>
      </c>
      <c r="DV129" s="643">
        <f t="shared" si="1303"/>
      </c>
      <c r="DW129" s="643">
        <f t="shared" si="1304"/>
      </c>
      <c r="DX129" s="643">
        <f t="shared" si="1305"/>
      </c>
      <c r="DY129" s="645">
        <f t="shared" si="1306"/>
      </c>
      <c r="DZ129" s="643">
        <f t="shared" si="1307"/>
      </c>
      <c r="EA129" s="643">
        <f t="shared" si="1308"/>
      </c>
      <c r="EB129" s="643">
        <f t="shared" si="1309"/>
      </c>
      <c r="EC129" s="645">
        <f t="shared" si="1310"/>
      </c>
      <c r="ED129" s="643">
        <f t="shared" si="1311"/>
      </c>
      <c r="EE129" s="643">
        <f t="shared" si="1312"/>
      </c>
      <c r="EF129" s="643">
        <f t="shared" si="1313"/>
      </c>
      <c r="EG129" s="645">
        <f t="shared" si="1314"/>
      </c>
      <c r="EH129" s="643">
        <f t="shared" si="1315"/>
      </c>
      <c r="EI129" s="643">
        <f t="shared" si="1316"/>
      </c>
      <c r="EJ129" s="643">
        <f t="shared" si="1317"/>
      </c>
      <c r="EK129" s="645">
        <f t="shared" si="1318"/>
      </c>
      <c r="EQ129" s="15"/>
      <c r="ER129" s="15"/>
      <c r="ES129" s="15"/>
      <c r="ET129" s="15"/>
      <c r="EU129" s="15"/>
      <c r="EV129" s="15"/>
      <c r="EW129" s="15"/>
      <c r="EX129" s="15"/>
      <c r="EY129" s="15"/>
      <c r="EZ129" s="15"/>
      <c r="FA129" s="15"/>
      <c r="FB129" s="15"/>
      <c r="FC129" s="15"/>
      <c r="FD129" s="34"/>
      <c r="FE129" s="34"/>
      <c r="FF129" s="65"/>
      <c r="FG129" s="65"/>
      <c r="FH129" s="65"/>
      <c r="FM129" s="3126" t="s">
        <v>2287</v>
      </c>
      <c r="FN129" s="3141">
        <f t="shared" si="1218"/>
      </c>
      <c r="FO129" s="3141">
        <f t="shared" si="1213"/>
      </c>
      <c r="FP129" s="3141">
        <f>VLOOKUP($A$122,$A$122:$EL$122,MATCH(CONCATENATE(FP$118,$FM129),$A$7:$EL$7,0),0)</f>
      </c>
      <c r="FQ129" s="3141">
        <f>VLOOKUP($A$122,$A$122:$EL$122,MATCH(CONCATENATE(FQ$118,$FM129),$A$7:$EL$7,0),0)</f>
      </c>
    </row>
    <row r="130" spans="1:173" ht="11.4">
      <c r="A130" s="646" t="str">
        <f>A30</f>
      </c>
      <c r="B130" s="647"/>
      <c r="C130" s="647">
        <f t="shared" ref="C130:AH130" si="1323">C30-B30</f>
      </c>
      <c r="D130" s="647">
        <f t="shared" si="1323"/>
      </c>
      <c r="E130" s="648">
        <f t="shared" si="1323"/>
      </c>
      <c r="F130" s="647">
        <f t="shared" si="1323"/>
      </c>
      <c r="G130" s="647">
        <f t="shared" si="1323"/>
      </c>
      <c r="H130" s="647">
        <f t="shared" si="1323"/>
      </c>
      <c r="I130" s="647">
        <f t="shared" si="1323"/>
      </c>
      <c r="J130" s="647">
        <f t="shared" si="1323"/>
      </c>
      <c r="K130" s="647">
        <f t="shared" si="1323"/>
      </c>
      <c r="L130" s="647">
        <f t="shared" si="1323"/>
      </c>
      <c r="M130" s="647">
        <f t="shared" si="1323"/>
      </c>
      <c r="N130" s="647">
        <f t="shared" si="1323"/>
      </c>
      <c r="O130" s="647">
        <f t="shared" si="1323"/>
      </c>
      <c r="P130" s="647">
        <f t="shared" si="1323"/>
      </c>
      <c r="Q130" s="647">
        <f t="shared" si="1323"/>
      </c>
      <c r="R130" s="647">
        <f t="shared" si="1323"/>
      </c>
      <c r="S130" s="647">
        <f t="shared" si="1323"/>
      </c>
      <c r="T130" s="647">
        <f t="shared" si="1323"/>
      </c>
      <c r="U130" s="647">
        <f t="shared" si="1323"/>
      </c>
      <c r="V130" s="647">
        <f t="shared" si="1323"/>
      </c>
      <c r="W130" s="647">
        <f t="shared" si="1323"/>
      </c>
      <c r="X130" s="647">
        <f t="shared" si="1323"/>
      </c>
      <c r="Y130" s="647">
        <f t="shared" si="1323"/>
      </c>
      <c r="Z130" s="647">
        <f t="shared" si="1323"/>
      </c>
      <c r="AA130" s="647">
        <f t="shared" si="1323"/>
      </c>
      <c r="AB130" s="647">
        <f t="shared" si="1323"/>
      </c>
      <c r="AC130" s="647">
        <f t="shared" si="1323"/>
      </c>
      <c r="AD130" s="647">
        <f t="shared" si="1323"/>
      </c>
      <c r="AE130" s="647">
        <f t="shared" si="1323"/>
      </c>
      <c r="AF130" s="647">
        <f t="shared" si="1323"/>
      </c>
      <c r="AG130" s="647">
        <f t="shared" si="1323"/>
      </c>
      <c r="AH130" s="647">
        <f t="shared" si="1323"/>
      </c>
      <c r="AI130" s="647">
        <f t="shared" ref="AI130:BN130" si="1324">AI30-AH30</f>
      </c>
      <c r="AJ130" s="647">
        <f t="shared" si="1324"/>
      </c>
      <c r="AK130" s="647">
        <f t="shared" si="1324"/>
      </c>
      <c r="AL130" s="647">
        <f t="shared" si="1324"/>
      </c>
      <c r="AM130" s="647">
        <f t="shared" si="1324"/>
      </c>
      <c r="AN130" s="647">
        <f t="shared" si="1324"/>
      </c>
      <c r="AO130" s="647">
        <f t="shared" si="1324"/>
      </c>
      <c r="AP130" s="647">
        <f t="shared" si="1324"/>
      </c>
      <c r="AQ130" s="647">
        <f t="shared" si="1324"/>
      </c>
      <c r="AR130" s="647">
        <f t="shared" si="1324"/>
      </c>
      <c r="AS130" s="647">
        <f t="shared" si="1324"/>
      </c>
      <c r="AT130" s="647">
        <f t="shared" si="1324"/>
      </c>
      <c r="AU130" s="647">
        <f t="shared" si="1324"/>
      </c>
      <c r="AV130" s="647">
        <f t="shared" si="1324"/>
      </c>
      <c r="AW130" s="647">
        <f t="shared" si="1324"/>
      </c>
      <c r="AX130" s="647">
        <f t="shared" si="1324"/>
      </c>
      <c r="AY130" s="647">
        <f t="shared" si="1324"/>
      </c>
      <c r="AZ130" s="647">
        <f t="shared" si="1324"/>
      </c>
      <c r="BA130" s="647">
        <f t="shared" si="1324"/>
      </c>
      <c r="BB130" s="647">
        <f t="shared" si="1324"/>
      </c>
      <c r="BC130" s="647">
        <f t="shared" si="1324"/>
      </c>
      <c r="BD130" s="647">
        <f t="shared" si="1324"/>
      </c>
      <c r="BE130" s="647">
        <f t="shared" si="1324"/>
      </c>
      <c r="BF130" s="647">
        <f t="shared" si="1324"/>
      </c>
      <c r="BG130" s="647">
        <f t="shared" si="1324"/>
      </c>
      <c r="BH130" s="647">
        <f t="shared" si="1324"/>
      </c>
      <c r="BI130" s="647">
        <f t="shared" si="1324"/>
      </c>
      <c r="BJ130" s="647">
        <f t="shared" si="1324"/>
      </c>
      <c r="BK130" s="647">
        <f t="shared" si="1324"/>
      </c>
      <c r="BL130" s="647">
        <f t="shared" si="1324"/>
      </c>
      <c r="BM130" s="647">
        <f t="shared" si="1324"/>
      </c>
      <c r="BN130" s="647">
        <f t="shared" si="1324"/>
      </c>
      <c r="BO130" s="647">
        <f t="shared" ref="BO130:CT130" si="1325">BO30-BN30</f>
      </c>
      <c r="BP130" s="647">
        <f t="shared" si="1325"/>
      </c>
      <c r="BQ130" s="649">
        <f t="shared" si="1325"/>
      </c>
      <c r="BR130" s="647">
        <f t="shared" si="1325"/>
      </c>
      <c r="BS130" s="647">
        <f t="shared" si="1325"/>
      </c>
      <c r="BT130" s="647">
        <f t="shared" si="1325"/>
      </c>
      <c r="BU130" s="649">
        <f t="shared" si="1325"/>
      </c>
      <c r="BV130" s="647">
        <f t="shared" si="1325"/>
      </c>
      <c r="BW130" s="647">
        <f t="shared" si="1325"/>
      </c>
      <c r="BX130" s="647">
        <f t="shared" si="1325"/>
      </c>
      <c r="BY130" s="649">
        <f t="shared" si="1325"/>
      </c>
      <c r="BZ130" s="647">
        <f t="shared" si="1325"/>
      </c>
      <c r="CA130" s="647">
        <f t="shared" si="1325"/>
      </c>
      <c r="CB130" s="647">
        <f t="shared" si="1325"/>
      </c>
      <c r="CC130" s="649">
        <f t="shared" si="1325"/>
      </c>
      <c r="CD130" s="647">
        <f t="shared" si="1325"/>
      </c>
      <c r="CE130" s="647">
        <f t="shared" si="1325"/>
      </c>
      <c r="CF130" s="647">
        <f t="shared" si="1325"/>
      </c>
      <c r="CG130" s="649">
        <f t="shared" si="1325"/>
      </c>
      <c r="CH130" s="647">
        <f t="shared" si="1325"/>
      </c>
      <c r="CI130" s="647">
        <f t="shared" si="1325"/>
      </c>
      <c r="CJ130" s="647">
        <f t="shared" si="1325"/>
      </c>
      <c r="CK130" s="649">
        <f t="shared" si="1325"/>
      </c>
      <c r="CL130" s="647">
        <f t="shared" si="1325"/>
      </c>
      <c r="CM130" s="647">
        <f t="shared" si="1325"/>
      </c>
      <c r="CN130" s="647">
        <f t="shared" si="1325"/>
      </c>
      <c r="CO130" s="649">
        <f t="shared" si="1325"/>
      </c>
      <c r="CP130" s="647">
        <f t="shared" si="1325"/>
      </c>
      <c r="CQ130" s="647">
        <f t="shared" si="1325"/>
      </c>
      <c r="CR130" s="647">
        <f t="shared" si="1325"/>
      </c>
      <c r="CS130" s="649">
        <f t="shared" si="1325"/>
      </c>
      <c r="CT130" s="647">
        <f t="shared" si="1325"/>
      </c>
      <c r="CU130" s="647">
        <f t="shared" ref="CU130:DU130" si="1326">CU30-CT30</f>
      </c>
      <c r="CV130" s="647">
        <f t="shared" si="1326"/>
      </c>
      <c r="CW130" s="649">
        <f t="shared" si="1326"/>
      </c>
      <c r="CX130" s="647">
        <f t="shared" si="1326"/>
      </c>
      <c r="CY130" s="647">
        <f t="shared" si="1326"/>
      </c>
      <c r="CZ130" s="647">
        <f t="shared" si="1326"/>
      </c>
      <c r="DA130" s="649">
        <f t="shared" si="1326"/>
      </c>
      <c r="DB130" s="647">
        <f t="shared" si="1326"/>
      </c>
      <c r="DC130" s="647">
        <f t="shared" si="1326"/>
      </c>
      <c r="DD130" s="647">
        <f t="shared" si="1326"/>
      </c>
      <c r="DE130" s="649">
        <f t="shared" si="1326"/>
      </c>
      <c r="DF130" s="647">
        <f t="shared" si="1326"/>
      </c>
      <c r="DG130" s="647">
        <f t="shared" si="1326"/>
      </c>
      <c r="DH130" s="647">
        <f t="shared" si="1326"/>
      </c>
      <c r="DI130" s="649">
        <f t="shared" si="1326"/>
      </c>
      <c r="DJ130" s="647">
        <f t="shared" si="1326"/>
      </c>
      <c r="DK130" s="647">
        <f t="shared" si="1326"/>
      </c>
      <c r="DL130" s="647">
        <f t="shared" si="1326"/>
      </c>
      <c r="DM130" s="649">
        <f t="shared" si="1326"/>
      </c>
      <c r="DN130" s="647">
        <f t="shared" si="1326"/>
      </c>
      <c r="DO130" s="647">
        <f t="shared" si="1326"/>
      </c>
      <c r="DP130" s="647">
        <f t="shared" si="1326"/>
      </c>
      <c r="DQ130" s="649">
        <f t="shared" si="1326"/>
      </c>
      <c r="DR130" s="647">
        <f t="shared" si="1326"/>
      </c>
      <c r="DS130" s="647">
        <f t="shared" si="1326"/>
      </c>
      <c r="DT130" s="647">
        <f t="shared" si="1326"/>
      </c>
      <c r="DU130" s="649">
        <f t="shared" si="1326"/>
      </c>
      <c r="DV130" s="647">
        <f t="shared" si="1303"/>
      </c>
      <c r="DW130" s="647">
        <f t="shared" si="1304"/>
      </c>
      <c r="DX130" s="647">
        <f t="shared" si="1305"/>
      </c>
      <c r="DY130" s="649">
        <f t="shared" si="1306"/>
      </c>
      <c r="DZ130" s="647">
        <f t="shared" si="1307"/>
      </c>
      <c r="EA130" s="647">
        <f t="shared" si="1308"/>
      </c>
      <c r="EB130" s="647">
        <f t="shared" si="1309"/>
      </c>
      <c r="EC130" s="649">
        <f t="shared" si="1310"/>
      </c>
      <c r="ED130" s="647">
        <f t="shared" si="1311"/>
      </c>
      <c r="EE130" s="647">
        <f t="shared" si="1312"/>
      </c>
      <c r="EF130" s="647">
        <f t="shared" si="1313"/>
      </c>
      <c r="EG130" s="649">
        <f t="shared" si="1314"/>
      </c>
      <c r="EH130" s="647">
        <f t="shared" si="1315"/>
      </c>
      <c r="EI130" s="647">
        <f t="shared" si="1316"/>
      </c>
      <c r="EJ130" s="647">
        <f t="shared" si="1317"/>
      </c>
      <c r="EK130" s="649">
        <f t="shared" si="1318"/>
      </c>
      <c r="EQ130" s="15"/>
      <c r="ER130" s="15"/>
      <c r="ES130" s="15"/>
      <c r="ET130" s="15"/>
      <c r="EU130" s="15"/>
      <c r="EV130" s="15"/>
      <c r="EW130" s="15"/>
      <c r="EX130" s="15"/>
      <c r="EY130" s="15"/>
      <c r="EZ130" s="15"/>
      <c r="FA130" s="15"/>
      <c r="FB130" s="15"/>
      <c r="FC130" s="15"/>
      <c r="FD130" s="34"/>
      <c r="FE130" s="34"/>
      <c r="FF130" s="65"/>
      <c r="FG130" s="65"/>
      <c r="FH130" s="65"/>
      <c r="FM130" s="3190" t="s">
        <v>2328</v>
      </c>
      <c r="FN130" s="3141">
        <f>VLOOKUP($A$122,$A$122:$EL$122,MATCH(CONCATENATE(FN$118,$FM130),$A$7:$EL$7,0),0)</f>
      </c>
      <c r="FO130" s="3141">
        <f>VLOOKUP($A$122,$A$122:$EL$122,MATCH(CONCATENATE(FO$118,$FM130),$A$7:$EL$7,0),0)</f>
      </c>
      <c r="FP130" s="3141">
        <f>VLOOKUP($A$122,$A$122:$EL$122,MATCH(CONCATENATE(FP$118,$FM130),$A$7:$EL$7,0),0)</f>
      </c>
      <c r="FQ130" s="3141">
        <f>VLOOKUP($A$122,$A$122:$EL$122,MATCH(CONCATENATE(FQ$118,$FM130),$A$7:$EL$7,0),0)</f>
      </c>
    </row>
    <row r="131" spans="1:173" ht="11.4">
      <c r="A131" s="650" t="str">
        <f>A31</f>
      </c>
      <c r="B131" s="651"/>
      <c r="C131" s="651">
        <f t="shared" ref="C131:AH131" si="1327">C31-B31</f>
      </c>
      <c r="D131" s="651">
        <f t="shared" si="1327"/>
      </c>
      <c r="E131" s="652">
        <f t="shared" si="1327"/>
      </c>
      <c r="F131" s="651">
        <f t="shared" si="1327"/>
      </c>
      <c r="G131" s="651">
        <f t="shared" si="1327"/>
      </c>
      <c r="H131" s="651">
        <f t="shared" si="1327"/>
      </c>
      <c r="I131" s="651">
        <f t="shared" si="1327"/>
      </c>
      <c r="J131" s="651">
        <f t="shared" si="1327"/>
      </c>
      <c r="K131" s="651">
        <f t="shared" si="1327"/>
      </c>
      <c r="L131" s="651">
        <f t="shared" si="1327"/>
      </c>
      <c r="M131" s="651">
        <f t="shared" si="1327"/>
      </c>
      <c r="N131" s="651">
        <f t="shared" si="1327"/>
      </c>
      <c r="O131" s="651">
        <f t="shared" si="1327"/>
      </c>
      <c r="P131" s="651">
        <f t="shared" si="1327"/>
      </c>
      <c r="Q131" s="651">
        <f t="shared" si="1327"/>
      </c>
      <c r="R131" s="651">
        <f t="shared" si="1327"/>
      </c>
      <c r="S131" s="651">
        <f t="shared" si="1327"/>
      </c>
      <c r="T131" s="651">
        <f t="shared" si="1327"/>
      </c>
      <c r="U131" s="651">
        <f t="shared" si="1327"/>
      </c>
      <c r="V131" s="651">
        <f t="shared" si="1327"/>
      </c>
      <c r="W131" s="651">
        <f t="shared" si="1327"/>
      </c>
      <c r="X131" s="651">
        <f t="shared" si="1327"/>
      </c>
      <c r="Y131" s="651">
        <f t="shared" si="1327"/>
      </c>
      <c r="Z131" s="651">
        <f t="shared" si="1327"/>
      </c>
      <c r="AA131" s="651">
        <f t="shared" si="1327"/>
      </c>
      <c r="AB131" s="651">
        <f t="shared" si="1327"/>
      </c>
      <c r="AC131" s="651">
        <f t="shared" si="1327"/>
      </c>
      <c r="AD131" s="651">
        <f t="shared" si="1327"/>
      </c>
      <c r="AE131" s="651">
        <f t="shared" si="1327"/>
      </c>
      <c r="AF131" s="651">
        <f t="shared" si="1327"/>
      </c>
      <c r="AG131" s="651">
        <f t="shared" si="1327"/>
      </c>
      <c r="AH131" s="651">
        <f t="shared" si="1327"/>
      </c>
      <c r="AI131" s="651">
        <f t="shared" ref="AI131:BN131" si="1328">AI31-AH31</f>
      </c>
      <c r="AJ131" s="651">
        <f t="shared" si="1328"/>
      </c>
      <c r="AK131" s="651">
        <f t="shared" si="1328"/>
      </c>
      <c r="AL131" s="651">
        <f t="shared" si="1328"/>
      </c>
      <c r="AM131" s="651">
        <f t="shared" si="1328"/>
      </c>
      <c r="AN131" s="651">
        <f t="shared" si="1328"/>
      </c>
      <c r="AO131" s="651">
        <f t="shared" si="1328"/>
      </c>
      <c r="AP131" s="651">
        <f t="shared" si="1328"/>
      </c>
      <c r="AQ131" s="651">
        <f t="shared" si="1328"/>
      </c>
      <c r="AR131" s="651">
        <f t="shared" si="1328"/>
      </c>
      <c r="AS131" s="651">
        <f t="shared" si="1328"/>
      </c>
      <c r="AT131" s="651">
        <f t="shared" si="1328"/>
      </c>
      <c r="AU131" s="651">
        <f t="shared" si="1328"/>
      </c>
      <c r="AV131" s="651">
        <f t="shared" si="1328"/>
      </c>
      <c r="AW131" s="651">
        <f t="shared" si="1328"/>
      </c>
      <c r="AX131" s="651">
        <f t="shared" si="1328"/>
      </c>
      <c r="AY131" s="651">
        <f t="shared" si="1328"/>
      </c>
      <c r="AZ131" s="651">
        <f t="shared" si="1328"/>
      </c>
      <c r="BA131" s="651">
        <f t="shared" si="1328"/>
      </c>
      <c r="BB131" s="651">
        <f t="shared" si="1328"/>
      </c>
      <c r="BC131" s="651">
        <f t="shared" si="1328"/>
      </c>
      <c r="BD131" s="651">
        <f t="shared" si="1328"/>
      </c>
      <c r="BE131" s="651">
        <f t="shared" si="1328"/>
      </c>
      <c r="BF131" s="651">
        <f t="shared" si="1328"/>
      </c>
      <c r="BG131" s="651">
        <f t="shared" si="1328"/>
      </c>
      <c r="BH131" s="651">
        <f t="shared" si="1328"/>
      </c>
      <c r="BI131" s="651">
        <f t="shared" si="1328"/>
      </c>
      <c r="BJ131" s="651">
        <f t="shared" si="1328"/>
      </c>
      <c r="BK131" s="651">
        <f t="shared" si="1328"/>
      </c>
      <c r="BL131" s="651">
        <f t="shared" si="1328"/>
      </c>
      <c r="BM131" s="651">
        <f t="shared" si="1328"/>
      </c>
      <c r="BN131" s="651">
        <f t="shared" si="1328"/>
      </c>
      <c r="BO131" s="651">
        <f t="shared" ref="BO131:CT131" si="1329">BO31-BN31</f>
      </c>
      <c r="BP131" s="651">
        <f t="shared" si="1329"/>
      </c>
      <c r="BQ131" s="653">
        <f t="shared" si="1329"/>
      </c>
      <c r="BR131" s="651">
        <f t="shared" si="1329"/>
      </c>
      <c r="BS131" s="651">
        <f t="shared" si="1329"/>
      </c>
      <c r="BT131" s="651">
        <f t="shared" si="1329"/>
      </c>
      <c r="BU131" s="653">
        <f t="shared" si="1329"/>
      </c>
      <c r="BV131" s="651">
        <f t="shared" si="1329"/>
      </c>
      <c r="BW131" s="651">
        <f t="shared" si="1329"/>
      </c>
      <c r="BX131" s="651">
        <f t="shared" si="1329"/>
      </c>
      <c r="BY131" s="653">
        <f t="shared" si="1329"/>
      </c>
      <c r="BZ131" s="651">
        <f t="shared" si="1329"/>
      </c>
      <c r="CA131" s="651">
        <f t="shared" si="1329"/>
      </c>
      <c r="CB131" s="651">
        <f t="shared" si="1329"/>
      </c>
      <c r="CC131" s="653">
        <f t="shared" si="1329"/>
      </c>
      <c r="CD131" s="651">
        <f t="shared" si="1329"/>
      </c>
      <c r="CE131" s="651">
        <f t="shared" si="1329"/>
      </c>
      <c r="CF131" s="651">
        <f t="shared" si="1329"/>
      </c>
      <c r="CG131" s="653">
        <f t="shared" si="1329"/>
      </c>
      <c r="CH131" s="651">
        <f t="shared" si="1329"/>
      </c>
      <c r="CI131" s="651">
        <f t="shared" si="1329"/>
      </c>
      <c r="CJ131" s="651">
        <f t="shared" si="1329"/>
      </c>
      <c r="CK131" s="653">
        <f t="shared" si="1329"/>
      </c>
      <c r="CL131" s="651">
        <f t="shared" si="1329"/>
      </c>
      <c r="CM131" s="651">
        <f t="shared" si="1329"/>
      </c>
      <c r="CN131" s="651">
        <f t="shared" si="1329"/>
      </c>
      <c r="CO131" s="653">
        <f t="shared" si="1329"/>
      </c>
      <c r="CP131" s="651">
        <f t="shared" si="1329"/>
      </c>
      <c r="CQ131" s="651">
        <f t="shared" si="1329"/>
      </c>
      <c r="CR131" s="651">
        <f t="shared" si="1329"/>
      </c>
      <c r="CS131" s="653">
        <f t="shared" si="1329"/>
      </c>
      <c r="CT131" s="651">
        <f t="shared" si="1329"/>
      </c>
      <c r="CU131" s="651">
        <f t="shared" ref="CU131:DU131" si="1330">CU31-CT31</f>
      </c>
      <c r="CV131" s="651">
        <f t="shared" si="1330"/>
      </c>
      <c r="CW131" s="653">
        <f t="shared" si="1330"/>
      </c>
      <c r="CX131" s="651">
        <f t="shared" si="1330"/>
      </c>
      <c r="CY131" s="651">
        <f t="shared" si="1330"/>
      </c>
      <c r="CZ131" s="651">
        <f t="shared" si="1330"/>
      </c>
      <c r="DA131" s="653">
        <f t="shared" si="1330"/>
      </c>
      <c r="DB131" s="651">
        <f t="shared" si="1330"/>
      </c>
      <c r="DC131" s="651">
        <f t="shared" si="1330"/>
      </c>
      <c r="DD131" s="651">
        <f t="shared" si="1330"/>
      </c>
      <c r="DE131" s="653">
        <f t="shared" si="1330"/>
      </c>
      <c r="DF131" s="651">
        <f t="shared" si="1330"/>
      </c>
      <c r="DG131" s="651">
        <f t="shared" si="1330"/>
      </c>
      <c r="DH131" s="651">
        <f t="shared" si="1330"/>
      </c>
      <c r="DI131" s="653">
        <f t="shared" si="1330"/>
      </c>
      <c r="DJ131" s="651">
        <f t="shared" si="1330"/>
      </c>
      <c r="DK131" s="651">
        <f t="shared" si="1330"/>
      </c>
      <c r="DL131" s="651">
        <f t="shared" si="1330"/>
      </c>
      <c r="DM131" s="653">
        <f t="shared" si="1330"/>
      </c>
      <c r="DN131" s="651">
        <f t="shared" si="1330"/>
      </c>
      <c r="DO131" s="651">
        <f t="shared" si="1330"/>
      </c>
      <c r="DP131" s="651">
        <f t="shared" si="1330"/>
      </c>
      <c r="DQ131" s="653">
        <f t="shared" si="1330"/>
      </c>
      <c r="DR131" s="651">
        <f t="shared" si="1330"/>
      </c>
      <c r="DS131" s="651">
        <f t="shared" si="1330"/>
      </c>
      <c r="DT131" s="651">
        <f t="shared" si="1330"/>
      </c>
      <c r="DU131" s="653">
        <f t="shared" si="1330"/>
      </c>
      <c r="DV131" s="651">
        <f t="shared" si="1303"/>
      </c>
      <c r="DW131" s="651">
        <f t="shared" si="1304"/>
      </c>
      <c r="DX131" s="651">
        <f t="shared" si="1305"/>
      </c>
      <c r="DY131" s="653">
        <f t="shared" si="1306"/>
      </c>
      <c r="DZ131" s="651">
        <f t="shared" si="1307"/>
      </c>
      <c r="EA131" s="651">
        <f t="shared" si="1308"/>
      </c>
      <c r="EB131" s="651">
        <f t="shared" si="1309"/>
      </c>
      <c r="EC131" s="653">
        <f t="shared" si="1310"/>
      </c>
      <c r="ED131" s="651">
        <f t="shared" si="1311"/>
      </c>
      <c r="EE131" s="651">
        <f t="shared" si="1312"/>
      </c>
      <c r="EF131" s="651">
        <f t="shared" si="1313"/>
      </c>
      <c r="EG131" s="653">
        <f t="shared" si="1314"/>
      </c>
      <c r="EH131" s="651">
        <f t="shared" si="1315"/>
      </c>
      <c r="EI131" s="651">
        <f t="shared" si="1316"/>
      </c>
      <c r="EJ131" s="651">
        <f t="shared" si="1317"/>
      </c>
      <c r="EK131" s="653">
        <f t="shared" si="1318"/>
      </c>
      <c r="EQ131" s="15"/>
      <c r="ER131" s="15"/>
      <c r="ES131" s="15"/>
      <c r="ET131" s="15"/>
      <c r="EU131" s="15"/>
      <c r="EV131" s="15"/>
      <c r="EW131" s="15"/>
      <c r="EX131" s="15"/>
      <c r="EY131" s="15"/>
      <c r="EZ131" s="15"/>
      <c r="FA131" s="15"/>
      <c r="FB131" s="15"/>
      <c r="FC131" s="15"/>
      <c r="FD131" s="34"/>
      <c r="FE131" s="34"/>
      <c r="FF131" s="65"/>
      <c r="FG131" s="65"/>
      <c r="FH131" s="65"/>
      <c r="FM131" s="3126" t="s">
        <v>2304</v>
      </c>
      <c r="FN131" s="3141">
        <f>VLOOKUP($A$122,$A$122:$EL$122,MATCH(CONCATENATE(FN$118,LEFT($FM131,3)),$A$7:$EL$7,0),0)</f>
      </c>
      <c r="FO131" s="3141">
        <f>VLOOKUP($A$122,$A$122:$EL$122,MATCH(CONCATENATE(FO$118,LEFT($FM131,3)),$A$7:$EL$7,0),0)</f>
      </c>
      <c r="FP131" s="3141">
        <f>VLOOKUP($A$122,$A$122:$EL$122,MATCH(CONCATENATE(FP$118,LEFT($FM131,3)),$A$7:$EL$7,0),0)</f>
      </c>
      <c r="FQ131" s="3393">
        <f t="shared" si="1213"/>
      </c>
    </row>
    <row r="132" spans="1:173" ht="11.4">
      <c r="A132" s="646" t="str">
        <f t="shared" ref="A132:A134" si="1331">A32</f>
      </c>
      <c r="B132" s="647"/>
      <c r="C132" s="647">
        <f t="shared" ref="C132:AH132" si="1332">C32-B32</f>
      </c>
      <c r="D132" s="647">
        <f t="shared" si="1332"/>
      </c>
      <c r="E132" s="648">
        <f t="shared" si="1332"/>
      </c>
      <c r="F132" s="647">
        <f t="shared" si="1332"/>
      </c>
      <c r="G132" s="647">
        <f t="shared" si="1332"/>
      </c>
      <c r="H132" s="647">
        <f t="shared" si="1332"/>
      </c>
      <c r="I132" s="647">
        <f t="shared" si="1332"/>
      </c>
      <c r="J132" s="647">
        <f t="shared" si="1332"/>
      </c>
      <c r="K132" s="647">
        <f t="shared" si="1332"/>
      </c>
      <c r="L132" s="647">
        <f t="shared" si="1332"/>
      </c>
      <c r="M132" s="647">
        <f t="shared" si="1332"/>
      </c>
      <c r="N132" s="647">
        <f t="shared" si="1332"/>
      </c>
      <c r="O132" s="647">
        <f t="shared" si="1332"/>
      </c>
      <c r="P132" s="647">
        <f t="shared" si="1332"/>
      </c>
      <c r="Q132" s="647">
        <f t="shared" si="1332"/>
      </c>
      <c r="R132" s="647">
        <f t="shared" si="1332"/>
      </c>
      <c r="S132" s="647">
        <f t="shared" si="1332"/>
      </c>
      <c r="T132" s="647">
        <f t="shared" si="1332"/>
      </c>
      <c r="U132" s="647">
        <f t="shared" si="1332"/>
      </c>
      <c r="V132" s="647">
        <f t="shared" si="1332"/>
      </c>
      <c r="W132" s="647">
        <f t="shared" si="1332"/>
      </c>
      <c r="X132" s="647">
        <f t="shared" si="1332"/>
      </c>
      <c r="Y132" s="647">
        <f t="shared" si="1332"/>
      </c>
      <c r="Z132" s="647">
        <f t="shared" si="1332"/>
      </c>
      <c r="AA132" s="647">
        <f t="shared" si="1332"/>
      </c>
      <c r="AB132" s="647">
        <f t="shared" si="1332"/>
      </c>
      <c r="AC132" s="647">
        <f t="shared" si="1332"/>
      </c>
      <c r="AD132" s="647">
        <f t="shared" si="1332"/>
      </c>
      <c r="AE132" s="647">
        <f t="shared" si="1332"/>
      </c>
      <c r="AF132" s="647">
        <f t="shared" si="1332"/>
      </c>
      <c r="AG132" s="647">
        <f t="shared" si="1332"/>
      </c>
      <c r="AH132" s="647">
        <f t="shared" si="1332"/>
      </c>
      <c r="AI132" s="647">
        <f t="shared" ref="AI132:BN132" si="1333">AI32-AH32</f>
      </c>
      <c r="AJ132" s="647">
        <f t="shared" si="1333"/>
      </c>
      <c r="AK132" s="647">
        <f t="shared" si="1333"/>
      </c>
      <c r="AL132" s="647">
        <f t="shared" si="1333"/>
      </c>
      <c r="AM132" s="647">
        <f t="shared" si="1333"/>
      </c>
      <c r="AN132" s="647">
        <f t="shared" si="1333"/>
      </c>
      <c r="AO132" s="647">
        <f t="shared" si="1333"/>
      </c>
      <c r="AP132" s="647">
        <f t="shared" si="1333"/>
      </c>
      <c r="AQ132" s="647">
        <f t="shared" si="1333"/>
      </c>
      <c r="AR132" s="647">
        <f t="shared" si="1333"/>
      </c>
      <c r="AS132" s="647">
        <f t="shared" si="1333"/>
      </c>
      <c r="AT132" s="647">
        <f t="shared" si="1333"/>
      </c>
      <c r="AU132" s="647">
        <f t="shared" si="1333"/>
      </c>
      <c r="AV132" s="647">
        <f t="shared" si="1333"/>
      </c>
      <c r="AW132" s="647">
        <f t="shared" si="1333"/>
      </c>
      <c r="AX132" s="647">
        <f t="shared" si="1333"/>
      </c>
      <c r="AY132" s="647">
        <f t="shared" si="1333"/>
      </c>
      <c r="AZ132" s="647">
        <f t="shared" si="1333"/>
      </c>
      <c r="BA132" s="647">
        <f t="shared" si="1333"/>
      </c>
      <c r="BB132" s="647">
        <f t="shared" si="1333"/>
      </c>
      <c r="BC132" s="647">
        <f t="shared" si="1333"/>
      </c>
      <c r="BD132" s="647">
        <f t="shared" si="1333"/>
      </c>
      <c r="BE132" s="647">
        <f t="shared" si="1333"/>
      </c>
      <c r="BF132" s="647">
        <f t="shared" si="1333"/>
      </c>
      <c r="BG132" s="647">
        <f t="shared" si="1333"/>
      </c>
      <c r="BH132" s="647">
        <f t="shared" si="1333"/>
      </c>
      <c r="BI132" s="647">
        <f t="shared" si="1333"/>
      </c>
      <c r="BJ132" s="647">
        <f t="shared" si="1333"/>
      </c>
      <c r="BK132" s="647">
        <f t="shared" si="1333"/>
      </c>
      <c r="BL132" s="647">
        <f t="shared" si="1333"/>
      </c>
      <c r="BM132" s="647">
        <f t="shared" si="1333"/>
      </c>
      <c r="BN132" s="647">
        <f t="shared" si="1333"/>
      </c>
      <c r="BO132" s="647">
        <f t="shared" ref="BO132:CT132" si="1334">BO32-BN32</f>
      </c>
      <c r="BP132" s="647">
        <f t="shared" si="1334"/>
      </c>
      <c r="BQ132" s="649">
        <f t="shared" si="1334"/>
      </c>
      <c r="BR132" s="647">
        <f t="shared" si="1334"/>
      </c>
      <c r="BS132" s="647">
        <f t="shared" si="1334"/>
      </c>
      <c r="BT132" s="647">
        <f t="shared" si="1334"/>
      </c>
      <c r="BU132" s="649">
        <f t="shared" si="1334"/>
      </c>
      <c r="BV132" s="647">
        <f t="shared" si="1334"/>
      </c>
      <c r="BW132" s="647">
        <f t="shared" si="1334"/>
      </c>
      <c r="BX132" s="647">
        <f t="shared" si="1334"/>
      </c>
      <c r="BY132" s="649">
        <f t="shared" si="1334"/>
      </c>
      <c r="BZ132" s="647">
        <f t="shared" si="1334"/>
      </c>
      <c r="CA132" s="647">
        <f t="shared" si="1334"/>
      </c>
      <c r="CB132" s="647">
        <f t="shared" si="1334"/>
      </c>
      <c r="CC132" s="649">
        <f t="shared" si="1334"/>
      </c>
      <c r="CD132" s="647">
        <f t="shared" si="1334"/>
      </c>
      <c r="CE132" s="647">
        <f t="shared" si="1334"/>
      </c>
      <c r="CF132" s="647">
        <f t="shared" si="1334"/>
      </c>
      <c r="CG132" s="649">
        <f t="shared" si="1334"/>
      </c>
      <c r="CH132" s="647">
        <f t="shared" si="1334"/>
      </c>
      <c r="CI132" s="647">
        <f t="shared" si="1334"/>
      </c>
      <c r="CJ132" s="647">
        <f t="shared" si="1334"/>
      </c>
      <c r="CK132" s="649">
        <f t="shared" si="1334"/>
      </c>
      <c r="CL132" s="647">
        <f t="shared" si="1334"/>
      </c>
      <c r="CM132" s="647">
        <f t="shared" si="1334"/>
      </c>
      <c r="CN132" s="647">
        <f t="shared" si="1334"/>
      </c>
      <c r="CO132" s="649">
        <f t="shared" si="1334"/>
      </c>
      <c r="CP132" s="647">
        <f t="shared" si="1334"/>
      </c>
      <c r="CQ132" s="647">
        <f t="shared" si="1334"/>
      </c>
      <c r="CR132" s="647">
        <f t="shared" si="1334"/>
      </c>
      <c r="CS132" s="649">
        <f t="shared" si="1334"/>
      </c>
      <c r="CT132" s="647">
        <f t="shared" si="1334"/>
      </c>
      <c r="CU132" s="647">
        <f t="shared" ref="CU132:DU132" si="1335">CU32-CT32</f>
      </c>
      <c r="CV132" s="647">
        <f t="shared" si="1335"/>
      </c>
      <c r="CW132" s="649">
        <f t="shared" si="1335"/>
      </c>
      <c r="CX132" s="647">
        <f t="shared" si="1335"/>
      </c>
      <c r="CY132" s="647">
        <f t="shared" si="1335"/>
      </c>
      <c r="CZ132" s="647">
        <f t="shared" si="1335"/>
      </c>
      <c r="DA132" s="649">
        <f t="shared" si="1335"/>
      </c>
      <c r="DB132" s="647">
        <f t="shared" si="1335"/>
      </c>
      <c r="DC132" s="647">
        <f t="shared" si="1335"/>
      </c>
      <c r="DD132" s="647">
        <f t="shared" si="1335"/>
      </c>
      <c r="DE132" s="649">
        <f t="shared" si="1335"/>
      </c>
      <c r="DF132" s="647">
        <f t="shared" si="1335"/>
      </c>
      <c r="DG132" s="647">
        <f t="shared" si="1335"/>
      </c>
      <c r="DH132" s="647">
        <f t="shared" si="1335"/>
      </c>
      <c r="DI132" s="649">
        <f t="shared" si="1335"/>
      </c>
      <c r="DJ132" s="647">
        <f t="shared" si="1335"/>
      </c>
      <c r="DK132" s="647">
        <f t="shared" si="1335"/>
      </c>
      <c r="DL132" s="647">
        <f t="shared" si="1335"/>
      </c>
      <c r="DM132" s="649">
        <f t="shared" si="1335"/>
      </c>
      <c r="DN132" s="647">
        <f t="shared" si="1335"/>
      </c>
      <c r="DO132" s="647">
        <f t="shared" si="1335"/>
      </c>
      <c r="DP132" s="647">
        <f t="shared" si="1335"/>
      </c>
      <c r="DQ132" s="649">
        <f t="shared" si="1335"/>
      </c>
      <c r="DR132" s="647">
        <f t="shared" si="1335"/>
      </c>
      <c r="DS132" s="647">
        <f t="shared" si="1335"/>
      </c>
      <c r="DT132" s="647">
        <f t="shared" si="1335"/>
      </c>
      <c r="DU132" s="649">
        <f t="shared" si="1335"/>
      </c>
      <c r="DV132" s="647">
        <f t="shared" si="1303"/>
      </c>
      <c r="DW132" s="647">
        <f t="shared" si="1304"/>
      </c>
      <c r="DX132" s="647">
        <f t="shared" si="1305"/>
      </c>
      <c r="DY132" s="649">
        <f t="shared" si="1306"/>
      </c>
      <c r="DZ132" s="647">
        <f t="shared" si="1307"/>
      </c>
      <c r="EA132" s="647">
        <f t="shared" si="1308"/>
      </c>
      <c r="EB132" s="647">
        <f t="shared" si="1309"/>
      </c>
      <c r="EC132" s="649">
        <f t="shared" si="1310"/>
      </c>
      <c r="ED132" s="647">
        <f t="shared" si="1311"/>
      </c>
      <c r="EE132" s="647">
        <f t="shared" si="1312"/>
      </c>
      <c r="EF132" s="647">
        <f t="shared" si="1313"/>
      </c>
      <c r="EG132" s="649">
        <f t="shared" si="1314"/>
      </c>
      <c r="EH132" s="647">
        <f t="shared" si="1315"/>
      </c>
      <c r="EI132" s="647">
        <f t="shared" si="1316"/>
      </c>
      <c r="EJ132" s="647">
        <f t="shared" si="1317"/>
      </c>
      <c r="EK132" s="649">
        <f t="shared" si="1318"/>
      </c>
      <c r="EQ132" s="15"/>
      <c r="ER132" s="15"/>
      <c r="ES132" s="15"/>
      <c r="ET132" s="15"/>
      <c r="EU132" s="15"/>
      <c r="EV132" s="15"/>
      <c r="EW132" s="15"/>
      <c r="EX132" s="15"/>
      <c r="EY132" s="15"/>
      <c r="EZ132" s="15"/>
      <c r="FA132" s="15"/>
      <c r="FB132" s="15"/>
      <c r="FC132" s="15"/>
      <c r="FD132" s="34"/>
      <c r="FE132" s="34"/>
      <c r="FF132" s="65"/>
      <c r="FG132" s="65"/>
      <c r="FH132" s="65"/>
      <c r="FM132" s="3126" t="s">
        <v>2305</v>
      </c>
      <c r="FN132" s="3393">
        <f t="shared" si="1218"/>
      </c>
      <c r="FO132" s="3393">
        <f t="shared" si="1213"/>
      </c>
      <c r="FP132" s="3393">
        <f t="shared" si="1213"/>
      </c>
      <c r="FQ132" s="3393">
        <f t="shared" si="1213"/>
      </c>
    </row>
    <row r="133" spans="1:173" ht="11.4">
      <c r="A133" s="654" t="str">
        <f t="shared" si="1331"/>
      </c>
      <c r="B133" s="655"/>
      <c r="C133" s="655">
        <f t="shared" ref="C133:AH133" si="1336">C33-B33</f>
      </c>
      <c r="D133" s="655">
        <f t="shared" si="1336"/>
      </c>
      <c r="E133" s="656">
        <f t="shared" si="1336"/>
      </c>
      <c r="F133" s="655">
        <f t="shared" si="1336"/>
      </c>
      <c r="G133" s="655">
        <f t="shared" si="1336"/>
      </c>
      <c r="H133" s="655">
        <f t="shared" si="1336"/>
      </c>
      <c r="I133" s="655">
        <f t="shared" si="1336"/>
      </c>
      <c r="J133" s="655">
        <f t="shared" si="1336"/>
      </c>
      <c r="K133" s="655">
        <f t="shared" si="1336"/>
      </c>
      <c r="L133" s="655">
        <f t="shared" si="1336"/>
      </c>
      <c r="M133" s="655">
        <f t="shared" si="1336"/>
      </c>
      <c r="N133" s="655">
        <f t="shared" si="1336"/>
      </c>
      <c r="O133" s="655">
        <f t="shared" si="1336"/>
      </c>
      <c r="P133" s="655">
        <f t="shared" si="1336"/>
      </c>
      <c r="Q133" s="655">
        <f t="shared" si="1336"/>
      </c>
      <c r="R133" s="655">
        <f t="shared" si="1336"/>
      </c>
      <c r="S133" s="655">
        <f t="shared" si="1336"/>
      </c>
      <c r="T133" s="655">
        <f t="shared" si="1336"/>
      </c>
      <c r="U133" s="655">
        <f t="shared" si="1336"/>
      </c>
      <c r="V133" s="655">
        <f t="shared" si="1336"/>
      </c>
      <c r="W133" s="655">
        <f t="shared" si="1336"/>
      </c>
      <c r="X133" s="655">
        <f t="shared" si="1336"/>
      </c>
      <c r="Y133" s="655">
        <f t="shared" si="1336"/>
      </c>
      <c r="Z133" s="655">
        <f t="shared" si="1336"/>
      </c>
      <c r="AA133" s="655">
        <f t="shared" si="1336"/>
      </c>
      <c r="AB133" s="655">
        <f t="shared" si="1336"/>
      </c>
      <c r="AC133" s="655">
        <f t="shared" si="1336"/>
      </c>
      <c r="AD133" s="655">
        <f t="shared" si="1336"/>
      </c>
      <c r="AE133" s="655">
        <f t="shared" si="1336"/>
      </c>
      <c r="AF133" s="655">
        <f t="shared" si="1336"/>
      </c>
      <c r="AG133" s="655">
        <f t="shared" si="1336"/>
      </c>
      <c r="AH133" s="655">
        <f t="shared" si="1336"/>
      </c>
      <c r="AI133" s="655">
        <f t="shared" ref="AI133:BN133" si="1337">AI33-AH33</f>
      </c>
      <c r="AJ133" s="655">
        <f t="shared" si="1337"/>
      </c>
      <c r="AK133" s="655">
        <f t="shared" si="1337"/>
      </c>
      <c r="AL133" s="655">
        <f t="shared" si="1337"/>
      </c>
      <c r="AM133" s="655">
        <f t="shared" si="1337"/>
      </c>
      <c r="AN133" s="655">
        <f t="shared" si="1337"/>
      </c>
      <c r="AO133" s="655">
        <f t="shared" si="1337"/>
      </c>
      <c r="AP133" s="655">
        <f t="shared" si="1337"/>
      </c>
      <c r="AQ133" s="655">
        <f t="shared" si="1337"/>
      </c>
      <c r="AR133" s="655">
        <f t="shared" si="1337"/>
      </c>
      <c r="AS133" s="655">
        <f t="shared" si="1337"/>
      </c>
      <c r="AT133" s="655">
        <f t="shared" si="1337"/>
      </c>
      <c r="AU133" s="655">
        <f t="shared" si="1337"/>
      </c>
      <c r="AV133" s="655">
        <f t="shared" si="1337"/>
      </c>
      <c r="AW133" s="655">
        <f t="shared" si="1337"/>
      </c>
      <c r="AX133" s="655">
        <f t="shared" si="1337"/>
      </c>
      <c r="AY133" s="655">
        <f t="shared" si="1337"/>
      </c>
      <c r="AZ133" s="655">
        <f t="shared" si="1337"/>
      </c>
      <c r="BA133" s="655">
        <f t="shared" si="1337"/>
      </c>
      <c r="BB133" s="655">
        <f t="shared" si="1337"/>
      </c>
      <c r="BC133" s="655">
        <f t="shared" si="1337"/>
      </c>
      <c r="BD133" s="655">
        <f t="shared" si="1337"/>
      </c>
      <c r="BE133" s="655">
        <f t="shared" si="1337"/>
      </c>
      <c r="BF133" s="655">
        <f t="shared" si="1337"/>
      </c>
      <c r="BG133" s="655">
        <f t="shared" si="1337"/>
      </c>
      <c r="BH133" s="655">
        <f t="shared" si="1337"/>
      </c>
      <c r="BI133" s="655">
        <f t="shared" si="1337"/>
      </c>
      <c r="BJ133" s="655">
        <f t="shared" si="1337"/>
      </c>
      <c r="BK133" s="655">
        <f t="shared" si="1337"/>
      </c>
      <c r="BL133" s="655">
        <f t="shared" si="1337"/>
      </c>
      <c r="BM133" s="655">
        <f t="shared" si="1337"/>
      </c>
      <c r="BN133" s="655">
        <f t="shared" si="1337"/>
      </c>
      <c r="BO133" s="655">
        <f t="shared" ref="BO133:CT133" si="1338">BO33-BN33</f>
      </c>
      <c r="BP133" s="655">
        <f t="shared" si="1338"/>
      </c>
      <c r="BQ133" s="657">
        <f t="shared" si="1338"/>
      </c>
      <c r="BR133" s="655">
        <f t="shared" si="1338"/>
      </c>
      <c r="BS133" s="655">
        <f t="shared" si="1338"/>
      </c>
      <c r="BT133" s="655">
        <f t="shared" si="1338"/>
      </c>
      <c r="BU133" s="657">
        <f t="shared" si="1338"/>
      </c>
      <c r="BV133" s="655">
        <f t="shared" si="1338"/>
      </c>
      <c r="BW133" s="655">
        <f t="shared" si="1338"/>
      </c>
      <c r="BX133" s="655">
        <f t="shared" si="1338"/>
      </c>
      <c r="BY133" s="657">
        <f t="shared" si="1338"/>
      </c>
      <c r="BZ133" s="655">
        <f t="shared" si="1338"/>
      </c>
      <c r="CA133" s="655">
        <f t="shared" si="1338"/>
      </c>
      <c r="CB133" s="655">
        <f t="shared" si="1338"/>
      </c>
      <c r="CC133" s="657">
        <f t="shared" si="1338"/>
      </c>
      <c r="CD133" s="655">
        <f t="shared" si="1338"/>
      </c>
      <c r="CE133" s="655">
        <f t="shared" si="1338"/>
      </c>
      <c r="CF133" s="655">
        <f t="shared" si="1338"/>
      </c>
      <c r="CG133" s="657">
        <f t="shared" si="1338"/>
      </c>
      <c r="CH133" s="655">
        <f t="shared" si="1338"/>
      </c>
      <c r="CI133" s="655">
        <f t="shared" si="1338"/>
      </c>
      <c r="CJ133" s="655">
        <f t="shared" si="1338"/>
      </c>
      <c r="CK133" s="657">
        <f t="shared" si="1338"/>
      </c>
      <c r="CL133" s="655">
        <f t="shared" si="1338"/>
      </c>
      <c r="CM133" s="655">
        <f t="shared" si="1338"/>
      </c>
      <c r="CN133" s="655">
        <f t="shared" si="1338"/>
      </c>
      <c r="CO133" s="657">
        <f t="shared" si="1338"/>
      </c>
      <c r="CP133" s="655">
        <f t="shared" si="1338"/>
      </c>
      <c r="CQ133" s="655">
        <f t="shared" si="1338"/>
      </c>
      <c r="CR133" s="655">
        <f t="shared" si="1338"/>
      </c>
      <c r="CS133" s="657">
        <f t="shared" si="1338"/>
      </c>
      <c r="CT133" s="655">
        <f t="shared" si="1338"/>
      </c>
      <c r="CU133" s="655">
        <f t="shared" ref="CU133:DU133" si="1339">CU33-CT33</f>
      </c>
      <c r="CV133" s="655">
        <f t="shared" si="1339"/>
      </c>
      <c r="CW133" s="657">
        <f t="shared" si="1339"/>
      </c>
      <c r="CX133" s="655">
        <f t="shared" si="1339"/>
      </c>
      <c r="CY133" s="655">
        <f t="shared" si="1339"/>
      </c>
      <c r="CZ133" s="655">
        <f t="shared" si="1339"/>
      </c>
      <c r="DA133" s="657">
        <f t="shared" si="1339"/>
      </c>
      <c r="DB133" s="655">
        <f t="shared" si="1339"/>
      </c>
      <c r="DC133" s="655">
        <f t="shared" si="1339"/>
      </c>
      <c r="DD133" s="655">
        <f t="shared" si="1339"/>
      </c>
      <c r="DE133" s="657">
        <f t="shared" si="1339"/>
      </c>
      <c r="DF133" s="655">
        <f t="shared" si="1339"/>
      </c>
      <c r="DG133" s="655">
        <f t="shared" si="1339"/>
      </c>
      <c r="DH133" s="655">
        <f t="shared" si="1339"/>
      </c>
      <c r="DI133" s="657">
        <f t="shared" si="1339"/>
      </c>
      <c r="DJ133" s="655">
        <f t="shared" si="1339"/>
      </c>
      <c r="DK133" s="655">
        <f t="shared" si="1339"/>
      </c>
      <c r="DL133" s="655">
        <f t="shared" si="1339"/>
      </c>
      <c r="DM133" s="657">
        <f t="shared" si="1339"/>
      </c>
      <c r="DN133" s="655">
        <f t="shared" si="1339"/>
      </c>
      <c r="DO133" s="655">
        <f t="shared" si="1339"/>
      </c>
      <c r="DP133" s="655">
        <f t="shared" si="1339"/>
      </c>
      <c r="DQ133" s="657">
        <f t="shared" si="1339"/>
      </c>
      <c r="DR133" s="655">
        <f t="shared" si="1339"/>
      </c>
      <c r="DS133" s="655">
        <f t="shared" si="1339"/>
      </c>
      <c r="DT133" s="655">
        <f t="shared" si="1339"/>
      </c>
      <c r="DU133" s="657">
        <f t="shared" si="1339"/>
      </c>
      <c r="DV133" s="655">
        <f t="shared" si="1303"/>
      </c>
      <c r="DW133" s="655">
        <f t="shared" si="1304"/>
      </c>
      <c r="DX133" s="655">
        <f t="shared" si="1305"/>
      </c>
      <c r="DY133" s="657">
        <f t="shared" si="1306"/>
      </c>
      <c r="DZ133" s="655">
        <f t="shared" si="1307"/>
      </c>
      <c r="EA133" s="655">
        <f t="shared" si="1308"/>
      </c>
      <c r="EB133" s="655">
        <f t="shared" si="1309"/>
      </c>
      <c r="EC133" s="657">
        <f t="shared" si="1310"/>
      </c>
      <c r="ED133" s="655">
        <f t="shared" si="1311"/>
      </c>
      <c r="EE133" s="655">
        <f t="shared" si="1312"/>
      </c>
      <c r="EF133" s="655">
        <f t="shared" si="1313"/>
      </c>
      <c r="EG133" s="657">
        <f t="shared" si="1314"/>
      </c>
      <c r="EH133" s="655">
        <f t="shared" si="1315"/>
      </c>
      <c r="EI133" s="655">
        <f t="shared" si="1316"/>
      </c>
      <c r="EJ133" s="655">
        <f t="shared" si="1317"/>
      </c>
      <c r="EK133" s="657">
        <f t="shared" si="1318"/>
      </c>
      <c r="EQ133" s="15"/>
      <c r="ER133" s="15"/>
      <c r="ES133" s="15"/>
      <c r="ET133" s="15"/>
      <c r="EU133" s="15"/>
      <c r="EV133" s="15"/>
      <c r="EW133" s="15"/>
      <c r="EX133" s="15"/>
      <c r="EY133" s="15"/>
      <c r="EZ133" s="15"/>
      <c r="FA133" s="15"/>
      <c r="FB133" s="15"/>
      <c r="FC133" s="15"/>
      <c r="FD133" s="34"/>
      <c r="FE133" s="34"/>
      <c r="FF133" s="65"/>
      <c r="FG133" s="65"/>
      <c r="FH133" s="65"/>
      <c r="FM133" s="3126" t="s">
        <v>2306</v>
      </c>
      <c r="FN133" s="3393">
        <f t="shared" si="1218"/>
      </c>
      <c r="FO133" s="3393">
        <f t="shared" si="1213"/>
      </c>
      <c r="FP133" s="3393">
        <f t="shared" si="1213"/>
      </c>
      <c r="FQ133" s="3393">
        <f t="shared" si="1213"/>
      </c>
    </row>
    <row r="134" spans="1:173" ht="11.4">
      <c r="A134" s="659" t="str">
        <f t="shared" si="1331"/>
      </c>
      <c r="B134" s="660"/>
      <c r="C134" s="660">
        <f t="shared" ref="C134:AH134" si="1340">C34-B34</f>
      </c>
      <c r="D134" s="660">
        <f t="shared" si="1340"/>
      </c>
      <c r="E134" s="661">
        <f t="shared" si="1340"/>
      </c>
      <c r="F134" s="660">
        <f t="shared" si="1340"/>
      </c>
      <c r="G134" s="660">
        <f t="shared" si="1340"/>
      </c>
      <c r="H134" s="660">
        <f t="shared" si="1340"/>
      </c>
      <c r="I134" s="660">
        <f t="shared" si="1340"/>
      </c>
      <c r="J134" s="660">
        <f t="shared" si="1340"/>
      </c>
      <c r="K134" s="660">
        <f t="shared" si="1340"/>
      </c>
      <c r="L134" s="660">
        <f t="shared" si="1340"/>
      </c>
      <c r="M134" s="660">
        <f t="shared" si="1340"/>
      </c>
      <c r="N134" s="660">
        <f t="shared" si="1340"/>
      </c>
      <c r="O134" s="660">
        <f t="shared" si="1340"/>
      </c>
      <c r="P134" s="660">
        <f t="shared" si="1340"/>
      </c>
      <c r="Q134" s="660">
        <f t="shared" si="1340"/>
      </c>
      <c r="R134" s="660">
        <f t="shared" si="1340"/>
      </c>
      <c r="S134" s="660">
        <f t="shared" si="1340"/>
      </c>
      <c r="T134" s="660">
        <f t="shared" si="1340"/>
      </c>
      <c r="U134" s="660">
        <f t="shared" si="1340"/>
      </c>
      <c r="V134" s="660">
        <f t="shared" si="1340"/>
      </c>
      <c r="W134" s="660">
        <f t="shared" si="1340"/>
      </c>
      <c r="X134" s="660">
        <f t="shared" si="1340"/>
      </c>
      <c r="Y134" s="660">
        <f t="shared" si="1340"/>
      </c>
      <c r="Z134" s="660">
        <f t="shared" si="1340"/>
      </c>
      <c r="AA134" s="660">
        <f t="shared" si="1340"/>
      </c>
      <c r="AB134" s="660">
        <f t="shared" si="1340"/>
      </c>
      <c r="AC134" s="660">
        <f t="shared" si="1340"/>
      </c>
      <c r="AD134" s="660">
        <f t="shared" si="1340"/>
      </c>
      <c r="AE134" s="660">
        <f t="shared" si="1340"/>
      </c>
      <c r="AF134" s="660">
        <f t="shared" si="1340"/>
      </c>
      <c r="AG134" s="660">
        <f t="shared" si="1340"/>
      </c>
      <c r="AH134" s="660">
        <f t="shared" si="1340"/>
      </c>
      <c r="AI134" s="660">
        <f t="shared" ref="AI134:BN134" si="1341">AI34-AH34</f>
      </c>
      <c r="AJ134" s="660">
        <f t="shared" si="1341"/>
      </c>
      <c r="AK134" s="660">
        <f t="shared" si="1341"/>
      </c>
      <c r="AL134" s="660">
        <f t="shared" si="1341"/>
      </c>
      <c r="AM134" s="660">
        <f t="shared" si="1341"/>
      </c>
      <c r="AN134" s="660">
        <f t="shared" si="1341"/>
      </c>
      <c r="AO134" s="660">
        <f t="shared" si="1341"/>
      </c>
      <c r="AP134" s="660">
        <f t="shared" si="1341"/>
      </c>
      <c r="AQ134" s="660">
        <f t="shared" si="1341"/>
      </c>
      <c r="AR134" s="660">
        <f t="shared" si="1341"/>
      </c>
      <c r="AS134" s="660">
        <f t="shared" si="1341"/>
      </c>
      <c r="AT134" s="660">
        <f t="shared" si="1341"/>
      </c>
      <c r="AU134" s="660">
        <f t="shared" si="1341"/>
      </c>
      <c r="AV134" s="660">
        <f t="shared" si="1341"/>
      </c>
      <c r="AW134" s="660">
        <f t="shared" si="1341"/>
      </c>
      <c r="AX134" s="660">
        <f t="shared" si="1341"/>
      </c>
      <c r="AY134" s="660">
        <f t="shared" si="1341"/>
      </c>
      <c r="AZ134" s="660">
        <f t="shared" si="1341"/>
      </c>
      <c r="BA134" s="660">
        <f t="shared" si="1341"/>
      </c>
      <c r="BB134" s="660">
        <f t="shared" si="1341"/>
      </c>
      <c r="BC134" s="660">
        <f t="shared" si="1341"/>
      </c>
      <c r="BD134" s="660">
        <f t="shared" si="1341"/>
      </c>
      <c r="BE134" s="660">
        <f t="shared" si="1341"/>
      </c>
      <c r="BF134" s="660">
        <f t="shared" si="1341"/>
      </c>
      <c r="BG134" s="660">
        <f t="shared" si="1341"/>
      </c>
      <c r="BH134" s="660">
        <f t="shared" si="1341"/>
      </c>
      <c r="BI134" s="660">
        <f t="shared" si="1341"/>
      </c>
      <c r="BJ134" s="660">
        <f t="shared" si="1341"/>
      </c>
      <c r="BK134" s="660">
        <f t="shared" si="1341"/>
      </c>
      <c r="BL134" s="660">
        <f t="shared" si="1341"/>
      </c>
      <c r="BM134" s="660">
        <f t="shared" si="1341"/>
      </c>
      <c r="BN134" s="660">
        <f t="shared" si="1341"/>
      </c>
      <c r="BO134" s="660">
        <f t="shared" ref="BO134:CT134" si="1342">BO34-BN34</f>
      </c>
      <c r="BP134" s="660">
        <f t="shared" si="1342"/>
      </c>
      <c r="BQ134" s="662">
        <f t="shared" si="1342"/>
      </c>
      <c r="BR134" s="660">
        <f t="shared" si="1342"/>
      </c>
      <c r="BS134" s="660">
        <f t="shared" si="1342"/>
      </c>
      <c r="BT134" s="660">
        <f t="shared" si="1342"/>
      </c>
      <c r="BU134" s="662">
        <f t="shared" si="1342"/>
      </c>
      <c r="BV134" s="660">
        <f t="shared" si="1342"/>
      </c>
      <c r="BW134" s="660">
        <f t="shared" si="1342"/>
      </c>
      <c r="BX134" s="660">
        <f t="shared" si="1342"/>
      </c>
      <c r="BY134" s="662">
        <f t="shared" si="1342"/>
      </c>
      <c r="BZ134" s="660">
        <f t="shared" si="1342"/>
      </c>
      <c r="CA134" s="660">
        <f t="shared" si="1342"/>
      </c>
      <c r="CB134" s="660">
        <f t="shared" si="1342"/>
      </c>
      <c r="CC134" s="662">
        <f t="shared" si="1342"/>
      </c>
      <c r="CD134" s="660">
        <f t="shared" si="1342"/>
      </c>
      <c r="CE134" s="660">
        <f t="shared" si="1342"/>
      </c>
      <c r="CF134" s="660">
        <f t="shared" si="1342"/>
      </c>
      <c r="CG134" s="662">
        <f t="shared" si="1342"/>
      </c>
      <c r="CH134" s="660">
        <f t="shared" si="1342"/>
      </c>
      <c r="CI134" s="660">
        <f t="shared" si="1342"/>
      </c>
      <c r="CJ134" s="660">
        <f t="shared" si="1342"/>
      </c>
      <c r="CK134" s="662">
        <f t="shared" si="1342"/>
      </c>
      <c r="CL134" s="660">
        <f t="shared" si="1342"/>
      </c>
      <c r="CM134" s="660">
        <f t="shared" si="1342"/>
      </c>
      <c r="CN134" s="660">
        <f t="shared" si="1342"/>
      </c>
      <c r="CO134" s="662">
        <f t="shared" si="1342"/>
      </c>
      <c r="CP134" s="660">
        <f t="shared" si="1342"/>
      </c>
      <c r="CQ134" s="660">
        <f t="shared" si="1342"/>
      </c>
      <c r="CR134" s="660">
        <f t="shared" si="1342"/>
      </c>
      <c r="CS134" s="662">
        <f t="shared" si="1342"/>
      </c>
      <c r="CT134" s="660">
        <f t="shared" si="1342"/>
      </c>
      <c r="CU134" s="660">
        <f t="shared" ref="CU134:DU134" si="1343">CU34-CT34</f>
      </c>
      <c r="CV134" s="660">
        <f t="shared" si="1343"/>
      </c>
      <c r="CW134" s="662">
        <f t="shared" si="1343"/>
      </c>
      <c r="CX134" s="660">
        <f t="shared" si="1343"/>
      </c>
      <c r="CY134" s="660">
        <f t="shared" si="1343"/>
      </c>
      <c r="CZ134" s="660">
        <f t="shared" si="1343"/>
      </c>
      <c r="DA134" s="662">
        <f t="shared" si="1343"/>
      </c>
      <c r="DB134" s="660">
        <f t="shared" si="1343"/>
      </c>
      <c r="DC134" s="660">
        <f t="shared" si="1343"/>
      </c>
      <c r="DD134" s="660">
        <f t="shared" si="1343"/>
      </c>
      <c r="DE134" s="662">
        <f t="shared" si="1343"/>
      </c>
      <c r="DF134" s="660">
        <f t="shared" si="1343"/>
      </c>
      <c r="DG134" s="660">
        <f t="shared" si="1343"/>
      </c>
      <c r="DH134" s="660">
        <f t="shared" si="1343"/>
      </c>
      <c r="DI134" s="662">
        <f t="shared" si="1343"/>
      </c>
      <c r="DJ134" s="660">
        <f t="shared" si="1343"/>
      </c>
      <c r="DK134" s="660">
        <f t="shared" si="1343"/>
      </c>
      <c r="DL134" s="660">
        <f t="shared" si="1343"/>
      </c>
      <c r="DM134" s="662">
        <f t="shared" si="1343"/>
      </c>
      <c r="DN134" s="660">
        <f t="shared" si="1343"/>
      </c>
      <c r="DO134" s="660">
        <f t="shared" si="1343"/>
      </c>
      <c r="DP134" s="660">
        <f t="shared" si="1343"/>
      </c>
      <c r="DQ134" s="662">
        <f t="shared" si="1343"/>
      </c>
      <c r="DR134" s="660">
        <f t="shared" si="1343"/>
      </c>
      <c r="DS134" s="660">
        <f t="shared" si="1343"/>
      </c>
      <c r="DT134" s="660">
        <f t="shared" si="1343"/>
      </c>
      <c r="DU134" s="662">
        <f t="shared" si="1343"/>
      </c>
      <c r="DV134" s="660">
        <f t="shared" si="1303"/>
      </c>
      <c r="DW134" s="660">
        <f t="shared" si="1304"/>
      </c>
      <c r="DX134" s="660">
        <f t="shared" si="1305"/>
      </c>
      <c r="DY134" s="662">
        <f t="shared" si="1306"/>
      </c>
      <c r="DZ134" s="660">
        <f t="shared" si="1307"/>
      </c>
      <c r="EA134" s="660">
        <f t="shared" si="1308"/>
      </c>
      <c r="EB134" s="660">
        <f t="shared" si="1309"/>
      </c>
      <c r="EC134" s="662">
        <f t="shared" si="1310"/>
      </c>
      <c r="ED134" s="660">
        <f t="shared" si="1311"/>
      </c>
      <c r="EE134" s="660">
        <f t="shared" si="1312"/>
      </c>
      <c r="EF134" s="660">
        <f t="shared" si="1313"/>
      </c>
      <c r="EG134" s="662">
        <f t="shared" si="1314"/>
      </c>
      <c r="EH134" s="660">
        <f t="shared" si="1315"/>
      </c>
      <c r="EI134" s="660">
        <f t="shared" si="1316"/>
      </c>
      <c r="EJ134" s="660">
        <f t="shared" si="1317"/>
      </c>
      <c r="EK134" s="662">
        <f t="shared" si="1318"/>
      </c>
      <c r="EQ134" s="15"/>
      <c r="ER134" s="15"/>
      <c r="ES134" s="15"/>
      <c r="ET134" s="15"/>
      <c r="EU134" s="15"/>
      <c r="EV134" s="15"/>
      <c r="EW134" s="15"/>
      <c r="EX134" s="15"/>
      <c r="EY134" s="15"/>
      <c r="EZ134" s="15"/>
      <c r="FA134" s="15"/>
      <c r="FB134" s="15"/>
      <c r="FC134" s="15"/>
      <c r="FD134" s="34"/>
      <c r="FE134" s="34"/>
      <c r="FF134" s="65"/>
      <c r="FG134" s="65"/>
      <c r="FH134" s="65"/>
      <c r="FM134" s="3394" t="s">
        <v>2409</v>
      </c>
      <c r="FN134" s="3393">
        <f t="shared" si="1218"/>
      </c>
      <c r="FO134" s="3393">
        <f t="shared" si="1213"/>
      </c>
      <c r="FP134" s="3393">
        <f t="shared" si="1213"/>
      </c>
      <c r="FQ134" s="3393">
        <f t="shared" si="1213"/>
      </c>
    </row>
    <row r="135" spans="1:173" ht="11.4">
      <c r="FM135" s="3394" t="s">
        <v>2410</v>
      </c>
      <c r="FN135" s="3393">
        <f t="shared" si="1218"/>
      </c>
      <c r="FO135" s="3393">
        <f t="shared" si="1218"/>
      </c>
      <c r="FP135" s="3393">
        <f t="shared" si="1218"/>
      </c>
      <c r="FQ135" s="3393">
        <f t="shared" si="1218"/>
      </c>
    </row>
    <row r="136" spans="1:173" ht="11.4">
      <c r="A136" s="11" t="s">
        <v>2402</v>
      </c>
      <c r="EL136" s="65"/>
      <c r="EM136" s="65"/>
      <c r="EN136" s="65"/>
      <c r="EO136" s="65"/>
      <c r="EP136" s="65"/>
      <c r="EQ136" s="65"/>
      <c r="ER136" s="65"/>
      <c r="ES136" s="65"/>
      <c r="ET136" s="65"/>
      <c r="EU136" s="65"/>
      <c r="EV136" s="65">
        <v>14.83</v>
      </c>
      <c r="EW136" s="65">
        <v>17.786999999999999</v>
      </c>
      <c r="EX136" s="65">
        <v>21.6</v>
      </c>
      <c r="EY136" s="65">
        <v>32</v>
      </c>
      <c r="EZ136" s="65">
        <v>34.299999999999997</v>
      </c>
      <c r="FA136" s="65">
        <v>46.6</v>
      </c>
      <c r="FB136" s="65">
        <v>60.4</v>
      </c>
      <c r="FC136" s="65">
        <v>72.8</v>
      </c>
      <c r="FD136" s="65">
        <v>80.3</v>
      </c>
      <c r="FE136" s="65">
        <v>92.6</v>
      </c>
      <c r="FF136" s="65">
        <v>110</v>
      </c>
      <c r="FG136" s="65">
        <v>116</v>
      </c>
      <c r="FH136" s="65">
        <v>123</v>
      </c>
      <c r="FI136" s="65">
        <v>132</v>
      </c>
      <c r="FJ136" s="65">
        <v>137</v>
      </c>
      <c r="FK136" s="65">
        <v>147</v>
      </c>
      <c r="FL136" s="65"/>
      <c r="FM136" s="3394" t="s">
        <v>2411</v>
      </c>
      <c r="FN136" s="3393">
        <f t="shared" ref="FN136:FQ136" si="1344">VLOOKUP($A$122,$A$122:$EL$122,MATCH(CONCATENATE(FN$118,$FM136),$A$7:$EL$7,0),0)</f>
      </c>
      <c r="FO136" s="3393">
        <f t="shared" si="1344"/>
      </c>
      <c r="FP136" s="3393">
        <f t="shared" si="1344"/>
      </c>
      <c r="FQ136" s="3393">
        <f t="shared" si="1344"/>
      </c>
    </row>
  </sheetData>
  <printOptions horizontalCentered="1" verticalCentered="1"/>
  <pageMargins left="0.7" right="0.7" top="0.75" bottom="0.75" header="0.3" footer="0.3"/>
  <pageSetup orientation="landscape" r:id="rId1"/>
  <rowBreaks count="1" manualBreakCount="1">
    <brk id="72" max="173" man="1"/>
  </rowBreaks>
  <customProperties>
    <customPr name="Qube.Worksheet.Visibility" r:id="rId2"/>
    <customPr name="QXL_SHEET_ID" r:id="rId3"/>
  </customProperties>
  <drawing r:id="rId4"/>
  <legacyDrawing r:id="rId5"/>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9"/>
  <dimension ref="A1:GA120"/>
  <sheetViews>
    <sheetView showGridLines="0" zoomScaleNormal="100" zoomScaleSheetLayoutView="100" workbookViewId="0">
      <pane xSplit="1" ySplit="9" topLeftCell="DF10" activePane="bottomRight" state="frozen"/>
      <selection pane="topRight"/>
      <selection pane="bottomLeft"/>
      <selection pane="bottomRight"/>
    </sheetView>
  </sheetViews>
  <sheetFormatPr defaultColWidth="9" defaultRowHeight="13.8" outlineLevelRow="1" outlineLevelCol="1"/>
  <cols>
    <col min="1" max="1" width="27.3984375" style="11" bestFit="1" customWidth="1"/>
    <col min="2" max="54" width="9" style="11" hidden="1" customWidth="1" outlineLevel="1" collapsed="1"/>
    <col min="55" max="73" width="9" style="11" hidden="1" customWidth="1" outlineLevel="1"/>
    <col min="74" max="74" width="9" style="11" hidden="1" customWidth="1" outlineLevel="1" collapsed="1"/>
    <col min="75" max="77" width="9" style="11" hidden="1" customWidth="1" outlineLevel="1"/>
    <col min="78" max="78" width="9" style="11" hidden="1" customWidth="1" outlineLevel="1" collapsed="1"/>
    <col min="79" max="81" width="9" style="11" hidden="1" customWidth="1" outlineLevel="1"/>
    <col min="82" max="82" width="9" style="11" hidden="1" customWidth="1" outlineLevel="1" collapsed="1"/>
    <col min="83" max="85" width="9" style="11" hidden="1" customWidth="1" outlineLevel="1"/>
    <col min="86" max="86" width="9" style="11" hidden="1" customWidth="1" outlineLevel="1" collapsed="1"/>
    <col min="87" max="89" width="9" style="11" hidden="1" customWidth="1" outlineLevel="1"/>
    <col min="90" max="90" width="9" style="11" hidden="1" customWidth="1" outlineLevel="1" collapsed="1"/>
    <col min="91" max="93" width="9" style="11" hidden="1" customWidth="1" outlineLevel="1"/>
    <col min="94" max="94" width="7.09765625" style="11" hidden="1" customWidth="1" outlineLevel="1" collapsed="1"/>
    <col min="95" max="101" width="7.09765625" style="11" hidden="1" customWidth="1" outlineLevel="1"/>
    <col min="102" max="102" width="7.09765625" style="11" hidden="1" customWidth="1" outlineLevel="1" collapsed="1"/>
    <col min="103" max="105" width="7.09765625" style="11" hidden="1" customWidth="1" outlineLevel="1"/>
    <col min="106" max="106" width="7.09765625" style="89" hidden="1" customWidth="1" outlineLevel="1" collapsed="1"/>
    <col min="107" max="109" width="7.09765625" style="89" hidden="1" customWidth="1" outlineLevel="1"/>
    <col min="110" max="110" width="7.09765625" style="89" customWidth="1" collapsed="1"/>
    <col min="111" max="121" width="7.09765625" style="89" customWidth="1"/>
    <col min="122" max="125" width="9" style="89" customWidth="1"/>
    <col min="126" max="141" width="9" style="89" hidden="1" customWidth="1" outlineLevel="1"/>
    <col min="142" max="142" width="3.19921875" style="11" customWidth="1" collapsed="1"/>
    <col min="143" max="143" width="4" style="11" customWidth="1"/>
    <col min="144" max="156" width="9" style="11" hidden="1" customWidth="1" outlineLevel="1"/>
    <col min="157" max="162" width="9" style="11" hidden="1" customWidth="1" outlineLevel="1" collapsed="1"/>
    <col min="163" max="163" width="9" style="11" hidden="1" customWidth="1" outlineLevel="1"/>
    <col min="164" max="164" width="9" style="11" hidden="1" customWidth="1" outlineLevel="1" collapsed="1"/>
    <col min="165" max="165" width="9" style="11" hidden="1" customWidth="1" outlineLevel="1"/>
    <col min="166" max="166" width="0" style="11" hidden="1" customWidth="1" outlineLevel="1" collapsed="1"/>
    <col min="167" max="168" width="0" style="11" hidden="1" customWidth="1" outlineLevel="1"/>
    <col min="169" max="169" width="9" style="11" hidden="1" customWidth="1" outlineLevel="1"/>
    <col min="170" max="170" width="9" style="11" customWidth="1" collapsed="1"/>
    <col min="171" max="172" width="9" style="11" customWidth="1"/>
    <col min="173" max="175" width="9" style="11"/>
    <col min="176" max="178" width="0" style="11" hidden="1" customWidth="1" outlineLevel="1"/>
    <col min="179" max="179" width="9" collapsed="1"/>
    <col min="182" max="16384" width="9" style="11"/>
  </cols>
  <sheetData>
    <row r="1" spans="1:183" ht="10.199999999999999">
      <c r="E1" s="170"/>
      <c r="I1" s="170"/>
      <c r="M1" s="170"/>
      <c r="Q1" s="170"/>
      <c r="U1" s="170"/>
      <c r="Y1" s="170"/>
      <c r="AC1" s="170"/>
      <c r="AG1" s="170"/>
      <c r="AK1" s="170"/>
      <c r="AO1" s="170"/>
      <c r="AS1" s="170"/>
      <c r="AW1" s="170"/>
      <c r="BA1" s="170"/>
      <c r="BE1" s="170"/>
      <c r="BI1" s="170"/>
      <c r="BM1" s="170"/>
      <c r="BQ1" s="170"/>
      <c r="BU1" s="170"/>
      <c r="BY1" s="170"/>
      <c r="CC1" s="170"/>
      <c r="CG1" s="170"/>
      <c r="CK1" s="170"/>
      <c r="CO1" s="170"/>
      <c r="CS1" s="170"/>
      <c r="CW1" s="170"/>
      <c r="DA1" s="170"/>
      <c r="DE1" s="260"/>
      <c r="DI1" s="260"/>
      <c r="DM1" s="260"/>
      <c r="DQ1" s="260"/>
      <c r="DU1" s="260"/>
      <c r="DY1" s="260"/>
      <c r="EC1" s="260"/>
      <c r="EG1" s="260"/>
      <c r="EK1" s="260"/>
      <c r="FW1" s="11"/>
      <c r="FX1" s="11"/>
      <c r="FY1" s="11"/>
    </row>
    <row r="2" spans="1:183" ht="10.199999999999999">
      <c r="E2" s="170"/>
      <c r="I2" s="170"/>
      <c r="M2" s="170"/>
      <c r="Q2" s="170"/>
      <c r="U2" s="170"/>
      <c r="Y2" s="170"/>
      <c r="AC2" s="170"/>
      <c r="AG2" s="170"/>
      <c r="AK2" s="170"/>
      <c r="AO2" s="170"/>
      <c r="AS2" s="170"/>
      <c r="AW2" s="170"/>
      <c r="BA2" s="170"/>
      <c r="BE2" s="170"/>
      <c r="BI2" s="170"/>
      <c r="BM2" s="170"/>
      <c r="BQ2" s="170"/>
      <c r="BU2" s="170"/>
      <c r="BY2" s="170"/>
      <c r="CC2" s="170"/>
      <c r="CG2" s="170"/>
      <c r="CK2" s="170"/>
      <c r="CO2" s="170"/>
      <c r="CS2" s="170"/>
      <c r="CW2" s="170"/>
      <c r="DA2" s="170"/>
      <c r="DE2" s="260"/>
      <c r="DF2" s="2714"/>
      <c r="DI2" s="260"/>
      <c r="DM2" s="260"/>
      <c r="DQ2" s="260"/>
      <c r="DU2" s="260"/>
      <c r="DY2" s="260"/>
      <c r="EC2" s="260"/>
      <c r="EG2" s="260"/>
      <c r="EK2" s="260"/>
      <c r="FW2" s="11"/>
      <c r="FX2" s="11"/>
      <c r="FY2" s="11"/>
    </row>
    <row r="3" spans="1:183" ht="22.8">
      <c r="A3" s="4" t="s">
        <v>0</v>
      </c>
      <c r="B3" s="4"/>
      <c r="C3" s="4"/>
      <c r="D3" s="4"/>
      <c r="E3" s="250"/>
      <c r="F3" s="4"/>
      <c r="G3" s="4"/>
      <c r="H3" s="4"/>
      <c r="I3" s="250"/>
      <c r="J3" s="4"/>
      <c r="K3" s="4"/>
      <c r="L3" s="4"/>
      <c r="M3" s="250"/>
      <c r="N3" s="4"/>
      <c r="O3" s="4"/>
      <c r="P3" s="4"/>
      <c r="Q3" s="250"/>
      <c r="R3" s="4"/>
      <c r="S3" s="4"/>
      <c r="T3" s="4"/>
      <c r="U3" s="250"/>
      <c r="V3" s="4"/>
      <c r="W3" s="4"/>
      <c r="X3" s="4"/>
      <c r="Y3" s="250"/>
      <c r="Z3" s="4"/>
      <c r="AA3" s="4"/>
      <c r="AB3" s="4"/>
      <c r="AC3" s="250"/>
      <c r="AD3" s="4"/>
      <c r="AE3" s="4"/>
      <c r="AF3" s="4"/>
      <c r="AG3" s="250"/>
      <c r="AH3" s="4"/>
      <c r="AI3" s="4"/>
      <c r="AJ3" s="4"/>
      <c r="AK3" s="250"/>
      <c r="AL3" s="4"/>
      <c r="AM3" s="4"/>
      <c r="AN3" s="4"/>
      <c r="AO3" s="250"/>
      <c r="AP3" s="4"/>
      <c r="AQ3" s="4"/>
      <c r="AR3" s="4"/>
      <c r="AS3" s="250"/>
      <c r="AT3" s="4"/>
      <c r="AU3" s="4"/>
      <c r="AV3" s="4"/>
      <c r="AW3" s="250"/>
      <c r="AX3" s="4"/>
      <c r="AY3" s="4"/>
      <c r="AZ3" s="4"/>
      <c r="BA3" s="250"/>
      <c r="BB3" s="4"/>
      <c r="BE3" s="170"/>
      <c r="BI3" s="170"/>
      <c r="BM3" s="170"/>
      <c r="BQ3" s="170"/>
      <c r="BU3" s="170"/>
      <c r="BV3" s="4"/>
      <c r="BY3" s="170"/>
      <c r="BZ3" s="4"/>
      <c r="CC3" s="174"/>
      <c r="CD3" s="4"/>
      <c r="CG3" s="174"/>
      <c r="CH3" s="4"/>
      <c r="CK3" s="174"/>
      <c r="CM3" s="15"/>
      <c r="CO3" s="174"/>
      <c r="CQ3" s="15"/>
      <c r="CS3" s="170"/>
      <c r="CU3" s="15"/>
      <c r="CW3" s="170"/>
      <c r="DA3" s="170"/>
      <c r="DE3" s="260"/>
      <c r="DI3" s="260"/>
      <c r="DM3" s="260"/>
      <c r="DQ3" s="260"/>
      <c r="DU3" s="260"/>
      <c r="DY3" s="260"/>
      <c r="EC3" s="260"/>
      <c r="EG3" s="260"/>
      <c r="EK3" s="260"/>
      <c r="FW3" s="11"/>
      <c r="FX3" s="11"/>
      <c r="FY3" s="11"/>
    </row>
    <row r="4" spans="1:183" ht="15.6">
      <c r="A4" s="296" t="s">
        <v>164</v>
      </c>
      <c r="B4" s="38"/>
      <c r="C4" s="38"/>
      <c r="D4" s="38"/>
      <c r="E4" s="251"/>
      <c r="F4" s="38"/>
      <c r="G4" s="38"/>
      <c r="H4" s="38"/>
      <c r="I4" s="251"/>
      <c r="J4" s="38"/>
      <c r="K4" s="38"/>
      <c r="L4" s="38"/>
      <c r="M4" s="251"/>
      <c r="N4" s="38"/>
      <c r="O4" s="38"/>
      <c r="P4" s="38"/>
      <c r="Q4" s="251"/>
      <c r="R4" s="38"/>
      <c r="S4" s="38"/>
      <c r="T4" s="38"/>
      <c r="U4" s="251"/>
      <c r="V4" s="38"/>
      <c r="W4" s="38"/>
      <c r="X4" s="38"/>
      <c r="Y4" s="251"/>
      <c r="Z4" s="38"/>
      <c r="AA4" s="38"/>
      <c r="AB4" s="38"/>
      <c r="AC4" s="251"/>
      <c r="AD4" s="38"/>
      <c r="AE4" s="38"/>
      <c r="AF4" s="38"/>
      <c r="AG4" s="251"/>
      <c r="AH4" s="38"/>
      <c r="AI4" s="38"/>
      <c r="AJ4" s="38"/>
      <c r="AK4" s="251"/>
      <c r="AL4" s="38"/>
      <c r="AM4" s="38"/>
      <c r="AN4" s="38"/>
      <c r="AO4" s="251"/>
      <c r="AP4" s="38"/>
      <c r="AQ4" s="38"/>
      <c r="AR4" s="38"/>
      <c r="AS4" s="251"/>
      <c r="AT4" s="38"/>
      <c r="AU4" s="38"/>
      <c r="AV4" s="38"/>
      <c r="AW4" s="251"/>
      <c r="AX4" s="38"/>
      <c r="AY4" s="38"/>
      <c r="AZ4" s="38"/>
      <c r="BA4" s="251"/>
      <c r="BB4" s="38"/>
      <c r="BE4" s="170"/>
      <c r="BI4" s="170"/>
      <c r="BM4" s="170"/>
      <c r="BQ4" s="170"/>
      <c r="BU4" s="170"/>
      <c r="BV4" s="38"/>
      <c r="BY4" s="170"/>
      <c r="BZ4" s="38"/>
      <c r="CC4" s="170"/>
      <c r="CD4" s="296"/>
      <c r="CG4" s="170"/>
      <c r="CH4" s="296"/>
      <c r="CK4" s="170"/>
      <c r="CO4" s="170"/>
      <c r="CS4" s="170"/>
      <c r="CW4" s="170"/>
      <c r="DA4" s="170"/>
      <c r="DE4" s="260"/>
      <c r="DI4" s="260"/>
      <c r="DM4" s="260"/>
      <c r="DQ4" s="260"/>
      <c r="DU4" s="260"/>
      <c r="DY4" s="260"/>
      <c r="EC4" s="260"/>
      <c r="EG4" s="260"/>
      <c r="EK4" s="260"/>
      <c r="FJ4" s="43"/>
      <c r="FK4" s="43"/>
      <c r="FL4" s="43"/>
      <c r="FM4" s="43"/>
      <c r="FN4" s="43"/>
      <c r="FO4" s="43"/>
      <c r="FP4" s="43"/>
      <c r="FQ4" s="43"/>
      <c r="FR4" s="43"/>
      <c r="FS4" s="43"/>
      <c r="FT4" s="43"/>
      <c r="FU4" s="43"/>
      <c r="FV4" s="43"/>
      <c r="FW4" s="11"/>
      <c r="FX4" s="11"/>
      <c r="FY4" s="11"/>
    </row>
    <row r="5" spans="1:183" s="39" customFormat="1" hidden="1" outlineLevel="1">
      <c r="B5" s="42"/>
      <c r="C5" s="42"/>
      <c r="D5" s="42"/>
      <c r="E5" s="252"/>
      <c r="F5" s="42"/>
      <c r="G5" s="42"/>
      <c r="H5" s="42"/>
      <c r="I5" s="252"/>
      <c r="J5" s="42"/>
      <c r="K5" s="42"/>
      <c r="L5" s="42"/>
      <c r="M5" s="252"/>
      <c r="N5" s="42"/>
      <c r="O5" s="42"/>
      <c r="P5" s="42"/>
      <c r="Q5" s="252"/>
      <c r="R5" s="42"/>
      <c r="S5" s="42"/>
      <c r="T5" s="42"/>
      <c r="U5" s="252"/>
      <c r="V5" s="42"/>
      <c r="W5" s="42"/>
      <c r="X5" s="42"/>
      <c r="Y5" s="252"/>
      <c r="Z5" s="42"/>
      <c r="AA5" s="42"/>
      <c r="AB5" s="42"/>
      <c r="AC5" s="252"/>
      <c r="AD5" s="42"/>
      <c r="AE5" s="42"/>
      <c r="AF5" s="42"/>
      <c r="AG5" s="252"/>
      <c r="AH5" s="42"/>
      <c r="AI5" s="42"/>
      <c r="AJ5" s="42"/>
      <c r="AK5" s="252"/>
      <c r="AL5" s="42"/>
      <c r="AM5" s="42"/>
      <c r="AN5" s="42"/>
      <c r="AO5" s="252"/>
      <c r="AP5" s="42"/>
      <c r="AQ5" s="42"/>
      <c r="AR5" s="42"/>
      <c r="AS5" s="252"/>
      <c r="AT5" s="42"/>
      <c r="AU5" s="42"/>
      <c r="AV5" s="42"/>
      <c r="AW5" s="252"/>
      <c r="AX5" s="42"/>
      <c r="AY5" s="42"/>
      <c r="AZ5" s="42"/>
      <c r="BA5" s="252"/>
      <c r="BB5" s="42"/>
      <c r="BE5" s="237"/>
      <c r="BI5" s="237"/>
      <c r="BM5" s="237"/>
      <c r="BQ5" s="237"/>
      <c r="BU5" s="237"/>
      <c r="BY5" s="237"/>
      <c r="CC5" s="237"/>
      <c r="CG5" s="237"/>
      <c r="CK5" s="237"/>
      <c r="CO5" s="237"/>
      <c r="CS5" s="237"/>
      <c r="CW5" s="237"/>
      <c r="DA5" s="237"/>
      <c r="DB5" s="146"/>
      <c r="DC5" s="146"/>
      <c r="DD5" s="146"/>
      <c r="DE5" s="274"/>
      <c r="DF5" s="146"/>
      <c r="DG5" s="146"/>
      <c r="DH5" s="146"/>
      <c r="DI5" s="274"/>
      <c r="DJ5" s="146"/>
      <c r="DK5" s="146"/>
      <c r="DL5" s="146"/>
      <c r="DM5" s="274"/>
      <c r="DN5" s="146"/>
      <c r="DO5" s="146"/>
      <c r="DP5" s="146"/>
      <c r="DQ5" s="274"/>
      <c r="DR5" s="146"/>
      <c r="DS5" s="146"/>
      <c r="DT5" s="146"/>
      <c r="DU5" s="274"/>
      <c r="DV5" s="146"/>
      <c r="DW5" s="146"/>
      <c r="DX5" s="146"/>
      <c r="DY5" s="274"/>
      <c r="DZ5" s="146"/>
      <c r="EA5" s="146"/>
      <c r="EB5" s="146"/>
      <c r="EC5" s="274"/>
      <c r="ED5" s="146"/>
      <c r="EE5" s="146"/>
      <c r="EF5" s="146"/>
      <c r="EG5" s="274"/>
      <c r="EH5" s="146"/>
      <c r="EI5" s="146"/>
      <c r="EJ5" s="146"/>
      <c r="EK5" s="274"/>
    </row>
    <row r="6" spans="1:183" hidden="1" outlineLevel="1">
      <c r="B6" s="38"/>
      <c r="C6" s="38"/>
      <c r="D6" s="38"/>
      <c r="E6" s="251"/>
      <c r="F6" s="38"/>
      <c r="G6" s="38"/>
      <c r="H6" s="38"/>
      <c r="I6" s="251"/>
      <c r="J6" s="38"/>
      <c r="K6" s="38"/>
      <c r="L6" s="38"/>
      <c r="M6" s="251"/>
      <c r="N6" s="38"/>
      <c r="O6" s="38"/>
      <c r="P6" s="38"/>
      <c r="Q6" s="251"/>
      <c r="R6" s="38"/>
      <c r="S6" s="38"/>
      <c r="T6" s="38"/>
      <c r="U6" s="251"/>
      <c r="V6" s="38"/>
      <c r="W6" s="38"/>
      <c r="X6" s="38"/>
      <c r="Y6" s="251"/>
      <c r="Z6" s="38"/>
      <c r="AA6" s="38"/>
      <c r="AB6" s="38"/>
      <c r="AC6" s="251"/>
      <c r="AD6" s="38"/>
      <c r="AE6" s="38"/>
      <c r="AF6" s="38"/>
      <c r="AG6" s="251"/>
      <c r="AH6" s="38"/>
      <c r="AI6" s="38"/>
      <c r="AJ6" s="38"/>
      <c r="AK6" s="251"/>
      <c r="AL6" s="38"/>
      <c r="AM6" s="38"/>
      <c r="AN6" s="38"/>
      <c r="AO6" s="251"/>
      <c r="AP6" s="38"/>
      <c r="AQ6" s="38"/>
      <c r="AR6" s="38"/>
      <c r="AS6" s="251"/>
      <c r="AT6" s="38"/>
      <c r="AU6" s="38"/>
      <c r="AV6" s="38"/>
      <c r="AW6" s="251"/>
      <c r="AX6" s="38"/>
      <c r="AY6" s="38"/>
      <c r="AZ6" s="38"/>
      <c r="BA6" s="251"/>
      <c r="BB6" s="38"/>
      <c r="BE6" s="170"/>
      <c r="BI6" s="170"/>
      <c r="BM6" s="170"/>
      <c r="BQ6" s="170"/>
      <c r="BU6" s="170"/>
      <c r="BY6" s="170"/>
      <c r="CC6" s="170"/>
      <c r="CG6" s="170"/>
      <c r="CK6" s="170"/>
      <c r="CO6" s="170"/>
      <c r="CS6" s="170"/>
      <c r="CW6" s="170"/>
      <c r="DA6" s="170"/>
      <c r="DE6" s="260"/>
      <c r="DI6" s="260"/>
      <c r="DM6" s="260"/>
      <c r="DQ6" s="260"/>
      <c r="DU6" s="260"/>
      <c r="DY6" s="260"/>
      <c r="EC6" s="260"/>
      <c r="EG6" s="260"/>
      <c r="EK6" s="260"/>
      <c r="FW6" s="11"/>
      <c r="FX6" s="11"/>
      <c r="FY6" s="11"/>
    </row>
    <row r="7" spans="1:183" hidden="1" outlineLevel="1">
      <c r="B7" s="38"/>
      <c r="C7" s="38"/>
      <c r="D7" s="38"/>
      <c r="E7" s="251"/>
      <c r="F7" s="38"/>
      <c r="G7" s="38"/>
      <c r="H7" s="38"/>
      <c r="I7" s="251"/>
      <c r="J7" s="38"/>
      <c r="K7" s="38"/>
      <c r="L7" s="38"/>
      <c r="M7" s="251"/>
      <c r="N7" s="38"/>
      <c r="O7" s="38"/>
      <c r="P7" s="38"/>
      <c r="Q7" s="251"/>
      <c r="R7" s="38"/>
      <c r="S7" s="38"/>
      <c r="T7" s="38"/>
      <c r="U7" s="251"/>
      <c r="V7" s="38"/>
      <c r="W7" s="38"/>
      <c r="X7" s="38"/>
      <c r="Y7" s="251"/>
      <c r="Z7" s="38"/>
      <c r="AA7" s="38"/>
      <c r="AB7" s="38"/>
      <c r="AC7" s="251"/>
      <c r="AD7" s="38"/>
      <c r="AE7" s="38"/>
      <c r="AF7" s="38"/>
      <c r="AG7" s="251"/>
      <c r="AH7" s="38"/>
      <c r="AI7" s="38"/>
      <c r="AJ7" s="38"/>
      <c r="AK7" s="251"/>
      <c r="AL7" s="38"/>
      <c r="AM7" s="38"/>
      <c r="AN7" s="38"/>
      <c r="AO7" s="251"/>
      <c r="AP7" s="38"/>
      <c r="AQ7" s="38"/>
      <c r="AR7" s="38"/>
      <c r="AS7" s="251"/>
      <c r="AT7" s="38"/>
      <c r="AU7" s="38"/>
      <c r="AV7" s="38"/>
      <c r="AW7" s="251"/>
      <c r="AX7" s="38"/>
      <c r="AY7" s="38"/>
      <c r="AZ7" s="38"/>
      <c r="BA7" s="251"/>
      <c r="BB7" s="38"/>
      <c r="BE7" s="170"/>
      <c r="BI7" s="170"/>
      <c r="BM7" s="170"/>
      <c r="BQ7" s="170"/>
      <c r="BU7" s="170"/>
      <c r="BY7" s="170"/>
      <c r="CC7" s="170"/>
      <c r="CG7" s="170"/>
      <c r="CK7" s="170"/>
      <c r="CO7" s="170"/>
      <c r="CS7" s="170"/>
      <c r="CW7" s="170"/>
      <c r="DA7" s="170"/>
      <c r="DE7" s="260"/>
      <c r="DI7" s="260"/>
      <c r="DM7" s="260"/>
      <c r="DQ7" s="260"/>
      <c r="DU7" s="260"/>
      <c r="DY7" s="260"/>
      <c r="EC7" s="260"/>
      <c r="EG7" s="260"/>
      <c r="EK7" s="260"/>
      <c r="FW7" s="11"/>
      <c r="FX7" s="11"/>
      <c r="FY7" s="11"/>
    </row>
    <row r="8" spans="1:183" ht="10.199999999999999" collapsed="1">
      <c r="A8" s="579"/>
      <c r="B8" s="543" t="s">
        <v>1</v>
      </c>
      <c r="C8" s="543" t="s">
        <v>2</v>
      </c>
      <c r="D8" s="543" t="s">
        <v>3</v>
      </c>
      <c r="E8" s="547" t="s">
        <v>4</v>
      </c>
      <c r="F8" s="543" t="s">
        <v>5</v>
      </c>
      <c r="G8" s="543" t="s">
        <v>6</v>
      </c>
      <c r="H8" s="543" t="s">
        <v>7</v>
      </c>
      <c r="I8" s="547" t="s">
        <v>8</v>
      </c>
      <c r="J8" s="543" t="s">
        <v>9</v>
      </c>
      <c r="K8" s="543" t="s">
        <v>10</v>
      </c>
      <c r="L8" s="543" t="s">
        <v>11</v>
      </c>
      <c r="M8" s="547" t="s">
        <v>12</v>
      </c>
      <c r="N8" s="543" t="s">
        <v>13</v>
      </c>
      <c r="O8" s="543" t="s">
        <v>14</v>
      </c>
      <c r="P8" s="543" t="s">
        <v>15</v>
      </c>
      <c r="Q8" s="547" t="s">
        <v>16</v>
      </c>
      <c r="R8" s="543" t="s">
        <v>17</v>
      </c>
      <c r="S8" s="543" t="s">
        <v>18</v>
      </c>
      <c r="T8" s="543" t="s">
        <v>19</v>
      </c>
      <c r="U8" s="547" t="s">
        <v>20</v>
      </c>
      <c r="V8" s="543" t="s">
        <v>21</v>
      </c>
      <c r="W8" s="543" t="s">
        <v>22</v>
      </c>
      <c r="X8" s="543" t="s">
        <v>23</v>
      </c>
      <c r="Y8" s="547" t="s">
        <v>24</v>
      </c>
      <c r="Z8" s="543" t="s">
        <v>25</v>
      </c>
      <c r="AA8" s="543" t="s">
        <v>26</v>
      </c>
      <c r="AB8" s="543" t="s">
        <v>27</v>
      </c>
      <c r="AC8" s="547" t="s">
        <v>28</v>
      </c>
      <c r="AD8" s="543" t="s">
        <v>29</v>
      </c>
      <c r="AE8" s="543" t="s">
        <v>30</v>
      </c>
      <c r="AF8" s="543" t="s">
        <v>31</v>
      </c>
      <c r="AG8" s="547" t="s">
        <v>32</v>
      </c>
      <c r="AH8" s="543" t="s">
        <v>33</v>
      </c>
      <c r="AI8" s="543" t="s">
        <v>34</v>
      </c>
      <c r="AJ8" s="543" t="s">
        <v>35</v>
      </c>
      <c r="AK8" s="547" t="s">
        <v>36</v>
      </c>
      <c r="AL8" s="543" t="s">
        <v>37</v>
      </c>
      <c r="AM8" s="543" t="s">
        <v>38</v>
      </c>
      <c r="AN8" s="543" t="s">
        <v>39</v>
      </c>
      <c r="AO8" s="547" t="s">
        <v>40</v>
      </c>
      <c r="AP8" s="543" t="s">
        <v>41</v>
      </c>
      <c r="AQ8" s="543" t="s">
        <v>42</v>
      </c>
      <c r="AR8" s="543" t="s">
        <v>43</v>
      </c>
      <c r="AS8" s="547" t="s">
        <v>44</v>
      </c>
      <c r="AT8" s="543" t="s">
        <v>45</v>
      </c>
      <c r="AU8" s="543" t="s">
        <v>46</v>
      </c>
      <c r="AV8" s="543" t="s">
        <v>47</v>
      </c>
      <c r="AW8" s="547" t="s">
        <v>48</v>
      </c>
      <c r="AX8" s="543" t="s">
        <v>49</v>
      </c>
      <c r="AY8" s="543" t="s">
        <v>50</v>
      </c>
      <c r="AZ8" s="543" t="s">
        <v>51</v>
      </c>
      <c r="BA8" s="547" t="s">
        <v>52</v>
      </c>
      <c r="BB8" s="543" t="s">
        <v>53</v>
      </c>
      <c r="BC8" s="543" t="s">
        <v>54</v>
      </c>
      <c r="BD8" s="543" t="s">
        <v>55</v>
      </c>
      <c r="BE8" s="547" t="s">
        <v>56</v>
      </c>
      <c r="BF8" s="543" t="s">
        <v>57</v>
      </c>
      <c r="BG8" s="543" t="s">
        <v>58</v>
      </c>
      <c r="BH8" s="543" t="s">
        <v>59</v>
      </c>
      <c r="BI8" s="547" t="s">
        <v>60</v>
      </c>
      <c r="BJ8" s="543" t="str">
        <f>'Income Statement'!BJ7</f>
      </c>
      <c r="BK8" s="543" t="str">
        <f>'Income Statement'!BK7</f>
      </c>
      <c r="BL8" s="543" t="str">
        <f>'Income Statement'!BL7</f>
      </c>
      <c r="BM8" s="547" t="str">
        <f>'Income Statement'!BM7</f>
      </c>
      <c r="BN8" s="543" t="str">
        <f>'Income Statement'!BN7</f>
      </c>
      <c r="BO8" s="543" t="str">
        <f>'Income Statement'!BO7</f>
      </c>
      <c r="BP8" s="543" t="str">
        <f>'Income Statement'!BP7</f>
      </c>
      <c r="BQ8" s="547" t="str">
        <f>'Income Statement'!BQ7</f>
      </c>
      <c r="BR8" s="543" t="str">
        <f>'Income Statement'!BR7</f>
      </c>
      <c r="BS8" s="543" t="str">
        <f>'Income Statement'!BS7</f>
      </c>
      <c r="BT8" s="543" t="str">
        <f>'Income Statement'!BT7</f>
      </c>
      <c r="BU8" s="547" t="str">
        <f>'Income Statement'!BU7</f>
      </c>
      <c r="BV8" s="543" t="str">
        <f>'Income Statement'!BV7</f>
      </c>
      <c r="BW8" s="543" t="str">
        <f>'Income Statement'!BW7</f>
      </c>
      <c r="BX8" s="543" t="str">
        <f>'Income Statement'!BX7</f>
      </c>
      <c r="BY8" s="547" t="str">
        <f>'Income Statement'!BY7</f>
      </c>
      <c r="BZ8" s="543" t="str">
        <f>'Income Statement'!BZ7</f>
      </c>
      <c r="CA8" s="543" t="str">
        <f>'Income Statement'!CA7</f>
      </c>
      <c r="CB8" s="543" t="str">
        <f>'Income Statement'!CB7</f>
      </c>
      <c r="CC8" s="547" t="str">
        <f>'Income Statement'!CC7</f>
      </c>
      <c r="CD8" s="543" t="str">
        <f>'Income Statement'!CD7</f>
      </c>
      <c r="CE8" s="543" t="str">
        <f>'Income Statement'!CE7</f>
      </c>
      <c r="CF8" s="543" t="str">
        <f>'Income Statement'!CF7</f>
      </c>
      <c r="CG8" s="547" t="str">
        <f>'Income Statement'!CG7</f>
      </c>
      <c r="CH8" s="543" t="str">
        <f>'Income Statement'!CH7</f>
      </c>
      <c r="CI8" s="543" t="str">
        <f>'Income Statement'!CI7</f>
      </c>
      <c r="CJ8" s="543" t="str">
        <f>'Income Statement'!CJ7</f>
      </c>
      <c r="CK8" s="547" t="str">
        <f>'Income Statement'!CK7</f>
      </c>
      <c r="CL8" s="543" t="str">
        <f>'Income Statement'!CL7</f>
      </c>
      <c r="CM8" s="543" t="str">
        <f>'Income Statement'!CM7</f>
      </c>
      <c r="CN8" s="543" t="str">
        <f>'Income Statement'!CN7</f>
      </c>
      <c r="CO8" s="547" t="str">
        <f>'Income Statement'!CO7</f>
      </c>
      <c r="CP8" s="543" t="str">
        <f>'Income Statement'!CP7</f>
      </c>
      <c r="CQ8" s="543" t="str">
        <f>'Income Statement'!CQ7</f>
      </c>
      <c r="CR8" s="543" t="str">
        <f>'Income Statement'!CR7</f>
      </c>
      <c r="CS8" s="547" t="str">
        <f>'Income Statement'!CS7</f>
      </c>
      <c r="CT8" s="543" t="str">
        <f>'Income Statement'!CT7</f>
      </c>
      <c r="CU8" s="543" t="str">
        <f>'Income Statement'!CU7</f>
      </c>
      <c r="CV8" s="543" t="str">
        <f>'Income Statement'!CV7</f>
      </c>
      <c r="CW8" s="547" t="str">
        <f>'Income Statement'!CW7</f>
      </c>
      <c r="CX8" s="543" t="str">
        <f>'Income Statement'!CX7</f>
      </c>
      <c r="CY8" s="543" t="str">
        <f>'Income Statement'!CY7</f>
      </c>
      <c r="CZ8" s="543" t="str">
        <f>'Income Statement'!CZ7</f>
      </c>
      <c r="DA8" s="547" t="str">
        <f>'Income Statement'!DA7</f>
      </c>
      <c r="DB8" s="1200" t="str">
        <f>'Income Statement'!DB7</f>
      </c>
      <c r="DC8" s="543" t="str">
        <f>'Income Statement'!DC7</f>
      </c>
      <c r="DD8" s="543" t="str">
        <f>'Income Statement'!DD7</f>
      </c>
      <c r="DE8" s="547" t="str">
        <f>'Income Statement'!DE7</f>
      </c>
      <c r="DF8" s="1200" t="str">
        <f>'Income Statement'!DF7</f>
      </c>
      <c r="DG8" s="543" t="str">
        <f>'Income Statement'!DG7</f>
      </c>
      <c r="DH8" s="543" t="str">
        <f>'Income Statement'!DH7</f>
      </c>
      <c r="DI8" s="547" t="str">
        <f>'Income Statement'!DI7</f>
      </c>
      <c r="DJ8" s="1200" t="str">
        <f>'Income Statement'!DJ7</f>
      </c>
      <c r="DK8" s="543" t="str">
        <f>'Income Statement'!DK7</f>
      </c>
      <c r="DL8" s="543" t="str">
        <f>'Income Statement'!DL7</f>
      </c>
      <c r="DM8" s="547" t="str">
        <f>'Income Statement'!DM7</f>
      </c>
      <c r="DN8" s="1200" t="str">
        <f>'Income Statement'!DN7</f>
      </c>
      <c r="DO8" s="543" t="str">
        <f>'Income Statement'!DO7</f>
      </c>
      <c r="DP8" s="543" t="str">
        <f>'Income Statement'!DP7</f>
      </c>
      <c r="DQ8" s="547" t="str">
        <f>'Income Statement'!DQ7</f>
      </c>
      <c r="DR8" s="1200" t="str">
        <f>'Income Statement'!DR7</f>
      </c>
      <c r="DS8" s="543" t="str">
        <f>'Income Statement'!DS7</f>
      </c>
      <c r="DT8" s="543" t="str">
        <f>'Income Statement'!DT7</f>
      </c>
      <c r="DU8" s="547" t="str">
        <f>'Income Statement'!DU7</f>
      </c>
      <c r="DV8" s="1200" t="str">
        <f>'Income Statement'!DV7</f>
      </c>
      <c r="DW8" s="543" t="str">
        <f>'Income Statement'!DW7</f>
      </c>
      <c r="DX8" s="543" t="str">
        <f>'Income Statement'!DX7</f>
      </c>
      <c r="DY8" s="547" t="str">
        <f>'Income Statement'!DY7</f>
      </c>
      <c r="DZ8" s="1200" t="str">
        <f>'Income Statement'!DZ7</f>
      </c>
      <c r="EA8" s="543" t="str">
        <f>'Income Statement'!EA7</f>
      </c>
      <c r="EB8" s="543" t="str">
        <f>'Income Statement'!EB7</f>
      </c>
      <c r="EC8" s="547" t="str">
        <f>'Income Statement'!EC7</f>
      </c>
      <c r="ED8" s="1200" t="str">
        <f>'Income Statement'!ED7</f>
      </c>
      <c r="EE8" s="543" t="str">
        <f>'Income Statement'!EE7</f>
      </c>
      <c r="EF8" s="543" t="str">
        <f>'Income Statement'!EF7</f>
      </c>
      <c r="EG8" s="547" t="str">
        <f>'Income Statement'!EG7</f>
      </c>
      <c r="EH8" s="1200" t="str">
        <f>'Income Statement'!EH7</f>
      </c>
      <c r="EI8" s="543" t="str">
        <f>'Income Statement'!EI7</f>
      </c>
      <c r="EJ8" s="543" t="str">
        <f>'Income Statement'!EJ7</f>
      </c>
      <c r="EK8" s="547" t="str">
        <f>'Income Statement'!EK7</f>
      </c>
      <c r="EL8" s="39"/>
      <c r="EM8" s="39"/>
      <c r="EN8" s="543"/>
      <c r="EO8" s="543"/>
      <c r="EP8" s="543"/>
      <c r="EQ8" s="543"/>
      <c r="ER8" s="543"/>
      <c r="ES8" s="543"/>
      <c r="ET8" s="543"/>
      <c r="EU8" s="543"/>
      <c r="EV8" s="543"/>
      <c r="EW8" s="543"/>
      <c r="EX8" s="543"/>
      <c r="EY8" s="543"/>
      <c r="EZ8" s="543"/>
      <c r="FA8" s="543"/>
      <c r="FB8" s="543"/>
      <c r="FC8" s="543"/>
      <c r="FD8" s="543"/>
      <c r="FE8" s="543"/>
      <c r="FF8" s="543"/>
      <c r="FG8" s="543" t="s">
        <v>61</v>
      </c>
      <c r="FH8" s="543"/>
      <c r="FI8" s="543"/>
      <c r="FJ8" s="543"/>
      <c r="FK8" s="543"/>
      <c r="FL8" s="543"/>
      <c r="FM8" s="543"/>
      <c r="FN8" s="543"/>
      <c r="FO8" s="543"/>
      <c r="FP8" s="543"/>
      <c r="FQ8" s="543"/>
      <c r="FR8" s="543"/>
      <c r="FS8" s="543"/>
      <c r="FT8" s="543"/>
      <c r="FU8" s="543"/>
      <c r="FV8" s="543"/>
      <c r="FW8" s="11"/>
      <c r="FX8" s="11"/>
      <c r="FY8" s="11"/>
    </row>
    <row r="9" spans="1:183" ht="10.199999999999999">
      <c r="A9" s="548" t="s">
        <v>148</v>
      </c>
      <c r="B9" s="549">
        <v>35064</v>
      </c>
      <c r="C9" s="549">
        <v>35155</v>
      </c>
      <c r="D9" s="549">
        <v>35246</v>
      </c>
      <c r="E9" s="550">
        <v>35338</v>
      </c>
      <c r="F9" s="549">
        <v>35430</v>
      </c>
      <c r="G9" s="549">
        <v>35520</v>
      </c>
      <c r="H9" s="549">
        <v>35611</v>
      </c>
      <c r="I9" s="550">
        <v>35703</v>
      </c>
      <c r="J9" s="549">
        <v>35795</v>
      </c>
      <c r="K9" s="549">
        <v>35885</v>
      </c>
      <c r="L9" s="549">
        <v>35976</v>
      </c>
      <c r="M9" s="550">
        <v>36068</v>
      </c>
      <c r="N9" s="549">
        <v>36160</v>
      </c>
      <c r="O9" s="549">
        <v>36250</v>
      </c>
      <c r="P9" s="549">
        <v>36341</v>
      </c>
      <c r="Q9" s="550">
        <v>36433</v>
      </c>
      <c r="R9" s="549">
        <v>36525</v>
      </c>
      <c r="S9" s="549">
        <v>36616</v>
      </c>
      <c r="T9" s="549">
        <v>36707</v>
      </c>
      <c r="U9" s="550">
        <v>36799</v>
      </c>
      <c r="V9" s="549">
        <v>36891</v>
      </c>
      <c r="W9" s="549">
        <v>36981</v>
      </c>
      <c r="X9" s="549">
        <v>37072</v>
      </c>
      <c r="Y9" s="550">
        <v>37164</v>
      </c>
      <c r="Z9" s="549">
        <v>37256</v>
      </c>
      <c r="AA9" s="549">
        <v>37346</v>
      </c>
      <c r="AB9" s="549">
        <v>37437</v>
      </c>
      <c r="AC9" s="550">
        <v>37529</v>
      </c>
      <c r="AD9" s="549">
        <v>37621</v>
      </c>
      <c r="AE9" s="549">
        <v>37711</v>
      </c>
      <c r="AF9" s="549">
        <v>37802</v>
      </c>
      <c r="AG9" s="550">
        <v>37894</v>
      </c>
      <c r="AH9" s="549">
        <v>37986</v>
      </c>
      <c r="AI9" s="549">
        <v>38077</v>
      </c>
      <c r="AJ9" s="549">
        <v>38168</v>
      </c>
      <c r="AK9" s="550">
        <v>38260</v>
      </c>
      <c r="AL9" s="549">
        <v>38352</v>
      </c>
      <c r="AM9" s="549">
        <v>38442</v>
      </c>
      <c r="AN9" s="549">
        <v>38533</v>
      </c>
      <c r="AO9" s="550">
        <v>38625</v>
      </c>
      <c r="AP9" s="549">
        <v>38717</v>
      </c>
      <c r="AQ9" s="549">
        <v>38807</v>
      </c>
      <c r="AR9" s="549">
        <v>38898</v>
      </c>
      <c r="AS9" s="550">
        <v>38990</v>
      </c>
      <c r="AT9" s="549">
        <v>39082</v>
      </c>
      <c r="AU9" s="549">
        <v>39172</v>
      </c>
      <c r="AV9" s="549">
        <v>39263</v>
      </c>
      <c r="AW9" s="550">
        <v>39355</v>
      </c>
      <c r="AX9" s="549">
        <v>39447</v>
      </c>
      <c r="AY9" s="549">
        <v>39538</v>
      </c>
      <c r="AZ9" s="549">
        <v>39629</v>
      </c>
      <c r="BA9" s="550">
        <v>39721</v>
      </c>
      <c r="BB9" s="549">
        <v>39813</v>
      </c>
      <c r="BC9" s="549">
        <v>39903</v>
      </c>
      <c r="BD9" s="549">
        <v>39994</v>
      </c>
      <c r="BE9" s="550">
        <v>40086</v>
      </c>
      <c r="BF9" s="549">
        <v>40178</v>
      </c>
      <c r="BG9" s="549">
        <v>40268</v>
      </c>
      <c r="BH9" s="549">
        <v>40359</v>
      </c>
      <c r="BI9" s="550">
        <v>40451</v>
      </c>
      <c r="BJ9" s="549">
        <v>40543</v>
      </c>
      <c r="BK9" s="549">
        <v>40633</v>
      </c>
      <c r="BL9" s="549">
        <v>40724</v>
      </c>
      <c r="BM9" s="550">
        <v>40816</v>
      </c>
      <c r="BN9" s="549">
        <v>40908</v>
      </c>
      <c r="BO9" s="549">
        <v>40999</v>
      </c>
      <c r="BP9" s="549">
        <v>41090</v>
      </c>
      <c r="BQ9" s="550">
        <v>41182</v>
      </c>
      <c r="BR9" s="549">
        <v>41274</v>
      </c>
      <c r="BS9" s="549">
        <v>41364</v>
      </c>
      <c r="BT9" s="549">
        <v>41455</v>
      </c>
      <c r="BU9" s="550">
        <v>41547</v>
      </c>
      <c r="BV9" s="549">
        <v>41639</v>
      </c>
      <c r="BW9" s="549">
        <v>41729</v>
      </c>
      <c r="BX9" s="549">
        <v>41820</v>
      </c>
      <c r="BY9" s="550">
        <v>41912</v>
      </c>
      <c r="BZ9" s="549">
        <v>42004</v>
      </c>
      <c r="CA9" s="549">
        <v>42094</v>
      </c>
      <c r="CB9" s="549">
        <v>42185</v>
      </c>
      <c r="CC9" s="550">
        <v>42277</v>
      </c>
      <c r="CD9" s="549">
        <v>42369</v>
      </c>
      <c r="CE9" s="549">
        <v>42460</v>
      </c>
      <c r="CF9" s="549">
        <v>42551</v>
      </c>
      <c r="CG9" s="550">
        <v>42643</v>
      </c>
      <c r="CH9" s="549">
        <v>42735</v>
      </c>
      <c r="CI9" s="549">
        <v>42825</v>
      </c>
      <c r="CJ9" s="549">
        <v>42916</v>
      </c>
      <c r="CK9" s="550">
        <v>43008</v>
      </c>
      <c r="CL9" s="549">
        <f>'Income Statement'!CL8</f>
      </c>
      <c r="CM9" s="549">
        <f>'Income Statement'!CM8</f>
      </c>
      <c r="CN9" s="549">
        <f>'Income Statement'!CN8</f>
      </c>
      <c r="CO9" s="550">
        <f>'Income Statement'!CO8</f>
      </c>
      <c r="CP9" s="549">
        <f>'Income Statement'!CP8</f>
      </c>
      <c r="CQ9" s="549">
        <f>'Income Statement'!CQ8</f>
      </c>
      <c r="CR9" s="549">
        <f>'Income Statement'!CR8</f>
      </c>
      <c r="CS9" s="550">
        <f>'Income Statement'!CS8</f>
      </c>
      <c r="CT9" s="549">
        <f>'Income Statement'!CT8</f>
      </c>
      <c r="CU9" s="549">
        <f>'Income Statement'!CU8</f>
      </c>
      <c r="CV9" s="549">
        <f>'Income Statement'!CV8</f>
      </c>
      <c r="CW9" s="550">
        <f>'Income Statement'!CW8</f>
      </c>
      <c r="CX9" s="549">
        <f>'Income Statement'!CX8</f>
      </c>
      <c r="CY9" s="549">
        <f>'Income Statement'!CY8</f>
      </c>
      <c r="CZ9" s="549">
        <f>'Income Statement'!CZ8</f>
      </c>
      <c r="DA9" s="550">
        <f>'Income Statement'!DA8</f>
      </c>
      <c r="DB9" s="1201">
        <f>'Income Statement'!DB8</f>
      </c>
      <c r="DC9" s="549">
        <f>'Income Statement'!DC8</f>
      </c>
      <c r="DD9" s="549">
        <f>'Income Statement'!DD8</f>
      </c>
      <c r="DE9" s="550">
        <f>'Income Statement'!DE8</f>
      </c>
      <c r="DF9" s="1201">
        <f>'Income Statement'!DF8</f>
      </c>
      <c r="DG9" s="549">
        <f>'Income Statement'!DG8</f>
      </c>
      <c r="DH9" s="549">
        <f>'Income Statement'!DH8</f>
      </c>
      <c r="DI9" s="550">
        <f>'Income Statement'!DI8</f>
      </c>
      <c r="DJ9" s="1201">
        <f>'Income Statement'!DJ8</f>
      </c>
      <c r="DK9" s="549">
        <f>'Income Statement'!DK8</f>
      </c>
      <c r="DL9" s="549">
        <f>'Income Statement'!DL8</f>
      </c>
      <c r="DM9" s="550">
        <f>'Income Statement'!DM8</f>
      </c>
      <c r="DN9" s="1201">
        <f>'Income Statement'!DN8</f>
      </c>
      <c r="DO9" s="549">
        <f>'Income Statement'!DO8</f>
      </c>
      <c r="DP9" s="549">
        <f>'Income Statement'!DP8</f>
      </c>
      <c r="DQ9" s="550">
        <f>'Income Statement'!DQ8</f>
      </c>
      <c r="DR9" s="1201">
        <f>'Income Statement'!DR8</f>
      </c>
      <c r="DS9" s="549">
        <f>'Income Statement'!DS8</f>
      </c>
      <c r="DT9" s="549">
        <f>'Income Statement'!DT8</f>
      </c>
      <c r="DU9" s="550">
        <f>'Income Statement'!DU8</f>
      </c>
      <c r="DV9" s="1201">
        <f>'Income Statement'!DV8</f>
      </c>
      <c r="DW9" s="549">
        <f>'Income Statement'!DW8</f>
      </c>
      <c r="DX9" s="549">
        <f>'Income Statement'!DX8</f>
      </c>
      <c r="DY9" s="550">
        <f>'Income Statement'!DY8</f>
      </c>
      <c r="DZ9" s="1201">
        <f>'Income Statement'!DZ8</f>
      </c>
      <c r="EA9" s="549">
        <f>'Income Statement'!EA8</f>
      </c>
      <c r="EB9" s="549">
        <f>'Income Statement'!EB8</f>
      </c>
      <c r="EC9" s="550">
        <f>'Income Statement'!EC8</f>
      </c>
      <c r="ED9" s="1201">
        <f>'Income Statement'!ED8</f>
      </c>
      <c r="EE9" s="549">
        <f>'Income Statement'!EE8</f>
      </c>
      <c r="EF9" s="549">
        <f>'Income Statement'!EF8</f>
      </c>
      <c r="EG9" s="550">
        <f>'Income Statement'!EG8</f>
      </c>
      <c r="EH9" s="1201">
        <f>'Income Statement'!EH8</f>
      </c>
      <c r="EI9" s="549">
        <f>'Income Statement'!EI8</f>
      </c>
      <c r="EJ9" s="549">
        <f>'Income Statement'!EJ8</f>
      </c>
      <c r="EK9" s="550">
        <f>'Income Statement'!EK8</f>
      </c>
      <c r="EN9" s="549" t="str">
        <f>'Income Statement'!EM8</f>
      </c>
      <c r="EO9" s="549" t="str">
        <f>'Income Statement'!EN8</f>
      </c>
      <c r="EP9" s="549" t="str">
        <f>'Income Statement'!EO8</f>
      </c>
      <c r="EQ9" s="549" t="str">
        <f>'Income Statement'!EP8</f>
      </c>
      <c r="ER9" s="549" t="str">
        <f>'Income Statement'!EQ8</f>
      </c>
      <c r="ES9" s="549" t="str">
        <f>'Income Statement'!ER8</f>
      </c>
      <c r="ET9" s="549" t="str">
        <f>'Income Statement'!ES8</f>
      </c>
      <c r="EU9" s="549" t="str">
        <f>'Income Statement'!ET8</f>
      </c>
      <c r="EV9" s="549" t="str">
        <f>'Income Statement'!EU8</f>
      </c>
      <c r="EW9" s="549" t="str">
        <f>'Income Statement'!EV8</f>
      </c>
      <c r="EX9" s="549" t="str">
        <f>'Income Statement'!EW8</f>
      </c>
      <c r="EY9" s="549" t="str">
        <f>'Income Statement'!EX8</f>
      </c>
      <c r="EZ9" s="549" t="str">
        <f>'Income Statement'!EY8</f>
      </c>
      <c r="FA9" s="549" t="str">
        <f>'Income Statement'!EZ8</f>
      </c>
      <c r="FB9" s="549" t="str">
        <f>'Income Statement'!FA8</f>
      </c>
      <c r="FC9" s="549" t="str">
        <f>'Income Statement'!FB8</f>
      </c>
      <c r="FD9" s="549" t="str">
        <f>'Income Statement'!FC8</f>
      </c>
      <c r="FE9" s="549" t="str">
        <f>'Income Statement'!FD8</f>
      </c>
      <c r="FF9" s="549" t="str">
        <f>'Income Statement'!FE8</f>
      </c>
      <c r="FG9" s="549" t="str">
        <f>'Income Statement'!FF8</f>
      </c>
      <c r="FH9" s="549" t="str">
        <f>'Income Statement'!FG8</f>
      </c>
      <c r="FI9" s="549" t="str">
        <f>'Income Statement'!FH8</f>
      </c>
      <c r="FJ9" s="549" t="str">
        <f>'Income Statement'!FI8</f>
      </c>
      <c r="FK9" s="549" t="str">
        <f>'Income Statement'!FJ8</f>
      </c>
      <c r="FL9" s="549" t="str">
        <f>'Income Statement'!FK8</f>
      </c>
      <c r="FM9" s="549" t="str">
        <f>'Income Statement'!FL8</f>
      </c>
      <c r="FN9" s="549" t="str">
        <f>'Income Statement'!FM8</f>
      </c>
      <c r="FO9" s="549" t="str">
        <f>'Income Statement'!FN8</f>
      </c>
      <c r="FP9" s="549" t="str">
        <f>'Income Statement'!FO8</f>
      </c>
      <c r="FQ9" s="549" t="str">
        <f>'Income Statement'!FP8</f>
      </c>
      <c r="FR9" s="549" t="str">
        <f>'Income Statement'!FQ8</f>
      </c>
      <c r="FS9" s="549" t="str">
        <f>'Income Statement'!FR8</f>
      </c>
      <c r="FT9" s="549" t="str">
        <f>'Income Statement'!FS8</f>
      </c>
      <c r="FU9" s="549" t="str">
        <f>'Income Statement'!FT8</f>
      </c>
      <c r="FV9" s="549" t="str">
        <f>'Income Statement'!FU8</f>
      </c>
      <c r="FW9" s="11"/>
      <c r="FX9" s="11"/>
      <c r="FY9" s="11"/>
    </row>
    <row r="10" spans="1:183" ht="10.199999999999999">
      <c r="A10" s="30" t="s">
        <v>99</v>
      </c>
      <c r="E10" s="170"/>
      <c r="I10" s="170"/>
      <c r="M10" s="170"/>
      <c r="Q10" s="170"/>
      <c r="U10" s="170"/>
      <c r="Y10" s="170"/>
      <c r="AC10" s="170"/>
      <c r="AG10" s="170"/>
      <c r="AK10" s="170"/>
      <c r="AO10" s="170"/>
      <c r="AS10" s="170"/>
      <c r="AW10" s="170"/>
      <c r="BA10" s="170"/>
      <c r="BE10" s="170"/>
      <c r="BI10" s="170"/>
      <c r="BM10" s="170"/>
      <c r="BQ10" s="170"/>
      <c r="BU10" s="170"/>
      <c r="BY10" s="170"/>
      <c r="CC10" s="170"/>
      <c r="CG10" s="170"/>
      <c r="CK10" s="170"/>
      <c r="CO10" s="170"/>
      <c r="CP10" s="11" t="s">
        <v>2193</v>
      </c>
      <c r="CS10" s="170"/>
      <c r="CW10" s="170"/>
      <c r="DA10" s="170"/>
      <c r="DB10" s="451"/>
      <c r="DC10" s="11"/>
      <c r="DD10" s="11"/>
      <c r="DE10" s="260"/>
      <c r="DI10" s="260"/>
      <c r="DM10" s="260"/>
      <c r="DQ10" s="260"/>
      <c r="DU10" s="260"/>
      <c r="DY10" s="260"/>
      <c r="EC10" s="260"/>
      <c r="EG10" s="260"/>
      <c r="EK10" s="260"/>
      <c r="FW10" s="11"/>
      <c r="FX10" s="11"/>
      <c r="FY10" s="11"/>
    </row>
    <row r="11" spans="1:183" ht="10.199999999999999">
      <c r="A11" s="19" t="s">
        <v>100</v>
      </c>
      <c r="B11" s="34">
        <v>824</v>
      </c>
      <c r="C11" s="34">
        <v>500</v>
      </c>
      <c r="D11" s="34">
        <v>1359</v>
      </c>
      <c r="E11" s="173">
        <v>1552</v>
      </c>
      <c r="F11" s="34">
        <v>1174</v>
      </c>
      <c r="G11" s="34">
        <v>1273</v>
      </c>
      <c r="H11" s="34">
        <v>1018</v>
      </c>
      <c r="I11" s="173">
        <v>1230</v>
      </c>
      <c r="J11" s="34">
        <v>1193</v>
      </c>
      <c r="K11" s="34">
        <v>1285</v>
      </c>
      <c r="L11" s="34">
        <v>1203</v>
      </c>
      <c r="M11" s="173">
        <v>1481</v>
      </c>
      <c r="N11" s="34">
        <v>1221</v>
      </c>
      <c r="O11" s="34">
        <v>1358</v>
      </c>
      <c r="P11" s="34">
        <v>1773</v>
      </c>
      <c r="Q11" s="173">
        <v>1326</v>
      </c>
      <c r="R11" s="34">
        <v>1586</v>
      </c>
      <c r="S11" s="34">
        <v>1662</v>
      </c>
      <c r="T11" s="34">
        <v>1344</v>
      </c>
      <c r="U11" s="173">
        <v>1191</v>
      </c>
      <c r="V11" s="34">
        <v>1737</v>
      </c>
      <c r="W11" s="34">
        <v>2138</v>
      </c>
      <c r="X11" s="34">
        <v>2121</v>
      </c>
      <c r="Y11" s="173">
        <v>2310</v>
      </c>
      <c r="Z11" s="34">
        <v>1946</v>
      </c>
      <c r="AA11" s="34">
        <v>1159</v>
      </c>
      <c r="AB11" s="34">
        <v>1246</v>
      </c>
      <c r="AC11" s="173">
        <v>2252</v>
      </c>
      <c r="AD11" s="34">
        <v>2612</v>
      </c>
      <c r="AE11" s="34">
        <v>3410</v>
      </c>
      <c r="AF11" s="34">
        <v>3507</v>
      </c>
      <c r="AG11" s="173">
        <v>3396</v>
      </c>
      <c r="AH11" s="34">
        <v>3724</v>
      </c>
      <c r="AI11" s="34">
        <v>3158</v>
      </c>
      <c r="AJ11" s="34">
        <v>3120</v>
      </c>
      <c r="AK11" s="173">
        <v>2969</v>
      </c>
      <c r="AL11" s="34">
        <v>2475</v>
      </c>
      <c r="AM11" s="34">
        <v>2254</v>
      </c>
      <c r="AN11" s="34">
        <v>3094</v>
      </c>
      <c r="AO11" s="173">
        <v>3491</v>
      </c>
      <c r="AP11" s="34">
        <v>4150</v>
      </c>
      <c r="AQ11" s="34">
        <v>6346</v>
      </c>
      <c r="AR11" s="34">
        <v>8013</v>
      </c>
      <c r="AS11" s="173">
        <v>6392</v>
      </c>
      <c r="AT11" s="34">
        <v>7159</v>
      </c>
      <c r="AU11" s="34">
        <v>7095</v>
      </c>
      <c r="AV11" s="34">
        <v>7118</v>
      </c>
      <c r="AW11" s="173">
        <v>9352</v>
      </c>
      <c r="AX11" s="34">
        <v>9162</v>
      </c>
      <c r="AY11" s="34">
        <v>9070</v>
      </c>
      <c r="AZ11" s="34">
        <v>9373</v>
      </c>
      <c r="BA11" s="173">
        <v>11875</v>
      </c>
      <c r="BB11" s="34">
        <v>7236</v>
      </c>
      <c r="BC11" s="34">
        <v>4466</v>
      </c>
      <c r="BD11" s="34">
        <v>5605</v>
      </c>
      <c r="BE11" s="173">
        <v>5263</v>
      </c>
      <c r="BF11" s="34">
        <v>7609</v>
      </c>
      <c r="BG11" s="34">
        <v>10018</v>
      </c>
      <c r="BH11" s="34">
        <v>9705</v>
      </c>
      <c r="BI11" s="173">
        <v>11261</v>
      </c>
      <c r="BJ11" s="34">
        <v>10734</v>
      </c>
      <c r="BK11" s="34">
        <v>15978</v>
      </c>
      <c r="BL11" s="34">
        <v>12091</v>
      </c>
      <c r="BM11" s="173">
        <v>9815</v>
      </c>
      <c r="BN11" s="34">
        <v>10310</v>
      </c>
      <c r="BO11" s="34">
        <v>10121</v>
      </c>
      <c r="BP11" s="34">
        <v>7945</v>
      </c>
      <c r="BQ11" s="173">
        <v>10746</v>
      </c>
      <c r="BR11" s="34">
        <v>16154</v>
      </c>
      <c r="BS11" s="34">
        <v>12053</v>
      </c>
      <c r="BT11" s="34">
        <v>11248</v>
      </c>
      <c r="BU11" s="173">
        <v>14259</v>
      </c>
      <c r="BV11" s="34">
        <v>14077</v>
      </c>
      <c r="BW11" s="34">
        <v>18949</v>
      </c>
      <c r="BX11" s="34">
        <v>12977</v>
      </c>
      <c r="BY11" s="173">
        <v>13844</v>
      </c>
      <c r="BZ11" s="34">
        <v>19478</v>
      </c>
      <c r="CA11" s="34">
        <v>14489</v>
      </c>
      <c r="CB11" s="34">
        <v>15319</v>
      </c>
      <c r="CC11" s="173">
        <v>21120</v>
      </c>
      <c r="CD11" s="34">
        <v>16689</v>
      </c>
      <c r="CE11" s="34">
        <v>21514</v>
      </c>
      <c r="CF11" s="77">
        <v>18237</v>
      </c>
      <c r="CG11" s="173">
        <v>20484</v>
      </c>
      <c r="CH11" s="34">
        <v>16371</v>
      </c>
      <c r="CI11" s="34">
        <v>15157</v>
      </c>
      <c r="CJ11" s="34">
        <v>18571</v>
      </c>
      <c r="CK11" s="173">
        <v>20289</v>
      </c>
      <c r="CL11" s="34">
        <v>27491</v>
      </c>
      <c r="CM11" s="34">
        <v>45059</v>
      </c>
      <c r="CN11" s="34">
        <v>31971</v>
      </c>
      <c r="CO11" s="173">
        <v>25913</v>
      </c>
      <c r="CP11" s="77">
        <v>44771</v>
      </c>
      <c r="CQ11" s="34">
        <v>37988</v>
      </c>
      <c r="CR11" s="34">
        <v>50530</v>
      </c>
      <c r="CS11" s="173">
        <v>48844</v>
      </c>
      <c r="CT11" s="77">
        <v>39771</v>
      </c>
      <c r="CU11" s="77">
        <v>40174</v>
      </c>
      <c r="CV11" s="77">
        <v>33383</v>
      </c>
      <c r="CW11" s="192">
        <v>38016</v>
      </c>
      <c r="CX11" s="474">
        <v>36010</v>
      </c>
      <c r="CY11" s="77">
        <v>38466</v>
      </c>
      <c r="CZ11" s="77">
        <v>34050</v>
      </c>
      <c r="DA11" s="192">
        <v>34940</v>
      </c>
      <c r="DB11" s="474">
        <v>37119</v>
      </c>
      <c r="DC11" s="77">
        <v>28098</v>
      </c>
      <c r="DD11" s="77">
        <v>27502</v>
      </c>
      <c r="DE11" s="192">
        <v>23646</v>
      </c>
      <c r="DF11" s="474">
        <v>20535</v>
      </c>
      <c r="DG11" s="77">
        <v>24687</v>
      </c>
      <c r="DH11" s="77">
        <v>28408</v>
      </c>
      <c r="DI11" s="192">
        <v>29965</v>
      </c>
      <c r="DJ11" s="474">
        <v>40760</v>
      </c>
      <c r="DK11" s="77">
        <v>32695</v>
      </c>
      <c r="DL11" s="77">
        <v>25565</v>
      </c>
      <c r="DM11" s="192">
        <v>29943</v>
      </c>
      <c r="DN11" s="474">
        <v>30299</v>
      </c>
      <c r="DO11" s="77">
        <v>28162</v>
      </c>
      <c r="DP11" s="77">
        <v>36269</v>
      </c>
      <c r="DQ11" s="176">
        <f>+'Cash Flow Statement'!DQ58</f>
      </c>
      <c r="DR11" s="85">
        <f>+'Cash Flow Statement'!DR58</f>
      </c>
      <c r="DS11" s="85">
        <f>+'Cash Flow Statement'!DS58</f>
      </c>
      <c r="DT11" s="85">
        <f>+'Cash Flow Statement'!DT58</f>
      </c>
      <c r="DU11" s="176">
        <f>+'Cash Flow Statement'!DU58</f>
      </c>
      <c r="DV11" s="85">
        <f>+'Cash Flow Statement'!DV58</f>
      </c>
      <c r="DW11" s="85">
        <f>+'Cash Flow Statement'!DW58</f>
      </c>
      <c r="DX11" s="85">
        <f>+'Cash Flow Statement'!DX58</f>
      </c>
      <c r="DY11" s="176">
        <f>+'Cash Flow Statement'!DY58</f>
      </c>
      <c r="DZ11" s="85">
        <f>+'Cash Flow Statement'!DZ58</f>
      </c>
      <c r="EA11" s="85">
        <f>+'Cash Flow Statement'!EA58</f>
      </c>
      <c r="EB11" s="85">
        <f>+'Cash Flow Statement'!EB58</f>
      </c>
      <c r="EC11" s="176">
        <f>+'Cash Flow Statement'!EC58</f>
      </c>
      <c r="ED11" s="85">
        <f>+'Cash Flow Statement'!ED58</f>
      </c>
      <c r="EE11" s="85">
        <f>+'Cash Flow Statement'!EE58</f>
      </c>
      <c r="EF11" s="85">
        <f>+'Cash Flow Statement'!EF58</f>
      </c>
      <c r="EG11" s="176">
        <f>+'Cash Flow Statement'!EG58</f>
      </c>
      <c r="EH11" s="85">
        <f>+'Cash Flow Statement'!EH58</f>
      </c>
      <c r="EI11" s="85">
        <f>+'Cash Flow Statement'!EI58</f>
      </c>
      <c r="EJ11" s="85">
        <f>+'Cash Flow Statement'!EJ58</f>
      </c>
      <c r="EK11" s="176">
        <f>+'Cash Flow Statement'!EK58</f>
      </c>
      <c r="EL11" s="15"/>
      <c r="EN11" s="15">
        <f t="shared" ref="EN11:EN17" si="0">E11</f>
      </c>
      <c r="EO11" s="15">
        <f t="shared" ref="EO11:EO17" si="1">I11</f>
      </c>
      <c r="EP11" s="15">
        <f t="shared" ref="EP11:EP17" si="2">M11</f>
      </c>
      <c r="EQ11" s="15">
        <f t="shared" ref="EQ11:EQ17" si="3">Q11</f>
      </c>
      <c r="ER11" s="15">
        <f t="shared" ref="ER11:ER17" si="4">U11</f>
      </c>
      <c r="ES11" s="15">
        <f t="shared" ref="ES11:ES17" si="5">Y11</f>
      </c>
      <c r="ET11" s="15">
        <f t="shared" ref="ET11:ET17" si="6">AC11</f>
      </c>
      <c r="EU11" s="15">
        <f t="shared" ref="EU11:EU17" si="7">AG11</f>
      </c>
      <c r="EV11" s="15">
        <f t="shared" ref="EV11:EV17" si="8">AK11</f>
      </c>
      <c r="EW11" s="15">
        <f t="shared" ref="EW11:EW17" si="9">AO11</f>
      </c>
      <c r="EX11" s="15">
        <f t="shared" ref="EX11:EX17" si="10">AS11</f>
      </c>
      <c r="EY11" s="15">
        <f t="shared" ref="EY11:EY17" si="11">AW11</f>
      </c>
      <c r="EZ11" s="15">
        <f t="shared" ref="EZ11:EZ17" si="12">BA11</f>
      </c>
      <c r="FA11" s="15">
        <f t="shared" ref="FA11:FA17" si="13">BE11</f>
      </c>
      <c r="FB11" s="15">
        <f>BI11:BI53</f>
      </c>
      <c r="FC11" s="15">
        <f>BM11:BM53</f>
      </c>
      <c r="FD11" s="15">
        <f>BQ11:BQ53</f>
      </c>
      <c r="FE11" s="15">
        <f>BU11:BU53</f>
      </c>
      <c r="FF11" s="15">
        <f>BY11:BY53</f>
      </c>
      <c r="FG11" s="15">
        <f>CC11:CC53</f>
      </c>
      <c r="FH11" s="15">
        <f>CG11:CG53</f>
      </c>
      <c r="FI11" s="15">
        <f>CK11:CK53</f>
      </c>
      <c r="FJ11" s="15">
        <f>CO11:CO53</f>
      </c>
      <c r="FK11" s="15">
        <f t="shared" ref="FK11:FK17" si="14">$CS$11:$CS$53</f>
      </c>
      <c r="FL11" s="15">
        <f t="shared" ref="FL11:FL17" si="15">$CW$11:$CW$53</f>
      </c>
      <c r="FM11" s="15">
        <f t="shared" ref="FM11:FM17" si="16">$DA$11:$DA$53</f>
      </c>
      <c r="FN11" s="15">
        <f t="shared" ref="FN11:FN17" si="17">$DE$11:$DE$53</f>
      </c>
      <c r="FO11" s="15">
        <f>+DI11</f>
      </c>
      <c r="FP11" s="15">
        <f t="shared" ref="FP11:FP18" si="18">+DM11</f>
      </c>
      <c r="FQ11" s="15">
        <f t="shared" ref="FQ11:FQ18" si="19">+DQ11</f>
      </c>
      <c r="FR11" s="15">
        <f t="shared" ref="FR11:FR18" si="20">+DU11</f>
      </c>
      <c r="FS11" s="15">
        <f t="shared" ref="FS11:FS18" si="21">DY11</f>
      </c>
      <c r="FT11" s="15">
        <f t="shared" ref="FT11:FT18" si="22">EC11</f>
      </c>
      <c r="FU11" s="15">
        <f t="shared" ref="FU11:FU18" si="23">EG11</f>
      </c>
      <c r="FV11" s="15">
        <f t="shared" ref="FV11:FV18" si="24">EK11</f>
      </c>
      <c r="FW11" s="11"/>
      <c r="FX11" s="11"/>
      <c r="FY11" s="11"/>
    </row>
    <row r="12" spans="1:183" ht="10.199999999999999">
      <c r="A12" s="19" t="s">
        <v>101</v>
      </c>
      <c r="B12" s="34">
        <v>276</v>
      </c>
      <c r="C12" s="34">
        <v>92</v>
      </c>
      <c r="D12" s="34">
        <v>0</v>
      </c>
      <c r="E12" s="173">
        <v>193</v>
      </c>
      <c r="F12" s="34">
        <v>633</v>
      </c>
      <c r="G12" s="34">
        <v>186</v>
      </c>
      <c r="H12" s="34">
        <v>212</v>
      </c>
      <c r="I12" s="173">
        <v>229</v>
      </c>
      <c r="J12" s="34">
        <v>434</v>
      </c>
      <c r="K12" s="34">
        <v>538</v>
      </c>
      <c r="L12" s="34">
        <v>790</v>
      </c>
      <c r="M12" s="173">
        <v>819</v>
      </c>
      <c r="N12" s="34">
        <v>1357</v>
      </c>
      <c r="O12" s="34">
        <v>1564</v>
      </c>
      <c r="P12" s="34">
        <v>1333</v>
      </c>
      <c r="Q12" s="173">
        <v>1900</v>
      </c>
      <c r="R12" s="34">
        <v>2074</v>
      </c>
      <c r="S12" s="34">
        <v>1947</v>
      </c>
      <c r="T12" s="34">
        <v>2482</v>
      </c>
      <c r="U12" s="173">
        <v>2836</v>
      </c>
      <c r="V12" s="34">
        <v>2328</v>
      </c>
      <c r="W12" s="34">
        <v>2006</v>
      </c>
      <c r="X12" s="34">
        <v>2097</v>
      </c>
      <c r="Y12" s="173">
        <v>2026</v>
      </c>
      <c r="Z12" s="34">
        <v>2421</v>
      </c>
      <c r="AA12" s="34">
        <v>3150</v>
      </c>
      <c r="AB12" s="34">
        <v>3060</v>
      </c>
      <c r="AC12" s="173">
        <v>2085</v>
      </c>
      <c r="AD12" s="34">
        <v>1850</v>
      </c>
      <c r="AE12" s="34">
        <v>1116</v>
      </c>
      <c r="AF12" s="34">
        <v>1038</v>
      </c>
      <c r="AG12" s="173">
        <v>1170</v>
      </c>
      <c r="AH12" s="34">
        <v>1067</v>
      </c>
      <c r="AI12" s="34">
        <v>1436</v>
      </c>
      <c r="AJ12" s="34">
        <v>1846</v>
      </c>
      <c r="AK12" s="173">
        <v>2495</v>
      </c>
      <c r="AL12" s="34">
        <v>3973</v>
      </c>
      <c r="AM12" s="34">
        <v>4803</v>
      </c>
      <c r="AN12" s="34">
        <v>4432</v>
      </c>
      <c r="AO12" s="173">
        <v>4770</v>
      </c>
      <c r="AP12" s="34">
        <v>4557</v>
      </c>
      <c r="AQ12" s="34">
        <v>1880</v>
      </c>
      <c r="AR12" s="34">
        <v>1163</v>
      </c>
      <c r="AS12" s="173">
        <v>3718</v>
      </c>
      <c r="AT12" s="34">
        <v>4710</v>
      </c>
      <c r="AU12" s="34">
        <v>5482</v>
      </c>
      <c r="AV12" s="34">
        <v>6649</v>
      </c>
      <c r="AW12" s="173">
        <v>6034</v>
      </c>
      <c r="AX12" s="34">
        <v>9286</v>
      </c>
      <c r="AY12" s="34">
        <v>10378</v>
      </c>
      <c r="AZ12" s="34">
        <v>11401</v>
      </c>
      <c r="BA12" s="173">
        <v>10236</v>
      </c>
      <c r="BB12" s="34">
        <v>18411</v>
      </c>
      <c r="BC12" s="34">
        <v>20547</v>
      </c>
      <c r="BD12" s="34">
        <v>18617</v>
      </c>
      <c r="BE12" s="173">
        <v>18201</v>
      </c>
      <c r="BF12" s="34">
        <v>17187</v>
      </c>
      <c r="BG12" s="34">
        <v>13137</v>
      </c>
      <c r="BH12" s="34">
        <v>14583</v>
      </c>
      <c r="BI12" s="173">
        <v>14359</v>
      </c>
      <c r="BJ12" s="34">
        <v>16243</v>
      </c>
      <c r="BK12" s="34">
        <v>13256</v>
      </c>
      <c r="BL12" s="34">
        <v>16304</v>
      </c>
      <c r="BM12" s="173">
        <v>16137</v>
      </c>
      <c r="BN12" s="34">
        <v>19846</v>
      </c>
      <c r="BO12" s="34">
        <v>18417</v>
      </c>
      <c r="BP12" s="34">
        <v>19709</v>
      </c>
      <c r="BQ12" s="173">
        <v>18383</v>
      </c>
      <c r="BR12" s="34">
        <v>23666</v>
      </c>
      <c r="BS12" s="34">
        <v>27084</v>
      </c>
      <c r="BT12" s="34">
        <v>31358</v>
      </c>
      <c r="BU12" s="173">
        <v>26287</v>
      </c>
      <c r="BV12" s="34">
        <v>26634</v>
      </c>
      <c r="BW12" s="34">
        <v>22401</v>
      </c>
      <c r="BX12" s="34">
        <v>24828</v>
      </c>
      <c r="BY12" s="173">
        <v>11233</v>
      </c>
      <c r="BZ12" s="34">
        <v>12985</v>
      </c>
      <c r="CA12" s="34">
        <v>18607</v>
      </c>
      <c r="CB12" s="34">
        <v>19384</v>
      </c>
      <c r="CC12" s="173">
        <v>20481</v>
      </c>
      <c r="CD12" s="34">
        <v>21385</v>
      </c>
      <c r="CE12" s="34">
        <v>33769</v>
      </c>
      <c r="CF12" s="77">
        <v>43519</v>
      </c>
      <c r="CG12" s="173">
        <v>46671</v>
      </c>
      <c r="CH12" s="34">
        <v>44081</v>
      </c>
      <c r="CI12" s="34">
        <v>51944</v>
      </c>
      <c r="CJ12" s="34">
        <v>58188</v>
      </c>
      <c r="CK12" s="173">
        <v>53892</v>
      </c>
      <c r="CL12" s="34">
        <v>49662</v>
      </c>
      <c r="CM12" s="34">
        <v>42881</v>
      </c>
      <c r="CN12" s="34">
        <v>38999</v>
      </c>
      <c r="CO12" s="173">
        <v>40388</v>
      </c>
      <c r="CP12" s="77">
        <v>41656</v>
      </c>
      <c r="CQ12" s="34">
        <v>42104</v>
      </c>
      <c r="CR12" s="34">
        <v>44084</v>
      </c>
      <c r="CS12" s="173">
        <v>51713</v>
      </c>
      <c r="CT12" s="77">
        <v>67391</v>
      </c>
      <c r="CU12" s="77">
        <v>53877</v>
      </c>
      <c r="CV12" s="77">
        <v>59642</v>
      </c>
      <c r="CW12" s="192">
        <v>52927</v>
      </c>
      <c r="CX12" s="474">
        <v>40816</v>
      </c>
      <c r="CY12" s="77">
        <v>31368</v>
      </c>
      <c r="CZ12" s="77">
        <v>27646</v>
      </c>
      <c r="DA12" s="192">
        <v>27699</v>
      </c>
      <c r="DB12" s="474">
        <v>26794</v>
      </c>
      <c r="DC12" s="77">
        <v>23413</v>
      </c>
      <c r="DD12" s="77">
        <v>20729</v>
      </c>
      <c r="DE12" s="192">
        <v>24658</v>
      </c>
      <c r="DF12" s="474">
        <v>30820</v>
      </c>
      <c r="DG12" s="77">
        <v>31185</v>
      </c>
      <c r="DH12" s="77">
        <v>34074</v>
      </c>
      <c r="DI12" s="192">
        <v>31590</v>
      </c>
      <c r="DJ12" s="474">
        <v>32340</v>
      </c>
      <c r="DK12" s="77">
        <v>34455</v>
      </c>
      <c r="DL12" s="77">
        <v>36236</v>
      </c>
      <c r="DM12" s="192">
        <v>35228</v>
      </c>
      <c r="DN12" s="474">
        <v>23476</v>
      </c>
      <c r="DO12" s="77">
        <v>20336</v>
      </c>
      <c r="DP12" s="77">
        <v>19103</v>
      </c>
      <c r="DQ12" s="226">
        <f>-SUM('Cash Flow Statement'!DQ28:DQ30)*0.25+DP12</f>
      </c>
      <c r="DR12" s="62">
        <f>-SUM('Cash Flow Statement'!DR28:DR30)*0.25+DQ12</f>
      </c>
      <c r="DS12" s="62">
        <f>-SUM('Cash Flow Statement'!DS28:DS30)*0.25+DR12</f>
      </c>
      <c r="DT12" s="62">
        <f>-SUM('Cash Flow Statement'!DT28:DT30)*0.25+DS12</f>
      </c>
      <c r="DU12" s="226">
        <f>-SUM('Cash Flow Statement'!DU28:DU30)*0.25+DT12</f>
      </c>
      <c r="DV12" s="62">
        <f>-SUM('Cash Flow Statement'!DV28:DV30)*0.25+DU12</f>
      </c>
      <c r="DW12" s="62">
        <f>-SUM('Cash Flow Statement'!DW28:DW30)*0.25+DV12</f>
      </c>
      <c r="DX12" s="62">
        <f>-SUM('Cash Flow Statement'!DX28:DX30)*0.25+DW12</f>
      </c>
      <c r="DY12" s="226">
        <f>-SUM('Cash Flow Statement'!DY28:DY30)*0.25+DX12</f>
      </c>
      <c r="DZ12" s="62">
        <f>-SUM('Cash Flow Statement'!DZ28:DZ30)*0.25+DY12</f>
      </c>
      <c r="EA12" s="62">
        <f>-SUM('Cash Flow Statement'!EA28:EA30)*0.25+DZ12</f>
      </c>
      <c r="EB12" s="62">
        <f>-SUM('Cash Flow Statement'!EB28:EB30)*0.25+EA12</f>
      </c>
      <c r="EC12" s="226">
        <f>-SUM('Cash Flow Statement'!EC28:EC30)*0.25+EB12</f>
      </c>
      <c r="ED12" s="62">
        <f>-SUM('Cash Flow Statement'!ED28:ED30)*0.25+EC12</f>
      </c>
      <c r="EE12" s="62">
        <f>-SUM('Cash Flow Statement'!EE28:EE30)*0.25+ED12</f>
      </c>
      <c r="EF12" s="62">
        <f>-SUM('Cash Flow Statement'!EF28:EF30)*0.25+EE12</f>
      </c>
      <c r="EG12" s="226">
        <f>-SUM('Cash Flow Statement'!EG28:EG30)*0.25+EF12</f>
      </c>
      <c r="EH12" s="62">
        <f>-SUM('Cash Flow Statement'!EH28:EH30)*0.25+EG12</f>
      </c>
      <c r="EI12" s="62">
        <f>-SUM('Cash Flow Statement'!EI28:EI30)*0.25+EH12</f>
      </c>
      <c r="EJ12" s="62">
        <f>-SUM('Cash Flow Statement'!EJ28:EJ30)*0.25+EI12</f>
      </c>
      <c r="EK12" s="226">
        <f>-SUM('Cash Flow Statement'!EK28:EK30)*0.25+EJ12</f>
      </c>
      <c r="EN12" s="15">
        <f t="shared" si="0"/>
      </c>
      <c r="EO12" s="15">
        <f t="shared" si="1"/>
      </c>
      <c r="EP12" s="15">
        <f t="shared" si="2"/>
      </c>
      <c r="EQ12" s="15">
        <f t="shared" si="3"/>
      </c>
      <c r="ER12" s="15">
        <f t="shared" si="4"/>
      </c>
      <c r="ES12" s="15">
        <f t="shared" si="5"/>
      </c>
      <c r="ET12" s="15">
        <f t="shared" si="6"/>
      </c>
      <c r="EU12" s="15">
        <f t="shared" si="7"/>
      </c>
      <c r="EV12" s="15">
        <f t="shared" si="8"/>
      </c>
      <c r="EW12" s="15">
        <f t="shared" si="9"/>
      </c>
      <c r="EX12" s="15">
        <f t="shared" si="10"/>
      </c>
      <c r="EY12" s="15">
        <f t="shared" si="11"/>
      </c>
      <c r="EZ12" s="15">
        <f t="shared" si="12"/>
      </c>
      <c r="FA12" s="15">
        <f t="shared" si="13"/>
      </c>
      <c r="FB12" s="15">
        <f>BI12:BI78</f>
      </c>
      <c r="FC12" s="15">
        <f>BM12:BM78</f>
      </c>
      <c r="FD12" s="15">
        <f>BQ12:BQ78</f>
      </c>
      <c r="FE12" s="15">
        <f>BU12:BU78</f>
      </c>
      <c r="FF12" s="15">
        <f>BY12:BY78</f>
      </c>
      <c r="FG12" s="15">
        <f>CC12:CC78</f>
      </c>
      <c r="FH12" s="15">
        <f>CG12:CG78</f>
      </c>
      <c r="FI12" s="15">
        <f>CK12:CK78</f>
      </c>
      <c r="FJ12" s="15">
        <f>CO12:CO78</f>
      </c>
      <c r="FK12" s="15">
        <f t="shared" si="14"/>
      </c>
      <c r="FL12" s="15">
        <f t="shared" si="15"/>
      </c>
      <c r="FM12" s="15">
        <f t="shared" si="16"/>
      </c>
      <c r="FN12" s="15">
        <f t="shared" si="17"/>
      </c>
      <c r="FO12" s="15">
        <f t="shared" ref="FO12:FO18" si="25">+DI12</f>
      </c>
      <c r="FP12" s="15">
        <f t="shared" si="18"/>
      </c>
      <c r="FQ12" s="15">
        <f t="shared" si="19"/>
      </c>
      <c r="FR12" s="15">
        <f t="shared" si="20"/>
      </c>
      <c r="FS12" s="15">
        <f t="shared" si="21"/>
      </c>
      <c r="FT12" s="15">
        <f t="shared" si="22"/>
      </c>
      <c r="FU12" s="15">
        <f t="shared" si="23"/>
      </c>
      <c r="FV12" s="15">
        <f t="shared" si="24"/>
      </c>
      <c r="FW12" s="11"/>
      <c r="FX12" s="11"/>
      <c r="FY12" s="11"/>
      <c r="FZ12" s="23"/>
      <c r="GA12" s="23"/>
    </row>
    <row r="13" spans="1:183" ht="10.199999999999999">
      <c r="A13" s="19" t="s">
        <v>102</v>
      </c>
      <c r="B13" s="34">
        <v>1944</v>
      </c>
      <c r="C13" s="34">
        <v>1366</v>
      </c>
      <c r="D13" s="34">
        <v>1292</v>
      </c>
      <c r="E13" s="173">
        <v>1496</v>
      </c>
      <c r="F13" s="34">
        <v>1492</v>
      </c>
      <c r="G13" s="34">
        <v>1149</v>
      </c>
      <c r="H13" s="34">
        <v>1207</v>
      </c>
      <c r="I13" s="173">
        <v>1035</v>
      </c>
      <c r="J13" s="34">
        <v>902</v>
      </c>
      <c r="K13" s="34">
        <v>807</v>
      </c>
      <c r="L13" s="34">
        <v>915</v>
      </c>
      <c r="M13" s="173">
        <v>955</v>
      </c>
      <c r="N13" s="34">
        <v>913</v>
      </c>
      <c r="O13" s="34">
        <v>804</v>
      </c>
      <c r="P13" s="34">
        <v>896</v>
      </c>
      <c r="Q13" s="173">
        <v>681</v>
      </c>
      <c r="R13" s="34">
        <v>892</v>
      </c>
      <c r="S13" s="34">
        <v>940</v>
      </c>
      <c r="T13" s="34">
        <v>967</v>
      </c>
      <c r="U13" s="173">
        <v>953</v>
      </c>
      <c r="V13" s="34">
        <v>441</v>
      </c>
      <c r="W13" s="34">
        <v>637</v>
      </c>
      <c r="X13" s="34">
        <v>598</v>
      </c>
      <c r="Y13" s="173">
        <v>466</v>
      </c>
      <c r="Z13" s="34">
        <v>498</v>
      </c>
      <c r="AA13" s="34">
        <v>644</v>
      </c>
      <c r="AB13" s="34">
        <v>626</v>
      </c>
      <c r="AC13" s="173">
        <v>565</v>
      </c>
      <c r="AD13" s="34">
        <v>497</v>
      </c>
      <c r="AE13" s="34">
        <v>492</v>
      </c>
      <c r="AF13" s="34">
        <v>568</v>
      </c>
      <c r="AG13" s="173">
        <v>766</v>
      </c>
      <c r="AH13" s="34">
        <v>586</v>
      </c>
      <c r="AI13" s="34">
        <v>585</v>
      </c>
      <c r="AJ13" s="34">
        <v>629</v>
      </c>
      <c r="AK13" s="173">
        <v>774</v>
      </c>
      <c r="AL13" s="34">
        <v>865</v>
      </c>
      <c r="AM13" s="34">
        <v>888</v>
      </c>
      <c r="AN13" s="34">
        <v>827</v>
      </c>
      <c r="AO13" s="173">
        <v>895</v>
      </c>
      <c r="AP13" s="34">
        <v>1331</v>
      </c>
      <c r="AQ13" s="34">
        <v>861</v>
      </c>
      <c r="AR13" s="34">
        <v>1089</v>
      </c>
      <c r="AS13" s="173">
        <v>1252</v>
      </c>
      <c r="AT13" s="34">
        <v>1621</v>
      </c>
      <c r="AU13" s="34">
        <v>928</v>
      </c>
      <c r="AV13" s="34">
        <v>1410</v>
      </c>
      <c r="AW13" s="173">
        <v>1637</v>
      </c>
      <c r="AX13" s="34">
        <v>1939</v>
      </c>
      <c r="AY13" s="34">
        <v>1593</v>
      </c>
      <c r="AZ13" s="34">
        <v>1603</v>
      </c>
      <c r="BA13" s="173">
        <v>2422</v>
      </c>
      <c r="BB13" s="34">
        <v>2196</v>
      </c>
      <c r="BC13" s="34">
        <v>1932</v>
      </c>
      <c r="BD13" s="34">
        <v>2686</v>
      </c>
      <c r="BE13" s="173">
        <v>3361</v>
      </c>
      <c r="BF13" s="34">
        <v>3090</v>
      </c>
      <c r="BG13" s="34">
        <v>2886</v>
      </c>
      <c r="BH13" s="34">
        <v>3447</v>
      </c>
      <c r="BI13" s="173">
        <v>5510</v>
      </c>
      <c r="BJ13" s="34">
        <v>6027</v>
      </c>
      <c r="BK13" s="34">
        <v>5798</v>
      </c>
      <c r="BL13" s="34">
        <v>6102</v>
      </c>
      <c r="BM13" s="173">
        <v>5369</v>
      </c>
      <c r="BN13" s="34">
        <v>8930</v>
      </c>
      <c r="BO13" s="34">
        <v>7042</v>
      </c>
      <c r="BP13" s="34">
        <v>7657</v>
      </c>
      <c r="BQ13" s="173">
        <v>10930</v>
      </c>
      <c r="BR13" s="34">
        <v>11598</v>
      </c>
      <c r="BS13" s="34">
        <v>7084</v>
      </c>
      <c r="BT13" s="34">
        <v>8839</v>
      </c>
      <c r="BU13" s="173">
        <v>13102</v>
      </c>
      <c r="BV13" s="34">
        <v>14200</v>
      </c>
      <c r="BW13" s="34">
        <v>9700</v>
      </c>
      <c r="BX13" s="34">
        <v>10788</v>
      </c>
      <c r="BY13" s="173">
        <v>17460</v>
      </c>
      <c r="BZ13" s="34">
        <v>16709</v>
      </c>
      <c r="CA13" s="34">
        <v>10905</v>
      </c>
      <c r="CB13" s="34">
        <v>10370</v>
      </c>
      <c r="CC13" s="173">
        <v>16849</v>
      </c>
      <c r="CD13" s="34">
        <v>12953</v>
      </c>
      <c r="CE13" s="34">
        <v>12229</v>
      </c>
      <c r="CF13" s="77">
        <v>11714</v>
      </c>
      <c r="CG13" s="173">
        <v>15754</v>
      </c>
      <c r="CH13" s="34">
        <v>14057</v>
      </c>
      <c r="CI13" s="34">
        <v>11579</v>
      </c>
      <c r="CJ13" s="34">
        <v>12399</v>
      </c>
      <c r="CK13" s="173">
        <v>17874</v>
      </c>
      <c r="CL13" s="34">
        <v>23440</v>
      </c>
      <c r="CM13" s="34">
        <v>14324</v>
      </c>
      <c r="CN13" s="34">
        <v>14104</v>
      </c>
      <c r="CO13" s="173">
        <v>23186</v>
      </c>
      <c r="CP13" s="77">
        <v>18077</v>
      </c>
      <c r="CQ13" s="34">
        <v>15085</v>
      </c>
      <c r="CR13" s="34">
        <v>14148</v>
      </c>
      <c r="CS13" s="173">
        <v>22926</v>
      </c>
      <c r="CT13" s="77">
        <v>20970</v>
      </c>
      <c r="CU13" s="77">
        <v>15722</v>
      </c>
      <c r="CV13" s="77">
        <v>17882</v>
      </c>
      <c r="CW13" s="192">
        <v>16120</v>
      </c>
      <c r="CX13" s="474">
        <v>27101</v>
      </c>
      <c r="CY13" s="77">
        <v>18503</v>
      </c>
      <c r="CZ13" s="77">
        <v>17475</v>
      </c>
      <c r="DA13" s="192">
        <v>26278</v>
      </c>
      <c r="DB13" s="474">
        <v>30213</v>
      </c>
      <c r="DC13" s="77">
        <v>20815</v>
      </c>
      <c r="DD13" s="77">
        <v>21803</v>
      </c>
      <c r="DE13" s="192">
        <v>28184</v>
      </c>
      <c r="DF13" s="474">
        <v>23752</v>
      </c>
      <c r="DG13" s="77">
        <v>17936</v>
      </c>
      <c r="DH13" s="77">
        <v>19549</v>
      </c>
      <c r="DI13" s="192">
        <v>29508</v>
      </c>
      <c r="DJ13" s="474">
        <v>23194</v>
      </c>
      <c r="DK13" s="77">
        <v>21837</v>
      </c>
      <c r="DL13" s="77">
        <v>22795</v>
      </c>
      <c r="DM13" s="192">
        <v>33410</v>
      </c>
      <c r="DN13" s="474">
        <v>29639</v>
      </c>
      <c r="DO13" s="77">
        <v>26136</v>
      </c>
      <c r="DP13" s="77">
        <v>27557</v>
      </c>
      <c r="DQ13" s="176">
        <f>+(DQ62/91)*'Income Statement'!DQ9</f>
      </c>
      <c r="DR13" s="85">
        <f>+(DR62/91)*'Income Statement'!DR9</f>
      </c>
      <c r="DS13" s="85">
        <f>+(DS62/91)*'Income Statement'!DS9</f>
      </c>
      <c r="DT13" s="85">
        <f>+(DT62/91)*'Income Statement'!DT9</f>
      </c>
      <c r="DU13" s="176">
        <f>+(DU62/91)*'Income Statement'!DU9</f>
      </c>
      <c r="DV13" s="85">
        <f>+(DV62/91)*'Income Statement'!DV9</f>
      </c>
      <c r="DW13" s="85">
        <f>+(DW62/91)*'Income Statement'!DW9</f>
      </c>
      <c r="DX13" s="85">
        <f>+(DX62/91)*'Income Statement'!DX9</f>
      </c>
      <c r="DY13" s="176">
        <f>+(DY62/91)*'Income Statement'!DY9</f>
      </c>
      <c r="DZ13" s="85">
        <f>+(DZ62/91)*'Income Statement'!DZ9</f>
      </c>
      <c r="EA13" s="85">
        <f>+(EA62/91)*'Income Statement'!EA9</f>
      </c>
      <c r="EB13" s="85">
        <f>+(EB62/91)*'Income Statement'!EB9</f>
      </c>
      <c r="EC13" s="176">
        <f>+(EC62/91)*'Income Statement'!EC9</f>
      </c>
      <c r="ED13" s="85">
        <f>+(ED62/91)*'Income Statement'!ED9</f>
      </c>
      <c r="EE13" s="85">
        <f>+(EE62/91)*'Income Statement'!EE9</f>
      </c>
      <c r="EF13" s="85">
        <f>+(EF62/91)*'Income Statement'!EF9</f>
      </c>
      <c r="EG13" s="176">
        <f>+(EG62/91)*'Income Statement'!EG9</f>
      </c>
      <c r="EH13" s="85">
        <f>+(EH62/91)*'Income Statement'!EH9</f>
      </c>
      <c r="EI13" s="85">
        <f>+(EI62/91)*'Income Statement'!EI9</f>
      </c>
      <c r="EJ13" s="85">
        <f>+(EJ62/91)*'Income Statement'!EJ9</f>
      </c>
      <c r="EK13" s="176">
        <f>+(EK62/91)*'Income Statement'!EK9</f>
      </c>
      <c r="EN13" s="15">
        <f t="shared" si="0"/>
      </c>
      <c r="EO13" s="15">
        <f t="shared" si="1"/>
      </c>
      <c r="EP13" s="15">
        <f t="shared" si="2"/>
      </c>
      <c r="EQ13" s="15">
        <f t="shared" si="3"/>
      </c>
      <c r="ER13" s="15">
        <f t="shared" si="4"/>
      </c>
      <c r="ES13" s="15">
        <f t="shared" si="5"/>
      </c>
      <c r="ET13" s="15">
        <f t="shared" si="6"/>
      </c>
      <c r="EU13" s="15">
        <f t="shared" si="7"/>
      </c>
      <c r="EV13" s="15">
        <f t="shared" si="8"/>
      </c>
      <c r="EW13" s="15">
        <f t="shared" si="9"/>
      </c>
      <c r="EX13" s="15">
        <f t="shared" si="10"/>
      </c>
      <c r="EY13" s="15">
        <f t="shared" si="11"/>
      </c>
      <c r="EZ13" s="15">
        <f t="shared" si="12"/>
      </c>
      <c r="FA13" s="15">
        <f t="shared" si="13"/>
      </c>
      <c r="FB13" s="15">
        <f>BI13:BI86</f>
      </c>
      <c r="FC13" s="15">
        <f>BM13:BM86</f>
      </c>
      <c r="FD13" s="15">
        <f>BQ13:BQ86</f>
      </c>
      <c r="FE13" s="15">
        <f>BU13:BU86</f>
      </c>
      <c r="FF13" s="15">
        <f>BY13:BY86</f>
      </c>
      <c r="FG13" s="15">
        <f>CC13:CC86</f>
      </c>
      <c r="FH13" s="15">
        <f>CG13:CG86</f>
      </c>
      <c r="FI13" s="15">
        <f>CK13:CK86</f>
      </c>
      <c r="FJ13" s="15">
        <f>CO13:CO86</f>
      </c>
      <c r="FK13" s="15">
        <f t="shared" si="14"/>
      </c>
      <c r="FL13" s="15">
        <f t="shared" si="15"/>
      </c>
      <c r="FM13" s="15">
        <f t="shared" si="16"/>
      </c>
      <c r="FN13" s="15">
        <f t="shared" si="17"/>
      </c>
      <c r="FO13" s="15">
        <f t="shared" si="25"/>
      </c>
      <c r="FP13" s="15">
        <f t="shared" si="18"/>
      </c>
      <c r="FQ13" s="15">
        <f t="shared" si="19"/>
      </c>
      <c r="FR13" s="15">
        <f t="shared" si="20"/>
      </c>
      <c r="FS13" s="15">
        <f t="shared" si="21"/>
      </c>
      <c r="FT13" s="15">
        <f t="shared" si="22"/>
      </c>
      <c r="FU13" s="15">
        <f t="shared" si="23"/>
      </c>
      <c r="FV13" s="15">
        <f t="shared" si="24"/>
      </c>
      <c r="FW13" s="11"/>
      <c r="FX13" s="11"/>
      <c r="FY13" s="11"/>
      <c r="FZ13" s="23"/>
      <c r="GA13" s="23"/>
    </row>
    <row r="14" spans="1:183" ht="10.199999999999999">
      <c r="A14" s="19" t="s">
        <v>103</v>
      </c>
      <c r="B14" s="34">
        <v>1947</v>
      </c>
      <c r="C14" s="34">
        <v>1466</v>
      </c>
      <c r="D14" s="34">
        <v>1061</v>
      </c>
      <c r="E14" s="173">
        <v>662</v>
      </c>
      <c r="F14" s="34">
        <v>488</v>
      </c>
      <c r="G14" s="34">
        <v>509</v>
      </c>
      <c r="H14" s="34">
        <v>534</v>
      </c>
      <c r="I14" s="173">
        <v>437</v>
      </c>
      <c r="J14" s="34">
        <v>404</v>
      </c>
      <c r="K14" s="34">
        <v>257</v>
      </c>
      <c r="L14" s="34">
        <v>129</v>
      </c>
      <c r="M14" s="173">
        <v>78</v>
      </c>
      <c r="N14" s="34">
        <v>25</v>
      </c>
      <c r="O14" s="34">
        <v>18</v>
      </c>
      <c r="P14" s="34">
        <v>7</v>
      </c>
      <c r="Q14" s="173">
        <v>20</v>
      </c>
      <c r="R14" s="34">
        <v>15</v>
      </c>
      <c r="S14" s="34">
        <v>10</v>
      </c>
      <c r="T14" s="34">
        <v>5</v>
      </c>
      <c r="U14" s="173">
        <v>33</v>
      </c>
      <c r="V14" s="34">
        <v>21</v>
      </c>
      <c r="W14" s="34">
        <v>10</v>
      </c>
      <c r="X14" s="34">
        <v>19</v>
      </c>
      <c r="Y14" s="173">
        <v>11</v>
      </c>
      <c r="Z14" s="34">
        <v>23</v>
      </c>
      <c r="AA14" s="34">
        <v>26</v>
      </c>
      <c r="AB14" s="34">
        <v>34</v>
      </c>
      <c r="AC14" s="173">
        <v>45</v>
      </c>
      <c r="AD14" s="34">
        <v>44</v>
      </c>
      <c r="AE14" s="34">
        <v>41</v>
      </c>
      <c r="AF14" s="34">
        <v>38</v>
      </c>
      <c r="AG14" s="173">
        <v>56</v>
      </c>
      <c r="AH14" s="34">
        <v>89</v>
      </c>
      <c r="AI14" s="34">
        <v>63</v>
      </c>
      <c r="AJ14" s="34">
        <v>72</v>
      </c>
      <c r="AK14" s="173">
        <v>101</v>
      </c>
      <c r="AL14" s="34">
        <v>156</v>
      </c>
      <c r="AM14" s="34">
        <v>164</v>
      </c>
      <c r="AN14" s="34">
        <v>193</v>
      </c>
      <c r="AO14" s="173">
        <v>165</v>
      </c>
      <c r="AP14" s="34">
        <v>244</v>
      </c>
      <c r="AQ14" s="34">
        <v>204</v>
      </c>
      <c r="AR14" s="34">
        <v>213</v>
      </c>
      <c r="AS14" s="173">
        <v>270</v>
      </c>
      <c r="AT14" s="34">
        <v>303</v>
      </c>
      <c r="AU14" s="34">
        <v>208</v>
      </c>
      <c r="AV14" s="34">
        <v>251</v>
      </c>
      <c r="AW14" s="173">
        <v>346</v>
      </c>
      <c r="AX14" s="34">
        <v>459</v>
      </c>
      <c r="AY14" s="34">
        <v>364</v>
      </c>
      <c r="AZ14" s="34">
        <v>545</v>
      </c>
      <c r="BA14" s="173">
        <v>509</v>
      </c>
      <c r="BB14" s="34">
        <v>396</v>
      </c>
      <c r="BC14" s="34">
        <v>312</v>
      </c>
      <c r="BD14" s="34">
        <v>380</v>
      </c>
      <c r="BE14" s="173">
        <v>455</v>
      </c>
      <c r="BF14" s="34">
        <v>576</v>
      </c>
      <c r="BG14" s="34">
        <v>638</v>
      </c>
      <c r="BH14" s="34">
        <v>942</v>
      </c>
      <c r="BI14" s="173">
        <v>1051</v>
      </c>
      <c r="BJ14" s="34">
        <v>885</v>
      </c>
      <c r="BK14" s="34">
        <v>930</v>
      </c>
      <c r="BL14" s="34">
        <v>889</v>
      </c>
      <c r="BM14" s="173">
        <v>776</v>
      </c>
      <c r="BN14" s="34">
        <v>1236</v>
      </c>
      <c r="BO14" s="34">
        <v>1102</v>
      </c>
      <c r="BP14" s="34">
        <v>1122</v>
      </c>
      <c r="BQ14" s="173">
        <v>791</v>
      </c>
      <c r="BR14" s="34">
        <v>1455</v>
      </c>
      <c r="BS14" s="34">
        <v>1245</v>
      </c>
      <c r="BT14" s="34">
        <v>1697</v>
      </c>
      <c r="BU14" s="173">
        <v>1764</v>
      </c>
      <c r="BV14" s="34">
        <v>2122</v>
      </c>
      <c r="BW14" s="34">
        <v>1829</v>
      </c>
      <c r="BX14" s="34">
        <v>1594</v>
      </c>
      <c r="BY14" s="173">
        <v>2111</v>
      </c>
      <c r="BZ14" s="34">
        <v>2283</v>
      </c>
      <c r="CA14" s="34">
        <v>2396</v>
      </c>
      <c r="CB14" s="34">
        <v>2042</v>
      </c>
      <c r="CC14" s="173">
        <v>2349</v>
      </c>
      <c r="CD14" s="34">
        <v>2451</v>
      </c>
      <c r="CE14" s="34">
        <v>2281</v>
      </c>
      <c r="CF14" s="77">
        <v>1831</v>
      </c>
      <c r="CG14" s="173">
        <v>2132</v>
      </c>
      <c r="CH14" s="34">
        <v>2712</v>
      </c>
      <c r="CI14" s="34">
        <v>2910</v>
      </c>
      <c r="CJ14" s="34">
        <v>3146</v>
      </c>
      <c r="CK14" s="173">
        <v>4855</v>
      </c>
      <c r="CL14" s="34">
        <v>4421</v>
      </c>
      <c r="CM14" s="34">
        <v>7662</v>
      </c>
      <c r="CN14" s="34">
        <v>5936</v>
      </c>
      <c r="CO14" s="173">
        <v>3956</v>
      </c>
      <c r="CP14" s="77">
        <v>4988</v>
      </c>
      <c r="CQ14" s="34">
        <v>4884</v>
      </c>
      <c r="CR14" s="34">
        <v>3355</v>
      </c>
      <c r="CS14" s="173">
        <v>4106</v>
      </c>
      <c r="CT14" s="77">
        <v>4097</v>
      </c>
      <c r="CU14" s="77">
        <v>3334</v>
      </c>
      <c r="CV14" s="77">
        <v>3978</v>
      </c>
      <c r="CW14" s="192">
        <v>4061</v>
      </c>
      <c r="CX14" s="474">
        <v>4973</v>
      </c>
      <c r="CY14" s="77">
        <v>5219</v>
      </c>
      <c r="CZ14" s="77">
        <v>5178</v>
      </c>
      <c r="DA14" s="192">
        <v>6580</v>
      </c>
      <c r="DB14" s="474">
        <v>5876</v>
      </c>
      <c r="DC14" s="77">
        <v>5460</v>
      </c>
      <c r="DD14" s="77">
        <v>5433</v>
      </c>
      <c r="DE14" s="192">
        <v>4946</v>
      </c>
      <c r="DF14" s="474">
        <v>6820</v>
      </c>
      <c r="DG14" s="77">
        <v>7482</v>
      </c>
      <c r="DH14" s="77">
        <v>7351</v>
      </c>
      <c r="DI14" s="192">
        <v>6331</v>
      </c>
      <c r="DJ14" s="474">
        <v>6511</v>
      </c>
      <c r="DK14" s="77">
        <v>6232</v>
      </c>
      <c r="DL14" s="77">
        <v>6165</v>
      </c>
      <c r="DM14" s="192">
        <v>7286</v>
      </c>
      <c r="DN14" s="474">
        <v>6911</v>
      </c>
      <c r="DO14" s="77">
        <v>6269</v>
      </c>
      <c r="DP14" s="77">
        <v>5925</v>
      </c>
      <c r="DQ14" s="176">
        <f>+(DQ63/91)*'Income Statement'!DQ10</f>
      </c>
      <c r="DR14" s="85">
        <f>+(DR63/91)*'Income Statement'!DR10</f>
      </c>
      <c r="DS14" s="85">
        <f>+(DS63/91)*'Income Statement'!DS10</f>
      </c>
      <c r="DT14" s="85">
        <f>+(DT63/91)*'Income Statement'!DT10</f>
      </c>
      <c r="DU14" s="176">
        <f>+(DU63/91)*'Income Statement'!DU10</f>
      </c>
      <c r="DV14" s="85">
        <f>+(DV63/91)*'Income Statement'!DV10</f>
      </c>
      <c r="DW14" s="85">
        <f>+(DW63/91)*'Income Statement'!DW10</f>
      </c>
      <c r="DX14" s="85">
        <f>+(DX63/91)*'Income Statement'!DX10</f>
      </c>
      <c r="DY14" s="176">
        <f>+(DY63/91)*'Income Statement'!DY10</f>
      </c>
      <c r="DZ14" s="85">
        <f>+(DZ63/91)*'Income Statement'!DZ10</f>
      </c>
      <c r="EA14" s="85">
        <f>+(EA63/91)*'Income Statement'!EA10</f>
      </c>
      <c r="EB14" s="85">
        <f>+(EB63/91)*'Income Statement'!EB10</f>
      </c>
      <c r="EC14" s="176">
        <f>+(EC63/91)*'Income Statement'!EC10</f>
      </c>
      <c r="ED14" s="85">
        <f>+(ED63/91)*'Income Statement'!ED10</f>
      </c>
      <c r="EE14" s="85">
        <f>+(EE63/91)*'Income Statement'!EE10</f>
      </c>
      <c r="EF14" s="85">
        <f>+(EF63/91)*'Income Statement'!EF10</f>
      </c>
      <c r="EG14" s="176">
        <f>+(EG63/91)*'Income Statement'!EG10</f>
      </c>
      <c r="EH14" s="85">
        <f>+(EH63/91)*'Income Statement'!EH10</f>
      </c>
      <c r="EI14" s="85">
        <f>+(EI63/91)*'Income Statement'!EI10</f>
      </c>
      <c r="EJ14" s="85">
        <f>+(EJ63/91)*'Income Statement'!EJ10</f>
      </c>
      <c r="EK14" s="176">
        <f>+(EK63/91)*'Income Statement'!EK10</f>
      </c>
      <c r="EN14" s="15">
        <f t="shared" si="0"/>
      </c>
      <c r="EO14" s="15">
        <f t="shared" si="1"/>
      </c>
      <c r="EP14" s="15">
        <f t="shared" si="2"/>
      </c>
      <c r="EQ14" s="15">
        <f t="shared" si="3"/>
      </c>
      <c r="ER14" s="15">
        <f t="shared" si="4"/>
      </c>
      <c r="ES14" s="15">
        <f t="shared" si="5"/>
      </c>
      <c r="ET14" s="15">
        <f t="shared" si="6"/>
      </c>
      <c r="EU14" s="15">
        <f t="shared" si="7"/>
      </c>
      <c r="EV14" s="15">
        <f t="shared" si="8"/>
      </c>
      <c r="EW14" s="15">
        <f t="shared" si="9"/>
      </c>
      <c r="EX14" s="15">
        <f t="shared" si="10"/>
      </c>
      <c r="EY14" s="15">
        <f t="shared" si="11"/>
      </c>
      <c r="EZ14" s="15">
        <f t="shared" si="12"/>
      </c>
      <c r="FA14" s="15">
        <f t="shared" si="13"/>
      </c>
      <c r="FB14" s="15">
        <f>BI14:BI88</f>
      </c>
      <c r="FC14" s="15">
        <f>BM14:BM88</f>
      </c>
      <c r="FD14" s="15">
        <f>BQ14:BQ88</f>
      </c>
      <c r="FE14" s="15">
        <f>BU14:BU88</f>
      </c>
      <c r="FF14" s="15">
        <f>BY14:BY88</f>
      </c>
      <c r="FG14" s="15">
        <f>CC14:CC88</f>
      </c>
      <c r="FH14" s="15">
        <f>CG14:CG88</f>
      </c>
      <c r="FI14" s="15">
        <f>CK14:CK88</f>
      </c>
      <c r="FJ14" s="15">
        <f>CO14:CO88</f>
      </c>
      <c r="FK14" s="15">
        <f t="shared" si="14"/>
      </c>
      <c r="FL14" s="15">
        <f t="shared" si="15"/>
      </c>
      <c r="FM14" s="15">
        <f t="shared" si="16"/>
      </c>
      <c r="FN14" s="15">
        <f t="shared" si="17"/>
      </c>
      <c r="FO14" s="15">
        <f t="shared" si="25"/>
      </c>
      <c r="FP14" s="15">
        <f t="shared" si="18"/>
      </c>
      <c r="FQ14" s="15">
        <f t="shared" si="19"/>
      </c>
      <c r="FR14" s="15">
        <f t="shared" si="20"/>
      </c>
      <c r="FS14" s="15">
        <f t="shared" si="21"/>
      </c>
      <c r="FT14" s="15">
        <f t="shared" si="22"/>
      </c>
      <c r="FU14" s="15">
        <f t="shared" si="23"/>
      </c>
      <c r="FV14" s="15">
        <f t="shared" si="24"/>
      </c>
      <c r="FW14" s="11"/>
      <c r="FX14" s="11"/>
      <c r="FY14" s="11"/>
      <c r="FZ14" s="23"/>
      <c r="GA14" s="23"/>
    </row>
    <row r="15" spans="1:183" ht="10.199999999999999">
      <c r="A15" s="19" t="s">
        <v>104</v>
      </c>
      <c r="B15" s="34">
        <v>302</v>
      </c>
      <c r="C15" s="34">
        <v>479</v>
      </c>
      <c r="D15" s="34">
        <v>401</v>
      </c>
      <c r="E15" s="173">
        <v>342</v>
      </c>
      <c r="F15" s="34">
        <v>324</v>
      </c>
      <c r="G15" s="34">
        <v>303</v>
      </c>
      <c r="H15" s="34">
        <v>307</v>
      </c>
      <c r="I15" s="173">
        <v>259</v>
      </c>
      <c r="J15" s="34">
        <v>233</v>
      </c>
      <c r="K15" s="34">
        <v>201</v>
      </c>
      <c r="L15" s="34">
        <v>192</v>
      </c>
      <c r="M15" s="173">
        <v>182</v>
      </c>
      <c r="N15" s="34">
        <v>166</v>
      </c>
      <c r="O15" s="34">
        <v>154</v>
      </c>
      <c r="P15" s="34">
        <v>137</v>
      </c>
      <c r="Q15" s="173">
        <v>143</v>
      </c>
      <c r="R15" s="34">
        <v>131</v>
      </c>
      <c r="S15" s="34">
        <v>131</v>
      </c>
      <c r="T15" s="34">
        <v>162</v>
      </c>
      <c r="U15" s="173">
        <v>162</v>
      </c>
      <c r="V15" s="34">
        <v>231</v>
      </c>
      <c r="W15" s="34">
        <v>183</v>
      </c>
      <c r="X15" s="34">
        <v>173</v>
      </c>
      <c r="Y15" s="173">
        <v>169</v>
      </c>
      <c r="Z15" s="34">
        <v>171</v>
      </c>
      <c r="AA15" s="34">
        <v>161</v>
      </c>
      <c r="AB15" s="34">
        <v>164</v>
      </c>
      <c r="AC15" s="173">
        <v>166</v>
      </c>
      <c r="AD15" s="34">
        <v>177</v>
      </c>
      <c r="AE15" s="34">
        <v>168</v>
      </c>
      <c r="AF15" s="34">
        <v>176</v>
      </c>
      <c r="AG15" s="173">
        <v>190</v>
      </c>
      <c r="AH15" s="34">
        <v>218</v>
      </c>
      <c r="AI15" s="34">
        <v>216</v>
      </c>
      <c r="AJ15" s="34">
        <v>227</v>
      </c>
      <c r="AK15" s="173">
        <v>231</v>
      </c>
      <c r="AL15" s="34">
        <v>281</v>
      </c>
      <c r="AM15" s="34">
        <v>297</v>
      </c>
      <c r="AN15" s="34">
        <v>334</v>
      </c>
      <c r="AO15" s="173">
        <v>331</v>
      </c>
      <c r="AP15" s="34">
        <v>471</v>
      </c>
      <c r="AQ15" s="34">
        <v>459</v>
      </c>
      <c r="AR15" s="34">
        <v>491</v>
      </c>
      <c r="AS15" s="173">
        <v>607</v>
      </c>
      <c r="AT15" s="34">
        <v>647</v>
      </c>
      <c r="AU15" s="34">
        <v>635</v>
      </c>
      <c r="AV15" s="34">
        <v>671</v>
      </c>
      <c r="AW15" s="173">
        <v>788</v>
      </c>
      <c r="AX15" s="34">
        <v>976</v>
      </c>
      <c r="AY15" s="34">
        <v>992</v>
      </c>
      <c r="AZ15" s="34">
        <v>1005</v>
      </c>
      <c r="BA15" s="173">
        <v>1044</v>
      </c>
      <c r="BB15" s="34">
        <v>1613</v>
      </c>
      <c r="BC15" s="34">
        <v>1539</v>
      </c>
      <c r="BD15" s="34">
        <v>1731</v>
      </c>
      <c r="BE15" s="173">
        <v>1135</v>
      </c>
      <c r="BF15" s="34">
        <v>1180</v>
      </c>
      <c r="BG15" s="34">
        <v>1142</v>
      </c>
      <c r="BH15" s="34">
        <v>1216</v>
      </c>
      <c r="BI15" s="173">
        <v>1636</v>
      </c>
      <c r="BJ15" s="34">
        <v>1724</v>
      </c>
      <c r="BK15" s="34">
        <v>1683</v>
      </c>
      <c r="BL15" s="34">
        <v>1892</v>
      </c>
      <c r="BM15" s="173">
        <v>2014</v>
      </c>
      <c r="BN15" s="34">
        <v>1937</v>
      </c>
      <c r="BO15" s="34">
        <v>2253</v>
      </c>
      <c r="BP15" s="34">
        <v>2309</v>
      </c>
      <c r="BQ15" s="173">
        <v>2583</v>
      </c>
      <c r="BR15" s="34">
        <v>2895</v>
      </c>
      <c r="BS15" s="34">
        <v>3242</v>
      </c>
      <c r="BT15" s="34">
        <v>3193</v>
      </c>
      <c r="BU15" s="173">
        <v>3453</v>
      </c>
      <c r="BV15" s="34">
        <v>3742</v>
      </c>
      <c r="BW15" s="34">
        <v>4014</v>
      </c>
      <c r="BX15" s="34">
        <v>3884</v>
      </c>
      <c r="BY15" s="173">
        <v>4318</v>
      </c>
      <c r="BZ15" s="34">
        <v>5046</v>
      </c>
      <c r="CA15" s="34">
        <v>5141</v>
      </c>
      <c r="CB15" s="34">
        <v>5010</v>
      </c>
      <c r="CC15" s="173">
        <v>5546</v>
      </c>
      <c r="CD15" s="34">
        <v>0</v>
      </c>
      <c r="CE15" s="34">
        <v>0</v>
      </c>
      <c r="CF15" s="77">
        <v>0</v>
      </c>
      <c r="CG15" s="173">
        <v>0</v>
      </c>
      <c r="CH15" s="34">
        <v>0</v>
      </c>
      <c r="CI15" s="34">
        <v>0</v>
      </c>
      <c r="CJ15" s="34">
        <v>0</v>
      </c>
      <c r="CK15" s="173">
        <v>0</v>
      </c>
      <c r="CL15" s="34">
        <v>0</v>
      </c>
      <c r="CM15" s="34">
        <v>0</v>
      </c>
      <c r="CN15" s="34">
        <v>0</v>
      </c>
      <c r="CO15" s="173">
        <v>0</v>
      </c>
      <c r="CP15" s="77">
        <v>0</v>
      </c>
      <c r="CQ15" s="34">
        <v>0</v>
      </c>
      <c r="CR15" s="34">
        <v>0</v>
      </c>
      <c r="CS15" s="173">
        <v>0</v>
      </c>
      <c r="CT15" s="77">
        <v>0</v>
      </c>
      <c r="CU15" s="77">
        <v>0</v>
      </c>
      <c r="CV15" s="77">
        <v>0</v>
      </c>
      <c r="CW15" s="192">
        <v>0</v>
      </c>
      <c r="CX15" s="474">
        <v>0</v>
      </c>
      <c r="CY15" s="77">
        <v>0</v>
      </c>
      <c r="CZ15" s="77">
        <v>0</v>
      </c>
      <c r="DA15" s="192">
        <v>0</v>
      </c>
      <c r="DB15" s="474">
        <v>0</v>
      </c>
      <c r="DC15" s="77">
        <v>0</v>
      </c>
      <c r="DD15" s="77">
        <v>0</v>
      </c>
      <c r="DE15" s="192">
        <v>0</v>
      </c>
      <c r="DF15" s="474">
        <v>0</v>
      </c>
      <c r="DG15" s="77">
        <v>0</v>
      </c>
      <c r="DH15" s="77">
        <v>0</v>
      </c>
      <c r="DI15" s="192">
        <v>0</v>
      </c>
      <c r="DJ15" s="474">
        <v>0</v>
      </c>
      <c r="DK15" s="77">
        <v>0</v>
      </c>
      <c r="DL15" s="77">
        <v>0</v>
      </c>
      <c r="DM15" s="192">
        <v>0</v>
      </c>
      <c r="DN15" s="474">
        <v>0</v>
      </c>
      <c r="DO15" s="77">
        <v>0</v>
      </c>
      <c r="DP15" s="77">
        <v>0</v>
      </c>
      <c r="DQ15" s="176">
        <f>'Income Statement'!DQ$17*DQ72</f>
      </c>
      <c r="DR15" s="85">
        <f>'Income Statement'!DR$17*DR72</f>
      </c>
      <c r="DS15" s="85">
        <f>'Income Statement'!DS$17*DS72</f>
      </c>
      <c r="DT15" s="85">
        <f>'Income Statement'!DT$17*DT72</f>
      </c>
      <c r="DU15" s="176">
        <f>'Income Statement'!DU$17*DU72</f>
      </c>
      <c r="DV15" s="85">
        <f>'Income Statement'!DV$17*DV72</f>
      </c>
      <c r="DW15" s="85">
        <f>'Income Statement'!DW$17*DW72</f>
      </c>
      <c r="DX15" s="85">
        <f>'Income Statement'!DX$17*DX72</f>
      </c>
      <c r="DY15" s="176">
        <f>'Income Statement'!DY$17*DY72</f>
      </c>
      <c r="DZ15" s="85">
        <f>'Income Statement'!DZ$17*DZ72</f>
      </c>
      <c r="EA15" s="85">
        <f>'Income Statement'!EA$17*EA72</f>
      </c>
      <c r="EB15" s="85">
        <f>'Income Statement'!EB$17*EB72</f>
      </c>
      <c r="EC15" s="176">
        <f>'Income Statement'!EC$17*EC72</f>
      </c>
      <c r="ED15" s="85">
        <f>'Income Statement'!ED$17*ED72</f>
      </c>
      <c r="EE15" s="85">
        <f>'Income Statement'!EE$17*EE72</f>
      </c>
      <c r="EF15" s="85">
        <f>'Income Statement'!EF$17*EF72</f>
      </c>
      <c r="EG15" s="176">
        <f>'Income Statement'!EG$17*EG72</f>
      </c>
      <c r="EH15" s="85">
        <f>'Income Statement'!EH$17*EH72</f>
      </c>
      <c r="EI15" s="85">
        <f>'Income Statement'!EI$17*EI72</f>
      </c>
      <c r="EJ15" s="85">
        <f>'Income Statement'!EJ$17*EJ72</f>
      </c>
      <c r="EK15" s="176">
        <f>'Income Statement'!EK$17*EK72</f>
      </c>
      <c r="EN15" s="15">
        <f t="shared" si="0"/>
      </c>
      <c r="EO15" s="15">
        <f t="shared" si="1"/>
      </c>
      <c r="EP15" s="15">
        <f t="shared" si="2"/>
      </c>
      <c r="EQ15" s="15">
        <f t="shared" si="3"/>
      </c>
      <c r="ER15" s="15">
        <f t="shared" si="4"/>
      </c>
      <c r="ES15" s="15">
        <f t="shared" si="5"/>
      </c>
      <c r="ET15" s="15">
        <f t="shared" si="6"/>
      </c>
      <c r="EU15" s="15">
        <f t="shared" si="7"/>
      </c>
      <c r="EV15" s="15">
        <f t="shared" si="8"/>
      </c>
      <c r="EW15" s="15">
        <f t="shared" si="9"/>
      </c>
      <c r="EX15" s="15">
        <f t="shared" si="10"/>
      </c>
      <c r="EY15" s="15">
        <f t="shared" si="11"/>
      </c>
      <c r="EZ15" s="15">
        <f t="shared" si="12"/>
      </c>
      <c r="FA15" s="15">
        <f t="shared" si="13"/>
      </c>
      <c r="FB15" s="15">
        <f>BI15:BI90</f>
      </c>
      <c r="FC15" s="15">
        <f>BM15:BM90</f>
      </c>
      <c r="FD15" s="15">
        <f>BQ15:BQ90</f>
      </c>
      <c r="FE15" s="15">
        <f>BU15:BU90</f>
      </c>
      <c r="FF15" s="15">
        <f>BY15:BY90</f>
      </c>
      <c r="FG15" s="15">
        <f>CC15:CC90</f>
      </c>
      <c r="FH15" s="15">
        <f>CG15</f>
      </c>
      <c r="FI15" s="15">
        <f>CK15</f>
      </c>
      <c r="FJ15" s="15">
        <f>CO15</f>
      </c>
      <c r="FK15" s="15">
        <f>CS15</f>
      </c>
      <c r="FL15" s="15">
        <f>CW15</f>
      </c>
      <c r="FM15" s="15">
        <f>DA15</f>
      </c>
      <c r="FN15" s="15">
        <f>DE15</f>
      </c>
      <c r="FO15" s="15">
        <f t="shared" si="25"/>
      </c>
      <c r="FP15" s="15">
        <f t="shared" si="18"/>
      </c>
      <c r="FQ15" s="15">
        <f t="shared" si="19"/>
      </c>
      <c r="FR15" s="15">
        <f t="shared" si="20"/>
      </c>
      <c r="FS15" s="15">
        <f t="shared" si="21"/>
      </c>
      <c r="FT15" s="15">
        <f t="shared" si="22"/>
      </c>
      <c r="FU15" s="15">
        <f t="shared" si="23"/>
      </c>
      <c r="FV15" s="15">
        <f t="shared" si="24"/>
      </c>
      <c r="FW15" s="11"/>
      <c r="FX15" s="11"/>
      <c r="FY15" s="11"/>
      <c r="FZ15" s="23"/>
      <c r="GA15" s="23"/>
    </row>
    <row r="16" spans="1:183" ht="10.199999999999999">
      <c r="A16" s="19" t="s">
        <v>105</v>
      </c>
      <c r="B16" s="34"/>
      <c r="C16" s="34"/>
      <c r="D16" s="34"/>
      <c r="E16" s="173"/>
      <c r="F16" s="34"/>
      <c r="G16" s="34"/>
      <c r="H16" s="34"/>
      <c r="I16" s="173"/>
      <c r="J16" s="34"/>
      <c r="K16" s="34"/>
      <c r="L16" s="34"/>
      <c r="M16" s="173"/>
      <c r="N16" s="34"/>
      <c r="O16" s="34"/>
      <c r="P16" s="34"/>
      <c r="Q16" s="173"/>
      <c r="R16" s="34"/>
      <c r="S16" s="34"/>
      <c r="T16" s="34"/>
      <c r="U16" s="173"/>
      <c r="V16" s="34"/>
      <c r="W16" s="34"/>
      <c r="X16" s="34"/>
      <c r="Y16" s="173"/>
      <c r="Z16" s="34"/>
      <c r="AA16" s="34"/>
      <c r="AB16" s="34"/>
      <c r="AC16" s="173"/>
      <c r="AD16" s="34"/>
      <c r="AE16" s="34"/>
      <c r="AF16" s="34"/>
      <c r="AG16" s="173"/>
      <c r="AH16" s="34"/>
      <c r="AI16" s="34"/>
      <c r="AJ16" s="34"/>
      <c r="AK16" s="173"/>
      <c r="AL16" s="34"/>
      <c r="AM16" s="34"/>
      <c r="AN16" s="34"/>
      <c r="AO16" s="173"/>
      <c r="AP16" s="34"/>
      <c r="AQ16" s="34"/>
      <c r="AR16" s="34"/>
      <c r="AS16" s="173"/>
      <c r="AT16" s="34"/>
      <c r="AU16" s="34"/>
      <c r="AV16" s="34"/>
      <c r="AW16" s="173"/>
      <c r="AX16" s="34"/>
      <c r="AY16" s="34"/>
      <c r="AZ16" s="34"/>
      <c r="BA16" s="173"/>
      <c r="BB16" s="34">
        <v>0</v>
      </c>
      <c r="BC16" s="34">
        <v>0</v>
      </c>
      <c r="BD16" s="34">
        <v>0</v>
      </c>
      <c r="BE16" s="173">
        <v>1696</v>
      </c>
      <c r="BF16" s="34">
        <v>0</v>
      </c>
      <c r="BG16" s="34">
        <v>0</v>
      </c>
      <c r="BH16" s="34">
        <v>2952</v>
      </c>
      <c r="BI16" s="173">
        <v>4414</v>
      </c>
      <c r="BJ16" s="34">
        <v>4847</v>
      </c>
      <c r="BK16" s="34">
        <v>5297</v>
      </c>
      <c r="BL16" s="34">
        <v>5369</v>
      </c>
      <c r="BM16" s="173">
        <v>6348</v>
      </c>
      <c r="BN16" s="34">
        <v>7554</v>
      </c>
      <c r="BO16" s="34">
        <v>6727</v>
      </c>
      <c r="BP16" s="34">
        <v>6641</v>
      </c>
      <c r="BQ16" s="173">
        <v>7762</v>
      </c>
      <c r="BR16" s="34">
        <v>9936</v>
      </c>
      <c r="BS16" s="34">
        <v>6252</v>
      </c>
      <c r="BT16" s="34">
        <v>4614</v>
      </c>
      <c r="BU16" s="173">
        <v>7539</v>
      </c>
      <c r="BV16" s="34">
        <v>10998</v>
      </c>
      <c r="BW16" s="34">
        <v>6120</v>
      </c>
      <c r="BX16" s="34">
        <v>6053</v>
      </c>
      <c r="BY16" s="173">
        <v>9759</v>
      </c>
      <c r="BZ16" s="34">
        <v>13267</v>
      </c>
      <c r="CA16" s="34">
        <v>7259</v>
      </c>
      <c r="CB16" s="34">
        <v>9537</v>
      </c>
      <c r="CC16" s="173">
        <v>13494</v>
      </c>
      <c r="CD16" s="34">
        <v>11668</v>
      </c>
      <c r="CE16" s="34">
        <v>7595</v>
      </c>
      <c r="CF16" s="77">
        <v>7328</v>
      </c>
      <c r="CG16" s="173">
        <v>13545</v>
      </c>
      <c r="CH16" s="34">
        <v>13920</v>
      </c>
      <c r="CI16" s="34">
        <v>9033</v>
      </c>
      <c r="CJ16" s="34">
        <v>10233</v>
      </c>
      <c r="CK16" s="173">
        <v>17799</v>
      </c>
      <c r="CL16" s="34">
        <v>27459</v>
      </c>
      <c r="CM16" s="34">
        <v>8084</v>
      </c>
      <c r="CN16" s="34">
        <v>12263</v>
      </c>
      <c r="CO16" s="173">
        <v>25809</v>
      </c>
      <c r="CP16" s="77">
        <v>18904</v>
      </c>
      <c r="CQ16" s="34">
        <v>11193</v>
      </c>
      <c r="CR16" s="34">
        <v>12326</v>
      </c>
      <c r="CS16" s="173">
        <v>22878</v>
      </c>
      <c r="CT16" s="77">
        <v>18976</v>
      </c>
      <c r="CU16" s="77">
        <v>14955</v>
      </c>
      <c r="CV16" s="77">
        <v>14193</v>
      </c>
      <c r="CW16" s="192">
        <v>21325</v>
      </c>
      <c r="CX16" s="474">
        <v>31519</v>
      </c>
      <c r="CY16" s="77">
        <v>14533</v>
      </c>
      <c r="CZ16" s="77">
        <v>16433</v>
      </c>
      <c r="DA16" s="192">
        <v>25228</v>
      </c>
      <c r="DB16" s="474">
        <v>35040</v>
      </c>
      <c r="DC16" s="77">
        <v>24585</v>
      </c>
      <c r="DD16" s="77">
        <v>20439</v>
      </c>
      <c r="DE16" s="192">
        <v>32748</v>
      </c>
      <c r="DF16" s="474">
        <v>30428</v>
      </c>
      <c r="DG16" s="77">
        <v>17963</v>
      </c>
      <c r="DH16" s="77">
        <v>19637</v>
      </c>
      <c r="DI16" s="192">
        <v>31477</v>
      </c>
      <c r="DJ16" s="474">
        <v>26908</v>
      </c>
      <c r="DK16" s="77">
        <v>19313</v>
      </c>
      <c r="DL16" s="77">
        <v>20377</v>
      </c>
      <c r="DM16" s="192">
        <v>32833</v>
      </c>
      <c r="DN16" s="474">
        <v>29667</v>
      </c>
      <c r="DO16" s="77">
        <v>23662</v>
      </c>
      <c r="DP16" s="77">
        <v>19278</v>
      </c>
      <c r="DQ16" s="176">
        <f>'Income Statement'!DQ$17*DQ73</f>
      </c>
      <c r="DR16" s="85">
        <f>'Income Statement'!DR$17*DR73</f>
      </c>
      <c r="DS16" s="85">
        <f>'Income Statement'!DS$17*DS73</f>
      </c>
      <c r="DT16" s="85">
        <f>'Income Statement'!DT$17*DT73</f>
      </c>
      <c r="DU16" s="176">
        <f>'Income Statement'!DU$17*DU73</f>
      </c>
      <c r="DV16" s="85">
        <f>'Income Statement'!DV$17*DV73</f>
      </c>
      <c r="DW16" s="85">
        <f>'Income Statement'!DW$17*DW73</f>
      </c>
      <c r="DX16" s="85">
        <f>'Income Statement'!DX$17*DX73</f>
      </c>
      <c r="DY16" s="176">
        <f>'Income Statement'!DY$17*DY73</f>
      </c>
      <c r="DZ16" s="85">
        <f>'Income Statement'!DZ$17*DZ73</f>
      </c>
      <c r="EA16" s="85">
        <f>'Income Statement'!EA$17*EA73</f>
      </c>
      <c r="EB16" s="85">
        <f>'Income Statement'!EB$17*EB73</f>
      </c>
      <c r="EC16" s="176">
        <f>'Income Statement'!EC$17*EC73</f>
      </c>
      <c r="ED16" s="85">
        <f>'Income Statement'!ED$17*ED73</f>
      </c>
      <c r="EE16" s="85">
        <f>'Income Statement'!EE$17*EE73</f>
      </c>
      <c r="EF16" s="85">
        <f>'Income Statement'!EF$17*EF73</f>
      </c>
      <c r="EG16" s="176">
        <f>'Income Statement'!EG$17*EG73</f>
      </c>
      <c r="EH16" s="85">
        <f>'Income Statement'!EH$17*EH73</f>
      </c>
      <c r="EI16" s="85">
        <f>'Income Statement'!EI$17*EI73</f>
      </c>
      <c r="EJ16" s="85">
        <f>'Income Statement'!EJ$17*EJ73</f>
      </c>
      <c r="EK16" s="176">
        <f>'Income Statement'!EK$17*EK73</f>
      </c>
      <c r="EN16" s="15">
        <f t="shared" si="0"/>
      </c>
      <c r="EO16" s="15">
        <f t="shared" si="1"/>
      </c>
      <c r="EP16" s="15">
        <f t="shared" si="2"/>
      </c>
      <c r="EQ16" s="15">
        <f t="shared" si="3"/>
      </c>
      <c r="ER16" s="15">
        <f t="shared" si="4"/>
      </c>
      <c r="ES16" s="15">
        <f t="shared" si="5"/>
      </c>
      <c r="ET16" s="15">
        <f t="shared" si="6"/>
      </c>
      <c r="EU16" s="15">
        <f t="shared" si="7"/>
      </c>
      <c r="EV16" s="15">
        <f t="shared" si="8"/>
      </c>
      <c r="EW16" s="15">
        <f t="shared" si="9"/>
      </c>
      <c r="EX16" s="15">
        <f t="shared" si="10"/>
      </c>
      <c r="EY16" s="15">
        <f t="shared" si="11"/>
      </c>
      <c r="EZ16" s="15">
        <f t="shared" si="12"/>
      </c>
      <c r="FA16" s="15">
        <f t="shared" si="13"/>
      </c>
      <c r="FB16" s="15">
        <f>BI16:BI91</f>
      </c>
      <c r="FC16" s="15">
        <f>BM16:BM91</f>
      </c>
      <c r="FD16" s="15">
        <f>BQ16:BQ91</f>
      </c>
      <c r="FE16" s="15">
        <f>BU16:BU91</f>
      </c>
      <c r="FF16" s="15">
        <f>BY16:BY91</f>
      </c>
      <c r="FG16" s="15">
        <f>CC16:CC91</f>
      </c>
      <c r="FH16" s="15">
        <f>CG16:CG91</f>
      </c>
      <c r="FI16" s="15">
        <f>CK16:CK91</f>
      </c>
      <c r="FJ16" s="15">
        <f>CO16:CO91</f>
      </c>
      <c r="FK16" s="15">
        <f t="shared" si="14"/>
      </c>
      <c r="FL16" s="15">
        <f t="shared" si="15"/>
      </c>
      <c r="FM16" s="15">
        <f t="shared" si="16"/>
      </c>
      <c r="FN16" s="15">
        <f t="shared" si="17"/>
      </c>
      <c r="FO16" s="15">
        <f t="shared" si="25"/>
      </c>
      <c r="FP16" s="15">
        <f t="shared" si="18"/>
      </c>
      <c r="FQ16" s="15">
        <f t="shared" si="19"/>
      </c>
      <c r="FR16" s="15">
        <f t="shared" si="20"/>
      </c>
      <c r="FS16" s="15">
        <f t="shared" si="21"/>
      </c>
      <c r="FT16" s="15">
        <f t="shared" si="22"/>
      </c>
      <c r="FU16" s="15">
        <f t="shared" si="23"/>
      </c>
      <c r="FV16" s="15">
        <f t="shared" si="24"/>
      </c>
      <c r="FW16" s="11"/>
      <c r="FX16" s="11"/>
      <c r="FY16" s="11"/>
      <c r="FZ16" s="23"/>
      <c r="GA16" s="23"/>
    </row>
    <row r="17" spans="1:183" ht="10.199999999999999">
      <c r="A17" s="19" t="s">
        <v>106</v>
      </c>
      <c r="B17" s="34">
        <v>258</v>
      </c>
      <c r="C17" s="34">
        <v>374</v>
      </c>
      <c r="D17" s="34">
        <v>341</v>
      </c>
      <c r="E17" s="173">
        <v>270</v>
      </c>
      <c r="F17" s="34">
        <v>308</v>
      </c>
      <c r="G17" s="34">
        <v>222</v>
      </c>
      <c r="H17" s="34">
        <v>215</v>
      </c>
      <c r="I17" s="173">
        <v>234</v>
      </c>
      <c r="J17" s="34">
        <v>207</v>
      </c>
      <c r="K17" s="34">
        <v>125</v>
      </c>
      <c r="L17" s="34">
        <v>146</v>
      </c>
      <c r="M17" s="173">
        <v>183</v>
      </c>
      <c r="N17" s="34">
        <v>185</v>
      </c>
      <c r="O17" s="34">
        <v>194</v>
      </c>
      <c r="P17" s="34">
        <v>152</v>
      </c>
      <c r="Q17" s="173">
        <v>215</v>
      </c>
      <c r="R17" s="34">
        <v>211</v>
      </c>
      <c r="S17" s="34">
        <v>222</v>
      </c>
      <c r="T17" s="34">
        <v>197</v>
      </c>
      <c r="U17" s="173">
        <v>252</v>
      </c>
      <c r="V17" s="34">
        <v>168</v>
      </c>
      <c r="W17" s="34">
        <v>371</v>
      </c>
      <c r="X17" s="34">
        <v>240</v>
      </c>
      <c r="Y17" s="173">
        <v>161</v>
      </c>
      <c r="Z17" s="34">
        <v>213</v>
      </c>
      <c r="AA17" s="34">
        <v>274</v>
      </c>
      <c r="AB17" s="34">
        <v>313</v>
      </c>
      <c r="AC17" s="173">
        <v>275</v>
      </c>
      <c r="AD17" s="34">
        <v>204</v>
      </c>
      <c r="AE17" s="34">
        <v>241</v>
      </c>
      <c r="AF17" s="34">
        <v>219</v>
      </c>
      <c r="AG17" s="173">
        <v>309</v>
      </c>
      <c r="AH17" s="34">
        <v>345</v>
      </c>
      <c r="AI17" s="34">
        <v>326</v>
      </c>
      <c r="AJ17" s="34">
        <v>392</v>
      </c>
      <c r="AK17" s="173">
        <v>485</v>
      </c>
      <c r="AL17" s="34">
        <v>572</v>
      </c>
      <c r="AM17" s="34">
        <v>601</v>
      </c>
      <c r="AN17" s="34">
        <v>496</v>
      </c>
      <c r="AO17" s="173">
        <v>648</v>
      </c>
      <c r="AP17" s="34">
        <v>1409</v>
      </c>
      <c r="AQ17" s="34">
        <v>1536</v>
      </c>
      <c r="AR17" s="34">
        <v>1522</v>
      </c>
      <c r="AS17" s="173">
        <v>2270</v>
      </c>
      <c r="AT17" s="34">
        <v>2218</v>
      </c>
      <c r="AU17" s="34">
        <v>1650</v>
      </c>
      <c r="AV17" s="34">
        <v>2558</v>
      </c>
      <c r="AW17" s="173">
        <v>3544</v>
      </c>
      <c r="AX17" s="34">
        <v>3704</v>
      </c>
      <c r="AY17" s="34">
        <v>3376</v>
      </c>
      <c r="AZ17" s="34">
        <v>2916</v>
      </c>
      <c r="BA17" s="173">
        <v>3920</v>
      </c>
      <c r="BB17" s="34">
        <v>5311</v>
      </c>
      <c r="BC17" s="34">
        <v>5057</v>
      </c>
      <c r="BD17" s="34">
        <v>6151</v>
      </c>
      <c r="BE17" s="173">
        <v>1444</v>
      </c>
      <c r="BF17" s="34">
        <v>3690</v>
      </c>
      <c r="BG17" s="34">
        <v>4515</v>
      </c>
      <c r="BH17" s="34">
        <v>3188</v>
      </c>
      <c r="BI17" s="173">
        <v>3447</v>
      </c>
      <c r="BJ17" s="34">
        <v>3467</v>
      </c>
      <c r="BK17" s="34">
        <v>4055</v>
      </c>
      <c r="BL17" s="34">
        <v>4251</v>
      </c>
      <c r="BM17" s="173">
        <v>4529</v>
      </c>
      <c r="BN17" s="34">
        <v>4958</v>
      </c>
      <c r="BO17" s="34">
        <v>5050</v>
      </c>
      <c r="BP17" s="34">
        <v>6560</v>
      </c>
      <c r="BQ17" s="173">
        <v>6458</v>
      </c>
      <c r="BR17" s="34">
        <v>6644</v>
      </c>
      <c r="BS17" s="34">
        <v>6377</v>
      </c>
      <c r="BT17" s="34">
        <v>7270</v>
      </c>
      <c r="BU17" s="173">
        <v>6882</v>
      </c>
      <c r="BV17" s="34">
        <v>8574</v>
      </c>
      <c r="BW17" s="34">
        <v>7528</v>
      </c>
      <c r="BX17" s="34">
        <v>7825</v>
      </c>
      <c r="BY17" s="173">
        <v>9806</v>
      </c>
      <c r="BZ17" s="34">
        <v>13635</v>
      </c>
      <c r="CA17" s="34">
        <v>9094</v>
      </c>
      <c r="CB17" s="34">
        <v>9291</v>
      </c>
      <c r="CC17" s="173">
        <v>9539</v>
      </c>
      <c r="CD17" s="34">
        <v>11073</v>
      </c>
      <c r="CE17" s="34">
        <v>10204</v>
      </c>
      <c r="CF17" s="77">
        <v>11132</v>
      </c>
      <c r="CG17" s="173">
        <v>8283</v>
      </c>
      <c r="CH17" s="34">
        <v>12191</v>
      </c>
      <c r="CI17" s="34">
        <v>11367</v>
      </c>
      <c r="CJ17" s="34">
        <v>10338</v>
      </c>
      <c r="CK17" s="173">
        <v>13936</v>
      </c>
      <c r="CL17" s="34">
        <v>11337</v>
      </c>
      <c r="CM17" s="34">
        <v>12043</v>
      </c>
      <c r="CN17" s="34">
        <v>12488</v>
      </c>
      <c r="CO17" s="173">
        <v>12087</v>
      </c>
      <c r="CP17" s="77">
        <v>12432</v>
      </c>
      <c r="CQ17" s="34">
        <v>12092</v>
      </c>
      <c r="CR17" s="34">
        <v>10530</v>
      </c>
      <c r="CS17" s="173">
        <v>12352</v>
      </c>
      <c r="CT17" s="77">
        <v>12026</v>
      </c>
      <c r="CU17" s="77">
        <v>15691</v>
      </c>
      <c r="CV17" s="77">
        <v>10987</v>
      </c>
      <c r="CW17" s="192">
        <v>11264</v>
      </c>
      <c r="CX17" s="474">
        <v>13687</v>
      </c>
      <c r="CY17" s="77">
        <v>13376</v>
      </c>
      <c r="CZ17" s="77">
        <v>13641</v>
      </c>
      <c r="DA17" s="192">
        <v>14111</v>
      </c>
      <c r="DB17" s="474">
        <v>18112</v>
      </c>
      <c r="DC17" s="77">
        <v>15809</v>
      </c>
      <c r="DD17" s="77">
        <v>16386</v>
      </c>
      <c r="DE17" s="192">
        <v>21223</v>
      </c>
      <c r="DF17" s="474">
        <v>16422</v>
      </c>
      <c r="DG17" s="77">
        <v>13660</v>
      </c>
      <c r="DH17" s="77">
        <v>13640</v>
      </c>
      <c r="DI17" s="192">
        <v>14695</v>
      </c>
      <c r="DJ17" s="474">
        <v>13979</v>
      </c>
      <c r="DK17" s="77">
        <v>13884</v>
      </c>
      <c r="DL17" s="77">
        <v>14297</v>
      </c>
      <c r="DM17" s="192">
        <v>14287</v>
      </c>
      <c r="DN17" s="474">
        <v>13248</v>
      </c>
      <c r="DO17" s="77">
        <v>14109</v>
      </c>
      <c r="DP17" s="77">
        <v>14359</v>
      </c>
      <c r="DQ17" s="176">
        <f>'Income Statement'!DQ$17*DQ74</f>
      </c>
      <c r="DR17" s="85">
        <f>'Income Statement'!DR$17*DR74</f>
      </c>
      <c r="DS17" s="85">
        <f>'Income Statement'!DS$17*DS74</f>
      </c>
      <c r="DT17" s="85">
        <f>'Income Statement'!DT$17*DT74</f>
      </c>
      <c r="DU17" s="176">
        <f>'Income Statement'!DU$17*DU74</f>
      </c>
      <c r="DV17" s="85">
        <f>'Income Statement'!DV$17*DV74</f>
      </c>
      <c r="DW17" s="85">
        <f>'Income Statement'!DW$17*DW74</f>
      </c>
      <c r="DX17" s="85">
        <f>'Income Statement'!DX$17*DX74</f>
      </c>
      <c r="DY17" s="176">
        <f>'Income Statement'!DY$17*DY74</f>
      </c>
      <c r="DZ17" s="85">
        <f>'Income Statement'!DZ$17*DZ74</f>
      </c>
      <c r="EA17" s="85">
        <f>'Income Statement'!EA$17*EA74</f>
      </c>
      <c r="EB17" s="85">
        <f>'Income Statement'!EB$17*EB74</f>
      </c>
      <c r="EC17" s="176">
        <f>'Income Statement'!EC$17*EC74</f>
      </c>
      <c r="ED17" s="85">
        <f>'Income Statement'!ED$17*ED74</f>
      </c>
      <c r="EE17" s="85">
        <f>'Income Statement'!EE$17*EE74</f>
      </c>
      <c r="EF17" s="85">
        <f>'Income Statement'!EF$17*EF74</f>
      </c>
      <c r="EG17" s="176">
        <f>'Income Statement'!EG$17*EG74</f>
      </c>
      <c r="EH17" s="85">
        <f>'Income Statement'!EH$17*EH74</f>
      </c>
      <c r="EI17" s="85">
        <f>'Income Statement'!EI$17*EI74</f>
      </c>
      <c r="EJ17" s="85">
        <f>'Income Statement'!EJ$17*EJ74</f>
      </c>
      <c r="EK17" s="176">
        <f>'Income Statement'!EK$17*EK74</f>
      </c>
      <c r="EN17" s="15">
        <f t="shared" si="0"/>
      </c>
      <c r="EO17" s="15">
        <f t="shared" si="1"/>
      </c>
      <c r="EP17" s="15">
        <f t="shared" si="2"/>
      </c>
      <c r="EQ17" s="15">
        <f t="shared" si="3"/>
      </c>
      <c r="ER17" s="15">
        <f t="shared" si="4"/>
      </c>
      <c r="ES17" s="15">
        <f t="shared" si="5"/>
      </c>
      <c r="ET17" s="15">
        <f t="shared" si="6"/>
      </c>
      <c r="EU17" s="15">
        <f t="shared" si="7"/>
      </c>
      <c r="EV17" s="15">
        <f t="shared" si="8"/>
      </c>
      <c r="EW17" s="15">
        <f t="shared" si="9"/>
      </c>
      <c r="EX17" s="15">
        <f t="shared" si="10"/>
      </c>
      <c r="EY17" s="15">
        <f t="shared" si="11"/>
      </c>
      <c r="EZ17" s="15">
        <f t="shared" si="12"/>
      </c>
      <c r="FA17" s="15">
        <f t="shared" si="13"/>
      </c>
      <c r="FB17" s="15">
        <f>BI17:BI93</f>
      </c>
      <c r="FC17" s="15">
        <f>BM17:BM93</f>
      </c>
      <c r="FD17" s="15">
        <f>BQ17:BQ93</f>
      </c>
      <c r="FE17" s="15">
        <f>BU17:BU93</f>
      </c>
      <c r="FF17" s="15">
        <f>BY17:BY93</f>
      </c>
      <c r="FG17" s="15">
        <f>CC17:CC93</f>
      </c>
      <c r="FH17" s="15">
        <f>CG17:CG93</f>
      </c>
      <c r="FI17" s="15">
        <f>CK17:CK93</f>
      </c>
      <c r="FJ17" s="15">
        <f>CO17:CO93</f>
      </c>
      <c r="FK17" s="15">
        <f t="shared" si="14"/>
      </c>
      <c r="FL17" s="15">
        <f t="shared" si="15"/>
      </c>
      <c r="FM17" s="15">
        <f t="shared" si="16"/>
      </c>
      <c r="FN17" s="15">
        <f t="shared" si="17"/>
      </c>
      <c r="FO17" s="15">
        <f t="shared" si="25"/>
      </c>
      <c r="FP17" s="15">
        <f t="shared" si="18"/>
      </c>
      <c r="FQ17" s="15">
        <f t="shared" si="19"/>
      </c>
      <c r="FR17" s="15">
        <f t="shared" si="20"/>
      </c>
      <c r="FS17" s="15">
        <f t="shared" si="21"/>
      </c>
      <c r="FT17" s="15">
        <f t="shared" si="22"/>
      </c>
      <c r="FU17" s="15">
        <f t="shared" si="23"/>
      </c>
      <c r="FV17" s="15">
        <f t="shared" si="24"/>
      </c>
      <c r="FW17" s="11"/>
      <c r="FX17" s="11"/>
      <c r="FY17" s="11"/>
      <c r="FZ17" s="23"/>
      <c r="GA17" s="23"/>
    </row>
    <row r="18" spans="1:183" s="16" customFormat="1" ht="10.199999999999999">
      <c r="A18" s="1179" t="s">
        <v>149</v>
      </c>
      <c r="B18" s="1202">
        <f t="shared" ref="B18:AG18" si="26">SUM(B11:B13,B14,B15:B16,B17)</f>
      </c>
      <c r="C18" s="1202">
        <f t="shared" si="26"/>
      </c>
      <c r="D18" s="1202">
        <f t="shared" si="26"/>
      </c>
      <c r="E18" s="1203">
        <f t="shared" si="26"/>
      </c>
      <c r="F18" s="1202">
        <f t="shared" si="26"/>
      </c>
      <c r="G18" s="1202">
        <f t="shared" si="26"/>
      </c>
      <c r="H18" s="1202">
        <f t="shared" si="26"/>
      </c>
      <c r="I18" s="1203">
        <f t="shared" si="26"/>
      </c>
      <c r="J18" s="1202">
        <f t="shared" si="26"/>
      </c>
      <c r="K18" s="1202">
        <f t="shared" si="26"/>
      </c>
      <c r="L18" s="1202">
        <f t="shared" si="26"/>
      </c>
      <c r="M18" s="1203">
        <f t="shared" si="26"/>
      </c>
      <c r="N18" s="1202">
        <f t="shared" si="26"/>
      </c>
      <c r="O18" s="1202">
        <f t="shared" si="26"/>
      </c>
      <c r="P18" s="1202">
        <f t="shared" si="26"/>
      </c>
      <c r="Q18" s="1203">
        <f t="shared" si="26"/>
      </c>
      <c r="R18" s="1202">
        <f t="shared" si="26"/>
      </c>
      <c r="S18" s="1202">
        <f t="shared" si="26"/>
      </c>
      <c r="T18" s="1202">
        <f t="shared" si="26"/>
      </c>
      <c r="U18" s="1203">
        <f t="shared" si="26"/>
      </c>
      <c r="V18" s="1202">
        <f t="shared" si="26"/>
      </c>
      <c r="W18" s="1202">
        <f t="shared" si="26"/>
      </c>
      <c r="X18" s="1202">
        <f t="shared" si="26"/>
      </c>
      <c r="Y18" s="1203">
        <f t="shared" si="26"/>
      </c>
      <c r="Z18" s="1202">
        <f t="shared" si="26"/>
      </c>
      <c r="AA18" s="1202">
        <f t="shared" si="26"/>
      </c>
      <c r="AB18" s="1202">
        <f t="shared" si="26"/>
      </c>
      <c r="AC18" s="1203">
        <f t="shared" si="26"/>
      </c>
      <c r="AD18" s="1202">
        <f t="shared" si="26"/>
      </c>
      <c r="AE18" s="1202">
        <f t="shared" si="26"/>
      </c>
      <c r="AF18" s="1202">
        <f t="shared" si="26"/>
      </c>
      <c r="AG18" s="1203">
        <f t="shared" si="26"/>
      </c>
      <c r="AH18" s="1202">
        <f t="shared" ref="AH18:BM18" si="27">SUM(AH11:AH13,AH14,AH15:AH16,AH17)</f>
      </c>
      <c r="AI18" s="1202">
        <f t="shared" si="27"/>
      </c>
      <c r="AJ18" s="1202">
        <f t="shared" si="27"/>
      </c>
      <c r="AK18" s="1203">
        <f t="shared" si="27"/>
      </c>
      <c r="AL18" s="1202">
        <f t="shared" si="27"/>
      </c>
      <c r="AM18" s="1202">
        <f t="shared" si="27"/>
      </c>
      <c r="AN18" s="1202">
        <f t="shared" si="27"/>
      </c>
      <c r="AO18" s="1203">
        <f t="shared" si="27"/>
      </c>
      <c r="AP18" s="1202">
        <f t="shared" si="27"/>
      </c>
      <c r="AQ18" s="1202">
        <f t="shared" si="27"/>
      </c>
      <c r="AR18" s="1202">
        <f t="shared" si="27"/>
      </c>
      <c r="AS18" s="1203">
        <f t="shared" si="27"/>
      </c>
      <c r="AT18" s="1202">
        <f t="shared" si="27"/>
      </c>
      <c r="AU18" s="1202">
        <f t="shared" si="27"/>
      </c>
      <c r="AV18" s="1202">
        <f t="shared" si="27"/>
      </c>
      <c r="AW18" s="1203">
        <f t="shared" si="27"/>
      </c>
      <c r="AX18" s="1202">
        <f t="shared" si="27"/>
      </c>
      <c r="AY18" s="1202">
        <f t="shared" si="27"/>
      </c>
      <c r="AZ18" s="1202">
        <f t="shared" si="27"/>
      </c>
      <c r="BA18" s="1203">
        <f t="shared" si="27"/>
      </c>
      <c r="BB18" s="1202">
        <f t="shared" si="27"/>
      </c>
      <c r="BC18" s="1202">
        <f t="shared" si="27"/>
      </c>
      <c r="BD18" s="1202">
        <f t="shared" si="27"/>
      </c>
      <c r="BE18" s="1203">
        <f t="shared" si="27"/>
      </c>
      <c r="BF18" s="1202">
        <f t="shared" si="27"/>
      </c>
      <c r="BG18" s="1202">
        <f t="shared" si="27"/>
      </c>
      <c r="BH18" s="1202">
        <f t="shared" si="27"/>
      </c>
      <c r="BI18" s="1203">
        <f t="shared" si="27"/>
      </c>
      <c r="BJ18" s="1202">
        <f t="shared" si="27"/>
      </c>
      <c r="BK18" s="1202">
        <f t="shared" si="27"/>
      </c>
      <c r="BL18" s="1202">
        <f t="shared" si="27"/>
      </c>
      <c r="BM18" s="1203">
        <f t="shared" si="27"/>
      </c>
      <c r="BN18" s="1202">
        <f t="shared" ref="BN18:CS18" si="28">SUM(BN11:BN13,BN14,BN15:BN16,BN17)</f>
      </c>
      <c r="BO18" s="1202">
        <f t="shared" si="28"/>
      </c>
      <c r="BP18" s="1202">
        <f t="shared" si="28"/>
      </c>
      <c r="BQ18" s="1203">
        <f t="shared" si="28"/>
      </c>
      <c r="BR18" s="1202">
        <f t="shared" si="28"/>
      </c>
      <c r="BS18" s="1202">
        <f t="shared" si="28"/>
      </c>
      <c r="BT18" s="1202">
        <f t="shared" si="28"/>
      </c>
      <c r="BU18" s="1203">
        <f t="shared" si="28"/>
      </c>
      <c r="BV18" s="1202">
        <f t="shared" si="28"/>
      </c>
      <c r="BW18" s="1202">
        <f t="shared" si="28"/>
      </c>
      <c r="BX18" s="1202">
        <f t="shared" si="28"/>
      </c>
      <c r="BY18" s="1203">
        <f t="shared" si="28"/>
      </c>
      <c r="BZ18" s="1202">
        <f t="shared" si="28"/>
      </c>
      <c r="CA18" s="1202">
        <f t="shared" si="28"/>
      </c>
      <c r="CB18" s="1202">
        <f t="shared" si="28"/>
      </c>
      <c r="CC18" s="1203">
        <f t="shared" si="28"/>
      </c>
      <c r="CD18" s="1202">
        <f t="shared" si="28"/>
      </c>
      <c r="CE18" s="1202">
        <f t="shared" si="28"/>
      </c>
      <c r="CF18" s="1202">
        <f t="shared" si="28"/>
      </c>
      <c r="CG18" s="1203">
        <f t="shared" si="28"/>
      </c>
      <c r="CH18" s="1202">
        <f t="shared" si="28"/>
      </c>
      <c r="CI18" s="1202">
        <f t="shared" si="28"/>
      </c>
      <c r="CJ18" s="1202">
        <f t="shared" si="28"/>
      </c>
      <c r="CK18" s="1203">
        <f t="shared" si="28"/>
      </c>
      <c r="CL18" s="1202">
        <f t="shared" si="28"/>
      </c>
      <c r="CM18" s="1202">
        <f t="shared" si="28"/>
      </c>
      <c r="CN18" s="1202">
        <f t="shared" si="28"/>
      </c>
      <c r="CO18" s="1203">
        <f t="shared" si="28"/>
      </c>
      <c r="CP18" s="1202">
        <f t="shared" si="28"/>
      </c>
      <c r="CQ18" s="1202">
        <f t="shared" si="28"/>
      </c>
      <c r="CR18" s="1202">
        <f t="shared" si="28"/>
      </c>
      <c r="CS18" s="1203">
        <f t="shared" si="28"/>
      </c>
      <c r="CT18" s="1202">
        <f t="shared" ref="CT18:DU18" si="29">SUM(CT11:CT13,CT14,CT15:CT16,CT17)</f>
      </c>
      <c r="CU18" s="1202">
        <f t="shared" si="29"/>
      </c>
      <c r="CV18" s="1202">
        <f t="shared" si="29"/>
      </c>
      <c r="CW18" s="1203">
        <f t="shared" si="29"/>
      </c>
      <c r="CX18" s="1204">
        <f t="shared" si="29"/>
      </c>
      <c r="CY18" s="1202">
        <f t="shared" si="29"/>
      </c>
      <c r="CZ18" s="1202">
        <f t="shared" si="29"/>
      </c>
      <c r="DA18" s="1203">
        <f t="shared" si="29"/>
      </c>
      <c r="DB18" s="1204">
        <f t="shared" si="29"/>
      </c>
      <c r="DC18" s="1202">
        <f t="shared" si="29"/>
      </c>
      <c r="DD18" s="1202">
        <f t="shared" si="29"/>
      </c>
      <c r="DE18" s="1203">
        <f>SUM(DE11:DE13,DE14,DE15:DE16,DE17)</f>
      </c>
      <c r="DF18" s="1202">
        <f t="shared" si="29"/>
      </c>
      <c r="DG18" s="1202">
        <f t="shared" si="29"/>
      </c>
      <c r="DH18" s="1202">
        <f t="shared" si="29"/>
      </c>
      <c r="DI18" s="1203">
        <f t="shared" si="29"/>
      </c>
      <c r="DJ18" s="1202">
        <f t="shared" ref="DJ18:DM18" si="30">SUM(DJ11:DJ13,DJ14,DJ15:DJ16,DJ17)</f>
      </c>
      <c r="DK18" s="1202">
        <f t="shared" si="30"/>
      </c>
      <c r="DL18" s="1202">
        <f t="shared" si="30"/>
      </c>
      <c r="DM18" s="1203">
        <f t="shared" si="30"/>
      </c>
      <c r="DN18" s="1202">
        <f t="shared" ref="DN18:DP18" si="31">SUM(DN11:DN13,DN14,DN15:DN16,DN17)</f>
      </c>
      <c r="DO18" s="1202">
        <f t="shared" si="31"/>
      </c>
      <c r="DP18" s="1202">
        <f t="shared" si="31"/>
      </c>
      <c r="DQ18" s="1203">
        <f t="shared" si="29"/>
      </c>
      <c r="DR18" s="1202">
        <f t="shared" si="29"/>
      </c>
      <c r="DS18" s="1202">
        <f t="shared" si="29"/>
      </c>
      <c r="DT18" s="1202">
        <f t="shared" si="29"/>
      </c>
      <c r="DU18" s="1203">
        <f t="shared" si="29"/>
      </c>
      <c r="DV18" s="1202">
        <f t="shared" ref="DV18:EK18" si="32">SUM(DV11:DV13,DV14,DV15:DV16,DV17)</f>
      </c>
      <c r="DW18" s="1202">
        <f t="shared" si="32"/>
      </c>
      <c r="DX18" s="1202">
        <f t="shared" si="32"/>
      </c>
      <c r="DY18" s="1203">
        <f t="shared" si="32"/>
      </c>
      <c r="DZ18" s="1202">
        <f t="shared" si="32"/>
      </c>
      <c r="EA18" s="1202">
        <f t="shared" si="32"/>
      </c>
      <c r="EB18" s="1202">
        <f t="shared" si="32"/>
      </c>
      <c r="EC18" s="1203">
        <f t="shared" si="32"/>
      </c>
      <c r="ED18" s="1202">
        <f t="shared" si="32"/>
      </c>
      <c r="EE18" s="1202">
        <f t="shared" si="32"/>
      </c>
      <c r="EF18" s="1202">
        <f t="shared" si="32"/>
      </c>
      <c r="EG18" s="1203">
        <f t="shared" si="32"/>
      </c>
      <c r="EH18" s="1202">
        <f t="shared" si="32"/>
      </c>
      <c r="EI18" s="1202">
        <f t="shared" si="32"/>
      </c>
      <c r="EJ18" s="1202">
        <f t="shared" si="32"/>
      </c>
      <c r="EK18" s="1203">
        <f t="shared" si="32"/>
      </c>
      <c r="EN18" s="1202">
        <f t="shared" ref="EN18:FN18" si="33">SUM(EN11:EN13,EN14,EN15:EN16,EN17)</f>
      </c>
      <c r="EO18" s="1202">
        <f t="shared" si="33"/>
      </c>
      <c r="EP18" s="1202">
        <f t="shared" si="33"/>
      </c>
      <c r="EQ18" s="1202">
        <f t="shared" si="33"/>
      </c>
      <c r="ER18" s="1202">
        <f t="shared" si="33"/>
      </c>
      <c r="ES18" s="1202">
        <f t="shared" si="33"/>
      </c>
      <c r="ET18" s="1202">
        <f t="shared" si="33"/>
      </c>
      <c r="EU18" s="1202">
        <f t="shared" si="33"/>
      </c>
      <c r="EV18" s="1202">
        <f t="shared" si="33"/>
      </c>
      <c r="EW18" s="1202">
        <f t="shared" si="33"/>
      </c>
      <c r="EX18" s="1202">
        <f t="shared" si="33"/>
      </c>
      <c r="EY18" s="1202">
        <f t="shared" si="33"/>
      </c>
      <c r="EZ18" s="1202">
        <f t="shared" si="33"/>
      </c>
      <c r="FA18" s="1202">
        <f t="shared" si="33"/>
      </c>
      <c r="FB18" s="1202">
        <f t="shared" si="33"/>
      </c>
      <c r="FC18" s="1202">
        <f t="shared" si="33"/>
      </c>
      <c r="FD18" s="1202">
        <f t="shared" si="33"/>
      </c>
      <c r="FE18" s="1202">
        <f t="shared" si="33"/>
      </c>
      <c r="FF18" s="1202">
        <f t="shared" si="33"/>
      </c>
      <c r="FG18" s="1202">
        <f t="shared" si="33"/>
      </c>
      <c r="FH18" s="1202">
        <f t="shared" si="33"/>
      </c>
      <c r="FI18" s="1202">
        <f t="shared" si="33"/>
      </c>
      <c r="FJ18" s="1202">
        <f t="shared" si="33"/>
      </c>
      <c r="FK18" s="1202">
        <f t="shared" si="33"/>
      </c>
      <c r="FL18" s="1202">
        <f t="shared" si="33"/>
      </c>
      <c r="FM18" s="1202">
        <f t="shared" si="33"/>
      </c>
      <c r="FN18" s="1202">
        <f t="shared" si="33"/>
      </c>
      <c r="FO18" s="1202">
        <f t="shared" si="25"/>
      </c>
      <c r="FP18" s="1202">
        <f t="shared" si="18"/>
      </c>
      <c r="FQ18" s="1202">
        <f t="shared" si="19"/>
      </c>
      <c r="FR18" s="1202">
        <f t="shared" si="20"/>
      </c>
      <c r="FS18" s="1202">
        <f t="shared" si="21"/>
      </c>
      <c r="FT18" s="1202">
        <f t="shared" si="22"/>
      </c>
      <c r="FU18" s="1202">
        <f t="shared" si="23"/>
      </c>
      <c r="FV18" s="1202">
        <f t="shared" si="24"/>
      </c>
      <c r="FZ18" s="23"/>
      <c r="GA18" s="23"/>
    </row>
    <row r="19" spans="1:183" ht="8.1" customHeight="1">
      <c r="A19" s="19"/>
      <c r="B19" s="15"/>
      <c r="C19" s="15"/>
      <c r="D19" s="15"/>
      <c r="E19" s="174"/>
      <c r="F19" s="15"/>
      <c r="G19" s="15"/>
      <c r="H19" s="15"/>
      <c r="I19" s="174"/>
      <c r="J19" s="15"/>
      <c r="K19" s="15"/>
      <c r="L19" s="15"/>
      <c r="M19" s="174"/>
      <c r="N19" s="15"/>
      <c r="O19" s="15"/>
      <c r="P19" s="15"/>
      <c r="Q19" s="174"/>
      <c r="R19" s="15"/>
      <c r="S19" s="15"/>
      <c r="T19" s="15"/>
      <c r="U19" s="174"/>
      <c r="V19" s="15"/>
      <c r="W19" s="15"/>
      <c r="X19" s="15"/>
      <c r="Y19" s="174"/>
      <c r="Z19" s="15"/>
      <c r="AA19" s="15"/>
      <c r="AB19" s="15"/>
      <c r="AC19" s="174"/>
      <c r="AD19" s="15"/>
      <c r="AE19" s="15"/>
      <c r="AF19" s="15"/>
      <c r="AG19" s="174"/>
      <c r="AH19" s="15"/>
      <c r="AI19" s="15"/>
      <c r="AJ19" s="15"/>
      <c r="AK19" s="174"/>
      <c r="AL19" s="15"/>
      <c r="AM19" s="15"/>
      <c r="AN19" s="15"/>
      <c r="AO19" s="174"/>
      <c r="AP19" s="15"/>
      <c r="AQ19" s="15"/>
      <c r="AR19" s="15"/>
      <c r="AS19" s="174"/>
      <c r="AT19" s="15"/>
      <c r="AU19" s="15"/>
      <c r="AV19" s="15"/>
      <c r="AW19" s="174"/>
      <c r="AX19" s="15"/>
      <c r="AY19" s="15"/>
      <c r="AZ19" s="15"/>
      <c r="BA19" s="174"/>
      <c r="BB19" s="15"/>
      <c r="BC19" s="15"/>
      <c r="BD19" s="15"/>
      <c r="BE19" s="174"/>
      <c r="BF19" s="15"/>
      <c r="BG19" s="15"/>
      <c r="BH19" s="15"/>
      <c r="BI19" s="174"/>
      <c r="BJ19" s="15"/>
      <c r="BK19" s="15"/>
      <c r="BL19" s="15"/>
      <c r="BM19" s="174"/>
      <c r="BN19" s="15"/>
      <c r="BO19" s="15"/>
      <c r="BP19" s="15"/>
      <c r="BQ19" s="174"/>
      <c r="BR19" s="15"/>
      <c r="BS19" s="15"/>
      <c r="BT19" s="15"/>
      <c r="BU19" s="174"/>
      <c r="BV19" s="15"/>
      <c r="BW19" s="15"/>
      <c r="BX19" s="15"/>
      <c r="BY19" s="174"/>
      <c r="BZ19" s="15"/>
      <c r="CA19" s="15"/>
      <c r="CB19" s="15"/>
      <c r="CC19" s="174"/>
      <c r="CD19" s="15"/>
      <c r="CE19" s="15"/>
      <c r="CF19" s="15"/>
      <c r="CG19" s="174"/>
      <c r="CH19" s="15"/>
      <c r="CI19" s="15"/>
      <c r="CJ19" s="15"/>
      <c r="CK19" s="174"/>
      <c r="CL19" s="15"/>
      <c r="CM19" s="15"/>
      <c r="CN19" s="15"/>
      <c r="CO19" s="174"/>
      <c r="CP19" s="62"/>
      <c r="CQ19" s="15"/>
      <c r="CR19" s="15"/>
      <c r="CS19" s="174"/>
      <c r="CT19" s="62"/>
      <c r="CU19" s="62"/>
      <c r="CV19" s="62"/>
      <c r="CW19" s="226"/>
      <c r="CX19" s="476"/>
      <c r="CY19" s="62"/>
      <c r="CZ19" s="62"/>
      <c r="DA19" s="226"/>
      <c r="DB19" s="476"/>
      <c r="DC19" s="62"/>
      <c r="DD19" s="62"/>
      <c r="DE19" s="226"/>
      <c r="DF19" s="62"/>
      <c r="DG19" s="62"/>
      <c r="DH19" s="62"/>
      <c r="DI19" s="226"/>
      <c r="DJ19" s="62"/>
      <c r="DK19" s="62"/>
      <c r="DL19" s="62"/>
      <c r="DM19" s="226"/>
      <c r="DN19" s="62"/>
      <c r="DO19" s="62"/>
      <c r="DP19" s="62"/>
      <c r="DQ19" s="226"/>
      <c r="DR19" s="62"/>
      <c r="DS19" s="62"/>
      <c r="DT19" s="62"/>
      <c r="DU19" s="226"/>
      <c r="DV19" s="62"/>
      <c r="DW19" s="62"/>
      <c r="DX19" s="62"/>
      <c r="DY19" s="226"/>
      <c r="DZ19" s="62"/>
      <c r="EA19" s="62"/>
      <c r="EB19" s="62"/>
      <c r="EC19" s="226"/>
      <c r="ED19" s="62"/>
      <c r="EE19" s="62"/>
      <c r="EF19" s="62"/>
      <c r="EG19" s="226"/>
      <c r="EH19" s="62"/>
      <c r="EI19" s="62"/>
      <c r="EJ19" s="62"/>
      <c r="EK19" s="226"/>
      <c r="EN19" s="15"/>
      <c r="EO19" s="15"/>
      <c r="EP19" s="15"/>
      <c r="EQ19" s="15"/>
      <c r="ER19" s="15"/>
      <c r="ES19" s="15"/>
      <c r="ET19" s="15"/>
      <c r="EU19" s="15"/>
      <c r="EV19" s="15"/>
      <c r="EW19" s="15"/>
      <c r="EX19" s="15"/>
      <c r="EY19" s="15"/>
      <c r="EZ19" s="15"/>
      <c r="FA19" s="15"/>
      <c r="FB19" s="15"/>
      <c r="FC19" s="15"/>
      <c r="FD19" s="15"/>
      <c r="FE19" s="15"/>
      <c r="FF19" s="15"/>
      <c r="FG19" s="15"/>
      <c r="FH19" s="15"/>
      <c r="FI19" s="15"/>
      <c r="FJ19" s="15"/>
      <c r="FK19" s="15"/>
      <c r="FL19" s="15"/>
      <c r="FM19" s="15"/>
      <c r="FN19" s="15"/>
      <c r="FO19" s="15"/>
      <c r="FP19" s="15"/>
      <c r="FQ19" s="15"/>
      <c r="FR19" s="15"/>
      <c r="FS19" s="15"/>
      <c r="FT19" s="15"/>
      <c r="FU19" s="15"/>
      <c r="FV19" s="15"/>
      <c r="FW19" s="11"/>
      <c r="FX19" s="11"/>
      <c r="FY19" s="11"/>
    </row>
    <row r="20" spans="1:183" ht="10.199999999999999">
      <c r="A20" s="19" t="s">
        <v>107</v>
      </c>
      <c r="B20" s="34"/>
      <c r="C20" s="34"/>
      <c r="D20" s="34"/>
      <c r="E20" s="173"/>
      <c r="F20" s="34"/>
      <c r="G20" s="34"/>
      <c r="H20" s="34"/>
      <c r="I20" s="173"/>
      <c r="J20" s="34"/>
      <c r="K20" s="34"/>
      <c r="L20" s="34"/>
      <c r="M20" s="173"/>
      <c r="N20" s="34"/>
      <c r="O20" s="34"/>
      <c r="P20" s="34"/>
      <c r="Q20" s="173"/>
      <c r="R20" s="34">
        <v>2140</v>
      </c>
      <c r="S20" s="34">
        <v>1544</v>
      </c>
      <c r="T20" s="34">
        <v>1236</v>
      </c>
      <c r="U20" s="173">
        <v>786</v>
      </c>
      <c r="V20" s="34">
        <v>447</v>
      </c>
      <c r="W20" s="34">
        <v>151</v>
      </c>
      <c r="X20" s="34">
        <v>146</v>
      </c>
      <c r="Y20" s="173">
        <v>128</v>
      </c>
      <c r="Z20" s="34">
        <v>101</v>
      </c>
      <c r="AA20" s="34">
        <v>79</v>
      </c>
      <c r="AB20" s="34">
        <v>48</v>
      </c>
      <c r="AC20" s="173">
        <v>39</v>
      </c>
      <c r="AD20" s="34">
        <v>28</v>
      </c>
      <c r="AE20" s="34">
        <v>28</v>
      </c>
      <c r="AF20" s="34">
        <v>14</v>
      </c>
      <c r="AG20" s="173">
        <v>5</v>
      </c>
      <c r="AH20" s="34">
        <v>0</v>
      </c>
      <c r="AI20" s="34">
        <v>0</v>
      </c>
      <c r="AJ20" s="34">
        <v>0</v>
      </c>
      <c r="AK20" s="173">
        <v>0</v>
      </c>
      <c r="AL20" s="34">
        <v>0</v>
      </c>
      <c r="AM20" s="34">
        <v>0</v>
      </c>
      <c r="AN20" s="34">
        <v>0</v>
      </c>
      <c r="AO20" s="173">
        <v>0</v>
      </c>
      <c r="AP20" s="34">
        <v>0</v>
      </c>
      <c r="AQ20" s="34">
        <v>0</v>
      </c>
      <c r="AR20" s="34">
        <v>0</v>
      </c>
      <c r="AS20" s="173">
        <v>0</v>
      </c>
      <c r="AT20" s="34">
        <v>0</v>
      </c>
      <c r="AU20" s="34">
        <v>0</v>
      </c>
      <c r="AV20" s="34">
        <v>0</v>
      </c>
      <c r="AW20" s="173">
        <v>0</v>
      </c>
      <c r="AX20" s="34">
        <v>0</v>
      </c>
      <c r="AY20" s="34">
        <v>0</v>
      </c>
      <c r="AZ20" s="34">
        <v>0</v>
      </c>
      <c r="BA20" s="173">
        <v>2379</v>
      </c>
      <c r="BB20" s="34">
        <v>2498</v>
      </c>
      <c r="BC20" s="34">
        <v>3865</v>
      </c>
      <c r="BD20" s="34">
        <v>6899</v>
      </c>
      <c r="BE20" s="173">
        <v>10528</v>
      </c>
      <c r="BF20" s="34">
        <v>15024</v>
      </c>
      <c r="BG20" s="34">
        <v>18549</v>
      </c>
      <c r="BH20" s="34">
        <v>21551</v>
      </c>
      <c r="BI20" s="173">
        <v>25391</v>
      </c>
      <c r="BJ20" s="34">
        <v>32730</v>
      </c>
      <c r="BK20" s="34">
        <v>36533</v>
      </c>
      <c r="BL20" s="34">
        <v>47761</v>
      </c>
      <c r="BM20" s="173">
        <v>55618</v>
      </c>
      <c r="BN20" s="34">
        <v>67445</v>
      </c>
      <c r="BO20" s="34">
        <v>81638</v>
      </c>
      <c r="BP20" s="34">
        <v>89567</v>
      </c>
      <c r="BQ20" s="173">
        <v>92122</v>
      </c>
      <c r="BR20" s="34">
        <v>97292</v>
      </c>
      <c r="BS20" s="34">
        <v>105550</v>
      </c>
      <c r="BT20" s="34">
        <v>104014</v>
      </c>
      <c r="BU20" s="173">
        <v>106215</v>
      </c>
      <c r="BV20" s="34">
        <v>118131</v>
      </c>
      <c r="BW20" s="34">
        <v>109239</v>
      </c>
      <c r="BX20" s="34">
        <v>126685</v>
      </c>
      <c r="BY20" s="173">
        <v>130162</v>
      </c>
      <c r="BZ20" s="34">
        <v>145492</v>
      </c>
      <c r="CA20" s="34">
        <v>160443</v>
      </c>
      <c r="CB20" s="34">
        <v>168145</v>
      </c>
      <c r="CC20" s="173">
        <v>164065</v>
      </c>
      <c r="CD20" s="34">
        <v>177665</v>
      </c>
      <c r="CE20" s="34">
        <v>177645</v>
      </c>
      <c r="CF20" s="77">
        <v>169764</v>
      </c>
      <c r="CG20" s="173">
        <v>170430</v>
      </c>
      <c r="CH20" s="34">
        <v>185638</v>
      </c>
      <c r="CI20" s="34">
        <v>189740</v>
      </c>
      <c r="CJ20" s="34">
        <v>184757</v>
      </c>
      <c r="CK20" s="173">
        <v>194714</v>
      </c>
      <c r="CL20" s="34">
        <v>207944</v>
      </c>
      <c r="CM20" s="34">
        <v>179286</v>
      </c>
      <c r="CN20" s="34">
        <v>172773</v>
      </c>
      <c r="CO20" s="173">
        <v>170799</v>
      </c>
      <c r="CP20" s="77">
        <v>158608</v>
      </c>
      <c r="CQ20" s="34">
        <v>145319</v>
      </c>
      <c r="CR20" s="34">
        <v>115996</v>
      </c>
      <c r="CS20" s="173">
        <v>105341</v>
      </c>
      <c r="CT20" s="77">
        <v>99899</v>
      </c>
      <c r="CU20" s="77">
        <v>98793</v>
      </c>
      <c r="CV20" s="77">
        <v>100592</v>
      </c>
      <c r="CW20" s="192">
        <v>100887</v>
      </c>
      <c r="CX20" s="474">
        <v>118745</v>
      </c>
      <c r="CY20" s="77">
        <v>134539</v>
      </c>
      <c r="CZ20" s="77">
        <v>131948</v>
      </c>
      <c r="DA20" s="192">
        <v>127877</v>
      </c>
      <c r="DB20" s="474">
        <v>138683</v>
      </c>
      <c r="DC20" s="77">
        <v>141219</v>
      </c>
      <c r="DD20" s="77">
        <v>131077</v>
      </c>
      <c r="DE20" s="192">
        <v>120805</v>
      </c>
      <c r="DF20" s="474">
        <v>114095</v>
      </c>
      <c r="DG20" s="77">
        <v>110461</v>
      </c>
      <c r="DH20" s="77">
        <v>104061</v>
      </c>
      <c r="DI20" s="192">
        <v>100544</v>
      </c>
      <c r="DJ20" s="474">
        <v>99475</v>
      </c>
      <c r="DK20" s="77">
        <v>95187</v>
      </c>
      <c r="DL20" s="77">
        <v>91240</v>
      </c>
      <c r="DM20" s="192">
        <v>91479</v>
      </c>
      <c r="DN20" s="474">
        <v>87593</v>
      </c>
      <c r="DO20" s="77">
        <v>84424</v>
      </c>
      <c r="DP20" s="77">
        <v>77614</v>
      </c>
      <c r="DQ20" s="176">
        <f>-SUM('Cash Flow Statement'!DQ28:DQ30)*0.75+DP20</f>
      </c>
      <c r="DR20" s="85">
        <f>-SUM('Cash Flow Statement'!DR28:DR30)*0.75+DQ20</f>
      </c>
      <c r="DS20" s="85">
        <f>-SUM('Cash Flow Statement'!DS28:DS30)*0.75+DR20</f>
      </c>
      <c r="DT20" s="85">
        <f>-SUM('Cash Flow Statement'!DT28:DT30)*0.75+DS20</f>
      </c>
      <c r="DU20" s="176">
        <f>-SUM('Cash Flow Statement'!DU28:DU30)*0.75+DT20</f>
      </c>
      <c r="DV20" s="85">
        <f>-SUM('Cash Flow Statement'!DV28:DV30)*0.75+DU20</f>
      </c>
      <c r="DW20" s="85">
        <f>-SUM('Cash Flow Statement'!DW28:DW30)*0.75+DV20</f>
      </c>
      <c r="DX20" s="85">
        <f>-SUM('Cash Flow Statement'!DX28:DX30)*0.75+DW20</f>
      </c>
      <c r="DY20" s="176">
        <f>-SUM('Cash Flow Statement'!DY28:DY30)*0.75+DX20</f>
      </c>
      <c r="DZ20" s="85">
        <f>-SUM('Cash Flow Statement'!DZ28:DZ30)*0.75+DY20</f>
      </c>
      <c r="EA20" s="85">
        <f>-SUM('Cash Flow Statement'!EA28:EA30)*0.75+DZ20</f>
      </c>
      <c r="EB20" s="85">
        <f>-SUM('Cash Flow Statement'!EB28:EB30)*0.75+EA20</f>
      </c>
      <c r="EC20" s="176">
        <f>-SUM('Cash Flow Statement'!EC28:EC30)*0.75+EB20</f>
      </c>
      <c r="ED20" s="85">
        <f>-SUM('Cash Flow Statement'!ED28:ED30)*0.75+EC20</f>
      </c>
      <c r="EE20" s="85">
        <f>-SUM('Cash Flow Statement'!EE28:EE30)*0.75+ED20</f>
      </c>
      <c r="EF20" s="85">
        <f>-SUM('Cash Flow Statement'!EF28:EF30)*0.75+EE20</f>
      </c>
      <c r="EG20" s="176">
        <f>-SUM('Cash Flow Statement'!EG28:EG30)*0.75+EF20</f>
      </c>
      <c r="EH20" s="85">
        <f>-SUM('Cash Flow Statement'!EH28:EH30)*0.75+EG20</f>
      </c>
      <c r="EI20" s="85">
        <f>-SUM('Cash Flow Statement'!EI28:EI30)*0.75+EH20</f>
      </c>
      <c r="EJ20" s="85">
        <f>-SUM('Cash Flow Statement'!EJ28:EJ30)*0.75+EI20</f>
      </c>
      <c r="EK20" s="176">
        <f>-SUM('Cash Flow Statement'!EK28:EK30)*0.75+EJ20</f>
      </c>
      <c r="EN20" s="15">
        <f>E20</f>
      </c>
      <c r="EO20" s="15">
        <f>I20</f>
      </c>
      <c r="EP20" s="15">
        <f>M20</f>
      </c>
      <c r="EQ20" s="15">
        <f>Q20</f>
      </c>
      <c r="ER20" s="15">
        <f>U20</f>
      </c>
      <c r="ES20" s="15">
        <f>Y20</f>
      </c>
      <c r="ET20" s="15">
        <f>AC20</f>
      </c>
      <c r="EU20" s="15">
        <f>AG20</f>
      </c>
      <c r="EV20" s="15">
        <f>AK20</f>
      </c>
      <c r="EW20" s="15">
        <f>AO20</f>
      </c>
      <c r="EX20" s="15">
        <f>AS20</f>
      </c>
      <c r="EY20" s="15">
        <f>AW20</f>
      </c>
      <c r="EZ20" s="15">
        <f>BA20</f>
      </c>
      <c r="FA20" s="15">
        <f>BE20</f>
      </c>
      <c r="FB20" s="15">
        <f>BI20:BI58</f>
      </c>
      <c r="FC20" s="15">
        <f>BM20:BM58</f>
      </c>
      <c r="FD20" s="15">
        <f>BQ20:BQ58</f>
      </c>
      <c r="FE20" s="15">
        <f>BU20:BU58</f>
      </c>
      <c r="FF20" s="15">
        <f>BY20:BY58</f>
      </c>
      <c r="FG20" s="15">
        <f>CC20:CC58</f>
      </c>
      <c r="FH20" s="15">
        <f>CG20:CG58</f>
      </c>
      <c r="FI20" s="15">
        <f>CK20:CK58</f>
      </c>
      <c r="FJ20" s="15">
        <f>CO20:CO58</f>
      </c>
      <c r="FK20" s="15">
        <f>$CS$11:$CS$53</f>
      </c>
      <c r="FL20" s="15">
        <f>$CW$11:$CW$53</f>
      </c>
      <c r="FM20" s="15">
        <f>$DA$11:$DA$53</f>
      </c>
      <c r="FN20" s="15">
        <f>$DE$11:$DE$53</f>
      </c>
      <c r="FO20" s="15">
        <f t="shared" ref="FO20:FO25" si="34">+DI20</f>
      </c>
      <c r="FP20" s="15">
        <f t="shared" ref="FP20:FP25" si="35">+DM20</f>
      </c>
      <c r="FQ20" s="15">
        <f t="shared" ref="FQ20:FQ25" si="36">+DQ20</f>
      </c>
      <c r="FR20" s="15">
        <f t="shared" ref="FR20:FR25" si="37">+DU20</f>
      </c>
      <c r="FS20" s="15">
        <f t="shared" ref="FS20:FS25" si="38">DY20</f>
      </c>
      <c r="FT20" s="15">
        <f t="shared" ref="FT20:FT25" si="39">EC20</f>
      </c>
      <c r="FU20" s="15">
        <f t="shared" ref="FU20:FU25" si="40">EG20</f>
      </c>
      <c r="FV20" s="15">
        <f t="shared" ref="FV20:FV25" si="41">EK20</f>
      </c>
      <c r="FW20" s="11"/>
      <c r="FX20" s="11"/>
      <c r="FY20" s="11"/>
    </row>
    <row r="21" spans="1:183" ht="10.199999999999999">
      <c r="A21" s="19" t="s">
        <v>108</v>
      </c>
      <c r="B21" s="34">
        <v>712</v>
      </c>
      <c r="C21" s="34">
        <v>692</v>
      </c>
      <c r="D21" s="34">
        <v>615</v>
      </c>
      <c r="E21" s="173">
        <v>598</v>
      </c>
      <c r="F21" s="34">
        <v>593</v>
      </c>
      <c r="G21" s="34">
        <v>556</v>
      </c>
      <c r="H21" s="34">
        <v>540</v>
      </c>
      <c r="I21" s="173">
        <v>486</v>
      </c>
      <c r="J21" s="34">
        <v>429</v>
      </c>
      <c r="K21" s="34">
        <v>415</v>
      </c>
      <c r="L21" s="34">
        <v>365</v>
      </c>
      <c r="M21" s="173">
        <v>348</v>
      </c>
      <c r="N21" s="34">
        <v>344</v>
      </c>
      <c r="O21" s="34">
        <v>330</v>
      </c>
      <c r="P21" s="34">
        <v>313</v>
      </c>
      <c r="Q21" s="173">
        <v>318</v>
      </c>
      <c r="R21" s="34">
        <v>318</v>
      </c>
      <c r="S21" s="34">
        <v>314</v>
      </c>
      <c r="T21" s="34">
        <v>314</v>
      </c>
      <c r="U21" s="173">
        <v>313</v>
      </c>
      <c r="V21" s="34">
        <v>325</v>
      </c>
      <c r="W21" s="34">
        <v>331</v>
      </c>
      <c r="X21" s="34">
        <v>347</v>
      </c>
      <c r="Y21" s="173">
        <v>564</v>
      </c>
      <c r="Z21" s="34">
        <v>573</v>
      </c>
      <c r="AA21" s="34">
        <v>587</v>
      </c>
      <c r="AB21" s="34">
        <v>589</v>
      </c>
      <c r="AC21" s="173">
        <v>621</v>
      </c>
      <c r="AD21" s="34">
        <v>605</v>
      </c>
      <c r="AE21" s="34">
        <v>619</v>
      </c>
      <c r="AF21" s="34">
        <v>639</v>
      </c>
      <c r="AG21" s="173">
        <v>669</v>
      </c>
      <c r="AH21" s="34">
        <v>684</v>
      </c>
      <c r="AI21" s="34">
        <v>687</v>
      </c>
      <c r="AJ21" s="34">
        <v>684</v>
      </c>
      <c r="AK21" s="173">
        <v>707</v>
      </c>
      <c r="AL21" s="34">
        <v>735</v>
      </c>
      <c r="AM21" s="34">
        <v>742</v>
      </c>
      <c r="AN21" s="34">
        <v>764</v>
      </c>
      <c r="AO21" s="173">
        <v>817</v>
      </c>
      <c r="AP21" s="34">
        <v>855</v>
      </c>
      <c r="AQ21" s="34">
        <v>1005</v>
      </c>
      <c r="AR21" s="34">
        <v>1197</v>
      </c>
      <c r="AS21" s="173">
        <v>1281</v>
      </c>
      <c r="AT21" s="34">
        <v>1362</v>
      </c>
      <c r="AU21" s="34">
        <v>1409</v>
      </c>
      <c r="AV21" s="34">
        <v>1626</v>
      </c>
      <c r="AW21" s="173">
        <v>1832</v>
      </c>
      <c r="AX21" s="34">
        <v>1870</v>
      </c>
      <c r="AY21" s="34">
        <v>1962</v>
      </c>
      <c r="AZ21" s="34">
        <v>2177</v>
      </c>
      <c r="BA21" s="173">
        <v>2455</v>
      </c>
      <c r="BB21" s="34">
        <v>2580</v>
      </c>
      <c r="BC21" s="34">
        <v>2546</v>
      </c>
      <c r="BD21" s="34">
        <v>2653</v>
      </c>
      <c r="BE21" s="173">
        <v>2954</v>
      </c>
      <c r="BF21" s="34">
        <v>3115</v>
      </c>
      <c r="BG21" s="34">
        <v>3504</v>
      </c>
      <c r="BH21" s="34">
        <v>3990</v>
      </c>
      <c r="BI21" s="173">
        <v>4768</v>
      </c>
      <c r="BJ21" s="34">
        <v>5868</v>
      </c>
      <c r="BK21" s="34">
        <v>6241</v>
      </c>
      <c r="BL21" s="34">
        <v>6749</v>
      </c>
      <c r="BM21" s="173">
        <v>7777</v>
      </c>
      <c r="BN21" s="34">
        <v>7816</v>
      </c>
      <c r="BO21" s="34">
        <v>8847</v>
      </c>
      <c r="BP21" s="34">
        <v>10487</v>
      </c>
      <c r="BQ21" s="173">
        <v>15452</v>
      </c>
      <c r="BR21" s="34">
        <v>15422</v>
      </c>
      <c r="BS21" s="34">
        <v>15026</v>
      </c>
      <c r="BT21" s="34">
        <v>16327</v>
      </c>
      <c r="BU21" s="173">
        <v>16597</v>
      </c>
      <c r="BV21" s="34">
        <v>15488</v>
      </c>
      <c r="BW21" s="34">
        <v>15120</v>
      </c>
      <c r="BX21" s="34">
        <v>17585</v>
      </c>
      <c r="BY21" s="173">
        <v>20624</v>
      </c>
      <c r="BZ21" s="34">
        <v>20392</v>
      </c>
      <c r="CA21" s="34">
        <v>20151</v>
      </c>
      <c r="CB21" s="34">
        <v>21149</v>
      </c>
      <c r="CC21" s="173">
        <v>22471</v>
      </c>
      <c r="CD21" s="34">
        <v>22300</v>
      </c>
      <c r="CE21" s="34">
        <v>23203</v>
      </c>
      <c r="CF21" s="77">
        <v>25448</v>
      </c>
      <c r="CG21" s="173">
        <v>27010</v>
      </c>
      <c r="CH21" s="34">
        <v>26510</v>
      </c>
      <c r="CI21" s="34">
        <v>27163</v>
      </c>
      <c r="CJ21" s="34">
        <v>29286</v>
      </c>
      <c r="CK21" s="173">
        <v>33783</v>
      </c>
      <c r="CL21" s="34">
        <v>33679</v>
      </c>
      <c r="CM21" s="34">
        <v>35077</v>
      </c>
      <c r="CN21" s="34">
        <v>38117</v>
      </c>
      <c r="CO21" s="173">
        <v>41304</v>
      </c>
      <c r="CP21" s="77">
        <v>39597</v>
      </c>
      <c r="CQ21" s="34">
        <v>38746</v>
      </c>
      <c r="CR21" s="34">
        <v>37636</v>
      </c>
      <c r="CS21" s="173">
        <v>37378</v>
      </c>
      <c r="CT21" s="77">
        <v>37031</v>
      </c>
      <c r="CU21" s="77">
        <v>35889</v>
      </c>
      <c r="CV21" s="77">
        <v>35687</v>
      </c>
      <c r="CW21" s="192">
        <v>36766</v>
      </c>
      <c r="CX21" s="474">
        <v>37933</v>
      </c>
      <c r="CY21" s="77">
        <v>37815</v>
      </c>
      <c r="CZ21" s="77">
        <v>38615</v>
      </c>
      <c r="DA21" s="192">
        <v>39440</v>
      </c>
      <c r="DB21" s="474">
        <v>39245</v>
      </c>
      <c r="DC21" s="77">
        <v>39304</v>
      </c>
      <c r="DD21" s="77">
        <v>40335</v>
      </c>
      <c r="DE21" s="192">
        <v>42117</v>
      </c>
      <c r="DF21" s="474">
        <v>42951</v>
      </c>
      <c r="DG21" s="77">
        <v>43398</v>
      </c>
      <c r="DH21" s="77">
        <v>43550</v>
      </c>
      <c r="DI21" s="192">
        <v>43715</v>
      </c>
      <c r="DJ21" s="474">
        <v>43666</v>
      </c>
      <c r="DK21" s="77">
        <v>43546</v>
      </c>
      <c r="DL21" s="77">
        <v>44502</v>
      </c>
      <c r="DM21" s="192">
        <v>45680</v>
      </c>
      <c r="DN21" s="474">
        <v>46069</v>
      </c>
      <c r="DO21" s="77">
        <v>46876</v>
      </c>
      <c r="DP21" s="77">
        <v>48508</v>
      </c>
      <c r="DQ21" s="176">
        <f t="shared" ref="DQ21" si="42">DQ82</f>
      </c>
      <c r="DR21" s="85">
        <f t="shared" ref="DR21:DU21" si="43">DR82</f>
      </c>
      <c r="DS21" s="85">
        <f t="shared" si="43"/>
      </c>
      <c r="DT21" s="85">
        <f t="shared" si="43"/>
      </c>
      <c r="DU21" s="176">
        <f t="shared" si="43"/>
      </c>
      <c r="DV21" s="85">
        <f t="shared" ref="DV21:EK21" si="44">DV82</f>
      </c>
      <c r="DW21" s="85">
        <f t="shared" si="44"/>
      </c>
      <c r="DX21" s="85">
        <f t="shared" si="44"/>
      </c>
      <c r="DY21" s="176">
        <f t="shared" si="44"/>
      </c>
      <c r="DZ21" s="85">
        <f t="shared" si="44"/>
      </c>
      <c r="EA21" s="85">
        <f t="shared" si="44"/>
      </c>
      <c r="EB21" s="85">
        <f t="shared" si="44"/>
      </c>
      <c r="EC21" s="176">
        <f t="shared" si="44"/>
      </c>
      <c r="ED21" s="85">
        <f t="shared" si="44"/>
      </c>
      <c r="EE21" s="85">
        <f t="shared" si="44"/>
      </c>
      <c r="EF21" s="85">
        <f t="shared" si="44"/>
      </c>
      <c r="EG21" s="176">
        <f t="shared" si="44"/>
      </c>
      <c r="EH21" s="85">
        <f t="shared" si="44"/>
      </c>
      <c r="EI21" s="85">
        <f t="shared" si="44"/>
      </c>
      <c r="EJ21" s="85">
        <f t="shared" si="44"/>
      </c>
      <c r="EK21" s="176">
        <f t="shared" si="44"/>
      </c>
      <c r="EN21" s="15">
        <f>E21</f>
      </c>
      <c r="EO21" s="15">
        <f>I21</f>
      </c>
      <c r="EP21" s="15">
        <f>M21</f>
      </c>
      <c r="EQ21" s="15">
        <f>Q21</f>
      </c>
      <c r="ER21" s="15">
        <f>U21</f>
      </c>
      <c r="ES21" s="15">
        <f>Y21</f>
      </c>
      <c r="ET21" s="15">
        <f>AC21</f>
      </c>
      <c r="EU21" s="15">
        <f>AG21</f>
      </c>
      <c r="EV21" s="15">
        <f>AK21</f>
      </c>
      <c r="EW21" s="15">
        <f>AO21</f>
      </c>
      <c r="EX21" s="15">
        <f>AS21</f>
      </c>
      <c r="EY21" s="15">
        <f>AW21</f>
      </c>
      <c r="EZ21" s="15">
        <f>BA21</f>
      </c>
      <c r="FA21" s="15">
        <f>BE21</f>
      </c>
      <c r="FB21" s="15">
        <f>BI21:BI93</f>
      </c>
      <c r="FC21" s="15">
        <f>BM21:BM93</f>
      </c>
      <c r="FD21" s="15">
        <f>BQ21:BQ93</f>
      </c>
      <c r="FE21" s="15">
        <f>BU21:BU93</f>
      </c>
      <c r="FF21" s="15">
        <f>BY21:BY93</f>
      </c>
      <c r="FG21" s="15">
        <f>CC21:CC93</f>
      </c>
      <c r="FH21" s="15">
        <f>CG21:CG93</f>
      </c>
      <c r="FI21" s="15">
        <f>CK21:CK93</f>
      </c>
      <c r="FJ21" s="15">
        <f>CO21:CO93</f>
      </c>
      <c r="FK21" s="15">
        <f>$CS$11:$CS$53</f>
      </c>
      <c r="FL21" s="15">
        <f>$CW$11:$CW$53</f>
      </c>
      <c r="FM21" s="15">
        <f>$DA$11:$DA$53</f>
      </c>
      <c r="FN21" s="15">
        <f>$DE$11:$DE$53</f>
      </c>
      <c r="FO21" s="15">
        <f t="shared" si="34"/>
      </c>
      <c r="FP21" s="15">
        <f t="shared" si="35"/>
      </c>
      <c r="FQ21" s="15">
        <f t="shared" si="36"/>
      </c>
      <c r="FR21" s="15">
        <f t="shared" si="37"/>
      </c>
      <c r="FS21" s="15">
        <f t="shared" si="38"/>
      </c>
      <c r="FT21" s="15">
        <f t="shared" si="39"/>
      </c>
      <c r="FU21" s="15">
        <f t="shared" si="40"/>
      </c>
      <c r="FV21" s="15">
        <f t="shared" si="41"/>
      </c>
      <c r="FW21" s="11"/>
      <c r="FX21" s="11"/>
      <c r="FY21" s="11"/>
    </row>
    <row r="22" spans="1:183" ht="10.199999999999999" hidden="1" outlineLevel="1">
      <c r="A22" s="19" t="s">
        <v>109</v>
      </c>
      <c r="B22" s="34">
        <v>290</v>
      </c>
      <c r="C22" s="34">
        <v>265</v>
      </c>
      <c r="D22" s="34">
        <v>276</v>
      </c>
      <c r="E22" s="173">
        <v>251</v>
      </c>
      <c r="F22" s="34">
        <v>260</v>
      </c>
      <c r="G22" s="34">
        <v>289</v>
      </c>
      <c r="H22" s="34">
        <v>308</v>
      </c>
      <c r="I22" s="173">
        <v>323</v>
      </c>
      <c r="J22" s="34">
        <v>324</v>
      </c>
      <c r="K22" s="34">
        <v>335</v>
      </c>
      <c r="L22" s="34">
        <v>301</v>
      </c>
      <c r="M22" s="173">
        <v>243</v>
      </c>
      <c r="N22" s="34">
        <v>381</v>
      </c>
      <c r="O22" s="34">
        <v>513</v>
      </c>
      <c r="P22" s="34">
        <v>408</v>
      </c>
      <c r="Q22" s="173">
        <v>558</v>
      </c>
      <c r="R22" s="34">
        <v>219</v>
      </c>
      <c r="S22" s="34">
        <v>237</v>
      </c>
      <c r="T22" s="34">
        <v>225</v>
      </c>
      <c r="U22" s="173">
        <v>277</v>
      </c>
      <c r="V22" s="34">
        <v>288</v>
      </c>
      <c r="W22" s="34">
        <v>303</v>
      </c>
      <c r="X22" s="34">
        <v>330</v>
      </c>
      <c r="Y22" s="173">
        <v>186</v>
      </c>
      <c r="Z22" s="34">
        <v>176</v>
      </c>
      <c r="AA22" s="34">
        <v>184</v>
      </c>
      <c r="AB22" s="34">
        <v>213</v>
      </c>
      <c r="AC22" s="173">
        <v>250</v>
      </c>
      <c r="AD22" s="34">
        <v>252</v>
      </c>
      <c r="AE22" s="34">
        <v>246</v>
      </c>
      <c r="AF22" s="34">
        <v>242</v>
      </c>
      <c r="AG22" s="173">
        <v>254</v>
      </c>
      <c r="AH22" s="34">
        <v>258</v>
      </c>
      <c r="AI22" s="34">
        <v>264</v>
      </c>
      <c r="AJ22" s="34">
        <v>253</v>
      </c>
      <c r="AK22" s="173">
        <v>288</v>
      </c>
      <c r="AL22" s="34">
        <v>305</v>
      </c>
      <c r="AM22" s="34">
        <v>362</v>
      </c>
      <c r="AN22" s="34">
        <v>348</v>
      </c>
      <c r="AO22" s="173">
        <v>434</v>
      </c>
      <c r="AP22" s="34">
        <v>1164</v>
      </c>
      <c r="AQ22" s="34">
        <v>1620</v>
      </c>
      <c r="AR22" s="34">
        <v>1426</v>
      </c>
      <c r="AS22" s="173">
        <v>1415</v>
      </c>
      <c r="AT22" s="34">
        <v>1435</v>
      </c>
      <c r="AU22" s="34">
        <v>1279</v>
      </c>
      <c r="AV22" s="34">
        <v>1220</v>
      </c>
      <c r="AW22" s="173">
        <v>1345</v>
      </c>
      <c r="AX22" s="34">
        <v>1510</v>
      </c>
      <c r="AY22" s="34">
        <v>1214</v>
      </c>
      <c r="AZ22" s="34">
        <v>1103</v>
      </c>
      <c r="BA22" s="173">
        <v>1331</v>
      </c>
      <c r="BB22" s="34">
        <v>207</v>
      </c>
      <c r="BC22" s="34">
        <v>207</v>
      </c>
      <c r="BD22" s="34">
        <v>207</v>
      </c>
      <c r="BE22" s="173">
        <v>206</v>
      </c>
      <c r="BF22" s="34">
        <v>253</v>
      </c>
      <c r="BG22" s="34">
        <v>480</v>
      </c>
      <c r="BH22" s="34">
        <v>714</v>
      </c>
      <c r="BI22" s="173">
        <v>741</v>
      </c>
      <c r="BJ22" s="34">
        <v>741</v>
      </c>
      <c r="BK22" s="34">
        <v>741</v>
      </c>
      <c r="BL22" s="34">
        <v>741</v>
      </c>
      <c r="BM22" s="173">
        <v>896</v>
      </c>
      <c r="BN22" s="34">
        <v>896</v>
      </c>
      <c r="BO22" s="34">
        <v>1141</v>
      </c>
      <c r="BP22" s="34">
        <v>1132</v>
      </c>
      <c r="BQ22" s="173">
        <v>1135</v>
      </c>
      <c r="BR22" s="34">
        <v>1381</v>
      </c>
      <c r="BS22" s="34">
        <v>1400</v>
      </c>
      <c r="BT22" s="34">
        <v>1522</v>
      </c>
      <c r="BU22" s="173">
        <v>1577</v>
      </c>
      <c r="BV22" s="34">
        <v>2022</v>
      </c>
      <c r="BW22" s="34">
        <v>2055</v>
      </c>
      <c r="BX22" s="34">
        <v>2374</v>
      </c>
      <c r="BY22" s="173">
        <v>4616</v>
      </c>
      <c r="BZ22" s="34">
        <v>4629</v>
      </c>
      <c r="CA22" s="34">
        <v>4711</v>
      </c>
      <c r="CB22" s="34">
        <v>5044</v>
      </c>
      <c r="CC22" s="173">
        <v>5116</v>
      </c>
      <c r="CD22" s="34">
        <v>5202</v>
      </c>
      <c r="CE22" s="34">
        <v>5249</v>
      </c>
      <c r="CF22" s="77">
        <v>5261</v>
      </c>
      <c r="CG22" s="173">
        <v>5414</v>
      </c>
      <c r="CH22" s="34">
        <v>5423</v>
      </c>
      <c r="CI22" s="34">
        <v>5473</v>
      </c>
      <c r="CJ22" s="34">
        <v>5661</v>
      </c>
      <c r="CK22" s="173">
        <v>5717</v>
      </c>
      <c r="CL22" s="34">
        <v>5889</v>
      </c>
      <c r="CM22" s="316">
        <v>5889</v>
      </c>
      <c r="CN22" s="316">
        <v>5889</v>
      </c>
      <c r="CO22" s="189">
        <f>CN22</f>
      </c>
      <c r="CP22" s="316">
        <f t="shared" ref="CP22:DD23" si="45">CO22</f>
      </c>
      <c r="CQ22" s="316">
        <f t="shared" si="45"/>
      </c>
      <c r="CR22" s="316">
        <f t="shared" si="45"/>
      </c>
      <c r="CS22" s="189">
        <f t="shared" si="45"/>
      </c>
      <c r="CT22" s="316">
        <f t="shared" si="45"/>
      </c>
      <c r="CU22" s="316">
        <f t="shared" si="45"/>
      </c>
      <c r="CV22" s="316">
        <f t="shared" si="45"/>
      </c>
      <c r="CW22" s="317">
        <f t="shared" si="45"/>
      </c>
      <c r="CX22" s="1259">
        <f t="shared" si="45"/>
      </c>
      <c r="CY22" s="1184">
        <f t="shared" si="45"/>
      </c>
      <c r="CZ22" s="1184">
        <f t="shared" ref="CZ22:DE22" si="46">CY22</f>
      </c>
      <c r="DA22" s="689">
        <f t="shared" si="45"/>
      </c>
      <c r="DB22" s="1259">
        <f t="shared" si="45"/>
      </c>
      <c r="DC22" s="1184">
        <f t="shared" si="45"/>
      </c>
      <c r="DD22" s="1184">
        <f t="shared" si="45"/>
      </c>
      <c r="DE22" s="689">
        <f t="shared" si="46"/>
      </c>
      <c r="DF22" s="1259">
        <v>5889</v>
      </c>
      <c r="DG22" s="1184">
        <f t="shared" ref="DG22:DP22" si="47">DF22</f>
      </c>
      <c r="DH22" s="1184">
        <f t="shared" si="47"/>
      </c>
      <c r="DI22" s="689">
        <f t="shared" si="47"/>
      </c>
      <c r="DJ22" s="1259">
        <f t="shared" si="47"/>
      </c>
      <c r="DK22" s="1184">
        <f t="shared" si="47"/>
      </c>
      <c r="DL22" s="1184">
        <f t="shared" si="47"/>
      </c>
      <c r="DM22" s="689">
        <f t="shared" si="47"/>
      </c>
      <c r="DN22" s="1259">
        <f t="shared" si="47"/>
      </c>
      <c r="DO22" s="1184">
        <f t="shared" si="47"/>
      </c>
      <c r="DP22" s="1184">
        <f t="shared" si="47"/>
      </c>
      <c r="DQ22" s="689">
        <f t="shared" ref="DQ22" si="48">DP22</f>
      </c>
      <c r="DR22" s="1184">
        <f t="shared" ref="DR22" si="49">DQ22</f>
      </c>
      <c r="DS22" s="1184">
        <f t="shared" ref="DS22" si="50">DR22</f>
      </c>
      <c r="DT22" s="1184">
        <f t="shared" ref="DT22" si="51">DS22</f>
      </c>
      <c r="DU22" s="689">
        <f t="shared" ref="DU22" si="52">DT22</f>
      </c>
      <c r="DV22" s="1184">
        <f t="shared" ref="DV22" si="53">DU22</f>
      </c>
      <c r="DW22" s="1184">
        <f t="shared" ref="DW22" si="54">DV22</f>
      </c>
      <c r="DX22" s="1184">
        <f t="shared" ref="DX22" si="55">DW22</f>
      </c>
      <c r="DY22" s="689">
        <f t="shared" ref="DY22" si="56">DX22</f>
      </c>
      <c r="DZ22" s="1184">
        <f t="shared" ref="DZ22" si="57">DY22</f>
      </c>
      <c r="EA22" s="1184">
        <f t="shared" ref="EA22" si="58">DZ22</f>
      </c>
      <c r="EB22" s="1184">
        <f t="shared" ref="EB22" si="59">EA22</f>
      </c>
      <c r="EC22" s="689">
        <f t="shared" ref="EC22" si="60">EB22</f>
      </c>
      <c r="ED22" s="1184">
        <f t="shared" ref="ED22" si="61">EC22</f>
      </c>
      <c r="EE22" s="1184">
        <f t="shared" ref="EE22" si="62">ED22</f>
      </c>
      <c r="EF22" s="1184">
        <f t="shared" ref="EF22" si="63">EE22</f>
      </c>
      <c r="EG22" s="689">
        <f t="shared" ref="EG22" si="64">EF22</f>
      </c>
      <c r="EH22" s="1184">
        <f t="shared" ref="EH22" si="65">EG22</f>
      </c>
      <c r="EI22" s="1184">
        <f t="shared" ref="EI22" si="66">EH22</f>
      </c>
      <c r="EJ22" s="1184">
        <f t="shared" ref="EJ22" si="67">EI22</f>
      </c>
      <c r="EK22" s="689">
        <f t="shared" ref="EK22" si="68">EJ22</f>
      </c>
      <c r="EN22" s="15">
        <f>E22</f>
      </c>
      <c r="EO22" s="15">
        <f>I22</f>
      </c>
      <c r="EP22" s="15">
        <f>M22</f>
      </c>
      <c r="EQ22" s="15">
        <f>Q22</f>
      </c>
      <c r="ER22" s="15">
        <f>U22</f>
      </c>
      <c r="ES22" s="15">
        <f>Y22</f>
      </c>
      <c r="ET22" s="15">
        <f>AC22</f>
      </c>
      <c r="EU22" s="15">
        <f>AG22</f>
      </c>
      <c r="EV22" s="15">
        <f>AK22</f>
      </c>
      <c r="EW22" s="15">
        <f>AO22</f>
      </c>
      <c r="EX22" s="15">
        <f>AS22</f>
      </c>
      <c r="EY22" s="15">
        <f>AW22</f>
      </c>
      <c r="EZ22" s="15">
        <f>BA22</f>
      </c>
      <c r="FA22" s="15">
        <f>BE22</f>
      </c>
      <c r="FB22" s="15">
        <f>BI22:BI93</f>
      </c>
      <c r="FC22" s="15">
        <f>BM22:BM93</f>
      </c>
      <c r="FD22" s="15">
        <f>BQ22:BQ93</f>
      </c>
      <c r="FE22" s="15">
        <f>BU22:BU93</f>
      </c>
      <c r="FF22" s="15">
        <f>BY22:BY93</f>
      </c>
      <c r="FG22" s="15">
        <f>CC22:CC93</f>
      </c>
      <c r="FH22" s="15">
        <f>CG22:CG93</f>
      </c>
      <c r="FI22" s="15">
        <f>CK22:CK93</f>
      </c>
      <c r="FJ22" s="15">
        <f>CO22:CO93</f>
      </c>
      <c r="FK22" s="15">
        <f>$CS$11:$CS$53</f>
      </c>
      <c r="FL22" s="15">
        <f>$CW$11:$CW$53</f>
      </c>
      <c r="FM22" s="15">
        <f>$DA$11:$DA$53</f>
      </c>
      <c r="FN22" s="15">
        <f>$DE$11:$DE$53</f>
      </c>
      <c r="FO22" s="15">
        <f t="shared" si="34"/>
      </c>
      <c r="FP22" s="15">
        <f t="shared" si="35"/>
      </c>
      <c r="FQ22" s="15">
        <f t="shared" si="36"/>
      </c>
      <c r="FR22" s="15">
        <f t="shared" si="37"/>
      </c>
      <c r="FS22" s="15">
        <f t="shared" si="38"/>
      </c>
      <c r="FT22" s="15">
        <f t="shared" si="39"/>
      </c>
      <c r="FU22" s="15">
        <f t="shared" si="40"/>
      </c>
      <c r="FV22" s="15">
        <f t="shared" si="41"/>
      </c>
      <c r="FW22" s="11"/>
      <c r="FX22" s="11"/>
      <c r="FY22" s="11"/>
    </row>
    <row r="23" spans="1:183" ht="10.199999999999999" hidden="1" outlineLevel="1">
      <c r="A23" s="19" t="s">
        <v>110</v>
      </c>
      <c r="B23" s="34"/>
      <c r="C23" s="34"/>
      <c r="D23" s="34"/>
      <c r="E23" s="173"/>
      <c r="F23" s="34"/>
      <c r="G23" s="34"/>
      <c r="H23" s="34"/>
      <c r="I23" s="173"/>
      <c r="J23" s="34"/>
      <c r="K23" s="34"/>
      <c r="L23" s="34"/>
      <c r="M23" s="173"/>
      <c r="N23" s="34"/>
      <c r="O23" s="34"/>
      <c r="P23" s="34"/>
      <c r="Q23" s="173"/>
      <c r="R23" s="34"/>
      <c r="S23" s="34"/>
      <c r="T23" s="34"/>
      <c r="U23" s="173"/>
      <c r="V23" s="34"/>
      <c r="W23" s="34"/>
      <c r="X23" s="34"/>
      <c r="Y23" s="173"/>
      <c r="Z23" s="34"/>
      <c r="AA23" s="34"/>
      <c r="AB23" s="34"/>
      <c r="AC23" s="173"/>
      <c r="AD23" s="34"/>
      <c r="AE23" s="34"/>
      <c r="AF23" s="34"/>
      <c r="AG23" s="173"/>
      <c r="AH23" s="34"/>
      <c r="AI23" s="34"/>
      <c r="AJ23" s="34"/>
      <c r="AK23" s="173"/>
      <c r="AL23" s="34"/>
      <c r="AM23" s="34"/>
      <c r="AN23" s="34"/>
      <c r="AO23" s="173"/>
      <c r="AP23" s="34"/>
      <c r="AQ23" s="34"/>
      <c r="AR23" s="34"/>
      <c r="AS23" s="173"/>
      <c r="AT23" s="34"/>
      <c r="AU23" s="34"/>
      <c r="AV23" s="34"/>
      <c r="AW23" s="173"/>
      <c r="AX23" s="34"/>
      <c r="AY23" s="34"/>
      <c r="AZ23" s="34"/>
      <c r="BA23" s="173"/>
      <c r="BB23" s="34">
        <v>277</v>
      </c>
      <c r="BC23" s="34">
        <v>268</v>
      </c>
      <c r="BD23" s="34">
        <v>259</v>
      </c>
      <c r="BE23" s="173">
        <v>247</v>
      </c>
      <c r="BF23" s="34">
        <v>241</v>
      </c>
      <c r="BG23" s="34">
        <v>263</v>
      </c>
      <c r="BH23" s="34">
        <v>318</v>
      </c>
      <c r="BI23" s="173">
        <v>342</v>
      </c>
      <c r="BJ23" s="34">
        <v>522</v>
      </c>
      <c r="BK23" s="34">
        <v>507</v>
      </c>
      <c r="BL23" s="34">
        <v>1169</v>
      </c>
      <c r="BM23" s="173">
        <v>3536</v>
      </c>
      <c r="BN23" s="34">
        <v>3472</v>
      </c>
      <c r="BO23" s="34">
        <v>3604</v>
      </c>
      <c r="BP23" s="34">
        <v>4329</v>
      </c>
      <c r="BQ23" s="173">
        <v>4224</v>
      </c>
      <c r="BR23" s="34">
        <v>4462</v>
      </c>
      <c r="BS23" s="34">
        <v>4136</v>
      </c>
      <c r="BT23" s="34">
        <v>4353</v>
      </c>
      <c r="BU23" s="173">
        <v>4179</v>
      </c>
      <c r="BV23" s="34">
        <v>4105</v>
      </c>
      <c r="BW23" s="34">
        <v>3928</v>
      </c>
      <c r="BX23" s="34">
        <v>3767</v>
      </c>
      <c r="BY23" s="173">
        <v>4142</v>
      </c>
      <c r="BZ23" s="34">
        <v>4370</v>
      </c>
      <c r="CA23" s="34">
        <v>4061</v>
      </c>
      <c r="CB23" s="34">
        <v>3779</v>
      </c>
      <c r="CC23" s="173">
        <v>3893</v>
      </c>
      <c r="CD23" s="34">
        <v>3924</v>
      </c>
      <c r="CE23" s="34">
        <v>3843</v>
      </c>
      <c r="CF23" s="77">
        <v>3506</v>
      </c>
      <c r="CG23" s="173">
        <v>3206</v>
      </c>
      <c r="CH23" s="34">
        <v>2848</v>
      </c>
      <c r="CI23" s="34">
        <v>2617</v>
      </c>
      <c r="CJ23" s="34">
        <v>2444</v>
      </c>
      <c r="CK23" s="173">
        <v>2298</v>
      </c>
      <c r="CL23" s="34">
        <v>2149</v>
      </c>
      <c r="CM23" s="316">
        <v>2149</v>
      </c>
      <c r="CN23" s="316">
        <v>2149</v>
      </c>
      <c r="CO23" s="189">
        <f>CN23</f>
      </c>
      <c r="CP23" s="316">
        <f>CO23-'Cash Flow Statement'!CP33</f>
      </c>
      <c r="CQ23" s="316">
        <f>CP23-'Cash Flow Statement'!CQ33</f>
      </c>
      <c r="CR23" s="316">
        <f>CQ23-'Cash Flow Statement'!CR33</f>
      </c>
      <c r="CS23" s="189">
        <f t="shared" si="45"/>
      </c>
      <c r="CT23" s="316">
        <f>CS23-'Cash Flow Statement'!CT33</f>
      </c>
      <c r="CU23" s="316">
        <f>CT23-'Cash Flow Statement'!CU33</f>
      </c>
      <c r="CV23" s="316">
        <f>CU23-'Cash Flow Statement'!CV33</f>
      </c>
      <c r="CW23" s="317">
        <f>CV23-'Cash Flow Statement'!CW33</f>
      </c>
      <c r="CX23" s="475">
        <f>CW23-'Cash Flow Statement'!CX33</f>
      </c>
      <c r="CY23" s="85">
        <f>CX23-'Cash Flow Statement'!CY33</f>
      </c>
      <c r="CZ23" s="85">
        <f>CY23-'Cash Flow Statement'!CZ33</f>
      </c>
      <c r="DA23" s="176">
        <f>CZ23-'Cash Flow Statement'!DA33</f>
      </c>
      <c r="DB23" s="475">
        <f>DA23-'Cash Flow Statement'!DB33</f>
      </c>
      <c r="DC23" s="85">
        <f>DB23-'Cash Flow Statement'!DC33</f>
      </c>
      <c r="DD23" s="85">
        <f>DC23-'Cash Flow Statement'!DD33</f>
      </c>
      <c r="DE23" s="176">
        <f>DD23-'Cash Flow Statement'!DE33</f>
      </c>
      <c r="DF23" s="475">
        <v>623</v>
      </c>
      <c r="DG23" s="85">
        <f>DF23-'Cash Flow Statement'!DG33</f>
      </c>
      <c r="DH23" s="85">
        <f>DG23-'Cash Flow Statement'!DH33</f>
      </c>
      <c r="DI23" s="176">
        <f>DH23-'Cash Flow Statement'!DI33</f>
      </c>
      <c r="DJ23" s="475">
        <f>DI23-'Cash Flow Statement'!DJ33</f>
      </c>
      <c r="DK23" s="85">
        <f>DJ23-'Cash Flow Statement'!DK33</f>
      </c>
      <c r="DL23" s="85">
        <f>DK23-'Cash Flow Statement'!DL33</f>
      </c>
      <c r="DM23" s="176">
        <f>DL23-'Cash Flow Statement'!DM33</f>
      </c>
      <c r="DN23" s="475">
        <f>DM23-'Cash Flow Statement'!DN33</f>
      </c>
      <c r="DO23" s="85">
        <f>DN23-'Cash Flow Statement'!DO33</f>
      </c>
      <c r="DP23" s="85">
        <f>DO23-'Cash Flow Statement'!DP33</f>
      </c>
      <c r="DQ23" s="176">
        <f>DP23-'Cash Flow Statement'!DQ33</f>
      </c>
      <c r="DR23" s="85">
        <f>DQ23-'Cash Flow Statement'!DR33</f>
      </c>
      <c r="DS23" s="85">
        <f>DR23-'Cash Flow Statement'!DS33</f>
      </c>
      <c r="DT23" s="85">
        <f>DS23-'Cash Flow Statement'!DT33</f>
      </c>
      <c r="DU23" s="176">
        <f>DT23-'Cash Flow Statement'!DU33</f>
      </c>
      <c r="DV23" s="85">
        <f>DU23-'Cash Flow Statement'!DV33</f>
      </c>
      <c r="DW23" s="85">
        <f>DV23-'Cash Flow Statement'!DW33</f>
      </c>
      <c r="DX23" s="85">
        <f>DW23-'Cash Flow Statement'!DX33</f>
      </c>
      <c r="DY23" s="176">
        <f>DX23-'Cash Flow Statement'!DY33</f>
      </c>
      <c r="DZ23" s="85">
        <f>DY23-'Cash Flow Statement'!DZ33</f>
      </c>
      <c r="EA23" s="85">
        <f>DZ23-'Cash Flow Statement'!EA33</f>
      </c>
      <c r="EB23" s="85">
        <f>EA23-'Cash Flow Statement'!EB33</f>
      </c>
      <c r="EC23" s="176">
        <f>EB23-'Cash Flow Statement'!EC33</f>
      </c>
      <c r="ED23" s="85">
        <f>EC23-'Cash Flow Statement'!ED33</f>
      </c>
      <c r="EE23" s="85">
        <f>ED23-'Cash Flow Statement'!EE33</f>
      </c>
      <c r="EF23" s="85">
        <f>EE23-'Cash Flow Statement'!EF33</f>
      </c>
      <c r="EG23" s="176">
        <f>EF23-'Cash Flow Statement'!EG33</f>
      </c>
      <c r="EH23" s="85">
        <f>EG23-'Cash Flow Statement'!EH33</f>
      </c>
      <c r="EI23" s="85">
        <f>EH23-'Cash Flow Statement'!EI33</f>
      </c>
      <c r="EJ23" s="85">
        <f>EI23-'Cash Flow Statement'!EJ33</f>
      </c>
      <c r="EK23" s="176">
        <f>EJ23-'Cash Flow Statement'!EK33</f>
      </c>
      <c r="EN23" s="15">
        <f>E23</f>
      </c>
      <c r="EO23" s="15">
        <f>I23</f>
      </c>
      <c r="EP23" s="15">
        <f>M23</f>
      </c>
      <c r="EQ23" s="15">
        <f>Q23</f>
      </c>
      <c r="ER23" s="15">
        <f>U23</f>
      </c>
      <c r="ES23" s="15">
        <f>Y23</f>
      </c>
      <c r="ET23" s="15">
        <f>AC23</f>
      </c>
      <c r="EU23" s="15">
        <f>AG23</f>
      </c>
      <c r="EV23" s="15">
        <f>AK23</f>
      </c>
      <c r="EW23" s="15">
        <f>AO23</f>
      </c>
      <c r="EX23" s="15">
        <f>AS23</f>
      </c>
      <c r="EY23" s="15">
        <f>AW23</f>
      </c>
      <c r="EZ23" s="15">
        <f>BA23</f>
      </c>
      <c r="FA23" s="15">
        <f>BE23</f>
      </c>
      <c r="FB23" s="15">
        <f>BI23:BI93</f>
      </c>
      <c r="FC23" s="15">
        <f>BM23:BM93</f>
      </c>
      <c r="FD23" s="15">
        <f>BQ23:BQ93</f>
      </c>
      <c r="FE23" s="15">
        <f>BU23:BU93</f>
      </c>
      <c r="FF23" s="15">
        <f>BY23:BY93</f>
      </c>
      <c r="FG23" s="15">
        <f>CC23:CC93</f>
      </c>
      <c r="FH23" s="15">
        <f>CG23:CG93</f>
      </c>
      <c r="FI23" s="15">
        <f>CK23:CK93</f>
      </c>
      <c r="FJ23" s="15">
        <f>CO23:CO93</f>
      </c>
      <c r="FK23" s="15">
        <f>$CS$11:$CS$53</f>
      </c>
      <c r="FL23" s="15">
        <f>$CW$11:$CW$53</f>
      </c>
      <c r="FM23" s="15">
        <f>$DA$11:$DA$53</f>
      </c>
      <c r="FN23" s="15">
        <f>$DE$11:$DE$53</f>
      </c>
      <c r="FO23" s="15">
        <f t="shared" si="34"/>
      </c>
      <c r="FP23" s="15">
        <f t="shared" si="35"/>
      </c>
      <c r="FQ23" s="15">
        <f t="shared" si="36"/>
      </c>
      <c r="FR23" s="15">
        <f t="shared" si="37"/>
      </c>
      <c r="FS23" s="15">
        <f t="shared" si="38"/>
      </c>
      <c r="FT23" s="15">
        <f t="shared" si="39"/>
      </c>
      <c r="FU23" s="15">
        <f t="shared" si="40"/>
      </c>
      <c r="FV23" s="15">
        <f t="shared" si="41"/>
      </c>
      <c r="FW23" s="11"/>
      <c r="FX23" s="11"/>
      <c r="FY23" s="11"/>
    </row>
    <row r="24" spans="1:183" ht="10.199999999999999" collapsed="1">
      <c r="A24" s="19" t="s">
        <v>111</v>
      </c>
      <c r="B24" s="34"/>
      <c r="C24" s="34"/>
      <c r="D24" s="34"/>
      <c r="E24" s="173"/>
      <c r="F24" s="34"/>
      <c r="G24" s="34"/>
      <c r="H24" s="34"/>
      <c r="I24" s="173"/>
      <c r="J24" s="34"/>
      <c r="K24" s="34"/>
      <c r="L24" s="34"/>
      <c r="M24" s="173"/>
      <c r="N24" s="34"/>
      <c r="O24" s="34"/>
      <c r="P24" s="34"/>
      <c r="Q24" s="173"/>
      <c r="R24" s="34"/>
      <c r="S24" s="34"/>
      <c r="T24" s="34"/>
      <c r="U24" s="173"/>
      <c r="V24" s="34"/>
      <c r="W24" s="34"/>
      <c r="X24" s="34"/>
      <c r="Y24" s="173"/>
      <c r="Z24" s="34"/>
      <c r="AA24" s="34"/>
      <c r="AB24" s="34"/>
      <c r="AC24" s="173"/>
      <c r="AD24" s="34"/>
      <c r="AE24" s="34"/>
      <c r="AF24" s="34"/>
      <c r="AG24" s="173"/>
      <c r="AH24" s="34"/>
      <c r="AI24" s="34"/>
      <c r="AJ24" s="34"/>
      <c r="AK24" s="173"/>
      <c r="AL24" s="34"/>
      <c r="AM24" s="34"/>
      <c r="AN24" s="34"/>
      <c r="AO24" s="173"/>
      <c r="AP24" s="34"/>
      <c r="AQ24" s="34"/>
      <c r="AR24" s="34"/>
      <c r="AS24" s="173"/>
      <c r="AT24" s="34"/>
      <c r="AU24" s="34"/>
      <c r="AV24" s="34"/>
      <c r="AW24" s="173"/>
      <c r="AX24" s="34"/>
      <c r="AY24" s="34"/>
      <c r="AZ24" s="34"/>
      <c r="BA24" s="173"/>
      <c r="BB24" s="34">
        <v>2062</v>
      </c>
      <c r="BC24" s="34">
        <v>2498</v>
      </c>
      <c r="BD24" s="34">
        <v>2952</v>
      </c>
      <c r="BE24" s="173">
        <v>2011</v>
      </c>
      <c r="BF24" s="34">
        <v>1961</v>
      </c>
      <c r="BG24" s="34">
        <v>1925</v>
      </c>
      <c r="BH24" s="34">
        <v>2119</v>
      </c>
      <c r="BI24" s="173">
        <v>2263</v>
      </c>
      <c r="BJ24" s="34">
        <v>2954</v>
      </c>
      <c r="BK24" s="34">
        <v>3885</v>
      </c>
      <c r="BL24" s="34">
        <v>3440</v>
      </c>
      <c r="BM24" s="173">
        <v>3556</v>
      </c>
      <c r="BN24" s="34">
        <v>4281</v>
      </c>
      <c r="BO24" s="34">
        <v>4992</v>
      </c>
      <c r="BP24" s="34">
        <v>5438</v>
      </c>
      <c r="BQ24" s="173">
        <v>5478</v>
      </c>
      <c r="BR24" s="34">
        <v>5183</v>
      </c>
      <c r="BS24" s="34">
        <v>5294</v>
      </c>
      <c r="BT24" s="34">
        <v>5421</v>
      </c>
      <c r="BU24" s="173">
        <v>5146</v>
      </c>
      <c r="BV24" s="34">
        <v>5091</v>
      </c>
      <c r="BW24" s="34">
        <v>5106</v>
      </c>
      <c r="BX24" s="34">
        <v>4160</v>
      </c>
      <c r="BY24" s="173">
        <v>3764</v>
      </c>
      <c r="BZ24" s="34">
        <v>3608</v>
      </c>
      <c r="CA24" s="34">
        <v>3937</v>
      </c>
      <c r="CB24" s="34">
        <v>4081</v>
      </c>
      <c r="CC24" s="173">
        <v>5556</v>
      </c>
      <c r="CD24" s="34">
        <v>7974</v>
      </c>
      <c r="CE24" s="34">
        <v>7745</v>
      </c>
      <c r="CF24" s="77">
        <v>7862</v>
      </c>
      <c r="CG24" s="173">
        <v>8757</v>
      </c>
      <c r="CH24" s="34">
        <v>7390</v>
      </c>
      <c r="CI24" s="34">
        <v>7549</v>
      </c>
      <c r="CJ24" s="34">
        <v>10150</v>
      </c>
      <c r="CK24" s="173">
        <v>10162</v>
      </c>
      <c r="CL24" s="34">
        <v>13323</v>
      </c>
      <c r="CM24" s="34">
        <f>23086-SUM(CM22:CM23)</f>
      </c>
      <c r="CN24" s="34">
        <f>22546-SUM(CN22:CN23)</f>
      </c>
      <c r="CO24" s="173">
        <f>22283-SUM(CO22:CO23)</f>
      </c>
      <c r="CP24" s="77">
        <f>34686-CP22-CP23</f>
      </c>
      <c r="CQ24" s="34">
        <f>34587-SUM(CQ22:CQ23)</f>
      </c>
      <c r="CR24" s="34">
        <f>33634-CR22-CR23</f>
      </c>
      <c r="CS24" s="173">
        <f>32978-SUM(CS22:CS23)</f>
      </c>
      <c r="CT24" s="77">
        <f>40457-CT22-CT23</f>
      </c>
      <c r="CU24" s="77">
        <f>41965-CU22-CU23</f>
      </c>
      <c r="CV24" s="77">
        <f>41000-CV22-CV23</f>
      </c>
      <c r="CW24" s="192">
        <f>42522-CW22-CW23</f>
      </c>
      <c r="CX24" s="474">
        <f>43270-CX22-CX23</f>
      </c>
      <c r="CY24" s="77">
        <f>43339-CY22-CY23</f>
      </c>
      <c r="CZ24" s="77">
        <f>44854-CZ22-CZ23</f>
      </c>
      <c r="DA24" s="192">
        <f>48849-DA22-DA23</f>
      </c>
      <c r="DB24" s="474">
        <f>50109-DB22-DB23</f>
      </c>
      <c r="DC24" s="77">
        <f>51959-DC22-DC23</f>
      </c>
      <c r="DD24" s="77">
        <f>52605-DD22-DD23</f>
      </c>
      <c r="DE24" s="192">
        <f>54428-DE23-DE22</f>
      </c>
      <c r="DF24" s="474">
        <f>60924-DF22-DF23</f>
      </c>
      <c r="DG24" s="77">
        <f>65388-DG23-DG22</f>
      </c>
      <c r="DH24" s="77">
        <f>64768-DH23-DH22</f>
      </c>
      <c r="DI24" s="192">
        <f>64758-DI23-DI22</f>
      </c>
      <c r="DJ24" s="474">
        <f>66681-DJ23-DJ22</f>
      </c>
      <c r="DK24" s="77">
        <f>70262-DK23-DK22</f>
      </c>
      <c r="DL24" s="77">
        <f>70435-DL22-DL23</f>
      </c>
      <c r="DM24" s="192">
        <f>74834-DM22-DM23</f>
      </c>
      <c r="DN24" s="474">
        <f>77183-DN22-DN23</f>
      </c>
      <c r="DO24" s="77">
        <f>81259-DO22-DO23</f>
      </c>
      <c r="DP24" s="77">
        <f>82882-DP22-DP23</f>
      </c>
      <c r="DQ24" s="176">
        <f>+DP24-'Cash Flow Statement'!DQ31-'Cash Flow Statement'!DQ34-'Cash Flow Statement'!DQ14</f>
      </c>
      <c r="DR24" s="85">
        <f>+DQ24-'Cash Flow Statement'!DR31-'Cash Flow Statement'!DR34-'Cash Flow Statement'!DR14</f>
      </c>
      <c r="DS24" s="85">
        <f>+DR24-'Cash Flow Statement'!DS31-'Cash Flow Statement'!DS34-'Cash Flow Statement'!DS14</f>
      </c>
      <c r="DT24" s="85">
        <f>+DS24-'Cash Flow Statement'!DT31-'Cash Flow Statement'!DT34-'Cash Flow Statement'!DT14</f>
      </c>
      <c r="DU24" s="176">
        <f>+DT24-'Cash Flow Statement'!DU31-'Cash Flow Statement'!DU34-'Cash Flow Statement'!DU14</f>
      </c>
      <c r="DV24" s="85">
        <f>+DU24-'Cash Flow Statement'!DV31-'Cash Flow Statement'!DV34-'Cash Flow Statement'!DV14</f>
      </c>
      <c r="DW24" s="85">
        <f>+DV24-'Cash Flow Statement'!DW31-'Cash Flow Statement'!DW34-'Cash Flow Statement'!DW14</f>
      </c>
      <c r="DX24" s="85">
        <f>+DW24-'Cash Flow Statement'!DX31-'Cash Flow Statement'!DX34-'Cash Flow Statement'!DX14</f>
      </c>
      <c r="DY24" s="176">
        <f>+DX24-'Cash Flow Statement'!DY31-'Cash Flow Statement'!DY34-'Cash Flow Statement'!DY14</f>
      </c>
      <c r="DZ24" s="85">
        <f>+DY24-'Cash Flow Statement'!DZ31-'Cash Flow Statement'!DZ34-'Cash Flow Statement'!DZ14</f>
      </c>
      <c r="EA24" s="85">
        <f>+DZ24-'Cash Flow Statement'!EA31-'Cash Flow Statement'!EA34-'Cash Flow Statement'!EA14</f>
      </c>
      <c r="EB24" s="85">
        <f>+EA24-'Cash Flow Statement'!EB31-'Cash Flow Statement'!EB34-'Cash Flow Statement'!EB14</f>
      </c>
      <c r="EC24" s="176">
        <f>+EB24-'Cash Flow Statement'!EC31-'Cash Flow Statement'!EC34-'Cash Flow Statement'!EC14</f>
      </c>
      <c r="ED24" s="85">
        <f>+EC24-'Cash Flow Statement'!ED31-'Cash Flow Statement'!ED34-'Cash Flow Statement'!ED14</f>
      </c>
      <c r="EE24" s="85">
        <f>+ED24-'Cash Flow Statement'!EE31-'Cash Flow Statement'!EE34-'Cash Flow Statement'!EE14</f>
      </c>
      <c r="EF24" s="85">
        <f>+EE24-'Cash Flow Statement'!EF31-'Cash Flow Statement'!EF34-'Cash Flow Statement'!EF14</f>
      </c>
      <c r="EG24" s="176">
        <f>+EF24-'Cash Flow Statement'!EG31-'Cash Flow Statement'!EG34-'Cash Flow Statement'!EG14</f>
      </c>
      <c r="EH24" s="85">
        <f>+EG24-'Cash Flow Statement'!EH31-'Cash Flow Statement'!EH34-'Cash Flow Statement'!EH14</f>
      </c>
      <c r="EI24" s="85">
        <f>+EH24-'Cash Flow Statement'!EI31-'Cash Flow Statement'!EI34-'Cash Flow Statement'!EI14</f>
      </c>
      <c r="EJ24" s="85">
        <f>+EI24-'Cash Flow Statement'!EJ31-'Cash Flow Statement'!EJ34-'Cash Flow Statement'!EJ14</f>
      </c>
      <c r="EK24" s="176">
        <f>+EJ24-'Cash Flow Statement'!EK31-'Cash Flow Statement'!EK34-'Cash Flow Statement'!EK14</f>
      </c>
      <c r="EN24" s="85">
        <f>E24</f>
      </c>
      <c r="EO24" s="85">
        <f>I24</f>
      </c>
      <c r="EP24" s="85">
        <f>M24</f>
      </c>
      <c r="EQ24" s="85">
        <f>Q24</f>
      </c>
      <c r="ER24" s="85">
        <f>U24</f>
      </c>
      <c r="ES24" s="85">
        <f>Y24</f>
      </c>
      <c r="ET24" s="85">
        <f>AC24</f>
      </c>
      <c r="EU24" s="85">
        <f>AG24</f>
      </c>
      <c r="EV24" s="85">
        <f>AK24</f>
      </c>
      <c r="EW24" s="85">
        <f>AO24</f>
      </c>
      <c r="EX24" s="85">
        <f>AS24</f>
      </c>
      <c r="EY24" s="85">
        <f>AW24</f>
      </c>
      <c r="EZ24" s="85">
        <f>BA24</f>
      </c>
      <c r="FA24" s="85">
        <f>BE24</f>
      </c>
      <c r="FB24" s="85">
        <f>BI24:BI94</f>
      </c>
      <c r="FC24" s="85">
        <f>BM24:BM94</f>
      </c>
      <c r="FD24" s="85">
        <f>BQ24:BQ94</f>
      </c>
      <c r="FE24" s="85">
        <f>BU24:BU94</f>
      </c>
      <c r="FF24" s="85">
        <f>BY24:BY94</f>
      </c>
      <c r="FG24" s="85">
        <f>CC24:CC94</f>
      </c>
      <c r="FH24" s="85">
        <f>CG24:CG94</f>
      </c>
      <c r="FI24" s="85">
        <f>CK24:CK94</f>
      </c>
      <c r="FJ24" s="85">
        <f>CO24:CO94</f>
      </c>
      <c r="FK24" s="85">
        <f>$CS$11:$CS$53</f>
      </c>
      <c r="FL24" s="85">
        <f>$CW$11:$CW$53</f>
      </c>
      <c r="FM24" s="85">
        <f>$DA$11:$DA$53</f>
      </c>
      <c r="FN24" s="85">
        <f>$DE$11:$DE$53</f>
      </c>
      <c r="FO24" s="85">
        <f t="shared" si="34"/>
      </c>
      <c r="FP24" s="85">
        <f t="shared" si="35"/>
      </c>
      <c r="FQ24" s="85">
        <f t="shared" si="36"/>
      </c>
      <c r="FR24" s="85">
        <f t="shared" si="37"/>
      </c>
      <c r="FS24" s="85">
        <f t="shared" si="38"/>
      </c>
      <c r="FT24" s="85">
        <f t="shared" si="39"/>
      </c>
      <c r="FU24" s="85">
        <f t="shared" si="40"/>
      </c>
      <c r="FV24" s="85">
        <f t="shared" si="41"/>
      </c>
      <c r="FW24" s="11"/>
      <c r="FX24" s="11"/>
      <c r="FY24" s="11"/>
    </row>
    <row r="25" spans="1:183" s="16" customFormat="1" ht="10.199999999999999">
      <c r="A25" s="1180" t="s">
        <v>150</v>
      </c>
      <c r="B25" s="1202">
        <f t="shared" ref="B25:BA25" si="69">+SUM(B20:B24)</f>
      </c>
      <c r="C25" s="1202">
        <f t="shared" si="69"/>
      </c>
      <c r="D25" s="1202">
        <f t="shared" si="69"/>
      </c>
      <c r="E25" s="1203">
        <f t="shared" si="69"/>
      </c>
      <c r="F25" s="1202">
        <f t="shared" si="69"/>
      </c>
      <c r="G25" s="1202">
        <f t="shared" si="69"/>
      </c>
      <c r="H25" s="1202">
        <f t="shared" si="69"/>
      </c>
      <c r="I25" s="1203">
        <f t="shared" si="69"/>
      </c>
      <c r="J25" s="1202">
        <f t="shared" si="69"/>
      </c>
      <c r="K25" s="1202">
        <f t="shared" si="69"/>
      </c>
      <c r="L25" s="1202">
        <f t="shared" si="69"/>
      </c>
      <c r="M25" s="1203">
        <f t="shared" si="69"/>
      </c>
      <c r="N25" s="1202">
        <f t="shared" si="69"/>
      </c>
      <c r="O25" s="1202">
        <f t="shared" si="69"/>
      </c>
      <c r="P25" s="1202">
        <f t="shared" si="69"/>
      </c>
      <c r="Q25" s="1203">
        <f t="shared" si="69"/>
      </c>
      <c r="R25" s="1202">
        <f t="shared" si="69"/>
      </c>
      <c r="S25" s="1202">
        <f t="shared" si="69"/>
      </c>
      <c r="T25" s="1202">
        <f t="shared" si="69"/>
      </c>
      <c r="U25" s="1203">
        <f t="shared" si="69"/>
      </c>
      <c r="V25" s="1202">
        <f t="shared" si="69"/>
      </c>
      <c r="W25" s="1202">
        <f t="shared" si="69"/>
      </c>
      <c r="X25" s="1202">
        <f t="shared" si="69"/>
      </c>
      <c r="Y25" s="1203">
        <f t="shared" si="69"/>
      </c>
      <c r="Z25" s="1202">
        <f t="shared" si="69"/>
      </c>
      <c r="AA25" s="1202">
        <f t="shared" si="69"/>
      </c>
      <c r="AB25" s="1202">
        <f t="shared" si="69"/>
      </c>
      <c r="AC25" s="1203">
        <f t="shared" si="69"/>
      </c>
      <c r="AD25" s="1202">
        <f t="shared" si="69"/>
      </c>
      <c r="AE25" s="1202">
        <f t="shared" si="69"/>
      </c>
      <c r="AF25" s="1202">
        <f t="shared" si="69"/>
      </c>
      <c r="AG25" s="1203">
        <f t="shared" si="69"/>
      </c>
      <c r="AH25" s="1202">
        <f t="shared" si="69"/>
      </c>
      <c r="AI25" s="1202">
        <f t="shared" si="69"/>
      </c>
      <c r="AJ25" s="1202">
        <f t="shared" si="69"/>
      </c>
      <c r="AK25" s="1203">
        <f t="shared" si="69"/>
      </c>
      <c r="AL25" s="1202">
        <f t="shared" si="69"/>
      </c>
      <c r="AM25" s="1202">
        <f t="shared" si="69"/>
      </c>
      <c r="AN25" s="1202">
        <f t="shared" si="69"/>
      </c>
      <c r="AO25" s="1203">
        <f t="shared" si="69"/>
      </c>
      <c r="AP25" s="1202">
        <f t="shared" si="69"/>
      </c>
      <c r="AQ25" s="1202">
        <f t="shared" si="69"/>
      </c>
      <c r="AR25" s="1202">
        <f t="shared" si="69"/>
      </c>
      <c r="AS25" s="1203">
        <f t="shared" si="69"/>
      </c>
      <c r="AT25" s="1202">
        <f t="shared" si="69"/>
      </c>
      <c r="AU25" s="1202">
        <f t="shared" si="69"/>
      </c>
      <c r="AV25" s="1202">
        <f t="shared" si="69"/>
      </c>
      <c r="AW25" s="1203">
        <f t="shared" si="69"/>
      </c>
      <c r="AX25" s="1202">
        <f t="shared" si="69"/>
      </c>
      <c r="AY25" s="1202">
        <f t="shared" si="69"/>
      </c>
      <c r="AZ25" s="1202">
        <f t="shared" si="69"/>
      </c>
      <c r="BA25" s="1203">
        <f t="shared" si="69"/>
      </c>
      <c r="BB25" s="1202">
        <f>+SUM(BB20:BB24)</f>
      </c>
      <c r="BC25" s="1202">
        <f t="shared" ref="BC25:CK25" si="70">+SUM(BC20:BC24)</f>
      </c>
      <c r="BD25" s="1202">
        <f t="shared" si="70"/>
      </c>
      <c r="BE25" s="1203">
        <f t="shared" si="70"/>
      </c>
      <c r="BF25" s="1202">
        <f t="shared" si="70"/>
      </c>
      <c r="BG25" s="1202">
        <f t="shared" si="70"/>
      </c>
      <c r="BH25" s="1202">
        <f t="shared" si="70"/>
      </c>
      <c r="BI25" s="1203">
        <f t="shared" si="70"/>
      </c>
      <c r="BJ25" s="1202">
        <f t="shared" si="70"/>
      </c>
      <c r="BK25" s="1202">
        <f t="shared" si="70"/>
      </c>
      <c r="BL25" s="1202">
        <f t="shared" si="70"/>
      </c>
      <c r="BM25" s="1203">
        <f t="shared" si="70"/>
      </c>
      <c r="BN25" s="1202">
        <f t="shared" si="70"/>
      </c>
      <c r="BO25" s="1202">
        <f t="shared" si="70"/>
      </c>
      <c r="BP25" s="1202">
        <f t="shared" si="70"/>
      </c>
      <c r="BQ25" s="1203">
        <f t="shared" si="70"/>
      </c>
      <c r="BR25" s="1202">
        <f t="shared" si="70"/>
      </c>
      <c r="BS25" s="1202">
        <f t="shared" si="70"/>
      </c>
      <c r="BT25" s="1202">
        <f t="shared" si="70"/>
      </c>
      <c r="BU25" s="1203">
        <f t="shared" si="70"/>
      </c>
      <c r="BV25" s="1202">
        <f t="shared" si="70"/>
      </c>
      <c r="BW25" s="1202">
        <f t="shared" si="70"/>
      </c>
      <c r="BX25" s="1202">
        <f t="shared" si="70"/>
      </c>
      <c r="BY25" s="1203">
        <f t="shared" si="70"/>
      </c>
      <c r="BZ25" s="1202">
        <f t="shared" si="70"/>
      </c>
      <c r="CA25" s="1202">
        <f t="shared" si="70"/>
      </c>
      <c r="CB25" s="1202">
        <f>+SUM(CB20:CB24)</f>
      </c>
      <c r="CC25" s="1203">
        <f t="shared" si="70"/>
      </c>
      <c r="CD25" s="1202">
        <f t="shared" si="70"/>
      </c>
      <c r="CE25" s="1202">
        <f t="shared" si="70"/>
      </c>
      <c r="CF25" s="1202">
        <f>+SUM(CF20:CF24)</f>
      </c>
      <c r="CG25" s="1203">
        <f t="shared" si="70"/>
      </c>
      <c r="CH25" s="1202">
        <f t="shared" si="70"/>
      </c>
      <c r="CI25" s="1202">
        <f t="shared" si="70"/>
      </c>
      <c r="CJ25" s="1202">
        <f t="shared" si="70"/>
      </c>
      <c r="CK25" s="1203">
        <f t="shared" si="70"/>
      </c>
      <c r="CL25" s="1202">
        <f t="shared" ref="CL25:CQ25" si="71">+SUM(CL20:CL24)</f>
      </c>
      <c r="CM25" s="1202">
        <f t="shared" si="71"/>
      </c>
      <c r="CN25" s="1202">
        <f t="shared" si="71"/>
      </c>
      <c r="CO25" s="1203">
        <f t="shared" si="71"/>
      </c>
      <c r="CP25" s="1202">
        <f t="shared" si="71"/>
      </c>
      <c r="CQ25" s="1202">
        <f t="shared" si="71"/>
      </c>
      <c r="CR25" s="1202">
        <f t="shared" ref="CR25:CW25" si="72">+SUM(CR20:CR24)</f>
      </c>
      <c r="CS25" s="1203">
        <f t="shared" si="72"/>
      </c>
      <c r="CT25" s="1202">
        <f t="shared" si="72"/>
      </c>
      <c r="CU25" s="1202">
        <f t="shared" si="72"/>
      </c>
      <c r="CV25" s="1202">
        <f t="shared" si="72"/>
      </c>
      <c r="CW25" s="1203">
        <f t="shared" si="72"/>
      </c>
      <c r="CX25" s="1204">
        <f t="shared" ref="CX25:CY25" si="73">+SUM(CX20:CX24)</f>
      </c>
      <c r="CY25" s="1202">
        <f t="shared" si="73"/>
      </c>
      <c r="CZ25" s="1202">
        <f t="shared" ref="CZ25:DE25" si="74">+SUM(CZ20:CZ24)</f>
      </c>
      <c r="DA25" s="1203">
        <f t="shared" si="74"/>
      </c>
      <c r="DB25" s="1204">
        <f t="shared" ref="DB25:DD25" si="75">+SUM(DB20:DB24)</f>
      </c>
      <c r="DC25" s="1202">
        <f t="shared" si="75"/>
      </c>
      <c r="DD25" s="1202">
        <f t="shared" si="75"/>
      </c>
      <c r="DE25" s="1203">
        <f t="shared" si="74"/>
      </c>
      <c r="DF25" s="1204">
        <f t="shared" ref="DF25:DI25" si="76">+SUM(DF20:DF24)</f>
      </c>
      <c r="DG25" s="1202">
        <f t="shared" si="76"/>
      </c>
      <c r="DH25" s="1202">
        <f t="shared" si="76"/>
      </c>
      <c r="DI25" s="1203">
        <f t="shared" si="76"/>
      </c>
      <c r="DJ25" s="1204">
        <f t="shared" ref="DJ25:DM25" si="77">+SUM(DJ20:DJ24)</f>
      </c>
      <c r="DK25" s="1202">
        <f t="shared" si="77"/>
      </c>
      <c r="DL25" s="1202">
        <f t="shared" si="77"/>
      </c>
      <c r="DM25" s="1203">
        <f t="shared" si="77"/>
      </c>
      <c r="DN25" s="1204">
        <f t="shared" ref="DN25:DP25" si="78">+SUM(DN20:DN24)</f>
      </c>
      <c r="DO25" s="1202">
        <f t="shared" si="78"/>
      </c>
      <c r="DP25" s="1202">
        <f t="shared" si="78"/>
      </c>
      <c r="DQ25" s="1203">
        <f t="shared" ref="DQ25" si="79">+SUM(DQ20:DQ24)</f>
      </c>
      <c r="DR25" s="1202">
        <f t="shared" ref="DR25:DU25" si="80">+SUM(DR20:DR24)</f>
      </c>
      <c r="DS25" s="1202">
        <f t="shared" si="80"/>
      </c>
      <c r="DT25" s="1202">
        <f t="shared" si="80"/>
      </c>
      <c r="DU25" s="1203">
        <f t="shared" si="80"/>
      </c>
      <c r="DV25" s="1202">
        <f t="shared" ref="DV25:EK25" si="81">+SUM(DV20:DV24)</f>
      </c>
      <c r="DW25" s="1202">
        <f t="shared" si="81"/>
      </c>
      <c r="DX25" s="1202">
        <f t="shared" si="81"/>
      </c>
      <c r="DY25" s="1203">
        <f t="shared" si="81"/>
      </c>
      <c r="DZ25" s="1202">
        <f t="shared" si="81"/>
      </c>
      <c r="EA25" s="1202">
        <f t="shared" si="81"/>
      </c>
      <c r="EB25" s="1202">
        <f t="shared" si="81"/>
      </c>
      <c r="EC25" s="1203">
        <f t="shared" si="81"/>
      </c>
      <c r="ED25" s="1202">
        <f t="shared" si="81"/>
      </c>
      <c r="EE25" s="1202">
        <f t="shared" si="81"/>
      </c>
      <c r="EF25" s="1202">
        <f t="shared" si="81"/>
      </c>
      <c r="EG25" s="1203">
        <f t="shared" si="81"/>
      </c>
      <c r="EH25" s="1202">
        <f t="shared" si="81"/>
      </c>
      <c r="EI25" s="1202">
        <f t="shared" si="81"/>
      </c>
      <c r="EJ25" s="1202">
        <f t="shared" si="81"/>
      </c>
      <c r="EK25" s="1203">
        <f t="shared" si="81"/>
      </c>
      <c r="EN25" s="1202">
        <f t="shared" ref="EN25:EZ25" si="82">+SUM(EN20:EN24)</f>
      </c>
      <c r="EO25" s="1202">
        <f t="shared" si="82"/>
      </c>
      <c r="EP25" s="1202">
        <f t="shared" si="82"/>
      </c>
      <c r="EQ25" s="1202">
        <f t="shared" si="82"/>
      </c>
      <c r="ER25" s="1202">
        <f t="shared" si="82"/>
      </c>
      <c r="ES25" s="1202">
        <f t="shared" si="82"/>
      </c>
      <c r="ET25" s="1202">
        <f t="shared" si="82"/>
      </c>
      <c r="EU25" s="1202">
        <f t="shared" si="82"/>
      </c>
      <c r="EV25" s="1202">
        <f t="shared" si="82"/>
      </c>
      <c r="EW25" s="1202">
        <f t="shared" si="82"/>
      </c>
      <c r="EX25" s="1202">
        <f t="shared" si="82"/>
      </c>
      <c r="EY25" s="1202">
        <f t="shared" si="82"/>
      </c>
      <c r="EZ25" s="1202">
        <f t="shared" si="82"/>
      </c>
      <c r="FA25" s="1202">
        <f t="shared" ref="FA25:FJ25" si="83">+SUM(FA20:FA24)</f>
      </c>
      <c r="FB25" s="1202">
        <f t="shared" si="83"/>
      </c>
      <c r="FC25" s="1202">
        <f t="shared" si="83"/>
      </c>
      <c r="FD25" s="1202">
        <f t="shared" si="83"/>
      </c>
      <c r="FE25" s="1202">
        <f t="shared" si="83"/>
      </c>
      <c r="FF25" s="1202">
        <f t="shared" si="83"/>
      </c>
      <c r="FG25" s="1202">
        <f t="shared" si="83"/>
      </c>
      <c r="FH25" s="1202">
        <f t="shared" si="83"/>
      </c>
      <c r="FI25" s="1202">
        <f t="shared" si="83"/>
      </c>
      <c r="FJ25" s="1202">
        <f t="shared" si="83"/>
      </c>
      <c r="FK25" s="1202">
        <f>+SUM(FK20:FK24)</f>
      </c>
      <c r="FL25" s="1202">
        <f>+SUM(FL20:FL24)</f>
      </c>
      <c r="FM25" s="1202">
        <f>+SUM(FM20:FM24)</f>
      </c>
      <c r="FN25" s="1202">
        <f>+SUM(FN20:FN24)</f>
      </c>
      <c r="FO25" s="1202">
        <f t="shared" si="34"/>
      </c>
      <c r="FP25" s="1202">
        <f t="shared" si="35"/>
      </c>
      <c r="FQ25" s="1202">
        <f t="shared" si="36"/>
      </c>
      <c r="FR25" s="1202">
        <f t="shared" si="37"/>
      </c>
      <c r="FS25" s="1202">
        <f t="shared" si="38"/>
      </c>
      <c r="FT25" s="1202">
        <f t="shared" si="39"/>
      </c>
      <c r="FU25" s="1202">
        <f t="shared" si="40"/>
      </c>
      <c r="FV25" s="1202">
        <f t="shared" si="41"/>
      </c>
    </row>
    <row r="26" spans="1:183" ht="8.1" customHeight="1">
      <c r="A26" s="13"/>
      <c r="B26" s="15"/>
      <c r="C26" s="15"/>
      <c r="D26" s="15"/>
      <c r="E26" s="174"/>
      <c r="F26" s="15"/>
      <c r="G26" s="15"/>
      <c r="H26" s="15"/>
      <c r="I26" s="174"/>
      <c r="J26" s="15"/>
      <c r="K26" s="15"/>
      <c r="L26" s="15"/>
      <c r="M26" s="174"/>
      <c r="N26" s="15"/>
      <c r="O26" s="15"/>
      <c r="P26" s="15"/>
      <c r="Q26" s="174"/>
      <c r="R26" s="15"/>
      <c r="S26" s="15"/>
      <c r="T26" s="15"/>
      <c r="U26" s="174"/>
      <c r="V26" s="15"/>
      <c r="W26" s="15"/>
      <c r="X26" s="15"/>
      <c r="Y26" s="174"/>
      <c r="Z26" s="15"/>
      <c r="AA26" s="15"/>
      <c r="AB26" s="15"/>
      <c r="AC26" s="174"/>
      <c r="AD26" s="15"/>
      <c r="AE26" s="15"/>
      <c r="AF26" s="15"/>
      <c r="AG26" s="174"/>
      <c r="AH26" s="15"/>
      <c r="AI26" s="15"/>
      <c r="AJ26" s="15"/>
      <c r="AK26" s="174"/>
      <c r="AL26" s="15"/>
      <c r="AM26" s="15"/>
      <c r="AN26" s="15"/>
      <c r="AO26" s="174"/>
      <c r="AP26" s="15"/>
      <c r="AQ26" s="15"/>
      <c r="AR26" s="15"/>
      <c r="AS26" s="174"/>
      <c r="AT26" s="15"/>
      <c r="AU26" s="15"/>
      <c r="AV26" s="15"/>
      <c r="AW26" s="174"/>
      <c r="AX26" s="15"/>
      <c r="AY26" s="15"/>
      <c r="AZ26" s="15"/>
      <c r="BA26" s="174"/>
      <c r="BB26" s="15"/>
      <c r="BC26" s="15"/>
      <c r="BD26" s="15"/>
      <c r="BE26" s="174"/>
      <c r="BF26" s="15"/>
      <c r="BG26" s="15"/>
      <c r="BH26" s="15"/>
      <c r="BI26" s="174"/>
      <c r="BJ26" s="15"/>
      <c r="BK26" s="15"/>
      <c r="BL26" s="15"/>
      <c r="BM26" s="174"/>
      <c r="BN26" s="15"/>
      <c r="BO26" s="15"/>
      <c r="BP26" s="15"/>
      <c r="BQ26" s="174"/>
      <c r="BR26" s="15"/>
      <c r="BS26" s="15"/>
      <c r="BT26" s="15"/>
      <c r="BU26" s="174"/>
      <c r="BV26" s="15"/>
      <c r="BW26" s="15"/>
      <c r="BX26" s="15"/>
      <c r="BY26" s="174"/>
      <c r="BZ26" s="15"/>
      <c r="CA26" s="15"/>
      <c r="CB26" s="15"/>
      <c r="CC26" s="174"/>
      <c r="CD26" s="15"/>
      <c r="CE26" s="15"/>
      <c r="CF26" s="15"/>
      <c r="CG26" s="174"/>
      <c r="CH26" s="15"/>
      <c r="CI26" s="15"/>
      <c r="CJ26" s="15"/>
      <c r="CK26" s="174"/>
      <c r="CL26" s="15"/>
      <c r="CM26" s="15"/>
      <c r="CN26" s="15"/>
      <c r="CO26" s="174"/>
      <c r="CP26" s="62"/>
      <c r="CQ26" s="15"/>
      <c r="CR26" s="15"/>
      <c r="CS26" s="174"/>
      <c r="CT26" s="62"/>
      <c r="CU26" s="62"/>
      <c r="CV26" s="62"/>
      <c r="CW26" s="226"/>
      <c r="CX26" s="476"/>
      <c r="CY26" s="62"/>
      <c r="CZ26" s="15"/>
      <c r="DA26" s="226"/>
      <c r="DB26" s="476"/>
      <c r="DC26" s="62"/>
      <c r="DD26" s="62"/>
      <c r="DE26" s="226"/>
      <c r="DF26" s="476"/>
      <c r="DG26" s="62"/>
      <c r="DH26" s="62"/>
      <c r="DI26" s="226"/>
      <c r="DJ26" s="476"/>
      <c r="DK26" s="62"/>
      <c r="DL26" s="62"/>
      <c r="DM26" s="226"/>
      <c r="DN26" s="476"/>
      <c r="DO26" s="62"/>
      <c r="DP26" s="62"/>
      <c r="DQ26" s="226"/>
      <c r="DR26" s="62"/>
      <c r="DS26" s="62"/>
      <c r="DT26" s="62"/>
      <c r="DU26" s="226"/>
      <c r="DV26" s="62"/>
      <c r="DW26" s="62"/>
      <c r="DX26" s="62"/>
      <c r="DY26" s="226"/>
      <c r="DZ26" s="62"/>
      <c r="EA26" s="62"/>
      <c r="EB26" s="62"/>
      <c r="EC26" s="226"/>
      <c r="ED26" s="62"/>
      <c r="EE26" s="62"/>
      <c r="EF26" s="62"/>
      <c r="EG26" s="226"/>
      <c r="EH26" s="62"/>
      <c r="EI26" s="62"/>
      <c r="EJ26" s="62"/>
      <c r="EK26" s="226"/>
      <c r="EN26" s="62"/>
      <c r="EO26" s="62"/>
      <c r="EP26" s="62"/>
      <c r="EQ26" s="62"/>
      <c r="ER26" s="62"/>
      <c r="ES26" s="62"/>
      <c r="ET26" s="62"/>
      <c r="EU26" s="62"/>
      <c r="EV26" s="62"/>
      <c r="EW26" s="62"/>
      <c r="EX26" s="62"/>
      <c r="EY26" s="62"/>
      <c r="EZ26" s="62"/>
      <c r="FA26" s="62"/>
      <c r="FB26" s="62"/>
      <c r="FC26" s="62"/>
      <c r="FD26" s="62"/>
      <c r="FE26" s="62"/>
      <c r="FF26" s="62"/>
      <c r="FG26" s="62"/>
      <c r="FH26" s="62"/>
      <c r="FI26" s="62"/>
      <c r="FJ26" s="62"/>
      <c r="FK26" s="62"/>
      <c r="FL26" s="62"/>
      <c r="FM26" s="62"/>
      <c r="FN26" s="62"/>
      <c r="FO26" s="62"/>
      <c r="FP26" s="62"/>
      <c r="FQ26" s="62"/>
      <c r="FR26" s="62"/>
      <c r="FS26" s="62"/>
      <c r="FT26" s="62"/>
      <c r="FU26" s="62"/>
      <c r="FV26" s="62"/>
      <c r="FW26" s="11"/>
      <c r="FX26" s="11"/>
      <c r="FY26" s="11"/>
    </row>
    <row r="27" spans="1:183" s="16" customFormat="1" ht="10.8" thickBot="1">
      <c r="A27" s="1205" t="s">
        <v>151</v>
      </c>
      <c r="B27" s="1206">
        <f t="shared" ref="B27:BA27" si="84">+B18+B25</f>
      </c>
      <c r="C27" s="1206">
        <f t="shared" si="84"/>
      </c>
      <c r="D27" s="1206">
        <f t="shared" si="84"/>
      </c>
      <c r="E27" s="1207">
        <f t="shared" si="84"/>
      </c>
      <c r="F27" s="1206">
        <f t="shared" si="84"/>
      </c>
      <c r="G27" s="1206">
        <f t="shared" si="84"/>
      </c>
      <c r="H27" s="1206">
        <f t="shared" si="84"/>
      </c>
      <c r="I27" s="1207">
        <f t="shared" si="84"/>
      </c>
      <c r="J27" s="1206">
        <f t="shared" si="84"/>
      </c>
      <c r="K27" s="1206">
        <f t="shared" si="84"/>
      </c>
      <c r="L27" s="1206">
        <f t="shared" si="84"/>
      </c>
      <c r="M27" s="1207">
        <f t="shared" si="84"/>
      </c>
      <c r="N27" s="1206">
        <f t="shared" si="84"/>
      </c>
      <c r="O27" s="1206">
        <f t="shared" si="84"/>
      </c>
      <c r="P27" s="1206">
        <f t="shared" si="84"/>
      </c>
      <c r="Q27" s="1207">
        <f t="shared" si="84"/>
      </c>
      <c r="R27" s="1206">
        <f t="shared" si="84"/>
      </c>
      <c r="S27" s="1206">
        <f t="shared" si="84"/>
      </c>
      <c r="T27" s="1206">
        <f t="shared" si="84"/>
      </c>
      <c r="U27" s="1207">
        <f t="shared" si="84"/>
      </c>
      <c r="V27" s="1206">
        <f t="shared" si="84"/>
      </c>
      <c r="W27" s="1206">
        <f t="shared" si="84"/>
      </c>
      <c r="X27" s="1206">
        <f t="shared" si="84"/>
      </c>
      <c r="Y27" s="1207">
        <f t="shared" si="84"/>
      </c>
      <c r="Z27" s="1206">
        <f t="shared" si="84"/>
      </c>
      <c r="AA27" s="1206">
        <f t="shared" si="84"/>
      </c>
      <c r="AB27" s="1206">
        <f t="shared" si="84"/>
      </c>
      <c r="AC27" s="1207">
        <f t="shared" si="84"/>
      </c>
      <c r="AD27" s="1206">
        <f t="shared" si="84"/>
      </c>
      <c r="AE27" s="1206">
        <f t="shared" si="84"/>
      </c>
      <c r="AF27" s="1206">
        <f t="shared" si="84"/>
      </c>
      <c r="AG27" s="1207">
        <f t="shared" si="84"/>
      </c>
      <c r="AH27" s="1206">
        <f t="shared" si="84"/>
      </c>
      <c r="AI27" s="1206">
        <f t="shared" si="84"/>
      </c>
      <c r="AJ27" s="1206">
        <f t="shared" si="84"/>
      </c>
      <c r="AK27" s="1207">
        <f t="shared" si="84"/>
      </c>
      <c r="AL27" s="1206">
        <f t="shared" si="84"/>
      </c>
      <c r="AM27" s="1206">
        <f t="shared" si="84"/>
      </c>
      <c r="AN27" s="1206">
        <f t="shared" si="84"/>
      </c>
      <c r="AO27" s="1207">
        <f t="shared" si="84"/>
      </c>
      <c r="AP27" s="1206">
        <f t="shared" si="84"/>
      </c>
      <c r="AQ27" s="1206">
        <f t="shared" si="84"/>
      </c>
      <c r="AR27" s="1206">
        <f t="shared" si="84"/>
      </c>
      <c r="AS27" s="1207">
        <f t="shared" si="84"/>
      </c>
      <c r="AT27" s="1206">
        <f t="shared" si="84"/>
      </c>
      <c r="AU27" s="1206">
        <f t="shared" si="84"/>
      </c>
      <c r="AV27" s="1206">
        <f t="shared" si="84"/>
      </c>
      <c r="AW27" s="1207">
        <f t="shared" si="84"/>
      </c>
      <c r="AX27" s="1206">
        <f t="shared" si="84"/>
      </c>
      <c r="AY27" s="1206">
        <f t="shared" si="84"/>
      </c>
      <c r="AZ27" s="1206">
        <f t="shared" si="84"/>
      </c>
      <c r="BA27" s="1207">
        <f t="shared" si="84"/>
      </c>
      <c r="BB27" s="1206">
        <f>+BB18+BB25</f>
      </c>
      <c r="BC27" s="1206">
        <f>+BC18+BC25</f>
      </c>
      <c r="BD27" s="1206">
        <f t="shared" ref="BD27:CK27" si="85">+BD18+BD25</f>
      </c>
      <c r="BE27" s="1207">
        <f t="shared" si="85"/>
      </c>
      <c r="BF27" s="1206">
        <f t="shared" si="85"/>
      </c>
      <c r="BG27" s="1206">
        <f t="shared" si="85"/>
      </c>
      <c r="BH27" s="1206">
        <f t="shared" si="85"/>
      </c>
      <c r="BI27" s="1207">
        <f t="shared" si="85"/>
      </c>
      <c r="BJ27" s="1206">
        <f t="shared" si="85"/>
      </c>
      <c r="BK27" s="1206">
        <f t="shared" si="85"/>
      </c>
      <c r="BL27" s="1206">
        <f t="shared" si="85"/>
      </c>
      <c r="BM27" s="1207">
        <f t="shared" si="85"/>
      </c>
      <c r="BN27" s="1206">
        <f t="shared" si="85"/>
      </c>
      <c r="BO27" s="1206">
        <f t="shared" si="85"/>
      </c>
      <c r="BP27" s="1206">
        <f t="shared" si="85"/>
      </c>
      <c r="BQ27" s="1207">
        <f t="shared" si="85"/>
      </c>
      <c r="BR27" s="1206">
        <f t="shared" si="85"/>
      </c>
      <c r="BS27" s="1206">
        <f t="shared" si="85"/>
      </c>
      <c r="BT27" s="1206">
        <f t="shared" si="85"/>
      </c>
      <c r="BU27" s="1207">
        <f t="shared" si="85"/>
      </c>
      <c r="BV27" s="1206">
        <f t="shared" si="85"/>
      </c>
      <c r="BW27" s="1206">
        <f t="shared" si="85"/>
      </c>
      <c r="BX27" s="1206">
        <f t="shared" si="85"/>
      </c>
      <c r="BY27" s="1207">
        <f t="shared" si="85"/>
      </c>
      <c r="BZ27" s="1206">
        <f t="shared" si="85"/>
      </c>
      <c r="CA27" s="1206">
        <f t="shared" si="85"/>
      </c>
      <c r="CB27" s="1206">
        <f>+CB18+CB25</f>
      </c>
      <c r="CC27" s="1207">
        <f t="shared" si="85"/>
      </c>
      <c r="CD27" s="1206">
        <f>+CD18+CD25</f>
      </c>
      <c r="CE27" s="1206">
        <f t="shared" si="85"/>
      </c>
      <c r="CF27" s="1206">
        <f>+CF18+CF25</f>
      </c>
      <c r="CG27" s="1207">
        <f t="shared" si="85"/>
      </c>
      <c r="CH27" s="1206">
        <f t="shared" si="85"/>
      </c>
      <c r="CI27" s="1206">
        <f t="shared" si="85"/>
      </c>
      <c r="CJ27" s="1206">
        <f t="shared" si="85"/>
      </c>
      <c r="CK27" s="1207">
        <f t="shared" si="85"/>
      </c>
      <c r="CL27" s="1206">
        <f t="shared" ref="CL27:CW27" si="86">+CL18+CL25</f>
      </c>
      <c r="CM27" s="1206">
        <f t="shared" si="86"/>
      </c>
      <c r="CN27" s="1206">
        <f t="shared" si="86"/>
      </c>
      <c r="CO27" s="1207">
        <f t="shared" si="86"/>
      </c>
      <c r="CP27" s="1206">
        <f t="shared" si="86"/>
      </c>
      <c r="CQ27" s="1206">
        <f t="shared" si="86"/>
      </c>
      <c r="CR27" s="1206">
        <f t="shared" si="86"/>
      </c>
      <c r="CS27" s="1207">
        <f t="shared" si="86"/>
      </c>
      <c r="CT27" s="1206">
        <f t="shared" si="86"/>
      </c>
      <c r="CU27" s="1206">
        <f t="shared" si="86"/>
      </c>
      <c r="CV27" s="1206">
        <f t="shared" si="86"/>
      </c>
      <c r="CW27" s="1207">
        <f t="shared" si="86"/>
      </c>
      <c r="CX27" s="1208">
        <f t="shared" ref="CX27:CY27" si="87">+CX18+CX25</f>
      </c>
      <c r="CY27" s="1206">
        <f t="shared" si="87"/>
      </c>
      <c r="CZ27" s="1206">
        <f t="shared" ref="CZ27:DE27" si="88">+CZ18+CZ25</f>
      </c>
      <c r="DA27" s="1207">
        <f t="shared" si="88"/>
      </c>
      <c r="DB27" s="1208">
        <f t="shared" ref="DB27:DD27" si="89">+DB18+DB25</f>
      </c>
      <c r="DC27" s="1206">
        <f t="shared" si="89"/>
      </c>
      <c r="DD27" s="1206">
        <f t="shared" si="89"/>
      </c>
      <c r="DE27" s="1207">
        <f t="shared" si="88"/>
      </c>
      <c r="DF27" s="1208">
        <f t="shared" ref="DF27:DI27" si="90">+DF18+DF25</f>
      </c>
      <c r="DG27" s="1206">
        <f t="shared" si="90"/>
      </c>
      <c r="DH27" s="1206">
        <f t="shared" si="90"/>
      </c>
      <c r="DI27" s="1207">
        <f t="shared" si="90"/>
      </c>
      <c r="DJ27" s="1208">
        <f t="shared" ref="DJ27:DL27" si="91">+DJ18+DJ25</f>
      </c>
      <c r="DK27" s="1206">
        <f t="shared" si="91"/>
      </c>
      <c r="DL27" s="1206">
        <f t="shared" si="91"/>
      </c>
      <c r="DM27" s="1207">
        <f t="shared" ref="DM27:DO27" si="92">+DM18+DM25</f>
      </c>
      <c r="DN27" s="1208">
        <f t="shared" ref="DN27" si="93">+DN18+DN25</f>
      </c>
      <c r="DO27" s="1206">
        <f t="shared" si="92"/>
      </c>
      <c r="DP27" s="1206">
        <f t="shared" ref="DP27" si="94">+DP18+DP25</f>
      </c>
      <c r="DQ27" s="1207">
        <f t="shared" ref="DQ27" si="95">+DQ18+DQ25</f>
      </c>
      <c r="DR27" s="1206">
        <f t="shared" ref="DR27:DU27" si="96">+DR18+DR25</f>
      </c>
      <c r="DS27" s="1206">
        <f t="shared" si="96"/>
      </c>
      <c r="DT27" s="1206">
        <f t="shared" si="96"/>
      </c>
      <c r="DU27" s="1207">
        <f t="shared" si="96"/>
      </c>
      <c r="DV27" s="1206">
        <f t="shared" ref="DV27:EK27" si="97">+DV18+DV25</f>
      </c>
      <c r="DW27" s="1206">
        <f t="shared" si="97"/>
      </c>
      <c r="DX27" s="1206">
        <f t="shared" si="97"/>
      </c>
      <c r="DY27" s="1207">
        <f t="shared" si="97"/>
      </c>
      <c r="DZ27" s="1206">
        <f t="shared" si="97"/>
      </c>
      <c r="EA27" s="1206">
        <f t="shared" si="97"/>
      </c>
      <c r="EB27" s="1206">
        <f t="shared" si="97"/>
      </c>
      <c r="EC27" s="1207">
        <f t="shared" si="97"/>
      </c>
      <c r="ED27" s="1206">
        <f t="shared" si="97"/>
      </c>
      <c r="EE27" s="1206">
        <f t="shared" si="97"/>
      </c>
      <c r="EF27" s="1206">
        <f t="shared" si="97"/>
      </c>
      <c r="EG27" s="1207">
        <f t="shared" si="97"/>
      </c>
      <c r="EH27" s="1206">
        <f t="shared" si="97"/>
      </c>
      <c r="EI27" s="1206">
        <f t="shared" si="97"/>
      </c>
      <c r="EJ27" s="1206">
        <f t="shared" si="97"/>
      </c>
      <c r="EK27" s="1207">
        <f t="shared" si="97"/>
      </c>
      <c r="EN27" s="1206">
        <f t="shared" ref="EN27:EZ27" si="98">+EN18+EN25</f>
      </c>
      <c r="EO27" s="1206">
        <f t="shared" si="98"/>
      </c>
      <c r="EP27" s="1206">
        <f t="shared" si="98"/>
      </c>
      <c r="EQ27" s="1206">
        <f t="shared" si="98"/>
      </c>
      <c r="ER27" s="1206">
        <f t="shared" si="98"/>
      </c>
      <c r="ES27" s="1206">
        <f t="shared" si="98"/>
      </c>
      <c r="ET27" s="1206">
        <f t="shared" si="98"/>
      </c>
      <c r="EU27" s="1206">
        <f t="shared" si="98"/>
      </c>
      <c r="EV27" s="1206">
        <f t="shared" si="98"/>
      </c>
      <c r="EW27" s="1206">
        <f t="shared" si="98"/>
      </c>
      <c r="EX27" s="1206">
        <f t="shared" si="98"/>
      </c>
      <c r="EY27" s="1206">
        <f t="shared" si="98"/>
      </c>
      <c r="EZ27" s="1206">
        <f t="shared" si="98"/>
      </c>
      <c r="FA27" s="1206">
        <f t="shared" ref="FA27:FJ27" si="99">+FA18+FA25</f>
      </c>
      <c r="FB27" s="1206">
        <f t="shared" si="99"/>
      </c>
      <c r="FC27" s="1206">
        <f t="shared" si="99"/>
      </c>
      <c r="FD27" s="1206">
        <f t="shared" si="99"/>
      </c>
      <c r="FE27" s="1206">
        <f t="shared" si="99"/>
      </c>
      <c r="FF27" s="1206">
        <f t="shared" si="99"/>
      </c>
      <c r="FG27" s="1206">
        <f t="shared" si="99"/>
      </c>
      <c r="FH27" s="1206">
        <f t="shared" si="99"/>
      </c>
      <c r="FI27" s="1206">
        <f t="shared" si="99"/>
      </c>
      <c r="FJ27" s="1206">
        <f t="shared" si="99"/>
      </c>
      <c r="FK27" s="1206">
        <f>+FK18+FK25</f>
      </c>
      <c r="FL27" s="1206">
        <f>+FL18+FL25</f>
      </c>
      <c r="FM27" s="1206">
        <f>+FM18+FM25</f>
      </c>
      <c r="FN27" s="1206">
        <f>+FN18+FN25</f>
      </c>
      <c r="FO27" s="1206">
        <f>+DI27</f>
      </c>
      <c r="FP27" s="1206">
        <f>+DM27</f>
      </c>
      <c r="FQ27" s="1206">
        <f>+DQ27</f>
      </c>
      <c r="FR27" s="1206">
        <f>+DU27</f>
      </c>
      <c r="FS27" s="1206">
        <f>DY27</f>
      </c>
      <c r="FT27" s="1206">
        <f>EC27</f>
      </c>
      <c r="FU27" s="1206">
        <f>EG27</f>
      </c>
      <c r="FV27" s="1206">
        <f>EK27</f>
      </c>
      <c r="FZ27" s="23"/>
      <c r="GA27" s="23"/>
    </row>
    <row r="28" spans="1:183" ht="10.8" thickTop="1">
      <c r="A28" s="19"/>
      <c r="B28" s="15"/>
      <c r="C28" s="15"/>
      <c r="D28" s="15"/>
      <c r="E28" s="174"/>
      <c r="F28" s="15"/>
      <c r="G28" s="15"/>
      <c r="H28" s="15"/>
      <c r="I28" s="174"/>
      <c r="J28" s="15"/>
      <c r="K28" s="15"/>
      <c r="L28" s="15"/>
      <c r="M28" s="174"/>
      <c r="N28" s="15"/>
      <c r="O28" s="15"/>
      <c r="P28" s="15"/>
      <c r="Q28" s="174"/>
      <c r="R28" s="15"/>
      <c r="S28" s="15"/>
      <c r="T28" s="15"/>
      <c r="U28" s="174"/>
      <c r="V28" s="15"/>
      <c r="W28" s="15"/>
      <c r="X28" s="15"/>
      <c r="Y28" s="174"/>
      <c r="Z28" s="15"/>
      <c r="AA28" s="15"/>
      <c r="AB28" s="15"/>
      <c r="AC28" s="174"/>
      <c r="AD28" s="15"/>
      <c r="AE28" s="15"/>
      <c r="AF28" s="15"/>
      <c r="AG28" s="174"/>
      <c r="AH28" s="15"/>
      <c r="AI28" s="15"/>
      <c r="AJ28" s="15"/>
      <c r="AK28" s="174"/>
      <c r="AL28" s="15"/>
      <c r="AM28" s="15"/>
      <c r="AN28" s="15"/>
      <c r="AO28" s="174"/>
      <c r="AP28" s="15"/>
      <c r="AQ28" s="15"/>
      <c r="AR28" s="15"/>
      <c r="AS28" s="174"/>
      <c r="AT28" s="15"/>
      <c r="AU28" s="15"/>
      <c r="AV28" s="15"/>
      <c r="AW28" s="174"/>
      <c r="AX28" s="15"/>
      <c r="AY28" s="15"/>
      <c r="AZ28" s="15"/>
      <c r="BA28" s="174"/>
      <c r="BB28" s="15"/>
      <c r="BC28" s="15"/>
      <c r="BD28" s="15"/>
      <c r="BE28" s="174"/>
      <c r="BF28" s="15"/>
      <c r="BG28" s="15"/>
      <c r="BH28" s="15"/>
      <c r="BI28" s="174"/>
      <c r="BJ28" s="15"/>
      <c r="BK28" s="15"/>
      <c r="BL28" s="15"/>
      <c r="BM28" s="174"/>
      <c r="BN28" s="15"/>
      <c r="BO28" s="15"/>
      <c r="BP28" s="15"/>
      <c r="BQ28" s="174"/>
      <c r="BR28" s="15"/>
      <c r="BS28" s="15"/>
      <c r="BT28" s="15"/>
      <c r="BU28" s="174"/>
      <c r="BV28" s="15"/>
      <c r="BW28" s="17"/>
      <c r="BX28" s="17"/>
      <c r="BY28" s="225"/>
      <c r="BZ28" s="17"/>
      <c r="CA28" s="17"/>
      <c r="CB28" s="17"/>
      <c r="CC28" s="174"/>
      <c r="CD28" s="15"/>
      <c r="CE28" s="15"/>
      <c r="CF28" s="15"/>
      <c r="CG28" s="174"/>
      <c r="CH28" s="15"/>
      <c r="CI28" s="15"/>
      <c r="CJ28" s="15"/>
      <c r="CK28" s="174"/>
      <c r="CL28" s="92"/>
      <c r="CM28" s="168"/>
      <c r="CN28" s="92"/>
      <c r="CO28" s="186"/>
      <c r="CP28" s="402"/>
      <c r="CQ28" s="92"/>
      <c r="CR28" s="92"/>
      <c r="CS28" s="174"/>
      <c r="CT28" s="402"/>
      <c r="CU28" s="402"/>
      <c r="CV28" s="402"/>
      <c r="CW28" s="268"/>
      <c r="CX28" s="481"/>
      <c r="CY28" s="402"/>
      <c r="CZ28" s="15"/>
      <c r="DA28" s="268"/>
      <c r="DB28" s="481"/>
      <c r="DC28" s="402"/>
      <c r="DD28" s="402"/>
      <c r="DE28" s="226"/>
      <c r="DF28" s="62"/>
      <c r="DG28" s="62"/>
      <c r="DH28" s="62"/>
      <c r="DI28" s="226"/>
      <c r="DJ28" s="62"/>
      <c r="DK28" s="62"/>
      <c r="DL28" s="62"/>
      <c r="DM28" s="226"/>
      <c r="DN28" s="62"/>
      <c r="DO28" s="62"/>
      <c r="DP28" s="62"/>
      <c r="DQ28" s="226"/>
      <c r="DR28" s="62"/>
      <c r="DS28" s="62"/>
      <c r="DT28" s="62"/>
      <c r="DU28" s="226"/>
      <c r="DV28" s="62"/>
      <c r="DW28" s="62"/>
      <c r="DX28" s="62"/>
      <c r="DY28" s="226"/>
      <c r="DZ28" s="62"/>
      <c r="EA28" s="62"/>
      <c r="EB28" s="62"/>
      <c r="EC28" s="226"/>
      <c r="ED28" s="62"/>
      <c r="EE28" s="62"/>
      <c r="EF28" s="62"/>
      <c r="EG28" s="226"/>
      <c r="EH28" s="62"/>
      <c r="EI28" s="62"/>
      <c r="EJ28" s="62"/>
      <c r="EK28" s="226"/>
      <c r="EN28" s="62"/>
      <c r="EO28" s="62"/>
      <c r="EP28" s="62"/>
      <c r="EQ28" s="62"/>
      <c r="ER28" s="62"/>
      <c r="ES28" s="62"/>
      <c r="ET28" s="62"/>
      <c r="EU28" s="62"/>
      <c r="EV28" s="62"/>
      <c r="EW28" s="62"/>
      <c r="EX28" s="62"/>
      <c r="EY28" s="62"/>
      <c r="EZ28" s="62"/>
      <c r="FA28" s="62"/>
      <c r="FB28" s="62"/>
      <c r="FC28" s="62"/>
      <c r="FD28" s="62"/>
      <c r="FE28" s="62"/>
      <c r="FF28" s="62"/>
      <c r="FG28" s="62"/>
      <c r="FH28" s="62"/>
      <c r="FI28" s="62"/>
      <c r="FJ28" s="62"/>
      <c r="FK28" s="62"/>
      <c r="FL28" s="62"/>
      <c r="FM28" s="62"/>
      <c r="FN28" s="62"/>
      <c r="FO28" s="62"/>
      <c r="FP28" s="62"/>
      <c r="FQ28" s="62"/>
      <c r="FR28" s="62"/>
      <c r="FS28" s="62"/>
      <c r="FT28" s="62"/>
      <c r="FU28" s="62"/>
      <c r="FV28" s="62"/>
      <c r="FW28" s="11"/>
      <c r="FX28" s="11"/>
      <c r="FY28" s="11"/>
    </row>
    <row r="29" spans="1:183" ht="10.199999999999999">
      <c r="A29" s="31" t="s">
        <v>152</v>
      </c>
      <c r="B29" s="15"/>
      <c r="C29" s="15"/>
      <c r="D29" s="15"/>
      <c r="E29" s="174"/>
      <c r="F29" s="15"/>
      <c r="G29" s="15"/>
      <c r="H29" s="15"/>
      <c r="I29" s="174"/>
      <c r="J29" s="15"/>
      <c r="K29" s="15"/>
      <c r="L29" s="15"/>
      <c r="M29" s="174"/>
      <c r="N29" s="15"/>
      <c r="O29" s="15"/>
      <c r="P29" s="15"/>
      <c r="Q29" s="174"/>
      <c r="R29" s="15"/>
      <c r="S29" s="15"/>
      <c r="T29" s="15"/>
      <c r="U29" s="174"/>
      <c r="V29" s="15"/>
      <c r="W29" s="15"/>
      <c r="X29" s="15"/>
      <c r="Y29" s="174"/>
      <c r="Z29" s="15"/>
      <c r="AA29" s="15"/>
      <c r="AB29" s="15"/>
      <c r="AC29" s="174"/>
      <c r="AD29" s="15"/>
      <c r="AE29" s="15"/>
      <c r="AF29" s="15"/>
      <c r="AG29" s="174"/>
      <c r="AH29" s="15"/>
      <c r="AI29" s="15"/>
      <c r="AJ29" s="15"/>
      <c r="AK29" s="174"/>
      <c r="AL29" s="15"/>
      <c r="AM29" s="15"/>
      <c r="AN29" s="15"/>
      <c r="AO29" s="174"/>
      <c r="AP29" s="15"/>
      <c r="AQ29" s="15"/>
      <c r="AR29" s="15"/>
      <c r="AS29" s="174"/>
      <c r="AT29" s="15"/>
      <c r="AU29" s="15"/>
      <c r="AV29" s="15"/>
      <c r="AW29" s="174"/>
      <c r="AX29" s="15"/>
      <c r="AY29" s="15"/>
      <c r="AZ29" s="15"/>
      <c r="BA29" s="174"/>
      <c r="BB29" s="15"/>
      <c r="BC29" s="15"/>
      <c r="BD29" s="15"/>
      <c r="BE29" s="174"/>
      <c r="BF29" s="15"/>
      <c r="BG29" s="15"/>
      <c r="BH29" s="15"/>
      <c r="BI29" s="174"/>
      <c r="BJ29" s="15"/>
      <c r="BK29" s="15"/>
      <c r="BL29" s="15"/>
      <c r="BM29" s="174"/>
      <c r="BN29" s="15"/>
      <c r="BO29" s="15"/>
      <c r="BP29" s="15"/>
      <c r="BQ29" s="174"/>
      <c r="BR29" s="15"/>
      <c r="BS29" s="15"/>
      <c r="BT29" s="15"/>
      <c r="BU29" s="174"/>
      <c r="BV29" s="15"/>
      <c r="BW29" s="15"/>
      <c r="BX29" s="15"/>
      <c r="BY29" s="174"/>
      <c r="BZ29" s="15"/>
      <c r="CA29" s="15"/>
      <c r="CB29" s="15"/>
      <c r="CC29" s="174"/>
      <c r="CD29" s="15"/>
      <c r="CE29" s="15"/>
      <c r="CF29" s="15"/>
      <c r="CG29" s="174"/>
      <c r="CH29" s="15"/>
      <c r="CI29" s="15"/>
      <c r="CJ29" s="15"/>
      <c r="CK29" s="174"/>
      <c r="CL29" s="403"/>
      <c r="CM29" s="15"/>
      <c r="CN29" s="15"/>
      <c r="CO29" s="174"/>
      <c r="CP29" s="62"/>
      <c r="CQ29" s="15"/>
      <c r="CR29" s="15"/>
      <c r="CS29" s="174"/>
      <c r="CT29" s="62"/>
      <c r="CU29" s="62"/>
      <c r="CV29" s="62"/>
      <c r="CW29" s="226"/>
      <c r="CX29" s="476"/>
      <c r="CY29" s="62"/>
      <c r="CZ29" s="15"/>
      <c r="DA29" s="226"/>
      <c r="DB29" s="476"/>
      <c r="DC29" s="62"/>
      <c r="DD29" s="62"/>
      <c r="DE29" s="226"/>
      <c r="DF29" s="62"/>
      <c r="DG29" s="62"/>
      <c r="DH29" s="62"/>
      <c r="DI29" s="226"/>
      <c r="DJ29" s="62"/>
      <c r="DK29" s="62"/>
      <c r="DL29" s="62"/>
      <c r="DM29" s="226"/>
      <c r="DN29" s="62"/>
      <c r="DO29" s="62"/>
      <c r="DP29" s="62"/>
      <c r="DQ29" s="226"/>
      <c r="DR29" s="62"/>
      <c r="DS29" s="62"/>
      <c r="DT29" s="62"/>
      <c r="DU29" s="226"/>
      <c r="DV29" s="62"/>
      <c r="DW29" s="62"/>
      <c r="DX29" s="62"/>
      <c r="DY29" s="226"/>
      <c r="DZ29" s="62"/>
      <c r="EA29" s="62"/>
      <c r="EB29" s="62"/>
      <c r="EC29" s="226"/>
      <c r="ED29" s="62"/>
      <c r="EE29" s="62"/>
      <c r="EF29" s="62"/>
      <c r="EG29" s="226"/>
      <c r="EH29" s="62"/>
      <c r="EI29" s="62"/>
      <c r="EJ29" s="62"/>
      <c r="EK29" s="226"/>
      <c r="EN29" s="15"/>
      <c r="EO29" s="15"/>
      <c r="EP29" s="15"/>
      <c r="EQ29" s="15"/>
      <c r="ER29" s="15"/>
      <c r="ES29" s="15"/>
      <c r="ET29" s="15"/>
      <c r="EU29" s="15"/>
      <c r="EV29" s="15"/>
      <c r="EW29" s="15"/>
      <c r="EX29" s="15"/>
      <c r="EY29" s="15"/>
      <c r="EZ29" s="15"/>
      <c r="FA29" s="15"/>
      <c r="FB29" s="15"/>
      <c r="FC29" s="15"/>
      <c r="FD29" s="15"/>
      <c r="FE29" s="15"/>
      <c r="FF29" s="15"/>
      <c r="FG29" s="15"/>
      <c r="FH29" s="15"/>
      <c r="FI29" s="15"/>
      <c r="FJ29" s="15"/>
      <c r="FK29" s="15"/>
      <c r="FL29" s="15"/>
      <c r="FM29" s="15"/>
      <c r="FN29" s="15"/>
      <c r="FO29" s="15"/>
      <c r="FP29" s="15"/>
      <c r="FQ29" s="15"/>
      <c r="FR29" s="15"/>
      <c r="FS29" s="15"/>
      <c r="FT29" s="15"/>
      <c r="FU29" s="15"/>
      <c r="FV29" s="15"/>
      <c r="FW29" s="11"/>
      <c r="FX29" s="11"/>
      <c r="FY29" s="11"/>
    </row>
    <row r="30" spans="1:183" ht="10.199999999999999">
      <c r="A30" s="26" t="s">
        <v>112</v>
      </c>
      <c r="B30" s="34">
        <v>1431</v>
      </c>
      <c r="C30" s="34">
        <v>817</v>
      </c>
      <c r="D30" s="34">
        <v>762</v>
      </c>
      <c r="E30" s="173">
        <v>791</v>
      </c>
      <c r="F30" s="34">
        <v>820</v>
      </c>
      <c r="G30" s="34">
        <v>840</v>
      </c>
      <c r="H30" s="34">
        <v>812</v>
      </c>
      <c r="I30" s="173">
        <v>685</v>
      </c>
      <c r="J30" s="34">
        <v>655</v>
      </c>
      <c r="K30" s="34">
        <v>523</v>
      </c>
      <c r="L30" s="34">
        <v>573</v>
      </c>
      <c r="M30" s="173">
        <v>719</v>
      </c>
      <c r="N30" s="34">
        <v>655</v>
      </c>
      <c r="O30" s="34">
        <v>791</v>
      </c>
      <c r="P30" s="34">
        <v>792</v>
      </c>
      <c r="Q30" s="173">
        <v>812</v>
      </c>
      <c r="R30" s="34">
        <v>1174</v>
      </c>
      <c r="S30" s="34">
        <v>1111</v>
      </c>
      <c r="T30" s="34">
        <v>1040</v>
      </c>
      <c r="U30" s="173">
        <v>1157</v>
      </c>
      <c r="V30" s="34">
        <v>637</v>
      </c>
      <c r="W30" s="34">
        <v>961</v>
      </c>
      <c r="X30" s="34">
        <v>847</v>
      </c>
      <c r="Y30" s="173">
        <v>801</v>
      </c>
      <c r="Z30" s="34">
        <v>830</v>
      </c>
      <c r="AA30" s="34">
        <v>987</v>
      </c>
      <c r="AB30" s="34">
        <v>904</v>
      </c>
      <c r="AC30" s="173">
        <v>911</v>
      </c>
      <c r="AD30" s="34">
        <v>817</v>
      </c>
      <c r="AE30" s="34">
        <v>921</v>
      </c>
      <c r="AF30" s="34">
        <v>880</v>
      </c>
      <c r="AG30" s="173">
        <v>1154</v>
      </c>
      <c r="AH30" s="34">
        <v>1085</v>
      </c>
      <c r="AI30" s="34">
        <v>991</v>
      </c>
      <c r="AJ30" s="34">
        <v>1061</v>
      </c>
      <c r="AK30" s="173">
        <v>1451</v>
      </c>
      <c r="AL30" s="34">
        <v>1737</v>
      </c>
      <c r="AM30" s="34">
        <v>1773</v>
      </c>
      <c r="AN30" s="34">
        <v>1530</v>
      </c>
      <c r="AO30" s="173">
        <v>1779</v>
      </c>
      <c r="AP30" s="34">
        <v>2896</v>
      </c>
      <c r="AQ30" s="34">
        <v>2108</v>
      </c>
      <c r="AR30" s="34">
        <v>2513</v>
      </c>
      <c r="AS30" s="173">
        <v>3390</v>
      </c>
      <c r="AT30" s="34">
        <v>3885</v>
      </c>
      <c r="AU30" s="34">
        <v>2403</v>
      </c>
      <c r="AV30" s="34">
        <v>3660</v>
      </c>
      <c r="AW30" s="173">
        <v>4970</v>
      </c>
      <c r="AX30" s="34">
        <v>5366</v>
      </c>
      <c r="AY30" s="34">
        <v>4154</v>
      </c>
      <c r="AZ30" s="34">
        <v>3683</v>
      </c>
      <c r="BA30" s="173">
        <v>5520</v>
      </c>
      <c r="BB30" s="34">
        <v>4715</v>
      </c>
      <c r="BC30" s="34">
        <v>3976</v>
      </c>
      <c r="BD30" s="34">
        <v>4854</v>
      </c>
      <c r="BE30" s="173">
        <v>5601</v>
      </c>
      <c r="BF30" s="34">
        <v>6511</v>
      </c>
      <c r="BG30" s="34">
        <v>5666</v>
      </c>
      <c r="BH30" s="34">
        <v>8469</v>
      </c>
      <c r="BI30" s="173">
        <v>12015</v>
      </c>
      <c r="BJ30" s="34">
        <v>14301</v>
      </c>
      <c r="BK30" s="34">
        <v>13714</v>
      </c>
      <c r="BL30" s="34">
        <v>15270</v>
      </c>
      <c r="BM30" s="173">
        <v>14632</v>
      </c>
      <c r="BN30" s="34">
        <v>18221</v>
      </c>
      <c r="BO30" s="34">
        <v>17011</v>
      </c>
      <c r="BP30" s="34">
        <v>16808</v>
      </c>
      <c r="BQ30" s="173">
        <v>21175</v>
      </c>
      <c r="BR30" s="34">
        <v>26398</v>
      </c>
      <c r="BS30" s="34">
        <v>14912</v>
      </c>
      <c r="BT30" s="34">
        <v>15516</v>
      </c>
      <c r="BU30" s="173">
        <v>22367</v>
      </c>
      <c r="BV30" s="34">
        <v>29588</v>
      </c>
      <c r="BW30" s="34">
        <v>18914</v>
      </c>
      <c r="BX30" s="34">
        <v>20535</v>
      </c>
      <c r="BY30" s="173">
        <v>30196</v>
      </c>
      <c r="BZ30" s="34">
        <v>38001</v>
      </c>
      <c r="CA30" s="34">
        <v>23159</v>
      </c>
      <c r="CB30" s="34">
        <v>26474</v>
      </c>
      <c r="CC30" s="173">
        <v>35490</v>
      </c>
      <c r="CD30" s="34">
        <v>33312</v>
      </c>
      <c r="CE30" s="34">
        <v>25098</v>
      </c>
      <c r="CF30" s="34">
        <v>26318</v>
      </c>
      <c r="CG30" s="173">
        <v>37294</v>
      </c>
      <c r="CH30" s="34">
        <v>38510</v>
      </c>
      <c r="CI30" s="34">
        <v>28573</v>
      </c>
      <c r="CJ30" s="34">
        <v>31915</v>
      </c>
      <c r="CK30" s="173">
        <v>44242</v>
      </c>
      <c r="CL30" s="34">
        <v>62985</v>
      </c>
      <c r="CM30" s="34">
        <v>34311</v>
      </c>
      <c r="CN30" s="34">
        <v>38489</v>
      </c>
      <c r="CO30" s="173">
        <v>55888</v>
      </c>
      <c r="CP30" s="77">
        <v>44293</v>
      </c>
      <c r="CQ30" s="34">
        <v>30443</v>
      </c>
      <c r="CR30" s="34">
        <v>29115</v>
      </c>
      <c r="CS30" s="173">
        <v>46236</v>
      </c>
      <c r="CT30" s="77">
        <v>45111</v>
      </c>
      <c r="CU30" s="77">
        <v>32421</v>
      </c>
      <c r="CV30" s="77">
        <v>35325</v>
      </c>
      <c r="CW30" s="192">
        <v>42296</v>
      </c>
      <c r="CX30" s="474">
        <v>63846</v>
      </c>
      <c r="CY30" s="77">
        <v>40127</v>
      </c>
      <c r="CZ30" s="77">
        <v>40409</v>
      </c>
      <c r="DA30" s="192">
        <v>54763</v>
      </c>
      <c r="DB30" s="474">
        <v>74362</v>
      </c>
      <c r="DC30" s="77">
        <v>52682</v>
      </c>
      <c r="DD30" s="77">
        <v>48343</v>
      </c>
      <c r="DE30" s="192">
        <v>64115</v>
      </c>
      <c r="DF30" s="474">
        <v>57918</v>
      </c>
      <c r="DG30" s="77">
        <v>42945</v>
      </c>
      <c r="DH30" s="77">
        <v>46699</v>
      </c>
      <c r="DI30" s="192">
        <v>62611</v>
      </c>
      <c r="DJ30" s="474">
        <v>58146</v>
      </c>
      <c r="DK30" s="77">
        <v>45753</v>
      </c>
      <c r="DL30" s="77">
        <v>47574</v>
      </c>
      <c r="DM30" s="192">
        <v>68960</v>
      </c>
      <c r="DN30" s="474">
        <v>61910</v>
      </c>
      <c r="DO30" s="77">
        <v>54126</v>
      </c>
      <c r="DP30" s="77">
        <v>50374</v>
      </c>
      <c r="DQ30" s="176">
        <f>+DQ65*('Income Statement'!DQ10*4)</f>
      </c>
      <c r="DR30" s="85">
        <f>+DR65*('Income Statement'!DR10*4)</f>
      </c>
      <c r="DS30" s="85">
        <f>+DS65*('Income Statement'!DS10*4)</f>
      </c>
      <c r="DT30" s="85">
        <f>+DT65*('Income Statement'!DT10*4)</f>
      </c>
      <c r="DU30" s="176">
        <f>+DU65*('Income Statement'!DU10*4)</f>
      </c>
      <c r="DV30" s="85">
        <f>+DV65*('Income Statement'!DV10*4)</f>
      </c>
      <c r="DW30" s="85">
        <f>+DW65*('Income Statement'!DW10*4)</f>
      </c>
      <c r="DX30" s="85">
        <f>+DX65*('Income Statement'!DX10*4)</f>
      </c>
      <c r="DY30" s="176">
        <f>+DY65*('Income Statement'!DY10*4)</f>
      </c>
      <c r="DZ30" s="85">
        <f>+DZ65*('Income Statement'!DZ10*4)</f>
      </c>
      <c r="EA30" s="85">
        <f>+EA65*('Income Statement'!EA10*4)</f>
      </c>
      <c r="EB30" s="85">
        <f>+EB65*('Income Statement'!EB10*4)</f>
      </c>
      <c r="EC30" s="176">
        <f>+EC65*('Income Statement'!EC10*4)</f>
      </c>
      <c r="ED30" s="85">
        <f>+ED65*('Income Statement'!ED10*4)</f>
      </c>
      <c r="EE30" s="85">
        <f>+EE65*('Income Statement'!EE10*4)</f>
      </c>
      <c r="EF30" s="85">
        <f>+EF65*('Income Statement'!EF10*4)</f>
      </c>
      <c r="EG30" s="176">
        <f>+EG65*('Income Statement'!EG10*4)</f>
      </c>
      <c r="EH30" s="85">
        <f>+EH65*('Income Statement'!EH10*4)</f>
      </c>
      <c r="EI30" s="85">
        <f>+EI65*('Income Statement'!EI10*4)</f>
      </c>
      <c r="EJ30" s="85">
        <f>+EJ65*('Income Statement'!EJ10*4)</f>
      </c>
      <c r="EK30" s="176">
        <f>+EK65*('Income Statement'!EK10*4)</f>
      </c>
      <c r="EN30" s="15">
        <f t="shared" ref="EN30:EN33" si="100">E30</f>
      </c>
      <c r="EO30" s="15">
        <f t="shared" ref="EO30:EO33" si="101">I30</f>
      </c>
      <c r="EP30" s="15">
        <f t="shared" ref="EP30:EP33" si="102">M30</f>
      </c>
      <c r="EQ30" s="15">
        <f t="shared" ref="EQ30:EQ33" si="103">Q30</f>
      </c>
      <c r="ER30" s="15">
        <f t="shared" ref="ER30:ER33" si="104">U30</f>
      </c>
      <c r="ES30" s="15">
        <f t="shared" ref="ES30:ES33" si="105">Y30</f>
      </c>
      <c r="ET30" s="15">
        <f t="shared" ref="ET30:ET33" si="106">AC30</f>
      </c>
      <c r="EU30" s="15">
        <f t="shared" ref="EU30:EU33" si="107">AG30</f>
      </c>
      <c r="EV30" s="15">
        <f t="shared" ref="EV30:EV33" si="108">AK30</f>
      </c>
      <c r="EW30" s="15">
        <f t="shared" ref="EW30:EW33" si="109">AO30</f>
      </c>
      <c r="EX30" s="15">
        <f t="shared" ref="EX30:EX33" si="110">AS30</f>
      </c>
      <c r="EY30" s="15">
        <f t="shared" ref="EY30:EY33" si="111">AW30</f>
      </c>
      <c r="EZ30" s="15">
        <f t="shared" ref="EZ30:EZ33" si="112">BA30</f>
      </c>
      <c r="FA30" s="15">
        <f t="shared" ref="FA30:FA33" si="113">BE30</f>
      </c>
      <c r="FB30" s="15">
        <f>BI30:BI112</f>
      </c>
      <c r="FC30" s="15">
        <f>BM30:BM112</f>
      </c>
      <c r="FD30" s="15">
        <f>BQ30:BQ112</f>
      </c>
      <c r="FE30" s="15">
        <f>BU30:BU112</f>
      </c>
      <c r="FF30" s="15">
        <f>BY30:BY112</f>
      </c>
      <c r="FG30" s="15">
        <f>CC30:CC112</f>
      </c>
      <c r="FH30" s="15">
        <f>CG30:CG112</f>
      </c>
      <c r="FI30" s="15">
        <f>CK30:CK112</f>
      </c>
      <c r="FJ30" s="15">
        <f>CO30:CO112</f>
      </c>
      <c r="FK30" s="15">
        <f>$CS$11:$CS$53</f>
      </c>
      <c r="FL30" s="15">
        <f>$CW$11:$CW$53</f>
      </c>
      <c r="FM30" s="15">
        <f>$DA$11:$DA$53</f>
      </c>
      <c r="FN30" s="15">
        <f>$DE$11:$DE$53</f>
      </c>
      <c r="FO30" s="15">
        <f t="shared" ref="FO30:FO33" si="114">+DI30</f>
      </c>
      <c r="FP30" s="15">
        <f t="shared" ref="FP30:FP33" si="115">+DM30</f>
      </c>
      <c r="FQ30" s="15">
        <f t="shared" ref="FQ30:FQ33" si="116">+DQ30</f>
      </c>
      <c r="FR30" s="15">
        <f t="shared" ref="FR30:FR33" si="117">+DU30</f>
      </c>
      <c r="FS30" s="15">
        <f>DY30</f>
      </c>
      <c r="FT30" s="15">
        <f>EC30</f>
      </c>
      <c r="FU30" s="15">
        <f>EG30</f>
      </c>
      <c r="FV30" s="15">
        <f>EK30</f>
      </c>
      <c r="FW30" s="11"/>
      <c r="FX30" s="11"/>
      <c r="FY30" s="11"/>
      <c r="FZ30" s="23"/>
      <c r="GA30" s="23"/>
    </row>
    <row r="31" spans="1:183" ht="10.199999999999999">
      <c r="A31" s="27" t="s">
        <v>321</v>
      </c>
      <c r="B31" s="34">
        <v>776</v>
      </c>
      <c r="C31" s="34">
        <v>1104</v>
      </c>
      <c r="D31" s="34">
        <v>977</v>
      </c>
      <c r="E31" s="173">
        <v>1026</v>
      </c>
      <c r="F31" s="34">
        <v>1044</v>
      </c>
      <c r="G31" s="34">
        <v>1038</v>
      </c>
      <c r="H31" s="34">
        <v>971</v>
      </c>
      <c r="I31" s="173">
        <v>1108</v>
      </c>
      <c r="J31" s="34">
        <v>990</v>
      </c>
      <c r="K31" s="34">
        <v>838</v>
      </c>
      <c r="L31" s="34">
        <v>816</v>
      </c>
      <c r="M31" s="173">
        <v>801</v>
      </c>
      <c r="N31" s="34">
        <v>829</v>
      </c>
      <c r="O31" s="34">
        <v>753</v>
      </c>
      <c r="P31" s="34">
        <v>747</v>
      </c>
      <c r="Q31" s="173">
        <v>737</v>
      </c>
      <c r="R31" s="34">
        <v>791</v>
      </c>
      <c r="S31" s="34">
        <v>742</v>
      </c>
      <c r="T31" s="34">
        <v>833</v>
      </c>
      <c r="U31" s="173">
        <v>671</v>
      </c>
      <c r="V31" s="34">
        <v>1000</v>
      </c>
      <c r="W31" s="34">
        <v>834</v>
      </c>
      <c r="X31" s="34">
        <v>767</v>
      </c>
      <c r="Y31" s="173">
        <v>533</v>
      </c>
      <c r="Z31" s="34">
        <v>576</v>
      </c>
      <c r="AA31" s="34">
        <v>530</v>
      </c>
      <c r="AB31" s="34">
        <v>592</v>
      </c>
      <c r="AC31" s="173">
        <v>494</v>
      </c>
      <c r="AD31" s="34">
        <v>500</v>
      </c>
      <c r="AE31" s="34">
        <v>482</v>
      </c>
      <c r="AF31" s="34">
        <v>507</v>
      </c>
      <c r="AG31" s="173">
        <v>531</v>
      </c>
      <c r="AH31" s="34">
        <v>589</v>
      </c>
      <c r="AI31" s="34">
        <v>557</v>
      </c>
      <c r="AJ31" s="34">
        <v>624</v>
      </c>
      <c r="AK31" s="173">
        <v>858</v>
      </c>
      <c r="AL31" s="34">
        <v>1089</v>
      </c>
      <c r="AM31" s="34">
        <v>1152</v>
      </c>
      <c r="AN31" s="34">
        <v>1126</v>
      </c>
      <c r="AO31" s="173">
        <v>1204</v>
      </c>
      <c r="AP31" s="34">
        <v>1534</v>
      </c>
      <c r="AQ31" s="34">
        <v>1714</v>
      </c>
      <c r="AR31" s="34">
        <v>1801</v>
      </c>
      <c r="AS31" s="173">
        <v>2335</v>
      </c>
      <c r="AT31" s="34">
        <v>2523</v>
      </c>
      <c r="AU31" s="34">
        <v>2116</v>
      </c>
      <c r="AV31" s="34">
        <v>2237</v>
      </c>
      <c r="AW31" s="173">
        <v>3023</v>
      </c>
      <c r="AX31" s="34">
        <v>3274</v>
      </c>
      <c r="AY31" s="34">
        <v>3283</v>
      </c>
      <c r="AZ31" s="34">
        <v>2999</v>
      </c>
      <c r="BA31" s="173">
        <v>4224</v>
      </c>
      <c r="BB31" s="34">
        <v>3807</v>
      </c>
      <c r="BC31" s="34">
        <v>2761</v>
      </c>
      <c r="BD31" s="34">
        <v>3338</v>
      </c>
      <c r="BE31" s="173">
        <v>3852</v>
      </c>
      <c r="BF31" s="34">
        <v>3996</v>
      </c>
      <c r="BG31" s="34">
        <v>4021</v>
      </c>
      <c r="BH31" s="34">
        <v>4452</v>
      </c>
      <c r="BI31" s="173">
        <v>5723</v>
      </c>
      <c r="BJ31" s="34">
        <v>5953</v>
      </c>
      <c r="BK31" s="34">
        <v>7022</v>
      </c>
      <c r="BL31" s="34">
        <v>7597</v>
      </c>
      <c r="BM31" s="173">
        <v>9247</v>
      </c>
      <c r="BN31" s="34">
        <v>11500</v>
      </c>
      <c r="BO31" s="34">
        <v>9778</v>
      </c>
      <c r="BP31" s="34">
        <v>10430</v>
      </c>
      <c r="BQ31" s="173">
        <v>11414</v>
      </c>
      <c r="BR31" s="34">
        <v>13207</v>
      </c>
      <c r="BS31" s="34">
        <v>13331</v>
      </c>
      <c r="BT31" s="34">
        <v>13470</v>
      </c>
      <c r="BU31" s="173">
        <v>13856</v>
      </c>
      <c r="BV31" s="34">
        <v>15824</v>
      </c>
      <c r="BW31" s="34">
        <v>15984</v>
      </c>
      <c r="BX31" s="34">
        <v>15264</v>
      </c>
      <c r="BY31" s="173">
        <v>18453</v>
      </c>
      <c r="BZ31" s="34">
        <v>22724</v>
      </c>
      <c r="CA31" s="34">
        <v>22827</v>
      </c>
      <c r="CB31" s="34">
        <v>22724</v>
      </c>
      <c r="CC31" s="173">
        <v>25181</v>
      </c>
      <c r="CD31" s="34">
        <v>24032</v>
      </c>
      <c r="CE31" s="34">
        <v>23208</v>
      </c>
      <c r="CF31" s="77">
        <v>20820</v>
      </c>
      <c r="CG31" s="173">
        <v>22027</v>
      </c>
      <c r="CH31" s="34">
        <v>23739</v>
      </c>
      <c r="CI31" s="34">
        <v>23096</v>
      </c>
      <c r="CJ31" s="34">
        <v>23304</v>
      </c>
      <c r="CK31" s="173">
        <v>30551</v>
      </c>
      <c r="CL31" s="34">
        <v>26281</v>
      </c>
      <c r="CM31" s="34">
        <v>26756</v>
      </c>
      <c r="CN31" s="34">
        <v>25184</v>
      </c>
      <c r="CO31" s="173">
        <v>33327</v>
      </c>
      <c r="CP31" s="77">
        <v>36703</v>
      </c>
      <c r="CQ31" s="77">
        <v>35368</v>
      </c>
      <c r="CR31" s="77">
        <v>31673</v>
      </c>
      <c r="CS31" s="173">
        <v>37720</v>
      </c>
      <c r="CT31" s="77">
        <v>36263</v>
      </c>
      <c r="CU31" s="77">
        <v>37324</v>
      </c>
      <c r="CV31" s="77">
        <v>35005</v>
      </c>
      <c r="CW31" s="192">
        <v>42684</v>
      </c>
      <c r="CX31" s="474">
        <v>48504</v>
      </c>
      <c r="CY31" s="77">
        <v>45660</v>
      </c>
      <c r="CZ31" s="77">
        <v>43625</v>
      </c>
      <c r="DA31" s="192">
        <v>47493</v>
      </c>
      <c r="DB31" s="474">
        <v>49167</v>
      </c>
      <c r="DC31" s="77">
        <v>50248</v>
      </c>
      <c r="DD31" s="77">
        <v>48811</v>
      </c>
      <c r="DE31" s="192">
        <v>60845</v>
      </c>
      <c r="DF31" s="474">
        <v>59893</v>
      </c>
      <c r="DG31" s="77">
        <v>56425</v>
      </c>
      <c r="DH31" s="77">
        <v>58897</v>
      </c>
      <c r="DI31" s="192">
        <v>58829</v>
      </c>
      <c r="DJ31" s="474">
        <v>54611</v>
      </c>
      <c r="DK31" s="77">
        <v>57298</v>
      </c>
      <c r="DL31" s="77">
        <v>60889</v>
      </c>
      <c r="DM31" s="192">
        <v>78304</v>
      </c>
      <c r="DN31" s="474">
        <v>61151</v>
      </c>
      <c r="DO31" s="77">
        <v>61849</v>
      </c>
      <c r="DP31" s="77">
        <v>62499</v>
      </c>
      <c r="DQ31" s="176">
        <f>'Income Statement'!DQ$17*DQ75</f>
      </c>
      <c r="DR31" s="85">
        <f>'Income Statement'!DR$17*DR75</f>
      </c>
      <c r="DS31" s="85">
        <f>'Income Statement'!DS$17*DS75</f>
      </c>
      <c r="DT31" s="85">
        <f>'Income Statement'!DT$17*DT75</f>
      </c>
      <c r="DU31" s="176">
        <f>'Income Statement'!DU$17*DU75</f>
      </c>
      <c r="DV31" s="85">
        <f>'Income Statement'!DV$17*DV75</f>
      </c>
      <c r="DW31" s="85">
        <f>'Income Statement'!DW$17*DW75</f>
      </c>
      <c r="DX31" s="85">
        <f>'Income Statement'!DX$17*DX75</f>
      </c>
      <c r="DY31" s="176">
        <f>'Income Statement'!DY$17*DY75</f>
      </c>
      <c r="DZ31" s="85">
        <f>'Income Statement'!DZ$17*DZ75</f>
      </c>
      <c r="EA31" s="85">
        <f>'Income Statement'!EA$17*EA75</f>
      </c>
      <c r="EB31" s="85">
        <f>'Income Statement'!EB$17*EB75</f>
      </c>
      <c r="EC31" s="176">
        <f>'Income Statement'!EC$17*EC75</f>
      </c>
      <c r="ED31" s="85">
        <f>'Income Statement'!ED$17*ED75</f>
      </c>
      <c r="EE31" s="85">
        <f>'Income Statement'!EE$17*EE75</f>
      </c>
      <c r="EF31" s="85">
        <f>'Income Statement'!EF$17*EF75</f>
      </c>
      <c r="EG31" s="176">
        <f>'Income Statement'!EG$17*EG75</f>
      </c>
      <c r="EH31" s="85">
        <f>'Income Statement'!EH$17*EH75</f>
      </c>
      <c r="EI31" s="85">
        <f>'Income Statement'!EI$17*EI75</f>
      </c>
      <c r="EJ31" s="85">
        <f>'Income Statement'!EJ$17*EJ75</f>
      </c>
      <c r="EK31" s="176">
        <f>'Income Statement'!EK$17*EK75</f>
      </c>
      <c r="EN31" s="15">
        <f t="shared" si="100"/>
      </c>
      <c r="EO31" s="15">
        <f t="shared" si="101"/>
      </c>
      <c r="EP31" s="15">
        <f t="shared" si="102"/>
      </c>
      <c r="EQ31" s="15">
        <f t="shared" si="103"/>
      </c>
      <c r="ER31" s="15">
        <f t="shared" si="104"/>
      </c>
      <c r="ES31" s="15">
        <f t="shared" si="105"/>
      </c>
      <c r="ET31" s="15">
        <f t="shared" si="106"/>
      </c>
      <c r="EU31" s="15">
        <f t="shared" si="107"/>
      </c>
      <c r="EV31" s="15">
        <f t="shared" si="108"/>
      </c>
      <c r="EW31" s="15">
        <f t="shared" si="109"/>
      </c>
      <c r="EX31" s="15">
        <f t="shared" si="110"/>
      </c>
      <c r="EY31" s="15">
        <f t="shared" si="111"/>
      </c>
      <c r="EZ31" s="15">
        <f t="shared" si="112"/>
      </c>
      <c r="FA31" s="15">
        <f t="shared" si="113"/>
      </c>
      <c r="FB31" s="15">
        <f>BI31:BI112</f>
      </c>
      <c r="FC31" s="15">
        <f>BM31:BM112</f>
      </c>
      <c r="FD31" s="15">
        <f>BQ31:BQ112</f>
      </c>
      <c r="FE31" s="15">
        <f>BU31:BU112</f>
      </c>
      <c r="FF31" s="15">
        <f>BY31:BY112</f>
      </c>
      <c r="FG31" s="15">
        <f>CC31:CC112</f>
      </c>
      <c r="FH31" s="15">
        <f>CG31:CG112</f>
      </c>
      <c r="FI31" s="15">
        <f>CK31:CK112</f>
      </c>
      <c r="FJ31" s="15">
        <f>CO31:CO112</f>
      </c>
      <c r="FK31" s="15">
        <f>$CS$11:$CS$53</f>
      </c>
      <c r="FL31" s="15">
        <f>$CW$11:$CW$53</f>
      </c>
      <c r="FM31" s="15">
        <f>$DA$11:$DA$53</f>
      </c>
      <c r="FN31" s="15">
        <f>$DE$11:$DE$53</f>
      </c>
      <c r="FO31" s="15">
        <f t="shared" si="114"/>
      </c>
      <c r="FP31" s="15">
        <f t="shared" si="115"/>
      </c>
      <c r="FQ31" s="15">
        <f t="shared" si="116"/>
      </c>
      <c r="FR31" s="15">
        <f t="shared" si="117"/>
      </c>
      <c r="FS31" s="15">
        <f>DY31</f>
      </c>
      <c r="FT31" s="15">
        <f>EC31</f>
      </c>
      <c r="FU31" s="15">
        <f>EG31</f>
      </c>
      <c r="FV31" s="15">
        <f>EK31</f>
      </c>
      <c r="FW31" s="11"/>
      <c r="FX31" s="11"/>
      <c r="FY31" s="11"/>
      <c r="FZ31" s="23"/>
      <c r="GA31" s="23"/>
    </row>
    <row r="32" spans="1:183" ht="10.199999999999999">
      <c r="A32" s="27" t="s">
        <v>114</v>
      </c>
      <c r="B32" s="34"/>
      <c r="C32" s="34"/>
      <c r="D32" s="34"/>
      <c r="E32" s="173"/>
      <c r="F32" s="34"/>
      <c r="G32" s="34"/>
      <c r="H32" s="34"/>
      <c r="I32" s="173"/>
      <c r="J32" s="34"/>
      <c r="K32" s="34"/>
      <c r="L32" s="34"/>
      <c r="M32" s="173"/>
      <c r="N32" s="34"/>
      <c r="O32" s="34"/>
      <c r="P32" s="34"/>
      <c r="Q32" s="173"/>
      <c r="R32" s="34"/>
      <c r="S32" s="34"/>
      <c r="T32" s="34"/>
      <c r="U32" s="173">
        <v>105</v>
      </c>
      <c r="V32" s="34"/>
      <c r="W32" s="34"/>
      <c r="X32" s="34"/>
      <c r="Y32" s="173">
        <v>184</v>
      </c>
      <c r="Z32" s="34">
        <v>173</v>
      </c>
      <c r="AA32" s="34">
        <v>192</v>
      </c>
      <c r="AB32" s="34">
        <v>222</v>
      </c>
      <c r="AC32" s="173">
        <v>253</v>
      </c>
      <c r="AD32" s="34">
        <v>278</v>
      </c>
      <c r="AE32" s="34">
        <v>294</v>
      </c>
      <c r="AF32" s="34">
        <v>331</v>
      </c>
      <c r="AG32" s="173">
        <v>368</v>
      </c>
      <c r="AH32" s="34">
        <v>406</v>
      </c>
      <c r="AI32" s="34">
        <v>432</v>
      </c>
      <c r="AJ32" s="34">
        <v>470</v>
      </c>
      <c r="AK32" s="173">
        <v>342</v>
      </c>
      <c r="AL32" s="34">
        <v>398</v>
      </c>
      <c r="AM32" s="34">
        <v>427</v>
      </c>
      <c r="AN32" s="34">
        <v>467</v>
      </c>
      <c r="AO32" s="173">
        <v>501</v>
      </c>
      <c r="AP32" s="34">
        <v>630</v>
      </c>
      <c r="AQ32" s="34">
        <v>634</v>
      </c>
      <c r="AR32" s="34">
        <v>709</v>
      </c>
      <c r="AS32" s="173">
        <v>746</v>
      </c>
      <c r="AT32" s="34">
        <v>916</v>
      </c>
      <c r="AU32" s="34">
        <v>892</v>
      </c>
      <c r="AV32" s="34">
        <v>969</v>
      </c>
      <c r="AW32" s="173">
        <v>1113</v>
      </c>
      <c r="AX32" s="34">
        <v>1290</v>
      </c>
      <c r="AY32" s="34">
        <v>1326</v>
      </c>
      <c r="AZ32" s="34">
        <v>1438</v>
      </c>
      <c r="BA32" s="173">
        <v>1617</v>
      </c>
      <c r="BB32" s="34">
        <v>6235</v>
      </c>
      <c r="BC32" s="34">
        <v>7014</v>
      </c>
      <c r="BD32" s="34">
        <v>8469</v>
      </c>
      <c r="BE32" s="173">
        <v>2053</v>
      </c>
      <c r="BF32" s="34">
        <v>2590</v>
      </c>
      <c r="BG32" s="34">
        <v>2542</v>
      </c>
      <c r="BH32" s="34">
        <v>2691</v>
      </c>
      <c r="BI32" s="173">
        <v>2984</v>
      </c>
      <c r="BJ32" s="34">
        <v>3541</v>
      </c>
      <c r="BK32" s="34">
        <v>3591</v>
      </c>
      <c r="BL32" s="34">
        <v>3992</v>
      </c>
      <c r="BM32" s="173">
        <v>4091</v>
      </c>
      <c r="BN32" s="34">
        <v>4886</v>
      </c>
      <c r="BO32" s="34">
        <v>5247</v>
      </c>
      <c r="BP32" s="34">
        <v>5822</v>
      </c>
      <c r="BQ32" s="173">
        <v>5953</v>
      </c>
      <c r="BR32" s="34">
        <v>7274</v>
      </c>
      <c r="BS32" s="34">
        <v>7265</v>
      </c>
      <c r="BT32" s="34">
        <v>7333</v>
      </c>
      <c r="BU32" s="173">
        <v>7435</v>
      </c>
      <c r="BV32" s="34">
        <v>8357</v>
      </c>
      <c r="BW32" s="34">
        <v>8310</v>
      </c>
      <c r="BX32" s="34">
        <v>8396</v>
      </c>
      <c r="BY32" s="173">
        <v>8491</v>
      </c>
      <c r="BZ32" s="34">
        <v>8987</v>
      </c>
      <c r="CA32" s="34">
        <v>8944</v>
      </c>
      <c r="CB32" s="34">
        <v>9088</v>
      </c>
      <c r="CC32" s="173">
        <v>8940</v>
      </c>
      <c r="CD32" s="356">
        <v>8989</v>
      </c>
      <c r="CE32" s="356">
        <v>9461</v>
      </c>
      <c r="CF32" s="356">
        <v>8352</v>
      </c>
      <c r="CG32" s="358">
        <v>8080</v>
      </c>
      <c r="CH32" s="356">
        <v>7889</v>
      </c>
      <c r="CI32" s="356">
        <v>7682</v>
      </c>
      <c r="CJ32" s="356">
        <v>7608</v>
      </c>
      <c r="CK32" s="358">
        <v>7548</v>
      </c>
      <c r="CL32" s="356">
        <v>8044</v>
      </c>
      <c r="CM32" s="356">
        <v>7775</v>
      </c>
      <c r="CN32" s="356">
        <v>7403</v>
      </c>
      <c r="CO32" s="173">
        <v>5966</v>
      </c>
      <c r="CP32" s="77">
        <v>5546</v>
      </c>
      <c r="CQ32" s="77">
        <v>5532</v>
      </c>
      <c r="CR32" s="77">
        <v>5434</v>
      </c>
      <c r="CS32" s="173">
        <v>5522</v>
      </c>
      <c r="CT32" s="77">
        <v>5573</v>
      </c>
      <c r="CU32" s="77">
        <v>5928</v>
      </c>
      <c r="CV32" s="77">
        <v>6313</v>
      </c>
      <c r="CW32" s="192">
        <v>6643</v>
      </c>
      <c r="CX32" s="474">
        <v>7395</v>
      </c>
      <c r="CY32" s="77">
        <v>7595</v>
      </c>
      <c r="CZ32" s="77">
        <v>7681</v>
      </c>
      <c r="DA32" s="192">
        <v>7612</v>
      </c>
      <c r="DB32" s="474">
        <v>7876</v>
      </c>
      <c r="DC32" s="77">
        <v>7920</v>
      </c>
      <c r="DD32" s="77">
        <v>7728</v>
      </c>
      <c r="DE32" s="192">
        <v>7912</v>
      </c>
      <c r="DF32" s="474">
        <v>7992</v>
      </c>
      <c r="DG32" s="77">
        <v>8131</v>
      </c>
      <c r="DH32" s="77">
        <v>8158</v>
      </c>
      <c r="DI32" s="192">
        <v>8061</v>
      </c>
      <c r="DJ32" s="474">
        <v>8264</v>
      </c>
      <c r="DK32" s="77">
        <v>8012</v>
      </c>
      <c r="DL32" s="77">
        <v>8053</v>
      </c>
      <c r="DM32" s="192">
        <v>8249</v>
      </c>
      <c r="DN32" s="474">
        <v>8461</v>
      </c>
      <c r="DO32" s="77">
        <v>8976</v>
      </c>
      <c r="DP32" s="77">
        <v>8979</v>
      </c>
      <c r="DQ32" s="689">
        <f t="shared" ref="DQ32" si="118">DP32+100</f>
      </c>
      <c r="DR32" s="1184">
        <f t="shared" ref="DR32" si="119">DQ32+100</f>
      </c>
      <c r="DS32" s="1184">
        <f t="shared" ref="DS32" si="120">DR32+100</f>
      </c>
      <c r="DT32" s="1184">
        <f t="shared" ref="DT32" si="121">DS32+100</f>
      </c>
      <c r="DU32" s="689">
        <f t="shared" ref="DU32" si="122">DT32+100</f>
      </c>
      <c r="DV32" s="1184">
        <f t="shared" ref="DV32" si="123">DU32+100</f>
      </c>
      <c r="DW32" s="1184">
        <f t="shared" ref="DW32" si="124">DV32+100</f>
      </c>
      <c r="DX32" s="1184">
        <f t="shared" ref="DX32" si="125">DW32+100</f>
      </c>
      <c r="DY32" s="689">
        <f t="shared" ref="DY32" si="126">DX32+100</f>
      </c>
      <c r="DZ32" s="1184">
        <f t="shared" ref="DZ32" si="127">DY32+100</f>
      </c>
      <c r="EA32" s="1184">
        <f t="shared" ref="EA32" si="128">DZ32+100</f>
      </c>
      <c r="EB32" s="1184">
        <f t="shared" ref="EB32" si="129">EA32+100</f>
      </c>
      <c r="EC32" s="689">
        <f t="shared" ref="EC32" si="130">EB32+100</f>
      </c>
      <c r="ED32" s="1184">
        <f t="shared" ref="ED32" si="131">EC32+100</f>
      </c>
      <c r="EE32" s="1184">
        <f t="shared" ref="EE32" si="132">ED32+100</f>
      </c>
      <c r="EF32" s="1184">
        <f t="shared" ref="EF32" si="133">EE32+100</f>
      </c>
      <c r="EG32" s="689">
        <f t="shared" ref="EG32" si="134">EF32+100</f>
      </c>
      <c r="EH32" s="1184">
        <f t="shared" ref="EH32" si="135">EG32+100</f>
      </c>
      <c r="EI32" s="1184">
        <f t="shared" ref="EI32" si="136">EH32+100</f>
      </c>
      <c r="EJ32" s="1184">
        <f t="shared" ref="EJ32" si="137">EI32+100</f>
      </c>
      <c r="EK32" s="689">
        <f t="shared" ref="EK32" si="138">EJ32+100</f>
      </c>
      <c r="EN32" s="15">
        <f t="shared" si="100"/>
      </c>
      <c r="EO32" s="15">
        <f t="shared" si="101"/>
      </c>
      <c r="EP32" s="15">
        <f t="shared" si="102"/>
      </c>
      <c r="EQ32" s="15">
        <f t="shared" si="103"/>
      </c>
      <c r="ER32" s="15">
        <f t="shared" si="104"/>
      </c>
      <c r="ES32" s="15">
        <f t="shared" si="105"/>
      </c>
      <c r="ET32" s="15">
        <f t="shared" si="106"/>
      </c>
      <c r="EU32" s="15">
        <f t="shared" si="107"/>
      </c>
      <c r="EV32" s="15">
        <f t="shared" si="108"/>
      </c>
      <c r="EW32" s="15">
        <f t="shared" si="109"/>
      </c>
      <c r="EX32" s="15">
        <f t="shared" si="110"/>
      </c>
      <c r="EY32" s="15">
        <f t="shared" si="111"/>
      </c>
      <c r="EZ32" s="15">
        <f t="shared" si="112"/>
      </c>
      <c r="FA32" s="15">
        <f t="shared" si="113"/>
      </c>
      <c r="FB32" s="15">
        <f>BI32:BI112</f>
      </c>
      <c r="FC32" s="15">
        <f>BM32:BM112</f>
      </c>
      <c r="FD32" s="15">
        <f>BQ32:BQ112</f>
      </c>
      <c r="FE32" s="15">
        <f>BU32:BU112</f>
      </c>
      <c r="FF32" s="15">
        <f>BY32:BY112</f>
      </c>
      <c r="FG32" s="15">
        <f>CC32:CC112</f>
      </c>
      <c r="FH32" s="15">
        <f>CG32:CG112</f>
      </c>
      <c r="FI32" s="15">
        <f>CK32:CK112</f>
      </c>
      <c r="FJ32" s="15">
        <f>CO32:CO112</f>
      </c>
      <c r="FK32" s="15">
        <f>$CS$11:$CS$53</f>
      </c>
      <c r="FL32" s="15">
        <f>$CW$11:$CW$53</f>
      </c>
      <c r="FM32" s="15">
        <f>$DA$11:$DA$53</f>
      </c>
      <c r="FN32" s="15">
        <f>$DE$11:$DE$53</f>
      </c>
      <c r="FO32" s="15">
        <f t="shared" si="114"/>
      </c>
      <c r="FP32" s="15">
        <f t="shared" si="115"/>
      </c>
      <c r="FQ32" s="15">
        <f t="shared" si="116"/>
      </c>
      <c r="FR32" s="15">
        <f t="shared" si="117"/>
      </c>
      <c r="FS32" s="15">
        <f>DY32</f>
      </c>
      <c r="FT32" s="15">
        <f>EC32</f>
      </c>
      <c r="FU32" s="15">
        <f>EG32</f>
      </c>
      <c r="FV32" s="15">
        <f>EK32</f>
      </c>
      <c r="FW32" s="11"/>
      <c r="FX32" s="11"/>
      <c r="FY32" s="11"/>
      <c r="FZ32" s="23"/>
      <c r="GA32" s="23"/>
    </row>
    <row r="33" spans="1:183" ht="10.199999999999999">
      <c r="A33" s="19" t="s">
        <v>115</v>
      </c>
      <c r="B33" s="34">
        <v>498</v>
      </c>
      <c r="C33" s="34">
        <v>352</v>
      </c>
      <c r="D33" s="34">
        <v>187</v>
      </c>
      <c r="E33" s="173">
        <v>186</v>
      </c>
      <c r="F33" s="34">
        <v>180</v>
      </c>
      <c r="G33" s="34">
        <v>133</v>
      </c>
      <c r="H33" s="34">
        <v>127</v>
      </c>
      <c r="I33" s="173">
        <v>25</v>
      </c>
      <c r="J33" s="34">
        <v>24</v>
      </c>
      <c r="K33" s="34">
        <v>23</v>
      </c>
      <c r="L33" s="34"/>
      <c r="M33" s="173"/>
      <c r="N33" s="34"/>
      <c r="O33" s="34"/>
      <c r="P33" s="34"/>
      <c r="Q33" s="173"/>
      <c r="R33" s="34"/>
      <c r="S33" s="34"/>
      <c r="T33" s="34"/>
      <c r="U33" s="173"/>
      <c r="V33" s="34">
        <v>0</v>
      </c>
      <c r="W33" s="34">
        <v>0</v>
      </c>
      <c r="X33" s="34">
        <v>0</v>
      </c>
      <c r="Y33" s="173">
        <v>0</v>
      </c>
      <c r="Z33" s="34">
        <v>0</v>
      </c>
      <c r="AA33" s="34">
        <v>0</v>
      </c>
      <c r="AB33" s="34">
        <v>0</v>
      </c>
      <c r="AC33" s="173">
        <v>0</v>
      </c>
      <c r="AD33" s="34">
        <v>0</v>
      </c>
      <c r="AE33" s="34">
        <v>310</v>
      </c>
      <c r="AF33" s="34">
        <v>307</v>
      </c>
      <c r="AG33" s="173">
        <v>304</v>
      </c>
      <c r="AH33" s="34">
        <v>302</v>
      </c>
      <c r="AI33" s="34">
        <v>0</v>
      </c>
      <c r="AJ33" s="34">
        <v>0</v>
      </c>
      <c r="AK33" s="173">
        <v>0</v>
      </c>
      <c r="AL33" s="34">
        <v>0</v>
      </c>
      <c r="AM33" s="34">
        <v>0</v>
      </c>
      <c r="AN33" s="34">
        <v>0</v>
      </c>
      <c r="AO33" s="173">
        <v>0</v>
      </c>
      <c r="AP33" s="34">
        <v>0</v>
      </c>
      <c r="AQ33" s="34">
        <v>0</v>
      </c>
      <c r="AR33" s="34">
        <v>0</v>
      </c>
      <c r="AS33" s="173">
        <v>0</v>
      </c>
      <c r="AT33" s="34">
        <v>0</v>
      </c>
      <c r="AU33" s="34">
        <v>0</v>
      </c>
      <c r="AV33" s="34">
        <v>0</v>
      </c>
      <c r="AW33" s="173">
        <v>0</v>
      </c>
      <c r="AX33" s="34">
        <v>0</v>
      </c>
      <c r="AY33" s="34">
        <v>0</v>
      </c>
      <c r="AZ33" s="34">
        <v>0</v>
      </c>
      <c r="BA33" s="173">
        <v>0</v>
      </c>
      <c r="BB33" s="34">
        <v>0</v>
      </c>
      <c r="BC33" s="34">
        <v>0</v>
      </c>
      <c r="BD33" s="34">
        <v>0</v>
      </c>
      <c r="BE33" s="173">
        <v>0</v>
      </c>
      <c r="BF33" s="34">
        <v>0</v>
      </c>
      <c r="BG33" s="34">
        <v>0</v>
      </c>
      <c r="BH33" s="34">
        <v>0</v>
      </c>
      <c r="BI33" s="173">
        <v>0</v>
      </c>
      <c r="BJ33" s="34">
        <v>0</v>
      </c>
      <c r="BK33" s="34">
        <v>0</v>
      </c>
      <c r="BL33" s="34">
        <v>0</v>
      </c>
      <c r="BM33" s="173">
        <v>0</v>
      </c>
      <c r="BN33" s="34">
        <v>0</v>
      </c>
      <c r="BO33" s="34">
        <v>0</v>
      </c>
      <c r="BP33" s="34">
        <v>0</v>
      </c>
      <c r="BQ33" s="173">
        <v>0</v>
      </c>
      <c r="BR33" s="34">
        <v>0</v>
      </c>
      <c r="BS33" s="34">
        <v>0</v>
      </c>
      <c r="BT33" s="34">
        <v>0</v>
      </c>
      <c r="BU33" s="173">
        <v>0</v>
      </c>
      <c r="BV33" s="34">
        <v>0</v>
      </c>
      <c r="BW33" s="34">
        <v>0</v>
      </c>
      <c r="BX33" s="34">
        <v>2010</v>
      </c>
      <c r="BY33" s="173">
        <v>6308</v>
      </c>
      <c r="BZ33" s="34">
        <v>3899</v>
      </c>
      <c r="CA33" s="34">
        <v>3799</v>
      </c>
      <c r="CB33" s="34">
        <v>4499</v>
      </c>
      <c r="CC33" s="173">
        <v>8499</v>
      </c>
      <c r="CD33" s="34">
        <v>7259</v>
      </c>
      <c r="CE33" s="34">
        <v>7998</v>
      </c>
      <c r="CF33" s="77">
        <v>12496</v>
      </c>
      <c r="CG33" s="173">
        <v>8105</v>
      </c>
      <c r="CH33" s="34">
        <v>10493</v>
      </c>
      <c r="CI33" s="34">
        <v>9992</v>
      </c>
      <c r="CJ33" s="34">
        <v>11980</v>
      </c>
      <c r="CK33" s="173">
        <v>11977</v>
      </c>
      <c r="CL33" s="34">
        <v>11980</v>
      </c>
      <c r="CM33" s="34">
        <v>11980</v>
      </c>
      <c r="CN33" s="34">
        <v>11974</v>
      </c>
      <c r="CO33" s="173">
        <v>11964</v>
      </c>
      <c r="CP33" s="77">
        <v>11969</v>
      </c>
      <c r="CQ33" s="77">
        <v>11924</v>
      </c>
      <c r="CR33" s="77">
        <v>9953</v>
      </c>
      <c r="CS33" s="173">
        <v>5980</v>
      </c>
      <c r="CT33" s="77">
        <v>4990</v>
      </c>
      <c r="CU33" s="77">
        <v>10029</v>
      </c>
      <c r="CV33" s="77">
        <v>11166</v>
      </c>
      <c r="CW33" s="192">
        <v>4996</v>
      </c>
      <c r="CX33" s="474">
        <v>5000</v>
      </c>
      <c r="CY33" s="77">
        <f>+CX33</f>
      </c>
      <c r="CZ33" s="77">
        <v>8000</v>
      </c>
      <c r="DA33" s="192">
        <v>6000</v>
      </c>
      <c r="DB33" s="474">
        <v>5000</v>
      </c>
      <c r="DC33" s="77">
        <v>6999</v>
      </c>
      <c r="DD33" s="77">
        <v>10982</v>
      </c>
      <c r="DE33" s="192">
        <v>9982</v>
      </c>
      <c r="DF33" s="474">
        <v>1743</v>
      </c>
      <c r="DG33" s="77">
        <v>1996</v>
      </c>
      <c r="DH33" s="77">
        <v>3993</v>
      </c>
      <c r="DI33" s="192">
        <v>5985</v>
      </c>
      <c r="DJ33" s="474">
        <v>1998</v>
      </c>
      <c r="DK33" s="77">
        <v>1997</v>
      </c>
      <c r="DL33" s="77">
        <v>2994</v>
      </c>
      <c r="DM33" s="192">
        <v>9967</v>
      </c>
      <c r="DN33" s="474">
        <v>1995</v>
      </c>
      <c r="DO33" s="77">
        <v>5982</v>
      </c>
      <c r="DP33" s="77">
        <v>9923</v>
      </c>
      <c r="DQ33" s="176">
        <f>DP33+'Cash Flow Statement'!DQ45</f>
      </c>
      <c r="DR33" s="85">
        <f>DQ33+'Cash Flow Statement'!DR45</f>
      </c>
      <c r="DS33" s="85">
        <f>DR33+'Cash Flow Statement'!DS45</f>
      </c>
      <c r="DT33" s="85">
        <f>DS33+'Cash Flow Statement'!DT45</f>
      </c>
      <c r="DU33" s="176">
        <f>DT33+'Cash Flow Statement'!DU45</f>
      </c>
      <c r="DV33" s="85">
        <f>DU33+'Cash Flow Statement'!DV45</f>
      </c>
      <c r="DW33" s="85">
        <f>DV33+'Cash Flow Statement'!DW45</f>
      </c>
      <c r="DX33" s="85">
        <f>DW33+'Cash Flow Statement'!DX45</f>
      </c>
      <c r="DY33" s="176">
        <f>DX33+'Cash Flow Statement'!DY45</f>
      </c>
      <c r="DZ33" s="85">
        <f>DY33+'Cash Flow Statement'!DZ45</f>
      </c>
      <c r="EA33" s="85">
        <f>DZ33+'Cash Flow Statement'!EA45</f>
      </c>
      <c r="EB33" s="85">
        <f>EA33+'Cash Flow Statement'!EB45</f>
      </c>
      <c r="EC33" s="176">
        <f>EB33+'Cash Flow Statement'!EC45</f>
      </c>
      <c r="ED33" s="85">
        <f>EC33+'Cash Flow Statement'!ED45</f>
      </c>
      <c r="EE33" s="85">
        <f>ED33+'Cash Flow Statement'!EE45</f>
      </c>
      <c r="EF33" s="85">
        <f>EE33+'Cash Flow Statement'!EF45</f>
      </c>
      <c r="EG33" s="176">
        <f>EF33+'Cash Flow Statement'!EG45</f>
      </c>
      <c r="EH33" s="85">
        <f>EG33+'Cash Flow Statement'!EH45</f>
      </c>
      <c r="EI33" s="85">
        <f>EH33+'Cash Flow Statement'!EI45</f>
      </c>
      <c r="EJ33" s="85">
        <f>EI33+'Cash Flow Statement'!EJ45</f>
      </c>
      <c r="EK33" s="176">
        <f>EJ33+'Cash Flow Statement'!EK45</f>
      </c>
      <c r="EN33" s="15">
        <f t="shared" si="100"/>
      </c>
      <c r="EO33" s="15">
        <f t="shared" si="101"/>
      </c>
      <c r="EP33" s="15">
        <f t="shared" si="102"/>
      </c>
      <c r="EQ33" s="15">
        <f t="shared" si="103"/>
      </c>
      <c r="ER33" s="15">
        <f t="shared" si="104"/>
      </c>
      <c r="ES33" s="15">
        <f t="shared" si="105"/>
      </c>
      <c r="ET33" s="15">
        <f t="shared" si="106"/>
      </c>
      <c r="EU33" s="15">
        <f t="shared" si="107"/>
      </c>
      <c r="EV33" s="15">
        <f t="shared" si="108"/>
      </c>
      <c r="EW33" s="15">
        <f t="shared" si="109"/>
      </c>
      <c r="EX33" s="15">
        <f t="shared" si="110"/>
      </c>
      <c r="EY33" s="15">
        <f t="shared" si="111"/>
      </c>
      <c r="EZ33" s="15">
        <f t="shared" si="112"/>
      </c>
      <c r="FA33" s="15">
        <f t="shared" si="113"/>
      </c>
      <c r="FB33" s="15">
        <f>BI33:BI112</f>
      </c>
      <c r="FC33" s="15">
        <f>BM33:BM112</f>
      </c>
      <c r="FD33" s="15">
        <f>BQ33:BQ112</f>
      </c>
      <c r="FE33" s="15">
        <f>BU33:BU112</f>
      </c>
      <c r="FF33" s="15">
        <f>BY33:BY112</f>
      </c>
      <c r="FG33" s="15">
        <f>CC33:CC112</f>
      </c>
      <c r="FH33" s="15">
        <f>CG33:CG112</f>
      </c>
      <c r="FI33" s="15">
        <f>CK33:CK112</f>
      </c>
      <c r="FJ33" s="15">
        <f>CO33:CO112</f>
      </c>
      <c r="FK33" s="15">
        <f>$CS$11:$CS$53</f>
      </c>
      <c r="FL33" s="15">
        <f>$CW$11:$CW$53</f>
      </c>
      <c r="FM33" s="15">
        <f>$DA$11:$DA$53</f>
      </c>
      <c r="FN33" s="15">
        <f>$DE$11:$DE$53</f>
      </c>
      <c r="FO33" s="15">
        <f t="shared" si="114"/>
      </c>
      <c r="FP33" s="15">
        <f t="shared" si="115"/>
      </c>
      <c r="FQ33" s="15">
        <f t="shared" si="116"/>
      </c>
      <c r="FR33" s="15">
        <f t="shared" si="117"/>
      </c>
      <c r="FS33" s="15">
        <f>DY33</f>
      </c>
      <c r="FT33" s="15">
        <f>EC33</f>
      </c>
      <c r="FU33" s="15">
        <f>EG33</f>
      </c>
      <c r="FV33" s="15">
        <f>EK33</f>
      </c>
      <c r="FW33" s="11"/>
      <c r="FX33" s="11"/>
      <c r="FY33" s="11"/>
      <c r="FZ33" s="23"/>
      <c r="GA33" s="23"/>
    </row>
    <row r="34" spans="1:183" ht="10.199999999999999">
      <c r="A34" s="26" t="s">
        <v>1437</v>
      </c>
      <c r="B34" s="34"/>
      <c r="C34" s="34"/>
      <c r="D34" s="34"/>
      <c r="E34" s="173"/>
      <c r="F34" s="34"/>
      <c r="G34" s="34"/>
      <c r="H34" s="34"/>
      <c r="I34" s="173"/>
      <c r="J34" s="34"/>
      <c r="K34" s="34"/>
      <c r="L34" s="34"/>
      <c r="M34" s="173"/>
      <c r="N34" s="34"/>
      <c r="O34" s="34"/>
      <c r="P34" s="34"/>
      <c r="Q34" s="173"/>
      <c r="R34" s="34"/>
      <c r="S34" s="34"/>
      <c r="T34" s="34"/>
      <c r="U34" s="173"/>
      <c r="V34" s="34"/>
      <c r="W34" s="34"/>
      <c r="X34" s="34"/>
      <c r="Y34" s="173"/>
      <c r="Z34" s="34"/>
      <c r="AA34" s="34"/>
      <c r="AB34" s="34"/>
      <c r="AC34" s="173"/>
      <c r="AD34" s="34"/>
      <c r="AE34" s="34"/>
      <c r="AF34" s="34"/>
      <c r="AG34" s="173"/>
      <c r="AH34" s="34"/>
      <c r="AI34" s="34"/>
      <c r="AJ34" s="34"/>
      <c r="AK34" s="173"/>
      <c r="AL34" s="34"/>
      <c r="AM34" s="34"/>
      <c r="AN34" s="34"/>
      <c r="AO34" s="173"/>
      <c r="AP34" s="34"/>
      <c r="AQ34" s="34"/>
      <c r="AR34" s="34"/>
      <c r="AS34" s="173"/>
      <c r="AT34" s="34"/>
      <c r="AU34" s="34"/>
      <c r="AV34" s="34"/>
      <c r="AW34" s="173"/>
      <c r="AX34" s="34"/>
      <c r="AY34" s="34"/>
      <c r="AZ34" s="34"/>
      <c r="BA34" s="173"/>
      <c r="BB34" s="34">
        <v>0</v>
      </c>
      <c r="BC34" s="34">
        <v>0</v>
      </c>
      <c r="BD34" s="34">
        <v>0</v>
      </c>
      <c r="BE34" s="173">
        <v>0</v>
      </c>
      <c r="BF34" s="34">
        <v>0</v>
      </c>
      <c r="BG34" s="34">
        <v>0</v>
      </c>
      <c r="BH34" s="34">
        <v>0</v>
      </c>
      <c r="BI34" s="173">
        <v>0</v>
      </c>
      <c r="BJ34" s="34">
        <v>0</v>
      </c>
      <c r="BK34" s="34">
        <v>0</v>
      </c>
      <c r="BL34" s="34">
        <v>0</v>
      </c>
      <c r="BM34" s="173">
        <v>0</v>
      </c>
      <c r="BN34" s="34">
        <v>0</v>
      </c>
      <c r="BO34" s="34">
        <v>0</v>
      </c>
      <c r="BP34" s="34">
        <v>0</v>
      </c>
      <c r="BQ34" s="173">
        <v>0</v>
      </c>
      <c r="BR34" s="34">
        <v>0</v>
      </c>
      <c r="BS34" s="34">
        <v>0</v>
      </c>
      <c r="BT34" s="34">
        <v>0</v>
      </c>
      <c r="BU34" s="173">
        <v>0</v>
      </c>
      <c r="BV34" s="34">
        <v>0</v>
      </c>
      <c r="BW34" s="34">
        <v>0</v>
      </c>
      <c r="BX34" s="34">
        <v>0</v>
      </c>
      <c r="BY34" s="173">
        <v>0</v>
      </c>
      <c r="BZ34" s="34">
        <v>0</v>
      </c>
      <c r="CA34" s="34">
        <v>0</v>
      </c>
      <c r="CB34" s="34">
        <v>2500</v>
      </c>
      <c r="CC34" s="173">
        <v>2500</v>
      </c>
      <c r="CD34" s="34">
        <v>2500</v>
      </c>
      <c r="CE34" s="34">
        <v>2500</v>
      </c>
      <c r="CF34" s="77">
        <v>3500</v>
      </c>
      <c r="CG34" s="173">
        <v>3500</v>
      </c>
      <c r="CH34" s="34">
        <v>3499</v>
      </c>
      <c r="CI34" s="34">
        <v>3999</v>
      </c>
      <c r="CJ34" s="34">
        <v>6495</v>
      </c>
      <c r="CK34" s="244">
        <v>6496</v>
      </c>
      <c r="CL34" s="34">
        <v>6498</v>
      </c>
      <c r="CM34" s="290">
        <v>8498</v>
      </c>
      <c r="CN34" s="34">
        <v>5498</v>
      </c>
      <c r="CO34" s="244">
        <v>8784</v>
      </c>
      <c r="CP34" s="77">
        <v>9772</v>
      </c>
      <c r="CQ34" s="290">
        <v>10505</v>
      </c>
      <c r="CR34" s="290">
        <v>13529</v>
      </c>
      <c r="CS34" s="244">
        <v>10260</v>
      </c>
      <c r="CT34" s="77">
        <v>10224</v>
      </c>
      <c r="CU34" s="77">
        <v>10392</v>
      </c>
      <c r="CV34" s="77">
        <v>7509</v>
      </c>
      <c r="CW34" s="192">
        <v>8773</v>
      </c>
      <c r="CX34" s="474">
        <v>7762</v>
      </c>
      <c r="CY34" s="77">
        <v>8003</v>
      </c>
      <c r="CZ34" s="77">
        <v>8039</v>
      </c>
      <c r="DA34" s="192">
        <v>9613</v>
      </c>
      <c r="DB34" s="474">
        <v>11169</v>
      </c>
      <c r="DC34" s="77">
        <v>9659</v>
      </c>
      <c r="DD34" s="77">
        <v>14009</v>
      </c>
      <c r="DE34" s="192">
        <v>11128</v>
      </c>
      <c r="DF34" s="474">
        <v>9740</v>
      </c>
      <c r="DG34" s="77">
        <v>10578</v>
      </c>
      <c r="DH34" s="77">
        <v>7216</v>
      </c>
      <c r="DI34" s="192">
        <v>9822</v>
      </c>
      <c r="DJ34" s="474">
        <v>10954</v>
      </c>
      <c r="DK34" s="77">
        <v>10762</v>
      </c>
      <c r="DL34" s="77">
        <v>12114</v>
      </c>
      <c r="DM34" s="192">
        <v>10912</v>
      </c>
      <c r="DN34" s="474">
        <v>10848</v>
      </c>
      <c r="DO34" s="77">
        <v>13638</v>
      </c>
      <c r="DP34" s="77">
        <v>9345</v>
      </c>
      <c r="DQ34" s="689">
        <f t="shared" ref="DQ34:DU34" si="139">DP34</f>
      </c>
      <c r="DR34" s="1184">
        <f t="shared" si="139"/>
      </c>
      <c r="DS34" s="1184">
        <f t="shared" si="139"/>
      </c>
      <c r="DT34" s="1184">
        <f t="shared" si="139"/>
      </c>
      <c r="DU34" s="689">
        <f t="shared" si="139"/>
      </c>
      <c r="DV34" s="1184">
        <f t="shared" ref="DV34" si="140">DU34</f>
      </c>
      <c r="DW34" s="1184">
        <f t="shared" ref="DW34" si="141">DV34</f>
      </c>
      <c r="DX34" s="1184">
        <f t="shared" ref="DX34" si="142">DW34</f>
      </c>
      <c r="DY34" s="689">
        <f t="shared" ref="DY34" si="143">DX34</f>
      </c>
      <c r="DZ34" s="1184">
        <f t="shared" ref="DZ34" si="144">DY34</f>
      </c>
      <c r="EA34" s="1184">
        <f t="shared" ref="EA34" si="145">DZ34</f>
      </c>
      <c r="EB34" s="1184">
        <f t="shared" ref="EB34" si="146">EA34</f>
      </c>
      <c r="EC34" s="689">
        <f t="shared" ref="EC34" si="147">EB34</f>
      </c>
      <c r="ED34" s="1184">
        <f t="shared" ref="ED34" si="148">EC34</f>
      </c>
      <c r="EE34" s="1184">
        <f t="shared" ref="EE34" si="149">ED34</f>
      </c>
      <c r="EF34" s="1184">
        <f t="shared" ref="EF34" si="150">EE34</f>
      </c>
      <c r="EG34" s="689">
        <f t="shared" ref="EG34" si="151">EF34</f>
      </c>
      <c r="EH34" s="1184">
        <f t="shared" ref="EH34" si="152">EG34</f>
      </c>
      <c r="EI34" s="1184">
        <f t="shared" ref="EI34" si="153">EH34</f>
      </c>
      <c r="EJ34" s="1184">
        <f t="shared" ref="EJ34" si="154">EI34</f>
      </c>
      <c r="EK34" s="689">
        <f t="shared" ref="EK34" si="155">EJ34</f>
      </c>
      <c r="EN34" s="15">
        <f>E34</f>
      </c>
      <c r="EO34" s="15">
        <f>I34</f>
      </c>
      <c r="EP34" s="15">
        <f>M34</f>
      </c>
      <c r="EQ34" s="15">
        <f>Q34</f>
      </c>
      <c r="ER34" s="15">
        <f>U34</f>
      </c>
      <c r="ES34" s="15">
        <f>Y34</f>
      </c>
      <c r="ET34" s="15">
        <f>AC34</f>
      </c>
      <c r="EU34" s="15">
        <f>AG34</f>
      </c>
      <c r="EV34" s="15">
        <f>AK34</f>
      </c>
      <c r="EW34" s="15">
        <f>AO34</f>
      </c>
      <c r="EX34" s="15">
        <f>AS34</f>
      </c>
      <c r="EY34" s="15">
        <f>AW34</f>
      </c>
      <c r="EZ34" s="15">
        <f>BA34</f>
      </c>
      <c r="FA34" s="15">
        <f>BE34</f>
      </c>
      <c r="FB34" s="15">
        <f>BI30:BI102</f>
      </c>
      <c r="FC34" s="15">
        <f>BM30:BM102</f>
      </c>
      <c r="FD34" s="15">
        <f>BQ30:BQ102</f>
      </c>
      <c r="FE34" s="15">
        <f>BU30:BU102</f>
      </c>
      <c r="FF34" s="15">
        <f>BY30:BY102</f>
      </c>
      <c r="FG34" s="15">
        <f>CC30:CC102</f>
      </c>
      <c r="FH34" s="15">
        <f>CG30:CG102</f>
      </c>
      <c r="FI34" s="15">
        <f>CK30:CK102</f>
      </c>
      <c r="FJ34" s="15">
        <f>CO30:CO102</f>
      </c>
      <c r="FK34" s="15">
        <f>$CS$11:$CS$53</f>
      </c>
      <c r="FL34" s="15">
        <f>$CW$11:$CW$53</f>
      </c>
      <c r="FM34" s="15">
        <f>$DA$11:$DA$53</f>
      </c>
      <c r="FN34" s="15">
        <f>$DE$11:$DE$53</f>
      </c>
      <c r="FO34" s="15">
        <f>+DI34</f>
      </c>
      <c r="FP34" s="15">
        <f>+DM34</f>
      </c>
      <c r="FQ34" s="15">
        <f>+DQ34</f>
      </c>
      <c r="FR34" s="15">
        <f>+DU34</f>
      </c>
      <c r="FS34" s="15">
        <f>DY34</f>
      </c>
      <c r="FT34" s="15">
        <f>EC34</f>
      </c>
      <c r="FU34" s="15">
        <f>EG34</f>
      </c>
      <c r="FV34" s="15">
        <f>EK34</f>
      </c>
      <c r="FW34" s="11"/>
      <c r="FX34" s="11"/>
      <c r="FY34" s="11"/>
    </row>
    <row r="35" spans="1:183" s="16" customFormat="1" ht="10.199999999999999">
      <c r="A35" s="1179" t="s">
        <v>153</v>
      </c>
      <c r="B35" s="1202">
        <f>B34+B33+B32+B31+B30</f>
      </c>
      <c r="C35" s="1202">
        <f t="shared" ref="C35:BN35" si="156">C34+C33+C32+C31+C30</f>
      </c>
      <c r="D35" s="1202">
        <f t="shared" si="156"/>
      </c>
      <c r="E35" s="1203">
        <f t="shared" si="156"/>
      </c>
      <c r="F35" s="1202">
        <f t="shared" si="156"/>
      </c>
      <c r="G35" s="1202">
        <f t="shared" si="156"/>
      </c>
      <c r="H35" s="1202">
        <f t="shared" si="156"/>
      </c>
      <c r="I35" s="1203">
        <f t="shared" si="156"/>
      </c>
      <c r="J35" s="1202">
        <f t="shared" si="156"/>
      </c>
      <c r="K35" s="1202">
        <f t="shared" si="156"/>
      </c>
      <c r="L35" s="1202">
        <f t="shared" si="156"/>
      </c>
      <c r="M35" s="1203">
        <f t="shared" si="156"/>
      </c>
      <c r="N35" s="1202">
        <f t="shared" si="156"/>
      </c>
      <c r="O35" s="1202">
        <f t="shared" si="156"/>
      </c>
      <c r="P35" s="1202">
        <f t="shared" si="156"/>
      </c>
      <c r="Q35" s="1203">
        <f t="shared" si="156"/>
      </c>
      <c r="R35" s="1202">
        <f t="shared" si="156"/>
      </c>
      <c r="S35" s="1202">
        <f t="shared" si="156"/>
      </c>
      <c r="T35" s="1202">
        <f t="shared" si="156"/>
      </c>
      <c r="U35" s="1203">
        <f t="shared" si="156"/>
      </c>
      <c r="V35" s="1202">
        <f t="shared" si="156"/>
      </c>
      <c r="W35" s="1202">
        <f t="shared" si="156"/>
      </c>
      <c r="X35" s="1202">
        <f t="shared" si="156"/>
      </c>
      <c r="Y35" s="1203">
        <f t="shared" si="156"/>
      </c>
      <c r="Z35" s="1202">
        <f t="shared" si="156"/>
      </c>
      <c r="AA35" s="1202">
        <f t="shared" si="156"/>
      </c>
      <c r="AB35" s="1202">
        <f t="shared" si="156"/>
      </c>
      <c r="AC35" s="1203">
        <f t="shared" si="156"/>
      </c>
      <c r="AD35" s="1202">
        <f t="shared" si="156"/>
      </c>
      <c r="AE35" s="1202">
        <f t="shared" si="156"/>
      </c>
      <c r="AF35" s="1202">
        <f t="shared" si="156"/>
      </c>
      <c r="AG35" s="1203">
        <f t="shared" si="156"/>
      </c>
      <c r="AH35" s="1202">
        <f t="shared" si="156"/>
      </c>
      <c r="AI35" s="1202">
        <f t="shared" si="156"/>
      </c>
      <c r="AJ35" s="1202">
        <f t="shared" si="156"/>
      </c>
      <c r="AK35" s="1203">
        <f t="shared" si="156"/>
      </c>
      <c r="AL35" s="1202">
        <f t="shared" si="156"/>
      </c>
      <c r="AM35" s="1202">
        <f t="shared" si="156"/>
      </c>
      <c r="AN35" s="1202">
        <f t="shared" si="156"/>
      </c>
      <c r="AO35" s="1203">
        <f t="shared" si="156"/>
      </c>
      <c r="AP35" s="1202">
        <f t="shared" si="156"/>
      </c>
      <c r="AQ35" s="1202">
        <f t="shared" si="156"/>
      </c>
      <c r="AR35" s="1202">
        <f t="shared" si="156"/>
      </c>
      <c r="AS35" s="1203">
        <f t="shared" si="156"/>
      </c>
      <c r="AT35" s="1202">
        <f t="shared" si="156"/>
      </c>
      <c r="AU35" s="1202">
        <f t="shared" si="156"/>
      </c>
      <c r="AV35" s="1202">
        <f t="shared" si="156"/>
      </c>
      <c r="AW35" s="1203">
        <f t="shared" si="156"/>
      </c>
      <c r="AX35" s="1202">
        <f t="shared" si="156"/>
      </c>
      <c r="AY35" s="1202">
        <f t="shared" si="156"/>
      </c>
      <c r="AZ35" s="1202">
        <f t="shared" si="156"/>
      </c>
      <c r="BA35" s="1203">
        <f t="shared" si="156"/>
      </c>
      <c r="BB35" s="1202">
        <f t="shared" si="156"/>
      </c>
      <c r="BC35" s="1202">
        <f t="shared" si="156"/>
      </c>
      <c r="BD35" s="1202">
        <f t="shared" si="156"/>
      </c>
      <c r="BE35" s="1203">
        <f t="shared" si="156"/>
      </c>
      <c r="BF35" s="1202">
        <f t="shared" si="156"/>
      </c>
      <c r="BG35" s="1202">
        <f t="shared" si="156"/>
      </c>
      <c r="BH35" s="1202">
        <f t="shared" si="156"/>
      </c>
      <c r="BI35" s="1203">
        <f t="shared" si="156"/>
      </c>
      <c r="BJ35" s="1202">
        <f t="shared" si="156"/>
      </c>
      <c r="BK35" s="1202">
        <f t="shared" si="156"/>
      </c>
      <c r="BL35" s="1202">
        <f t="shared" si="156"/>
      </c>
      <c r="BM35" s="1203">
        <f t="shared" si="156"/>
      </c>
      <c r="BN35" s="1202">
        <f t="shared" si="156"/>
      </c>
      <c r="BO35" s="1202">
        <f t="shared" ref="BO35:DU35" si="157">BO34+BO33+BO32+BO31+BO30</f>
      </c>
      <c r="BP35" s="1202">
        <f t="shared" si="157"/>
      </c>
      <c r="BQ35" s="1203">
        <f t="shared" si="157"/>
      </c>
      <c r="BR35" s="1202">
        <f t="shared" si="157"/>
      </c>
      <c r="BS35" s="1202">
        <f t="shared" si="157"/>
      </c>
      <c r="BT35" s="1202">
        <f t="shared" si="157"/>
      </c>
      <c r="BU35" s="1203">
        <f t="shared" si="157"/>
      </c>
      <c r="BV35" s="1202">
        <f t="shared" si="157"/>
      </c>
      <c r="BW35" s="1202">
        <f t="shared" si="157"/>
      </c>
      <c r="BX35" s="1202">
        <f t="shared" si="157"/>
      </c>
      <c r="BY35" s="1203">
        <f t="shared" si="157"/>
      </c>
      <c r="BZ35" s="1202">
        <f t="shared" si="157"/>
      </c>
      <c r="CA35" s="1202">
        <f t="shared" si="157"/>
      </c>
      <c r="CB35" s="1202">
        <f t="shared" si="157"/>
      </c>
      <c r="CC35" s="1203">
        <f t="shared" si="157"/>
      </c>
      <c r="CD35" s="1202">
        <f t="shared" si="157"/>
      </c>
      <c r="CE35" s="1202">
        <f t="shared" si="157"/>
      </c>
      <c r="CF35" s="1202">
        <f t="shared" si="157"/>
      </c>
      <c r="CG35" s="1203">
        <f t="shared" si="157"/>
      </c>
      <c r="CH35" s="1202">
        <f t="shared" si="157"/>
      </c>
      <c r="CI35" s="1202">
        <f t="shared" si="157"/>
      </c>
      <c r="CJ35" s="1202">
        <f t="shared" si="157"/>
      </c>
      <c r="CK35" s="1203">
        <f t="shared" si="157"/>
      </c>
      <c r="CL35" s="1202">
        <f t="shared" si="157"/>
      </c>
      <c r="CM35" s="1202">
        <f t="shared" si="157"/>
      </c>
      <c r="CN35" s="1202">
        <f t="shared" si="157"/>
      </c>
      <c r="CO35" s="1203">
        <f t="shared" si="157"/>
      </c>
      <c r="CP35" s="1202">
        <f t="shared" si="157"/>
      </c>
      <c r="CQ35" s="1202">
        <f t="shared" si="157"/>
      </c>
      <c r="CR35" s="1202">
        <f t="shared" si="157"/>
      </c>
      <c r="CS35" s="1203">
        <f t="shared" si="157"/>
      </c>
      <c r="CT35" s="1202">
        <f t="shared" si="157"/>
      </c>
      <c r="CU35" s="1202">
        <f t="shared" si="157"/>
      </c>
      <c r="CV35" s="1202">
        <f t="shared" si="157"/>
      </c>
      <c r="CW35" s="1203">
        <f t="shared" si="157"/>
      </c>
      <c r="CX35" s="1204">
        <f t="shared" si="157"/>
      </c>
      <c r="CY35" s="1202">
        <f t="shared" si="157"/>
      </c>
      <c r="CZ35" s="1202">
        <f t="shared" si="157"/>
      </c>
      <c r="DA35" s="1203">
        <f t="shared" si="157"/>
      </c>
      <c r="DB35" s="1204">
        <f t="shared" si="157"/>
      </c>
      <c r="DC35" s="1202">
        <f t="shared" si="157"/>
      </c>
      <c r="DD35" s="1202">
        <f t="shared" si="157"/>
      </c>
      <c r="DE35" s="1203">
        <f t="shared" si="157"/>
      </c>
      <c r="DF35" s="1204">
        <f t="shared" si="157"/>
      </c>
      <c r="DG35" s="1202">
        <f t="shared" si="157"/>
      </c>
      <c r="DH35" s="1202">
        <f t="shared" si="157"/>
      </c>
      <c r="DI35" s="1203">
        <f t="shared" si="157"/>
      </c>
      <c r="DJ35" s="1204">
        <f t="shared" ref="DJ35:DM35" si="158">DJ34+DJ33+DJ32+DJ31+DJ30</f>
      </c>
      <c r="DK35" s="1202">
        <f t="shared" si="158"/>
      </c>
      <c r="DL35" s="1202">
        <f t="shared" si="158"/>
      </c>
      <c r="DM35" s="1203">
        <f t="shared" si="158"/>
      </c>
      <c r="DN35" s="1204">
        <f t="shared" ref="DN35:DP35" si="159">DN34+DN33+DN32+DN31+DN30</f>
      </c>
      <c r="DO35" s="1202">
        <f t="shared" si="159"/>
      </c>
      <c r="DP35" s="1202">
        <f t="shared" si="159"/>
      </c>
      <c r="DQ35" s="1203">
        <f t="shared" si="157"/>
      </c>
      <c r="DR35" s="1202">
        <f t="shared" si="157"/>
      </c>
      <c r="DS35" s="1202">
        <f t="shared" si="157"/>
      </c>
      <c r="DT35" s="1202">
        <f t="shared" si="157"/>
      </c>
      <c r="DU35" s="1203">
        <f t="shared" si="157"/>
      </c>
      <c r="DV35" s="1202">
        <f t="shared" ref="DV35:EK35" si="160">DV34+DV33+DV32+DV31+DV30</f>
      </c>
      <c r="DW35" s="1202">
        <f t="shared" si="160"/>
      </c>
      <c r="DX35" s="1202">
        <f t="shared" si="160"/>
      </c>
      <c r="DY35" s="1203">
        <f t="shared" si="160"/>
      </c>
      <c r="DZ35" s="1202">
        <f t="shared" si="160"/>
      </c>
      <c r="EA35" s="1202">
        <f t="shared" si="160"/>
      </c>
      <c r="EB35" s="1202">
        <f t="shared" si="160"/>
      </c>
      <c r="EC35" s="1203">
        <f t="shared" si="160"/>
      </c>
      <c r="ED35" s="1202">
        <f t="shared" si="160"/>
      </c>
      <c r="EE35" s="1202">
        <f t="shared" si="160"/>
      </c>
      <c r="EF35" s="1202">
        <f t="shared" si="160"/>
      </c>
      <c r="EG35" s="1203">
        <f t="shared" si="160"/>
      </c>
      <c r="EH35" s="1202">
        <f t="shared" si="160"/>
      </c>
      <c r="EI35" s="1202">
        <f t="shared" si="160"/>
      </c>
      <c r="EJ35" s="1202">
        <f t="shared" si="160"/>
      </c>
      <c r="EK35" s="1203">
        <f t="shared" si="160"/>
      </c>
      <c r="EN35" s="1202">
        <f t="shared" ref="EN35:FR35" si="161">EN34+EN33+EN32+EN31+EN30</f>
      </c>
      <c r="EO35" s="1202">
        <f t="shared" si="161"/>
      </c>
      <c r="EP35" s="1202">
        <f t="shared" si="161"/>
      </c>
      <c r="EQ35" s="1202">
        <f t="shared" si="161"/>
      </c>
      <c r="ER35" s="1202">
        <f t="shared" si="161"/>
      </c>
      <c r="ES35" s="1202">
        <f t="shared" si="161"/>
      </c>
      <c r="ET35" s="1202">
        <f t="shared" si="161"/>
      </c>
      <c r="EU35" s="1202">
        <f t="shared" si="161"/>
      </c>
      <c r="EV35" s="1202">
        <f t="shared" si="161"/>
      </c>
      <c r="EW35" s="1202">
        <f t="shared" si="161"/>
      </c>
      <c r="EX35" s="1202">
        <f t="shared" si="161"/>
      </c>
      <c r="EY35" s="1202">
        <f t="shared" si="161"/>
      </c>
      <c r="EZ35" s="1202">
        <f t="shared" si="161"/>
      </c>
      <c r="FA35" s="1202">
        <f t="shared" si="161"/>
      </c>
      <c r="FB35" s="1202">
        <f t="shared" si="161"/>
      </c>
      <c r="FC35" s="1202">
        <f t="shared" si="161"/>
      </c>
      <c r="FD35" s="1202">
        <f t="shared" si="161"/>
      </c>
      <c r="FE35" s="1202">
        <f t="shared" si="161"/>
      </c>
      <c r="FF35" s="1202">
        <f t="shared" si="161"/>
      </c>
      <c r="FG35" s="1202">
        <f t="shared" si="161"/>
      </c>
      <c r="FH35" s="1202">
        <f t="shared" si="161"/>
      </c>
      <c r="FI35" s="1202">
        <f t="shared" si="161"/>
      </c>
      <c r="FJ35" s="1202">
        <f t="shared" si="161"/>
      </c>
      <c r="FK35" s="1202">
        <f t="shared" si="161"/>
      </c>
      <c r="FL35" s="1202">
        <f t="shared" si="161"/>
      </c>
      <c r="FM35" s="1202">
        <f t="shared" si="161"/>
      </c>
      <c r="FN35" s="1202">
        <f t="shared" si="161"/>
      </c>
      <c r="FO35" s="1202">
        <f t="shared" si="161"/>
      </c>
      <c r="FP35" s="1202">
        <f t="shared" si="161"/>
      </c>
      <c r="FQ35" s="1202">
        <f t="shared" si="161"/>
      </c>
      <c r="FR35" s="1202">
        <f t="shared" si="161"/>
      </c>
      <c r="FS35" s="1202">
        <f t="shared" ref="FS35:FV35" si="162">FS34+FS33+FS32+FS31+FS30</f>
      </c>
      <c r="FT35" s="1202">
        <f t="shared" si="162"/>
      </c>
      <c r="FU35" s="1202">
        <f t="shared" si="162"/>
      </c>
      <c r="FV35" s="1202">
        <f t="shared" si="162"/>
      </c>
    </row>
    <row r="36" spans="1:183" ht="10.199999999999999">
      <c r="A36" s="19"/>
      <c r="B36" s="15"/>
      <c r="C36" s="15"/>
      <c r="D36" s="15"/>
      <c r="E36" s="174"/>
      <c r="F36" s="15"/>
      <c r="G36" s="15"/>
      <c r="H36" s="15"/>
      <c r="I36" s="174"/>
      <c r="J36" s="15"/>
      <c r="K36" s="15"/>
      <c r="L36" s="15"/>
      <c r="M36" s="174"/>
      <c r="N36" s="15"/>
      <c r="O36" s="15"/>
      <c r="P36" s="15"/>
      <c r="Q36" s="174"/>
      <c r="R36" s="15"/>
      <c r="S36" s="15"/>
      <c r="T36" s="15"/>
      <c r="U36" s="174"/>
      <c r="V36" s="15"/>
      <c r="W36" s="15"/>
      <c r="X36" s="15"/>
      <c r="Y36" s="174"/>
      <c r="Z36" s="15"/>
      <c r="AA36" s="15"/>
      <c r="AB36" s="15"/>
      <c r="AC36" s="174"/>
      <c r="AD36" s="15"/>
      <c r="AE36" s="15"/>
      <c r="AF36" s="15"/>
      <c r="AG36" s="174"/>
      <c r="AH36" s="15"/>
      <c r="AI36" s="15"/>
      <c r="AJ36" s="15"/>
      <c r="AK36" s="174"/>
      <c r="AL36" s="15"/>
      <c r="AM36" s="15"/>
      <c r="AN36" s="15"/>
      <c r="AO36" s="174"/>
      <c r="AP36" s="15"/>
      <c r="AQ36" s="15"/>
      <c r="AR36" s="15"/>
      <c r="AS36" s="174"/>
      <c r="AT36" s="15"/>
      <c r="AU36" s="15"/>
      <c r="AV36" s="15"/>
      <c r="AW36" s="174"/>
      <c r="AX36" s="15"/>
      <c r="AY36" s="15"/>
      <c r="AZ36" s="15"/>
      <c r="BA36" s="174"/>
      <c r="BB36" s="15"/>
      <c r="BC36" s="15"/>
      <c r="BD36" s="15"/>
      <c r="BE36" s="174"/>
      <c r="BF36" s="15"/>
      <c r="BG36" s="15"/>
      <c r="BH36" s="15"/>
      <c r="BI36" s="174"/>
      <c r="BJ36" s="15"/>
      <c r="BK36" s="15"/>
      <c r="BL36" s="15"/>
      <c r="BM36" s="174"/>
      <c r="BN36" s="15"/>
      <c r="BO36" s="15"/>
      <c r="BP36" s="15"/>
      <c r="BQ36" s="174"/>
      <c r="BR36" s="15"/>
      <c r="BS36" s="15"/>
      <c r="BT36" s="15"/>
      <c r="BU36" s="174"/>
      <c r="BV36" s="15"/>
      <c r="BW36" s="15"/>
      <c r="BX36" s="15"/>
      <c r="BY36" s="174"/>
      <c r="BZ36" s="15"/>
      <c r="CA36" s="15"/>
      <c r="CB36" s="15"/>
      <c r="CC36" s="174"/>
      <c r="CD36" s="15"/>
      <c r="CE36" s="15"/>
      <c r="CF36" s="15"/>
      <c r="CG36" s="174"/>
      <c r="CH36" s="15"/>
      <c r="CI36" s="15"/>
      <c r="CJ36" s="15"/>
      <c r="CK36" s="174"/>
      <c r="CL36" s="15"/>
      <c r="CM36" s="15"/>
      <c r="CN36" s="15"/>
      <c r="CO36" s="174"/>
      <c r="CP36" s="62"/>
      <c r="CQ36" s="15"/>
      <c r="CR36" s="15"/>
      <c r="CS36" s="174"/>
      <c r="CT36" s="62"/>
      <c r="CU36" s="62"/>
      <c r="CV36" s="62"/>
      <c r="CW36" s="226"/>
      <c r="CX36" s="476"/>
      <c r="CY36" s="62"/>
      <c r="CZ36" s="15"/>
      <c r="DA36" s="226"/>
      <c r="DB36" s="476"/>
      <c r="DC36" s="62"/>
      <c r="DD36" s="62"/>
      <c r="DE36" s="226"/>
      <c r="DF36" s="62"/>
      <c r="DG36" s="62"/>
      <c r="DH36" s="62"/>
      <c r="DI36" s="226"/>
      <c r="DJ36" s="62"/>
      <c r="DK36" s="62"/>
      <c r="DL36" s="62"/>
      <c r="DM36" s="226"/>
      <c r="DN36" s="62"/>
      <c r="DO36" s="62"/>
      <c r="DP36" s="62"/>
      <c r="DQ36" s="226"/>
      <c r="DR36" s="62"/>
      <c r="DS36" s="62"/>
      <c r="DT36" s="62"/>
      <c r="DU36" s="226"/>
      <c r="DV36" s="62"/>
      <c r="DW36" s="62"/>
      <c r="DX36" s="62"/>
      <c r="DY36" s="226"/>
      <c r="DZ36" s="62"/>
      <c r="EA36" s="62"/>
      <c r="EB36" s="62"/>
      <c r="EC36" s="226"/>
      <c r="ED36" s="62"/>
      <c r="EE36" s="62"/>
      <c r="EF36" s="62"/>
      <c r="EG36" s="226"/>
      <c r="EH36" s="62"/>
      <c r="EI36" s="62"/>
      <c r="EJ36" s="62"/>
      <c r="EK36" s="226"/>
      <c r="EN36" s="15"/>
      <c r="EO36" s="15"/>
      <c r="EP36" s="15"/>
      <c r="EQ36" s="15"/>
      <c r="ER36" s="15"/>
      <c r="ES36" s="15"/>
      <c r="ET36" s="15"/>
      <c r="EU36" s="15"/>
      <c r="EV36" s="15"/>
      <c r="EW36" s="15"/>
      <c r="EX36" s="15"/>
      <c r="EY36" s="15"/>
      <c r="EZ36" s="15"/>
      <c r="FA36" s="15"/>
      <c r="FB36" s="15"/>
      <c r="FC36" s="15"/>
      <c r="FD36" s="15"/>
      <c r="FE36" s="15"/>
      <c r="FF36" s="15"/>
      <c r="FG36" s="15"/>
      <c r="FH36" s="15"/>
      <c r="FI36" s="15"/>
      <c r="FJ36" s="15"/>
      <c r="FK36" s="15"/>
      <c r="FL36" s="15"/>
      <c r="FM36" s="15"/>
      <c r="FN36" s="15"/>
      <c r="FO36" s="15"/>
      <c r="FP36" s="15"/>
      <c r="FQ36" s="15"/>
      <c r="FR36" s="15"/>
      <c r="FS36" s="15"/>
      <c r="FT36" s="15"/>
      <c r="FU36" s="15"/>
      <c r="FV36" s="15"/>
      <c r="FW36" s="11"/>
      <c r="FX36" s="11"/>
      <c r="FY36" s="11"/>
    </row>
    <row r="37" spans="1:183" ht="10.199999999999999">
      <c r="A37" s="19" t="s">
        <v>116</v>
      </c>
      <c r="B37" s="34"/>
      <c r="C37" s="34"/>
      <c r="D37" s="34"/>
      <c r="E37" s="173"/>
      <c r="F37" s="34"/>
      <c r="G37" s="34"/>
      <c r="H37" s="34"/>
      <c r="I37" s="173"/>
      <c r="J37" s="34"/>
      <c r="K37" s="34"/>
      <c r="L37" s="34"/>
      <c r="M37" s="173"/>
      <c r="N37" s="34"/>
      <c r="O37" s="34"/>
      <c r="P37" s="34"/>
      <c r="Q37" s="173"/>
      <c r="R37" s="34"/>
      <c r="S37" s="34"/>
      <c r="T37" s="34"/>
      <c r="U37" s="173"/>
      <c r="V37" s="34"/>
      <c r="W37" s="34"/>
      <c r="X37" s="34"/>
      <c r="Y37" s="173"/>
      <c r="Z37" s="34"/>
      <c r="AA37" s="34"/>
      <c r="AB37" s="34"/>
      <c r="AC37" s="173"/>
      <c r="AD37" s="34"/>
      <c r="AE37" s="34"/>
      <c r="AF37" s="34"/>
      <c r="AG37" s="173"/>
      <c r="AH37" s="34"/>
      <c r="AI37" s="34"/>
      <c r="AJ37" s="34"/>
      <c r="AK37" s="173">
        <v>202</v>
      </c>
      <c r="AL37" s="34">
        <v>217</v>
      </c>
      <c r="AM37" s="34">
        <v>231</v>
      </c>
      <c r="AN37" s="34">
        <v>251</v>
      </c>
      <c r="AO37" s="173">
        <v>281</v>
      </c>
      <c r="AP37" s="34">
        <v>298</v>
      </c>
      <c r="AQ37" s="34">
        <v>300</v>
      </c>
      <c r="AR37" s="34">
        <v>324</v>
      </c>
      <c r="AS37" s="173">
        <v>355</v>
      </c>
      <c r="AT37" s="34">
        <v>376</v>
      </c>
      <c r="AU37" s="34">
        <v>414</v>
      </c>
      <c r="AV37" s="34">
        <v>472</v>
      </c>
      <c r="AW37" s="173">
        <v>554</v>
      </c>
      <c r="AX37" s="34">
        <v>603</v>
      </c>
      <c r="AY37" s="34">
        <v>635</v>
      </c>
      <c r="AZ37" s="34">
        <v>665</v>
      </c>
      <c r="BA37" s="173">
        <v>768</v>
      </c>
      <c r="BB37" s="34">
        <v>3440</v>
      </c>
      <c r="BC37" s="34">
        <v>3460</v>
      </c>
      <c r="BD37" s="34">
        <v>3667</v>
      </c>
      <c r="BE37" s="173">
        <v>853</v>
      </c>
      <c r="BF37" s="34">
        <v>922</v>
      </c>
      <c r="BG37" s="34">
        <v>941</v>
      </c>
      <c r="BH37" s="34">
        <v>1021</v>
      </c>
      <c r="BI37" s="173">
        <v>1139</v>
      </c>
      <c r="BJ37" s="34">
        <v>1216</v>
      </c>
      <c r="BK37" s="34">
        <v>1230</v>
      </c>
      <c r="BL37" s="34">
        <v>1407</v>
      </c>
      <c r="BM37" s="173">
        <v>1686</v>
      </c>
      <c r="BN37" s="34">
        <v>2187</v>
      </c>
      <c r="BO37" s="34">
        <v>2446</v>
      </c>
      <c r="BP37" s="34">
        <v>2530</v>
      </c>
      <c r="BQ37" s="173">
        <v>2648</v>
      </c>
      <c r="BR37" s="34">
        <v>2938</v>
      </c>
      <c r="BS37" s="34">
        <v>2877</v>
      </c>
      <c r="BT37" s="34">
        <v>2672</v>
      </c>
      <c r="BU37" s="173">
        <v>2625</v>
      </c>
      <c r="BV37" s="34">
        <v>3071</v>
      </c>
      <c r="BW37" s="34">
        <v>3164</v>
      </c>
      <c r="BX37" s="34">
        <v>3058</v>
      </c>
      <c r="BY37" s="173">
        <v>3031</v>
      </c>
      <c r="BZ37" s="34">
        <v>3480</v>
      </c>
      <c r="CA37" s="34">
        <v>3571</v>
      </c>
      <c r="CB37" s="34">
        <v>3474</v>
      </c>
      <c r="CC37" s="173">
        <v>3624</v>
      </c>
      <c r="CD37" s="34">
        <v>3546</v>
      </c>
      <c r="CE37" s="34">
        <v>3322</v>
      </c>
      <c r="CF37" s="77">
        <v>3064</v>
      </c>
      <c r="CG37" s="173">
        <v>2930</v>
      </c>
      <c r="CH37" s="34">
        <v>3163</v>
      </c>
      <c r="CI37" s="34">
        <v>3107</v>
      </c>
      <c r="CJ37" s="34">
        <v>2984</v>
      </c>
      <c r="CK37" s="173">
        <v>2836</v>
      </c>
      <c r="CL37" s="34">
        <v>3131</v>
      </c>
      <c r="CM37" s="34">
        <v>3087</v>
      </c>
      <c r="CN37" s="34">
        <v>2878</v>
      </c>
      <c r="CO37" s="173">
        <v>2797</v>
      </c>
      <c r="CP37" s="316">
        <f>8400-CP32</f>
      </c>
      <c r="CQ37" s="124">
        <f>8200-CQ32</f>
      </c>
      <c r="CR37" s="124">
        <f>8000-CR32</f>
      </c>
      <c r="CS37" s="189">
        <f t="shared" ref="CS37:DD37" si="163">8100-CS32</f>
      </c>
      <c r="CT37" s="316">
        <f t="shared" si="163"/>
      </c>
      <c r="CU37" s="316">
        <f t="shared" si="163"/>
      </c>
      <c r="CV37" s="316">
        <f t="shared" si="163"/>
      </c>
      <c r="CW37" s="317">
        <f t="shared" si="163"/>
      </c>
      <c r="CX37" s="316">
        <f t="shared" si="163"/>
      </c>
      <c r="CY37" s="316">
        <f t="shared" si="163"/>
      </c>
      <c r="CZ37" s="316">
        <f t="shared" si="163"/>
      </c>
      <c r="DA37" s="317">
        <f t="shared" si="163"/>
      </c>
      <c r="DB37" s="1259">
        <f t="shared" si="163"/>
      </c>
      <c r="DC37" s="1184">
        <f t="shared" si="163"/>
      </c>
      <c r="DD37" s="1184">
        <f t="shared" si="163"/>
      </c>
      <c r="DE37" s="689">
        <f t="shared" ref="DE37" si="164">+DD37</f>
      </c>
      <c r="DF37" s="1186">
        <f t="shared" ref="DF37:DP37" si="165">+DE37</f>
      </c>
      <c r="DG37" s="1184">
        <f t="shared" si="165"/>
      </c>
      <c r="DH37" s="1184">
        <f t="shared" si="165"/>
      </c>
      <c r="DI37" s="1185">
        <f t="shared" si="165"/>
      </c>
      <c r="DJ37" s="1186">
        <f t="shared" si="165"/>
      </c>
      <c r="DK37" s="1184">
        <f t="shared" si="165"/>
      </c>
      <c r="DL37" s="1184">
        <f t="shared" si="165"/>
      </c>
      <c r="DM37" s="1185">
        <f t="shared" si="165"/>
      </c>
      <c r="DN37" s="1186">
        <f t="shared" si="165"/>
      </c>
      <c r="DO37" s="1184">
        <f t="shared" si="165"/>
      </c>
      <c r="DP37" s="1186">
        <f t="shared" si="165"/>
      </c>
      <c r="DQ37" s="1185">
        <f t="shared" ref="DQ37" si="166">+DP37</f>
      </c>
      <c r="DR37" s="1186">
        <f t="shared" ref="DR37" si="167">+DQ37</f>
      </c>
      <c r="DS37" s="1186">
        <f t="shared" ref="DS37" si="168">+DR37</f>
      </c>
      <c r="DT37" s="1186">
        <f t="shared" ref="DT37" si="169">+DS37</f>
      </c>
      <c r="DU37" s="1185">
        <f t="shared" ref="DU37" si="170">+DT37</f>
      </c>
      <c r="DV37" s="1186">
        <f t="shared" ref="DV37" si="171">+DU37</f>
      </c>
      <c r="DW37" s="1186">
        <f t="shared" ref="DW37" si="172">+DV37</f>
      </c>
      <c r="DX37" s="1186">
        <f t="shared" ref="DX37" si="173">+DW37</f>
      </c>
      <c r="DY37" s="1185">
        <f t="shared" ref="DY37" si="174">+DX37</f>
      </c>
      <c r="DZ37" s="1186">
        <f t="shared" ref="DZ37" si="175">+DY37</f>
      </c>
      <c r="EA37" s="1186">
        <f t="shared" ref="EA37" si="176">+DZ37</f>
      </c>
      <c r="EB37" s="1186">
        <f t="shared" ref="EB37" si="177">+EA37</f>
      </c>
      <c r="EC37" s="1185">
        <f t="shared" ref="EC37" si="178">+EB37</f>
      </c>
      <c r="ED37" s="1186">
        <f t="shared" ref="ED37" si="179">+EC37</f>
      </c>
      <c r="EE37" s="1186">
        <f t="shared" ref="EE37" si="180">+ED37</f>
      </c>
      <c r="EF37" s="1186">
        <f t="shared" ref="EF37" si="181">+EE37</f>
      </c>
      <c r="EG37" s="1185">
        <f t="shared" ref="EG37" si="182">+EF37</f>
      </c>
      <c r="EH37" s="1186">
        <f t="shared" ref="EH37" si="183">+EG37</f>
      </c>
      <c r="EI37" s="1186">
        <f t="shared" ref="EI37" si="184">+EH37</f>
      </c>
      <c r="EJ37" s="1186">
        <f t="shared" ref="EJ37" si="185">+EI37</f>
      </c>
      <c r="EK37" s="1185">
        <f t="shared" ref="EK37" si="186">+EJ37</f>
      </c>
      <c r="EN37" s="15">
        <f>E37</f>
      </c>
      <c r="EO37" s="15">
        <f>I37</f>
      </c>
      <c r="EP37" s="15">
        <f>M37</f>
      </c>
      <c r="EQ37" s="15">
        <f>Q37</f>
      </c>
      <c r="ER37" s="15">
        <f>U37</f>
      </c>
      <c r="ES37" s="15">
        <f>Y37</f>
      </c>
      <c r="ET37" s="15">
        <f>AC37</f>
      </c>
      <c r="EU37" s="15">
        <f>AG37</f>
      </c>
      <c r="EV37" s="15">
        <f>AK37</f>
      </c>
      <c r="EW37" s="15">
        <f>AO37</f>
      </c>
      <c r="EX37" s="15">
        <f>AS37</f>
      </c>
      <c r="EY37" s="15">
        <f>AW37</f>
      </c>
      <c r="EZ37" s="15">
        <f>BA37</f>
      </c>
      <c r="FA37" s="15">
        <f>BE37</f>
      </c>
      <c r="FB37" s="15">
        <f>BI37:BI112</f>
      </c>
      <c r="FC37" s="15">
        <f>BM37:BM112</f>
      </c>
      <c r="FD37" s="15">
        <f>BQ37:BQ112</f>
      </c>
      <c r="FE37" s="15">
        <f>BU37:BU112</f>
      </c>
      <c r="FF37" s="15">
        <f>BY37:BY112</f>
      </c>
      <c r="FG37" s="15">
        <f>CC37:CC112</f>
      </c>
      <c r="FH37" s="15">
        <f>CG37:CG112</f>
      </c>
      <c r="FI37" s="15">
        <f>CK37:CK112</f>
      </c>
      <c r="FJ37" s="15">
        <f>CO37:CO112</f>
      </c>
      <c r="FK37" s="15">
        <f>$CS$11:$CS$53</f>
      </c>
      <c r="FL37" s="15">
        <f>$CW$11:$CW$53</f>
      </c>
      <c r="FM37" s="15">
        <f>$DA$11:$DA$53</f>
      </c>
      <c r="FN37" s="15">
        <f>$DE$11:$DE$53</f>
      </c>
      <c r="FO37" s="15">
        <f>+DI37</f>
      </c>
      <c r="FP37" s="15">
        <f>+DM37</f>
      </c>
      <c r="FQ37" s="15">
        <f>+DQ37</f>
      </c>
      <c r="FR37" s="15">
        <f>+DU37</f>
      </c>
      <c r="FS37" s="15">
        <f>DY37</f>
      </c>
      <c r="FT37" s="15">
        <f>EC37</f>
      </c>
      <c r="FU37" s="15">
        <f>EG37</f>
      </c>
      <c r="FV37" s="15">
        <f>EK37</f>
      </c>
      <c r="FW37" s="11"/>
      <c r="FX37" s="11"/>
      <c r="FY37" s="11"/>
      <c r="FZ37" s="23"/>
      <c r="GA37" s="23"/>
    </row>
    <row r="38" spans="1:183" ht="10.199999999999999">
      <c r="A38" s="19" t="s">
        <v>98</v>
      </c>
      <c r="B38" s="34">
        <v>304</v>
      </c>
      <c r="C38" s="34">
        <v>303</v>
      </c>
      <c r="D38" s="34">
        <v>949</v>
      </c>
      <c r="E38" s="173">
        <v>949</v>
      </c>
      <c r="F38" s="34">
        <v>950</v>
      </c>
      <c r="G38" s="34">
        <v>952</v>
      </c>
      <c r="H38" s="34">
        <v>951</v>
      </c>
      <c r="I38" s="173">
        <v>951</v>
      </c>
      <c r="J38" s="34">
        <v>952</v>
      </c>
      <c r="K38" s="34">
        <v>953</v>
      </c>
      <c r="L38" s="34">
        <v>953</v>
      </c>
      <c r="M38" s="173">
        <v>954</v>
      </c>
      <c r="N38" s="34">
        <v>954</v>
      </c>
      <c r="O38" s="34">
        <v>955</v>
      </c>
      <c r="P38" s="34">
        <v>300</v>
      </c>
      <c r="Q38" s="173">
        <v>300</v>
      </c>
      <c r="R38" s="34">
        <v>300</v>
      </c>
      <c r="S38" s="34">
        <v>300</v>
      </c>
      <c r="T38" s="34">
        <v>300</v>
      </c>
      <c r="U38" s="173">
        <v>300</v>
      </c>
      <c r="V38" s="34">
        <v>311</v>
      </c>
      <c r="W38" s="34">
        <v>317</v>
      </c>
      <c r="X38" s="34">
        <v>317</v>
      </c>
      <c r="Y38" s="173">
        <v>317</v>
      </c>
      <c r="Z38" s="34">
        <v>315</v>
      </c>
      <c r="AA38" s="34">
        <v>311</v>
      </c>
      <c r="AB38" s="34">
        <v>316</v>
      </c>
      <c r="AC38" s="173">
        <v>316</v>
      </c>
      <c r="AD38" s="34">
        <v>320</v>
      </c>
      <c r="AE38" s="34">
        <v>0</v>
      </c>
      <c r="AF38" s="34">
        <v>0</v>
      </c>
      <c r="AG38" s="173">
        <v>0</v>
      </c>
      <c r="AH38" s="34">
        <v>0</v>
      </c>
      <c r="AI38" s="34">
        <v>0</v>
      </c>
      <c r="AJ38" s="34">
        <v>0</v>
      </c>
      <c r="AK38" s="173">
        <v>0</v>
      </c>
      <c r="AL38" s="34">
        <v>0</v>
      </c>
      <c r="AM38" s="34">
        <v>0</v>
      </c>
      <c r="AN38" s="34">
        <v>0</v>
      </c>
      <c r="AO38" s="173">
        <v>0</v>
      </c>
      <c r="AP38" s="34">
        <v>0</v>
      </c>
      <c r="AQ38" s="34">
        <v>0</v>
      </c>
      <c r="AR38" s="34">
        <v>0</v>
      </c>
      <c r="AS38" s="173">
        <v>0</v>
      </c>
      <c r="AT38" s="34">
        <v>0</v>
      </c>
      <c r="AU38" s="34">
        <v>0</v>
      </c>
      <c r="AV38" s="34">
        <v>0</v>
      </c>
      <c r="AW38" s="173">
        <v>0</v>
      </c>
      <c r="AX38" s="34">
        <v>0</v>
      </c>
      <c r="AY38" s="34">
        <v>0</v>
      </c>
      <c r="AZ38" s="34">
        <v>0</v>
      </c>
      <c r="BA38" s="173">
        <v>0</v>
      </c>
      <c r="BB38" s="34">
        <v>0</v>
      </c>
      <c r="BC38" s="34">
        <v>0</v>
      </c>
      <c r="BD38" s="34">
        <v>0</v>
      </c>
      <c r="BE38" s="173">
        <v>0</v>
      </c>
      <c r="BF38" s="34">
        <v>0</v>
      </c>
      <c r="BG38" s="34">
        <v>0</v>
      </c>
      <c r="BH38" s="34">
        <v>0</v>
      </c>
      <c r="BI38" s="173">
        <v>0</v>
      </c>
      <c r="BJ38" s="34">
        <v>0</v>
      </c>
      <c r="BK38" s="34">
        <v>0</v>
      </c>
      <c r="BL38" s="34">
        <v>0</v>
      </c>
      <c r="BM38" s="173">
        <v>0</v>
      </c>
      <c r="BN38" s="34">
        <v>0</v>
      </c>
      <c r="BO38" s="34">
        <v>0</v>
      </c>
      <c r="BP38" s="34">
        <v>0</v>
      </c>
      <c r="BQ38" s="173">
        <v>0</v>
      </c>
      <c r="BR38" s="34">
        <v>0</v>
      </c>
      <c r="BS38" s="34">
        <v>0</v>
      </c>
      <c r="BT38" s="34">
        <v>16958</v>
      </c>
      <c r="BU38" s="173">
        <v>16960</v>
      </c>
      <c r="BV38" s="34">
        <v>16961</v>
      </c>
      <c r="BW38" s="34">
        <v>16962</v>
      </c>
      <c r="BX38" s="34">
        <v>29030</v>
      </c>
      <c r="BY38" s="173">
        <v>28987</v>
      </c>
      <c r="BZ38" s="34">
        <v>32504</v>
      </c>
      <c r="CA38" s="34">
        <v>40072</v>
      </c>
      <c r="CB38" s="34">
        <v>47419</v>
      </c>
      <c r="CC38" s="173">
        <v>53463</v>
      </c>
      <c r="CD38" s="34">
        <v>53204</v>
      </c>
      <c r="CE38" s="34">
        <v>69374</v>
      </c>
      <c r="CF38" s="77">
        <v>68939</v>
      </c>
      <c r="CG38" s="173">
        <v>75427</v>
      </c>
      <c r="CH38" s="34">
        <v>73557</v>
      </c>
      <c r="CI38" s="34">
        <v>84531</v>
      </c>
      <c r="CJ38" s="34">
        <v>89864</v>
      </c>
      <c r="CK38" s="173">
        <v>97207</v>
      </c>
      <c r="CL38" s="34">
        <v>103922</v>
      </c>
      <c r="CM38" s="34">
        <v>101362</v>
      </c>
      <c r="CN38" s="34">
        <v>97128</v>
      </c>
      <c r="CO38" s="173">
        <v>93735</v>
      </c>
      <c r="CP38" s="77">
        <v>92989</v>
      </c>
      <c r="CQ38" s="77">
        <v>90201</v>
      </c>
      <c r="CR38" s="77">
        <v>84936</v>
      </c>
      <c r="CS38" s="173">
        <v>91807</v>
      </c>
      <c r="CT38" s="77">
        <v>93078</v>
      </c>
      <c r="CU38" s="77">
        <v>89086</v>
      </c>
      <c r="CV38" s="77">
        <v>94048</v>
      </c>
      <c r="CW38" s="192">
        <v>98667</v>
      </c>
      <c r="CX38" s="474">
        <v>99281</v>
      </c>
      <c r="CY38" s="77">
        <v>108642</v>
      </c>
      <c r="CZ38" s="77">
        <v>105752</v>
      </c>
      <c r="DA38" s="192">
        <v>109106</v>
      </c>
      <c r="DB38" s="474">
        <v>106629</v>
      </c>
      <c r="DC38" s="77">
        <v>103323</v>
      </c>
      <c r="DD38" s="77">
        <v>94700</v>
      </c>
      <c r="DE38" s="192">
        <f>98959</f>
      </c>
      <c r="DF38" s="474">
        <v>99627</v>
      </c>
      <c r="DG38" s="77">
        <v>97041</v>
      </c>
      <c r="DH38" s="77">
        <v>98071</v>
      </c>
      <c r="DI38" s="192">
        <v>95281</v>
      </c>
      <c r="DJ38" s="474">
        <v>95088</v>
      </c>
      <c r="DK38" s="77">
        <v>91831</v>
      </c>
      <c r="DL38" s="77">
        <v>86196</v>
      </c>
      <c r="DM38" s="192">
        <v>85750</v>
      </c>
      <c r="DN38" s="474">
        <v>83956</v>
      </c>
      <c r="DO38" s="77">
        <v>78566</v>
      </c>
      <c r="DP38" s="77">
        <v>82430</v>
      </c>
      <c r="DQ38" s="176">
        <f>DP38+'Cash Flow Statement'!DQ43+'Cash Flow Statement'!DQ44</f>
      </c>
      <c r="DR38" s="85">
        <f>DQ38+'Cash Flow Statement'!DR43+'Cash Flow Statement'!DR44</f>
      </c>
      <c r="DS38" s="85">
        <f>DR38+'Cash Flow Statement'!DS43+'Cash Flow Statement'!DS44</f>
      </c>
      <c r="DT38" s="85">
        <f>DS38+'Cash Flow Statement'!DT43+'Cash Flow Statement'!DT44</f>
      </c>
      <c r="DU38" s="176">
        <f>DT38+'Cash Flow Statement'!DU43+'Cash Flow Statement'!DU44</f>
      </c>
      <c r="DV38" s="85">
        <f>DU38+'Cash Flow Statement'!DV43+'Cash Flow Statement'!DV44</f>
      </c>
      <c r="DW38" s="85">
        <f>DV38+'Cash Flow Statement'!DW43+'Cash Flow Statement'!DW44</f>
      </c>
      <c r="DX38" s="85">
        <f>DW38+'Cash Flow Statement'!DX43+'Cash Flow Statement'!DX44</f>
      </c>
      <c r="DY38" s="176">
        <f>DX38+'Cash Flow Statement'!DY43+'Cash Flow Statement'!DY44</f>
      </c>
      <c r="DZ38" s="85">
        <f>DY38+'Cash Flow Statement'!DZ43+'Cash Flow Statement'!DZ44</f>
      </c>
      <c r="EA38" s="85">
        <f>DZ38+'Cash Flow Statement'!EA43+'Cash Flow Statement'!EA44</f>
      </c>
      <c r="EB38" s="85">
        <f>EA38+'Cash Flow Statement'!EB43+'Cash Flow Statement'!EB44</f>
      </c>
      <c r="EC38" s="176">
        <f>EB38+'Cash Flow Statement'!EC43+'Cash Flow Statement'!EC44</f>
      </c>
      <c r="ED38" s="85">
        <f>EC38+'Cash Flow Statement'!ED43+'Cash Flow Statement'!ED44</f>
      </c>
      <c r="EE38" s="85">
        <f>ED38+'Cash Flow Statement'!EE43+'Cash Flow Statement'!EE44</f>
      </c>
      <c r="EF38" s="85">
        <f>EE38+'Cash Flow Statement'!EF43+'Cash Flow Statement'!EF44</f>
      </c>
      <c r="EG38" s="176">
        <f>EF38+'Cash Flow Statement'!EG43+'Cash Flow Statement'!EG44</f>
      </c>
      <c r="EH38" s="85">
        <f>EG38+'Cash Flow Statement'!EH43+'Cash Flow Statement'!EH44</f>
      </c>
      <c r="EI38" s="85">
        <f>EH38+'Cash Flow Statement'!EI43+'Cash Flow Statement'!EI44</f>
      </c>
      <c r="EJ38" s="85">
        <f>EI38+'Cash Flow Statement'!EJ43+'Cash Flow Statement'!EJ44</f>
      </c>
      <c r="EK38" s="176">
        <f>EJ38+'Cash Flow Statement'!EK43+'Cash Flow Statement'!EK44</f>
      </c>
      <c r="EN38" s="15">
        <f>E38</f>
      </c>
      <c r="EO38" s="15">
        <f>I38</f>
      </c>
      <c r="EP38" s="15">
        <f>M38</f>
      </c>
      <c r="EQ38" s="15">
        <f>Q38</f>
      </c>
      <c r="ER38" s="15">
        <f>U38</f>
      </c>
      <c r="ES38" s="15">
        <f>Y38</f>
      </c>
      <c r="ET38" s="15">
        <f>AC38</f>
      </c>
      <c r="EU38" s="15">
        <f>AG38</f>
      </c>
      <c r="EV38" s="15">
        <f>AK38</f>
      </c>
      <c r="EW38" s="15">
        <f>AO38</f>
      </c>
      <c r="EX38" s="15">
        <f>AS38</f>
      </c>
      <c r="EY38" s="15">
        <f>AW38</f>
      </c>
      <c r="EZ38" s="15">
        <f>BA38</f>
      </c>
      <c r="FA38" s="15">
        <f>BE38</f>
      </c>
      <c r="FB38" s="15">
        <f>BI38:BI112</f>
      </c>
      <c r="FC38" s="15">
        <f>BM38:BM112</f>
      </c>
      <c r="FD38" s="15">
        <f>BQ38:BQ112</f>
      </c>
      <c r="FE38" s="15">
        <f>BU38:BU112</f>
      </c>
      <c r="FF38" s="15">
        <f>BY38:BY112</f>
      </c>
      <c r="FG38" s="15">
        <f>CC38:CC112</f>
      </c>
      <c r="FH38" s="15">
        <f>CG38:CG112</f>
      </c>
      <c r="FI38" s="15">
        <f>CK38:CK112</f>
      </c>
      <c r="FJ38" s="15">
        <f>CO38:CO112</f>
      </c>
      <c r="FK38" s="15">
        <f>$CS$11:$CS$53</f>
      </c>
      <c r="FL38" s="15">
        <f>$CW$11:$CW$53</f>
      </c>
      <c r="FM38" s="15">
        <f>$DA$11:$DA$53</f>
      </c>
      <c r="FN38" s="15">
        <f>$DE$11:$DE$53</f>
      </c>
      <c r="FO38" s="15">
        <f>+DI38</f>
      </c>
      <c r="FP38" s="15">
        <f>+DM38</f>
      </c>
      <c r="FQ38" s="15">
        <f>+DQ38</f>
      </c>
      <c r="FR38" s="15">
        <f>+DU38</f>
      </c>
      <c r="FS38" s="15">
        <f>DY38</f>
      </c>
      <c r="FT38" s="15">
        <f>EC38</f>
      </c>
      <c r="FU38" s="15">
        <f>EG38</f>
      </c>
      <c r="FV38" s="15">
        <f>EK38</f>
      </c>
      <c r="FW38" s="11"/>
      <c r="FX38" s="11"/>
      <c r="FY38" s="11"/>
      <c r="FZ38" s="23"/>
      <c r="GA38" s="23"/>
    </row>
    <row r="39" spans="1:183" ht="10.199999999999999">
      <c r="A39" s="19" t="s">
        <v>117</v>
      </c>
      <c r="B39" s="34">
        <v>750</v>
      </c>
      <c r="C39" s="34">
        <v>602</v>
      </c>
      <c r="D39" s="34">
        <v>450</v>
      </c>
      <c r="E39" s="173">
        <v>354</v>
      </c>
      <c r="F39" s="34">
        <v>336</v>
      </c>
      <c r="G39" s="34">
        <v>282</v>
      </c>
      <c r="H39" s="34">
        <v>284</v>
      </c>
      <c r="I39" s="173">
        <v>264</v>
      </c>
      <c r="J39" s="34">
        <v>261</v>
      </c>
      <c r="K39" s="34">
        <v>238</v>
      </c>
      <c r="L39" s="34">
        <v>213</v>
      </c>
      <c r="M39" s="173">
        <v>173</v>
      </c>
      <c r="N39" s="34">
        <v>231</v>
      </c>
      <c r="O39" s="34">
        <v>261</v>
      </c>
      <c r="P39" s="34">
        <v>210</v>
      </c>
      <c r="Q39" s="173">
        <v>208</v>
      </c>
      <c r="R39" s="34">
        <v>907</v>
      </c>
      <c r="S39" s="34">
        <v>639</v>
      </c>
      <c r="T39" s="34">
        <v>583</v>
      </c>
      <c r="U39" s="173">
        <v>463</v>
      </c>
      <c r="V39" s="34">
        <v>326</v>
      </c>
      <c r="W39" s="34">
        <v>280</v>
      </c>
      <c r="X39" s="34">
        <v>282</v>
      </c>
      <c r="Y39" s="173">
        <v>266</v>
      </c>
      <c r="Z39" s="34">
        <v>262</v>
      </c>
      <c r="AA39" s="34">
        <v>230</v>
      </c>
      <c r="AB39" s="34">
        <v>193</v>
      </c>
      <c r="AC39" s="173">
        <v>229</v>
      </c>
      <c r="AD39" s="34">
        <v>238</v>
      </c>
      <c r="AE39" s="34">
        <v>215</v>
      </c>
      <c r="AF39" s="34">
        <v>218</v>
      </c>
      <c r="AG39" s="173">
        <v>235</v>
      </c>
      <c r="AH39" s="34">
        <v>259</v>
      </c>
      <c r="AI39" s="34">
        <v>265</v>
      </c>
      <c r="AJ39" s="34">
        <v>256</v>
      </c>
      <c r="AK39" s="173">
        <v>121</v>
      </c>
      <c r="AL39" s="34">
        <v>131</v>
      </c>
      <c r="AM39" s="34">
        <v>142</v>
      </c>
      <c r="AN39" s="34">
        <v>293</v>
      </c>
      <c r="AO39" s="173">
        <v>320</v>
      </c>
      <c r="AP39" s="34">
        <v>443</v>
      </c>
      <c r="AQ39" s="34">
        <v>473</v>
      </c>
      <c r="AR39" s="34">
        <v>437</v>
      </c>
      <c r="AS39" s="173">
        <v>395</v>
      </c>
      <c r="AT39" s="34">
        <v>520</v>
      </c>
      <c r="AU39" s="34">
        <v>589</v>
      </c>
      <c r="AV39" s="34">
        <v>728</v>
      </c>
      <c r="AW39" s="173">
        <v>687</v>
      </c>
      <c r="AX39" s="34">
        <v>1511</v>
      </c>
      <c r="AY39" s="34">
        <v>1384</v>
      </c>
      <c r="AZ39" s="34">
        <v>1543</v>
      </c>
      <c r="BA39" s="173">
        <v>1745</v>
      </c>
      <c r="BB39" s="34">
        <v>1681</v>
      </c>
      <c r="BC39" s="34">
        <v>1715</v>
      </c>
      <c r="BD39" s="34">
        <v>1924</v>
      </c>
      <c r="BE39" s="173">
        <v>3502</v>
      </c>
      <c r="BF39" s="34">
        <v>4139</v>
      </c>
      <c r="BG39" s="34">
        <v>4539</v>
      </c>
      <c r="BH39" s="34">
        <v>4981</v>
      </c>
      <c r="BI39" s="173">
        <v>5531</v>
      </c>
      <c r="BJ39" s="34">
        <v>7065</v>
      </c>
      <c r="BK39" s="34">
        <v>7870</v>
      </c>
      <c r="BL39" s="34">
        <v>9149</v>
      </c>
      <c r="BM39" s="173">
        <v>10100</v>
      </c>
      <c r="BN39" s="34">
        <v>11833</v>
      </c>
      <c r="BO39" s="34">
        <v>13954</v>
      </c>
      <c r="BP39" s="34">
        <v>15560</v>
      </c>
      <c r="BQ39" s="173">
        <v>16664</v>
      </c>
      <c r="BR39" s="34">
        <v>18925</v>
      </c>
      <c r="BS39" s="34">
        <v>20868</v>
      </c>
      <c r="BT39" s="34">
        <v>20553</v>
      </c>
      <c r="BU39" s="173">
        <v>20208</v>
      </c>
      <c r="BV39" s="34">
        <v>21699</v>
      </c>
      <c r="BW39" s="34">
        <v>22476</v>
      </c>
      <c r="BX39" s="34">
        <v>23287</v>
      </c>
      <c r="BY39" s="173">
        <v>24826</v>
      </c>
      <c r="BZ39" s="34">
        <v>28971</v>
      </c>
      <c r="CA39" s="34">
        <v>29816</v>
      </c>
      <c r="CB39" s="34">
        <v>31296</v>
      </c>
      <c r="CC39" s="173">
        <v>33427</v>
      </c>
      <c r="CD39" s="34">
        <v>32175</v>
      </c>
      <c r="CE39" s="34">
        <v>33859</v>
      </c>
      <c r="CF39" s="77">
        <v>35572</v>
      </c>
      <c r="CG39" s="173">
        <v>36074</v>
      </c>
      <c r="CH39" s="34">
        <v>37901</v>
      </c>
      <c r="CI39" s="34">
        <v>39470</v>
      </c>
      <c r="CJ39" s="34">
        <v>38598</v>
      </c>
      <c r="CK39" s="173">
        <v>40415</v>
      </c>
      <c r="CL39" s="34">
        <v>43754</v>
      </c>
      <c r="CM39" s="34">
        <v>46855</v>
      </c>
      <c r="CN39" s="34">
        <v>45694</v>
      </c>
      <c r="CO39" s="173">
        <f>48914-CO37</f>
      </c>
      <c r="CP39" s="77">
        <f>54555-CP37</f>
      </c>
      <c r="CQ39" s="77">
        <f>52165-CQ37</f>
      </c>
      <c r="CR39" s="77">
        <f>51143-CR37</f>
      </c>
      <c r="CS39" s="173">
        <f>50503-CS37</f>
      </c>
      <c r="CT39" s="77">
        <f>55848-CT37</f>
      </c>
      <c r="CU39" s="77">
        <f>56795-CU37</f>
      </c>
      <c r="CV39" s="77">
        <f>55696-CV37</f>
      </c>
      <c r="CW39" s="192">
        <f>54490-CW37</f>
      </c>
      <c r="CX39" s="474">
        <f>56042-CX37</f>
      </c>
      <c r="CY39" s="77">
        <f>52953-CY37</f>
      </c>
      <c r="CZ39" s="77">
        <f>52054-CZ37</f>
      </c>
      <c r="DA39" s="192">
        <f>53325-DA37</f>
      </c>
      <c r="DB39" s="474">
        <f>55056-DB37</f>
      </c>
      <c r="DC39" s="77">
        <f>52432-DC37</f>
      </c>
      <c r="DD39" s="77">
        <f>53629-DD37</f>
      </c>
      <c r="DE39" s="1184">
        <f>49142-DE37</f>
      </c>
      <c r="DF39" s="1259">
        <f>53107-DF37</f>
      </c>
      <c r="DG39" s="1184">
        <f>52886-DG37</f>
      </c>
      <c r="DH39" s="1184">
        <f>51730-DH37</f>
      </c>
      <c r="DI39" s="689">
        <f>49848-DI37</f>
      </c>
      <c r="DJ39" s="1259">
        <f>50353-DJ37</f>
      </c>
      <c r="DK39" s="1184">
        <f>47564-DK37</f>
      </c>
      <c r="DL39" s="1184">
        <f>47084-DL37</f>
      </c>
      <c r="DM39" s="689">
        <f>45888-DM37</f>
      </c>
      <c r="DN39" s="1259">
        <f>49006-DN37</f>
      </c>
      <c r="DO39" s="1184">
        <f>41300-DO37</f>
      </c>
      <c r="DP39" s="1184">
        <f>42115-DP37</f>
      </c>
      <c r="DQ39" s="176">
        <f t="shared" ref="DQ39" si="187">SUM(DQ41:DQ43)</f>
      </c>
      <c r="DR39" s="85">
        <f t="shared" ref="DR39:DU39" si="188">SUM(DR41:DR43)</f>
      </c>
      <c r="DS39" s="85">
        <f t="shared" si="188"/>
      </c>
      <c r="DT39" s="85">
        <f t="shared" si="188"/>
      </c>
      <c r="DU39" s="176">
        <f t="shared" si="188"/>
      </c>
      <c r="DV39" s="85">
        <f t="shared" ref="DV39:EK39" si="189">SUM(DV41:DV43)</f>
      </c>
      <c r="DW39" s="85">
        <f t="shared" si="189"/>
      </c>
      <c r="DX39" s="85">
        <f t="shared" si="189"/>
      </c>
      <c r="DY39" s="176">
        <f t="shared" si="189"/>
      </c>
      <c r="DZ39" s="85">
        <f t="shared" si="189"/>
      </c>
      <c r="EA39" s="85">
        <f t="shared" si="189"/>
      </c>
      <c r="EB39" s="85">
        <f t="shared" si="189"/>
      </c>
      <c r="EC39" s="176">
        <f t="shared" si="189"/>
      </c>
      <c r="ED39" s="85">
        <f t="shared" si="189"/>
      </c>
      <c r="EE39" s="85">
        <f t="shared" si="189"/>
      </c>
      <c r="EF39" s="85">
        <f t="shared" si="189"/>
      </c>
      <c r="EG39" s="176">
        <f t="shared" si="189"/>
      </c>
      <c r="EH39" s="85">
        <f t="shared" si="189"/>
      </c>
      <c r="EI39" s="85">
        <f t="shared" si="189"/>
      </c>
      <c r="EJ39" s="85">
        <f t="shared" si="189"/>
      </c>
      <c r="EK39" s="176">
        <f t="shared" si="189"/>
      </c>
      <c r="EN39" s="15">
        <f>E39</f>
      </c>
      <c r="EO39" s="15">
        <f>I39</f>
      </c>
      <c r="EP39" s="15">
        <f>M39</f>
      </c>
      <c r="EQ39" s="15">
        <f>Q39</f>
      </c>
      <c r="ER39" s="15">
        <f>U39</f>
      </c>
      <c r="ES39" s="15">
        <f>Y39</f>
      </c>
      <c r="ET39" s="15">
        <f>AC39</f>
      </c>
      <c r="EU39" s="15">
        <f>AG39</f>
      </c>
      <c r="EV39" s="15">
        <f>AK39</f>
      </c>
      <c r="EW39" s="15">
        <f>AO39</f>
      </c>
      <c r="EX39" s="15">
        <f>AS39</f>
      </c>
      <c r="EY39" s="15">
        <f>AW39</f>
      </c>
      <c r="EZ39" s="15">
        <f>BA39</f>
      </c>
      <c r="FA39" s="15">
        <f>BE39</f>
      </c>
      <c r="FB39" s="15">
        <f>BI39:BI112</f>
      </c>
      <c r="FC39" s="15">
        <f>BM39:BM112</f>
      </c>
      <c r="FD39" s="15">
        <f>BQ39:BQ112</f>
      </c>
      <c r="FE39" s="15">
        <f>BU39:BU112</f>
      </c>
      <c r="FF39" s="15">
        <f>BY39:BY112</f>
      </c>
      <c r="FG39" s="15">
        <f>CC39:CC112</f>
      </c>
      <c r="FH39" s="15">
        <f>CG39:CG112</f>
      </c>
      <c r="FI39" s="15">
        <f>CK39:CK112</f>
      </c>
      <c r="FJ39" s="15">
        <f>CO39:CO112</f>
      </c>
      <c r="FK39" s="15">
        <f>$CS$11:$CS$53</f>
      </c>
      <c r="FL39" s="15">
        <f>$CW$11:$CW$53</f>
      </c>
      <c r="FM39" s="15">
        <f>$DA$11:$DA$53</f>
      </c>
      <c r="FN39" s="15">
        <f>$DE$11:$DE$53</f>
      </c>
      <c r="FO39" s="15">
        <f>+DI39</f>
      </c>
      <c r="FP39" s="15">
        <f>+DM39</f>
      </c>
      <c r="FQ39" s="15">
        <f>+DQ39</f>
      </c>
      <c r="FR39" s="15">
        <f>+DU39</f>
      </c>
      <c r="FS39" s="15">
        <f>DY39</f>
      </c>
      <c r="FT39" s="15">
        <f>EC39</f>
      </c>
      <c r="FU39" s="15">
        <f>EG39</f>
      </c>
      <c r="FV39" s="15">
        <f>EK39</f>
      </c>
      <c r="FW39" s="11"/>
      <c r="FX39" s="11"/>
      <c r="FY39" s="11"/>
    </row>
    <row r="40" spans="1:183" s="82" customFormat="1" ht="10.199999999999999" hidden="1" outlineLevel="1">
      <c r="A40" s="289" t="s">
        <v>985</v>
      </c>
      <c r="B40" s="290"/>
      <c r="C40" s="290"/>
      <c r="D40" s="290"/>
      <c r="E40" s="244"/>
      <c r="F40" s="290"/>
      <c r="G40" s="290"/>
      <c r="H40" s="290"/>
      <c r="I40" s="244"/>
      <c r="J40" s="290"/>
      <c r="K40" s="290"/>
      <c r="L40" s="290"/>
      <c r="M40" s="244"/>
      <c r="N40" s="290"/>
      <c r="O40" s="290"/>
      <c r="P40" s="290"/>
      <c r="Q40" s="244"/>
      <c r="R40" s="290"/>
      <c r="S40" s="290"/>
      <c r="T40" s="290"/>
      <c r="U40" s="244"/>
      <c r="V40" s="290"/>
      <c r="W40" s="290"/>
      <c r="X40" s="290"/>
      <c r="Y40" s="244"/>
      <c r="Z40" s="290"/>
      <c r="AA40" s="290"/>
      <c r="AB40" s="290"/>
      <c r="AC40" s="244"/>
      <c r="AD40" s="290"/>
      <c r="AE40" s="290"/>
      <c r="AF40" s="290"/>
      <c r="AG40" s="244"/>
      <c r="AH40" s="290"/>
      <c r="AI40" s="290"/>
      <c r="AJ40" s="290"/>
      <c r="AK40" s="244"/>
      <c r="AL40" s="290"/>
      <c r="AM40" s="290"/>
      <c r="AN40" s="290"/>
      <c r="AO40" s="244"/>
      <c r="AP40" s="290"/>
      <c r="AQ40" s="290"/>
      <c r="AR40" s="290"/>
      <c r="AS40" s="244"/>
      <c r="AT40" s="290"/>
      <c r="AU40" s="290"/>
      <c r="AV40" s="290"/>
      <c r="AW40" s="244"/>
      <c r="AX40" s="290"/>
      <c r="AY40" s="290"/>
      <c r="AZ40" s="290"/>
      <c r="BA40" s="244"/>
      <c r="BB40" s="290"/>
      <c r="BC40" s="290"/>
      <c r="BD40" s="290"/>
      <c r="BE40" s="244"/>
      <c r="BF40" s="290"/>
      <c r="BG40" s="290"/>
      <c r="BH40" s="290"/>
      <c r="BI40" s="244"/>
      <c r="BJ40" s="290"/>
      <c r="BK40" s="290"/>
      <c r="BL40" s="290"/>
      <c r="BM40" s="244"/>
      <c r="BN40" s="290"/>
      <c r="BO40" s="290"/>
      <c r="BP40" s="290"/>
      <c r="BQ40" s="244"/>
      <c r="BR40" s="290"/>
      <c r="BS40" s="290"/>
      <c r="BT40" s="290"/>
      <c r="BU40" s="244"/>
      <c r="BV40" s="290"/>
      <c r="BW40" s="290"/>
      <c r="BX40" s="290"/>
      <c r="BY40" s="244"/>
      <c r="BZ40" s="290"/>
      <c r="CA40" s="290"/>
      <c r="CB40" s="290"/>
      <c r="CC40" s="244"/>
      <c r="CD40" s="290"/>
      <c r="CE40" s="290"/>
      <c r="CF40" s="291"/>
      <c r="CG40" s="244"/>
      <c r="CH40" s="290"/>
      <c r="CI40" s="290"/>
      <c r="CJ40" s="290"/>
      <c r="CK40" s="244"/>
      <c r="CL40" s="290"/>
      <c r="CM40" s="290"/>
      <c r="CN40" s="290"/>
      <c r="CO40" s="244"/>
      <c r="CP40" s="375"/>
      <c r="CQ40" s="292"/>
      <c r="CR40" s="292"/>
      <c r="CS40" s="244"/>
      <c r="CT40" s="375"/>
      <c r="CU40" s="375"/>
      <c r="CV40" s="375"/>
      <c r="CW40" s="391"/>
      <c r="CX40" s="482"/>
      <c r="CY40" s="375"/>
      <c r="CZ40" s="375"/>
      <c r="DA40" s="391"/>
      <c r="DB40" s="482"/>
      <c r="DC40" s="375"/>
      <c r="DD40" s="375"/>
      <c r="DE40" s="391"/>
      <c r="DF40" s="375"/>
      <c r="DG40" s="375"/>
      <c r="DH40" s="375"/>
      <c r="DI40" s="391"/>
      <c r="DJ40" s="375"/>
      <c r="DK40" s="375"/>
      <c r="DL40" s="375"/>
      <c r="DM40" s="391"/>
      <c r="DN40" s="375"/>
      <c r="DO40" s="375"/>
      <c r="DP40" s="375"/>
      <c r="DQ40" s="391"/>
      <c r="DR40" s="375"/>
      <c r="DS40" s="375"/>
      <c r="DT40" s="375"/>
      <c r="DU40" s="391"/>
      <c r="DV40" s="375"/>
      <c r="DW40" s="375"/>
      <c r="DX40" s="375"/>
      <c r="DY40" s="391"/>
      <c r="DZ40" s="375"/>
      <c r="EA40" s="375"/>
      <c r="EB40" s="375"/>
      <c r="EC40" s="391"/>
      <c r="ED40" s="375"/>
      <c r="EE40" s="375"/>
      <c r="EF40" s="375"/>
      <c r="EG40" s="391"/>
      <c r="EH40" s="375"/>
      <c r="EI40" s="375"/>
      <c r="EJ40" s="375"/>
      <c r="EK40" s="391"/>
      <c r="EN40" s="128"/>
      <c r="EO40" s="128"/>
      <c r="EP40" s="128"/>
      <c r="EQ40" s="128"/>
      <c r="ER40" s="128"/>
      <c r="ES40" s="128"/>
      <c r="ET40" s="128"/>
      <c r="EU40" s="128"/>
      <c r="EV40" s="128"/>
      <c r="EW40" s="128"/>
      <c r="EX40" s="128"/>
      <c r="EY40" s="128"/>
      <c r="EZ40" s="128"/>
      <c r="FA40" s="128"/>
      <c r="FB40" s="128"/>
      <c r="FC40" s="128"/>
      <c r="FD40" s="128"/>
      <c r="FE40" s="128"/>
      <c r="FF40" s="128"/>
      <c r="FG40" s="128"/>
      <c r="FH40" s="128"/>
      <c r="FI40" s="128"/>
      <c r="FJ40" s="128"/>
      <c r="FK40" s="128"/>
      <c r="FL40" s="128"/>
      <c r="FM40" s="128"/>
      <c r="FN40" s="128"/>
      <c r="FO40" s="128"/>
      <c r="FP40" s="128"/>
      <c r="FQ40" s="128"/>
      <c r="FR40" s="128"/>
      <c r="FS40" s="128"/>
      <c r="FT40" s="128"/>
      <c r="FU40" s="128"/>
      <c r="FV40" s="128"/>
    </row>
    <row r="41" spans="1:183" s="82" customFormat="1" ht="10.199999999999999" hidden="1" outlineLevel="1">
      <c r="A41" s="289" t="s">
        <v>983</v>
      </c>
      <c r="B41" s="290"/>
      <c r="C41" s="290"/>
      <c r="D41" s="290"/>
      <c r="E41" s="244"/>
      <c r="F41" s="290"/>
      <c r="G41" s="290"/>
      <c r="H41" s="290"/>
      <c r="I41" s="244"/>
      <c r="J41" s="290"/>
      <c r="K41" s="290"/>
      <c r="L41" s="290"/>
      <c r="M41" s="244"/>
      <c r="N41" s="290"/>
      <c r="O41" s="290"/>
      <c r="P41" s="290"/>
      <c r="Q41" s="244"/>
      <c r="R41" s="290"/>
      <c r="S41" s="290"/>
      <c r="T41" s="290"/>
      <c r="U41" s="244"/>
      <c r="V41" s="290"/>
      <c r="W41" s="290"/>
      <c r="X41" s="290"/>
      <c r="Y41" s="244"/>
      <c r="Z41" s="290"/>
      <c r="AA41" s="290"/>
      <c r="AB41" s="290"/>
      <c r="AC41" s="244"/>
      <c r="AD41" s="290"/>
      <c r="AE41" s="290"/>
      <c r="AF41" s="290"/>
      <c r="AG41" s="244"/>
      <c r="AH41" s="290"/>
      <c r="AI41" s="290"/>
      <c r="AJ41" s="290"/>
      <c r="AK41" s="244"/>
      <c r="AL41" s="290"/>
      <c r="AM41" s="290"/>
      <c r="AN41" s="290"/>
      <c r="AO41" s="244"/>
      <c r="AP41" s="290"/>
      <c r="AQ41" s="290"/>
      <c r="AR41" s="290"/>
      <c r="AS41" s="244"/>
      <c r="AT41" s="290"/>
      <c r="AU41" s="290"/>
      <c r="AV41" s="290"/>
      <c r="AW41" s="244"/>
      <c r="AX41" s="290"/>
      <c r="AY41" s="290"/>
      <c r="AZ41" s="290"/>
      <c r="BA41" s="244"/>
      <c r="BB41" s="290"/>
      <c r="BC41" s="290"/>
      <c r="BD41" s="290"/>
      <c r="BE41" s="244"/>
      <c r="BF41" s="290"/>
      <c r="BG41" s="290"/>
      <c r="BH41" s="290"/>
      <c r="BI41" s="244"/>
      <c r="BJ41" s="290"/>
      <c r="BK41" s="290"/>
      <c r="BL41" s="290"/>
      <c r="BM41" s="244"/>
      <c r="BN41" s="290"/>
      <c r="BO41" s="290"/>
      <c r="BP41" s="290"/>
      <c r="BQ41" s="244"/>
      <c r="BR41" s="290"/>
      <c r="BS41" s="290"/>
      <c r="BT41" s="290"/>
      <c r="BU41" s="244"/>
      <c r="BV41" s="290"/>
      <c r="BW41" s="290"/>
      <c r="BX41" s="290"/>
      <c r="BY41" s="244"/>
      <c r="BZ41" s="290"/>
      <c r="CA41" s="290"/>
      <c r="CB41" s="290"/>
      <c r="CC41" s="244"/>
      <c r="CD41" s="290"/>
      <c r="CE41" s="290"/>
      <c r="CF41" s="291"/>
      <c r="CG41" s="244"/>
      <c r="CH41" s="290"/>
      <c r="CI41" s="290"/>
      <c r="CJ41" s="290"/>
      <c r="CK41" s="244">
        <v>257</v>
      </c>
      <c r="CL41" s="290">
        <v>34913</v>
      </c>
      <c r="CM41" s="290">
        <v>34913</v>
      </c>
      <c r="CN41" s="290">
        <v>34913</v>
      </c>
      <c r="CO41" s="1260">
        <f>CN41</f>
      </c>
      <c r="CP41" s="1261">
        <f>CO41+'Cash Flow Statement'!CP15</f>
      </c>
      <c r="CQ41" s="1261">
        <f>CP41+'Cash Flow Statement'!CQ15</f>
      </c>
      <c r="CR41" s="1261">
        <f>CQ41+'Cash Flow Statement'!CR15</f>
      </c>
      <c r="CS41" s="1260">
        <f>CR41</f>
      </c>
      <c r="CT41" s="1261">
        <f>CS41+'Cash Flow Statement'!CT15</f>
      </c>
      <c r="CU41" s="1261">
        <f>CT41+'Cash Flow Statement'!CU15</f>
      </c>
      <c r="CV41" s="1261">
        <f>CU41+'Cash Flow Statement'!CV15</f>
      </c>
      <c r="CW41" s="1260">
        <f>CV41+'Cash Flow Statement'!CW15</f>
      </c>
      <c r="CX41" s="1262">
        <f>CW41+'Cash Flow Statement'!CX15</f>
      </c>
      <c r="CY41" s="1261">
        <f>CX41+'Cash Flow Statement'!CY15</f>
      </c>
      <c r="CZ41" s="1261">
        <f>CY41+'Cash Flow Statement'!CZ15</f>
      </c>
      <c r="DA41" s="1260">
        <f>CZ41+'Cash Flow Statement'!DA15</f>
      </c>
      <c r="DB41" s="1262">
        <f>DA41+'Cash Flow Statement'!DB15</f>
      </c>
      <c r="DC41" s="1261">
        <f>DB41+'Cash Flow Statement'!DC15</f>
      </c>
      <c r="DD41" s="1261">
        <f>DC41+'Cash Flow Statement'!DD15</f>
      </c>
      <c r="DE41" s="1260">
        <f>DD41+'Cash Flow Statement'!DE15</f>
      </c>
      <c r="DF41" s="1261">
        <f>DE41+'Cash Flow Statement'!DF15</f>
      </c>
      <c r="DG41" s="1261">
        <f>DF41+'Cash Flow Statement'!DG15</f>
      </c>
      <c r="DH41" s="1261">
        <f>DG41+'Cash Flow Statement'!DH15</f>
      </c>
      <c r="DI41" s="1260">
        <f>DH41+'Cash Flow Statement'!DI15</f>
      </c>
      <c r="DJ41" s="1261">
        <f>DI41+'Cash Flow Statement'!DJ15</f>
      </c>
      <c r="DK41" s="1261">
        <f>DJ41+'Cash Flow Statement'!DK15</f>
      </c>
      <c r="DL41" s="1261">
        <f>DK41+'Cash Flow Statement'!DL15</f>
      </c>
      <c r="DM41" s="1260">
        <f>DL41+'Cash Flow Statement'!DM15</f>
      </c>
      <c r="DN41" s="1261">
        <f>DM41+'Cash Flow Statement'!DN15</f>
      </c>
      <c r="DO41" s="1261">
        <f>DN41+'Cash Flow Statement'!DO15</f>
      </c>
      <c r="DP41" s="1261">
        <f>DO41+'Cash Flow Statement'!DP15</f>
      </c>
      <c r="DQ41" s="1260">
        <f>DP41+'Cash Flow Statement'!DQ15</f>
      </c>
      <c r="DR41" s="1261">
        <f>DQ41+'Cash Flow Statement'!DR15</f>
      </c>
      <c r="DS41" s="1261">
        <f>DR41+'Cash Flow Statement'!DS15</f>
      </c>
      <c r="DT41" s="1261">
        <f>DS41+'Cash Flow Statement'!DT15</f>
      </c>
      <c r="DU41" s="1260">
        <f>DT41+'Cash Flow Statement'!DU15</f>
      </c>
      <c r="DV41" s="1261">
        <f>DU41+'Cash Flow Statement'!DV15</f>
      </c>
      <c r="DW41" s="1261">
        <f>DV41+'Cash Flow Statement'!DW15</f>
      </c>
      <c r="DX41" s="1261">
        <f>DW41+'Cash Flow Statement'!DX15</f>
      </c>
      <c r="DY41" s="1260">
        <f>DX41+'Cash Flow Statement'!DY15</f>
      </c>
      <c r="DZ41" s="1261">
        <f>DY41+'Cash Flow Statement'!DZ15</f>
      </c>
      <c r="EA41" s="1261">
        <f>DZ41+'Cash Flow Statement'!EA15</f>
      </c>
      <c r="EB41" s="1261">
        <f>EA41+'Cash Flow Statement'!EB15</f>
      </c>
      <c r="EC41" s="1260">
        <f>EB41+'Cash Flow Statement'!EC15</f>
      </c>
      <c r="ED41" s="1261">
        <f>EC41+'Cash Flow Statement'!ED15</f>
      </c>
      <c r="EE41" s="1261">
        <f>ED41+'Cash Flow Statement'!EE15</f>
      </c>
      <c r="EF41" s="1261">
        <f>EE41+'Cash Flow Statement'!EF15</f>
      </c>
      <c r="EG41" s="1260">
        <f>EF41+'Cash Flow Statement'!EG15</f>
      </c>
      <c r="EH41" s="1261">
        <f>EG41+'Cash Flow Statement'!EH15</f>
      </c>
      <c r="EI41" s="1261">
        <f>EH41+'Cash Flow Statement'!EI15</f>
      </c>
      <c r="EJ41" s="1261">
        <f>EI41+'Cash Flow Statement'!EJ15</f>
      </c>
      <c r="EK41" s="1260">
        <f>EJ41+'Cash Flow Statement'!EK15</f>
      </c>
      <c r="EN41" s="128"/>
      <c r="EO41" s="128"/>
      <c r="EP41" s="128"/>
      <c r="EQ41" s="128"/>
      <c r="ER41" s="128"/>
      <c r="ES41" s="128"/>
      <c r="ET41" s="128"/>
      <c r="EU41" s="128"/>
      <c r="EV41" s="128"/>
      <c r="EW41" s="128"/>
      <c r="EX41" s="128"/>
      <c r="EY41" s="128"/>
      <c r="EZ41" s="128"/>
      <c r="FA41" s="128"/>
      <c r="FB41" s="128"/>
      <c r="FC41" s="128"/>
      <c r="FD41" s="128"/>
      <c r="FE41" s="128"/>
      <c r="FF41" s="128">
        <f>BY41:BY112</f>
      </c>
      <c r="FG41" s="128">
        <f>CC41:CC112</f>
      </c>
      <c r="FH41" s="128">
        <f>CG41:CG112</f>
      </c>
      <c r="FI41" s="128">
        <f>CK41:CK112</f>
      </c>
      <c r="FJ41" s="128">
        <f>CO41:CO112</f>
      </c>
      <c r="FK41" s="128">
        <f>$CS$11:$CS$53</f>
      </c>
      <c r="FL41" s="128">
        <f>$CW$11:$CW$53</f>
      </c>
      <c r="FM41" s="128">
        <f>$DA$11:$DA$53</f>
      </c>
      <c r="FN41" s="128">
        <f>$DE$11:$DE$53</f>
      </c>
      <c r="FO41" s="128">
        <f>+DI41</f>
      </c>
      <c r="FP41" s="128">
        <f>+DM41</f>
      </c>
      <c r="FQ41" s="128">
        <f>+DQ41</f>
      </c>
      <c r="FR41" s="128">
        <f>+DU41</f>
      </c>
      <c r="FS41" s="128">
        <f>DY41</f>
      </c>
      <c r="FT41" s="128">
        <f>EC41</f>
      </c>
      <c r="FU41" s="128">
        <f>EG41</f>
      </c>
      <c r="FV41" s="128">
        <f>EK41</f>
      </c>
    </row>
    <row r="42" spans="1:183" s="82" customFormat="1" ht="10.199999999999999" hidden="1" outlineLevel="1">
      <c r="A42" s="289" t="s">
        <v>984</v>
      </c>
      <c r="B42" s="290"/>
      <c r="C42" s="290"/>
      <c r="D42" s="290"/>
      <c r="E42" s="244"/>
      <c r="F42" s="290"/>
      <c r="G42" s="290"/>
      <c r="H42" s="290"/>
      <c r="I42" s="244"/>
      <c r="J42" s="290"/>
      <c r="K42" s="290"/>
      <c r="L42" s="290"/>
      <c r="M42" s="244"/>
      <c r="N42" s="290"/>
      <c r="O42" s="290"/>
      <c r="P42" s="290"/>
      <c r="Q42" s="244"/>
      <c r="R42" s="290"/>
      <c r="S42" s="290"/>
      <c r="T42" s="290"/>
      <c r="U42" s="244"/>
      <c r="V42" s="290"/>
      <c r="W42" s="290"/>
      <c r="X42" s="290"/>
      <c r="Y42" s="244"/>
      <c r="Z42" s="290"/>
      <c r="AA42" s="290"/>
      <c r="AB42" s="290"/>
      <c r="AC42" s="244"/>
      <c r="AD42" s="290"/>
      <c r="AE42" s="290"/>
      <c r="AF42" s="290"/>
      <c r="AG42" s="244"/>
      <c r="AH42" s="290"/>
      <c r="AI42" s="290"/>
      <c r="AJ42" s="290"/>
      <c r="AK42" s="244"/>
      <c r="AL42" s="290"/>
      <c r="AM42" s="290"/>
      <c r="AN42" s="290"/>
      <c r="AO42" s="244"/>
      <c r="AP42" s="290"/>
      <c r="AQ42" s="290"/>
      <c r="AR42" s="290"/>
      <c r="AS42" s="244"/>
      <c r="AT42" s="290"/>
      <c r="AU42" s="290"/>
      <c r="AV42" s="290"/>
      <c r="AW42" s="244"/>
      <c r="AX42" s="290"/>
      <c r="AY42" s="290"/>
      <c r="AZ42" s="290"/>
      <c r="BA42" s="244"/>
      <c r="BB42" s="290"/>
      <c r="BC42" s="290"/>
      <c r="BD42" s="290"/>
      <c r="BE42" s="244"/>
      <c r="BF42" s="290"/>
      <c r="BG42" s="290"/>
      <c r="BH42" s="290"/>
      <c r="BI42" s="244"/>
      <c r="BJ42" s="290"/>
      <c r="BK42" s="290"/>
      <c r="BL42" s="290"/>
      <c r="BM42" s="244"/>
      <c r="BN42" s="290"/>
      <c r="BO42" s="290"/>
      <c r="BP42" s="290"/>
      <c r="BQ42" s="244"/>
      <c r="BR42" s="290"/>
      <c r="BS42" s="290"/>
      <c r="BT42" s="290"/>
      <c r="BU42" s="244"/>
      <c r="BV42" s="290"/>
      <c r="BW42" s="290"/>
      <c r="BX42" s="290"/>
      <c r="BY42" s="244"/>
      <c r="BZ42" s="290"/>
      <c r="CA42" s="290"/>
      <c r="CB42" s="290"/>
      <c r="CC42" s="244"/>
      <c r="CD42" s="290"/>
      <c r="CE42" s="290"/>
      <c r="CF42" s="291"/>
      <c r="CG42" s="244"/>
      <c r="CH42" s="290"/>
      <c r="CI42" s="290"/>
      <c r="CJ42" s="290"/>
      <c r="CK42" s="244">
        <v>31504</v>
      </c>
      <c r="CL42" s="290">
        <v>548</v>
      </c>
      <c r="CM42" s="290">
        <v>548</v>
      </c>
      <c r="CN42" s="290">
        <v>548</v>
      </c>
      <c r="CO42" s="1260">
        <f>CN42</f>
      </c>
      <c r="CP42" s="1261">
        <f t="shared" ref="CP42:DD42" si="190">CO42*1.03</f>
      </c>
      <c r="CQ42" s="1261">
        <f t="shared" si="190"/>
      </c>
      <c r="CR42" s="1261">
        <f t="shared" si="190"/>
      </c>
      <c r="CS42" s="1260">
        <f>CR42</f>
      </c>
      <c r="CT42" s="1261">
        <f t="shared" si="190"/>
      </c>
      <c r="CU42" s="1261">
        <f t="shared" si="190"/>
      </c>
      <c r="CV42" s="1261">
        <f t="shared" si="190"/>
      </c>
      <c r="CW42" s="1260">
        <f t="shared" si="190"/>
      </c>
      <c r="CX42" s="1262">
        <f t="shared" si="190"/>
      </c>
      <c r="CY42" s="1261">
        <f t="shared" si="190"/>
      </c>
      <c r="CZ42" s="1261">
        <f t="shared" si="190"/>
      </c>
      <c r="DA42" s="1260">
        <f t="shared" si="190"/>
      </c>
      <c r="DB42" s="1262">
        <f t="shared" si="190"/>
      </c>
      <c r="DC42" s="1261">
        <f t="shared" si="190"/>
      </c>
      <c r="DD42" s="1261">
        <f t="shared" si="190"/>
      </c>
      <c r="DE42" s="1260">
        <f t="shared" ref="DE42" si="191">DD42*1.03</f>
      </c>
      <c r="DF42" s="1261">
        <f>DE42</f>
      </c>
      <c r="DG42" s="1261">
        <f t="shared" ref="DG42:EK42" si="192">DF42</f>
      </c>
      <c r="DH42" s="1261">
        <f t="shared" si="192"/>
      </c>
      <c r="DI42" s="1260">
        <f t="shared" si="192"/>
      </c>
      <c r="DJ42" s="1261">
        <f>DI42</f>
      </c>
      <c r="DK42" s="1261">
        <f t="shared" si="192"/>
      </c>
      <c r="DL42" s="1261">
        <f t="shared" si="192"/>
      </c>
      <c r="DM42" s="1260">
        <f t="shared" si="192"/>
      </c>
      <c r="DN42" s="1261">
        <f t="shared" si="192"/>
      </c>
      <c r="DO42" s="1261">
        <f t="shared" si="192"/>
      </c>
      <c r="DP42" s="1261">
        <f t="shared" si="192"/>
      </c>
      <c r="DQ42" s="1260">
        <f t="shared" si="192"/>
      </c>
      <c r="DR42" s="1261">
        <f t="shared" si="192"/>
      </c>
      <c r="DS42" s="1261">
        <f t="shared" si="192"/>
      </c>
      <c r="DT42" s="1261">
        <f t="shared" si="192"/>
      </c>
      <c r="DU42" s="1260">
        <f t="shared" si="192"/>
      </c>
      <c r="DV42" s="1261">
        <f t="shared" si="192"/>
      </c>
      <c r="DW42" s="1261">
        <f t="shared" si="192"/>
      </c>
      <c r="DX42" s="1261">
        <f t="shared" si="192"/>
      </c>
      <c r="DY42" s="1260">
        <f t="shared" si="192"/>
      </c>
      <c r="DZ42" s="1261">
        <f t="shared" si="192"/>
      </c>
      <c r="EA42" s="1261">
        <f t="shared" si="192"/>
      </c>
      <c r="EB42" s="1261">
        <f t="shared" si="192"/>
      </c>
      <c r="EC42" s="1260">
        <f t="shared" si="192"/>
      </c>
      <c r="ED42" s="1261">
        <f t="shared" si="192"/>
      </c>
      <c r="EE42" s="1261">
        <f t="shared" si="192"/>
      </c>
      <c r="EF42" s="1261">
        <f t="shared" si="192"/>
      </c>
      <c r="EG42" s="1260">
        <f t="shared" si="192"/>
      </c>
      <c r="EH42" s="1261">
        <f t="shared" si="192"/>
      </c>
      <c r="EI42" s="1261">
        <f t="shared" si="192"/>
      </c>
      <c r="EJ42" s="1261">
        <f t="shared" si="192"/>
      </c>
      <c r="EK42" s="1260">
        <f t="shared" si="192"/>
      </c>
      <c r="EN42" s="128"/>
      <c r="EO42" s="128"/>
      <c r="EP42" s="128"/>
      <c r="EQ42" s="128"/>
      <c r="ER42" s="128"/>
      <c r="ES42" s="128"/>
      <c r="ET42" s="128"/>
      <c r="EU42" s="128"/>
      <c r="EV42" s="128"/>
      <c r="EW42" s="128"/>
      <c r="EX42" s="128"/>
      <c r="EY42" s="128"/>
      <c r="EZ42" s="128"/>
      <c r="FA42" s="128"/>
      <c r="FB42" s="128"/>
      <c r="FC42" s="128"/>
      <c r="FD42" s="128"/>
      <c r="FE42" s="128"/>
      <c r="FF42" s="128">
        <f>BY42:BY112</f>
      </c>
      <c r="FG42" s="128">
        <f>CC42:CC112</f>
      </c>
      <c r="FH42" s="128">
        <f>CG42:CG112</f>
      </c>
      <c r="FI42" s="128">
        <f>CK42:CK112</f>
      </c>
      <c r="FJ42" s="128">
        <f>CO42:CO112</f>
      </c>
      <c r="FK42" s="128">
        <f>$CS$11:$CS$53</f>
      </c>
      <c r="FL42" s="128">
        <f>$CW$11:$CW$53</f>
      </c>
      <c r="FM42" s="128">
        <f>$DA$11:$DA$53</f>
      </c>
      <c r="FN42" s="128">
        <f>$DE$11:$DE$53</f>
      </c>
      <c r="FO42" s="128">
        <f>+DI42</f>
      </c>
      <c r="FP42" s="128">
        <f>+DM42</f>
      </c>
      <c r="FQ42" s="128">
        <f>+DQ42</f>
      </c>
      <c r="FR42" s="128">
        <f>+DU42</f>
      </c>
      <c r="FS42" s="128">
        <f>DY42</f>
      </c>
      <c r="FT42" s="128">
        <f>EC42</f>
      </c>
      <c r="FU42" s="128">
        <f>EG42</f>
      </c>
      <c r="FV42" s="128">
        <f>EK42</f>
      </c>
    </row>
    <row r="43" spans="1:183" s="82" customFormat="1" ht="10.199999999999999" hidden="1" outlineLevel="1">
      <c r="A43" s="289" t="s">
        <v>117</v>
      </c>
      <c r="B43" s="290"/>
      <c r="C43" s="290"/>
      <c r="D43" s="290"/>
      <c r="E43" s="244"/>
      <c r="F43" s="290"/>
      <c r="G43" s="290"/>
      <c r="H43" s="290"/>
      <c r="I43" s="244"/>
      <c r="J43" s="290"/>
      <c r="K43" s="290"/>
      <c r="L43" s="290"/>
      <c r="M43" s="244"/>
      <c r="N43" s="290"/>
      <c r="O43" s="290"/>
      <c r="P43" s="290"/>
      <c r="Q43" s="244"/>
      <c r="R43" s="290"/>
      <c r="S43" s="290"/>
      <c r="T43" s="290"/>
      <c r="U43" s="244"/>
      <c r="V43" s="290"/>
      <c r="W43" s="290"/>
      <c r="X43" s="290"/>
      <c r="Y43" s="244"/>
      <c r="Z43" s="290"/>
      <c r="AA43" s="290"/>
      <c r="AB43" s="290"/>
      <c r="AC43" s="244"/>
      <c r="AD43" s="290"/>
      <c r="AE43" s="290"/>
      <c r="AF43" s="290"/>
      <c r="AG43" s="244"/>
      <c r="AH43" s="290"/>
      <c r="AI43" s="290"/>
      <c r="AJ43" s="290"/>
      <c r="AK43" s="244"/>
      <c r="AL43" s="290"/>
      <c r="AM43" s="290"/>
      <c r="AN43" s="290"/>
      <c r="AO43" s="244"/>
      <c r="AP43" s="290"/>
      <c r="AQ43" s="290"/>
      <c r="AR43" s="290"/>
      <c r="AS43" s="244"/>
      <c r="AT43" s="290"/>
      <c r="AU43" s="290"/>
      <c r="AV43" s="290"/>
      <c r="AW43" s="244"/>
      <c r="AX43" s="290"/>
      <c r="AY43" s="290"/>
      <c r="AZ43" s="290"/>
      <c r="BA43" s="244"/>
      <c r="BB43" s="290"/>
      <c r="BC43" s="290"/>
      <c r="BD43" s="290"/>
      <c r="BE43" s="244"/>
      <c r="BF43" s="290"/>
      <c r="BG43" s="290"/>
      <c r="BH43" s="290"/>
      <c r="BI43" s="244"/>
      <c r="BJ43" s="290"/>
      <c r="BK43" s="290"/>
      <c r="BL43" s="290"/>
      <c r="BM43" s="244"/>
      <c r="BN43" s="290"/>
      <c r="BO43" s="290"/>
      <c r="BP43" s="290"/>
      <c r="BQ43" s="244"/>
      <c r="BR43" s="290"/>
      <c r="BS43" s="290"/>
      <c r="BT43" s="290"/>
      <c r="BU43" s="244"/>
      <c r="BV43" s="290"/>
      <c r="BW43" s="290"/>
      <c r="BX43" s="290"/>
      <c r="BY43" s="244"/>
      <c r="BZ43" s="290"/>
      <c r="CA43" s="290"/>
      <c r="CB43" s="290"/>
      <c r="CC43" s="244"/>
      <c r="CD43" s="290"/>
      <c r="CE43" s="290"/>
      <c r="CF43" s="291"/>
      <c r="CG43" s="244"/>
      <c r="CH43" s="290"/>
      <c r="CI43" s="290"/>
      <c r="CJ43" s="290"/>
      <c r="CK43" s="244">
        <v>8654</v>
      </c>
      <c r="CL43" s="290">
        <v>8293</v>
      </c>
      <c r="CM43" s="290">
        <f>CM39-SUM(CM41:CM42)</f>
      </c>
      <c r="CN43" s="290">
        <f>CN39-CN41-CN42</f>
      </c>
      <c r="CO43" s="1260">
        <f t="shared" ref="CO43:CT43" si="193">CO39-SUM(CO41:CO42)</f>
      </c>
      <c r="CP43" s="1261">
        <f t="shared" si="193"/>
      </c>
      <c r="CQ43" s="1261">
        <f t="shared" si="193"/>
      </c>
      <c r="CR43" s="1261">
        <f t="shared" si="193"/>
      </c>
      <c r="CS43" s="1260">
        <f t="shared" si="193"/>
      </c>
      <c r="CT43" s="1261">
        <f t="shared" si="193"/>
      </c>
      <c r="CU43" s="1261">
        <f t="shared" ref="CU43:CZ43" si="194">CU39-SUM(CU41:CU42)</f>
      </c>
      <c r="CV43" s="1261">
        <f t="shared" si="194"/>
      </c>
      <c r="CW43" s="1260">
        <f t="shared" si="194"/>
      </c>
      <c r="CX43" s="1262">
        <f t="shared" si="194"/>
      </c>
      <c r="CY43" s="1261">
        <f t="shared" si="194"/>
      </c>
      <c r="CZ43" s="1261">
        <f t="shared" si="194"/>
      </c>
      <c r="DA43" s="1260">
        <f t="shared" ref="DA43:DB43" si="195">DA39-SUM(DA41:DA42)</f>
      </c>
      <c r="DB43" s="1713">
        <f t="shared" si="195"/>
      </c>
      <c r="DC43" s="1670">
        <f t="shared" ref="DC43:DI43" si="196">DC39-SUM(DC41:DC42)</f>
      </c>
      <c r="DD43" s="1670">
        <f t="shared" si="196"/>
      </c>
      <c r="DE43" s="1670">
        <f t="shared" si="196"/>
      </c>
      <c r="DF43" s="1670">
        <f t="shared" si="196"/>
      </c>
      <c r="DG43" s="1670">
        <f t="shared" si="196"/>
      </c>
      <c r="DH43" s="1670">
        <f t="shared" si="196"/>
      </c>
      <c r="DI43" s="1670">
        <f t="shared" si="196"/>
      </c>
      <c r="DJ43" s="1670">
        <f t="shared" ref="DJ43:DM43" si="197">DJ39-SUM(DJ41:DJ42)</f>
      </c>
      <c r="DK43" s="1670">
        <f t="shared" si="197"/>
      </c>
      <c r="DL43" s="1670">
        <f t="shared" si="197"/>
      </c>
      <c r="DM43" s="1670">
        <f t="shared" si="197"/>
      </c>
      <c r="DN43" s="1670">
        <f t="shared" ref="DN43:DP43" si="198">DN39-SUM(DN41:DN42)</f>
      </c>
      <c r="DO43" s="1670">
        <f t="shared" si="198"/>
      </c>
      <c r="DP43" s="1670">
        <f t="shared" si="198"/>
      </c>
      <c r="DQ43" s="1260">
        <f t="shared" ref="DQ43" si="199">DP43</f>
      </c>
      <c r="DR43" s="1261">
        <f t="shared" ref="DR43" si="200">DQ43</f>
      </c>
      <c r="DS43" s="1261">
        <f t="shared" ref="DS43" si="201">DR43</f>
      </c>
      <c r="DT43" s="1261">
        <f t="shared" ref="DT43" si="202">DS43</f>
      </c>
      <c r="DU43" s="1260">
        <f t="shared" ref="DU43" si="203">DT43</f>
      </c>
      <c r="DV43" s="1261">
        <f t="shared" ref="DV43" si="204">DU43</f>
      </c>
      <c r="DW43" s="1261">
        <f t="shared" ref="DW43" si="205">DV43</f>
      </c>
      <c r="DX43" s="1261">
        <f t="shared" ref="DX43" si="206">DW43</f>
      </c>
      <c r="DY43" s="1260">
        <f t="shared" ref="DY43" si="207">DX43</f>
      </c>
      <c r="DZ43" s="1261">
        <f t="shared" ref="DZ43" si="208">DY43</f>
      </c>
      <c r="EA43" s="1261">
        <f t="shared" ref="EA43" si="209">DZ43</f>
      </c>
      <c r="EB43" s="1261">
        <f t="shared" ref="EB43" si="210">EA43</f>
      </c>
      <c r="EC43" s="1260">
        <f t="shared" ref="EC43" si="211">EB43</f>
      </c>
      <c r="ED43" s="1261">
        <f t="shared" ref="ED43" si="212">EC43</f>
      </c>
      <c r="EE43" s="1261">
        <f t="shared" ref="EE43" si="213">ED43</f>
      </c>
      <c r="EF43" s="1261">
        <f t="shared" ref="EF43" si="214">EE43</f>
      </c>
      <c r="EG43" s="1260">
        <f t="shared" ref="EG43" si="215">EF43</f>
      </c>
      <c r="EH43" s="1261">
        <f t="shared" ref="EH43" si="216">EG43</f>
      </c>
      <c r="EI43" s="1261">
        <f t="shared" ref="EI43" si="217">EH43</f>
      </c>
      <c r="EJ43" s="1261">
        <f t="shared" ref="EJ43" si="218">EI43</f>
      </c>
      <c r="EK43" s="1260">
        <f t="shared" ref="EK43" si="219">EJ43</f>
      </c>
      <c r="EN43" s="128"/>
      <c r="EO43" s="128"/>
      <c r="EP43" s="128"/>
      <c r="EQ43" s="128"/>
      <c r="ER43" s="128"/>
      <c r="ES43" s="128"/>
      <c r="ET43" s="128"/>
      <c r="EU43" s="128"/>
      <c r="EV43" s="128"/>
      <c r="EW43" s="128"/>
      <c r="EX43" s="128"/>
      <c r="EY43" s="128"/>
      <c r="EZ43" s="128"/>
      <c r="FA43" s="128"/>
      <c r="FB43" s="128"/>
      <c r="FC43" s="128"/>
      <c r="FD43" s="128"/>
      <c r="FE43" s="128"/>
      <c r="FF43" s="128">
        <f>BY43:BY112</f>
      </c>
      <c r="FG43" s="128">
        <f>CC43:CC112</f>
      </c>
      <c r="FH43" s="128">
        <f>CG43:CG112</f>
      </c>
      <c r="FI43" s="128">
        <f>CK43:CK112</f>
      </c>
      <c r="FJ43" s="128">
        <f>CO43:CO112</f>
      </c>
      <c r="FK43" s="128">
        <f>$CS$11:$CS$53</f>
      </c>
      <c r="FL43" s="128">
        <f>$CW$11:$CW$53</f>
      </c>
      <c r="FM43" s="128">
        <f>$DA$11:$DA$53</f>
      </c>
      <c r="FN43" s="128">
        <f>$DE$11:$DE$53</f>
      </c>
      <c r="FO43" s="128">
        <f>+DI43</f>
      </c>
      <c r="FP43" s="128">
        <f>+DM43</f>
      </c>
      <c r="FQ43" s="128">
        <f>+DQ43</f>
      </c>
      <c r="FR43" s="128">
        <f>+DU43</f>
      </c>
      <c r="FS43" s="128">
        <f>DY43</f>
      </c>
      <c r="FT43" s="128">
        <f>EC43</f>
      </c>
      <c r="FU43" s="128">
        <f>EG43</f>
      </c>
      <c r="FV43" s="128">
        <f>EK43</f>
      </c>
    </row>
    <row r="44" spans="1:183" s="16" customFormat="1" ht="10.8" collapsed="1" thickBot="1">
      <c r="A44" s="1205" t="s">
        <v>154</v>
      </c>
      <c r="B44" s="1206">
        <f t="shared" ref="B44:BA44" si="220">B35+SUM(B37:B39)</f>
      </c>
      <c r="C44" s="1206">
        <f t="shared" si="220"/>
      </c>
      <c r="D44" s="1206">
        <f t="shared" si="220"/>
      </c>
      <c r="E44" s="1207">
        <f t="shared" si="220"/>
      </c>
      <c r="F44" s="1206">
        <f t="shared" si="220"/>
      </c>
      <c r="G44" s="1206">
        <f t="shared" si="220"/>
      </c>
      <c r="H44" s="1206">
        <f t="shared" si="220"/>
      </c>
      <c r="I44" s="1207">
        <f t="shared" si="220"/>
      </c>
      <c r="J44" s="1206">
        <f t="shared" si="220"/>
      </c>
      <c r="K44" s="1206">
        <f t="shared" si="220"/>
      </c>
      <c r="L44" s="1206">
        <f t="shared" si="220"/>
      </c>
      <c r="M44" s="1207">
        <f t="shared" si="220"/>
      </c>
      <c r="N44" s="1206">
        <f t="shared" si="220"/>
      </c>
      <c r="O44" s="1206">
        <f t="shared" si="220"/>
      </c>
      <c r="P44" s="1206">
        <f t="shared" si="220"/>
      </c>
      <c r="Q44" s="1207">
        <f t="shared" si="220"/>
      </c>
      <c r="R44" s="1206">
        <f t="shared" si="220"/>
      </c>
      <c r="S44" s="1206">
        <f t="shared" si="220"/>
      </c>
      <c r="T44" s="1206">
        <f t="shared" si="220"/>
      </c>
      <c r="U44" s="1207">
        <f t="shared" si="220"/>
      </c>
      <c r="V44" s="1206">
        <f t="shared" si="220"/>
      </c>
      <c r="W44" s="1206">
        <f t="shared" si="220"/>
      </c>
      <c r="X44" s="1206">
        <f t="shared" si="220"/>
      </c>
      <c r="Y44" s="1207">
        <f t="shared" si="220"/>
      </c>
      <c r="Z44" s="1206">
        <f t="shared" si="220"/>
      </c>
      <c r="AA44" s="1206">
        <f t="shared" si="220"/>
      </c>
      <c r="AB44" s="1206">
        <f t="shared" si="220"/>
      </c>
      <c r="AC44" s="1207">
        <f t="shared" si="220"/>
      </c>
      <c r="AD44" s="1206">
        <f t="shared" si="220"/>
      </c>
      <c r="AE44" s="1206">
        <f t="shared" si="220"/>
      </c>
      <c r="AF44" s="1206">
        <f t="shared" si="220"/>
      </c>
      <c r="AG44" s="1207">
        <f t="shared" si="220"/>
      </c>
      <c r="AH44" s="1206">
        <f t="shared" si="220"/>
      </c>
      <c r="AI44" s="1206">
        <f t="shared" si="220"/>
      </c>
      <c r="AJ44" s="1206">
        <f t="shared" si="220"/>
      </c>
      <c r="AK44" s="1207">
        <f t="shared" si="220"/>
      </c>
      <c r="AL44" s="1206">
        <f t="shared" si="220"/>
      </c>
      <c r="AM44" s="1206">
        <f t="shared" si="220"/>
      </c>
      <c r="AN44" s="1206">
        <f t="shared" si="220"/>
      </c>
      <c r="AO44" s="1207">
        <f t="shared" si="220"/>
      </c>
      <c r="AP44" s="1206">
        <f t="shared" si="220"/>
      </c>
      <c r="AQ44" s="1206">
        <f t="shared" si="220"/>
      </c>
      <c r="AR44" s="1206">
        <f t="shared" si="220"/>
      </c>
      <c r="AS44" s="1207">
        <f t="shared" si="220"/>
      </c>
      <c r="AT44" s="1206">
        <f t="shared" si="220"/>
      </c>
      <c r="AU44" s="1206">
        <f t="shared" si="220"/>
      </c>
      <c r="AV44" s="1206">
        <f t="shared" si="220"/>
      </c>
      <c r="AW44" s="1207">
        <f t="shared" si="220"/>
      </c>
      <c r="AX44" s="1206">
        <f t="shared" si="220"/>
      </c>
      <c r="AY44" s="1206">
        <f t="shared" si="220"/>
      </c>
      <c r="AZ44" s="1206">
        <f t="shared" si="220"/>
      </c>
      <c r="BA44" s="1207">
        <f t="shared" si="220"/>
      </c>
      <c r="BB44" s="1206">
        <f t="shared" ref="BB44:BW44" si="221">BB35+SUM(BB37:BB39)</f>
      </c>
      <c r="BC44" s="1206">
        <f t="shared" si="221"/>
      </c>
      <c r="BD44" s="1206">
        <f t="shared" si="221"/>
      </c>
      <c r="BE44" s="1207">
        <f t="shared" si="221"/>
      </c>
      <c r="BF44" s="1206">
        <f t="shared" si="221"/>
      </c>
      <c r="BG44" s="1206">
        <f t="shared" si="221"/>
      </c>
      <c r="BH44" s="1206">
        <f t="shared" si="221"/>
      </c>
      <c r="BI44" s="1207">
        <f t="shared" si="221"/>
      </c>
      <c r="BJ44" s="1206">
        <f t="shared" si="221"/>
      </c>
      <c r="BK44" s="1206">
        <f t="shared" si="221"/>
      </c>
      <c r="BL44" s="1206">
        <f t="shared" si="221"/>
      </c>
      <c r="BM44" s="1207">
        <f t="shared" si="221"/>
      </c>
      <c r="BN44" s="1206">
        <f t="shared" si="221"/>
      </c>
      <c r="BO44" s="1206">
        <f t="shared" si="221"/>
      </c>
      <c r="BP44" s="1206">
        <f t="shared" si="221"/>
      </c>
      <c r="BQ44" s="1207">
        <f t="shared" si="221"/>
      </c>
      <c r="BR44" s="1206">
        <f t="shared" si="221"/>
      </c>
      <c r="BS44" s="1206">
        <f t="shared" si="221"/>
      </c>
      <c r="BT44" s="1206">
        <f t="shared" si="221"/>
      </c>
      <c r="BU44" s="1207">
        <f t="shared" si="221"/>
      </c>
      <c r="BV44" s="1206">
        <f t="shared" si="221"/>
      </c>
      <c r="BW44" s="1206">
        <f t="shared" si="221"/>
      </c>
      <c r="BX44" s="1206">
        <f>BX35+SUM(BX37:BX39)</f>
      </c>
      <c r="BY44" s="1207">
        <f t="shared" ref="BY44:CK44" si="222">BY35+SUM(BY37:BY39)</f>
      </c>
      <c r="BZ44" s="1206">
        <f t="shared" si="222"/>
      </c>
      <c r="CA44" s="1206">
        <f t="shared" si="222"/>
      </c>
      <c r="CB44" s="1206">
        <f t="shared" si="222"/>
      </c>
      <c r="CC44" s="1207">
        <f t="shared" si="222"/>
      </c>
      <c r="CD44" s="1206">
        <f t="shared" si="222"/>
      </c>
      <c r="CE44" s="1206">
        <f t="shared" si="222"/>
      </c>
      <c r="CF44" s="1206">
        <f t="shared" si="222"/>
      </c>
      <c r="CG44" s="1207">
        <f>CG35+SUM(CG37:CG39)</f>
      </c>
      <c r="CH44" s="1206">
        <f t="shared" si="222"/>
      </c>
      <c r="CI44" s="1206">
        <f t="shared" si="222"/>
      </c>
      <c r="CJ44" s="1206">
        <f t="shared" si="222"/>
      </c>
      <c r="CK44" s="1207">
        <f t="shared" si="222"/>
      </c>
      <c r="CL44" s="1206">
        <f t="shared" ref="CL44:CQ44" si="223">CL35+SUM(CL37:CL39)</f>
      </c>
      <c r="CM44" s="1206">
        <f t="shared" si="223"/>
      </c>
      <c r="CN44" s="1206">
        <f t="shared" si="223"/>
      </c>
      <c r="CO44" s="1207">
        <f t="shared" si="223"/>
      </c>
      <c r="CP44" s="1206">
        <f t="shared" si="223"/>
      </c>
      <c r="CQ44" s="1206">
        <f t="shared" si="223"/>
      </c>
      <c r="CR44" s="1206">
        <f t="shared" ref="CR44:CW44" si="224">CR35+SUM(CR37:CR39)</f>
      </c>
      <c r="CS44" s="1207">
        <f t="shared" si="224"/>
      </c>
      <c r="CT44" s="1206">
        <f t="shared" si="224"/>
      </c>
      <c r="CU44" s="1206">
        <f t="shared" si="224"/>
      </c>
      <c r="CV44" s="1206">
        <f t="shared" si="224"/>
      </c>
      <c r="CW44" s="1207">
        <f t="shared" si="224"/>
      </c>
      <c r="CX44" s="1208">
        <f t="shared" ref="CX44:CY44" si="225">CX35+SUM(CX37:CX39)</f>
      </c>
      <c r="CY44" s="1206">
        <f t="shared" si="225"/>
      </c>
      <c r="CZ44" s="1206">
        <f t="shared" ref="CZ44:DA44" si="226">CZ35+SUM(CZ37:CZ39)</f>
      </c>
      <c r="DA44" s="1207">
        <f t="shared" si="226"/>
      </c>
      <c r="DB44" s="1208">
        <f t="shared" ref="DB44:DD44" si="227">DB35+SUM(DB37:DB39)</f>
      </c>
      <c r="DC44" s="1206">
        <f t="shared" si="227"/>
      </c>
      <c r="DD44" s="1206">
        <f t="shared" si="227"/>
      </c>
      <c r="DE44" s="1207">
        <f>DE35+SUM(DE37:DE39)</f>
      </c>
      <c r="DF44" s="1206">
        <f t="shared" ref="DF44:DI44" si="228">DF35+SUM(DF37:DF39)</f>
      </c>
      <c r="DG44" s="1206">
        <f t="shared" si="228"/>
      </c>
      <c r="DH44" s="1206">
        <f t="shared" si="228"/>
      </c>
      <c r="DI44" s="1207">
        <f t="shared" si="228"/>
      </c>
      <c r="DJ44" s="1206">
        <f t="shared" ref="DJ44:DM44" si="229">DJ35+SUM(DJ37:DJ39)</f>
      </c>
      <c r="DK44" s="1206">
        <f t="shared" si="229"/>
      </c>
      <c r="DL44" s="1206">
        <f t="shared" si="229"/>
      </c>
      <c r="DM44" s="1207">
        <f t="shared" si="229"/>
      </c>
      <c r="DN44" s="1206">
        <f t="shared" ref="DN44:DP44" si="230">DN35+SUM(DN37:DN39)</f>
      </c>
      <c r="DO44" s="1206">
        <f t="shared" si="230"/>
      </c>
      <c r="DP44" s="1206">
        <f t="shared" si="230"/>
      </c>
      <c r="DQ44" s="1207">
        <f t="shared" ref="DQ44" si="231">DQ35+SUM(DQ37:DQ39)</f>
      </c>
      <c r="DR44" s="1206">
        <f t="shared" ref="DR44:DU44" si="232">DR35+SUM(DR37:DR39)</f>
      </c>
      <c r="DS44" s="1206">
        <f t="shared" si="232"/>
      </c>
      <c r="DT44" s="1206">
        <f t="shared" si="232"/>
      </c>
      <c r="DU44" s="1207">
        <f t="shared" si="232"/>
      </c>
      <c r="DV44" s="1206">
        <f t="shared" ref="DV44:EK44" si="233">DV35+SUM(DV37:DV39)</f>
      </c>
      <c r="DW44" s="1206">
        <f t="shared" si="233"/>
      </c>
      <c r="DX44" s="1206">
        <f t="shared" si="233"/>
      </c>
      <c r="DY44" s="1207">
        <f t="shared" si="233"/>
      </c>
      <c r="DZ44" s="1206">
        <f t="shared" si="233"/>
      </c>
      <c r="EA44" s="1206">
        <f t="shared" si="233"/>
      </c>
      <c r="EB44" s="1206">
        <f t="shared" si="233"/>
      </c>
      <c r="EC44" s="1207">
        <f t="shared" si="233"/>
      </c>
      <c r="ED44" s="1206">
        <f t="shared" si="233"/>
      </c>
      <c r="EE44" s="1206">
        <f t="shared" si="233"/>
      </c>
      <c r="EF44" s="1206">
        <f t="shared" si="233"/>
      </c>
      <c r="EG44" s="1207">
        <f t="shared" si="233"/>
      </c>
      <c r="EH44" s="1206">
        <f t="shared" si="233"/>
      </c>
      <c r="EI44" s="1206">
        <f t="shared" si="233"/>
      </c>
      <c r="EJ44" s="1206">
        <f t="shared" si="233"/>
      </c>
      <c r="EK44" s="1207">
        <f t="shared" si="233"/>
      </c>
      <c r="EN44" s="1206">
        <f t="shared" ref="EN44:EZ44" si="234">EN35+SUM(EN37:EN39)</f>
      </c>
      <c r="EO44" s="1206">
        <f t="shared" si="234"/>
      </c>
      <c r="EP44" s="1206">
        <f t="shared" si="234"/>
      </c>
      <c r="EQ44" s="1206">
        <f t="shared" si="234"/>
      </c>
      <c r="ER44" s="1206">
        <f t="shared" si="234"/>
      </c>
      <c r="ES44" s="1206">
        <f t="shared" si="234"/>
      </c>
      <c r="ET44" s="1206">
        <f t="shared" si="234"/>
      </c>
      <c r="EU44" s="1206">
        <f t="shared" si="234"/>
      </c>
      <c r="EV44" s="1206">
        <f t="shared" si="234"/>
      </c>
      <c r="EW44" s="1206">
        <f t="shared" si="234"/>
      </c>
      <c r="EX44" s="1206">
        <f t="shared" si="234"/>
      </c>
      <c r="EY44" s="1206">
        <f t="shared" si="234"/>
      </c>
      <c r="EZ44" s="1206">
        <f t="shared" si="234"/>
      </c>
      <c r="FA44" s="1206">
        <f t="shared" ref="FA44:FJ44" si="235">FA35+SUM(FA37:FA39)</f>
      </c>
      <c r="FB44" s="1206">
        <f t="shared" si="235"/>
      </c>
      <c r="FC44" s="1206">
        <f t="shared" si="235"/>
      </c>
      <c r="FD44" s="1206">
        <f t="shared" si="235"/>
      </c>
      <c r="FE44" s="1206">
        <f t="shared" si="235"/>
      </c>
      <c r="FF44" s="1206">
        <f t="shared" si="235"/>
      </c>
      <c r="FG44" s="1206">
        <f t="shared" si="235"/>
      </c>
      <c r="FH44" s="1206">
        <f t="shared" si="235"/>
      </c>
      <c r="FI44" s="1206">
        <f t="shared" si="235"/>
      </c>
      <c r="FJ44" s="1206">
        <f t="shared" si="235"/>
      </c>
      <c r="FK44" s="1206">
        <f>FK35+SUM(FK37:FK39)</f>
      </c>
      <c r="FL44" s="1206">
        <f>FL35+SUM(FL37:FL39)</f>
      </c>
      <c r="FM44" s="1206">
        <f>FM35+SUM(FM37:FM39)</f>
      </c>
      <c r="FN44" s="1206">
        <f>FN35+SUM(FN37:FN39)</f>
      </c>
      <c r="FO44" s="1206">
        <f>+DI44</f>
      </c>
      <c r="FP44" s="1206">
        <f>+DM44</f>
      </c>
      <c r="FQ44" s="1206">
        <f>+DQ44</f>
      </c>
      <c r="FR44" s="1206">
        <f>+DU44</f>
      </c>
      <c r="FS44" s="1206">
        <f>DY44</f>
      </c>
      <c r="FT44" s="1206">
        <f>EC44</f>
      </c>
      <c r="FU44" s="1206">
        <f>EG44</f>
      </c>
      <c r="FV44" s="1206">
        <f>EK44</f>
      </c>
    </row>
    <row r="45" spans="1:183" ht="10.8" thickTop="1">
      <c r="A45" s="19"/>
      <c r="B45" s="15"/>
      <c r="C45" s="15"/>
      <c r="D45" s="15"/>
      <c r="E45" s="174"/>
      <c r="F45" s="15"/>
      <c r="G45" s="15"/>
      <c r="H45" s="15"/>
      <c r="I45" s="174"/>
      <c r="J45" s="15"/>
      <c r="K45" s="15"/>
      <c r="L45" s="15"/>
      <c r="M45" s="174"/>
      <c r="N45" s="15"/>
      <c r="O45" s="15"/>
      <c r="P45" s="15"/>
      <c r="Q45" s="174"/>
      <c r="R45" s="15"/>
      <c r="S45" s="15"/>
      <c r="T45" s="15"/>
      <c r="U45" s="174"/>
      <c r="V45" s="15"/>
      <c r="W45" s="15"/>
      <c r="X45" s="15"/>
      <c r="Y45" s="174"/>
      <c r="Z45" s="15"/>
      <c r="AA45" s="15"/>
      <c r="AB45" s="15"/>
      <c r="AC45" s="174"/>
      <c r="AD45" s="15"/>
      <c r="AE45" s="15"/>
      <c r="AF45" s="15"/>
      <c r="AG45" s="174"/>
      <c r="AH45" s="15"/>
      <c r="AI45" s="15"/>
      <c r="AJ45" s="15"/>
      <c r="AK45" s="174"/>
      <c r="AL45" s="15"/>
      <c r="AM45" s="15"/>
      <c r="AN45" s="15"/>
      <c r="AO45" s="174"/>
      <c r="AP45" s="15"/>
      <c r="AQ45" s="15"/>
      <c r="AR45" s="15"/>
      <c r="AS45" s="174"/>
      <c r="AT45" s="15"/>
      <c r="AU45" s="15"/>
      <c r="AV45" s="15"/>
      <c r="AW45" s="174"/>
      <c r="AX45" s="15"/>
      <c r="AY45" s="15"/>
      <c r="AZ45" s="15"/>
      <c r="BA45" s="174"/>
      <c r="BB45" s="15"/>
      <c r="BC45" s="15"/>
      <c r="BD45" s="15"/>
      <c r="BE45" s="174"/>
      <c r="BF45" s="15"/>
      <c r="BG45" s="15"/>
      <c r="BH45" s="15"/>
      <c r="BI45" s="174"/>
      <c r="BJ45" s="15"/>
      <c r="BK45" s="15"/>
      <c r="BL45" s="15"/>
      <c r="BM45" s="174"/>
      <c r="BN45" s="15"/>
      <c r="BO45" s="15"/>
      <c r="BP45" s="15"/>
      <c r="BQ45" s="174"/>
      <c r="BR45" s="15"/>
      <c r="BS45" s="15"/>
      <c r="BT45" s="15"/>
      <c r="BU45" s="174"/>
      <c r="BV45" s="17"/>
      <c r="BW45" s="17"/>
      <c r="BX45" s="88"/>
      <c r="BY45" s="248"/>
      <c r="BZ45" s="88"/>
      <c r="CA45" s="88"/>
      <c r="CB45" s="88"/>
      <c r="CC45" s="248"/>
      <c r="CD45" s="88"/>
      <c r="CE45" s="88"/>
      <c r="CF45" s="88"/>
      <c r="CG45" s="174"/>
      <c r="CH45" s="15"/>
      <c r="CI45" s="15"/>
      <c r="CJ45" s="15"/>
      <c r="CK45" s="174"/>
      <c r="CL45" s="15"/>
      <c r="CM45" s="15"/>
      <c r="CN45" s="15"/>
      <c r="CO45" s="174"/>
      <c r="CP45" s="62"/>
      <c r="CQ45" s="15"/>
      <c r="CR45" s="15"/>
      <c r="CS45" s="174"/>
      <c r="CT45" s="62"/>
      <c r="CU45" s="62"/>
      <c r="CV45" s="62"/>
      <c r="CW45" s="226"/>
      <c r="CX45" s="476"/>
      <c r="CY45" s="62"/>
      <c r="CZ45" s="62"/>
      <c r="DA45" s="226"/>
      <c r="DB45" s="476"/>
      <c r="DC45" s="62"/>
      <c r="DD45" s="62"/>
      <c r="DE45" s="226"/>
      <c r="DF45" s="62"/>
      <c r="DG45" s="62"/>
      <c r="DH45" s="62"/>
      <c r="DI45" s="226"/>
      <c r="DJ45" s="62"/>
      <c r="DK45" s="62"/>
      <c r="DL45" s="62"/>
      <c r="DM45" s="226"/>
      <c r="DN45" s="62"/>
      <c r="DO45" s="62"/>
      <c r="DP45" s="62"/>
      <c r="DQ45" s="226"/>
      <c r="DR45" s="62"/>
      <c r="DS45" s="62"/>
      <c r="DT45" s="62"/>
      <c r="DU45" s="226"/>
      <c r="DV45" s="62"/>
      <c r="DW45" s="62"/>
      <c r="DX45" s="62"/>
      <c r="DY45" s="226"/>
      <c r="DZ45" s="62"/>
      <c r="EA45" s="62"/>
      <c r="EB45" s="62"/>
      <c r="EC45" s="226"/>
      <c r="ED45" s="62"/>
      <c r="EE45" s="62"/>
      <c r="EF45" s="62"/>
      <c r="EG45" s="226"/>
      <c r="EH45" s="62"/>
      <c r="EI45" s="62"/>
      <c r="EJ45" s="62"/>
      <c r="EK45" s="226"/>
      <c r="EN45" s="15"/>
      <c r="EO45" s="15"/>
      <c r="EP45" s="15"/>
      <c r="EQ45" s="15"/>
      <c r="ER45" s="15"/>
      <c r="ES45" s="15"/>
      <c r="ET45" s="15"/>
      <c r="EU45" s="15"/>
      <c r="EV45" s="15"/>
      <c r="EW45" s="15"/>
      <c r="EX45" s="15"/>
      <c r="EY45" s="15"/>
      <c r="EZ45" s="15"/>
      <c r="FA45" s="15"/>
      <c r="FB45" s="15"/>
      <c r="FC45" s="15"/>
      <c r="FD45" s="15"/>
      <c r="FE45" s="15"/>
      <c r="FF45" s="15"/>
      <c r="FG45" s="15"/>
      <c r="FH45" s="15"/>
      <c r="FI45" s="15"/>
      <c r="FJ45" s="15"/>
      <c r="FK45" s="15"/>
      <c r="FL45" s="15"/>
      <c r="FM45" s="15"/>
      <c r="FN45" s="15"/>
      <c r="FO45" s="15"/>
      <c r="FP45" s="15"/>
      <c r="FQ45" s="15"/>
      <c r="FR45" s="15"/>
      <c r="FS45" s="15"/>
      <c r="FT45" s="15"/>
      <c r="FU45" s="15"/>
      <c r="FV45" s="15"/>
      <c r="FW45" s="11"/>
      <c r="FX45" s="11"/>
      <c r="FY45" s="11"/>
    </row>
    <row r="46" spans="1:183" ht="10.199999999999999">
      <c r="A46" s="28" t="s">
        <v>118</v>
      </c>
      <c r="B46" s="34">
        <v>2794</v>
      </c>
      <c r="C46" s="34">
        <v>2056</v>
      </c>
      <c r="D46" s="34">
        <v>2020</v>
      </c>
      <c r="E46" s="173">
        <v>2058</v>
      </c>
      <c r="F46" s="34">
        <v>1942</v>
      </c>
      <c r="G46" s="34">
        <v>1242</v>
      </c>
      <c r="H46" s="34">
        <v>1196</v>
      </c>
      <c r="I46" s="173">
        <v>1200</v>
      </c>
      <c r="J46" s="34">
        <v>1244</v>
      </c>
      <c r="K46" s="34">
        <v>1388</v>
      </c>
      <c r="L46" s="34">
        <v>1486</v>
      </c>
      <c r="M46" s="173">
        <v>1642</v>
      </c>
      <c r="N46" s="34">
        <v>1923</v>
      </c>
      <c r="O46" s="34">
        <v>2175</v>
      </c>
      <c r="P46" s="34">
        <v>2970</v>
      </c>
      <c r="Q46" s="173">
        <v>3104</v>
      </c>
      <c r="R46" s="34">
        <v>4414</v>
      </c>
      <c r="S46" s="34">
        <v>4215</v>
      </c>
      <c r="T46" s="34">
        <v>4176</v>
      </c>
      <c r="U46" s="173">
        <v>4107</v>
      </c>
      <c r="V46" s="34">
        <v>3712</v>
      </c>
      <c r="W46" s="34">
        <v>3738</v>
      </c>
      <c r="X46" s="34">
        <v>3858</v>
      </c>
      <c r="Y46" s="173">
        <v>3920</v>
      </c>
      <c r="Z46" s="34">
        <v>3966</v>
      </c>
      <c r="AA46" s="34">
        <v>4014</v>
      </c>
      <c r="AB46" s="34">
        <v>4066</v>
      </c>
      <c r="AC46" s="173">
        <v>4095</v>
      </c>
      <c r="AD46" s="34">
        <v>4116</v>
      </c>
      <c r="AE46" s="34">
        <v>4139</v>
      </c>
      <c r="AF46" s="34">
        <v>4198</v>
      </c>
      <c r="AG46" s="173">
        <v>4223</v>
      </c>
      <c r="AH46" s="34">
        <v>4330</v>
      </c>
      <c r="AI46" s="34">
        <v>4490</v>
      </c>
      <c r="AJ46" s="34">
        <v>4812</v>
      </c>
      <c r="AK46" s="173">
        <v>5076</v>
      </c>
      <c r="AL46" s="34">
        <v>5790</v>
      </c>
      <c r="AM46" s="34">
        <v>6386</v>
      </c>
      <c r="AN46" s="34">
        <v>6821</v>
      </c>
      <c r="AO46" s="173">
        <v>7466</v>
      </c>
      <c r="AP46" s="34">
        <v>8380</v>
      </c>
      <c r="AQ46" s="34">
        <v>8682</v>
      </c>
      <c r="AR46" s="34">
        <v>9330</v>
      </c>
      <c r="AS46" s="173">
        <v>9984</v>
      </c>
      <c r="AT46" s="34">
        <v>11235</v>
      </c>
      <c r="AU46" s="34">
        <v>12272</v>
      </c>
      <c r="AV46" s="34">
        <v>13437</v>
      </c>
      <c r="AW46" s="173">
        <v>14531</v>
      </c>
      <c r="AX46" s="34">
        <v>16862</v>
      </c>
      <c r="AY46" s="34">
        <v>18167</v>
      </c>
      <c r="AZ46" s="34">
        <v>19795</v>
      </c>
      <c r="BA46" s="173">
        <v>22297</v>
      </c>
      <c r="BB46" s="34">
        <v>7392</v>
      </c>
      <c r="BC46" s="34">
        <v>7643</v>
      </c>
      <c r="BD46" s="34">
        <v>7957</v>
      </c>
      <c r="BE46" s="173">
        <v>8210</v>
      </c>
      <c r="BF46" s="34">
        <v>8962</v>
      </c>
      <c r="BG46" s="34">
        <v>9553</v>
      </c>
      <c r="BH46" s="34">
        <v>10133</v>
      </c>
      <c r="BI46" s="173">
        <v>10668</v>
      </c>
      <c r="BJ46" s="34">
        <v>11502</v>
      </c>
      <c r="BK46" s="34">
        <v>12326</v>
      </c>
      <c r="BL46" s="34">
        <v>12715</v>
      </c>
      <c r="BM46" s="173">
        <v>13331</v>
      </c>
      <c r="BN46" s="34">
        <v>13961</v>
      </c>
      <c r="BO46" s="34">
        <v>14850</v>
      </c>
      <c r="BP46" s="34">
        <v>15573</v>
      </c>
      <c r="BQ46" s="173">
        <v>16422</v>
      </c>
      <c r="BR46" s="34">
        <v>17167</v>
      </c>
      <c r="BS46" s="34">
        <v>17954</v>
      </c>
      <c r="BT46" s="34">
        <v>19024</v>
      </c>
      <c r="BU46" s="173">
        <v>19764</v>
      </c>
      <c r="BV46" s="34">
        <v>20559</v>
      </c>
      <c r="BW46" s="34">
        <v>21496</v>
      </c>
      <c r="BX46" s="34">
        <v>22139</v>
      </c>
      <c r="BY46" s="173">
        <v>23313</v>
      </c>
      <c r="BZ46" s="34">
        <v>24187</v>
      </c>
      <c r="CA46" s="34">
        <v>25376</v>
      </c>
      <c r="CB46" s="34">
        <v>26327</v>
      </c>
      <c r="CC46" s="173">
        <v>27416</v>
      </c>
      <c r="CD46" s="34">
        <v>28253</v>
      </c>
      <c r="CE46" s="34">
        <v>29484</v>
      </c>
      <c r="CF46" s="77">
        <v>30106</v>
      </c>
      <c r="CG46" s="173">
        <v>31251</v>
      </c>
      <c r="CH46" s="34">
        <v>32144</v>
      </c>
      <c r="CI46" s="34">
        <v>33579</v>
      </c>
      <c r="CJ46" s="34">
        <v>34445</v>
      </c>
      <c r="CK46" s="173">
        <v>35867</v>
      </c>
      <c r="CL46" s="34">
        <v>36447</v>
      </c>
      <c r="CM46" s="34">
        <v>38044</v>
      </c>
      <c r="CN46" s="34">
        <v>38624</v>
      </c>
      <c r="CO46" s="173">
        <v>40201</v>
      </c>
      <c r="CP46" s="77">
        <v>40970</v>
      </c>
      <c r="CQ46" s="77">
        <v>42801</v>
      </c>
      <c r="CR46" s="77">
        <v>43371</v>
      </c>
      <c r="CS46" s="173">
        <v>45174</v>
      </c>
      <c r="CT46" s="77">
        <v>45972</v>
      </c>
      <c r="CU46" s="77">
        <v>48032</v>
      </c>
      <c r="CV46" s="77">
        <v>48696</v>
      </c>
      <c r="CW46" s="192">
        <v>50779</v>
      </c>
      <c r="CX46" s="474">
        <v>51744</v>
      </c>
      <c r="CY46" s="77">
        <v>54203</v>
      </c>
      <c r="CZ46" s="77">
        <v>54989</v>
      </c>
      <c r="DA46" s="192">
        <v>57365</v>
      </c>
      <c r="DB46" s="474">
        <v>58424</v>
      </c>
      <c r="DC46" s="77">
        <v>61181</v>
      </c>
      <c r="DD46" s="77">
        <v>62115</v>
      </c>
      <c r="DE46" s="192">
        <v>64849</v>
      </c>
      <c r="DF46" s="474">
        <v>66399</v>
      </c>
      <c r="DG46" s="77">
        <v>69568</v>
      </c>
      <c r="DH46" s="77">
        <v>70667</v>
      </c>
      <c r="DI46" s="173">
        <v>73812</v>
      </c>
      <c r="DJ46" s="474">
        <v>75236</v>
      </c>
      <c r="DK46" s="77">
        <v>78815</v>
      </c>
      <c r="DL46" s="77">
        <v>79850</v>
      </c>
      <c r="DM46" s="173">
        <v>83276</v>
      </c>
      <c r="DN46" s="474">
        <v>84768</v>
      </c>
      <c r="DO46" s="77">
        <v>88711</v>
      </c>
      <c r="DP46" s="34">
        <v>89806</v>
      </c>
      <c r="DQ46" s="176">
        <f>+DP46+'Cash Flow Statement'!DQ38+'Cash Flow Statement'!DQ13</f>
      </c>
      <c r="DR46" s="85">
        <f>+DQ46+'Cash Flow Statement'!DR38+'Cash Flow Statement'!DR13</f>
      </c>
      <c r="DS46" s="85">
        <f>+DR46+'Cash Flow Statement'!DS38+'Cash Flow Statement'!DS13</f>
      </c>
      <c r="DT46" s="85">
        <f>+DS46+'Cash Flow Statement'!DT38+'Cash Flow Statement'!DT13</f>
      </c>
      <c r="DU46" s="176">
        <f>+DT46+'Cash Flow Statement'!DU38+'Cash Flow Statement'!DU13</f>
      </c>
      <c r="DV46" s="85">
        <f>+DU46+'Cash Flow Statement'!DV38+'Cash Flow Statement'!DV13</f>
      </c>
      <c r="DW46" s="85">
        <f>+DV46+'Cash Flow Statement'!DW38+'Cash Flow Statement'!DW13</f>
      </c>
      <c r="DX46" s="85">
        <f>+DW46+'Cash Flow Statement'!DX38+'Cash Flow Statement'!DX13</f>
      </c>
      <c r="DY46" s="176">
        <f>+DX46+'Cash Flow Statement'!DY38+'Cash Flow Statement'!DY13</f>
      </c>
      <c r="DZ46" s="85">
        <f>+DY46+'Cash Flow Statement'!DZ38+'Cash Flow Statement'!DZ13</f>
      </c>
      <c r="EA46" s="85">
        <f>+DZ46+'Cash Flow Statement'!EA38+'Cash Flow Statement'!EA13</f>
      </c>
      <c r="EB46" s="85">
        <f>+EA46+'Cash Flow Statement'!EB38+'Cash Flow Statement'!EB13</f>
      </c>
      <c r="EC46" s="176">
        <f>+EB46+'Cash Flow Statement'!EC38+'Cash Flow Statement'!EC13</f>
      </c>
      <c r="ED46" s="85">
        <f>+EC46+'Cash Flow Statement'!ED38+'Cash Flow Statement'!ED13</f>
      </c>
      <c r="EE46" s="85">
        <f>+ED46+'Cash Flow Statement'!EE38+'Cash Flow Statement'!EE13</f>
      </c>
      <c r="EF46" s="85">
        <f>+EE46+'Cash Flow Statement'!EF38+'Cash Flow Statement'!EF13</f>
      </c>
      <c r="EG46" s="176">
        <f>+EF46+'Cash Flow Statement'!EG38+'Cash Flow Statement'!EG13</f>
      </c>
      <c r="EH46" s="85">
        <f>+EG46+'Cash Flow Statement'!EH38+'Cash Flow Statement'!EH13</f>
      </c>
      <c r="EI46" s="85">
        <f>+EH46+'Cash Flow Statement'!EI38+'Cash Flow Statement'!EI13</f>
      </c>
      <c r="EJ46" s="85">
        <f>+EI46+'Cash Flow Statement'!EJ38+'Cash Flow Statement'!EJ13</f>
      </c>
      <c r="EK46" s="176">
        <f>+EJ46+'Cash Flow Statement'!EK38+'Cash Flow Statement'!EK13</f>
      </c>
      <c r="EN46" s="15">
        <f>E46</f>
      </c>
      <c r="EO46" s="15">
        <f>I46</f>
      </c>
      <c r="EP46" s="15">
        <f>M46</f>
      </c>
      <c r="EQ46" s="15">
        <f>Q46</f>
      </c>
      <c r="ER46" s="15">
        <f>U46</f>
      </c>
      <c r="ES46" s="15">
        <f>Y46</f>
      </c>
      <c r="ET46" s="15">
        <f>AC46</f>
      </c>
      <c r="EU46" s="15">
        <f>AG46</f>
      </c>
      <c r="EV46" s="15">
        <f>AK46</f>
      </c>
      <c r="EW46" s="15">
        <f>AO46</f>
      </c>
      <c r="EX46" s="15">
        <f>AS46</f>
      </c>
      <c r="EY46" s="15">
        <f>AW46</f>
      </c>
      <c r="EZ46" s="15">
        <f>BA46</f>
      </c>
      <c r="FA46" s="15">
        <f>BE46</f>
      </c>
      <c r="FB46" s="15">
        <f>BI46:BI112</f>
      </c>
      <c r="FC46" s="15">
        <f>BM46:BM112</f>
      </c>
      <c r="FD46" s="15">
        <f>BQ46:BQ112</f>
      </c>
      <c r="FE46" s="15">
        <f>BU46:BU112</f>
      </c>
      <c r="FF46" s="15">
        <f>BY46:BY112</f>
      </c>
      <c r="FG46" s="15">
        <f>CC46:CC112</f>
      </c>
      <c r="FH46" s="15">
        <f>CG46:CG112</f>
      </c>
      <c r="FI46" s="15">
        <f>CK46:CK112</f>
      </c>
      <c r="FJ46" s="15">
        <f>CO46:CO112</f>
      </c>
      <c r="FK46" s="15">
        <f>$CS$11:$CS$53</f>
      </c>
      <c r="FL46" s="15">
        <f>$CW$11:$CW$53</f>
      </c>
      <c r="FM46" s="15">
        <f>$DA$11:$DA$53</f>
      </c>
      <c r="FN46" s="15">
        <f>$DE$11:$DE$53</f>
      </c>
      <c r="FO46" s="15">
        <f>+DI46</f>
      </c>
      <c r="FP46" s="15">
        <f>+DM46</f>
      </c>
      <c r="FQ46" s="15">
        <f>+DQ46</f>
      </c>
      <c r="FR46" s="15">
        <f>+DU46</f>
      </c>
      <c r="FS46" s="15">
        <f>DY46</f>
      </c>
      <c r="FT46" s="15">
        <f>EC46</f>
      </c>
      <c r="FU46" s="15">
        <f>EG46</f>
      </c>
      <c r="FV46" s="15">
        <f>EK46</f>
      </c>
      <c r="FW46" s="11"/>
      <c r="FX46" s="11"/>
      <c r="FY46" s="11"/>
    </row>
    <row r="47" spans="1:183" ht="10.199999999999999">
      <c r="A47" s="28" t="s">
        <v>119</v>
      </c>
      <c r="B47" s="34"/>
      <c r="C47" s="34"/>
      <c r="D47" s="34"/>
      <c r="E47" s="173"/>
      <c r="F47" s="34"/>
      <c r="G47" s="34"/>
      <c r="H47" s="34"/>
      <c r="I47" s="173"/>
      <c r="J47" s="34"/>
      <c r="K47" s="34"/>
      <c r="L47" s="34"/>
      <c r="M47" s="173"/>
      <c r="N47" s="34"/>
      <c r="O47" s="34"/>
      <c r="P47" s="34"/>
      <c r="Q47" s="173"/>
      <c r="R47" s="34"/>
      <c r="S47" s="34"/>
      <c r="T47" s="34"/>
      <c r="U47" s="173"/>
      <c r="V47" s="34"/>
      <c r="W47" s="34"/>
      <c r="X47" s="34"/>
      <c r="Y47" s="173"/>
      <c r="Z47" s="34"/>
      <c r="AA47" s="34"/>
      <c r="AB47" s="34"/>
      <c r="AC47" s="173"/>
      <c r="AD47" s="34"/>
      <c r="AE47" s="34"/>
      <c r="AF47" s="34"/>
      <c r="AG47" s="173"/>
      <c r="AH47" s="34"/>
      <c r="AI47" s="34"/>
      <c r="AJ47" s="34"/>
      <c r="AK47" s="173"/>
      <c r="AL47" s="34"/>
      <c r="AM47" s="34"/>
      <c r="AN47" s="34"/>
      <c r="AO47" s="173"/>
      <c r="AP47" s="34"/>
      <c r="AQ47" s="34"/>
      <c r="AR47" s="34"/>
      <c r="AS47" s="173"/>
      <c r="AT47" s="34"/>
      <c r="AU47" s="34"/>
      <c r="AV47" s="34"/>
      <c r="AW47" s="173"/>
      <c r="AX47" s="34"/>
      <c r="AY47" s="34"/>
      <c r="AZ47" s="34"/>
      <c r="BA47" s="173"/>
      <c r="BB47" s="34">
        <v>15448</v>
      </c>
      <c r="BC47" s="34">
        <v>16653</v>
      </c>
      <c r="BD47" s="34">
        <v>17878</v>
      </c>
      <c r="BE47" s="173">
        <v>23353</v>
      </c>
      <c r="BF47" s="34">
        <v>26695</v>
      </c>
      <c r="BG47" s="34">
        <v>29670</v>
      </c>
      <c r="BH47" s="34">
        <v>32870</v>
      </c>
      <c r="BI47" s="173">
        <v>37169</v>
      </c>
      <c r="BJ47" s="34">
        <v>43050</v>
      </c>
      <c r="BK47" s="34">
        <v>49025</v>
      </c>
      <c r="BL47" s="34">
        <v>56239</v>
      </c>
      <c r="BM47" s="173">
        <v>62841</v>
      </c>
      <c r="BN47" s="34">
        <v>75709</v>
      </c>
      <c r="BO47" s="34">
        <v>87124</v>
      </c>
      <c r="BP47" s="34">
        <v>95641</v>
      </c>
      <c r="BQ47" s="173">
        <v>101289</v>
      </c>
      <c r="BR47" s="34">
        <v>109567</v>
      </c>
      <c r="BS47" s="34">
        <v>116572</v>
      </c>
      <c r="BT47" s="34">
        <v>104564</v>
      </c>
      <c r="BU47" s="173">
        <v>104256</v>
      </c>
      <c r="BV47" s="34">
        <v>109431</v>
      </c>
      <c r="BW47" s="34">
        <v>98934</v>
      </c>
      <c r="BX47" s="34">
        <v>98715</v>
      </c>
      <c r="BY47" s="173">
        <v>87152</v>
      </c>
      <c r="BZ47" s="34">
        <v>97178</v>
      </c>
      <c r="CA47" s="34">
        <v>100920</v>
      </c>
      <c r="CB47" s="34">
        <v>98252</v>
      </c>
      <c r="CC47" s="173">
        <v>92284</v>
      </c>
      <c r="CD47" s="34">
        <v>101494</v>
      </c>
      <c r="CE47" s="34">
        <v>102021</v>
      </c>
      <c r="CF47" s="77">
        <v>96542</v>
      </c>
      <c r="CG47" s="173">
        <v>96364</v>
      </c>
      <c r="CH47" s="34">
        <v>100001</v>
      </c>
      <c r="CI47" s="34">
        <v>100925</v>
      </c>
      <c r="CJ47" s="34">
        <v>98525</v>
      </c>
      <c r="CK47" s="173">
        <v>98330</v>
      </c>
      <c r="CL47" s="34">
        <v>104593</v>
      </c>
      <c r="CM47" s="34">
        <v>91898</v>
      </c>
      <c r="CN47" s="34">
        <v>79436</v>
      </c>
      <c r="CO47" s="173">
        <v>70400</v>
      </c>
      <c r="CP47" s="77">
        <v>80510</v>
      </c>
      <c r="CQ47" s="77">
        <v>64558</v>
      </c>
      <c r="CR47" s="77">
        <v>53724</v>
      </c>
      <c r="CS47" s="173">
        <v>45898</v>
      </c>
      <c r="CT47" s="77">
        <v>43977</v>
      </c>
      <c r="CU47" s="77">
        <v>33182</v>
      </c>
      <c r="CV47" s="77">
        <v>24136</v>
      </c>
      <c r="CW47" s="192">
        <v>14966</v>
      </c>
      <c r="CX47" s="474">
        <v>14301</v>
      </c>
      <c r="CY47" s="77">
        <v>15261</v>
      </c>
      <c r="CZ47" s="77">
        <v>9233</v>
      </c>
      <c r="DA47" s="192">
        <v>5562</v>
      </c>
      <c r="DB47" s="474">
        <v>14435</v>
      </c>
      <c r="DC47" s="77">
        <v>12712</v>
      </c>
      <c r="DD47" s="77">
        <v>5289</v>
      </c>
      <c r="DE47" s="192">
        <v>-3068</v>
      </c>
      <c r="DF47" s="474">
        <v>3240</v>
      </c>
      <c r="DG47" s="77">
        <v>4336</v>
      </c>
      <c r="DH47" s="77">
        <v>1408</v>
      </c>
      <c r="DI47" s="173">
        <v>-214</v>
      </c>
      <c r="DJ47" s="474">
        <v>8242</v>
      </c>
      <c r="DK47" s="77">
        <v>4339</v>
      </c>
      <c r="DL47" s="77">
        <v>-4726</v>
      </c>
      <c r="DM47" s="173">
        <v>-19154</v>
      </c>
      <c r="DN47" s="474">
        <v>-11221</v>
      </c>
      <c r="DO47" s="77">
        <v>-15552</v>
      </c>
      <c r="DP47" s="34">
        <v>-17607</v>
      </c>
      <c r="DQ47" s="176">
        <f>+DP47+'Cash Flow Statement'!DQ11+'Cash Flow Statement'!DQ39+'Cash Flow Statement'!DQ40+'Cash Flow Statement'!DQ41+'Cash Flow Statement'!DQ42</f>
      </c>
      <c r="DR47" s="85">
        <f>+DQ47+'Cash Flow Statement'!DR11+'Cash Flow Statement'!DR39+'Cash Flow Statement'!DR40+'Cash Flow Statement'!DR41+'Cash Flow Statement'!DR42</f>
      </c>
      <c r="DS47" s="85">
        <f>+DR47+'Cash Flow Statement'!DS11+'Cash Flow Statement'!DS39+'Cash Flow Statement'!DS40+'Cash Flow Statement'!DS41+'Cash Flow Statement'!DS42</f>
      </c>
      <c r="DT47" s="85">
        <f>+DS47+'Cash Flow Statement'!DT11+'Cash Flow Statement'!DT39+'Cash Flow Statement'!DT40+'Cash Flow Statement'!DT41+'Cash Flow Statement'!DT42</f>
      </c>
      <c r="DU47" s="176">
        <f>+DT47+'Cash Flow Statement'!DU11+'Cash Flow Statement'!DU39+'Cash Flow Statement'!DU40+'Cash Flow Statement'!DU41+'Cash Flow Statement'!DU42</f>
      </c>
      <c r="DV47" s="85">
        <f>+DU47+'Cash Flow Statement'!DV11+'Cash Flow Statement'!DV39+'Cash Flow Statement'!DV40+'Cash Flow Statement'!DV41+'Cash Flow Statement'!DV42</f>
      </c>
      <c r="DW47" s="85">
        <f>+DV47+'Cash Flow Statement'!DW11+'Cash Flow Statement'!DW39+'Cash Flow Statement'!DW40+'Cash Flow Statement'!DW41+'Cash Flow Statement'!DW42</f>
      </c>
      <c r="DX47" s="85">
        <f>+DW47+'Cash Flow Statement'!DX11+'Cash Flow Statement'!DX39+'Cash Flow Statement'!DX40+'Cash Flow Statement'!DX41+'Cash Flow Statement'!DX42</f>
      </c>
      <c r="DY47" s="176">
        <f>+DX47+'Cash Flow Statement'!DY11+'Cash Flow Statement'!DY39+'Cash Flow Statement'!DY40+'Cash Flow Statement'!DY41+'Cash Flow Statement'!DY42</f>
      </c>
      <c r="DZ47" s="85">
        <f>+DY47+'Cash Flow Statement'!DZ11+'Cash Flow Statement'!DZ39+'Cash Flow Statement'!DZ40+'Cash Flow Statement'!DZ41+'Cash Flow Statement'!DZ42</f>
      </c>
      <c r="EA47" s="85">
        <f>+DZ47+'Cash Flow Statement'!EA11+'Cash Flow Statement'!EA39+'Cash Flow Statement'!EA40+'Cash Flow Statement'!EA41+'Cash Flow Statement'!EA42</f>
      </c>
      <c r="EB47" s="85">
        <f>+EA47+'Cash Flow Statement'!EB11+'Cash Flow Statement'!EB39+'Cash Flow Statement'!EB40+'Cash Flow Statement'!EB41+'Cash Flow Statement'!EB42</f>
      </c>
      <c r="EC47" s="176">
        <f>+EB47+'Cash Flow Statement'!EC11+'Cash Flow Statement'!EC39+'Cash Flow Statement'!EC40+'Cash Flow Statement'!EC41+'Cash Flow Statement'!EC42</f>
      </c>
      <c r="ED47" s="85">
        <f>+EC47+'Cash Flow Statement'!ED11+'Cash Flow Statement'!ED39+'Cash Flow Statement'!ED40+'Cash Flow Statement'!ED41+'Cash Flow Statement'!ED42</f>
      </c>
      <c r="EE47" s="85">
        <f>+ED47+'Cash Flow Statement'!EE11+'Cash Flow Statement'!EE39+'Cash Flow Statement'!EE40+'Cash Flow Statement'!EE41+'Cash Flow Statement'!EE42</f>
      </c>
      <c r="EF47" s="85">
        <f>+EE47+'Cash Flow Statement'!EF11+'Cash Flow Statement'!EF39+'Cash Flow Statement'!EF40+'Cash Flow Statement'!EF41+'Cash Flow Statement'!EF42</f>
      </c>
      <c r="EG47" s="176">
        <f>+EF47+'Cash Flow Statement'!EG11+'Cash Flow Statement'!EG39+'Cash Flow Statement'!EG40+'Cash Flow Statement'!EG41+'Cash Flow Statement'!EG42</f>
      </c>
      <c r="EH47" s="85">
        <f>+EG47+'Cash Flow Statement'!EH11+'Cash Flow Statement'!EH39+'Cash Flow Statement'!EH40+'Cash Flow Statement'!EH41+'Cash Flow Statement'!EH42</f>
      </c>
      <c r="EI47" s="85">
        <f>+EH47+'Cash Flow Statement'!EI11+'Cash Flow Statement'!EI39+'Cash Flow Statement'!EI40+'Cash Flow Statement'!EI41+'Cash Flow Statement'!EI42</f>
      </c>
      <c r="EJ47" s="85">
        <f>+EI47+'Cash Flow Statement'!EJ11+'Cash Flow Statement'!EJ39+'Cash Flow Statement'!EJ40+'Cash Flow Statement'!EJ41+'Cash Flow Statement'!EJ42</f>
      </c>
      <c r="EK47" s="176">
        <f>+EJ47+'Cash Flow Statement'!EK11+'Cash Flow Statement'!EK39+'Cash Flow Statement'!EK40+'Cash Flow Statement'!EK41+'Cash Flow Statement'!EK42</f>
      </c>
      <c r="EN47" s="15">
        <f>E47</f>
      </c>
      <c r="EO47" s="15">
        <f>I47</f>
      </c>
      <c r="EP47" s="15">
        <f>M47</f>
      </c>
      <c r="EQ47" s="15">
        <f>Q47</f>
      </c>
      <c r="ER47" s="15">
        <f>U47</f>
      </c>
      <c r="ES47" s="15">
        <f>Y47</f>
      </c>
      <c r="ET47" s="15">
        <f>AC47</f>
      </c>
      <c r="EU47" s="15">
        <f>AG47</f>
      </c>
      <c r="EV47" s="15">
        <f>AK47</f>
      </c>
      <c r="EW47" s="15">
        <f>AO47</f>
      </c>
      <c r="EX47" s="15">
        <f>AS47</f>
      </c>
      <c r="EY47" s="15">
        <f>AW47</f>
      </c>
      <c r="EZ47" s="15">
        <f>BA47</f>
      </c>
      <c r="FA47" s="15">
        <f>BE47</f>
      </c>
      <c r="FB47" s="15">
        <f>BI47:BI112</f>
      </c>
      <c r="FC47" s="15">
        <f>BM47:BM112</f>
      </c>
      <c r="FD47" s="15">
        <f>BQ47:BQ112</f>
      </c>
      <c r="FE47" s="15">
        <f>BU47:BU112</f>
      </c>
      <c r="FF47" s="15">
        <f>BY47:BY112</f>
      </c>
      <c r="FG47" s="15">
        <f>CC47:CC112</f>
      </c>
      <c r="FH47" s="15">
        <f>CG47:CG112</f>
      </c>
      <c r="FI47" s="15">
        <f>CK47:CK112</f>
      </c>
      <c r="FJ47" s="15">
        <f>CO47:CO112</f>
      </c>
      <c r="FK47" s="15">
        <f>$CS$11:$CS$53</f>
      </c>
      <c r="FL47" s="15">
        <f>$CW$11:$CW$53</f>
      </c>
      <c r="FM47" s="15">
        <f>$DA$11:$DA$53</f>
      </c>
      <c r="FN47" s="15">
        <f>$DE$11:$DE$53</f>
      </c>
      <c r="FO47" s="15">
        <f>+DI47</f>
      </c>
      <c r="FP47" s="15">
        <f>+DM47</f>
      </c>
      <c r="FQ47" s="15">
        <f>+DQ47</f>
      </c>
      <c r="FR47" s="15">
        <f>+DU47</f>
      </c>
      <c r="FS47" s="15">
        <f>DY47</f>
      </c>
      <c r="FT47" s="15">
        <f>EC47</f>
      </c>
      <c r="FU47" s="15">
        <f>EG47</f>
      </c>
      <c r="FV47" s="15">
        <f>EK47</f>
      </c>
      <c r="FW47" s="11"/>
      <c r="FX47" s="11"/>
      <c r="FY47" s="11"/>
    </row>
    <row r="48" spans="1:183" ht="10.199999999999999">
      <c r="A48" s="19" t="s">
        <v>120</v>
      </c>
      <c r="B48" s="34"/>
      <c r="C48" s="34"/>
      <c r="D48" s="34"/>
      <c r="E48" s="173"/>
      <c r="F48" s="34"/>
      <c r="G48" s="34"/>
      <c r="H48" s="34"/>
      <c r="I48" s="173"/>
      <c r="J48" s="34"/>
      <c r="K48" s="34"/>
      <c r="L48" s="34"/>
      <c r="M48" s="173"/>
      <c r="N48" s="34"/>
      <c r="O48" s="34"/>
      <c r="P48" s="34"/>
      <c r="Q48" s="173"/>
      <c r="R48" s="34"/>
      <c r="S48" s="34"/>
      <c r="T48" s="34"/>
      <c r="U48" s="173"/>
      <c r="V48" s="34"/>
      <c r="W48" s="34"/>
      <c r="X48" s="34"/>
      <c r="Y48" s="173"/>
      <c r="Z48" s="34"/>
      <c r="AA48" s="34"/>
      <c r="AB48" s="34"/>
      <c r="AC48" s="173"/>
      <c r="AD48" s="34"/>
      <c r="AE48" s="34"/>
      <c r="AF48" s="34"/>
      <c r="AG48" s="173"/>
      <c r="AH48" s="34"/>
      <c r="AI48" s="34"/>
      <c r="AJ48" s="34"/>
      <c r="AK48" s="173"/>
      <c r="AL48" s="34"/>
      <c r="AM48" s="34"/>
      <c r="AN48" s="34"/>
      <c r="AO48" s="173"/>
      <c r="AP48" s="34"/>
      <c r="AQ48" s="34"/>
      <c r="AR48" s="34"/>
      <c r="AS48" s="173"/>
      <c r="AT48" s="34"/>
      <c r="AU48" s="34"/>
      <c r="AV48" s="34"/>
      <c r="AW48" s="173"/>
      <c r="AX48" s="34"/>
      <c r="AY48" s="34"/>
      <c r="AZ48" s="34"/>
      <c r="BA48" s="173"/>
      <c r="BB48" s="34">
        <v>69</v>
      </c>
      <c r="BC48" s="34">
        <v>15</v>
      </c>
      <c r="BD48" s="34">
        <v>53</v>
      </c>
      <c r="BE48" s="173">
        <v>77</v>
      </c>
      <c r="BF48" s="34">
        <v>111</v>
      </c>
      <c r="BG48" s="34">
        <v>125</v>
      </c>
      <c r="BH48" s="34">
        <v>108</v>
      </c>
      <c r="BI48" s="173">
        <v>-46</v>
      </c>
      <c r="BJ48" s="34">
        <v>114</v>
      </c>
      <c r="BK48" s="34">
        <v>126</v>
      </c>
      <c r="BL48" s="34">
        <v>389</v>
      </c>
      <c r="BM48" s="173">
        <v>443</v>
      </c>
      <c r="BN48" s="34">
        <v>384</v>
      </c>
      <c r="BO48" s="34">
        <v>524</v>
      </c>
      <c r="BP48" s="34">
        <v>532</v>
      </c>
      <c r="BQ48" s="173">
        <v>499</v>
      </c>
      <c r="BR48" s="34">
        <v>612</v>
      </c>
      <c r="BS48" s="34">
        <v>964</v>
      </c>
      <c r="BT48" s="34">
        <v>-234</v>
      </c>
      <c r="BU48" s="173">
        <v>-471</v>
      </c>
      <c r="BV48" s="34">
        <v>-306</v>
      </c>
      <c r="BW48" s="34">
        <v>-251</v>
      </c>
      <c r="BX48" s="34">
        <v>86</v>
      </c>
      <c r="BY48" s="173">
        <v>1082</v>
      </c>
      <c r="BZ48" s="34">
        <v>1963</v>
      </c>
      <c r="CA48" s="34">
        <v>2710</v>
      </c>
      <c r="CB48" s="34">
        <v>1098</v>
      </c>
      <c r="CC48" s="173">
        <v>-345</v>
      </c>
      <c r="CD48" s="34">
        <v>-1480</v>
      </c>
      <c r="CE48" s="34">
        <v>-1048</v>
      </c>
      <c r="CF48" s="77">
        <v>-107</v>
      </c>
      <c r="CG48" s="173">
        <v>634</v>
      </c>
      <c r="CH48" s="34">
        <v>245</v>
      </c>
      <c r="CI48" s="34">
        <v>-422</v>
      </c>
      <c r="CJ48" s="34">
        <v>-545</v>
      </c>
      <c r="CK48" s="173">
        <v>-150</v>
      </c>
      <c r="CL48" s="34">
        <v>-841</v>
      </c>
      <c r="CM48" s="34">
        <v>-3064</v>
      </c>
      <c r="CN48" s="34">
        <v>-3111</v>
      </c>
      <c r="CO48" s="173">
        <v>-3454</v>
      </c>
      <c r="CP48" s="77">
        <v>-3588</v>
      </c>
      <c r="CQ48" s="77">
        <v>-1499</v>
      </c>
      <c r="CR48" s="77">
        <v>-639</v>
      </c>
      <c r="CS48" s="173">
        <v>-584</v>
      </c>
      <c r="CT48" s="77">
        <v>-418</v>
      </c>
      <c r="CU48" s="77">
        <v>-2789</v>
      </c>
      <c r="CV48" s="77">
        <v>-550</v>
      </c>
      <c r="CW48" s="192">
        <v>-406</v>
      </c>
      <c r="CX48" s="474">
        <v>179</v>
      </c>
      <c r="CY48" s="77">
        <v>-286</v>
      </c>
      <c r="CZ48" s="77">
        <v>58</v>
      </c>
      <c r="DA48" s="192">
        <v>163</v>
      </c>
      <c r="DB48" s="474">
        <v>-927</v>
      </c>
      <c r="DC48" s="77">
        <v>-6494</v>
      </c>
      <c r="DD48" s="77">
        <v>-9297</v>
      </c>
      <c r="DE48" s="1621">
        <v>-11109</v>
      </c>
      <c r="DF48" s="474">
        <v>-12912</v>
      </c>
      <c r="DG48" s="77">
        <v>-11746</v>
      </c>
      <c r="DH48" s="77">
        <v>-11801</v>
      </c>
      <c r="DI48" s="173">
        <v>-11452</v>
      </c>
      <c r="DJ48" s="474">
        <v>-9378</v>
      </c>
      <c r="DK48" s="77">
        <v>-8960</v>
      </c>
      <c r="DL48" s="77">
        <v>-8416</v>
      </c>
      <c r="DM48" s="173">
        <v>-7172</v>
      </c>
      <c r="DN48" s="474">
        <v>-6789</v>
      </c>
      <c r="DO48" s="77">
        <v>-6363</v>
      </c>
      <c r="DP48" s="34">
        <v>-6369</v>
      </c>
      <c r="DQ48" s="689">
        <f t="shared" ref="DQ48:DU48" si="236">DP48</f>
      </c>
      <c r="DR48" s="1184">
        <f t="shared" si="236"/>
      </c>
      <c r="DS48" s="1184">
        <f t="shared" si="236"/>
      </c>
      <c r="DT48" s="1184">
        <f t="shared" si="236"/>
      </c>
      <c r="DU48" s="689">
        <f t="shared" si="236"/>
      </c>
      <c r="DV48" s="1184">
        <f t="shared" ref="DV48" si="237">DU48</f>
      </c>
      <c r="DW48" s="1184">
        <f t="shared" ref="DW48" si="238">DV48</f>
      </c>
      <c r="DX48" s="1184">
        <f t="shared" ref="DX48" si="239">DW48</f>
      </c>
      <c r="DY48" s="689">
        <f t="shared" ref="DY48" si="240">DX48</f>
      </c>
      <c r="DZ48" s="1184">
        <f t="shared" ref="DZ48" si="241">DY48</f>
      </c>
      <c r="EA48" s="1184">
        <f t="shared" ref="EA48" si="242">DZ48</f>
      </c>
      <c r="EB48" s="1184">
        <f t="shared" ref="EB48" si="243">EA48</f>
      </c>
      <c r="EC48" s="689">
        <f t="shared" ref="EC48" si="244">EB48</f>
      </c>
      <c r="ED48" s="1184">
        <f t="shared" ref="ED48" si="245">EC48</f>
      </c>
      <c r="EE48" s="1184">
        <f t="shared" ref="EE48" si="246">ED48</f>
      </c>
      <c r="EF48" s="1184">
        <f t="shared" ref="EF48" si="247">EE48</f>
      </c>
      <c r="EG48" s="689">
        <f t="shared" ref="EG48" si="248">EF48</f>
      </c>
      <c r="EH48" s="1184">
        <f t="shared" ref="EH48" si="249">EG48</f>
      </c>
      <c r="EI48" s="1184">
        <f t="shared" ref="EI48" si="250">EH48</f>
      </c>
      <c r="EJ48" s="1184">
        <f t="shared" ref="EJ48" si="251">EI48</f>
      </c>
      <c r="EK48" s="689">
        <f t="shared" ref="EK48" si="252">EJ48</f>
      </c>
      <c r="EN48" s="15">
        <f>E48</f>
      </c>
      <c r="EO48" s="15">
        <f>I48</f>
      </c>
      <c r="EP48" s="15">
        <f>M48</f>
      </c>
      <c r="EQ48" s="15">
        <f>Q48</f>
      </c>
      <c r="ER48" s="15">
        <f>U48</f>
      </c>
      <c r="ES48" s="15">
        <f>Y48</f>
      </c>
      <c r="ET48" s="15">
        <f>AC48</f>
      </c>
      <c r="EU48" s="15">
        <f>AG48</f>
      </c>
      <c r="EV48" s="15">
        <f>AK48</f>
      </c>
      <c r="EW48" s="15">
        <f>AO48</f>
      </c>
      <c r="EX48" s="15">
        <f>AS48</f>
      </c>
      <c r="EY48" s="15">
        <f>AW48</f>
      </c>
      <c r="EZ48" s="15">
        <f>BA48</f>
      </c>
      <c r="FA48" s="15">
        <f>BE48</f>
      </c>
      <c r="FB48" s="15">
        <f>BI48:BI112</f>
      </c>
      <c r="FC48" s="15">
        <f>BM48:BM112</f>
      </c>
      <c r="FD48" s="15">
        <f>BQ48:BQ112</f>
      </c>
      <c r="FE48" s="15">
        <f>BU48:BU112</f>
      </c>
      <c r="FF48" s="15">
        <f>BY48:BY112</f>
      </c>
      <c r="FG48" s="15">
        <f>CC48:CC112</f>
      </c>
      <c r="FH48" s="15">
        <f>CG48:CG112</f>
      </c>
      <c r="FI48" s="15">
        <f>CK48:CK112</f>
      </c>
      <c r="FJ48" s="15">
        <f>CO48:CO112</f>
      </c>
      <c r="FK48" s="15">
        <f>$CS$11:$CS$53</f>
      </c>
      <c r="FL48" s="15">
        <f>$CW$11:$CW$53</f>
      </c>
      <c r="FM48" s="15">
        <f>$DA$11:$DA$53</f>
      </c>
      <c r="FN48" s="15">
        <f>$DE$11:$DE$53</f>
      </c>
      <c r="FO48" s="15">
        <f>+DI48</f>
      </c>
      <c r="FP48" s="15">
        <f>+DM48</f>
      </c>
      <c r="FQ48" s="15">
        <f>+DQ48</f>
      </c>
      <c r="FR48" s="15">
        <f>+DU48</f>
      </c>
      <c r="FS48" s="15">
        <f>DY48</f>
      </c>
      <c r="FT48" s="15">
        <f>EC48</f>
      </c>
      <c r="FU48" s="15">
        <f>EG48</f>
      </c>
      <c r="FV48" s="15">
        <f>EK48</f>
      </c>
      <c r="FW48" s="11"/>
      <c r="FX48" s="11"/>
      <c r="FY48" s="11"/>
    </row>
    <row r="49" spans="1:183" s="16" customFormat="1" ht="10.8" thickBot="1">
      <c r="A49" s="1205" t="s">
        <v>155</v>
      </c>
      <c r="B49" s="1206">
        <f t="shared" ref="B49:BA49" si="253">SUM(B46:B48)</f>
      </c>
      <c r="C49" s="1206">
        <f t="shared" si="253"/>
      </c>
      <c r="D49" s="1206">
        <f t="shared" si="253"/>
      </c>
      <c r="E49" s="1207">
        <f t="shared" si="253"/>
      </c>
      <c r="F49" s="1206">
        <f t="shared" si="253"/>
      </c>
      <c r="G49" s="1206">
        <f t="shared" si="253"/>
      </c>
      <c r="H49" s="1206">
        <f t="shared" si="253"/>
      </c>
      <c r="I49" s="1207">
        <f t="shared" si="253"/>
      </c>
      <c r="J49" s="1206">
        <f t="shared" si="253"/>
      </c>
      <c r="K49" s="1206">
        <f t="shared" si="253"/>
      </c>
      <c r="L49" s="1206">
        <f t="shared" si="253"/>
      </c>
      <c r="M49" s="1207">
        <f t="shared" si="253"/>
      </c>
      <c r="N49" s="1206">
        <f t="shared" si="253"/>
      </c>
      <c r="O49" s="1206">
        <f t="shared" si="253"/>
      </c>
      <c r="P49" s="1206">
        <f t="shared" si="253"/>
      </c>
      <c r="Q49" s="1207">
        <f t="shared" si="253"/>
      </c>
      <c r="R49" s="1206">
        <f t="shared" si="253"/>
      </c>
      <c r="S49" s="1206">
        <f t="shared" si="253"/>
      </c>
      <c r="T49" s="1206">
        <f t="shared" si="253"/>
      </c>
      <c r="U49" s="1207">
        <f t="shared" si="253"/>
      </c>
      <c r="V49" s="1206">
        <f t="shared" si="253"/>
      </c>
      <c r="W49" s="1206">
        <f t="shared" si="253"/>
      </c>
      <c r="X49" s="1206">
        <f t="shared" si="253"/>
      </c>
      <c r="Y49" s="1207">
        <f t="shared" si="253"/>
      </c>
      <c r="Z49" s="1206">
        <f t="shared" si="253"/>
      </c>
      <c r="AA49" s="1206">
        <f t="shared" si="253"/>
      </c>
      <c r="AB49" s="1206">
        <f t="shared" si="253"/>
      </c>
      <c r="AC49" s="1207">
        <f t="shared" si="253"/>
      </c>
      <c r="AD49" s="1206">
        <f t="shared" si="253"/>
      </c>
      <c r="AE49" s="1206">
        <f t="shared" si="253"/>
      </c>
      <c r="AF49" s="1206">
        <f t="shared" si="253"/>
      </c>
      <c r="AG49" s="1207">
        <f t="shared" si="253"/>
      </c>
      <c r="AH49" s="1206">
        <f t="shared" si="253"/>
      </c>
      <c r="AI49" s="1206">
        <f t="shared" si="253"/>
      </c>
      <c r="AJ49" s="1206">
        <f t="shared" si="253"/>
      </c>
      <c r="AK49" s="1207">
        <f t="shared" si="253"/>
      </c>
      <c r="AL49" s="1206">
        <f t="shared" si="253"/>
      </c>
      <c r="AM49" s="1206">
        <f t="shared" si="253"/>
      </c>
      <c r="AN49" s="1206">
        <f t="shared" si="253"/>
      </c>
      <c r="AO49" s="1207">
        <f t="shared" si="253"/>
      </c>
      <c r="AP49" s="1206">
        <f t="shared" si="253"/>
      </c>
      <c r="AQ49" s="1206">
        <f t="shared" si="253"/>
      </c>
      <c r="AR49" s="1206">
        <f t="shared" si="253"/>
      </c>
      <c r="AS49" s="1207">
        <f t="shared" si="253"/>
      </c>
      <c r="AT49" s="1206">
        <f t="shared" si="253"/>
      </c>
      <c r="AU49" s="1206">
        <f t="shared" si="253"/>
      </c>
      <c r="AV49" s="1206">
        <f t="shared" si="253"/>
      </c>
      <c r="AW49" s="1207">
        <f t="shared" si="253"/>
      </c>
      <c r="AX49" s="1206">
        <f t="shared" si="253"/>
      </c>
      <c r="AY49" s="1206">
        <f t="shared" si="253"/>
      </c>
      <c r="AZ49" s="1206">
        <f t="shared" si="253"/>
      </c>
      <c r="BA49" s="1207">
        <f t="shared" si="253"/>
      </c>
      <c r="BB49" s="1206">
        <f t="shared" ref="BB49:BW49" si="254">SUM(BB46:BB48)</f>
      </c>
      <c r="BC49" s="1206">
        <f t="shared" si="254"/>
      </c>
      <c r="BD49" s="1206">
        <f t="shared" si="254"/>
      </c>
      <c r="BE49" s="1207">
        <f t="shared" si="254"/>
      </c>
      <c r="BF49" s="1206">
        <f t="shared" si="254"/>
      </c>
      <c r="BG49" s="1206">
        <f t="shared" si="254"/>
      </c>
      <c r="BH49" s="1206">
        <f t="shared" si="254"/>
      </c>
      <c r="BI49" s="1207">
        <f t="shared" si="254"/>
      </c>
      <c r="BJ49" s="1206">
        <f t="shared" si="254"/>
      </c>
      <c r="BK49" s="1206">
        <f t="shared" si="254"/>
      </c>
      <c r="BL49" s="1206">
        <f t="shared" si="254"/>
      </c>
      <c r="BM49" s="1207">
        <f t="shared" si="254"/>
      </c>
      <c r="BN49" s="1206">
        <f t="shared" si="254"/>
      </c>
      <c r="BO49" s="1206">
        <f t="shared" si="254"/>
      </c>
      <c r="BP49" s="1206">
        <f t="shared" si="254"/>
      </c>
      <c r="BQ49" s="1207">
        <f t="shared" si="254"/>
      </c>
      <c r="BR49" s="1206">
        <f t="shared" si="254"/>
      </c>
      <c r="BS49" s="1206">
        <f t="shared" si="254"/>
      </c>
      <c r="BT49" s="1206">
        <f t="shared" si="254"/>
      </c>
      <c r="BU49" s="1207">
        <f t="shared" si="254"/>
      </c>
      <c r="BV49" s="1206">
        <f t="shared" si="254"/>
      </c>
      <c r="BW49" s="1206">
        <f t="shared" si="254"/>
      </c>
      <c r="BX49" s="1206">
        <f>SUM(BX46:BX48)</f>
      </c>
      <c r="BY49" s="1207">
        <f>SUM(BY46:BY48)</f>
      </c>
      <c r="BZ49" s="1206">
        <f>SUM(BZ46:BZ48)</f>
      </c>
      <c r="CA49" s="1206">
        <f>SUM(CA46:CA48)</f>
      </c>
      <c r="CB49" s="1206">
        <f>+SUM(CB46:CB48)</f>
      </c>
      <c r="CC49" s="1207">
        <f t="shared" ref="CC49:CK49" si="255">+SUM(CC46:CC48)</f>
      </c>
      <c r="CD49" s="1206">
        <f t="shared" si="255"/>
      </c>
      <c r="CE49" s="1206">
        <f t="shared" si="255"/>
      </c>
      <c r="CF49" s="1206">
        <f t="shared" si="255"/>
      </c>
      <c r="CG49" s="1207">
        <f t="shared" si="255"/>
      </c>
      <c r="CH49" s="1206">
        <f t="shared" si="255"/>
      </c>
      <c r="CI49" s="1206">
        <f t="shared" si="255"/>
      </c>
      <c r="CJ49" s="1206">
        <f t="shared" si="255"/>
      </c>
      <c r="CK49" s="1207">
        <f t="shared" si="255"/>
      </c>
      <c r="CL49" s="1206">
        <f t="shared" ref="CL49:CQ49" si="256">+SUM(CL46:CL48)</f>
      </c>
      <c r="CM49" s="1206">
        <f t="shared" si="256"/>
      </c>
      <c r="CN49" s="1206">
        <f t="shared" si="256"/>
      </c>
      <c r="CO49" s="1207">
        <f t="shared" si="256"/>
      </c>
      <c r="CP49" s="1206">
        <f t="shared" si="256"/>
      </c>
      <c r="CQ49" s="1206">
        <f t="shared" si="256"/>
      </c>
      <c r="CR49" s="1206">
        <f t="shared" ref="CR49:CW49" si="257">+SUM(CR46:CR48)</f>
      </c>
      <c r="CS49" s="1207">
        <f t="shared" si="257"/>
      </c>
      <c r="CT49" s="1206">
        <f t="shared" si="257"/>
      </c>
      <c r="CU49" s="1206">
        <f t="shared" si="257"/>
      </c>
      <c r="CV49" s="1206">
        <f t="shared" si="257"/>
      </c>
      <c r="CW49" s="1207">
        <f t="shared" si="257"/>
      </c>
      <c r="CX49" s="1208">
        <f t="shared" ref="CX49:DA49" si="258">+SUM(CX46:CX48)</f>
      </c>
      <c r="CY49" s="1206">
        <f t="shared" si="258"/>
      </c>
      <c r="CZ49" s="1206">
        <f t="shared" si="258"/>
      </c>
      <c r="DA49" s="1207">
        <f t="shared" si="258"/>
      </c>
      <c r="DB49" s="1208">
        <f t="shared" ref="DB49:DD49" si="259">+SUM(DB46:DB48)</f>
      </c>
      <c r="DC49" s="1206">
        <f t="shared" si="259"/>
      </c>
      <c r="DD49" s="1206">
        <f t="shared" si="259"/>
      </c>
      <c r="DE49" s="1207">
        <f>SUM(DE46:DE48)</f>
      </c>
      <c r="DF49" s="1206">
        <f t="shared" ref="DF49:DU49" si="260">SUM(DF46:DF48)</f>
      </c>
      <c r="DG49" s="1206">
        <f t="shared" si="260"/>
      </c>
      <c r="DH49" s="1206">
        <f t="shared" si="260"/>
      </c>
      <c r="DI49" s="1207">
        <f t="shared" si="260"/>
      </c>
      <c r="DJ49" s="1206">
        <f t="shared" ref="DJ49:DM49" si="261">SUM(DJ46:DJ48)</f>
      </c>
      <c r="DK49" s="1206">
        <f t="shared" si="261"/>
      </c>
      <c r="DL49" s="1206">
        <f t="shared" si="261"/>
      </c>
      <c r="DM49" s="1207">
        <f t="shared" si="261"/>
      </c>
      <c r="DN49" s="1206">
        <f t="shared" ref="DN49:DP49" si="262">SUM(DN46:DN48)</f>
      </c>
      <c r="DO49" s="1206">
        <f t="shared" si="262"/>
      </c>
      <c r="DP49" s="1206">
        <f t="shared" si="262"/>
      </c>
      <c r="DQ49" s="1207">
        <f t="shared" si="260"/>
      </c>
      <c r="DR49" s="1206">
        <f t="shared" si="260"/>
      </c>
      <c r="DS49" s="1206">
        <f t="shared" si="260"/>
      </c>
      <c r="DT49" s="1206">
        <f t="shared" si="260"/>
      </c>
      <c r="DU49" s="1207">
        <f t="shared" si="260"/>
      </c>
      <c r="DV49" s="1206">
        <f t="shared" ref="DV49:EK49" si="263">SUM(DV46:DV48)</f>
      </c>
      <c r="DW49" s="1206">
        <f t="shared" si="263"/>
      </c>
      <c r="DX49" s="1206">
        <f t="shared" si="263"/>
      </c>
      <c r="DY49" s="1207">
        <f t="shared" si="263"/>
      </c>
      <c r="DZ49" s="1206">
        <f t="shared" si="263"/>
      </c>
      <c r="EA49" s="1206">
        <f t="shared" si="263"/>
      </c>
      <c r="EB49" s="1206">
        <f t="shared" si="263"/>
      </c>
      <c r="EC49" s="1207">
        <f t="shared" si="263"/>
      </c>
      <c r="ED49" s="1206">
        <f t="shared" si="263"/>
      </c>
      <c r="EE49" s="1206">
        <f t="shared" si="263"/>
      </c>
      <c r="EF49" s="1206">
        <f t="shared" si="263"/>
      </c>
      <c r="EG49" s="1207">
        <f t="shared" si="263"/>
      </c>
      <c r="EH49" s="1206">
        <f t="shared" si="263"/>
      </c>
      <c r="EI49" s="1206">
        <f t="shared" si="263"/>
      </c>
      <c r="EJ49" s="1206">
        <f t="shared" si="263"/>
      </c>
      <c r="EK49" s="1207">
        <f t="shared" si="263"/>
      </c>
      <c r="EN49" s="1206">
        <f t="shared" ref="EN49:EZ49" si="264">+SUM(EN46:EN48)</f>
      </c>
      <c r="EO49" s="1206">
        <f t="shared" si="264"/>
      </c>
      <c r="EP49" s="1206">
        <f t="shared" si="264"/>
      </c>
      <c r="EQ49" s="1206">
        <f t="shared" si="264"/>
      </c>
      <c r="ER49" s="1206">
        <f t="shared" si="264"/>
      </c>
      <c r="ES49" s="1206">
        <f t="shared" si="264"/>
      </c>
      <c r="ET49" s="1206">
        <f t="shared" si="264"/>
      </c>
      <c r="EU49" s="1206">
        <f t="shared" si="264"/>
      </c>
      <c r="EV49" s="1206">
        <f t="shared" si="264"/>
      </c>
      <c r="EW49" s="1206">
        <f t="shared" si="264"/>
      </c>
      <c r="EX49" s="1206">
        <f t="shared" si="264"/>
      </c>
      <c r="EY49" s="1206">
        <f t="shared" si="264"/>
      </c>
      <c r="EZ49" s="1206">
        <f t="shared" si="264"/>
      </c>
      <c r="FA49" s="1206">
        <f t="shared" ref="FA49:FJ49" si="265">+SUM(FA46:FA48)</f>
      </c>
      <c r="FB49" s="1206">
        <f t="shared" si="265"/>
      </c>
      <c r="FC49" s="1206">
        <f t="shared" si="265"/>
      </c>
      <c r="FD49" s="1206">
        <f t="shared" si="265"/>
      </c>
      <c r="FE49" s="1206">
        <f t="shared" si="265"/>
      </c>
      <c r="FF49" s="1206">
        <f t="shared" si="265"/>
      </c>
      <c r="FG49" s="1206">
        <f t="shared" si="265"/>
      </c>
      <c r="FH49" s="1206">
        <f t="shared" si="265"/>
      </c>
      <c r="FI49" s="1206">
        <f t="shared" si="265"/>
      </c>
      <c r="FJ49" s="1206">
        <f t="shared" si="265"/>
      </c>
      <c r="FK49" s="1206">
        <f>+SUM(FK46:FK48)</f>
      </c>
      <c r="FL49" s="1206">
        <f>+SUM(FL46:FL48)</f>
      </c>
      <c r="FM49" s="1206">
        <f>+SUM(FM46:FM48)</f>
      </c>
      <c r="FN49" s="1206">
        <f>+SUM(FN46:FN48)</f>
      </c>
      <c r="FO49" s="1206">
        <f>+DI49</f>
      </c>
      <c r="FP49" s="1206">
        <f>+DM49</f>
      </c>
      <c r="FQ49" s="1206">
        <f>+DQ49</f>
      </c>
      <c r="FR49" s="1206">
        <f>+DU49</f>
      </c>
      <c r="FS49" s="1206">
        <f>DY49</f>
      </c>
      <c r="FT49" s="1206">
        <f>EC49</f>
      </c>
      <c r="FU49" s="1206">
        <f>EG49</f>
      </c>
      <c r="FV49" s="1206">
        <f>EK49</f>
      </c>
    </row>
    <row r="50" spans="1:183" s="16" customFormat="1" ht="10.8" thickTop="1">
      <c r="A50" s="30"/>
      <c r="B50" s="15"/>
      <c r="C50" s="15"/>
      <c r="D50" s="15"/>
      <c r="E50" s="174"/>
      <c r="F50" s="15"/>
      <c r="G50" s="15"/>
      <c r="H50" s="15"/>
      <c r="I50" s="174"/>
      <c r="J50" s="15"/>
      <c r="K50" s="15"/>
      <c r="L50" s="15"/>
      <c r="M50" s="174"/>
      <c r="N50" s="15"/>
      <c r="O50" s="15"/>
      <c r="P50" s="15"/>
      <c r="Q50" s="174"/>
      <c r="R50" s="15"/>
      <c r="S50" s="15"/>
      <c r="T50" s="15"/>
      <c r="U50" s="174"/>
      <c r="V50" s="15"/>
      <c r="W50" s="15"/>
      <c r="X50" s="15"/>
      <c r="Y50" s="174"/>
      <c r="Z50" s="15"/>
      <c r="AA50" s="15"/>
      <c r="AB50" s="15"/>
      <c r="AC50" s="174"/>
      <c r="AD50" s="15"/>
      <c r="AE50" s="15"/>
      <c r="AF50" s="15"/>
      <c r="AG50" s="174"/>
      <c r="AH50" s="15"/>
      <c r="AI50" s="15"/>
      <c r="AJ50" s="15"/>
      <c r="AK50" s="174"/>
      <c r="AL50" s="15"/>
      <c r="AM50" s="15"/>
      <c r="AN50" s="15"/>
      <c r="AO50" s="174"/>
      <c r="AP50" s="15"/>
      <c r="AQ50" s="15"/>
      <c r="AR50" s="15"/>
      <c r="AS50" s="174"/>
      <c r="AT50" s="15"/>
      <c r="AU50" s="15"/>
      <c r="AV50" s="15"/>
      <c r="AW50" s="174"/>
      <c r="AX50" s="15"/>
      <c r="AY50" s="15"/>
      <c r="AZ50" s="15"/>
      <c r="BA50" s="174"/>
      <c r="BB50" s="15"/>
      <c r="BC50" s="15"/>
      <c r="BD50" s="15"/>
      <c r="BE50" s="174"/>
      <c r="BF50" s="15"/>
      <c r="BG50" s="15"/>
      <c r="BH50" s="15"/>
      <c r="BI50" s="174"/>
      <c r="BJ50" s="15"/>
      <c r="BK50" s="15"/>
      <c r="BL50" s="15"/>
      <c r="BM50" s="174"/>
      <c r="BN50" s="15"/>
      <c r="BO50" s="15"/>
      <c r="BP50" s="15"/>
      <c r="BQ50" s="174"/>
      <c r="BR50" s="15"/>
      <c r="BS50" s="15"/>
      <c r="BT50" s="15"/>
      <c r="BU50" s="174"/>
      <c r="BV50" s="15"/>
      <c r="BW50" s="15"/>
      <c r="BX50" s="15"/>
      <c r="BY50" s="174"/>
      <c r="BZ50" s="15"/>
      <c r="CA50" s="15"/>
      <c r="CB50" s="15"/>
      <c r="CC50" s="174"/>
      <c r="CD50" s="15"/>
      <c r="CE50" s="15"/>
      <c r="CF50" s="15"/>
      <c r="CG50" s="174"/>
      <c r="CH50" s="15"/>
      <c r="CI50" s="15"/>
      <c r="CJ50" s="15"/>
      <c r="CK50" s="174"/>
      <c r="CL50" s="15"/>
      <c r="CM50" s="15"/>
      <c r="CN50" s="15"/>
      <c r="CO50" s="174"/>
      <c r="CP50" s="15"/>
      <c r="CQ50" s="15"/>
      <c r="CR50" s="15"/>
      <c r="CS50" s="174"/>
      <c r="CT50" s="15"/>
      <c r="CU50" s="15"/>
      <c r="CV50" s="15"/>
      <c r="CW50" s="174"/>
      <c r="CX50" s="447"/>
      <c r="CY50" s="15"/>
      <c r="CZ50" s="62"/>
      <c r="DA50" s="174"/>
      <c r="DB50" s="447"/>
      <c r="DC50" s="15"/>
      <c r="DD50" s="15"/>
      <c r="DE50" s="226"/>
      <c r="DF50" s="62"/>
      <c r="DG50" s="15"/>
      <c r="DH50" s="62"/>
      <c r="DI50" s="226"/>
      <c r="DJ50" s="62"/>
      <c r="DK50" s="15"/>
      <c r="DL50" s="62"/>
      <c r="DM50" s="226"/>
      <c r="DN50" s="62"/>
      <c r="DO50" s="62"/>
      <c r="DP50" s="62"/>
      <c r="DQ50" s="226"/>
      <c r="DR50" s="62"/>
      <c r="DS50" s="62"/>
      <c r="DT50" s="62"/>
      <c r="DU50" s="226"/>
      <c r="DV50" s="62"/>
      <c r="DW50" s="62"/>
      <c r="DX50" s="62"/>
      <c r="DY50" s="226"/>
      <c r="DZ50" s="62"/>
      <c r="EA50" s="62"/>
      <c r="EB50" s="62"/>
      <c r="EC50" s="226"/>
      <c r="ED50" s="62"/>
      <c r="EE50" s="62"/>
      <c r="EF50" s="62"/>
      <c r="EG50" s="226"/>
      <c r="EH50" s="62"/>
      <c r="EI50" s="62"/>
      <c r="EJ50" s="62"/>
      <c r="EK50" s="226"/>
      <c r="EN50" s="15"/>
      <c r="EO50" s="15"/>
      <c r="EP50" s="15"/>
      <c r="EQ50" s="15"/>
      <c r="ER50" s="15"/>
      <c r="ES50" s="15"/>
      <c r="ET50" s="15"/>
      <c r="EU50" s="15"/>
      <c r="EV50" s="15"/>
      <c r="EW50" s="15"/>
      <c r="EX50" s="15"/>
      <c r="EY50" s="15"/>
      <c r="EZ50" s="15"/>
      <c r="FA50" s="15"/>
      <c r="FB50" s="15"/>
      <c r="FC50" s="15"/>
      <c r="FD50" s="15"/>
      <c r="FE50" s="15"/>
      <c r="FF50" s="15"/>
      <c r="FG50" s="15"/>
      <c r="FH50" s="15"/>
      <c r="FI50" s="15"/>
      <c r="FJ50" s="15"/>
      <c r="FK50" s="15"/>
      <c r="FL50" s="15"/>
      <c r="FM50" s="15"/>
      <c r="FN50" s="15"/>
      <c r="FO50" s="15"/>
      <c r="FP50" s="15"/>
      <c r="FQ50" s="15"/>
      <c r="FR50" s="15"/>
      <c r="FS50" s="15"/>
      <c r="FT50" s="15"/>
      <c r="FU50" s="15"/>
      <c r="FV50" s="15"/>
    </row>
    <row r="51" spans="1:183" s="16" customFormat="1" ht="10.8" thickBot="1">
      <c r="A51" s="1205" t="s">
        <v>675</v>
      </c>
      <c r="B51" s="1206">
        <f t="shared" ref="B51:AG51" si="266">B49+B44</f>
      </c>
      <c r="C51" s="1206">
        <f t="shared" si="266"/>
      </c>
      <c r="D51" s="1206">
        <f t="shared" si="266"/>
      </c>
      <c r="E51" s="1207">
        <f t="shared" si="266"/>
      </c>
      <c r="F51" s="1206">
        <f t="shared" si="266"/>
      </c>
      <c r="G51" s="1206">
        <f t="shared" si="266"/>
      </c>
      <c r="H51" s="1206">
        <f t="shared" si="266"/>
      </c>
      <c r="I51" s="1207">
        <f t="shared" si="266"/>
      </c>
      <c r="J51" s="1206">
        <f t="shared" si="266"/>
      </c>
      <c r="K51" s="1206">
        <f t="shared" si="266"/>
      </c>
      <c r="L51" s="1206">
        <f t="shared" si="266"/>
      </c>
      <c r="M51" s="1207">
        <f t="shared" si="266"/>
      </c>
      <c r="N51" s="1206">
        <f t="shared" si="266"/>
      </c>
      <c r="O51" s="1206">
        <f t="shared" si="266"/>
      </c>
      <c r="P51" s="1206">
        <f t="shared" si="266"/>
      </c>
      <c r="Q51" s="1207">
        <f t="shared" si="266"/>
      </c>
      <c r="R51" s="1206">
        <f t="shared" si="266"/>
      </c>
      <c r="S51" s="1206">
        <f t="shared" si="266"/>
      </c>
      <c r="T51" s="1206">
        <f t="shared" si="266"/>
      </c>
      <c r="U51" s="1207">
        <f t="shared" si="266"/>
      </c>
      <c r="V51" s="1206">
        <f t="shared" si="266"/>
      </c>
      <c r="W51" s="1206">
        <f t="shared" si="266"/>
      </c>
      <c r="X51" s="1206">
        <f t="shared" si="266"/>
      </c>
      <c r="Y51" s="1207">
        <f t="shared" si="266"/>
      </c>
      <c r="Z51" s="1206">
        <f t="shared" si="266"/>
      </c>
      <c r="AA51" s="1206">
        <f t="shared" si="266"/>
      </c>
      <c r="AB51" s="1206">
        <f t="shared" si="266"/>
      </c>
      <c r="AC51" s="1207">
        <f t="shared" si="266"/>
      </c>
      <c r="AD51" s="1206">
        <f t="shared" si="266"/>
      </c>
      <c r="AE51" s="1206">
        <f t="shared" si="266"/>
      </c>
      <c r="AF51" s="1206">
        <f t="shared" si="266"/>
      </c>
      <c r="AG51" s="1207">
        <f t="shared" si="266"/>
      </c>
      <c r="AH51" s="1206">
        <f t="shared" ref="AH51:BM51" si="267">AH49+AH44</f>
      </c>
      <c r="AI51" s="1206">
        <f t="shared" si="267"/>
      </c>
      <c r="AJ51" s="1206">
        <f t="shared" si="267"/>
      </c>
      <c r="AK51" s="1207">
        <f t="shared" si="267"/>
      </c>
      <c r="AL51" s="1206">
        <f t="shared" si="267"/>
      </c>
      <c r="AM51" s="1206">
        <f t="shared" si="267"/>
      </c>
      <c r="AN51" s="1206">
        <f t="shared" si="267"/>
      </c>
      <c r="AO51" s="1207">
        <f t="shared" si="267"/>
      </c>
      <c r="AP51" s="1206">
        <f t="shared" si="267"/>
      </c>
      <c r="AQ51" s="1206">
        <f t="shared" si="267"/>
      </c>
      <c r="AR51" s="1206">
        <f t="shared" si="267"/>
      </c>
      <c r="AS51" s="1207">
        <f t="shared" si="267"/>
      </c>
      <c r="AT51" s="1206">
        <f t="shared" si="267"/>
      </c>
      <c r="AU51" s="1206">
        <f t="shared" si="267"/>
      </c>
      <c r="AV51" s="1206">
        <f t="shared" si="267"/>
      </c>
      <c r="AW51" s="1207">
        <f t="shared" si="267"/>
      </c>
      <c r="AX51" s="1206">
        <f t="shared" si="267"/>
      </c>
      <c r="AY51" s="1206">
        <f t="shared" si="267"/>
      </c>
      <c r="AZ51" s="1206">
        <f t="shared" si="267"/>
      </c>
      <c r="BA51" s="1207">
        <f t="shared" si="267"/>
      </c>
      <c r="BB51" s="1206">
        <f t="shared" si="267"/>
      </c>
      <c r="BC51" s="1206">
        <f t="shared" si="267"/>
      </c>
      <c r="BD51" s="1206">
        <f t="shared" si="267"/>
      </c>
      <c r="BE51" s="1207">
        <f t="shared" si="267"/>
      </c>
      <c r="BF51" s="1206">
        <f t="shared" si="267"/>
      </c>
      <c r="BG51" s="1206">
        <f t="shared" si="267"/>
      </c>
      <c r="BH51" s="1206">
        <f t="shared" si="267"/>
      </c>
      <c r="BI51" s="1207">
        <f t="shared" si="267"/>
      </c>
      <c r="BJ51" s="1206">
        <f t="shared" si="267"/>
      </c>
      <c r="BK51" s="1206">
        <f t="shared" si="267"/>
      </c>
      <c r="BL51" s="1206">
        <f t="shared" si="267"/>
      </c>
      <c r="BM51" s="1207">
        <f t="shared" si="267"/>
      </c>
      <c r="BN51" s="1206">
        <f t="shared" ref="BN51:CQ51" si="268">BN49+BN44</f>
      </c>
      <c r="BO51" s="1206">
        <f t="shared" si="268"/>
      </c>
      <c r="BP51" s="1206">
        <f t="shared" si="268"/>
      </c>
      <c r="BQ51" s="1207">
        <f t="shared" si="268"/>
      </c>
      <c r="BR51" s="1206">
        <f t="shared" si="268"/>
      </c>
      <c r="BS51" s="1206">
        <f t="shared" si="268"/>
      </c>
      <c r="BT51" s="1206">
        <f t="shared" si="268"/>
      </c>
      <c r="BU51" s="1207">
        <f t="shared" si="268"/>
      </c>
      <c r="BV51" s="1206">
        <f t="shared" si="268"/>
      </c>
      <c r="BW51" s="1206">
        <f t="shared" si="268"/>
      </c>
      <c r="BX51" s="1206">
        <f t="shared" si="268"/>
      </c>
      <c r="BY51" s="1207">
        <f t="shared" si="268"/>
      </c>
      <c r="BZ51" s="1206">
        <f t="shared" si="268"/>
      </c>
      <c r="CA51" s="1206">
        <f t="shared" si="268"/>
      </c>
      <c r="CB51" s="1206">
        <f t="shared" si="268"/>
      </c>
      <c r="CC51" s="1207">
        <f t="shared" si="268"/>
      </c>
      <c r="CD51" s="1206">
        <f t="shared" si="268"/>
      </c>
      <c r="CE51" s="1206">
        <f t="shared" si="268"/>
      </c>
      <c r="CF51" s="1206">
        <f t="shared" si="268"/>
      </c>
      <c r="CG51" s="1207">
        <f t="shared" si="268"/>
      </c>
      <c r="CH51" s="1206">
        <f t="shared" si="268"/>
      </c>
      <c r="CI51" s="1206">
        <f t="shared" si="268"/>
      </c>
      <c r="CJ51" s="1206">
        <f t="shared" si="268"/>
      </c>
      <c r="CK51" s="1207">
        <f t="shared" si="268"/>
      </c>
      <c r="CL51" s="1206">
        <f t="shared" si="268"/>
      </c>
      <c r="CM51" s="1206">
        <f>CM49+CM44</f>
      </c>
      <c r="CN51" s="1206">
        <f>CN49+CN44</f>
      </c>
      <c r="CO51" s="1207">
        <f>CO49+CO44</f>
      </c>
      <c r="CP51" s="1206">
        <f t="shared" si="268"/>
      </c>
      <c r="CQ51" s="1206">
        <f t="shared" si="268"/>
      </c>
      <c r="CR51" s="1206">
        <f t="shared" ref="CR51:CW51" si="269">CR49+CR44</f>
      </c>
      <c r="CS51" s="1207">
        <f t="shared" si="269"/>
      </c>
      <c r="CT51" s="1206">
        <f t="shared" si="269"/>
      </c>
      <c r="CU51" s="1206">
        <f t="shared" si="269"/>
      </c>
      <c r="CV51" s="1206">
        <f t="shared" si="269"/>
      </c>
      <c r="CW51" s="1207">
        <f t="shared" si="269"/>
      </c>
      <c r="CX51" s="1208">
        <f t="shared" ref="CX51:CY51" si="270">CX49+CX44</f>
      </c>
      <c r="CY51" s="1206">
        <f t="shared" si="270"/>
      </c>
      <c r="CZ51" s="1206">
        <f t="shared" ref="CZ51:DE51" si="271">CZ49+CZ44</f>
      </c>
      <c r="DA51" s="1207">
        <f t="shared" si="271"/>
      </c>
      <c r="DB51" s="1208">
        <f t="shared" ref="DB51:DD51" si="272">DB49+DB44</f>
      </c>
      <c r="DC51" s="1206">
        <f t="shared" si="272"/>
      </c>
      <c r="DD51" s="1206">
        <f t="shared" si="272"/>
      </c>
      <c r="DE51" s="1207">
        <f t="shared" si="271"/>
      </c>
      <c r="DF51" s="1206">
        <f t="shared" ref="DF51:DI51" si="273">DF49+DF44</f>
      </c>
      <c r="DG51" s="1206">
        <f t="shared" si="273"/>
      </c>
      <c r="DH51" s="1206">
        <f t="shared" si="273"/>
      </c>
      <c r="DI51" s="1207">
        <f t="shared" si="273"/>
      </c>
      <c r="DJ51" s="1206">
        <f t="shared" ref="DJ51:DL51" si="274">DJ49+DJ44</f>
      </c>
      <c r="DK51" s="1206">
        <f t="shared" si="274"/>
      </c>
      <c r="DL51" s="1206">
        <f t="shared" si="274"/>
      </c>
      <c r="DM51" s="1207">
        <f t="shared" ref="DM51" si="275">DM49+DM44</f>
      </c>
      <c r="DN51" s="1206">
        <f t="shared" ref="DN51" si="276">DN49+DN44</f>
      </c>
      <c r="DO51" s="1206">
        <f t="shared" ref="DO51:DQ51" si="277">DO49+DO44</f>
      </c>
      <c r="DP51" s="1206">
        <f t="shared" si="277"/>
      </c>
      <c r="DQ51" s="1207">
        <f t="shared" si="277"/>
      </c>
      <c r="DR51" s="1206">
        <f t="shared" ref="DR51:DU51" si="278">DR49+DR44</f>
      </c>
      <c r="DS51" s="1206">
        <f t="shared" si="278"/>
      </c>
      <c r="DT51" s="1206">
        <f t="shared" si="278"/>
      </c>
      <c r="DU51" s="1207">
        <f t="shared" si="278"/>
      </c>
      <c r="DV51" s="1206">
        <f t="shared" ref="DV51:EK51" si="279">DV49+DV44</f>
      </c>
      <c r="DW51" s="1206">
        <f t="shared" si="279"/>
      </c>
      <c r="DX51" s="1206">
        <f t="shared" si="279"/>
      </c>
      <c r="DY51" s="1207">
        <f t="shared" si="279"/>
      </c>
      <c r="DZ51" s="1206">
        <f t="shared" si="279"/>
      </c>
      <c r="EA51" s="1206">
        <f t="shared" si="279"/>
      </c>
      <c r="EB51" s="1206">
        <f t="shared" si="279"/>
      </c>
      <c r="EC51" s="1207">
        <f t="shared" si="279"/>
      </c>
      <c r="ED51" s="1206">
        <f t="shared" si="279"/>
      </c>
      <c r="EE51" s="1206">
        <f t="shared" si="279"/>
      </c>
      <c r="EF51" s="1206">
        <f t="shared" si="279"/>
      </c>
      <c r="EG51" s="1207">
        <f t="shared" si="279"/>
      </c>
      <c r="EH51" s="1206">
        <f t="shared" si="279"/>
      </c>
      <c r="EI51" s="1206">
        <f t="shared" si="279"/>
      </c>
      <c r="EJ51" s="1206">
        <f t="shared" si="279"/>
      </c>
      <c r="EK51" s="1207">
        <f t="shared" si="279"/>
      </c>
      <c r="EN51" s="1206">
        <f t="shared" ref="EN51:FL51" si="280">EN49+EN44</f>
      </c>
      <c r="EO51" s="1206">
        <f t="shared" si="280"/>
      </c>
      <c r="EP51" s="1206">
        <f t="shared" si="280"/>
      </c>
      <c r="EQ51" s="1206">
        <f t="shared" si="280"/>
      </c>
      <c r="ER51" s="1206">
        <f t="shared" si="280"/>
      </c>
      <c r="ES51" s="1206">
        <f t="shared" si="280"/>
      </c>
      <c r="ET51" s="1206">
        <f t="shared" si="280"/>
      </c>
      <c r="EU51" s="1206">
        <f t="shared" si="280"/>
      </c>
      <c r="EV51" s="1206">
        <f t="shared" si="280"/>
      </c>
      <c r="EW51" s="1206">
        <f t="shared" si="280"/>
      </c>
      <c r="EX51" s="1206">
        <f t="shared" si="280"/>
      </c>
      <c r="EY51" s="1206">
        <f t="shared" si="280"/>
      </c>
      <c r="EZ51" s="1206">
        <f t="shared" si="280"/>
      </c>
      <c r="FA51" s="1206">
        <f t="shared" si="280"/>
      </c>
      <c r="FB51" s="1206">
        <f t="shared" si="280"/>
      </c>
      <c r="FC51" s="1206">
        <f t="shared" si="280"/>
      </c>
      <c r="FD51" s="1206">
        <f t="shared" si="280"/>
      </c>
      <c r="FE51" s="1206">
        <f t="shared" si="280"/>
      </c>
      <c r="FF51" s="1206">
        <f t="shared" si="280"/>
      </c>
      <c r="FG51" s="1206">
        <f t="shared" si="280"/>
      </c>
      <c r="FH51" s="1206">
        <f t="shared" si="280"/>
      </c>
      <c r="FI51" s="1206">
        <f t="shared" si="280"/>
      </c>
      <c r="FJ51" s="1206">
        <f t="shared" si="280"/>
      </c>
      <c r="FK51" s="1206">
        <f t="shared" si="280"/>
      </c>
      <c r="FL51" s="1206">
        <f t="shared" si="280"/>
      </c>
      <c r="FM51" s="1206">
        <f>FM49+FM44</f>
      </c>
      <c r="FN51" s="1206">
        <f>FN49+FN44</f>
      </c>
      <c r="FO51" s="1206">
        <f>+DI51</f>
      </c>
      <c r="FP51" s="1206">
        <f>+DM51</f>
      </c>
      <c r="FQ51" s="1206">
        <f>+DQ51</f>
      </c>
      <c r="FR51" s="1206">
        <f>+DU51</f>
      </c>
      <c r="FS51" s="1206">
        <f>DY51</f>
      </c>
      <c r="FT51" s="1206">
        <f>EC51</f>
      </c>
      <c r="FU51" s="1206">
        <f>EG51</f>
      </c>
      <c r="FV51" s="1206">
        <f>EK51</f>
      </c>
      <c r="FZ51" s="15"/>
      <c r="GA51" s="15"/>
    </row>
    <row r="52" spans="1:183" ht="10.8" thickTop="1">
      <c r="E52" s="170"/>
      <c r="I52" s="170"/>
      <c r="M52" s="170"/>
      <c r="Q52" s="170"/>
      <c r="U52" s="170"/>
      <c r="Y52" s="170"/>
      <c r="AC52" s="170"/>
      <c r="AG52" s="170"/>
      <c r="AK52" s="170"/>
      <c r="AO52" s="170"/>
      <c r="AS52" s="170"/>
      <c r="AW52" s="170"/>
      <c r="BA52" s="170"/>
      <c r="BE52" s="170"/>
      <c r="BI52" s="170"/>
      <c r="BM52" s="170"/>
      <c r="BQ52" s="170"/>
      <c r="BU52" s="170"/>
      <c r="BY52" s="170"/>
      <c r="CC52" s="170"/>
      <c r="CG52" s="170"/>
      <c r="CK52" s="170"/>
      <c r="CO52" s="170"/>
      <c r="CS52" s="170"/>
      <c r="CU52" s="89"/>
      <c r="CV52" s="89"/>
      <c r="CW52" s="260"/>
      <c r="CX52" s="483"/>
      <c r="CY52" s="89"/>
      <c r="CZ52" s="89"/>
      <c r="DA52" s="260"/>
      <c r="DB52" s="483"/>
      <c r="DE52" s="260"/>
      <c r="DI52" s="260"/>
      <c r="DM52" s="260"/>
      <c r="DQ52" s="260"/>
      <c r="DU52" s="260"/>
      <c r="DY52" s="260"/>
      <c r="EC52" s="260"/>
      <c r="EG52" s="260"/>
      <c r="EK52" s="260"/>
      <c r="FK52" s="15"/>
      <c r="FL52" s="15"/>
      <c r="FM52" s="15"/>
      <c r="FN52" s="15"/>
      <c r="FO52" s="15"/>
      <c r="FP52" s="15"/>
      <c r="FQ52" s="15"/>
      <c r="FR52" s="15"/>
      <c r="FS52" s="15"/>
      <c r="FT52" s="15"/>
      <c r="FU52" s="15"/>
      <c r="FV52" s="15"/>
      <c r="FW52" s="11"/>
      <c r="FX52" s="11"/>
      <c r="FY52" s="11"/>
    </row>
    <row r="53" spans="1:183" s="40" customFormat="1" ht="10.199999999999999">
      <c r="A53" s="1209" t="s">
        <v>82</v>
      </c>
      <c r="B53" s="40">
        <f t="shared" ref="B53:AG53" si="281">+B27-B51</f>
      </c>
      <c r="C53" s="40">
        <f t="shared" si="281"/>
      </c>
      <c r="D53" s="40">
        <f t="shared" si="281"/>
      </c>
      <c r="E53" s="239">
        <f t="shared" si="281"/>
      </c>
      <c r="F53" s="40">
        <f t="shared" si="281"/>
      </c>
      <c r="G53" s="40">
        <f t="shared" si="281"/>
      </c>
      <c r="H53" s="40">
        <f t="shared" si="281"/>
      </c>
      <c r="I53" s="239">
        <f t="shared" si="281"/>
      </c>
      <c r="J53" s="40">
        <f t="shared" si="281"/>
      </c>
      <c r="K53" s="40">
        <f t="shared" si="281"/>
      </c>
      <c r="L53" s="40">
        <f t="shared" si="281"/>
      </c>
      <c r="M53" s="239">
        <f t="shared" si="281"/>
      </c>
      <c r="N53" s="40">
        <f t="shared" si="281"/>
      </c>
      <c r="O53" s="40">
        <f t="shared" si="281"/>
      </c>
      <c r="P53" s="40">
        <f t="shared" si="281"/>
      </c>
      <c r="Q53" s="239">
        <f t="shared" si="281"/>
      </c>
      <c r="R53" s="40">
        <f t="shared" si="281"/>
      </c>
      <c r="S53" s="40">
        <f t="shared" si="281"/>
      </c>
      <c r="T53" s="40">
        <f t="shared" si="281"/>
      </c>
      <c r="U53" s="239">
        <f t="shared" si="281"/>
      </c>
      <c r="V53" s="40">
        <f t="shared" si="281"/>
      </c>
      <c r="W53" s="40">
        <f t="shared" si="281"/>
      </c>
      <c r="X53" s="40">
        <f t="shared" si="281"/>
      </c>
      <c r="Y53" s="239">
        <f t="shared" si="281"/>
      </c>
      <c r="Z53" s="40">
        <f t="shared" si="281"/>
      </c>
      <c r="AA53" s="40">
        <f t="shared" si="281"/>
      </c>
      <c r="AB53" s="40">
        <f t="shared" si="281"/>
      </c>
      <c r="AC53" s="239">
        <f t="shared" si="281"/>
      </c>
      <c r="AD53" s="40">
        <f t="shared" si="281"/>
      </c>
      <c r="AE53" s="40">
        <f t="shared" si="281"/>
      </c>
      <c r="AF53" s="40">
        <f t="shared" si="281"/>
      </c>
      <c r="AG53" s="239">
        <f t="shared" si="281"/>
      </c>
      <c r="AH53" s="40">
        <f t="shared" ref="AH53:BM53" si="282">+AH27-AH51</f>
      </c>
      <c r="AI53" s="40">
        <f t="shared" si="282"/>
      </c>
      <c r="AJ53" s="40">
        <f t="shared" si="282"/>
      </c>
      <c r="AK53" s="239">
        <f t="shared" si="282"/>
      </c>
      <c r="AL53" s="40">
        <f t="shared" si="282"/>
      </c>
      <c r="AM53" s="40">
        <f t="shared" si="282"/>
      </c>
      <c r="AN53" s="40">
        <f t="shared" si="282"/>
      </c>
      <c r="AO53" s="239">
        <f t="shared" si="282"/>
      </c>
      <c r="AP53" s="40">
        <f t="shared" si="282"/>
      </c>
      <c r="AQ53" s="40">
        <f t="shared" si="282"/>
      </c>
      <c r="AR53" s="40">
        <f t="shared" si="282"/>
      </c>
      <c r="AS53" s="239">
        <f t="shared" si="282"/>
      </c>
      <c r="AT53" s="40">
        <f t="shared" si="282"/>
      </c>
      <c r="AU53" s="40">
        <f t="shared" si="282"/>
      </c>
      <c r="AV53" s="40">
        <f t="shared" si="282"/>
      </c>
      <c r="AW53" s="239">
        <f t="shared" si="282"/>
      </c>
      <c r="AX53" s="40">
        <f t="shared" si="282"/>
      </c>
      <c r="AY53" s="40">
        <f t="shared" si="282"/>
      </c>
      <c r="AZ53" s="40">
        <f t="shared" si="282"/>
      </c>
      <c r="BA53" s="239">
        <f t="shared" si="282"/>
      </c>
      <c r="BB53" s="40">
        <f t="shared" si="282"/>
      </c>
      <c r="BC53" s="40">
        <f t="shared" si="282"/>
      </c>
      <c r="BD53" s="40">
        <f t="shared" si="282"/>
      </c>
      <c r="BE53" s="239">
        <f t="shared" si="282"/>
      </c>
      <c r="BF53" s="40">
        <f t="shared" si="282"/>
      </c>
      <c r="BG53" s="40">
        <f t="shared" si="282"/>
      </c>
      <c r="BH53" s="40">
        <f t="shared" si="282"/>
      </c>
      <c r="BI53" s="239">
        <f t="shared" si="282"/>
      </c>
      <c r="BJ53" s="40">
        <f t="shared" si="282"/>
      </c>
      <c r="BK53" s="40">
        <f t="shared" si="282"/>
      </c>
      <c r="BL53" s="40">
        <f t="shared" si="282"/>
      </c>
      <c r="BM53" s="239">
        <f t="shared" si="282"/>
      </c>
      <c r="BN53" s="40">
        <f t="shared" ref="BN53:CS53" si="283">+BN27-BN51</f>
      </c>
      <c r="BO53" s="40">
        <f t="shared" si="283"/>
      </c>
      <c r="BP53" s="40">
        <f t="shared" si="283"/>
      </c>
      <c r="BQ53" s="239">
        <f t="shared" si="283"/>
      </c>
      <c r="BR53" s="40">
        <f t="shared" si="283"/>
      </c>
      <c r="BS53" s="40">
        <f t="shared" si="283"/>
      </c>
      <c r="BT53" s="40">
        <f t="shared" si="283"/>
      </c>
      <c r="BU53" s="239">
        <f t="shared" si="283"/>
      </c>
      <c r="BV53" s="40">
        <f t="shared" si="283"/>
      </c>
      <c r="BW53" s="40">
        <f t="shared" si="283"/>
      </c>
      <c r="BX53" s="40">
        <f t="shared" si="283"/>
      </c>
      <c r="BY53" s="239">
        <f t="shared" si="283"/>
      </c>
      <c r="BZ53" s="40">
        <f t="shared" si="283"/>
      </c>
      <c r="CA53" s="40">
        <f t="shared" si="283"/>
      </c>
      <c r="CB53" s="40">
        <f t="shared" si="283"/>
      </c>
      <c r="CC53" s="239">
        <f t="shared" si="283"/>
      </c>
      <c r="CD53" s="40">
        <f t="shared" si="283"/>
      </c>
      <c r="CE53" s="40">
        <f t="shared" si="283"/>
      </c>
      <c r="CF53" s="40">
        <f t="shared" si="283"/>
      </c>
      <c r="CG53" s="239">
        <f t="shared" si="283"/>
      </c>
      <c r="CH53" s="40">
        <f t="shared" si="283"/>
      </c>
      <c r="CI53" s="40">
        <f t="shared" si="283"/>
      </c>
      <c r="CJ53" s="40">
        <f t="shared" si="283"/>
      </c>
      <c r="CK53" s="239">
        <f t="shared" si="283"/>
      </c>
      <c r="CL53" s="40">
        <f t="shared" si="283"/>
      </c>
      <c r="CM53" s="40">
        <f t="shared" si="283"/>
      </c>
      <c r="CN53" s="40">
        <f t="shared" si="283"/>
      </c>
      <c r="CO53" s="239">
        <f t="shared" si="283"/>
      </c>
      <c r="CP53" s="303">
        <f t="shared" si="283"/>
      </c>
      <c r="CQ53" s="303">
        <f t="shared" si="283"/>
      </c>
      <c r="CR53" s="303">
        <f t="shared" si="283"/>
      </c>
      <c r="CS53" s="304">
        <f t="shared" si="283"/>
      </c>
      <c r="CT53" s="303">
        <f t="shared" ref="CT53:DU53" si="284">+CT27-CT51</f>
      </c>
      <c r="CU53" s="431">
        <f t="shared" si="284"/>
      </c>
      <c r="CV53" s="431">
        <f t="shared" si="284"/>
      </c>
      <c r="CW53" s="432">
        <f t="shared" si="284"/>
      </c>
      <c r="CX53" s="484">
        <f t="shared" si="284"/>
      </c>
      <c r="CY53" s="431">
        <f t="shared" si="284"/>
      </c>
      <c r="CZ53" s="431">
        <f t="shared" si="284"/>
      </c>
      <c r="DA53" s="432">
        <f t="shared" si="284"/>
      </c>
      <c r="DB53" s="484">
        <f t="shared" si="284"/>
      </c>
      <c r="DC53" s="431">
        <f t="shared" si="284"/>
      </c>
      <c r="DD53" s="431">
        <f t="shared" si="284"/>
      </c>
      <c r="DE53" s="432">
        <f t="shared" si="284"/>
      </c>
      <c r="DF53" s="431">
        <f t="shared" si="284"/>
      </c>
      <c r="DG53" s="431">
        <f t="shared" si="284"/>
      </c>
      <c r="DH53" s="431">
        <f t="shared" si="284"/>
      </c>
      <c r="DI53" s="432">
        <f t="shared" si="284"/>
      </c>
      <c r="DJ53" s="431">
        <f t="shared" si="284"/>
      </c>
      <c r="DK53" s="431">
        <f t="shared" si="284"/>
      </c>
      <c r="DL53" s="431">
        <f t="shared" si="284"/>
      </c>
      <c r="DM53" s="432">
        <f t="shared" si="284"/>
      </c>
      <c r="DN53" s="431">
        <f t="shared" ref="DN53" si="285">+DN27-DN51</f>
      </c>
      <c r="DO53" s="431">
        <f t="shared" si="284"/>
      </c>
      <c r="DP53" s="431">
        <f t="shared" si="284"/>
      </c>
      <c r="DQ53" s="432">
        <f t="shared" si="284"/>
      </c>
      <c r="DR53" s="431">
        <f t="shared" si="284"/>
      </c>
      <c r="DS53" s="431">
        <f t="shared" si="284"/>
      </c>
      <c r="DT53" s="431">
        <f t="shared" si="284"/>
      </c>
      <c r="DU53" s="432">
        <f t="shared" si="284"/>
      </c>
      <c r="DV53" s="431">
        <f t="shared" ref="DV53:EK53" si="286">+DV27-DV51</f>
      </c>
      <c r="DW53" s="431">
        <f t="shared" si="286"/>
      </c>
      <c r="DX53" s="431">
        <f t="shared" si="286"/>
      </c>
      <c r="DY53" s="432">
        <f t="shared" si="286"/>
      </c>
      <c r="DZ53" s="431">
        <f t="shared" si="286"/>
      </c>
      <c r="EA53" s="431">
        <f t="shared" si="286"/>
      </c>
      <c r="EB53" s="431">
        <f t="shared" si="286"/>
      </c>
      <c r="EC53" s="432">
        <f t="shared" si="286"/>
      </c>
      <c r="ED53" s="431">
        <f t="shared" si="286"/>
      </c>
      <c r="EE53" s="431">
        <f t="shared" si="286"/>
      </c>
      <c r="EF53" s="431">
        <f t="shared" si="286"/>
      </c>
      <c r="EG53" s="432">
        <f t="shared" si="286"/>
      </c>
      <c r="EH53" s="431">
        <f t="shared" si="286"/>
      </c>
      <c r="EI53" s="431">
        <f t="shared" si="286"/>
      </c>
      <c r="EJ53" s="431">
        <f t="shared" si="286"/>
      </c>
      <c r="EK53" s="432">
        <f t="shared" si="286"/>
      </c>
      <c r="EN53" s="40">
        <f t="shared" ref="EN53:FR53" si="287">+EN27-EN51</f>
      </c>
      <c r="EO53" s="40">
        <f t="shared" si="287"/>
      </c>
      <c r="EP53" s="40">
        <f t="shared" si="287"/>
      </c>
      <c r="EQ53" s="40">
        <f t="shared" si="287"/>
      </c>
      <c r="ER53" s="40">
        <f t="shared" si="287"/>
      </c>
      <c r="ES53" s="40">
        <f t="shared" si="287"/>
      </c>
      <c r="ET53" s="40">
        <f t="shared" si="287"/>
      </c>
      <c r="EU53" s="40">
        <f t="shared" si="287"/>
      </c>
      <c r="EV53" s="40">
        <f t="shared" si="287"/>
      </c>
      <c r="EW53" s="40">
        <f t="shared" si="287"/>
      </c>
      <c r="EX53" s="40">
        <f t="shared" si="287"/>
      </c>
      <c r="EY53" s="40">
        <f t="shared" si="287"/>
      </c>
      <c r="EZ53" s="40">
        <f t="shared" si="287"/>
      </c>
      <c r="FA53" s="40">
        <f t="shared" si="287"/>
      </c>
      <c r="FB53" s="40">
        <f t="shared" si="287"/>
      </c>
      <c r="FC53" s="40">
        <f t="shared" si="287"/>
      </c>
      <c r="FD53" s="40">
        <f t="shared" si="287"/>
      </c>
      <c r="FE53" s="40">
        <f t="shared" si="287"/>
      </c>
      <c r="FF53" s="40">
        <f t="shared" si="287"/>
      </c>
      <c r="FG53" s="40">
        <f t="shared" si="287"/>
      </c>
      <c r="FH53" s="40">
        <f t="shared" si="287"/>
      </c>
      <c r="FI53" s="40">
        <f t="shared" si="287"/>
      </c>
      <c r="FJ53" s="40">
        <f t="shared" si="287"/>
      </c>
      <c r="FK53" s="40">
        <f t="shared" si="287"/>
      </c>
      <c r="FL53" s="40">
        <f t="shared" si="287"/>
      </c>
      <c r="FM53" s="40">
        <f t="shared" si="287"/>
      </c>
      <c r="FN53" s="40">
        <f t="shared" si="287"/>
      </c>
      <c r="FO53" s="40">
        <f t="shared" si="287"/>
      </c>
      <c r="FP53" s="40">
        <f t="shared" si="287"/>
      </c>
      <c r="FQ53" s="40">
        <f t="shared" si="287"/>
      </c>
      <c r="FR53" s="40">
        <f t="shared" si="287"/>
      </c>
      <c r="FS53" s="40">
        <f t="shared" ref="FS53:FV53" si="288">+FS27-FS51</f>
      </c>
      <c r="FT53" s="40">
        <f t="shared" si="288"/>
      </c>
      <c r="FU53" s="40">
        <f t="shared" si="288"/>
      </c>
      <c r="FV53" s="40">
        <f t="shared" si="288"/>
      </c>
    </row>
    <row r="54" spans="1:183" s="40" customFormat="1" ht="10.199999999999999">
      <c r="E54" s="239"/>
      <c r="I54" s="239"/>
      <c r="M54" s="239"/>
      <c r="Q54" s="239"/>
      <c r="U54" s="239"/>
      <c r="Y54" s="239"/>
      <c r="AC54" s="239"/>
      <c r="AG54" s="239"/>
      <c r="AK54" s="239"/>
      <c r="AO54" s="239"/>
      <c r="AS54" s="239"/>
      <c r="AW54" s="239"/>
      <c r="BA54" s="239"/>
      <c r="BE54" s="239"/>
      <c r="BI54" s="239"/>
      <c r="BM54" s="239"/>
      <c r="BQ54" s="239"/>
      <c r="BU54" s="239"/>
      <c r="BY54" s="239"/>
      <c r="CC54" s="239"/>
      <c r="CG54" s="239"/>
      <c r="CK54" s="239"/>
      <c r="CO54" s="239"/>
      <c r="CS54" s="239"/>
      <c r="CU54" s="433"/>
      <c r="CV54" s="433"/>
      <c r="CW54" s="434"/>
      <c r="CX54" s="485"/>
      <c r="CY54" s="433"/>
      <c r="CZ54" s="433"/>
      <c r="DA54" s="434"/>
      <c r="DB54" s="433"/>
      <c r="DC54" s="433"/>
      <c r="DD54" s="433"/>
      <c r="DE54" s="434"/>
      <c r="DF54" s="433"/>
      <c r="DG54" s="433"/>
      <c r="DH54" s="433"/>
      <c r="DI54" s="434"/>
      <c r="DJ54" s="433"/>
      <c r="DK54" s="433"/>
      <c r="DL54" s="433"/>
      <c r="DM54" s="434"/>
      <c r="DN54" s="433"/>
      <c r="DO54" s="433"/>
      <c r="DP54" s="433"/>
      <c r="DQ54" s="434"/>
      <c r="DR54" s="433"/>
      <c r="DS54" s="433"/>
      <c r="DT54" s="433"/>
      <c r="DU54" s="434"/>
      <c r="DV54" s="433"/>
      <c r="DW54" s="433"/>
      <c r="DX54" s="433"/>
      <c r="DY54" s="434"/>
      <c r="DZ54" s="433"/>
      <c r="EA54" s="433"/>
      <c r="EB54" s="433"/>
      <c r="EC54" s="434"/>
      <c r="ED54" s="433"/>
      <c r="EE54" s="433"/>
      <c r="EF54" s="433"/>
      <c r="EG54" s="434"/>
      <c r="EH54" s="433"/>
      <c r="EI54" s="433"/>
      <c r="EJ54" s="433"/>
      <c r="EK54" s="434"/>
    </row>
    <row r="55" spans="1:183" s="40" customFormat="1" ht="10.199999999999999">
      <c r="A55" s="202" t="s">
        <v>913</v>
      </c>
      <c r="B55" s="203"/>
      <c r="C55" s="203"/>
      <c r="D55" s="203"/>
      <c r="E55" s="240"/>
      <c r="F55" s="203"/>
      <c r="G55" s="203"/>
      <c r="H55" s="203"/>
      <c r="I55" s="240"/>
      <c r="J55" s="203"/>
      <c r="K55" s="203"/>
      <c r="L55" s="203"/>
      <c r="M55" s="240"/>
      <c r="N55" s="203"/>
      <c r="O55" s="203"/>
      <c r="P55" s="203"/>
      <c r="Q55" s="240"/>
      <c r="R55" s="203"/>
      <c r="S55" s="203"/>
      <c r="T55" s="203"/>
      <c r="U55" s="240"/>
      <c r="V55" s="203"/>
      <c r="W55" s="203"/>
      <c r="X55" s="203"/>
      <c r="Y55" s="240"/>
      <c r="Z55" s="203"/>
      <c r="AA55" s="203"/>
      <c r="AB55" s="203"/>
      <c r="AC55" s="240"/>
      <c r="AD55" s="203"/>
      <c r="AE55" s="203"/>
      <c r="AF55" s="203"/>
      <c r="AG55" s="240"/>
      <c r="AH55" s="203"/>
      <c r="AI55" s="203"/>
      <c r="AJ55" s="203"/>
      <c r="AK55" s="240"/>
      <c r="AL55" s="203"/>
      <c r="AM55" s="203"/>
      <c r="AN55" s="203"/>
      <c r="AO55" s="240"/>
      <c r="AP55" s="203"/>
      <c r="AQ55" s="203"/>
      <c r="AR55" s="203"/>
      <c r="AS55" s="240"/>
      <c r="AT55" s="203"/>
      <c r="AU55" s="203"/>
      <c r="AV55" s="203"/>
      <c r="AW55" s="240"/>
      <c r="AX55" s="203"/>
      <c r="AY55" s="203"/>
      <c r="AZ55" s="203"/>
      <c r="BA55" s="240"/>
      <c r="BB55" s="203"/>
      <c r="BC55" s="203"/>
      <c r="BD55" s="203"/>
      <c r="BE55" s="240"/>
      <c r="BF55" s="203"/>
      <c r="BG55" s="203"/>
      <c r="BH55" s="203"/>
      <c r="BI55" s="240"/>
      <c r="BJ55" s="203"/>
      <c r="BK55" s="203"/>
      <c r="BL55" s="203"/>
      <c r="BM55" s="240"/>
      <c r="BN55" s="203"/>
      <c r="BO55" s="203"/>
      <c r="BP55" s="203"/>
      <c r="BQ55" s="240"/>
      <c r="BR55" s="203"/>
      <c r="BS55" s="203"/>
      <c r="BT55" s="203"/>
      <c r="BU55" s="240"/>
      <c r="BV55" s="203"/>
      <c r="BW55" s="203"/>
      <c r="BX55" s="203"/>
      <c r="BY55" s="240"/>
      <c r="BZ55" s="203"/>
      <c r="CA55" s="203"/>
      <c r="CB55" s="203"/>
      <c r="CC55" s="240"/>
      <c r="CD55" s="203"/>
      <c r="CE55" s="203"/>
      <c r="CF55" s="203"/>
      <c r="CG55" s="240"/>
      <c r="CH55" s="203"/>
      <c r="CI55" s="203"/>
      <c r="CJ55" s="203"/>
      <c r="CK55" s="240"/>
      <c r="CL55" s="203"/>
      <c r="CM55" s="293"/>
      <c r="CN55" s="203"/>
      <c r="CO55" s="240"/>
      <c r="CP55" s="203"/>
      <c r="CQ55" s="203"/>
      <c r="CR55" s="203"/>
      <c r="CS55" s="240"/>
      <c r="CT55" s="203"/>
      <c r="CU55" s="435"/>
      <c r="CV55" s="435"/>
      <c r="CW55" s="436"/>
      <c r="CX55" s="486"/>
      <c r="CY55" s="2910"/>
      <c r="CZ55" s="2910"/>
      <c r="DA55" s="2911"/>
      <c r="DB55" s="2910"/>
      <c r="DC55" s="2910"/>
      <c r="DD55" s="2910"/>
      <c r="DE55" s="2911"/>
      <c r="DF55" s="2910"/>
      <c r="DG55" s="2910"/>
      <c r="DH55" s="435"/>
      <c r="DI55" s="436"/>
      <c r="DJ55" s="435"/>
      <c r="DK55" s="435"/>
      <c r="DL55" s="435"/>
      <c r="DM55" s="436"/>
      <c r="DN55" s="435"/>
      <c r="DO55" s="435"/>
      <c r="DP55" s="435"/>
      <c r="DQ55" s="436"/>
      <c r="DR55" s="435"/>
      <c r="DS55" s="435"/>
      <c r="DT55" s="435"/>
      <c r="DU55" s="436"/>
      <c r="DV55" s="435"/>
      <c r="DW55" s="435"/>
      <c r="DX55" s="435"/>
      <c r="DY55" s="436"/>
      <c r="DZ55" s="435"/>
      <c r="EA55" s="435"/>
      <c r="EB55" s="435"/>
      <c r="EC55" s="436"/>
      <c r="ED55" s="435"/>
      <c r="EE55" s="435"/>
      <c r="EF55" s="435"/>
      <c r="EG55" s="436"/>
      <c r="EH55" s="435"/>
      <c r="EI55" s="435"/>
      <c r="EJ55" s="435"/>
      <c r="EK55" s="436"/>
    </row>
    <row r="56" spans="1:183" ht="10.199999999999999">
      <c r="A56" s="11" t="s">
        <v>1500</v>
      </c>
      <c r="B56" s="15">
        <f t="shared" ref="B56:AG56" si="289">B11+B12+B20</f>
      </c>
      <c r="C56" s="15">
        <f t="shared" si="289"/>
      </c>
      <c r="D56" s="15">
        <f t="shared" si="289"/>
      </c>
      <c r="E56" s="174">
        <f t="shared" si="289"/>
      </c>
      <c r="F56" s="15">
        <f t="shared" si="289"/>
      </c>
      <c r="G56" s="15">
        <f t="shared" si="289"/>
      </c>
      <c r="H56" s="15">
        <f t="shared" si="289"/>
      </c>
      <c r="I56" s="174">
        <f t="shared" si="289"/>
      </c>
      <c r="J56" s="15">
        <f t="shared" si="289"/>
      </c>
      <c r="K56" s="15">
        <f t="shared" si="289"/>
      </c>
      <c r="L56" s="15">
        <f t="shared" si="289"/>
      </c>
      <c r="M56" s="174">
        <f t="shared" si="289"/>
      </c>
      <c r="N56" s="15">
        <f t="shared" si="289"/>
      </c>
      <c r="O56" s="15">
        <f t="shared" si="289"/>
      </c>
      <c r="P56" s="15">
        <f t="shared" si="289"/>
      </c>
      <c r="Q56" s="174">
        <f t="shared" si="289"/>
      </c>
      <c r="R56" s="15">
        <f t="shared" si="289"/>
      </c>
      <c r="S56" s="15">
        <f t="shared" si="289"/>
      </c>
      <c r="T56" s="15">
        <f t="shared" si="289"/>
      </c>
      <c r="U56" s="174">
        <f t="shared" si="289"/>
      </c>
      <c r="V56" s="15">
        <f t="shared" si="289"/>
      </c>
      <c r="W56" s="15">
        <f t="shared" si="289"/>
      </c>
      <c r="X56" s="15">
        <f t="shared" si="289"/>
      </c>
      <c r="Y56" s="174">
        <f t="shared" si="289"/>
      </c>
      <c r="Z56" s="15">
        <f t="shared" si="289"/>
      </c>
      <c r="AA56" s="15">
        <f t="shared" si="289"/>
      </c>
      <c r="AB56" s="15">
        <f t="shared" si="289"/>
      </c>
      <c r="AC56" s="174">
        <f t="shared" si="289"/>
      </c>
      <c r="AD56" s="15">
        <f t="shared" si="289"/>
      </c>
      <c r="AE56" s="15">
        <f t="shared" si="289"/>
      </c>
      <c r="AF56" s="15">
        <f t="shared" si="289"/>
      </c>
      <c r="AG56" s="174">
        <f t="shared" si="289"/>
      </c>
      <c r="AH56" s="15">
        <f t="shared" ref="AH56:BM56" si="290">AH11+AH12+AH20</f>
      </c>
      <c r="AI56" s="15">
        <f t="shared" si="290"/>
      </c>
      <c r="AJ56" s="15">
        <f t="shared" si="290"/>
      </c>
      <c r="AK56" s="174">
        <f t="shared" si="290"/>
      </c>
      <c r="AL56" s="15">
        <f t="shared" si="290"/>
      </c>
      <c r="AM56" s="15">
        <f t="shared" si="290"/>
      </c>
      <c r="AN56" s="15">
        <f t="shared" si="290"/>
      </c>
      <c r="AO56" s="174">
        <f t="shared" si="290"/>
      </c>
      <c r="AP56" s="15">
        <f t="shared" si="290"/>
      </c>
      <c r="AQ56" s="15">
        <f t="shared" si="290"/>
      </c>
      <c r="AR56" s="15">
        <f t="shared" si="290"/>
      </c>
      <c r="AS56" s="174">
        <f t="shared" si="290"/>
      </c>
      <c r="AT56" s="15">
        <f t="shared" si="290"/>
      </c>
      <c r="AU56" s="15">
        <f t="shared" si="290"/>
      </c>
      <c r="AV56" s="15">
        <f t="shared" si="290"/>
      </c>
      <c r="AW56" s="174">
        <f t="shared" si="290"/>
      </c>
      <c r="AX56" s="15">
        <f t="shared" si="290"/>
      </c>
      <c r="AY56" s="15">
        <f t="shared" si="290"/>
      </c>
      <c r="AZ56" s="15">
        <f t="shared" si="290"/>
      </c>
      <c r="BA56" s="174">
        <f t="shared" si="290"/>
      </c>
      <c r="BB56" s="15">
        <f t="shared" si="290"/>
      </c>
      <c r="BC56" s="15">
        <f t="shared" si="290"/>
      </c>
      <c r="BD56" s="15">
        <f t="shared" si="290"/>
      </c>
      <c r="BE56" s="174">
        <f t="shared" si="290"/>
      </c>
      <c r="BF56" s="15">
        <f t="shared" si="290"/>
      </c>
      <c r="BG56" s="15">
        <f t="shared" si="290"/>
      </c>
      <c r="BH56" s="15">
        <f t="shared" si="290"/>
      </c>
      <c r="BI56" s="174">
        <f t="shared" si="290"/>
      </c>
      <c r="BJ56" s="15">
        <f t="shared" si="290"/>
      </c>
      <c r="BK56" s="15">
        <f t="shared" si="290"/>
      </c>
      <c r="BL56" s="15">
        <f t="shared" si="290"/>
      </c>
      <c r="BM56" s="174">
        <f t="shared" si="290"/>
      </c>
      <c r="BN56" s="15">
        <f t="shared" ref="BN56:CS56" si="291">BN11+BN12+BN20</f>
      </c>
      <c r="BO56" s="15">
        <f t="shared" si="291"/>
      </c>
      <c r="BP56" s="15">
        <f t="shared" si="291"/>
      </c>
      <c r="BQ56" s="174">
        <f t="shared" si="291"/>
      </c>
      <c r="BR56" s="15">
        <f t="shared" si="291"/>
      </c>
      <c r="BS56" s="15">
        <f t="shared" si="291"/>
      </c>
      <c r="BT56" s="15">
        <f t="shared" si="291"/>
      </c>
      <c r="BU56" s="174">
        <f t="shared" si="291"/>
      </c>
      <c r="BV56" s="15">
        <f t="shared" si="291"/>
      </c>
      <c r="BW56" s="15">
        <f t="shared" si="291"/>
      </c>
      <c r="BX56" s="15">
        <f t="shared" si="291"/>
      </c>
      <c r="BY56" s="174">
        <f t="shared" si="291"/>
      </c>
      <c r="BZ56" s="15">
        <f t="shared" si="291"/>
      </c>
      <c r="CA56" s="15">
        <f t="shared" si="291"/>
      </c>
      <c r="CB56" s="15">
        <f t="shared" si="291"/>
      </c>
      <c r="CC56" s="174">
        <f t="shared" si="291"/>
      </c>
      <c r="CD56" s="15">
        <f t="shared" si="291"/>
      </c>
      <c r="CE56" s="15">
        <f t="shared" si="291"/>
      </c>
      <c r="CF56" s="15">
        <f t="shared" si="291"/>
      </c>
      <c r="CG56" s="174">
        <f t="shared" si="291"/>
      </c>
      <c r="CH56" s="15">
        <f t="shared" si="291"/>
      </c>
      <c r="CI56" s="15">
        <f t="shared" si="291"/>
      </c>
      <c r="CJ56" s="15">
        <f t="shared" si="291"/>
      </c>
      <c r="CK56" s="174">
        <f t="shared" si="291"/>
      </c>
      <c r="CL56" s="15">
        <f t="shared" si="291"/>
      </c>
      <c r="CM56" s="15">
        <f t="shared" si="291"/>
      </c>
      <c r="CN56" s="15">
        <f t="shared" si="291"/>
      </c>
      <c r="CO56" s="174">
        <f t="shared" si="291"/>
      </c>
      <c r="CP56" s="15">
        <f t="shared" si="291"/>
      </c>
      <c r="CQ56" s="15">
        <f t="shared" si="291"/>
      </c>
      <c r="CR56" s="15">
        <f t="shared" si="291"/>
      </c>
      <c r="CS56" s="174">
        <f t="shared" si="291"/>
      </c>
      <c r="CT56" s="15">
        <f t="shared" ref="CT56:DU56" si="292">CT11+CT12+CT20</f>
      </c>
      <c r="CU56" s="62">
        <f t="shared" si="292"/>
      </c>
      <c r="CV56" s="62">
        <f t="shared" si="292"/>
      </c>
      <c r="CW56" s="226">
        <f t="shared" si="292"/>
      </c>
      <c r="CX56" s="476">
        <f t="shared" si="292"/>
      </c>
      <c r="CY56" s="62">
        <f t="shared" si="292"/>
      </c>
      <c r="CZ56" s="62">
        <f t="shared" si="292"/>
      </c>
      <c r="DA56" s="226">
        <f t="shared" si="292"/>
      </c>
      <c r="DB56" s="476">
        <f t="shared" si="292"/>
      </c>
      <c r="DC56" s="62">
        <f t="shared" si="292"/>
      </c>
      <c r="DD56" s="62">
        <f t="shared" si="292"/>
      </c>
      <c r="DE56" s="226">
        <f t="shared" si="292"/>
      </c>
      <c r="DF56" s="62">
        <f t="shared" si="292"/>
      </c>
      <c r="DG56" s="62">
        <f t="shared" si="292"/>
      </c>
      <c r="DH56" s="62">
        <f t="shared" si="292"/>
      </c>
      <c r="DI56" s="226">
        <f t="shared" si="292"/>
      </c>
      <c r="DJ56" s="62">
        <f t="shared" si="292"/>
      </c>
      <c r="DK56" s="62">
        <f t="shared" si="292"/>
      </c>
      <c r="DL56" s="62">
        <f t="shared" ref="DL56:DO56" si="293">DL11+DL12+DL20</f>
      </c>
      <c r="DM56" s="226">
        <f t="shared" si="293"/>
      </c>
      <c r="DN56" s="62">
        <f t="shared" si="293"/>
      </c>
      <c r="DO56" s="62">
        <f t="shared" si="293"/>
      </c>
      <c r="DP56" s="62">
        <f t="shared" ref="DP56" si="294">DP11+DP12+DP20</f>
      </c>
      <c r="DQ56" s="226">
        <f t="shared" si="292"/>
      </c>
      <c r="DR56" s="62">
        <f t="shared" si="292"/>
      </c>
      <c r="DS56" s="62">
        <f t="shared" si="292"/>
      </c>
      <c r="DT56" s="62">
        <f t="shared" si="292"/>
      </c>
      <c r="DU56" s="226">
        <f t="shared" si="292"/>
      </c>
      <c r="DV56" s="62">
        <f t="shared" ref="DV56:EJ56" si="295">DV11+DV12+DV20</f>
      </c>
      <c r="DW56" s="62">
        <f t="shared" si="295"/>
      </c>
      <c r="DX56" s="62">
        <f t="shared" si="295"/>
      </c>
      <c r="DY56" s="226">
        <f t="shared" si="295"/>
      </c>
      <c r="DZ56" s="62">
        <f t="shared" si="295"/>
      </c>
      <c r="EA56" s="62">
        <f t="shared" si="295"/>
      </c>
      <c r="EB56" s="62">
        <f t="shared" si="295"/>
      </c>
      <c r="EC56" s="226">
        <f t="shared" si="295"/>
      </c>
      <c r="ED56" s="62">
        <f t="shared" si="295"/>
      </c>
      <c r="EE56" s="62">
        <f t="shared" si="295"/>
      </c>
      <c r="EF56" s="62">
        <f t="shared" si="295"/>
      </c>
      <c r="EG56" s="226">
        <f t="shared" si="295"/>
      </c>
      <c r="EH56" s="62">
        <f t="shared" si="295"/>
      </c>
      <c r="EI56" s="62">
        <f t="shared" si="295"/>
      </c>
      <c r="EJ56" s="62">
        <f t="shared" si="295"/>
      </c>
      <c r="EK56" s="226">
        <f>EK11+EK12+EK20</f>
      </c>
      <c r="EN56" s="15">
        <f t="shared" ref="EN56:FN56" si="296">EN11+EN12+EN20</f>
      </c>
      <c r="EO56" s="15">
        <f t="shared" si="296"/>
      </c>
      <c r="EP56" s="15">
        <f t="shared" si="296"/>
      </c>
      <c r="EQ56" s="15">
        <f t="shared" si="296"/>
      </c>
      <c r="ER56" s="15">
        <f t="shared" si="296"/>
      </c>
      <c r="ES56" s="15">
        <f t="shared" si="296"/>
      </c>
      <c r="ET56" s="15">
        <f t="shared" si="296"/>
      </c>
      <c r="EU56" s="15">
        <f t="shared" si="296"/>
      </c>
      <c r="EV56" s="15">
        <f t="shared" si="296"/>
      </c>
      <c r="EW56" s="15">
        <f t="shared" si="296"/>
      </c>
      <c r="EX56" s="15">
        <f t="shared" si="296"/>
      </c>
      <c r="EY56" s="15">
        <f t="shared" si="296"/>
      </c>
      <c r="EZ56" s="15">
        <f t="shared" si="296"/>
      </c>
      <c r="FA56" s="15">
        <f t="shared" si="296"/>
      </c>
      <c r="FB56" s="15">
        <f t="shared" si="296"/>
      </c>
      <c r="FC56" s="15">
        <f t="shared" si="296"/>
      </c>
      <c r="FD56" s="15">
        <f t="shared" si="296"/>
      </c>
      <c r="FE56" s="15">
        <f t="shared" si="296"/>
      </c>
      <c r="FF56" s="15">
        <f t="shared" si="296"/>
      </c>
      <c r="FG56" s="15">
        <f t="shared" si="296"/>
      </c>
      <c r="FH56" s="15">
        <f t="shared" si="296"/>
      </c>
      <c r="FI56" s="15">
        <f t="shared" si="296"/>
      </c>
      <c r="FJ56" s="553">
        <f t="shared" si="296"/>
      </c>
      <c r="FK56" s="553">
        <f t="shared" si="296"/>
      </c>
      <c r="FL56" s="553">
        <f t="shared" si="296"/>
      </c>
      <c r="FM56" s="553">
        <f t="shared" si="296"/>
      </c>
      <c r="FN56" s="553">
        <f t="shared" si="296"/>
      </c>
      <c r="FO56" s="553">
        <f t="shared" ref="FO56:FO67" si="297">+DI56</f>
      </c>
      <c r="FP56" s="553">
        <f>+DM56</f>
      </c>
      <c r="FQ56" s="553">
        <f>+DQ56</f>
      </c>
      <c r="FR56" s="553">
        <f>+DU56</f>
      </c>
      <c r="FS56" s="553">
        <f>DY56</f>
      </c>
      <c r="FT56" s="553">
        <f>EC56</f>
      </c>
      <c r="FU56" s="553">
        <f>EG56</f>
      </c>
      <c r="FV56" s="553">
        <f>EK56</f>
      </c>
      <c r="FW56" s="11"/>
      <c r="FX56" s="11"/>
      <c r="FY56" s="11"/>
    </row>
    <row r="57" spans="1:183" ht="10.199999999999999">
      <c r="A57" s="11" t="s">
        <v>1501</v>
      </c>
      <c r="B57" s="15">
        <f t="shared" ref="B57:AG57" si="298">B33+B38+B34</f>
      </c>
      <c r="C57" s="15">
        <f t="shared" si="298"/>
      </c>
      <c r="D57" s="15">
        <f t="shared" si="298"/>
      </c>
      <c r="E57" s="174">
        <f t="shared" si="298"/>
      </c>
      <c r="F57" s="15">
        <f t="shared" si="298"/>
      </c>
      <c r="G57" s="15">
        <f t="shared" si="298"/>
      </c>
      <c r="H57" s="15">
        <f t="shared" si="298"/>
      </c>
      <c r="I57" s="174">
        <f t="shared" si="298"/>
      </c>
      <c r="J57" s="15">
        <f t="shared" si="298"/>
      </c>
      <c r="K57" s="15">
        <f t="shared" si="298"/>
      </c>
      <c r="L57" s="15">
        <f t="shared" si="298"/>
      </c>
      <c r="M57" s="174">
        <f t="shared" si="298"/>
      </c>
      <c r="N57" s="15">
        <f t="shared" si="298"/>
      </c>
      <c r="O57" s="15">
        <f t="shared" si="298"/>
      </c>
      <c r="P57" s="15">
        <f t="shared" si="298"/>
      </c>
      <c r="Q57" s="174">
        <f t="shared" si="298"/>
      </c>
      <c r="R57" s="15">
        <f t="shared" si="298"/>
      </c>
      <c r="S57" s="15">
        <f t="shared" si="298"/>
      </c>
      <c r="T57" s="15">
        <f t="shared" si="298"/>
      </c>
      <c r="U57" s="174">
        <f t="shared" si="298"/>
      </c>
      <c r="V57" s="15">
        <f t="shared" si="298"/>
      </c>
      <c r="W57" s="15">
        <f t="shared" si="298"/>
      </c>
      <c r="X57" s="15">
        <f t="shared" si="298"/>
      </c>
      <c r="Y57" s="174">
        <f t="shared" si="298"/>
      </c>
      <c r="Z57" s="15">
        <f t="shared" si="298"/>
      </c>
      <c r="AA57" s="15">
        <f t="shared" si="298"/>
      </c>
      <c r="AB57" s="15">
        <f t="shared" si="298"/>
      </c>
      <c r="AC57" s="174">
        <f t="shared" si="298"/>
      </c>
      <c r="AD57" s="15">
        <f t="shared" si="298"/>
      </c>
      <c r="AE57" s="15">
        <f t="shared" si="298"/>
      </c>
      <c r="AF57" s="15">
        <f t="shared" si="298"/>
      </c>
      <c r="AG57" s="174">
        <f t="shared" si="298"/>
      </c>
      <c r="AH57" s="15">
        <f t="shared" ref="AH57:BM57" si="299">AH33+AH38+AH34</f>
      </c>
      <c r="AI57" s="15">
        <f t="shared" si="299"/>
      </c>
      <c r="AJ57" s="15">
        <f t="shared" si="299"/>
      </c>
      <c r="AK57" s="174">
        <f t="shared" si="299"/>
      </c>
      <c r="AL57" s="15">
        <f t="shared" si="299"/>
      </c>
      <c r="AM57" s="15">
        <f t="shared" si="299"/>
      </c>
      <c r="AN57" s="15">
        <f t="shared" si="299"/>
      </c>
      <c r="AO57" s="174">
        <f t="shared" si="299"/>
      </c>
      <c r="AP57" s="15">
        <f t="shared" si="299"/>
      </c>
      <c r="AQ57" s="15">
        <f t="shared" si="299"/>
      </c>
      <c r="AR57" s="15">
        <f t="shared" si="299"/>
      </c>
      <c r="AS57" s="174">
        <f t="shared" si="299"/>
      </c>
      <c r="AT57" s="15">
        <f t="shared" si="299"/>
      </c>
      <c r="AU57" s="15">
        <f t="shared" si="299"/>
      </c>
      <c r="AV57" s="15">
        <f t="shared" si="299"/>
      </c>
      <c r="AW57" s="174">
        <f t="shared" si="299"/>
      </c>
      <c r="AX57" s="15">
        <f t="shared" si="299"/>
      </c>
      <c r="AY57" s="15">
        <f t="shared" si="299"/>
      </c>
      <c r="AZ57" s="15">
        <f t="shared" si="299"/>
      </c>
      <c r="BA57" s="174">
        <f t="shared" si="299"/>
      </c>
      <c r="BB57" s="15">
        <f t="shared" si="299"/>
      </c>
      <c r="BC57" s="15">
        <f t="shared" si="299"/>
      </c>
      <c r="BD57" s="15">
        <f t="shared" si="299"/>
      </c>
      <c r="BE57" s="174">
        <f t="shared" si="299"/>
      </c>
      <c r="BF57" s="15">
        <f t="shared" si="299"/>
      </c>
      <c r="BG57" s="15">
        <f t="shared" si="299"/>
      </c>
      <c r="BH57" s="15">
        <f t="shared" si="299"/>
      </c>
      <c r="BI57" s="174">
        <f t="shared" si="299"/>
      </c>
      <c r="BJ57" s="15">
        <f t="shared" si="299"/>
      </c>
      <c r="BK57" s="15">
        <f t="shared" si="299"/>
      </c>
      <c r="BL57" s="15">
        <f t="shared" si="299"/>
      </c>
      <c r="BM57" s="174">
        <f t="shared" si="299"/>
      </c>
      <c r="BN57" s="15">
        <f t="shared" ref="BN57:CS57" si="300">BN33+BN38+BN34</f>
      </c>
      <c r="BO57" s="15">
        <f t="shared" si="300"/>
      </c>
      <c r="BP57" s="15">
        <f t="shared" si="300"/>
      </c>
      <c r="BQ57" s="174">
        <f t="shared" si="300"/>
      </c>
      <c r="BR57" s="15">
        <f t="shared" si="300"/>
      </c>
      <c r="BS57" s="15">
        <f t="shared" si="300"/>
      </c>
      <c r="BT57" s="15">
        <f t="shared" si="300"/>
      </c>
      <c r="BU57" s="174">
        <f t="shared" si="300"/>
      </c>
      <c r="BV57" s="15">
        <f t="shared" si="300"/>
      </c>
      <c r="BW57" s="15">
        <f t="shared" si="300"/>
      </c>
      <c r="BX57" s="15">
        <f t="shared" si="300"/>
      </c>
      <c r="BY57" s="174">
        <f t="shared" si="300"/>
      </c>
      <c r="BZ57" s="15">
        <f t="shared" si="300"/>
      </c>
      <c r="CA57" s="15">
        <f t="shared" si="300"/>
      </c>
      <c r="CB57" s="15">
        <f t="shared" si="300"/>
      </c>
      <c r="CC57" s="174">
        <f t="shared" si="300"/>
      </c>
      <c r="CD57" s="15">
        <f t="shared" si="300"/>
      </c>
      <c r="CE57" s="15">
        <f t="shared" si="300"/>
      </c>
      <c r="CF57" s="15">
        <f t="shared" si="300"/>
      </c>
      <c r="CG57" s="174">
        <f t="shared" si="300"/>
      </c>
      <c r="CH57" s="15">
        <f t="shared" si="300"/>
      </c>
      <c r="CI57" s="15">
        <f t="shared" si="300"/>
      </c>
      <c r="CJ57" s="15">
        <f t="shared" si="300"/>
      </c>
      <c r="CK57" s="174">
        <f t="shared" si="300"/>
      </c>
      <c r="CL57" s="15">
        <f t="shared" si="300"/>
      </c>
      <c r="CM57" s="15">
        <f t="shared" si="300"/>
      </c>
      <c r="CN57" s="15">
        <f t="shared" si="300"/>
      </c>
      <c r="CO57" s="174">
        <f t="shared" si="300"/>
      </c>
      <c r="CP57" s="15">
        <f t="shared" si="300"/>
      </c>
      <c r="CQ57" s="15">
        <f t="shared" si="300"/>
      </c>
      <c r="CR57" s="15">
        <f t="shared" si="300"/>
      </c>
      <c r="CS57" s="174">
        <f t="shared" si="300"/>
      </c>
      <c r="CT57" s="15">
        <f t="shared" ref="CT57:DU57" si="301">CT33+CT38+CT34</f>
      </c>
      <c r="CU57" s="62">
        <f t="shared" si="301"/>
      </c>
      <c r="CV57" s="62">
        <f t="shared" si="301"/>
      </c>
      <c r="CW57" s="226">
        <f t="shared" si="301"/>
      </c>
      <c r="CX57" s="476">
        <f t="shared" si="301"/>
      </c>
      <c r="CY57" s="62">
        <f t="shared" si="301"/>
      </c>
      <c r="CZ57" s="62">
        <f t="shared" si="301"/>
      </c>
      <c r="DA57" s="226">
        <f t="shared" si="301"/>
      </c>
      <c r="DB57" s="476">
        <f t="shared" si="301"/>
      </c>
      <c r="DC57" s="62">
        <f t="shared" si="301"/>
      </c>
      <c r="DD57" s="62">
        <f t="shared" si="301"/>
      </c>
      <c r="DE57" s="226">
        <f t="shared" si="301"/>
      </c>
      <c r="DF57" s="62">
        <f t="shared" si="301"/>
      </c>
      <c r="DG57" s="62">
        <f t="shared" si="301"/>
      </c>
      <c r="DH57" s="62">
        <f t="shared" si="301"/>
      </c>
      <c r="DI57" s="226">
        <f t="shared" si="301"/>
      </c>
      <c r="DJ57" s="62">
        <f t="shared" si="301"/>
      </c>
      <c r="DK57" s="62">
        <f t="shared" si="301"/>
      </c>
      <c r="DL57" s="62">
        <f t="shared" ref="DL57:DO57" si="302">DL33+DL38+DL34</f>
      </c>
      <c r="DM57" s="226">
        <f t="shared" si="302"/>
      </c>
      <c r="DN57" s="62">
        <f t="shared" si="302"/>
      </c>
      <c r="DO57" s="62">
        <f t="shared" si="302"/>
      </c>
      <c r="DP57" s="62">
        <f t="shared" ref="DP57" si="303">DP33+DP38+DP34</f>
      </c>
      <c r="DQ57" s="226">
        <f t="shared" si="301"/>
      </c>
      <c r="DR57" s="62">
        <f t="shared" si="301"/>
      </c>
      <c r="DS57" s="62">
        <f t="shared" si="301"/>
      </c>
      <c r="DT57" s="62">
        <f t="shared" si="301"/>
      </c>
      <c r="DU57" s="226">
        <f t="shared" si="301"/>
      </c>
      <c r="DV57" s="62">
        <f t="shared" ref="DV57:EK57" si="304">DV33+DV38+DV34</f>
      </c>
      <c r="DW57" s="62">
        <f t="shared" si="304"/>
      </c>
      <c r="DX57" s="62">
        <f t="shared" si="304"/>
      </c>
      <c r="DY57" s="226">
        <f t="shared" si="304"/>
      </c>
      <c r="DZ57" s="62">
        <f t="shared" si="304"/>
      </c>
      <c r="EA57" s="62">
        <f t="shared" si="304"/>
      </c>
      <c r="EB57" s="62">
        <f t="shared" si="304"/>
      </c>
      <c r="EC57" s="226">
        <f t="shared" si="304"/>
      </c>
      <c r="ED57" s="62">
        <f t="shared" si="304"/>
      </c>
      <c r="EE57" s="62">
        <f t="shared" si="304"/>
      </c>
      <c r="EF57" s="62">
        <f t="shared" si="304"/>
      </c>
      <c r="EG57" s="226">
        <f t="shared" si="304"/>
      </c>
      <c r="EH57" s="62">
        <f t="shared" si="304"/>
      </c>
      <c r="EI57" s="62">
        <f t="shared" si="304"/>
      </c>
      <c r="EJ57" s="62">
        <f t="shared" si="304"/>
      </c>
      <c r="EK57" s="226">
        <f t="shared" si="304"/>
      </c>
      <c r="EN57" s="15">
        <f t="shared" ref="EN57:FN57" si="305">EN33+EN38+EN34</f>
      </c>
      <c r="EO57" s="15">
        <f t="shared" si="305"/>
      </c>
      <c r="EP57" s="15">
        <f t="shared" si="305"/>
      </c>
      <c r="EQ57" s="15">
        <f t="shared" si="305"/>
      </c>
      <c r="ER57" s="15">
        <f t="shared" si="305"/>
      </c>
      <c r="ES57" s="15">
        <f t="shared" si="305"/>
      </c>
      <c r="ET57" s="15">
        <f t="shared" si="305"/>
      </c>
      <c r="EU57" s="15">
        <f t="shared" si="305"/>
      </c>
      <c r="EV57" s="15">
        <f t="shared" si="305"/>
      </c>
      <c r="EW57" s="15">
        <f t="shared" si="305"/>
      </c>
      <c r="EX57" s="15">
        <f t="shared" si="305"/>
      </c>
      <c r="EY57" s="15">
        <f t="shared" si="305"/>
      </c>
      <c r="EZ57" s="15">
        <f t="shared" si="305"/>
      </c>
      <c r="FA57" s="15">
        <f t="shared" si="305"/>
      </c>
      <c r="FB57" s="15">
        <f t="shared" si="305"/>
      </c>
      <c r="FC57" s="15">
        <f t="shared" si="305"/>
      </c>
      <c r="FD57" s="15">
        <f t="shared" si="305"/>
      </c>
      <c r="FE57" s="15">
        <f t="shared" si="305"/>
      </c>
      <c r="FF57" s="15">
        <f t="shared" si="305"/>
      </c>
      <c r="FG57" s="15">
        <f t="shared" si="305"/>
      </c>
      <c r="FH57" s="15">
        <f t="shared" si="305"/>
      </c>
      <c r="FI57" s="15">
        <f t="shared" si="305"/>
      </c>
      <c r="FJ57" s="62">
        <f t="shared" si="305"/>
      </c>
      <c r="FK57" s="62">
        <f t="shared" si="305"/>
      </c>
      <c r="FL57" s="62">
        <f t="shared" si="305"/>
      </c>
      <c r="FM57" s="62">
        <f t="shared" si="305"/>
      </c>
      <c r="FN57" s="62">
        <f t="shared" si="305"/>
      </c>
      <c r="FO57" s="62">
        <f t="shared" si="297"/>
      </c>
      <c r="FP57" s="62">
        <f>+DM57</f>
      </c>
      <c r="FQ57" s="62">
        <f>+DQ57</f>
      </c>
      <c r="FR57" s="62">
        <f>+DU57</f>
      </c>
      <c r="FS57" s="62">
        <f>DY57</f>
      </c>
      <c r="FT57" s="62">
        <f>EC57</f>
      </c>
      <c r="FU57" s="62">
        <f>EG57</f>
      </c>
      <c r="FV57" s="62">
        <f>EK57</f>
      </c>
      <c r="FW57" s="11"/>
      <c r="FX57" s="11"/>
      <c r="FY57" s="11"/>
    </row>
    <row r="58" spans="1:183" ht="10.199999999999999">
      <c r="A58" s="1229" t="s">
        <v>671</v>
      </c>
      <c r="B58" s="60">
        <f t="shared" ref="B58:BM58" si="306">B56-B57</f>
      </c>
      <c r="C58" s="60">
        <f t="shared" si="306"/>
      </c>
      <c r="D58" s="60">
        <f t="shared" si="306"/>
      </c>
      <c r="E58" s="551">
        <f t="shared" si="306"/>
      </c>
      <c r="F58" s="60">
        <f t="shared" si="306"/>
      </c>
      <c r="G58" s="60">
        <f t="shared" si="306"/>
      </c>
      <c r="H58" s="60">
        <f t="shared" si="306"/>
      </c>
      <c r="I58" s="551">
        <f t="shared" si="306"/>
      </c>
      <c r="J58" s="60">
        <f t="shared" si="306"/>
      </c>
      <c r="K58" s="60">
        <f t="shared" si="306"/>
      </c>
      <c r="L58" s="60">
        <f t="shared" si="306"/>
      </c>
      <c r="M58" s="551">
        <f t="shared" si="306"/>
      </c>
      <c r="N58" s="60">
        <f t="shared" si="306"/>
      </c>
      <c r="O58" s="60">
        <f t="shared" si="306"/>
      </c>
      <c r="P58" s="60">
        <f t="shared" si="306"/>
      </c>
      <c r="Q58" s="551">
        <f t="shared" si="306"/>
      </c>
      <c r="R58" s="60">
        <f t="shared" si="306"/>
      </c>
      <c r="S58" s="60">
        <f t="shared" si="306"/>
      </c>
      <c r="T58" s="60">
        <f t="shared" si="306"/>
      </c>
      <c r="U58" s="551">
        <f t="shared" si="306"/>
      </c>
      <c r="V58" s="60">
        <f t="shared" si="306"/>
      </c>
      <c r="W58" s="60">
        <f t="shared" si="306"/>
      </c>
      <c r="X58" s="60">
        <f t="shared" si="306"/>
      </c>
      <c r="Y58" s="551">
        <f t="shared" si="306"/>
      </c>
      <c r="Z58" s="60">
        <f t="shared" si="306"/>
      </c>
      <c r="AA58" s="60">
        <f t="shared" si="306"/>
      </c>
      <c r="AB58" s="60">
        <f t="shared" si="306"/>
      </c>
      <c r="AC58" s="551">
        <f t="shared" si="306"/>
      </c>
      <c r="AD58" s="60">
        <f t="shared" si="306"/>
      </c>
      <c r="AE58" s="60">
        <f t="shared" si="306"/>
      </c>
      <c r="AF58" s="60">
        <f t="shared" si="306"/>
      </c>
      <c r="AG58" s="551">
        <f t="shared" si="306"/>
      </c>
      <c r="AH58" s="60">
        <f t="shared" si="306"/>
      </c>
      <c r="AI58" s="60">
        <f t="shared" si="306"/>
      </c>
      <c r="AJ58" s="60">
        <f t="shared" si="306"/>
      </c>
      <c r="AK58" s="551">
        <f t="shared" si="306"/>
      </c>
      <c r="AL58" s="60">
        <f t="shared" si="306"/>
      </c>
      <c r="AM58" s="60">
        <f t="shared" si="306"/>
      </c>
      <c r="AN58" s="60">
        <f t="shared" si="306"/>
      </c>
      <c r="AO58" s="551">
        <f t="shared" si="306"/>
      </c>
      <c r="AP58" s="60">
        <f t="shared" si="306"/>
      </c>
      <c r="AQ58" s="60">
        <f t="shared" si="306"/>
      </c>
      <c r="AR58" s="60">
        <f t="shared" si="306"/>
      </c>
      <c r="AS58" s="551">
        <f t="shared" si="306"/>
      </c>
      <c r="AT58" s="60">
        <f t="shared" si="306"/>
      </c>
      <c r="AU58" s="60">
        <f t="shared" si="306"/>
      </c>
      <c r="AV58" s="60">
        <f t="shared" si="306"/>
      </c>
      <c r="AW58" s="551">
        <f t="shared" si="306"/>
      </c>
      <c r="AX58" s="60">
        <f t="shared" si="306"/>
      </c>
      <c r="AY58" s="60">
        <f t="shared" si="306"/>
      </c>
      <c r="AZ58" s="60">
        <f t="shared" si="306"/>
      </c>
      <c r="BA58" s="551">
        <f t="shared" si="306"/>
      </c>
      <c r="BB58" s="60">
        <f t="shared" si="306"/>
      </c>
      <c r="BC58" s="60">
        <f t="shared" si="306"/>
      </c>
      <c r="BD58" s="60">
        <f t="shared" si="306"/>
      </c>
      <c r="BE58" s="551">
        <f t="shared" si="306"/>
      </c>
      <c r="BF58" s="60">
        <f t="shared" si="306"/>
      </c>
      <c r="BG58" s="60">
        <f t="shared" si="306"/>
      </c>
      <c r="BH58" s="60">
        <f t="shared" si="306"/>
      </c>
      <c r="BI58" s="551">
        <f t="shared" si="306"/>
      </c>
      <c r="BJ58" s="60">
        <f t="shared" si="306"/>
      </c>
      <c r="BK58" s="60">
        <f t="shared" si="306"/>
      </c>
      <c r="BL58" s="60">
        <f t="shared" si="306"/>
      </c>
      <c r="BM58" s="551">
        <f t="shared" si="306"/>
      </c>
      <c r="BN58" s="60">
        <f t="shared" ref="BN58:CU58" si="307">BN56-BN57</f>
      </c>
      <c r="BO58" s="60">
        <f t="shared" si="307"/>
      </c>
      <c r="BP58" s="60">
        <f t="shared" si="307"/>
      </c>
      <c r="BQ58" s="551">
        <f t="shared" si="307"/>
      </c>
      <c r="BR58" s="60">
        <f t="shared" si="307"/>
      </c>
      <c r="BS58" s="60">
        <f t="shared" si="307"/>
      </c>
      <c r="BT58" s="60">
        <f t="shared" si="307"/>
      </c>
      <c r="BU58" s="551">
        <f t="shared" si="307"/>
      </c>
      <c r="BV58" s="60">
        <f t="shared" si="307"/>
      </c>
      <c r="BW58" s="60">
        <f t="shared" si="307"/>
      </c>
      <c r="BX58" s="60">
        <f t="shared" si="307"/>
      </c>
      <c r="BY58" s="551">
        <f t="shared" si="307"/>
      </c>
      <c r="BZ58" s="60">
        <f t="shared" si="307"/>
      </c>
      <c r="CA58" s="60">
        <f t="shared" si="307"/>
      </c>
      <c r="CB58" s="60">
        <f t="shared" si="307"/>
      </c>
      <c r="CC58" s="551">
        <f t="shared" si="307"/>
      </c>
      <c r="CD58" s="60">
        <f t="shared" si="307"/>
      </c>
      <c r="CE58" s="60">
        <f t="shared" si="307"/>
      </c>
      <c r="CF58" s="60">
        <f t="shared" si="307"/>
      </c>
      <c r="CG58" s="551">
        <f t="shared" si="307"/>
      </c>
      <c r="CH58" s="60">
        <f t="shared" si="307"/>
      </c>
      <c r="CI58" s="60">
        <f t="shared" si="307"/>
      </c>
      <c r="CJ58" s="60">
        <f t="shared" si="307"/>
      </c>
      <c r="CK58" s="551">
        <f t="shared" si="307"/>
      </c>
      <c r="CL58" s="60">
        <f>CL56-CL57</f>
      </c>
      <c r="CM58" s="60">
        <f>CM56-CM57</f>
      </c>
      <c r="CN58" s="60">
        <f t="shared" si="307"/>
      </c>
      <c r="CO58" s="551">
        <f t="shared" si="307"/>
      </c>
      <c r="CP58" s="60">
        <f t="shared" si="307"/>
      </c>
      <c r="CQ58" s="60">
        <f t="shared" si="307"/>
      </c>
      <c r="CR58" s="60">
        <f t="shared" si="307"/>
      </c>
      <c r="CS58" s="551">
        <f t="shared" si="307"/>
      </c>
      <c r="CT58" s="60">
        <f t="shared" si="307"/>
      </c>
      <c r="CU58" s="553">
        <f t="shared" si="307"/>
      </c>
      <c r="CV58" s="553">
        <f t="shared" ref="CV58:DA58" si="308">CV56-CV57</f>
      </c>
      <c r="CW58" s="552">
        <f t="shared" si="308"/>
      </c>
      <c r="CX58" s="1230">
        <f t="shared" si="308"/>
      </c>
      <c r="CY58" s="553">
        <f t="shared" si="308"/>
      </c>
      <c r="CZ58" s="553">
        <f t="shared" si="308"/>
      </c>
      <c r="DA58" s="552">
        <f t="shared" si="308"/>
      </c>
      <c r="DB58" s="1230">
        <f t="shared" ref="DB58:DC58" si="309">DB56-DB57</f>
      </c>
      <c r="DC58" s="553">
        <f t="shared" si="309"/>
      </c>
      <c r="DD58" s="553">
        <f t="shared" ref="DD58" si="310">DD56-DD57</f>
      </c>
      <c r="DE58" s="552">
        <f t="shared" ref="DE58" si="311">DE56-DE57</f>
      </c>
      <c r="DF58" s="553">
        <f t="shared" ref="DF58:DK58" si="312">DF56-DF57</f>
      </c>
      <c r="DG58" s="553">
        <f t="shared" si="312"/>
      </c>
      <c r="DH58" s="553">
        <f t="shared" si="312"/>
      </c>
      <c r="DI58" s="552">
        <f t="shared" si="312"/>
      </c>
      <c r="DJ58" s="553">
        <f t="shared" si="312"/>
      </c>
      <c r="DK58" s="553">
        <f t="shared" si="312"/>
      </c>
      <c r="DL58" s="553">
        <f t="shared" ref="DL58:DO58" si="313">DL56-DL57</f>
      </c>
      <c r="DM58" s="552">
        <f t="shared" si="313"/>
      </c>
      <c r="DN58" s="553">
        <f t="shared" si="313"/>
      </c>
      <c r="DO58" s="553">
        <f t="shared" si="313"/>
      </c>
      <c r="DP58" s="553">
        <f t="shared" ref="DP58" si="314">DP56-DP57</f>
      </c>
      <c r="DQ58" s="552">
        <f t="shared" ref="DQ58" si="315">DQ56-DQ57</f>
      </c>
      <c r="DR58" s="553">
        <f t="shared" ref="DR58:DU58" si="316">DR56-DR57</f>
      </c>
      <c r="DS58" s="553">
        <f t="shared" si="316"/>
      </c>
      <c r="DT58" s="553">
        <f t="shared" si="316"/>
      </c>
      <c r="DU58" s="552">
        <f t="shared" si="316"/>
      </c>
      <c r="DV58" s="553">
        <f t="shared" ref="DV58:EK58" si="317">DV56-DV57</f>
      </c>
      <c r="DW58" s="553">
        <f t="shared" si="317"/>
      </c>
      <c r="DX58" s="553">
        <f t="shared" si="317"/>
      </c>
      <c r="DY58" s="552">
        <f t="shared" si="317"/>
      </c>
      <c r="DZ58" s="553">
        <f t="shared" si="317"/>
      </c>
      <c r="EA58" s="553">
        <f t="shared" si="317"/>
      </c>
      <c r="EB58" s="553">
        <f t="shared" si="317"/>
      </c>
      <c r="EC58" s="552">
        <f t="shared" si="317"/>
      </c>
      <c r="ED58" s="553">
        <f t="shared" si="317"/>
      </c>
      <c r="EE58" s="553">
        <f t="shared" si="317"/>
      </c>
      <c r="EF58" s="553">
        <f t="shared" si="317"/>
      </c>
      <c r="EG58" s="552">
        <f t="shared" si="317"/>
      </c>
      <c r="EH58" s="553">
        <f t="shared" si="317"/>
      </c>
      <c r="EI58" s="553">
        <f t="shared" si="317"/>
      </c>
      <c r="EJ58" s="553">
        <f t="shared" si="317"/>
      </c>
      <c r="EK58" s="552">
        <f t="shared" si="317"/>
      </c>
      <c r="EN58" s="15">
        <f>EN56-EN57</f>
      </c>
      <c r="EO58" s="15">
        <f t="shared" ref="EO58:FL58" si="318">EO56-EO57</f>
      </c>
      <c r="EP58" s="15">
        <f t="shared" si="318"/>
      </c>
      <c r="EQ58" s="15">
        <f t="shared" si="318"/>
      </c>
      <c r="ER58" s="15">
        <f t="shared" si="318"/>
      </c>
      <c r="ES58" s="15">
        <f t="shared" si="318"/>
      </c>
      <c r="ET58" s="15">
        <f t="shared" si="318"/>
      </c>
      <c r="EU58" s="15">
        <f t="shared" si="318"/>
      </c>
      <c r="EV58" s="15">
        <f t="shared" si="318"/>
      </c>
      <c r="EW58" s="15">
        <f t="shared" si="318"/>
      </c>
      <c r="EX58" s="15">
        <f t="shared" si="318"/>
      </c>
      <c r="EY58" s="15">
        <f t="shared" si="318"/>
      </c>
      <c r="EZ58" s="15">
        <f t="shared" si="318"/>
      </c>
      <c r="FA58" s="15">
        <f t="shared" si="318"/>
      </c>
      <c r="FB58" s="15">
        <f t="shared" si="318"/>
      </c>
      <c r="FC58" s="15">
        <f t="shared" si="318"/>
      </c>
      <c r="FD58" s="15">
        <f t="shared" si="318"/>
      </c>
      <c r="FE58" s="15">
        <f t="shared" si="318"/>
      </c>
      <c r="FF58" s="15">
        <f t="shared" si="318"/>
      </c>
      <c r="FG58" s="15">
        <f t="shared" si="318"/>
      </c>
      <c r="FH58" s="15">
        <f t="shared" si="318"/>
      </c>
      <c r="FI58" s="15">
        <f t="shared" si="318"/>
      </c>
      <c r="FJ58" s="553">
        <f t="shared" si="318"/>
      </c>
      <c r="FK58" s="553">
        <f t="shared" si="318"/>
      </c>
      <c r="FL58" s="553">
        <f t="shared" si="318"/>
      </c>
      <c r="FM58" s="553">
        <f>FM56-FM57</f>
      </c>
      <c r="FN58" s="553">
        <f>FN56-FN57</f>
      </c>
      <c r="FO58" s="553">
        <f t="shared" si="297"/>
      </c>
      <c r="FP58" s="553">
        <f>+DM58</f>
      </c>
      <c r="FQ58" s="553">
        <f>+DQ58</f>
      </c>
      <c r="FR58" s="553">
        <f>+DU58</f>
      </c>
      <c r="FS58" s="553">
        <f>DY58</f>
      </c>
      <c r="FT58" s="553">
        <f>EC58</f>
      </c>
      <c r="FU58" s="553">
        <f>EG58</f>
      </c>
      <c r="FV58" s="553">
        <f>EK58</f>
      </c>
      <c r="FW58" s="11"/>
      <c r="FX58" s="11"/>
      <c r="FY58" s="11"/>
    </row>
    <row r="59" spans="1:183" ht="10.199999999999999">
      <c r="A59" s="1" t="s">
        <v>672</v>
      </c>
      <c r="B59" s="49">
        <f>B58/'Income Statement'!B34</f>
      </c>
      <c r="C59" s="49">
        <f>C58/'Income Statement'!C34</f>
      </c>
      <c r="D59" s="49">
        <f>D58/'Income Statement'!D34</f>
      </c>
      <c r="E59" s="190">
        <f>E58/'Income Statement'!E34</f>
      </c>
      <c r="F59" s="49">
        <f>F58/'Income Statement'!F34</f>
      </c>
      <c r="G59" s="49">
        <f>G58/'Income Statement'!G34</f>
      </c>
      <c r="H59" s="49">
        <f>H58/'Income Statement'!H34</f>
      </c>
      <c r="I59" s="190">
        <f>I58/'Income Statement'!I34</f>
      </c>
      <c r="J59" s="49">
        <f>J58/'Income Statement'!J34</f>
      </c>
      <c r="K59" s="49">
        <f>K58/'Income Statement'!K34</f>
      </c>
      <c r="L59" s="49">
        <f>L58/'Income Statement'!L34</f>
      </c>
      <c r="M59" s="190">
        <f>M58/'Income Statement'!M34</f>
      </c>
      <c r="N59" s="49">
        <f>N58/'Income Statement'!N34</f>
      </c>
      <c r="O59" s="49">
        <f>O58/'Income Statement'!O34</f>
      </c>
      <c r="P59" s="49">
        <f>P58/'Income Statement'!P34</f>
      </c>
      <c r="Q59" s="190">
        <f>Q58/'Income Statement'!Q34</f>
      </c>
      <c r="R59" s="49">
        <f>R58/'Income Statement'!R34</f>
      </c>
      <c r="S59" s="49">
        <f>S58/'Income Statement'!S34</f>
      </c>
      <c r="T59" s="49">
        <f>T58/'Income Statement'!T34</f>
      </c>
      <c r="U59" s="190">
        <f>U58/'Income Statement'!U34</f>
      </c>
      <c r="V59" s="49">
        <f>V58/'Income Statement'!V34</f>
      </c>
      <c r="W59" s="49">
        <f>W58/'Income Statement'!W34</f>
      </c>
      <c r="X59" s="49">
        <f>X58/'Income Statement'!X34</f>
      </c>
      <c r="Y59" s="190">
        <f>Y58/'Income Statement'!Y34</f>
      </c>
      <c r="Z59" s="49">
        <f>Z58/'Income Statement'!Z34</f>
      </c>
      <c r="AA59" s="49">
        <f>AA58/'Income Statement'!AA34</f>
      </c>
      <c r="AB59" s="49">
        <f>AB58/'Income Statement'!AB34</f>
      </c>
      <c r="AC59" s="190">
        <f>AC58/'Income Statement'!AC34</f>
      </c>
      <c r="AD59" s="49">
        <f>AD58/'Income Statement'!AD34</f>
      </c>
      <c r="AE59" s="49">
        <f>AE58/'Income Statement'!AE34</f>
      </c>
      <c r="AF59" s="49">
        <f>AF58/'Income Statement'!AF34</f>
      </c>
      <c r="AG59" s="190">
        <f>AG58/'Income Statement'!AG34</f>
      </c>
      <c r="AH59" s="49">
        <f>AH58/'Income Statement'!AH34</f>
      </c>
      <c r="AI59" s="49">
        <f>AI58/'Income Statement'!AI34</f>
      </c>
      <c r="AJ59" s="49">
        <f>AJ58/'Income Statement'!AJ34</f>
      </c>
      <c r="AK59" s="190">
        <f>AK58/'Income Statement'!AK34</f>
      </c>
      <c r="AL59" s="49">
        <f>AL58/'Income Statement'!AL34</f>
      </c>
      <c r="AM59" s="49">
        <f>AM58/'Income Statement'!AM34</f>
      </c>
      <c r="AN59" s="49">
        <f>AN58/'Income Statement'!AN34</f>
      </c>
      <c r="AO59" s="190">
        <f>AO58/'Income Statement'!AO34</f>
      </c>
      <c r="AP59" s="49">
        <f>AP58/'Income Statement'!AP34</f>
      </c>
      <c r="AQ59" s="49">
        <f>AQ58/'Income Statement'!AQ34</f>
      </c>
      <c r="AR59" s="49">
        <f>AR58/'Income Statement'!AR34</f>
      </c>
      <c r="AS59" s="190">
        <f>AS58/'Income Statement'!AS34</f>
      </c>
      <c r="AT59" s="49">
        <f>AT58/'Income Statement'!AT34</f>
      </c>
      <c r="AU59" s="49">
        <f>AU58/'Income Statement'!AU34</f>
      </c>
      <c r="AV59" s="49">
        <f>AV58/'Income Statement'!AV34</f>
      </c>
      <c r="AW59" s="190">
        <f>AW58/'Income Statement'!AW34</f>
      </c>
      <c r="AX59" s="49">
        <f>AX58/'Income Statement'!AX34</f>
      </c>
      <c r="AY59" s="49">
        <f>AY58/'Income Statement'!AY34</f>
      </c>
      <c r="AZ59" s="49">
        <f>AZ58/'Income Statement'!AZ34</f>
      </c>
      <c r="BA59" s="190">
        <f>BA58/'Income Statement'!BA34</f>
      </c>
      <c r="BB59" s="49">
        <f>BB58/'Income Statement'!BB34</f>
      </c>
      <c r="BC59" s="49">
        <f>BC58/'Income Statement'!BC34</f>
      </c>
      <c r="BD59" s="49">
        <f>BD58/'Income Statement'!BD34</f>
      </c>
      <c r="BE59" s="190">
        <f>BE58/'Income Statement'!BE34</f>
      </c>
      <c r="BF59" s="49">
        <f>BF58/'Income Statement'!BF34</f>
      </c>
      <c r="BG59" s="49">
        <f>BG58/'Income Statement'!BG34</f>
      </c>
      <c r="BH59" s="49">
        <f>BH58/'Income Statement'!BH34</f>
      </c>
      <c r="BI59" s="190">
        <f>BI58/'Income Statement'!BI34</f>
      </c>
      <c r="BJ59" s="49">
        <f>BJ58/'Income Statement'!BJ34</f>
      </c>
      <c r="BK59" s="49">
        <f>BK58/'Income Statement'!BK34</f>
      </c>
      <c r="BL59" s="49">
        <f>BL58/'Income Statement'!BL34</f>
      </c>
      <c r="BM59" s="190">
        <f>BM58/'Income Statement'!BM34</f>
      </c>
      <c r="BN59" s="49">
        <f>BN58/'Income Statement'!BN34</f>
      </c>
      <c r="BO59" s="49">
        <f>BO58/'Income Statement'!BO34</f>
      </c>
      <c r="BP59" s="49">
        <f>BP58/'Income Statement'!BP34</f>
      </c>
      <c r="BQ59" s="190">
        <f>BQ58/'Income Statement'!BQ34</f>
      </c>
      <c r="BR59" s="49">
        <f>BR58/'Income Statement'!BR34</f>
      </c>
      <c r="BS59" s="49">
        <f>BS58/'Income Statement'!BS34</f>
      </c>
      <c r="BT59" s="49">
        <f>BT58/'Income Statement'!BT34</f>
      </c>
      <c r="BU59" s="190">
        <f>BU58/'Income Statement'!BU34</f>
      </c>
      <c r="BV59" s="49">
        <f>BV58/'Income Statement'!BV34</f>
      </c>
      <c r="BW59" s="49">
        <f>BW58/'Income Statement'!BW34</f>
      </c>
      <c r="BX59" s="49">
        <f>BX58/'Income Statement'!BX34</f>
      </c>
      <c r="BY59" s="190">
        <f>BY58/'Income Statement'!BY34</f>
      </c>
      <c r="BZ59" s="49">
        <f>BZ58/'Income Statement'!BZ34</f>
      </c>
      <c r="CA59" s="49">
        <f>CA58/'Income Statement'!CA34</f>
      </c>
      <c r="CB59" s="49">
        <f>CB58/'Income Statement'!CB34</f>
      </c>
      <c r="CC59" s="190">
        <f>CC58/'Income Statement'!CC34</f>
      </c>
      <c r="CD59" s="49">
        <f>CD58/'Income Statement'!CD34</f>
      </c>
      <c r="CE59" s="49">
        <f>CE58/'Income Statement'!CE34</f>
      </c>
      <c r="CF59" s="49">
        <f>CF58/'Income Statement'!CF34</f>
      </c>
      <c r="CG59" s="190">
        <f>CG58/'Income Statement'!CG34</f>
      </c>
      <c r="CH59" s="49">
        <f>CH58/'Income Statement'!CH34</f>
      </c>
      <c r="CI59" s="49">
        <f>CI58/'Income Statement'!CI34</f>
      </c>
      <c r="CJ59" s="49">
        <f>CJ58/'Income Statement'!CJ34</f>
      </c>
      <c r="CK59" s="190">
        <f>CK58/'Income Statement'!CK34</f>
      </c>
      <c r="CL59" s="49">
        <f>CL58/'Income Statement'!CL34</f>
      </c>
      <c r="CM59" s="49">
        <f>CM58/'Income Statement'!CM34</f>
      </c>
      <c r="CN59" s="49">
        <f>CN58/'Income Statement'!CN34</f>
      </c>
      <c r="CO59" s="190">
        <f>CO58/'Income Statement'!CO34</f>
      </c>
      <c r="CP59" s="49">
        <f>CP58/'Income Statement'!CP34</f>
      </c>
      <c r="CQ59" s="49">
        <f>CQ58/'Income Statement'!CQ34</f>
      </c>
      <c r="CR59" s="49">
        <f>CR58/'Income Statement'!CR34</f>
      </c>
      <c r="CS59" s="190">
        <f>CS58/'Income Statement'!CS34</f>
      </c>
      <c r="CT59" s="49">
        <f>CT58/'Income Statement'!CT34</f>
      </c>
      <c r="CU59" s="361">
        <f>CU58/'Income Statement'!CU34</f>
      </c>
      <c r="CV59" s="361">
        <f>CV58/'Income Statement'!CV34</f>
      </c>
      <c r="CW59" s="421">
        <f>CW58/'Income Statement'!CW34</f>
      </c>
      <c r="CX59" s="487">
        <f>CX58/'Income Statement'!CX34</f>
      </c>
      <c r="CY59" s="361">
        <f>CY58/'Income Statement'!CY34</f>
      </c>
      <c r="CZ59" s="361">
        <f>CZ58/'Income Statement'!CZ34</f>
      </c>
      <c r="DA59" s="421">
        <f>DA58/'Income Statement'!DA34</f>
      </c>
      <c r="DB59" s="487">
        <f>DB58/'Income Statement'!DB34</f>
      </c>
      <c r="DC59" s="361">
        <f>DC58/'Income Statement'!DC34</f>
      </c>
      <c r="DD59" s="361">
        <f>DD58/'Income Statement'!DD34</f>
      </c>
      <c r="DE59" s="421">
        <f>DE58/'Income Statement'!DE34</f>
      </c>
      <c r="DF59" s="361">
        <f>DF58/'Income Statement'!DF34</f>
      </c>
      <c r="DG59" s="361">
        <f>DG58/'Income Statement'!DG34</f>
      </c>
      <c r="DH59" s="361">
        <f>DH58/'Income Statement'!DH34</f>
      </c>
      <c r="DI59" s="421">
        <f>DI58/'Income Statement'!DI34</f>
      </c>
      <c r="DJ59" s="361">
        <f>DJ58/'Income Statement'!DJ34</f>
      </c>
      <c r="DK59" s="361">
        <f>DK58/'Income Statement'!DK34</f>
      </c>
      <c r="DL59" s="361">
        <f>DL58/'Income Statement'!DL34</f>
      </c>
      <c r="DM59" s="421">
        <f>DM58/'Income Statement'!DM34</f>
      </c>
      <c r="DN59" s="361">
        <f>DN58/'Income Statement'!DN34</f>
      </c>
      <c r="DO59" s="361">
        <f>DO58/'Income Statement'!DO34</f>
      </c>
      <c r="DP59" s="361">
        <f>DP58/'Income Statement'!DP34</f>
      </c>
      <c r="DQ59" s="421">
        <f>DQ58/'Income Statement'!DQ34</f>
      </c>
      <c r="DR59" s="361">
        <f>DR58/'Income Statement'!DR34</f>
      </c>
      <c r="DS59" s="361">
        <f>DS58/'Income Statement'!DS34</f>
      </c>
      <c r="DT59" s="361">
        <f>DT58/'Income Statement'!DT34</f>
      </c>
      <c r="DU59" s="421">
        <f>DU58/'Income Statement'!DU34</f>
      </c>
      <c r="DV59" s="361">
        <f>DV58/'Income Statement'!DV34</f>
      </c>
      <c r="DW59" s="361">
        <f>DW58/'Income Statement'!DW34</f>
      </c>
      <c r="DX59" s="361">
        <f>DX58/'Income Statement'!DX34</f>
      </c>
      <c r="DY59" s="421">
        <f>DY58/'Income Statement'!DY34</f>
      </c>
      <c r="DZ59" s="361">
        <f>DZ58/'Income Statement'!DZ34</f>
      </c>
      <c r="EA59" s="361">
        <f>EA58/'Income Statement'!EA34</f>
      </c>
      <c r="EB59" s="361">
        <f>EB58/'Income Statement'!EB34</f>
      </c>
      <c r="EC59" s="421">
        <f>EC58/'Income Statement'!EC34</f>
      </c>
      <c r="ED59" s="361">
        <f>ED58/'Income Statement'!ED34</f>
      </c>
      <c r="EE59" s="361">
        <f>EE58/'Income Statement'!EE34</f>
      </c>
      <c r="EF59" s="361">
        <f>EF58/'Income Statement'!EF34</f>
      </c>
      <c r="EG59" s="421">
        <f>EG58/'Income Statement'!EG34</f>
      </c>
      <c r="EH59" s="361">
        <f>EH58/'Income Statement'!EH34</f>
      </c>
      <c r="EI59" s="361">
        <f>EI58/'Income Statement'!EI34</f>
      </c>
      <c r="EJ59" s="361">
        <f>EJ58/'Income Statement'!EJ34</f>
      </c>
      <c r="EK59" s="421">
        <f>EK58/'Income Statement'!EK34</f>
      </c>
      <c r="EN59" s="49">
        <f>EN58/'Income Statement'!EM34</f>
      </c>
      <c r="EO59" s="49">
        <f>EO58/'Income Statement'!EN34</f>
      </c>
      <c r="EP59" s="49">
        <f>EP58/'Income Statement'!EO34</f>
      </c>
      <c r="EQ59" s="49">
        <f>EQ58/'Income Statement'!EP34</f>
      </c>
      <c r="ER59" s="49">
        <f>ER58/'Income Statement'!EQ34</f>
      </c>
      <c r="ES59" s="49">
        <f>ES58/'Income Statement'!ER34</f>
      </c>
      <c r="ET59" s="49">
        <f>ET58/'Income Statement'!ES34</f>
      </c>
      <c r="EU59" s="49">
        <f>EU58/'Income Statement'!ET34</f>
      </c>
      <c r="EV59" s="49">
        <f>EV58/'Income Statement'!EU34</f>
      </c>
      <c r="EW59" s="49">
        <f>EW58/'Income Statement'!EV34</f>
      </c>
      <c r="EX59" s="49">
        <f>EX58/'Income Statement'!EW34</f>
      </c>
      <c r="EY59" s="49">
        <f>EY58/'Income Statement'!EX34</f>
      </c>
      <c r="EZ59" s="49">
        <f>EZ58/'Income Statement'!EY34</f>
      </c>
      <c r="FA59" s="49">
        <f>FA58/'Income Statement'!EZ34</f>
      </c>
      <c r="FB59" s="49">
        <f>FB58/'Income Statement'!FA34</f>
      </c>
      <c r="FC59" s="49">
        <f>FC58/'Income Statement'!FB34</f>
      </c>
      <c r="FD59" s="49">
        <f>FD58/'Income Statement'!FC34</f>
      </c>
      <c r="FE59" s="49">
        <f>FE58/'Income Statement'!FD34</f>
      </c>
      <c r="FF59" s="49">
        <f>FF58/'Income Statement'!FE34</f>
      </c>
      <c r="FG59" s="49">
        <f>FG58/'Income Statement'!FF34</f>
      </c>
      <c r="FH59" s="49">
        <f>FH58/'Income Statement'!FG34</f>
      </c>
      <c r="FI59" s="49">
        <f>FI58/'Income Statement'!FH34</f>
      </c>
      <c r="FJ59" s="361">
        <f>FJ58/'Income Statement'!FI34</f>
      </c>
      <c r="FK59" s="361">
        <f>FK58/'Income Statement'!FJ34</f>
      </c>
      <c r="FL59" s="361">
        <f>FL58/'Income Statement'!FK34</f>
      </c>
      <c r="FM59" s="361">
        <f>FM58/'Income Statement'!FL34</f>
      </c>
      <c r="FN59" s="361">
        <f>FN58/'Income Statement'!FM34</f>
      </c>
      <c r="FO59" s="361">
        <f t="shared" si="297"/>
      </c>
      <c r="FP59" s="361">
        <f>+DM59</f>
      </c>
      <c r="FQ59" s="361">
        <f>+DQ59</f>
      </c>
      <c r="FR59" s="361">
        <f>+DU59</f>
      </c>
      <c r="FS59" s="361">
        <f>DY59</f>
      </c>
      <c r="FT59" s="361">
        <f>EC59</f>
      </c>
      <c r="FU59" s="361">
        <f>EG59</f>
      </c>
      <c r="FV59" s="361">
        <f>EK59</f>
      </c>
      <c r="FW59" s="11"/>
      <c r="FX59" s="11"/>
      <c r="FY59" s="11"/>
    </row>
    <row r="60" spans="1:183" ht="10.199999999999999">
      <c r="A60" s="1"/>
      <c r="B60" s="49"/>
      <c r="C60" s="49"/>
      <c r="D60" s="49"/>
      <c r="E60" s="190"/>
      <c r="F60" s="49"/>
      <c r="G60" s="49"/>
      <c r="H60" s="49"/>
      <c r="I60" s="190"/>
      <c r="J60" s="49"/>
      <c r="K60" s="49"/>
      <c r="L60" s="49"/>
      <c r="M60" s="190"/>
      <c r="N60" s="49"/>
      <c r="O60" s="49"/>
      <c r="P60" s="49"/>
      <c r="Q60" s="190"/>
      <c r="R60" s="49"/>
      <c r="S60" s="49"/>
      <c r="T60" s="49"/>
      <c r="U60" s="190"/>
      <c r="V60" s="49"/>
      <c r="W60" s="49"/>
      <c r="X60" s="49"/>
      <c r="Y60" s="190"/>
      <c r="Z60" s="49"/>
      <c r="AA60" s="49"/>
      <c r="AB60" s="49"/>
      <c r="AC60" s="190"/>
      <c r="AD60" s="49"/>
      <c r="AE60" s="49"/>
      <c r="AF60" s="49"/>
      <c r="AG60" s="190"/>
      <c r="AH60" s="49"/>
      <c r="AI60" s="49"/>
      <c r="AJ60" s="49"/>
      <c r="AK60" s="190"/>
      <c r="AL60" s="49"/>
      <c r="AM60" s="49"/>
      <c r="AN60" s="49"/>
      <c r="AO60" s="190"/>
      <c r="AP60" s="49"/>
      <c r="AQ60" s="49"/>
      <c r="AR60" s="49"/>
      <c r="AS60" s="190"/>
      <c r="AT60" s="49"/>
      <c r="AU60" s="49"/>
      <c r="AV60" s="49"/>
      <c r="AW60" s="190"/>
      <c r="AX60" s="49"/>
      <c r="AY60" s="49"/>
      <c r="AZ60" s="49"/>
      <c r="BA60" s="190"/>
      <c r="BB60" s="49"/>
      <c r="BC60" s="49"/>
      <c r="BD60" s="49"/>
      <c r="BE60" s="190"/>
      <c r="BF60" s="49"/>
      <c r="BG60" s="49"/>
      <c r="BH60" s="49"/>
      <c r="BI60" s="190"/>
      <c r="BJ60" s="49"/>
      <c r="BK60" s="49"/>
      <c r="BL60" s="49"/>
      <c r="BM60" s="190"/>
      <c r="BN60" s="49"/>
      <c r="BO60" s="49"/>
      <c r="BP60" s="49"/>
      <c r="BQ60" s="190"/>
      <c r="BR60" s="49"/>
      <c r="BS60" s="49"/>
      <c r="BT60" s="49"/>
      <c r="BU60" s="190"/>
      <c r="BV60" s="49"/>
      <c r="BW60" s="49"/>
      <c r="BX60" s="49"/>
      <c r="BY60" s="190"/>
      <c r="BZ60" s="49"/>
      <c r="CA60" s="49"/>
      <c r="CB60" s="49"/>
      <c r="CC60" s="190"/>
      <c r="CD60" s="49"/>
      <c r="CE60" s="49"/>
      <c r="CF60" s="49"/>
      <c r="CG60" s="190"/>
      <c r="CH60" s="49"/>
      <c r="CI60" s="49"/>
      <c r="CJ60" s="49"/>
      <c r="CK60" s="190"/>
      <c r="CL60" s="49"/>
      <c r="CM60" s="49"/>
      <c r="CN60" s="49"/>
      <c r="CO60" s="190"/>
      <c r="CP60" s="49"/>
      <c r="CQ60" s="49"/>
      <c r="CR60" s="49"/>
      <c r="CS60" s="190"/>
      <c r="CT60" s="49"/>
      <c r="CU60" s="361"/>
      <c r="CV60" s="361"/>
      <c r="CW60" s="421"/>
      <c r="CX60" s="487"/>
      <c r="CY60" s="361"/>
      <c r="CZ60" s="361"/>
      <c r="DA60" s="421"/>
      <c r="DB60" s="487"/>
      <c r="DC60" s="361"/>
      <c r="DD60" s="361"/>
      <c r="DE60" s="421"/>
      <c r="DF60" s="361"/>
      <c r="DG60" s="361"/>
      <c r="DH60" s="361"/>
      <c r="DI60" s="421"/>
      <c r="DJ60" s="361"/>
      <c r="DK60" s="361"/>
      <c r="DL60" s="361"/>
      <c r="DM60" s="421"/>
      <c r="DN60" s="361"/>
      <c r="DO60" s="361"/>
      <c r="DP60" s="361"/>
      <c r="DQ60" s="421"/>
      <c r="DR60" s="361"/>
      <c r="DS60" s="361"/>
      <c r="DT60" s="361"/>
      <c r="DU60" s="421"/>
      <c r="DV60" s="361"/>
      <c r="DW60" s="361"/>
      <c r="DX60" s="361"/>
      <c r="DY60" s="421"/>
      <c r="DZ60" s="361"/>
      <c r="EA60" s="361"/>
      <c r="EB60" s="361"/>
      <c r="EC60" s="421"/>
      <c r="ED60" s="361"/>
      <c r="EE60" s="361"/>
      <c r="EF60" s="361"/>
      <c r="EG60" s="421"/>
      <c r="EH60" s="361"/>
      <c r="EI60" s="361"/>
      <c r="EJ60" s="361"/>
      <c r="EK60" s="421"/>
      <c r="EN60" s="49"/>
      <c r="EO60" s="49"/>
      <c r="EP60" s="49"/>
      <c r="EQ60" s="49"/>
      <c r="ER60" s="49"/>
      <c r="ES60" s="49"/>
      <c r="ET60" s="49"/>
      <c r="EU60" s="49"/>
      <c r="EV60" s="49"/>
      <c r="EW60" s="49"/>
      <c r="EX60" s="49"/>
      <c r="EY60" s="49"/>
      <c r="EZ60" s="49"/>
      <c r="FA60" s="49"/>
      <c r="FB60" s="49"/>
      <c r="FC60" s="49"/>
      <c r="FD60" s="49"/>
      <c r="FE60" s="49"/>
      <c r="FF60" s="49"/>
      <c r="FG60" s="49"/>
      <c r="FH60" s="49"/>
      <c r="FI60" s="49"/>
      <c r="FJ60" s="49"/>
      <c r="FK60" s="49"/>
      <c r="FL60" s="49"/>
      <c r="FM60" s="49"/>
      <c r="FN60" s="49"/>
      <c r="FO60" s="49"/>
      <c r="FP60" s="49"/>
      <c r="FQ60" s="49"/>
      <c r="FR60" s="49"/>
      <c r="FS60" s="49"/>
      <c r="FT60" s="49"/>
      <c r="FU60" s="49"/>
      <c r="FV60" s="49"/>
      <c r="FW60" s="11"/>
      <c r="FX60" s="11"/>
      <c r="FY60" s="11"/>
    </row>
    <row r="61" spans="1:183" s="205" customFormat="1" ht="10.199999999999999">
      <c r="A61" s="1216" t="s">
        <v>914</v>
      </c>
      <c r="B61" s="1217">
        <f t="shared" ref="B61:AG61" si="319">B18/B35</f>
      </c>
      <c r="C61" s="1217">
        <f t="shared" si="319"/>
      </c>
      <c r="D61" s="1217">
        <f t="shared" si="319"/>
      </c>
      <c r="E61" s="1218">
        <f t="shared" si="319"/>
      </c>
      <c r="F61" s="1217">
        <f t="shared" si="319"/>
      </c>
      <c r="G61" s="1217">
        <f t="shared" si="319"/>
      </c>
      <c r="H61" s="1217">
        <f t="shared" si="319"/>
      </c>
      <c r="I61" s="1218">
        <f t="shared" si="319"/>
      </c>
      <c r="J61" s="1217">
        <f t="shared" si="319"/>
      </c>
      <c r="K61" s="1217">
        <f t="shared" si="319"/>
      </c>
      <c r="L61" s="1217">
        <f t="shared" si="319"/>
      </c>
      <c r="M61" s="1218">
        <f t="shared" si="319"/>
      </c>
      <c r="N61" s="1217">
        <f t="shared" si="319"/>
      </c>
      <c r="O61" s="1217">
        <f t="shared" si="319"/>
      </c>
      <c r="P61" s="1217">
        <f t="shared" si="319"/>
      </c>
      <c r="Q61" s="1218">
        <f t="shared" si="319"/>
      </c>
      <c r="R61" s="1217">
        <f t="shared" si="319"/>
      </c>
      <c r="S61" s="1217">
        <f t="shared" si="319"/>
      </c>
      <c r="T61" s="1217">
        <f t="shared" si="319"/>
      </c>
      <c r="U61" s="1218">
        <f t="shared" si="319"/>
      </c>
      <c r="V61" s="1217">
        <f t="shared" si="319"/>
      </c>
      <c r="W61" s="1217">
        <f t="shared" si="319"/>
      </c>
      <c r="X61" s="1217">
        <f t="shared" si="319"/>
      </c>
      <c r="Y61" s="1218">
        <f t="shared" si="319"/>
      </c>
      <c r="Z61" s="1217">
        <f t="shared" si="319"/>
      </c>
      <c r="AA61" s="1217">
        <f t="shared" si="319"/>
      </c>
      <c r="AB61" s="1217">
        <f t="shared" si="319"/>
      </c>
      <c r="AC61" s="1218">
        <f t="shared" si="319"/>
      </c>
      <c r="AD61" s="1217">
        <f t="shared" si="319"/>
      </c>
      <c r="AE61" s="1217">
        <f t="shared" si="319"/>
      </c>
      <c r="AF61" s="1217">
        <f t="shared" si="319"/>
      </c>
      <c r="AG61" s="1218">
        <f t="shared" si="319"/>
      </c>
      <c r="AH61" s="1217">
        <f t="shared" ref="AH61:BM61" si="320">AH18/AH35</f>
      </c>
      <c r="AI61" s="1217">
        <f t="shared" si="320"/>
      </c>
      <c r="AJ61" s="1217">
        <f t="shared" si="320"/>
      </c>
      <c r="AK61" s="1218">
        <f t="shared" si="320"/>
      </c>
      <c r="AL61" s="1217">
        <f t="shared" si="320"/>
      </c>
      <c r="AM61" s="1217">
        <f t="shared" si="320"/>
      </c>
      <c r="AN61" s="1217">
        <f t="shared" si="320"/>
      </c>
      <c r="AO61" s="1218">
        <f t="shared" si="320"/>
      </c>
      <c r="AP61" s="1217">
        <f t="shared" si="320"/>
      </c>
      <c r="AQ61" s="1217">
        <f t="shared" si="320"/>
      </c>
      <c r="AR61" s="1217">
        <f t="shared" si="320"/>
      </c>
      <c r="AS61" s="1218">
        <f t="shared" si="320"/>
      </c>
      <c r="AT61" s="1217">
        <f t="shared" si="320"/>
      </c>
      <c r="AU61" s="1217">
        <f t="shared" si="320"/>
      </c>
      <c r="AV61" s="1217">
        <f t="shared" si="320"/>
      </c>
      <c r="AW61" s="1218">
        <f t="shared" si="320"/>
      </c>
      <c r="AX61" s="1217">
        <f t="shared" si="320"/>
      </c>
      <c r="AY61" s="1217">
        <f t="shared" si="320"/>
      </c>
      <c r="AZ61" s="1217">
        <f t="shared" si="320"/>
      </c>
      <c r="BA61" s="1218">
        <f t="shared" si="320"/>
      </c>
      <c r="BB61" s="1217">
        <f t="shared" si="320"/>
      </c>
      <c r="BC61" s="1217">
        <f t="shared" si="320"/>
      </c>
      <c r="BD61" s="1217">
        <f t="shared" si="320"/>
      </c>
      <c r="BE61" s="1218">
        <f t="shared" si="320"/>
      </c>
      <c r="BF61" s="1217">
        <f t="shared" si="320"/>
      </c>
      <c r="BG61" s="1217">
        <f t="shared" si="320"/>
      </c>
      <c r="BH61" s="1217">
        <f t="shared" si="320"/>
      </c>
      <c r="BI61" s="1218">
        <f t="shared" si="320"/>
      </c>
      <c r="BJ61" s="1217">
        <f t="shared" si="320"/>
      </c>
      <c r="BK61" s="1217">
        <f t="shared" si="320"/>
      </c>
      <c r="BL61" s="1217">
        <f t="shared" si="320"/>
      </c>
      <c r="BM61" s="1218">
        <f t="shared" si="320"/>
      </c>
      <c r="BN61" s="1217">
        <f t="shared" ref="BN61:CS61" si="321">BN18/BN35</f>
      </c>
      <c r="BO61" s="1217">
        <f t="shared" si="321"/>
      </c>
      <c r="BP61" s="1217">
        <f t="shared" si="321"/>
      </c>
      <c r="BQ61" s="1218">
        <f t="shared" si="321"/>
      </c>
      <c r="BR61" s="1217">
        <f t="shared" si="321"/>
      </c>
      <c r="BS61" s="1217">
        <f t="shared" si="321"/>
      </c>
      <c r="BT61" s="1217">
        <f t="shared" si="321"/>
      </c>
      <c r="BU61" s="1218">
        <f t="shared" si="321"/>
      </c>
      <c r="BV61" s="1217">
        <f t="shared" si="321"/>
      </c>
      <c r="BW61" s="1217">
        <f t="shared" si="321"/>
      </c>
      <c r="BX61" s="1217">
        <f t="shared" si="321"/>
      </c>
      <c r="BY61" s="1218">
        <f t="shared" si="321"/>
      </c>
      <c r="BZ61" s="1217">
        <f t="shared" si="321"/>
      </c>
      <c r="CA61" s="1217">
        <f t="shared" si="321"/>
      </c>
      <c r="CB61" s="1217">
        <f t="shared" si="321"/>
      </c>
      <c r="CC61" s="1218">
        <f t="shared" si="321"/>
      </c>
      <c r="CD61" s="1217">
        <f t="shared" si="321"/>
      </c>
      <c r="CE61" s="1217">
        <f t="shared" si="321"/>
      </c>
      <c r="CF61" s="1217">
        <f t="shared" si="321"/>
      </c>
      <c r="CG61" s="1218">
        <f t="shared" si="321"/>
      </c>
      <c r="CH61" s="1217">
        <f t="shared" si="321"/>
      </c>
      <c r="CI61" s="1217">
        <f t="shared" si="321"/>
      </c>
      <c r="CJ61" s="1217">
        <f t="shared" si="321"/>
      </c>
      <c r="CK61" s="1218">
        <f t="shared" si="321"/>
      </c>
      <c r="CL61" s="1217">
        <f t="shared" si="321"/>
      </c>
      <c r="CM61" s="1217">
        <f t="shared" si="321"/>
      </c>
      <c r="CN61" s="1217">
        <f t="shared" si="321"/>
      </c>
      <c r="CO61" s="1218">
        <f t="shared" si="321"/>
      </c>
      <c r="CP61" s="1217">
        <f t="shared" si="321"/>
      </c>
      <c r="CQ61" s="1217">
        <f t="shared" si="321"/>
      </c>
      <c r="CR61" s="1217">
        <f t="shared" si="321"/>
      </c>
      <c r="CS61" s="1218">
        <f t="shared" si="321"/>
      </c>
      <c r="CT61" s="1217">
        <f t="shared" ref="CT61:DU61" si="322">CT18/CT35</f>
      </c>
      <c r="CU61" s="1219">
        <f t="shared" si="322"/>
      </c>
      <c r="CV61" s="1219">
        <f t="shared" si="322"/>
      </c>
      <c r="CW61" s="1220">
        <f t="shared" si="322"/>
      </c>
      <c r="CX61" s="1221">
        <f t="shared" si="322"/>
      </c>
      <c r="CY61" s="1219">
        <f t="shared" si="322"/>
      </c>
      <c r="CZ61" s="1219">
        <f t="shared" si="322"/>
      </c>
      <c r="DA61" s="1220">
        <f t="shared" si="322"/>
      </c>
      <c r="DB61" s="1221">
        <f t="shared" si="322"/>
      </c>
      <c r="DC61" s="1219">
        <f t="shared" si="322"/>
      </c>
      <c r="DD61" s="1219">
        <f t="shared" si="322"/>
      </c>
      <c r="DE61" s="1220">
        <f t="shared" si="322"/>
      </c>
      <c r="DF61" s="1221">
        <f t="shared" ref="DF61:DH61" si="323">DF18/DF35</f>
      </c>
      <c r="DG61" s="1219">
        <f t="shared" si="323"/>
      </c>
      <c r="DH61" s="1219">
        <f t="shared" si="323"/>
      </c>
      <c r="DI61" s="1220">
        <f t="shared" si="322"/>
      </c>
      <c r="DJ61" s="1221">
        <f t="shared" si="322"/>
      </c>
      <c r="DK61" s="1219">
        <f t="shared" si="322"/>
      </c>
      <c r="DL61" s="1219">
        <f t="shared" si="322"/>
      </c>
      <c r="DM61" s="1220">
        <f t="shared" ref="DM61:DP61" si="324">DM18/DM35</f>
      </c>
      <c r="DN61" s="1221">
        <f t="shared" si="324"/>
      </c>
      <c r="DO61" s="1219">
        <f t="shared" si="324"/>
      </c>
      <c r="DP61" s="1219">
        <f t="shared" si="324"/>
      </c>
      <c r="DQ61" s="1220">
        <f t="shared" si="322"/>
      </c>
      <c r="DR61" s="1219">
        <f t="shared" si="322"/>
      </c>
      <c r="DS61" s="1219">
        <f t="shared" si="322"/>
      </c>
      <c r="DT61" s="1219">
        <f t="shared" si="322"/>
      </c>
      <c r="DU61" s="1220">
        <f t="shared" si="322"/>
      </c>
      <c r="DV61" s="1219">
        <f t="shared" ref="DV61:EK61" si="325">DV18/DV35</f>
      </c>
      <c r="DW61" s="1219">
        <f t="shared" si="325"/>
      </c>
      <c r="DX61" s="1219">
        <f t="shared" si="325"/>
      </c>
      <c r="DY61" s="1220">
        <f t="shared" si="325"/>
      </c>
      <c r="DZ61" s="1219">
        <f t="shared" si="325"/>
      </c>
      <c r="EA61" s="1219">
        <f t="shared" si="325"/>
      </c>
      <c r="EB61" s="1219">
        <f t="shared" si="325"/>
      </c>
      <c r="EC61" s="1220">
        <f t="shared" si="325"/>
      </c>
      <c r="ED61" s="1219">
        <f t="shared" si="325"/>
      </c>
      <c r="EE61" s="1219">
        <f t="shared" si="325"/>
      </c>
      <c r="EF61" s="1219">
        <f t="shared" si="325"/>
      </c>
      <c r="EG61" s="1220">
        <f t="shared" si="325"/>
      </c>
      <c r="EH61" s="1219">
        <f t="shared" si="325"/>
      </c>
      <c r="EI61" s="1219">
        <f t="shared" si="325"/>
      </c>
      <c r="EJ61" s="1219">
        <f t="shared" si="325"/>
      </c>
      <c r="EK61" s="1220">
        <f t="shared" si="325"/>
      </c>
      <c r="EN61" s="204">
        <f t="shared" ref="EN61:FR61" si="326">EN18/EN35</f>
      </c>
      <c r="EO61" s="204">
        <f t="shared" si="326"/>
      </c>
      <c r="EP61" s="204">
        <f t="shared" si="326"/>
      </c>
      <c r="EQ61" s="204">
        <f t="shared" si="326"/>
      </c>
      <c r="ER61" s="204">
        <f t="shared" si="326"/>
      </c>
      <c r="ES61" s="204">
        <f t="shared" si="326"/>
      </c>
      <c r="ET61" s="204">
        <f t="shared" si="326"/>
      </c>
      <c r="EU61" s="204">
        <f t="shared" si="326"/>
      </c>
      <c r="EV61" s="204">
        <f t="shared" si="326"/>
      </c>
      <c r="EW61" s="204">
        <f t="shared" si="326"/>
      </c>
      <c r="EX61" s="204">
        <f t="shared" si="326"/>
      </c>
      <c r="EY61" s="204">
        <f t="shared" si="326"/>
      </c>
      <c r="EZ61" s="204">
        <f t="shared" si="326"/>
      </c>
      <c r="FA61" s="204">
        <f t="shared" si="326"/>
      </c>
      <c r="FB61" s="204">
        <f t="shared" si="326"/>
      </c>
      <c r="FC61" s="204">
        <f t="shared" si="326"/>
      </c>
      <c r="FD61" s="204">
        <f t="shared" si="326"/>
      </c>
      <c r="FE61" s="204">
        <f t="shared" si="326"/>
      </c>
      <c r="FF61" s="204">
        <f t="shared" si="326"/>
      </c>
      <c r="FG61" s="204">
        <f t="shared" si="326"/>
      </c>
      <c r="FH61" s="204">
        <f t="shared" si="326"/>
      </c>
      <c r="FI61" s="204">
        <f t="shared" si="326"/>
      </c>
      <c r="FJ61" s="1217">
        <f t="shared" si="326"/>
      </c>
      <c r="FK61" s="1217">
        <f t="shared" si="326"/>
      </c>
      <c r="FL61" s="1217">
        <f t="shared" si="326"/>
      </c>
      <c r="FM61" s="1217">
        <f t="shared" si="326"/>
      </c>
      <c r="FN61" s="1217">
        <f t="shared" si="326"/>
      </c>
      <c r="FO61" s="1217">
        <f t="shared" si="326"/>
      </c>
      <c r="FP61" s="1217">
        <f t="shared" si="326"/>
      </c>
      <c r="FQ61" s="1217">
        <f t="shared" si="326"/>
      </c>
      <c r="FR61" s="1217">
        <f t="shared" si="326"/>
      </c>
      <c r="FS61" s="1217">
        <f t="shared" ref="FS61:FV61" si="327">FS18/FS35</f>
      </c>
      <c r="FT61" s="1217">
        <f t="shared" si="327"/>
      </c>
      <c r="FU61" s="1217">
        <f t="shared" si="327"/>
      </c>
      <c r="FV61" s="1217">
        <f t="shared" si="327"/>
      </c>
    </row>
    <row r="62" spans="1:183" s="80" customFormat="1" ht="10.199999999999999">
      <c r="A62" s="1210" t="s">
        <v>156</v>
      </c>
      <c r="B62" s="1211">
        <f>(B13/'Income Statement'!B9)*91</f>
      </c>
      <c r="C62" s="1211">
        <f>(C13/'Income Statement'!C9)*91</f>
      </c>
      <c r="D62" s="1211">
        <f>(D13/'Income Statement'!D9)*91</f>
      </c>
      <c r="E62" s="1212">
        <f>(E13/'Income Statement'!E9)*91</f>
      </c>
      <c r="F62" s="1211">
        <f>(F13/'Income Statement'!F9)*91</f>
      </c>
      <c r="G62" s="1211">
        <f>(G13/'Income Statement'!G9)*91</f>
      </c>
      <c r="H62" s="1211">
        <f>(H13/'Income Statement'!H9)*91</f>
      </c>
      <c r="I62" s="1212">
        <f>(I13/'Income Statement'!I9)*91</f>
      </c>
      <c r="J62" s="1211">
        <f>(J13/'Income Statement'!J9)*91</f>
      </c>
      <c r="K62" s="1211">
        <f>(K13/'Income Statement'!K9)*91</f>
      </c>
      <c r="L62" s="1211">
        <f>(L13/'Income Statement'!L9)*91</f>
      </c>
      <c r="M62" s="1212">
        <f>(M13/'Income Statement'!M9)*91</f>
      </c>
      <c r="N62" s="1211">
        <f>(N13/'Income Statement'!N9)*91</f>
      </c>
      <c r="O62" s="1211">
        <f>(O13/'Income Statement'!O9)*91</f>
      </c>
      <c r="P62" s="1211">
        <f>(P13/'Income Statement'!P9)*91</f>
      </c>
      <c r="Q62" s="1212">
        <f>(Q13/'Income Statement'!Q9)*91</f>
      </c>
      <c r="R62" s="1211">
        <f>(R13/'Income Statement'!R9)*91</f>
      </c>
      <c r="S62" s="1211">
        <f>(S13/'Income Statement'!S9)*91</f>
      </c>
      <c r="T62" s="1211">
        <f>(T13/'Income Statement'!T9)*91</f>
      </c>
      <c r="U62" s="1212">
        <f>(U13/'Income Statement'!U9)*91</f>
      </c>
      <c r="V62" s="1211">
        <f>(V13/'Income Statement'!V9)*91</f>
      </c>
      <c r="W62" s="1211">
        <f>(W13/'Income Statement'!W9)*91</f>
      </c>
      <c r="X62" s="1211">
        <f>(X13/'Income Statement'!X9)*91</f>
      </c>
      <c r="Y62" s="1212">
        <f>(Y13/'Income Statement'!Y9)*91</f>
      </c>
      <c r="Z62" s="1211">
        <f>(Z13/'Income Statement'!Z9)*91</f>
      </c>
      <c r="AA62" s="1211">
        <f>(AA13/'Income Statement'!AA9)*91</f>
      </c>
      <c r="AB62" s="1211">
        <f>(AB13/'Income Statement'!AB9)*91</f>
      </c>
      <c r="AC62" s="1212">
        <f>(AC13/'Income Statement'!AC9)*91</f>
      </c>
      <c r="AD62" s="1211">
        <f>(AD13/'Income Statement'!AD9)*91</f>
      </c>
      <c r="AE62" s="1211">
        <f>(AE13/'Income Statement'!AE9)*91</f>
      </c>
      <c r="AF62" s="1211">
        <f>(AF13/'Income Statement'!AF9)*91</f>
      </c>
      <c r="AG62" s="1212">
        <f>(AG13/'Income Statement'!AG9)*91</f>
      </c>
      <c r="AH62" s="1211">
        <f>(AH13/'Income Statement'!AH9)*91</f>
      </c>
      <c r="AI62" s="1211">
        <f>(AI13/'Income Statement'!AI9)*91</f>
      </c>
      <c r="AJ62" s="1211">
        <f>(AJ13/'Income Statement'!AJ9)*91</f>
      </c>
      <c r="AK62" s="1212">
        <f>(AK13/'Income Statement'!AK9)*91</f>
      </c>
      <c r="AL62" s="1211">
        <f>(AL13/'Income Statement'!AL9)*91</f>
      </c>
      <c r="AM62" s="1211">
        <f>(AM13/'Income Statement'!AM9)*91</f>
      </c>
      <c r="AN62" s="1211">
        <f>(AN13/'Income Statement'!AN9)*91</f>
      </c>
      <c r="AO62" s="1212">
        <f>(AO13/'Income Statement'!AO9)*91</f>
      </c>
      <c r="AP62" s="1211">
        <f>(AP13/'Income Statement'!AP9)*91</f>
      </c>
      <c r="AQ62" s="1211">
        <f>(AQ13/'Income Statement'!AQ9)*91</f>
      </c>
      <c r="AR62" s="1211">
        <f>(AR13/'Income Statement'!AR9)*91</f>
      </c>
      <c r="AS62" s="1212">
        <f>(AS13/'Income Statement'!AS9)*91</f>
      </c>
      <c r="AT62" s="1211">
        <f>(AT13/'Income Statement'!AT9)*91</f>
      </c>
      <c r="AU62" s="1211">
        <f>(AU13/'Income Statement'!AU9)*91</f>
      </c>
      <c r="AV62" s="1211">
        <f>(AV13/'Income Statement'!AV9)*91</f>
      </c>
      <c r="AW62" s="1212">
        <f>(AW13/'Income Statement'!AW9)*91</f>
      </c>
      <c r="AX62" s="1211">
        <f>(AX13/'Income Statement'!AX9)*91</f>
      </c>
      <c r="AY62" s="1211">
        <f>(AY13/'Income Statement'!AY9)*91</f>
      </c>
      <c r="AZ62" s="1211">
        <f>(AZ13/'Income Statement'!AZ9)*91</f>
      </c>
      <c r="BA62" s="1212">
        <f>(BA13/'Income Statement'!BA9)*91</f>
      </c>
      <c r="BB62" s="1211">
        <f>(BB13/'Income Statement'!BB9)*91</f>
      </c>
      <c r="BC62" s="1211">
        <f>(BC13/'Income Statement'!BC9)*91</f>
      </c>
      <c r="BD62" s="1211">
        <f>(BD13/'Income Statement'!BD9)*91</f>
      </c>
      <c r="BE62" s="1212">
        <f>(BE13/'Income Statement'!BE9)*91</f>
      </c>
      <c r="BF62" s="1211">
        <f>(BF13/'Income Statement'!BF9)*91</f>
      </c>
      <c r="BG62" s="1211">
        <f>(BG13/'Income Statement'!BG9)*91</f>
      </c>
      <c r="BH62" s="1211">
        <f>(BH13/'Income Statement'!BH9)*91</f>
      </c>
      <c r="BI62" s="1212">
        <f>(BI13/'Income Statement'!BI9)*91</f>
      </c>
      <c r="BJ62" s="1211">
        <f>(BJ13/'Income Statement'!BJ9)*91</f>
      </c>
      <c r="BK62" s="1211">
        <f>(BK13/'Income Statement'!BK9)*91</f>
      </c>
      <c r="BL62" s="1211">
        <f>(BL13/'Income Statement'!BL9)*91</f>
      </c>
      <c r="BM62" s="1212">
        <f>(BM13/'Income Statement'!BM9)*91</f>
      </c>
      <c r="BN62" s="1211">
        <f>(BN13/'Income Statement'!BN9)*91</f>
      </c>
      <c r="BO62" s="1211">
        <f>(BO13/'Income Statement'!BO9)*91</f>
      </c>
      <c r="BP62" s="1211">
        <f>(BP13/'Income Statement'!BP9)*91</f>
      </c>
      <c r="BQ62" s="1212">
        <f>(BQ13/'Income Statement'!BQ9)*91</f>
      </c>
      <c r="BR62" s="1211">
        <f>(BR13/'Income Statement'!BR9)*91</f>
      </c>
      <c r="BS62" s="1211">
        <f>(BS13/'Income Statement'!BS9)*91</f>
      </c>
      <c r="BT62" s="1211">
        <f>(BT13/'Income Statement'!BT9)*91</f>
      </c>
      <c r="BU62" s="1212">
        <f>(BU13/'Income Statement'!BU9)*91</f>
      </c>
      <c r="BV62" s="1211">
        <f>(BV13/'Income Statement'!BV9)*91</f>
      </c>
      <c r="BW62" s="1211">
        <f>(BW13/'Income Statement'!BW9)*91</f>
      </c>
      <c r="BX62" s="1211">
        <f>(BX13/'Income Statement'!BX9)*91</f>
      </c>
      <c r="BY62" s="1212">
        <f>(BY13/'Income Statement'!BY9)*91</f>
      </c>
      <c r="BZ62" s="1211">
        <f>(BZ13/'Income Statement'!BZ9)*91</f>
      </c>
      <c r="CA62" s="1211">
        <f>(CA13/'Income Statement'!CA9)*91</f>
      </c>
      <c r="CB62" s="1211">
        <f>(CB13/'Income Statement'!CB9)*91</f>
      </c>
      <c r="CC62" s="1212">
        <f>(CC13/'Income Statement'!CC9)*91</f>
      </c>
      <c r="CD62" s="1211">
        <f>(CD13/'Income Statement'!CD9)*91</f>
      </c>
      <c r="CE62" s="1211">
        <f>(CE13/'Income Statement'!CE9)*91</f>
      </c>
      <c r="CF62" s="1213">
        <f>(CF13/'Income Statement'!CF9)*91</f>
      </c>
      <c r="CG62" s="1214">
        <f>(CG13/'Income Statement'!CG9)*91</f>
      </c>
      <c r="CH62" s="1213">
        <f>(CH13/'Income Statement'!CH9)*91</f>
      </c>
      <c r="CI62" s="1213">
        <f>(CI13/'Income Statement'!CI9)*91</f>
      </c>
      <c r="CJ62" s="1213">
        <f>(CJ13/'Income Statement'!CJ9)*91</f>
      </c>
      <c r="CK62" s="1214">
        <f>(CK13/'Income Statement'!CK9)*91</f>
      </c>
      <c r="CL62" s="1213">
        <f>(CL13/'Income Statement'!CL9)*91</f>
      </c>
      <c r="CM62" s="1213">
        <f>(CM13/'Income Statement'!CM9)*91</f>
      </c>
      <c r="CN62" s="1213">
        <f>(CN13/'Income Statement'!CN9)*91</f>
      </c>
      <c r="CO62" s="1214">
        <f>(CO13/'Income Statement'!CO9)*91</f>
      </c>
      <c r="CP62" s="1213">
        <f>(CP13/'Income Statement'!CP9)*91</f>
      </c>
      <c r="CQ62" s="1213">
        <f>(CQ13/'Income Statement'!CQ9)*91</f>
      </c>
      <c r="CR62" s="1213">
        <f>(CR13/'Income Statement'!CR9)*91</f>
      </c>
      <c r="CS62" s="1214">
        <f>(CS13/'Income Statement'!CS9)*91</f>
      </c>
      <c r="CT62" s="1213">
        <f>(CT13/'Income Statement'!CT9)*91</f>
      </c>
      <c r="CU62" s="1213">
        <f>(CU13/'Income Statement'!CU9)*91</f>
      </c>
      <c r="CV62" s="1213">
        <f>(CV13/'Income Statement'!CV9)*91</f>
      </c>
      <c r="CW62" s="1214">
        <f>(CW13/'Income Statement'!CW9)*91</f>
      </c>
      <c r="CX62" s="1215">
        <f>(CX13/'Income Statement'!CX9)*91</f>
      </c>
      <c r="CY62" s="1213">
        <f>(CY13/'Income Statement'!CY9)*91</f>
      </c>
      <c r="CZ62" s="1213">
        <f>(CZ13/'Income Statement'!CZ9)*91</f>
      </c>
      <c r="DA62" s="1214">
        <f>(DA13/'Income Statement'!DA9)*91</f>
      </c>
      <c r="DB62" s="1215">
        <f>(DB13/'Income Statement'!DB9)*91</f>
      </c>
      <c r="DC62" s="1213">
        <f>(DC13/'Income Statement'!DC9)*91</f>
      </c>
      <c r="DD62" s="1213">
        <f>(DD13/'Income Statement'!DD9)*91</f>
      </c>
      <c r="DE62" s="1214">
        <f>(DE13/'Income Statement'!DE9)*91</f>
      </c>
      <c r="DF62" s="1215">
        <f>(DF13/'Income Statement'!DF9)*91</f>
      </c>
      <c r="DG62" s="1213">
        <f>(DG13/'Income Statement'!DG9)*91</f>
      </c>
      <c r="DH62" s="1213">
        <f>(DH13/'Income Statement'!DH9)*91</f>
      </c>
      <c r="DI62" s="1214">
        <f>(DI13/'Income Statement'!DI9)*91</f>
      </c>
      <c r="DJ62" s="1215">
        <f>(DJ13/'Income Statement'!DJ9)*91</f>
      </c>
      <c r="DK62" s="1213">
        <f>(DK13/'Income Statement'!DK9)*91</f>
      </c>
      <c r="DL62" s="1213">
        <f>(DL13/'Income Statement'!DL9)*91</f>
      </c>
      <c r="DM62" s="1214">
        <f>(DM13/'Income Statement'!DM9)*91</f>
      </c>
      <c r="DN62" s="1215">
        <f>(DN13/'Income Statement'!DN9)*91</f>
      </c>
      <c r="DO62" s="1213">
        <f>(DO13/'Income Statement'!DO9)*91</f>
      </c>
      <c r="DP62" s="1213">
        <f>(DP13/'Income Statement'!DP9)*91</f>
      </c>
      <c r="DQ62" s="1198">
        <f t="shared" ref="DQ62" si="328">DM62</f>
      </c>
      <c r="DR62" s="1199">
        <f t="shared" ref="DR62" si="329">DN62</f>
      </c>
      <c r="DS62" s="1199">
        <f t="shared" ref="DS62" si="330">DO62</f>
      </c>
      <c r="DT62" s="1199">
        <f t="shared" ref="DT62" si="331">DP62</f>
      </c>
      <c r="DU62" s="1198">
        <f t="shared" ref="DU62" si="332">DQ62</f>
      </c>
      <c r="DV62" s="1199">
        <f t="shared" ref="DV62:DV63" si="333">DR62</f>
      </c>
      <c r="DW62" s="1199">
        <f t="shared" ref="DW62:DW63" si="334">DS62</f>
      </c>
      <c r="DX62" s="1199">
        <f t="shared" ref="DX62:DX63" si="335">DT62</f>
      </c>
      <c r="DY62" s="1198">
        <f t="shared" ref="DY62:DY63" si="336">DU62</f>
      </c>
      <c r="DZ62" s="1199">
        <f t="shared" ref="DZ62:DZ63" si="337">DV62</f>
      </c>
      <c r="EA62" s="1199">
        <f t="shared" ref="EA62:EA63" si="338">DW62</f>
      </c>
      <c r="EB62" s="1199">
        <f t="shared" ref="EB62:EB63" si="339">DX62</f>
      </c>
      <c r="EC62" s="1198">
        <f t="shared" ref="EC62:EC63" si="340">DY62</f>
      </c>
      <c r="ED62" s="1199">
        <f t="shared" ref="ED62:ED63" si="341">DZ62</f>
      </c>
      <c r="EE62" s="1199">
        <f t="shared" ref="EE62:EE63" si="342">EA62</f>
      </c>
      <c r="EF62" s="1199">
        <f t="shared" ref="EF62:EF63" si="343">EB62</f>
      </c>
      <c r="EG62" s="1198">
        <f t="shared" ref="EG62:EG63" si="344">EC62</f>
      </c>
      <c r="EH62" s="1199">
        <f t="shared" ref="EH62:EH63" si="345">ED62</f>
      </c>
      <c r="EI62" s="1199">
        <f t="shared" ref="EI62:EI63" si="346">EE62</f>
      </c>
      <c r="EJ62" s="1199">
        <f t="shared" ref="EJ62:EJ63" si="347">EF62</f>
      </c>
      <c r="EK62" s="1198">
        <f t="shared" ref="EK62:EK63" si="348">EG62</f>
      </c>
      <c r="EN62" s="80">
        <f>E62</f>
      </c>
      <c r="EO62" s="80">
        <f>I62</f>
      </c>
      <c r="EP62" s="80">
        <f>M62</f>
      </c>
      <c r="EQ62" s="80">
        <f>Q62</f>
      </c>
      <c r="ER62" s="80">
        <f>U62</f>
      </c>
      <c r="ES62" s="80">
        <f>Y62</f>
      </c>
      <c r="ET62" s="80">
        <f>AC62</f>
      </c>
      <c r="EU62" s="80">
        <f>AG62</f>
      </c>
      <c r="EV62" s="80">
        <f>AK62</f>
      </c>
      <c r="EW62" s="80">
        <f>AO62</f>
      </c>
      <c r="EX62" s="80">
        <f>AS62</f>
      </c>
      <c r="EY62" s="80">
        <f>AW62</f>
      </c>
      <c r="EZ62" s="80">
        <f>BA62</f>
      </c>
      <c r="FA62" s="80">
        <f>BE62</f>
      </c>
      <c r="FB62" s="80">
        <f>BI14:BI87</f>
      </c>
      <c r="FC62" s="80">
        <f>BM14:BM87</f>
      </c>
      <c r="FD62" s="80">
        <f>BQ14:BQ87</f>
      </c>
      <c r="FE62" s="80">
        <f>BU14:BU87</f>
      </c>
      <c r="FF62" s="80">
        <f>BY14:BY87</f>
      </c>
      <c r="FG62" s="80">
        <f>CC14:CC87</f>
      </c>
      <c r="FH62" s="1213">
        <f>(FH13/'Income Statement'!FG9)*365</f>
      </c>
      <c r="FI62" s="1213">
        <f>(FI13/'Income Statement'!FH9)*365</f>
      </c>
      <c r="FJ62" s="1213">
        <f>(FJ13/'Income Statement'!FI9)*365</f>
      </c>
      <c r="FK62" s="1213">
        <f>(FK13/'Income Statement'!FJ9)*365</f>
      </c>
      <c r="FL62" s="1213">
        <f>(FL13/'Income Statement'!FK9)*365</f>
      </c>
      <c r="FM62" s="1213">
        <f>(FM13/'Income Statement'!FL9)*365</f>
      </c>
      <c r="FN62" s="1213">
        <f>(FN13/'Income Statement'!FM9)*365</f>
      </c>
      <c r="FO62" s="1213">
        <f>(FO13/'Income Statement'!FN9)*365</f>
      </c>
      <c r="FP62" s="1213">
        <f>(FP13/'Income Statement'!FO9)*365</f>
      </c>
      <c r="FQ62" s="1213">
        <f>(FQ13/'Income Statement'!FP9)*365</f>
      </c>
      <c r="FR62" s="1213">
        <f>(FR13/'Income Statement'!FQ9)*365</f>
      </c>
      <c r="FS62" s="1213">
        <f>(FS13/'Income Statement'!FR9)*365</f>
      </c>
      <c r="FT62" s="1213">
        <f>(FT13/'Income Statement'!FS9)*365</f>
      </c>
      <c r="FU62" s="1213">
        <f>(FU13/'Income Statement'!FT9)*365</f>
      </c>
      <c r="FV62" s="1213">
        <f>(FV13/'Income Statement'!FU9)*365</f>
      </c>
    </row>
    <row r="63" spans="1:183" s="80" customFormat="1" ht="10.199999999999999">
      <c r="A63" s="1210" t="s">
        <v>157</v>
      </c>
      <c r="B63" s="2855">
        <f>91*B14/'Income Statement'!B10</f>
      </c>
      <c r="C63" s="2855">
        <f>91*C14/'Income Statement'!C10</f>
      </c>
      <c r="D63" s="2855">
        <f>91*D14/'Income Statement'!D10</f>
      </c>
      <c r="E63" s="2856">
        <f>91*E14/'Income Statement'!E10</f>
      </c>
      <c r="F63" s="2855">
        <f>91*F14/'Income Statement'!F10</f>
      </c>
      <c r="G63" s="2855">
        <f>91*G14/'Income Statement'!G10</f>
      </c>
      <c r="H63" s="2855">
        <f>91*H14/'Income Statement'!H10</f>
      </c>
      <c r="I63" s="2856">
        <f>91*I14/'Income Statement'!I10</f>
      </c>
      <c r="J63" s="2855">
        <f>91*J14/'Income Statement'!J10</f>
      </c>
      <c r="K63" s="2855">
        <f>91*K14/'Income Statement'!K10</f>
      </c>
      <c r="L63" s="2855">
        <f>91*L14/'Income Statement'!L10</f>
      </c>
      <c r="M63" s="2856">
        <f>91*M14/'Income Statement'!M10</f>
      </c>
      <c r="N63" s="2855">
        <f>91*N14/'Income Statement'!N10</f>
      </c>
      <c r="O63" s="2855">
        <f>91*O14/'Income Statement'!O10</f>
      </c>
      <c r="P63" s="2855">
        <f>91*P14/'Income Statement'!P10</f>
      </c>
      <c r="Q63" s="2856">
        <f>91*Q14/'Income Statement'!Q10</f>
      </c>
      <c r="R63" s="2855">
        <f>91*R14/'Income Statement'!R10</f>
      </c>
      <c r="S63" s="2855">
        <f>91*S14/'Income Statement'!S10</f>
      </c>
      <c r="T63" s="2855">
        <f>91*T14/'Income Statement'!T10</f>
      </c>
      <c r="U63" s="2856">
        <f>91*U14/'Income Statement'!U10</f>
      </c>
      <c r="V63" s="2855">
        <f>91*V14/'Income Statement'!V10</f>
      </c>
      <c r="W63" s="2855">
        <f>91*W14/'Income Statement'!W10</f>
      </c>
      <c r="X63" s="2855">
        <f>91*X14/'Income Statement'!X10</f>
      </c>
      <c r="Y63" s="2856">
        <f>91*Y14/'Income Statement'!Y10</f>
      </c>
      <c r="Z63" s="2855">
        <f>91*Z14/'Income Statement'!Z10</f>
      </c>
      <c r="AA63" s="2855">
        <f>91*AA14/'Income Statement'!AA10</f>
      </c>
      <c r="AB63" s="2855">
        <f>91*AB14/'Income Statement'!AB10</f>
      </c>
      <c r="AC63" s="2856">
        <f>91*AC14/'Income Statement'!AC10</f>
      </c>
      <c r="AD63" s="2855">
        <f>91*AD14/'Income Statement'!AD10</f>
      </c>
      <c r="AE63" s="2855">
        <f>91*AE14/'Income Statement'!AE10</f>
      </c>
      <c r="AF63" s="2855">
        <f>91*AF14/'Income Statement'!AF10</f>
      </c>
      <c r="AG63" s="2856">
        <f>91*AG14/'Income Statement'!AG10</f>
      </c>
      <c r="AH63" s="2855">
        <f>91*AH14/'Income Statement'!AH10</f>
      </c>
      <c r="AI63" s="2855">
        <f>91*AI14/'Income Statement'!AI10</f>
      </c>
      <c r="AJ63" s="2855">
        <f>91*AJ14/'Income Statement'!AJ10</f>
      </c>
      <c r="AK63" s="2856">
        <f>91*AK14/'Income Statement'!AK10</f>
      </c>
      <c r="AL63" s="2855">
        <f>91*AL14/'Income Statement'!AL10</f>
      </c>
      <c r="AM63" s="2855">
        <f>91*AM14/'Income Statement'!AM10</f>
      </c>
      <c r="AN63" s="2855">
        <f>91*AN14/'Income Statement'!AN10</f>
      </c>
      <c r="AO63" s="2856">
        <f>91*AO14/'Income Statement'!AO10</f>
      </c>
      <c r="AP63" s="2855">
        <f>91*AP14/'Income Statement'!AP10</f>
      </c>
      <c r="AQ63" s="2855">
        <f>91*AQ14/'Income Statement'!AQ10</f>
      </c>
      <c r="AR63" s="2855">
        <f>91*AR14/'Income Statement'!AR10</f>
      </c>
      <c r="AS63" s="2856">
        <f>91*AS14/'Income Statement'!AS10</f>
      </c>
      <c r="AT63" s="2855">
        <f>91*AT14/'Income Statement'!AT10</f>
      </c>
      <c r="AU63" s="2855">
        <f>91*AU14/'Income Statement'!AU10</f>
      </c>
      <c r="AV63" s="2855">
        <f>91*AV14/'Income Statement'!AV10</f>
      </c>
      <c r="AW63" s="2856">
        <f>91*AW14/'Income Statement'!AW10</f>
      </c>
      <c r="AX63" s="2855">
        <f>91*AX14/'Income Statement'!AX10</f>
      </c>
      <c r="AY63" s="2855">
        <f>91*AY14/'Income Statement'!AY10</f>
      </c>
      <c r="AZ63" s="2855">
        <f>91*AZ14/'Income Statement'!AZ10</f>
      </c>
      <c r="BA63" s="2856">
        <f>91*BA14/'Income Statement'!BA10</f>
      </c>
      <c r="BB63" s="2855">
        <f>91*BB14/'Income Statement'!BB10</f>
      </c>
      <c r="BC63" s="2855">
        <f>91*BC14/'Income Statement'!BC10</f>
      </c>
      <c r="BD63" s="2855">
        <f>91*BD14/'Income Statement'!BD10</f>
      </c>
      <c r="BE63" s="2856">
        <f>91*BE14/'Income Statement'!BE10</f>
      </c>
      <c r="BF63" s="2855">
        <f>91*BF14/'Income Statement'!BF10</f>
      </c>
      <c r="BG63" s="2855">
        <f>91*BG14/'Income Statement'!BG10</f>
      </c>
      <c r="BH63" s="2855">
        <f>91*BH14/'Income Statement'!BH10</f>
      </c>
      <c r="BI63" s="2856">
        <f>91*BI14/'Income Statement'!BI10</f>
      </c>
      <c r="BJ63" s="2855">
        <f>91*BJ14/'Income Statement'!BJ10</f>
      </c>
      <c r="BK63" s="2855">
        <f>91*BK14/'Income Statement'!BK10</f>
      </c>
      <c r="BL63" s="2855">
        <f>91*BL14/'Income Statement'!BL10</f>
      </c>
      <c r="BM63" s="2856">
        <f>91*BM14/'Income Statement'!BM10</f>
      </c>
      <c r="BN63" s="2855">
        <f>91*BN14/'Income Statement'!BN10</f>
      </c>
      <c r="BO63" s="2855">
        <f>91*BO14/'Income Statement'!BO10</f>
      </c>
      <c r="BP63" s="2855">
        <f>91*BP14/'Income Statement'!BP10</f>
      </c>
      <c r="BQ63" s="2856">
        <f>91*BQ14/'Income Statement'!BQ10</f>
      </c>
      <c r="BR63" s="2855">
        <f>91*BR14/'Income Statement'!BR10</f>
      </c>
      <c r="BS63" s="2855">
        <f>91*BS14/'Income Statement'!BS10</f>
      </c>
      <c r="BT63" s="2855">
        <f>91*BT14/'Income Statement'!BT10</f>
      </c>
      <c r="BU63" s="2856">
        <f>91*BU14/'Income Statement'!BU10</f>
      </c>
      <c r="BV63" s="2855">
        <f>91*BV14/'Income Statement'!BV10</f>
      </c>
      <c r="BW63" s="2855">
        <f>91*BW14/'Income Statement'!BW10</f>
      </c>
      <c r="BX63" s="2855">
        <f>91*BX14/'Income Statement'!BX10</f>
      </c>
      <c r="BY63" s="2856">
        <f>91*BY14/'Income Statement'!BY10</f>
      </c>
      <c r="BZ63" s="2855">
        <f>91*BZ14/'Income Statement'!BZ10</f>
      </c>
      <c r="CA63" s="2855">
        <f>91*CA14/'Income Statement'!CA10</f>
      </c>
      <c r="CB63" s="2855">
        <f>91*CB14/'Income Statement'!CB10</f>
      </c>
      <c r="CC63" s="2856">
        <f>91*CC14/'Income Statement'!CC10</f>
      </c>
      <c r="CD63" s="2855">
        <f>91*CD14/'Income Statement'!CD10</f>
      </c>
      <c r="CE63" s="2855">
        <f>91*CE14/'Income Statement'!CE10</f>
      </c>
      <c r="CF63" s="2855">
        <f>91*CF14/'Income Statement'!CF10</f>
      </c>
      <c r="CG63" s="2856">
        <f>91*CG14/'Income Statement'!CG10</f>
      </c>
      <c r="CH63" s="2855">
        <f>91*CH14/'Income Statement'!CH10</f>
      </c>
      <c r="CI63" s="2855">
        <f>91*CI14/'Income Statement'!CI10</f>
      </c>
      <c r="CJ63" s="2855">
        <f>91*CJ14/'Income Statement'!CJ10</f>
      </c>
      <c r="CK63" s="2856">
        <f>91*CK14/'Income Statement'!CK10</f>
      </c>
      <c r="CL63" s="1211">
        <f>91*CL14/'Revenue summary'!CL48</f>
      </c>
      <c r="CM63" s="1211">
        <f>91*CM14/'Revenue summary'!CM48</f>
      </c>
      <c r="CN63" s="1211">
        <f>91*CN14/'Revenue summary'!CN48</f>
      </c>
      <c r="CO63" s="1212">
        <f>91*CO14/'Revenue summary'!CO48</f>
      </c>
      <c r="CP63" s="1213">
        <f>91*CP14/'Revenue summary'!CP48</f>
      </c>
      <c r="CQ63" s="1211">
        <f>91*CQ14/'Revenue summary'!CQ48</f>
      </c>
      <c r="CR63" s="1211">
        <f>91*CR14/'Revenue summary'!CR48</f>
      </c>
      <c r="CS63" s="1212">
        <f>91*CS14/'Revenue summary'!CS48</f>
      </c>
      <c r="CT63" s="1213">
        <f>91*CT14/'Revenue summary'!CT48</f>
      </c>
      <c r="CU63" s="1213">
        <f>91*CU14/'Revenue summary'!CU48</f>
      </c>
      <c r="CV63" s="1213">
        <f>91*CV14/'Revenue summary'!CV48</f>
      </c>
      <c r="CW63" s="1214">
        <f>91*CW14/'Revenue summary'!CW48</f>
      </c>
      <c r="CX63" s="1215">
        <f>91*CX14/'Revenue summary'!CX48</f>
      </c>
      <c r="CY63" s="1213">
        <f>91*CY14/'Revenue summary'!CY48</f>
      </c>
      <c r="CZ63" s="1213">
        <f>91*CZ14/'Revenue summary'!CZ48</f>
      </c>
      <c r="DA63" s="1214">
        <f>91*DA14/'Revenue summary'!DA48</f>
      </c>
      <c r="DB63" s="1215">
        <f>91*DB14/'Revenue summary'!DB48</f>
      </c>
      <c r="DC63" s="1213">
        <f>91*DC14/'Revenue summary'!DC48</f>
      </c>
      <c r="DD63" s="1213">
        <f>91*DD14/'Revenue summary'!DD48</f>
      </c>
      <c r="DE63" s="1214">
        <f>91*DE14/'Revenue summary'!DE48</f>
      </c>
      <c r="DF63" s="1215">
        <f>91*DF14/'Revenue summary'!DF48</f>
      </c>
      <c r="DG63" s="1213">
        <f>91*DG14/'Revenue summary'!DG48</f>
      </c>
      <c r="DH63" s="1213">
        <f>91*DH14/'Revenue summary'!DH48</f>
      </c>
      <c r="DI63" s="1214">
        <f>91*DI14/'Revenue summary'!DI48</f>
      </c>
      <c r="DJ63" s="1215">
        <f>91*DJ14/'Revenue summary'!DJ48</f>
      </c>
      <c r="DK63" s="1213">
        <f>91*DK14/'Revenue summary'!DK48</f>
      </c>
      <c r="DL63" s="1213">
        <f>91*DL14/'Revenue summary'!DL48</f>
      </c>
      <c r="DM63" s="1214">
        <f>91*DM14/'Revenue summary'!DM48</f>
      </c>
      <c r="DN63" s="1215">
        <f>91*DN14/'Revenue summary'!DN48</f>
      </c>
      <c r="DO63" s="1213">
        <f>91*DO14/'Revenue summary'!DO48</f>
      </c>
      <c r="DP63" s="1213">
        <f>91*DP14/'Revenue summary'!DP48</f>
      </c>
      <c r="DQ63" s="1198">
        <f t="shared" ref="DQ63:DU63" si="349">DM63</f>
      </c>
      <c r="DR63" s="1199">
        <f t="shared" si="349"/>
      </c>
      <c r="DS63" s="1199">
        <f t="shared" si="349"/>
      </c>
      <c r="DT63" s="1199">
        <f t="shared" si="349"/>
      </c>
      <c r="DU63" s="1198">
        <f t="shared" si="349"/>
      </c>
      <c r="DV63" s="1199">
        <f t="shared" si="333"/>
      </c>
      <c r="DW63" s="1199">
        <f t="shared" si="334"/>
      </c>
      <c r="DX63" s="1199">
        <f t="shared" si="335"/>
      </c>
      <c r="DY63" s="1198">
        <f t="shared" si="336"/>
      </c>
      <c r="DZ63" s="1199">
        <f t="shared" si="337"/>
      </c>
      <c r="EA63" s="1199">
        <f t="shared" si="338"/>
      </c>
      <c r="EB63" s="1199">
        <f t="shared" si="339"/>
      </c>
      <c r="EC63" s="1198">
        <f t="shared" si="340"/>
      </c>
      <c r="ED63" s="1199">
        <f t="shared" si="341"/>
      </c>
      <c r="EE63" s="1199">
        <f t="shared" si="342"/>
      </c>
      <c r="EF63" s="1199">
        <f t="shared" si="343"/>
      </c>
      <c r="EG63" s="1198">
        <f t="shared" si="344"/>
      </c>
      <c r="EH63" s="1199">
        <f t="shared" si="345"/>
      </c>
      <c r="EI63" s="1199">
        <f t="shared" si="346"/>
      </c>
      <c r="EJ63" s="1199">
        <f t="shared" si="347"/>
      </c>
      <c r="EK63" s="1198">
        <f t="shared" si="348"/>
      </c>
      <c r="EN63" s="80">
        <f>E63</f>
      </c>
      <c r="EO63" s="80">
        <f>I63</f>
      </c>
      <c r="EP63" s="80">
        <f>M63</f>
      </c>
      <c r="EQ63" s="80">
        <f>Q63</f>
      </c>
      <c r="ER63" s="80">
        <f>U63</f>
      </c>
      <c r="ES63" s="80">
        <f>Y63</f>
      </c>
      <c r="ET63" s="80">
        <f>AC63</f>
      </c>
      <c r="EU63" s="80">
        <f>AG63</f>
      </c>
      <c r="EV63" s="80">
        <f>AK63</f>
      </c>
      <c r="EW63" s="80">
        <f>AO63</f>
      </c>
      <c r="EX63" s="80">
        <f>AS63</f>
      </c>
      <c r="EY63" s="80">
        <f>AW63</f>
      </c>
      <c r="EZ63" s="80">
        <f>BA63</f>
      </c>
      <c r="FA63" s="80">
        <f>BE63</f>
      </c>
      <c r="FB63" s="80">
        <f>BI15:BI89</f>
      </c>
      <c r="FC63" s="80">
        <f>BM15:BM89</f>
      </c>
      <c r="FD63" s="80">
        <f>BQ15:BQ89</f>
      </c>
      <c r="FE63" s="80">
        <f>BU15:BU89</f>
      </c>
      <c r="FF63" s="80">
        <f>BY15:BY89</f>
      </c>
      <c r="FG63" s="80">
        <f>CC15:CC89</f>
      </c>
      <c r="FH63" s="1213">
        <f>365*FH14/'Income Statement'!FG10</f>
      </c>
      <c r="FI63" s="1213">
        <f>365*FI14/'Revenue summary'!FH48</f>
      </c>
      <c r="FJ63" s="1213">
        <f>365*FJ14/'Revenue summary'!FI48</f>
      </c>
      <c r="FK63" s="1213">
        <f>365*FK14/'Revenue summary'!FJ48</f>
      </c>
      <c r="FL63" s="1213">
        <f>365*FL14/'Revenue summary'!FK48</f>
      </c>
      <c r="FM63" s="1213">
        <f>365*FM14/'Revenue summary'!FL48</f>
      </c>
      <c r="FN63" s="1213">
        <f>365*FN14/'Revenue summary'!FM48</f>
      </c>
      <c r="FO63" s="1213">
        <f>365*FO14/'Revenue summary'!FN48</f>
      </c>
      <c r="FP63" s="1213">
        <f>365*FP14/'Revenue summary'!FO48</f>
      </c>
      <c r="FQ63" s="1213">
        <f>365*FQ14/'Revenue summary'!FP48</f>
      </c>
      <c r="FR63" s="1213">
        <f>365*FR14/'Revenue summary'!FQ48</f>
      </c>
      <c r="FS63" s="1213">
        <f>365*FS14/'Revenue summary'!FR48</f>
      </c>
      <c r="FT63" s="1213">
        <f>365*FT14/'Revenue summary'!FS48</f>
      </c>
      <c r="FU63" s="1213">
        <f>365*FU14/'Revenue summary'!FT48</f>
      </c>
      <c r="FV63" s="1213">
        <f>365*FV14/'Revenue summary'!FU48</f>
      </c>
    </row>
    <row r="64" spans="1:183" s="80" customFormat="1" ht="10.199999999999999">
      <c r="A64" s="1210" t="s">
        <v>740</v>
      </c>
      <c r="B64" s="1211">
        <f>B30/'Income Statement'!B10*91</f>
      </c>
      <c r="C64" s="1211">
        <f>C30/'Income Statement'!C10*91</f>
      </c>
      <c r="D64" s="1211">
        <f>D30/'Income Statement'!D10*91</f>
      </c>
      <c r="E64" s="1212">
        <f>E30/'Income Statement'!E10*91</f>
      </c>
      <c r="F64" s="1211">
        <f>F30/'Income Statement'!F10*91</f>
      </c>
      <c r="G64" s="1211">
        <f>G30/'Income Statement'!G10*91</f>
      </c>
      <c r="H64" s="1211">
        <f>H30/'Income Statement'!H10*91</f>
      </c>
      <c r="I64" s="1212">
        <f>I30/'Income Statement'!I10*91</f>
      </c>
      <c r="J64" s="1211">
        <f>J30/'Income Statement'!J10*91</f>
      </c>
      <c r="K64" s="1211">
        <f>K30/'Income Statement'!K10*91</f>
      </c>
      <c r="L64" s="1211">
        <f>L30/'Income Statement'!L10*91</f>
      </c>
      <c r="M64" s="1212">
        <f>M30/'Income Statement'!M10*91</f>
      </c>
      <c r="N64" s="1211">
        <f>N30/'Income Statement'!N10*91</f>
      </c>
      <c r="O64" s="1211">
        <f>O30/'Income Statement'!O10*91</f>
      </c>
      <c r="P64" s="1211">
        <f>P30/'Income Statement'!P10*91</f>
      </c>
      <c r="Q64" s="1212">
        <f>Q30/'Income Statement'!Q10*91</f>
      </c>
      <c r="R64" s="1211">
        <f>R30/'Income Statement'!R10*91</f>
      </c>
      <c r="S64" s="1211">
        <f>S30/'Income Statement'!S10*91</f>
      </c>
      <c r="T64" s="1211">
        <f>T30/'Income Statement'!T10*91</f>
      </c>
      <c r="U64" s="1212">
        <f>U30/'Income Statement'!U10*91</f>
      </c>
      <c r="V64" s="1211">
        <f>V30/'Income Statement'!V10*91</f>
      </c>
      <c r="W64" s="1211">
        <f>W30/'Income Statement'!W10*91</f>
      </c>
      <c r="X64" s="1211">
        <f>X30/'Income Statement'!X10*91</f>
      </c>
      <c r="Y64" s="1212">
        <f>Y30/'Income Statement'!Y10*91</f>
      </c>
      <c r="Z64" s="1211">
        <f>Z30/'Income Statement'!Z10*91</f>
      </c>
      <c r="AA64" s="1211">
        <f>AA30/'Income Statement'!AA10*91</f>
      </c>
      <c r="AB64" s="1211">
        <f>AB30/'Income Statement'!AB10*91</f>
      </c>
      <c r="AC64" s="1212">
        <f>AC30/'Income Statement'!AC10*91</f>
      </c>
      <c r="AD64" s="1211">
        <f>AD30/'Income Statement'!AD10*91</f>
      </c>
      <c r="AE64" s="1211">
        <f>AE30/'Income Statement'!AE10*91</f>
      </c>
      <c r="AF64" s="1211">
        <f>AF30/'Income Statement'!AF10*91</f>
      </c>
      <c r="AG64" s="1212">
        <f>AG30/'Income Statement'!AG10*91</f>
      </c>
      <c r="AH64" s="1211">
        <f>AH30/'Income Statement'!AH10*91</f>
      </c>
      <c r="AI64" s="1211">
        <f>AI30/'Income Statement'!AI10*91</f>
      </c>
      <c r="AJ64" s="1211">
        <f>AJ30/'Income Statement'!AJ10*91</f>
      </c>
      <c r="AK64" s="1212">
        <f>AK30/'Income Statement'!AK10*91</f>
      </c>
      <c r="AL64" s="1211">
        <f>AL30/'Income Statement'!AL10*91</f>
      </c>
      <c r="AM64" s="1211">
        <f>AM30/'Income Statement'!AM10*91</f>
      </c>
      <c r="AN64" s="1211">
        <f>AN30/'Income Statement'!AN10*91</f>
      </c>
      <c r="AO64" s="1212">
        <f>AO30/'Income Statement'!AO10*91</f>
      </c>
      <c r="AP64" s="1211">
        <f>AP30/'Income Statement'!AP10*91</f>
      </c>
      <c r="AQ64" s="1211">
        <f>AQ30/'Income Statement'!AQ10*91</f>
      </c>
      <c r="AR64" s="1211">
        <f>AR30/'Income Statement'!AR10*91</f>
      </c>
      <c r="AS64" s="1212">
        <f>AS30/'Income Statement'!AS10*91</f>
      </c>
      <c r="AT64" s="1211">
        <f>AT30/'Income Statement'!AT10*91</f>
      </c>
      <c r="AU64" s="1211">
        <f>AU30/'Income Statement'!AU10*91</f>
      </c>
      <c r="AV64" s="1211">
        <f>AV30/'Income Statement'!AV10*91</f>
      </c>
      <c r="AW64" s="1212">
        <f>AW30/'Income Statement'!AW10*91</f>
      </c>
      <c r="AX64" s="1211">
        <f>AX30/'Income Statement'!AX10*91</f>
      </c>
      <c r="AY64" s="1211">
        <f>AY30/'Income Statement'!AY10*91</f>
      </c>
      <c r="AZ64" s="1211">
        <f>AZ30/'Income Statement'!AZ10*91</f>
      </c>
      <c r="BA64" s="1212">
        <f>BA30/'Income Statement'!BA10*91</f>
      </c>
      <c r="BB64" s="1211">
        <f>BB30/'Income Statement'!BB10*91</f>
      </c>
      <c r="BC64" s="1211">
        <f>BC30/'Income Statement'!BC10*91</f>
      </c>
      <c r="BD64" s="1211">
        <f>BD30/'Income Statement'!BD10*91</f>
      </c>
      <c r="BE64" s="1212">
        <f>BE30/'Income Statement'!BE10*91</f>
      </c>
      <c r="BF64" s="1211">
        <f>BF30/'Income Statement'!BF10*91</f>
      </c>
      <c r="BG64" s="1211">
        <f>BG30/'Income Statement'!BG10*91</f>
      </c>
      <c r="BH64" s="1211">
        <f>BH30/'Income Statement'!BH10*91</f>
      </c>
      <c r="BI64" s="1212">
        <f>BI30/'Income Statement'!BI10*91</f>
      </c>
      <c r="BJ64" s="1211">
        <f>BJ30/'Income Statement'!BJ10*91</f>
      </c>
      <c r="BK64" s="1211">
        <f>BK30/'Income Statement'!BK10*91</f>
      </c>
      <c r="BL64" s="1211">
        <f>BL30/'Income Statement'!BL10*91</f>
      </c>
      <c r="BM64" s="1212">
        <f>BM30/'Income Statement'!BM10*91</f>
      </c>
      <c r="BN64" s="1211">
        <f>BN30/'Income Statement'!BN10*91</f>
      </c>
      <c r="BO64" s="1211">
        <f>BO30/'Income Statement'!BO10*91</f>
      </c>
      <c r="BP64" s="1211">
        <f>BP30/'Income Statement'!BP10*91</f>
      </c>
      <c r="BQ64" s="1212">
        <f>BQ30/'Income Statement'!BQ10*91</f>
      </c>
      <c r="BR64" s="1211">
        <f>BR30/'Income Statement'!BR10*91</f>
      </c>
      <c r="BS64" s="1211">
        <f>BS30/'Income Statement'!BS10*91</f>
      </c>
      <c r="BT64" s="1211">
        <f>BT30/'Income Statement'!BT10*91</f>
      </c>
      <c r="BU64" s="1212">
        <f>BU30/'Income Statement'!BU10*91</f>
      </c>
      <c r="BV64" s="1211">
        <f>BV30/'Income Statement'!BV10*91</f>
      </c>
      <c r="BW64" s="1211">
        <f>BW30/'Income Statement'!BW10*91</f>
      </c>
      <c r="BX64" s="1211">
        <f>BX30/'Income Statement'!BX10*91</f>
      </c>
      <c r="BY64" s="1212">
        <f>BY30/'Income Statement'!BY10*91</f>
      </c>
      <c r="BZ64" s="1211">
        <f>BZ30/'Income Statement'!BZ10*91</f>
      </c>
      <c r="CA64" s="1211">
        <f>CA30/'Income Statement'!CA10*91</f>
      </c>
      <c r="CB64" s="1211">
        <f>CB30/'Income Statement'!CB10*91</f>
      </c>
      <c r="CC64" s="1212">
        <f>CC30/'Income Statement'!CC10*91</f>
      </c>
      <c r="CD64" s="1211">
        <f>CD30/'Income Statement'!CD10*91</f>
      </c>
      <c r="CE64" s="1211">
        <f>CE30/'Income Statement'!CE10*91</f>
      </c>
      <c r="CF64" s="1211">
        <f>CF30/'Income Statement'!CF10*91</f>
      </c>
      <c r="CG64" s="1212">
        <f>CG30/'Income Statement'!CG10*91</f>
      </c>
      <c r="CH64" s="1211">
        <f>CH30/'Income Statement'!CH10*91</f>
      </c>
      <c r="CI64" s="1211">
        <f>CI30/'Income Statement'!CI10*91</f>
      </c>
      <c r="CJ64" s="1211">
        <f>CJ30/'Income Statement'!CJ10*91</f>
      </c>
      <c r="CK64" s="1212">
        <f>CK30/'Income Statement'!CK10*91</f>
      </c>
      <c r="CL64" s="1211">
        <f>CL30/'Income Statement'!CL10*91</f>
      </c>
      <c r="CM64" s="1211">
        <f>CM30/'Income Statement'!CM10*91</f>
      </c>
      <c r="CN64" s="1211">
        <f>CN30/'Income Statement'!CN10*91</f>
      </c>
      <c r="CO64" s="1212">
        <f>CO30/'Income Statement'!CO10*91</f>
      </c>
      <c r="CP64" s="1213">
        <f>CP30/'Income Statement'!CP10*91</f>
      </c>
      <c r="CQ64" s="1211">
        <f>CQ30/'Income Statement'!CQ10*91</f>
      </c>
      <c r="CR64" s="1211">
        <f>CR30/'Income Statement'!CR10*91</f>
      </c>
      <c r="CS64" s="1212">
        <f>CS30/'Income Statement'!CS10*91</f>
      </c>
      <c r="CT64" s="1213">
        <f>CT30/'Income Statement'!CT10*91</f>
      </c>
      <c r="CU64" s="1213">
        <f>CU30/'Income Statement'!CU10*91</f>
      </c>
      <c r="CV64" s="1213">
        <f>CV30/'Income Statement'!CV10*91</f>
      </c>
      <c r="CW64" s="1214">
        <f>CW30/'Income Statement'!CW10*91</f>
      </c>
      <c r="CX64" s="1215">
        <f>CX30/'Income Statement'!CX10*91</f>
      </c>
      <c r="CY64" s="1213">
        <f>CY30/'Income Statement'!CY10*91</f>
      </c>
      <c r="CZ64" s="1213">
        <f>CZ30/'Income Statement'!CZ10*91</f>
      </c>
      <c r="DA64" s="1214">
        <f>DA30/'Income Statement'!DA10*91</f>
      </c>
      <c r="DB64" s="1215">
        <f>DB30/'Income Statement'!DB10*91</f>
      </c>
      <c r="DC64" s="1213">
        <f>DC30/'Income Statement'!DC10*91</f>
      </c>
      <c r="DD64" s="1213">
        <f>DD30/'Income Statement'!DD10*91</f>
      </c>
      <c r="DE64" s="1214">
        <f>DE30/'Income Statement'!DE10*91</f>
      </c>
      <c r="DF64" s="1215">
        <f>DF30/'Income Statement'!DF10*91</f>
      </c>
      <c r="DG64" s="1213">
        <f>DG30/'Income Statement'!DG10*91</f>
      </c>
      <c r="DH64" s="1213">
        <f>DH30/'Income Statement'!DH10*91</f>
      </c>
      <c r="DI64" s="1214">
        <f>DI30/'Income Statement'!DI10*91</f>
      </c>
      <c r="DJ64" s="1215">
        <f>DJ30/'Income Statement'!DJ10*91</f>
      </c>
      <c r="DK64" s="1213">
        <f>DK30/'Income Statement'!DK10*91</f>
      </c>
      <c r="DL64" s="1213">
        <f>DL30/'Income Statement'!DL10*91</f>
      </c>
      <c r="DM64" s="1214">
        <f>DM30/'Income Statement'!DM10*91</f>
      </c>
      <c r="DN64" s="1215">
        <f>DN30/'Income Statement'!DN10*91</f>
      </c>
      <c r="DO64" s="1213">
        <f>DO30/'Income Statement'!DO10*91</f>
      </c>
      <c r="DP64" s="1213">
        <f>DP30/'Income Statement'!DP10*91</f>
      </c>
      <c r="DQ64" s="1214">
        <f>DQ30/'Income Statement'!DQ10*91</f>
      </c>
      <c r="DR64" s="1213">
        <f>DR30/'Income Statement'!DR10*91</f>
      </c>
      <c r="DS64" s="1213">
        <f>DS30/'Income Statement'!DS10*91</f>
      </c>
      <c r="DT64" s="1213">
        <f>DT30/'Income Statement'!DT10*91</f>
      </c>
      <c r="DU64" s="1214">
        <f>DU30/'Income Statement'!DU10*91</f>
      </c>
      <c r="DV64" s="1213">
        <f>DV30/'Income Statement'!DV10*91</f>
      </c>
      <c r="DW64" s="1213">
        <f>DW30/'Income Statement'!DW10*91</f>
      </c>
      <c r="DX64" s="1213">
        <f>DX30/'Income Statement'!DX10*91</f>
      </c>
      <c r="DY64" s="1214">
        <f>DY30/'Income Statement'!DY10*91</f>
      </c>
      <c r="DZ64" s="1213">
        <f>DZ30/'Income Statement'!DZ10*91</f>
      </c>
      <c r="EA64" s="1213">
        <f>EA30/'Income Statement'!EA10*91</f>
      </c>
      <c r="EB64" s="1213">
        <f>EB30/'Income Statement'!EB10*91</f>
      </c>
      <c r="EC64" s="1214">
        <f>EC30/'Income Statement'!EC10*91</f>
      </c>
      <c r="ED64" s="1213">
        <f>ED30/'Income Statement'!ED10*91</f>
      </c>
      <c r="EE64" s="1213">
        <f>EE30/'Income Statement'!EE10*91</f>
      </c>
      <c r="EF64" s="1213">
        <f>EF30/'Income Statement'!EF10*91</f>
      </c>
      <c r="EG64" s="1214">
        <f>EG30/'Income Statement'!EG10*91</f>
      </c>
      <c r="EH64" s="1213">
        <f>EH30/'Income Statement'!EH10*91</f>
      </c>
      <c r="EI64" s="1213">
        <f>EI30/'Income Statement'!EI10*91</f>
      </c>
      <c r="EJ64" s="1213">
        <f>EJ30/'Income Statement'!EJ10*91</f>
      </c>
      <c r="EK64" s="1214">
        <f>EK30/'Income Statement'!EK10*91</f>
      </c>
      <c r="EN64" s="80">
        <f>E64</f>
      </c>
      <c r="EO64" s="80">
        <f>I64</f>
      </c>
      <c r="EP64" s="80">
        <f>M64</f>
      </c>
      <c r="EQ64" s="80">
        <f>Q64</f>
      </c>
      <c r="ER64" s="80">
        <f>U64</f>
      </c>
      <c r="ES64" s="80">
        <f>Y64</f>
      </c>
      <c r="ET64" s="80">
        <f>AC64</f>
      </c>
      <c r="EU64" s="80">
        <f>AG64</f>
      </c>
      <c r="EV64" s="80">
        <f>AK64</f>
      </c>
      <c r="EW64" s="80">
        <f>AO64</f>
      </c>
      <c r="EX64" s="80">
        <f>AS64</f>
      </c>
      <c r="EY64" s="80">
        <f>AW64</f>
      </c>
      <c r="EZ64" s="80">
        <f>BA64</f>
      </c>
      <c r="FA64" s="80">
        <f>BE64</f>
      </c>
      <c r="FB64" s="80">
        <f>BI31:BI112</f>
      </c>
      <c r="FC64" s="80">
        <f>BM31:BM112</f>
      </c>
      <c r="FD64" s="80">
        <f>BQ31:BQ112</f>
      </c>
      <c r="FE64" s="80">
        <f>BU31:BU112</f>
      </c>
      <c r="FF64" s="80">
        <f>BY31:BY112</f>
      </c>
      <c r="FG64" s="80">
        <f>CC31:CC112</f>
      </c>
      <c r="FH64" s="1213">
        <f>FH30/'Income Statement'!FG10*365</f>
      </c>
      <c r="FI64" s="1213">
        <f>FI30/'Income Statement'!FH10*365</f>
      </c>
      <c r="FJ64" s="1213">
        <f>FJ30/'Income Statement'!FI10*365</f>
      </c>
      <c r="FK64" s="1213">
        <f>FK30/'Income Statement'!FJ10*365</f>
      </c>
      <c r="FL64" s="1213">
        <f>FL30/'Income Statement'!FK10*365</f>
      </c>
      <c r="FM64" s="1213">
        <f>FM30/'Income Statement'!FL10*365</f>
      </c>
      <c r="FN64" s="1213">
        <f>FN30/'Income Statement'!FM10*365</f>
      </c>
      <c r="FO64" s="1213">
        <f>FO30/'Income Statement'!FN10*365</f>
      </c>
      <c r="FP64" s="1213">
        <f>FP30/'Income Statement'!FO10*365</f>
      </c>
      <c r="FQ64" s="1213">
        <f>FQ30/'Income Statement'!FP10*365</f>
      </c>
      <c r="FR64" s="1213">
        <f>FR30/'Income Statement'!FQ10*365</f>
      </c>
      <c r="FS64" s="1213">
        <f>FS30/'Income Statement'!FR10*365</f>
      </c>
      <c r="FT64" s="1213">
        <f>FT30/'Income Statement'!FS10*365</f>
      </c>
      <c r="FU64" s="1213">
        <f>FU30/'Income Statement'!FT10*365</f>
      </c>
      <c r="FV64" s="1213">
        <f>FV30/'Income Statement'!FU10*365</f>
      </c>
    </row>
    <row r="65" spans="1:178" s="1" customFormat="1" ht="10.199999999999999">
      <c r="A65" s="9" t="s">
        <v>1255</v>
      </c>
      <c r="B65" s="810">
        <f>+B30/('Income Statement'!B10*4)</f>
      </c>
      <c r="C65" s="810">
        <f>+C30/('Income Statement'!C10*4)</f>
      </c>
      <c r="D65" s="810">
        <f>+D30/('Income Statement'!D10*4)</f>
      </c>
      <c r="E65" s="1226">
        <f>+E30/('Income Statement'!E10*4)</f>
      </c>
      <c r="F65" s="810">
        <f>+F30/('Income Statement'!F10*4)</f>
      </c>
      <c r="G65" s="810">
        <f>+G30/('Income Statement'!G10*4)</f>
      </c>
      <c r="H65" s="810">
        <f>+H30/('Income Statement'!H10*4)</f>
      </c>
      <c r="I65" s="1226">
        <f>+I30/('Income Statement'!I10*4)</f>
      </c>
      <c r="J65" s="810">
        <f>+J30/('Income Statement'!J10*4)</f>
      </c>
      <c r="K65" s="810">
        <f>+K30/('Income Statement'!K10*4)</f>
      </c>
      <c r="L65" s="810">
        <f>+L30/('Income Statement'!L10*4)</f>
      </c>
      <c r="M65" s="1226">
        <f>+M30/('Income Statement'!M10*4)</f>
      </c>
      <c r="N65" s="810">
        <f>+N30/('Income Statement'!N10*4)</f>
      </c>
      <c r="O65" s="810">
        <f>+O30/('Income Statement'!O10*4)</f>
      </c>
      <c r="P65" s="810">
        <f>+P30/('Income Statement'!P10*4)</f>
      </c>
      <c r="Q65" s="1226">
        <f>+Q30/('Income Statement'!Q10*4)</f>
      </c>
      <c r="R65" s="810">
        <f>+R30/('Income Statement'!R10*4)</f>
      </c>
      <c r="S65" s="810">
        <f>+S30/('Income Statement'!S10*4)</f>
      </c>
      <c r="T65" s="810">
        <f>+T30/('Income Statement'!T10*4)</f>
      </c>
      <c r="U65" s="1226">
        <f>+U30/('Income Statement'!U10*4)</f>
      </c>
      <c r="V65" s="810">
        <f>+V30/('Income Statement'!V10*4)</f>
      </c>
      <c r="W65" s="810">
        <f>+W30/('Income Statement'!W10*4)</f>
      </c>
      <c r="X65" s="810">
        <f>+X30/('Income Statement'!X10*4)</f>
      </c>
      <c r="Y65" s="1226">
        <f>+Y30/('Income Statement'!Y10*4)</f>
      </c>
      <c r="Z65" s="810">
        <f>+Z30/('Income Statement'!Z10*4)</f>
      </c>
      <c r="AA65" s="810">
        <f>+AA30/('Income Statement'!AA10*4)</f>
      </c>
      <c r="AB65" s="810">
        <f>+AB30/('Income Statement'!AB10*4)</f>
      </c>
      <c r="AC65" s="1226">
        <f>+AC30/('Income Statement'!AC10*4)</f>
      </c>
      <c r="AD65" s="810">
        <f>+AD30/('Income Statement'!AD10*4)</f>
      </c>
      <c r="AE65" s="810">
        <f>+AE30/('Income Statement'!AE10*4)</f>
      </c>
      <c r="AF65" s="810">
        <f>+AF30/('Income Statement'!AF10*4)</f>
      </c>
      <c r="AG65" s="1226">
        <f>+AG30/('Income Statement'!AG10*4)</f>
      </c>
      <c r="AH65" s="810">
        <f>+AH30/('Income Statement'!AH10*4)</f>
      </c>
      <c r="AI65" s="810">
        <f>+AI30/('Income Statement'!AI10*4)</f>
      </c>
      <c r="AJ65" s="810">
        <f>+AJ30/('Income Statement'!AJ10*4)</f>
      </c>
      <c r="AK65" s="1226">
        <f>+AK30/('Income Statement'!AK10*4)</f>
      </c>
      <c r="AL65" s="810">
        <f>+AL30/('Income Statement'!AL10*4)</f>
      </c>
      <c r="AM65" s="810">
        <f>+AM30/('Income Statement'!AM10*4)</f>
      </c>
      <c r="AN65" s="810">
        <f>+AN30/('Income Statement'!AN10*4)</f>
      </c>
      <c r="AO65" s="1226">
        <f>+AO30/('Income Statement'!AO10*4)</f>
      </c>
      <c r="AP65" s="810">
        <f>+AP30/('Income Statement'!AP10*4)</f>
      </c>
      <c r="AQ65" s="810">
        <f>+AQ30/('Income Statement'!AQ10*4)</f>
      </c>
      <c r="AR65" s="810">
        <f>+AR30/('Income Statement'!AR10*4)</f>
      </c>
      <c r="AS65" s="1226">
        <f>+AS30/('Income Statement'!AS10*4)</f>
      </c>
      <c r="AT65" s="810">
        <f>+AT30/('Income Statement'!AT10*4)</f>
      </c>
      <c r="AU65" s="810">
        <f>+AU30/('Income Statement'!AU10*4)</f>
      </c>
      <c r="AV65" s="810">
        <f>+AV30/('Income Statement'!AV10*4)</f>
      </c>
      <c r="AW65" s="1226">
        <f>+AW30/('Income Statement'!AW10*4)</f>
      </c>
      <c r="AX65" s="810">
        <f>+AX30/('Income Statement'!AX10*4)</f>
      </c>
      <c r="AY65" s="810">
        <f>+AY30/('Income Statement'!AY10*4)</f>
      </c>
      <c r="AZ65" s="810">
        <f>+AZ30/('Income Statement'!AZ10*4)</f>
      </c>
      <c r="BA65" s="1226">
        <f>+BA30/('Income Statement'!BA10*4)</f>
      </c>
      <c r="BB65" s="810">
        <f>+BB30/('Income Statement'!BB10*4)</f>
      </c>
      <c r="BC65" s="810">
        <f>+BC30/('Income Statement'!BC10*4)</f>
      </c>
      <c r="BD65" s="810">
        <f>+BD30/('Income Statement'!BD10*4)</f>
      </c>
      <c r="BE65" s="1226">
        <f>+BE30/('Income Statement'!BE10*4)</f>
      </c>
      <c r="BF65" s="810">
        <f>+BF30/('Income Statement'!BF10*4)</f>
      </c>
      <c r="BG65" s="810">
        <f>+BG30/('Income Statement'!BG10*4)</f>
      </c>
      <c r="BH65" s="810">
        <f>+BH30/('Income Statement'!BH10*4)</f>
      </c>
      <c r="BI65" s="1226">
        <f>+BI30/('Income Statement'!BI10*4)</f>
      </c>
      <c r="BJ65" s="810">
        <f>+BJ30/('Income Statement'!BJ10*4)</f>
      </c>
      <c r="BK65" s="810">
        <f>+BK30/('Income Statement'!BK10*4)</f>
      </c>
      <c r="BL65" s="810">
        <f>+BL30/('Income Statement'!BL10*4)</f>
      </c>
      <c r="BM65" s="1226">
        <f>+BM30/('Income Statement'!BM10*4)</f>
      </c>
      <c r="BN65" s="810">
        <f>+BN30/('Income Statement'!BN10*4)</f>
      </c>
      <c r="BO65" s="810">
        <f>+BO30/('Income Statement'!BO10*4)</f>
      </c>
      <c r="BP65" s="810">
        <f>+BP30/('Income Statement'!BP10*4)</f>
      </c>
      <c r="BQ65" s="1226">
        <f>+BQ30/('Income Statement'!BQ10*4)</f>
      </c>
      <c r="BR65" s="810">
        <f>+BR30/('Income Statement'!BR10*4)</f>
      </c>
      <c r="BS65" s="810">
        <f>+BS30/('Income Statement'!BS10*4)</f>
      </c>
      <c r="BT65" s="810">
        <f>+BT30/('Income Statement'!BT10*4)</f>
      </c>
      <c r="BU65" s="1226">
        <f>+BU30/('Income Statement'!BU10*4)</f>
      </c>
      <c r="BV65" s="810">
        <f>+BV30/('Income Statement'!BV10*4)</f>
      </c>
      <c r="BW65" s="810">
        <f>+BW30/('Income Statement'!BW10*4)</f>
      </c>
      <c r="BX65" s="810">
        <f>+BX30/('Income Statement'!BX10*4)</f>
      </c>
      <c r="BY65" s="1226">
        <f>+BY30/('Income Statement'!BY10*4)</f>
      </c>
      <c r="BZ65" s="810">
        <f>+BZ30/('Income Statement'!BZ10*4)</f>
      </c>
      <c r="CA65" s="810">
        <f>+CA30/('Income Statement'!CA10*4)</f>
      </c>
      <c r="CB65" s="810">
        <f>+CB30/('Income Statement'!CB10*4)</f>
      </c>
      <c r="CC65" s="1226">
        <f>+CC30/('Income Statement'!CC10*4)</f>
      </c>
      <c r="CD65" s="810">
        <f>+CD30/('Income Statement'!CD10*4)</f>
      </c>
      <c r="CE65" s="810">
        <f>+CE30/('Income Statement'!CE10*4)</f>
      </c>
      <c r="CF65" s="810">
        <f>+CF30/('Income Statement'!CF10*4)</f>
      </c>
      <c r="CG65" s="1226">
        <f>+CG30/('Income Statement'!CG10*4)</f>
      </c>
      <c r="CH65" s="810">
        <f>+CH30/('Income Statement'!CH10*4)</f>
      </c>
      <c r="CI65" s="810">
        <f>+CI30/('Income Statement'!CI10*4)</f>
      </c>
      <c r="CJ65" s="810">
        <f>+CJ30/('Income Statement'!CJ10*4)</f>
      </c>
      <c r="CK65" s="1226">
        <f>+CK30/('Income Statement'!CK10*4)</f>
      </c>
      <c r="CL65" s="810">
        <f>+CL30/('Income Statement'!CL10*4)</f>
      </c>
      <c r="CM65" s="810">
        <f>+CM30/('Income Statement'!CM10*4)</f>
      </c>
      <c r="CN65" s="810">
        <f>+CN30/('Income Statement'!CN10*4)</f>
      </c>
      <c r="CO65" s="1226">
        <f>+CO30/('Income Statement'!CO10*4)</f>
      </c>
      <c r="CP65" s="919">
        <f>+CP30/('Income Statement'!CP10*4)</f>
      </c>
      <c r="CQ65" s="810">
        <f>+CQ30/('Income Statement'!CQ10*4)</f>
      </c>
      <c r="CR65" s="810">
        <f>+CR30/('Income Statement'!CR10*4)</f>
      </c>
      <c r="CS65" s="1226">
        <f>+CS30/('Income Statement'!CS10*4)</f>
      </c>
      <c r="CT65" s="919">
        <f>+CT30/('Income Statement'!CT10*4)</f>
      </c>
      <c r="CU65" s="919">
        <f>+CU30/('Income Statement'!CU10*4)</f>
      </c>
      <c r="CV65" s="919">
        <f>+CV30/('Income Statement'!CV10*4)</f>
      </c>
      <c r="CW65" s="411">
        <f>+CW30/('Income Statement'!CW10*4)</f>
      </c>
      <c r="CX65" s="1096">
        <f>+CX30/('Income Statement'!CX10*4)</f>
      </c>
      <c r="CY65" s="919">
        <f>+CY30/('Income Statement'!CY10*4)</f>
      </c>
      <c r="CZ65" s="919">
        <f>+CZ30/('Income Statement'!CZ10*4)</f>
      </c>
      <c r="DA65" s="411">
        <f>+DA30/('Income Statement'!DA10*4)</f>
      </c>
      <c r="DB65" s="1096">
        <f>+DB30/('Income Statement'!DB10*4)</f>
      </c>
      <c r="DC65" s="919">
        <f>+DC30/('Income Statement'!DC10*4)</f>
      </c>
      <c r="DD65" s="919">
        <f>+DD30/('Income Statement'!DD10*4)</f>
      </c>
      <c r="DE65" s="411">
        <f>+DE30/('Income Statement'!DE10*4)</f>
      </c>
      <c r="DF65" s="1096">
        <f>+DF30/('Income Statement'!DF10*4)</f>
      </c>
      <c r="DG65" s="919">
        <f>+DG30/('Income Statement'!DG10*4)</f>
      </c>
      <c r="DH65" s="919">
        <f>+DH30/('Income Statement'!DH10*4)</f>
      </c>
      <c r="DI65" s="411">
        <f>+DI30/('Income Statement'!DI10*4)</f>
      </c>
      <c r="DJ65" s="1096">
        <f>+DJ30/('Income Statement'!DJ10*4)</f>
      </c>
      <c r="DK65" s="919">
        <f>+DK30/('Income Statement'!DK10*4)</f>
      </c>
      <c r="DL65" s="919">
        <f>+DL30/('Income Statement'!DL10*4)</f>
      </c>
      <c r="DM65" s="411">
        <f>+DM30/('Income Statement'!DM10*4)</f>
      </c>
      <c r="DN65" s="1096">
        <f>+DN30/('Income Statement'!DN10*4)</f>
      </c>
      <c r="DO65" s="919">
        <f>+DO30/('Income Statement'!DO10*4)</f>
      </c>
      <c r="DP65" s="919">
        <f>+DP30/('Income Statement'!DP10*4)</f>
      </c>
      <c r="DQ65" s="1227">
        <f t="shared" ref="DQ65:DU65" si="350">DM65</f>
      </c>
      <c r="DR65" s="1228">
        <f t="shared" si="350"/>
      </c>
      <c r="DS65" s="1228">
        <f t="shared" si="350"/>
      </c>
      <c r="DT65" s="1228">
        <f t="shared" si="350"/>
      </c>
      <c r="DU65" s="1227">
        <f t="shared" si="350"/>
      </c>
      <c r="DV65" s="1228">
        <f t="shared" ref="DV65" si="351">DR65</f>
      </c>
      <c r="DW65" s="1228">
        <f t="shared" ref="DW65" si="352">DS65</f>
      </c>
      <c r="DX65" s="1228">
        <f t="shared" ref="DX65" si="353">DT65</f>
      </c>
      <c r="DY65" s="1227">
        <f t="shared" ref="DY65" si="354">DU65</f>
      </c>
      <c r="DZ65" s="1228">
        <f t="shared" ref="DZ65" si="355">DV65</f>
      </c>
      <c r="EA65" s="1228">
        <f t="shared" ref="EA65" si="356">DW65</f>
      </c>
      <c r="EB65" s="1228">
        <f t="shared" ref="EB65" si="357">DX65</f>
      </c>
      <c r="EC65" s="1227">
        <f t="shared" ref="EC65" si="358">DY65</f>
      </c>
      <c r="ED65" s="1228">
        <f t="shared" ref="ED65" si="359">DZ65</f>
      </c>
      <c r="EE65" s="1228">
        <f t="shared" ref="EE65" si="360">EA65</f>
      </c>
      <c r="EF65" s="1228">
        <f t="shared" ref="EF65" si="361">EB65</f>
      </c>
      <c r="EG65" s="1227">
        <f t="shared" ref="EG65" si="362">EC65</f>
      </c>
      <c r="EH65" s="1228">
        <f t="shared" ref="EH65" si="363">ED65</f>
      </c>
      <c r="EI65" s="1228">
        <f t="shared" ref="EI65" si="364">EE65</f>
      </c>
      <c r="EJ65" s="1228">
        <f t="shared" ref="EJ65" si="365">EF65</f>
      </c>
      <c r="EK65" s="1227">
        <f t="shared" ref="EK65" si="366">EG65</f>
      </c>
      <c r="EN65" s="810">
        <f>E65</f>
      </c>
      <c r="EO65" s="810">
        <f>I65</f>
      </c>
      <c r="EP65" s="810">
        <f>M65</f>
      </c>
      <c r="EQ65" s="810">
        <f>Q65</f>
      </c>
      <c r="ER65" s="810">
        <f>U65</f>
      </c>
      <c r="ES65" s="810">
        <f>Y65</f>
      </c>
      <c r="ET65" s="810">
        <f>AC65</f>
      </c>
      <c r="EU65" s="810">
        <f>AG65</f>
      </c>
      <c r="EV65" s="810">
        <f>AK65</f>
      </c>
      <c r="EW65" s="810">
        <f>AO65</f>
      </c>
      <c r="EX65" s="810">
        <f>AS65</f>
      </c>
      <c r="EY65" s="810">
        <f>AW65</f>
      </c>
      <c r="EZ65" s="810">
        <f>BA65</f>
      </c>
      <c r="FA65" s="810">
        <f>BE65</f>
      </c>
      <c r="FB65" s="810">
        <f>BI31:BI105</f>
      </c>
      <c r="FC65" s="810">
        <f>BM31:BM105</f>
      </c>
      <c r="FD65" s="810">
        <f>BQ31:BQ105</f>
      </c>
      <c r="FE65" s="810">
        <f>BU31:BU105</f>
      </c>
      <c r="FF65" s="810">
        <f>BY31:BY105</f>
      </c>
      <c r="FG65" s="810">
        <f>CC31:CC105</f>
      </c>
      <c r="FH65" s="919">
        <f>+FH30/('Income Statement'!FG10)</f>
      </c>
      <c r="FI65" s="919">
        <f>+FI30/('Income Statement'!FH10)</f>
      </c>
      <c r="FJ65" s="919">
        <f>+FJ30/('Income Statement'!FI10)</f>
      </c>
      <c r="FK65" s="919">
        <f>+FK30/('Income Statement'!FJ10)</f>
      </c>
      <c r="FL65" s="919">
        <f>+FL30/('Income Statement'!FK10)</f>
      </c>
      <c r="FM65" s="919">
        <f>+FM30/('Income Statement'!FL10)</f>
      </c>
      <c r="FN65" s="919">
        <f>+FN30/('Income Statement'!FM10)</f>
      </c>
      <c r="FO65" s="919">
        <f>+FO30/('Income Statement'!FN10)</f>
      </c>
      <c r="FP65" s="919">
        <f>+FP30/('Income Statement'!FO10)</f>
      </c>
      <c r="FQ65" s="919">
        <f>+FQ30/('Income Statement'!FP10)</f>
      </c>
      <c r="FR65" s="919">
        <f>+FR30/('Income Statement'!FQ10)</f>
      </c>
      <c r="FS65" s="919">
        <f>+FS30/('Income Statement'!FR10)</f>
      </c>
      <c r="FT65" s="919">
        <f>+FT30/('Income Statement'!FS10)</f>
      </c>
      <c r="FU65" s="919">
        <f>+FU30/('Income Statement'!FT10)</f>
      </c>
      <c r="FV65" s="919">
        <f>+FV30/('Income Statement'!FU10)</f>
      </c>
    </row>
    <row r="66" spans="1:178" s="1222" customFormat="1" ht="10.199999999999999">
      <c r="A66" s="1216" t="s">
        <v>915</v>
      </c>
      <c r="C66" s="209">
        <f>IF(AVERAGE('Balance Sheet'!B49:C49)&lt;0, "NM",'Income Statement'!C28/AVERAGE('Balance Sheet'!B49:C49))</f>
      </c>
      <c r="D66" s="209">
        <f>IF(AVERAGE('Balance Sheet'!C49:D49)&lt;0, "NM",'Income Statement'!D28/AVERAGE('Balance Sheet'!C49:D49))</f>
      </c>
      <c r="E66" s="245">
        <f>IF(AVERAGE('Balance Sheet'!D49:E49)&lt;0, "NM",'Income Statement'!E28/AVERAGE('Balance Sheet'!D49:E49))</f>
      </c>
      <c r="F66" s="209">
        <f>IF(AVERAGE('Balance Sheet'!E49:F49)&lt;0, "NM",'Income Statement'!F28/AVERAGE('Balance Sheet'!E49:F49))</f>
      </c>
      <c r="G66" s="209">
        <f>IF(AVERAGE('Balance Sheet'!F49:G49)&lt;0, "NM",'Income Statement'!G28/AVERAGE('Balance Sheet'!F49:G49))</f>
      </c>
      <c r="H66" s="209">
        <f>IF(AVERAGE('Balance Sheet'!G49:H49)&lt;0, "NM",'Income Statement'!H28/AVERAGE('Balance Sheet'!G49:H49))</f>
      </c>
      <c r="I66" s="245">
        <f>IF(AVERAGE('Balance Sheet'!H49:I49)&lt;0, "NM",'Income Statement'!I28/AVERAGE('Balance Sheet'!H49:I49))</f>
      </c>
      <c r="J66" s="209">
        <f>IF(AVERAGE('Balance Sheet'!I49:J49)&lt;0, "NM",'Income Statement'!J28/AVERAGE('Balance Sheet'!I49:J49))</f>
      </c>
      <c r="K66" s="209">
        <f>IF(AVERAGE('Balance Sheet'!J49:K49)&lt;0, "NM",'Income Statement'!K28/AVERAGE('Balance Sheet'!J49:K49))</f>
      </c>
      <c r="L66" s="209">
        <f>IF(AVERAGE('Balance Sheet'!K49:L49)&lt;0, "NM",'Income Statement'!L28/AVERAGE('Balance Sheet'!K49:L49))</f>
      </c>
      <c r="M66" s="245">
        <f>IF(AVERAGE('Balance Sheet'!L49:M49)&lt;0, "NM",'Income Statement'!M28/AVERAGE('Balance Sheet'!L49:M49))</f>
      </c>
      <c r="N66" s="209">
        <f>IF(AVERAGE('Balance Sheet'!M49:N49)&lt;0, "NM",'Income Statement'!N28/AVERAGE('Balance Sheet'!M49:N49))</f>
      </c>
      <c r="O66" s="209">
        <f>IF(AVERAGE('Balance Sheet'!N49:O49)&lt;0, "NM",'Income Statement'!O28/AVERAGE('Balance Sheet'!N49:O49))</f>
      </c>
      <c r="P66" s="209">
        <f>IF(AVERAGE('Balance Sheet'!O49:P49)&lt;0, "NM",'Income Statement'!P28/AVERAGE('Balance Sheet'!O49:P49))</f>
      </c>
      <c r="Q66" s="245">
        <f>IF(AVERAGE('Balance Sheet'!P49:Q49)&lt;0, "NM",'Income Statement'!Q28/AVERAGE('Balance Sheet'!P49:Q49))</f>
      </c>
      <c r="R66" s="209">
        <f>IF(AVERAGE('Balance Sheet'!Q49:R49)&lt;0, "NM",'Income Statement'!R28/AVERAGE('Balance Sheet'!Q49:R49))</f>
      </c>
      <c r="S66" s="209">
        <f>IF(AVERAGE('Balance Sheet'!R49:S49)&lt;0, "NM",'Income Statement'!S28/AVERAGE('Balance Sheet'!R49:S49))</f>
      </c>
      <c r="T66" s="209">
        <f>IF(AVERAGE('Balance Sheet'!S49:T49)&lt;0, "NM",'Income Statement'!T28/AVERAGE('Balance Sheet'!S49:T49))</f>
      </c>
      <c r="U66" s="245">
        <f>IF(AVERAGE('Balance Sheet'!T49:U49)&lt;0, "NM",'Income Statement'!U28/AVERAGE('Balance Sheet'!T49:U49))</f>
      </c>
      <c r="V66" s="209">
        <f>IF(AVERAGE('Balance Sheet'!U49:V49)&lt;0, "NM",'Income Statement'!V28/AVERAGE('Balance Sheet'!U49:V49))</f>
      </c>
      <c r="W66" s="209">
        <f>IF(AVERAGE('Balance Sheet'!V49:W49)&lt;0, "NM",'Income Statement'!W28/AVERAGE('Balance Sheet'!V49:W49))</f>
      </c>
      <c r="X66" s="209">
        <f>IF(AVERAGE('Balance Sheet'!W49:X49)&lt;0, "NM",'Income Statement'!X28/AVERAGE('Balance Sheet'!W49:X49))</f>
      </c>
      <c r="Y66" s="245">
        <f>IF(AVERAGE('Balance Sheet'!X49:Y49)&lt;0, "NM",'Income Statement'!Y28/AVERAGE('Balance Sheet'!X49:Y49))</f>
      </c>
      <c r="Z66" s="209">
        <f>IF(AVERAGE('Balance Sheet'!Y49:Z49)&lt;0, "NM",'Income Statement'!Z28/AVERAGE('Balance Sheet'!Y49:Z49))</f>
      </c>
      <c r="AA66" s="209">
        <f>IF(AVERAGE('Balance Sheet'!Z49:AA49)&lt;0, "NM",'Income Statement'!AA28/AVERAGE('Balance Sheet'!Z49:AA49))</f>
      </c>
      <c r="AB66" s="209">
        <f>IF(AVERAGE('Balance Sheet'!AA49:AB49)&lt;0, "NM",'Income Statement'!AB28/AVERAGE('Balance Sheet'!AA49:AB49))</f>
      </c>
      <c r="AC66" s="245">
        <f>IF(AVERAGE('Balance Sheet'!AB49:AC49)&lt;0, "NM",'Income Statement'!AC28/AVERAGE('Balance Sheet'!AB49:AC49))</f>
      </c>
      <c r="AD66" s="209">
        <f>IF(AVERAGE('Balance Sheet'!AC49:AD49)&lt;0, "NM",'Income Statement'!AD28/AVERAGE('Balance Sheet'!AC49:AD49))</f>
      </c>
      <c r="AE66" s="209">
        <f>IF(AVERAGE('Balance Sheet'!AD49:AE49)&lt;0, "NM",'Income Statement'!AE28/AVERAGE('Balance Sheet'!AD49:AE49))</f>
      </c>
      <c r="AF66" s="209">
        <f>IF(AVERAGE('Balance Sheet'!AE49:AF49)&lt;0, "NM",'Income Statement'!AF28/AVERAGE('Balance Sheet'!AE49:AF49))</f>
      </c>
      <c r="AG66" s="245">
        <f>IF(AVERAGE('Balance Sheet'!AF49:AG49)&lt;0, "NM",'Income Statement'!AG28/AVERAGE('Balance Sheet'!AF49:AG49))</f>
      </c>
      <c r="AH66" s="209">
        <f>IF(AVERAGE('Balance Sheet'!AG49:AH49)&lt;0, "NM",'Income Statement'!AH28/AVERAGE('Balance Sheet'!AG49:AH49))</f>
      </c>
      <c r="AI66" s="209">
        <f>IF(AVERAGE('Balance Sheet'!AH49:AI49)&lt;0, "NM",'Income Statement'!AI28/AVERAGE('Balance Sheet'!AH49:AI49))</f>
      </c>
      <c r="AJ66" s="209">
        <f>IF(AVERAGE('Balance Sheet'!AI49:AJ49)&lt;0, "NM",'Income Statement'!AJ28/AVERAGE('Balance Sheet'!AI49:AJ49))</f>
      </c>
      <c r="AK66" s="245">
        <f>IF(AVERAGE('Balance Sheet'!AJ49:AK49)&lt;0, "NM",'Income Statement'!AK28/AVERAGE('Balance Sheet'!AJ49:AK49))</f>
      </c>
      <c r="AL66" s="209">
        <f>IF(AVERAGE('Balance Sheet'!AK49:AL49)&lt;0, "NM",'Income Statement'!AL28/AVERAGE('Balance Sheet'!AK49:AL49))</f>
      </c>
      <c r="AM66" s="209">
        <f>IF(AVERAGE('Balance Sheet'!AL49:AM49)&lt;0, "NM",'Income Statement'!AM28/AVERAGE('Balance Sheet'!AL49:AM49))</f>
      </c>
      <c r="AN66" s="209">
        <f>IF(AVERAGE('Balance Sheet'!AM49:AN49)&lt;0, "NM",'Income Statement'!AN28/AVERAGE('Balance Sheet'!AM49:AN49))</f>
      </c>
      <c r="AO66" s="245">
        <f>IF(AVERAGE('Balance Sheet'!AN49:AO49)&lt;0, "NM",'Income Statement'!AO28/AVERAGE('Balance Sheet'!AN49:AO49))</f>
      </c>
      <c r="AP66" s="209">
        <f>IF(AVERAGE('Balance Sheet'!AO49:AP49)&lt;0, "NM",'Income Statement'!AP28/AVERAGE('Balance Sheet'!AO49:AP49))</f>
      </c>
      <c r="AQ66" s="209">
        <f>IF(AVERAGE('Balance Sheet'!AP49:AQ49)&lt;0, "NM",'Income Statement'!AQ28/AVERAGE('Balance Sheet'!AP49:AQ49))</f>
      </c>
      <c r="AR66" s="209">
        <f>IF(AVERAGE('Balance Sheet'!AQ49:AR49)&lt;0, "NM",'Income Statement'!AR28/AVERAGE('Balance Sheet'!AQ49:AR49))</f>
      </c>
      <c r="AS66" s="245">
        <f>IF(AVERAGE('Balance Sheet'!AR49:AS49)&lt;0, "NM",'Income Statement'!AS28/AVERAGE('Balance Sheet'!AR49:AS49))</f>
      </c>
      <c r="AT66" s="209">
        <f>IF(AVERAGE('Balance Sheet'!AS49:AT49)&lt;0, "NM",'Income Statement'!AT28/AVERAGE('Balance Sheet'!AS49:AT49))</f>
      </c>
      <c r="AU66" s="209">
        <f>IF(AVERAGE('Balance Sheet'!AT49:AU49)&lt;0, "NM",'Income Statement'!AU28/AVERAGE('Balance Sheet'!AT49:AU49))</f>
      </c>
      <c r="AV66" s="209">
        <f>IF(AVERAGE('Balance Sheet'!AU49:AV49)&lt;0, "NM",'Income Statement'!AV28/AVERAGE('Balance Sheet'!AU49:AV49))</f>
      </c>
      <c r="AW66" s="245">
        <f>IF(AVERAGE('Balance Sheet'!AV49:AW49)&lt;0, "NM",'Income Statement'!AW28/AVERAGE('Balance Sheet'!AV49:AW49))</f>
      </c>
      <c r="AX66" s="209">
        <f>IF(AVERAGE('Balance Sheet'!AW49:AX49)&lt;0, "NM",'Income Statement'!AX28/AVERAGE('Balance Sheet'!AW49:AX49))</f>
      </c>
      <c r="AY66" s="209">
        <f>IF(AVERAGE('Balance Sheet'!AX49:AY49)&lt;0, "NM",'Income Statement'!AY28/AVERAGE('Balance Sheet'!AX49:AY49))</f>
      </c>
      <c r="AZ66" s="209">
        <f>IF(AVERAGE('Balance Sheet'!AY49:AZ49)&lt;0, "NM",'Income Statement'!AZ28/AVERAGE('Balance Sheet'!AY49:AZ49))</f>
      </c>
      <c r="BA66" s="245">
        <f>IF(AVERAGE('Balance Sheet'!AZ49:BA49)&lt;0, "NM",'Income Statement'!BA28/AVERAGE('Balance Sheet'!AZ49:BA49))</f>
      </c>
      <c r="BB66" s="209">
        <f>IF(AVERAGE('Balance Sheet'!BA49:BB49)&lt;0, "NM",'Income Statement'!BB28/AVERAGE('Balance Sheet'!BA49:BB49))</f>
      </c>
      <c r="BC66" s="209">
        <f>IF(AVERAGE('Balance Sheet'!BB49:BC49)&lt;0, "NM",'Income Statement'!BC28/AVERAGE('Balance Sheet'!BB49:BC49))</f>
      </c>
      <c r="BD66" s="209">
        <f>IF(AVERAGE('Balance Sheet'!BC49:BD49)&lt;0, "NM",'Income Statement'!BD28/AVERAGE('Balance Sheet'!BC49:BD49))</f>
      </c>
      <c r="BE66" s="245">
        <f>IF(AVERAGE('Balance Sheet'!BD49:BE49)&lt;0, "NM",'Income Statement'!BE28/AVERAGE('Balance Sheet'!BD49:BE49))</f>
      </c>
      <c r="BF66" s="209">
        <f>IF(AVERAGE('Balance Sheet'!BE49:BF49)&lt;0, "NM",'Income Statement'!BF28/AVERAGE('Balance Sheet'!BE49:BF49))</f>
      </c>
      <c r="BG66" s="209">
        <f>IF(AVERAGE('Balance Sheet'!BF49:BG49)&lt;0, "NM",'Income Statement'!BG28/AVERAGE('Balance Sheet'!BF49:BG49))</f>
      </c>
      <c r="BH66" s="209">
        <f>IF(AVERAGE('Balance Sheet'!BG49:BH49)&lt;0, "NM",'Income Statement'!BH28/AVERAGE('Balance Sheet'!BG49:BH49))</f>
      </c>
      <c r="BI66" s="245">
        <f>IF(AVERAGE('Balance Sheet'!BH49:BI49)&lt;0, "NM",'Income Statement'!BI28/AVERAGE('Balance Sheet'!BH49:BI49))</f>
      </c>
      <c r="BJ66" s="209">
        <f>IF(AVERAGE('Balance Sheet'!BI49:BJ49)&lt;0, "NM",'Income Statement'!BJ28/AVERAGE('Balance Sheet'!BI49:BJ49))</f>
      </c>
      <c r="BK66" s="209">
        <f>IF(AVERAGE('Balance Sheet'!BJ49:BK49)&lt;0, "NM",'Income Statement'!BK28/AVERAGE('Balance Sheet'!BJ49:BK49))</f>
      </c>
      <c r="BL66" s="209">
        <f>IF(AVERAGE('Balance Sheet'!BK49:BL49)&lt;0, "NM",'Income Statement'!BL28/AVERAGE('Balance Sheet'!BK49:BL49))</f>
      </c>
      <c r="BM66" s="245">
        <f>IF(AVERAGE('Balance Sheet'!BL49:BM49)&lt;0, "NM",'Income Statement'!BM28/AVERAGE('Balance Sheet'!BL49:BM49))</f>
      </c>
      <c r="BN66" s="209">
        <f>IF(AVERAGE('Balance Sheet'!BM49:BN49)&lt;0, "NM",'Income Statement'!BN28/AVERAGE('Balance Sheet'!BM49:BN49))</f>
      </c>
      <c r="BO66" s="209">
        <f>IF(AVERAGE('Balance Sheet'!BN49:BO49)&lt;0, "NM",'Income Statement'!BO28/AVERAGE('Balance Sheet'!BN49:BO49))</f>
      </c>
      <c r="BP66" s="209">
        <f>IF(AVERAGE('Balance Sheet'!BO49:BP49)&lt;0, "NM",'Income Statement'!BP28/AVERAGE('Balance Sheet'!BO49:BP49))</f>
      </c>
      <c r="BQ66" s="245">
        <f>IF(AVERAGE('Balance Sheet'!BP49:BQ49)&lt;0, "NM",'Income Statement'!BQ28/AVERAGE('Balance Sheet'!BP49:BQ49))</f>
      </c>
      <c r="BR66" s="209">
        <f>IF(AVERAGE('Balance Sheet'!BQ49:BR49)&lt;0, "NM",'Income Statement'!BR28/AVERAGE('Balance Sheet'!BQ49:BR49))</f>
      </c>
      <c r="BS66" s="209">
        <f>IF(AVERAGE('Balance Sheet'!BR49:BS49)&lt;0, "NM",'Income Statement'!BS28/AVERAGE('Balance Sheet'!BR49:BS49))</f>
      </c>
      <c r="BT66" s="209">
        <f>IF(AVERAGE('Balance Sheet'!BS49:BT49)&lt;0, "NM",'Income Statement'!BT28/AVERAGE('Balance Sheet'!BS49:BT49))</f>
      </c>
      <c r="BU66" s="245">
        <f>IF(AVERAGE('Balance Sheet'!BT49:BU49)&lt;0, "NM",'Income Statement'!BU28/AVERAGE('Balance Sheet'!BT49:BU49))</f>
      </c>
      <c r="BV66" s="209">
        <f>IF(AVERAGE('Balance Sheet'!BU49:BV49)&lt;0, "NM",'Income Statement'!BV28/AVERAGE('Balance Sheet'!BU49:BV49))</f>
      </c>
      <c r="BW66" s="209">
        <f>IF(AVERAGE('Balance Sheet'!BV49:BW49)&lt;0, "NM",'Income Statement'!BW28/AVERAGE('Balance Sheet'!BV49:BW49))</f>
      </c>
      <c r="BX66" s="209">
        <f>IF(AVERAGE('Balance Sheet'!BW49:BX49)&lt;0, "NM",'Income Statement'!BX28/AVERAGE('Balance Sheet'!BW49:BX49))</f>
      </c>
      <c r="BY66" s="245">
        <f>IF(AVERAGE('Balance Sheet'!BX49:BY49)&lt;0, "NM",'Income Statement'!BY28/AVERAGE('Balance Sheet'!BX49:BY49))</f>
      </c>
      <c r="BZ66" s="209">
        <f>IF(AVERAGE('Balance Sheet'!BY49:BZ49)&lt;0, "NM",'Income Statement'!BZ28/AVERAGE('Balance Sheet'!BY49:BZ49))</f>
      </c>
      <c r="CA66" s="209">
        <f>IF(AVERAGE('Balance Sheet'!BZ49:CA49)&lt;0, "NM",'Income Statement'!CA28/AVERAGE('Balance Sheet'!BZ49:CA49))</f>
      </c>
      <c r="CB66" s="209">
        <f>IF(AVERAGE('Balance Sheet'!CA49:CB49)&lt;0, "NM",'Income Statement'!CB28/AVERAGE('Balance Sheet'!CA49:CB49))</f>
      </c>
      <c r="CC66" s="245">
        <f>IF(AVERAGE('Balance Sheet'!CB49:CC49)&lt;0, "NM",'Income Statement'!CC28/AVERAGE('Balance Sheet'!CB49:CC49))</f>
      </c>
      <c r="CD66" s="209">
        <f>IF(AVERAGE('Balance Sheet'!CC49:CD49)&lt;0, "NM",'Income Statement'!CD28/AVERAGE('Balance Sheet'!CC49:CD49))</f>
      </c>
      <c r="CE66" s="209">
        <f>IF(AVERAGE('Balance Sheet'!CD49:CE49)&lt;0, "NM",'Income Statement'!CE28/AVERAGE('Balance Sheet'!CD49:CE49))</f>
      </c>
      <c r="CF66" s="209">
        <f>IF(AVERAGE('Balance Sheet'!CE49:CF49)&lt;0, "NM",'Income Statement'!CF28/AVERAGE('Balance Sheet'!CE49:CF49))</f>
      </c>
      <c r="CG66" s="245">
        <f>IF(AVERAGE('Balance Sheet'!CF49:CG49)&lt;0, "NM",'Income Statement'!CG28/AVERAGE('Balance Sheet'!CF49:CG49))</f>
      </c>
      <c r="CH66" s="209">
        <f>IF(AVERAGE('Balance Sheet'!CG49:CH49)&lt;0, "NM",'Income Statement'!CH28/AVERAGE('Balance Sheet'!CG49:CH49))</f>
      </c>
      <c r="CI66" s="209">
        <f>IF(AVERAGE('Balance Sheet'!CH49:CI49)&lt;0, "NM",'Income Statement'!CI28/AVERAGE('Balance Sheet'!CH49:CI49))</f>
      </c>
      <c r="CJ66" s="209">
        <f>IF(AVERAGE('Balance Sheet'!CI49:CJ49)&lt;0, "NM",'Income Statement'!CJ28/AVERAGE('Balance Sheet'!CI49:CJ49))</f>
      </c>
      <c r="CK66" s="245">
        <f>IF(AVERAGE('Balance Sheet'!CJ49:CK49)&lt;0, "NM",'Income Statement'!CK28/AVERAGE('Balance Sheet'!CJ49:CK49))</f>
      </c>
      <c r="CL66" s="209">
        <f>IF(AVERAGE('Balance Sheet'!CK49:CL49)&lt;0, "NM",'Income Statement'!CL28/AVERAGE('Balance Sheet'!CK49:CL49))</f>
      </c>
      <c r="CM66" s="209">
        <f>IF(AVERAGE('Balance Sheet'!CL49:CM49)&lt;0, "NM",'Income Statement'!CM28/AVERAGE('Balance Sheet'!CL49:CM49))</f>
      </c>
      <c r="CN66" s="209">
        <f>IF(AVERAGE('Balance Sheet'!CM49:CN49)&lt;0, "NM",'Income Statement'!CN28/AVERAGE('Balance Sheet'!CM49:CN49))</f>
      </c>
      <c r="CO66" s="245">
        <f>IF(AVERAGE('Balance Sheet'!CN49:CO49)&lt;0, "NM",'Income Statement'!CO28/AVERAGE('Balance Sheet'!CN49:CO49))</f>
      </c>
      <c r="CP66" s="209">
        <f>IF(AVERAGE('Balance Sheet'!CO49:CP49)&lt;0, "NM",'Income Statement'!CP28/AVERAGE('Balance Sheet'!CO49:CP49))</f>
      </c>
      <c r="CQ66" s="209">
        <f>IF(AVERAGE('Balance Sheet'!CP49:CQ49)&lt;0, "NM",'Income Statement'!CQ28/AVERAGE('Balance Sheet'!CP49:CQ49))</f>
      </c>
      <c r="CR66" s="209">
        <f>IF(AVERAGE('Balance Sheet'!CQ49:CR49)&lt;0, "NM",'Income Statement'!CR28/AVERAGE('Balance Sheet'!CQ49:CR49))</f>
      </c>
      <c r="CS66" s="245">
        <f>IF(AVERAGE('Balance Sheet'!CR49:CS49)&lt;0, "NM",'Income Statement'!CS28/AVERAGE('Balance Sheet'!CR49:CS49))</f>
      </c>
      <c r="CT66" s="209">
        <f>IF(AVERAGE('Balance Sheet'!CS49:CT49)&lt;0, "NM",'Income Statement'!CT28/AVERAGE('Balance Sheet'!CS49:CT49))</f>
      </c>
      <c r="CU66" s="1223">
        <f>IF(AVERAGE('Balance Sheet'!CT49:CU49)&lt;0, "NM",'Income Statement'!CU28/AVERAGE('Balance Sheet'!CT49:CU49))</f>
      </c>
      <c r="CV66" s="1223">
        <f>IF(AVERAGE('Balance Sheet'!CU49:CV49)&lt;0, "NM",'Income Statement'!CV28/AVERAGE('Balance Sheet'!CU49:CV49))</f>
      </c>
      <c r="CW66" s="1224">
        <f>IF(AVERAGE('Balance Sheet'!CV49:CW49)&lt;0, "NM",'Income Statement'!CW28/AVERAGE('Balance Sheet'!CV49:CW49))</f>
      </c>
      <c r="CX66" s="1225">
        <f>IF(AVERAGE('Balance Sheet'!CW49:CX49)&lt;0, "NM",'Income Statement'!CX28/AVERAGE('Balance Sheet'!CW49:CX49))</f>
      </c>
      <c r="CY66" s="1223">
        <f>IF(AVERAGE('Balance Sheet'!CX49:CY49)&lt;0, "NM",'Income Statement'!CY28/AVERAGE('Balance Sheet'!CX49:CY49))</f>
      </c>
      <c r="CZ66" s="1223">
        <f>IF(AVERAGE('Balance Sheet'!CY49:CZ49)&lt;0, "NM",'Income Statement'!CZ28/AVERAGE('Balance Sheet'!CY49:CZ49))</f>
      </c>
      <c r="DA66" s="1224">
        <f>IF(AVERAGE('Balance Sheet'!CZ49:DA49)&lt;0, "NM",'Income Statement'!DA28/AVERAGE('Balance Sheet'!CZ49:DA49))</f>
      </c>
      <c r="DB66" s="1225">
        <f>IF(AVERAGE('Balance Sheet'!DA49:DB49)&lt;0, "NM",'Income Statement'!DB28/AVERAGE('Balance Sheet'!DA49:DB49))</f>
      </c>
      <c r="DC66" s="1223">
        <f>IF(AVERAGE('Balance Sheet'!DB49:DC49)&lt;0, "NM",'Income Statement'!DC28/AVERAGE('Balance Sheet'!DB49:DC49))</f>
      </c>
      <c r="DD66" s="1223">
        <f>IF(AVERAGE('Balance Sheet'!DC49:DD49)&lt;0, "NM",'Income Statement'!DD28/AVERAGE('Balance Sheet'!DC49:DD49))</f>
      </c>
      <c r="DE66" s="1224">
        <f>IF(AVERAGE('Balance Sheet'!DD49:DE49)&lt;0, "NM",'Income Statement'!DE28/AVERAGE('Balance Sheet'!DD49:DE49))</f>
      </c>
      <c r="DF66" s="1225">
        <f>IF(AVERAGE('Balance Sheet'!DE49:DF49)&lt;0, "NM",'Income Statement'!DF28/AVERAGE('Balance Sheet'!DE49:DF49))</f>
      </c>
      <c r="DG66" s="1223">
        <f>IF(AVERAGE('Balance Sheet'!DF49:DG49)&lt;0, "NM",'Income Statement'!DG28/AVERAGE('Balance Sheet'!DF49:DG49))</f>
      </c>
      <c r="DH66" s="1223">
        <f>IF(AVERAGE('Balance Sheet'!DG49:DH49)&lt;0, "NM",'Income Statement'!DH28/AVERAGE('Balance Sheet'!DG49:DH49))</f>
      </c>
      <c r="DI66" s="1224">
        <f>IF(AVERAGE('Balance Sheet'!DH49:DI49)&lt;0, "NM",'Income Statement'!DI28/AVERAGE('Balance Sheet'!DH49:DI49))</f>
      </c>
      <c r="DJ66" s="1225">
        <f>IF(AVERAGE('Balance Sheet'!DI49:DJ49)&lt;0, "NM",'Income Statement'!DJ28/AVERAGE('Balance Sheet'!DI49:DJ49))</f>
      </c>
      <c r="DK66" s="1223">
        <f>IF(AVERAGE('Balance Sheet'!DJ49:DK49)&lt;0, "NM",'Income Statement'!DK28/AVERAGE('Balance Sheet'!DJ49:DK49))</f>
      </c>
      <c r="DL66" s="1223">
        <f>IF(AVERAGE('Balance Sheet'!DK49:DL49)&lt;0, "NM",'Income Statement'!DL28/AVERAGE('Balance Sheet'!DK49:DL49))</f>
      </c>
      <c r="DM66" s="1224">
        <f>IF(AVERAGE('Balance Sheet'!DL49:DM49)&lt;0, "NM",'Income Statement'!DM28/AVERAGE('Balance Sheet'!DL49:DM49))</f>
      </c>
      <c r="DN66" s="1225">
        <f>IF(AVERAGE('Balance Sheet'!DM49:DN49)&lt;0, "NM",'Income Statement'!DN28/AVERAGE('Balance Sheet'!DM49:DN49))</f>
      </c>
      <c r="DO66" s="1223">
        <f>IF(AVERAGE('Balance Sheet'!DN49:DO49)&lt;0, "NM",'Income Statement'!DO28/AVERAGE('Balance Sheet'!DN49:DO49))</f>
      </c>
      <c r="DP66" s="1223">
        <f>IF(AVERAGE('Balance Sheet'!DO49:DP49)&lt;0, "NM",'Income Statement'!DP28/AVERAGE('Balance Sheet'!DO49:DP49))</f>
      </c>
      <c r="DQ66" s="1224">
        <f>IF(AVERAGE('Balance Sheet'!DP49:DQ49)&lt;0, "NM",'Income Statement'!DQ28/AVERAGE('Balance Sheet'!DP49:DQ49))</f>
      </c>
      <c r="DR66" s="1223">
        <f>IF(AVERAGE('Balance Sheet'!DQ49:DR49)&lt;0, "NM",'Income Statement'!DR28/AVERAGE('Balance Sheet'!DQ49:DR49))</f>
      </c>
      <c r="DS66" s="1223">
        <f>IF(AVERAGE('Balance Sheet'!DR49:DS49)&lt;0, "NM",'Income Statement'!DS28/AVERAGE('Balance Sheet'!DR49:DS49))</f>
      </c>
      <c r="DT66" s="1223">
        <f>IF(AVERAGE('Balance Sheet'!DS49:DT49)&lt;0, "NM",'Income Statement'!DT28/AVERAGE('Balance Sheet'!DS49:DT49))</f>
      </c>
      <c r="DU66" s="1224">
        <f>IF(AVERAGE('Balance Sheet'!DT49:DU49)&lt;0, "NM",'Income Statement'!DU28/AVERAGE('Balance Sheet'!DT49:DU49))</f>
      </c>
      <c r="DV66" s="1223">
        <f>IF(AVERAGE('Balance Sheet'!DU49:DV49)&lt;0, "NM",'Income Statement'!DV28/AVERAGE('Balance Sheet'!DU49:DV49))</f>
      </c>
      <c r="DW66" s="1223">
        <f>IF(AVERAGE('Balance Sheet'!DV49:DW49)&lt;0, "NM",'Income Statement'!DW28/AVERAGE('Balance Sheet'!DV49:DW49))</f>
      </c>
      <c r="DX66" s="1223">
        <f>IF(AVERAGE('Balance Sheet'!DW49:DX49)&lt;0, "NM",'Income Statement'!DX28/AVERAGE('Balance Sheet'!DW49:DX49))</f>
      </c>
      <c r="DY66" s="1224">
        <f>IF(AVERAGE('Balance Sheet'!DX49:DY49)&lt;0, "NM",'Income Statement'!DY28/AVERAGE('Balance Sheet'!DX49:DY49))</f>
      </c>
      <c r="DZ66" s="1223">
        <f>IF(AVERAGE('Balance Sheet'!DY49:DZ49)&lt;0, "NM",'Income Statement'!DZ28/AVERAGE('Balance Sheet'!DY49:DZ49))</f>
      </c>
      <c r="EA66" s="1223">
        <f>IF(AVERAGE('Balance Sheet'!DZ49:EA49)&lt;0, "NM",'Income Statement'!EA28/AVERAGE('Balance Sheet'!DZ49:EA49))</f>
      </c>
      <c r="EB66" s="1223">
        <f>IF(AVERAGE('Balance Sheet'!EA49:EB49)&lt;0, "NM",'Income Statement'!EB28/AVERAGE('Balance Sheet'!EA49:EB49))</f>
      </c>
      <c r="EC66" s="1224">
        <f>IF(AVERAGE('Balance Sheet'!EB49:EC49)&lt;0, "NM",'Income Statement'!EC28/AVERAGE('Balance Sheet'!EB49:EC49))</f>
      </c>
      <c r="ED66" s="1223">
        <f>IF(AVERAGE('Balance Sheet'!EC49:ED49)&lt;0, "NM",'Income Statement'!ED28/AVERAGE('Balance Sheet'!EC49:ED49))</f>
      </c>
      <c r="EE66" s="1223">
        <f>IF(AVERAGE('Balance Sheet'!ED49:EE49)&lt;0, "NM",'Income Statement'!EE28/AVERAGE('Balance Sheet'!ED49:EE49))</f>
      </c>
      <c r="EF66" s="1223">
        <f>IF(AVERAGE('Balance Sheet'!EE49:EF49)&lt;0, "NM",'Income Statement'!EF28/AVERAGE('Balance Sheet'!EE49:EF49))</f>
      </c>
      <c r="EG66" s="1224">
        <f>IF(AVERAGE('Balance Sheet'!EF49:EG49)&lt;0, "NM",'Income Statement'!EG28/AVERAGE('Balance Sheet'!EF49:EG49))</f>
      </c>
      <c r="EH66" s="1223">
        <f>IF(AVERAGE('Balance Sheet'!EG49:EH49)&lt;0, "NM",'Income Statement'!EH28/AVERAGE('Balance Sheet'!EG49:EH49))</f>
      </c>
      <c r="EI66" s="1223">
        <f>IF(AVERAGE('Balance Sheet'!EH49:EI49)&lt;0, "NM",'Income Statement'!EI28/AVERAGE('Balance Sheet'!EH49:EI49))</f>
      </c>
      <c r="EJ66" s="1223">
        <f>IF(AVERAGE('Balance Sheet'!EI49:EJ49)&lt;0, "NM",'Income Statement'!EJ28/AVERAGE('Balance Sheet'!EI49:EJ49))</f>
      </c>
      <c r="EK66" s="1224">
        <f>IF(AVERAGE('Balance Sheet'!EJ49:EK49)&lt;0, "NM",'Income Statement'!EK28/AVERAGE('Balance Sheet'!EJ49:EK49))</f>
      </c>
      <c r="EL66" s="1211"/>
      <c r="EN66" s="209"/>
      <c r="EO66" s="209">
        <f>IF(AVERAGE('Balance Sheet'!EN49:EO49)&lt;0, "NM",'Income Statement'!EN28/AVERAGE('Balance Sheet'!EN49:EO49))</f>
      </c>
      <c r="EP66" s="209">
        <f>IF(AVERAGE('Balance Sheet'!EO49:EP49)&lt;0, "NM",'Income Statement'!EO28/AVERAGE('Balance Sheet'!EO49:EP49))</f>
      </c>
      <c r="EQ66" s="209">
        <f>IF(AVERAGE('Balance Sheet'!EP49:EQ49)&lt;0, "NM",'Income Statement'!EP28/AVERAGE('Balance Sheet'!EP49:EQ49))</f>
      </c>
      <c r="ER66" s="209">
        <f>IF(AVERAGE('Balance Sheet'!EQ49:ER49)&lt;0, "NM",'Income Statement'!EQ28/AVERAGE('Balance Sheet'!EQ49:ER49))</f>
      </c>
      <c r="ES66" s="209">
        <f>IF(AVERAGE('Balance Sheet'!ER49:ES49)&lt;0, "NM",'Income Statement'!ER28/AVERAGE('Balance Sheet'!ER49:ES49))</f>
      </c>
      <c r="ET66" s="209">
        <f>IF(AVERAGE('Balance Sheet'!ES49:ET49)&lt;0, "NM",'Income Statement'!ES28/AVERAGE('Balance Sheet'!ES49:ET49))</f>
      </c>
      <c r="EU66" s="209">
        <f>IF(AVERAGE('Balance Sheet'!ET49:EU49)&lt;0, "NM",'Income Statement'!ET28/AVERAGE('Balance Sheet'!ET49:EU49))</f>
      </c>
      <c r="EV66" s="209">
        <f>IF(AVERAGE('Balance Sheet'!EU49:EV49)&lt;0, "NM",'Income Statement'!EU28/AVERAGE('Balance Sheet'!EU49:EV49))</f>
      </c>
      <c r="EW66" s="209">
        <f>IF(AVERAGE('Balance Sheet'!EV49:EW49)&lt;0, "NM",'Income Statement'!EV28/AVERAGE('Balance Sheet'!EV49:EW49))</f>
      </c>
      <c r="EX66" s="209">
        <f>IF(AVERAGE('Balance Sheet'!EW49:EX49)&lt;0, "NM",'Income Statement'!EW28/AVERAGE('Balance Sheet'!EW49:EX49))</f>
      </c>
      <c r="EY66" s="209">
        <f>IF(AVERAGE('Balance Sheet'!EX49:EY49)&lt;0, "NM",'Income Statement'!EX28/AVERAGE('Balance Sheet'!EX49:EY49))</f>
      </c>
      <c r="EZ66" s="209">
        <f>IF(AVERAGE('Balance Sheet'!EY49:EZ49)&lt;0, "NM",'Income Statement'!EY28/AVERAGE('Balance Sheet'!EY49:EZ49))</f>
      </c>
      <c r="FA66" s="209">
        <f>IF(AVERAGE('Balance Sheet'!EZ49:FA49)&lt;0, "NM",'Income Statement'!EZ28/AVERAGE('Balance Sheet'!EZ49:FA49))</f>
      </c>
      <c r="FB66" s="209">
        <f>IF(AVERAGE('Balance Sheet'!FA49:FB49)&lt;0, "NM",'Income Statement'!FA28/AVERAGE('Balance Sheet'!FA49:FB49))</f>
      </c>
      <c r="FC66" s="209">
        <f>IF(AVERAGE('Balance Sheet'!FB49:FC49)&lt;0, "NM",'Income Statement'!FB28/AVERAGE('Balance Sheet'!FB49:FC49))</f>
      </c>
      <c r="FD66" s="209">
        <f>IF(AVERAGE('Balance Sheet'!FC49:FD49)&lt;0, "NM",'Income Statement'!FC28/AVERAGE('Balance Sheet'!FC49:FD49))</f>
      </c>
      <c r="FE66" s="209">
        <f>IF(AVERAGE('Balance Sheet'!FD49:FE49)&lt;0, "NM",'Income Statement'!FD28/AVERAGE('Balance Sheet'!FD49:FE49))</f>
      </c>
      <c r="FF66" s="209">
        <f>IF(AVERAGE('Balance Sheet'!FE49:FF49)&lt;0, "NM",'Income Statement'!FE28/AVERAGE('Balance Sheet'!FE49:FF49))</f>
      </c>
      <c r="FG66" s="209">
        <f>IF(AVERAGE('Balance Sheet'!FF49:FG49)&lt;0, "NM",'Income Statement'!FF28/AVERAGE('Balance Sheet'!FF49:FG49))</f>
      </c>
      <c r="FH66" s="209">
        <f>IF(AVERAGE('Balance Sheet'!FG49:FH49)&lt;0, "NM",'Income Statement'!FG28/AVERAGE('Balance Sheet'!FG49:FH49))</f>
      </c>
      <c r="FI66" s="209">
        <f>IF(AVERAGE('Balance Sheet'!FH49:FI49)&lt;0, "NM",'Income Statement'!FH28/AVERAGE('Balance Sheet'!FH49:FI49))</f>
      </c>
      <c r="FJ66" s="209">
        <f>IF(AVERAGE('Balance Sheet'!FI49:FJ49)&lt;0, "NM",'Income Statement'!FI28/AVERAGE('Balance Sheet'!FI49:FJ49))</f>
      </c>
      <c r="FK66" s="209">
        <f>IF(AVERAGE('Balance Sheet'!FJ49:FK49)&lt;0, "NM",'Income Statement'!FJ28/AVERAGE('Balance Sheet'!FJ49:FK49))</f>
      </c>
      <c r="FL66" s="209">
        <f>IF(AVERAGE('Balance Sheet'!FK49:FL49)&lt;0, "NM",'Income Statement'!FK28/AVERAGE('Balance Sheet'!FK49:FL49))</f>
      </c>
      <c r="FM66" s="209">
        <f>IF(AVERAGE('Balance Sheet'!FM49:FM49)&lt;0, "NM",'Income Statement'!FL28/AVERAGE('Balance Sheet'!FM49:FM49))</f>
      </c>
      <c r="FN66" s="209">
        <f>IF(AVERAGE('Balance Sheet'!FN49:FN49)&lt;0, "NM",'Income Statement'!FM28/AVERAGE('Balance Sheet'!FN49:FN49))</f>
      </c>
      <c r="FO66" s="209">
        <f t="shared" si="297"/>
      </c>
      <c r="FP66" s="209">
        <f t="shared" ref="FP66:FR67" si="367">+DM66</f>
      </c>
      <c r="FQ66" s="209">
        <f t="shared" si="367"/>
      </c>
      <c r="FR66" s="209">
        <f t="shared" si="367"/>
      </c>
      <c r="FS66" s="209">
        <f t="shared" ref="FS66:FV67" si="368">+DP66</f>
      </c>
      <c r="FT66" s="209">
        <f t="shared" si="368"/>
      </c>
      <c r="FU66" s="209">
        <f t="shared" si="368"/>
      </c>
      <c r="FV66" s="209">
        <f t="shared" si="368"/>
      </c>
    </row>
    <row r="67" spans="1:178" s="1222" customFormat="1" ht="10.199999999999999">
      <c r="A67" s="1216" t="s">
        <v>916</v>
      </c>
      <c r="C67" s="209">
        <f>IF(AVERAGE('Balance Sheet'!B27:C27)&lt;0, "NM",'Income Statement'!C28/AVERAGE('Balance Sheet'!B27:C27))</f>
      </c>
      <c r="D67" s="209">
        <f>IF(AVERAGE('Balance Sheet'!C27:D27)&lt;0, "NM",'Income Statement'!D28/AVERAGE('Balance Sheet'!C27:D27))</f>
      </c>
      <c r="E67" s="245">
        <f>IF(AVERAGE('Balance Sheet'!D27:E27)&lt;0, "NM",'Income Statement'!E28/AVERAGE('Balance Sheet'!D27:E27))</f>
      </c>
      <c r="F67" s="209">
        <f>IF(AVERAGE('Balance Sheet'!E27:F27)&lt;0, "NM",'Income Statement'!F28/AVERAGE('Balance Sheet'!E27:F27))</f>
      </c>
      <c r="G67" s="209">
        <f>IF(AVERAGE('Balance Sheet'!F27:G27)&lt;0, "NM",'Income Statement'!G28/AVERAGE('Balance Sheet'!F27:G27))</f>
      </c>
      <c r="H67" s="209">
        <f>IF(AVERAGE('Balance Sheet'!G27:H27)&lt;0, "NM",'Income Statement'!H28/AVERAGE('Balance Sheet'!G27:H27))</f>
      </c>
      <c r="I67" s="245">
        <f>IF(AVERAGE('Balance Sheet'!H27:I27)&lt;0, "NM",'Income Statement'!I28/AVERAGE('Balance Sheet'!H27:I27))</f>
      </c>
      <c r="J67" s="209">
        <f>IF(AVERAGE('Balance Sheet'!I27:J27)&lt;0, "NM",'Income Statement'!J28/AVERAGE('Balance Sheet'!I27:J27))</f>
      </c>
      <c r="K67" s="209">
        <f>IF(AVERAGE('Balance Sheet'!J27:K27)&lt;0, "NM",'Income Statement'!K28/AVERAGE('Balance Sheet'!J27:K27))</f>
      </c>
      <c r="L67" s="209">
        <f>IF(AVERAGE('Balance Sheet'!K27:L27)&lt;0, "NM",'Income Statement'!L28/AVERAGE('Balance Sheet'!K27:L27))</f>
      </c>
      <c r="M67" s="245">
        <f>IF(AVERAGE('Balance Sheet'!L27:M27)&lt;0, "NM",'Income Statement'!M28/AVERAGE('Balance Sheet'!L27:M27))</f>
      </c>
      <c r="N67" s="209">
        <f>IF(AVERAGE('Balance Sheet'!M27:N27)&lt;0, "NM",'Income Statement'!N28/AVERAGE('Balance Sheet'!M27:N27))</f>
      </c>
      <c r="O67" s="209">
        <f>IF(AVERAGE('Balance Sheet'!N27:O27)&lt;0, "NM",'Income Statement'!O28/AVERAGE('Balance Sheet'!N27:O27))</f>
      </c>
      <c r="P67" s="209">
        <f>IF(AVERAGE('Balance Sheet'!O27:P27)&lt;0, "NM",'Income Statement'!P28/AVERAGE('Balance Sheet'!O27:P27))</f>
      </c>
      <c r="Q67" s="245">
        <f>IF(AVERAGE('Balance Sheet'!P27:Q27)&lt;0, "NM",'Income Statement'!Q28/AVERAGE('Balance Sheet'!P27:Q27))</f>
      </c>
      <c r="R67" s="209">
        <f>IF(AVERAGE('Balance Sheet'!Q27:R27)&lt;0, "NM",'Income Statement'!R28/AVERAGE('Balance Sheet'!Q27:R27))</f>
      </c>
      <c r="S67" s="209">
        <f>IF(AVERAGE('Balance Sheet'!R27:S27)&lt;0, "NM",'Income Statement'!S28/AVERAGE('Balance Sheet'!R27:S27))</f>
      </c>
      <c r="T67" s="209">
        <f>IF(AVERAGE('Balance Sheet'!S27:T27)&lt;0, "NM",'Income Statement'!T28/AVERAGE('Balance Sheet'!S27:T27))</f>
      </c>
      <c r="U67" s="245">
        <f>IF(AVERAGE('Balance Sheet'!T27:U27)&lt;0, "NM",'Income Statement'!U28/AVERAGE('Balance Sheet'!T27:U27))</f>
      </c>
      <c r="V67" s="209">
        <f>IF(AVERAGE('Balance Sheet'!U27:V27)&lt;0, "NM",'Income Statement'!V28/AVERAGE('Balance Sheet'!U27:V27))</f>
      </c>
      <c r="W67" s="209">
        <f>IF(AVERAGE('Balance Sheet'!V27:W27)&lt;0, "NM",'Income Statement'!W28/AVERAGE('Balance Sheet'!V27:W27))</f>
      </c>
      <c r="X67" s="209">
        <f>IF(AVERAGE('Balance Sheet'!W27:X27)&lt;0, "NM",'Income Statement'!X28/AVERAGE('Balance Sheet'!W27:X27))</f>
      </c>
      <c r="Y67" s="245">
        <f>IF(AVERAGE('Balance Sheet'!X27:Y27)&lt;0, "NM",'Income Statement'!Y28/AVERAGE('Balance Sheet'!X27:Y27))</f>
      </c>
      <c r="Z67" s="209">
        <f>IF(AVERAGE('Balance Sheet'!Y27:Z27)&lt;0, "NM",'Income Statement'!Z28/AVERAGE('Balance Sheet'!Y27:Z27))</f>
      </c>
      <c r="AA67" s="209">
        <f>IF(AVERAGE('Balance Sheet'!Z27:AA27)&lt;0, "NM",'Income Statement'!AA28/AVERAGE('Balance Sheet'!Z27:AA27))</f>
      </c>
      <c r="AB67" s="209">
        <f>IF(AVERAGE('Balance Sheet'!AA27:AB27)&lt;0, "NM",'Income Statement'!AB28/AVERAGE('Balance Sheet'!AA27:AB27))</f>
      </c>
      <c r="AC67" s="245">
        <f>IF(AVERAGE('Balance Sheet'!AB27:AC27)&lt;0, "NM",'Income Statement'!AC28/AVERAGE('Balance Sheet'!AB27:AC27))</f>
      </c>
      <c r="AD67" s="209">
        <f>IF(AVERAGE('Balance Sheet'!AC27:AD27)&lt;0, "NM",'Income Statement'!AD28/AVERAGE('Balance Sheet'!AC27:AD27))</f>
      </c>
      <c r="AE67" s="209">
        <f>IF(AVERAGE('Balance Sheet'!AD27:AE27)&lt;0, "NM",'Income Statement'!AE28/AVERAGE('Balance Sheet'!AD27:AE27))</f>
      </c>
      <c r="AF67" s="209">
        <f>IF(AVERAGE('Balance Sheet'!AE27:AF27)&lt;0, "NM",'Income Statement'!AF28/AVERAGE('Balance Sheet'!AE27:AF27))</f>
      </c>
      <c r="AG67" s="245">
        <f>IF(AVERAGE('Balance Sheet'!AF27:AG27)&lt;0, "NM",'Income Statement'!AG28/AVERAGE('Balance Sheet'!AF27:AG27))</f>
      </c>
      <c r="AH67" s="209">
        <f>IF(AVERAGE('Balance Sheet'!AG27:AH27)&lt;0, "NM",'Income Statement'!AH28/AVERAGE('Balance Sheet'!AG27:AH27))</f>
      </c>
      <c r="AI67" s="209">
        <f>IF(AVERAGE('Balance Sheet'!AH27:AI27)&lt;0, "NM",'Income Statement'!AI28/AVERAGE('Balance Sheet'!AH27:AI27))</f>
      </c>
      <c r="AJ67" s="209">
        <f>IF(AVERAGE('Balance Sheet'!AI27:AJ27)&lt;0, "NM",'Income Statement'!AJ28/AVERAGE('Balance Sheet'!AI27:AJ27))</f>
      </c>
      <c r="AK67" s="245">
        <f>IF(AVERAGE('Balance Sheet'!AJ27:AK27)&lt;0, "NM",'Income Statement'!AK28/AVERAGE('Balance Sheet'!AJ27:AK27))</f>
      </c>
      <c r="AL67" s="209">
        <f>IF(AVERAGE('Balance Sheet'!AK27:AL27)&lt;0, "NM",'Income Statement'!AL28/AVERAGE('Balance Sheet'!AK27:AL27))</f>
      </c>
      <c r="AM67" s="209">
        <f>IF(AVERAGE('Balance Sheet'!AL27:AM27)&lt;0, "NM",'Income Statement'!AM28/AVERAGE('Balance Sheet'!AL27:AM27))</f>
      </c>
      <c r="AN67" s="209">
        <f>IF(AVERAGE('Balance Sheet'!AM27:AN27)&lt;0, "NM",'Income Statement'!AN28/AVERAGE('Balance Sheet'!AM27:AN27))</f>
      </c>
      <c r="AO67" s="245">
        <f>IF(AVERAGE('Balance Sheet'!AN27:AO27)&lt;0, "NM",'Income Statement'!AO28/AVERAGE('Balance Sheet'!AN27:AO27))</f>
      </c>
      <c r="AP67" s="209">
        <f>IF(AVERAGE('Balance Sheet'!AO27:AP27)&lt;0, "NM",'Income Statement'!AP28/AVERAGE('Balance Sheet'!AO27:AP27))</f>
      </c>
      <c r="AQ67" s="209">
        <f>IF(AVERAGE('Balance Sheet'!AP27:AQ27)&lt;0, "NM",'Income Statement'!AQ28/AVERAGE('Balance Sheet'!AP27:AQ27))</f>
      </c>
      <c r="AR67" s="209">
        <f>IF(AVERAGE('Balance Sheet'!AQ27:AR27)&lt;0, "NM",'Income Statement'!AR28/AVERAGE('Balance Sheet'!AQ27:AR27))</f>
      </c>
      <c r="AS67" s="245">
        <f>IF(AVERAGE('Balance Sheet'!AR27:AS27)&lt;0, "NM",'Income Statement'!AS28/AVERAGE('Balance Sheet'!AR27:AS27))</f>
      </c>
      <c r="AT67" s="209">
        <f>IF(AVERAGE('Balance Sheet'!AS27:AT27)&lt;0, "NM",'Income Statement'!AT28/AVERAGE('Balance Sheet'!AS27:AT27))</f>
      </c>
      <c r="AU67" s="209">
        <f>IF(AVERAGE('Balance Sheet'!AT27:AU27)&lt;0, "NM",'Income Statement'!AU28/AVERAGE('Balance Sheet'!AT27:AU27))</f>
      </c>
      <c r="AV67" s="209">
        <f>IF(AVERAGE('Balance Sheet'!AU27:AV27)&lt;0, "NM",'Income Statement'!AV28/AVERAGE('Balance Sheet'!AU27:AV27))</f>
      </c>
      <c r="AW67" s="245">
        <f>IF(AVERAGE('Balance Sheet'!AV27:AW27)&lt;0, "NM",'Income Statement'!AW28/AVERAGE('Balance Sheet'!AV27:AW27))</f>
      </c>
      <c r="AX67" s="209">
        <f>IF(AVERAGE('Balance Sheet'!AW27:AX27)&lt;0, "NM",'Income Statement'!AX28/AVERAGE('Balance Sheet'!AW27:AX27))</f>
      </c>
      <c r="AY67" s="209">
        <f>IF(AVERAGE('Balance Sheet'!AX27:AY27)&lt;0, "NM",'Income Statement'!AY28/AVERAGE('Balance Sheet'!AX27:AY27))</f>
      </c>
      <c r="AZ67" s="209">
        <f>IF(AVERAGE('Balance Sheet'!AY27:AZ27)&lt;0, "NM",'Income Statement'!AZ28/AVERAGE('Balance Sheet'!AY27:AZ27))</f>
      </c>
      <c r="BA67" s="245">
        <f>IF(AVERAGE('Balance Sheet'!AZ27:BA27)&lt;0, "NM",'Income Statement'!BA28/AVERAGE('Balance Sheet'!AZ27:BA27))</f>
      </c>
      <c r="BB67" s="209">
        <f>IF(AVERAGE('Balance Sheet'!BA27:BB27)&lt;0, "NM",'Income Statement'!BB28/AVERAGE('Balance Sheet'!BA27:BB27))</f>
      </c>
      <c r="BC67" s="209">
        <f>IF(AVERAGE('Balance Sheet'!BB27:BC27)&lt;0, "NM",'Income Statement'!BC28/AVERAGE('Balance Sheet'!BB27:BC27))</f>
      </c>
      <c r="BD67" s="209">
        <f>IF(AVERAGE('Balance Sheet'!BC27:BD27)&lt;0, "NM",'Income Statement'!BD28/AVERAGE('Balance Sheet'!BC27:BD27))</f>
      </c>
      <c r="BE67" s="245">
        <f>IF(AVERAGE('Balance Sheet'!BD27:BE27)&lt;0, "NM",'Income Statement'!BE28/AVERAGE('Balance Sheet'!BD27:BE27))</f>
      </c>
      <c r="BF67" s="209">
        <f>IF(AVERAGE('Balance Sheet'!BE27:BF27)&lt;0, "NM",'Income Statement'!BF28/AVERAGE('Balance Sheet'!BE27:BF27))</f>
      </c>
      <c r="BG67" s="209">
        <f>IF(AVERAGE('Balance Sheet'!BF27:BG27)&lt;0, "NM",'Income Statement'!BG28/AVERAGE('Balance Sheet'!BF27:BG27))</f>
      </c>
      <c r="BH67" s="209">
        <f>IF(AVERAGE('Balance Sheet'!BG27:BH27)&lt;0, "NM",'Income Statement'!BH28/AVERAGE('Balance Sheet'!BG27:BH27))</f>
      </c>
      <c r="BI67" s="245">
        <f>IF(AVERAGE('Balance Sheet'!BH27:BI27)&lt;0, "NM",'Income Statement'!BI28/AVERAGE('Balance Sheet'!BH27:BI27))</f>
      </c>
      <c r="BJ67" s="209">
        <f>IF(AVERAGE('Balance Sheet'!BI27:BJ27)&lt;0, "NM",'Income Statement'!BJ28/AVERAGE('Balance Sheet'!BI27:BJ27))</f>
      </c>
      <c r="BK67" s="209">
        <f>IF(AVERAGE('Balance Sheet'!BJ27:BK27)&lt;0, "NM",'Income Statement'!BK28/AVERAGE('Balance Sheet'!BJ27:BK27))</f>
      </c>
      <c r="BL67" s="209">
        <f>IF(AVERAGE('Balance Sheet'!BK27:BL27)&lt;0, "NM",'Income Statement'!BL28/AVERAGE('Balance Sheet'!BK27:BL27))</f>
      </c>
      <c r="BM67" s="245">
        <f>IF(AVERAGE('Balance Sheet'!BL27:BM27)&lt;0, "NM",'Income Statement'!BM28/AVERAGE('Balance Sheet'!BL27:BM27))</f>
      </c>
      <c r="BN67" s="209">
        <f>IF(AVERAGE('Balance Sheet'!BM27:BN27)&lt;0, "NM",'Income Statement'!BN28/AVERAGE('Balance Sheet'!BM27:BN27))</f>
      </c>
      <c r="BO67" s="209">
        <f>IF(AVERAGE('Balance Sheet'!BN27:BO27)&lt;0, "NM",'Income Statement'!BO28/AVERAGE('Balance Sheet'!BN27:BO27))</f>
      </c>
      <c r="BP67" s="209">
        <f>IF(AVERAGE('Balance Sheet'!BO27:BP27)&lt;0, "NM",'Income Statement'!BP28/AVERAGE('Balance Sheet'!BO27:BP27))</f>
      </c>
      <c r="BQ67" s="245">
        <f>IF(AVERAGE('Balance Sheet'!BP27:BQ27)&lt;0, "NM",'Income Statement'!BQ28/AVERAGE('Balance Sheet'!BP27:BQ27))</f>
      </c>
      <c r="BR67" s="209">
        <f>IF(AVERAGE('Balance Sheet'!BQ27:BR27)&lt;0, "NM",'Income Statement'!BR28/AVERAGE('Balance Sheet'!BQ27:BR27))</f>
      </c>
      <c r="BS67" s="209">
        <f>IF(AVERAGE('Balance Sheet'!BR27:BS27)&lt;0, "NM",'Income Statement'!BS28/AVERAGE('Balance Sheet'!BR27:BS27))</f>
      </c>
      <c r="BT67" s="209">
        <f>IF(AVERAGE('Balance Sheet'!BS27:BT27)&lt;0, "NM",'Income Statement'!BT28/AVERAGE('Balance Sheet'!BS27:BT27))</f>
      </c>
      <c r="BU67" s="245">
        <f>IF(AVERAGE('Balance Sheet'!BT27:BU27)&lt;0, "NM",'Income Statement'!BU28/AVERAGE('Balance Sheet'!BT27:BU27))</f>
      </c>
      <c r="BV67" s="209">
        <f>IF(AVERAGE('Balance Sheet'!BU27:BV27)&lt;0, "NM",'Income Statement'!BV28/AVERAGE('Balance Sheet'!BU27:BV27))</f>
      </c>
      <c r="BW67" s="209">
        <f>IF(AVERAGE('Balance Sheet'!BV27:BW27)&lt;0, "NM",'Income Statement'!BW28/AVERAGE('Balance Sheet'!BV27:BW27))</f>
      </c>
      <c r="BX67" s="209">
        <f>IF(AVERAGE('Balance Sheet'!BW27:BX27)&lt;0, "NM",'Income Statement'!BX28/AVERAGE('Balance Sheet'!BW27:BX27))</f>
      </c>
      <c r="BY67" s="245">
        <f>IF(AVERAGE('Balance Sheet'!BX27:BY27)&lt;0, "NM",'Income Statement'!BY28/AVERAGE('Balance Sheet'!BX27:BY27))</f>
      </c>
      <c r="BZ67" s="209">
        <f>IF(AVERAGE('Balance Sheet'!BY27:BZ27)&lt;0, "NM",'Income Statement'!BZ28/AVERAGE('Balance Sheet'!BY27:BZ27))</f>
      </c>
      <c r="CA67" s="209">
        <f>IF(AVERAGE('Balance Sheet'!BZ27:CA27)&lt;0, "NM",'Income Statement'!CA28/AVERAGE('Balance Sheet'!BZ27:CA27))</f>
      </c>
      <c r="CB67" s="209">
        <f>IF(AVERAGE('Balance Sheet'!CA27:CB27)&lt;0, "NM",'Income Statement'!CB28/AVERAGE('Balance Sheet'!CA27:CB27))</f>
      </c>
      <c r="CC67" s="245">
        <f>IF(AVERAGE('Balance Sheet'!CB27:CC27)&lt;0, "NM",'Income Statement'!CC28/AVERAGE('Balance Sheet'!CB27:CC27))</f>
      </c>
      <c r="CD67" s="209">
        <f>IF(AVERAGE('Balance Sheet'!CC27:CD27)&lt;0, "NM",'Income Statement'!CD28/AVERAGE('Balance Sheet'!CC27:CD27))</f>
      </c>
      <c r="CE67" s="209">
        <f>IF(AVERAGE('Balance Sheet'!CD27:CE27)&lt;0, "NM",'Income Statement'!CE28/AVERAGE('Balance Sheet'!CD27:CE27))</f>
      </c>
      <c r="CF67" s="209">
        <f>IF(AVERAGE('Balance Sheet'!CE27:CF27)&lt;0, "NM",'Income Statement'!CF28/AVERAGE('Balance Sheet'!CE27:CF27))</f>
      </c>
      <c r="CG67" s="245">
        <f>IF(AVERAGE('Balance Sheet'!CF27:CG27)&lt;0, "NM",'Income Statement'!CG28/AVERAGE('Balance Sheet'!CF27:CG27))</f>
      </c>
      <c r="CH67" s="209">
        <f>IF(AVERAGE('Balance Sheet'!CG27:CH27)&lt;0, "NM",'Income Statement'!CH28/AVERAGE('Balance Sheet'!CG27:CH27))</f>
      </c>
      <c r="CI67" s="209">
        <f>IF(AVERAGE('Balance Sheet'!CH27:CI27)&lt;0, "NM",'Income Statement'!CI28/AVERAGE('Balance Sheet'!CH27:CI27))</f>
      </c>
      <c r="CJ67" s="209">
        <f>IF(AVERAGE('Balance Sheet'!CI27:CJ27)&lt;0, "NM",'Income Statement'!CJ28/AVERAGE('Balance Sheet'!CI27:CJ27))</f>
      </c>
      <c r="CK67" s="245">
        <f>IF(AVERAGE('Balance Sheet'!CJ27:CK27)&lt;0, "NM",'Income Statement'!CK28/AVERAGE('Balance Sheet'!CJ27:CK27))</f>
      </c>
      <c r="CL67" s="209">
        <f>IF(AVERAGE('Balance Sheet'!CK27:CL27)&lt;0, "NM",'Income Statement'!CL28/AVERAGE('Balance Sheet'!CK27:CL27))</f>
      </c>
      <c r="CM67" s="209">
        <f>IF(AVERAGE('Balance Sheet'!CL27:CM27)&lt;0, "NM",'Income Statement'!CM28/AVERAGE('Balance Sheet'!CL27:CM27))</f>
      </c>
      <c r="CN67" s="209">
        <f>IF(AVERAGE('Balance Sheet'!CM27:CN27)&lt;0, "NM",'Income Statement'!CN28/AVERAGE('Balance Sheet'!CM27:CN27))</f>
      </c>
      <c r="CO67" s="245">
        <f>IF(AVERAGE('Balance Sheet'!CN27:CO27)&lt;0, "NM",'Income Statement'!CO28/AVERAGE('Balance Sheet'!CN27:CO27))</f>
      </c>
      <c r="CP67" s="209">
        <f>IF(AVERAGE('Balance Sheet'!CO27:CP27)&lt;0, "NM",'Income Statement'!CP28/AVERAGE('Balance Sheet'!CO27:CP27))</f>
      </c>
      <c r="CQ67" s="209">
        <f>IF(AVERAGE('Balance Sheet'!CP27:CQ27)&lt;0, "NM",'Income Statement'!CQ28/AVERAGE('Balance Sheet'!CP27:CQ27))</f>
      </c>
      <c r="CR67" s="209">
        <f>IF(AVERAGE('Balance Sheet'!CQ27:CR27)&lt;0, "NM",'Income Statement'!CR28/AVERAGE('Balance Sheet'!CQ27:CR27))</f>
      </c>
      <c r="CS67" s="245">
        <f>IF(AVERAGE('Balance Sheet'!CR27:CS27)&lt;0, "NM",'Income Statement'!CS28/AVERAGE('Balance Sheet'!CR27:CS27))</f>
      </c>
      <c r="CT67" s="209">
        <f>IF(AVERAGE('Balance Sheet'!CS27:CT27)&lt;0, "NM",'Income Statement'!CT28/AVERAGE('Balance Sheet'!CS27:CT27))</f>
      </c>
      <c r="CU67" s="1223">
        <f>IF(AVERAGE('Balance Sheet'!CT27:CU27)&lt;0, "NM",'Income Statement'!CU28/AVERAGE('Balance Sheet'!CT27:CU27))</f>
      </c>
      <c r="CV67" s="1223">
        <f>IF(AVERAGE('Balance Sheet'!CU27:CV27)&lt;0, "NM",'Income Statement'!CV28/AVERAGE('Balance Sheet'!CU27:CV27))</f>
      </c>
      <c r="CW67" s="1224">
        <f>IF(AVERAGE('Balance Sheet'!CV27:CW27)&lt;0, "NM",'Income Statement'!CW28/AVERAGE('Balance Sheet'!CV27:CW27))</f>
      </c>
      <c r="CX67" s="1225">
        <f>IF(AVERAGE('Balance Sheet'!CW27:CX27)&lt;0, "NM",'Income Statement'!CX28/AVERAGE('Balance Sheet'!CW27:CX27))</f>
      </c>
      <c r="CY67" s="1223">
        <f>IF(AVERAGE('Balance Sheet'!CX27:CY27)&lt;0, "NM",'Income Statement'!CY28/AVERAGE('Balance Sheet'!CX27:CY27))</f>
      </c>
      <c r="CZ67" s="1223">
        <f>IF(AVERAGE('Balance Sheet'!CY27:CZ27)&lt;0, "NM",'Income Statement'!CZ28/AVERAGE('Balance Sheet'!CY27:CZ27))</f>
      </c>
      <c r="DA67" s="1224">
        <f>IF(AVERAGE('Balance Sheet'!CZ27:DA27)&lt;0, "NM",'Income Statement'!DA28/AVERAGE('Balance Sheet'!CZ27:DA27))</f>
      </c>
      <c r="DB67" s="1225">
        <f>IF(AVERAGE('Balance Sheet'!DA27:DB27)&lt;0, "NM",'Income Statement'!DB28/AVERAGE('Balance Sheet'!DA27:DB27))</f>
      </c>
      <c r="DC67" s="1223">
        <f>IF(AVERAGE('Balance Sheet'!DB27:DC27)&lt;0, "NM",'Income Statement'!DC28/AVERAGE('Balance Sheet'!DB27:DC27))</f>
      </c>
      <c r="DD67" s="1223">
        <f>IF(AVERAGE('Balance Sheet'!DC27:DD27)&lt;0, "NM",'Income Statement'!DD28/AVERAGE('Balance Sheet'!DC27:DD27))</f>
      </c>
      <c r="DE67" s="1224">
        <f>IF(AVERAGE('Balance Sheet'!DD27:DE27)&lt;0, "NM",'Income Statement'!DE28/AVERAGE('Balance Sheet'!DD27:DE27))</f>
      </c>
      <c r="DF67" s="1225">
        <f>IF(AVERAGE('Balance Sheet'!DE27:DF27)&lt;0, "NM",'Income Statement'!DF28/AVERAGE('Balance Sheet'!DE27:DF27))</f>
      </c>
      <c r="DG67" s="1223">
        <f>IF(AVERAGE('Balance Sheet'!DF27:DG27)&lt;0, "NM",'Income Statement'!DG28/AVERAGE('Balance Sheet'!DF27:DG27))</f>
      </c>
      <c r="DH67" s="1223">
        <f>IF(AVERAGE('Balance Sheet'!DG27:DH27)&lt;0, "NM",'Income Statement'!DH28/AVERAGE('Balance Sheet'!DG27:DH27))</f>
      </c>
      <c r="DI67" s="1224">
        <f>IF(AVERAGE('Balance Sheet'!DH27:DI27)&lt;0, "NM",'Income Statement'!DI28/AVERAGE('Balance Sheet'!DH27:DI27))</f>
      </c>
      <c r="DJ67" s="1225">
        <f>IF(AVERAGE('Balance Sheet'!DI27:DJ27)&lt;0, "NM",'Income Statement'!DJ28/AVERAGE('Balance Sheet'!DI27:DJ27))</f>
      </c>
      <c r="DK67" s="1223">
        <f>IF(AVERAGE('Balance Sheet'!DJ27:DK27)&lt;0, "NM",'Income Statement'!DK28/AVERAGE('Balance Sheet'!DJ27:DK27))</f>
      </c>
      <c r="DL67" s="1223">
        <f>IF(AVERAGE('Balance Sheet'!DK27:DL27)&lt;0, "NM",'Income Statement'!DL28/AVERAGE('Balance Sheet'!DK27:DL27))</f>
      </c>
      <c r="DM67" s="1224">
        <f>IF(AVERAGE('Balance Sheet'!DL27:DM27)&lt;0, "NM",'Income Statement'!DM28/AVERAGE('Balance Sheet'!DL27:DM27))</f>
      </c>
      <c r="DN67" s="1225">
        <f>IF(AVERAGE('Balance Sheet'!DM27:DN27)&lt;0, "NM",'Income Statement'!DN28/AVERAGE('Balance Sheet'!DM27:DN27))</f>
      </c>
      <c r="DO67" s="1223">
        <f>IF(AVERAGE('Balance Sheet'!DN27:DO27)&lt;0, "NM",'Income Statement'!DO28/AVERAGE('Balance Sheet'!DN27:DO27))</f>
      </c>
      <c r="DP67" s="1223">
        <f>IF(AVERAGE('Balance Sheet'!DO27:DP27)&lt;0, "NM",'Income Statement'!DP28/AVERAGE('Balance Sheet'!DO27:DP27))</f>
      </c>
      <c r="DQ67" s="1224">
        <f>IF(AVERAGE('Balance Sheet'!DP27:DQ27)&lt;0, "NM",'Income Statement'!DQ28/AVERAGE('Balance Sheet'!DP27:DQ27))</f>
      </c>
      <c r="DR67" s="1223">
        <f>IF(AVERAGE('Balance Sheet'!DQ27:DR27)&lt;0, "NM",'Income Statement'!DR28/AVERAGE('Balance Sheet'!DQ27:DR27))</f>
      </c>
      <c r="DS67" s="1223">
        <f>IF(AVERAGE('Balance Sheet'!DR27:DS27)&lt;0, "NM",'Income Statement'!DS28/AVERAGE('Balance Sheet'!DR27:DS27))</f>
      </c>
      <c r="DT67" s="1223">
        <f>IF(AVERAGE('Balance Sheet'!DS27:DT27)&lt;0, "NM",'Income Statement'!DT28/AVERAGE('Balance Sheet'!DS27:DT27))</f>
      </c>
      <c r="DU67" s="1224">
        <f>IF(AVERAGE('Balance Sheet'!DT27:DU27)&lt;0, "NM",'Income Statement'!DU28/AVERAGE('Balance Sheet'!DT27:DU27))</f>
      </c>
      <c r="DV67" s="1223">
        <f>IF(AVERAGE('Balance Sheet'!DU27:DV27)&lt;0, "NM",'Income Statement'!DV28/AVERAGE('Balance Sheet'!DU27:DV27))</f>
      </c>
      <c r="DW67" s="1223">
        <f>IF(AVERAGE('Balance Sheet'!DV27:DW27)&lt;0, "NM",'Income Statement'!DW28/AVERAGE('Balance Sheet'!DV27:DW27))</f>
      </c>
      <c r="DX67" s="1223">
        <f>IF(AVERAGE('Balance Sheet'!DW27:DX27)&lt;0, "NM",'Income Statement'!DX28/AVERAGE('Balance Sheet'!DW27:DX27))</f>
      </c>
      <c r="DY67" s="1224">
        <f>IF(AVERAGE('Balance Sheet'!DX27:DY27)&lt;0, "NM",'Income Statement'!DY28/AVERAGE('Balance Sheet'!DX27:DY27))</f>
      </c>
      <c r="DZ67" s="1223">
        <f>IF(AVERAGE('Balance Sheet'!DY27:DZ27)&lt;0, "NM",'Income Statement'!DZ28/AVERAGE('Balance Sheet'!DY27:DZ27))</f>
      </c>
      <c r="EA67" s="1223">
        <f>IF(AVERAGE('Balance Sheet'!DZ27:EA27)&lt;0, "NM",'Income Statement'!EA28/AVERAGE('Balance Sheet'!DZ27:EA27))</f>
      </c>
      <c r="EB67" s="1223">
        <f>IF(AVERAGE('Balance Sheet'!EA27:EB27)&lt;0, "NM",'Income Statement'!EB28/AVERAGE('Balance Sheet'!EA27:EB27))</f>
      </c>
      <c r="EC67" s="1224">
        <f>IF(AVERAGE('Balance Sheet'!EB27:EC27)&lt;0, "NM",'Income Statement'!EC28/AVERAGE('Balance Sheet'!EB27:EC27))</f>
      </c>
      <c r="ED67" s="1223">
        <f>IF(AVERAGE('Balance Sheet'!EC27:ED27)&lt;0, "NM",'Income Statement'!ED28/AVERAGE('Balance Sheet'!EC27:ED27))</f>
      </c>
      <c r="EE67" s="1223">
        <f>IF(AVERAGE('Balance Sheet'!ED27:EE27)&lt;0, "NM",'Income Statement'!EE28/AVERAGE('Balance Sheet'!ED27:EE27))</f>
      </c>
      <c r="EF67" s="1223">
        <f>IF(AVERAGE('Balance Sheet'!EE27:EF27)&lt;0, "NM",'Income Statement'!EF28/AVERAGE('Balance Sheet'!EE27:EF27))</f>
      </c>
      <c r="EG67" s="1224">
        <f>IF(AVERAGE('Balance Sheet'!EF27:EG27)&lt;0, "NM",'Income Statement'!EG28/AVERAGE('Balance Sheet'!EF27:EG27))</f>
      </c>
      <c r="EH67" s="1223">
        <f>IF(AVERAGE('Balance Sheet'!EG27:EH27)&lt;0, "NM",'Income Statement'!EH28/AVERAGE('Balance Sheet'!EG27:EH27))</f>
      </c>
      <c r="EI67" s="1223">
        <f>IF(AVERAGE('Balance Sheet'!EH27:EI27)&lt;0, "NM",'Income Statement'!EI28/AVERAGE('Balance Sheet'!EH27:EI27))</f>
      </c>
      <c r="EJ67" s="1223">
        <f>IF(AVERAGE('Balance Sheet'!EI27:EJ27)&lt;0, "NM",'Income Statement'!EJ28/AVERAGE('Balance Sheet'!EI27:EJ27))</f>
      </c>
      <c r="EK67" s="1224">
        <f>IF(AVERAGE('Balance Sheet'!EJ27:EK27)&lt;0, "NM",'Income Statement'!EK28/AVERAGE('Balance Sheet'!EJ27:EK27))</f>
      </c>
      <c r="EL67" s="1211"/>
      <c r="EN67" s="209"/>
      <c r="EO67" s="209">
        <f>IF(AVERAGE('Balance Sheet'!EN27:EO27)&lt;0, "NM",'Income Statement'!EN28/AVERAGE('Balance Sheet'!EN27:EO27))</f>
      </c>
      <c r="EP67" s="209">
        <f>IF(AVERAGE('Balance Sheet'!EO27:EP27)&lt;0, "NM",'Income Statement'!EO28/AVERAGE('Balance Sheet'!EO27:EP27))</f>
      </c>
      <c r="EQ67" s="209">
        <f>IF(AVERAGE('Balance Sheet'!EP27:EQ27)&lt;0, "NM",'Income Statement'!EP28/AVERAGE('Balance Sheet'!EP27:EQ27))</f>
      </c>
      <c r="ER67" s="209">
        <f>IF(AVERAGE('Balance Sheet'!EQ27:ER27)&lt;0, "NM",'Income Statement'!EQ28/AVERAGE('Balance Sheet'!EQ27:ER27))</f>
      </c>
      <c r="ES67" s="209">
        <f>IF(AVERAGE('Balance Sheet'!ER27:ES27)&lt;0, "NM",'Income Statement'!ER28/AVERAGE('Balance Sheet'!ER27:ES27))</f>
      </c>
      <c r="ET67" s="209">
        <f>IF(AVERAGE('Balance Sheet'!ES27:ET27)&lt;0, "NM",'Income Statement'!ES28/AVERAGE('Balance Sheet'!ES27:ET27))</f>
      </c>
      <c r="EU67" s="209">
        <f>IF(AVERAGE('Balance Sheet'!ET27:EU27)&lt;0, "NM",'Income Statement'!ET28/AVERAGE('Balance Sheet'!ET27:EU27))</f>
      </c>
      <c r="EV67" s="209">
        <f>IF(AVERAGE('Balance Sheet'!EU27:EV27)&lt;0, "NM",'Income Statement'!EU28/AVERAGE('Balance Sheet'!EU27:EV27))</f>
      </c>
      <c r="EW67" s="209">
        <f>IF(AVERAGE('Balance Sheet'!EV27:EW27)&lt;0, "NM",'Income Statement'!EV28/AVERAGE('Balance Sheet'!EV27:EW27))</f>
      </c>
      <c r="EX67" s="209">
        <f>IF(AVERAGE('Balance Sheet'!EW27:EX27)&lt;0, "NM",'Income Statement'!EW28/AVERAGE('Balance Sheet'!EW27:EX27))</f>
      </c>
      <c r="EY67" s="209">
        <f>IF(AVERAGE('Balance Sheet'!EX27:EY27)&lt;0, "NM",'Income Statement'!EX28/AVERAGE('Balance Sheet'!EX27:EY27))</f>
      </c>
      <c r="EZ67" s="209">
        <f>IF(AVERAGE('Balance Sheet'!EY27:EZ27)&lt;0, "NM",'Income Statement'!EY28/AVERAGE('Balance Sheet'!EY27:EZ27))</f>
      </c>
      <c r="FA67" s="209">
        <f>IF(AVERAGE('Balance Sheet'!EZ27:FA27)&lt;0, "NM",'Income Statement'!EZ28/AVERAGE('Balance Sheet'!EZ27:FA27))</f>
      </c>
      <c r="FB67" s="209">
        <f>IF(AVERAGE('Balance Sheet'!FA27:FB27)&lt;0, "NM",'Income Statement'!FA28/AVERAGE('Balance Sheet'!FA27:FB27))</f>
      </c>
      <c r="FC67" s="209">
        <f>IF(AVERAGE('Balance Sheet'!FB27:FC27)&lt;0, "NM",'Income Statement'!FB28/AVERAGE('Balance Sheet'!FB27:FC27))</f>
      </c>
      <c r="FD67" s="209">
        <f>IF(AVERAGE('Balance Sheet'!FC27:FD27)&lt;0, "NM",'Income Statement'!FC28/AVERAGE('Balance Sheet'!FC27:FD27))</f>
      </c>
      <c r="FE67" s="209">
        <f>IF(AVERAGE('Balance Sheet'!FD27:FE27)&lt;0, "NM",'Income Statement'!FD28/AVERAGE('Balance Sheet'!FD27:FE27))</f>
      </c>
      <c r="FF67" s="209">
        <f>IF(AVERAGE('Balance Sheet'!FE27:FF27)&lt;0, "NM",'Income Statement'!FE28/AVERAGE('Balance Sheet'!FE27:FF27))</f>
      </c>
      <c r="FG67" s="209">
        <f>IF(AVERAGE('Balance Sheet'!FF27:FG27)&lt;0, "NM",'Income Statement'!FF28/AVERAGE('Balance Sheet'!FF27:FG27))</f>
      </c>
      <c r="FH67" s="209">
        <f>IF(AVERAGE('Balance Sheet'!FG27:FH27)&lt;0, "NM",'Income Statement'!FG28/AVERAGE('Balance Sheet'!FG27:FH27))</f>
      </c>
      <c r="FI67" s="209">
        <f>IF(AVERAGE('Balance Sheet'!FH27:FI27)&lt;0, "NM",'Income Statement'!FH28/AVERAGE('Balance Sheet'!FH27:FI27))</f>
      </c>
      <c r="FJ67" s="209">
        <f>IF(AVERAGE('Balance Sheet'!FI27:FJ27)&lt;0, "NM",'Income Statement'!FI28/AVERAGE('Balance Sheet'!FI27:FJ27))</f>
      </c>
      <c r="FK67" s="209">
        <f>IF(AVERAGE('Balance Sheet'!FJ27:FK27)&lt;0, "NM",'Income Statement'!FJ28/AVERAGE('Balance Sheet'!FJ27:FK27))</f>
      </c>
      <c r="FL67" s="209">
        <f>IF(AVERAGE('Balance Sheet'!FK27:FL27)&lt;0, "NM",'Income Statement'!FK28/AVERAGE('Balance Sheet'!FK27:FL27))</f>
      </c>
      <c r="FM67" s="209">
        <f>IF(AVERAGE('Balance Sheet'!FM27:FM27)&lt;0, "NM",'Income Statement'!FL28/AVERAGE('Balance Sheet'!FM27:FM27))</f>
      </c>
      <c r="FN67" s="209">
        <f>IF(AVERAGE('Balance Sheet'!FN27:FN27)&lt;0, "NM",'Income Statement'!FM28/AVERAGE('Balance Sheet'!FN27:FN27))</f>
      </c>
      <c r="FO67" s="209">
        <f t="shared" si="297"/>
      </c>
      <c r="FP67" s="209">
        <f t="shared" si="367"/>
      </c>
      <c r="FQ67" s="209">
        <f t="shared" si="367"/>
      </c>
      <c r="FR67" s="209">
        <f t="shared" si="367"/>
      </c>
      <c r="FS67" s="209">
        <f t="shared" si="368"/>
      </c>
      <c r="FT67" s="209">
        <f t="shared" si="368"/>
      </c>
      <c r="FU67" s="209">
        <f t="shared" si="368"/>
      </c>
      <c r="FV67" s="209">
        <f t="shared" si="368"/>
      </c>
    </row>
    <row r="68" spans="1:178" s="1" customFormat="1" ht="10.199999999999999">
      <c r="A68" s="1" t="s">
        <v>739</v>
      </c>
      <c r="B68" s="1263">
        <f t="shared" ref="B68:AG68" si="369">B64+B63+B62</f>
      </c>
      <c r="C68" s="1263">
        <f t="shared" si="369"/>
      </c>
      <c r="D68" s="1263">
        <f t="shared" si="369"/>
      </c>
      <c r="E68" s="1264">
        <f t="shared" si="369"/>
      </c>
      <c r="F68" s="1263">
        <f t="shared" si="369"/>
      </c>
      <c r="G68" s="1263">
        <f t="shared" si="369"/>
      </c>
      <c r="H68" s="1263">
        <f t="shared" si="369"/>
      </c>
      <c r="I68" s="1264">
        <f t="shared" si="369"/>
      </c>
      <c r="J68" s="1263">
        <f t="shared" si="369"/>
      </c>
      <c r="K68" s="1263">
        <f t="shared" si="369"/>
      </c>
      <c r="L68" s="1263">
        <f t="shared" si="369"/>
      </c>
      <c r="M68" s="1264">
        <f t="shared" si="369"/>
      </c>
      <c r="N68" s="1263">
        <f t="shared" si="369"/>
      </c>
      <c r="O68" s="1263">
        <f t="shared" si="369"/>
      </c>
      <c r="P68" s="1263">
        <f t="shared" si="369"/>
      </c>
      <c r="Q68" s="1264">
        <f t="shared" si="369"/>
      </c>
      <c r="R68" s="1263">
        <f t="shared" si="369"/>
      </c>
      <c r="S68" s="1263">
        <f t="shared" si="369"/>
      </c>
      <c r="T68" s="1263">
        <f t="shared" si="369"/>
      </c>
      <c r="U68" s="1264">
        <f t="shared" si="369"/>
      </c>
      <c r="V68" s="1263">
        <f t="shared" si="369"/>
      </c>
      <c r="W68" s="1263">
        <f t="shared" si="369"/>
      </c>
      <c r="X68" s="1263">
        <f t="shared" si="369"/>
      </c>
      <c r="Y68" s="1264">
        <f t="shared" si="369"/>
      </c>
      <c r="Z68" s="1263">
        <f t="shared" si="369"/>
      </c>
      <c r="AA68" s="1263">
        <f t="shared" si="369"/>
      </c>
      <c r="AB68" s="1263">
        <f t="shared" si="369"/>
      </c>
      <c r="AC68" s="1264">
        <f t="shared" si="369"/>
      </c>
      <c r="AD68" s="1263">
        <f t="shared" si="369"/>
      </c>
      <c r="AE68" s="1263">
        <f t="shared" si="369"/>
      </c>
      <c r="AF68" s="1263">
        <f t="shared" si="369"/>
      </c>
      <c r="AG68" s="1264">
        <f t="shared" si="369"/>
      </c>
      <c r="AH68" s="1263">
        <f t="shared" ref="AH68:BH68" si="370">AH64+AH63+AH62</f>
      </c>
      <c r="AI68" s="1263">
        <f t="shared" si="370"/>
      </c>
      <c r="AJ68" s="1263">
        <f t="shared" si="370"/>
      </c>
      <c r="AK68" s="1264">
        <f t="shared" si="370"/>
      </c>
      <c r="AL68" s="1263">
        <f t="shared" si="370"/>
      </c>
      <c r="AM68" s="1263">
        <f t="shared" si="370"/>
      </c>
      <c r="AN68" s="1263">
        <f t="shared" si="370"/>
      </c>
      <c r="AO68" s="1264">
        <f t="shared" si="370"/>
      </c>
      <c r="AP68" s="1263">
        <f t="shared" si="370"/>
      </c>
      <c r="AQ68" s="1263">
        <f t="shared" si="370"/>
      </c>
      <c r="AR68" s="1263">
        <f t="shared" si="370"/>
      </c>
      <c r="AS68" s="1264">
        <f t="shared" si="370"/>
      </c>
      <c r="AT68" s="1263">
        <f t="shared" si="370"/>
      </c>
      <c r="AU68" s="1263">
        <f t="shared" si="370"/>
      </c>
      <c r="AV68" s="1263">
        <f t="shared" si="370"/>
      </c>
      <c r="AW68" s="1264">
        <f t="shared" si="370"/>
      </c>
      <c r="AX68" s="1263">
        <f t="shared" si="370"/>
      </c>
      <c r="AY68" s="1263">
        <f t="shared" si="370"/>
      </c>
      <c r="AZ68" s="1263">
        <f t="shared" si="370"/>
      </c>
      <c r="BA68" s="1264">
        <f t="shared" si="370"/>
      </c>
      <c r="BB68" s="1263">
        <f t="shared" si="370"/>
      </c>
      <c r="BC68" s="1263">
        <f t="shared" si="370"/>
      </c>
      <c r="BD68" s="1263">
        <f t="shared" si="370"/>
      </c>
      <c r="BE68" s="1264">
        <f t="shared" si="370"/>
      </c>
      <c r="BF68" s="1263">
        <f t="shared" si="370"/>
      </c>
      <c r="BG68" s="1263">
        <f t="shared" si="370"/>
      </c>
      <c r="BH68" s="1263">
        <f t="shared" si="370"/>
      </c>
      <c r="BI68" s="1264">
        <f t="shared" ref="BI68:CN68" si="371">-BI64+BI63+BI62</f>
      </c>
      <c r="BJ68" s="1263">
        <f t="shared" si="371"/>
      </c>
      <c r="BK68" s="1263">
        <f t="shared" si="371"/>
      </c>
      <c r="BL68" s="1263">
        <f t="shared" si="371"/>
      </c>
      <c r="BM68" s="1264">
        <f t="shared" si="371"/>
      </c>
      <c r="BN68" s="1263">
        <f t="shared" si="371"/>
      </c>
      <c r="BO68" s="1263">
        <f t="shared" si="371"/>
      </c>
      <c r="BP68" s="1263">
        <f t="shared" si="371"/>
      </c>
      <c r="BQ68" s="1264">
        <f t="shared" si="371"/>
      </c>
      <c r="BR68" s="1263">
        <f t="shared" si="371"/>
      </c>
      <c r="BS68" s="1263">
        <f t="shared" si="371"/>
      </c>
      <c r="BT68" s="1263">
        <f t="shared" si="371"/>
      </c>
      <c r="BU68" s="1264">
        <f t="shared" si="371"/>
      </c>
      <c r="BV68" s="1263">
        <f t="shared" si="371"/>
      </c>
      <c r="BW68" s="1263">
        <f t="shared" si="371"/>
      </c>
      <c r="BX68" s="1263">
        <f t="shared" si="371"/>
      </c>
      <c r="BY68" s="1264">
        <f t="shared" si="371"/>
      </c>
      <c r="BZ68" s="1263">
        <f t="shared" si="371"/>
      </c>
      <c r="CA68" s="1263">
        <f t="shared" si="371"/>
      </c>
      <c r="CB68" s="1263">
        <f t="shared" si="371"/>
      </c>
      <c r="CC68" s="1264">
        <f t="shared" si="371"/>
      </c>
      <c r="CD68" s="1263">
        <f t="shared" si="371"/>
      </c>
      <c r="CE68" s="1263">
        <f t="shared" si="371"/>
      </c>
      <c r="CF68" s="1263">
        <f t="shared" si="371"/>
      </c>
      <c r="CG68" s="1264">
        <f t="shared" si="371"/>
      </c>
      <c r="CH68" s="1263">
        <f t="shared" si="371"/>
      </c>
      <c r="CI68" s="1263">
        <f t="shared" si="371"/>
      </c>
      <c r="CJ68" s="1263">
        <f t="shared" si="371"/>
      </c>
      <c r="CK68" s="1264">
        <f t="shared" si="371"/>
      </c>
      <c r="CL68" s="1263">
        <f t="shared" si="371"/>
      </c>
      <c r="CM68" s="1263">
        <f t="shared" si="371"/>
      </c>
      <c r="CN68" s="1263">
        <f t="shared" si="371"/>
      </c>
      <c r="CO68" s="1264">
        <f t="shared" ref="CO68:DU68" si="372">-CO64+CO63+CO62</f>
      </c>
      <c r="CP68" s="1263">
        <f t="shared" si="372"/>
      </c>
      <c r="CQ68" s="1263">
        <f t="shared" si="372"/>
      </c>
      <c r="CR68" s="1263">
        <f t="shared" si="372"/>
      </c>
      <c r="CS68" s="1264">
        <f t="shared" si="372"/>
      </c>
      <c r="CT68" s="1263">
        <f t="shared" si="372"/>
      </c>
      <c r="CU68" s="1263">
        <f t="shared" si="372"/>
      </c>
      <c r="CV68" s="1263">
        <f t="shared" si="372"/>
      </c>
      <c r="CW68" s="1264">
        <f t="shared" si="372"/>
      </c>
      <c r="CX68" s="1263">
        <f t="shared" si="372"/>
      </c>
      <c r="CY68" s="1263">
        <f t="shared" si="372"/>
      </c>
      <c r="CZ68" s="1263">
        <f t="shared" si="372"/>
      </c>
      <c r="DA68" s="1264">
        <f t="shared" si="372"/>
      </c>
      <c r="DB68" s="1265">
        <f t="shared" si="372"/>
      </c>
      <c r="DC68" s="1265">
        <f t="shared" si="372"/>
      </c>
      <c r="DD68" s="1265">
        <f t="shared" si="372"/>
      </c>
      <c r="DE68" s="1264">
        <f t="shared" ref="DE68:DH68" si="373">-DE64+DE63+DE62</f>
      </c>
      <c r="DF68" s="1265">
        <f t="shared" si="373"/>
      </c>
      <c r="DG68" s="1265">
        <f t="shared" si="373"/>
      </c>
      <c r="DH68" s="1265">
        <f t="shared" si="373"/>
      </c>
      <c r="DI68" s="1266">
        <f t="shared" si="372"/>
      </c>
      <c r="DJ68" s="1265">
        <f t="shared" si="372"/>
      </c>
      <c r="DK68" s="1265">
        <f t="shared" si="372"/>
      </c>
      <c r="DL68" s="1265">
        <f t="shared" si="372"/>
      </c>
      <c r="DM68" s="1266">
        <f t="shared" ref="DM68:DP68" si="374">-DM64+DM63+DM62</f>
      </c>
      <c r="DN68" s="1265">
        <f t="shared" si="374"/>
      </c>
      <c r="DO68" s="1265">
        <f t="shared" si="374"/>
      </c>
      <c r="DP68" s="1265">
        <f t="shared" si="374"/>
      </c>
      <c r="DQ68" s="1266">
        <f t="shared" si="372"/>
      </c>
      <c r="DR68" s="1265">
        <f t="shared" si="372"/>
      </c>
      <c r="DS68" s="1265">
        <f t="shared" si="372"/>
      </c>
      <c r="DT68" s="1265">
        <f t="shared" si="372"/>
      </c>
      <c r="DU68" s="1266">
        <f t="shared" si="372"/>
      </c>
      <c r="DV68" s="1265">
        <f t="shared" ref="DV68:EK68" si="375">-DV64+DV63+DV62</f>
      </c>
      <c r="DW68" s="1265">
        <f t="shared" si="375"/>
      </c>
      <c r="DX68" s="1265">
        <f t="shared" si="375"/>
      </c>
      <c r="DY68" s="1266">
        <f t="shared" si="375"/>
      </c>
      <c r="DZ68" s="1265">
        <f t="shared" si="375"/>
      </c>
      <c r="EA68" s="1265">
        <f t="shared" si="375"/>
      </c>
      <c r="EB68" s="1265">
        <f t="shared" si="375"/>
      </c>
      <c r="EC68" s="1266">
        <f t="shared" si="375"/>
      </c>
      <c r="ED68" s="1265">
        <f t="shared" si="375"/>
      </c>
      <c r="EE68" s="1265">
        <f t="shared" si="375"/>
      </c>
      <c r="EF68" s="1265">
        <f t="shared" si="375"/>
      </c>
      <c r="EG68" s="1266">
        <f t="shared" si="375"/>
      </c>
      <c r="EH68" s="1265">
        <f t="shared" si="375"/>
      </c>
      <c r="EI68" s="1265">
        <f t="shared" si="375"/>
      </c>
      <c r="EJ68" s="1265">
        <f t="shared" si="375"/>
      </c>
      <c r="EK68" s="1266">
        <f t="shared" si="375"/>
      </c>
      <c r="FE68" s="1263">
        <f t="shared" ref="FE68:FP68" si="376">-FE64+FE63+FE62</f>
      </c>
      <c r="FF68" s="1263">
        <f t="shared" si="376"/>
      </c>
      <c r="FG68" s="1263">
        <f t="shared" si="376"/>
      </c>
      <c r="FH68" s="1263">
        <f t="shared" si="376"/>
      </c>
      <c r="FI68" s="1263">
        <f t="shared" si="376"/>
      </c>
      <c r="FJ68" s="1263">
        <f t="shared" si="376"/>
      </c>
      <c r="FK68" s="1263">
        <f t="shared" si="376"/>
      </c>
      <c r="FL68" s="1263">
        <f t="shared" si="376"/>
      </c>
      <c r="FM68" s="1263">
        <f t="shared" si="376"/>
      </c>
      <c r="FN68" s="1263">
        <f t="shared" si="376"/>
      </c>
      <c r="FO68" s="1263">
        <f t="shared" si="376"/>
      </c>
      <c r="FP68" s="1263">
        <f t="shared" si="376"/>
      </c>
      <c r="FQ68" s="1263">
        <f t="shared" ref="FQ68:FR68" si="377">-FQ64+FQ63+FQ62</f>
      </c>
      <c r="FR68" s="1263">
        <f t="shared" si="377"/>
      </c>
      <c r="FS68" s="1263">
        <f t="shared" ref="FS68:FV68" si="378">-FS64+FS63+FS62</f>
      </c>
      <c r="FT68" s="1263">
        <f t="shared" si="378"/>
      </c>
      <c r="FU68" s="1263">
        <f t="shared" si="378"/>
      </c>
      <c r="FV68" s="1263">
        <f t="shared" si="378"/>
      </c>
    </row>
    <row r="69" spans="1:178" s="40" customFormat="1" ht="10.199999999999999">
      <c r="E69" s="239"/>
      <c r="I69" s="239"/>
      <c r="M69" s="239"/>
      <c r="Q69" s="239"/>
      <c r="U69" s="239"/>
      <c r="Y69" s="239"/>
      <c r="AC69" s="239"/>
      <c r="AG69" s="239"/>
      <c r="AK69" s="239"/>
      <c r="AO69" s="239"/>
      <c r="AS69" s="239"/>
      <c r="AW69" s="239"/>
      <c r="BA69" s="239"/>
      <c r="BE69" s="239"/>
      <c r="BI69" s="239"/>
      <c r="BM69" s="239"/>
      <c r="BQ69" s="239"/>
      <c r="BU69" s="239"/>
      <c r="BY69" s="239"/>
      <c r="CC69" s="239"/>
      <c r="CG69" s="239"/>
      <c r="CK69" s="239"/>
      <c r="CO69" s="239"/>
      <c r="CS69" s="239"/>
      <c r="CU69" s="433"/>
      <c r="CV69" s="433"/>
      <c r="CW69" s="434"/>
      <c r="CX69" s="485"/>
      <c r="CY69" s="433"/>
      <c r="CZ69" s="433"/>
      <c r="DA69" s="434"/>
      <c r="DB69" s="485"/>
      <c r="DC69" s="433"/>
      <c r="DD69" s="433"/>
      <c r="DE69" s="434"/>
      <c r="DF69" s="433"/>
      <c r="DG69" s="433"/>
      <c r="DH69" s="433"/>
      <c r="DI69" s="434"/>
      <c r="DJ69" s="433"/>
      <c r="DK69" s="433"/>
      <c r="DL69" s="433"/>
      <c r="DM69" s="434"/>
      <c r="DN69" s="433"/>
      <c r="DO69" s="433"/>
      <c r="DP69" s="433"/>
      <c r="DQ69" s="434"/>
      <c r="DR69" s="433"/>
      <c r="DS69" s="433"/>
      <c r="DT69" s="433"/>
      <c r="DU69" s="434"/>
      <c r="DV69" s="433"/>
      <c r="DW69" s="433"/>
      <c r="DX69" s="433"/>
      <c r="DY69" s="434"/>
      <c r="DZ69" s="433"/>
      <c r="EA69" s="433"/>
      <c r="EB69" s="433"/>
      <c r="EC69" s="434"/>
      <c r="ED69" s="433"/>
      <c r="EE69" s="433"/>
      <c r="EF69" s="433"/>
      <c r="EG69" s="434"/>
      <c r="EH69" s="433"/>
      <c r="EI69" s="433"/>
      <c r="EJ69" s="433"/>
      <c r="EK69" s="434"/>
    </row>
    <row r="70" spans="1:178" s="40" customFormat="1" ht="10.199999999999999">
      <c r="A70" s="206" t="s">
        <v>917</v>
      </c>
      <c r="E70" s="239"/>
      <c r="I70" s="239"/>
      <c r="M70" s="239"/>
      <c r="Q70" s="239"/>
      <c r="U70" s="239"/>
      <c r="Y70" s="239"/>
      <c r="AC70" s="239"/>
      <c r="AG70" s="239"/>
      <c r="AK70" s="239"/>
      <c r="AO70" s="239"/>
      <c r="AS70" s="239"/>
      <c r="AW70" s="239"/>
      <c r="BA70" s="239"/>
      <c r="BE70" s="239"/>
      <c r="BI70" s="239"/>
      <c r="BM70" s="239"/>
      <c r="BQ70" s="239"/>
      <c r="BU70" s="239"/>
      <c r="BY70" s="239"/>
      <c r="CC70" s="239"/>
      <c r="CG70" s="239"/>
      <c r="CK70" s="239"/>
      <c r="CO70" s="239"/>
      <c r="CS70" s="239"/>
      <c r="CU70" s="433"/>
      <c r="CV70" s="433"/>
      <c r="CW70" s="434"/>
      <c r="CX70" s="485"/>
      <c r="CY70" s="433"/>
      <c r="CZ70" s="433"/>
      <c r="DA70" s="434"/>
      <c r="DB70" s="485"/>
      <c r="DC70" s="433"/>
      <c r="DD70" s="433"/>
      <c r="DE70" s="434"/>
      <c r="DF70" s="433"/>
      <c r="DG70" s="433"/>
      <c r="DH70" s="433"/>
      <c r="DI70" s="434"/>
      <c r="DJ70" s="433"/>
      <c r="DK70" s="433"/>
      <c r="DL70" s="433"/>
      <c r="DM70" s="434"/>
      <c r="DN70" s="433"/>
      <c r="DO70" s="433"/>
      <c r="DP70" s="433"/>
      <c r="DQ70" s="434"/>
      <c r="DR70" s="433"/>
      <c r="DS70" s="433"/>
      <c r="DT70" s="433"/>
      <c r="DU70" s="434"/>
      <c r="DV70" s="433"/>
      <c r="DW70" s="433"/>
      <c r="DX70" s="433"/>
      <c r="DY70" s="434"/>
      <c r="DZ70" s="433"/>
      <c r="EA70" s="433"/>
      <c r="EB70" s="433"/>
      <c r="EC70" s="434"/>
      <c r="ED70" s="433"/>
      <c r="EE70" s="433"/>
      <c r="EF70" s="433"/>
      <c r="EG70" s="434"/>
      <c r="EH70" s="433"/>
      <c r="EI70" s="433"/>
      <c r="EJ70" s="433"/>
      <c r="EK70" s="434"/>
    </row>
    <row r="71" spans="1:178" s="40" customFormat="1" ht="12">
      <c r="A71" s="207" t="s">
        <v>918</v>
      </c>
      <c r="B71" s="203"/>
      <c r="C71" s="203"/>
      <c r="D71" s="203"/>
      <c r="E71" s="240"/>
      <c r="F71" s="203"/>
      <c r="G71" s="203"/>
      <c r="H71" s="203"/>
      <c r="I71" s="240"/>
      <c r="J71" s="203"/>
      <c r="K71" s="203"/>
      <c r="L71" s="203"/>
      <c r="M71" s="240"/>
      <c r="N71" s="203"/>
      <c r="O71" s="203"/>
      <c r="P71" s="203"/>
      <c r="Q71" s="240"/>
      <c r="R71" s="203"/>
      <c r="S71" s="203"/>
      <c r="T71" s="203"/>
      <c r="U71" s="240"/>
      <c r="V71" s="203"/>
      <c r="W71" s="203"/>
      <c r="X71" s="203"/>
      <c r="Y71" s="240"/>
      <c r="Z71" s="203"/>
      <c r="AA71" s="203"/>
      <c r="AB71" s="203"/>
      <c r="AC71" s="240"/>
      <c r="AD71" s="203"/>
      <c r="AE71" s="203"/>
      <c r="AF71" s="203"/>
      <c r="AG71" s="240"/>
      <c r="AH71" s="203"/>
      <c r="AI71" s="203"/>
      <c r="AJ71" s="203"/>
      <c r="AK71" s="240"/>
      <c r="AL71" s="203"/>
      <c r="AM71" s="203"/>
      <c r="AN71" s="203"/>
      <c r="AO71" s="240"/>
      <c r="AP71" s="203"/>
      <c r="AQ71" s="203"/>
      <c r="AR71" s="203"/>
      <c r="AS71" s="240"/>
      <c r="AT71" s="203"/>
      <c r="AU71" s="203"/>
      <c r="AV71" s="203"/>
      <c r="AW71" s="240"/>
      <c r="AX71" s="203"/>
      <c r="AY71" s="203"/>
      <c r="AZ71" s="203"/>
      <c r="BA71" s="240"/>
      <c r="BB71" s="203"/>
      <c r="BC71" s="203"/>
      <c r="BD71" s="203"/>
      <c r="BE71" s="240"/>
      <c r="BF71" s="203"/>
      <c r="BG71" s="203"/>
      <c r="BH71" s="203"/>
      <c r="BI71" s="240"/>
      <c r="BJ71" s="203"/>
      <c r="BK71" s="203"/>
      <c r="BL71" s="203"/>
      <c r="BM71" s="240"/>
      <c r="BN71" s="203"/>
      <c r="BO71" s="203"/>
      <c r="BP71" s="203"/>
      <c r="BQ71" s="240"/>
      <c r="BR71" s="203"/>
      <c r="BS71" s="203"/>
      <c r="BT71" s="203"/>
      <c r="BU71" s="240"/>
      <c r="BV71" s="203"/>
      <c r="BW71" s="203"/>
      <c r="BX71" s="203"/>
      <c r="BY71" s="240"/>
      <c r="BZ71" s="203"/>
      <c r="CA71" s="203"/>
      <c r="CB71" s="203"/>
      <c r="CC71" s="240"/>
      <c r="CD71" s="203"/>
      <c r="CE71" s="203"/>
      <c r="CF71" s="203"/>
      <c r="CG71" s="240"/>
      <c r="CH71" s="203"/>
      <c r="CI71" s="203"/>
      <c r="CJ71" s="203"/>
      <c r="CK71" s="240"/>
      <c r="CL71" s="203"/>
      <c r="CM71" s="203"/>
      <c r="CN71" s="203"/>
      <c r="CO71" s="240"/>
      <c r="CP71" s="203"/>
      <c r="CQ71" s="203"/>
      <c r="CR71" s="203"/>
      <c r="CS71" s="240"/>
      <c r="CT71" s="203"/>
      <c r="CU71" s="435"/>
      <c r="CV71" s="435"/>
      <c r="CW71" s="436"/>
      <c r="CX71" s="486"/>
      <c r="CY71" s="435"/>
      <c r="CZ71" s="435"/>
      <c r="DA71" s="436"/>
      <c r="DB71" s="486"/>
      <c r="DC71" s="435"/>
      <c r="DD71" s="435"/>
      <c r="DE71" s="436"/>
      <c r="DF71" s="435"/>
      <c r="DG71" s="435"/>
      <c r="DH71" s="435"/>
      <c r="DI71" s="436"/>
      <c r="DJ71" s="435"/>
      <c r="DK71" s="435"/>
      <c r="DL71" s="435"/>
      <c r="DM71" s="436"/>
      <c r="DN71" s="435"/>
      <c r="DO71" s="435"/>
      <c r="DP71" s="435"/>
      <c r="DQ71" s="436"/>
      <c r="DR71" s="435"/>
      <c r="DS71" s="435"/>
      <c r="DT71" s="435"/>
      <c r="DU71" s="436"/>
      <c r="DV71" s="435"/>
      <c r="DW71" s="435"/>
      <c r="DX71" s="435"/>
      <c r="DY71" s="436"/>
      <c r="DZ71" s="435"/>
      <c r="EA71" s="435"/>
      <c r="EB71" s="435"/>
      <c r="EC71" s="436"/>
      <c r="ED71" s="435"/>
      <c r="EE71" s="435"/>
      <c r="EF71" s="435"/>
      <c r="EG71" s="436"/>
      <c r="EH71" s="435"/>
      <c r="EI71" s="435"/>
      <c r="EJ71" s="435"/>
      <c r="EK71" s="436"/>
      <c r="FF71" s="203"/>
      <c r="FG71" s="203"/>
      <c r="FH71" s="203"/>
      <c r="FI71" s="203"/>
      <c r="FJ71" s="203"/>
      <c r="FK71" s="203"/>
      <c r="FL71" s="203"/>
      <c r="FM71" s="203"/>
      <c r="FN71" s="203"/>
      <c r="FO71" s="203"/>
      <c r="FP71" s="203"/>
      <c r="FQ71" s="203"/>
      <c r="FR71" s="203"/>
      <c r="FS71" s="203"/>
      <c r="FT71" s="203"/>
      <c r="FU71" s="203"/>
      <c r="FV71" s="203"/>
    </row>
    <row r="72" spans="1:178" s="1192" customFormat="1" ht="10.199999999999999">
      <c r="A72" s="1191" t="s">
        <v>104</v>
      </c>
      <c r="B72" s="1192">
        <f>B15/'Income Statement'!B$17</f>
      </c>
      <c r="C72" s="1192">
        <f>C15/'Income Statement'!C$17</f>
      </c>
      <c r="D72" s="1192">
        <f>D15/'Income Statement'!D$17</f>
      </c>
      <c r="E72" s="1193">
        <f>E15/'Income Statement'!E$17</f>
      </c>
      <c r="F72" s="1192">
        <f>F15/'Income Statement'!F$17</f>
      </c>
      <c r="G72" s="1192">
        <f>G15/'Income Statement'!G$17</f>
      </c>
      <c r="H72" s="1192">
        <f>H15/'Income Statement'!H$17</f>
      </c>
      <c r="I72" s="1193">
        <f>I15/'Income Statement'!I$17</f>
      </c>
      <c r="J72" s="1192">
        <f>J15/'Income Statement'!J$17</f>
      </c>
      <c r="K72" s="1192">
        <f>K15/'Income Statement'!K$17</f>
      </c>
      <c r="L72" s="1192">
        <f>L15/'Income Statement'!L$17</f>
      </c>
      <c r="M72" s="1193">
        <f>M15/'Income Statement'!M$17</f>
      </c>
      <c r="N72" s="1192">
        <f>N15/'Income Statement'!N$17</f>
      </c>
      <c r="O72" s="1192">
        <f>O15/'Income Statement'!O$17</f>
      </c>
      <c r="P72" s="1192">
        <f>P15/'Income Statement'!P$17</f>
      </c>
      <c r="Q72" s="1193">
        <f>Q15/'Income Statement'!Q$17</f>
      </c>
      <c r="R72" s="1192">
        <f>R15/'Income Statement'!R$17</f>
      </c>
      <c r="S72" s="1192">
        <f>S15/'Income Statement'!S$17</f>
      </c>
      <c r="T72" s="1192">
        <f>T15/'Income Statement'!T$17</f>
      </c>
      <c r="U72" s="1193">
        <f>U15/'Income Statement'!U$17</f>
      </c>
      <c r="V72" s="1192">
        <f>V15/'Income Statement'!V$17</f>
      </c>
      <c r="W72" s="1192">
        <f>W15/'Income Statement'!W$17</f>
      </c>
      <c r="X72" s="1192">
        <f>X15/'Income Statement'!X$17</f>
      </c>
      <c r="Y72" s="1193">
        <f>Y15/'Income Statement'!Y$17</f>
      </c>
      <c r="Z72" s="1192">
        <f>Z15/'Income Statement'!Z$17</f>
      </c>
      <c r="AA72" s="1192">
        <f>AA15/'Income Statement'!AA$17</f>
      </c>
      <c r="AB72" s="1192">
        <f>AB15/'Income Statement'!AB$17</f>
      </c>
      <c r="AC72" s="1193">
        <f>AC15/'Income Statement'!AC$17</f>
      </c>
      <c r="AD72" s="1192">
        <f>AD15/'Income Statement'!AD$17</f>
      </c>
      <c r="AE72" s="1192">
        <f>AE15/'Income Statement'!AE$17</f>
      </c>
      <c r="AF72" s="1192">
        <f>AF15/'Income Statement'!AF$17</f>
      </c>
      <c r="AG72" s="1193">
        <f>AG15/'Income Statement'!AG$17</f>
      </c>
      <c r="AH72" s="1192">
        <f>AH15/'Income Statement'!AH$17</f>
      </c>
      <c r="AI72" s="1192">
        <f>AI15/'Income Statement'!AI$17</f>
      </c>
      <c r="AJ72" s="1192">
        <f>AJ15/'Income Statement'!AJ$17</f>
      </c>
      <c r="AK72" s="1193">
        <f>AK15/'Income Statement'!AK$17</f>
      </c>
      <c r="AL72" s="1192">
        <f>AL15/'Income Statement'!AL$17</f>
      </c>
      <c r="AM72" s="1192">
        <f>AM15/'Income Statement'!AM$17</f>
      </c>
      <c r="AN72" s="1192">
        <f>AN15/'Income Statement'!AN$17</f>
      </c>
      <c r="AO72" s="1193">
        <f>AO15/'Income Statement'!AO$17</f>
      </c>
      <c r="AP72" s="1192">
        <f>AP15/'Income Statement'!AP$17</f>
      </c>
      <c r="AQ72" s="1192">
        <f>AQ15/'Income Statement'!AQ$17</f>
      </c>
      <c r="AR72" s="1192">
        <f>AR15/'Income Statement'!AR$17</f>
      </c>
      <c r="AS72" s="1193">
        <f>AS15/'Income Statement'!AS$17</f>
      </c>
      <c r="AT72" s="1192">
        <f>AT15/'Income Statement'!AT$17</f>
      </c>
      <c r="AU72" s="1192">
        <f>AU15/'Income Statement'!AU$17</f>
      </c>
      <c r="AV72" s="1192">
        <f>AV15/'Income Statement'!AV$17</f>
      </c>
      <c r="AW72" s="1193">
        <f>AW15/'Income Statement'!AW$17</f>
      </c>
      <c r="AX72" s="1192">
        <f>AX15/'Income Statement'!AX$17</f>
      </c>
      <c r="AY72" s="1192">
        <f>AY15/'Income Statement'!AY$17</f>
      </c>
      <c r="AZ72" s="1192">
        <f>AZ15/'Income Statement'!AZ$17</f>
      </c>
      <c r="BA72" s="1193">
        <f>BA15/'Income Statement'!BA$17</f>
      </c>
      <c r="BB72" s="1192">
        <f>BB15/'Income Statement'!BB$17</f>
      </c>
      <c r="BC72" s="1192">
        <f>BC15/'Income Statement'!BC$17</f>
      </c>
      <c r="BD72" s="1192">
        <f>BD15/'Income Statement'!BD$17</f>
      </c>
      <c r="BE72" s="1193">
        <f>BE15/'Income Statement'!BE$17</f>
      </c>
      <c r="BF72" s="1192">
        <f>BF15/'Income Statement'!BF$17</f>
      </c>
      <c r="BG72" s="1192">
        <f>BG15/'Income Statement'!BG$17</f>
      </c>
      <c r="BH72" s="1192">
        <f>BH15/'Income Statement'!BH$17</f>
      </c>
      <c r="BI72" s="1193">
        <f>BI15/'Income Statement'!BI$17</f>
      </c>
      <c r="BJ72" s="1192">
        <f>BJ15/'Income Statement'!BJ$17</f>
      </c>
      <c r="BK72" s="1192">
        <f>BK15/'Income Statement'!BK$17</f>
      </c>
      <c r="BL72" s="1192">
        <f>BL15/'Income Statement'!BL$17</f>
      </c>
      <c r="BM72" s="1193">
        <f>BM15/'Income Statement'!BM$17</f>
      </c>
      <c r="BN72" s="1192">
        <f>BN15/'Income Statement'!BN$17</f>
      </c>
      <c r="BO72" s="1192">
        <f>BO15/'Income Statement'!BO$17</f>
      </c>
      <c r="BP72" s="1192">
        <f>BP15/'Income Statement'!BP$17</f>
      </c>
      <c r="BQ72" s="1193">
        <f>BQ15/'Income Statement'!BQ$17</f>
      </c>
      <c r="BR72" s="1192">
        <f>BR15/'Income Statement'!BR$17</f>
      </c>
      <c r="BS72" s="1192">
        <f>BS15/'Income Statement'!BS$17</f>
      </c>
      <c r="BT72" s="1192">
        <f>BT15/'Income Statement'!BT$17</f>
      </c>
      <c r="BU72" s="1193">
        <f>BU15/'Income Statement'!BU$17</f>
      </c>
      <c r="BV72" s="1192">
        <f>BV15/'Income Statement'!BV$17</f>
      </c>
      <c r="BW72" s="1192">
        <f>BW15/'Income Statement'!BW$17</f>
      </c>
      <c r="BX72" s="1192">
        <f>BX15/'Income Statement'!BX$17</f>
      </c>
      <c r="BY72" s="1193">
        <f>BY15/'Income Statement'!BY$17</f>
      </c>
      <c r="BZ72" s="1192">
        <f>BZ15/'Income Statement'!BZ$17</f>
      </c>
      <c r="CA72" s="1192">
        <f>CA15/'Income Statement'!CA$17</f>
      </c>
      <c r="CB72" s="1192">
        <f>CB15/'Income Statement'!CB$17</f>
      </c>
      <c r="CC72" s="1193">
        <f>CC15/'Income Statement'!CC$17</f>
      </c>
      <c r="CD72" s="1192">
        <f>CD15/'Income Statement'!CD$17</f>
      </c>
      <c r="CE72" s="1192">
        <f>CE15/'Income Statement'!CE$17</f>
      </c>
      <c r="CF72" s="1192">
        <f>CF15/'Income Statement'!CF$17</f>
      </c>
      <c r="CG72" s="1193">
        <f>CG15/'Income Statement'!CG$17</f>
      </c>
      <c r="CH72" s="1192">
        <f>CH15/'Income Statement'!CH$17</f>
      </c>
      <c r="CI72" s="1192">
        <f>CI15/'Income Statement'!CI$17</f>
      </c>
      <c r="CJ72" s="1192">
        <f>CJ15/'Income Statement'!CJ$17</f>
      </c>
      <c r="CK72" s="1193">
        <f>CK15/'Income Statement'!CK$17</f>
      </c>
      <c r="CL72" s="1192">
        <f>CL15/'Income Statement'!CL$17</f>
      </c>
      <c r="CM72" s="1192">
        <f>CM15/'Income Statement'!CM$17</f>
      </c>
      <c r="CN72" s="1192">
        <f>CN15/'Income Statement'!CN$17</f>
      </c>
      <c r="CO72" s="1193">
        <f>CO15/'Income Statement'!CO$17</f>
      </c>
      <c r="CP72" s="1192">
        <f>CP15/'Income Statement'!CP$17</f>
      </c>
      <c r="CQ72" s="1192">
        <f>CQ15/'Income Statement'!CQ$17</f>
      </c>
      <c r="CR72" s="1192">
        <f>CR15/'Income Statement'!CR$17</f>
      </c>
      <c r="CS72" s="1194">
        <f>CS15/'Income Statement'!CS$17</f>
      </c>
      <c r="CT72" s="1192">
        <f>CT15/'Income Statement'!CT$17</f>
      </c>
      <c r="CU72" s="1192">
        <f>CU15/'Income Statement'!CU$17</f>
      </c>
      <c r="CV72" s="1192">
        <f>CV15/'Income Statement'!CV$17</f>
      </c>
      <c r="CW72" s="1193">
        <f>CW15/'Income Statement'!CW$17</f>
      </c>
      <c r="CX72" s="1195">
        <f>CX15/'Income Statement'!CX$17</f>
      </c>
      <c r="CY72" s="1192">
        <f>CY15/'Income Statement'!CY$17</f>
      </c>
      <c r="CZ72" s="1192">
        <f>CZ15/'Income Statement'!CZ$17</f>
      </c>
      <c r="DA72" s="1193">
        <f>DA15/'Income Statement'!DA$17</f>
      </c>
      <c r="DB72" s="1195">
        <f>DB15/'Income Statement'!DB$17</f>
      </c>
      <c r="DC72" s="1192">
        <f>DC15/'Income Statement'!DC$17</f>
      </c>
      <c r="DD72" s="1192">
        <f>DD15/'Income Statement'!DD$17</f>
      </c>
      <c r="DE72" s="1193">
        <f>DE15/'Income Statement'!DE$17</f>
      </c>
      <c r="DF72" s="1195">
        <f>DF15/'Income Statement'!DF$17</f>
      </c>
      <c r="DG72" s="1192">
        <f>DG15/'Income Statement'!DG$17</f>
      </c>
      <c r="DH72" s="1192">
        <f>DH15/'Income Statement'!DH$17</f>
      </c>
      <c r="DI72" s="1193">
        <f>DI15/'Income Statement'!DI$17</f>
      </c>
      <c r="DJ72" s="1195">
        <f>DJ15/'Income Statement'!DJ$17</f>
      </c>
      <c r="DK72" s="1192">
        <f>DK15/'Income Statement'!DK$17</f>
      </c>
      <c r="DL72" s="1192">
        <f>DL15/'Income Statement'!DL$17</f>
      </c>
      <c r="DM72" s="1193">
        <f>DM15/'Income Statement'!DM$17</f>
      </c>
      <c r="DN72" s="1195">
        <f>DN15/'Income Statement'!DN$17</f>
      </c>
      <c r="DO72" s="1192">
        <f>DO15/'Income Statement'!DO$17</f>
      </c>
      <c r="DP72" s="1192">
        <f>DP15/'Income Statement'!DP$17</f>
      </c>
      <c r="DQ72" s="1231">
        <v>0</v>
      </c>
      <c r="DR72" s="1232">
        <v>0</v>
      </c>
      <c r="DS72" s="1232">
        <v>0</v>
      </c>
      <c r="DT72" s="1232">
        <v>0</v>
      </c>
      <c r="DU72" s="1231">
        <v>0</v>
      </c>
      <c r="DV72" s="1232">
        <v>0</v>
      </c>
      <c r="DW72" s="1232">
        <v>0</v>
      </c>
      <c r="DX72" s="1232">
        <v>0</v>
      </c>
      <c r="DY72" s="1231">
        <v>0</v>
      </c>
      <c r="DZ72" s="1232">
        <v>0</v>
      </c>
      <c r="EA72" s="1232">
        <v>0</v>
      </c>
      <c r="EB72" s="1232">
        <v>0</v>
      </c>
      <c r="EC72" s="1231">
        <v>0</v>
      </c>
      <c r="ED72" s="1232">
        <v>0</v>
      </c>
      <c r="EE72" s="1232">
        <v>0</v>
      </c>
      <c r="EF72" s="1232">
        <v>0</v>
      </c>
      <c r="EG72" s="1231">
        <v>0</v>
      </c>
      <c r="EH72" s="1232">
        <v>0</v>
      </c>
      <c r="EI72" s="1232">
        <v>0</v>
      </c>
      <c r="EJ72" s="1232">
        <v>0</v>
      </c>
      <c r="EK72" s="1231">
        <v>0</v>
      </c>
      <c r="EL72" s="1196"/>
      <c r="FF72" s="1192" t="e">
        <f>FF15/'Income Statement'!FE$17</f>
      </c>
      <c r="FG72" s="1192" t="e">
        <f>FG15/'Income Statement'!FF$17</f>
      </c>
      <c r="FH72" s="1192">
        <f>FH15/'Income Statement'!FG$17</f>
      </c>
      <c r="FI72" s="1192">
        <f>FI15/'Income Statement'!FH$17</f>
      </c>
      <c r="FJ72" s="1192">
        <f>FJ15/'Income Statement'!FI$17</f>
      </c>
      <c r="FK72" s="1192">
        <f>FK15/'Income Statement'!FJ$17</f>
      </c>
      <c r="FL72" s="1192">
        <f>FL15/'Income Statement'!FK$17</f>
      </c>
      <c r="FM72" s="1192">
        <f>FM15/'Income Statement'!FL$17</f>
      </c>
      <c r="FN72" s="1192">
        <f>FN15/'Income Statement'!FM$17</f>
      </c>
      <c r="FO72" s="1192">
        <f>FO15/'Income Statement'!FN$17</f>
      </c>
      <c r="FP72" s="1192">
        <f>FP15/'Income Statement'!FO$17</f>
      </c>
      <c r="FQ72" s="1192">
        <f>FQ15/'Income Statement'!FP$17</f>
      </c>
      <c r="FR72" s="1192">
        <f>FR15/'Income Statement'!FQ$17</f>
      </c>
      <c r="FS72" s="1192">
        <f>FS15/'Income Statement'!FR$17</f>
      </c>
      <c r="FT72" s="1192">
        <f>FT15/'Income Statement'!FS$17</f>
      </c>
      <c r="FU72" s="1192">
        <f>FU15/'Income Statement'!FT$17</f>
      </c>
      <c r="FV72" s="1192">
        <f>FV15/'Income Statement'!FU$17</f>
      </c>
    </row>
    <row r="73" spans="1:178" s="1192" customFormat="1" ht="10.199999999999999">
      <c r="A73" s="1191" t="s">
        <v>105</v>
      </c>
      <c r="B73" s="1192">
        <f>B16/'Income Statement'!B$17</f>
      </c>
      <c r="C73" s="1192">
        <f>C16/'Income Statement'!C$17</f>
      </c>
      <c r="D73" s="1192">
        <f>D16/'Income Statement'!D$17</f>
      </c>
      <c r="E73" s="1193">
        <f>E16/'Income Statement'!E$17</f>
      </c>
      <c r="F73" s="1192">
        <f>F16/'Income Statement'!F$17</f>
      </c>
      <c r="G73" s="1192">
        <f>G16/'Income Statement'!G$17</f>
      </c>
      <c r="H73" s="1192">
        <f>H16/'Income Statement'!H$17</f>
      </c>
      <c r="I73" s="1193">
        <f>I16/'Income Statement'!I$17</f>
      </c>
      <c r="J73" s="1192">
        <f>J16/'Income Statement'!J$17</f>
      </c>
      <c r="K73" s="1192">
        <f>K16/'Income Statement'!K$17</f>
      </c>
      <c r="L73" s="1192">
        <f>L16/'Income Statement'!L$17</f>
      </c>
      <c r="M73" s="1193">
        <f>M16/'Income Statement'!M$17</f>
      </c>
      <c r="N73" s="1192">
        <f>N16/'Income Statement'!N$17</f>
      </c>
      <c r="O73" s="1192">
        <f>O16/'Income Statement'!O$17</f>
      </c>
      <c r="P73" s="1192">
        <f>P16/'Income Statement'!P$17</f>
      </c>
      <c r="Q73" s="1193">
        <f>Q16/'Income Statement'!Q$17</f>
      </c>
      <c r="R73" s="1192">
        <f>R16/'Income Statement'!R$17</f>
      </c>
      <c r="S73" s="1192">
        <f>S16/'Income Statement'!S$17</f>
      </c>
      <c r="T73" s="1192">
        <f>T16/'Income Statement'!T$17</f>
      </c>
      <c r="U73" s="1193">
        <f>U16/'Income Statement'!U$17</f>
      </c>
      <c r="V73" s="1192">
        <f>V16/'Income Statement'!V$17</f>
      </c>
      <c r="W73" s="1192">
        <f>W16/'Income Statement'!W$17</f>
      </c>
      <c r="X73" s="1192">
        <f>X16/'Income Statement'!X$17</f>
      </c>
      <c r="Y73" s="1193">
        <f>Y16/'Income Statement'!Y$17</f>
      </c>
      <c r="Z73" s="1192">
        <f>Z16/'Income Statement'!Z$17</f>
      </c>
      <c r="AA73" s="1192">
        <f>AA16/'Income Statement'!AA$17</f>
      </c>
      <c r="AB73" s="1192">
        <f>AB16/'Income Statement'!AB$17</f>
      </c>
      <c r="AC73" s="1193">
        <f>AC16/'Income Statement'!AC$17</f>
      </c>
      <c r="AD73" s="1192">
        <f>AD16/'Income Statement'!AD$17</f>
      </c>
      <c r="AE73" s="1192">
        <f>AE16/'Income Statement'!AE$17</f>
      </c>
      <c r="AF73" s="1192">
        <f>AF16/'Income Statement'!AF$17</f>
      </c>
      <c r="AG73" s="1193">
        <f>AG16/'Income Statement'!AG$17</f>
      </c>
      <c r="AH73" s="1192">
        <f>AH16/'Income Statement'!AH$17</f>
      </c>
      <c r="AI73" s="1192">
        <f>AI16/'Income Statement'!AI$17</f>
      </c>
      <c r="AJ73" s="1192">
        <f>AJ16/'Income Statement'!AJ$17</f>
      </c>
      <c r="AK73" s="1193">
        <f>AK16/'Income Statement'!AK$17</f>
      </c>
      <c r="AL73" s="1192">
        <f>AL16/'Income Statement'!AL$17</f>
      </c>
      <c r="AM73" s="1192">
        <f>AM16/'Income Statement'!AM$17</f>
      </c>
      <c r="AN73" s="1192">
        <f>AN16/'Income Statement'!AN$17</f>
      </c>
      <c r="AO73" s="1193">
        <f>AO16/'Income Statement'!AO$17</f>
      </c>
      <c r="AP73" s="1192">
        <f>AP16/'Income Statement'!AP$17</f>
      </c>
      <c r="AQ73" s="1192">
        <f>AQ16/'Income Statement'!AQ$17</f>
      </c>
      <c r="AR73" s="1192">
        <f>AR16/'Income Statement'!AR$17</f>
      </c>
      <c r="AS73" s="1193">
        <f>AS16/'Income Statement'!AS$17</f>
      </c>
      <c r="AT73" s="1192">
        <f>AT16/'Income Statement'!AT$17</f>
      </c>
      <c r="AU73" s="1192">
        <f>AU16/'Income Statement'!AU$17</f>
      </c>
      <c r="AV73" s="1192">
        <f>AV16/'Income Statement'!AV$17</f>
      </c>
      <c r="AW73" s="1193">
        <f>AW16/'Income Statement'!AW$17</f>
      </c>
      <c r="AX73" s="1192">
        <f>AX16/'Income Statement'!AX$17</f>
      </c>
      <c r="AY73" s="1192">
        <f>AY16/'Income Statement'!AY$17</f>
      </c>
      <c r="AZ73" s="1192">
        <f>AZ16/'Income Statement'!AZ$17</f>
      </c>
      <c r="BA73" s="1193">
        <f>BA16/'Income Statement'!BA$17</f>
      </c>
      <c r="BB73" s="1192">
        <f>BB16/'Income Statement'!BB$17</f>
      </c>
      <c r="BC73" s="1192">
        <f>BC16/'Income Statement'!BC$17</f>
      </c>
      <c r="BD73" s="1192">
        <f>BD16/'Income Statement'!BD$17</f>
      </c>
      <c r="BE73" s="1193">
        <f>BE16/'Income Statement'!BE$17</f>
      </c>
      <c r="BF73" s="1192">
        <f>BF16/'Income Statement'!BF$17</f>
      </c>
      <c r="BG73" s="1192">
        <f>BG16/'Income Statement'!BG$17</f>
      </c>
      <c r="BH73" s="1192">
        <f>BH16/'Income Statement'!BH$17</f>
      </c>
      <c r="BI73" s="1193">
        <f>BI16/'Income Statement'!BI$17</f>
      </c>
      <c r="BJ73" s="1192">
        <f>BJ16/'Income Statement'!BJ$17</f>
      </c>
      <c r="BK73" s="1192">
        <f>BK16/'Income Statement'!BK$17</f>
      </c>
      <c r="BL73" s="1192">
        <f>BL16/'Income Statement'!BL$17</f>
      </c>
      <c r="BM73" s="1193">
        <f>BM16/'Income Statement'!BM$17</f>
      </c>
      <c r="BN73" s="1192">
        <f>BN16/'Income Statement'!BN$17</f>
      </c>
      <c r="BO73" s="1192">
        <f>BO16/'Income Statement'!BO$17</f>
      </c>
      <c r="BP73" s="1192">
        <f>BP16/'Income Statement'!BP$17</f>
      </c>
      <c r="BQ73" s="1193">
        <f>BQ16/'Income Statement'!BQ$17</f>
      </c>
      <c r="BR73" s="1192">
        <f>BR16/'Income Statement'!BR$17</f>
      </c>
      <c r="BS73" s="1192">
        <f>BS16/'Income Statement'!BS$17</f>
      </c>
      <c r="BT73" s="1192">
        <f>BT16/'Income Statement'!BT$17</f>
      </c>
      <c r="BU73" s="1193">
        <f>BU16/'Income Statement'!BU$17</f>
      </c>
      <c r="BV73" s="1192">
        <f>BV16/'Income Statement'!BV$17</f>
      </c>
      <c r="BW73" s="1192">
        <f>BW16/'Income Statement'!BW$17</f>
      </c>
      <c r="BX73" s="1192">
        <f>BX16/'Income Statement'!BX$17</f>
      </c>
      <c r="BY73" s="1193">
        <f>BY16/'Income Statement'!BY$17</f>
      </c>
      <c r="BZ73" s="1192">
        <f>BZ16/'Income Statement'!BZ$17</f>
      </c>
      <c r="CA73" s="1192">
        <f>CA16/'Income Statement'!CA$17</f>
      </c>
      <c r="CB73" s="1192">
        <f>CB16/'Income Statement'!CB$17</f>
      </c>
      <c r="CC73" s="1193">
        <f>CC16/'Income Statement'!CC$17</f>
      </c>
      <c r="CD73" s="1192">
        <f>CD16/'Income Statement'!CD$17</f>
      </c>
      <c r="CE73" s="1192">
        <f>CE16/'Income Statement'!CE$17</f>
      </c>
      <c r="CF73" s="1192">
        <f>CF16/'Income Statement'!CF$17</f>
      </c>
      <c r="CG73" s="1193">
        <f>CG16/'Income Statement'!CG$17</f>
      </c>
      <c r="CH73" s="1192">
        <f>CH16/'Income Statement'!CH$17</f>
      </c>
      <c r="CI73" s="1192">
        <f>CI16/'Income Statement'!CI$17</f>
      </c>
      <c r="CJ73" s="1192">
        <f>CJ16/'Income Statement'!CJ$17</f>
      </c>
      <c r="CK73" s="1193">
        <f>CK16/'Income Statement'!CK$17</f>
      </c>
      <c r="CL73" s="1192">
        <f>CL16/'Income Statement'!CL$17</f>
      </c>
      <c r="CM73" s="1192">
        <f>CM16/'Income Statement'!CM$17</f>
      </c>
      <c r="CN73" s="1192">
        <f>CN16/'Income Statement'!CN$17</f>
      </c>
      <c r="CO73" s="1193">
        <f>CO16/'Income Statement'!CO$17</f>
      </c>
      <c r="CP73" s="1192">
        <f>CP16/'Income Statement'!CP$17</f>
      </c>
      <c r="CQ73" s="1192">
        <f>CQ16/'Income Statement'!CQ$17</f>
      </c>
      <c r="CR73" s="1192">
        <f>CR16/'Income Statement'!CR$17</f>
      </c>
      <c r="CS73" s="1194">
        <f>CS16/'Income Statement'!CS$17</f>
      </c>
      <c r="CT73" s="1192">
        <f>CT16/'Income Statement'!CT$17</f>
      </c>
      <c r="CU73" s="1192">
        <f>CU16/'Income Statement'!CU$17</f>
      </c>
      <c r="CV73" s="1192">
        <f>CV16/'Income Statement'!CV$17</f>
      </c>
      <c r="CW73" s="1193">
        <f>CW16/'Income Statement'!CW$17</f>
      </c>
      <c r="CX73" s="1195">
        <f>CX16/'Income Statement'!CX$17</f>
      </c>
      <c r="CY73" s="1192">
        <f>CY16/'Income Statement'!CY$17</f>
      </c>
      <c r="CZ73" s="1192">
        <f>CZ16/'Income Statement'!CZ$17</f>
      </c>
      <c r="DA73" s="1193">
        <f>DA16/'Income Statement'!DA$17</f>
      </c>
      <c r="DB73" s="1195">
        <f>DB16/'Income Statement'!DB$17</f>
      </c>
      <c r="DC73" s="1192">
        <f>DC16/'Income Statement'!DC$17</f>
      </c>
      <c r="DD73" s="1192">
        <f>DD16/'Income Statement'!DD$17</f>
      </c>
      <c r="DE73" s="1193">
        <f>DE16/'Income Statement'!DE$17</f>
      </c>
      <c r="DF73" s="1195">
        <f>DF16/'Income Statement'!DF$17</f>
      </c>
      <c r="DG73" s="1192">
        <f>DG16/'Income Statement'!DG$17</f>
      </c>
      <c r="DH73" s="1192">
        <f>DH16/'Income Statement'!DH$17</f>
      </c>
      <c r="DI73" s="1193">
        <f>DI16/'Income Statement'!DI$17</f>
      </c>
      <c r="DJ73" s="1195">
        <f>DJ16/'Income Statement'!DJ$17</f>
      </c>
      <c r="DK73" s="1192">
        <f>DK16/'Income Statement'!DK$17</f>
      </c>
      <c r="DL73" s="1192">
        <f>DL16/'Income Statement'!DL$17</f>
      </c>
      <c r="DM73" s="1193">
        <f>DM16/'Income Statement'!DM$17</f>
      </c>
      <c r="DN73" s="1195">
        <f>DN16/'Income Statement'!DN$17</f>
      </c>
      <c r="DO73" s="1192">
        <f>DO16/'Income Statement'!DO$17</f>
      </c>
      <c r="DP73" s="1192">
        <f>DP16/'Income Statement'!DP$17</f>
      </c>
      <c r="DQ73" s="1231">
        <f t="shared" ref="DQ73:DQ74" si="379">DM73</f>
      </c>
      <c r="DR73" s="1232">
        <f t="shared" ref="DR73:DR75" si="380">DN73</f>
      </c>
      <c r="DS73" s="1232">
        <f t="shared" ref="DS73:DS75" si="381">DO73</f>
      </c>
      <c r="DT73" s="1232">
        <f t="shared" ref="DT73:DT75" si="382">DP73</f>
      </c>
      <c r="DU73" s="1231">
        <f t="shared" ref="DU73:DU75" si="383">DQ73</f>
      </c>
      <c r="DV73" s="1232">
        <f t="shared" ref="DV73:DV75" si="384">DR73</f>
      </c>
      <c r="DW73" s="1232">
        <f t="shared" ref="DW73:DW75" si="385">DS73</f>
      </c>
      <c r="DX73" s="1232">
        <f t="shared" ref="DX73:DX75" si="386">DT73</f>
      </c>
      <c r="DY73" s="1231">
        <f t="shared" ref="DY73:DY75" si="387">DU73</f>
      </c>
      <c r="DZ73" s="1232">
        <f t="shared" ref="DZ73:DZ75" si="388">DV73</f>
      </c>
      <c r="EA73" s="1232">
        <f t="shared" ref="EA73:EA75" si="389">DW73</f>
      </c>
      <c r="EB73" s="1232">
        <f t="shared" ref="EB73:EB75" si="390">DX73</f>
      </c>
      <c r="EC73" s="1231">
        <f t="shared" ref="EC73:EC75" si="391">DY73</f>
      </c>
      <c r="ED73" s="1232">
        <f t="shared" ref="ED73:ED75" si="392">DZ73</f>
      </c>
      <c r="EE73" s="1232">
        <f t="shared" ref="EE73:EE75" si="393">EA73</f>
      </c>
      <c r="EF73" s="1232">
        <f t="shared" ref="EF73:EF75" si="394">EB73</f>
      </c>
      <c r="EG73" s="1231">
        <f t="shared" ref="EG73:EG75" si="395">EC73</f>
      </c>
      <c r="EH73" s="1232">
        <f t="shared" ref="EH73:EH75" si="396">ED73</f>
      </c>
      <c r="EI73" s="1232">
        <f t="shared" ref="EI73:EI75" si="397">EE73</f>
      </c>
      <c r="EJ73" s="1232">
        <f t="shared" ref="EJ73:EJ75" si="398">EF73</f>
      </c>
      <c r="EK73" s="1231">
        <f t="shared" ref="EK73:EK75" si="399">EG73</f>
      </c>
      <c r="EL73" s="1196"/>
      <c r="FF73" s="1192" t="e">
        <f>FF16/'Income Statement'!FE$17</f>
      </c>
      <c r="FG73" s="1192" t="e">
        <f>FG16/'Income Statement'!FF$17</f>
      </c>
      <c r="FH73" s="1192">
        <f>FH16/'Income Statement'!FG$17</f>
      </c>
      <c r="FI73" s="1192">
        <f>FI16/'Income Statement'!FH$17</f>
      </c>
      <c r="FJ73" s="1192">
        <f>FJ16/'Income Statement'!FI$17</f>
      </c>
      <c r="FK73" s="1192">
        <f>FK16/'Income Statement'!FJ$17</f>
      </c>
      <c r="FL73" s="1192">
        <f>FL16/'Income Statement'!FK$17</f>
      </c>
      <c r="FM73" s="1192">
        <f>FM16/'Income Statement'!FL$17</f>
      </c>
      <c r="FN73" s="1192">
        <f>FN16/'Income Statement'!FM$17</f>
      </c>
      <c r="FO73" s="1192">
        <f>FO16/'Income Statement'!FN$17</f>
      </c>
      <c r="FP73" s="1192">
        <f>FP16/'Income Statement'!FO$17</f>
      </c>
      <c r="FQ73" s="1192">
        <f>FQ16/'Income Statement'!FP$17</f>
      </c>
      <c r="FR73" s="1192">
        <f>FR16/'Income Statement'!FQ$17</f>
      </c>
      <c r="FS73" s="1192">
        <f>FS16/'Income Statement'!FR$17</f>
      </c>
      <c r="FT73" s="1192">
        <f>FT16/'Income Statement'!FS$17</f>
      </c>
      <c r="FU73" s="1192">
        <f>FU16/'Income Statement'!FT$17</f>
      </c>
      <c r="FV73" s="1192">
        <f>FV16/'Income Statement'!FU$17</f>
      </c>
    </row>
    <row r="74" spans="1:178" s="1192" customFormat="1" ht="10.199999999999999">
      <c r="A74" s="1191" t="s">
        <v>106</v>
      </c>
      <c r="B74" s="1192">
        <f>B17/'Income Statement'!B$17</f>
      </c>
      <c r="C74" s="1192">
        <f>C17/'Income Statement'!C$17</f>
      </c>
      <c r="D74" s="1192">
        <f>D17/'Income Statement'!D$17</f>
      </c>
      <c r="E74" s="1193">
        <f>E17/'Income Statement'!E$17</f>
      </c>
      <c r="F74" s="1192">
        <f>F17/'Income Statement'!F$17</f>
      </c>
      <c r="G74" s="1192">
        <f>G17/'Income Statement'!G$17</f>
      </c>
      <c r="H74" s="1192">
        <f>H17/'Income Statement'!H$17</f>
      </c>
      <c r="I74" s="1193">
        <f>I17/'Income Statement'!I$17</f>
      </c>
      <c r="J74" s="1192">
        <f>J17/'Income Statement'!J$17</f>
      </c>
      <c r="K74" s="1192">
        <f>K17/'Income Statement'!K$17</f>
      </c>
      <c r="L74" s="1192">
        <f>L17/'Income Statement'!L$17</f>
      </c>
      <c r="M74" s="1193">
        <f>M17/'Income Statement'!M$17</f>
      </c>
      <c r="N74" s="1192">
        <f>N17/'Income Statement'!N$17</f>
      </c>
      <c r="O74" s="1192">
        <f>O17/'Income Statement'!O$17</f>
      </c>
      <c r="P74" s="1192">
        <f>P17/'Income Statement'!P$17</f>
      </c>
      <c r="Q74" s="1193">
        <f>Q17/'Income Statement'!Q$17</f>
      </c>
      <c r="R74" s="1192">
        <f>R17/'Income Statement'!R$17</f>
      </c>
      <c r="S74" s="1192">
        <f>S17/'Income Statement'!S$17</f>
      </c>
      <c r="T74" s="1192">
        <f>T17/'Income Statement'!T$17</f>
      </c>
      <c r="U74" s="1193">
        <f>U17/'Income Statement'!U$17</f>
      </c>
      <c r="V74" s="1192">
        <f>V17/'Income Statement'!V$17</f>
      </c>
      <c r="W74" s="1192">
        <f>W17/'Income Statement'!W$17</f>
      </c>
      <c r="X74" s="1192">
        <f>X17/'Income Statement'!X$17</f>
      </c>
      <c r="Y74" s="1193">
        <f>Y17/'Income Statement'!Y$17</f>
      </c>
      <c r="Z74" s="1192">
        <f>Z17/'Income Statement'!Z$17</f>
      </c>
      <c r="AA74" s="1192">
        <f>AA17/'Income Statement'!AA$17</f>
      </c>
      <c r="AB74" s="1192">
        <f>AB17/'Income Statement'!AB$17</f>
      </c>
      <c r="AC74" s="1193">
        <f>AC17/'Income Statement'!AC$17</f>
      </c>
      <c r="AD74" s="1192">
        <f>AD17/'Income Statement'!AD$17</f>
      </c>
      <c r="AE74" s="1192">
        <f>AE17/'Income Statement'!AE$17</f>
      </c>
      <c r="AF74" s="1192">
        <f>AF17/'Income Statement'!AF$17</f>
      </c>
      <c r="AG74" s="1193">
        <f>AG17/'Income Statement'!AG$17</f>
      </c>
      <c r="AH74" s="1192">
        <f>AH17/'Income Statement'!AH$17</f>
      </c>
      <c r="AI74" s="1192">
        <f>AI17/'Income Statement'!AI$17</f>
      </c>
      <c r="AJ74" s="1192">
        <f>AJ17/'Income Statement'!AJ$17</f>
      </c>
      <c r="AK74" s="1193">
        <f>AK17/'Income Statement'!AK$17</f>
      </c>
      <c r="AL74" s="1192">
        <f>AL17/'Income Statement'!AL$17</f>
      </c>
      <c r="AM74" s="1192">
        <f>AM17/'Income Statement'!AM$17</f>
      </c>
      <c r="AN74" s="1192">
        <f>AN17/'Income Statement'!AN$17</f>
      </c>
      <c r="AO74" s="1193">
        <f>AO17/'Income Statement'!AO$17</f>
      </c>
      <c r="AP74" s="1192">
        <f>AP17/'Income Statement'!AP$17</f>
      </c>
      <c r="AQ74" s="1192">
        <f>AQ17/'Income Statement'!AQ$17</f>
      </c>
      <c r="AR74" s="1192">
        <f>AR17/'Income Statement'!AR$17</f>
      </c>
      <c r="AS74" s="1193">
        <f>AS17/'Income Statement'!AS$17</f>
      </c>
      <c r="AT74" s="1192">
        <f>AT17/'Income Statement'!AT$17</f>
      </c>
      <c r="AU74" s="1192">
        <f>AU17/'Income Statement'!AU$17</f>
      </c>
      <c r="AV74" s="1192">
        <f>AV17/'Income Statement'!AV$17</f>
      </c>
      <c r="AW74" s="1193">
        <f>AW17/'Income Statement'!AW$17</f>
      </c>
      <c r="AX74" s="1192">
        <f>AX17/'Income Statement'!AX$17</f>
      </c>
      <c r="AY74" s="1192">
        <f>AY17/'Income Statement'!AY$17</f>
      </c>
      <c r="AZ74" s="1192">
        <f>AZ17/'Income Statement'!AZ$17</f>
      </c>
      <c r="BA74" s="1193">
        <f>BA17/'Income Statement'!BA$17</f>
      </c>
      <c r="BB74" s="1192">
        <f>BB17/'Income Statement'!BB$17</f>
      </c>
      <c r="BC74" s="1192">
        <f>BC17/'Income Statement'!BC$17</f>
      </c>
      <c r="BD74" s="1192">
        <f>BD17/'Income Statement'!BD$17</f>
      </c>
      <c r="BE74" s="1193">
        <f>BE17/'Income Statement'!BE$17</f>
      </c>
      <c r="BF74" s="1192">
        <f>BF17/'Income Statement'!BF$17</f>
      </c>
      <c r="BG74" s="1192">
        <f>BG17/'Income Statement'!BG$17</f>
      </c>
      <c r="BH74" s="1192">
        <f>BH17/'Income Statement'!BH$17</f>
      </c>
      <c r="BI74" s="1193">
        <f>BI17/'Income Statement'!BI$17</f>
      </c>
      <c r="BJ74" s="1192">
        <f>BJ17/'Income Statement'!BJ$17</f>
      </c>
      <c r="BK74" s="1192">
        <f>BK17/'Income Statement'!BK$17</f>
      </c>
      <c r="BL74" s="1192">
        <f>BL17/'Income Statement'!BL$17</f>
      </c>
      <c r="BM74" s="1193">
        <f>BM17/'Income Statement'!BM$17</f>
      </c>
      <c r="BN74" s="1192">
        <f>BN17/'Income Statement'!BN$17</f>
      </c>
      <c r="BO74" s="1192">
        <f>BO17/'Income Statement'!BO$17</f>
      </c>
      <c r="BP74" s="1192">
        <f>BP17/'Income Statement'!BP$17</f>
      </c>
      <c r="BQ74" s="1193">
        <f>BQ17/'Income Statement'!BQ$17</f>
      </c>
      <c r="BR74" s="1192">
        <f>BR17/'Income Statement'!BR$17</f>
      </c>
      <c r="BS74" s="1192">
        <f>BS17/'Income Statement'!BS$17</f>
      </c>
      <c r="BT74" s="1192">
        <f>BT17/'Income Statement'!BT$17</f>
      </c>
      <c r="BU74" s="1193">
        <f>BU17/'Income Statement'!BU$17</f>
      </c>
      <c r="BV74" s="1192">
        <f>BV17/'Income Statement'!BV$17</f>
      </c>
      <c r="BW74" s="1192">
        <f>BW17/'Income Statement'!BW$17</f>
      </c>
      <c r="BX74" s="1192">
        <f>BX17/'Income Statement'!BX$17</f>
      </c>
      <c r="BY74" s="1193">
        <f>BY17/'Income Statement'!BY$17</f>
      </c>
      <c r="BZ74" s="1192">
        <f>BZ17/'Income Statement'!BZ$17</f>
      </c>
      <c r="CA74" s="1192">
        <f>CA17/'Income Statement'!CA$17</f>
      </c>
      <c r="CB74" s="1192">
        <f>CB17/'Income Statement'!CB$17</f>
      </c>
      <c r="CC74" s="1193">
        <f>CC17/'Income Statement'!CC$17</f>
      </c>
      <c r="CD74" s="1192">
        <f>CD17/'Income Statement'!CD$17</f>
      </c>
      <c r="CE74" s="1192">
        <f>CE17/'Income Statement'!CE$17</f>
      </c>
      <c r="CF74" s="1192">
        <f>CF17/'Income Statement'!CF$17</f>
      </c>
      <c r="CG74" s="1193">
        <f>CG17/'Income Statement'!CG$17</f>
      </c>
      <c r="CH74" s="1192">
        <f>CH17/'Income Statement'!CH$17</f>
      </c>
      <c r="CI74" s="1192">
        <f>CI17/'Income Statement'!CI$17</f>
      </c>
      <c r="CJ74" s="1192">
        <f>CJ17/'Income Statement'!CJ$17</f>
      </c>
      <c r="CK74" s="1193">
        <f>CK17/'Income Statement'!CK$17</f>
      </c>
      <c r="CL74" s="1192">
        <f>CL17/'Income Statement'!CL$17</f>
      </c>
      <c r="CM74" s="1192">
        <f>CM17/'Income Statement'!CM$17</f>
      </c>
      <c r="CN74" s="1192">
        <f>CN17/'Income Statement'!CN$17</f>
      </c>
      <c r="CO74" s="1193">
        <f>CO17/'Income Statement'!CO$17</f>
      </c>
      <c r="CP74" s="1192">
        <f>CP17/'Income Statement'!CP$17</f>
      </c>
      <c r="CQ74" s="1192">
        <f>CQ17/'Income Statement'!CQ$17</f>
      </c>
      <c r="CR74" s="1192">
        <f>CR17/'Income Statement'!CR$17</f>
      </c>
      <c r="CS74" s="1194">
        <f>CS17/'Income Statement'!CS$17</f>
      </c>
      <c r="CT74" s="1192">
        <f>CT17/'Income Statement'!CT$17</f>
      </c>
      <c r="CU74" s="1192">
        <f>CU17/'Income Statement'!CU$17</f>
      </c>
      <c r="CV74" s="1192">
        <f>CV17/'Income Statement'!CV$17</f>
      </c>
      <c r="CW74" s="1193">
        <f>CW17/'Income Statement'!CW$17</f>
      </c>
      <c r="CX74" s="1195">
        <f>CX17/'Income Statement'!CX$17</f>
      </c>
      <c r="CY74" s="1192">
        <f>CY17/'Income Statement'!CY$17</f>
      </c>
      <c r="CZ74" s="1192">
        <f>CZ17/'Income Statement'!CZ$17</f>
      </c>
      <c r="DA74" s="1193">
        <f>DA17/'Income Statement'!DA$17</f>
      </c>
      <c r="DB74" s="1195">
        <f>DB17/'Income Statement'!DB$17</f>
      </c>
      <c r="DC74" s="1192">
        <f>DC17/'Income Statement'!DC$17</f>
      </c>
      <c r="DD74" s="1192">
        <f>DD17/'Income Statement'!DD$17</f>
      </c>
      <c r="DE74" s="1193">
        <f>DE17/'Income Statement'!DE$17</f>
      </c>
      <c r="DF74" s="1195">
        <f>DF17/'Income Statement'!DF$17</f>
      </c>
      <c r="DG74" s="1192">
        <f>DG17/'Income Statement'!DG$17</f>
      </c>
      <c r="DH74" s="1192">
        <f>DH17/'Income Statement'!DH$17</f>
      </c>
      <c r="DI74" s="1193">
        <f>DI17/'Income Statement'!DI$17</f>
      </c>
      <c r="DJ74" s="1195">
        <f>DJ17/'Income Statement'!DJ$17</f>
      </c>
      <c r="DK74" s="1192">
        <f>DK17/'Income Statement'!DK$17</f>
      </c>
      <c r="DL74" s="1192">
        <f>DL17/'Income Statement'!DL$17</f>
      </c>
      <c r="DM74" s="1193">
        <f>DM17/'Income Statement'!DM$17</f>
      </c>
      <c r="DN74" s="1195">
        <f>DN17/'Income Statement'!DN$17</f>
      </c>
      <c r="DO74" s="1192">
        <f>DO17/'Income Statement'!DO$17</f>
      </c>
      <c r="DP74" s="1192">
        <f>DP17/'Income Statement'!DP$17</f>
      </c>
      <c r="DQ74" s="1231">
        <f t="shared" si="379"/>
      </c>
      <c r="DR74" s="1232">
        <f t="shared" si="380"/>
      </c>
      <c r="DS74" s="1232">
        <f t="shared" si="381"/>
      </c>
      <c r="DT74" s="1232">
        <f t="shared" si="382"/>
      </c>
      <c r="DU74" s="1231">
        <f t="shared" si="383"/>
      </c>
      <c r="DV74" s="1232">
        <f t="shared" si="384"/>
      </c>
      <c r="DW74" s="1232">
        <f t="shared" si="385"/>
      </c>
      <c r="DX74" s="1232">
        <f t="shared" si="386"/>
      </c>
      <c r="DY74" s="1231">
        <f t="shared" si="387"/>
      </c>
      <c r="DZ74" s="1232">
        <f t="shared" si="388"/>
      </c>
      <c r="EA74" s="1232">
        <f t="shared" si="389"/>
      </c>
      <c r="EB74" s="1232">
        <f t="shared" si="390"/>
      </c>
      <c r="EC74" s="1231">
        <f t="shared" si="391"/>
      </c>
      <c r="ED74" s="1232">
        <f t="shared" si="392"/>
      </c>
      <c r="EE74" s="1232">
        <f t="shared" si="393"/>
      </c>
      <c r="EF74" s="1232">
        <f t="shared" si="394"/>
      </c>
      <c r="EG74" s="1231">
        <f t="shared" si="395"/>
      </c>
      <c r="EH74" s="1232">
        <f t="shared" si="396"/>
      </c>
      <c r="EI74" s="1232">
        <f t="shared" si="397"/>
      </c>
      <c r="EJ74" s="1232">
        <f t="shared" si="398"/>
      </c>
      <c r="EK74" s="1231">
        <f t="shared" si="399"/>
      </c>
      <c r="EL74" s="1196"/>
      <c r="FF74" s="1192" t="e">
        <f>FF17/'Income Statement'!FE$17</f>
      </c>
      <c r="FG74" s="1192" t="e">
        <f>FG17/'Income Statement'!FF$17</f>
      </c>
      <c r="FH74" s="1192">
        <f>FH17/'Income Statement'!FG$17</f>
      </c>
      <c r="FI74" s="1192">
        <f>FI17/'Income Statement'!FH$17</f>
      </c>
      <c r="FJ74" s="1192">
        <f>FJ17/'Income Statement'!FI$17</f>
      </c>
      <c r="FK74" s="1192">
        <f>FK17/'Income Statement'!FJ$17</f>
      </c>
      <c r="FL74" s="1192">
        <f>FL17/'Income Statement'!FK$17</f>
      </c>
      <c r="FM74" s="1192">
        <f>FM17/'Income Statement'!FL$17</f>
      </c>
      <c r="FN74" s="1192">
        <f>FN17/'Income Statement'!FM$17</f>
      </c>
      <c r="FO74" s="1192">
        <f>FO17/'Income Statement'!FN$17</f>
      </c>
      <c r="FP74" s="1192">
        <f>FP17/'Income Statement'!FO$17</f>
      </c>
      <c r="FQ74" s="1192">
        <f>FQ17/'Income Statement'!FP$17</f>
      </c>
      <c r="FR74" s="1192">
        <f>FR17/'Income Statement'!FQ$17</f>
      </c>
      <c r="FS74" s="1192">
        <f>FS17/'Income Statement'!FR$17</f>
      </c>
      <c r="FT74" s="1192">
        <f>FT17/'Income Statement'!FS$17</f>
      </c>
      <c r="FU74" s="1192">
        <f>FU17/'Income Statement'!FT$17</f>
      </c>
      <c r="FV74" s="1192">
        <f>FV17/'Income Statement'!FU$17</f>
      </c>
    </row>
    <row r="75" spans="1:178" s="1192" customFormat="1" ht="10.199999999999999">
      <c r="A75" s="1197" t="s">
        <v>113</v>
      </c>
      <c r="B75" s="1192">
        <f>B31/'Income Statement'!B$17</f>
      </c>
      <c r="C75" s="1192">
        <f>C31/'Income Statement'!C$17</f>
      </c>
      <c r="D75" s="1192">
        <f>D31/'Income Statement'!D$17</f>
      </c>
      <c r="E75" s="1193">
        <f>E31/'Income Statement'!E$17</f>
      </c>
      <c r="F75" s="1192">
        <f>F31/'Income Statement'!F$17</f>
      </c>
      <c r="G75" s="1192">
        <f>G31/'Income Statement'!G$17</f>
      </c>
      <c r="H75" s="1192">
        <f>H31/'Income Statement'!H$17</f>
      </c>
      <c r="I75" s="1193">
        <f>I31/'Income Statement'!I$17</f>
      </c>
      <c r="J75" s="1192">
        <f>J31/'Income Statement'!J$17</f>
      </c>
      <c r="K75" s="1192">
        <f>K31/'Income Statement'!K$17</f>
      </c>
      <c r="L75" s="1192">
        <f>L31/'Income Statement'!L$17</f>
      </c>
      <c r="M75" s="1193">
        <f>M31/'Income Statement'!M$17</f>
      </c>
      <c r="N75" s="1192">
        <f>N31/'Income Statement'!N$17</f>
      </c>
      <c r="O75" s="1192">
        <f>O31/'Income Statement'!O$17</f>
      </c>
      <c r="P75" s="1192">
        <f>P31/'Income Statement'!P$17</f>
      </c>
      <c r="Q75" s="1193">
        <f>Q31/'Income Statement'!Q$17</f>
      </c>
      <c r="R75" s="1192">
        <f>R31/'Income Statement'!R$17</f>
      </c>
      <c r="S75" s="1192">
        <f>S31/'Income Statement'!S$17</f>
      </c>
      <c r="T75" s="1192">
        <f>T31/'Income Statement'!T$17</f>
      </c>
      <c r="U75" s="1193">
        <f>U31/'Income Statement'!U$17</f>
      </c>
      <c r="V75" s="1192">
        <f>V31/'Income Statement'!V$17</f>
      </c>
      <c r="W75" s="1192">
        <f>W31/'Income Statement'!W$17</f>
      </c>
      <c r="X75" s="1192">
        <f>X31/'Income Statement'!X$17</f>
      </c>
      <c r="Y75" s="1193">
        <f>Y31/'Income Statement'!Y$17</f>
      </c>
      <c r="Z75" s="1192">
        <f>Z31/'Income Statement'!Z$17</f>
      </c>
      <c r="AA75" s="1192">
        <f>AA31/'Income Statement'!AA$17</f>
      </c>
      <c r="AB75" s="1192">
        <f>AB31/'Income Statement'!AB$17</f>
      </c>
      <c r="AC75" s="1193">
        <f>AC31/'Income Statement'!AC$17</f>
      </c>
      <c r="AD75" s="1192">
        <f>AD31/'Income Statement'!AD$17</f>
      </c>
      <c r="AE75" s="1192">
        <f>AE31/'Income Statement'!AE$17</f>
      </c>
      <c r="AF75" s="1192">
        <f>AF31/'Income Statement'!AF$17</f>
      </c>
      <c r="AG75" s="1193">
        <f>AG31/'Income Statement'!AG$17</f>
      </c>
      <c r="AH75" s="1192">
        <f>AH31/'Income Statement'!AH$17</f>
      </c>
      <c r="AI75" s="1192">
        <f>AI31/'Income Statement'!AI$17</f>
      </c>
      <c r="AJ75" s="1192">
        <f>AJ31/'Income Statement'!AJ$17</f>
      </c>
      <c r="AK75" s="1193">
        <f>AK31/'Income Statement'!AK$17</f>
      </c>
      <c r="AL75" s="1192">
        <f>AL31/'Income Statement'!AL$17</f>
      </c>
      <c r="AM75" s="1192">
        <f>AM31/'Income Statement'!AM$17</f>
      </c>
      <c r="AN75" s="1192">
        <f>AN31/'Income Statement'!AN$17</f>
      </c>
      <c r="AO75" s="1193">
        <f>AO31/'Income Statement'!AO$17</f>
      </c>
      <c r="AP75" s="1192">
        <f>AP31/'Income Statement'!AP$17</f>
      </c>
      <c r="AQ75" s="1192">
        <f>AQ31/'Income Statement'!AQ$17</f>
      </c>
      <c r="AR75" s="1192">
        <f>AR31/'Income Statement'!AR$17</f>
      </c>
      <c r="AS75" s="1193">
        <f>AS31/'Income Statement'!AS$17</f>
      </c>
      <c r="AT75" s="1192">
        <f>AT31/'Income Statement'!AT$17</f>
      </c>
      <c r="AU75" s="1192">
        <f>AU31/'Income Statement'!AU$17</f>
      </c>
      <c r="AV75" s="1192">
        <f>AV31/'Income Statement'!AV$17</f>
      </c>
      <c r="AW75" s="1193">
        <f>AW31/'Income Statement'!AW$17</f>
      </c>
      <c r="AX75" s="1192">
        <f>AX31/'Income Statement'!AX$17</f>
      </c>
      <c r="AY75" s="1192">
        <f>AY31/'Income Statement'!AY$17</f>
      </c>
      <c r="AZ75" s="1192">
        <f>AZ31/'Income Statement'!AZ$17</f>
      </c>
      <c r="BA75" s="1193">
        <f>BA31/'Income Statement'!BA$17</f>
      </c>
      <c r="BB75" s="1192">
        <f>BB31/'Income Statement'!BB$17</f>
      </c>
      <c r="BC75" s="1192">
        <f>BC31/'Income Statement'!BC$17</f>
      </c>
      <c r="BD75" s="1192">
        <f>BD31/'Income Statement'!BD$17</f>
      </c>
      <c r="BE75" s="1193">
        <f>BE31/'Income Statement'!BE$17</f>
      </c>
      <c r="BF75" s="1192">
        <f>BF31/'Income Statement'!BF$17</f>
      </c>
      <c r="BG75" s="1192">
        <f>BG31/'Income Statement'!BG$17</f>
      </c>
      <c r="BH75" s="1192">
        <f>BH31/'Income Statement'!BH$17</f>
      </c>
      <c r="BI75" s="1193">
        <f>BI31/'Income Statement'!BI$17</f>
      </c>
      <c r="BJ75" s="1192">
        <f>BJ31/'Income Statement'!BJ$17</f>
      </c>
      <c r="BK75" s="1192">
        <f>BK31/'Income Statement'!BK$17</f>
      </c>
      <c r="BL75" s="1192">
        <f>BL31/'Income Statement'!BL$17</f>
      </c>
      <c r="BM75" s="1193">
        <f>BM31/'Income Statement'!BM$17</f>
      </c>
      <c r="BN75" s="1192">
        <f>BN31/'Income Statement'!BN$17</f>
      </c>
      <c r="BO75" s="1192">
        <f>BO31/'Income Statement'!BO$17</f>
      </c>
      <c r="BP75" s="1192">
        <f>BP31/'Income Statement'!BP$17</f>
      </c>
      <c r="BQ75" s="1193">
        <f>BQ31/'Income Statement'!BQ$17</f>
      </c>
      <c r="BR75" s="1192">
        <f>BR31/'Income Statement'!BR$17</f>
      </c>
      <c r="BS75" s="1192">
        <f>BS31/'Income Statement'!BS$17</f>
      </c>
      <c r="BT75" s="1192">
        <f>BT31/'Income Statement'!BT$17</f>
      </c>
      <c r="BU75" s="1193">
        <f>BU31/'Income Statement'!BU$17</f>
      </c>
      <c r="BV75" s="1192">
        <f>BV31/'Income Statement'!BV$17</f>
      </c>
      <c r="BW75" s="1192">
        <f>BW31/'Income Statement'!BW$17</f>
      </c>
      <c r="BX75" s="1192">
        <f>BX31/'Income Statement'!BX$17</f>
      </c>
      <c r="BY75" s="1193">
        <f>BY31/'Income Statement'!BY$17</f>
      </c>
      <c r="BZ75" s="1192">
        <f>BZ31/'Income Statement'!BZ$17</f>
      </c>
      <c r="CA75" s="1192">
        <f>CA31/'Income Statement'!CA$17</f>
      </c>
      <c r="CB75" s="1192">
        <f>CB31/'Income Statement'!CB$17</f>
      </c>
      <c r="CC75" s="1193">
        <f>CC31/'Income Statement'!CC$17</f>
      </c>
      <c r="CD75" s="1192">
        <f>CD31/'Income Statement'!CD$17</f>
      </c>
      <c r="CE75" s="1192">
        <f>CE31/'Income Statement'!CE$17</f>
      </c>
      <c r="CF75" s="1192">
        <f>CF31/'Income Statement'!CF$17</f>
      </c>
      <c r="CG75" s="1193">
        <f>CG31/'Income Statement'!CG$17</f>
      </c>
      <c r="CH75" s="1192">
        <f>CH31/'Income Statement'!CH$17</f>
      </c>
      <c r="CI75" s="1192">
        <f>CI31/'Income Statement'!CI$17</f>
      </c>
      <c r="CJ75" s="1192">
        <f>CJ31/'Income Statement'!CJ$17</f>
      </c>
      <c r="CK75" s="1193">
        <f>CK31/'Income Statement'!CK$17</f>
      </c>
      <c r="CL75" s="1192">
        <f>CL31/'Income Statement'!CL$17</f>
      </c>
      <c r="CM75" s="1192">
        <f>CM31/'Income Statement'!CM$17</f>
      </c>
      <c r="CN75" s="1192">
        <f>CN31/'Income Statement'!CN$17</f>
      </c>
      <c r="CO75" s="1193">
        <f>CO31/'Income Statement'!CO$17</f>
      </c>
      <c r="CP75" s="1192">
        <f>CP31/'Income Statement'!CP$17</f>
      </c>
      <c r="CQ75" s="1192">
        <f>1/'Income Statement'!CQ$17*CQ31</f>
      </c>
      <c r="CR75" s="1192">
        <f>1/'Income Statement'!CR$17*CR31</f>
      </c>
      <c r="CS75" s="1194">
        <f>1/'Income Statement'!CS$17*CS31</f>
      </c>
      <c r="CT75" s="1192">
        <f>CT31/'Income Statement'!CT$17</f>
      </c>
      <c r="CU75" s="1192">
        <f>CU31/'Income Statement'!CU$17</f>
      </c>
      <c r="CV75" s="1192">
        <f>CV31/'Income Statement'!CV$17</f>
      </c>
      <c r="CW75" s="1193">
        <f>CW31/'Income Statement'!CW$17</f>
      </c>
      <c r="CX75" s="1195">
        <f>CX31/'Income Statement'!CX$17</f>
      </c>
      <c r="CY75" s="1192">
        <f>CY31/'Income Statement'!CY$17</f>
      </c>
      <c r="CZ75" s="1192">
        <f>CZ31/'Income Statement'!CZ$17</f>
      </c>
      <c r="DA75" s="1193">
        <f>DA31/'Income Statement'!DA$17</f>
      </c>
      <c r="DB75" s="1195">
        <f>DB31/'Income Statement'!DB$17</f>
      </c>
      <c r="DC75" s="1192">
        <f>DC31/'Income Statement'!DC$17</f>
      </c>
      <c r="DD75" s="1192">
        <f>DD31/'Income Statement'!DD$17</f>
      </c>
      <c r="DE75" s="1193">
        <f>DE31/'Income Statement'!DE$17</f>
      </c>
      <c r="DF75" s="1195">
        <f>DF31/'Income Statement'!DF$17</f>
      </c>
      <c r="DG75" s="1192">
        <f>DG31/'Income Statement'!DG$17</f>
      </c>
      <c r="DH75" s="1192">
        <f>DH31/'Income Statement'!DH$17</f>
      </c>
      <c r="DI75" s="1193">
        <f>DI31/'Income Statement'!DI$17</f>
      </c>
      <c r="DJ75" s="1195">
        <f>DJ31/'Income Statement'!DJ$17</f>
      </c>
      <c r="DK75" s="1192">
        <f>DK31/'Income Statement'!DK$17</f>
      </c>
      <c r="DL75" s="1192">
        <f>DL31/'Income Statement'!DL$17</f>
      </c>
      <c r="DM75" s="1193">
        <f>DM31/'Income Statement'!DM$17</f>
      </c>
      <c r="DN75" s="1195">
        <f>DN31/'Income Statement'!DN$17</f>
      </c>
      <c r="DO75" s="1192">
        <f>DO31/'Income Statement'!DO$17</f>
      </c>
      <c r="DP75" s="1192">
        <f>DP31/'Income Statement'!DP$17</f>
      </c>
      <c r="DQ75" s="1231">
        <v>2</v>
      </c>
      <c r="DR75" s="1232">
        <f t="shared" si="380"/>
      </c>
      <c r="DS75" s="1232">
        <f t="shared" si="381"/>
      </c>
      <c r="DT75" s="1232">
        <f t="shared" si="382"/>
      </c>
      <c r="DU75" s="1231">
        <f t="shared" si="383"/>
      </c>
      <c r="DV75" s="1232">
        <f t="shared" si="384"/>
      </c>
      <c r="DW75" s="1232">
        <f t="shared" si="385"/>
      </c>
      <c r="DX75" s="1232">
        <f t="shared" si="386"/>
      </c>
      <c r="DY75" s="1231">
        <f t="shared" si="387"/>
      </c>
      <c r="DZ75" s="1232">
        <f t="shared" si="388"/>
      </c>
      <c r="EA75" s="1232">
        <f t="shared" si="389"/>
      </c>
      <c r="EB75" s="1232">
        <f t="shared" si="390"/>
      </c>
      <c r="EC75" s="1231">
        <f t="shared" si="391"/>
      </c>
      <c r="ED75" s="1232">
        <f t="shared" si="392"/>
      </c>
      <c r="EE75" s="1232">
        <f t="shared" si="393"/>
      </c>
      <c r="EF75" s="1232">
        <f t="shared" si="394"/>
      </c>
      <c r="EG75" s="1231">
        <f t="shared" si="395"/>
      </c>
      <c r="EH75" s="1232">
        <f t="shared" si="396"/>
      </c>
      <c r="EI75" s="1232">
        <f t="shared" si="397"/>
      </c>
      <c r="EJ75" s="1232">
        <f t="shared" si="398"/>
      </c>
      <c r="EK75" s="1231">
        <f t="shared" si="399"/>
      </c>
      <c r="EL75" s="1196"/>
      <c r="FF75" s="1192" t="e">
        <f>FF31/'Income Statement'!FE$17</f>
      </c>
      <c r="FG75" s="1192" t="e">
        <f>FG31/'Income Statement'!FF$17</f>
      </c>
      <c r="FH75" s="1192">
        <f>FH31/'Income Statement'!FG$17</f>
      </c>
      <c r="FI75" s="1192">
        <f>FI31/'Income Statement'!FH$17</f>
      </c>
      <c r="FJ75" s="1192">
        <f>FJ31/'Income Statement'!FI$17</f>
      </c>
      <c r="FK75" s="1192">
        <f>FK31/'Income Statement'!FJ$17</f>
      </c>
      <c r="FL75" s="1192">
        <f>FL31/'Income Statement'!FK$17</f>
      </c>
      <c r="FM75" s="1192">
        <f>FM31/'Income Statement'!FL$17</f>
      </c>
      <c r="FN75" s="1192">
        <f>FN31/'Income Statement'!FM$17</f>
      </c>
      <c r="FO75" s="1192">
        <f>FO31/'Income Statement'!FN$17</f>
      </c>
      <c r="FP75" s="1192">
        <f>FP31/'Income Statement'!FO$17</f>
      </c>
      <c r="FQ75" s="1192">
        <f>FQ31/'Income Statement'!FP$17</f>
      </c>
      <c r="FR75" s="1192">
        <f>FR31/'Income Statement'!FQ$17</f>
      </c>
      <c r="FS75" s="1192">
        <f>FS31/'Income Statement'!FR$17</f>
      </c>
      <c r="FT75" s="1192">
        <f>FT31/'Income Statement'!FS$17</f>
      </c>
      <c r="FU75" s="1192">
        <f>FU31/'Income Statement'!FT$17</f>
      </c>
      <c r="FV75" s="1192">
        <f>FV31/'Income Statement'!FU$17</f>
      </c>
    </row>
    <row r="76" spans="1:178" s="40" customFormat="1" ht="10.199999999999999">
      <c r="E76" s="239"/>
      <c r="I76" s="239"/>
      <c r="M76" s="239"/>
      <c r="Q76" s="239"/>
      <c r="U76" s="239"/>
      <c r="Y76" s="239"/>
      <c r="AC76" s="239"/>
      <c r="AG76" s="239"/>
      <c r="AK76" s="239"/>
      <c r="AO76" s="239"/>
      <c r="AS76" s="239"/>
      <c r="AW76" s="239"/>
      <c r="BA76" s="239"/>
      <c r="BE76" s="239"/>
      <c r="BI76" s="239"/>
      <c r="BM76" s="239"/>
      <c r="BQ76" s="239"/>
      <c r="BU76" s="239"/>
      <c r="BY76" s="239"/>
      <c r="CC76" s="239"/>
      <c r="CG76" s="239"/>
      <c r="CK76" s="239"/>
      <c r="CO76" s="239"/>
      <c r="CS76" s="404"/>
      <c r="CU76" s="433"/>
      <c r="CV76" s="433"/>
      <c r="CW76" s="434"/>
      <c r="CX76" s="485"/>
      <c r="CY76" s="433"/>
      <c r="CZ76" s="433"/>
      <c r="DA76" s="434"/>
      <c r="DB76" s="485"/>
      <c r="DC76" s="433"/>
      <c r="DD76" s="433"/>
      <c r="DE76" s="434"/>
      <c r="DF76" s="433"/>
      <c r="DG76" s="433"/>
      <c r="DH76" s="433"/>
      <c r="DI76" s="434"/>
      <c r="DJ76" s="433"/>
      <c r="DK76" s="433"/>
      <c r="DL76" s="433"/>
      <c r="DM76" s="434"/>
      <c r="DN76" s="433"/>
      <c r="DO76" s="433"/>
      <c r="DP76" s="433"/>
      <c r="DQ76" s="434"/>
      <c r="DR76" s="433"/>
      <c r="DS76" s="433"/>
      <c r="DT76" s="433"/>
      <c r="DU76" s="434"/>
      <c r="DV76" s="433"/>
      <c r="DW76" s="433"/>
      <c r="DX76" s="433"/>
      <c r="DY76" s="434"/>
      <c r="DZ76" s="433"/>
      <c r="EA76" s="433"/>
      <c r="EB76" s="433"/>
      <c r="EC76" s="434"/>
      <c r="ED76" s="433"/>
      <c r="EE76" s="433"/>
      <c r="EF76" s="433"/>
      <c r="EG76" s="434"/>
      <c r="EH76" s="433"/>
      <c r="EI76" s="433"/>
      <c r="EJ76" s="433"/>
      <c r="EK76" s="434"/>
    </row>
    <row r="77" spans="1:178" s="40" customFormat="1" ht="10.199999999999999">
      <c r="A77" s="16" t="s">
        <v>919</v>
      </c>
      <c r="E77" s="239"/>
      <c r="I77" s="239"/>
      <c r="M77" s="239"/>
      <c r="Q77" s="239"/>
      <c r="U77" s="239"/>
      <c r="Y77" s="239"/>
      <c r="AC77" s="239"/>
      <c r="AG77" s="239"/>
      <c r="AK77" s="239"/>
      <c r="AO77" s="239"/>
      <c r="AS77" s="239"/>
      <c r="AW77" s="239"/>
      <c r="BA77" s="239"/>
      <c r="BE77" s="239"/>
      <c r="BI77" s="239"/>
      <c r="BM77" s="239"/>
      <c r="BQ77" s="239"/>
      <c r="BU77" s="239"/>
      <c r="BY77" s="239"/>
      <c r="CC77" s="239"/>
      <c r="CG77" s="239"/>
      <c r="CK77" s="239"/>
      <c r="CO77" s="239"/>
      <c r="CS77" s="404"/>
      <c r="CU77" s="433"/>
      <c r="CV77" s="433"/>
      <c r="CW77" s="434"/>
      <c r="CX77" s="485"/>
      <c r="CY77" s="433"/>
      <c r="CZ77" s="433"/>
      <c r="DA77" s="434"/>
      <c r="DB77" s="485"/>
      <c r="DC77" s="433"/>
      <c r="DD77" s="433"/>
      <c r="DE77" s="434"/>
      <c r="DF77" s="433"/>
      <c r="DG77" s="433"/>
      <c r="DH77" s="433"/>
      <c r="DI77" s="434"/>
      <c r="DJ77" s="433"/>
      <c r="DK77" s="433"/>
      <c r="DL77" s="433"/>
      <c r="DM77" s="434"/>
      <c r="DN77" s="433"/>
      <c r="DO77" s="433"/>
      <c r="DP77" s="433"/>
      <c r="DQ77" s="434"/>
      <c r="DR77" s="433"/>
      <c r="DS77" s="433"/>
      <c r="DT77" s="433"/>
      <c r="DU77" s="434"/>
      <c r="DV77" s="433"/>
      <c r="DW77" s="433"/>
      <c r="DX77" s="433"/>
      <c r="DY77" s="434"/>
      <c r="DZ77" s="433"/>
      <c r="EA77" s="433"/>
      <c r="EB77" s="433"/>
      <c r="EC77" s="434"/>
      <c r="ED77" s="433"/>
      <c r="EE77" s="433"/>
      <c r="EF77" s="433"/>
      <c r="EG77" s="434"/>
      <c r="EH77" s="433"/>
      <c r="EI77" s="433"/>
      <c r="EJ77" s="433"/>
      <c r="EK77" s="434"/>
    </row>
    <row r="78" spans="1:178" s="168" customFormat="1" ht="10.199999999999999">
      <c r="A78" s="210" t="s">
        <v>920</v>
      </c>
      <c r="B78" s="210"/>
      <c r="C78" s="210">
        <f>B82</f>
      </c>
      <c r="D78" s="210">
        <f t="shared" ref="D78:BO78" si="400">C82</f>
      </c>
      <c r="E78" s="241">
        <f t="shared" si="400"/>
      </c>
      <c r="F78" s="210">
        <f t="shared" si="400"/>
      </c>
      <c r="G78" s="210">
        <f t="shared" si="400"/>
      </c>
      <c r="H78" s="210">
        <f t="shared" si="400"/>
      </c>
      <c r="I78" s="241">
        <f t="shared" si="400"/>
      </c>
      <c r="J78" s="210">
        <f t="shared" si="400"/>
      </c>
      <c r="K78" s="210">
        <f t="shared" si="400"/>
      </c>
      <c r="L78" s="210">
        <f t="shared" si="400"/>
      </c>
      <c r="M78" s="241">
        <f t="shared" si="400"/>
      </c>
      <c r="N78" s="210">
        <f t="shared" si="400"/>
      </c>
      <c r="O78" s="210">
        <f t="shared" si="400"/>
      </c>
      <c r="P78" s="210">
        <f t="shared" si="400"/>
      </c>
      <c r="Q78" s="241">
        <f t="shared" si="400"/>
      </c>
      <c r="R78" s="210">
        <f t="shared" si="400"/>
      </c>
      <c r="S78" s="210">
        <f t="shared" si="400"/>
      </c>
      <c r="T78" s="210">
        <f t="shared" si="400"/>
      </c>
      <c r="U78" s="241">
        <f t="shared" si="400"/>
      </c>
      <c r="V78" s="210">
        <f t="shared" si="400"/>
      </c>
      <c r="W78" s="210">
        <f t="shared" si="400"/>
      </c>
      <c r="X78" s="210">
        <f t="shared" si="400"/>
      </c>
      <c r="Y78" s="241">
        <f t="shared" si="400"/>
      </c>
      <c r="Z78" s="210">
        <f t="shared" si="400"/>
      </c>
      <c r="AA78" s="210">
        <f t="shared" si="400"/>
      </c>
      <c r="AB78" s="210">
        <f t="shared" si="400"/>
      </c>
      <c r="AC78" s="241">
        <f t="shared" si="400"/>
      </c>
      <c r="AD78" s="210">
        <f t="shared" si="400"/>
      </c>
      <c r="AE78" s="210">
        <f t="shared" si="400"/>
      </c>
      <c r="AF78" s="210">
        <f t="shared" si="400"/>
      </c>
      <c r="AG78" s="241">
        <f t="shared" si="400"/>
      </c>
      <c r="AH78" s="210">
        <f t="shared" si="400"/>
      </c>
      <c r="AI78" s="210">
        <f t="shared" si="400"/>
      </c>
      <c r="AJ78" s="210">
        <f t="shared" si="400"/>
      </c>
      <c r="AK78" s="241">
        <f t="shared" si="400"/>
      </c>
      <c r="AL78" s="210">
        <f t="shared" si="400"/>
      </c>
      <c r="AM78" s="210">
        <f t="shared" si="400"/>
      </c>
      <c r="AN78" s="210">
        <f t="shared" si="400"/>
      </c>
      <c r="AO78" s="241">
        <f t="shared" si="400"/>
      </c>
      <c r="AP78" s="210">
        <f t="shared" si="400"/>
      </c>
      <c r="AQ78" s="210">
        <f t="shared" si="400"/>
      </c>
      <c r="AR78" s="210">
        <f t="shared" si="400"/>
      </c>
      <c r="AS78" s="241">
        <f t="shared" si="400"/>
      </c>
      <c r="AT78" s="210">
        <f t="shared" si="400"/>
      </c>
      <c r="AU78" s="210">
        <f t="shared" si="400"/>
      </c>
      <c r="AV78" s="210">
        <f t="shared" si="400"/>
      </c>
      <c r="AW78" s="241">
        <f t="shared" si="400"/>
      </c>
      <c r="AX78" s="210">
        <f t="shared" si="400"/>
      </c>
      <c r="AY78" s="210">
        <f t="shared" si="400"/>
      </c>
      <c r="AZ78" s="210">
        <f t="shared" si="400"/>
      </c>
      <c r="BA78" s="241">
        <f t="shared" si="400"/>
      </c>
      <c r="BB78" s="210">
        <f t="shared" si="400"/>
      </c>
      <c r="BC78" s="210">
        <f t="shared" si="400"/>
      </c>
      <c r="BD78" s="210">
        <f t="shared" si="400"/>
      </c>
      <c r="BE78" s="241">
        <f t="shared" si="400"/>
      </c>
      <c r="BF78" s="210">
        <f t="shared" si="400"/>
      </c>
      <c r="BG78" s="210">
        <f t="shared" si="400"/>
      </c>
      <c r="BH78" s="210">
        <f t="shared" si="400"/>
      </c>
      <c r="BI78" s="241">
        <f t="shared" si="400"/>
      </c>
      <c r="BJ78" s="210">
        <f t="shared" si="400"/>
      </c>
      <c r="BK78" s="210">
        <f t="shared" si="400"/>
      </c>
      <c r="BL78" s="210">
        <f t="shared" si="400"/>
      </c>
      <c r="BM78" s="241">
        <f t="shared" si="400"/>
      </c>
      <c r="BN78" s="210">
        <f t="shared" si="400"/>
      </c>
      <c r="BO78" s="210">
        <f t="shared" si="400"/>
      </c>
      <c r="BP78" s="210">
        <f t="shared" ref="BP78:DF78" si="401">BO82</f>
      </c>
      <c r="BQ78" s="241">
        <f t="shared" si="401"/>
      </c>
      <c r="BR78" s="210">
        <f t="shared" si="401"/>
      </c>
      <c r="BS78" s="210">
        <f t="shared" si="401"/>
      </c>
      <c r="BT78" s="210">
        <f t="shared" si="401"/>
      </c>
      <c r="BU78" s="241">
        <f t="shared" si="401"/>
      </c>
      <c r="BV78" s="210">
        <f t="shared" si="401"/>
      </c>
      <c r="BW78" s="210">
        <f t="shared" si="401"/>
      </c>
      <c r="BX78" s="210">
        <f t="shared" si="401"/>
      </c>
      <c r="BY78" s="241">
        <f t="shared" si="401"/>
      </c>
      <c r="BZ78" s="210">
        <f t="shared" si="401"/>
      </c>
      <c r="CA78" s="210">
        <f t="shared" si="401"/>
      </c>
      <c r="CB78" s="210">
        <f t="shared" si="401"/>
      </c>
      <c r="CC78" s="241">
        <f t="shared" si="401"/>
      </c>
      <c r="CD78" s="210">
        <f t="shared" si="401"/>
      </c>
      <c r="CE78" s="210">
        <f t="shared" si="401"/>
      </c>
      <c r="CF78" s="210">
        <f t="shared" si="401"/>
      </c>
      <c r="CG78" s="241">
        <f t="shared" si="401"/>
      </c>
      <c r="CH78" s="210">
        <f t="shared" si="401"/>
      </c>
      <c r="CI78" s="210">
        <f t="shared" si="401"/>
      </c>
      <c r="CJ78" s="210">
        <f t="shared" si="401"/>
      </c>
      <c r="CK78" s="241">
        <f t="shared" si="401"/>
      </c>
      <c r="CL78" s="210">
        <f t="shared" si="401"/>
      </c>
      <c r="CM78" s="210">
        <f t="shared" si="401"/>
      </c>
      <c r="CN78" s="210">
        <f t="shared" si="401"/>
      </c>
      <c r="CO78" s="241">
        <f t="shared" si="401"/>
      </c>
      <c r="CP78" s="210">
        <f t="shared" si="401"/>
      </c>
      <c r="CQ78" s="210">
        <f t="shared" si="401"/>
      </c>
      <c r="CR78" s="210">
        <f t="shared" si="401"/>
      </c>
      <c r="CS78" s="405">
        <f t="shared" si="401"/>
      </c>
      <c r="CT78" s="210">
        <f t="shared" si="401"/>
      </c>
      <c r="CU78" s="210">
        <f t="shared" si="401"/>
      </c>
      <c r="CV78" s="210">
        <f t="shared" si="401"/>
      </c>
      <c r="CW78" s="241">
        <f t="shared" si="401"/>
      </c>
      <c r="CX78" s="488">
        <f t="shared" si="401"/>
      </c>
      <c r="CY78" s="210">
        <f t="shared" si="401"/>
      </c>
      <c r="CZ78" s="210">
        <f t="shared" si="401"/>
      </c>
      <c r="DA78" s="241">
        <f t="shared" si="401"/>
      </c>
      <c r="DB78" s="488">
        <f t="shared" si="401"/>
      </c>
      <c r="DC78" s="210">
        <f t="shared" si="401"/>
      </c>
      <c r="DD78" s="210">
        <f t="shared" si="401"/>
      </c>
      <c r="DE78" s="270">
        <f t="shared" ref="DE78" si="402">DD82</f>
      </c>
      <c r="DF78" s="488">
        <f t="shared" si="401"/>
      </c>
      <c r="DG78" s="145">
        <f t="shared" ref="DG78:DP78" si="403">DF82</f>
      </c>
      <c r="DH78" s="145">
        <f t="shared" si="403"/>
      </c>
      <c r="DI78" s="270">
        <f t="shared" si="403"/>
      </c>
      <c r="DJ78" s="488">
        <f t="shared" si="403"/>
      </c>
      <c r="DK78" s="145">
        <f t="shared" si="403"/>
      </c>
      <c r="DL78" s="145">
        <f t="shared" si="403"/>
      </c>
      <c r="DM78" s="270">
        <f t="shared" si="403"/>
      </c>
      <c r="DN78" s="488">
        <f t="shared" si="403"/>
      </c>
      <c r="DO78" s="145">
        <f t="shared" si="403"/>
      </c>
      <c r="DP78" s="145">
        <f t="shared" si="403"/>
      </c>
      <c r="DQ78" s="270">
        <f t="shared" ref="DQ78" si="404">DP82</f>
      </c>
      <c r="DR78" s="145">
        <f t="shared" ref="DR78" si="405">DQ82</f>
      </c>
      <c r="DS78" s="145">
        <f t="shared" ref="DS78" si="406">DR82</f>
      </c>
      <c r="DT78" s="145">
        <f t="shared" ref="DT78" si="407">DS82</f>
      </c>
      <c r="DU78" s="270">
        <f t="shared" ref="DU78" si="408">DT82</f>
      </c>
      <c r="DV78" s="145">
        <f t="shared" ref="DV78" si="409">DU82</f>
      </c>
      <c r="DW78" s="145">
        <f t="shared" ref="DW78" si="410">DV82</f>
      </c>
      <c r="DX78" s="145">
        <f t="shared" ref="DX78" si="411">DW82</f>
      </c>
      <c r="DY78" s="270">
        <f t="shared" ref="DY78" si="412">DX82</f>
      </c>
      <c r="DZ78" s="145">
        <f t="shared" ref="DZ78" si="413">DY82</f>
      </c>
      <c r="EA78" s="145">
        <f t="shared" ref="EA78" si="414">DZ82</f>
      </c>
      <c r="EB78" s="145">
        <f t="shared" ref="EB78" si="415">EA82</f>
      </c>
      <c r="EC78" s="270">
        <f t="shared" ref="EC78" si="416">EB82</f>
      </c>
      <c r="ED78" s="145">
        <f t="shared" ref="ED78" si="417">EC82</f>
      </c>
      <c r="EE78" s="145">
        <f t="shared" ref="EE78" si="418">ED82</f>
      </c>
      <c r="EF78" s="145">
        <f t="shared" ref="EF78" si="419">EE82</f>
      </c>
      <c r="EG78" s="270">
        <f t="shared" ref="EG78" si="420">EF82</f>
      </c>
      <c r="EH78" s="145">
        <f t="shared" ref="EH78" si="421">EG82</f>
      </c>
      <c r="EI78" s="145">
        <f t="shared" ref="EI78" si="422">EH82</f>
      </c>
      <c r="EJ78" s="145">
        <f t="shared" ref="EJ78" si="423">EI82</f>
      </c>
      <c r="EK78" s="270">
        <f t="shared" ref="EK78" si="424">EJ82</f>
      </c>
      <c r="EL78" s="211"/>
      <c r="FK78" s="92"/>
      <c r="FL78" s="92"/>
      <c r="FM78" s="92"/>
      <c r="FN78" s="92"/>
      <c r="FO78" s="92"/>
      <c r="FP78" s="92"/>
      <c r="FQ78" s="92"/>
      <c r="FR78" s="92"/>
      <c r="FS78" s="92"/>
      <c r="FT78" s="92"/>
      <c r="FU78" s="92"/>
      <c r="FV78" s="92"/>
    </row>
    <row r="79" spans="1:178" s="168" customFormat="1" ht="10.199999999999999">
      <c r="A79" s="92" t="s">
        <v>921</v>
      </c>
      <c r="C79" s="168">
        <f>-'Cash Flow Statement'!C12</f>
      </c>
      <c r="D79" s="168">
        <f>-'Cash Flow Statement'!D12</f>
      </c>
      <c r="E79" s="186">
        <f>-'Cash Flow Statement'!E12</f>
      </c>
      <c r="F79" s="168">
        <f>-'Cash Flow Statement'!F12</f>
      </c>
      <c r="G79" s="168">
        <f>-'Cash Flow Statement'!G12</f>
      </c>
      <c r="H79" s="168">
        <f>-'Cash Flow Statement'!H12</f>
      </c>
      <c r="I79" s="186">
        <f>-'Cash Flow Statement'!I12</f>
      </c>
      <c r="J79" s="168">
        <f>-'Cash Flow Statement'!J12</f>
      </c>
      <c r="K79" s="168">
        <f>-'Cash Flow Statement'!K12</f>
      </c>
      <c r="L79" s="168">
        <f>-'Cash Flow Statement'!L12</f>
      </c>
      <c r="M79" s="186">
        <f>-'Cash Flow Statement'!M12</f>
      </c>
      <c r="N79" s="168">
        <f>-'Cash Flow Statement'!N12</f>
      </c>
      <c r="O79" s="168">
        <f>-'Cash Flow Statement'!O12</f>
      </c>
      <c r="P79" s="168">
        <f>-'Cash Flow Statement'!P12</f>
      </c>
      <c r="Q79" s="186">
        <f>-'Cash Flow Statement'!Q12</f>
      </c>
      <c r="R79" s="168">
        <f>-'Cash Flow Statement'!R12</f>
      </c>
      <c r="S79" s="168">
        <f>-'Cash Flow Statement'!S12</f>
      </c>
      <c r="T79" s="168">
        <f>-'Cash Flow Statement'!T12</f>
      </c>
      <c r="U79" s="186">
        <f>-'Cash Flow Statement'!U12</f>
      </c>
      <c r="V79" s="168">
        <f>-'Cash Flow Statement'!V12</f>
      </c>
      <c r="W79" s="168">
        <f>-'Cash Flow Statement'!W12</f>
      </c>
      <c r="X79" s="168">
        <f>-'Cash Flow Statement'!X12</f>
      </c>
      <c r="Y79" s="186">
        <f>-'Cash Flow Statement'!Y12</f>
      </c>
      <c r="Z79" s="168">
        <f>-'Cash Flow Statement'!Z12</f>
      </c>
      <c r="AA79" s="168">
        <f>-'Cash Flow Statement'!AA12</f>
      </c>
      <c r="AB79" s="168">
        <f>-'Cash Flow Statement'!AB12</f>
      </c>
      <c r="AC79" s="186">
        <f>-'Cash Flow Statement'!AC12</f>
      </c>
      <c r="AD79" s="168">
        <f>-'Cash Flow Statement'!AD12</f>
      </c>
      <c r="AE79" s="168">
        <f>-'Cash Flow Statement'!AE12</f>
      </c>
      <c r="AF79" s="168">
        <f>-'Cash Flow Statement'!AF12</f>
      </c>
      <c r="AG79" s="186">
        <f>-'Cash Flow Statement'!AG12</f>
      </c>
      <c r="AH79" s="168">
        <f>-'Cash Flow Statement'!AH12</f>
      </c>
      <c r="AI79" s="168">
        <f>-'Cash Flow Statement'!AI12</f>
      </c>
      <c r="AJ79" s="168">
        <f>-'Cash Flow Statement'!AJ12</f>
      </c>
      <c r="AK79" s="186">
        <f>-'Cash Flow Statement'!AK12</f>
      </c>
      <c r="AL79" s="168">
        <f>-'Cash Flow Statement'!AL12</f>
      </c>
      <c r="AM79" s="168">
        <f>-'Cash Flow Statement'!AM12</f>
      </c>
      <c r="AN79" s="168">
        <f>-'Cash Flow Statement'!AN12</f>
      </c>
      <c r="AO79" s="186">
        <f>-'Cash Flow Statement'!AO12</f>
      </c>
      <c r="AP79" s="168">
        <f>-'Cash Flow Statement'!AP12</f>
      </c>
      <c r="AQ79" s="168">
        <f>-'Cash Flow Statement'!AQ12</f>
      </c>
      <c r="AR79" s="168">
        <f>-'Cash Flow Statement'!AR12</f>
      </c>
      <c r="AS79" s="186">
        <f>-'Cash Flow Statement'!AS12</f>
      </c>
      <c r="AT79" s="168">
        <f>-'Cash Flow Statement'!AT12</f>
      </c>
      <c r="AU79" s="168">
        <f>-'Cash Flow Statement'!AU12</f>
      </c>
      <c r="AV79" s="168">
        <f>-'Cash Flow Statement'!AV12</f>
      </c>
      <c r="AW79" s="186">
        <f>-'Cash Flow Statement'!AW12</f>
      </c>
      <c r="AX79" s="168">
        <f>-'Cash Flow Statement'!AX12</f>
      </c>
      <c r="AY79" s="168">
        <f>-'Cash Flow Statement'!AY12</f>
      </c>
      <c r="AZ79" s="168">
        <f>-'Cash Flow Statement'!AZ12</f>
      </c>
      <c r="BA79" s="186">
        <f>-'Cash Flow Statement'!BA12</f>
      </c>
      <c r="BB79" s="168">
        <f>-'Cash Flow Statement'!BB12</f>
      </c>
      <c r="BC79" s="168">
        <f>-'Cash Flow Statement'!BC12</f>
      </c>
      <c r="BD79" s="168">
        <f>-'Cash Flow Statement'!BD12</f>
      </c>
      <c r="BE79" s="186">
        <f>-'Cash Flow Statement'!BE12</f>
      </c>
      <c r="BF79" s="168">
        <f>-'Cash Flow Statement'!BF12</f>
      </c>
      <c r="BG79" s="168">
        <f>-'Cash Flow Statement'!BG12</f>
      </c>
      <c r="BH79" s="168">
        <f>-'Cash Flow Statement'!BH12</f>
      </c>
      <c r="BI79" s="186">
        <f>-'Cash Flow Statement'!BI12</f>
      </c>
      <c r="BJ79" s="168">
        <f>-'Cash Flow Statement'!BJ12</f>
      </c>
      <c r="BK79" s="168">
        <f>-'Cash Flow Statement'!BK12</f>
      </c>
      <c r="BL79" s="168">
        <f>-'Cash Flow Statement'!BL12</f>
      </c>
      <c r="BM79" s="186">
        <f>-'Cash Flow Statement'!BM12</f>
      </c>
      <c r="BN79" s="168">
        <f>-'Cash Flow Statement'!BN12</f>
      </c>
      <c r="BO79" s="168">
        <f>-'Cash Flow Statement'!BO12</f>
      </c>
      <c r="BP79" s="168">
        <f>-'Cash Flow Statement'!BP12</f>
      </c>
      <c r="BQ79" s="186">
        <f>-'Cash Flow Statement'!BQ12</f>
      </c>
      <c r="BR79" s="168">
        <f>-'Cash Flow Statement'!BR12</f>
      </c>
      <c r="BS79" s="168">
        <f>-'Cash Flow Statement'!BS12</f>
      </c>
      <c r="BT79" s="168">
        <f>-'Cash Flow Statement'!BT12</f>
      </c>
      <c r="BU79" s="186">
        <f>-'Cash Flow Statement'!BU12</f>
      </c>
      <c r="BV79" s="168">
        <f>-'Cash Flow Statement'!BV12</f>
      </c>
      <c r="BW79" s="168">
        <f>-'Cash Flow Statement'!BW12</f>
      </c>
      <c r="BX79" s="168">
        <f>-'Cash Flow Statement'!BX12</f>
      </c>
      <c r="BY79" s="186">
        <f>-'Cash Flow Statement'!BY12</f>
      </c>
      <c r="BZ79" s="168">
        <f>-'Cash Flow Statement'!BZ12</f>
      </c>
      <c r="CA79" s="168">
        <f>-'Cash Flow Statement'!CA12</f>
      </c>
      <c r="CB79" s="168">
        <f>-'Cash Flow Statement'!CB12</f>
      </c>
      <c r="CC79" s="186">
        <f>-'Cash Flow Statement'!CC12</f>
      </c>
      <c r="CD79" s="168">
        <f>-'Cash Flow Statement'!CD12</f>
      </c>
      <c r="CE79" s="168">
        <f>-'Cash Flow Statement'!CE12</f>
      </c>
      <c r="CF79" s="168">
        <f>-'Cash Flow Statement'!CF12</f>
      </c>
      <c r="CG79" s="186">
        <f>-'Cash Flow Statement'!CG12</f>
      </c>
      <c r="CH79" s="168">
        <f>-'Cash Flow Statement'!CH12</f>
      </c>
      <c r="CI79" s="168">
        <f>-'Cash Flow Statement'!CI12</f>
      </c>
      <c r="CJ79" s="168">
        <f>-'Cash Flow Statement'!CJ12</f>
      </c>
      <c r="CK79" s="186">
        <f>-'Cash Flow Statement'!CK12</f>
      </c>
      <c r="CL79" s="168">
        <f>-'Cash Flow Statement'!CL12</f>
      </c>
      <c r="CM79" s="168">
        <f>-'Cash Flow Statement'!CM12</f>
      </c>
      <c r="CN79" s="168">
        <f>-'Cash Flow Statement'!CN12</f>
      </c>
      <c r="CO79" s="186">
        <f>-'Cash Flow Statement'!CO12</f>
      </c>
      <c r="CP79" s="168">
        <f>-'Cash Flow Statement'!CP12</f>
      </c>
      <c r="CQ79" s="168">
        <f>-'Cash Flow Statement'!CQ12</f>
      </c>
      <c r="CR79" s="168">
        <f>-'Cash Flow Statement'!CR12</f>
      </c>
      <c r="CS79" s="362">
        <f>-'Cash Flow Statement'!CS12</f>
      </c>
      <c r="CT79" s="168">
        <f>-'Cash Flow Statement'!CT12</f>
      </c>
      <c r="CU79" s="168">
        <f>-'Cash Flow Statement'!CU12</f>
      </c>
      <c r="CV79" s="168">
        <f>-'Cash Flow Statement'!CV12</f>
      </c>
      <c r="CW79" s="186">
        <f>-'Cash Flow Statement'!CW12</f>
      </c>
      <c r="CX79" s="450">
        <f>-'Cash Flow Statement'!CX12</f>
      </c>
      <c r="CY79" s="168">
        <f>-'Cash Flow Statement'!CY12</f>
      </c>
      <c r="CZ79" s="168">
        <f>-'Cash Flow Statement'!CZ12</f>
      </c>
      <c r="DA79" s="186">
        <f>-'Cash Flow Statement'!DA12</f>
      </c>
      <c r="DB79" s="449">
        <f>-'Cash Flow Statement'!DB12</f>
      </c>
      <c r="DC79" s="169">
        <f>-'Cash Flow Statement'!DC12</f>
      </c>
      <c r="DD79" s="169">
        <f>-'Cash Flow Statement'!DD12</f>
      </c>
      <c r="DE79" s="1671">
        <f>-'Cash Flow Statement'!DE12</f>
      </c>
      <c r="DF79" s="449">
        <f>-'Cash Flow Statement'!DF12</f>
      </c>
      <c r="DG79" s="169">
        <f>-'Cash Flow Statement'!DG12</f>
      </c>
      <c r="DH79" s="169">
        <f>-'Cash Flow Statement'!DH12</f>
      </c>
      <c r="DI79" s="1671">
        <f>-'Cash Flow Statement'!DI12</f>
      </c>
      <c r="DJ79" s="449">
        <f>-'Cash Flow Statement'!DJ12</f>
      </c>
      <c r="DK79" s="169">
        <f>-'Cash Flow Statement'!DK12</f>
      </c>
      <c r="DL79" s="169">
        <f>-'Cash Flow Statement'!DL12</f>
      </c>
      <c r="DM79" s="1671">
        <f>-'Cash Flow Statement'!DM12</f>
      </c>
      <c r="DN79" s="449">
        <f>-'Cash Flow Statement'!DN12</f>
      </c>
      <c r="DO79" s="169">
        <f>-'Cash Flow Statement'!DO12</f>
      </c>
      <c r="DP79" s="169">
        <f>-'Cash Flow Statement'!DP12</f>
      </c>
      <c r="DQ79" s="268">
        <f t="shared" ref="DQ79" si="425">-DQ78*DQ84</f>
      </c>
      <c r="DR79" s="402">
        <f t="shared" ref="DR79:DU79" si="426">-DR78*DR84</f>
      </c>
      <c r="DS79" s="402">
        <f t="shared" si="426"/>
      </c>
      <c r="DT79" s="402">
        <f t="shared" si="426"/>
      </c>
      <c r="DU79" s="268">
        <f t="shared" si="426"/>
      </c>
      <c r="DV79" s="402">
        <f t="shared" ref="DV79:EK79" si="427">-DV78*DV84</f>
      </c>
      <c r="DW79" s="402">
        <f t="shared" si="427"/>
      </c>
      <c r="DX79" s="402">
        <f t="shared" si="427"/>
      </c>
      <c r="DY79" s="268">
        <f t="shared" si="427"/>
      </c>
      <c r="DZ79" s="402">
        <f t="shared" si="427"/>
      </c>
      <c r="EA79" s="402">
        <f t="shared" si="427"/>
      </c>
      <c r="EB79" s="402">
        <f t="shared" si="427"/>
      </c>
      <c r="EC79" s="268">
        <f t="shared" si="427"/>
      </c>
      <c r="ED79" s="402">
        <f t="shared" si="427"/>
      </c>
      <c r="EE79" s="402">
        <f t="shared" si="427"/>
      </c>
      <c r="EF79" s="402">
        <f t="shared" si="427"/>
      </c>
      <c r="EG79" s="268">
        <f t="shared" si="427"/>
      </c>
      <c r="EH79" s="402">
        <f t="shared" si="427"/>
      </c>
      <c r="EI79" s="402">
        <f t="shared" si="427"/>
      </c>
      <c r="EJ79" s="402">
        <f t="shared" si="427"/>
      </c>
      <c r="EK79" s="268">
        <f t="shared" si="427"/>
      </c>
      <c r="EL79" s="211"/>
    </row>
    <row r="80" spans="1:178" s="168" customFormat="1" ht="10.199999999999999">
      <c r="A80" s="92" t="s">
        <v>922</v>
      </c>
      <c r="C80" s="168">
        <f>-'Cash Flow Statement'!C32</f>
      </c>
      <c r="D80" s="168">
        <f>-'Cash Flow Statement'!D32</f>
      </c>
      <c r="E80" s="186">
        <f>-'Cash Flow Statement'!E32</f>
      </c>
      <c r="F80" s="168">
        <f>-'Cash Flow Statement'!F32</f>
      </c>
      <c r="G80" s="168">
        <f>-'Cash Flow Statement'!G32</f>
      </c>
      <c r="H80" s="168">
        <f>-'Cash Flow Statement'!H32</f>
      </c>
      <c r="I80" s="186">
        <f>-'Cash Flow Statement'!I32</f>
      </c>
      <c r="J80" s="168">
        <f>-'Cash Flow Statement'!J32</f>
      </c>
      <c r="K80" s="168">
        <f>-'Cash Flow Statement'!K32</f>
      </c>
      <c r="L80" s="168">
        <f>-'Cash Flow Statement'!L32</f>
      </c>
      <c r="M80" s="186">
        <f>-'Cash Flow Statement'!M32</f>
      </c>
      <c r="N80" s="168">
        <f>-'Cash Flow Statement'!N32</f>
      </c>
      <c r="O80" s="168">
        <f>-'Cash Flow Statement'!O32</f>
      </c>
      <c r="P80" s="168">
        <f>-'Cash Flow Statement'!P32</f>
      </c>
      <c r="Q80" s="186">
        <f>-'Cash Flow Statement'!Q32</f>
      </c>
      <c r="R80" s="168">
        <f>-'Cash Flow Statement'!R32</f>
      </c>
      <c r="S80" s="168">
        <f>-'Cash Flow Statement'!S32</f>
      </c>
      <c r="T80" s="168">
        <f>-'Cash Flow Statement'!T32</f>
      </c>
      <c r="U80" s="186">
        <f>-'Cash Flow Statement'!U32</f>
      </c>
      <c r="V80" s="168">
        <f>-'Cash Flow Statement'!V32</f>
      </c>
      <c r="W80" s="168">
        <f>-'Cash Flow Statement'!W32</f>
      </c>
      <c r="X80" s="168">
        <f>-'Cash Flow Statement'!X32</f>
      </c>
      <c r="Y80" s="186">
        <f>-'Cash Flow Statement'!Y32</f>
      </c>
      <c r="Z80" s="168">
        <f>-'Cash Flow Statement'!Z32</f>
      </c>
      <c r="AA80" s="168">
        <f>-'Cash Flow Statement'!AA32</f>
      </c>
      <c r="AB80" s="168">
        <f>-'Cash Flow Statement'!AB32</f>
      </c>
      <c r="AC80" s="186">
        <f>-'Cash Flow Statement'!AC32</f>
      </c>
      <c r="AD80" s="168">
        <f>-'Cash Flow Statement'!AD32</f>
      </c>
      <c r="AE80" s="168">
        <f>-'Cash Flow Statement'!AE32</f>
      </c>
      <c r="AF80" s="168">
        <f>-'Cash Flow Statement'!AF32</f>
      </c>
      <c r="AG80" s="186">
        <f>-'Cash Flow Statement'!AG32</f>
      </c>
      <c r="AH80" s="168">
        <f>-'Cash Flow Statement'!AH32</f>
      </c>
      <c r="AI80" s="168">
        <f>-'Cash Flow Statement'!AI32</f>
      </c>
      <c r="AJ80" s="168">
        <f>-'Cash Flow Statement'!AJ32</f>
      </c>
      <c r="AK80" s="186">
        <f>-'Cash Flow Statement'!AK32</f>
      </c>
      <c r="AL80" s="168">
        <f>-'Cash Flow Statement'!AL32</f>
      </c>
      <c r="AM80" s="168">
        <f>-'Cash Flow Statement'!AM32</f>
      </c>
      <c r="AN80" s="168">
        <f>-'Cash Flow Statement'!AN32</f>
      </c>
      <c r="AO80" s="186">
        <f>-'Cash Flow Statement'!AO32</f>
      </c>
      <c r="AP80" s="168">
        <f>-'Cash Flow Statement'!AP32</f>
      </c>
      <c r="AQ80" s="168">
        <f>-'Cash Flow Statement'!AQ32</f>
      </c>
      <c r="AR80" s="168">
        <f>-'Cash Flow Statement'!AR32</f>
      </c>
      <c r="AS80" s="186">
        <f>-'Cash Flow Statement'!AS32</f>
      </c>
      <c r="AT80" s="168">
        <f>-'Cash Flow Statement'!AT32</f>
      </c>
      <c r="AU80" s="168">
        <f>-'Cash Flow Statement'!AU32</f>
      </c>
      <c r="AV80" s="168">
        <f>-'Cash Flow Statement'!AV32</f>
      </c>
      <c r="AW80" s="186">
        <f>-'Cash Flow Statement'!AW32</f>
      </c>
      <c r="AX80" s="168">
        <f>-'Cash Flow Statement'!AX32</f>
      </c>
      <c r="AY80" s="168">
        <f>-'Cash Flow Statement'!AY32</f>
      </c>
      <c r="AZ80" s="168">
        <f>-'Cash Flow Statement'!AZ32</f>
      </c>
      <c r="BA80" s="186">
        <f>-'Cash Flow Statement'!BA32</f>
      </c>
      <c r="BB80" s="168">
        <f>-'Cash Flow Statement'!BB32</f>
      </c>
      <c r="BC80" s="168">
        <f>-'Cash Flow Statement'!BC32</f>
      </c>
      <c r="BD80" s="168">
        <f>-'Cash Flow Statement'!BD32</f>
      </c>
      <c r="BE80" s="186">
        <f>-'Cash Flow Statement'!BE32</f>
      </c>
      <c r="BF80" s="168">
        <f>-'Cash Flow Statement'!BF32</f>
      </c>
      <c r="BG80" s="168">
        <f>-'Cash Flow Statement'!BG32</f>
      </c>
      <c r="BH80" s="168">
        <f>-'Cash Flow Statement'!BH32</f>
      </c>
      <c r="BI80" s="186">
        <f>-'Cash Flow Statement'!BI32</f>
      </c>
      <c r="BJ80" s="168">
        <f>-'Cash Flow Statement'!BJ32</f>
      </c>
      <c r="BK80" s="168">
        <f>-'Cash Flow Statement'!BK32</f>
      </c>
      <c r="BL80" s="168">
        <f>-'Cash Flow Statement'!BL32</f>
      </c>
      <c r="BM80" s="186">
        <f>-'Cash Flow Statement'!BM32</f>
      </c>
      <c r="BN80" s="168">
        <f>-'Cash Flow Statement'!BN32</f>
      </c>
      <c r="BO80" s="168">
        <f>-'Cash Flow Statement'!BO32</f>
      </c>
      <c r="BP80" s="168">
        <f>-'Cash Flow Statement'!BP32</f>
      </c>
      <c r="BQ80" s="186">
        <f>-'Cash Flow Statement'!BQ32</f>
      </c>
      <c r="BR80" s="168">
        <f>-'Cash Flow Statement'!BR32</f>
      </c>
      <c r="BS80" s="168">
        <f>-'Cash Flow Statement'!BS32</f>
      </c>
      <c r="BT80" s="168">
        <f>-'Cash Flow Statement'!BT32</f>
      </c>
      <c r="BU80" s="186">
        <f>-'Cash Flow Statement'!BU32</f>
      </c>
      <c r="BV80" s="168">
        <f>-'Cash Flow Statement'!BV32</f>
      </c>
      <c r="BW80" s="168">
        <f>-'Cash Flow Statement'!BW32</f>
      </c>
      <c r="BX80" s="168">
        <f>-'Cash Flow Statement'!BX32</f>
      </c>
      <c r="BY80" s="186">
        <f>-'Cash Flow Statement'!BY32</f>
      </c>
      <c r="BZ80" s="168">
        <f>-'Cash Flow Statement'!BZ32</f>
      </c>
      <c r="CA80" s="168">
        <f>-'Cash Flow Statement'!CA32</f>
      </c>
      <c r="CB80" s="168">
        <f>-'Cash Flow Statement'!CB32</f>
      </c>
      <c r="CC80" s="186">
        <f>-'Cash Flow Statement'!CC32</f>
      </c>
      <c r="CD80" s="168">
        <f>-'Cash Flow Statement'!CD32</f>
      </c>
      <c r="CE80" s="168">
        <f>-'Cash Flow Statement'!CE32</f>
      </c>
      <c r="CF80" s="168">
        <f>-'Cash Flow Statement'!CF32</f>
      </c>
      <c r="CG80" s="186">
        <f>-'Cash Flow Statement'!CG32</f>
      </c>
      <c r="CH80" s="168">
        <f>-'Cash Flow Statement'!CH32</f>
      </c>
      <c r="CI80" s="168">
        <f>-'Cash Flow Statement'!CI32</f>
      </c>
      <c r="CJ80" s="168">
        <f>-'Cash Flow Statement'!CJ32</f>
      </c>
      <c r="CK80" s="186">
        <f>-'Cash Flow Statement'!CK32</f>
      </c>
      <c r="CL80" s="168">
        <f>-'Cash Flow Statement'!CL32</f>
      </c>
      <c r="CM80" s="168">
        <f>-'Cash Flow Statement'!CM32</f>
      </c>
      <c r="CN80" s="168">
        <f>-'Cash Flow Statement'!CN32</f>
      </c>
      <c r="CO80" s="186">
        <f>-'Cash Flow Statement'!CO32</f>
      </c>
      <c r="CP80" s="168">
        <f>-'Cash Flow Statement'!CP32</f>
      </c>
      <c r="CQ80" s="168">
        <f>-'Cash Flow Statement'!CQ32</f>
      </c>
      <c r="CR80" s="168">
        <f>-'Cash Flow Statement'!CR32</f>
      </c>
      <c r="CS80" s="362">
        <f>-'Cash Flow Statement'!CS32</f>
      </c>
      <c r="CT80" s="168">
        <f>-'Cash Flow Statement'!CT32</f>
      </c>
      <c r="CU80" s="168">
        <f>-'Cash Flow Statement'!CU32</f>
      </c>
      <c r="CV80" s="168">
        <f>-'Cash Flow Statement'!CV32</f>
      </c>
      <c r="CW80" s="186">
        <f>-'Cash Flow Statement'!CW32</f>
      </c>
      <c r="CX80" s="450">
        <f>-'Cash Flow Statement'!CX32</f>
      </c>
      <c r="CY80" s="168">
        <f>-'Cash Flow Statement'!CY32</f>
      </c>
      <c r="CZ80" s="168">
        <f>-'Cash Flow Statement'!CZ32</f>
      </c>
      <c r="DA80" s="186">
        <f>-'Cash Flow Statement'!DA32</f>
      </c>
      <c r="DB80" s="449">
        <f>-'Cash Flow Statement'!DB32</f>
      </c>
      <c r="DC80" s="169">
        <f>-'Cash Flow Statement'!DC32</f>
      </c>
      <c r="DD80" s="169">
        <f>-'Cash Flow Statement'!DD32</f>
      </c>
      <c r="DE80" s="217">
        <f>-'Cash Flow Statement'!DE32</f>
      </c>
      <c r="DF80" s="449">
        <f>-'Cash Flow Statement'!DF32</f>
      </c>
      <c r="DG80" s="169">
        <f>-'Cash Flow Statement'!DG32</f>
      </c>
      <c r="DH80" s="169">
        <f>-'Cash Flow Statement'!DH32</f>
      </c>
      <c r="DI80" s="217">
        <f>-'Cash Flow Statement'!DI32</f>
      </c>
      <c r="DJ80" s="449">
        <f>-'Cash Flow Statement'!DJ32</f>
      </c>
      <c r="DK80" s="169">
        <f>-'Cash Flow Statement'!DK32</f>
      </c>
      <c r="DL80" s="169">
        <f>-'Cash Flow Statement'!DL32</f>
      </c>
      <c r="DM80" s="217">
        <f>-'Cash Flow Statement'!DM32</f>
      </c>
      <c r="DN80" s="449">
        <f>-'Cash Flow Statement'!DN32</f>
      </c>
      <c r="DO80" s="169">
        <f>-'Cash Flow Statement'!DO32</f>
      </c>
      <c r="DP80" s="169">
        <f>-'Cash Flow Statement'!DP32</f>
      </c>
      <c r="DQ80" s="268">
        <f>'Income Statement'!DQ$17*DQ85</f>
      </c>
      <c r="DR80" s="402">
        <f>'Income Statement'!DR$17*DR85</f>
      </c>
      <c r="DS80" s="402">
        <f>'Income Statement'!DS$17*DS85</f>
      </c>
      <c r="DT80" s="402">
        <f>'Income Statement'!DT$17*DT85</f>
      </c>
      <c r="DU80" s="268">
        <f>'Income Statement'!DU$17*DU85</f>
      </c>
      <c r="DV80" s="402">
        <f>'Income Statement'!DV$17*DV85</f>
      </c>
      <c r="DW80" s="402">
        <f>'Income Statement'!DW$17*DW85</f>
      </c>
      <c r="DX80" s="402">
        <f>'Income Statement'!DX$17*DX85</f>
      </c>
      <c r="DY80" s="268">
        <f>'Income Statement'!DY$17*DY85</f>
      </c>
      <c r="DZ80" s="402">
        <f>'Income Statement'!DZ$17*DZ85</f>
      </c>
      <c r="EA80" s="402">
        <f>'Income Statement'!EA$17*EA85</f>
      </c>
      <c r="EB80" s="402">
        <f>'Income Statement'!EB$17*EB85</f>
      </c>
      <c r="EC80" s="268">
        <f>'Income Statement'!EC$17*EC85</f>
      </c>
      <c r="ED80" s="402">
        <f>'Income Statement'!ED$17*ED85</f>
      </c>
      <c r="EE80" s="402">
        <f>'Income Statement'!EE$17*EE85</f>
      </c>
      <c r="EF80" s="402">
        <f>'Income Statement'!EF$17*EF85</f>
      </c>
      <c r="EG80" s="268">
        <f>'Income Statement'!EG$17*EG85</f>
      </c>
      <c r="EH80" s="402">
        <f>'Income Statement'!EH$17*EH85</f>
      </c>
      <c r="EI80" s="402">
        <f>'Income Statement'!EI$17*EI85</f>
      </c>
      <c r="EJ80" s="402">
        <f>'Income Statement'!EJ$17*EJ85</f>
      </c>
      <c r="EK80" s="268">
        <f>'Income Statement'!EK$17*EK85</f>
      </c>
      <c r="EL80" s="211"/>
    </row>
    <row r="81" spans="1:178" s="168" customFormat="1" ht="10.199999999999999">
      <c r="A81" s="168" t="s">
        <v>140</v>
      </c>
      <c r="C81" s="168">
        <f>C82-SUM(C78:C80)</f>
      </c>
      <c r="D81" s="168">
        <f t="shared" ref="D81:BO81" si="428">D82-SUM(D78:D80)</f>
      </c>
      <c r="E81" s="186">
        <f t="shared" si="428"/>
      </c>
      <c r="F81" s="168">
        <f t="shared" si="428"/>
      </c>
      <c r="G81" s="168">
        <f t="shared" si="428"/>
      </c>
      <c r="H81" s="168">
        <f t="shared" si="428"/>
      </c>
      <c r="I81" s="186">
        <f t="shared" si="428"/>
      </c>
      <c r="J81" s="168">
        <f t="shared" si="428"/>
      </c>
      <c r="K81" s="168">
        <f t="shared" si="428"/>
      </c>
      <c r="L81" s="168">
        <f t="shared" si="428"/>
      </c>
      <c r="M81" s="186">
        <f t="shared" si="428"/>
      </c>
      <c r="N81" s="168">
        <f t="shared" si="428"/>
      </c>
      <c r="O81" s="168">
        <f t="shared" si="428"/>
      </c>
      <c r="P81" s="168">
        <f t="shared" si="428"/>
      </c>
      <c r="Q81" s="186">
        <f t="shared" si="428"/>
      </c>
      <c r="R81" s="168">
        <f t="shared" si="428"/>
      </c>
      <c r="S81" s="168">
        <f t="shared" si="428"/>
      </c>
      <c r="T81" s="168">
        <f t="shared" si="428"/>
      </c>
      <c r="U81" s="186">
        <f t="shared" si="428"/>
      </c>
      <c r="V81" s="168">
        <f t="shared" si="428"/>
      </c>
      <c r="W81" s="168">
        <f t="shared" si="428"/>
      </c>
      <c r="X81" s="168">
        <f t="shared" si="428"/>
      </c>
      <c r="Y81" s="186">
        <f t="shared" si="428"/>
      </c>
      <c r="Z81" s="168">
        <f t="shared" si="428"/>
      </c>
      <c r="AA81" s="168">
        <f t="shared" si="428"/>
      </c>
      <c r="AB81" s="168">
        <f t="shared" si="428"/>
      </c>
      <c r="AC81" s="186">
        <f t="shared" si="428"/>
      </c>
      <c r="AD81" s="168">
        <f t="shared" si="428"/>
      </c>
      <c r="AE81" s="168">
        <f t="shared" si="428"/>
      </c>
      <c r="AF81" s="168">
        <f t="shared" si="428"/>
      </c>
      <c r="AG81" s="186">
        <f t="shared" si="428"/>
      </c>
      <c r="AH81" s="168">
        <f t="shared" si="428"/>
      </c>
      <c r="AI81" s="168">
        <f t="shared" si="428"/>
      </c>
      <c r="AJ81" s="168">
        <f t="shared" si="428"/>
      </c>
      <c r="AK81" s="186">
        <f t="shared" si="428"/>
      </c>
      <c r="AL81" s="168">
        <f t="shared" si="428"/>
      </c>
      <c r="AM81" s="168">
        <f t="shared" si="428"/>
      </c>
      <c r="AN81" s="168">
        <f t="shared" si="428"/>
      </c>
      <c r="AO81" s="186">
        <f t="shared" si="428"/>
      </c>
      <c r="AP81" s="168">
        <f t="shared" si="428"/>
      </c>
      <c r="AQ81" s="168">
        <f t="shared" si="428"/>
      </c>
      <c r="AR81" s="168">
        <f t="shared" si="428"/>
      </c>
      <c r="AS81" s="186">
        <f t="shared" si="428"/>
      </c>
      <c r="AT81" s="168">
        <f t="shared" si="428"/>
      </c>
      <c r="AU81" s="168">
        <f t="shared" si="428"/>
      </c>
      <c r="AV81" s="168">
        <f t="shared" si="428"/>
      </c>
      <c r="AW81" s="186">
        <f t="shared" si="428"/>
      </c>
      <c r="AX81" s="168">
        <f t="shared" si="428"/>
      </c>
      <c r="AY81" s="168">
        <f t="shared" si="428"/>
      </c>
      <c r="AZ81" s="168">
        <f t="shared" si="428"/>
      </c>
      <c r="BA81" s="186">
        <f t="shared" si="428"/>
      </c>
      <c r="BB81" s="168">
        <f t="shared" si="428"/>
      </c>
      <c r="BC81" s="168">
        <f t="shared" si="428"/>
      </c>
      <c r="BD81" s="168">
        <f t="shared" si="428"/>
      </c>
      <c r="BE81" s="186">
        <f t="shared" si="428"/>
      </c>
      <c r="BF81" s="168">
        <f t="shared" si="428"/>
      </c>
      <c r="BG81" s="168">
        <f t="shared" si="428"/>
      </c>
      <c r="BH81" s="168">
        <f t="shared" si="428"/>
      </c>
      <c r="BI81" s="186">
        <f t="shared" si="428"/>
      </c>
      <c r="BJ81" s="168">
        <f t="shared" si="428"/>
      </c>
      <c r="BK81" s="168">
        <f t="shared" si="428"/>
      </c>
      <c r="BL81" s="168">
        <f t="shared" si="428"/>
      </c>
      <c r="BM81" s="186">
        <f t="shared" si="428"/>
      </c>
      <c r="BN81" s="168">
        <f t="shared" si="428"/>
      </c>
      <c r="BO81" s="168">
        <f t="shared" si="428"/>
      </c>
      <c r="BP81" s="168">
        <f t="shared" ref="BP81:CK81" si="429">BP82-SUM(BP78:BP80)</f>
      </c>
      <c r="BQ81" s="186">
        <f t="shared" si="429"/>
      </c>
      <c r="BR81" s="168">
        <f t="shared" si="429"/>
      </c>
      <c r="BS81" s="168">
        <f t="shared" si="429"/>
      </c>
      <c r="BT81" s="168">
        <f t="shared" si="429"/>
      </c>
      <c r="BU81" s="186">
        <f t="shared" si="429"/>
      </c>
      <c r="BV81" s="168">
        <f t="shared" si="429"/>
      </c>
      <c r="BW81" s="168">
        <f t="shared" si="429"/>
      </c>
      <c r="BX81" s="168">
        <f t="shared" si="429"/>
      </c>
      <c r="BY81" s="186">
        <f t="shared" si="429"/>
      </c>
      <c r="BZ81" s="168">
        <f t="shared" si="429"/>
      </c>
      <c r="CA81" s="168">
        <f t="shared" si="429"/>
      </c>
      <c r="CB81" s="168">
        <f t="shared" si="429"/>
      </c>
      <c r="CC81" s="186">
        <f t="shared" si="429"/>
      </c>
      <c r="CD81" s="168">
        <f t="shared" si="429"/>
      </c>
      <c r="CE81" s="168">
        <f t="shared" si="429"/>
      </c>
      <c r="CF81" s="168">
        <f t="shared" si="429"/>
      </c>
      <c r="CG81" s="186">
        <f t="shared" si="429"/>
      </c>
      <c r="CH81" s="168">
        <f t="shared" si="429"/>
      </c>
      <c r="CI81" s="168">
        <f t="shared" si="429"/>
      </c>
      <c r="CJ81" s="168">
        <f t="shared" si="429"/>
      </c>
      <c r="CK81" s="186">
        <f t="shared" si="429"/>
      </c>
      <c r="CL81" s="168">
        <f t="shared" ref="CL81:CT81" si="430">CL82-SUM(CL78:CL80)</f>
      </c>
      <c r="CM81" s="168">
        <f t="shared" si="430"/>
      </c>
      <c r="CN81" s="168">
        <f t="shared" si="430"/>
      </c>
      <c r="CO81" s="186">
        <f t="shared" si="430"/>
      </c>
      <c r="CP81" s="168">
        <f t="shared" si="430"/>
      </c>
      <c r="CQ81" s="168">
        <f t="shared" si="430"/>
      </c>
      <c r="CR81" s="168">
        <f t="shared" si="430"/>
      </c>
      <c r="CS81" s="362">
        <f t="shared" si="430"/>
      </c>
      <c r="CT81" s="168">
        <f t="shared" si="430"/>
      </c>
      <c r="CU81" s="168">
        <f t="shared" ref="CU81:CZ81" si="431">CU82-SUM(CU78:CU80)</f>
      </c>
      <c r="CV81" s="168">
        <f t="shared" si="431"/>
      </c>
      <c r="CW81" s="186">
        <f t="shared" si="431"/>
      </c>
      <c r="CX81" s="450">
        <f t="shared" si="431"/>
      </c>
      <c r="CY81" s="168">
        <f t="shared" si="431"/>
      </c>
      <c r="CZ81" s="168">
        <f t="shared" si="431"/>
      </c>
      <c r="DA81" s="186">
        <f t="shared" ref="DA81:DC81" si="432">DA82-SUM(DA78:DA80)</f>
      </c>
      <c r="DB81" s="449">
        <f t="shared" si="432"/>
      </c>
      <c r="DC81" s="169">
        <f t="shared" si="432"/>
      </c>
      <c r="DD81" s="169">
        <f t="shared" ref="DD81:DI81" si="433">DD82-SUM(DD78:DD80)</f>
      </c>
      <c r="DE81" s="217">
        <f t="shared" si="433"/>
      </c>
      <c r="DF81" s="449">
        <f t="shared" si="433"/>
      </c>
      <c r="DG81" s="169">
        <f t="shared" si="433"/>
      </c>
      <c r="DH81" s="169">
        <f t="shared" ref="DH81" si="434">DH82-SUM(DH78:DH80)</f>
      </c>
      <c r="DI81" s="217">
        <f t="shared" si="433"/>
      </c>
      <c r="DJ81" s="449">
        <f t="shared" ref="DJ81:DM81" si="435">DJ82-SUM(DJ78:DJ80)</f>
      </c>
      <c r="DK81" s="169">
        <f t="shared" si="435"/>
      </c>
      <c r="DL81" s="169">
        <f t="shared" si="435"/>
      </c>
      <c r="DM81" s="217">
        <f t="shared" si="435"/>
      </c>
      <c r="DN81" s="449">
        <f t="shared" ref="DN81:DP81" si="436">DN82-SUM(DN78:DN80)</f>
      </c>
      <c r="DO81" s="169">
        <f t="shared" si="436"/>
      </c>
      <c r="DP81" s="169">
        <f t="shared" si="436"/>
      </c>
      <c r="DQ81" s="1233">
        <v>700</v>
      </c>
      <c r="DR81" s="1234">
        <v>700</v>
      </c>
      <c r="DS81" s="1234">
        <v>700</v>
      </c>
      <c r="DT81" s="1234">
        <v>700</v>
      </c>
      <c r="DU81" s="1233">
        <v>700</v>
      </c>
      <c r="DV81" s="1234">
        <v>700</v>
      </c>
      <c r="DW81" s="1234">
        <v>700</v>
      </c>
      <c r="DX81" s="1234">
        <v>700</v>
      </c>
      <c r="DY81" s="1233">
        <v>700</v>
      </c>
      <c r="DZ81" s="1234">
        <v>700</v>
      </c>
      <c r="EA81" s="1234">
        <v>700</v>
      </c>
      <c r="EB81" s="1234">
        <v>700</v>
      </c>
      <c r="EC81" s="1233">
        <v>700</v>
      </c>
      <c r="ED81" s="1234">
        <v>700</v>
      </c>
      <c r="EE81" s="1234">
        <v>700</v>
      </c>
      <c r="EF81" s="1234">
        <v>700</v>
      </c>
      <c r="EG81" s="1233">
        <v>700</v>
      </c>
      <c r="EH81" s="1234">
        <v>700</v>
      </c>
      <c r="EI81" s="1234">
        <v>700</v>
      </c>
      <c r="EJ81" s="1234">
        <v>700</v>
      </c>
      <c r="EK81" s="1233">
        <v>700</v>
      </c>
      <c r="EL81" s="211"/>
    </row>
    <row r="82" spans="1:178" s="168" customFormat="1" ht="10.199999999999999">
      <c r="A82" s="212" t="s">
        <v>923</v>
      </c>
      <c r="B82" s="212">
        <f t="shared" ref="B82:AG82" si="437">B21</f>
      </c>
      <c r="C82" s="212">
        <f t="shared" si="437"/>
      </c>
      <c r="D82" s="212">
        <f t="shared" si="437"/>
      </c>
      <c r="E82" s="242">
        <f t="shared" si="437"/>
      </c>
      <c r="F82" s="212">
        <f t="shared" si="437"/>
      </c>
      <c r="G82" s="212">
        <f t="shared" si="437"/>
      </c>
      <c r="H82" s="212">
        <f t="shared" si="437"/>
      </c>
      <c r="I82" s="242">
        <f t="shared" si="437"/>
      </c>
      <c r="J82" s="212">
        <f t="shared" si="437"/>
      </c>
      <c r="K82" s="212">
        <f t="shared" si="437"/>
      </c>
      <c r="L82" s="212">
        <f t="shared" si="437"/>
      </c>
      <c r="M82" s="242">
        <f t="shared" si="437"/>
      </c>
      <c r="N82" s="212">
        <f t="shared" si="437"/>
      </c>
      <c r="O82" s="212">
        <f t="shared" si="437"/>
      </c>
      <c r="P82" s="212">
        <f t="shared" si="437"/>
      </c>
      <c r="Q82" s="242">
        <f t="shared" si="437"/>
      </c>
      <c r="R82" s="212">
        <f t="shared" si="437"/>
      </c>
      <c r="S82" s="212">
        <f t="shared" si="437"/>
      </c>
      <c r="T82" s="212">
        <f t="shared" si="437"/>
      </c>
      <c r="U82" s="242">
        <f t="shared" si="437"/>
      </c>
      <c r="V82" s="212">
        <f t="shared" si="437"/>
      </c>
      <c r="W82" s="212">
        <f t="shared" si="437"/>
      </c>
      <c r="X82" s="212">
        <f t="shared" si="437"/>
      </c>
      <c r="Y82" s="242">
        <f t="shared" si="437"/>
      </c>
      <c r="Z82" s="212">
        <f t="shared" si="437"/>
      </c>
      <c r="AA82" s="212">
        <f t="shared" si="437"/>
      </c>
      <c r="AB82" s="212">
        <f t="shared" si="437"/>
      </c>
      <c r="AC82" s="242">
        <f t="shared" si="437"/>
      </c>
      <c r="AD82" s="212">
        <f t="shared" si="437"/>
      </c>
      <c r="AE82" s="212">
        <f t="shared" si="437"/>
      </c>
      <c r="AF82" s="212">
        <f t="shared" si="437"/>
      </c>
      <c r="AG82" s="242">
        <f t="shared" si="437"/>
      </c>
      <c r="AH82" s="212">
        <f t="shared" ref="AH82:BM82" si="438">AH21</f>
      </c>
      <c r="AI82" s="212">
        <f t="shared" si="438"/>
      </c>
      <c r="AJ82" s="212">
        <f t="shared" si="438"/>
      </c>
      <c r="AK82" s="242">
        <f t="shared" si="438"/>
      </c>
      <c r="AL82" s="212">
        <f t="shared" si="438"/>
      </c>
      <c r="AM82" s="212">
        <f t="shared" si="438"/>
      </c>
      <c r="AN82" s="212">
        <f t="shared" si="438"/>
      </c>
      <c r="AO82" s="242">
        <f t="shared" si="438"/>
      </c>
      <c r="AP82" s="212">
        <f t="shared" si="438"/>
      </c>
      <c r="AQ82" s="212">
        <f t="shared" si="438"/>
      </c>
      <c r="AR82" s="212">
        <f t="shared" si="438"/>
      </c>
      <c r="AS82" s="242">
        <f t="shared" si="438"/>
      </c>
      <c r="AT82" s="212">
        <f t="shared" si="438"/>
      </c>
      <c r="AU82" s="212">
        <f t="shared" si="438"/>
      </c>
      <c r="AV82" s="212">
        <f t="shared" si="438"/>
      </c>
      <c r="AW82" s="242">
        <f t="shared" si="438"/>
      </c>
      <c r="AX82" s="212">
        <f t="shared" si="438"/>
      </c>
      <c r="AY82" s="212">
        <f t="shared" si="438"/>
      </c>
      <c r="AZ82" s="212">
        <f t="shared" si="438"/>
      </c>
      <c r="BA82" s="242">
        <f t="shared" si="438"/>
      </c>
      <c r="BB82" s="212">
        <f t="shared" si="438"/>
      </c>
      <c r="BC82" s="212">
        <f t="shared" si="438"/>
      </c>
      <c r="BD82" s="212">
        <f t="shared" si="438"/>
      </c>
      <c r="BE82" s="242">
        <f t="shared" si="438"/>
      </c>
      <c r="BF82" s="212">
        <f t="shared" si="438"/>
      </c>
      <c r="BG82" s="212">
        <f t="shared" si="438"/>
      </c>
      <c r="BH82" s="212">
        <f t="shared" si="438"/>
      </c>
      <c r="BI82" s="242">
        <f t="shared" si="438"/>
      </c>
      <c r="BJ82" s="212">
        <f t="shared" si="438"/>
      </c>
      <c r="BK82" s="212">
        <f t="shared" si="438"/>
      </c>
      <c r="BL82" s="212">
        <f t="shared" si="438"/>
      </c>
      <c r="BM82" s="242">
        <f t="shared" si="438"/>
      </c>
      <c r="BN82" s="212">
        <f t="shared" ref="BN82:CS82" si="439">BN21</f>
      </c>
      <c r="BO82" s="212">
        <f t="shared" si="439"/>
      </c>
      <c r="BP82" s="212">
        <f t="shared" si="439"/>
      </c>
      <c r="BQ82" s="242">
        <f t="shared" si="439"/>
      </c>
      <c r="BR82" s="212">
        <f t="shared" si="439"/>
      </c>
      <c r="BS82" s="212">
        <f t="shared" si="439"/>
      </c>
      <c r="BT82" s="212">
        <f t="shared" si="439"/>
      </c>
      <c r="BU82" s="242">
        <f t="shared" si="439"/>
      </c>
      <c r="BV82" s="212">
        <f t="shared" si="439"/>
      </c>
      <c r="BW82" s="212">
        <f t="shared" si="439"/>
      </c>
      <c r="BX82" s="212">
        <f t="shared" si="439"/>
      </c>
      <c r="BY82" s="242">
        <f t="shared" si="439"/>
      </c>
      <c r="BZ82" s="212">
        <f t="shared" si="439"/>
      </c>
      <c r="CA82" s="212">
        <f t="shared" si="439"/>
      </c>
      <c r="CB82" s="212">
        <f t="shared" si="439"/>
      </c>
      <c r="CC82" s="242">
        <f t="shared" si="439"/>
      </c>
      <c r="CD82" s="212">
        <f t="shared" si="439"/>
      </c>
      <c r="CE82" s="212">
        <f t="shared" si="439"/>
      </c>
      <c r="CF82" s="212">
        <f t="shared" si="439"/>
      </c>
      <c r="CG82" s="242">
        <f t="shared" si="439"/>
      </c>
      <c r="CH82" s="212">
        <f t="shared" si="439"/>
      </c>
      <c r="CI82" s="212">
        <f t="shared" si="439"/>
      </c>
      <c r="CJ82" s="212">
        <f t="shared" si="439"/>
      </c>
      <c r="CK82" s="242">
        <f t="shared" si="439"/>
      </c>
      <c r="CL82" s="212">
        <f t="shared" si="439"/>
      </c>
      <c r="CM82" s="301">
        <f t="shared" si="439"/>
      </c>
      <c r="CN82" s="301">
        <f t="shared" si="439"/>
      </c>
      <c r="CO82" s="242">
        <f t="shared" si="439"/>
      </c>
      <c r="CP82" s="376">
        <f t="shared" si="439"/>
      </c>
      <c r="CQ82" s="301">
        <f t="shared" si="439"/>
      </c>
      <c r="CR82" s="301">
        <f t="shared" si="439"/>
      </c>
      <c r="CS82" s="406">
        <f t="shared" si="439"/>
      </c>
      <c r="CT82" s="376">
        <f t="shared" ref="CT82:DE82" si="440">CT21</f>
      </c>
      <c r="CU82" s="301">
        <f t="shared" si="440"/>
      </c>
      <c r="CV82" s="301">
        <f t="shared" si="440"/>
      </c>
      <c r="CW82" s="465">
        <f t="shared" si="440"/>
      </c>
      <c r="CX82" s="489">
        <f t="shared" si="440"/>
      </c>
      <c r="CY82" s="497">
        <f t="shared" si="440"/>
      </c>
      <c r="CZ82" s="497">
        <f t="shared" si="440"/>
      </c>
      <c r="DA82" s="465">
        <f t="shared" si="440"/>
      </c>
      <c r="DB82" s="489">
        <f t="shared" si="440"/>
      </c>
      <c r="DC82" s="497">
        <f t="shared" si="440"/>
      </c>
      <c r="DD82" s="497">
        <f t="shared" si="440"/>
      </c>
      <c r="DE82" s="1672">
        <f t="shared" si="440"/>
      </c>
      <c r="DF82" s="2685">
        <f t="shared" ref="DF82:DG82" si="441">DF21</f>
      </c>
      <c r="DG82" s="2913">
        <f t="shared" si="441"/>
      </c>
      <c r="DH82" s="2913">
        <f t="shared" ref="DH82:DK82" si="442">DH21</f>
      </c>
      <c r="DI82" s="1672">
        <f t="shared" si="442"/>
      </c>
      <c r="DJ82" s="2685">
        <f t="shared" si="442"/>
      </c>
      <c r="DK82" s="2913">
        <f t="shared" si="442"/>
      </c>
      <c r="DL82" s="2913">
        <f t="shared" ref="DL82:DO82" si="443">DL21</f>
      </c>
      <c r="DM82" s="1672">
        <f t="shared" si="443"/>
      </c>
      <c r="DN82" s="2685">
        <f t="shared" si="443"/>
      </c>
      <c r="DO82" s="2913">
        <f t="shared" si="443"/>
      </c>
      <c r="DP82" s="2913">
        <f t="shared" ref="DP82" si="444">DP21</f>
      </c>
      <c r="DQ82" s="438">
        <f t="shared" ref="DQ82" si="445">SUM(DQ78:DQ81)</f>
      </c>
      <c r="DR82" s="437">
        <f t="shared" ref="DR82:DU82" si="446">SUM(DR78:DR81)</f>
      </c>
      <c r="DS82" s="437">
        <f t="shared" si="446"/>
      </c>
      <c r="DT82" s="437">
        <f t="shared" si="446"/>
      </c>
      <c r="DU82" s="438">
        <f t="shared" si="446"/>
      </c>
      <c r="DV82" s="437">
        <f t="shared" ref="DV82:EK82" si="447">SUM(DV78:DV81)</f>
      </c>
      <c r="DW82" s="437">
        <f t="shared" si="447"/>
      </c>
      <c r="DX82" s="437">
        <f t="shared" si="447"/>
      </c>
      <c r="DY82" s="438">
        <f t="shared" si="447"/>
      </c>
      <c r="DZ82" s="437">
        <f t="shared" si="447"/>
      </c>
      <c r="EA82" s="437">
        <f t="shared" si="447"/>
      </c>
      <c r="EB82" s="437">
        <f t="shared" si="447"/>
      </c>
      <c r="EC82" s="438">
        <f t="shared" si="447"/>
      </c>
      <c r="ED82" s="437">
        <f t="shared" si="447"/>
      </c>
      <c r="EE82" s="437">
        <f t="shared" si="447"/>
      </c>
      <c r="EF82" s="437">
        <f t="shared" si="447"/>
      </c>
      <c r="EG82" s="438">
        <f t="shared" si="447"/>
      </c>
      <c r="EH82" s="437">
        <f t="shared" si="447"/>
      </c>
      <c r="EI82" s="437">
        <f t="shared" si="447"/>
      </c>
      <c r="EJ82" s="437">
        <f t="shared" si="447"/>
      </c>
      <c r="EK82" s="438">
        <f t="shared" si="447"/>
      </c>
      <c r="EL82" s="211"/>
      <c r="EN82" s="92"/>
      <c r="EO82" s="92"/>
      <c r="EP82" s="92"/>
      <c r="EQ82" s="92"/>
      <c r="ER82" s="92"/>
      <c r="ES82" s="92"/>
      <c r="ET82" s="92"/>
      <c r="EU82" s="92"/>
      <c r="EV82" s="92"/>
      <c r="EW82" s="92"/>
      <c r="EX82" s="92"/>
      <c r="EY82" s="92"/>
      <c r="EZ82" s="92"/>
      <c r="FA82" s="92"/>
      <c r="FB82" s="92"/>
      <c r="FC82" s="92"/>
      <c r="FD82" s="92"/>
      <c r="FE82" s="92"/>
      <c r="FF82" s="92"/>
      <c r="FG82" s="92"/>
      <c r="FH82" s="92"/>
      <c r="FI82" s="92"/>
      <c r="FJ82" s="92"/>
      <c r="FK82" s="92"/>
      <c r="FL82" s="92"/>
      <c r="FM82" s="92"/>
      <c r="FN82" s="92"/>
      <c r="FO82" s="92"/>
      <c r="FP82" s="92"/>
      <c r="FQ82" s="92"/>
      <c r="FR82" s="92"/>
      <c r="FS82" s="92"/>
      <c r="FT82" s="92"/>
      <c r="FU82" s="92"/>
      <c r="FV82" s="92"/>
    </row>
    <row r="83" spans="1:178" s="11" customFormat="1" ht="10.199999999999999">
      <c r="B83" s="44"/>
      <c r="C83" s="44"/>
      <c r="D83" s="44"/>
      <c r="E83" s="178"/>
      <c r="F83" s="44"/>
      <c r="G83" s="44"/>
      <c r="H83" s="44"/>
      <c r="I83" s="178"/>
      <c r="J83" s="44"/>
      <c r="K83" s="44"/>
      <c r="L83" s="44"/>
      <c r="M83" s="178"/>
      <c r="N83" s="44"/>
      <c r="O83" s="44"/>
      <c r="P83" s="44"/>
      <c r="Q83" s="178"/>
      <c r="R83" s="44"/>
      <c r="S83" s="44"/>
      <c r="T83" s="44"/>
      <c r="U83" s="178"/>
      <c r="V83" s="44"/>
      <c r="W83" s="44"/>
      <c r="X83" s="44"/>
      <c r="Y83" s="178"/>
      <c r="Z83" s="44"/>
      <c r="AA83" s="44"/>
      <c r="AB83" s="44"/>
      <c r="AC83" s="178"/>
      <c r="AD83" s="44"/>
      <c r="AE83" s="44"/>
      <c r="AF83" s="44"/>
      <c r="AG83" s="178"/>
      <c r="AH83" s="44"/>
      <c r="AI83" s="44"/>
      <c r="AJ83" s="44"/>
      <c r="AK83" s="178"/>
      <c r="AL83" s="44"/>
      <c r="AM83" s="44"/>
      <c r="AN83" s="44"/>
      <c r="AO83" s="178"/>
      <c r="AP83" s="44"/>
      <c r="AQ83" s="44"/>
      <c r="AR83" s="44"/>
      <c r="AS83" s="178"/>
      <c r="AT83" s="44"/>
      <c r="AU83" s="44"/>
      <c r="AV83" s="44"/>
      <c r="AW83" s="178"/>
      <c r="AX83" s="44"/>
      <c r="AY83" s="44"/>
      <c r="AZ83" s="44"/>
      <c r="BA83" s="178"/>
      <c r="BB83" s="44"/>
      <c r="BC83" s="44"/>
      <c r="BD83" s="44"/>
      <c r="BE83" s="178"/>
      <c r="BF83" s="44"/>
      <c r="BG83" s="44"/>
      <c r="BH83" s="44"/>
      <c r="BI83" s="178"/>
      <c r="BJ83" s="44"/>
      <c r="BK83" s="44"/>
      <c r="BL83" s="44"/>
      <c r="BM83" s="178"/>
      <c r="BN83" s="44"/>
      <c r="BO83" s="44"/>
      <c r="BP83" s="44"/>
      <c r="BQ83" s="178"/>
      <c r="BR83" s="44"/>
      <c r="BS83" s="44"/>
      <c r="BT83" s="44"/>
      <c r="BU83" s="178"/>
      <c r="BV83" s="44"/>
      <c r="BW83" s="44"/>
      <c r="BX83" s="44"/>
      <c r="BY83" s="178"/>
      <c r="BZ83" s="44"/>
      <c r="CA83" s="44"/>
      <c r="CB83" s="44"/>
      <c r="CC83" s="249"/>
      <c r="CD83" s="44"/>
      <c r="CE83" s="44"/>
      <c r="CF83" s="44"/>
      <c r="CG83" s="178"/>
      <c r="CH83" s="44"/>
      <c r="CI83" s="44"/>
      <c r="CJ83" s="44"/>
      <c r="CK83" s="178"/>
      <c r="CL83" s="44"/>
      <c r="CM83" s="44"/>
      <c r="CN83" s="44"/>
      <c r="CO83" s="178"/>
      <c r="CP83" s="44"/>
      <c r="CQ83" s="44"/>
      <c r="CR83" s="44"/>
      <c r="CS83" s="285"/>
      <c r="CT83" s="44"/>
      <c r="CU83" s="44"/>
      <c r="CV83" s="44"/>
      <c r="CW83" s="178"/>
      <c r="CX83" s="469"/>
      <c r="CY83" s="44"/>
      <c r="CZ83" s="44"/>
      <c r="DA83" s="178"/>
      <c r="DB83" s="469"/>
      <c r="DC83" s="44"/>
      <c r="DD83" s="44"/>
      <c r="DE83" s="417"/>
      <c r="DF83" s="360"/>
      <c r="DG83" s="360"/>
      <c r="DH83" s="360"/>
      <c r="DI83" s="2648"/>
      <c r="DJ83" s="360"/>
      <c r="DK83" s="360"/>
      <c r="DL83" s="360"/>
      <c r="DM83" s="417"/>
      <c r="DN83" s="360"/>
      <c r="DO83" s="360"/>
      <c r="DP83" s="360"/>
      <c r="DQ83" s="417"/>
      <c r="DR83" s="360"/>
      <c r="DS83" s="360"/>
      <c r="DT83" s="360"/>
      <c r="DU83" s="417"/>
      <c r="DV83" s="360"/>
      <c r="DW83" s="360"/>
      <c r="DX83" s="360"/>
      <c r="DY83" s="417"/>
      <c r="DZ83" s="360"/>
      <c r="EA83" s="360"/>
      <c r="EB83" s="360"/>
      <c r="EC83" s="417"/>
      <c r="ED83" s="360"/>
      <c r="EE83" s="360"/>
      <c r="EF83" s="360"/>
      <c r="EG83" s="417"/>
      <c r="EH83" s="360"/>
      <c r="EI83" s="360"/>
      <c r="EJ83" s="360"/>
      <c r="EK83" s="417"/>
      <c r="EL83" s="211"/>
      <c r="EN83" s="44"/>
      <c r="EO83" s="44"/>
      <c r="EP83" s="44"/>
      <c r="EQ83" s="44"/>
      <c r="ER83" s="44"/>
      <c r="ES83" s="44"/>
      <c r="ET83" s="44"/>
      <c r="EU83" s="44"/>
      <c r="EV83" s="44"/>
      <c r="EW83" s="44"/>
      <c r="EX83" s="44"/>
      <c r="EY83" s="44"/>
      <c r="EZ83" s="44"/>
      <c r="FA83" s="44"/>
      <c r="FB83" s="44"/>
      <c r="FC83" s="44"/>
      <c r="FD83" s="44"/>
      <c r="FE83" s="44"/>
      <c r="FF83" s="44"/>
      <c r="FG83" s="44"/>
      <c r="FH83" s="44"/>
      <c r="FI83" s="44"/>
      <c r="FJ83" s="44"/>
      <c r="FK83" s="15"/>
      <c r="FL83" s="15"/>
      <c r="FM83" s="15"/>
      <c r="FN83" s="15"/>
      <c r="FO83" s="15"/>
      <c r="FP83" s="15"/>
      <c r="FQ83" s="15"/>
      <c r="FR83" s="15"/>
      <c r="FS83" s="15"/>
      <c r="FT83" s="15"/>
      <c r="FU83" s="15"/>
      <c r="FV83" s="15"/>
    </row>
    <row r="84" spans="1:178" s="213" customFormat="1" ht="10.199999999999999">
      <c r="A84" s="208" t="s">
        <v>924</v>
      </c>
      <c r="B84" s="91"/>
      <c r="C84" s="91">
        <f>-C79/C78</f>
      </c>
      <c r="D84" s="91">
        <f t="shared" ref="D84:BO84" si="448">-D79/D78</f>
      </c>
      <c r="E84" s="246">
        <f t="shared" si="448"/>
      </c>
      <c r="F84" s="91">
        <f t="shared" si="448"/>
      </c>
      <c r="G84" s="91">
        <f t="shared" si="448"/>
      </c>
      <c r="H84" s="91">
        <f t="shared" si="448"/>
      </c>
      <c r="I84" s="246">
        <f t="shared" si="448"/>
      </c>
      <c r="J84" s="91">
        <f t="shared" si="448"/>
      </c>
      <c r="K84" s="91">
        <f t="shared" si="448"/>
      </c>
      <c r="L84" s="91">
        <f t="shared" si="448"/>
      </c>
      <c r="M84" s="246">
        <f t="shared" si="448"/>
      </c>
      <c r="N84" s="91">
        <f t="shared" si="448"/>
      </c>
      <c r="O84" s="91">
        <f t="shared" si="448"/>
      </c>
      <c r="P84" s="91">
        <f t="shared" si="448"/>
      </c>
      <c r="Q84" s="246">
        <f t="shared" si="448"/>
      </c>
      <c r="R84" s="91">
        <f t="shared" si="448"/>
      </c>
      <c r="S84" s="91">
        <f t="shared" si="448"/>
      </c>
      <c r="T84" s="91">
        <f t="shared" si="448"/>
      </c>
      <c r="U84" s="246">
        <f t="shared" si="448"/>
      </c>
      <c r="V84" s="91">
        <f t="shared" si="448"/>
      </c>
      <c r="W84" s="91">
        <f t="shared" si="448"/>
      </c>
      <c r="X84" s="91">
        <f t="shared" si="448"/>
      </c>
      <c r="Y84" s="246">
        <f t="shared" si="448"/>
      </c>
      <c r="Z84" s="91">
        <f t="shared" si="448"/>
      </c>
      <c r="AA84" s="91">
        <f t="shared" si="448"/>
      </c>
      <c r="AB84" s="91">
        <f t="shared" si="448"/>
      </c>
      <c r="AC84" s="246">
        <f t="shared" si="448"/>
      </c>
      <c r="AD84" s="91">
        <f t="shared" si="448"/>
      </c>
      <c r="AE84" s="91">
        <f t="shared" si="448"/>
      </c>
      <c r="AF84" s="91">
        <f t="shared" si="448"/>
      </c>
      <c r="AG84" s="246">
        <f t="shared" si="448"/>
      </c>
      <c r="AH84" s="91">
        <f t="shared" si="448"/>
      </c>
      <c r="AI84" s="91">
        <f t="shared" si="448"/>
      </c>
      <c r="AJ84" s="91">
        <f t="shared" si="448"/>
      </c>
      <c r="AK84" s="246">
        <f t="shared" si="448"/>
      </c>
      <c r="AL84" s="91">
        <f t="shared" si="448"/>
      </c>
      <c r="AM84" s="91">
        <f t="shared" si="448"/>
      </c>
      <c r="AN84" s="91">
        <f t="shared" si="448"/>
      </c>
      <c r="AO84" s="246">
        <f t="shared" si="448"/>
      </c>
      <c r="AP84" s="91">
        <f t="shared" si="448"/>
      </c>
      <c r="AQ84" s="91">
        <f t="shared" si="448"/>
      </c>
      <c r="AR84" s="91">
        <f t="shared" si="448"/>
      </c>
      <c r="AS84" s="246">
        <f t="shared" si="448"/>
      </c>
      <c r="AT84" s="91">
        <f t="shared" si="448"/>
      </c>
      <c r="AU84" s="91">
        <f t="shared" si="448"/>
      </c>
      <c r="AV84" s="91">
        <f t="shared" si="448"/>
      </c>
      <c r="AW84" s="246">
        <f t="shared" si="448"/>
      </c>
      <c r="AX84" s="91">
        <f t="shared" si="448"/>
      </c>
      <c r="AY84" s="91">
        <f t="shared" si="448"/>
      </c>
      <c r="AZ84" s="91">
        <f t="shared" si="448"/>
      </c>
      <c r="BA84" s="246">
        <f t="shared" si="448"/>
      </c>
      <c r="BB84" s="91">
        <f t="shared" si="448"/>
      </c>
      <c r="BC84" s="91">
        <f t="shared" si="448"/>
      </c>
      <c r="BD84" s="91">
        <f t="shared" si="448"/>
      </c>
      <c r="BE84" s="246">
        <f t="shared" si="448"/>
      </c>
      <c r="BF84" s="91">
        <f t="shared" si="448"/>
      </c>
      <c r="BG84" s="91">
        <f t="shared" si="448"/>
      </c>
      <c r="BH84" s="91">
        <f t="shared" si="448"/>
      </c>
      <c r="BI84" s="246">
        <f t="shared" si="448"/>
      </c>
      <c r="BJ84" s="91">
        <f t="shared" si="448"/>
      </c>
      <c r="BK84" s="91">
        <f t="shared" si="448"/>
      </c>
      <c r="BL84" s="91">
        <f t="shared" si="448"/>
      </c>
      <c r="BM84" s="246">
        <f t="shared" si="448"/>
      </c>
      <c r="BN84" s="91">
        <f t="shared" si="448"/>
      </c>
      <c r="BO84" s="91">
        <f t="shared" si="448"/>
      </c>
      <c r="BP84" s="91">
        <f t="shared" ref="BP84:CK84" si="449">-BP79/BP78</f>
      </c>
      <c r="BQ84" s="246">
        <f t="shared" si="449"/>
      </c>
      <c r="BR84" s="91">
        <f t="shared" si="449"/>
      </c>
      <c r="BS84" s="91">
        <f t="shared" si="449"/>
      </c>
      <c r="BT84" s="91">
        <f t="shared" si="449"/>
      </c>
      <c r="BU84" s="246">
        <f t="shared" si="449"/>
      </c>
      <c r="BV84" s="91">
        <f t="shared" si="449"/>
      </c>
      <c r="BW84" s="91">
        <f t="shared" si="449"/>
      </c>
      <c r="BX84" s="91">
        <f t="shared" si="449"/>
      </c>
      <c r="BY84" s="246">
        <f t="shared" si="449"/>
      </c>
      <c r="BZ84" s="91">
        <f t="shared" si="449"/>
      </c>
      <c r="CA84" s="91">
        <f t="shared" si="449"/>
      </c>
      <c r="CB84" s="91">
        <f t="shared" si="449"/>
      </c>
      <c r="CC84" s="246">
        <f t="shared" si="449"/>
      </c>
      <c r="CD84" s="91">
        <f t="shared" si="449"/>
      </c>
      <c r="CE84" s="91">
        <f t="shared" si="449"/>
      </c>
      <c r="CF84" s="91">
        <f t="shared" si="449"/>
      </c>
      <c r="CG84" s="246">
        <f t="shared" si="449"/>
      </c>
      <c r="CH84" s="91">
        <f t="shared" si="449"/>
      </c>
      <c r="CI84" s="91">
        <f t="shared" si="449"/>
      </c>
      <c r="CJ84" s="91">
        <f t="shared" si="449"/>
      </c>
      <c r="CK84" s="246">
        <f t="shared" si="449"/>
      </c>
      <c r="CL84" s="91">
        <f t="shared" ref="CL84:CT84" si="450">-CL79/CL78</f>
      </c>
      <c r="CM84" s="302">
        <f t="shared" si="450"/>
      </c>
      <c r="CN84" s="302">
        <f t="shared" si="450"/>
      </c>
      <c r="CO84" s="246">
        <f t="shared" si="450"/>
      </c>
      <c r="CP84" s="213">
        <f t="shared" si="450"/>
      </c>
      <c r="CQ84" s="302">
        <f t="shared" si="450"/>
      </c>
      <c r="CR84" s="302">
        <f t="shared" si="450"/>
      </c>
      <c r="CS84" s="201">
        <f t="shared" si="450"/>
      </c>
      <c r="CT84" s="213">
        <f t="shared" si="450"/>
      </c>
      <c r="CU84" s="302">
        <f t="shared" ref="CU84:CZ84" si="451">-CU79/CU78</f>
      </c>
      <c r="CV84" s="302">
        <f t="shared" si="451"/>
      </c>
      <c r="CW84" s="466">
        <f t="shared" si="451"/>
      </c>
      <c r="CX84" s="490">
        <f t="shared" si="451"/>
      </c>
      <c r="CY84" s="373">
        <f t="shared" si="451"/>
      </c>
      <c r="CZ84" s="373">
        <f t="shared" si="451"/>
      </c>
      <c r="DA84" s="466">
        <f t="shared" ref="DA84:DC84" si="452">-DA79/DA78</f>
      </c>
      <c r="DB84" s="490">
        <f t="shared" si="452"/>
      </c>
      <c r="DC84" s="373">
        <f t="shared" si="452"/>
      </c>
      <c r="DD84" s="373">
        <f t="shared" ref="DD84:DG84" si="453">-DD79/DD78</f>
      </c>
      <c r="DE84" s="466">
        <f t="shared" si="453"/>
      </c>
      <c r="DF84" s="490">
        <f t="shared" si="453"/>
      </c>
      <c r="DG84" s="373">
        <f t="shared" si="453"/>
      </c>
      <c r="DH84" s="373">
        <f t="shared" ref="DH84:DK84" si="454">-DH79/DH78</f>
      </c>
      <c r="DI84" s="466">
        <f t="shared" si="454"/>
      </c>
      <c r="DJ84" s="490">
        <f t="shared" si="454"/>
      </c>
      <c r="DK84" s="373">
        <f t="shared" si="454"/>
      </c>
      <c r="DL84" s="373">
        <f t="shared" ref="DL84:DO84" si="455">-DL79/DL78</f>
      </c>
      <c r="DM84" s="466">
        <f t="shared" si="455"/>
      </c>
      <c r="DN84" s="490">
        <f t="shared" si="455"/>
      </c>
      <c r="DO84" s="373">
        <f t="shared" si="455"/>
      </c>
      <c r="DP84" s="373">
        <f t="shared" ref="DP84" si="456">-DP79/DP78</f>
      </c>
      <c r="DQ84" s="767">
        <f t="shared" ref="DQ84" si="457">DP84</f>
      </c>
      <c r="DR84" s="1235">
        <f t="shared" ref="DR84:DU84" si="458">DQ84</f>
      </c>
      <c r="DS84" s="1235">
        <f t="shared" si="458"/>
      </c>
      <c r="DT84" s="1235">
        <f t="shared" si="458"/>
      </c>
      <c r="DU84" s="767">
        <f t="shared" si="458"/>
      </c>
      <c r="DV84" s="1235">
        <f t="shared" ref="DV84" si="459">DU84</f>
      </c>
      <c r="DW84" s="1235">
        <f t="shared" ref="DW84" si="460">DV84</f>
      </c>
      <c r="DX84" s="1235">
        <f t="shared" ref="DX84" si="461">DW84</f>
      </c>
      <c r="DY84" s="767">
        <f t="shared" ref="DY84" si="462">DX84</f>
      </c>
      <c r="DZ84" s="1235">
        <f t="shared" ref="DZ84" si="463">DY84</f>
      </c>
      <c r="EA84" s="1235">
        <f t="shared" ref="EA84" si="464">DZ84</f>
      </c>
      <c r="EB84" s="1235">
        <f t="shared" ref="EB84" si="465">EA84</f>
      </c>
      <c r="EC84" s="767">
        <f t="shared" ref="EC84" si="466">EB84</f>
      </c>
      <c r="ED84" s="1235">
        <f t="shared" ref="ED84" si="467">EC84</f>
      </c>
      <c r="EE84" s="1235">
        <f t="shared" ref="EE84" si="468">ED84</f>
      </c>
      <c r="EF84" s="1235">
        <f t="shared" ref="EF84" si="469">EE84</f>
      </c>
      <c r="EG84" s="767">
        <f t="shared" ref="EG84" si="470">EF84</f>
      </c>
      <c r="EH84" s="1235">
        <f t="shared" ref="EH84" si="471">EG84</f>
      </c>
      <c r="EI84" s="1235">
        <f t="shared" ref="EI84" si="472">EH84</f>
      </c>
      <c r="EJ84" s="1235">
        <f t="shared" ref="EJ84" si="473">EI84</f>
      </c>
      <c r="EK84" s="767">
        <f t="shared" ref="EK84" si="474">EJ84</f>
      </c>
      <c r="EL84" s="211"/>
      <c r="EN84" s="91"/>
      <c r="EO84" s="91"/>
      <c r="EP84" s="91"/>
      <c r="EQ84" s="91"/>
      <c r="ER84" s="91"/>
      <c r="ES84" s="91"/>
      <c r="ET84" s="91"/>
      <c r="EU84" s="91"/>
      <c r="EV84" s="91"/>
      <c r="EW84" s="91"/>
      <c r="EX84" s="91"/>
      <c r="EY84" s="91"/>
      <c r="EZ84" s="91"/>
      <c r="FA84" s="91"/>
      <c r="FB84" s="91"/>
      <c r="FC84" s="91"/>
      <c r="FD84" s="91"/>
      <c r="FE84" s="91"/>
      <c r="FF84" s="91"/>
      <c r="FG84" s="91"/>
      <c r="FH84" s="91"/>
      <c r="FI84" s="91"/>
      <c r="FJ84" s="91"/>
      <c r="FK84" s="91"/>
      <c r="FL84" s="91"/>
      <c r="FM84" s="91"/>
      <c r="FN84" s="91"/>
      <c r="FO84" s="91"/>
      <c r="FP84" s="91"/>
      <c r="FQ84" s="91"/>
      <c r="FR84" s="91"/>
      <c r="FS84" s="91"/>
      <c r="FT84" s="91"/>
      <c r="FU84" s="91"/>
      <c r="FV84" s="91"/>
    </row>
    <row r="85" spans="1:178" s="213" customFormat="1" ht="10.199999999999999">
      <c r="A85" s="208" t="s">
        <v>925</v>
      </c>
      <c r="B85" s="91"/>
      <c r="C85" s="91">
        <f>C80/'Income Statement'!C$17</f>
      </c>
      <c r="D85" s="91">
        <f>D80/'Income Statement'!D$17</f>
      </c>
      <c r="E85" s="246">
        <f>E80/'Income Statement'!E$17</f>
      </c>
      <c r="F85" s="91">
        <f>F80/'Income Statement'!F$17</f>
      </c>
      <c r="G85" s="91">
        <f>G80/'Income Statement'!G$17</f>
      </c>
      <c r="H85" s="91">
        <f>H80/'Income Statement'!H$17</f>
      </c>
      <c r="I85" s="246">
        <f>I80/'Income Statement'!I$17</f>
      </c>
      <c r="J85" s="91">
        <f>J80/'Income Statement'!J$17</f>
      </c>
      <c r="K85" s="91">
        <f>K80/'Income Statement'!K$17</f>
      </c>
      <c r="L85" s="91">
        <f>L80/'Income Statement'!L$17</f>
      </c>
      <c r="M85" s="246">
        <f>M80/'Income Statement'!M$17</f>
      </c>
      <c r="N85" s="91">
        <f>N80/'Income Statement'!N$17</f>
      </c>
      <c r="O85" s="91">
        <f>O80/'Income Statement'!O$17</f>
      </c>
      <c r="P85" s="91">
        <f>P80/'Income Statement'!P$17</f>
      </c>
      <c r="Q85" s="246">
        <f>Q80/'Income Statement'!Q$17</f>
      </c>
      <c r="R85" s="91">
        <f>R80/'Income Statement'!R$17</f>
      </c>
      <c r="S85" s="91">
        <f>S80/'Income Statement'!S$17</f>
      </c>
      <c r="T85" s="91">
        <f>T80/'Income Statement'!T$17</f>
      </c>
      <c r="U85" s="246">
        <f>U80/'Income Statement'!U$17</f>
      </c>
      <c r="V85" s="91">
        <f>V80/'Income Statement'!V$17</f>
      </c>
      <c r="W85" s="91">
        <f>W80/'Income Statement'!W$17</f>
      </c>
      <c r="X85" s="91">
        <f>X80/'Income Statement'!X$17</f>
      </c>
      <c r="Y85" s="246">
        <f>Y80/'Income Statement'!Y$17</f>
      </c>
      <c r="Z85" s="91">
        <f>Z80/'Income Statement'!Z$17</f>
      </c>
      <c r="AA85" s="91">
        <f>AA80/'Income Statement'!AA$17</f>
      </c>
      <c r="AB85" s="91">
        <f>AB80/'Income Statement'!AB$17</f>
      </c>
      <c r="AC85" s="246">
        <f>AC80/'Income Statement'!AC$17</f>
      </c>
      <c r="AD85" s="91">
        <f>AD80/'Income Statement'!AD$17</f>
      </c>
      <c r="AE85" s="91">
        <f>AE80/'Income Statement'!AE$17</f>
      </c>
      <c r="AF85" s="91">
        <f>AF80/'Income Statement'!AF$17</f>
      </c>
      <c r="AG85" s="246">
        <f>AG80/'Income Statement'!AG$17</f>
      </c>
      <c r="AH85" s="91">
        <f>AH80/'Income Statement'!AH$17</f>
      </c>
      <c r="AI85" s="91">
        <f>AI80/'Income Statement'!AI$17</f>
      </c>
      <c r="AJ85" s="91">
        <f>AJ80/'Income Statement'!AJ$17</f>
      </c>
      <c r="AK85" s="246">
        <f>AK80/'Income Statement'!AK$17</f>
      </c>
      <c r="AL85" s="91">
        <f>AL80/'Income Statement'!AL$17</f>
      </c>
      <c r="AM85" s="91">
        <f>AM80/'Income Statement'!AM$17</f>
      </c>
      <c r="AN85" s="91">
        <f>AN80/'Income Statement'!AN$17</f>
      </c>
      <c r="AO85" s="246">
        <f>AO80/'Income Statement'!AO$17</f>
      </c>
      <c r="AP85" s="91">
        <f>AP80/'Income Statement'!AP$17</f>
      </c>
      <c r="AQ85" s="91">
        <f>AQ80/'Income Statement'!AQ$17</f>
      </c>
      <c r="AR85" s="91">
        <f>AR80/'Income Statement'!AR$17</f>
      </c>
      <c r="AS85" s="246">
        <f>AS80/'Income Statement'!AS$17</f>
      </c>
      <c r="AT85" s="91">
        <f>AT80/'Income Statement'!AT$17</f>
      </c>
      <c r="AU85" s="91">
        <f>AU80/'Income Statement'!AU$17</f>
      </c>
      <c r="AV85" s="91">
        <f>AV80/'Income Statement'!AV$17</f>
      </c>
      <c r="AW85" s="246">
        <f>AW80/'Income Statement'!AW$17</f>
      </c>
      <c r="AX85" s="91">
        <f>AX80/'Income Statement'!AX$17</f>
      </c>
      <c r="AY85" s="91">
        <f>AY80/'Income Statement'!AY$17</f>
      </c>
      <c r="AZ85" s="91">
        <f>AZ80/'Income Statement'!AZ$17</f>
      </c>
      <c r="BA85" s="246">
        <f>BA80/'Income Statement'!BA$17</f>
      </c>
      <c r="BB85" s="91">
        <f>BB80/'Income Statement'!BB$17</f>
      </c>
      <c r="BC85" s="91">
        <f>BC80/'Income Statement'!BC$17</f>
      </c>
      <c r="BD85" s="91">
        <f>BD80/'Income Statement'!BD$17</f>
      </c>
      <c r="BE85" s="246">
        <f>BE80/'Income Statement'!BE$17</f>
      </c>
      <c r="BF85" s="91">
        <f>BF80/'Income Statement'!BF$17</f>
      </c>
      <c r="BG85" s="91">
        <f>BG80/'Income Statement'!BG$17</f>
      </c>
      <c r="BH85" s="91">
        <f>BH80/'Income Statement'!BH$17</f>
      </c>
      <c r="BI85" s="246">
        <f>BI80/'Income Statement'!BI$17</f>
      </c>
      <c r="BJ85" s="91">
        <f>BJ80/'Income Statement'!BJ$17</f>
      </c>
      <c r="BK85" s="91">
        <f>BK80/'Income Statement'!BK$17</f>
      </c>
      <c r="BL85" s="91">
        <f>BL80/'Income Statement'!BL$17</f>
      </c>
      <c r="BM85" s="246">
        <f>BM80/'Income Statement'!BM$17</f>
      </c>
      <c r="BN85" s="91">
        <f>BN80/'Income Statement'!BN$17</f>
      </c>
      <c r="BO85" s="91">
        <f>BO80/'Income Statement'!BO$17</f>
      </c>
      <c r="BP85" s="91">
        <f>BP80/'Income Statement'!BP$17</f>
      </c>
      <c r="BQ85" s="246">
        <f>BQ80/'Income Statement'!BQ$17</f>
      </c>
      <c r="BR85" s="91">
        <f>BR80/'Income Statement'!BR$17</f>
      </c>
      <c r="BS85" s="91">
        <f>BS80/'Income Statement'!BS$17</f>
      </c>
      <c r="BT85" s="91">
        <f>BT80/'Income Statement'!BT$17</f>
      </c>
      <c r="BU85" s="246">
        <f>BU80/'Income Statement'!BU$17</f>
      </c>
      <c r="BV85" s="91">
        <f>BV80/'Income Statement'!BV$17</f>
      </c>
      <c r="BW85" s="91">
        <f>BW80/'Income Statement'!BW$17</f>
      </c>
      <c r="BX85" s="91">
        <f>BX80/'Income Statement'!BX$17</f>
      </c>
      <c r="BY85" s="246">
        <f>BY80/'Income Statement'!BY$17</f>
      </c>
      <c r="BZ85" s="91">
        <f>BZ80/'Income Statement'!BZ$17</f>
      </c>
      <c r="CA85" s="91">
        <f>CA80/'Income Statement'!CA$17</f>
      </c>
      <c r="CB85" s="91">
        <f>CB80/'Income Statement'!CB$17</f>
      </c>
      <c r="CC85" s="246">
        <f>CC80/'Income Statement'!CC$17</f>
      </c>
      <c r="CD85" s="91">
        <f>CD80/'Income Statement'!CD$17</f>
      </c>
      <c r="CE85" s="91">
        <f>CE80/'Income Statement'!CE$17</f>
      </c>
      <c r="CF85" s="91">
        <f>CF80/'Income Statement'!CF$17</f>
      </c>
      <c r="CG85" s="246">
        <f>CG80/'Income Statement'!CG$17</f>
      </c>
      <c r="CH85" s="91">
        <f>CH80/'Income Statement'!CH$17</f>
      </c>
      <c r="CI85" s="91">
        <f>CI80/'Income Statement'!CI$17</f>
      </c>
      <c r="CJ85" s="91">
        <f>CJ80/'Income Statement'!CJ$17</f>
      </c>
      <c r="CK85" s="246">
        <f>CK80/'Income Statement'!CK$17</f>
      </c>
      <c r="CL85" s="91">
        <f>CL80/'Income Statement'!CL$17</f>
      </c>
      <c r="CM85" s="302">
        <f>CM80/'Income Statement'!CM$17</f>
      </c>
      <c r="CN85" s="302">
        <f>CN80/'Income Statement'!CN$17</f>
      </c>
      <c r="CO85" s="246">
        <f>CO80/'Income Statement'!CO$17</f>
      </c>
      <c r="CP85" s="213">
        <f>CP80/'Income Statement'!CP$17</f>
      </c>
      <c r="CQ85" s="302">
        <f>CQ80/'Income Statement'!CQ$17</f>
      </c>
      <c r="CR85" s="302">
        <f>CR80/'Income Statement'!CR$17</f>
      </c>
      <c r="CS85" s="201">
        <f>CS80/'Income Statement'!CS$17</f>
      </c>
      <c r="CT85" s="213">
        <f>CT80/'Income Statement'!CT$17</f>
      </c>
      <c r="CU85" s="302">
        <f>CU80/'Income Statement'!CU$17</f>
      </c>
      <c r="CV85" s="302">
        <f>CV80/'Income Statement'!CV$17</f>
      </c>
      <c r="CW85" s="466">
        <f>CW80/'Income Statement'!CW$17</f>
      </c>
      <c r="CX85" s="490">
        <f>CX80/'Income Statement'!CX$17</f>
      </c>
      <c r="CY85" s="373">
        <f>CY80/'Income Statement'!CY$17</f>
      </c>
      <c r="CZ85" s="373">
        <f>CZ80/'Income Statement'!CZ$17</f>
      </c>
      <c r="DA85" s="466">
        <f>DA80/'Income Statement'!DA$17</f>
      </c>
      <c r="DB85" s="490">
        <f>DB80/'Income Statement'!DB$17</f>
      </c>
      <c r="DC85" s="373">
        <f>DC80/'Income Statement'!DC$17</f>
      </c>
      <c r="DD85" s="373">
        <f>DD80/'Income Statement'!DD$17</f>
      </c>
      <c r="DE85" s="466">
        <f>DE80/'Income Statement'!DE$17</f>
      </c>
      <c r="DF85" s="490">
        <f>DF80/'Income Statement'!DF$17</f>
      </c>
      <c r="DG85" s="373">
        <f>DG80/'Income Statement'!DG$17</f>
      </c>
      <c r="DH85" s="373">
        <f>DH80/'Income Statement'!DH$17</f>
      </c>
      <c r="DI85" s="466">
        <f>DI80/'Income Statement'!DI$17</f>
      </c>
      <c r="DJ85" s="490">
        <f>DJ80/'Income Statement'!DJ$17</f>
      </c>
      <c r="DK85" s="373">
        <f>DK80/'Income Statement'!DK$17</f>
      </c>
      <c r="DL85" s="373">
        <f>DL80/'Income Statement'!DL$17</f>
      </c>
      <c r="DM85" s="466">
        <f>DM80/'Income Statement'!DM$17</f>
      </c>
      <c r="DN85" s="490">
        <f>DN80/'Income Statement'!DN$17</f>
      </c>
      <c r="DO85" s="373">
        <f>DO80/'Income Statement'!DO$17</f>
      </c>
      <c r="DP85" s="373">
        <f>DP80/'Income Statement'!DP$17</f>
      </c>
      <c r="DQ85" s="767">
        <v>0.11</v>
      </c>
      <c r="DR85" s="1235">
        <v>0.11</v>
      </c>
      <c r="DS85" s="1235">
        <v>0.11</v>
      </c>
      <c r="DT85" s="1235">
        <v>0.11</v>
      </c>
      <c r="DU85" s="767">
        <v>0.11</v>
      </c>
      <c r="DV85" s="1235">
        <v>0.11</v>
      </c>
      <c r="DW85" s="1235">
        <v>0.11</v>
      </c>
      <c r="DX85" s="1235">
        <v>0.11</v>
      </c>
      <c r="DY85" s="767">
        <v>0.11</v>
      </c>
      <c r="DZ85" s="1235">
        <v>0.11</v>
      </c>
      <c r="EA85" s="1235">
        <v>0.11</v>
      </c>
      <c r="EB85" s="1235">
        <v>0.11</v>
      </c>
      <c r="EC85" s="767">
        <v>0.11</v>
      </c>
      <c r="ED85" s="1235">
        <v>0.11</v>
      </c>
      <c r="EE85" s="1235">
        <v>0.11</v>
      </c>
      <c r="EF85" s="1235">
        <v>0.11</v>
      </c>
      <c r="EG85" s="767">
        <v>0.11</v>
      </c>
      <c r="EH85" s="1235">
        <v>0.11</v>
      </c>
      <c r="EI85" s="1235">
        <v>0.11</v>
      </c>
      <c r="EJ85" s="1235">
        <v>0.11</v>
      </c>
      <c r="EK85" s="767">
        <v>0.11</v>
      </c>
      <c r="EL85" s="211"/>
      <c r="EN85" s="91"/>
      <c r="EO85" s="91"/>
      <c r="EP85" s="91"/>
      <c r="EQ85" s="91"/>
      <c r="ER85" s="91"/>
      <c r="ES85" s="91"/>
      <c r="ET85" s="91"/>
      <c r="EU85" s="91"/>
      <c r="EV85" s="91"/>
      <c r="EW85" s="91"/>
      <c r="EX85" s="91"/>
      <c r="EY85" s="91"/>
      <c r="EZ85" s="91"/>
      <c r="FA85" s="91"/>
      <c r="FB85" s="91"/>
      <c r="FC85" s="91"/>
      <c r="FD85" s="91"/>
      <c r="FE85" s="91"/>
      <c r="FF85" s="91"/>
      <c r="FG85" s="91"/>
      <c r="FH85" s="91"/>
      <c r="FI85" s="91"/>
      <c r="FJ85" s="91"/>
      <c r="FK85" s="91"/>
      <c r="FL85" s="91"/>
      <c r="FM85" s="91"/>
      <c r="FN85" s="91"/>
      <c r="FO85" s="91"/>
      <c r="FP85" s="91"/>
      <c r="FQ85" s="91"/>
      <c r="FR85" s="91"/>
      <c r="FS85" s="91"/>
      <c r="FT85" s="91"/>
      <c r="FU85" s="91"/>
      <c r="FV85" s="91"/>
    </row>
    <row r="86" spans="1:178" s="11" customFormat="1" ht="10.199999999999999">
      <c r="B86" s="44"/>
      <c r="C86" s="44"/>
      <c r="D86" s="44"/>
      <c r="E86" s="178"/>
      <c r="F86" s="44"/>
      <c r="G86" s="44"/>
      <c r="H86" s="44"/>
      <c r="I86" s="178"/>
      <c r="J86" s="44"/>
      <c r="K86" s="44"/>
      <c r="L86" s="44"/>
      <c r="M86" s="178"/>
      <c r="N86" s="44"/>
      <c r="O86" s="44"/>
      <c r="P86" s="44"/>
      <c r="Q86" s="178"/>
      <c r="R86" s="44"/>
      <c r="S86" s="44"/>
      <c r="T86" s="44"/>
      <c r="U86" s="178"/>
      <c r="V86" s="44"/>
      <c r="W86" s="44"/>
      <c r="X86" s="44"/>
      <c r="Y86" s="178"/>
      <c r="Z86" s="44"/>
      <c r="AA86" s="44"/>
      <c r="AB86" s="44"/>
      <c r="AC86" s="178"/>
      <c r="AD86" s="44"/>
      <c r="AE86" s="44"/>
      <c r="AF86" s="44"/>
      <c r="AG86" s="178"/>
      <c r="AH86" s="44"/>
      <c r="AI86" s="44"/>
      <c r="AJ86" s="44"/>
      <c r="AK86" s="178"/>
      <c r="AL86" s="44"/>
      <c r="AM86" s="44"/>
      <c r="AN86" s="44"/>
      <c r="AO86" s="178"/>
      <c r="AP86" s="44"/>
      <c r="AQ86" s="44"/>
      <c r="AR86" s="44"/>
      <c r="AS86" s="178"/>
      <c r="AT86" s="44"/>
      <c r="AU86" s="44"/>
      <c r="AV86" s="44"/>
      <c r="AW86" s="178"/>
      <c r="AX86" s="44"/>
      <c r="AY86" s="44"/>
      <c r="AZ86" s="44"/>
      <c r="BA86" s="178"/>
      <c r="BB86" s="44"/>
      <c r="BC86" s="44"/>
      <c r="BD86" s="44"/>
      <c r="BE86" s="178"/>
      <c r="BF86" s="44"/>
      <c r="BG86" s="44"/>
      <c r="BH86" s="44"/>
      <c r="BI86" s="178"/>
      <c r="BJ86" s="44"/>
      <c r="BK86" s="44"/>
      <c r="BL86" s="44"/>
      <c r="BM86" s="178"/>
      <c r="BN86" s="44"/>
      <c r="BO86" s="44"/>
      <c r="BP86" s="44"/>
      <c r="BQ86" s="178"/>
      <c r="BR86" s="44"/>
      <c r="BS86" s="44"/>
      <c r="BT86" s="44"/>
      <c r="BU86" s="178"/>
      <c r="BV86" s="44"/>
      <c r="BW86" s="44"/>
      <c r="BX86" s="44"/>
      <c r="BY86" s="178"/>
      <c r="BZ86" s="44"/>
      <c r="CA86" s="44"/>
      <c r="CB86" s="44"/>
      <c r="CC86" s="249"/>
      <c r="CD86" s="44"/>
      <c r="CE86" s="44"/>
      <c r="CF86" s="44"/>
      <c r="CG86" s="178"/>
      <c r="CH86" s="44"/>
      <c r="CI86" s="44"/>
      <c r="CJ86" s="44"/>
      <c r="CK86" s="178"/>
      <c r="CL86" s="44"/>
      <c r="CM86" s="44"/>
      <c r="CN86" s="44"/>
      <c r="CO86" s="178"/>
      <c r="CP86" s="44"/>
      <c r="CQ86" s="44"/>
      <c r="CR86" s="44"/>
      <c r="CS86" s="178"/>
      <c r="CT86" s="44"/>
      <c r="CU86" s="44"/>
      <c r="CV86" s="44"/>
      <c r="CW86" s="178"/>
      <c r="CX86" s="469"/>
      <c r="CY86" s="44"/>
      <c r="CZ86" s="44"/>
      <c r="DA86" s="178"/>
      <c r="DB86" s="360"/>
      <c r="DC86" s="44"/>
      <c r="DD86" s="44"/>
      <c r="DE86" s="417"/>
      <c r="DF86" s="360"/>
      <c r="DG86" s="360"/>
      <c r="DH86" s="360"/>
      <c r="DI86" s="417"/>
      <c r="DJ86" s="360"/>
      <c r="DK86" s="360"/>
      <c r="DL86" s="360"/>
      <c r="DM86" s="417"/>
      <c r="DN86" s="360"/>
      <c r="DO86" s="360"/>
      <c r="DP86" s="360"/>
      <c r="DQ86" s="417"/>
      <c r="DR86" s="360"/>
      <c r="DS86" s="360"/>
      <c r="DT86" s="360"/>
      <c r="DU86" s="417"/>
      <c r="DV86" s="360"/>
      <c r="DW86" s="360"/>
      <c r="DX86" s="360"/>
      <c r="DY86" s="417"/>
      <c r="DZ86" s="360"/>
      <c r="EA86" s="360"/>
      <c r="EB86" s="360"/>
      <c r="EC86" s="417"/>
      <c r="ED86" s="360"/>
      <c r="EE86" s="360"/>
      <c r="EF86" s="360"/>
      <c r="EG86" s="417"/>
      <c r="EH86" s="360"/>
      <c r="EI86" s="360"/>
      <c r="EJ86" s="360"/>
      <c r="EK86" s="417"/>
      <c r="EL86" s="211"/>
      <c r="EN86" s="44"/>
      <c r="EO86" s="44"/>
      <c r="EP86" s="44"/>
      <c r="EQ86" s="44"/>
      <c r="ER86" s="44"/>
      <c r="ES86" s="44"/>
      <c r="ET86" s="44"/>
      <c r="EU86" s="44"/>
      <c r="EV86" s="44"/>
      <c r="EW86" s="44"/>
      <c r="EX86" s="44"/>
      <c r="EY86" s="44"/>
      <c r="EZ86" s="44"/>
      <c r="FA86" s="44"/>
      <c r="FB86" s="44"/>
      <c r="FC86" s="44"/>
      <c r="FD86" s="44"/>
      <c r="FE86" s="44"/>
      <c r="FF86" s="44"/>
      <c r="FG86" s="44"/>
      <c r="FH86" s="44"/>
      <c r="FI86" s="44"/>
      <c r="FJ86" s="44"/>
      <c r="FK86" s="15"/>
      <c r="FL86" s="15"/>
      <c r="FM86" s="15"/>
      <c r="FN86" s="15"/>
      <c r="FO86" s="15"/>
      <c r="FP86" s="15"/>
      <c r="FQ86" s="15"/>
      <c r="FR86" s="15"/>
      <c r="FS86" s="15"/>
      <c r="FT86" s="15"/>
      <c r="FU86" s="15"/>
      <c r="FV86" s="15"/>
    </row>
    <row r="87" spans="1:178" s="11" customFormat="1" ht="10.199999999999999">
      <c r="A87" s="1" t="s">
        <v>656</v>
      </c>
      <c r="B87" s="15">
        <f t="shared" ref="B87:BA87" si="475">B89-B88</f>
      </c>
      <c r="C87" s="15">
        <f t="shared" si="475"/>
      </c>
      <c r="D87" s="15">
        <f t="shared" si="475"/>
      </c>
      <c r="E87" s="174">
        <f t="shared" si="475"/>
      </c>
      <c r="F87" s="15">
        <f t="shared" si="475"/>
      </c>
      <c r="G87" s="15">
        <f t="shared" si="475"/>
      </c>
      <c r="H87" s="15">
        <f t="shared" si="475"/>
      </c>
      <c r="I87" s="174">
        <f t="shared" si="475"/>
      </c>
      <c r="J87" s="15">
        <f t="shared" si="475"/>
      </c>
      <c r="K87" s="15">
        <f t="shared" si="475"/>
      </c>
      <c r="L87" s="15">
        <f t="shared" si="475"/>
      </c>
      <c r="M87" s="174">
        <f t="shared" si="475"/>
      </c>
      <c r="N87" s="15">
        <f t="shared" si="475"/>
      </c>
      <c r="O87" s="15">
        <f t="shared" si="475"/>
      </c>
      <c r="P87" s="15">
        <f t="shared" si="475"/>
      </c>
      <c r="Q87" s="174">
        <f t="shared" si="475"/>
      </c>
      <c r="R87" s="15">
        <f t="shared" si="475"/>
      </c>
      <c r="S87" s="15">
        <f t="shared" si="475"/>
      </c>
      <c r="T87" s="15">
        <f t="shared" si="475"/>
      </c>
      <c r="U87" s="174">
        <f t="shared" si="475"/>
      </c>
      <c r="V87" s="15">
        <f t="shared" si="475"/>
      </c>
      <c r="W87" s="15">
        <f t="shared" si="475"/>
      </c>
      <c r="X87" s="15">
        <f t="shared" si="475"/>
      </c>
      <c r="Y87" s="174">
        <f t="shared" si="475"/>
      </c>
      <c r="Z87" s="15">
        <f t="shared" si="475"/>
      </c>
      <c r="AA87" s="15">
        <f t="shared" si="475"/>
      </c>
      <c r="AB87" s="15">
        <f t="shared" si="475"/>
      </c>
      <c r="AC87" s="174">
        <f t="shared" si="475"/>
      </c>
      <c r="AD87" s="15">
        <f t="shared" si="475"/>
      </c>
      <c r="AE87" s="15">
        <f t="shared" si="475"/>
      </c>
      <c r="AF87" s="15">
        <f t="shared" si="475"/>
      </c>
      <c r="AG87" s="174">
        <f t="shared" si="475"/>
      </c>
      <c r="AH87" s="15">
        <f t="shared" si="475"/>
      </c>
      <c r="AI87" s="15">
        <f t="shared" si="475"/>
      </c>
      <c r="AJ87" s="15">
        <f t="shared" si="475"/>
      </c>
      <c r="AK87" s="174">
        <f t="shared" si="475"/>
      </c>
      <c r="AL87" s="15">
        <f t="shared" si="475"/>
      </c>
      <c r="AM87" s="15">
        <f t="shared" si="475"/>
      </c>
      <c r="AN87" s="15">
        <f t="shared" si="475"/>
      </c>
      <c r="AO87" s="174">
        <f t="shared" si="475"/>
      </c>
      <c r="AP87" s="15">
        <f t="shared" si="475"/>
      </c>
      <c r="AQ87" s="15">
        <f t="shared" si="475"/>
      </c>
      <c r="AR87" s="15">
        <f t="shared" si="475"/>
      </c>
      <c r="AS87" s="174">
        <f t="shared" si="475"/>
      </c>
      <c r="AT87" s="15">
        <f t="shared" si="475"/>
      </c>
      <c r="AU87" s="15">
        <f t="shared" si="475"/>
      </c>
      <c r="AV87" s="15">
        <f t="shared" si="475"/>
      </c>
      <c r="AW87" s="174">
        <f t="shared" si="475"/>
      </c>
      <c r="AX87" s="15">
        <f t="shared" si="475"/>
      </c>
      <c r="AY87" s="15">
        <f t="shared" si="475"/>
      </c>
      <c r="AZ87" s="15">
        <f t="shared" si="475"/>
      </c>
      <c r="BA87" s="174">
        <f t="shared" si="475"/>
      </c>
      <c r="BB87" s="15">
        <f>BB89-BB88</f>
      </c>
      <c r="BC87" s="15">
        <f t="shared" ref="BC87:BU87" si="476">BC89-BC88</f>
      </c>
      <c r="BD87" s="15">
        <f t="shared" si="476"/>
      </c>
      <c r="BE87" s="174">
        <f t="shared" si="476"/>
      </c>
      <c r="BF87" s="15">
        <f t="shared" si="476"/>
      </c>
      <c r="BG87" s="15">
        <f t="shared" si="476"/>
      </c>
      <c r="BH87" s="15">
        <f t="shared" si="476"/>
      </c>
      <c r="BI87" s="174">
        <f t="shared" si="476"/>
      </c>
      <c r="BJ87" s="15">
        <f t="shared" si="476"/>
      </c>
      <c r="BK87" s="15">
        <f t="shared" si="476"/>
      </c>
      <c r="BL87" s="15">
        <f t="shared" si="476"/>
      </c>
      <c r="BM87" s="174">
        <f t="shared" si="476"/>
      </c>
      <c r="BN87" s="15">
        <f t="shared" si="476"/>
      </c>
      <c r="BO87" s="15">
        <f t="shared" si="476"/>
      </c>
      <c r="BP87" s="15">
        <f t="shared" si="476"/>
      </c>
      <c r="BQ87" s="174">
        <f t="shared" si="476"/>
      </c>
      <c r="BR87" s="15">
        <f t="shared" si="476"/>
      </c>
      <c r="BS87" s="15">
        <f t="shared" si="476"/>
      </c>
      <c r="BT87" s="15">
        <f t="shared" si="476"/>
      </c>
      <c r="BU87" s="174">
        <f t="shared" si="476"/>
      </c>
      <c r="BV87" s="15">
        <f t="shared" ref="BV87:CO87" si="477">BV89-BV88</f>
      </c>
      <c r="BW87" s="15">
        <f t="shared" si="477"/>
      </c>
      <c r="BX87" s="15">
        <f t="shared" si="477"/>
      </c>
      <c r="BY87" s="174">
        <f t="shared" si="477"/>
      </c>
      <c r="BZ87" s="15">
        <f t="shared" si="477"/>
      </c>
      <c r="CA87" s="15">
        <f t="shared" si="477"/>
      </c>
      <c r="CB87" s="15">
        <f t="shared" si="477"/>
      </c>
      <c r="CC87" s="174">
        <f t="shared" si="477"/>
      </c>
      <c r="CD87" s="15">
        <f t="shared" si="477"/>
      </c>
      <c r="CE87" s="15">
        <f t="shared" si="477"/>
      </c>
      <c r="CF87" s="15">
        <f t="shared" si="477"/>
      </c>
      <c r="CG87" s="174">
        <f t="shared" si="477"/>
      </c>
      <c r="CH87" s="15">
        <f t="shared" si="477"/>
      </c>
      <c r="CI87" s="15">
        <f t="shared" si="477"/>
      </c>
      <c r="CJ87" s="15">
        <f t="shared" si="477"/>
      </c>
      <c r="CK87" s="174">
        <f t="shared" si="477"/>
      </c>
      <c r="CL87" s="15">
        <f t="shared" si="477"/>
      </c>
      <c r="CM87" s="15">
        <f>CM89-CM88</f>
      </c>
      <c r="CN87" s="15">
        <f t="shared" si="477"/>
      </c>
      <c r="CO87" s="174">
        <f t="shared" si="477"/>
      </c>
      <c r="CP87" s="15">
        <f t="shared" ref="CP87:CV87" si="478">CP89-CP88</f>
      </c>
      <c r="CQ87" s="15">
        <f t="shared" si="478"/>
      </c>
      <c r="CR87" s="15">
        <f t="shared" si="478"/>
      </c>
      <c r="CS87" s="174">
        <f t="shared" si="478"/>
      </c>
      <c r="CT87" s="15">
        <f t="shared" si="478"/>
      </c>
      <c r="CU87" s="15">
        <f t="shared" si="478"/>
      </c>
      <c r="CV87" s="15">
        <f t="shared" si="478"/>
      </c>
      <c r="CW87" s="174">
        <f>CW89-CW88</f>
      </c>
      <c r="CX87" s="15">
        <f t="shared" ref="CX87:DE87" si="479">CX89-CX88</f>
      </c>
      <c r="CY87" s="15">
        <f t="shared" ref="CY87" si="480">CY89-CY88</f>
      </c>
      <c r="CZ87" s="15">
        <f t="shared" si="479"/>
      </c>
      <c r="DA87" s="174">
        <f>DA89-DA88</f>
      </c>
      <c r="DB87" s="62">
        <f t="shared" si="479"/>
      </c>
      <c r="DC87" s="62">
        <f t="shared" si="479"/>
      </c>
      <c r="DD87" s="62">
        <f t="shared" si="479"/>
      </c>
      <c r="DE87" s="226">
        <f t="shared" si="479"/>
      </c>
      <c r="DF87" s="62">
        <f t="shared" ref="DF87:DK87" si="481">DF89-DF88</f>
      </c>
      <c r="DG87" s="62">
        <f t="shared" si="481"/>
      </c>
      <c r="DH87" s="62">
        <f t="shared" si="481"/>
      </c>
      <c r="DI87" s="174">
        <f t="shared" si="481"/>
      </c>
      <c r="DJ87" s="62">
        <f t="shared" si="481"/>
      </c>
      <c r="DK87" s="62">
        <f t="shared" si="481"/>
      </c>
      <c r="DL87" s="62">
        <f t="shared" ref="DL87:DO87" si="482">DL89-DL88</f>
      </c>
      <c r="DM87" s="174">
        <f t="shared" si="482"/>
      </c>
      <c r="DN87" s="62">
        <f t="shared" si="482"/>
      </c>
      <c r="DO87" s="62">
        <f t="shared" si="482"/>
      </c>
      <c r="DP87" s="62">
        <f t="shared" ref="DP87:DQ87" si="483">DP89-DP88</f>
      </c>
      <c r="DQ87" s="226">
        <f t="shared" si="483"/>
      </c>
      <c r="DR87" s="62">
        <f t="shared" ref="DR87:DU87" si="484">DR89-DR88</f>
      </c>
      <c r="DS87" s="62">
        <f t="shared" si="484"/>
      </c>
      <c r="DT87" s="62">
        <f t="shared" si="484"/>
      </c>
      <c r="DU87" s="226">
        <f t="shared" si="484"/>
      </c>
      <c r="DV87" s="62">
        <f t="shared" ref="DV87:EK87" si="485">DV89-DV88</f>
      </c>
      <c r="DW87" s="62">
        <f t="shared" si="485"/>
      </c>
      <c r="DX87" s="62">
        <f t="shared" si="485"/>
      </c>
      <c r="DY87" s="226">
        <f t="shared" si="485"/>
      </c>
      <c r="DZ87" s="62">
        <f t="shared" si="485"/>
      </c>
      <c r="EA87" s="62">
        <f t="shared" si="485"/>
      </c>
      <c r="EB87" s="62">
        <f t="shared" si="485"/>
      </c>
      <c r="EC87" s="226">
        <f t="shared" si="485"/>
      </c>
      <c r="ED87" s="62">
        <f t="shared" si="485"/>
      </c>
      <c r="EE87" s="62">
        <f t="shared" si="485"/>
      </c>
      <c r="EF87" s="62">
        <f t="shared" si="485"/>
      </c>
      <c r="EG87" s="226">
        <f t="shared" si="485"/>
      </c>
      <c r="EH87" s="62">
        <f t="shared" si="485"/>
      </c>
      <c r="EI87" s="62">
        <f t="shared" si="485"/>
      </c>
      <c r="EJ87" s="62">
        <f t="shared" si="485"/>
      </c>
      <c r="EK87" s="226">
        <f t="shared" si="485"/>
      </c>
      <c r="EN87" s="15">
        <f t="shared" ref="EN87:EZ87" si="486">EN89-EN88</f>
      </c>
      <c r="EO87" s="15">
        <f t="shared" si="486"/>
      </c>
      <c r="EP87" s="15">
        <f t="shared" si="486"/>
      </c>
      <c r="EQ87" s="15">
        <f t="shared" si="486"/>
      </c>
      <c r="ER87" s="15">
        <f t="shared" si="486"/>
      </c>
      <c r="ES87" s="15">
        <f t="shared" si="486"/>
      </c>
      <c r="ET87" s="15">
        <f t="shared" si="486"/>
      </c>
      <c r="EU87" s="15">
        <f t="shared" si="486"/>
      </c>
      <c r="EV87" s="15">
        <f t="shared" si="486"/>
      </c>
      <c r="EW87" s="15">
        <f t="shared" si="486"/>
      </c>
      <c r="EX87" s="15">
        <f t="shared" si="486"/>
      </c>
      <c r="EY87" s="15">
        <f t="shared" si="486"/>
      </c>
      <c r="EZ87" s="15">
        <f t="shared" si="486"/>
      </c>
      <c r="FA87" s="15">
        <f t="shared" ref="FA87:FG87" si="487">FA89-FA88</f>
      </c>
      <c r="FB87" s="15">
        <f t="shared" si="487"/>
      </c>
      <c r="FC87" s="15">
        <f t="shared" si="487"/>
      </c>
      <c r="FD87" s="15">
        <f t="shared" si="487"/>
      </c>
      <c r="FE87" s="15">
        <f t="shared" si="487"/>
      </c>
      <c r="FF87" s="15">
        <f t="shared" si="487"/>
      </c>
      <c r="FG87" s="15">
        <f t="shared" si="487"/>
      </c>
      <c r="FH87" s="15">
        <f>CG87</f>
      </c>
      <c r="FI87" s="15">
        <f>CK87</f>
      </c>
      <c r="FJ87" s="15">
        <f>CO87</f>
      </c>
      <c r="FK87" s="15">
        <f>CS87</f>
      </c>
      <c r="FL87" s="15">
        <f>CW87</f>
      </c>
      <c r="FM87" s="15">
        <f>DA87</f>
      </c>
      <c r="FN87" s="15">
        <f>DE87</f>
      </c>
      <c r="FO87" s="15">
        <f t="shared" ref="FO87:FO88" si="488">+DI87</f>
      </c>
      <c r="FP87" s="15">
        <f t="shared" ref="FP87:FP88" si="489">+DM87</f>
      </c>
      <c r="FQ87" s="15">
        <f t="shared" ref="FQ87:FQ88" si="490">+DQ87</f>
      </c>
      <c r="FR87" s="15">
        <f t="shared" ref="FR87:FR88" si="491">+DU87</f>
      </c>
      <c r="FS87" s="15">
        <f t="shared" ref="FS87:FS88" si="492">DY87</f>
      </c>
      <c r="FT87" s="15">
        <f t="shared" ref="FT87:FT88" si="493">EC87</f>
      </c>
      <c r="FU87" s="15">
        <f t="shared" ref="FU87:FU88" si="494">EG87</f>
      </c>
      <c r="FV87" s="15">
        <f t="shared" ref="FV87:FV88" si="495">EK87</f>
      </c>
    </row>
    <row r="88" spans="1:178">
      <c r="A88" s="1" t="s">
        <v>660</v>
      </c>
      <c r="B88" s="34">
        <v>-792</v>
      </c>
      <c r="C88" s="34">
        <v>-812</v>
      </c>
      <c r="D88" s="34">
        <v>-791</v>
      </c>
      <c r="E88" s="173">
        <v>-750</v>
      </c>
      <c r="F88" s="34">
        <v>-734</v>
      </c>
      <c r="G88" s="34">
        <v>-739</v>
      </c>
      <c r="H88" s="34">
        <v>-746</v>
      </c>
      <c r="I88" s="173">
        <v>-709</v>
      </c>
      <c r="J88" s="34">
        <v>-640</v>
      </c>
      <c r="K88" s="34">
        <v>-616</v>
      </c>
      <c r="L88" s="34">
        <v>-593</v>
      </c>
      <c r="M88" s="173">
        <v>-476</v>
      </c>
      <c r="N88" s="34">
        <v>-481</v>
      </c>
      <c r="O88" s="34">
        <v>-501</v>
      </c>
      <c r="P88" s="34">
        <v>-454</v>
      </c>
      <c r="Q88" s="173">
        <v>-411</v>
      </c>
      <c r="R88" s="34">
        <v>-407</v>
      </c>
      <c r="S88" s="34">
        <v>-409</v>
      </c>
      <c r="T88" s="34">
        <v>-407</v>
      </c>
      <c r="U88" s="173">
        <v>-387</v>
      </c>
      <c r="V88" s="34">
        <v>-389</v>
      </c>
      <c r="W88" s="34">
        <v>-390</v>
      </c>
      <c r="X88" s="34">
        <v>-380</v>
      </c>
      <c r="Y88" s="173">
        <v>-360</v>
      </c>
      <c r="Z88" s="34">
        <v>-361</v>
      </c>
      <c r="AA88" s="34">
        <v>-368</v>
      </c>
      <c r="AB88" s="34">
        <v>-381</v>
      </c>
      <c r="AC88" s="173">
        <v>-436</v>
      </c>
      <c r="AD88" s="34">
        <v>-441</v>
      </c>
      <c r="AE88" s="34">
        <v>-457</v>
      </c>
      <c r="AF88" s="34">
        <v>-485</v>
      </c>
      <c r="AG88" s="173">
        <v>-505</v>
      </c>
      <c r="AH88" s="34">
        <v>-537</v>
      </c>
      <c r="AI88" s="34">
        <v>-567</v>
      </c>
      <c r="AJ88" s="34">
        <v>-568</v>
      </c>
      <c r="AK88" s="173">
        <v>-591</v>
      </c>
      <c r="AL88" s="34">
        <v>-617</v>
      </c>
      <c r="AM88" s="34">
        <v>-628</v>
      </c>
      <c r="AN88" s="34">
        <v>-645</v>
      </c>
      <c r="AO88" s="173">
        <v>-664</v>
      </c>
      <c r="AP88" s="34">
        <v>-692</v>
      </c>
      <c r="AQ88" s="34">
        <v>-726</v>
      </c>
      <c r="AR88" s="34">
        <v>-757</v>
      </c>
      <c r="AS88" s="173">
        <v>-794</v>
      </c>
      <c r="AT88" s="34">
        <v>-838</v>
      </c>
      <c r="AU88" s="34">
        <v>-895</v>
      </c>
      <c r="AV88" s="34">
        <v>-936</v>
      </c>
      <c r="AW88" s="173">
        <v>-1009</v>
      </c>
      <c r="AX88" s="34">
        <v>-1061</v>
      </c>
      <c r="AY88" s="34">
        <v>-1151</v>
      </c>
      <c r="AZ88" s="34">
        <v>-1220</v>
      </c>
      <c r="BA88" s="173">
        <v>-1292</v>
      </c>
      <c r="BB88" s="34">
        <v>-1417</v>
      </c>
      <c r="BC88" s="34">
        <v>-1551</v>
      </c>
      <c r="BD88" s="34">
        <v>-1569</v>
      </c>
      <c r="BE88" s="173">
        <v>-1713</v>
      </c>
      <c r="BF88" s="34">
        <v>-1871</v>
      </c>
      <c r="BG88" s="34">
        <v>-2051</v>
      </c>
      <c r="BH88" s="34">
        <v>-2238</v>
      </c>
      <c r="BI88" s="173">
        <v>-2466</v>
      </c>
      <c r="BJ88" s="34">
        <v>-2767</v>
      </c>
      <c r="BK88" s="34">
        <v>-3175</v>
      </c>
      <c r="BL88" s="34">
        <v>-3599</v>
      </c>
      <c r="BM88" s="173">
        <v>-3991</v>
      </c>
      <c r="BN88" s="34">
        <v>-4524</v>
      </c>
      <c r="BO88" s="34">
        <v>-5094</v>
      </c>
      <c r="BP88" s="34">
        <v>-5718</v>
      </c>
      <c r="BQ88" s="173">
        <v>-6435</v>
      </c>
      <c r="BR88" s="34">
        <v>-7792</v>
      </c>
      <c r="BS88" s="34">
        <v>-9168</v>
      </c>
      <c r="BT88" s="34">
        <v>-10562</v>
      </c>
      <c r="BU88" s="173">
        <v>-11922</v>
      </c>
      <c r="BV88" s="34">
        <v>-13800</v>
      </c>
      <c r="BW88" s="34">
        <v>-15286</v>
      </c>
      <c r="BX88" s="34">
        <v>-16868</v>
      </c>
      <c r="BY88" s="173">
        <v>-18391</v>
      </c>
      <c r="BZ88" s="34">
        <v>-20355</v>
      </c>
      <c r="CA88" s="34">
        <v>-22309</v>
      </c>
      <c r="CB88" s="34">
        <v>-24395</v>
      </c>
      <c r="CC88" s="173">
        <v>-26786</v>
      </c>
      <c r="CD88" s="34">
        <v>-29042</v>
      </c>
      <c r="CE88" s="34">
        <f>CD88-'Cash Flow Statement'!CE12</f>
      </c>
      <c r="CF88" s="34">
        <v>-32543</v>
      </c>
      <c r="CG88" s="173">
        <v>-34235</v>
      </c>
      <c r="CH88" s="34">
        <v>-36249</v>
      </c>
      <c r="CI88" s="34">
        <v>-37961</v>
      </c>
      <c r="CJ88" s="34">
        <v>-39695</v>
      </c>
      <c r="CK88" s="173">
        <v>-41293</v>
      </c>
      <c r="CL88" s="1236">
        <f>CK88-'Cash Flow Statement'!CL12</f>
      </c>
      <c r="CM88" s="1236">
        <f>CL88-'Cash Flow Statement'!CM12</f>
      </c>
      <c r="CN88" s="1236">
        <f>CM88-'Cash Flow Statement'!CN12</f>
      </c>
      <c r="CO88" s="1237">
        <f>CN88-'Cash Flow Statement'!CO12</f>
      </c>
      <c r="CP88" s="1236">
        <f>CO88-'Cash Flow Statement'!CP12</f>
      </c>
      <c r="CQ88" s="1236">
        <f>CP88-'Cash Flow Statement'!CQ12</f>
      </c>
      <c r="CR88" s="1236">
        <f>CQ88-'Cash Flow Statement'!CR12</f>
      </c>
      <c r="CS88" s="1237">
        <f>CR88-'Cash Flow Statement'!CS12</f>
      </c>
      <c r="CT88" s="1236">
        <f>CS88-'Cash Flow Statement'!CT12</f>
      </c>
      <c r="CU88" s="1236">
        <f>CT88-'Cash Flow Statement'!CU12</f>
      </c>
      <c r="CV88" s="1236">
        <f>CU88-'Cash Flow Statement'!CV12</f>
      </c>
      <c r="CW88" s="1237">
        <f>CV88-'Cash Flow Statement'!CW12</f>
      </c>
      <c r="CX88" s="1236">
        <f>CW88-'Cash Flow Statement'!CX12</f>
      </c>
      <c r="CY88" s="1236">
        <f>CX88-'Cash Flow Statement'!CY12</f>
      </c>
      <c r="CZ88" s="1236">
        <f>CY88-'Cash Flow Statement'!CZ12</f>
      </c>
      <c r="DA88" s="1707">
        <v>-70283</v>
      </c>
      <c r="DB88" s="1708">
        <v>-68454</v>
      </c>
      <c r="DC88" s="1708">
        <v>-70020</v>
      </c>
      <c r="DD88" s="1708">
        <v>-71516</v>
      </c>
      <c r="DE88" s="1707">
        <v>-72340</v>
      </c>
      <c r="DF88" s="1708">
        <v>-68044</v>
      </c>
      <c r="DG88" s="1708">
        <v>-69668</v>
      </c>
      <c r="DH88" s="1708">
        <v>-70787</v>
      </c>
      <c r="DI88" s="247">
        <v>-70884</v>
      </c>
      <c r="DJ88" s="1708">
        <v>-72510</v>
      </c>
      <c r="DK88" s="1708">
        <v>-71697</v>
      </c>
      <c r="DL88" s="1708">
        <v>-72627</v>
      </c>
      <c r="DM88" s="247">
        <v>-73448</v>
      </c>
      <c r="DN88" s="1708">
        <v>-74546</v>
      </c>
      <c r="DO88" s="1708">
        <v>-74303</v>
      </c>
      <c r="DP88" s="2178">
        <f>DO88-'Cash Flow Statement'!DP12</f>
      </c>
      <c r="DQ88" s="2179">
        <f>DP88-'Cash Flow Statement'!DQ12</f>
      </c>
      <c r="DR88" s="2178">
        <f>DQ88-'Cash Flow Statement'!DR12</f>
      </c>
      <c r="DS88" s="2178">
        <f>DR88-'Cash Flow Statement'!DS12</f>
      </c>
      <c r="DT88" s="2178">
        <f>DS88-'Cash Flow Statement'!DT12</f>
      </c>
      <c r="DU88" s="2179">
        <f>DT88-'Cash Flow Statement'!DU12</f>
      </c>
      <c r="DV88" s="2178">
        <f>DU88-'Cash Flow Statement'!DV12</f>
      </c>
      <c r="DW88" s="2178">
        <f>DV88-'Cash Flow Statement'!DW12</f>
      </c>
      <c r="DX88" s="2178">
        <f>DW88-'Cash Flow Statement'!DX12</f>
      </c>
      <c r="DY88" s="2179">
        <f>DX88-'Cash Flow Statement'!DY12</f>
      </c>
      <c r="DZ88" s="2178">
        <f>DY88-'Cash Flow Statement'!DZ12</f>
      </c>
      <c r="EA88" s="2178">
        <f>DZ88-'Cash Flow Statement'!EA12</f>
      </c>
      <c r="EB88" s="2178">
        <f>EA88-'Cash Flow Statement'!EB12</f>
      </c>
      <c r="EC88" s="2179">
        <f>EB88-'Cash Flow Statement'!EC12</f>
      </c>
      <c r="ED88" s="2178">
        <f>EC88-'Cash Flow Statement'!ED12</f>
      </c>
      <c r="EE88" s="2178">
        <f>ED88-'Cash Flow Statement'!EE12</f>
      </c>
      <c r="EF88" s="2178">
        <f>EE88-'Cash Flow Statement'!EF12</f>
      </c>
      <c r="EG88" s="2179">
        <f>EF88-'Cash Flow Statement'!EG12</f>
      </c>
      <c r="EH88" s="2178">
        <f>EG88-'Cash Flow Statement'!EH12</f>
      </c>
      <c r="EI88" s="2178">
        <f>EH88-'Cash Flow Statement'!EI12</f>
      </c>
      <c r="EJ88" s="2178">
        <f>EI88-'Cash Flow Statement'!EJ12</f>
      </c>
      <c r="EK88" s="2179">
        <f>EJ88-'Cash Flow Statement'!EK12</f>
      </c>
      <c r="EN88" s="15">
        <f>E88</f>
      </c>
      <c r="EO88" s="15">
        <f>I88</f>
      </c>
      <c r="EP88" s="15">
        <f>M88</f>
      </c>
      <c r="EQ88" s="15">
        <f>Q88</f>
      </c>
      <c r="ER88" s="15">
        <f>U88</f>
      </c>
      <c r="ES88" s="15">
        <f>Y88</f>
      </c>
      <c r="ET88" s="15">
        <f>AC88</f>
      </c>
      <c r="EU88" s="15">
        <f>AG88</f>
      </c>
      <c r="EV88" s="15">
        <f>AK88</f>
      </c>
      <c r="EW88" s="15">
        <f>BA88</f>
      </c>
      <c r="EX88" s="15">
        <f>AS88</f>
      </c>
      <c r="EY88" s="15">
        <f>AW88</f>
      </c>
      <c r="EZ88" s="15">
        <f>BA88</f>
      </c>
      <c r="FA88" s="15">
        <f>BE88</f>
      </c>
      <c r="FB88" s="15">
        <f>BI88:BI112</f>
      </c>
      <c r="FC88" s="15">
        <f>BM88:BM112</f>
      </c>
      <c r="FD88" s="15">
        <f>BQ88:BQ112</f>
      </c>
      <c r="FE88" s="15">
        <f>BU88:BU112</f>
      </c>
      <c r="FF88" s="15">
        <f>BY88:BY112</f>
      </c>
      <c r="FG88" s="15">
        <f>CC88:CC112</f>
      </c>
      <c r="FH88" s="15">
        <f>CG88</f>
      </c>
      <c r="FI88" s="15">
        <f>CK88</f>
      </c>
      <c r="FJ88" s="15">
        <f>CO88</f>
      </c>
      <c r="FK88" s="15">
        <f>CS88</f>
      </c>
      <c r="FL88" s="15">
        <f>CW88</f>
      </c>
      <c r="FM88" s="15">
        <f>DA88</f>
      </c>
      <c r="FN88" s="15">
        <f>DE88</f>
      </c>
      <c r="FO88" s="15">
        <f t="shared" si="488"/>
      </c>
      <c r="FP88" s="15">
        <f t="shared" si="489"/>
      </c>
      <c r="FQ88" s="15">
        <f t="shared" si="490"/>
      </c>
      <c r="FR88" s="15">
        <f t="shared" si="491"/>
      </c>
      <c r="FS88" s="15">
        <f t="shared" si="492"/>
      </c>
      <c r="FT88" s="15">
        <f t="shared" si="493"/>
      </c>
      <c r="FU88" s="15">
        <f t="shared" si="494"/>
      </c>
      <c r="FV88" s="15">
        <f t="shared" si="495"/>
      </c>
    </row>
    <row r="89" spans="1:178" s="11" customFormat="1" ht="10.199999999999999">
      <c r="A89" s="1" t="s">
        <v>303</v>
      </c>
      <c r="B89" s="15">
        <f t="shared" ref="B89:AG89" si="496">B21</f>
      </c>
      <c r="C89" s="15">
        <f t="shared" si="496"/>
      </c>
      <c r="D89" s="15">
        <f t="shared" si="496"/>
      </c>
      <c r="E89" s="174">
        <f t="shared" si="496"/>
      </c>
      <c r="F89" s="15">
        <f t="shared" si="496"/>
      </c>
      <c r="G89" s="15">
        <f t="shared" si="496"/>
      </c>
      <c r="H89" s="15">
        <f t="shared" si="496"/>
      </c>
      <c r="I89" s="174">
        <f t="shared" si="496"/>
      </c>
      <c r="J89" s="15">
        <f t="shared" si="496"/>
      </c>
      <c r="K89" s="15">
        <f t="shared" si="496"/>
      </c>
      <c r="L89" s="15">
        <f t="shared" si="496"/>
      </c>
      <c r="M89" s="174">
        <f t="shared" si="496"/>
      </c>
      <c r="N89" s="15">
        <f t="shared" si="496"/>
      </c>
      <c r="O89" s="15">
        <f t="shared" si="496"/>
      </c>
      <c r="P89" s="15">
        <f t="shared" si="496"/>
      </c>
      <c r="Q89" s="174">
        <f t="shared" si="496"/>
      </c>
      <c r="R89" s="15">
        <f t="shared" si="496"/>
      </c>
      <c r="S89" s="15">
        <f t="shared" si="496"/>
      </c>
      <c r="T89" s="15">
        <f t="shared" si="496"/>
      </c>
      <c r="U89" s="174">
        <f t="shared" si="496"/>
      </c>
      <c r="V89" s="15">
        <f t="shared" si="496"/>
      </c>
      <c r="W89" s="15">
        <f t="shared" si="496"/>
      </c>
      <c r="X89" s="15">
        <f t="shared" si="496"/>
      </c>
      <c r="Y89" s="174">
        <f t="shared" si="496"/>
      </c>
      <c r="Z89" s="15">
        <f t="shared" si="496"/>
      </c>
      <c r="AA89" s="15">
        <f t="shared" si="496"/>
      </c>
      <c r="AB89" s="15">
        <f t="shared" si="496"/>
      </c>
      <c r="AC89" s="174">
        <f t="shared" si="496"/>
      </c>
      <c r="AD89" s="15">
        <f t="shared" si="496"/>
      </c>
      <c r="AE89" s="15">
        <f t="shared" si="496"/>
      </c>
      <c r="AF89" s="15">
        <f t="shared" si="496"/>
      </c>
      <c r="AG89" s="174">
        <f t="shared" si="496"/>
      </c>
      <c r="AH89" s="15">
        <f t="shared" ref="AH89:BM89" si="497">AH21</f>
      </c>
      <c r="AI89" s="15">
        <f t="shared" si="497"/>
      </c>
      <c r="AJ89" s="15">
        <f t="shared" si="497"/>
      </c>
      <c r="AK89" s="174">
        <f t="shared" si="497"/>
      </c>
      <c r="AL89" s="15">
        <f t="shared" si="497"/>
      </c>
      <c r="AM89" s="15">
        <f t="shared" si="497"/>
      </c>
      <c r="AN89" s="15">
        <f t="shared" si="497"/>
      </c>
      <c r="AO89" s="174">
        <f t="shared" si="497"/>
      </c>
      <c r="AP89" s="15">
        <f t="shared" si="497"/>
      </c>
      <c r="AQ89" s="15">
        <f t="shared" si="497"/>
      </c>
      <c r="AR89" s="15">
        <f t="shared" si="497"/>
      </c>
      <c r="AS89" s="174">
        <f t="shared" si="497"/>
      </c>
      <c r="AT89" s="15">
        <f t="shared" si="497"/>
      </c>
      <c r="AU89" s="15">
        <f t="shared" si="497"/>
      </c>
      <c r="AV89" s="15">
        <f t="shared" si="497"/>
      </c>
      <c r="AW89" s="174">
        <f t="shared" si="497"/>
      </c>
      <c r="AX89" s="15">
        <f t="shared" si="497"/>
      </c>
      <c r="AY89" s="15">
        <f t="shared" si="497"/>
      </c>
      <c r="AZ89" s="15">
        <f t="shared" si="497"/>
      </c>
      <c r="BA89" s="174">
        <f t="shared" si="497"/>
      </c>
      <c r="BB89" s="15">
        <f t="shared" si="497"/>
      </c>
      <c r="BC89" s="15">
        <f t="shared" si="497"/>
      </c>
      <c r="BD89" s="15">
        <f t="shared" si="497"/>
      </c>
      <c r="BE89" s="174">
        <f t="shared" si="497"/>
      </c>
      <c r="BF89" s="15">
        <f t="shared" si="497"/>
      </c>
      <c r="BG89" s="15">
        <f t="shared" si="497"/>
      </c>
      <c r="BH89" s="15">
        <f t="shared" si="497"/>
      </c>
      <c r="BI89" s="174">
        <f t="shared" si="497"/>
      </c>
      <c r="BJ89" s="15">
        <f t="shared" si="497"/>
      </c>
      <c r="BK89" s="15">
        <f t="shared" si="497"/>
      </c>
      <c r="BL89" s="15">
        <f t="shared" si="497"/>
      </c>
      <c r="BM89" s="174">
        <f t="shared" si="497"/>
      </c>
      <c r="BN89" s="15">
        <f t="shared" ref="BN89:CS89" si="498">BN21</f>
      </c>
      <c r="BO89" s="15">
        <f t="shared" si="498"/>
      </c>
      <c r="BP89" s="15">
        <f t="shared" si="498"/>
      </c>
      <c r="BQ89" s="174">
        <f t="shared" si="498"/>
      </c>
      <c r="BR89" s="15">
        <f t="shared" si="498"/>
      </c>
      <c r="BS89" s="15">
        <f t="shared" si="498"/>
      </c>
      <c r="BT89" s="15">
        <f t="shared" si="498"/>
      </c>
      <c r="BU89" s="174">
        <f t="shared" si="498"/>
      </c>
      <c r="BV89" s="15">
        <f t="shared" si="498"/>
      </c>
      <c r="BW89" s="15">
        <f t="shared" si="498"/>
      </c>
      <c r="BX89" s="15">
        <f t="shared" si="498"/>
      </c>
      <c r="BY89" s="174">
        <f t="shared" si="498"/>
      </c>
      <c r="BZ89" s="15">
        <f t="shared" si="498"/>
      </c>
      <c r="CA89" s="15">
        <f t="shared" si="498"/>
      </c>
      <c r="CB89" s="15">
        <f t="shared" si="498"/>
      </c>
      <c r="CC89" s="174">
        <f t="shared" si="498"/>
      </c>
      <c r="CD89" s="15">
        <f t="shared" si="498"/>
      </c>
      <c r="CE89" s="15">
        <f t="shared" si="498"/>
      </c>
      <c r="CF89" s="15">
        <f t="shared" si="498"/>
      </c>
      <c r="CG89" s="174">
        <f t="shared" si="498"/>
      </c>
      <c r="CH89" s="15">
        <f t="shared" si="498"/>
      </c>
      <c r="CI89" s="15">
        <f t="shared" si="498"/>
      </c>
      <c r="CJ89" s="15">
        <f t="shared" si="498"/>
      </c>
      <c r="CK89" s="174">
        <f t="shared" si="498"/>
      </c>
      <c r="CL89" s="15">
        <f t="shared" si="498"/>
      </c>
      <c r="CM89" s="15">
        <f t="shared" si="498"/>
      </c>
      <c r="CN89" s="15">
        <f t="shared" si="498"/>
      </c>
      <c r="CO89" s="174">
        <f t="shared" si="498"/>
      </c>
      <c r="CP89" s="15">
        <f t="shared" si="498"/>
      </c>
      <c r="CQ89" s="15">
        <f t="shared" si="498"/>
      </c>
      <c r="CR89" s="15">
        <f t="shared" si="498"/>
      </c>
      <c r="CS89" s="174">
        <f t="shared" si="498"/>
      </c>
      <c r="CT89" s="15">
        <f t="shared" ref="CT89:DU89" si="499">CT21</f>
      </c>
      <c r="CU89" s="15">
        <f t="shared" si="499"/>
      </c>
      <c r="CV89" s="15">
        <f t="shared" si="499"/>
      </c>
      <c r="CW89" s="174">
        <f t="shared" si="499"/>
      </c>
      <c r="CX89" s="15">
        <f t="shared" si="499"/>
      </c>
      <c r="CY89" s="15">
        <f t="shared" si="499"/>
      </c>
      <c r="CZ89" s="15">
        <f t="shared" si="499"/>
      </c>
      <c r="DA89" s="174">
        <f t="shared" si="499"/>
      </c>
      <c r="DB89" s="62">
        <f t="shared" si="499"/>
      </c>
      <c r="DC89" s="62">
        <f t="shared" si="499"/>
      </c>
      <c r="DD89" s="62">
        <f t="shared" si="499"/>
      </c>
      <c r="DE89" s="226">
        <f t="shared" si="499"/>
      </c>
      <c r="DF89" s="62">
        <f t="shared" si="499"/>
      </c>
      <c r="DG89" s="62">
        <f t="shared" si="499"/>
      </c>
      <c r="DH89" s="62">
        <f t="shared" si="499"/>
      </c>
      <c r="DI89" s="174">
        <f t="shared" si="499"/>
      </c>
      <c r="DJ89" s="62">
        <f t="shared" si="499"/>
      </c>
      <c r="DK89" s="62">
        <f t="shared" si="499"/>
      </c>
      <c r="DL89" s="62">
        <f t="shared" ref="DL89:DO89" si="500">DL21</f>
      </c>
      <c r="DM89" s="174">
        <f t="shared" si="500"/>
      </c>
      <c r="DN89" s="62">
        <f t="shared" si="500"/>
      </c>
      <c r="DO89" s="62">
        <f t="shared" si="500"/>
      </c>
      <c r="DP89" s="62">
        <f t="shared" si="499"/>
      </c>
      <c r="DQ89" s="226">
        <f t="shared" si="499"/>
      </c>
      <c r="DR89" s="62">
        <f t="shared" si="499"/>
      </c>
      <c r="DS89" s="62">
        <f t="shared" si="499"/>
      </c>
      <c r="DT89" s="62">
        <f t="shared" si="499"/>
      </c>
      <c r="DU89" s="226">
        <f t="shared" si="499"/>
      </c>
      <c r="DV89" s="62">
        <f t="shared" ref="DV89:EK89" si="501">DV21</f>
      </c>
      <c r="DW89" s="62">
        <f t="shared" si="501"/>
      </c>
      <c r="DX89" s="62">
        <f t="shared" si="501"/>
      </c>
      <c r="DY89" s="226">
        <f t="shared" si="501"/>
      </c>
      <c r="DZ89" s="62">
        <f t="shared" si="501"/>
      </c>
      <c r="EA89" s="62">
        <f t="shared" si="501"/>
      </c>
      <c r="EB89" s="62">
        <f t="shared" si="501"/>
      </c>
      <c r="EC89" s="226">
        <f t="shared" si="501"/>
      </c>
      <c r="ED89" s="62">
        <f t="shared" si="501"/>
      </c>
      <c r="EE89" s="62">
        <f t="shared" si="501"/>
      </c>
      <c r="EF89" s="62">
        <f t="shared" si="501"/>
      </c>
      <c r="EG89" s="226">
        <f t="shared" si="501"/>
      </c>
      <c r="EH89" s="62">
        <f t="shared" si="501"/>
      </c>
      <c r="EI89" s="62">
        <f t="shared" si="501"/>
      </c>
      <c r="EJ89" s="62">
        <f t="shared" si="501"/>
      </c>
      <c r="EK89" s="226">
        <f t="shared" si="501"/>
      </c>
      <c r="EN89" s="15">
        <f t="shared" ref="EN89:FG89" si="502">EN21</f>
      </c>
      <c r="EO89" s="15">
        <f t="shared" si="502"/>
      </c>
      <c r="EP89" s="15">
        <f t="shared" si="502"/>
      </c>
      <c r="EQ89" s="15">
        <f t="shared" si="502"/>
      </c>
      <c r="ER89" s="15">
        <f t="shared" si="502"/>
      </c>
      <c r="ES89" s="15">
        <f t="shared" si="502"/>
      </c>
      <c r="ET89" s="15">
        <f t="shared" si="502"/>
      </c>
      <c r="EU89" s="15">
        <f t="shared" si="502"/>
      </c>
      <c r="EV89" s="15">
        <f t="shared" si="502"/>
      </c>
      <c r="EW89" s="15">
        <f t="shared" si="502"/>
      </c>
      <c r="EX89" s="15">
        <f t="shared" si="502"/>
      </c>
      <c r="EY89" s="15">
        <f t="shared" si="502"/>
      </c>
      <c r="EZ89" s="15">
        <f t="shared" si="502"/>
      </c>
      <c r="FA89" s="15">
        <f t="shared" si="502"/>
      </c>
      <c r="FB89" s="15">
        <f t="shared" si="502"/>
      </c>
      <c r="FC89" s="15">
        <f t="shared" si="502"/>
      </c>
      <c r="FD89" s="15">
        <f t="shared" si="502"/>
      </c>
      <c r="FE89" s="15">
        <f t="shared" si="502"/>
      </c>
      <c r="FF89" s="15">
        <f t="shared" si="502"/>
      </c>
      <c r="FG89" s="15">
        <f t="shared" si="502"/>
      </c>
      <c r="FH89" s="15">
        <f>CG89</f>
      </c>
      <c r="FI89" s="15">
        <f>CK89</f>
      </c>
      <c r="FJ89" s="15">
        <f>CO89</f>
      </c>
      <c r="FK89" s="15">
        <f>CS89</f>
      </c>
      <c r="FL89" s="15">
        <f>CW89</f>
      </c>
      <c r="FM89" s="15">
        <f>DA89</f>
      </c>
      <c r="FN89" s="15">
        <f>DE89</f>
      </c>
      <c r="FO89" s="15">
        <f t="shared" ref="FO89" si="503">+DI89</f>
      </c>
      <c r="FP89" s="15">
        <f t="shared" ref="FP89" si="504">+DM89</f>
      </c>
      <c r="FQ89" s="15">
        <f t="shared" ref="FQ89" si="505">+DQ89</f>
      </c>
      <c r="FR89" s="15">
        <f t="shared" ref="FR89" si="506">+DU89</f>
      </c>
      <c r="FS89" s="15">
        <f t="shared" ref="FS89" si="507">DY89</f>
      </c>
      <c r="FT89" s="15">
        <f t="shared" ref="FT89" si="508">EC89</f>
      </c>
      <c r="FU89" s="15">
        <f t="shared" ref="FU89" si="509">EG89</f>
      </c>
      <c r="FV89" s="15">
        <f t="shared" ref="FV89" si="510">EK89</f>
      </c>
    </row>
    <row r="90" spans="1:178" s="11" customFormat="1" ht="10.199999999999999">
      <c r="A90" s="1"/>
      <c r="E90" s="170"/>
      <c r="I90" s="170"/>
      <c r="M90" s="170"/>
      <c r="Q90" s="170"/>
      <c r="U90" s="170"/>
      <c r="Y90" s="170"/>
      <c r="AC90" s="170"/>
      <c r="AG90" s="170"/>
      <c r="AK90" s="170"/>
      <c r="AO90" s="170"/>
      <c r="AS90" s="170"/>
      <c r="AW90" s="170"/>
      <c r="BA90" s="170"/>
      <c r="BE90" s="170"/>
      <c r="BI90" s="170"/>
      <c r="BM90" s="170"/>
      <c r="BQ90" s="170"/>
      <c r="BU90" s="170"/>
      <c r="BY90" s="170"/>
      <c r="CC90" s="170"/>
      <c r="CG90" s="170"/>
      <c r="CK90" s="170"/>
      <c r="CO90" s="170"/>
      <c r="CS90" s="170"/>
      <c r="CW90" s="170"/>
      <c r="DA90" s="170"/>
      <c r="DB90" s="89"/>
      <c r="DC90" s="89"/>
      <c r="DD90" s="89"/>
      <c r="DE90" s="260"/>
      <c r="DF90" s="89"/>
      <c r="DG90" s="89"/>
      <c r="DH90" s="89"/>
      <c r="DI90" s="260"/>
      <c r="DJ90" s="89"/>
      <c r="DK90" s="89"/>
      <c r="DL90" s="89"/>
      <c r="DM90" s="260"/>
      <c r="DN90" s="89"/>
      <c r="DO90" s="89"/>
      <c r="DP90" s="89"/>
      <c r="DQ90" s="260"/>
      <c r="DR90" s="89"/>
      <c r="DS90" s="89"/>
      <c r="DT90" s="89"/>
      <c r="DU90" s="260"/>
      <c r="DV90" s="89"/>
      <c r="DW90" s="89"/>
      <c r="DX90" s="89"/>
      <c r="DY90" s="260"/>
      <c r="DZ90" s="89"/>
      <c r="EA90" s="89"/>
      <c r="EB90" s="89"/>
      <c r="EC90" s="260"/>
      <c r="ED90" s="89"/>
      <c r="EE90" s="89"/>
      <c r="EF90" s="89"/>
      <c r="EG90" s="260"/>
      <c r="EH90" s="89"/>
      <c r="EI90" s="89"/>
      <c r="EJ90" s="89"/>
      <c r="EK90" s="260"/>
      <c r="FK90" s="15"/>
      <c r="FL90" s="15"/>
      <c r="FM90" s="15"/>
      <c r="FN90" s="15"/>
      <c r="FO90" s="15"/>
      <c r="FP90" s="15"/>
      <c r="FQ90" s="15"/>
      <c r="FR90" s="15"/>
      <c r="FS90" s="15"/>
      <c r="FT90" s="15"/>
      <c r="FU90" s="15"/>
      <c r="FV90" s="15"/>
    </row>
    <row r="91" spans="1:178">
      <c r="A91" s="1" t="s">
        <v>657</v>
      </c>
      <c r="B91" s="15">
        <f t="shared" ref="B91:AZ91" si="511">B93-B92</f>
      </c>
      <c r="C91" s="15">
        <f t="shared" si="511"/>
      </c>
      <c r="D91" s="15">
        <f t="shared" si="511"/>
      </c>
      <c r="E91" s="174">
        <f t="shared" si="511"/>
      </c>
      <c r="F91" s="15">
        <f t="shared" si="511"/>
      </c>
      <c r="G91" s="15">
        <f t="shared" si="511"/>
      </c>
      <c r="H91" s="15">
        <f t="shared" si="511"/>
      </c>
      <c r="I91" s="174">
        <f t="shared" si="511"/>
      </c>
      <c r="J91" s="15">
        <f t="shared" si="511"/>
      </c>
      <c r="K91" s="15">
        <f t="shared" si="511"/>
      </c>
      <c r="L91" s="15">
        <f t="shared" si="511"/>
      </c>
      <c r="M91" s="174">
        <f t="shared" si="511"/>
      </c>
      <c r="N91" s="15">
        <f t="shared" si="511"/>
      </c>
      <c r="O91" s="15">
        <f t="shared" si="511"/>
      </c>
      <c r="P91" s="15">
        <f t="shared" si="511"/>
      </c>
      <c r="Q91" s="174">
        <f t="shared" si="511"/>
      </c>
      <c r="R91" s="15">
        <f t="shared" si="511"/>
      </c>
      <c r="S91" s="15">
        <f t="shared" si="511"/>
      </c>
      <c r="T91" s="15">
        <f t="shared" si="511"/>
      </c>
      <c r="U91" s="174">
        <f t="shared" si="511"/>
      </c>
      <c r="V91" s="15">
        <f t="shared" si="511"/>
      </c>
      <c r="W91" s="15">
        <f t="shared" si="511"/>
      </c>
      <c r="X91" s="15">
        <f t="shared" si="511"/>
      </c>
      <c r="Y91" s="174">
        <f t="shared" si="511"/>
      </c>
      <c r="Z91" s="15">
        <f t="shared" si="511"/>
      </c>
      <c r="AA91" s="15">
        <f t="shared" si="511"/>
      </c>
      <c r="AB91" s="15">
        <f t="shared" si="511"/>
      </c>
      <c r="AC91" s="174">
        <f t="shared" si="511"/>
      </c>
      <c r="AD91" s="15">
        <f t="shared" si="511"/>
      </c>
      <c r="AE91" s="15">
        <f t="shared" si="511"/>
      </c>
      <c r="AF91" s="15">
        <f t="shared" si="511"/>
      </c>
      <c r="AG91" s="174">
        <f t="shared" si="511"/>
      </c>
      <c r="AH91" s="15">
        <f t="shared" si="511"/>
      </c>
      <c r="AI91" s="15">
        <f t="shared" si="511"/>
      </c>
      <c r="AJ91" s="15">
        <f t="shared" si="511"/>
      </c>
      <c r="AK91" s="174">
        <f t="shared" si="511"/>
      </c>
      <c r="AL91" s="15">
        <f t="shared" si="511"/>
      </c>
      <c r="AM91" s="15">
        <f t="shared" si="511"/>
      </c>
      <c r="AN91" s="15">
        <f t="shared" si="511"/>
      </c>
      <c r="AO91" s="174">
        <f t="shared" si="511"/>
      </c>
      <c r="AP91" s="15">
        <f t="shared" si="511"/>
      </c>
      <c r="AQ91" s="15">
        <f t="shared" si="511"/>
      </c>
      <c r="AR91" s="15">
        <f t="shared" si="511"/>
      </c>
      <c r="AS91" s="174">
        <f t="shared" si="511"/>
      </c>
      <c r="AT91" s="15">
        <f t="shared" si="511"/>
      </c>
      <c r="AU91" s="15">
        <f t="shared" si="511"/>
      </c>
      <c r="AV91" s="15">
        <f t="shared" si="511"/>
      </c>
      <c r="AW91" s="174">
        <f t="shared" si="511"/>
      </c>
      <c r="AX91" s="15">
        <f t="shared" si="511"/>
      </c>
      <c r="AY91" s="15">
        <f t="shared" si="511"/>
      </c>
      <c r="AZ91" s="15">
        <f t="shared" si="511"/>
      </c>
      <c r="BA91" s="174">
        <f>BA93-BA92</f>
      </c>
      <c r="BB91" s="15">
        <f>BB93-BB92</f>
      </c>
      <c r="BC91" s="15">
        <f t="shared" ref="BC91:BU91" si="512">BC93-BC92</f>
      </c>
      <c r="BD91" s="15">
        <f t="shared" si="512"/>
      </c>
      <c r="BE91" s="174">
        <f t="shared" si="512"/>
      </c>
      <c r="BF91" s="15">
        <f t="shared" si="512"/>
      </c>
      <c r="BG91" s="15">
        <f t="shared" si="512"/>
      </c>
      <c r="BH91" s="15">
        <f t="shared" si="512"/>
      </c>
      <c r="BI91" s="174">
        <f t="shared" si="512"/>
      </c>
      <c r="BJ91" s="15">
        <f t="shared" si="512"/>
      </c>
      <c r="BK91" s="15">
        <f t="shared" si="512"/>
      </c>
      <c r="BL91" s="15">
        <f t="shared" si="512"/>
      </c>
      <c r="BM91" s="174">
        <f t="shared" si="512"/>
      </c>
      <c r="BN91" s="15">
        <f t="shared" si="512"/>
      </c>
      <c r="BO91" s="15">
        <f t="shared" si="512"/>
      </c>
      <c r="BP91" s="15">
        <f t="shared" si="512"/>
      </c>
      <c r="BQ91" s="174">
        <f t="shared" si="512"/>
      </c>
      <c r="BR91" s="15">
        <f t="shared" si="512"/>
      </c>
      <c r="BS91" s="15">
        <f t="shared" si="512"/>
      </c>
      <c r="BT91" s="15">
        <f t="shared" si="512"/>
      </c>
      <c r="BU91" s="174">
        <f t="shared" si="512"/>
      </c>
      <c r="BV91" s="15">
        <f t="shared" ref="BV91:CO91" si="513">BV93-BV92</f>
      </c>
      <c r="BW91" s="15">
        <f t="shared" si="513"/>
      </c>
      <c r="BX91" s="15">
        <f t="shared" si="513"/>
      </c>
      <c r="BY91" s="174">
        <f t="shared" si="513"/>
      </c>
      <c r="BZ91" s="15">
        <f t="shared" si="513"/>
      </c>
      <c r="CA91" s="15">
        <f t="shared" si="513"/>
      </c>
      <c r="CB91" s="15">
        <f t="shared" si="513"/>
      </c>
      <c r="CC91" s="174">
        <f t="shared" si="513"/>
      </c>
      <c r="CD91" s="15">
        <f t="shared" si="513"/>
      </c>
      <c r="CE91" s="15">
        <f t="shared" si="513"/>
      </c>
      <c r="CF91" s="15">
        <f t="shared" si="513"/>
      </c>
      <c r="CG91" s="174">
        <f t="shared" si="513"/>
      </c>
      <c r="CH91" s="15">
        <f t="shared" si="513"/>
      </c>
      <c r="CI91" s="15">
        <f t="shared" si="513"/>
      </c>
      <c r="CJ91" s="15">
        <f t="shared" si="513"/>
      </c>
      <c r="CK91" s="174">
        <f t="shared" si="513"/>
      </c>
      <c r="CL91" s="15">
        <f t="shared" si="513"/>
      </c>
      <c r="CM91" s="15">
        <f t="shared" si="513"/>
      </c>
      <c r="CN91" s="15">
        <f t="shared" si="513"/>
      </c>
      <c r="CO91" s="174">
        <f t="shared" si="513"/>
      </c>
      <c r="CP91" s="15">
        <f t="shared" ref="CP91:CV91" si="514">CP93-CP92</f>
      </c>
      <c r="CQ91" s="15">
        <f t="shared" si="514"/>
      </c>
      <c r="CR91" s="15">
        <f t="shared" si="514"/>
      </c>
      <c r="CS91" s="174">
        <f t="shared" si="514"/>
      </c>
      <c r="CT91" s="15">
        <f t="shared" si="514"/>
      </c>
      <c r="CU91" s="15">
        <f t="shared" si="514"/>
      </c>
      <c r="CV91" s="15">
        <f t="shared" si="514"/>
      </c>
      <c r="CW91" s="174">
        <f>CW93-CW92</f>
      </c>
      <c r="CX91" s="15">
        <f t="shared" ref="CX91:DE91" si="515">CX93-CX92</f>
      </c>
      <c r="CY91" s="15">
        <f t="shared" ref="CY91" si="516">CY93-CY92</f>
      </c>
      <c r="CZ91" s="15">
        <f t="shared" si="515"/>
      </c>
      <c r="DA91" s="174">
        <f>DA93-DA92</f>
      </c>
      <c r="DB91" s="62">
        <f t="shared" si="515"/>
      </c>
      <c r="DC91" s="62">
        <f t="shared" si="515"/>
      </c>
      <c r="DD91" s="62">
        <f t="shared" si="515"/>
      </c>
      <c r="DE91" s="226">
        <f t="shared" si="515"/>
      </c>
      <c r="DF91" s="62">
        <f t="shared" ref="DF91:DM91" si="517">DF93-DF92</f>
      </c>
      <c r="DG91" s="62">
        <f t="shared" si="517"/>
      </c>
      <c r="DH91" s="62">
        <f t="shared" si="517"/>
      </c>
      <c r="DI91" s="226">
        <f t="shared" si="517"/>
      </c>
      <c r="DJ91" s="62">
        <f t="shared" si="517"/>
      </c>
      <c r="DK91" s="62">
        <f t="shared" si="517"/>
      </c>
      <c r="DL91" s="62">
        <f t="shared" ref="DL91" si="518">DL93-DL92</f>
      </c>
      <c r="DM91" s="226">
        <f t="shared" si="517"/>
      </c>
      <c r="DN91" s="62">
        <f t="shared" ref="DN91" si="519">DN93-DN92</f>
      </c>
      <c r="DO91" s="62">
        <f t="shared" ref="DO91:DQ91" si="520">DO93-DO92</f>
      </c>
      <c r="DP91" s="62">
        <f t="shared" si="520"/>
      </c>
      <c r="DQ91" s="226">
        <f t="shared" si="520"/>
      </c>
      <c r="DR91" s="62">
        <f t="shared" ref="DR91:DU91" si="521">DR93-DR92</f>
      </c>
      <c r="DS91" s="62">
        <f t="shared" si="521"/>
      </c>
      <c r="DT91" s="62">
        <f t="shared" si="521"/>
      </c>
      <c r="DU91" s="226">
        <f t="shared" si="521"/>
      </c>
      <c r="DV91" s="62">
        <f t="shared" ref="DV91:EK91" si="522">DV93-DV92</f>
      </c>
      <c r="DW91" s="62">
        <f t="shared" si="522"/>
      </c>
      <c r="DX91" s="62">
        <f t="shared" si="522"/>
      </c>
      <c r="DY91" s="226">
        <f t="shared" si="522"/>
      </c>
      <c r="DZ91" s="62">
        <f t="shared" si="522"/>
      </c>
      <c r="EA91" s="62">
        <f t="shared" si="522"/>
      </c>
      <c r="EB91" s="62">
        <f t="shared" si="522"/>
      </c>
      <c r="EC91" s="226">
        <f t="shared" si="522"/>
      </c>
      <c r="ED91" s="62">
        <f t="shared" si="522"/>
      </c>
      <c r="EE91" s="62">
        <f t="shared" si="522"/>
      </c>
      <c r="EF91" s="62">
        <f t="shared" si="522"/>
      </c>
      <c r="EG91" s="226">
        <f t="shared" si="522"/>
      </c>
      <c r="EH91" s="62">
        <f t="shared" si="522"/>
      </c>
      <c r="EI91" s="62">
        <f t="shared" si="522"/>
      </c>
      <c r="EJ91" s="62">
        <f t="shared" si="522"/>
      </c>
      <c r="EK91" s="226">
        <f t="shared" si="522"/>
      </c>
      <c r="EN91" s="15">
        <f t="shared" ref="EN91:EZ91" si="523">EN93-EN92</f>
      </c>
      <c r="EO91" s="15">
        <f t="shared" si="523"/>
      </c>
      <c r="EP91" s="15">
        <f t="shared" si="523"/>
      </c>
      <c r="EQ91" s="15">
        <f t="shared" si="523"/>
      </c>
      <c r="ER91" s="15">
        <f t="shared" si="523"/>
      </c>
      <c r="ES91" s="15">
        <f t="shared" si="523"/>
      </c>
      <c r="ET91" s="15">
        <f t="shared" si="523"/>
      </c>
      <c r="EU91" s="15">
        <f t="shared" si="523"/>
      </c>
      <c r="EV91" s="15">
        <f t="shared" si="523"/>
      </c>
      <c r="EW91" s="15">
        <f t="shared" si="523"/>
      </c>
      <c r="EX91" s="15">
        <f t="shared" si="523"/>
      </c>
      <c r="EY91" s="15">
        <f t="shared" si="523"/>
      </c>
      <c r="EZ91" s="15">
        <f t="shared" si="523"/>
      </c>
      <c r="FA91" s="15">
        <f t="shared" ref="FA91:FG91" si="524">FA93-FA92</f>
      </c>
      <c r="FB91" s="15">
        <f t="shared" si="524"/>
      </c>
      <c r="FC91" s="15">
        <f t="shared" si="524"/>
      </c>
      <c r="FD91" s="15">
        <f t="shared" si="524"/>
      </c>
      <c r="FE91" s="15">
        <f t="shared" si="524"/>
      </c>
      <c r="FF91" s="15">
        <f t="shared" si="524"/>
      </c>
      <c r="FG91" s="15">
        <f t="shared" si="524"/>
      </c>
      <c r="FH91" s="15">
        <f>CG91</f>
      </c>
      <c r="FI91" s="15">
        <f>CK91</f>
      </c>
      <c r="FJ91" s="15">
        <f>CO91</f>
      </c>
      <c r="FK91" s="15">
        <f>CS91</f>
      </c>
      <c r="FL91" s="15">
        <f>CW91</f>
      </c>
      <c r="FM91" s="15">
        <f>DA91</f>
      </c>
      <c r="FN91" s="15">
        <f>DE91</f>
      </c>
      <c r="FO91" s="15">
        <f t="shared" ref="FO91:FO93" si="525">+DI91</f>
      </c>
      <c r="FP91" s="15">
        <f t="shared" ref="FP91:FP93" si="526">+DM91</f>
      </c>
      <c r="FQ91" s="15">
        <f t="shared" ref="FQ91:FQ93" si="527">+DQ91</f>
      </c>
      <c r="FR91" s="15">
        <f t="shared" ref="FR91:FR93" si="528">+DU91</f>
      </c>
      <c r="FS91" s="15">
        <f t="shared" ref="FS91:FS93" si="529">DY91</f>
      </c>
      <c r="FT91" s="15">
        <f t="shared" ref="FT91:FT93" si="530">EC91</f>
      </c>
      <c r="FU91" s="15">
        <f t="shared" ref="FU91:FU93" si="531">EG91</f>
      </c>
      <c r="FV91" s="15">
        <f t="shared" ref="FV91:FV93" si="532">EK91</f>
      </c>
    </row>
    <row r="92" spans="1:178" s="65" customFormat="1" ht="10.199999999999999">
      <c r="A92" s="1" t="s">
        <v>658</v>
      </c>
      <c r="B92" s="34"/>
      <c r="C92" s="34"/>
      <c r="D92" s="34"/>
      <c r="E92" s="173"/>
      <c r="F92" s="34"/>
      <c r="G92" s="34"/>
      <c r="H92" s="34"/>
      <c r="I92" s="173"/>
      <c r="J92" s="34"/>
      <c r="K92" s="34"/>
      <c r="L92" s="34"/>
      <c r="M92" s="173"/>
      <c r="N92" s="34"/>
      <c r="O92" s="34"/>
      <c r="P92" s="34"/>
      <c r="Q92" s="173"/>
      <c r="R92" s="34"/>
      <c r="S92" s="34"/>
      <c r="T92" s="34"/>
      <c r="U92" s="173">
        <v>-37</v>
      </c>
      <c r="V92" s="10">
        <f>U92+(Y92-U92)/4</f>
      </c>
      <c r="W92" s="10">
        <f>V92+(Y92-U92)/4</f>
      </c>
      <c r="X92" s="10">
        <f>W92+(Y92-U92)/4</f>
      </c>
      <c r="Y92" s="173">
        <v>-7</v>
      </c>
      <c r="Z92" s="10">
        <f>Y92+(AC92-Y92)/4</f>
      </c>
      <c r="AA92" s="10">
        <f>Z92+(AC92-Y92)/4</f>
      </c>
      <c r="AB92" s="10">
        <f>AA92+(AC92-Y92)/4</f>
      </c>
      <c r="AC92" s="173">
        <v>-13</v>
      </c>
      <c r="AD92" s="10">
        <f>AC92+(AG92-AC92)/4</f>
      </c>
      <c r="AE92" s="10">
        <f>AD92+(AG92-AC92)/4</f>
      </c>
      <c r="AF92" s="10">
        <f>AE92+(AG92-AC92)/4</f>
      </c>
      <c r="AG92" s="173">
        <v>-23</v>
      </c>
      <c r="AH92" s="10">
        <f>AG92+(AK92-AG92)/4</f>
      </c>
      <c r="AI92" s="10">
        <f>AH92+(AK92-AG92)/4</f>
      </c>
      <c r="AJ92" s="10">
        <f>AI92+(AK92-AG92)/4</f>
      </c>
      <c r="AK92" s="173">
        <v>-30</v>
      </c>
      <c r="AL92" s="10">
        <f>AK92+(AO92-AK92)/4</f>
      </c>
      <c r="AM92" s="10">
        <f>AL92+(AO92-AK92)/4</f>
      </c>
      <c r="AN92" s="10">
        <f>AM92+(AO92-AK92)/4</f>
      </c>
      <c r="AO92" s="173">
        <v>-34</v>
      </c>
      <c r="AP92" s="10">
        <f>AO92+(AS92-AO92)/4</f>
      </c>
      <c r="AQ92" s="10">
        <f>AP92+(AS92-AO92)/4</f>
      </c>
      <c r="AR92" s="10">
        <f>AQ92+(AS92-AO92)/4</f>
      </c>
      <c r="AS92" s="173">
        <v>-42</v>
      </c>
      <c r="AT92" s="10">
        <f>AS92+(AW92-AS92)/4</f>
      </c>
      <c r="AU92" s="10">
        <f>AT92+(AW92-AS92)/4</f>
      </c>
      <c r="AV92" s="10">
        <f>AU92+(AW92-AS92)/4</f>
      </c>
      <c r="AW92" s="173">
        <v>-77</v>
      </c>
      <c r="AX92" s="10">
        <f>AW92+(BA92-AW92)/4</f>
      </c>
      <c r="AY92" s="10">
        <f>AX92+(BA92-AW92)/4</f>
      </c>
      <c r="AZ92" s="10">
        <f>AY92+(BA92-AW92)/4</f>
      </c>
      <c r="BA92" s="173">
        <v>-123</v>
      </c>
      <c r="BB92" s="10">
        <f>BA92+(BE92-BA92)/4</f>
      </c>
      <c r="BC92" s="10">
        <f>BB92+(BE92-BA92)/4</f>
      </c>
      <c r="BD92" s="10">
        <f>BC92+(BE92-BA92)/4</f>
      </c>
      <c r="BE92" s="173">
        <v>-176</v>
      </c>
      <c r="BF92" s="10">
        <f>BE92+(BI92-BE92)/4</f>
      </c>
      <c r="BG92" s="10">
        <f>BF92+(BI92-BE92)/4</f>
      </c>
      <c r="BH92" s="10">
        <f>BG92+(BI92-BE92)/4</f>
      </c>
      <c r="BI92" s="173">
        <v>-245</v>
      </c>
      <c r="BJ92" s="10">
        <f>BI92+(BM92-BI92)/4</f>
      </c>
      <c r="BK92" s="10">
        <f>BJ92+(BM92-BI92)/4</f>
      </c>
      <c r="BL92" s="10">
        <f>BK92+(BM92-BI92)/4</f>
      </c>
      <c r="BM92" s="173">
        <v>-437</v>
      </c>
      <c r="BN92" s="10">
        <f>BM92+(BQ92-BM92)/4</f>
      </c>
      <c r="BO92" s="10">
        <f>BN92+(BQ92-BM92)/4</f>
      </c>
      <c r="BP92" s="10">
        <f>BO92+(BQ92-BM92)/4</f>
      </c>
      <c r="BQ92" s="173">
        <v>-1042</v>
      </c>
      <c r="BR92" s="10">
        <f>BQ92+(BU92-BQ92)/4</f>
      </c>
      <c r="BS92" s="10">
        <f>BR92+(BU92-BQ92)/4</f>
      </c>
      <c r="BT92" s="10">
        <f>BS92+(BU92-BQ92)/4</f>
      </c>
      <c r="BU92" s="173">
        <v>-2002</v>
      </c>
      <c r="BV92" s="34">
        <v>-2266</v>
      </c>
      <c r="BW92" s="34">
        <v>-2533</v>
      </c>
      <c r="BX92" s="34">
        <v>-2805</v>
      </c>
      <c r="BY92" s="173">
        <v>-3085</v>
      </c>
      <c r="BZ92" s="34">
        <v>-3371</v>
      </c>
      <c r="CA92" s="34">
        <v>-3711</v>
      </c>
      <c r="CB92" s="125">
        <v>-3991</v>
      </c>
      <c r="CC92" s="247">
        <v>-4332</v>
      </c>
      <c r="CD92" s="125">
        <v>-4666</v>
      </c>
      <c r="CE92" s="125">
        <v>-5054</v>
      </c>
      <c r="CF92" s="125">
        <v>-5411</v>
      </c>
      <c r="CG92" s="247">
        <v>-5806</v>
      </c>
      <c r="CH92" s="125">
        <v>-4724</v>
      </c>
      <c r="CI92" s="125">
        <v>-4741</v>
      </c>
      <c r="CJ92" s="125">
        <v>-5014</v>
      </c>
      <c r="CK92" s="247">
        <v>-5309</v>
      </c>
      <c r="CL92" s="1236">
        <f>CK92</f>
      </c>
      <c r="CM92" s="1236">
        <f>CL92</f>
      </c>
      <c r="CN92" s="1236">
        <f>CM92</f>
      </c>
      <c r="CO92" s="1237">
        <f>CN92</f>
      </c>
      <c r="CP92" s="1236">
        <f t="shared" ref="CP92:CW92" si="533">CO92</f>
      </c>
      <c r="CQ92" s="1236">
        <f t="shared" si="533"/>
      </c>
      <c r="CR92" s="1236">
        <f t="shared" si="533"/>
      </c>
      <c r="CS92" s="1237">
        <f t="shared" si="533"/>
      </c>
      <c r="CT92" s="1236">
        <f t="shared" si="533"/>
      </c>
      <c r="CU92" s="1236">
        <f t="shared" si="533"/>
      </c>
      <c r="CV92" s="1236">
        <f t="shared" si="533"/>
      </c>
      <c r="CW92" s="1237">
        <f t="shared" si="533"/>
      </c>
      <c r="CX92" s="1236">
        <f t="shared" ref="CX92:DE92" si="534">CW92</f>
      </c>
      <c r="CY92" s="1236">
        <f t="shared" si="534"/>
      </c>
      <c r="CZ92" s="1236">
        <f t="shared" si="534"/>
      </c>
      <c r="DA92" s="1237">
        <f t="shared" si="534"/>
      </c>
      <c r="DB92" s="1236">
        <f t="shared" si="534"/>
      </c>
      <c r="DC92" s="1236">
        <f t="shared" si="534"/>
      </c>
      <c r="DD92" s="1236">
        <f t="shared" si="534"/>
      </c>
      <c r="DE92" s="1237">
        <f t="shared" si="534"/>
      </c>
      <c r="DF92" s="1236">
        <f t="shared" ref="DF92:DN92" si="535">DE92</f>
      </c>
      <c r="DG92" s="1236">
        <f t="shared" si="535"/>
      </c>
      <c r="DH92" s="1236">
        <f t="shared" si="535"/>
      </c>
      <c r="DI92" s="1237">
        <f t="shared" si="535"/>
      </c>
      <c r="DJ92" s="1236">
        <f t="shared" si="535"/>
      </c>
      <c r="DK92" s="1236">
        <f t="shared" si="535"/>
      </c>
      <c r="DL92" s="1236">
        <f t="shared" si="535"/>
      </c>
      <c r="DM92" s="1237">
        <f t="shared" si="535"/>
      </c>
      <c r="DN92" s="1236">
        <f t="shared" si="535"/>
      </c>
      <c r="DO92" s="1236">
        <f t="shared" ref="DO92" si="536">DN92</f>
      </c>
      <c r="DP92" s="1236">
        <f t="shared" ref="DP92" si="537">DO92</f>
      </c>
      <c r="DQ92" s="1237">
        <f t="shared" ref="DQ92" si="538">DP92</f>
      </c>
      <c r="DR92" s="1236">
        <f t="shared" ref="DR92" si="539">DQ92</f>
      </c>
      <c r="DS92" s="1236">
        <f t="shared" ref="DS92" si="540">DR92</f>
      </c>
      <c r="DT92" s="1236">
        <f t="shared" ref="DT92" si="541">DS92</f>
      </c>
      <c r="DU92" s="1237">
        <f t="shared" ref="DU92" si="542">DT92</f>
      </c>
      <c r="DV92" s="1236">
        <f t="shared" ref="DV92" si="543">DU92</f>
      </c>
      <c r="DW92" s="1236">
        <f t="shared" ref="DW92" si="544">DV92</f>
      </c>
      <c r="DX92" s="1236">
        <f t="shared" ref="DX92" si="545">DW92</f>
      </c>
      <c r="DY92" s="1237">
        <f t="shared" ref="DY92" si="546">DX92</f>
      </c>
      <c r="DZ92" s="1236">
        <f t="shared" ref="DZ92" si="547">DY92</f>
      </c>
      <c r="EA92" s="1236">
        <f t="shared" ref="EA92" si="548">DZ92</f>
      </c>
      <c r="EB92" s="1236">
        <f t="shared" ref="EB92" si="549">EA92</f>
      </c>
      <c r="EC92" s="1237">
        <f t="shared" ref="EC92" si="550">EB92</f>
      </c>
      <c r="ED92" s="1236">
        <f t="shared" ref="ED92" si="551">EC92</f>
      </c>
      <c r="EE92" s="1236">
        <f t="shared" ref="EE92" si="552">ED92</f>
      </c>
      <c r="EF92" s="1236">
        <f t="shared" ref="EF92" si="553">EE92</f>
      </c>
      <c r="EG92" s="1237">
        <f t="shared" ref="EG92" si="554">EF92</f>
      </c>
      <c r="EH92" s="1236">
        <f t="shared" ref="EH92" si="555">EG92</f>
      </c>
      <c r="EI92" s="1236">
        <f t="shared" ref="EI92" si="556">EH92</f>
      </c>
      <c r="EJ92" s="1236">
        <f t="shared" ref="EJ92" si="557">EI92</f>
      </c>
      <c r="EK92" s="1237">
        <f t="shared" ref="EK92" si="558">EJ92</f>
      </c>
      <c r="EN92" s="34">
        <f>E92</f>
      </c>
      <c r="EO92" s="34">
        <f>I92</f>
      </c>
      <c r="EP92" s="34">
        <f>M92</f>
      </c>
      <c r="EQ92" s="34">
        <f>Q92</f>
      </c>
      <c r="ER92" s="34">
        <f>U92</f>
      </c>
      <c r="ES92" s="34">
        <f>Y92</f>
      </c>
      <c r="ET92" s="34">
        <f>AC92</f>
      </c>
      <c r="EU92" s="34">
        <f>AG92</f>
      </c>
      <c r="EV92" s="34">
        <f>AK92</f>
      </c>
      <c r="EW92" s="34">
        <f>BA92</f>
      </c>
      <c r="EX92" s="34">
        <f>AS92</f>
      </c>
      <c r="EY92" s="34">
        <f>AW92</f>
      </c>
      <c r="EZ92" s="34">
        <f>BA92</f>
      </c>
      <c r="FA92" s="34">
        <f>BE92</f>
      </c>
      <c r="FB92" s="34">
        <f>BI92:BI112</f>
      </c>
      <c r="FC92" s="34">
        <f>BM92:BM112</f>
      </c>
      <c r="FD92" s="34">
        <f>BQ92:BQ112</f>
      </c>
      <c r="FE92" s="34">
        <f>BU92:BU112</f>
      </c>
      <c r="FF92" s="34">
        <f>BY92:BY112</f>
      </c>
      <c r="FG92" s="34">
        <f>CC92:CC112</f>
      </c>
      <c r="FH92" s="15">
        <f>CG92</f>
      </c>
      <c r="FI92" s="15">
        <f>CK92</f>
      </c>
      <c r="FJ92" s="15">
        <f>CO92</f>
      </c>
      <c r="FK92" s="15">
        <f>CS92</f>
      </c>
      <c r="FL92" s="15">
        <f>CW92</f>
      </c>
      <c r="FM92" s="15">
        <f>DA92</f>
      </c>
      <c r="FN92" s="15">
        <f>DE92</f>
      </c>
      <c r="FO92" s="15">
        <f t="shared" si="525"/>
      </c>
      <c r="FP92" s="15">
        <f t="shared" si="526"/>
      </c>
      <c r="FQ92" s="15">
        <f t="shared" si="527"/>
      </c>
      <c r="FR92" s="15">
        <f t="shared" si="528"/>
      </c>
      <c r="FS92" s="15">
        <f t="shared" si="529"/>
      </c>
      <c r="FT92" s="15">
        <f t="shared" si="530"/>
      </c>
      <c r="FU92" s="15">
        <f t="shared" si="531"/>
      </c>
      <c r="FV92" s="15">
        <f t="shared" si="532"/>
      </c>
    </row>
    <row r="93" spans="1:178" s="11" customFormat="1" ht="10.199999999999999">
      <c r="A93" s="1" t="s">
        <v>659</v>
      </c>
      <c r="B93" s="15">
        <f t="shared" ref="B93:AG93" si="559">B22</f>
      </c>
      <c r="C93" s="15">
        <f t="shared" si="559"/>
      </c>
      <c r="D93" s="15">
        <f t="shared" si="559"/>
      </c>
      <c r="E93" s="174">
        <f t="shared" si="559"/>
      </c>
      <c r="F93" s="15">
        <f t="shared" si="559"/>
      </c>
      <c r="G93" s="15">
        <f t="shared" si="559"/>
      </c>
      <c r="H93" s="15">
        <f t="shared" si="559"/>
      </c>
      <c r="I93" s="174">
        <f t="shared" si="559"/>
      </c>
      <c r="J93" s="15">
        <f t="shared" si="559"/>
      </c>
      <c r="K93" s="15">
        <f t="shared" si="559"/>
      </c>
      <c r="L93" s="15">
        <f t="shared" si="559"/>
      </c>
      <c r="M93" s="174">
        <f t="shared" si="559"/>
      </c>
      <c r="N93" s="15">
        <f t="shared" si="559"/>
      </c>
      <c r="O93" s="15">
        <f t="shared" si="559"/>
      </c>
      <c r="P93" s="15">
        <f t="shared" si="559"/>
      </c>
      <c r="Q93" s="174">
        <f t="shared" si="559"/>
      </c>
      <c r="R93" s="15">
        <f t="shared" si="559"/>
      </c>
      <c r="S93" s="15">
        <f t="shared" si="559"/>
      </c>
      <c r="T93" s="15">
        <f t="shared" si="559"/>
      </c>
      <c r="U93" s="174">
        <f t="shared" si="559"/>
      </c>
      <c r="V93" s="15">
        <f t="shared" si="559"/>
      </c>
      <c r="W93" s="15">
        <f t="shared" si="559"/>
      </c>
      <c r="X93" s="15">
        <f t="shared" si="559"/>
      </c>
      <c r="Y93" s="174">
        <f t="shared" si="559"/>
      </c>
      <c r="Z93" s="15">
        <f t="shared" si="559"/>
      </c>
      <c r="AA93" s="15">
        <f t="shared" si="559"/>
      </c>
      <c r="AB93" s="15">
        <f t="shared" si="559"/>
      </c>
      <c r="AC93" s="174">
        <f t="shared" si="559"/>
      </c>
      <c r="AD93" s="15">
        <f t="shared" si="559"/>
      </c>
      <c r="AE93" s="15">
        <f t="shared" si="559"/>
      </c>
      <c r="AF93" s="15">
        <f t="shared" si="559"/>
      </c>
      <c r="AG93" s="174">
        <f t="shared" si="559"/>
      </c>
      <c r="AH93" s="15">
        <f t="shared" ref="AH93:BA93" si="560">AH22</f>
      </c>
      <c r="AI93" s="15">
        <f t="shared" si="560"/>
      </c>
      <c r="AJ93" s="15">
        <f t="shared" si="560"/>
      </c>
      <c r="AK93" s="174">
        <f t="shared" si="560"/>
      </c>
      <c r="AL93" s="15">
        <f t="shared" si="560"/>
      </c>
      <c r="AM93" s="15">
        <f t="shared" si="560"/>
      </c>
      <c r="AN93" s="15">
        <f t="shared" si="560"/>
      </c>
      <c r="AO93" s="174">
        <f t="shared" si="560"/>
      </c>
      <c r="AP93" s="15">
        <f t="shared" si="560"/>
      </c>
      <c r="AQ93" s="15">
        <f t="shared" si="560"/>
      </c>
      <c r="AR93" s="15">
        <f t="shared" si="560"/>
      </c>
      <c r="AS93" s="174">
        <f t="shared" si="560"/>
      </c>
      <c r="AT93" s="15">
        <f t="shared" si="560"/>
      </c>
      <c r="AU93" s="15">
        <f t="shared" si="560"/>
      </c>
      <c r="AV93" s="15">
        <f t="shared" si="560"/>
      </c>
      <c r="AW93" s="174">
        <f t="shared" si="560"/>
      </c>
      <c r="AX93" s="15">
        <f t="shared" si="560"/>
      </c>
      <c r="AY93" s="15">
        <f t="shared" si="560"/>
      </c>
      <c r="AZ93" s="15">
        <f t="shared" si="560"/>
      </c>
      <c r="BA93" s="174">
        <f t="shared" si="560"/>
      </c>
      <c r="BB93" s="15">
        <f t="shared" ref="BB93:CG93" si="561">BB23</f>
      </c>
      <c r="BC93" s="15">
        <f t="shared" si="561"/>
      </c>
      <c r="BD93" s="15">
        <f t="shared" si="561"/>
      </c>
      <c r="BE93" s="174">
        <f t="shared" si="561"/>
      </c>
      <c r="BF93" s="15">
        <f t="shared" si="561"/>
      </c>
      <c r="BG93" s="15">
        <f t="shared" si="561"/>
      </c>
      <c r="BH93" s="15">
        <f t="shared" si="561"/>
      </c>
      <c r="BI93" s="174">
        <f t="shared" si="561"/>
      </c>
      <c r="BJ93" s="15">
        <f t="shared" si="561"/>
      </c>
      <c r="BK93" s="15">
        <f t="shared" si="561"/>
      </c>
      <c r="BL93" s="15">
        <f t="shared" si="561"/>
      </c>
      <c r="BM93" s="174">
        <f t="shared" si="561"/>
      </c>
      <c r="BN93" s="15">
        <f t="shared" si="561"/>
      </c>
      <c r="BO93" s="15">
        <f t="shared" si="561"/>
      </c>
      <c r="BP93" s="15">
        <f t="shared" si="561"/>
      </c>
      <c r="BQ93" s="174">
        <f t="shared" si="561"/>
      </c>
      <c r="BR93" s="15">
        <f t="shared" si="561"/>
      </c>
      <c r="BS93" s="15">
        <f t="shared" si="561"/>
      </c>
      <c r="BT93" s="15">
        <f t="shared" si="561"/>
      </c>
      <c r="BU93" s="174">
        <f t="shared" si="561"/>
      </c>
      <c r="BV93" s="15">
        <f t="shared" si="561"/>
      </c>
      <c r="BW93" s="15">
        <f t="shared" si="561"/>
      </c>
      <c r="BX93" s="15">
        <f t="shared" si="561"/>
      </c>
      <c r="BY93" s="174">
        <f t="shared" si="561"/>
      </c>
      <c r="BZ93" s="15">
        <f t="shared" si="561"/>
      </c>
      <c r="CA93" s="15">
        <f t="shared" si="561"/>
      </c>
      <c r="CB93" s="15">
        <f t="shared" si="561"/>
      </c>
      <c r="CC93" s="174">
        <f t="shared" si="561"/>
      </c>
      <c r="CD93" s="15">
        <f t="shared" si="561"/>
      </c>
      <c r="CE93" s="15">
        <f t="shared" si="561"/>
      </c>
      <c r="CF93" s="15">
        <f t="shared" si="561"/>
      </c>
      <c r="CG93" s="174">
        <f t="shared" si="561"/>
      </c>
      <c r="CH93" s="15">
        <f t="shared" ref="CH93:DM93" si="562">CH23</f>
      </c>
      <c r="CI93" s="15">
        <f t="shared" si="562"/>
      </c>
      <c r="CJ93" s="15">
        <f t="shared" si="562"/>
      </c>
      <c r="CK93" s="174">
        <f t="shared" si="562"/>
      </c>
      <c r="CL93" s="15">
        <f t="shared" si="562"/>
      </c>
      <c r="CM93" s="15">
        <f t="shared" si="562"/>
      </c>
      <c r="CN93" s="15">
        <f t="shared" si="562"/>
      </c>
      <c r="CO93" s="174">
        <f t="shared" si="562"/>
      </c>
      <c r="CP93" s="15">
        <f t="shared" si="562"/>
      </c>
      <c r="CQ93" s="15">
        <f t="shared" si="562"/>
      </c>
      <c r="CR93" s="15">
        <f t="shared" si="562"/>
      </c>
      <c r="CS93" s="174">
        <f t="shared" si="562"/>
      </c>
      <c r="CT93" s="15">
        <f t="shared" si="562"/>
      </c>
      <c r="CU93" s="15">
        <f t="shared" si="562"/>
      </c>
      <c r="CV93" s="15">
        <f t="shared" si="562"/>
      </c>
      <c r="CW93" s="174">
        <f t="shared" si="562"/>
      </c>
      <c r="CX93" s="15">
        <f t="shared" si="562"/>
      </c>
      <c r="CY93" s="15">
        <f t="shared" si="562"/>
      </c>
      <c r="CZ93" s="15">
        <f t="shared" si="562"/>
      </c>
      <c r="DA93" s="174">
        <f t="shared" si="562"/>
      </c>
      <c r="DB93" s="62">
        <f t="shared" si="562"/>
      </c>
      <c r="DC93" s="62">
        <f t="shared" si="562"/>
      </c>
      <c r="DD93" s="62">
        <f t="shared" si="562"/>
      </c>
      <c r="DE93" s="226">
        <f t="shared" si="562"/>
      </c>
      <c r="DF93" s="62">
        <f t="shared" si="562"/>
      </c>
      <c r="DG93" s="62">
        <f t="shared" si="562"/>
      </c>
      <c r="DH93" s="62">
        <f t="shared" si="562"/>
      </c>
      <c r="DI93" s="226">
        <f t="shared" si="562"/>
      </c>
      <c r="DJ93" s="62">
        <f t="shared" si="562"/>
      </c>
      <c r="DK93" s="62">
        <f t="shared" si="562"/>
      </c>
      <c r="DL93" s="62">
        <f t="shared" ref="DL93" si="563">DL23</f>
      </c>
      <c r="DM93" s="226">
        <f t="shared" si="562"/>
      </c>
      <c r="DN93" s="62">
        <f t="shared" ref="DN93" si="564">DN23</f>
      </c>
      <c r="DO93" s="62">
        <f t="shared" ref="DO93:DU93" si="565">DO23</f>
      </c>
      <c r="DP93" s="62">
        <f t="shared" si="565"/>
      </c>
      <c r="DQ93" s="226">
        <f t="shared" si="565"/>
      </c>
      <c r="DR93" s="62">
        <f t="shared" si="565"/>
      </c>
      <c r="DS93" s="62">
        <f t="shared" si="565"/>
      </c>
      <c r="DT93" s="62">
        <f t="shared" si="565"/>
      </c>
      <c r="DU93" s="226">
        <f t="shared" si="565"/>
      </c>
      <c r="DV93" s="62">
        <f t="shared" ref="DV93:EK93" si="566">DV23</f>
      </c>
      <c r="DW93" s="62">
        <f t="shared" si="566"/>
      </c>
      <c r="DX93" s="62">
        <f t="shared" si="566"/>
      </c>
      <c r="DY93" s="226">
        <f t="shared" si="566"/>
      </c>
      <c r="DZ93" s="62">
        <f t="shared" si="566"/>
      </c>
      <c r="EA93" s="62">
        <f t="shared" si="566"/>
      </c>
      <c r="EB93" s="62">
        <f t="shared" si="566"/>
      </c>
      <c r="EC93" s="226">
        <f t="shared" si="566"/>
      </c>
      <c r="ED93" s="62">
        <f t="shared" si="566"/>
      </c>
      <c r="EE93" s="62">
        <f t="shared" si="566"/>
      </c>
      <c r="EF93" s="62">
        <f t="shared" si="566"/>
      </c>
      <c r="EG93" s="226">
        <f t="shared" si="566"/>
      </c>
      <c r="EH93" s="62">
        <f t="shared" si="566"/>
      </c>
      <c r="EI93" s="62">
        <f t="shared" si="566"/>
      </c>
      <c r="EJ93" s="62">
        <f t="shared" si="566"/>
      </c>
      <c r="EK93" s="226">
        <f t="shared" si="566"/>
      </c>
      <c r="EN93" s="15">
        <f t="shared" ref="EN93:EZ93" si="567">EN22</f>
      </c>
      <c r="EO93" s="15">
        <f t="shared" si="567"/>
      </c>
      <c r="EP93" s="15">
        <f t="shared" si="567"/>
      </c>
      <c r="EQ93" s="15">
        <f t="shared" si="567"/>
      </c>
      <c r="ER93" s="15">
        <f t="shared" si="567"/>
      </c>
      <c r="ES93" s="15">
        <f t="shared" si="567"/>
      </c>
      <c r="ET93" s="15">
        <f t="shared" si="567"/>
      </c>
      <c r="EU93" s="15">
        <f t="shared" si="567"/>
      </c>
      <c r="EV93" s="15">
        <f t="shared" si="567"/>
      </c>
      <c r="EW93" s="15">
        <f t="shared" si="567"/>
      </c>
      <c r="EX93" s="15">
        <f t="shared" si="567"/>
      </c>
      <c r="EY93" s="15">
        <f t="shared" si="567"/>
      </c>
      <c r="EZ93" s="15">
        <f t="shared" si="567"/>
      </c>
      <c r="FA93" s="15">
        <f t="shared" ref="FA93:FG93" si="568">FA23</f>
      </c>
      <c r="FB93" s="15">
        <f t="shared" si="568"/>
      </c>
      <c r="FC93" s="15">
        <f t="shared" si="568"/>
      </c>
      <c r="FD93" s="15">
        <f t="shared" si="568"/>
      </c>
      <c r="FE93" s="15">
        <f t="shared" si="568"/>
      </c>
      <c r="FF93" s="15">
        <f t="shared" si="568"/>
      </c>
      <c r="FG93" s="15">
        <f t="shared" si="568"/>
      </c>
      <c r="FH93" s="15">
        <f>CG93</f>
      </c>
      <c r="FI93" s="15">
        <f>CK93</f>
      </c>
      <c r="FJ93" s="15">
        <f>CO93</f>
      </c>
      <c r="FK93" s="15">
        <f>CS93</f>
      </c>
      <c r="FL93" s="15">
        <f>CW93</f>
      </c>
      <c r="FM93" s="15">
        <f>DA93</f>
      </c>
      <c r="FN93" s="15">
        <f>DE93</f>
      </c>
      <c r="FO93" s="15">
        <f t="shared" si="525"/>
      </c>
      <c r="FP93" s="15">
        <f t="shared" si="526"/>
      </c>
      <c r="FQ93" s="15">
        <f t="shared" si="527"/>
      </c>
      <c r="FR93" s="15">
        <f t="shared" si="528"/>
      </c>
      <c r="FS93" s="15">
        <f t="shared" si="529"/>
      </c>
      <c r="FT93" s="15">
        <f t="shared" si="530"/>
      </c>
      <c r="FU93" s="15">
        <f t="shared" si="531"/>
      </c>
      <c r="FV93" s="15">
        <f t="shared" si="532"/>
      </c>
    </row>
    <row r="94" spans="1:178" s="11" customFormat="1" ht="10.199999999999999">
      <c r="A94" s="1"/>
      <c r="E94" s="170"/>
      <c r="I94" s="170"/>
      <c r="M94" s="170"/>
      <c r="Q94" s="170"/>
      <c r="U94" s="170"/>
      <c r="Y94" s="170"/>
      <c r="AC94" s="170"/>
      <c r="AG94" s="170"/>
      <c r="AK94" s="170"/>
      <c r="AO94" s="170"/>
      <c r="AS94" s="170"/>
      <c r="AW94" s="170"/>
      <c r="BA94" s="170"/>
      <c r="BE94" s="170"/>
      <c r="BI94" s="170"/>
      <c r="BM94" s="170"/>
      <c r="BQ94" s="170"/>
      <c r="BU94" s="170"/>
      <c r="BY94" s="170"/>
      <c r="CC94" s="170"/>
      <c r="CG94" s="170"/>
      <c r="CK94" s="170"/>
      <c r="CO94" s="170"/>
      <c r="CS94" s="170"/>
      <c r="CW94" s="170"/>
      <c r="DA94" s="170"/>
      <c r="DB94" s="89"/>
      <c r="DC94" s="89"/>
      <c r="DD94" s="89"/>
      <c r="DE94" s="260"/>
      <c r="DF94" s="89"/>
      <c r="DG94" s="89"/>
      <c r="DH94" s="89"/>
      <c r="DI94" s="260"/>
      <c r="DJ94" s="89"/>
      <c r="DK94" s="89"/>
      <c r="DL94" s="89"/>
      <c r="DM94" s="260"/>
      <c r="DN94" s="89"/>
      <c r="DO94" s="89"/>
      <c r="DP94" s="89"/>
      <c r="DQ94" s="260"/>
      <c r="DR94" s="89"/>
      <c r="DS94" s="89"/>
      <c r="DT94" s="89"/>
      <c r="DU94" s="260"/>
      <c r="DV94" s="89"/>
      <c r="DW94" s="89"/>
      <c r="DX94" s="89"/>
      <c r="DY94" s="260"/>
      <c r="DZ94" s="89"/>
      <c r="EA94" s="89"/>
      <c r="EB94" s="89"/>
      <c r="EC94" s="260"/>
      <c r="ED94" s="89"/>
      <c r="EE94" s="89"/>
      <c r="EF94" s="89"/>
      <c r="EG94" s="260"/>
      <c r="EH94" s="89"/>
      <c r="EI94" s="89"/>
      <c r="EJ94" s="89"/>
      <c r="EK94" s="260"/>
      <c r="FK94" s="15"/>
      <c r="FL94" s="15"/>
      <c r="FM94" s="15"/>
      <c r="FN94" s="15"/>
      <c r="FO94" s="15"/>
      <c r="FP94" s="15"/>
      <c r="FQ94" s="15"/>
      <c r="FR94" s="15"/>
      <c r="FS94" s="15"/>
      <c r="FT94" s="15"/>
      <c r="FU94" s="15"/>
      <c r="FV94" s="15"/>
    </row>
    <row r="95" spans="1:178" s="11" customFormat="1" ht="10.199999999999999">
      <c r="A95" s="1" t="s">
        <v>1099</v>
      </c>
      <c r="E95" s="170"/>
      <c r="I95" s="170"/>
      <c r="M95" s="170"/>
      <c r="Q95" s="170"/>
      <c r="U95" s="170"/>
      <c r="Y95" s="170"/>
      <c r="AC95" s="170"/>
      <c r="AG95" s="170"/>
      <c r="AK95" s="170"/>
      <c r="AO95" s="170"/>
      <c r="AS95" s="170"/>
      <c r="AW95" s="170"/>
      <c r="BA95" s="170"/>
      <c r="BE95" s="170"/>
      <c r="BI95" s="170"/>
      <c r="BM95" s="170"/>
      <c r="BQ95" s="170"/>
      <c r="BU95" s="170"/>
      <c r="BV95" s="338"/>
      <c r="BW95" s="338"/>
      <c r="BX95" s="338"/>
      <c r="BY95" s="229"/>
      <c r="BZ95" s="338"/>
      <c r="CA95" s="338"/>
      <c r="CB95" s="338"/>
      <c r="CC95" s="229"/>
      <c r="CD95" s="338"/>
      <c r="CE95" s="338"/>
      <c r="CF95" s="338"/>
      <c r="CG95" s="229">
        <v>0.63</v>
      </c>
      <c r="CH95" s="338"/>
      <c r="CI95" s="338"/>
      <c r="CJ95" s="338">
        <v>0.46</v>
      </c>
      <c r="CK95" s="229">
        <v>0.59</v>
      </c>
      <c r="CL95" s="338">
        <v>0.56999999999999995</v>
      </c>
      <c r="CM95" s="338">
        <v>0.48</v>
      </c>
      <c r="CN95" s="338">
        <v>0.45</v>
      </c>
      <c r="CO95" s="229">
        <v>0.59</v>
      </c>
      <c r="CP95" s="338">
        <v>0.45</v>
      </c>
      <c r="CQ95" s="338">
        <v>0.45</v>
      </c>
      <c r="CS95" s="170"/>
      <c r="CW95" s="170"/>
      <c r="DA95" s="170"/>
      <c r="DB95" s="89"/>
      <c r="DC95" s="89"/>
      <c r="DD95" s="89"/>
      <c r="DE95" s="260"/>
      <c r="DF95" s="89"/>
      <c r="DG95" s="89"/>
      <c r="DH95" s="89"/>
      <c r="DI95" s="260"/>
      <c r="DJ95" s="89"/>
      <c r="DK95" s="89"/>
      <c r="DL95" s="89"/>
      <c r="DM95" s="260"/>
      <c r="DN95" s="89"/>
      <c r="DO95" s="89"/>
      <c r="DP95" s="89"/>
      <c r="DQ95" s="260"/>
      <c r="DR95" s="89"/>
      <c r="DS95" s="89"/>
      <c r="DT95" s="89"/>
      <c r="DU95" s="260"/>
      <c r="DV95" s="89"/>
      <c r="DW95" s="89"/>
      <c r="DX95" s="89"/>
      <c r="DY95" s="260"/>
      <c r="DZ95" s="89"/>
      <c r="EA95" s="89"/>
      <c r="EB95" s="89"/>
      <c r="EC95" s="260"/>
      <c r="ED95" s="89"/>
      <c r="EE95" s="89"/>
      <c r="EF95" s="89"/>
      <c r="EG95" s="260"/>
      <c r="EH95" s="89"/>
      <c r="EI95" s="89"/>
      <c r="EJ95" s="89"/>
      <c r="EK95" s="260"/>
    </row>
    <row r="96" spans="1:178" s="11" customFormat="1" ht="10.199999999999999">
      <c r="A96" s="1"/>
      <c r="B96" s="17"/>
      <c r="C96" s="17"/>
      <c r="D96" s="17"/>
      <c r="E96" s="225"/>
      <c r="F96" s="17"/>
      <c r="G96" s="17"/>
      <c r="H96" s="17"/>
      <c r="I96" s="225"/>
      <c r="J96" s="17"/>
      <c r="K96" s="17"/>
      <c r="L96" s="17"/>
      <c r="M96" s="225"/>
      <c r="N96" s="17"/>
      <c r="O96" s="17"/>
      <c r="P96" s="17"/>
      <c r="Q96" s="225"/>
      <c r="R96" s="17"/>
      <c r="S96" s="17"/>
      <c r="T96" s="17"/>
      <c r="U96" s="170"/>
      <c r="Y96" s="170"/>
      <c r="AC96" s="170"/>
      <c r="AG96" s="170"/>
      <c r="AK96" s="170"/>
      <c r="AO96" s="170"/>
      <c r="AS96" s="170"/>
      <c r="AW96" s="170"/>
      <c r="BA96" s="170"/>
      <c r="BE96" s="170"/>
      <c r="BI96" s="170"/>
      <c r="BM96" s="233">
        <f>BM98/'Income Statement'!FC10</f>
      </c>
      <c r="BQ96" s="233"/>
      <c r="BU96" s="233"/>
      <c r="BY96" s="233"/>
      <c r="CC96" s="233"/>
      <c r="CG96" s="233"/>
      <c r="CH96" s="333"/>
      <c r="CI96" s="333"/>
      <c r="CJ96" s="333"/>
      <c r="CK96" s="233"/>
      <c r="CL96" s="333"/>
      <c r="CM96" s="334"/>
      <c r="CN96" s="168"/>
      <c r="CO96" s="233"/>
      <c r="CP96" s="333"/>
      <c r="CS96" s="170"/>
      <c r="CW96" s="170"/>
      <c r="DA96" s="170"/>
      <c r="DB96" s="89"/>
      <c r="DC96" s="89"/>
      <c r="DD96" s="89"/>
      <c r="DE96" s="260"/>
      <c r="DF96" s="89"/>
      <c r="DG96" s="89"/>
      <c r="DH96" s="89"/>
      <c r="DI96" s="260"/>
      <c r="DJ96" s="89"/>
      <c r="DK96" s="89"/>
      <c r="DL96" s="89"/>
      <c r="DM96" s="260"/>
      <c r="DN96" s="89"/>
      <c r="DO96" s="89"/>
      <c r="DP96" s="89"/>
      <c r="DQ96" s="260"/>
      <c r="DR96" s="89"/>
      <c r="DS96" s="89"/>
      <c r="DT96" s="89"/>
      <c r="DU96" s="260"/>
      <c r="DV96" s="89"/>
      <c r="DW96" s="89"/>
      <c r="DX96" s="89"/>
      <c r="DY96" s="260"/>
      <c r="DZ96" s="89"/>
      <c r="EA96" s="89"/>
      <c r="EB96" s="89"/>
      <c r="EC96" s="260"/>
      <c r="ED96" s="89"/>
      <c r="EE96" s="89"/>
      <c r="EF96" s="89"/>
      <c r="EG96" s="260"/>
      <c r="EH96" s="89"/>
      <c r="EI96" s="89"/>
      <c r="EJ96" s="89"/>
      <c r="EK96" s="260"/>
    </row>
    <row r="97" spans="1:181" ht="10.199999999999999">
      <c r="A97" s="332" t="s">
        <v>1026</v>
      </c>
      <c r="B97" s="17"/>
      <c r="C97" s="17"/>
      <c r="D97" s="17"/>
      <c r="E97" s="225"/>
      <c r="F97" s="17"/>
      <c r="G97" s="17"/>
      <c r="H97" s="17"/>
      <c r="I97" s="225"/>
      <c r="J97" s="17"/>
      <c r="K97" s="17"/>
      <c r="L97" s="17"/>
      <c r="M97" s="225"/>
      <c r="N97" s="17"/>
      <c r="O97" s="17"/>
      <c r="P97" s="17"/>
      <c r="Q97" s="225"/>
      <c r="R97" s="17"/>
      <c r="S97" s="17"/>
      <c r="T97" s="17"/>
      <c r="U97" s="170"/>
      <c r="Y97" s="170"/>
      <c r="AC97" s="170"/>
      <c r="AG97" s="170"/>
      <c r="AK97" s="170"/>
      <c r="AO97" s="170"/>
      <c r="AS97" s="170"/>
      <c r="AW97" s="170"/>
      <c r="BA97" s="170"/>
      <c r="BE97" s="170"/>
      <c r="BI97" s="170"/>
      <c r="BM97" s="233"/>
      <c r="BQ97" s="233"/>
      <c r="BU97" s="233"/>
      <c r="BY97" s="233"/>
      <c r="CC97" s="233"/>
      <c r="CG97" s="233"/>
      <c r="CK97" s="233"/>
      <c r="CO97" s="233"/>
      <c r="CS97" s="170"/>
      <c r="CW97" s="170"/>
      <c r="DA97" s="170"/>
      <c r="DE97" s="260"/>
      <c r="DI97" s="260"/>
      <c r="DM97" s="260"/>
      <c r="DQ97" s="260"/>
      <c r="DU97" s="260"/>
      <c r="DY97" s="260"/>
      <c r="EC97" s="260"/>
      <c r="EG97" s="260"/>
      <c r="EK97" s="260"/>
      <c r="FW97" s="11"/>
      <c r="FX97" s="11"/>
      <c r="FY97" s="11"/>
    </row>
    <row r="98" spans="1:181" ht="10.199999999999999">
      <c r="A98" s="1" t="s">
        <v>1027</v>
      </c>
      <c r="B98" s="17"/>
      <c r="C98" s="17"/>
      <c r="D98" s="17"/>
      <c r="E98" s="225"/>
      <c r="F98" s="17"/>
      <c r="G98" s="17"/>
      <c r="H98" s="17"/>
      <c r="I98" s="225"/>
      <c r="J98" s="17"/>
      <c r="K98" s="17"/>
      <c r="L98" s="17"/>
      <c r="M98" s="225"/>
      <c r="N98" s="17"/>
      <c r="O98" s="17"/>
      <c r="P98" s="17"/>
      <c r="Q98" s="225"/>
      <c r="R98" s="17"/>
      <c r="S98" s="17"/>
      <c r="T98" s="17"/>
      <c r="U98" s="170"/>
      <c r="Y98" s="170"/>
      <c r="AC98" s="170"/>
      <c r="AG98" s="170"/>
      <c r="AK98" s="170"/>
      <c r="AO98" s="170"/>
      <c r="AS98" s="170"/>
      <c r="AW98" s="170"/>
      <c r="BA98" s="170"/>
      <c r="BE98" s="170"/>
      <c r="BI98" s="173"/>
      <c r="BJ98" s="34"/>
      <c r="BK98" s="34"/>
      <c r="BL98" s="34"/>
      <c r="BM98" s="173">
        <v>13949</v>
      </c>
      <c r="BQ98" s="173">
        <v>21053</v>
      </c>
      <c r="BR98" s="34"/>
      <c r="BS98" s="34"/>
      <c r="BT98" s="34"/>
      <c r="BU98" s="173">
        <v>18616</v>
      </c>
      <c r="BY98" s="173">
        <v>24529</v>
      </c>
      <c r="BZ98" s="34"/>
      <c r="CA98" s="34"/>
      <c r="CB98" s="34"/>
      <c r="CC98" s="173">
        <v>29464</v>
      </c>
      <c r="CD98" s="34"/>
      <c r="CE98" s="34"/>
      <c r="CF98" s="34"/>
      <c r="CG98" s="173">
        <v>24695</v>
      </c>
      <c r="CH98" s="34"/>
      <c r="CI98" s="34"/>
      <c r="CJ98" s="34"/>
      <c r="CK98" s="173">
        <v>32787</v>
      </c>
      <c r="CL98" s="34"/>
      <c r="CM98" s="34"/>
      <c r="CN98" s="34"/>
      <c r="CO98" s="173">
        <v>41548</v>
      </c>
      <c r="CP98" s="34"/>
      <c r="CS98" s="170"/>
      <c r="CW98" s="170"/>
      <c r="DA98" s="170"/>
      <c r="DE98" s="260"/>
      <c r="DI98" s="260"/>
      <c r="DM98" s="260"/>
      <c r="DQ98" s="260"/>
      <c r="DU98" s="260"/>
      <c r="DY98" s="260"/>
      <c r="EC98" s="260"/>
      <c r="EG98" s="260"/>
      <c r="EK98" s="260"/>
      <c r="FW98" s="11"/>
      <c r="FX98" s="11"/>
      <c r="FY98" s="11"/>
    </row>
    <row r="99" spans="1:181" ht="10.199999999999999">
      <c r="A99" s="1" t="s">
        <v>1028</v>
      </c>
      <c r="B99" s="17"/>
      <c r="C99" s="17"/>
      <c r="D99" s="17"/>
      <c r="E99" s="225"/>
      <c r="F99" s="17"/>
      <c r="G99" s="17"/>
      <c r="H99" s="17"/>
      <c r="I99" s="225"/>
      <c r="J99" s="17"/>
      <c r="K99" s="17"/>
      <c r="L99" s="17"/>
      <c r="M99" s="225"/>
      <c r="N99" s="17"/>
      <c r="O99" s="17"/>
      <c r="P99" s="17"/>
      <c r="Q99" s="225"/>
      <c r="R99" s="17"/>
      <c r="S99" s="17"/>
      <c r="T99" s="17"/>
      <c r="U99" s="170"/>
      <c r="Y99" s="170"/>
      <c r="AC99" s="170"/>
      <c r="AG99" s="170"/>
      <c r="AK99" s="170"/>
      <c r="AO99" s="170"/>
      <c r="AS99" s="170"/>
      <c r="AW99" s="170"/>
      <c r="BA99" s="170"/>
      <c r="BE99" s="170"/>
      <c r="BI99" s="173"/>
      <c r="BJ99" s="34"/>
      <c r="BK99" s="34"/>
      <c r="BL99" s="34"/>
      <c r="BM99" s="173"/>
      <c r="BQ99" s="173"/>
      <c r="BR99" s="34"/>
      <c r="BS99" s="34"/>
      <c r="BT99" s="34"/>
      <c r="BU99" s="173"/>
      <c r="BY99" s="173"/>
      <c r="BZ99" s="34"/>
      <c r="CA99" s="34"/>
      <c r="CB99" s="34"/>
      <c r="CC99" s="173"/>
      <c r="CD99" s="34"/>
      <c r="CE99" s="34"/>
      <c r="CF99" s="34"/>
      <c r="CG99" s="173">
        <v>939</v>
      </c>
      <c r="CH99" s="34"/>
      <c r="CI99" s="34"/>
      <c r="CJ99" s="34"/>
      <c r="CK99" s="173">
        <v>2632</v>
      </c>
      <c r="CL99" s="34"/>
      <c r="CM99" s="34"/>
      <c r="CN99" s="34"/>
      <c r="CO99" s="173">
        <v>2469</v>
      </c>
      <c r="CP99" s="34"/>
      <c r="CS99" s="170"/>
      <c r="CW99" s="170"/>
      <c r="DA99" s="170"/>
      <c r="DE99" s="260"/>
      <c r="DI99" s="260"/>
      <c r="DM99" s="260"/>
      <c r="DQ99" s="260"/>
      <c r="DU99" s="260"/>
      <c r="DY99" s="260"/>
      <c r="EC99" s="260"/>
      <c r="EG99" s="260"/>
      <c r="EK99" s="260"/>
      <c r="FW99" s="11"/>
      <c r="FX99" s="11"/>
      <c r="FY99" s="11"/>
    </row>
    <row r="100" spans="1:181" ht="10.199999999999999">
      <c r="A100" s="1" t="s">
        <v>1029</v>
      </c>
      <c r="B100" s="17"/>
      <c r="C100" s="17"/>
      <c r="D100" s="17"/>
      <c r="E100" s="225"/>
      <c r="F100" s="17"/>
      <c r="G100" s="17"/>
      <c r="H100" s="17"/>
      <c r="I100" s="225"/>
      <c r="J100" s="17"/>
      <c r="K100" s="17"/>
      <c r="L100" s="17"/>
      <c r="M100" s="225"/>
      <c r="N100" s="17"/>
      <c r="O100" s="17"/>
      <c r="P100" s="17"/>
      <c r="Q100" s="225"/>
      <c r="R100" s="17"/>
      <c r="S100" s="17"/>
      <c r="T100" s="17"/>
      <c r="U100" s="170"/>
      <c r="Y100" s="170"/>
      <c r="AC100" s="170"/>
      <c r="AG100" s="170"/>
      <c r="AK100" s="170"/>
      <c r="AO100" s="170"/>
      <c r="AS100" s="170"/>
      <c r="AW100" s="170"/>
      <c r="BA100" s="170"/>
      <c r="BE100" s="170"/>
      <c r="BI100" s="173"/>
      <c r="BJ100" s="34"/>
      <c r="BK100" s="34"/>
      <c r="BL100" s="34"/>
      <c r="BM100" s="173"/>
      <c r="BQ100" s="173"/>
      <c r="BR100" s="34"/>
      <c r="BS100" s="34"/>
      <c r="BT100" s="34"/>
      <c r="BU100" s="173"/>
      <c r="BY100" s="173"/>
      <c r="BZ100" s="34"/>
      <c r="CA100" s="34"/>
      <c r="CB100" s="34"/>
      <c r="CC100" s="173"/>
      <c r="CD100" s="34"/>
      <c r="CE100" s="34"/>
      <c r="CF100" s="34"/>
      <c r="CG100" s="173">
        <v>1830</v>
      </c>
      <c r="CH100" s="34"/>
      <c r="CI100" s="34"/>
      <c r="CJ100" s="34"/>
      <c r="CK100" s="173">
        <v>2147</v>
      </c>
      <c r="CL100" s="34"/>
      <c r="CM100" s="34"/>
      <c r="CN100" s="34"/>
      <c r="CO100" s="173">
        <v>1183</v>
      </c>
      <c r="CP100" s="34"/>
      <c r="CS100" s="170"/>
      <c r="CW100" s="170"/>
      <c r="DA100" s="170"/>
      <c r="DE100" s="260"/>
      <c r="DI100" s="260"/>
      <c r="DM100" s="260"/>
      <c r="DQ100" s="260"/>
      <c r="DU100" s="260"/>
      <c r="DY100" s="260"/>
      <c r="EC100" s="260"/>
      <c r="EG100" s="260"/>
      <c r="EK100" s="260"/>
      <c r="FM100" s="522"/>
      <c r="FW100" s="11"/>
      <c r="FX100" s="11"/>
      <c r="FY100" s="11"/>
    </row>
    <row r="101" spans="1:181" ht="10.199999999999999">
      <c r="A101" s="1" t="s">
        <v>1030</v>
      </c>
      <c r="B101" s="17"/>
      <c r="C101" s="17"/>
      <c r="D101" s="17"/>
      <c r="E101" s="225"/>
      <c r="F101" s="17"/>
      <c r="G101" s="17"/>
      <c r="H101" s="17"/>
      <c r="I101" s="225"/>
      <c r="J101" s="17"/>
      <c r="K101" s="17"/>
      <c r="L101" s="17"/>
      <c r="M101" s="225"/>
      <c r="N101" s="17"/>
      <c r="O101" s="17"/>
      <c r="P101" s="17"/>
      <c r="Q101" s="225"/>
      <c r="R101" s="17"/>
      <c r="S101" s="17"/>
      <c r="T101" s="17"/>
      <c r="U101" s="170"/>
      <c r="Y101" s="170"/>
      <c r="AC101" s="170"/>
      <c r="AG101" s="170"/>
      <c r="AK101" s="170"/>
      <c r="AO101" s="170"/>
      <c r="AS101" s="170"/>
      <c r="AW101" s="170"/>
      <c r="BA101" s="170"/>
      <c r="BE101" s="170"/>
      <c r="BI101" s="173"/>
      <c r="BJ101" s="34"/>
      <c r="BK101" s="34"/>
      <c r="BL101" s="34"/>
      <c r="BM101" s="173"/>
      <c r="BQ101" s="173"/>
      <c r="BR101" s="34"/>
      <c r="BS101" s="34"/>
      <c r="BT101" s="34"/>
      <c r="BU101" s="173"/>
      <c r="BY101" s="173"/>
      <c r="BZ101" s="34"/>
      <c r="CA101" s="34"/>
      <c r="CB101" s="34"/>
      <c r="CC101" s="173"/>
      <c r="CD101" s="34"/>
      <c r="CE101" s="34"/>
      <c r="CF101" s="34"/>
      <c r="CG101" s="173">
        <v>1127</v>
      </c>
      <c r="CH101" s="34"/>
      <c r="CI101" s="34"/>
      <c r="CJ101" s="34"/>
      <c r="CK101" s="173">
        <v>0</v>
      </c>
      <c r="CL101" s="34"/>
      <c r="CM101" s="34"/>
      <c r="CN101" s="34"/>
      <c r="CO101" s="173">
        <v>0</v>
      </c>
      <c r="CP101" s="34"/>
      <c r="CS101" s="170"/>
      <c r="CW101" s="170"/>
      <c r="DA101" s="246"/>
      <c r="DE101" s="260"/>
      <c r="DI101" s="260"/>
      <c r="DM101" s="260"/>
      <c r="DQ101" s="260"/>
      <c r="DU101" s="260"/>
      <c r="DY101" s="260"/>
      <c r="EC101" s="260"/>
      <c r="EG101" s="260"/>
      <c r="EK101" s="260"/>
      <c r="FH101" s="521"/>
      <c r="FI101" s="521"/>
      <c r="FJ101" s="521"/>
      <c r="FK101" s="521"/>
      <c r="FL101" s="521"/>
      <c r="FM101" s="521"/>
      <c r="FW101" s="11"/>
      <c r="FX101" s="11"/>
      <c r="FY101" s="11"/>
    </row>
    <row r="102" spans="1:181" s="68" customFormat="1" ht="10.199999999999999">
      <c r="A102" s="1709" t="s">
        <v>859</v>
      </c>
      <c r="B102" s="1710"/>
      <c r="C102" s="1710"/>
      <c r="D102" s="1710"/>
      <c r="E102" s="1711"/>
      <c r="F102" s="1710"/>
      <c r="G102" s="1710"/>
      <c r="H102" s="1710"/>
      <c r="I102" s="1711"/>
      <c r="J102" s="1710"/>
      <c r="K102" s="1710"/>
      <c r="L102" s="1710"/>
      <c r="M102" s="1711"/>
      <c r="N102" s="1710"/>
      <c r="O102" s="1710"/>
      <c r="P102" s="1710"/>
      <c r="Q102" s="1711"/>
      <c r="R102" s="1710"/>
      <c r="S102" s="1710"/>
      <c r="T102" s="1710"/>
      <c r="U102" s="1711"/>
      <c r="V102" s="1710"/>
      <c r="W102" s="1710"/>
      <c r="X102" s="1710"/>
      <c r="Y102" s="1711"/>
      <c r="Z102" s="1710"/>
      <c r="AA102" s="1710"/>
      <c r="AB102" s="1710"/>
      <c r="AC102" s="1711"/>
      <c r="AD102" s="1710"/>
      <c r="AE102" s="1710"/>
      <c r="AF102" s="1710"/>
      <c r="AG102" s="1711"/>
      <c r="AH102" s="1710"/>
      <c r="AI102" s="1710"/>
      <c r="AJ102" s="1710"/>
      <c r="AK102" s="1711"/>
      <c r="AL102" s="1710"/>
      <c r="AM102" s="1710"/>
      <c r="AN102" s="1710"/>
      <c r="AO102" s="1711"/>
      <c r="AP102" s="1710"/>
      <c r="AQ102" s="1710"/>
      <c r="AR102" s="1710"/>
      <c r="AS102" s="1711"/>
      <c r="AT102" s="1710"/>
      <c r="AU102" s="1710"/>
      <c r="AV102" s="1710"/>
      <c r="AW102" s="1711"/>
      <c r="AX102" s="1710"/>
      <c r="AY102" s="1710"/>
      <c r="AZ102" s="1710"/>
      <c r="BA102" s="1711"/>
      <c r="BB102" s="1710"/>
      <c r="BC102" s="1710"/>
      <c r="BD102" s="1710"/>
      <c r="BE102" s="1711"/>
      <c r="BF102" s="1710">
        <v>3700</v>
      </c>
      <c r="BG102" s="1710">
        <v>4900</v>
      </c>
      <c r="BH102" s="1710">
        <v>6200</v>
      </c>
      <c r="BI102" s="1711">
        <v>8200</v>
      </c>
      <c r="BJ102" s="1710">
        <v>7900</v>
      </c>
      <c r="BK102" s="1710">
        <v>11000</v>
      </c>
      <c r="BL102" s="1710">
        <v>11000</v>
      </c>
      <c r="BM102" s="1711">
        <v>13900</v>
      </c>
      <c r="BN102" s="1710">
        <v>13400</v>
      </c>
      <c r="BO102" s="1710">
        <v>13000</v>
      </c>
      <c r="BP102" s="1710">
        <v>13600</v>
      </c>
      <c r="BQ102" s="1711">
        <v>21100</v>
      </c>
      <c r="BR102" s="1710">
        <v>18900</v>
      </c>
      <c r="BS102" s="1710">
        <v>13800</v>
      </c>
      <c r="BT102" s="1710">
        <v>13000</v>
      </c>
      <c r="BU102" s="1711">
        <v>18616</v>
      </c>
      <c r="BV102" s="1710">
        <v>16100</v>
      </c>
      <c r="BW102" s="1710">
        <v>12600</v>
      </c>
      <c r="BX102" s="1710">
        <v>15400</v>
      </c>
      <c r="BY102" s="1711">
        <v>24529</v>
      </c>
      <c r="BZ102" s="1710">
        <v>21600</v>
      </c>
      <c r="CA102" s="1710">
        <v>19000</v>
      </c>
      <c r="CB102" s="1710">
        <v>21700</v>
      </c>
      <c r="CC102" s="1711">
        <v>29464</v>
      </c>
      <c r="CD102" s="1710">
        <v>20700</v>
      </c>
      <c r="CE102" s="1710">
        <v>15500</v>
      </c>
      <c r="CF102" s="1710">
        <v>21000</v>
      </c>
      <c r="CG102" s="1711">
        <v>28591</v>
      </c>
      <c r="CH102" s="1710">
        <v>24000</v>
      </c>
      <c r="CI102" s="1710">
        <v>21700</v>
      </c>
      <c r="CJ102" s="1710">
        <v>23400</v>
      </c>
      <c r="CK102" s="1711">
        <v>37566</v>
      </c>
      <c r="CL102" s="1710">
        <v>33500</v>
      </c>
      <c r="CM102" s="1710">
        <v>27100</v>
      </c>
      <c r="CN102" s="1710">
        <v>31400</v>
      </c>
      <c r="CO102" s="1711">
        <v>45200</v>
      </c>
      <c r="CP102" s="1710">
        <v>30200</v>
      </c>
      <c r="CQ102" s="1710">
        <v>26200</v>
      </c>
      <c r="CR102" s="1710">
        <v>29800</v>
      </c>
      <c r="CS102" s="1711">
        <v>42927</v>
      </c>
      <c r="CT102" s="1710">
        <v>30200</v>
      </c>
      <c r="CU102" s="1710">
        <v>29300</v>
      </c>
      <c r="CV102" s="1710">
        <v>30300</v>
      </c>
      <c r="CW102" s="1711">
        <v>49911</v>
      </c>
      <c r="CX102" s="1710">
        <v>45800</v>
      </c>
      <c r="CY102" s="1710">
        <v>35400</v>
      </c>
      <c r="CZ102" s="1710">
        <v>38200</v>
      </c>
      <c r="DA102" s="1711">
        <v>54800</v>
      </c>
      <c r="DB102" s="1712">
        <v>47600</v>
      </c>
      <c r="DC102" s="1712">
        <v>40600</v>
      </c>
      <c r="DD102" s="1712">
        <v>43100</v>
      </c>
      <c r="DE102" s="1711">
        <v>71100</v>
      </c>
      <c r="DF102" s="1712">
        <v>55100</v>
      </c>
      <c r="DG102" s="1712">
        <v>40500</v>
      </c>
      <c r="DH102" s="1712">
        <v>38400</v>
      </c>
      <c r="DI102" s="3374">
        <v>53100</v>
      </c>
      <c r="DJ102" s="1712">
        <v>38000</v>
      </c>
      <c r="DK102" s="1712">
        <v>34200</v>
      </c>
      <c r="DL102" s="1712">
        <v>38400</v>
      </c>
      <c r="DM102" s="3374">
        <v>53000</v>
      </c>
      <c r="DN102" s="1712">
        <v>39800</v>
      </c>
      <c r="DO102" s="1712">
        <v>38400</v>
      </c>
      <c r="DP102" s="149"/>
      <c r="DQ102" s="861"/>
      <c r="DR102" s="149"/>
      <c r="DS102" s="149"/>
      <c r="DT102" s="149"/>
      <c r="DU102" s="861"/>
      <c r="DV102" s="149"/>
      <c r="DW102" s="149"/>
      <c r="DX102" s="149"/>
      <c r="DY102" s="861"/>
      <c r="DZ102" s="149"/>
      <c r="EA102" s="149"/>
      <c r="EB102" s="149"/>
      <c r="EC102" s="861"/>
      <c r="ED102" s="149"/>
      <c r="EE102" s="149"/>
      <c r="EF102" s="149"/>
      <c r="EG102" s="861"/>
      <c r="EH102" s="149"/>
      <c r="EI102" s="149"/>
      <c r="EJ102" s="149"/>
      <c r="EK102" s="861"/>
      <c r="FB102" s="68">
        <f>BI102:BI112</f>
      </c>
      <c r="FC102" s="68">
        <f>BM102:BM112</f>
      </c>
      <c r="FD102" s="68">
        <f>BQ102:BQ112</f>
      </c>
      <c r="FE102" s="68">
        <f>BU102:BU112</f>
      </c>
      <c r="FF102" s="68">
        <f>BY102:BY112</f>
      </c>
    </row>
    <row r="103" spans="1:181" s="1463" customFormat="1">
      <c r="A103" s="3385" t="s">
        <v>87</v>
      </c>
      <c r="E103" s="3386"/>
      <c r="I103" s="3386"/>
      <c r="M103" s="3386"/>
      <c r="Q103" s="3386"/>
      <c r="U103" s="3386"/>
      <c r="Y103" s="3386"/>
      <c r="AC103" s="3386"/>
      <c r="AG103" s="3386"/>
      <c r="AK103" s="3386"/>
      <c r="AO103" s="3386"/>
      <c r="AS103" s="3386"/>
      <c r="AW103" s="3386"/>
      <c r="BA103" s="3386"/>
      <c r="BE103" s="3386"/>
      <c r="BI103" s="3386"/>
      <c r="BJ103" s="1463">
        <f t="shared" ref="BJ103:CS103" si="569">+BJ102/BF102-1</f>
      </c>
      <c r="BK103" s="1463">
        <f t="shared" si="569"/>
      </c>
      <c r="BL103" s="1463">
        <f t="shared" si="569"/>
      </c>
      <c r="BM103" s="3386">
        <f t="shared" si="569"/>
      </c>
      <c r="BN103" s="1463">
        <f t="shared" si="569"/>
      </c>
      <c r="BO103" s="1463">
        <f t="shared" si="569"/>
      </c>
      <c r="BP103" s="1463">
        <f t="shared" si="569"/>
      </c>
      <c r="BQ103" s="3386">
        <f t="shared" si="569"/>
      </c>
      <c r="BR103" s="1463">
        <f t="shared" si="569"/>
      </c>
      <c r="BS103" s="1463">
        <f t="shared" si="569"/>
      </c>
      <c r="BT103" s="1463">
        <f t="shared" si="569"/>
      </c>
      <c r="BU103" s="3386">
        <f t="shared" si="569"/>
      </c>
      <c r="BV103" s="1463">
        <f t="shared" si="569"/>
      </c>
      <c r="BW103" s="1463">
        <f t="shared" si="569"/>
      </c>
      <c r="BX103" s="1463">
        <f t="shared" si="569"/>
      </c>
      <c r="BY103" s="3386">
        <f t="shared" si="569"/>
      </c>
      <c r="BZ103" s="1463">
        <f t="shared" si="569"/>
      </c>
      <c r="CA103" s="1463">
        <f t="shared" si="569"/>
      </c>
      <c r="CB103" s="1463">
        <f t="shared" si="569"/>
      </c>
      <c r="CC103" s="3386">
        <f t="shared" si="569"/>
      </c>
      <c r="CD103" s="1463">
        <f t="shared" si="569"/>
      </c>
      <c r="CE103" s="1463">
        <f t="shared" si="569"/>
      </c>
      <c r="CF103" s="1463">
        <f t="shared" si="569"/>
      </c>
      <c r="CG103" s="3386">
        <f t="shared" si="569"/>
      </c>
      <c r="CH103" s="1463">
        <f t="shared" si="569"/>
      </c>
      <c r="CI103" s="1463">
        <f t="shared" si="569"/>
      </c>
      <c r="CJ103" s="1463">
        <f t="shared" si="569"/>
      </c>
      <c r="CK103" s="3386">
        <f t="shared" si="569"/>
      </c>
      <c r="CL103" s="1463">
        <f t="shared" si="569"/>
      </c>
      <c r="CM103" s="1463">
        <f t="shared" si="569"/>
      </c>
      <c r="CN103" s="1463">
        <f t="shared" si="569"/>
      </c>
      <c r="CO103" s="3386">
        <f t="shared" si="569"/>
      </c>
      <c r="CP103" s="1463">
        <f t="shared" si="569"/>
      </c>
      <c r="CQ103" s="1463">
        <f t="shared" si="569"/>
      </c>
      <c r="CR103" s="1463">
        <f t="shared" ref="CR103:DA103" si="570">+CR102/CN102-1</f>
      </c>
      <c r="CS103" s="3386">
        <f t="shared" si="569"/>
      </c>
      <c r="CT103" s="1463">
        <f t="shared" si="570"/>
      </c>
      <c r="CU103" s="1463">
        <f t="shared" si="570"/>
      </c>
      <c r="CV103" s="1463">
        <f t="shared" si="570"/>
      </c>
      <c r="CW103" s="3386">
        <f t="shared" si="570"/>
      </c>
      <c r="CX103" s="1463">
        <f t="shared" si="570"/>
      </c>
      <c r="CY103" s="1463">
        <f t="shared" si="570"/>
      </c>
      <c r="CZ103" s="1463">
        <f t="shared" si="570"/>
      </c>
      <c r="DA103" s="3386">
        <f t="shared" si="570"/>
      </c>
      <c r="DB103" s="1463">
        <f t="shared" ref="DB103" si="571">+DB102/CX102-1</f>
      </c>
      <c r="DC103" s="1463">
        <f t="shared" ref="DC103" si="572">+DC102/CY102-1</f>
      </c>
      <c r="DD103" s="1463">
        <f t="shared" ref="DD103" si="573">+DD102/CZ102-1</f>
      </c>
      <c r="DE103" s="3386">
        <f t="shared" ref="DE103:DG103" si="574">+DE102/DA102-1</f>
      </c>
      <c r="DF103" s="1463">
        <f t="shared" si="574"/>
      </c>
      <c r="DG103" s="1463">
        <f t="shared" si="574"/>
      </c>
      <c r="DH103" s="2651">
        <f t="shared" ref="DH103" si="575">+DH102/DD102-1</f>
      </c>
      <c r="DI103" s="3199">
        <f t="shared" ref="DI103" si="576">+DI102/DE102-1</f>
      </c>
      <c r="DJ103" s="2651">
        <f t="shared" ref="DJ103" si="577">+DJ102/DF102-1</f>
      </c>
      <c r="DK103" s="2651">
        <f t="shared" ref="DK103" si="578">+DK102/DG102-1</f>
      </c>
      <c r="DL103" s="2651">
        <f t="shared" ref="DL103" si="579">+DL102/DH102-1</f>
      </c>
      <c r="DM103" s="3199">
        <f t="shared" ref="DM103" si="580">+DM102/DI102-1</f>
      </c>
      <c r="DN103" s="2651">
        <f t="shared" ref="DN103" si="581">+DN102/DJ102-1</f>
      </c>
      <c r="DO103" s="2651">
        <f t="shared" ref="DO103" si="582">+DO102/DK102-1</f>
      </c>
      <c r="DP103" s="2651"/>
      <c r="DQ103" s="3199"/>
      <c r="DR103" s="2651"/>
      <c r="DS103" s="2651"/>
      <c r="DT103" s="2651"/>
      <c r="DU103" s="3199"/>
      <c r="DV103" s="2651"/>
      <c r="DW103" s="2651"/>
      <c r="DX103" s="2651"/>
      <c r="DY103" s="3199"/>
      <c r="DZ103" s="2651"/>
      <c r="EA103" s="2651"/>
      <c r="EB103" s="2651"/>
      <c r="EC103" s="3199"/>
      <c r="ED103" s="2651"/>
      <c r="EE103" s="2651"/>
      <c r="EF103" s="2651"/>
      <c r="EG103" s="3199"/>
      <c r="EH103" s="2651"/>
      <c r="EI103" s="2651"/>
      <c r="EJ103" s="2651"/>
      <c r="EK103" s="3199"/>
      <c r="FW103" s="3132"/>
      <c r="FX103" s="3132"/>
      <c r="FY103" s="3132"/>
    </row>
    <row r="104" spans="1:181" s="1463" customFormat="1" ht="10.199999999999999">
      <c r="A104" s="3385" t="s">
        <v>88</v>
      </c>
      <c r="E104" s="3386"/>
      <c r="I104" s="3386"/>
      <c r="M104" s="3386"/>
      <c r="Q104" s="3386"/>
      <c r="U104" s="3386"/>
      <c r="Y104" s="3386"/>
      <c r="AC104" s="3386"/>
      <c r="AG104" s="3386"/>
      <c r="AK104" s="3386"/>
      <c r="AO104" s="3386"/>
      <c r="AS104" s="3386"/>
      <c r="AW104" s="3386"/>
      <c r="BA104" s="3386"/>
      <c r="BE104" s="3386"/>
      <c r="BG104" s="1463">
        <f t="shared" ref="BG104:CS104" si="583">+BG102/BF102-1</f>
      </c>
      <c r="BH104" s="1463">
        <f t="shared" si="583"/>
      </c>
      <c r="BI104" s="3386">
        <f t="shared" si="583"/>
      </c>
      <c r="BJ104" s="1463">
        <f t="shared" si="583"/>
      </c>
      <c r="BK104" s="1463">
        <f t="shared" si="583"/>
      </c>
      <c r="BL104" s="1463">
        <f t="shared" si="583"/>
      </c>
      <c r="BM104" s="3386">
        <f t="shared" si="583"/>
      </c>
      <c r="BN104" s="1463">
        <f t="shared" si="583"/>
      </c>
      <c r="BO104" s="1463">
        <f t="shared" si="583"/>
      </c>
      <c r="BP104" s="1463">
        <f t="shared" si="583"/>
      </c>
      <c r="BQ104" s="3386">
        <f t="shared" si="583"/>
      </c>
      <c r="BR104" s="1463">
        <f t="shared" si="583"/>
      </c>
      <c r="BS104" s="1463">
        <f t="shared" si="583"/>
      </c>
      <c r="BT104" s="1463">
        <f t="shared" si="583"/>
      </c>
      <c r="BU104" s="3386">
        <f t="shared" si="583"/>
      </c>
      <c r="BV104" s="1463">
        <f t="shared" si="583"/>
      </c>
      <c r="BW104" s="1463">
        <f t="shared" si="583"/>
      </c>
      <c r="BX104" s="1463">
        <f t="shared" si="583"/>
      </c>
      <c r="BY104" s="3386">
        <f t="shared" si="583"/>
      </c>
      <c r="BZ104" s="1463">
        <f t="shared" si="583"/>
      </c>
      <c r="CA104" s="1463">
        <f t="shared" si="583"/>
      </c>
      <c r="CB104" s="1463">
        <f t="shared" si="583"/>
      </c>
      <c r="CC104" s="3386">
        <f t="shared" si="583"/>
      </c>
      <c r="CD104" s="1463">
        <f t="shared" si="583"/>
      </c>
      <c r="CE104" s="1463">
        <f t="shared" si="583"/>
      </c>
      <c r="CF104" s="1463">
        <f t="shared" si="583"/>
      </c>
      <c r="CG104" s="3386">
        <f t="shared" si="583"/>
      </c>
      <c r="CH104" s="1463">
        <f t="shared" si="583"/>
      </c>
      <c r="CI104" s="1463">
        <f t="shared" si="583"/>
      </c>
      <c r="CJ104" s="1463">
        <f t="shared" si="583"/>
      </c>
      <c r="CK104" s="3386">
        <f t="shared" si="583"/>
      </c>
      <c r="CL104" s="1463">
        <f t="shared" si="583"/>
      </c>
      <c r="CM104" s="1463">
        <f t="shared" si="583"/>
      </c>
      <c r="CN104" s="1463">
        <f t="shared" si="583"/>
      </c>
      <c r="CO104" s="3386">
        <f t="shared" si="583"/>
      </c>
      <c r="CP104" s="1463">
        <f t="shared" si="583"/>
      </c>
      <c r="CQ104" s="1463">
        <f t="shared" si="583"/>
      </c>
      <c r="CR104" s="1463">
        <f t="shared" ref="CR104:DA104" si="584">+CR102/CQ102-1</f>
      </c>
      <c r="CS104" s="3386">
        <f t="shared" si="583"/>
      </c>
      <c r="CT104" s="1463">
        <f t="shared" si="584"/>
      </c>
      <c r="CU104" s="1463">
        <f t="shared" si="584"/>
      </c>
      <c r="CV104" s="1463">
        <f t="shared" si="584"/>
      </c>
      <c r="CW104" s="3386">
        <f t="shared" si="584"/>
      </c>
      <c r="CX104" s="1463">
        <f t="shared" si="584"/>
      </c>
      <c r="CY104" s="1463">
        <f t="shared" si="584"/>
      </c>
      <c r="CZ104" s="1463">
        <f t="shared" si="584"/>
      </c>
      <c r="DA104" s="3386">
        <f t="shared" si="584"/>
      </c>
      <c r="DB104" s="1463">
        <f t="shared" ref="DB104" si="585">+DB102/DA102-1</f>
      </c>
      <c r="DC104" s="1463">
        <f t="shared" ref="DC104" si="586">+DC102/DB102-1</f>
      </c>
      <c r="DD104" s="1463">
        <f t="shared" ref="DD104" si="587">+DD102/DC102-1</f>
      </c>
      <c r="DE104" s="3386">
        <f t="shared" ref="DE104:DG104" si="588">+DE102/DD102-1</f>
      </c>
      <c r="DF104" s="1463">
        <f t="shared" si="588"/>
      </c>
      <c r="DG104" s="1463">
        <f t="shared" si="588"/>
      </c>
      <c r="DH104" s="2651">
        <f t="shared" ref="DH104" si="589">+DH102/DG102-1</f>
      </c>
      <c r="DI104" s="3199">
        <f t="shared" ref="DI104" si="590">+DI102/DH102-1</f>
      </c>
      <c r="DJ104" s="2651">
        <f t="shared" ref="DJ104" si="591">+DJ102/DI102-1</f>
      </c>
      <c r="DK104" s="2651">
        <f t="shared" ref="DK104" si="592">+DK102/DJ102-1</f>
      </c>
      <c r="DL104" s="2651">
        <f t="shared" ref="DL104" si="593">+DL102/DK102-1</f>
      </c>
      <c r="DM104" s="3199">
        <f t="shared" ref="DM104" si="594">+DM102/DL102-1</f>
      </c>
      <c r="DN104" s="2651">
        <f t="shared" ref="DN104" si="595">+DN102/DM102-1</f>
      </c>
      <c r="DO104" s="2651">
        <f t="shared" ref="DO104" si="596">+DO102/DN102-1</f>
      </c>
      <c r="DP104" s="2651"/>
      <c r="DQ104" s="3199"/>
      <c r="DR104" s="2651"/>
      <c r="DS104" s="2651"/>
      <c r="DT104" s="2651"/>
      <c r="DU104" s="3199"/>
      <c r="DV104" s="2651"/>
      <c r="DW104" s="2651"/>
      <c r="DX104" s="2651"/>
      <c r="DY104" s="3199"/>
      <c r="DZ104" s="2651"/>
      <c r="EA104" s="2651"/>
      <c r="EB104" s="2651"/>
      <c r="EC104" s="3199"/>
      <c r="ED104" s="2651"/>
      <c r="EE104" s="2651"/>
      <c r="EF104" s="2651"/>
      <c r="EG104" s="3199"/>
      <c r="EH104" s="2651"/>
      <c r="EI104" s="2651"/>
      <c r="EJ104" s="2651"/>
      <c r="EK104" s="3199"/>
    </row>
    <row r="105" spans="1:181" ht="10.199999999999999">
      <c r="A105" s="1" t="s">
        <v>993</v>
      </c>
      <c r="B105" s="34"/>
      <c r="C105" s="34"/>
      <c r="D105" s="34"/>
      <c r="E105" s="173"/>
      <c r="F105" s="34"/>
      <c r="G105" s="34"/>
      <c r="H105" s="34"/>
      <c r="I105" s="173"/>
      <c r="J105" s="34"/>
      <c r="K105" s="34"/>
      <c r="L105" s="34"/>
      <c r="M105" s="173"/>
      <c r="N105" s="34"/>
      <c r="O105" s="34"/>
      <c r="P105" s="34"/>
      <c r="Q105" s="173"/>
      <c r="R105" s="34"/>
      <c r="S105" s="34"/>
      <c r="T105" s="34"/>
      <c r="U105" s="173"/>
      <c r="V105" s="34"/>
      <c r="W105" s="34"/>
      <c r="X105" s="34"/>
      <c r="Y105" s="173"/>
      <c r="Z105" s="34"/>
      <c r="AA105" s="34"/>
      <c r="AB105" s="34"/>
      <c r="AC105" s="173"/>
      <c r="AD105" s="34"/>
      <c r="AE105" s="34"/>
      <c r="AF105" s="34"/>
      <c r="AG105" s="173"/>
      <c r="AH105" s="34"/>
      <c r="AI105" s="34"/>
      <c r="AJ105" s="34"/>
      <c r="AK105" s="173"/>
      <c r="AL105" s="34"/>
      <c r="AM105" s="34"/>
      <c r="AN105" s="34"/>
      <c r="AO105" s="173"/>
      <c r="AP105" s="34"/>
      <c r="AQ105" s="34"/>
      <c r="AR105" s="34"/>
      <c r="AS105" s="173"/>
      <c r="AT105" s="34"/>
      <c r="AU105" s="34"/>
      <c r="AV105" s="34"/>
      <c r="AW105" s="173"/>
      <c r="AX105" s="34"/>
      <c r="AY105" s="34"/>
      <c r="AZ105" s="34"/>
      <c r="BA105" s="173"/>
      <c r="BB105" s="34"/>
      <c r="BC105" s="34"/>
      <c r="BD105" s="34"/>
      <c r="BE105" s="173"/>
      <c r="BF105" s="34">
        <v>298</v>
      </c>
      <c r="BG105" s="34">
        <v>279</v>
      </c>
      <c r="BH105" s="34">
        <v>256</v>
      </c>
      <c r="BI105" s="173">
        <v>1100</v>
      </c>
      <c r="BJ105" s="34">
        <v>967</v>
      </c>
      <c r="BK105" s="34">
        <v>747</v>
      </c>
      <c r="BL105" s="65">
        <v>1600</v>
      </c>
      <c r="BM105" s="173">
        <v>2400</v>
      </c>
      <c r="BN105" s="34">
        <v>2700</v>
      </c>
      <c r="BO105" s="34">
        <v>2400</v>
      </c>
      <c r="BP105" s="34">
        <v>4500</v>
      </c>
      <c r="BQ105" s="173">
        <v>988</v>
      </c>
      <c r="BR105" s="34">
        <v>904</v>
      </c>
      <c r="BS105" s="34">
        <v>1400</v>
      </c>
      <c r="BT105" s="34">
        <v>1400</v>
      </c>
      <c r="BU105" s="173">
        <v>1348</v>
      </c>
      <c r="BV105" s="34">
        <v>1500</v>
      </c>
      <c r="BW105" s="34">
        <v>2800</v>
      </c>
      <c r="BX105" s="34">
        <v>5600</v>
      </c>
      <c r="BY105" s="173">
        <v>3351</v>
      </c>
      <c r="BZ105" s="34">
        <v>3900</v>
      </c>
      <c r="CA105" s="34">
        <v>4100</v>
      </c>
      <c r="CB105" s="34">
        <v>4800</v>
      </c>
      <c r="CC105" s="173">
        <v>7261</v>
      </c>
      <c r="CD105" s="34">
        <v>7900</v>
      </c>
      <c r="CE105" s="34">
        <v>7200</v>
      </c>
      <c r="CF105" s="34">
        <v>6200</v>
      </c>
      <c r="CG105" s="173">
        <v>6620</v>
      </c>
      <c r="CH105" s="34">
        <v>6700</v>
      </c>
      <c r="CI105" s="34">
        <v>5900</v>
      </c>
      <c r="CJ105" s="34">
        <v>9000</v>
      </c>
      <c r="CK105" s="173">
        <v>6119</v>
      </c>
      <c r="CL105" s="34">
        <v>7200</v>
      </c>
      <c r="CM105" s="34">
        <v>8600</v>
      </c>
      <c r="CN105" s="34">
        <v>8500</v>
      </c>
      <c r="CO105" s="173">
        <v>7013</v>
      </c>
      <c r="CP105" s="34">
        <v>6300</v>
      </c>
      <c r="CQ105" s="34">
        <v>6700</v>
      </c>
      <c r="CR105" s="34">
        <v>6300</v>
      </c>
      <c r="CS105" s="173">
        <v>6628</v>
      </c>
      <c r="CT105" s="34">
        <v>9000</v>
      </c>
      <c r="CU105" s="34">
        <v>8700</v>
      </c>
      <c r="CV105" s="34">
        <v>10000</v>
      </c>
      <c r="CW105" s="173">
        <v>9404</v>
      </c>
      <c r="CX105" s="34">
        <v>7800</v>
      </c>
      <c r="CY105" s="34">
        <v>8600</v>
      </c>
      <c r="CZ105" s="34">
        <v>9100</v>
      </c>
      <c r="DA105" s="173">
        <v>8300</v>
      </c>
      <c r="DB105" s="62"/>
      <c r="DC105" s="62"/>
      <c r="DD105" s="62"/>
      <c r="DE105" s="173">
        <v>17800</v>
      </c>
      <c r="DF105" s="77">
        <v>14726</v>
      </c>
      <c r="DG105" s="77">
        <v>16077</v>
      </c>
      <c r="DH105" s="77">
        <v>18957</v>
      </c>
      <c r="DI105" s="192">
        <v>21900</v>
      </c>
      <c r="DJ105" s="62"/>
      <c r="DK105" s="62"/>
      <c r="DL105" s="62"/>
      <c r="DM105" s="780">
        <v>12000</v>
      </c>
      <c r="DN105" s="62"/>
      <c r="DO105" s="62"/>
      <c r="DP105" s="62"/>
      <c r="DQ105" s="226"/>
      <c r="DR105" s="62"/>
      <c r="DS105" s="62"/>
      <c r="DT105" s="62"/>
      <c r="DU105" s="226"/>
      <c r="DV105" s="62"/>
      <c r="DW105" s="62"/>
      <c r="DX105" s="62"/>
      <c r="DY105" s="226"/>
      <c r="DZ105" s="62"/>
      <c r="EA105" s="62"/>
      <c r="EB105" s="62"/>
      <c r="EC105" s="226"/>
      <c r="ED105" s="62"/>
      <c r="EE105" s="62"/>
      <c r="EF105" s="62"/>
      <c r="EG105" s="226"/>
      <c r="EH105" s="62"/>
      <c r="EI105" s="62"/>
      <c r="EJ105" s="62"/>
      <c r="EK105" s="226"/>
      <c r="EL105" s="15"/>
      <c r="EM105" s="15"/>
      <c r="EN105" s="15"/>
      <c r="EO105" s="15"/>
      <c r="EP105" s="15"/>
      <c r="EQ105" s="15"/>
      <c r="ER105" s="15"/>
      <c r="ES105" s="15"/>
      <c r="ET105" s="15"/>
      <c r="EU105" s="15"/>
      <c r="EV105" s="15"/>
      <c r="EW105" s="15"/>
      <c r="EX105" s="15"/>
      <c r="EY105" s="15"/>
      <c r="EZ105" s="15"/>
      <c r="FA105" s="15"/>
      <c r="FB105" s="15">
        <f>BI105:BI112</f>
      </c>
      <c r="FC105" s="15">
        <f>BM105:BM112</f>
      </c>
      <c r="FD105" s="15">
        <f>BQ105:BQ112</f>
      </c>
      <c r="FE105" s="15">
        <f>BU105:BU112</f>
      </c>
      <c r="FF105" s="15">
        <f>BY105:BY112</f>
      </c>
      <c r="FG105" s="15"/>
      <c r="FH105" s="15"/>
      <c r="FI105" s="15"/>
      <c r="FJ105" s="15"/>
      <c r="FK105" s="15"/>
      <c r="FL105" s="15"/>
      <c r="FM105" s="15"/>
      <c r="FN105" s="15"/>
      <c r="FO105" s="15"/>
      <c r="FP105" s="15"/>
      <c r="FQ105" s="15"/>
      <c r="FR105" s="15"/>
      <c r="FS105" s="15"/>
      <c r="FT105" s="15"/>
      <c r="FU105" s="15"/>
      <c r="FV105" s="15"/>
      <c r="FW105" s="11"/>
      <c r="FX105" s="11"/>
      <c r="FY105" s="11"/>
    </row>
    <row r="106" spans="1:181" ht="10.199999999999999">
      <c r="A106" s="1" t="s">
        <v>715</v>
      </c>
      <c r="B106" s="15"/>
      <c r="C106" s="15"/>
      <c r="D106" s="15"/>
      <c r="E106" s="174"/>
      <c r="F106" s="15"/>
      <c r="G106" s="15"/>
      <c r="H106" s="15"/>
      <c r="I106" s="174"/>
      <c r="J106" s="15"/>
      <c r="K106" s="15"/>
      <c r="L106" s="15"/>
      <c r="M106" s="174"/>
      <c r="N106" s="15"/>
      <c r="O106" s="15"/>
      <c r="P106" s="15"/>
      <c r="Q106" s="174"/>
      <c r="R106" s="15"/>
      <c r="S106" s="15"/>
      <c r="T106" s="15"/>
      <c r="U106" s="174"/>
      <c r="V106" s="15"/>
      <c r="W106" s="15"/>
      <c r="X106" s="15"/>
      <c r="Y106" s="174"/>
      <c r="Z106" s="15"/>
      <c r="AA106" s="15"/>
      <c r="AB106" s="15"/>
      <c r="AC106" s="174"/>
      <c r="AD106" s="15"/>
      <c r="AE106" s="15"/>
      <c r="AF106" s="15"/>
      <c r="AG106" s="174"/>
      <c r="AH106" s="15"/>
      <c r="AI106" s="15"/>
      <c r="AJ106" s="15"/>
      <c r="AK106" s="174"/>
      <c r="AL106" s="15"/>
      <c r="AM106" s="15"/>
      <c r="AN106" s="15"/>
      <c r="AO106" s="174"/>
      <c r="AP106" s="15"/>
      <c r="AQ106" s="15"/>
      <c r="AR106" s="15"/>
      <c r="AS106" s="174"/>
      <c r="AT106" s="15"/>
      <c r="AU106" s="15"/>
      <c r="AV106" s="15"/>
      <c r="AW106" s="174"/>
      <c r="AX106" s="15"/>
      <c r="AY106" s="15"/>
      <c r="AZ106" s="15"/>
      <c r="BA106" s="174"/>
      <c r="BB106" s="15"/>
      <c r="BC106" s="15"/>
      <c r="BD106" s="15"/>
      <c r="BE106" s="174"/>
      <c r="BF106" s="15">
        <f>+BF102+BF105</f>
      </c>
      <c r="BG106" s="15">
        <f t="shared" ref="BG106:CH106" si="597">+BG102+BG105</f>
      </c>
      <c r="BH106" s="15">
        <f t="shared" si="597"/>
      </c>
      <c r="BI106" s="174">
        <f t="shared" si="597"/>
      </c>
      <c r="BJ106" s="15">
        <f t="shared" si="597"/>
      </c>
      <c r="BK106" s="15">
        <f t="shared" si="597"/>
      </c>
      <c r="BL106" s="15">
        <f t="shared" si="597"/>
      </c>
      <c r="BM106" s="174">
        <f t="shared" si="597"/>
      </c>
      <c r="BN106" s="15">
        <f t="shared" si="597"/>
      </c>
      <c r="BO106" s="15">
        <f t="shared" si="597"/>
      </c>
      <c r="BP106" s="15">
        <f t="shared" si="597"/>
      </c>
      <c r="BQ106" s="174">
        <f t="shared" si="597"/>
      </c>
      <c r="BR106" s="15">
        <f t="shared" si="597"/>
      </c>
      <c r="BS106" s="15">
        <f t="shared" si="597"/>
      </c>
      <c r="BT106" s="15">
        <f t="shared" si="597"/>
      </c>
      <c r="BU106" s="174">
        <f t="shared" si="597"/>
      </c>
      <c r="BV106" s="15">
        <f t="shared" si="597"/>
      </c>
      <c r="BW106" s="15">
        <f t="shared" si="597"/>
      </c>
      <c r="BX106" s="15">
        <f t="shared" si="597"/>
      </c>
      <c r="BY106" s="174">
        <f t="shared" si="597"/>
      </c>
      <c r="BZ106" s="15">
        <f t="shared" si="597"/>
      </c>
      <c r="CA106" s="15">
        <f t="shared" si="597"/>
      </c>
      <c r="CB106" s="15">
        <f t="shared" si="597"/>
      </c>
      <c r="CC106" s="174">
        <f t="shared" si="597"/>
      </c>
      <c r="CD106" s="15">
        <f t="shared" si="597"/>
      </c>
      <c r="CE106" s="15">
        <f t="shared" si="597"/>
      </c>
      <c r="CF106" s="15">
        <f t="shared" si="597"/>
      </c>
      <c r="CG106" s="174">
        <f t="shared" si="597"/>
      </c>
      <c r="CH106" s="15">
        <f t="shared" si="597"/>
      </c>
      <c r="CI106" s="15">
        <f t="shared" ref="CI106:CR106" si="598">+CI102+CI105</f>
      </c>
      <c r="CJ106" s="15">
        <f t="shared" si="598"/>
      </c>
      <c r="CK106" s="174">
        <f t="shared" si="598"/>
      </c>
      <c r="CL106" s="15">
        <f t="shared" si="598"/>
      </c>
      <c r="CM106" s="15">
        <f t="shared" si="598"/>
      </c>
      <c r="CN106" s="15">
        <f t="shared" si="598"/>
      </c>
      <c r="CO106" s="174">
        <f t="shared" si="598"/>
      </c>
      <c r="CP106" s="15">
        <f t="shared" si="598"/>
      </c>
      <c r="CQ106" s="15">
        <f t="shared" si="598"/>
      </c>
      <c r="CR106" s="15">
        <f t="shared" si="598"/>
      </c>
      <c r="CS106" s="174">
        <f t="shared" ref="CS106:DA106" si="599">+CS102+CS105</f>
      </c>
      <c r="CT106" s="15">
        <f t="shared" si="599"/>
      </c>
      <c r="CU106" s="15">
        <f t="shared" si="599"/>
      </c>
      <c r="CV106" s="15">
        <f t="shared" si="599"/>
      </c>
      <c r="CW106" s="174">
        <f t="shared" si="599"/>
      </c>
      <c r="CX106" s="15">
        <f t="shared" si="599"/>
      </c>
      <c r="CY106" s="15">
        <f t="shared" si="599"/>
      </c>
      <c r="CZ106" s="15">
        <f t="shared" si="599"/>
      </c>
      <c r="DA106" s="174">
        <f t="shared" si="599"/>
      </c>
      <c r="DB106" s="62"/>
      <c r="DC106" s="62"/>
      <c r="DD106" s="62"/>
      <c r="DE106" s="174"/>
      <c r="DF106" s="62"/>
      <c r="DG106" s="62"/>
      <c r="DH106" s="62"/>
      <c r="DI106" s="226"/>
      <c r="DJ106" s="62"/>
      <c r="DK106" s="62"/>
      <c r="DL106" s="62"/>
      <c r="DM106" s="226"/>
      <c r="DN106" s="62"/>
      <c r="DO106" s="62"/>
      <c r="DP106" s="62"/>
      <c r="DQ106" s="226"/>
      <c r="DR106" s="62"/>
      <c r="DS106" s="62"/>
      <c r="DT106" s="62"/>
      <c r="DU106" s="226"/>
      <c r="DV106" s="62"/>
      <c r="DW106" s="62"/>
      <c r="DX106" s="62"/>
      <c r="DY106" s="226"/>
      <c r="DZ106" s="62"/>
      <c r="EA106" s="62"/>
      <c r="EB106" s="62"/>
      <c r="EC106" s="226"/>
      <c r="ED106" s="62"/>
      <c r="EE106" s="62"/>
      <c r="EF106" s="62"/>
      <c r="EG106" s="226"/>
      <c r="EH106" s="62"/>
      <c r="EI106" s="62"/>
      <c r="EJ106" s="62"/>
      <c r="EK106" s="226"/>
      <c r="EL106" s="15"/>
      <c r="EM106" s="15"/>
      <c r="EN106" s="15"/>
      <c r="EO106" s="15"/>
      <c r="EP106" s="15"/>
      <c r="EQ106" s="15"/>
      <c r="ER106" s="15"/>
      <c r="ES106" s="15"/>
      <c r="ET106" s="15"/>
      <c r="EU106" s="15"/>
      <c r="EV106" s="15"/>
      <c r="EW106" s="15"/>
      <c r="EX106" s="15"/>
      <c r="EY106" s="15"/>
      <c r="EZ106" s="15"/>
      <c r="FA106" s="15"/>
      <c r="FB106" s="15"/>
      <c r="FC106" s="15"/>
      <c r="FD106" s="15"/>
      <c r="FE106" s="15"/>
      <c r="FF106" s="15"/>
      <c r="FG106" s="15"/>
      <c r="FH106" s="15"/>
      <c r="FI106" s="15"/>
      <c r="FJ106" s="15"/>
      <c r="FK106" s="15"/>
      <c r="FL106" s="15"/>
      <c r="FM106" s="15"/>
      <c r="FN106" s="15"/>
      <c r="FO106" s="15"/>
      <c r="FP106" s="15"/>
      <c r="FQ106" s="15"/>
      <c r="FR106" s="15"/>
      <c r="FS106" s="15"/>
      <c r="FT106" s="15"/>
      <c r="FU106" s="15"/>
      <c r="FV106" s="15"/>
      <c r="FW106" s="11"/>
      <c r="FX106" s="11"/>
      <c r="FY106" s="11"/>
    </row>
    <row r="107" spans="1:181">
      <c r="A107" s="1" t="s">
        <v>87</v>
      </c>
      <c r="B107" s="15"/>
      <c r="C107" s="15"/>
      <c r="D107" s="15"/>
      <c r="E107" s="174"/>
      <c r="F107" s="15"/>
      <c r="G107" s="15"/>
      <c r="H107" s="15"/>
      <c r="I107" s="174"/>
      <c r="J107" s="15"/>
      <c r="K107" s="15"/>
      <c r="L107" s="15"/>
      <c r="M107" s="174"/>
      <c r="N107" s="15"/>
      <c r="O107" s="15"/>
      <c r="P107" s="15"/>
      <c r="Q107" s="174"/>
      <c r="R107" s="15"/>
      <c r="S107" s="15"/>
      <c r="T107" s="15"/>
      <c r="U107" s="174"/>
      <c r="V107" s="15"/>
      <c r="W107" s="15"/>
      <c r="X107" s="15"/>
      <c r="Y107" s="174"/>
      <c r="Z107" s="15"/>
      <c r="AA107" s="15"/>
      <c r="AB107" s="15"/>
      <c r="AC107" s="174"/>
      <c r="AD107" s="15"/>
      <c r="AE107" s="15"/>
      <c r="AF107" s="15"/>
      <c r="AG107" s="174"/>
      <c r="AH107" s="15"/>
      <c r="AI107" s="15"/>
      <c r="AJ107" s="15"/>
      <c r="AK107" s="174"/>
      <c r="AL107" s="15"/>
      <c r="AM107" s="15"/>
      <c r="AN107" s="15"/>
      <c r="AO107" s="174"/>
      <c r="AP107" s="15"/>
      <c r="AQ107" s="15"/>
      <c r="AR107" s="15"/>
      <c r="AS107" s="174"/>
      <c r="AT107" s="15"/>
      <c r="AU107" s="15"/>
      <c r="AV107" s="15"/>
      <c r="AW107" s="174"/>
      <c r="AX107" s="15"/>
      <c r="AY107" s="15"/>
      <c r="AZ107" s="15"/>
      <c r="BA107" s="174"/>
      <c r="BB107" s="15"/>
      <c r="BC107" s="15"/>
      <c r="BD107" s="15"/>
      <c r="BE107" s="174"/>
      <c r="BF107" s="15"/>
      <c r="BG107" s="15"/>
      <c r="BH107" s="15"/>
      <c r="BI107" s="174"/>
      <c r="BJ107" s="17">
        <f t="shared" ref="BJ107:CB107" si="600">+BJ106/BF106-1</f>
      </c>
      <c r="BK107" s="17">
        <f t="shared" si="600"/>
      </c>
      <c r="BL107" s="17">
        <f t="shared" si="600"/>
      </c>
      <c r="BM107" s="225">
        <f t="shared" si="600"/>
      </c>
      <c r="BN107" s="17">
        <f t="shared" si="600"/>
      </c>
      <c r="BO107" s="17">
        <f t="shared" si="600"/>
      </c>
      <c r="BP107" s="17">
        <f t="shared" si="600"/>
      </c>
      <c r="BQ107" s="225">
        <f t="shared" si="600"/>
      </c>
      <c r="BR107" s="17">
        <f t="shared" si="600"/>
      </c>
      <c r="BS107" s="17">
        <f t="shared" si="600"/>
      </c>
      <c r="BT107" s="17">
        <f t="shared" si="600"/>
      </c>
      <c r="BU107" s="225">
        <f t="shared" si="600"/>
      </c>
      <c r="BV107" s="17">
        <f t="shared" si="600"/>
      </c>
      <c r="BW107" s="17">
        <f t="shared" si="600"/>
      </c>
      <c r="BX107" s="17">
        <f t="shared" si="600"/>
      </c>
      <c r="BY107" s="225">
        <f t="shared" si="600"/>
      </c>
      <c r="BZ107" s="17">
        <f t="shared" si="600"/>
      </c>
      <c r="CA107" s="17">
        <f t="shared" si="600"/>
      </c>
      <c r="CB107" s="17">
        <f t="shared" si="600"/>
      </c>
      <c r="CC107" s="225">
        <f t="shared" ref="CC107:CH107" si="601">+CC106/BY106-1</f>
      </c>
      <c r="CD107" s="17">
        <f t="shared" si="601"/>
      </c>
      <c r="CE107" s="17">
        <f t="shared" si="601"/>
      </c>
      <c r="CF107" s="17">
        <f t="shared" si="601"/>
      </c>
      <c r="CG107" s="225">
        <f t="shared" si="601"/>
      </c>
      <c r="CH107" s="17">
        <f t="shared" si="601"/>
      </c>
      <c r="CI107" s="17">
        <f>+CI106/CE106-1</f>
      </c>
      <c r="CJ107" s="17">
        <f t="shared" ref="CJ107:CS107" si="602">+CJ106/CF106-1</f>
      </c>
      <c r="CK107" s="225">
        <f t="shared" si="602"/>
      </c>
      <c r="CL107" s="17">
        <f t="shared" si="602"/>
      </c>
      <c r="CM107" s="17">
        <f t="shared" si="602"/>
      </c>
      <c r="CN107" s="17">
        <f t="shared" si="602"/>
      </c>
      <c r="CO107" s="225">
        <f t="shared" si="602"/>
      </c>
      <c r="CP107" s="17">
        <f t="shared" si="602"/>
      </c>
      <c r="CQ107" s="17">
        <f t="shared" si="602"/>
      </c>
      <c r="CR107" s="17">
        <f t="shared" ref="CR107:DA107" si="603">+CR106/CN106-1</f>
      </c>
      <c r="CS107" s="225">
        <f t="shared" si="602"/>
      </c>
      <c r="CT107" s="17">
        <f t="shared" si="603"/>
      </c>
      <c r="CU107" s="17">
        <f t="shared" si="603"/>
      </c>
      <c r="CV107" s="17">
        <f t="shared" si="603"/>
      </c>
      <c r="CW107" s="225">
        <f t="shared" si="603"/>
      </c>
      <c r="CX107" s="17">
        <f t="shared" si="603"/>
      </c>
      <c r="CY107" s="17">
        <f t="shared" si="603"/>
      </c>
      <c r="CZ107" s="17">
        <f t="shared" si="603"/>
      </c>
      <c r="DA107" s="225">
        <f t="shared" si="603"/>
      </c>
      <c r="DB107" s="62"/>
      <c r="DC107" s="62"/>
      <c r="DD107" s="62"/>
      <c r="DE107" s="225"/>
      <c r="DF107" s="62"/>
      <c r="DG107" s="62"/>
      <c r="DH107" s="62"/>
      <c r="DI107" s="226"/>
      <c r="DJ107" s="62"/>
      <c r="DK107" s="62"/>
      <c r="DL107" s="62"/>
      <c r="DM107" s="226"/>
      <c r="DN107" s="62"/>
      <c r="DO107" s="62"/>
      <c r="DP107" s="62"/>
      <c r="DQ107" s="226"/>
      <c r="DR107" s="62"/>
      <c r="DS107" s="62"/>
      <c r="DT107" s="62"/>
      <c r="DU107" s="226"/>
      <c r="DV107" s="62"/>
      <c r="DW107" s="62"/>
      <c r="DX107" s="62"/>
      <c r="DY107" s="226"/>
      <c r="DZ107" s="62"/>
      <c r="EA107" s="62"/>
      <c r="EB107" s="62"/>
      <c r="EC107" s="226"/>
      <c r="ED107" s="62"/>
      <c r="EE107" s="62"/>
      <c r="EF107" s="62"/>
      <c r="EG107" s="226"/>
      <c r="EH107" s="62"/>
      <c r="EI107" s="62"/>
      <c r="EJ107" s="62"/>
      <c r="EK107" s="226"/>
      <c r="EL107" s="15"/>
      <c r="EM107" s="15"/>
      <c r="EN107" s="15"/>
      <c r="EO107" s="15"/>
      <c r="EP107" s="15"/>
      <c r="EQ107" s="15"/>
      <c r="ER107" s="15"/>
      <c r="ES107" s="15"/>
      <c r="ET107" s="15"/>
      <c r="EU107" s="15"/>
      <c r="EV107" s="15"/>
      <c r="EW107" s="15"/>
      <c r="EX107" s="15"/>
      <c r="EY107" s="15"/>
      <c r="EZ107" s="15"/>
      <c r="FA107" s="15"/>
      <c r="FB107" s="15"/>
      <c r="FC107" s="15"/>
      <c r="FD107" s="15"/>
      <c r="FE107" s="15"/>
      <c r="FF107" s="15"/>
      <c r="FG107" s="15"/>
      <c r="FH107" s="15"/>
      <c r="FI107" s="17"/>
      <c r="FJ107" s="17"/>
      <c r="FK107" s="17"/>
      <c r="FL107" s="17"/>
      <c r="FM107" s="17"/>
      <c r="FN107" s="15"/>
      <c r="FO107" s="15"/>
      <c r="FP107" s="15"/>
      <c r="FQ107" s="15"/>
      <c r="FR107" s="15"/>
      <c r="FS107" s="15"/>
      <c r="FT107" s="15"/>
      <c r="FU107" s="15"/>
      <c r="FV107" s="15"/>
    </row>
    <row r="108" spans="1:181" ht="10.199999999999999">
      <c r="A108" s="1" t="s">
        <v>88</v>
      </c>
      <c r="B108" s="15"/>
      <c r="C108" s="15"/>
      <c r="D108" s="15"/>
      <c r="E108" s="174"/>
      <c r="F108" s="15"/>
      <c r="G108" s="15"/>
      <c r="H108" s="15"/>
      <c r="I108" s="174"/>
      <c r="J108" s="15"/>
      <c r="K108" s="15"/>
      <c r="L108" s="15"/>
      <c r="M108" s="174"/>
      <c r="N108" s="15"/>
      <c r="O108" s="15"/>
      <c r="P108" s="15"/>
      <c r="Q108" s="174"/>
      <c r="R108" s="15"/>
      <c r="S108" s="15"/>
      <c r="T108" s="15"/>
      <c r="U108" s="174"/>
      <c r="V108" s="15"/>
      <c r="W108" s="15"/>
      <c r="X108" s="15"/>
      <c r="Y108" s="174"/>
      <c r="Z108" s="15"/>
      <c r="AA108" s="15"/>
      <c r="AB108" s="15"/>
      <c r="AC108" s="174"/>
      <c r="AD108" s="15"/>
      <c r="AE108" s="15"/>
      <c r="AF108" s="15"/>
      <c r="AG108" s="174"/>
      <c r="AH108" s="15"/>
      <c r="AI108" s="15"/>
      <c r="AJ108" s="15"/>
      <c r="AK108" s="174"/>
      <c r="AL108" s="15"/>
      <c r="AM108" s="15"/>
      <c r="AN108" s="15"/>
      <c r="AO108" s="174"/>
      <c r="AP108" s="15"/>
      <c r="AQ108" s="15"/>
      <c r="AR108" s="15"/>
      <c r="AS108" s="174"/>
      <c r="AT108" s="15"/>
      <c r="AU108" s="15"/>
      <c r="AV108" s="15"/>
      <c r="AW108" s="174"/>
      <c r="AX108" s="15"/>
      <c r="AY108" s="15"/>
      <c r="AZ108" s="15"/>
      <c r="BA108" s="174"/>
      <c r="BB108" s="15"/>
      <c r="BC108" s="15"/>
      <c r="BD108" s="15"/>
      <c r="BE108" s="174"/>
      <c r="BF108" s="15"/>
      <c r="BG108" s="17">
        <f>+BG106/BF106-1</f>
      </c>
      <c r="BH108" s="17">
        <f>+BH106/BG106-1</f>
      </c>
      <c r="BI108" s="225">
        <f>+BI106/BH106-1</f>
      </c>
      <c r="BJ108" s="17">
        <f>+BJ106/BI106-1</f>
      </c>
      <c r="BK108" s="17">
        <f t="shared" ref="BK108:CC108" si="604">+BK106/BJ106-1</f>
      </c>
      <c r="BL108" s="17">
        <f t="shared" si="604"/>
      </c>
      <c r="BM108" s="225">
        <f t="shared" si="604"/>
      </c>
      <c r="BN108" s="17">
        <f t="shared" si="604"/>
      </c>
      <c r="BO108" s="17">
        <f t="shared" si="604"/>
      </c>
      <c r="BP108" s="17">
        <f t="shared" si="604"/>
      </c>
      <c r="BQ108" s="225">
        <f t="shared" si="604"/>
      </c>
      <c r="BR108" s="17">
        <f t="shared" si="604"/>
      </c>
      <c r="BS108" s="17">
        <f t="shared" si="604"/>
      </c>
      <c r="BT108" s="17">
        <f t="shared" si="604"/>
      </c>
      <c r="BU108" s="225">
        <f t="shared" si="604"/>
      </c>
      <c r="BV108" s="17">
        <f t="shared" si="604"/>
      </c>
      <c r="BW108" s="17">
        <f t="shared" si="604"/>
      </c>
      <c r="BX108" s="17">
        <f t="shared" si="604"/>
      </c>
      <c r="BY108" s="225">
        <f t="shared" si="604"/>
      </c>
      <c r="BZ108" s="17">
        <f t="shared" si="604"/>
      </c>
      <c r="CA108" s="17">
        <f t="shared" si="604"/>
      </c>
      <c r="CB108" s="17">
        <f t="shared" si="604"/>
      </c>
      <c r="CC108" s="225">
        <f t="shared" si="604"/>
      </c>
      <c r="CD108" s="17">
        <f t="shared" ref="CD108:CI108" si="605">+CD106/CC106-1</f>
      </c>
      <c r="CE108" s="17">
        <f t="shared" si="605"/>
      </c>
      <c r="CF108" s="17">
        <f t="shared" si="605"/>
      </c>
      <c r="CG108" s="225">
        <f t="shared" si="605"/>
      </c>
      <c r="CH108" s="17">
        <f t="shared" si="605"/>
      </c>
      <c r="CI108" s="17">
        <f t="shared" si="605"/>
      </c>
      <c r="CJ108" s="17">
        <f t="shared" ref="CJ108:CS108" si="606">+CJ106/CI106-1</f>
      </c>
      <c r="CK108" s="225">
        <f t="shared" si="606"/>
      </c>
      <c r="CL108" s="17">
        <f t="shared" si="606"/>
      </c>
      <c r="CM108" s="17">
        <f t="shared" si="606"/>
      </c>
      <c r="CN108" s="17">
        <f t="shared" si="606"/>
      </c>
      <c r="CO108" s="225">
        <f t="shared" si="606"/>
      </c>
      <c r="CP108" s="17">
        <f t="shared" si="606"/>
      </c>
      <c r="CQ108" s="17">
        <f t="shared" si="606"/>
      </c>
      <c r="CR108" s="17">
        <f t="shared" ref="CR108:DA108" si="607">+CR106/CQ106-1</f>
      </c>
      <c r="CS108" s="225">
        <f t="shared" si="606"/>
      </c>
      <c r="CT108" s="17">
        <f t="shared" si="607"/>
      </c>
      <c r="CU108" s="17">
        <f t="shared" si="607"/>
      </c>
      <c r="CV108" s="17">
        <f t="shared" si="607"/>
      </c>
      <c r="CW108" s="225">
        <f t="shared" si="607"/>
      </c>
      <c r="CX108" s="17">
        <f t="shared" si="607"/>
      </c>
      <c r="CY108" s="17">
        <f t="shared" si="607"/>
      </c>
      <c r="CZ108" s="17">
        <f t="shared" si="607"/>
      </c>
      <c r="DA108" s="225">
        <f t="shared" si="607"/>
      </c>
      <c r="DB108" s="62"/>
      <c r="DC108" s="62"/>
      <c r="DD108" s="62"/>
      <c r="DE108" s="225"/>
      <c r="DF108" s="62"/>
      <c r="DG108" s="62"/>
      <c r="DH108" s="62"/>
      <c r="DI108" s="226"/>
      <c r="DJ108" s="62"/>
      <c r="DK108" s="62"/>
      <c r="DL108" s="62"/>
      <c r="DM108" s="226"/>
      <c r="DN108" s="62"/>
      <c r="DO108" s="62"/>
      <c r="DP108" s="62"/>
      <c r="DQ108" s="226"/>
      <c r="DR108" s="62"/>
      <c r="DS108" s="62"/>
      <c r="DT108" s="62"/>
      <c r="DU108" s="226"/>
      <c r="DV108" s="62"/>
      <c r="DW108" s="62"/>
      <c r="DX108" s="62"/>
      <c r="DY108" s="226"/>
      <c r="DZ108" s="62"/>
      <c r="EA108" s="62"/>
      <c r="EB108" s="62"/>
      <c r="EC108" s="226"/>
      <c r="ED108" s="62"/>
      <c r="EE108" s="62"/>
      <c r="EF108" s="62"/>
      <c r="EG108" s="226"/>
      <c r="EH108" s="62"/>
      <c r="EI108" s="62"/>
      <c r="EJ108" s="62"/>
      <c r="EK108" s="226"/>
      <c r="EL108" s="15"/>
      <c r="EM108" s="15"/>
      <c r="EN108" s="15"/>
      <c r="EO108" s="15"/>
      <c r="EP108" s="15"/>
      <c r="EQ108" s="15"/>
      <c r="ER108" s="15"/>
      <c r="ES108" s="15"/>
      <c r="ET108" s="15"/>
      <c r="EU108" s="15"/>
      <c r="EV108" s="15"/>
      <c r="EW108" s="15"/>
      <c r="EX108" s="15"/>
      <c r="EY108" s="15"/>
      <c r="EZ108" s="15"/>
      <c r="FA108" s="15"/>
      <c r="FB108" s="15"/>
      <c r="FC108" s="15"/>
      <c r="FD108" s="15"/>
      <c r="FE108" s="15"/>
      <c r="FF108" s="15"/>
      <c r="FG108" s="15"/>
      <c r="FH108" s="15"/>
      <c r="FI108" s="15"/>
      <c r="FJ108" s="15"/>
      <c r="FK108" s="15"/>
      <c r="FL108" s="15"/>
      <c r="FM108" s="15"/>
      <c r="FN108" s="15"/>
      <c r="FO108" s="15"/>
      <c r="FP108" s="15"/>
      <c r="FQ108" s="15"/>
      <c r="FR108" s="15"/>
      <c r="FS108" s="15"/>
      <c r="FT108" s="15"/>
      <c r="FU108" s="15"/>
      <c r="FV108" s="15"/>
      <c r="FW108" s="11"/>
      <c r="FX108" s="11"/>
      <c r="FY108" s="11"/>
    </row>
    <row r="109" spans="1:181" ht="10.199999999999999">
      <c r="A109" s="1" t="s">
        <v>1031</v>
      </c>
      <c r="B109" s="15"/>
      <c r="C109" s="15"/>
      <c r="D109" s="15"/>
      <c r="E109" s="174"/>
      <c r="F109" s="15"/>
      <c r="G109" s="15"/>
      <c r="H109" s="15"/>
      <c r="I109" s="174"/>
      <c r="J109" s="15"/>
      <c r="K109" s="15"/>
      <c r="L109" s="15"/>
      <c r="M109" s="174"/>
      <c r="N109" s="15"/>
      <c r="O109" s="15"/>
      <c r="P109" s="15"/>
      <c r="Q109" s="174"/>
      <c r="R109" s="15"/>
      <c r="S109" s="15"/>
      <c r="T109" s="15"/>
      <c r="U109" s="174"/>
      <c r="V109" s="15"/>
      <c r="W109" s="15"/>
      <c r="X109" s="15"/>
      <c r="Y109" s="174"/>
      <c r="Z109" s="15"/>
      <c r="AA109" s="15"/>
      <c r="AB109" s="15"/>
      <c r="AC109" s="174"/>
      <c r="AD109" s="15"/>
      <c r="AE109" s="15"/>
      <c r="AF109" s="15"/>
      <c r="AG109" s="174"/>
      <c r="AH109" s="15"/>
      <c r="AI109" s="15"/>
      <c r="AJ109" s="15"/>
      <c r="AK109" s="174"/>
      <c r="AL109" s="15"/>
      <c r="AM109" s="15"/>
      <c r="AN109" s="15"/>
      <c r="AO109" s="174"/>
      <c r="AP109" s="15"/>
      <c r="AQ109" s="15"/>
      <c r="AR109" s="15"/>
      <c r="AS109" s="174"/>
      <c r="AT109" s="15"/>
      <c r="AU109" s="15"/>
      <c r="AV109" s="15"/>
      <c r="AW109" s="174"/>
      <c r="AX109" s="15"/>
      <c r="AY109" s="15"/>
      <c r="AZ109" s="15"/>
      <c r="BA109" s="174"/>
      <c r="BB109" s="15"/>
      <c r="BC109" s="15"/>
      <c r="BD109" s="15"/>
      <c r="BE109" s="174"/>
      <c r="BF109" s="15"/>
      <c r="BG109" s="17"/>
      <c r="BH109" s="17"/>
      <c r="BI109" s="225"/>
      <c r="BJ109" s="17"/>
      <c r="BK109" s="17"/>
      <c r="BL109" s="17"/>
      <c r="BM109" s="225"/>
      <c r="BN109" s="17"/>
      <c r="BO109" s="17"/>
      <c r="BP109" s="17"/>
      <c r="BQ109" s="225"/>
      <c r="BR109" s="17"/>
      <c r="BS109" s="17"/>
      <c r="BT109" s="17"/>
      <c r="BU109" s="225"/>
      <c r="BV109" s="17"/>
      <c r="BW109" s="17"/>
      <c r="BX109" s="17"/>
      <c r="BY109" s="225"/>
      <c r="BZ109" s="17"/>
      <c r="CA109" s="17"/>
      <c r="CB109" s="17"/>
      <c r="CC109" s="225"/>
      <c r="CD109" s="34"/>
      <c r="CE109" s="34"/>
      <c r="CF109" s="34"/>
      <c r="CG109" s="173"/>
      <c r="CH109" s="34"/>
      <c r="CI109" s="34"/>
      <c r="CJ109" s="34"/>
      <c r="CK109" s="173">
        <v>150</v>
      </c>
      <c r="CL109" s="34"/>
      <c r="CM109" s="34"/>
      <c r="CN109" s="34">
        <v>150</v>
      </c>
      <c r="CO109" s="173">
        <v>150</v>
      </c>
      <c r="CP109" s="34">
        <v>150</v>
      </c>
      <c r="CQ109" s="34">
        <v>150</v>
      </c>
      <c r="CR109" s="34">
        <v>150</v>
      </c>
      <c r="CS109" s="173">
        <v>150</v>
      </c>
      <c r="CT109" s="34">
        <v>150</v>
      </c>
      <c r="CU109" s="34">
        <v>150</v>
      </c>
      <c r="CV109" s="34">
        <v>150</v>
      </c>
      <c r="CW109" s="173">
        <v>150</v>
      </c>
      <c r="CX109" s="34">
        <v>150</v>
      </c>
      <c r="CY109" s="34">
        <v>150</v>
      </c>
      <c r="CZ109" s="34">
        <v>150</v>
      </c>
      <c r="DA109" s="173">
        <v>150</v>
      </c>
      <c r="DB109" s="62"/>
      <c r="DC109" s="62"/>
      <c r="DD109" s="62"/>
      <c r="DE109" s="226"/>
      <c r="DF109" s="62"/>
      <c r="DG109" s="62"/>
      <c r="DH109" s="62"/>
      <c r="DI109" s="226"/>
      <c r="DJ109" s="62"/>
      <c r="DK109" s="62"/>
      <c r="DL109" s="62"/>
      <c r="DM109" s="226"/>
      <c r="DN109" s="62"/>
      <c r="DO109" s="62"/>
      <c r="DP109" s="62"/>
      <c r="DQ109" s="226"/>
      <c r="DR109" s="62"/>
      <c r="DS109" s="62"/>
      <c r="DT109" s="62"/>
      <c r="DU109" s="226"/>
      <c r="DV109" s="62"/>
      <c r="DW109" s="62"/>
      <c r="DX109" s="62"/>
      <c r="DY109" s="226"/>
      <c r="DZ109" s="62"/>
      <c r="EA109" s="62"/>
      <c r="EB109" s="62"/>
      <c r="EC109" s="226"/>
      <c r="ED109" s="62"/>
      <c r="EE109" s="62"/>
      <c r="EF109" s="62"/>
      <c r="EG109" s="226"/>
      <c r="EH109" s="62"/>
      <c r="EI109" s="62"/>
      <c r="EJ109" s="62"/>
      <c r="EK109" s="226"/>
      <c r="EL109" s="15"/>
      <c r="EM109" s="15"/>
      <c r="EN109" s="15"/>
      <c r="EO109" s="15"/>
      <c r="EP109" s="15"/>
      <c r="EQ109" s="15"/>
      <c r="ER109" s="15"/>
      <c r="ES109" s="15"/>
      <c r="ET109" s="15"/>
      <c r="EU109" s="15"/>
      <c r="EV109" s="15"/>
      <c r="EW109" s="15"/>
      <c r="EX109" s="15"/>
      <c r="EY109" s="15"/>
      <c r="EZ109" s="15"/>
      <c r="FA109" s="15"/>
      <c r="FB109" s="15"/>
      <c r="FC109" s="15"/>
      <c r="FD109" s="15"/>
      <c r="FE109" s="15"/>
      <c r="FF109" s="15"/>
      <c r="FG109" s="15"/>
      <c r="FH109" s="15"/>
      <c r="FI109" s="15"/>
      <c r="FJ109" s="15"/>
      <c r="FK109" s="15"/>
      <c r="FL109" s="15"/>
      <c r="FM109" s="15"/>
      <c r="FN109" s="15"/>
      <c r="FO109" s="15"/>
      <c r="FP109" s="15"/>
      <c r="FQ109" s="15"/>
      <c r="FR109" s="15"/>
      <c r="FS109" s="15"/>
      <c r="FT109" s="15"/>
      <c r="FU109" s="15"/>
      <c r="FV109" s="15"/>
      <c r="FW109" s="11"/>
      <c r="FX109" s="11"/>
      <c r="FY109" s="11"/>
    </row>
    <row r="110" spans="1:181" ht="10.199999999999999">
      <c r="A110" s="1" t="s">
        <v>1053</v>
      </c>
      <c r="B110" s="34"/>
      <c r="C110" s="34"/>
      <c r="D110" s="34"/>
      <c r="E110" s="173"/>
      <c r="F110" s="34"/>
      <c r="G110" s="34"/>
      <c r="H110" s="34"/>
      <c r="I110" s="173"/>
      <c r="J110" s="34"/>
      <c r="K110" s="34"/>
      <c r="L110" s="34"/>
      <c r="M110" s="173"/>
      <c r="N110" s="34"/>
      <c r="O110" s="34"/>
      <c r="P110" s="34"/>
      <c r="Q110" s="173"/>
      <c r="R110" s="34"/>
      <c r="S110" s="34"/>
      <c r="T110" s="34"/>
      <c r="U110" s="173"/>
      <c r="V110" s="34"/>
      <c r="W110" s="34"/>
      <c r="X110" s="34"/>
      <c r="Y110" s="173"/>
      <c r="Z110" s="34"/>
      <c r="AA110" s="34"/>
      <c r="AB110" s="34"/>
      <c r="AC110" s="173"/>
      <c r="AD110" s="34"/>
      <c r="AE110" s="34"/>
      <c r="AF110" s="34"/>
      <c r="AG110" s="173"/>
      <c r="AH110" s="34"/>
      <c r="AI110" s="34"/>
      <c r="AJ110" s="34"/>
      <c r="AK110" s="173"/>
      <c r="AL110" s="34"/>
      <c r="AM110" s="34"/>
      <c r="AN110" s="34"/>
      <c r="AO110" s="173"/>
      <c r="AP110" s="34"/>
      <c r="AQ110" s="34"/>
      <c r="AR110" s="34"/>
      <c r="AS110" s="173"/>
      <c r="AT110" s="34"/>
      <c r="AU110" s="34"/>
      <c r="AV110" s="34"/>
      <c r="AW110" s="173"/>
      <c r="AX110" s="34"/>
      <c r="AY110" s="34"/>
      <c r="AZ110" s="34"/>
      <c r="BA110" s="173"/>
      <c r="BB110" s="34"/>
      <c r="BC110" s="34"/>
      <c r="BD110" s="34"/>
      <c r="BE110" s="173"/>
      <c r="BF110" s="34"/>
      <c r="BG110" s="34"/>
      <c r="BH110" s="34"/>
      <c r="BI110" s="173"/>
      <c r="BJ110" s="34"/>
      <c r="BK110" s="34"/>
      <c r="BL110" s="65"/>
      <c r="BM110" s="173"/>
      <c r="BN110" s="34"/>
      <c r="BO110" s="34"/>
      <c r="BP110" s="34"/>
      <c r="BQ110" s="173"/>
      <c r="BR110" s="34"/>
      <c r="BS110" s="34"/>
      <c r="BT110" s="34"/>
      <c r="BU110" s="173"/>
      <c r="BV110" s="34"/>
      <c r="BW110" s="34"/>
      <c r="BX110" s="34"/>
      <c r="BY110" s="173"/>
      <c r="BZ110" s="34"/>
      <c r="CA110" s="34"/>
      <c r="CB110" s="34"/>
      <c r="CC110" s="173"/>
      <c r="CD110" s="34"/>
      <c r="CE110" s="34"/>
      <c r="CF110" s="34"/>
      <c r="CG110" s="173"/>
      <c r="CH110" s="34"/>
      <c r="CI110" s="34"/>
      <c r="CJ110" s="34"/>
      <c r="CK110" s="173">
        <v>8677</v>
      </c>
      <c r="CL110" s="34">
        <v>8700</v>
      </c>
      <c r="CM110" s="34">
        <v>8300</v>
      </c>
      <c r="CN110" s="34">
        <v>8500</v>
      </c>
      <c r="CO110" s="173">
        <v>9328</v>
      </c>
      <c r="CP110" s="34">
        <v>7400</v>
      </c>
      <c r="CQ110" s="34">
        <v>7600</v>
      </c>
      <c r="CR110" s="34">
        <v>8100</v>
      </c>
      <c r="CS110" s="173">
        <v>8211</v>
      </c>
      <c r="CT110" s="34">
        <v>10500</v>
      </c>
      <c r="CU110" s="34">
        <v>9900</v>
      </c>
      <c r="CV110" s="34">
        <v>9200</v>
      </c>
      <c r="CW110" s="173">
        <v>8652</v>
      </c>
      <c r="CX110" s="34">
        <v>8100</v>
      </c>
      <c r="CY110" s="34">
        <v>8200</v>
      </c>
      <c r="CZ110" s="34">
        <v>8800</v>
      </c>
      <c r="DA110" s="173">
        <v>8184</v>
      </c>
      <c r="DB110" s="62"/>
      <c r="DC110" s="62"/>
      <c r="DD110" s="62"/>
      <c r="DE110" s="173">
        <v>27286</v>
      </c>
      <c r="DF110" s="62"/>
      <c r="DG110" s="62"/>
      <c r="DH110" s="62"/>
      <c r="DI110" s="226"/>
      <c r="DJ110" s="62"/>
      <c r="DK110" s="62"/>
      <c r="DL110" s="62"/>
      <c r="DM110" s="226"/>
      <c r="DN110" s="62"/>
      <c r="DO110" s="62"/>
      <c r="DP110" s="62"/>
      <c r="DQ110" s="226"/>
      <c r="DR110" s="62"/>
      <c r="DS110" s="62"/>
      <c r="DT110" s="62"/>
      <c r="DU110" s="226"/>
      <c r="DV110" s="62"/>
      <c r="DW110" s="62"/>
      <c r="DX110" s="62"/>
      <c r="DY110" s="226"/>
      <c r="DZ110" s="62"/>
      <c r="EA110" s="62"/>
      <c r="EB110" s="62"/>
      <c r="EC110" s="226"/>
      <c r="ED110" s="62"/>
      <c r="EE110" s="62"/>
      <c r="EF110" s="62"/>
      <c r="EG110" s="226"/>
      <c r="EH110" s="62"/>
      <c r="EI110" s="62"/>
      <c r="EJ110" s="62"/>
      <c r="EK110" s="226"/>
      <c r="EL110" s="15"/>
      <c r="EM110" s="15"/>
      <c r="EN110" s="15"/>
      <c r="EO110" s="15"/>
      <c r="EP110" s="15"/>
      <c r="EQ110" s="15"/>
      <c r="ER110" s="15"/>
      <c r="ES110" s="15"/>
      <c r="ET110" s="15"/>
      <c r="EU110" s="15"/>
      <c r="EV110" s="15"/>
      <c r="EW110" s="15"/>
      <c r="EX110" s="15"/>
      <c r="EY110" s="15"/>
      <c r="EZ110" s="15"/>
      <c r="FA110" s="15"/>
      <c r="FB110" s="15">
        <f>BI110:BI118</f>
      </c>
      <c r="FC110" s="15">
        <f>BM110:BM118</f>
      </c>
      <c r="FD110" s="15">
        <f>BQ110:BQ118</f>
      </c>
      <c r="FE110" s="15">
        <f>BU110:BU118</f>
      </c>
      <c r="FF110" s="15">
        <f>BY110:BY118</f>
      </c>
      <c r="FG110" s="15"/>
      <c r="FH110" s="15"/>
      <c r="FI110" s="15"/>
      <c r="FJ110" s="15"/>
      <c r="FK110" s="15"/>
      <c r="FL110" s="15"/>
      <c r="FM110" s="15"/>
      <c r="FN110" s="15"/>
      <c r="FO110" s="15"/>
      <c r="FP110" s="15"/>
      <c r="FQ110" s="15"/>
      <c r="FR110" s="15"/>
      <c r="FS110" s="15"/>
      <c r="FT110" s="15"/>
      <c r="FU110" s="15"/>
      <c r="FV110" s="15"/>
      <c r="FW110" s="11"/>
      <c r="FX110" s="11"/>
      <c r="FY110" s="11"/>
    </row>
    <row r="111" spans="1:181">
      <c r="A111" s="1" t="s">
        <v>87</v>
      </c>
      <c r="B111" s="15"/>
      <c r="C111" s="15"/>
      <c r="D111" s="15"/>
      <c r="E111" s="174"/>
      <c r="F111" s="15"/>
      <c r="G111" s="15"/>
      <c r="H111" s="15"/>
      <c r="I111" s="174"/>
      <c r="J111" s="15"/>
      <c r="K111" s="15"/>
      <c r="L111" s="15"/>
      <c r="M111" s="174"/>
      <c r="N111" s="15"/>
      <c r="O111" s="15"/>
      <c r="P111" s="15"/>
      <c r="Q111" s="174"/>
      <c r="R111" s="15"/>
      <c r="S111" s="15"/>
      <c r="T111" s="15"/>
      <c r="U111" s="174"/>
      <c r="V111" s="15"/>
      <c r="W111" s="15"/>
      <c r="X111" s="15"/>
      <c r="Y111" s="174"/>
      <c r="Z111" s="15"/>
      <c r="AA111" s="15"/>
      <c r="AB111" s="15"/>
      <c r="AC111" s="174"/>
      <c r="AD111" s="15"/>
      <c r="AE111" s="15"/>
      <c r="AF111" s="15"/>
      <c r="AG111" s="174"/>
      <c r="AH111" s="15"/>
      <c r="AI111" s="15"/>
      <c r="AJ111" s="15"/>
      <c r="AK111" s="174"/>
      <c r="AL111" s="15"/>
      <c r="AM111" s="15"/>
      <c r="AN111" s="15"/>
      <c r="AO111" s="174"/>
      <c r="AP111" s="15"/>
      <c r="AQ111" s="15"/>
      <c r="AR111" s="15"/>
      <c r="AS111" s="174"/>
      <c r="AT111" s="15"/>
      <c r="AU111" s="15"/>
      <c r="AV111" s="15"/>
      <c r="AW111" s="174"/>
      <c r="AX111" s="15"/>
      <c r="AY111" s="15"/>
      <c r="AZ111" s="15"/>
      <c r="BA111" s="174"/>
      <c r="BB111" s="15"/>
      <c r="BC111" s="15"/>
      <c r="BD111" s="15"/>
      <c r="BE111" s="174"/>
      <c r="BF111" s="15"/>
      <c r="BG111" s="15"/>
      <c r="BH111" s="15"/>
      <c r="BI111" s="174"/>
      <c r="BJ111" s="17" t="e">
        <f t="shared" ref="BJ111:CS111" si="608">+BJ110/BF110-1</f>
      </c>
      <c r="BK111" s="17" t="e">
        <f t="shared" si="608"/>
      </c>
      <c r="BL111" s="17" t="e">
        <f t="shared" si="608"/>
      </c>
      <c r="BM111" s="225" t="e">
        <f t="shared" si="608"/>
      </c>
      <c r="BN111" s="17" t="e">
        <f t="shared" si="608"/>
      </c>
      <c r="BO111" s="17" t="e">
        <f t="shared" si="608"/>
      </c>
      <c r="BP111" s="17" t="e">
        <f t="shared" si="608"/>
      </c>
      <c r="BQ111" s="225" t="e">
        <f t="shared" si="608"/>
      </c>
      <c r="BR111" s="17" t="e">
        <f t="shared" si="608"/>
      </c>
      <c r="BS111" s="17" t="e">
        <f t="shared" si="608"/>
      </c>
      <c r="BT111" s="17" t="e">
        <f t="shared" si="608"/>
      </c>
      <c r="BU111" s="225" t="e">
        <f t="shared" si="608"/>
      </c>
      <c r="BV111" s="17" t="e">
        <f t="shared" si="608"/>
      </c>
      <c r="BW111" s="17" t="e">
        <f t="shared" si="608"/>
      </c>
      <c r="BX111" s="17" t="e">
        <f t="shared" si="608"/>
      </c>
      <c r="BY111" s="225" t="e">
        <f t="shared" si="608"/>
      </c>
      <c r="BZ111" s="17" t="e">
        <f t="shared" si="608"/>
      </c>
      <c r="CA111" s="17" t="e">
        <f t="shared" si="608"/>
      </c>
      <c r="CB111" s="17" t="e">
        <f t="shared" si="608"/>
      </c>
      <c r="CC111" s="225" t="e">
        <f t="shared" si="608"/>
      </c>
      <c r="CD111" s="17" t="e">
        <f t="shared" si="608"/>
      </c>
      <c r="CE111" s="17" t="e">
        <f t="shared" si="608"/>
      </c>
      <c r="CF111" s="17" t="e">
        <f t="shared" si="608"/>
      </c>
      <c r="CG111" s="225" t="e">
        <f t="shared" si="608"/>
      </c>
      <c r="CH111" s="17" t="e">
        <f t="shared" si="608"/>
      </c>
      <c r="CI111" s="17" t="e">
        <f t="shared" si="608"/>
      </c>
      <c r="CJ111" s="17" t="e">
        <f t="shared" si="608"/>
      </c>
      <c r="CK111" s="225" t="e">
        <f t="shared" si="608"/>
      </c>
      <c r="CL111" s="17" t="e">
        <f t="shared" si="608"/>
      </c>
      <c r="CM111" s="17" t="e">
        <f t="shared" si="608"/>
      </c>
      <c r="CN111" s="17" t="e">
        <f t="shared" si="608"/>
      </c>
      <c r="CO111" s="225">
        <f t="shared" si="608"/>
      </c>
      <c r="CP111" s="17">
        <f t="shared" si="608"/>
      </c>
      <c r="CQ111" s="17">
        <f t="shared" si="608"/>
      </c>
      <c r="CR111" s="17">
        <f t="shared" ref="CR111:DA111" si="609">+CR110/CN110-1</f>
      </c>
      <c r="CS111" s="225">
        <f t="shared" si="608"/>
      </c>
      <c r="CT111" s="17">
        <f t="shared" si="609"/>
      </c>
      <c r="CU111" s="17">
        <f t="shared" si="609"/>
      </c>
      <c r="CV111" s="17">
        <f t="shared" si="609"/>
      </c>
      <c r="CW111" s="225">
        <f t="shared" si="609"/>
      </c>
      <c r="CX111" s="17">
        <f t="shared" si="609"/>
      </c>
      <c r="CY111" s="17">
        <f t="shared" si="609"/>
      </c>
      <c r="CZ111" s="17">
        <f t="shared" si="609"/>
      </c>
      <c r="DA111" s="225">
        <f t="shared" si="609"/>
      </c>
      <c r="DB111" s="62"/>
      <c r="DC111" s="62"/>
      <c r="DD111" s="62"/>
      <c r="DE111" s="225">
        <f t="shared" ref="DE111" si="610">+DE110/DA110-1</f>
      </c>
      <c r="DF111" s="62"/>
      <c r="DG111" s="62"/>
      <c r="DH111" s="62"/>
      <c r="DI111" s="226"/>
      <c r="DJ111" s="62"/>
      <c r="DK111" s="62"/>
      <c r="DL111" s="62"/>
      <c r="DM111" s="226"/>
      <c r="DN111" s="62"/>
      <c r="DO111" s="62"/>
      <c r="DP111" s="62"/>
      <c r="DQ111" s="226"/>
      <c r="DR111" s="62"/>
      <c r="DS111" s="62"/>
      <c r="DT111" s="62"/>
      <c r="DU111" s="226"/>
      <c r="DV111" s="62"/>
      <c r="DW111" s="62"/>
      <c r="DX111" s="62"/>
      <c r="DY111" s="226"/>
      <c r="DZ111" s="62"/>
      <c r="EA111" s="62"/>
      <c r="EB111" s="62"/>
      <c r="EC111" s="226"/>
      <c r="ED111" s="62"/>
      <c r="EE111" s="62"/>
      <c r="EF111" s="62"/>
      <c r="EG111" s="226"/>
      <c r="EH111" s="62"/>
      <c r="EI111" s="62"/>
      <c r="EJ111" s="62"/>
      <c r="EK111" s="226"/>
      <c r="EL111" s="15"/>
      <c r="EM111" s="15"/>
      <c r="EN111" s="15"/>
      <c r="EO111" s="15"/>
      <c r="EP111" s="15"/>
      <c r="EQ111" s="15"/>
      <c r="ER111" s="15"/>
      <c r="ES111" s="15"/>
      <c r="ET111" s="15"/>
      <c r="EU111" s="15"/>
      <c r="EV111" s="15"/>
      <c r="EW111" s="15"/>
      <c r="EX111" s="15"/>
      <c r="EY111" s="15"/>
      <c r="EZ111" s="15"/>
      <c r="FA111" s="15"/>
      <c r="FB111" s="15"/>
      <c r="FC111" s="15"/>
      <c r="FD111" s="15"/>
      <c r="FE111" s="15"/>
      <c r="FF111" s="15"/>
      <c r="FG111" s="15"/>
      <c r="FH111" s="15"/>
      <c r="FI111" s="17"/>
      <c r="FJ111" s="17"/>
      <c r="FK111" s="17"/>
      <c r="FL111" s="17"/>
      <c r="FM111" s="17"/>
      <c r="FN111" s="15"/>
      <c r="FO111" s="15"/>
      <c r="FP111" s="15"/>
      <c r="FQ111" s="15"/>
      <c r="FR111" s="15"/>
      <c r="FS111" s="15"/>
      <c r="FT111" s="15"/>
      <c r="FU111" s="15"/>
      <c r="FV111" s="15"/>
    </row>
    <row r="112" spans="1:181" ht="10.199999999999999">
      <c r="A112" s="1" t="s">
        <v>88</v>
      </c>
      <c r="B112" s="15"/>
      <c r="C112" s="15"/>
      <c r="D112" s="15"/>
      <c r="E112" s="174"/>
      <c r="F112" s="15"/>
      <c r="G112" s="15"/>
      <c r="H112" s="15"/>
      <c r="I112" s="174"/>
      <c r="J112" s="15"/>
      <c r="K112" s="15"/>
      <c r="L112" s="15"/>
      <c r="M112" s="174"/>
      <c r="N112" s="15"/>
      <c r="O112" s="15"/>
      <c r="P112" s="15"/>
      <c r="Q112" s="174"/>
      <c r="R112" s="15"/>
      <c r="S112" s="15"/>
      <c r="T112" s="15"/>
      <c r="U112" s="174"/>
      <c r="V112" s="15"/>
      <c r="W112" s="15"/>
      <c r="X112" s="15"/>
      <c r="Y112" s="174"/>
      <c r="Z112" s="15"/>
      <c r="AA112" s="15"/>
      <c r="AB112" s="15"/>
      <c r="AC112" s="174"/>
      <c r="AD112" s="15"/>
      <c r="AE112" s="15"/>
      <c r="AF112" s="15"/>
      <c r="AG112" s="174"/>
      <c r="AH112" s="15"/>
      <c r="AI112" s="15"/>
      <c r="AJ112" s="15"/>
      <c r="AK112" s="174"/>
      <c r="AL112" s="15"/>
      <c r="AM112" s="15"/>
      <c r="AN112" s="15"/>
      <c r="AO112" s="174"/>
      <c r="AP112" s="15"/>
      <c r="AQ112" s="15"/>
      <c r="AR112" s="15"/>
      <c r="AS112" s="174"/>
      <c r="AT112" s="15"/>
      <c r="AU112" s="15"/>
      <c r="AV112" s="15"/>
      <c r="AW112" s="174"/>
      <c r="AX112" s="15"/>
      <c r="AY112" s="15"/>
      <c r="AZ112" s="15"/>
      <c r="BA112" s="174"/>
      <c r="BB112" s="15"/>
      <c r="BC112" s="15"/>
      <c r="BD112" s="15"/>
      <c r="BE112" s="174"/>
      <c r="BF112" s="15"/>
      <c r="BG112" s="17" t="e">
        <f t="shared" ref="BG112:CS112" si="611">+BG110/BF110-1</f>
      </c>
      <c r="BH112" s="17" t="e">
        <f t="shared" si="611"/>
      </c>
      <c r="BI112" s="225" t="e">
        <f t="shared" si="611"/>
      </c>
      <c r="BJ112" s="17" t="e">
        <f t="shared" si="611"/>
      </c>
      <c r="BK112" s="17" t="e">
        <f t="shared" si="611"/>
      </c>
      <c r="BL112" s="17" t="e">
        <f t="shared" si="611"/>
      </c>
      <c r="BM112" s="225" t="e">
        <f t="shared" si="611"/>
      </c>
      <c r="BN112" s="17" t="e">
        <f t="shared" si="611"/>
      </c>
      <c r="BO112" s="17" t="e">
        <f t="shared" si="611"/>
      </c>
      <c r="BP112" s="17" t="e">
        <f t="shared" si="611"/>
      </c>
      <c r="BQ112" s="225" t="e">
        <f t="shared" si="611"/>
      </c>
      <c r="BR112" s="17" t="e">
        <f t="shared" si="611"/>
      </c>
      <c r="BS112" s="17" t="e">
        <f t="shared" si="611"/>
      </c>
      <c r="BT112" s="17" t="e">
        <f t="shared" si="611"/>
      </c>
      <c r="BU112" s="225" t="e">
        <f t="shared" si="611"/>
      </c>
      <c r="BV112" s="17" t="e">
        <f t="shared" si="611"/>
      </c>
      <c r="BW112" s="17" t="e">
        <f t="shared" si="611"/>
      </c>
      <c r="BX112" s="17" t="e">
        <f t="shared" si="611"/>
      </c>
      <c r="BY112" s="225" t="e">
        <f t="shared" si="611"/>
      </c>
      <c r="BZ112" s="17" t="e">
        <f t="shared" si="611"/>
      </c>
      <c r="CA112" s="17" t="e">
        <f t="shared" si="611"/>
      </c>
      <c r="CB112" s="17" t="e">
        <f t="shared" si="611"/>
      </c>
      <c r="CC112" s="225" t="e">
        <f t="shared" si="611"/>
      </c>
      <c r="CD112" s="17" t="e">
        <f t="shared" si="611"/>
      </c>
      <c r="CE112" s="17" t="e">
        <f t="shared" si="611"/>
      </c>
      <c r="CF112" s="17" t="e">
        <f t="shared" si="611"/>
      </c>
      <c r="CG112" s="225" t="e">
        <f t="shared" si="611"/>
      </c>
      <c r="CH112" s="17" t="e">
        <f t="shared" si="611"/>
      </c>
      <c r="CI112" s="17" t="e">
        <f t="shared" si="611"/>
      </c>
      <c r="CJ112" s="17" t="e">
        <f t="shared" si="611"/>
      </c>
      <c r="CK112" s="225" t="e">
        <f t="shared" si="611"/>
      </c>
      <c r="CL112" s="17">
        <f t="shared" si="611"/>
      </c>
      <c r="CM112" s="17">
        <f t="shared" si="611"/>
      </c>
      <c r="CN112" s="17">
        <f t="shared" si="611"/>
      </c>
      <c r="CO112" s="225">
        <f t="shared" si="611"/>
      </c>
      <c r="CP112" s="17">
        <f t="shared" si="611"/>
      </c>
      <c r="CQ112" s="17">
        <f t="shared" si="611"/>
      </c>
      <c r="CR112" s="17">
        <f t="shared" ref="CR112:DA112" si="612">+CR110/CQ110-1</f>
      </c>
      <c r="CS112" s="225">
        <f t="shared" si="611"/>
      </c>
      <c r="CT112" s="17">
        <f t="shared" si="612"/>
      </c>
      <c r="CU112" s="17">
        <f t="shared" si="612"/>
      </c>
      <c r="CV112" s="17">
        <f t="shared" si="612"/>
      </c>
      <c r="CW112" s="225">
        <f t="shared" si="612"/>
      </c>
      <c r="CX112" s="17">
        <f t="shared" si="612"/>
      </c>
      <c r="CY112" s="17">
        <f t="shared" si="612"/>
      </c>
      <c r="CZ112" s="17">
        <f t="shared" si="612"/>
      </c>
      <c r="DA112" s="225">
        <f t="shared" si="612"/>
      </c>
      <c r="DB112" s="62"/>
      <c r="DC112" s="62"/>
      <c r="DD112" s="62"/>
      <c r="DE112" s="225"/>
      <c r="DF112" s="62"/>
      <c r="DG112" s="62"/>
      <c r="DH112" s="62"/>
      <c r="DI112" s="226"/>
      <c r="DJ112" s="62"/>
      <c r="DK112" s="62"/>
      <c r="DL112" s="62"/>
      <c r="DM112" s="226"/>
      <c r="DN112" s="62"/>
      <c r="DO112" s="62"/>
      <c r="DP112" s="62"/>
      <c r="DQ112" s="226"/>
      <c r="DR112" s="62"/>
      <c r="DS112" s="62"/>
      <c r="DT112" s="62"/>
      <c r="DU112" s="226"/>
      <c r="DV112" s="62"/>
      <c r="DW112" s="62"/>
      <c r="DX112" s="62"/>
      <c r="DY112" s="226"/>
      <c r="DZ112" s="62"/>
      <c r="EA112" s="62"/>
      <c r="EB112" s="62"/>
      <c r="EC112" s="226"/>
      <c r="ED112" s="62"/>
      <c r="EE112" s="62"/>
      <c r="EF112" s="62"/>
      <c r="EG112" s="226"/>
      <c r="EH112" s="62"/>
      <c r="EI112" s="62"/>
      <c r="EJ112" s="62"/>
      <c r="EK112" s="226"/>
      <c r="EL112" s="15"/>
      <c r="EM112" s="15"/>
      <c r="EN112" s="15"/>
      <c r="EO112" s="15"/>
      <c r="EP112" s="15"/>
      <c r="EQ112" s="15"/>
      <c r="ER112" s="15"/>
      <c r="ES112" s="15"/>
      <c r="ET112" s="15"/>
      <c r="EU112" s="15"/>
      <c r="EV112" s="15"/>
      <c r="EW112" s="15"/>
      <c r="EX112" s="15"/>
      <c r="EY112" s="15"/>
      <c r="EZ112" s="15"/>
      <c r="FA112" s="15"/>
      <c r="FB112" s="15"/>
      <c r="FC112" s="15"/>
      <c r="FD112" s="15"/>
      <c r="FE112" s="15"/>
      <c r="FF112" s="15"/>
      <c r="FG112" s="15"/>
      <c r="FH112" s="15"/>
      <c r="FI112" s="15"/>
      <c r="FJ112" s="15"/>
      <c r="FK112" s="15"/>
      <c r="FL112" s="15"/>
      <c r="FM112" s="15"/>
      <c r="FN112" s="15"/>
      <c r="FO112" s="15"/>
      <c r="FP112" s="15"/>
      <c r="FQ112" s="15"/>
      <c r="FR112" s="15"/>
      <c r="FS112" s="15"/>
      <c r="FT112" s="15"/>
      <c r="FU112" s="15"/>
      <c r="FV112" s="15"/>
      <c r="FW112" s="11"/>
      <c r="FX112" s="11"/>
      <c r="FY112" s="11"/>
    </row>
    <row r="113" spans="1:141" s="11" customFormat="1" ht="10.199999999999999">
      <c r="E113" s="170"/>
      <c r="I113" s="170"/>
      <c r="M113" s="170"/>
      <c r="Q113" s="170"/>
      <c r="U113" s="170"/>
      <c r="Y113" s="170"/>
      <c r="AC113" s="170"/>
      <c r="AG113" s="170"/>
      <c r="AK113" s="170"/>
      <c r="AO113" s="170"/>
      <c r="AS113" s="170"/>
      <c r="AW113" s="170"/>
      <c r="BA113" s="170"/>
      <c r="BE113" s="170"/>
      <c r="BI113" s="170"/>
      <c r="BM113" s="170"/>
      <c r="BQ113" s="170"/>
      <c r="BU113" s="170"/>
      <c r="BY113" s="170"/>
      <c r="CC113" s="170"/>
      <c r="CG113" s="170"/>
      <c r="CK113" s="170"/>
      <c r="CO113" s="170"/>
      <c r="CS113" s="170"/>
      <c r="CW113" s="170"/>
      <c r="DA113" s="170"/>
      <c r="DB113" s="89"/>
      <c r="DC113" s="89"/>
      <c r="DD113" s="89"/>
      <c r="DE113" s="260"/>
      <c r="DF113" s="89"/>
      <c r="DG113" s="89"/>
      <c r="DH113" s="89"/>
      <c r="DI113" s="260"/>
      <c r="DJ113" s="89"/>
      <c r="DK113" s="89"/>
      <c r="DL113" s="89"/>
      <c r="DM113" s="260"/>
      <c r="DN113" s="89"/>
      <c r="DO113" s="89"/>
      <c r="DP113" s="89"/>
      <c r="DQ113" s="260"/>
      <c r="DR113" s="89"/>
      <c r="DS113" s="89"/>
      <c r="DT113" s="89"/>
      <c r="DU113" s="260"/>
      <c r="DV113" s="89"/>
      <c r="DW113" s="89"/>
      <c r="DX113" s="89"/>
      <c r="DY113" s="260"/>
      <c r="DZ113" s="89"/>
      <c r="EA113" s="89"/>
      <c r="EB113" s="89"/>
      <c r="EC113" s="260"/>
      <c r="ED113" s="89"/>
      <c r="EE113" s="89"/>
      <c r="EF113" s="89"/>
      <c r="EG113" s="260"/>
      <c r="EH113" s="89"/>
      <c r="EI113" s="89"/>
      <c r="EJ113" s="89"/>
      <c r="EK113" s="260"/>
    </row>
    <row r="114" spans="1:141" s="11" customFormat="1" ht="10.199999999999999">
      <c r="A114" s="11" t="s">
        <v>1075</v>
      </c>
      <c r="E114" s="170"/>
      <c r="I114" s="170"/>
      <c r="M114" s="170"/>
      <c r="Q114" s="170"/>
      <c r="U114" s="170"/>
      <c r="Y114" s="170"/>
      <c r="AC114" s="170"/>
      <c r="AG114" s="170"/>
      <c r="AK114" s="170"/>
      <c r="AO114" s="170"/>
      <c r="AS114" s="170"/>
      <c r="AW114" s="170"/>
      <c r="BA114" s="170"/>
      <c r="BE114" s="170"/>
      <c r="BI114" s="170"/>
      <c r="BM114" s="170"/>
      <c r="BQ114" s="170"/>
      <c r="BU114" s="170"/>
      <c r="BY114" s="170"/>
      <c r="CC114" s="170"/>
      <c r="CD114" s="389">
        <f t="shared" ref="CD114:DU114" si="613">CD56</f>
      </c>
      <c r="CE114" s="389">
        <f t="shared" si="613"/>
      </c>
      <c r="CF114" s="389">
        <f t="shared" si="613"/>
      </c>
      <c r="CG114" s="258">
        <f t="shared" si="613"/>
      </c>
      <c r="CH114" s="389">
        <f t="shared" si="613"/>
      </c>
      <c r="CI114" s="389">
        <f t="shared" si="613"/>
      </c>
      <c r="CJ114" s="389">
        <f t="shared" si="613"/>
      </c>
      <c r="CK114" s="258">
        <f t="shared" si="613"/>
      </c>
      <c r="CL114" s="389">
        <f t="shared" si="613"/>
      </c>
      <c r="CM114" s="389">
        <f t="shared" si="613"/>
      </c>
      <c r="CN114" s="389">
        <f t="shared" si="613"/>
      </c>
      <c r="CO114" s="258">
        <f t="shared" si="613"/>
      </c>
      <c r="CP114" s="389">
        <f t="shared" si="613"/>
      </c>
      <c r="CQ114" s="389">
        <f t="shared" si="613"/>
      </c>
      <c r="CR114" s="389">
        <f t="shared" si="613"/>
      </c>
      <c r="CS114" s="258">
        <f t="shared" si="613"/>
      </c>
      <c r="CT114" s="389">
        <f t="shared" si="613"/>
      </c>
      <c r="CU114" s="389">
        <f t="shared" si="613"/>
      </c>
      <c r="CV114" s="389">
        <f t="shared" si="613"/>
      </c>
      <c r="CW114" s="258">
        <f t="shared" si="613"/>
      </c>
      <c r="CX114" s="389">
        <f t="shared" si="613"/>
      </c>
      <c r="CY114" s="389">
        <f t="shared" si="613"/>
      </c>
      <c r="CZ114" s="389">
        <f t="shared" si="613"/>
      </c>
      <c r="DA114" s="258">
        <f t="shared" si="613"/>
      </c>
      <c r="DB114" s="389">
        <f t="shared" si="613"/>
      </c>
      <c r="DC114" s="389">
        <f t="shared" si="613"/>
      </c>
      <c r="DD114" s="389">
        <f t="shared" si="613"/>
      </c>
      <c r="DE114" s="258">
        <f t="shared" ref="DE114:DF114" si="614">DE56</f>
      </c>
      <c r="DF114" s="389">
        <f t="shared" si="614"/>
      </c>
      <c r="DG114" s="371">
        <f t="shared" si="613"/>
      </c>
      <c r="DH114" s="371">
        <f t="shared" si="613"/>
      </c>
      <c r="DI114" s="258">
        <f t="shared" si="613"/>
      </c>
      <c r="DJ114" s="371">
        <f t="shared" ref="DJ114" si="615">DJ56</f>
      </c>
      <c r="DK114" s="371">
        <f t="shared" si="613"/>
      </c>
      <c r="DL114" s="371">
        <f t="shared" ref="DL114:DM114" si="616">DL56</f>
      </c>
      <c r="DM114" s="258">
        <f t="shared" si="616"/>
      </c>
      <c r="DN114" s="371">
        <f t="shared" si="613"/>
      </c>
      <c r="DO114" s="371">
        <f t="shared" ref="DO114:DP114" si="617">DO56</f>
      </c>
      <c r="DP114" s="371">
        <f t="shared" si="617"/>
      </c>
      <c r="DQ114" s="439">
        <f t="shared" si="613"/>
      </c>
      <c r="DR114" s="371">
        <f t="shared" si="613"/>
      </c>
      <c r="DS114" s="371">
        <f t="shared" si="613"/>
      </c>
      <c r="DT114" s="371">
        <f t="shared" si="613"/>
      </c>
      <c r="DU114" s="439">
        <f t="shared" si="613"/>
      </c>
      <c r="DV114" s="371">
        <f t="shared" ref="DV114:EK114" si="618">DV56</f>
      </c>
      <c r="DW114" s="371">
        <f t="shared" si="618"/>
      </c>
      <c r="DX114" s="371">
        <f t="shared" si="618"/>
      </c>
      <c r="DY114" s="439">
        <f t="shared" si="618"/>
      </c>
      <c r="DZ114" s="371">
        <f t="shared" si="618"/>
      </c>
      <c r="EA114" s="371">
        <f t="shared" si="618"/>
      </c>
      <c r="EB114" s="371">
        <f t="shared" si="618"/>
      </c>
      <c r="EC114" s="439">
        <f t="shared" si="618"/>
      </c>
      <c r="ED114" s="371">
        <f t="shared" si="618"/>
      </c>
      <c r="EE114" s="371">
        <f t="shared" si="618"/>
      </c>
      <c r="EF114" s="371">
        <f t="shared" si="618"/>
      </c>
      <c r="EG114" s="439">
        <f t="shared" si="618"/>
      </c>
      <c r="EH114" s="371">
        <f t="shared" si="618"/>
      </c>
      <c r="EI114" s="371">
        <f t="shared" si="618"/>
      </c>
      <c r="EJ114" s="371">
        <f t="shared" si="618"/>
      </c>
      <c r="EK114" s="439">
        <f t="shared" si="618"/>
      </c>
    </row>
    <row r="115" spans="1:141" s="11" customFormat="1" ht="10.199999999999999">
      <c r="A115" s="11" t="s">
        <v>1076</v>
      </c>
      <c r="E115" s="170"/>
      <c r="I115" s="170"/>
      <c r="M115" s="170"/>
      <c r="Q115" s="170"/>
      <c r="U115" s="170"/>
      <c r="Y115" s="170"/>
      <c r="AC115" s="170"/>
      <c r="AG115" s="170"/>
      <c r="AK115" s="170"/>
      <c r="AO115" s="170"/>
      <c r="AS115" s="170"/>
      <c r="AW115" s="170"/>
      <c r="BA115" s="170"/>
      <c r="BE115" s="170"/>
      <c r="BI115" s="170"/>
      <c r="BM115" s="170"/>
      <c r="BQ115" s="170"/>
      <c r="BU115" s="170"/>
      <c r="BY115" s="170"/>
      <c r="CC115" s="170"/>
      <c r="CD115" s="213">
        <f>CD116/CD114*4</f>
      </c>
      <c r="CE115" s="213">
        <f t="shared" ref="CE115:CN115" si="619">CE116/CE114*4</f>
      </c>
      <c r="CF115" s="213">
        <f t="shared" si="619"/>
      </c>
      <c r="CG115" s="246">
        <f t="shared" si="619"/>
      </c>
      <c r="CH115" s="213">
        <f t="shared" si="619"/>
      </c>
      <c r="CI115" s="213">
        <f t="shared" si="619"/>
      </c>
      <c r="CJ115" s="213">
        <f t="shared" si="619"/>
      </c>
      <c r="CK115" s="246">
        <f t="shared" si="619"/>
      </c>
      <c r="CL115" s="213">
        <f t="shared" si="619"/>
      </c>
      <c r="CM115" s="213">
        <f t="shared" si="619"/>
      </c>
      <c r="CN115" s="348">
        <f t="shared" si="619"/>
      </c>
      <c r="CO115" s="343">
        <f t="shared" ref="CO115:CU115" si="620">CO116/CO114*4</f>
      </c>
      <c r="CP115" s="348">
        <f t="shared" si="620"/>
      </c>
      <c r="CQ115" s="307">
        <f t="shared" si="620"/>
      </c>
      <c r="CR115" s="307">
        <f t="shared" si="620"/>
      </c>
      <c r="CS115" s="343">
        <f t="shared" si="620"/>
      </c>
      <c r="CT115" s="348">
        <f t="shared" si="620"/>
      </c>
      <c r="CU115" s="307">
        <f t="shared" si="620"/>
      </c>
      <c r="CV115" s="307">
        <f>CV116/CV114*4</f>
      </c>
      <c r="CW115" s="284">
        <f>CW116/CW114*4</f>
      </c>
      <c r="CX115" s="348">
        <f t="shared" ref="CX115" si="621">CX116/CX114*4</f>
      </c>
      <c r="CY115" s="307">
        <f>CY116/CY114*4</f>
      </c>
      <c r="CZ115" s="307">
        <f>CZ116/CZ114*4</f>
      </c>
      <c r="DA115" s="284">
        <f t="shared" ref="DA115:DB115" si="622">DA116/DA114*4</f>
      </c>
      <c r="DB115" s="348">
        <f t="shared" si="622"/>
      </c>
      <c r="DC115" s="307">
        <f>DC116/DC114*4</f>
      </c>
      <c r="DD115" s="307">
        <f>DD116/DD114*4</f>
      </c>
      <c r="DE115" s="284">
        <f t="shared" ref="DE115:DH115" si="623">DE116/DE114*4</f>
      </c>
      <c r="DF115" s="348">
        <f t="shared" si="623"/>
      </c>
      <c r="DG115" s="348">
        <f t="shared" si="623"/>
      </c>
      <c r="DH115" s="348">
        <f t="shared" si="623"/>
      </c>
      <c r="DI115" s="284">
        <f t="shared" ref="DI115:DJ115" si="624">DI116/DI114*4</f>
      </c>
      <c r="DJ115" s="348">
        <f t="shared" si="624"/>
      </c>
      <c r="DK115" s="348">
        <f>DK116/DK114*4</f>
      </c>
      <c r="DL115" s="348">
        <f t="shared" ref="DL115:DN115" si="625">DL116/DL114*4</f>
      </c>
      <c r="DM115" s="284">
        <f t="shared" si="625"/>
      </c>
      <c r="DN115" s="348">
        <f t="shared" si="625"/>
      </c>
      <c r="DO115" s="348">
        <f>DO116/DO114*4</f>
      </c>
      <c r="DP115" s="348">
        <f t="shared" ref="DP115" si="626">DP116/DP114*4</f>
      </c>
      <c r="DQ115" s="774">
        <f t="shared" ref="DQ115:DR115" si="627">DP115</f>
      </c>
      <c r="DR115" s="775">
        <f t="shared" si="627"/>
      </c>
      <c r="DS115" s="775">
        <f t="shared" ref="DS115" si="628">DR115</f>
      </c>
      <c r="DT115" s="775">
        <f t="shared" ref="DT115" si="629">DS115</f>
      </c>
      <c r="DU115" s="774">
        <f t="shared" ref="DU115" si="630">DT115</f>
      </c>
      <c r="DV115" s="775">
        <f t="shared" ref="DV115" si="631">DU115</f>
      </c>
      <c r="DW115" s="775">
        <f t="shared" ref="DW115" si="632">DV115</f>
      </c>
      <c r="DX115" s="775">
        <f t="shared" ref="DX115" si="633">DW115</f>
      </c>
      <c r="DY115" s="774">
        <f t="shared" ref="DY115" si="634">DX115</f>
      </c>
      <c r="DZ115" s="775">
        <f t="shared" ref="DZ115" si="635">DY115</f>
      </c>
      <c r="EA115" s="775">
        <f t="shared" ref="EA115" si="636">DZ115</f>
      </c>
      <c r="EB115" s="775">
        <f t="shared" ref="EB115" si="637">EA115</f>
      </c>
      <c r="EC115" s="774">
        <f t="shared" ref="EC115" si="638">EB115</f>
      </c>
      <c r="ED115" s="775">
        <f t="shared" ref="ED115" si="639">EC115</f>
      </c>
      <c r="EE115" s="775">
        <f t="shared" ref="EE115" si="640">ED115</f>
      </c>
      <c r="EF115" s="775">
        <f t="shared" ref="EF115" si="641">EE115</f>
      </c>
      <c r="EG115" s="774">
        <f t="shared" ref="EG115" si="642">EF115</f>
      </c>
      <c r="EH115" s="775">
        <f t="shared" ref="EH115" si="643">EG115</f>
      </c>
      <c r="EI115" s="775">
        <f t="shared" ref="EI115" si="644">EH115</f>
      </c>
      <c r="EJ115" s="775">
        <f t="shared" ref="EJ115" si="645">EI115</f>
      </c>
      <c r="EK115" s="774">
        <f t="shared" ref="EK115" si="646">EJ115</f>
      </c>
    </row>
    <row r="116" spans="1:141" s="11" customFormat="1" ht="10.199999999999999">
      <c r="A116" s="11" t="s">
        <v>987</v>
      </c>
      <c r="E116" s="170"/>
      <c r="I116" s="170"/>
      <c r="M116" s="170"/>
      <c r="Q116" s="170"/>
      <c r="U116" s="170"/>
      <c r="Y116" s="170"/>
      <c r="AC116" s="170"/>
      <c r="AG116" s="170"/>
      <c r="AK116" s="170"/>
      <c r="AO116" s="170"/>
      <c r="AS116" s="170"/>
      <c r="AW116" s="170"/>
      <c r="BA116" s="170"/>
      <c r="BE116" s="170"/>
      <c r="BI116" s="170"/>
      <c r="BM116" s="170"/>
      <c r="BQ116" s="170"/>
      <c r="BU116" s="170"/>
      <c r="BY116" s="170"/>
      <c r="CC116" s="170"/>
      <c r="CD116" s="389">
        <f>'Income Statement'!CD19</f>
      </c>
      <c r="CE116" s="389">
        <f>'Income Statement'!CE19</f>
      </c>
      <c r="CF116" s="389">
        <f>'Income Statement'!CF19</f>
      </c>
      <c r="CG116" s="258">
        <f>'Income Statement'!CG19</f>
      </c>
      <c r="CH116" s="389">
        <f>'Income Statement'!CH19</f>
      </c>
      <c r="CI116" s="389">
        <f>'Income Statement'!CI19</f>
      </c>
      <c r="CJ116" s="389">
        <f>'Income Statement'!CJ19</f>
      </c>
      <c r="CK116" s="258">
        <f>'Income Statement'!CK19</f>
      </c>
      <c r="CL116" s="389">
        <f>'Income Statement'!CL19</f>
      </c>
      <c r="CM116" s="389">
        <f>'Income Statement'!CM19</f>
      </c>
      <c r="CN116" s="8">
        <f>'Income Statement'!CN19</f>
      </c>
      <c r="CO116" s="392">
        <f>'Income Statement'!CO19</f>
      </c>
      <c r="CP116" s="8">
        <f>'Income Statement'!CP19</f>
      </c>
      <c r="CQ116" s="8">
        <f>'Income Statement'!CQ19</f>
      </c>
      <c r="CR116" s="8">
        <f>'Income Statement'!CR19</f>
      </c>
      <c r="CS116" s="392">
        <f>'Income Statement'!CS19</f>
      </c>
      <c r="CT116" s="8">
        <f>'Income Statement'!CT19</f>
      </c>
      <c r="CU116" s="8">
        <f>'Income Statement'!CU19</f>
      </c>
      <c r="CV116" s="8">
        <f>'Income Statement'!CV19</f>
      </c>
      <c r="CW116" s="392">
        <f>'Income Statement'!CW19</f>
      </c>
      <c r="CX116" s="8">
        <f>'Income Statement'!CX19</f>
      </c>
      <c r="CY116" s="8">
        <f>'Income Statement'!CY19</f>
      </c>
      <c r="CZ116" s="8">
        <f>'Income Statement'!CZ19</f>
      </c>
      <c r="DA116" s="392">
        <f>'Income Statement'!DA19</f>
      </c>
      <c r="DB116" s="8">
        <f>'Income Statement'!DB19</f>
      </c>
      <c r="DC116" s="8">
        <f>'Income Statement'!DC19</f>
      </c>
      <c r="DD116" s="8">
        <f>'Income Statement'!DD19</f>
      </c>
      <c r="DE116" s="392">
        <f>'Income Statement'!DE19</f>
      </c>
      <c r="DF116" s="3115">
        <f>'Income Statement'!DF19</f>
      </c>
      <c r="DG116" s="3115">
        <f>'Income Statement'!DG19</f>
      </c>
      <c r="DH116" s="3115">
        <f>'Income Statement'!DH19</f>
      </c>
      <c r="DI116" s="3168">
        <f>'Income Statement'!DI19</f>
      </c>
      <c r="DJ116" s="3115">
        <f>'Income Statement'!DJ19</f>
      </c>
      <c r="DK116" s="3115">
        <f>'Income Statement'!DK19</f>
      </c>
      <c r="DL116" s="3115">
        <f>'Income Statement'!DL19</f>
      </c>
      <c r="DM116" s="3168">
        <f>'Income Statement'!DM19</f>
      </c>
      <c r="DN116" s="3115">
        <f>'Income Statement'!DN19</f>
      </c>
      <c r="DO116" s="3115">
        <f>'Income Statement'!DO19</f>
      </c>
      <c r="DP116" s="3115">
        <f>'Income Statement'!DP19</f>
      </c>
      <c r="DQ116" s="439">
        <f t="shared" ref="DQ116" si="647">DP114*DQ115/4</f>
      </c>
      <c r="DR116" s="371">
        <f t="shared" ref="DR116" si="648">DQ114*DR115/4</f>
      </c>
      <c r="DS116" s="371">
        <f t="shared" ref="DS116" si="649">DR114*DS115/4</f>
      </c>
      <c r="DT116" s="371">
        <f t="shared" ref="DT116" si="650">DS114*DT115/4</f>
      </c>
      <c r="DU116" s="439">
        <f t="shared" ref="DU116" si="651">DT114*DU115/4</f>
      </c>
      <c r="DV116" s="371">
        <f t="shared" ref="DV116" si="652">DU114*DV115/4</f>
      </c>
      <c r="DW116" s="371">
        <f t="shared" ref="DW116" si="653">DV114*DW115/4</f>
      </c>
      <c r="DX116" s="371">
        <f t="shared" ref="DX116" si="654">DW114*DX115/4</f>
      </c>
      <c r="DY116" s="439">
        <f t="shared" ref="DY116" si="655">DX114*DY115/4</f>
      </c>
      <c r="DZ116" s="371">
        <f t="shared" ref="DZ116" si="656">DY114*DZ115/4</f>
      </c>
      <c r="EA116" s="371">
        <f t="shared" ref="EA116" si="657">DZ114*EA115/4</f>
      </c>
      <c r="EB116" s="371">
        <f t="shared" ref="EB116" si="658">EA114*EB115/4</f>
      </c>
      <c r="EC116" s="439">
        <f t="shared" ref="EC116" si="659">EB114*EC115/4</f>
      </c>
      <c r="ED116" s="371">
        <f t="shared" ref="ED116" si="660">EC114*ED115/4</f>
      </c>
      <c r="EE116" s="371">
        <f t="shared" ref="EE116" si="661">ED114*EE115/4</f>
      </c>
      <c r="EF116" s="371">
        <f t="shared" ref="EF116" si="662">EE114*EF115/4</f>
      </c>
      <c r="EG116" s="439">
        <f t="shared" ref="EG116" si="663">EF114*EG115/4</f>
      </c>
      <c r="EH116" s="371">
        <f t="shared" ref="EH116" si="664">EG114*EH115/4</f>
      </c>
      <c r="EI116" s="371">
        <f t="shared" ref="EI116" si="665">EH114*EI115/4</f>
      </c>
      <c r="EJ116" s="371">
        <f t="shared" ref="EJ116" si="666">EI114*EJ115/4</f>
      </c>
      <c r="EK116" s="439">
        <f t="shared" ref="EK116" si="667">EJ114*EK115/4</f>
      </c>
    </row>
    <row r="117" spans="1:141" s="11" customFormat="1" ht="10.199999999999999">
      <c r="A117" s="11" t="s">
        <v>1077</v>
      </c>
      <c r="E117" s="170"/>
      <c r="I117" s="170"/>
      <c r="M117" s="170"/>
      <c r="Q117" s="170"/>
      <c r="U117" s="170"/>
      <c r="Y117" s="170"/>
      <c r="AC117" s="170"/>
      <c r="AG117" s="170"/>
      <c r="AK117" s="170"/>
      <c r="AO117" s="170"/>
      <c r="AS117" s="170"/>
      <c r="AW117" s="170"/>
      <c r="BA117" s="170"/>
      <c r="BE117" s="170"/>
      <c r="BI117" s="170"/>
      <c r="BM117" s="170"/>
      <c r="BQ117" s="170"/>
      <c r="BU117" s="170"/>
      <c r="BY117" s="170"/>
      <c r="CC117" s="170"/>
      <c r="CG117" s="170"/>
      <c r="CK117" s="170"/>
      <c r="CO117" s="170"/>
      <c r="CQ117" s="298"/>
      <c r="CR117" s="298"/>
      <c r="CS117" s="299"/>
      <c r="CU117" s="298"/>
      <c r="CV117" s="298"/>
      <c r="CW117" s="299"/>
      <c r="CX117" s="298"/>
      <c r="CY117" s="298"/>
      <c r="CZ117" s="298"/>
      <c r="DA117" s="441"/>
      <c r="DB117" s="440"/>
      <c r="DC117" s="440"/>
      <c r="DD117" s="440"/>
      <c r="DE117" s="441"/>
      <c r="DF117" s="440"/>
      <c r="DG117" s="440"/>
      <c r="DH117" s="440"/>
      <c r="DI117" s="441"/>
      <c r="DJ117" s="440"/>
      <c r="DK117" s="440"/>
      <c r="DL117" s="440"/>
      <c r="DM117" s="441"/>
      <c r="DN117" s="440"/>
      <c r="DO117" s="440"/>
      <c r="DP117" s="440"/>
      <c r="DQ117" s="441"/>
      <c r="DR117" s="440"/>
      <c r="DS117" s="440"/>
      <c r="DT117" s="440"/>
      <c r="DU117" s="441"/>
      <c r="DV117" s="440"/>
      <c r="DW117" s="440"/>
      <c r="DX117" s="440"/>
      <c r="DY117" s="441"/>
      <c r="DZ117" s="440"/>
      <c r="EA117" s="440"/>
      <c r="EB117" s="440"/>
      <c r="EC117" s="441"/>
      <c r="ED117" s="440"/>
      <c r="EE117" s="440"/>
      <c r="EF117" s="440"/>
      <c r="EG117" s="441"/>
      <c r="EH117" s="440"/>
      <c r="EI117" s="440"/>
      <c r="EJ117" s="440"/>
      <c r="EK117" s="441"/>
    </row>
    <row r="118" spans="1:141" s="11" customFormat="1" ht="10.199999999999999">
      <c r="E118" s="170"/>
      <c r="I118" s="170"/>
      <c r="M118" s="170"/>
      <c r="Q118" s="170"/>
      <c r="U118" s="170"/>
      <c r="Y118" s="170"/>
      <c r="AC118" s="170"/>
      <c r="AG118" s="170"/>
      <c r="AK118" s="170"/>
      <c r="AO118" s="170"/>
      <c r="AS118" s="170"/>
      <c r="AW118" s="170"/>
      <c r="BA118" s="170"/>
      <c r="BE118" s="170"/>
      <c r="BI118" s="170"/>
      <c r="BM118" s="170"/>
      <c r="BQ118" s="170"/>
      <c r="BU118" s="170"/>
      <c r="BY118" s="170"/>
      <c r="CC118" s="170"/>
      <c r="CG118" s="170"/>
      <c r="CK118" s="170"/>
      <c r="CO118" s="170"/>
      <c r="CS118" s="170"/>
      <c r="CU118" s="389"/>
      <c r="CW118" s="170"/>
      <c r="DA118" s="170"/>
      <c r="DB118" s="89"/>
      <c r="DC118" s="89"/>
      <c r="DD118" s="89"/>
      <c r="DE118" s="260"/>
      <c r="DF118" s="89"/>
      <c r="DG118" s="89"/>
      <c r="DH118" s="89"/>
      <c r="DI118" s="260"/>
      <c r="DJ118" s="89"/>
      <c r="DK118" s="89"/>
      <c r="DL118" s="89"/>
      <c r="DM118" s="260"/>
      <c r="DN118" s="89"/>
      <c r="DO118" s="89"/>
      <c r="DP118" s="89"/>
      <c r="DQ118" s="260"/>
      <c r="DR118" s="89"/>
      <c r="DS118" s="89"/>
      <c r="DT118" s="89"/>
      <c r="DU118" s="260"/>
      <c r="DV118" s="89"/>
      <c r="DW118" s="89"/>
      <c r="DX118" s="89"/>
      <c r="DY118" s="260"/>
      <c r="DZ118" s="89"/>
      <c r="EA118" s="89"/>
      <c r="EB118" s="89"/>
      <c r="EC118" s="260"/>
      <c r="ED118" s="89"/>
      <c r="EE118" s="89"/>
      <c r="EF118" s="89"/>
      <c r="EG118" s="260"/>
      <c r="EH118" s="89"/>
      <c r="EI118" s="89"/>
      <c r="EJ118" s="89"/>
      <c r="EK118" s="260"/>
    </row>
    <row r="119" spans="1:141" s="11" customFormat="1" ht="10.199999999999999">
      <c r="E119" s="170"/>
      <c r="I119" s="170"/>
      <c r="M119" s="170"/>
      <c r="Q119" s="170"/>
      <c r="U119" s="170"/>
      <c r="Y119" s="170"/>
      <c r="AC119" s="170"/>
      <c r="AG119" s="170"/>
      <c r="AK119" s="170"/>
      <c r="AO119" s="170"/>
      <c r="AS119" s="170"/>
      <c r="AW119" s="170"/>
      <c r="BA119" s="170"/>
      <c r="BE119" s="170"/>
      <c r="BI119" s="170"/>
      <c r="BM119" s="170"/>
      <c r="BQ119" s="170"/>
      <c r="BU119" s="170"/>
      <c r="BY119" s="170"/>
      <c r="CC119" s="170"/>
      <c r="CG119" s="170"/>
      <c r="CK119" s="170"/>
      <c r="CO119" s="170"/>
      <c r="CS119" s="170"/>
      <c r="CW119" s="170"/>
      <c r="DA119" s="170"/>
      <c r="DB119" s="89"/>
      <c r="DC119" s="89"/>
      <c r="DD119" s="89"/>
      <c r="DE119" s="260"/>
      <c r="DF119" s="89"/>
      <c r="DG119" s="89"/>
      <c r="DH119" s="89"/>
      <c r="DI119" s="260"/>
      <c r="DJ119" s="89"/>
      <c r="DK119" s="89"/>
      <c r="DL119" s="89"/>
      <c r="DM119" s="260"/>
      <c r="DN119" s="89"/>
      <c r="DO119" s="89"/>
      <c r="DP119" s="89"/>
      <c r="DQ119" s="260"/>
      <c r="DR119" s="89"/>
      <c r="DS119" s="89"/>
      <c r="DT119" s="89"/>
      <c r="DU119" s="260"/>
      <c r="DV119" s="89"/>
      <c r="DW119" s="89"/>
      <c r="DX119" s="89"/>
      <c r="DY119" s="260"/>
      <c r="DZ119" s="89"/>
      <c r="EA119" s="89"/>
      <c r="EB119" s="89"/>
      <c r="EC119" s="260"/>
      <c r="ED119" s="89"/>
      <c r="EE119" s="89"/>
      <c r="EF119" s="89"/>
      <c r="EG119" s="260"/>
      <c r="EH119" s="89"/>
      <c r="EI119" s="89"/>
      <c r="EJ119" s="89"/>
      <c r="EK119" s="260"/>
    </row>
    <row r="120" spans="1:141" s="11" customFormat="1" ht="10.199999999999999">
      <c r="E120" s="170"/>
      <c r="I120" s="170"/>
      <c r="M120" s="170"/>
      <c r="Q120" s="170"/>
      <c r="U120" s="170"/>
      <c r="Y120" s="170"/>
      <c r="AC120" s="170"/>
      <c r="AG120" s="170"/>
      <c r="AK120" s="170"/>
      <c r="AO120" s="170"/>
      <c r="AS120" s="170"/>
      <c r="AW120" s="170"/>
      <c r="BA120" s="170"/>
      <c r="BE120" s="170"/>
      <c r="BI120" s="170"/>
      <c r="BM120" s="170"/>
      <c r="BQ120" s="170"/>
      <c r="BU120" s="170"/>
      <c r="BY120" s="170"/>
      <c r="CC120" s="170"/>
      <c r="CG120" s="170"/>
      <c r="CK120" s="170"/>
      <c r="CO120" s="170"/>
      <c r="CS120" s="170"/>
      <c r="CW120" s="170"/>
      <c r="DA120" s="170"/>
      <c r="DB120" s="89"/>
      <c r="DC120" s="89"/>
      <c r="DD120" s="89"/>
      <c r="DE120" s="260"/>
      <c r="DF120" s="89"/>
      <c r="DG120" s="89"/>
      <c r="DH120" s="89"/>
      <c r="DI120" s="260"/>
      <c r="DJ120" s="89"/>
      <c r="DK120" s="89"/>
      <c r="DL120" s="89"/>
      <c r="DM120" s="260"/>
      <c r="DN120" s="89"/>
      <c r="DO120" s="89"/>
      <c r="DP120" s="89"/>
      <c r="DQ120" s="260"/>
      <c r="DR120" s="89"/>
      <c r="DS120" s="89"/>
      <c r="DT120" s="89"/>
      <c r="DU120" s="260"/>
      <c r="DV120" s="89"/>
      <c r="DW120" s="89"/>
      <c r="DX120" s="89"/>
      <c r="DY120" s="260"/>
      <c r="DZ120" s="89"/>
      <c r="EA120" s="89"/>
      <c r="EB120" s="89"/>
      <c r="EC120" s="260"/>
      <c r="ED120" s="89"/>
      <c r="EE120" s="89"/>
      <c r="EF120" s="89"/>
      <c r="EG120" s="260"/>
      <c r="EH120" s="89"/>
      <c r="EI120" s="89"/>
      <c r="EJ120" s="89"/>
      <c r="EK120" s="260"/>
    </row>
  </sheetData>
  <dataValidations disablePrompts="1" count="1">
    <dataValidation type="custom" allowBlank="1" showInputMessage="1" showErrorMessage="1" sqref="BF9:CK9" xr:uid="{00000000-0002-0000-0C00-000000000000}">
      <formula1>-1</formula1>
    </dataValidation>
  </dataValidations>
  <pageMargins left="0.7" right="0.7" top="0.75" bottom="0.75" header="0.3" footer="0.3"/>
  <pageSetup scale="56" fitToWidth="0" fitToHeight="0" orientation="landscape" r:id="rId1"/>
  <headerFooter>
    <oddFooter>&amp;L&amp;P/&amp;N&amp;R&amp;F
&amp;A
&amp;D</oddFooter>
  </headerFooter>
  <rowBreaks count="1" manualBreakCount="1">
    <brk id="54" max="177" man="1"/>
  </rowBreaks>
  <colBreaks count="1" manualBreakCount="1">
    <brk id="175" max="116" man="1"/>
  </colBreaks>
  <customProperties>
    <customPr name="Qube.Worksheet.Visibility" r:id="rId2"/>
    <customPr name="QXL_SHEET_ID" r:id="rId3"/>
  </customProperties>
  <drawing r:id="rId4"/>
  <legacyDrawing r:id="rId5"/>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dimension ref="A1:GI79"/>
  <sheetViews>
    <sheetView showGridLines="0" zoomScaleNormal="100" zoomScaleSheetLayoutView="100" workbookViewId="0">
      <pane xSplit="1" ySplit="9" topLeftCell="B10" activePane="bottomRight" state="frozen"/>
      <selection pane="topRight"/>
      <selection pane="bottomLeft"/>
      <selection pane="bottomRight"/>
    </sheetView>
  </sheetViews>
  <sheetFormatPr defaultColWidth="9" defaultRowHeight="10.199999999999999" outlineLevelRow="1" outlineLevelCol="1"/>
  <cols>
    <col min="1" max="1" width="38.59765625" style="11" bestFit="1" customWidth="1"/>
    <col min="2" max="53" width="9" style="11" hidden="1" customWidth="1" outlineLevel="1"/>
    <col min="54" max="54" width="9" style="11" hidden="1" customWidth="1" outlineLevel="1" collapsed="1"/>
    <col min="55" max="73" width="9" style="11" hidden="1" customWidth="1" outlineLevel="1"/>
    <col min="74" max="74" width="9" style="11" hidden="1" customWidth="1" outlineLevel="1" collapsed="1"/>
    <col min="75" max="77" width="9" style="11" hidden="1" customWidth="1" outlineLevel="1"/>
    <col min="78" max="78" width="9" style="11" hidden="1" customWidth="1" outlineLevel="1" collapsed="1"/>
    <col min="79" max="80" width="9" style="11" hidden="1" customWidth="1" outlineLevel="1"/>
    <col min="81" max="81" width="9.5" style="11" hidden="1" customWidth="1" outlineLevel="1"/>
    <col min="82" max="82" width="9" style="11" hidden="1" customWidth="1" outlineLevel="1" collapsed="1"/>
    <col min="83" max="89" width="9" style="11" hidden="1" customWidth="1" outlineLevel="1"/>
    <col min="90" max="90" width="9.5" style="11" hidden="1" customWidth="1" outlineLevel="1" collapsed="1"/>
    <col min="91" max="93" width="9" style="11" hidden="1" customWidth="1" outlineLevel="1"/>
    <col min="94" max="94" width="7.09765625" style="11" hidden="1" customWidth="1" outlineLevel="1" collapsed="1"/>
    <col min="95" max="101" width="7.09765625" style="11" hidden="1" customWidth="1" outlineLevel="1"/>
    <col min="102" max="102" width="7.09765625" style="11" hidden="1" customWidth="1" outlineLevel="1" collapsed="1"/>
    <col min="103" max="105" width="7.09765625" style="11" hidden="1" customWidth="1" outlineLevel="1"/>
    <col min="106" max="106" width="7.09765625" style="89" hidden="1" customWidth="1" outlineLevel="1" collapsed="1"/>
    <col min="107" max="109" width="7.09765625" style="89" hidden="1" customWidth="1" outlineLevel="1"/>
    <col min="110" max="110" width="7.09765625" style="89" customWidth="1" collapsed="1"/>
    <col min="111" max="111" width="8.09765625" style="89" bestFit="1" customWidth="1"/>
    <col min="112" max="125" width="7.09765625" style="89" customWidth="1"/>
    <col min="126" max="141" width="7.09765625" style="89" hidden="1" customWidth="1" outlineLevel="1"/>
    <col min="142" max="142" width="5.59765625" style="11" customWidth="1" collapsed="1"/>
    <col min="143" max="143" width="5.59765625" style="11" customWidth="1"/>
    <col min="144" max="156" width="9" style="11" hidden="1" customWidth="1" outlineLevel="1"/>
    <col min="157" max="157" width="9" style="11" hidden="1" customWidth="1" outlineLevel="1" collapsed="1"/>
    <col min="158" max="160" width="9" style="11" hidden="1" customWidth="1" outlineLevel="1"/>
    <col min="161" max="161" width="9" style="11" hidden="1" customWidth="1" outlineLevel="1" collapsed="1"/>
    <col min="162" max="163" width="9" style="11" hidden="1" customWidth="1" outlineLevel="1"/>
    <col min="164" max="164" width="9" style="11" hidden="1" customWidth="1" outlineLevel="1" collapsed="1"/>
    <col min="165" max="165" width="9" style="11" hidden="1" customWidth="1" outlineLevel="1"/>
    <col min="166" max="166" width="9" style="11" hidden="1" customWidth="1" outlineLevel="1" collapsed="1"/>
    <col min="167" max="169" width="9" style="11" hidden="1" customWidth="1" outlineLevel="1"/>
    <col min="170" max="170" width="9" style="11" customWidth="1" collapsed="1"/>
    <col min="171" max="175" width="9" style="11" customWidth="1"/>
    <col min="176" max="178" width="9" style="11" hidden="1" customWidth="1" outlineLevel="1"/>
    <col min="179" max="179" width="9" style="11" customWidth="1" collapsed="1"/>
    <col min="180" max="184" width="9" style="11" customWidth="1"/>
    <col min="185" max="16384" width="9" style="11"/>
  </cols>
  <sheetData>
    <row r="1" spans="1:191">
      <c r="E1" s="170"/>
      <c r="I1" s="170"/>
      <c r="M1" s="170"/>
      <c r="Q1" s="170"/>
      <c r="U1" s="170"/>
      <c r="Y1" s="170"/>
      <c r="AC1" s="170"/>
      <c r="AG1" s="170"/>
      <c r="AK1" s="170"/>
      <c r="AO1" s="170"/>
      <c r="AS1" s="170"/>
      <c r="AW1" s="170"/>
      <c r="BA1" s="170"/>
      <c r="BE1" s="170"/>
      <c r="BI1" s="170"/>
      <c r="BM1" s="170"/>
      <c r="BQ1" s="170"/>
      <c r="BU1" s="170"/>
      <c r="BY1" s="170"/>
      <c r="CC1" s="170"/>
      <c r="CG1" s="170"/>
      <c r="CK1" s="170"/>
      <c r="CM1" s="200"/>
      <c r="CN1" s="200"/>
      <c r="CO1" s="199"/>
      <c r="CP1" s="200"/>
      <c r="CQ1" s="200"/>
      <c r="CR1" s="200"/>
      <c r="CS1" s="199"/>
      <c r="CT1" s="200"/>
      <c r="CU1" s="200"/>
      <c r="CV1" s="200"/>
      <c r="CW1" s="199"/>
      <c r="CX1" s="200"/>
      <c r="CY1" s="200"/>
      <c r="CZ1" s="200"/>
      <c r="DA1" s="199"/>
      <c r="DB1" s="442"/>
      <c r="DC1" s="442"/>
      <c r="DD1" s="442"/>
      <c r="DE1" s="418"/>
      <c r="DF1" s="442"/>
      <c r="DG1" s="442"/>
      <c r="DH1" s="442"/>
      <c r="DI1" s="418"/>
      <c r="DJ1" s="442"/>
      <c r="DK1" s="442"/>
      <c r="DL1" s="442"/>
      <c r="DM1" s="418"/>
      <c r="DN1" s="442"/>
      <c r="DO1" s="442"/>
      <c r="DP1" s="442"/>
      <c r="DQ1" s="418"/>
      <c r="DR1" s="442"/>
      <c r="DS1" s="442"/>
      <c r="DT1" s="442"/>
      <c r="DU1" s="418"/>
      <c r="DV1" s="442"/>
      <c r="DW1" s="442"/>
      <c r="DX1" s="442"/>
      <c r="DY1" s="418"/>
      <c r="DZ1" s="442"/>
      <c r="EA1" s="442"/>
      <c r="EB1" s="442"/>
      <c r="EC1" s="418"/>
      <c r="ED1" s="442"/>
      <c r="EE1" s="442"/>
      <c r="EF1" s="442"/>
      <c r="EG1" s="418"/>
      <c r="EH1" s="442"/>
      <c r="EI1" s="442"/>
      <c r="EJ1" s="442"/>
      <c r="EK1" s="418"/>
      <c r="FK1" s="17"/>
      <c r="FL1" s="17"/>
      <c r="FM1" s="17"/>
      <c r="FN1" s="17"/>
    </row>
    <row r="2" spans="1:191">
      <c r="E2" s="170"/>
      <c r="I2" s="170"/>
      <c r="M2" s="170"/>
      <c r="Q2" s="170"/>
      <c r="U2" s="170"/>
      <c r="Y2" s="170"/>
      <c r="AC2" s="170"/>
      <c r="AG2" s="170"/>
      <c r="AK2" s="170"/>
      <c r="AO2" s="170"/>
      <c r="AS2" s="170"/>
      <c r="AW2" s="170"/>
      <c r="BA2" s="170"/>
      <c r="BE2" s="170"/>
      <c r="BI2" s="170"/>
      <c r="BM2" s="170"/>
      <c r="BQ2" s="170"/>
      <c r="BU2" s="170"/>
      <c r="BY2" s="170"/>
      <c r="CC2" s="170"/>
      <c r="CG2" s="170"/>
      <c r="CK2" s="170"/>
      <c r="CM2" s="200"/>
      <c r="CN2" s="200"/>
      <c r="CO2" s="199"/>
      <c r="CP2" s="200"/>
      <c r="CQ2" s="200"/>
      <c r="CR2" s="200"/>
      <c r="CS2" s="199"/>
      <c r="CT2" s="200"/>
      <c r="CU2" s="200"/>
      <c r="CV2" s="200"/>
      <c r="CW2" s="199"/>
      <c r="CX2" s="200"/>
      <c r="CY2" s="200"/>
      <c r="CZ2" s="200"/>
      <c r="DA2" s="199"/>
      <c r="DB2" s="442"/>
      <c r="DC2" s="442"/>
      <c r="DD2" s="442"/>
      <c r="DE2" s="418"/>
      <c r="DF2" s="442"/>
      <c r="DG2" s="442"/>
      <c r="DH2" s="442"/>
      <c r="DI2" s="418"/>
      <c r="DJ2" s="442"/>
      <c r="DK2" s="442"/>
      <c r="DL2" s="442"/>
      <c r="DM2" s="418"/>
      <c r="DN2" s="442"/>
      <c r="DO2" s="3382"/>
      <c r="DP2" s="442"/>
      <c r="DQ2" s="418"/>
      <c r="DR2" s="442"/>
      <c r="DS2" s="442"/>
      <c r="DT2" s="442"/>
      <c r="DU2" s="418"/>
      <c r="DV2" s="442"/>
      <c r="DW2" s="442"/>
      <c r="DX2" s="442"/>
      <c r="DY2" s="418"/>
      <c r="DZ2" s="442"/>
      <c r="EA2" s="442"/>
      <c r="EB2" s="442"/>
      <c r="EC2" s="418"/>
      <c r="ED2" s="442"/>
      <c r="EE2" s="442"/>
      <c r="EF2" s="442"/>
      <c r="EG2" s="418"/>
      <c r="EH2" s="442"/>
      <c r="EI2" s="442"/>
      <c r="EJ2" s="442"/>
      <c r="EK2" s="418"/>
    </row>
    <row r="3" spans="1:191" ht="22.8">
      <c r="A3" s="4" t="s">
        <v>0</v>
      </c>
      <c r="E3" s="170"/>
      <c r="I3" s="170"/>
      <c r="M3" s="170"/>
      <c r="Q3" s="170"/>
      <c r="U3" s="170"/>
      <c r="Y3" s="170"/>
      <c r="AC3" s="170"/>
      <c r="AG3" s="170"/>
      <c r="AK3" s="170"/>
      <c r="AO3" s="170"/>
      <c r="AS3" s="170"/>
      <c r="AW3" s="170"/>
      <c r="BA3" s="170"/>
      <c r="BE3" s="170"/>
      <c r="BI3" s="170"/>
      <c r="BM3" s="170"/>
      <c r="BQ3" s="170"/>
      <c r="BU3" s="170"/>
      <c r="BV3" s="4"/>
      <c r="BY3" s="250"/>
      <c r="BZ3" s="4"/>
      <c r="CC3" s="170"/>
      <c r="CD3" s="4"/>
      <c r="CG3" s="170"/>
      <c r="CK3" s="170"/>
      <c r="CO3" s="170"/>
      <c r="CS3" s="170"/>
      <c r="CW3" s="170"/>
      <c r="DA3" s="170"/>
      <c r="DE3" s="260"/>
      <c r="DG3" s="322"/>
      <c r="DI3" s="260"/>
      <c r="DM3" s="260"/>
      <c r="DO3" s="88"/>
      <c r="DQ3" s="260"/>
      <c r="DU3" s="260"/>
      <c r="DY3" s="260"/>
      <c r="EC3" s="260"/>
      <c r="EG3" s="260"/>
      <c r="EK3" s="260"/>
    </row>
    <row r="4" spans="1:191" ht="15.6">
      <c r="A4" s="296" t="s">
        <v>165</v>
      </c>
      <c r="E4" s="170"/>
      <c r="I4" s="170"/>
      <c r="M4" s="170"/>
      <c r="Q4" s="170"/>
      <c r="U4" s="170"/>
      <c r="Y4" s="170"/>
      <c r="AC4" s="170"/>
      <c r="AG4" s="170"/>
      <c r="AK4" s="170"/>
      <c r="AO4" s="170"/>
      <c r="AS4" s="170"/>
      <c r="AW4" s="170"/>
      <c r="BA4" s="170"/>
      <c r="BE4" s="170"/>
      <c r="BI4" s="170"/>
      <c r="BM4" s="170"/>
      <c r="BQ4" s="170"/>
      <c r="BU4" s="170"/>
      <c r="BV4" s="38"/>
      <c r="BY4" s="251"/>
      <c r="BZ4" s="38"/>
      <c r="CC4" s="170"/>
      <c r="CD4" s="296"/>
      <c r="CG4" s="170"/>
      <c r="CK4" s="170"/>
      <c r="CO4" s="170"/>
      <c r="CS4" s="170"/>
      <c r="CW4" s="170"/>
      <c r="DA4" s="170"/>
      <c r="DE4" s="260"/>
      <c r="DH4" s="62"/>
      <c r="DI4" s="226"/>
      <c r="DM4" s="260"/>
      <c r="DQ4" s="260"/>
      <c r="DU4" s="260"/>
      <c r="DY4" s="260"/>
      <c r="EC4" s="260"/>
      <c r="EG4" s="260"/>
      <c r="EK4" s="260"/>
      <c r="FJ4" s="287"/>
      <c r="FK4" s="287"/>
      <c r="FL4" s="287"/>
      <c r="FM4" s="287"/>
      <c r="FN4" s="287"/>
      <c r="FO4" s="287"/>
      <c r="FP4" s="287"/>
      <c r="FQ4" s="287"/>
      <c r="FR4" s="287"/>
      <c r="FS4" s="287"/>
      <c r="FT4" s="287"/>
      <c r="FU4" s="287"/>
      <c r="FV4" s="287"/>
      <c r="FW4" s="287"/>
      <c r="FX4" s="287"/>
      <c r="FY4" s="287"/>
      <c r="FZ4" s="287"/>
      <c r="GA4" s="287"/>
      <c r="GB4" s="287"/>
      <c r="GC4" s="287"/>
      <c r="GD4" s="287"/>
      <c r="GE4" s="287"/>
      <c r="GF4" s="287"/>
      <c r="GG4" s="287"/>
      <c r="GH4" s="287"/>
      <c r="GI4" s="287"/>
    </row>
    <row r="5" spans="1:191" ht="13.8" hidden="1" outlineLevel="1">
      <c r="E5" s="170"/>
      <c r="I5" s="170"/>
      <c r="M5" s="170"/>
      <c r="Q5" s="170"/>
      <c r="U5" s="170"/>
      <c r="Y5" s="170"/>
      <c r="AC5" s="170"/>
      <c r="AG5" s="170"/>
      <c r="AK5" s="170"/>
      <c r="AO5" s="170"/>
      <c r="AS5" s="170"/>
      <c r="AW5" s="170"/>
      <c r="BA5" s="170"/>
      <c r="BE5" s="170"/>
      <c r="BI5" s="170"/>
      <c r="BM5" s="170"/>
      <c r="BQ5" s="170"/>
      <c r="BU5" s="170"/>
      <c r="BY5" s="251"/>
      <c r="CC5" s="170"/>
      <c r="CD5" s="17"/>
      <c r="CG5" s="170"/>
      <c r="CK5" s="170"/>
      <c r="CO5" s="170"/>
      <c r="CS5" s="170"/>
      <c r="CW5" s="170"/>
      <c r="DA5" s="170"/>
      <c r="DE5" s="260"/>
      <c r="DI5" s="260"/>
      <c r="DM5" s="260"/>
      <c r="DQ5" s="260"/>
      <c r="DU5" s="260"/>
      <c r="DY5" s="260"/>
      <c r="EC5" s="260"/>
      <c r="EG5" s="260"/>
      <c r="EK5" s="260"/>
    </row>
    <row r="6" spans="1:191" ht="13.8" hidden="1" outlineLevel="1">
      <c r="E6" s="170"/>
      <c r="I6" s="170"/>
      <c r="M6" s="170"/>
      <c r="Q6" s="170"/>
      <c r="U6" s="170"/>
      <c r="Y6" s="170"/>
      <c r="AC6" s="170"/>
      <c r="AG6" s="170"/>
      <c r="AK6" s="170"/>
      <c r="AO6" s="170"/>
      <c r="AS6" s="170"/>
      <c r="AW6" s="170"/>
      <c r="BA6" s="170"/>
      <c r="BE6" s="170"/>
      <c r="BI6" s="170"/>
      <c r="BM6" s="170"/>
      <c r="BQ6" s="170"/>
      <c r="BU6" s="170"/>
      <c r="BY6" s="251"/>
      <c r="CC6" s="170"/>
      <c r="CG6" s="170"/>
      <c r="CK6" s="170"/>
      <c r="CO6" s="170"/>
      <c r="CS6" s="170"/>
      <c r="CW6" s="170"/>
      <c r="DA6" s="170"/>
      <c r="DE6" s="260"/>
      <c r="DI6" s="260"/>
      <c r="DM6" s="260"/>
      <c r="DQ6" s="260"/>
      <c r="DU6" s="260"/>
      <c r="DY6" s="260"/>
      <c r="EC6" s="260"/>
      <c r="EG6" s="260"/>
      <c r="EK6" s="260"/>
    </row>
    <row r="7" spans="1:191" ht="13.8" hidden="1" outlineLevel="1">
      <c r="E7" s="170"/>
      <c r="I7" s="170"/>
      <c r="M7" s="170"/>
      <c r="Q7" s="170"/>
      <c r="U7" s="170"/>
      <c r="Y7" s="170"/>
      <c r="AC7" s="170"/>
      <c r="AG7" s="170"/>
      <c r="AK7" s="170"/>
      <c r="AO7" s="170"/>
      <c r="AS7" s="170"/>
      <c r="AW7" s="170"/>
      <c r="BA7" s="170"/>
      <c r="BE7" s="170"/>
      <c r="BI7" s="170"/>
      <c r="BM7" s="170"/>
      <c r="BQ7" s="170"/>
      <c r="BU7" s="170"/>
      <c r="BY7" s="251"/>
      <c r="CC7" s="170"/>
      <c r="CG7" s="170"/>
      <c r="CK7" s="170"/>
      <c r="CO7" s="170"/>
      <c r="CS7" s="170"/>
      <c r="CW7" s="170"/>
      <c r="DA7" s="170"/>
      <c r="DE7" s="260"/>
      <c r="DI7" s="260"/>
      <c r="DM7" s="260"/>
      <c r="DQ7" s="260"/>
      <c r="DU7" s="260"/>
      <c r="DY7" s="260"/>
      <c r="EC7" s="260"/>
      <c r="EG7" s="260"/>
      <c r="EK7" s="260"/>
    </row>
    <row r="8" spans="1:191" s="1" customFormat="1" collapsed="1">
      <c r="A8" s="579"/>
      <c r="B8" s="543" t="s">
        <v>1</v>
      </c>
      <c r="C8" s="543" t="s">
        <v>2</v>
      </c>
      <c r="D8" s="543" t="s">
        <v>3</v>
      </c>
      <c r="E8" s="547" t="s">
        <v>4</v>
      </c>
      <c r="F8" s="543" t="s">
        <v>5</v>
      </c>
      <c r="G8" s="543" t="s">
        <v>6</v>
      </c>
      <c r="H8" s="543" t="s">
        <v>7</v>
      </c>
      <c r="I8" s="547" t="s">
        <v>8</v>
      </c>
      <c r="J8" s="543" t="s">
        <v>9</v>
      </c>
      <c r="K8" s="543" t="s">
        <v>10</v>
      </c>
      <c r="L8" s="543" t="s">
        <v>11</v>
      </c>
      <c r="M8" s="547" t="s">
        <v>12</v>
      </c>
      <c r="N8" s="543" t="s">
        <v>13</v>
      </c>
      <c r="O8" s="543" t="s">
        <v>14</v>
      </c>
      <c r="P8" s="543" t="s">
        <v>15</v>
      </c>
      <c r="Q8" s="547" t="s">
        <v>16</v>
      </c>
      <c r="R8" s="543" t="s">
        <v>17</v>
      </c>
      <c r="S8" s="543" t="s">
        <v>18</v>
      </c>
      <c r="T8" s="543" t="s">
        <v>19</v>
      </c>
      <c r="U8" s="547" t="s">
        <v>20</v>
      </c>
      <c r="V8" s="543" t="s">
        <v>21</v>
      </c>
      <c r="W8" s="543" t="s">
        <v>22</v>
      </c>
      <c r="X8" s="543" t="s">
        <v>23</v>
      </c>
      <c r="Y8" s="547" t="s">
        <v>24</v>
      </c>
      <c r="Z8" s="543" t="s">
        <v>25</v>
      </c>
      <c r="AA8" s="543" t="s">
        <v>26</v>
      </c>
      <c r="AB8" s="543" t="s">
        <v>27</v>
      </c>
      <c r="AC8" s="547" t="s">
        <v>28</v>
      </c>
      <c r="AD8" s="543" t="s">
        <v>29</v>
      </c>
      <c r="AE8" s="543" t="s">
        <v>30</v>
      </c>
      <c r="AF8" s="543" t="s">
        <v>31</v>
      </c>
      <c r="AG8" s="547" t="s">
        <v>32</v>
      </c>
      <c r="AH8" s="543" t="s">
        <v>33</v>
      </c>
      <c r="AI8" s="543" t="s">
        <v>34</v>
      </c>
      <c r="AJ8" s="543" t="s">
        <v>35</v>
      </c>
      <c r="AK8" s="547" t="s">
        <v>36</v>
      </c>
      <c r="AL8" s="543" t="s">
        <v>37</v>
      </c>
      <c r="AM8" s="543" t="s">
        <v>38</v>
      </c>
      <c r="AN8" s="543" t="s">
        <v>39</v>
      </c>
      <c r="AO8" s="547" t="s">
        <v>40</v>
      </c>
      <c r="AP8" s="543" t="s">
        <v>41</v>
      </c>
      <c r="AQ8" s="543" t="s">
        <v>42</v>
      </c>
      <c r="AR8" s="543" t="s">
        <v>43</v>
      </c>
      <c r="AS8" s="547" t="s">
        <v>44</v>
      </c>
      <c r="AT8" s="543" t="s">
        <v>45</v>
      </c>
      <c r="AU8" s="543" t="s">
        <v>46</v>
      </c>
      <c r="AV8" s="543" t="s">
        <v>47</v>
      </c>
      <c r="AW8" s="547" t="s">
        <v>48</v>
      </c>
      <c r="AX8" s="543" t="s">
        <v>49</v>
      </c>
      <c r="AY8" s="543" t="s">
        <v>50</v>
      </c>
      <c r="AZ8" s="543" t="s">
        <v>51</v>
      </c>
      <c r="BA8" s="547" t="s">
        <v>52</v>
      </c>
      <c r="BB8" s="543" t="s">
        <v>53</v>
      </c>
      <c r="BC8" s="543" t="s">
        <v>54</v>
      </c>
      <c r="BD8" s="543" t="s">
        <v>55</v>
      </c>
      <c r="BE8" s="547" t="s">
        <v>56</v>
      </c>
      <c r="BF8" s="543" t="s">
        <v>57</v>
      </c>
      <c r="BG8" s="543" t="s">
        <v>58</v>
      </c>
      <c r="BH8" s="543" t="s">
        <v>59</v>
      </c>
      <c r="BI8" s="547" t="s">
        <v>60</v>
      </c>
      <c r="BJ8" s="543" t="str">
        <f>'Income Statement'!BJ7</f>
      </c>
      <c r="BK8" s="543" t="str">
        <f>'Income Statement'!BK7</f>
      </c>
      <c r="BL8" s="543" t="str">
        <f>'Income Statement'!BL7</f>
      </c>
      <c r="BM8" s="547" t="str">
        <f>'Income Statement'!BM7</f>
      </c>
      <c r="BN8" s="543" t="str">
        <f>'Income Statement'!BN7</f>
      </c>
      <c r="BO8" s="543" t="str">
        <f>'Income Statement'!BO7</f>
      </c>
      <c r="BP8" s="543" t="str">
        <f>'Income Statement'!BP7</f>
      </c>
      <c r="BQ8" s="547" t="str">
        <f>'Income Statement'!BQ7</f>
      </c>
      <c r="BR8" s="543" t="str">
        <f>'Income Statement'!BR7</f>
      </c>
      <c r="BS8" s="543" t="str">
        <f>'Income Statement'!BS7</f>
      </c>
      <c r="BT8" s="543" t="str">
        <f>'Income Statement'!BT7</f>
      </c>
      <c r="BU8" s="547" t="str">
        <f>'Income Statement'!BU7</f>
      </c>
      <c r="BV8" s="543" t="str">
        <f>'Income Statement'!BV7</f>
      </c>
      <c r="BW8" s="543" t="str">
        <f>'Income Statement'!BW7</f>
      </c>
      <c r="BX8" s="543" t="str">
        <f>'Income Statement'!BX7</f>
      </c>
      <c r="BY8" s="547" t="str">
        <f>'Income Statement'!BY7</f>
      </c>
      <c r="BZ8" s="543" t="str">
        <f>'Income Statement'!BZ7</f>
      </c>
      <c r="CA8" s="543" t="str">
        <f>'Income Statement'!CA7</f>
      </c>
      <c r="CB8" s="543" t="str">
        <f>'Income Statement'!CB7</f>
      </c>
      <c r="CC8" s="547" t="str">
        <f>'Income Statement'!CC7</f>
      </c>
      <c r="CD8" s="543" t="str">
        <f>'Income Statement'!CD7</f>
      </c>
      <c r="CE8" s="543" t="str">
        <f>'Income Statement'!CE7</f>
      </c>
      <c r="CF8" s="543" t="str">
        <f>'Income Statement'!CF7</f>
      </c>
      <c r="CG8" s="547" t="str">
        <f>'Income Statement'!CG7</f>
      </c>
      <c r="CH8" s="543" t="str">
        <f>'Income Statement'!CH7</f>
      </c>
      <c r="CI8" s="543" t="str">
        <f>'Income Statement'!CI7</f>
      </c>
      <c r="CJ8" s="543" t="str">
        <f>'Income Statement'!CJ7</f>
      </c>
      <c r="CK8" s="547" t="str">
        <f>'Income Statement'!CK7</f>
      </c>
      <c r="CL8" s="543" t="str">
        <f>'Income Statement'!CL7</f>
      </c>
      <c r="CM8" s="543" t="str">
        <f>'Income Statement'!CM7</f>
      </c>
      <c r="CN8" s="543" t="str">
        <f>'Income Statement'!CN7</f>
      </c>
      <c r="CO8" s="547" t="str">
        <f>'Income Statement'!CO7</f>
      </c>
      <c r="CP8" s="543" t="str">
        <f>'Income Statement'!CP7</f>
      </c>
      <c r="CQ8" s="543" t="str">
        <f>'Income Statement'!CQ7</f>
      </c>
      <c r="CR8" s="543" t="str">
        <f>'Income Statement'!CR7</f>
      </c>
      <c r="CS8" s="547" t="str">
        <f>'Income Statement'!CS7</f>
      </c>
      <c r="CT8" s="543" t="str">
        <f>'Income Statement'!CT7</f>
      </c>
      <c r="CU8" s="543" t="str">
        <f>'Income Statement'!CU7</f>
      </c>
      <c r="CV8" s="543" t="str">
        <f>'Income Statement'!CV7</f>
      </c>
      <c r="CW8" s="547" t="str">
        <f>'Income Statement'!CW7</f>
      </c>
      <c r="CX8" s="543" t="str">
        <f>'Income Statement'!CX7</f>
      </c>
      <c r="CY8" s="543" t="str">
        <f>'Income Statement'!CY7</f>
      </c>
      <c r="CZ8" s="543" t="str">
        <f>'Income Statement'!CZ7</f>
      </c>
      <c r="DA8" s="547" t="str">
        <f>'Income Statement'!DA7</f>
      </c>
      <c r="DB8" s="543" t="str">
        <f>'Income Statement'!DB7</f>
      </c>
      <c r="DC8" s="543" t="str">
        <f>'Income Statement'!DC7</f>
      </c>
      <c r="DD8" s="543" t="str">
        <f>'Income Statement'!DD7</f>
      </c>
      <c r="DE8" s="547" t="str">
        <f>'Income Statement'!DE7</f>
      </c>
      <c r="DF8" s="543" t="str">
        <f>'Income Statement'!DF7</f>
      </c>
      <c r="DG8" s="543" t="str">
        <f>'Income Statement'!DG7</f>
      </c>
      <c r="DH8" s="543" t="str">
        <f>'Income Statement'!DH7</f>
      </c>
      <c r="DI8" s="547" t="str">
        <f>'Income Statement'!DI7</f>
      </c>
      <c r="DJ8" s="543" t="str">
        <f>'Income Statement'!DJ7</f>
      </c>
      <c r="DK8" s="543" t="str">
        <f>'Income Statement'!DK7</f>
      </c>
      <c r="DL8" s="543" t="str">
        <f>'Income Statement'!DL7</f>
      </c>
      <c r="DM8" s="547" t="str">
        <f>'Income Statement'!DM7</f>
      </c>
      <c r="DN8" s="543" t="str">
        <f>'Income Statement'!DN7</f>
      </c>
      <c r="DO8" s="543" t="str">
        <f>'Income Statement'!DO7</f>
      </c>
      <c r="DP8" s="543" t="str">
        <f>'Income Statement'!DP7</f>
      </c>
      <c r="DQ8" s="547" t="str">
        <f>'Income Statement'!DQ7</f>
      </c>
      <c r="DR8" s="543" t="str">
        <f>'Income Statement'!DR7</f>
      </c>
      <c r="DS8" s="543" t="str">
        <f>'Income Statement'!DS7</f>
      </c>
      <c r="DT8" s="543" t="str">
        <f>'Income Statement'!DT7</f>
      </c>
      <c r="DU8" s="547" t="str">
        <f>'Income Statement'!DU7</f>
      </c>
      <c r="DV8" s="543" t="str">
        <f>'Income Statement'!DV7</f>
      </c>
      <c r="DW8" s="543" t="str">
        <f>'Income Statement'!DW7</f>
      </c>
      <c r="DX8" s="543" t="str">
        <f>'Income Statement'!DX7</f>
      </c>
      <c r="DY8" s="547" t="str">
        <f>'Income Statement'!DY7</f>
      </c>
      <c r="DZ8" s="543" t="str">
        <f>'Income Statement'!DZ7</f>
      </c>
      <c r="EA8" s="543" t="str">
        <f>'Income Statement'!EA7</f>
      </c>
      <c r="EB8" s="543" t="str">
        <f>'Income Statement'!EB7</f>
      </c>
      <c r="EC8" s="547" t="str">
        <f>'Income Statement'!EC7</f>
      </c>
      <c r="ED8" s="543" t="str">
        <f>'Income Statement'!ED7</f>
      </c>
      <c r="EE8" s="543" t="str">
        <f>'Income Statement'!EE7</f>
      </c>
      <c r="EF8" s="543" t="str">
        <f>'Income Statement'!EF7</f>
      </c>
      <c r="EG8" s="547" t="str">
        <f>'Income Statement'!EG7</f>
      </c>
      <c r="EH8" s="543" t="str">
        <f>'Income Statement'!EH7</f>
      </c>
      <c r="EI8" s="543" t="str">
        <f>'Income Statement'!EI7</f>
      </c>
      <c r="EJ8" s="543" t="str">
        <f>'Income Statement'!EJ7</f>
      </c>
      <c r="EK8" s="547" t="str">
        <f>'Income Statement'!EK7</f>
      </c>
      <c r="EL8" s="516"/>
      <c r="EM8" s="516"/>
      <c r="EN8" s="543"/>
      <c r="EO8" s="543"/>
      <c r="EP8" s="543"/>
      <c r="EQ8" s="543"/>
      <c r="ER8" s="543"/>
      <c r="ES8" s="543"/>
      <c r="ET8" s="543"/>
      <c r="EU8" s="543"/>
      <c r="EV8" s="543"/>
      <c r="EW8" s="543"/>
      <c r="EX8" s="543"/>
      <c r="EY8" s="543"/>
      <c r="EZ8" s="543"/>
      <c r="FA8" s="543"/>
      <c r="FB8" s="543"/>
      <c r="FC8" s="543"/>
      <c r="FD8" s="543"/>
      <c r="FE8" s="543"/>
      <c r="FF8" s="543"/>
      <c r="FG8" s="543" t="s">
        <v>61</v>
      </c>
      <c r="FH8" s="543"/>
      <c r="FI8" s="543"/>
      <c r="FJ8" s="543"/>
      <c r="FK8" s="543"/>
      <c r="FL8" s="543"/>
      <c r="FM8" s="543"/>
      <c r="FN8" s="543"/>
      <c r="FO8" s="543"/>
      <c r="FP8" s="543"/>
      <c r="FQ8" s="543"/>
      <c r="FR8" s="543"/>
      <c r="FS8" s="543"/>
      <c r="FT8" s="543"/>
      <c r="FU8" s="543"/>
      <c r="FV8" s="543"/>
      <c r="FW8" s="543"/>
      <c r="FX8" s="543"/>
      <c r="FY8" s="543"/>
      <c r="FZ8" s="543"/>
      <c r="GA8" s="543"/>
      <c r="GB8" s="543"/>
      <c r="GC8" s="543"/>
      <c r="GD8" s="543"/>
      <c r="GE8" s="543"/>
      <c r="GF8" s="543"/>
      <c r="GG8" s="543"/>
      <c r="GH8" s="543"/>
      <c r="GI8" s="543"/>
    </row>
    <row r="9" spans="1:191" s="1" customFormat="1">
      <c r="A9" s="1174"/>
      <c r="B9" s="549">
        <f>'Income Statement'!B8</f>
      </c>
      <c r="C9" s="549">
        <f>'Income Statement'!C8</f>
      </c>
      <c r="D9" s="549">
        <f>'Income Statement'!D8</f>
      </c>
      <c r="E9" s="550">
        <f>'Income Statement'!E8</f>
      </c>
      <c r="F9" s="549">
        <f>'Income Statement'!F8</f>
      </c>
      <c r="G9" s="549">
        <f>'Income Statement'!G8</f>
      </c>
      <c r="H9" s="549">
        <f>'Income Statement'!H8</f>
      </c>
      <c r="I9" s="550">
        <f>'Income Statement'!I8</f>
      </c>
      <c r="J9" s="549">
        <f>'Income Statement'!J8</f>
      </c>
      <c r="K9" s="549">
        <f>'Income Statement'!K8</f>
      </c>
      <c r="L9" s="549">
        <f>'Income Statement'!L8</f>
      </c>
      <c r="M9" s="550">
        <f>'Income Statement'!M8</f>
      </c>
      <c r="N9" s="549">
        <f>'Income Statement'!N8</f>
      </c>
      <c r="O9" s="549">
        <f>'Income Statement'!O8</f>
      </c>
      <c r="P9" s="549">
        <f>'Income Statement'!P8</f>
      </c>
      <c r="Q9" s="550">
        <f>'Income Statement'!Q8</f>
      </c>
      <c r="R9" s="549">
        <f>'Income Statement'!R8</f>
      </c>
      <c r="S9" s="549">
        <f>'Income Statement'!S8</f>
      </c>
      <c r="T9" s="549">
        <f>'Income Statement'!T8</f>
      </c>
      <c r="U9" s="550">
        <f>'Income Statement'!U8</f>
      </c>
      <c r="V9" s="549">
        <f>'Income Statement'!V8</f>
      </c>
      <c r="W9" s="549">
        <f>'Income Statement'!W8</f>
      </c>
      <c r="X9" s="549">
        <f>'Income Statement'!X8</f>
      </c>
      <c r="Y9" s="550">
        <f>'Income Statement'!Y8</f>
      </c>
      <c r="Z9" s="549">
        <f>'Income Statement'!Z8</f>
      </c>
      <c r="AA9" s="549">
        <f>'Income Statement'!AA8</f>
      </c>
      <c r="AB9" s="549">
        <f>'Income Statement'!AB8</f>
      </c>
      <c r="AC9" s="550">
        <f>'Income Statement'!AC8</f>
      </c>
      <c r="AD9" s="549">
        <f>'Income Statement'!AD8</f>
      </c>
      <c r="AE9" s="549">
        <f>'Income Statement'!AE8</f>
      </c>
      <c r="AF9" s="549">
        <f>'Income Statement'!AF8</f>
      </c>
      <c r="AG9" s="550">
        <f>'Income Statement'!AG8</f>
      </c>
      <c r="AH9" s="549">
        <f>'Income Statement'!AH8</f>
      </c>
      <c r="AI9" s="549">
        <f>'Income Statement'!AI8</f>
      </c>
      <c r="AJ9" s="549">
        <f>'Income Statement'!AJ8</f>
      </c>
      <c r="AK9" s="550">
        <f>'Income Statement'!AK8</f>
      </c>
      <c r="AL9" s="549">
        <f>'Income Statement'!AL8</f>
      </c>
      <c r="AM9" s="549">
        <f>'Income Statement'!AM8</f>
      </c>
      <c r="AN9" s="549">
        <f>'Income Statement'!AN8</f>
      </c>
      <c r="AO9" s="550">
        <f>'Income Statement'!AO8</f>
      </c>
      <c r="AP9" s="549">
        <f>'Income Statement'!AP8</f>
      </c>
      <c r="AQ9" s="549">
        <f>'Income Statement'!AQ8</f>
      </c>
      <c r="AR9" s="549">
        <f>'Income Statement'!AR8</f>
      </c>
      <c r="AS9" s="550">
        <f>'Income Statement'!AS8</f>
      </c>
      <c r="AT9" s="549">
        <f>'Income Statement'!AT8</f>
      </c>
      <c r="AU9" s="549">
        <f>'Income Statement'!AU8</f>
      </c>
      <c r="AV9" s="549">
        <f>'Income Statement'!AV8</f>
      </c>
      <c r="AW9" s="550">
        <f>'Income Statement'!AW8</f>
      </c>
      <c r="AX9" s="549">
        <f>'Income Statement'!AX8</f>
      </c>
      <c r="AY9" s="549">
        <f>'Income Statement'!AY8</f>
      </c>
      <c r="AZ9" s="549">
        <f>'Income Statement'!AZ8</f>
      </c>
      <c r="BA9" s="550">
        <f>'Income Statement'!BA8</f>
      </c>
      <c r="BB9" s="549">
        <f>'Income Statement'!BB8</f>
      </c>
      <c r="BC9" s="549">
        <f>'Income Statement'!BC8</f>
      </c>
      <c r="BD9" s="549">
        <f>'Income Statement'!BD8</f>
      </c>
      <c r="BE9" s="550">
        <f>'Income Statement'!BE8</f>
      </c>
      <c r="BF9" s="549">
        <f>'Income Statement'!BF8</f>
      </c>
      <c r="BG9" s="549">
        <f>'Income Statement'!BG8</f>
      </c>
      <c r="BH9" s="549">
        <f>'Income Statement'!BH8</f>
      </c>
      <c r="BI9" s="550">
        <f>'Income Statement'!BI8</f>
      </c>
      <c r="BJ9" s="549">
        <f>'Income Statement'!BJ8</f>
      </c>
      <c r="BK9" s="549">
        <f>'Income Statement'!BK8</f>
      </c>
      <c r="BL9" s="549">
        <f>'Income Statement'!BL8</f>
      </c>
      <c r="BM9" s="550">
        <f>'Income Statement'!BM8</f>
      </c>
      <c r="BN9" s="549">
        <f>'Income Statement'!BN8</f>
      </c>
      <c r="BO9" s="549">
        <f>'Income Statement'!BO8</f>
      </c>
      <c r="BP9" s="549">
        <f>'Income Statement'!BP8</f>
      </c>
      <c r="BQ9" s="550">
        <f>'Income Statement'!BQ8</f>
      </c>
      <c r="BR9" s="549">
        <f>'Income Statement'!BR8</f>
      </c>
      <c r="BS9" s="549">
        <f>'Income Statement'!BS8</f>
      </c>
      <c r="BT9" s="549">
        <f>'Income Statement'!BT8</f>
      </c>
      <c r="BU9" s="550">
        <f>'Income Statement'!BU8</f>
      </c>
      <c r="BV9" s="549">
        <f>'Income Statement'!BV8</f>
      </c>
      <c r="BW9" s="549">
        <f>'Income Statement'!BW8</f>
      </c>
      <c r="BX9" s="549">
        <f>'Income Statement'!BX8</f>
      </c>
      <c r="BY9" s="550">
        <f>'Income Statement'!BY8</f>
      </c>
      <c r="BZ9" s="549">
        <f>'Income Statement'!BZ8</f>
      </c>
      <c r="CA9" s="549">
        <f>'Income Statement'!CA8</f>
      </c>
      <c r="CB9" s="549">
        <f>'Income Statement'!CB8</f>
      </c>
      <c r="CC9" s="550">
        <f>'Income Statement'!CC8</f>
      </c>
      <c r="CD9" s="549">
        <f>'Income Statement'!CD8</f>
      </c>
      <c r="CE9" s="549">
        <f>'Income Statement'!CE8</f>
      </c>
      <c r="CF9" s="549">
        <f>'Income Statement'!CF8</f>
      </c>
      <c r="CG9" s="550">
        <f>'Income Statement'!CG8</f>
      </c>
      <c r="CH9" s="549">
        <f>'Income Statement'!CH8</f>
      </c>
      <c r="CI9" s="549">
        <f>'Income Statement'!CI8</f>
      </c>
      <c r="CJ9" s="549">
        <f>'Income Statement'!CJ8</f>
      </c>
      <c r="CK9" s="550">
        <f>'Income Statement'!CK8</f>
      </c>
      <c r="CL9" s="549">
        <f>'Income Statement'!CL8</f>
      </c>
      <c r="CM9" s="549">
        <f>'Income Statement'!CM8</f>
      </c>
      <c r="CN9" s="549">
        <f>'Income Statement'!CN8</f>
      </c>
      <c r="CO9" s="550">
        <f>'Income Statement'!CO8</f>
      </c>
      <c r="CP9" s="549">
        <f>'Income Statement'!CP8</f>
      </c>
      <c r="CQ9" s="549">
        <f>'Income Statement'!CQ8</f>
      </c>
      <c r="CR9" s="549">
        <f>'Income Statement'!CR8</f>
      </c>
      <c r="CS9" s="550">
        <f>'Income Statement'!CS8</f>
      </c>
      <c r="CT9" s="549">
        <f>'Income Statement'!CT8</f>
      </c>
      <c r="CU9" s="549">
        <f>'Income Statement'!CU8</f>
      </c>
      <c r="CV9" s="549">
        <f>'Income Statement'!CV8</f>
      </c>
      <c r="CW9" s="550">
        <f>'Income Statement'!CW8</f>
      </c>
      <c r="CX9" s="549">
        <f>'Income Statement'!CX8</f>
      </c>
      <c r="CY9" s="549">
        <f>'Income Statement'!CY8</f>
      </c>
      <c r="CZ9" s="549">
        <f>'Income Statement'!CZ8</f>
      </c>
      <c r="DA9" s="550">
        <f>'Income Statement'!DA8</f>
      </c>
      <c r="DB9" s="549">
        <f>'Income Statement'!DB8</f>
      </c>
      <c r="DC9" s="549">
        <f>'Income Statement'!DC8</f>
      </c>
      <c r="DD9" s="549">
        <f>'Income Statement'!DD8</f>
      </c>
      <c r="DE9" s="550">
        <f>'Income Statement'!DE8</f>
      </c>
      <c r="DF9" s="549">
        <f>'Income Statement'!DF8</f>
      </c>
      <c r="DG9" s="549">
        <f>'Income Statement'!DG8</f>
      </c>
      <c r="DH9" s="549">
        <f>'Income Statement'!DH8</f>
      </c>
      <c r="DI9" s="550">
        <f>'Income Statement'!DI8</f>
      </c>
      <c r="DJ9" s="549">
        <f>'Income Statement'!DJ8</f>
      </c>
      <c r="DK9" s="549">
        <f>'Income Statement'!DK8</f>
      </c>
      <c r="DL9" s="549">
        <f>'Income Statement'!DL8</f>
      </c>
      <c r="DM9" s="550">
        <f>'Income Statement'!DM8</f>
      </c>
      <c r="DN9" s="549">
        <f>'Income Statement'!DN8</f>
      </c>
      <c r="DO9" s="549">
        <f>'Income Statement'!DO8</f>
      </c>
      <c r="DP9" s="549">
        <f>'Income Statement'!DP8</f>
      </c>
      <c r="DQ9" s="550">
        <f>'Income Statement'!DQ8</f>
      </c>
      <c r="DR9" s="549">
        <f>'Income Statement'!DR8</f>
      </c>
      <c r="DS9" s="549">
        <f>'Income Statement'!DS8</f>
      </c>
      <c r="DT9" s="549">
        <f>'Income Statement'!DT8</f>
      </c>
      <c r="DU9" s="550">
        <f>'Income Statement'!DU8</f>
      </c>
      <c r="DV9" s="549">
        <f>'Income Statement'!DV8</f>
      </c>
      <c r="DW9" s="549">
        <f>'Income Statement'!DW8</f>
      </c>
      <c r="DX9" s="549">
        <f>'Income Statement'!DX8</f>
      </c>
      <c r="DY9" s="550">
        <f>'Income Statement'!DY8</f>
      </c>
      <c r="DZ9" s="549">
        <f>'Income Statement'!DZ8</f>
      </c>
      <c r="EA9" s="549">
        <f>'Income Statement'!EA8</f>
      </c>
      <c r="EB9" s="549">
        <f>'Income Statement'!EB8</f>
      </c>
      <c r="EC9" s="550">
        <f>'Income Statement'!EC8</f>
      </c>
      <c r="ED9" s="549">
        <f>'Income Statement'!ED8</f>
      </c>
      <c r="EE9" s="549">
        <f>'Income Statement'!EE8</f>
      </c>
      <c r="EF9" s="549">
        <f>'Income Statement'!EF8</f>
      </c>
      <c r="EG9" s="550">
        <f>'Income Statement'!EG8</f>
      </c>
      <c r="EH9" s="549">
        <f>'Income Statement'!EH8</f>
      </c>
      <c r="EI9" s="549">
        <f>'Income Statement'!EI8</f>
      </c>
      <c r="EJ9" s="549">
        <f>'Income Statement'!EJ8</f>
      </c>
      <c r="EK9" s="550">
        <f>'Income Statement'!EK8</f>
      </c>
      <c r="EN9" s="549" t="str">
        <f>'Income Statement'!EM8</f>
      </c>
      <c r="EO9" s="549" t="str">
        <f>'Income Statement'!EN8</f>
      </c>
      <c r="EP9" s="549" t="str">
        <f>'Income Statement'!EO8</f>
      </c>
      <c r="EQ9" s="549" t="str">
        <f>'Income Statement'!EP8</f>
      </c>
      <c r="ER9" s="549" t="str">
        <f>'Income Statement'!EQ8</f>
      </c>
      <c r="ES9" s="549" t="str">
        <f>'Income Statement'!ER8</f>
      </c>
      <c r="ET9" s="549" t="str">
        <f>'Income Statement'!ES8</f>
      </c>
      <c r="EU9" s="549" t="str">
        <f>'Income Statement'!ET8</f>
      </c>
      <c r="EV9" s="549" t="str">
        <f>'Income Statement'!EU8</f>
      </c>
      <c r="EW9" s="549" t="str">
        <f>'Income Statement'!EV8</f>
      </c>
      <c r="EX9" s="549" t="str">
        <f>'Income Statement'!EW8</f>
      </c>
      <c r="EY9" s="549" t="str">
        <f>'Income Statement'!EX8</f>
      </c>
      <c r="EZ9" s="549" t="str">
        <f>'Income Statement'!EY8</f>
      </c>
      <c r="FA9" s="549" t="str">
        <f>'Income Statement'!EZ8</f>
      </c>
      <c r="FB9" s="549" t="str">
        <f>'Income Statement'!FA8</f>
      </c>
      <c r="FC9" s="549" t="str">
        <f>'Income Statement'!FB8</f>
      </c>
      <c r="FD9" s="549" t="str">
        <f>'Income Statement'!FC8</f>
      </c>
      <c r="FE9" s="549" t="str">
        <f>'Income Statement'!FD8</f>
      </c>
      <c r="FF9" s="549" t="str">
        <f>'Income Statement'!FE8</f>
      </c>
      <c r="FG9" s="549" t="str">
        <f>'Income Statement'!FF8</f>
      </c>
      <c r="FH9" s="549" t="str">
        <f>'Income Statement'!FG8</f>
      </c>
      <c r="FI9" s="549" t="str">
        <f>'Income Statement'!FH8</f>
      </c>
      <c r="FJ9" s="549" t="str">
        <f>'Income Statement'!FI8</f>
      </c>
      <c r="FK9" s="549" t="str">
        <f>'Income Statement'!FJ8</f>
      </c>
      <c r="FL9" s="549" t="str">
        <f>'Income Statement'!FK8</f>
      </c>
      <c r="FM9" s="549" t="str">
        <f>'Income Statement'!FL8</f>
      </c>
      <c r="FN9" s="549" t="str">
        <f>'Income Statement'!FM8</f>
      </c>
      <c r="FO9" s="549" t="str">
        <f>'Income Statement'!FN8</f>
      </c>
      <c r="FP9" s="549" t="str">
        <f>'Income Statement'!FO8</f>
      </c>
      <c r="FQ9" s="549" t="str">
        <f>'Income Statement'!FP8</f>
      </c>
      <c r="FR9" s="549" t="str">
        <f>'Income Statement'!FQ8</f>
      </c>
      <c r="FS9" s="549" t="str">
        <f>'Income Statement'!FR8</f>
      </c>
      <c r="FT9" s="549" t="str">
        <f>'Income Statement'!FS8</f>
      </c>
      <c r="FU9" s="549" t="str">
        <f>'Income Statement'!FT8</f>
      </c>
      <c r="FV9" s="549" t="str">
        <f>'Income Statement'!FU8</f>
      </c>
      <c r="FW9" s="549"/>
      <c r="FX9" s="549" t="str">
        <f>'Income Statement'!GS8</f>
      </c>
      <c r="FY9" s="549" t="str">
        <f>'Income Statement'!GT8</f>
      </c>
      <c r="FZ9" s="549" t="str">
        <f>'Income Statement'!GU8</f>
      </c>
      <c r="GA9" s="549" t="str">
        <f>'Income Statement'!GV8</f>
      </c>
      <c r="GB9" s="549" t="str">
        <f>'Income Statement'!GW8</f>
      </c>
      <c r="GC9" s="549" t="str">
        <f>'Income Statement'!GX8</f>
      </c>
      <c r="GD9" s="549" t="str">
        <f>'Income Statement'!GY8</f>
      </c>
      <c r="GE9" s="549" t="str">
        <f>'Income Statement'!GZ8</f>
      </c>
      <c r="GF9" s="549" t="str">
        <f>'Income Statement'!HA8</f>
      </c>
      <c r="GG9" s="549" t="str">
        <f>'Income Statement'!HB8</f>
      </c>
      <c r="GH9" s="549" t="str">
        <f>'Income Statement'!HC8</f>
      </c>
      <c r="GI9" s="549" t="str">
        <f>'Income Statement'!HD8</f>
      </c>
    </row>
    <row r="10" spans="1:191">
      <c r="A10" s="1175" t="s">
        <v>161</v>
      </c>
      <c r="E10" s="170"/>
      <c r="I10" s="170"/>
      <c r="M10" s="170"/>
      <c r="Q10" s="170"/>
      <c r="U10" s="170"/>
      <c r="Y10" s="170"/>
      <c r="AC10" s="170"/>
      <c r="AG10" s="170"/>
      <c r="AK10" s="170"/>
      <c r="AO10" s="170"/>
      <c r="AS10" s="170"/>
      <c r="AW10" s="170"/>
      <c r="BA10" s="170"/>
      <c r="BE10" s="170"/>
      <c r="BI10" s="170"/>
      <c r="BM10" s="170"/>
      <c r="BQ10" s="170"/>
      <c r="BU10" s="170"/>
      <c r="BY10" s="170"/>
      <c r="CB10" s="32"/>
      <c r="CC10" s="170"/>
      <c r="CF10" s="25"/>
      <c r="CG10" s="256"/>
      <c r="CJ10" s="25"/>
      <c r="CK10" s="238"/>
      <c r="CN10" s="25"/>
      <c r="CO10" s="170"/>
      <c r="CS10" s="170"/>
      <c r="CW10" s="170"/>
      <c r="DA10" s="170"/>
      <c r="DB10" s="11"/>
      <c r="DC10" s="11"/>
      <c r="DD10" s="11"/>
      <c r="DE10" s="260"/>
      <c r="DI10" s="260"/>
      <c r="DM10" s="260"/>
      <c r="DQ10" s="260"/>
      <c r="DU10" s="260"/>
      <c r="DY10" s="260"/>
      <c r="EC10" s="260"/>
      <c r="EG10" s="260"/>
      <c r="EK10" s="260"/>
      <c r="EN10" s="58"/>
      <c r="EO10" s="58"/>
      <c r="EP10" s="58"/>
      <c r="EQ10" s="58"/>
      <c r="ER10" s="58"/>
      <c r="ES10" s="58"/>
      <c r="ET10" s="58"/>
      <c r="EU10" s="58"/>
      <c r="EV10" s="58"/>
      <c r="EW10" s="58"/>
      <c r="EX10" s="58"/>
      <c r="EY10" s="58"/>
      <c r="EZ10" s="58"/>
      <c r="FA10" s="58"/>
      <c r="FB10" s="58"/>
      <c r="FC10" s="58"/>
      <c r="FD10" s="58"/>
      <c r="FE10" s="58"/>
      <c r="FF10" s="58"/>
      <c r="FG10" s="58"/>
      <c r="FH10" s="58"/>
      <c r="FI10" s="58"/>
      <c r="FJ10" s="58"/>
      <c r="FK10" s="58"/>
      <c r="FL10" s="58"/>
      <c r="FM10" s="58"/>
      <c r="FN10" s="58"/>
      <c r="FO10" s="58"/>
      <c r="FP10" s="58"/>
      <c r="FQ10" s="58"/>
      <c r="FR10" s="58"/>
      <c r="FS10" s="58"/>
      <c r="FT10" s="58"/>
      <c r="FU10" s="58"/>
      <c r="FV10" s="58"/>
      <c r="FW10" s="58"/>
      <c r="FX10" s="58"/>
      <c r="FY10" s="58"/>
      <c r="FZ10" s="58"/>
      <c r="GA10" s="58"/>
      <c r="GB10" s="58"/>
      <c r="GC10" s="58"/>
      <c r="GD10" s="58"/>
      <c r="GE10" s="58"/>
      <c r="GF10" s="58"/>
      <c r="GG10" s="58"/>
      <c r="GH10" s="58"/>
      <c r="GI10" s="58"/>
    </row>
    <row r="11" spans="1:191" s="16" customFormat="1">
      <c r="A11" s="30" t="s">
        <v>121</v>
      </c>
      <c r="B11" s="98">
        <f>'Income Statement'!B26</f>
      </c>
      <c r="C11" s="98">
        <f>'Income Statement'!C26</f>
      </c>
      <c r="D11" s="98">
        <f>'Income Statement'!D26</f>
      </c>
      <c r="E11" s="180">
        <f>'Income Statement'!E26</f>
      </c>
      <c r="F11" s="98">
        <f>'Income Statement'!F26</f>
      </c>
      <c r="G11" s="98">
        <f>'Income Statement'!G26</f>
      </c>
      <c r="H11" s="98">
        <f>'Income Statement'!H26</f>
      </c>
      <c r="I11" s="180">
        <f>'Income Statement'!I26</f>
      </c>
      <c r="J11" s="98">
        <f>'Income Statement'!J26</f>
      </c>
      <c r="K11" s="98">
        <f>'Income Statement'!K26</f>
      </c>
      <c r="L11" s="98">
        <f>'Income Statement'!L26</f>
      </c>
      <c r="M11" s="180">
        <f>'Income Statement'!M26</f>
      </c>
      <c r="N11" s="98">
        <f>'Income Statement'!N26</f>
      </c>
      <c r="O11" s="98">
        <f>'Income Statement'!O26</f>
      </c>
      <c r="P11" s="98">
        <f>'Income Statement'!P26</f>
      </c>
      <c r="Q11" s="180">
        <f>'Income Statement'!Q26</f>
      </c>
      <c r="R11" s="98">
        <f>'Income Statement'!R26</f>
      </c>
      <c r="S11" s="98">
        <f>'Income Statement'!S26</f>
      </c>
      <c r="T11" s="98">
        <f>'Income Statement'!T26</f>
      </c>
      <c r="U11" s="180">
        <f>'Income Statement'!U26</f>
      </c>
      <c r="V11" s="98">
        <f>'Income Statement'!V26</f>
      </c>
      <c r="W11" s="98">
        <f>'Income Statement'!W26</f>
      </c>
      <c r="X11" s="98">
        <f>'Income Statement'!X26</f>
      </c>
      <c r="Y11" s="180">
        <f>'Income Statement'!Y26</f>
      </c>
      <c r="Z11" s="98">
        <f>'Income Statement'!Z26</f>
      </c>
      <c r="AA11" s="98">
        <f>'Income Statement'!AA26</f>
      </c>
      <c r="AB11" s="98">
        <f>'Income Statement'!AB26</f>
      </c>
      <c r="AC11" s="180">
        <f>'Income Statement'!AC26</f>
      </c>
      <c r="AD11" s="98">
        <f>'Income Statement'!AD26</f>
      </c>
      <c r="AE11" s="98">
        <f>'Income Statement'!AE26</f>
      </c>
      <c r="AF11" s="98">
        <f>'Income Statement'!AF26</f>
      </c>
      <c r="AG11" s="180">
        <f>'Income Statement'!AG26</f>
      </c>
      <c r="AH11" s="98">
        <f>'Income Statement'!AH26</f>
      </c>
      <c r="AI11" s="98">
        <f>'Income Statement'!AI26</f>
      </c>
      <c r="AJ11" s="98">
        <f>'Income Statement'!AJ26</f>
      </c>
      <c r="AK11" s="180">
        <f>'Income Statement'!AK26</f>
      </c>
      <c r="AL11" s="98">
        <f>'Income Statement'!AL26</f>
      </c>
      <c r="AM11" s="98">
        <f>'Income Statement'!AM26</f>
      </c>
      <c r="AN11" s="98">
        <f>'Income Statement'!AN26</f>
      </c>
      <c r="AO11" s="180">
        <f>'Income Statement'!AO26</f>
      </c>
      <c r="AP11" s="98">
        <f>'Income Statement'!AP26</f>
      </c>
      <c r="AQ11" s="98">
        <f>'Income Statement'!AQ26</f>
      </c>
      <c r="AR11" s="98">
        <f>'Income Statement'!AR26</f>
      </c>
      <c r="AS11" s="180">
        <f>'Income Statement'!AS26</f>
      </c>
      <c r="AT11" s="98">
        <f>'Income Statement'!AT26</f>
      </c>
      <c r="AU11" s="98">
        <f>'Income Statement'!AU26</f>
      </c>
      <c r="AV11" s="98">
        <f>'Income Statement'!AV26</f>
      </c>
      <c r="AW11" s="180">
        <f>'Income Statement'!AW26</f>
      </c>
      <c r="AX11" s="98">
        <f>'Income Statement'!AX26</f>
      </c>
      <c r="AY11" s="98">
        <f>'Income Statement'!AY26</f>
      </c>
      <c r="AZ11" s="98">
        <f>'Income Statement'!AZ26</f>
      </c>
      <c r="BA11" s="180">
        <f>'Income Statement'!BA26</f>
      </c>
      <c r="BB11" s="98">
        <v>2255</v>
      </c>
      <c r="BC11" s="98">
        <f>3875-BB11</f>
      </c>
      <c r="BD11" s="98">
        <f>5703-SUM(BB11:BC11)</f>
      </c>
      <c r="BE11" s="180">
        <f>8235-SUM(BB11:BD11)</f>
      </c>
      <c r="BF11" s="98">
        <v>3378</v>
      </c>
      <c r="BG11" s="98">
        <f>6452-BF11</f>
      </c>
      <c r="BH11" s="98">
        <f>9705-SUM(BF11:BG11)</f>
      </c>
      <c r="BI11" s="180">
        <f>14013-SUM(BF11:BH11)</f>
      </c>
      <c r="BJ11" s="98">
        <v>6004</v>
      </c>
      <c r="BK11" s="98">
        <f>11991-BJ11</f>
      </c>
      <c r="BL11" s="98">
        <f>19299-SUM(BJ11:BK11)</f>
      </c>
      <c r="BM11" s="180">
        <f>25922-SUM(BJ11:BL11)</f>
      </c>
      <c r="BN11" s="98">
        <v>13064</v>
      </c>
      <c r="BO11" s="98">
        <f>24686-BN11</f>
      </c>
      <c r="BP11" s="98">
        <f>33510-SUM(BN11:BO11)</f>
      </c>
      <c r="BQ11" s="180">
        <f>41733-SUM(BN11:BP11)</f>
      </c>
      <c r="BR11" s="98">
        <v>13078</v>
      </c>
      <c r="BS11" s="98">
        <f>22625-BR11</f>
      </c>
      <c r="BT11" s="98">
        <f>29525-SUM(BR11:BS11)</f>
      </c>
      <c r="BU11" s="180">
        <f>37037-SUM(BR11:BT11)</f>
      </c>
      <c r="BV11" s="98">
        <v>13072</v>
      </c>
      <c r="BW11" s="98">
        <f>23295-BV11</f>
      </c>
      <c r="BX11" s="98">
        <f>31043-SUM(BV11:BW11)</f>
      </c>
      <c r="BY11" s="180">
        <f>39510-SUM(BV11:BX11)</f>
      </c>
      <c r="BZ11" s="98">
        <v>18024</v>
      </c>
      <c r="CA11" s="98">
        <f>31593-BZ11</f>
      </c>
      <c r="CB11" s="98">
        <f>42270-SUM(BZ11:CA11)</f>
      </c>
      <c r="CC11" s="180">
        <f>53394-SUM(BZ11:CB11)</f>
      </c>
      <c r="CD11" s="98">
        <v>18361</v>
      </c>
      <c r="CE11" s="98">
        <f>28877-CD11</f>
      </c>
      <c r="CF11" s="99">
        <f>36673-SUM(CD11:CE11)</f>
      </c>
      <c r="CG11" s="180">
        <f>45687-SUM(CD11:CF11)</f>
      </c>
      <c r="CH11" s="98">
        <f>'Income Statement'!CH28</f>
      </c>
      <c r="CI11" s="98">
        <f>28920-CH11</f>
      </c>
      <c r="CJ11" s="98">
        <f>37637-CI11-CH11</f>
      </c>
      <c r="CK11" s="180">
        <f>-SUM(CH11:CJ11)+48351</f>
      </c>
      <c r="CL11" s="98">
        <v>20065</v>
      </c>
      <c r="CM11" s="98">
        <f>33887-CL11</f>
      </c>
      <c r="CN11" s="98">
        <f>45406-CM11-CL11</f>
      </c>
      <c r="CO11" s="180">
        <f>-SUM(CL11:CN11)+59531</f>
      </c>
      <c r="CP11" s="99">
        <v>19965</v>
      </c>
      <c r="CQ11" s="99">
        <f>31526-CP11</f>
      </c>
      <c r="CR11" s="98">
        <f>41570-CQ11-CP11</f>
      </c>
      <c r="CS11" s="180">
        <f>-SUM(CP11:CR11)+55256</f>
      </c>
      <c r="CT11" s="99">
        <v>22236</v>
      </c>
      <c r="CU11" s="99">
        <f>33485-CT11</f>
      </c>
      <c r="CV11" s="99">
        <f>44738-CU11-CT11</f>
      </c>
      <c r="CW11" s="462">
        <f>57411-CV11-CU11-CT11</f>
      </c>
      <c r="CX11" s="99">
        <v>28755</v>
      </c>
      <c r="CY11" s="99">
        <f>52385-CX11</f>
      </c>
      <c r="CZ11" s="99">
        <f>74129-CY11-CX11</f>
      </c>
      <c r="DA11" s="462">
        <f>94680-CZ11-CY11-CX11</f>
      </c>
      <c r="DB11" s="99">
        <v>34630</v>
      </c>
      <c r="DC11" s="99">
        <f>59640-DB11</f>
      </c>
      <c r="DD11" s="99">
        <f>79082-DC11-DB11</f>
      </c>
      <c r="DE11" s="462">
        <f>99803-DD11-DC11-DB11</f>
      </c>
      <c r="DF11" s="99">
        <v>29998</v>
      </c>
      <c r="DG11" s="99">
        <f>54158-DF11</f>
      </c>
      <c r="DH11" s="99">
        <f>74039-DG11-DF11</f>
      </c>
      <c r="DI11" s="462">
        <f>96995-SUM(DF11:DH11)</f>
      </c>
      <c r="DJ11" s="99">
        <v>33916</v>
      </c>
      <c r="DK11" s="99">
        <f>57552-DJ11</f>
      </c>
      <c r="DL11" s="99">
        <f>79000-DK11-DJ11</f>
      </c>
      <c r="DM11" s="462">
        <f>93736-SUM(DJ11:DL11)</f>
      </c>
      <c r="DN11" s="99">
        <v>36330</v>
      </c>
      <c r="DO11" s="99">
        <f>61110-DN11</f>
      </c>
      <c r="DP11" s="99">
        <f>84544-DO11-DN11</f>
      </c>
      <c r="DQ11" s="415">
        <f>'Income Statement'!DQ28</f>
      </c>
      <c r="DR11" s="83">
        <f>'Income Statement'!DR28</f>
      </c>
      <c r="DS11" s="83">
        <f>'Income Statement'!DS28</f>
      </c>
      <c r="DT11" s="83">
        <f>'Income Statement'!DT28</f>
      </c>
      <c r="DU11" s="415">
        <f>'Income Statement'!DU28</f>
      </c>
      <c r="DV11" s="83">
        <f>'Income Statement'!DV28</f>
      </c>
      <c r="DW11" s="83">
        <f>'Income Statement'!DW28</f>
      </c>
      <c r="DX11" s="83">
        <f>'Income Statement'!DX28</f>
      </c>
      <c r="DY11" s="415">
        <f>'Income Statement'!DY28</f>
      </c>
      <c r="DZ11" s="83">
        <f>'Income Statement'!DZ28</f>
      </c>
      <c r="EA11" s="83">
        <f>'Income Statement'!EA28</f>
      </c>
      <c r="EB11" s="83">
        <f>'Income Statement'!EB28</f>
      </c>
      <c r="EC11" s="415">
        <f>'Income Statement'!EC28</f>
      </c>
      <c r="ED11" s="83">
        <f>'Income Statement'!ED28</f>
      </c>
      <c r="EE11" s="83">
        <f>'Income Statement'!EE28</f>
      </c>
      <c r="EF11" s="83">
        <f>'Income Statement'!EF28</f>
      </c>
      <c r="EG11" s="415">
        <f>'Income Statement'!EG28</f>
      </c>
      <c r="EH11" s="83">
        <f>'Income Statement'!EH28</f>
      </c>
      <c r="EI11" s="83">
        <f>'Income Statement'!EI28</f>
      </c>
      <c r="EJ11" s="83">
        <f>'Income Statement'!EJ28</f>
      </c>
      <c r="EK11" s="415">
        <f>'Income Statement'!EK28</f>
      </c>
      <c r="EL11" s="3191"/>
      <c r="EN11" s="13">
        <f>SUM(B11:E11)</f>
      </c>
      <c r="EO11" s="13">
        <f>SUM(F11:I11)</f>
      </c>
      <c r="EP11" s="13">
        <f>SUM(J11:M11)</f>
      </c>
      <c r="EQ11" s="13">
        <f>SUM(N11:Q11)</f>
      </c>
      <c r="ER11" s="13">
        <f>SUM(R11:U11)</f>
      </c>
      <c r="ES11" s="13">
        <f>SUM(V11:Y11)</f>
      </c>
      <c r="ET11" s="13">
        <f>SUM(Z11:AC11)</f>
      </c>
      <c r="EU11" s="13">
        <f>SUM(AD11:AG11)</f>
      </c>
      <c r="EV11" s="13">
        <f>SUM(AH11:AK11)</f>
      </c>
      <c r="EW11" s="13">
        <f>SUM(AL11:AO11)</f>
      </c>
      <c r="EX11" s="13">
        <f>SUM(AP11:AS11)</f>
      </c>
      <c r="EY11" s="13">
        <f>SUM(AT11:AW11)</f>
      </c>
      <c r="EZ11" s="13">
        <f>SUM(AX11:BA11)</f>
      </c>
      <c r="FA11" s="13">
        <f>SUM(BB11:BE11)</f>
      </c>
      <c r="FB11" s="13">
        <f>SUM(BF11:BI11)</f>
      </c>
      <c r="FC11" s="13">
        <f>SUM(BJ11:BM11)</f>
      </c>
      <c r="FD11" s="13">
        <f>SUM(BN11:BQ11)</f>
      </c>
      <c r="FE11" s="13">
        <f>SUM(BR11:BU11)</f>
      </c>
      <c r="FF11" s="13">
        <f>SUM(BV11:BY11)</f>
      </c>
      <c r="FG11" s="13">
        <f>SUM(BZ11:CC11)</f>
      </c>
      <c r="FH11" s="13">
        <f>SUM(CD11:CG11)</f>
      </c>
      <c r="FI11" s="13">
        <f>SUM(CH11:CK11)</f>
      </c>
      <c r="FJ11" s="13">
        <f>SUM(CL11:CO11)</f>
      </c>
      <c r="FK11" s="13">
        <f>SUM(CP11:CS11)</f>
      </c>
      <c r="FL11" s="13">
        <f>SUM(CT11:CW11)</f>
      </c>
      <c r="FM11" s="13">
        <f>SUM(CX11:DA11)</f>
      </c>
      <c r="FN11" s="13">
        <f>SUM(DB11:DE11)</f>
      </c>
      <c r="FO11" s="13">
        <f>SUM(DF11:DI11)</f>
      </c>
      <c r="FP11" s="13">
        <f>SUM(DJ11:DM11)</f>
      </c>
      <c r="FQ11" s="13">
        <f>SUM(DN11:DQ11)</f>
      </c>
      <c r="FR11" s="13">
        <f>SUM(DR11:DU11)</f>
      </c>
      <c r="FS11" s="13">
        <f>SUM(DV11:DY11)</f>
      </c>
      <c r="FT11" s="13">
        <f>SUM(DZ11:EC11)</f>
      </c>
      <c r="FU11" s="13">
        <f>SUM(ED11:EG11)</f>
      </c>
      <c r="FV11" s="13">
        <f>SUM(EH11:EK11)</f>
      </c>
      <c r="FW11" s="13"/>
      <c r="FX11" s="13">
        <f>SUM(CM11:CP11)</f>
      </c>
      <c r="FY11" s="13">
        <f>+SUM(CQ11:CT11)</f>
      </c>
      <c r="FZ11" s="13">
        <f>SUM(CU11:CX11)</f>
      </c>
      <c r="GA11" s="13">
        <f>+SUM(CY11:DB11)</f>
      </c>
      <c r="GB11" s="13">
        <f>SUM(DC11:DF11)</f>
      </c>
      <c r="GC11" s="13">
        <f>SUM(DG11:DJ11)</f>
      </c>
      <c r="GD11" s="13">
        <f>SUM(DK11:DN11)</f>
      </c>
      <c r="GE11" s="13">
        <f>SUM(DO11:DR11)</f>
      </c>
      <c r="GF11" s="13">
        <f>SUM(DS11:DV11)</f>
      </c>
      <c r="GG11" s="13">
        <f>SUM(DW11:DZ11)</f>
      </c>
      <c r="GH11" s="13">
        <f>SUM(EA11:ED11)</f>
      </c>
      <c r="GI11" s="13">
        <f>SUM(EE11:EH11)</f>
      </c>
    </row>
    <row r="12" spans="1:191">
      <c r="A12" s="19" t="s">
        <v>122</v>
      </c>
      <c r="B12" s="34">
        <v>42</v>
      </c>
      <c r="C12" s="34">
        <f>88-B12</f>
      </c>
      <c r="D12" s="34">
        <f>110-C12-B12</f>
      </c>
      <c r="E12" s="173">
        <f>156-D12-C12-B12</f>
      </c>
      <c r="F12" s="34">
        <v>25</v>
      </c>
      <c r="G12" s="34">
        <f>55-F12</f>
      </c>
      <c r="H12" s="34">
        <f>77-G12-F12</f>
      </c>
      <c r="I12" s="173">
        <f>118-H12-G12-F12</f>
      </c>
      <c r="J12" s="34">
        <v>28</v>
      </c>
      <c r="K12" s="34">
        <f>56-J12</f>
      </c>
      <c r="L12" s="34">
        <f>88-K12-J12</f>
      </c>
      <c r="M12" s="173">
        <f>111-L12-K12-J12</f>
      </c>
      <c r="N12" s="34">
        <f>23</f>
      </c>
      <c r="O12" s="34">
        <f>47-N12</f>
      </c>
      <c r="P12" s="34">
        <f>66-O12-N12</f>
      </c>
      <c r="Q12" s="173">
        <f>85-P12-O12-N12</f>
      </c>
      <c r="R12" s="34">
        <v>20</v>
      </c>
      <c r="S12" s="34">
        <f>41-R12</f>
      </c>
      <c r="T12" s="34">
        <f>66-S12-R12</f>
      </c>
      <c r="U12" s="173">
        <f>84-T12-S12-R12</f>
      </c>
      <c r="V12" s="34">
        <v>24</v>
      </c>
      <c r="W12" s="34">
        <f>46-V12</f>
      </c>
      <c r="X12" s="34">
        <f>72-W12-V12</f>
      </c>
      <c r="Y12" s="173">
        <f>100-X12-W12-V12</f>
      </c>
      <c r="Z12" s="34">
        <v>28</v>
      </c>
      <c r="AA12" s="34">
        <f>57-Z12</f>
      </c>
      <c r="AB12" s="34">
        <f>85-AA12-Z12</f>
      </c>
      <c r="AC12" s="173">
        <f>114-AB12-AA12-Z12</f>
      </c>
      <c r="AD12" s="34">
        <v>31</v>
      </c>
      <c r="AE12" s="34">
        <f>60-AD12</f>
      </c>
      <c r="AF12" s="34">
        <f>84-AE12-AD12</f>
      </c>
      <c r="AG12" s="173">
        <f>113-AF12-AE12-AD12</f>
      </c>
      <c r="AH12" s="34">
        <v>33</v>
      </c>
      <c r="AI12" s="34">
        <f>69-AH12</f>
      </c>
      <c r="AJ12" s="34">
        <f>110-AI12-AH12</f>
      </c>
      <c r="AK12" s="173">
        <f>150-AJ12-AI12-AH12</f>
      </c>
      <c r="AL12" s="34">
        <v>41</v>
      </c>
      <c r="AM12" s="34">
        <f>82-AL12</f>
      </c>
      <c r="AN12" s="34">
        <f>128-AM12-AL12</f>
      </c>
      <c r="AO12" s="173">
        <f>179-AN12-AM12-AL12</f>
      </c>
      <c r="AP12" s="34">
        <v>52</v>
      </c>
      <c r="AQ12" s="34">
        <f>102-AP12</f>
      </c>
      <c r="AR12" s="34">
        <f>159-AQ12-AP12</f>
      </c>
      <c r="AS12" s="173">
        <f>225-AR12-AQ12-AP12</f>
      </c>
      <c r="AT12" s="34">
        <v>74</v>
      </c>
      <c r="AU12" s="34">
        <v>69</v>
      </c>
      <c r="AV12" s="34">
        <v>81</v>
      </c>
      <c r="AW12" s="173">
        <v>103</v>
      </c>
      <c r="AX12" s="34">
        <v>110</v>
      </c>
      <c r="AY12" s="34">
        <v>120</v>
      </c>
      <c r="AZ12" s="34">
        <v>120</v>
      </c>
      <c r="BA12" s="173">
        <v>146</v>
      </c>
      <c r="BB12" s="34">
        <v>168</v>
      </c>
      <c r="BC12" s="34">
        <f>349-BB12</f>
      </c>
      <c r="BD12" s="34">
        <f>531-SUM(BB12:BC12)</f>
      </c>
      <c r="BE12" s="173">
        <f>734-SUM(BB12:BD12)</f>
      </c>
      <c r="BF12" s="34">
        <v>209</v>
      </c>
      <c r="BG12" s="34">
        <f>425-BF12</f>
      </c>
      <c r="BH12" s="34">
        <f>698-SUM(BF12:BG12)</f>
      </c>
      <c r="BI12" s="173">
        <f>1027-SUM(BF12:BH12)</f>
      </c>
      <c r="BJ12" s="34">
        <v>356</v>
      </c>
      <c r="BK12" s="34">
        <f>790-BJ12</f>
      </c>
      <c r="BL12" s="34">
        <f>1271-SUM(BJ12:BK12)</f>
      </c>
      <c r="BM12" s="173">
        <f>1814-SUM(BJ12:BL12)</f>
      </c>
      <c r="BN12" s="34">
        <v>721</v>
      </c>
      <c r="BO12" s="34">
        <f>1461-BN12</f>
      </c>
      <c r="BP12" s="34">
        <f>2296-SUM(BN12:BO12)</f>
      </c>
      <c r="BQ12" s="173">
        <f>3277-SUM(BN12:BP12)</f>
      </c>
      <c r="BR12" s="34">
        <v>1588</v>
      </c>
      <c r="BS12" s="34">
        <f>3280-BR12</f>
      </c>
      <c r="BT12" s="34">
        <f>4974-SUM(BR12:BS12)</f>
      </c>
      <c r="BU12" s="173">
        <f>6757-SUM(BR12:BT12)</f>
      </c>
      <c r="BV12" s="34">
        <v>2144</v>
      </c>
      <c r="BW12" s="34">
        <f>4031-BV12</f>
      </c>
      <c r="BX12" s="34">
        <f>5977-SUM(BV12:BW12)</f>
      </c>
      <c r="BY12" s="173">
        <f>7946-SUM(BV12:BX12)</f>
      </c>
      <c r="BZ12" s="34">
        <v>2575</v>
      </c>
      <c r="CA12" s="34">
        <f>5054-BZ12</f>
      </c>
      <c r="CB12" s="34">
        <f>8138-SUM(BZ12:CA12)</f>
      </c>
      <c r="CC12" s="173">
        <f>11257-SUM(BZ12:CB12)</f>
      </c>
      <c r="CD12" s="34">
        <v>2954</v>
      </c>
      <c r="CE12" s="34">
        <f>5431-CD12</f>
      </c>
      <c r="CF12" s="126">
        <f>7957-SUM(CD12:CE12)</f>
      </c>
      <c r="CG12" s="254">
        <f>10505-SUM(CD12:CF12)</f>
      </c>
      <c r="CH12" s="127">
        <v>2987</v>
      </c>
      <c r="CI12" s="127">
        <f>5319-CH12</f>
      </c>
      <c r="CJ12" s="127">
        <f>7673-CI12-CH12</f>
      </c>
      <c r="CK12" s="254">
        <f>-SUM(CH12:CJ12)+10157</f>
      </c>
      <c r="CL12" s="127">
        <v>2745</v>
      </c>
      <c r="CM12" s="127">
        <f>5484-CL12</f>
      </c>
      <c r="CN12" s="127">
        <f>8149-CM12-CL12</f>
      </c>
      <c r="CO12" s="254">
        <f>-SUM(CL12:CN12)+10903</f>
      </c>
      <c r="CP12" s="126">
        <v>3395</v>
      </c>
      <c r="CQ12" s="126">
        <f>6435-CP12</f>
      </c>
      <c r="CR12" s="127">
        <f>9368-CQ12-CP12</f>
      </c>
      <c r="CS12" s="254">
        <f>-SUM(CP12:CR12)+12547</f>
      </c>
      <c r="CT12" s="126">
        <v>2816</v>
      </c>
      <c r="CU12" s="126">
        <f>5602-CT12</f>
      </c>
      <c r="CV12" s="126">
        <f>8354-CU12-CT12</f>
      </c>
      <c r="CW12" s="463">
        <f>11056-CV12-CU12-CT12</f>
      </c>
      <c r="CX12" s="473">
        <v>2666</v>
      </c>
      <c r="CY12" s="126">
        <f>5463-CX12</f>
      </c>
      <c r="CZ12" s="126">
        <f>8295-CY12-CX12</f>
      </c>
      <c r="DA12" s="463">
        <f>11284-CZ12-CY12-CX12</f>
      </c>
      <c r="DB12" s="473">
        <v>2697</v>
      </c>
      <c r="DC12" s="126">
        <f>5434-DB12</f>
      </c>
      <c r="DD12" s="126">
        <f>8239-DC12-DB12</f>
      </c>
      <c r="DE12" s="463">
        <f>11104-DD12-DC12-DB12</f>
      </c>
      <c r="DF12" s="473">
        <v>2916</v>
      </c>
      <c r="DG12" s="126">
        <f>5814-DF12</f>
      </c>
      <c r="DH12" s="126">
        <f>8866-DG12-DF12</f>
      </c>
      <c r="DI12" s="463">
        <f>11519-SUM(DF12:DH12)</f>
      </c>
      <c r="DJ12" s="473">
        <v>2848</v>
      </c>
      <c r="DK12" s="126">
        <f>5684-DJ12</f>
      </c>
      <c r="DL12" s="126">
        <f>8534-DK12-DJ12</f>
      </c>
      <c r="DM12" s="463">
        <f>11445-SUM(DJ12:DL12)</f>
      </c>
      <c r="DN12" s="473">
        <v>3080</v>
      </c>
      <c r="DO12" s="126">
        <f>5741-DN12</f>
      </c>
      <c r="DP12" s="126">
        <f>8571-DO12-DN12</f>
      </c>
      <c r="DQ12" s="444">
        <f>-'Balance Sheet'!DQ79</f>
      </c>
      <c r="DR12" s="443">
        <f>-'Balance Sheet'!DR79</f>
      </c>
      <c r="DS12" s="443">
        <f>-'Balance Sheet'!DS79</f>
      </c>
      <c r="DT12" s="443">
        <f>-'Balance Sheet'!DT79</f>
      </c>
      <c r="DU12" s="444">
        <f>-'Balance Sheet'!DU79</f>
      </c>
      <c r="DV12" s="443">
        <f>-'Balance Sheet'!DV79</f>
      </c>
      <c r="DW12" s="443">
        <f>-'Balance Sheet'!DW79</f>
      </c>
      <c r="DX12" s="443">
        <f>-'Balance Sheet'!DX79</f>
      </c>
      <c r="DY12" s="444">
        <f>-'Balance Sheet'!DY79</f>
      </c>
      <c r="DZ12" s="443">
        <f>-'Balance Sheet'!DZ79</f>
      </c>
      <c r="EA12" s="443">
        <f>-'Balance Sheet'!EA79</f>
      </c>
      <c r="EB12" s="443">
        <f>-'Balance Sheet'!EB79</f>
      </c>
      <c r="EC12" s="444">
        <f>-'Balance Sheet'!EC79</f>
      </c>
      <c r="ED12" s="443">
        <f>-'Balance Sheet'!ED79</f>
      </c>
      <c r="EE12" s="443">
        <f>-'Balance Sheet'!EE79</f>
      </c>
      <c r="EF12" s="443">
        <f>-'Balance Sheet'!EF79</f>
      </c>
      <c r="EG12" s="444">
        <f>-'Balance Sheet'!EG79</f>
      </c>
      <c r="EH12" s="443">
        <f>-'Balance Sheet'!EH79</f>
      </c>
      <c r="EI12" s="443">
        <f>-'Balance Sheet'!EI79</f>
      </c>
      <c r="EJ12" s="443">
        <f>-'Balance Sheet'!EJ79</f>
      </c>
      <c r="EK12" s="444">
        <f>-'Balance Sheet'!EK79</f>
      </c>
      <c r="EL12" s="3192"/>
      <c r="EN12" s="10">
        <f>SUM(B12:E12)</f>
      </c>
      <c r="EO12" s="10">
        <f>SUM(F12:I12)</f>
      </c>
      <c r="EP12" s="10">
        <f>SUM(J12:M12)</f>
      </c>
      <c r="EQ12" s="10">
        <f>SUM(N12:Q12)</f>
      </c>
      <c r="ER12" s="10">
        <f>SUM(R12:U12)</f>
      </c>
      <c r="ES12" s="10">
        <f>SUM(V12:Y12)</f>
      </c>
      <c r="ET12" s="10">
        <f>SUM(Z12:AC12)</f>
      </c>
      <c r="EU12" s="10">
        <f>SUM(AD12:AG12)</f>
      </c>
      <c r="EV12" s="10">
        <f>SUM(AH12:AK12)</f>
      </c>
      <c r="EW12" s="10">
        <f>SUM(AL12:AO12)</f>
      </c>
      <c r="EX12" s="10">
        <f>SUM(AP12:AS12)</f>
      </c>
      <c r="EY12" s="10">
        <f>SUM(AT12:AW12)</f>
      </c>
      <c r="EZ12" s="10">
        <f>SUM(AX12:BA12)</f>
      </c>
      <c r="FA12" s="10">
        <f>SUM(BB12:BE12)</f>
      </c>
      <c r="FB12" s="10">
        <f>SUM(BF12:BI12)</f>
      </c>
      <c r="FC12" s="10">
        <f>SUM(BJ12:BM12)</f>
      </c>
      <c r="FD12" s="10">
        <f>SUM(BN12:BQ12)</f>
      </c>
      <c r="FE12" s="10">
        <f>SUM(BR12:BU12)</f>
      </c>
      <c r="FF12" s="10">
        <f>SUM(BV12:BY12)</f>
      </c>
      <c r="FG12" s="10">
        <f>SUM(BZ12:CC12)</f>
      </c>
      <c r="FH12" s="10">
        <f>SUM(CD12:CG12)</f>
      </c>
      <c r="FI12" s="10">
        <f>SUM(CH12:CK12)</f>
      </c>
      <c r="FJ12" s="10">
        <f>SUM(CL12:CO12)</f>
      </c>
      <c r="FK12" s="10">
        <f>SUM(CP12:CS12)</f>
      </c>
      <c r="FL12" s="10">
        <f>SUM(CT12:CW12)</f>
      </c>
      <c r="FM12" s="10">
        <f>SUM(CX12:DA12)</f>
      </c>
      <c r="FN12" s="10">
        <f>SUM(DB12:DE12)</f>
      </c>
      <c r="FO12" s="10">
        <f>SUM(DF12:DI12)</f>
      </c>
      <c r="FP12" s="10">
        <f>SUM(DJ12:DM12)</f>
      </c>
      <c r="FQ12" s="10">
        <f>SUM(DN12:DQ12)</f>
      </c>
      <c r="FR12" s="10">
        <f>SUM(DR12:DU12)</f>
      </c>
      <c r="FS12" s="10">
        <f>SUM(DV12:DY12)</f>
      </c>
      <c r="FT12" s="10">
        <f>SUM(DZ12:EC12)</f>
      </c>
      <c r="FU12" s="10">
        <f>SUM(ED12:EG12)</f>
      </c>
      <c r="FV12" s="10">
        <f>SUM(EH12:EK12)</f>
      </c>
      <c r="FW12" s="10"/>
      <c r="FX12" s="10">
        <f>SUM(CM12:CP12)</f>
      </c>
      <c r="FY12" s="10">
        <f>+SUM(CQ12:CT12)</f>
      </c>
      <c r="FZ12" s="10">
        <f>SUM(CU12:CX12)</f>
      </c>
      <c r="GA12" s="10">
        <f>+SUM(CY12:DB12)</f>
      </c>
      <c r="GB12" s="10">
        <f>SUM(DC12:DF12)</f>
      </c>
      <c r="GC12" s="10">
        <f>SUM(DG12:DJ12)</f>
      </c>
      <c r="GD12" s="10">
        <f>SUM(DK12:DN12)</f>
      </c>
      <c r="GE12" s="10">
        <f>SUM(DO12:DR12)</f>
      </c>
      <c r="GF12" s="10">
        <f>SUM(DS12:DV12)</f>
      </c>
      <c r="GG12" s="10">
        <f>SUM(DW12:DZ12)</f>
      </c>
      <c r="GH12" s="10">
        <f>SUM(EA12:ED12)</f>
      </c>
      <c r="GI12" s="10">
        <f>SUM(EE12:EH12)</f>
      </c>
    </row>
    <row r="13" spans="1:191">
      <c r="A13" s="19" t="s">
        <v>123</v>
      </c>
      <c r="B13" s="34"/>
      <c r="C13" s="34"/>
      <c r="D13" s="34"/>
      <c r="E13" s="173"/>
      <c r="F13" s="34"/>
      <c r="G13" s="34"/>
      <c r="H13" s="34"/>
      <c r="I13" s="173"/>
      <c r="J13" s="34"/>
      <c r="K13" s="34"/>
      <c r="L13" s="34"/>
      <c r="M13" s="173"/>
      <c r="N13" s="34"/>
      <c r="O13" s="34"/>
      <c r="P13" s="34"/>
      <c r="Q13" s="173"/>
      <c r="R13" s="34"/>
      <c r="S13" s="34"/>
      <c r="T13" s="34"/>
      <c r="U13" s="173"/>
      <c r="V13" s="34"/>
      <c r="W13" s="34"/>
      <c r="X13" s="34"/>
      <c r="Y13" s="173"/>
      <c r="Z13" s="34"/>
      <c r="AA13" s="34"/>
      <c r="AB13" s="34"/>
      <c r="AC13" s="173"/>
      <c r="AD13" s="34"/>
      <c r="AE13" s="34"/>
      <c r="AF13" s="34"/>
      <c r="AG13" s="173"/>
      <c r="AH13" s="34"/>
      <c r="AI13" s="34"/>
      <c r="AJ13" s="34"/>
      <c r="AK13" s="173"/>
      <c r="AL13" s="34"/>
      <c r="AM13" s="34"/>
      <c r="AN13" s="34"/>
      <c r="AO13" s="173"/>
      <c r="AP13" s="34"/>
      <c r="AQ13" s="34"/>
      <c r="AR13" s="34"/>
      <c r="AS13" s="173"/>
      <c r="AT13" s="34"/>
      <c r="AU13" s="34"/>
      <c r="AV13" s="34"/>
      <c r="AW13" s="173"/>
      <c r="AX13" s="34"/>
      <c r="AY13" s="34"/>
      <c r="AZ13" s="34"/>
      <c r="BA13" s="173"/>
      <c r="BB13" s="34">
        <v>170</v>
      </c>
      <c r="BC13" s="34">
        <f>351-BB13</f>
      </c>
      <c r="BD13" s="34">
        <f>530-SUM(BB13:BC13)</f>
      </c>
      <c r="BE13" s="173">
        <f>710-SUM(BB13:BD13)</f>
      </c>
      <c r="BF13" s="34">
        <v>205</v>
      </c>
      <c r="BG13" s="34">
        <f>436-BF13</f>
      </c>
      <c r="BH13" s="34">
        <f>655-SUM(BF13:BG13)</f>
      </c>
      <c r="BI13" s="173">
        <f>879-SUM(BF13:BH13)</f>
      </c>
      <c r="BJ13" s="34">
        <v>299</v>
      </c>
      <c r="BK13" s="34">
        <f>586-BJ13</f>
      </c>
      <c r="BL13" s="34">
        <f>870-SUM(BJ13:BK13)</f>
      </c>
      <c r="BM13" s="173">
        <f>1168-SUM(BJ13:BL13)</f>
      </c>
      <c r="BN13" s="34">
        <v>420</v>
      </c>
      <c r="BO13" s="34">
        <f>844-BN13</f>
      </c>
      <c r="BP13" s="34">
        <f>1292-SUM(BN13:BO13)</f>
      </c>
      <c r="BQ13" s="173">
        <f>1740-SUM(BN13:BP13)</f>
      </c>
      <c r="BR13" s="34">
        <v>545</v>
      </c>
      <c r="BS13" s="34">
        <f>1120-BR13</f>
      </c>
      <c r="BT13" s="34">
        <f>1698-SUM(BR13:BS13)</f>
      </c>
      <c r="BU13" s="173">
        <f>2253-SUM(BR13:BT13)</f>
      </c>
      <c r="BV13" s="34">
        <v>681</v>
      </c>
      <c r="BW13" s="34">
        <f>1377-BV13</f>
      </c>
      <c r="BX13" s="34">
        <f>2101-SUM(BV13:BW13)</f>
      </c>
      <c r="BY13" s="173">
        <f>2863-SUM(BV13:BX13)</f>
      </c>
      <c r="BZ13" s="34">
        <v>888</v>
      </c>
      <c r="CA13" s="34">
        <f>1815-BZ13</f>
      </c>
      <c r="CB13" s="34">
        <f>2671-SUM(BZ13:CA13)</f>
      </c>
      <c r="CC13" s="173">
        <f>3586-SUM(BZ13:CB13)</f>
      </c>
      <c r="CD13" s="34">
        <v>1078</v>
      </c>
      <c r="CE13" s="34">
        <f>2126-CD13</f>
      </c>
      <c r="CF13" s="126">
        <f>3180-SUM(CD13:CE13)</f>
      </c>
      <c r="CG13" s="254">
        <f>4210-SUM(CD13:CF13)</f>
      </c>
      <c r="CH13" s="127">
        <v>1256</v>
      </c>
      <c r="CI13" s="127">
        <f>2473-CH13</f>
      </c>
      <c r="CJ13" s="127">
        <f>3666-CI13-CH13</f>
      </c>
      <c r="CK13" s="254">
        <f>-SUM(CH13:CJ13)+4840</f>
      </c>
      <c r="CL13" s="127">
        <v>1296</v>
      </c>
      <c r="CM13" s="127">
        <f>2644-CL13</f>
      </c>
      <c r="CN13" s="127">
        <f>3995-CM13-CL13</f>
      </c>
      <c r="CO13" s="254">
        <f>-SUM(CL13:CN13)+5340</f>
      </c>
      <c r="CP13" s="126">
        <v>1559</v>
      </c>
      <c r="CQ13" s="126">
        <f>3073-CP13</f>
      </c>
      <c r="CR13" s="127">
        <f>4569-CQ13-CP13</f>
      </c>
      <c r="CS13" s="254">
        <f>-SUM(CP13:CR13)+6068</f>
      </c>
      <c r="CT13" s="126">
        <v>1710</v>
      </c>
      <c r="CU13" s="126">
        <f>3407-CT13</f>
      </c>
      <c r="CV13" s="126">
        <f>5105-CU13-CT13</f>
      </c>
      <c r="CW13" s="463">
        <f>6829-CV13-CU13-CT13</f>
      </c>
      <c r="CX13" s="473">
        <v>2020</v>
      </c>
      <c r="CY13" s="126">
        <f>4001-CX13</f>
      </c>
      <c r="CZ13" s="126">
        <f>5961-CY13-CX13</f>
      </c>
      <c r="DA13" s="463">
        <f>7906-CZ13-CY13-CX13</f>
      </c>
      <c r="DB13" s="473">
        <v>2265</v>
      </c>
      <c r="DC13" s="126">
        <f>4517-DB13</f>
      </c>
      <c r="DD13" s="126">
        <f>6760-DC13-DB13</f>
      </c>
      <c r="DE13" s="463">
        <f>9038-DD13-DC13-DB13</f>
      </c>
      <c r="DF13" s="473">
        <v>2905</v>
      </c>
      <c r="DG13" s="126">
        <f>5591-DF13</f>
      </c>
      <c r="DH13" s="126">
        <f>8208-DG13-DF13</f>
      </c>
      <c r="DI13" s="254">
        <f>10833-SUM(DF13:DH13)</f>
      </c>
      <c r="DJ13" s="473">
        <v>2997</v>
      </c>
      <c r="DK13" s="126">
        <f>5961-DJ13</f>
      </c>
      <c r="DL13" s="126">
        <f>8830-DK13-DJ13</f>
      </c>
      <c r="DM13" s="254">
        <f>11688-SUM(DJ13:DL13)</f>
      </c>
      <c r="DN13" s="473">
        <v>3286</v>
      </c>
      <c r="DO13" s="126">
        <f>6512-DN13</f>
      </c>
      <c r="DP13" s="126">
        <f>9680-DO13-DN13</f>
      </c>
      <c r="DQ13" s="2131">
        <f t="shared" ref="DQ13:EK13" si="0">DM13*1.05</f>
      </c>
      <c r="DR13" s="2130">
        <f t="shared" si="0"/>
      </c>
      <c r="DS13" s="2130">
        <f t="shared" si="0"/>
      </c>
      <c r="DT13" s="2130">
        <f t="shared" si="0"/>
      </c>
      <c r="DU13" s="2131">
        <f t="shared" si="0"/>
      </c>
      <c r="DV13" s="2130">
        <f t="shared" si="0"/>
      </c>
      <c r="DW13" s="2130">
        <f t="shared" si="0"/>
      </c>
      <c r="DX13" s="2130">
        <f t="shared" si="0"/>
      </c>
      <c r="DY13" s="2131">
        <f t="shared" si="0"/>
      </c>
      <c r="DZ13" s="2130">
        <f t="shared" si="0"/>
      </c>
      <c r="EA13" s="2130">
        <f t="shared" si="0"/>
      </c>
      <c r="EB13" s="2130">
        <f t="shared" si="0"/>
      </c>
      <c r="EC13" s="2131">
        <f t="shared" si="0"/>
      </c>
      <c r="ED13" s="2130">
        <f t="shared" si="0"/>
      </c>
      <c r="EE13" s="2130">
        <f t="shared" si="0"/>
      </c>
      <c r="EF13" s="2130">
        <f t="shared" si="0"/>
      </c>
      <c r="EG13" s="2131">
        <f t="shared" si="0"/>
      </c>
      <c r="EH13" s="2130">
        <f t="shared" si="0"/>
      </c>
      <c r="EI13" s="2130">
        <f t="shared" si="0"/>
      </c>
      <c r="EJ13" s="2130">
        <f t="shared" si="0"/>
      </c>
      <c r="EK13" s="2131">
        <f t="shared" si="0"/>
      </c>
      <c r="EL13" s="3192"/>
      <c r="EN13" s="10">
        <f>SUM(B13:E13)</f>
      </c>
      <c r="EO13" s="10">
        <f>SUM(F13:I13)</f>
      </c>
      <c r="EP13" s="10">
        <f>SUM(J13:M13)</f>
      </c>
      <c r="EQ13" s="10">
        <f>SUM(N13:Q13)</f>
      </c>
      <c r="ER13" s="10">
        <f>SUM(R13:U13)</f>
      </c>
      <c r="ES13" s="10">
        <f>SUM(V13:Y13)</f>
      </c>
      <c r="ET13" s="10">
        <f>SUM(Z13:AC13)</f>
      </c>
      <c r="EU13" s="10">
        <f>SUM(AD13:AG13)</f>
      </c>
      <c r="EV13" s="10">
        <f>SUM(AH13:AK13)</f>
      </c>
      <c r="EW13" s="10">
        <f>SUM(AL13:AO13)</f>
      </c>
      <c r="EX13" s="10">
        <f>SUM(AP13:AS13)</f>
      </c>
      <c r="EY13" s="10">
        <f>SUM(AT13:AW13)</f>
      </c>
      <c r="EZ13" s="10">
        <f>SUM(AX13:BA13)</f>
      </c>
      <c r="FA13" s="10">
        <f>SUM(BB13:BE13)</f>
      </c>
      <c r="FB13" s="10">
        <f>SUM(BF13:BI13)</f>
      </c>
      <c r="FC13" s="10">
        <f>SUM(BJ13:BM13)</f>
      </c>
      <c r="FD13" s="10">
        <f>SUM(BN13:BQ13)</f>
      </c>
      <c r="FE13" s="10">
        <f>SUM(BR13:BU13)</f>
      </c>
      <c r="FF13" s="10">
        <f>SUM(BV13:BY13)</f>
      </c>
      <c r="FG13" s="10">
        <f>SUM(BZ13:CC13)</f>
      </c>
      <c r="FH13" s="10">
        <f>SUM(CD13:CG13)</f>
      </c>
      <c r="FI13" s="10">
        <f>SUM(CH13:CK13)</f>
      </c>
      <c r="FJ13" s="10">
        <f>SUM(CL13:CO13)</f>
      </c>
      <c r="FK13" s="10">
        <f>SUM(CP13:CS13)</f>
      </c>
      <c r="FL13" s="10">
        <f>SUM(CT13:CW13)</f>
      </c>
      <c r="FM13" s="10">
        <f>SUM(CX13:DA13)</f>
      </c>
      <c r="FN13" s="10">
        <f>SUM(DB13:DE13)</f>
      </c>
      <c r="FO13" s="10">
        <f>SUM(DF13:DI13)</f>
      </c>
      <c r="FP13" s="10">
        <f>SUM(DJ13:DM13)</f>
      </c>
      <c r="FQ13" s="10">
        <f>SUM(DN13:DQ13)</f>
      </c>
      <c r="FR13" s="10">
        <f>SUM(DR13:DU13)</f>
      </c>
      <c r="FS13" s="10">
        <f>SUM(DV13:DY13)</f>
      </c>
      <c r="FT13" s="10">
        <f>SUM(DZ13:EC13)</f>
      </c>
      <c r="FU13" s="10">
        <f>SUM(ED13:EG13)</f>
      </c>
      <c r="FV13" s="10">
        <f>SUM(EH13:EK13)</f>
      </c>
      <c r="FW13" s="10"/>
      <c r="FX13" s="10">
        <f>SUM(CM13:CP13)</f>
      </c>
      <c r="FY13" s="10">
        <f>+SUM(CQ13:CT13)</f>
      </c>
      <c r="FZ13" s="10">
        <f>SUM(CU13:CX13)</f>
      </c>
      <c r="GA13" s="10">
        <f>+SUM(CY13:DB13)</f>
      </c>
      <c r="GB13" s="10">
        <f>SUM(DC13:DF13)</f>
      </c>
      <c r="GC13" s="10">
        <f>SUM(DG13:DJ13)</f>
      </c>
      <c r="GD13" s="10">
        <f>SUM(DK13:DN13)</f>
      </c>
      <c r="GE13" s="10">
        <f>SUM(DO13:DR13)</f>
      </c>
      <c r="GF13" s="10">
        <f>SUM(DS13:DV13)</f>
      </c>
      <c r="GG13" s="10">
        <f>SUM(DW13:DZ13)</f>
      </c>
      <c r="GH13" s="10">
        <f>SUM(EA13:ED13)</f>
      </c>
      <c r="GI13" s="10">
        <f>SUM(EE13:EH13)</f>
      </c>
    </row>
    <row r="14" spans="1:191">
      <c r="A14" s="19" t="s">
        <v>124</v>
      </c>
      <c r="B14" s="34"/>
      <c r="C14" s="34"/>
      <c r="D14" s="34"/>
      <c r="E14" s="173"/>
      <c r="F14" s="34"/>
      <c r="G14" s="34"/>
      <c r="H14" s="34"/>
      <c r="I14" s="173"/>
      <c r="J14" s="34"/>
      <c r="K14" s="34"/>
      <c r="L14" s="34"/>
      <c r="M14" s="173"/>
      <c r="N14" s="34"/>
      <c r="O14" s="34"/>
      <c r="P14" s="34"/>
      <c r="Q14" s="173"/>
      <c r="R14" s="34"/>
      <c r="S14" s="34"/>
      <c r="T14" s="34"/>
      <c r="U14" s="173"/>
      <c r="V14" s="34"/>
      <c r="W14" s="34"/>
      <c r="X14" s="34"/>
      <c r="Y14" s="173"/>
      <c r="Z14" s="34"/>
      <c r="AA14" s="34"/>
      <c r="AB14" s="34"/>
      <c r="AC14" s="173"/>
      <c r="AD14" s="34"/>
      <c r="AE14" s="34"/>
      <c r="AF14" s="34"/>
      <c r="AG14" s="173"/>
      <c r="AH14" s="34"/>
      <c r="AI14" s="34"/>
      <c r="AJ14" s="34"/>
      <c r="AK14" s="173"/>
      <c r="AL14" s="34"/>
      <c r="AM14" s="34"/>
      <c r="AN14" s="34"/>
      <c r="AO14" s="173"/>
      <c r="AP14" s="34"/>
      <c r="AQ14" s="34"/>
      <c r="AR14" s="34"/>
      <c r="AS14" s="173"/>
      <c r="AT14" s="34"/>
      <c r="AU14" s="34"/>
      <c r="AV14" s="34"/>
      <c r="AW14" s="173"/>
      <c r="AX14" s="34"/>
      <c r="AY14" s="34"/>
      <c r="AZ14" s="34"/>
      <c r="BA14" s="173"/>
      <c r="BB14" s="34">
        <v>276</v>
      </c>
      <c r="BC14" s="34">
        <f>570-BB14</f>
      </c>
      <c r="BD14" s="34">
        <f>772-SUM(BB14:BC14)</f>
      </c>
      <c r="BE14" s="173">
        <f>1040-SUM(BB14:BD14)</f>
      </c>
      <c r="BF14" s="34">
        <v>425</v>
      </c>
      <c r="BG14" s="34">
        <f>893-BF14</f>
      </c>
      <c r="BH14" s="34">
        <f>1298-SUM(BF14:BG14)</f>
      </c>
      <c r="BI14" s="173">
        <f>1440-SUM(BF14:BH14)</f>
      </c>
      <c r="BJ14" s="34">
        <v>823</v>
      </c>
      <c r="BK14" s="34">
        <f>1563-BJ14</f>
      </c>
      <c r="BL14" s="34">
        <f>2232-SUM(BJ14:BK14)</f>
      </c>
      <c r="BM14" s="173">
        <f>2868-SUM(BJ14:BL14)</f>
      </c>
      <c r="BN14" s="34">
        <v>1456</v>
      </c>
      <c r="BO14" s="34">
        <f>2915-BN14</f>
      </c>
      <c r="BP14" s="34">
        <f>4066-SUM(BN14:BO14)</f>
      </c>
      <c r="BQ14" s="173">
        <f>4405-SUM(BN14:BP14)</f>
      </c>
      <c r="BR14" s="34">
        <v>1179</v>
      </c>
      <c r="BS14" s="34">
        <f>1957-BR14</f>
      </c>
      <c r="BT14" s="34">
        <f>2524-SUM(BR14:BS14)</f>
      </c>
      <c r="BU14" s="173">
        <f>1141-SUM(BR14:BT14)</f>
      </c>
      <c r="BV14" s="34">
        <v>1253</v>
      </c>
      <c r="BW14" s="34">
        <f>2059-BV14</f>
      </c>
      <c r="BX14" s="34">
        <f>3154-SUM(BV14:BW14)</f>
      </c>
      <c r="BY14" s="173">
        <f>2347-SUM(BV14:BX14)</f>
      </c>
      <c r="BZ14" s="34">
        <v>2197</v>
      </c>
      <c r="CA14" s="34">
        <f>1879-BZ14</f>
      </c>
      <c r="CB14" s="34">
        <f>2820-SUM(BZ14:CA14)</f>
      </c>
      <c r="CC14" s="173">
        <f>1382-SUM(BZ14:CB14)</f>
      </c>
      <c r="CD14" s="34">
        <v>1592</v>
      </c>
      <c r="CE14" s="34">
        <f>3092-CD14</f>
      </c>
      <c r="CF14" s="77">
        <f>5191-SUM(CD14:CE14)</f>
      </c>
      <c r="CG14" s="173">
        <f>4938-SUM(CD14:CF14)</f>
      </c>
      <c r="CH14" s="34">
        <v>1452</v>
      </c>
      <c r="CI14" s="34">
        <f>2822-CH14</f>
      </c>
      <c r="CJ14" s="34">
        <f>4764-CH14-CI14</f>
      </c>
      <c r="CK14" s="173">
        <f>-SUM(CH14:CJ14)+5966</f>
      </c>
      <c r="CL14" s="34">
        <v>-33737</v>
      </c>
      <c r="CM14" s="34">
        <f>-34235-CL14</f>
      </c>
      <c r="CN14" s="34">
        <f>-33109-CL14-CM14</f>
      </c>
      <c r="CO14" s="173">
        <f>-SUM(CL14:CN14)+-32590</f>
      </c>
      <c r="CP14" s="77">
        <v>53</v>
      </c>
      <c r="CQ14" s="77">
        <f>-124-CP14</f>
      </c>
      <c r="CR14" s="34">
        <f>-38-CP14-CQ14</f>
      </c>
      <c r="CS14" s="173">
        <f>-SUM(CP14:CR14)+-340</f>
      </c>
      <c r="CT14" s="77">
        <v>-349</v>
      </c>
      <c r="CU14" s="77">
        <f>-651-CT14</f>
      </c>
      <c r="CV14" s="77">
        <f>182-CU14-CT14</f>
      </c>
      <c r="CW14" s="192">
        <f>-215-CV14-CU14-CT14</f>
      </c>
      <c r="CX14" s="474">
        <v>-58</v>
      </c>
      <c r="CY14" s="77">
        <f>-207-CX14</f>
      </c>
      <c r="CZ14" s="77">
        <f>-737-CY14-CX14</f>
      </c>
      <c r="DA14" s="192">
        <f>-4774-CZ14-CY14-CX14</f>
      </c>
      <c r="DB14" s="474">
        <v>682</v>
      </c>
      <c r="DC14" s="77">
        <f>1088-DB14</f>
      </c>
      <c r="DD14" s="77">
        <f>2756-DC14-DB14</f>
      </c>
      <c r="DE14" s="192">
        <f>895-DD14-DC14-DB14</f>
      </c>
      <c r="DF14" s="474">
        <v>-317</v>
      </c>
      <c r="DG14" s="77">
        <f>0-DF14</f>
      </c>
      <c r="DH14" s="77">
        <f>0-DG14-DF14</f>
      </c>
      <c r="DI14" s="3152">
        <f>0-SUM(DF14:DH14)</f>
      </c>
      <c r="DJ14" s="474">
        <v>-989</v>
      </c>
      <c r="DK14" s="77">
        <f>0-DJ14</f>
      </c>
      <c r="DL14" s="77">
        <f>0-DK14-DJ14</f>
      </c>
      <c r="DM14" s="3152">
        <f>0-SUM(DJ14:DL14)</f>
      </c>
      <c r="DN14" s="474">
        <v>-2009</v>
      </c>
      <c r="DO14" s="77">
        <f>-2217-DN14</f>
      </c>
      <c r="DP14" s="77">
        <f>-1748-DO14-DN14</f>
      </c>
      <c r="DQ14" s="1185">
        <v>0</v>
      </c>
      <c r="DR14" s="1186">
        <v>0</v>
      </c>
      <c r="DS14" s="1186">
        <v>0</v>
      </c>
      <c r="DT14" s="1186">
        <v>0</v>
      </c>
      <c r="DU14" s="1185">
        <v>0</v>
      </c>
      <c r="DV14" s="1186">
        <v>0</v>
      </c>
      <c r="DW14" s="1186">
        <v>0</v>
      </c>
      <c r="DX14" s="1186">
        <v>0</v>
      </c>
      <c r="DY14" s="1185">
        <v>0</v>
      </c>
      <c r="DZ14" s="1186">
        <v>0</v>
      </c>
      <c r="EA14" s="1186">
        <v>0</v>
      </c>
      <c r="EB14" s="1186">
        <v>0</v>
      </c>
      <c r="EC14" s="1185">
        <v>0</v>
      </c>
      <c r="ED14" s="1186">
        <v>0</v>
      </c>
      <c r="EE14" s="1186">
        <v>0</v>
      </c>
      <c r="EF14" s="1186">
        <v>0</v>
      </c>
      <c r="EG14" s="1185">
        <v>0</v>
      </c>
      <c r="EH14" s="1186">
        <v>0</v>
      </c>
      <c r="EI14" s="1186">
        <v>0</v>
      </c>
      <c r="EJ14" s="1186">
        <v>0</v>
      </c>
      <c r="EK14" s="1185">
        <v>0</v>
      </c>
      <c r="EL14" s="3192"/>
      <c r="EN14" s="10">
        <f>SUM(B14:E14)</f>
      </c>
      <c r="EO14" s="10">
        <f>SUM(F14:I14)</f>
      </c>
      <c r="EP14" s="10">
        <f>SUM(J14:M14)</f>
      </c>
      <c r="EQ14" s="10">
        <f>SUM(N14:Q14)</f>
      </c>
      <c r="ER14" s="10">
        <f>SUM(R14:U14)</f>
      </c>
      <c r="ES14" s="10">
        <f>SUM(V14:Y14)</f>
      </c>
      <c r="ET14" s="10">
        <f>SUM(Z14:AC14)</f>
      </c>
      <c r="EU14" s="10">
        <f>SUM(AD14:AG14)</f>
      </c>
      <c r="EV14" s="10">
        <f>SUM(AH14:AK14)</f>
      </c>
      <c r="EW14" s="10">
        <f>SUM(AL14:AO14)</f>
      </c>
      <c r="EX14" s="10">
        <f>SUM(AP14:AS14)</f>
      </c>
      <c r="EY14" s="10">
        <f>SUM(AT14:AW14)</f>
      </c>
      <c r="EZ14" s="10">
        <f>SUM(AX14:BA14)</f>
      </c>
      <c r="FA14" s="10">
        <f>SUM(BB14:BE14)</f>
      </c>
      <c r="FB14" s="10">
        <f>SUM(BF14:BI14)</f>
      </c>
      <c r="FC14" s="10">
        <f>SUM(BJ14:BM14)</f>
      </c>
      <c r="FD14" s="10">
        <f>SUM(BN14:BQ14)</f>
      </c>
      <c r="FE14" s="10">
        <f>SUM(BR14:BU14)</f>
      </c>
      <c r="FF14" s="10">
        <f>SUM(BV14:BY14)</f>
      </c>
      <c r="FG14" s="10">
        <f>SUM(BZ14:CC14)</f>
      </c>
      <c r="FH14" s="10">
        <f>SUM(CD14:CG14)</f>
      </c>
      <c r="FI14" s="10">
        <f>SUM(CH14:CK14)</f>
      </c>
      <c r="FJ14" s="10">
        <f>SUM(CL14:CO14)</f>
      </c>
      <c r="FK14" s="10">
        <f>SUM(CP14:CS14)</f>
      </c>
      <c r="FL14" s="10">
        <f>SUM(CT14:CW14)</f>
      </c>
      <c r="FM14" s="10">
        <f>SUM(CX14:DA14)</f>
      </c>
      <c r="FN14" s="10">
        <f>SUM(DB14:DE14)</f>
      </c>
      <c r="FO14" s="10">
        <f>SUM(DF14:DI14)</f>
      </c>
      <c r="FP14" s="10">
        <f>SUM(DJ14:DM14)</f>
      </c>
      <c r="FQ14" s="10">
        <f>SUM(DN14:DQ14)</f>
      </c>
      <c r="FR14" s="10">
        <f>SUM(DR14:DU14)</f>
      </c>
      <c r="FS14" s="10">
        <f>SUM(DV14:DY14)</f>
      </c>
      <c r="FT14" s="10">
        <f>SUM(DZ14:EC14)</f>
      </c>
      <c r="FU14" s="10">
        <f>SUM(ED14:EG14)</f>
      </c>
      <c r="FV14" s="10">
        <f>SUM(EH14:EK14)</f>
      </c>
      <c r="FW14" s="10"/>
      <c r="FX14" s="10">
        <f>SUM(CM14:CP14)</f>
      </c>
      <c r="FY14" s="10">
        <f>+SUM(CQ14:CT14)</f>
      </c>
      <c r="FZ14" s="10">
        <f>SUM(CU14:CX14)</f>
      </c>
      <c r="GA14" s="10">
        <f>+SUM(CY14:DB14)</f>
      </c>
      <c r="GB14" s="10">
        <f>SUM(DC14:DF14)</f>
      </c>
      <c r="GC14" s="10">
        <f>SUM(DG14:DJ14)</f>
      </c>
      <c r="GD14" s="10">
        <f>SUM(DK14:DN14)</f>
      </c>
      <c r="GE14" s="10">
        <f>SUM(DO14:DR14)</f>
      </c>
      <c r="GF14" s="10">
        <f>SUM(DS14:DV14)</f>
      </c>
      <c r="GG14" s="10">
        <f>SUM(DW14:DZ14)</f>
      </c>
      <c r="GH14" s="10">
        <f>SUM(EA14:ED14)</f>
      </c>
      <c r="GI14" s="10">
        <f>SUM(EE14:EH14)</f>
      </c>
    </row>
    <row r="15" spans="1:191">
      <c r="A15" s="19" t="s">
        <v>140</v>
      </c>
      <c r="B15" s="34">
        <v>1</v>
      </c>
      <c r="C15" s="34">
        <v>-283</v>
      </c>
      <c r="D15" s="34">
        <v>41</v>
      </c>
      <c r="E15" s="173">
        <v>46</v>
      </c>
      <c r="F15" s="34">
        <v>0</v>
      </c>
      <c r="G15" s="34">
        <v>-169</v>
      </c>
      <c r="H15" s="34">
        <v>-9</v>
      </c>
      <c r="I15" s="173">
        <v>-127</v>
      </c>
      <c r="J15" s="34">
        <v>3</v>
      </c>
      <c r="K15" s="34">
        <v>-2.4695099999999002</v>
      </c>
      <c r="L15" s="34">
        <v>5.5109999999999957</v>
      </c>
      <c r="M15" s="173">
        <v>-5</v>
      </c>
      <c r="N15" s="34">
        <v>6.2680000000000007</v>
      </c>
      <c r="O15" s="34">
        <v>-17.169117647058741</v>
      </c>
      <c r="P15" s="34">
        <v>-2.8094999999999999</v>
      </c>
      <c r="Q15" s="173">
        <v>-70.464000000000112</v>
      </c>
      <c r="R15" s="34">
        <v>-42.488</v>
      </c>
      <c r="S15" s="34">
        <v>12.050000000000011</v>
      </c>
      <c r="T15" s="34">
        <v>33.400000000000091</v>
      </c>
      <c r="U15" s="173">
        <v>8.6000000000012733E-2</v>
      </c>
      <c r="V15" s="34">
        <v>-109.28399999999999</v>
      </c>
      <c r="W15" s="34">
        <v>14.467500000000001</v>
      </c>
      <c r="X15" s="34">
        <v>26</v>
      </c>
      <c r="Y15" s="173">
        <v>24.701999999999998</v>
      </c>
      <c r="Z15" s="34">
        <v>-31.299999999999997</v>
      </c>
      <c r="AA15" s="34">
        <f>41.9+0.5</f>
      </c>
      <c r="AB15" s="34">
        <v>-31.999999999999993</v>
      </c>
      <c r="AC15" s="173">
        <v>-10</v>
      </c>
      <c r="AD15" s="34">
        <v>-9</v>
      </c>
      <c r="AE15" s="34">
        <v>-25</v>
      </c>
      <c r="AF15" s="34">
        <v>-2</v>
      </c>
      <c r="AG15" s="173">
        <v>17</v>
      </c>
      <c r="AH15" s="34">
        <v>9</v>
      </c>
      <c r="AI15" s="34">
        <v>1</v>
      </c>
      <c r="AJ15" s="34">
        <v>60</v>
      </c>
      <c r="AK15" s="173">
        <v>53</v>
      </c>
      <c r="AL15" s="34">
        <v>146</v>
      </c>
      <c r="AM15" s="34">
        <v>170</v>
      </c>
      <c r="AN15" s="34">
        <v>6</v>
      </c>
      <c r="AO15" s="173">
        <v>313.42299999999977</v>
      </c>
      <c r="AP15" s="34">
        <v>114</v>
      </c>
      <c r="AQ15" s="34">
        <v>58</v>
      </c>
      <c r="AR15" s="34">
        <v>153</v>
      </c>
      <c r="AS15" s="173">
        <v>-94</v>
      </c>
      <c r="AT15" s="34">
        <v>123.97440999999981</v>
      </c>
      <c r="AU15" s="34">
        <v>154</v>
      </c>
      <c r="AV15" s="34">
        <v>161</v>
      </c>
      <c r="AW15" s="173">
        <v>-112</v>
      </c>
      <c r="AX15" s="34">
        <v>173</v>
      </c>
      <c r="AY15" s="34">
        <v>167</v>
      </c>
      <c r="AZ15" s="34">
        <v>233</v>
      </c>
      <c r="BA15" s="173">
        <v>363</v>
      </c>
      <c r="BB15" s="34"/>
      <c r="BC15" s="34"/>
      <c r="BD15" s="34"/>
      <c r="BE15" s="173"/>
      <c r="BF15" s="34"/>
      <c r="BG15" s="34"/>
      <c r="BH15" s="34"/>
      <c r="BI15" s="173"/>
      <c r="BJ15" s="34"/>
      <c r="BK15" s="34"/>
      <c r="BL15" s="34"/>
      <c r="BM15" s="173"/>
      <c r="BN15" s="34"/>
      <c r="BO15" s="34"/>
      <c r="BP15" s="34"/>
      <c r="BQ15" s="173"/>
      <c r="BR15" s="34"/>
      <c r="BS15" s="34"/>
      <c r="BT15" s="34"/>
      <c r="BU15" s="173"/>
      <c r="BV15" s="34"/>
      <c r="BW15" s="34"/>
      <c r="BX15" s="34"/>
      <c r="BY15" s="173"/>
      <c r="BZ15" s="34"/>
      <c r="CA15" s="34"/>
      <c r="CB15" s="34"/>
      <c r="CC15" s="173"/>
      <c r="CD15" s="34"/>
      <c r="CE15" s="34"/>
      <c r="CF15" s="77"/>
      <c r="CG15" s="173"/>
      <c r="CH15" s="34">
        <v>-274</v>
      </c>
      <c r="CI15" s="34">
        <f>-209-CH15</f>
      </c>
      <c r="CJ15" s="34">
        <f>-142-CI15-CH15</f>
      </c>
      <c r="CK15" s="173">
        <f>-SUM(CH15:CJ15)-166</f>
      </c>
      <c r="CL15" s="34">
        <v>-11</v>
      </c>
      <c r="CM15" s="34">
        <f>-151-CL15</f>
      </c>
      <c r="CN15" s="34">
        <f>-410-CM15-CL15</f>
      </c>
      <c r="CO15" s="173">
        <f>-SUM(CL15:CN15)-444</f>
      </c>
      <c r="CP15" s="77">
        <v>-54</v>
      </c>
      <c r="CQ15" s="77">
        <f>-215-CP15</f>
      </c>
      <c r="CR15" s="34">
        <f>-340-CQ15-CP15</f>
      </c>
      <c r="CS15" s="173">
        <f>-SUM(CP15:CR15)-652</f>
      </c>
      <c r="CT15" s="77">
        <v>-142</v>
      </c>
      <c r="CU15" s="77">
        <f>-259-CT15</f>
      </c>
      <c r="CV15" s="77">
        <f>-94-CU15-CT15</f>
      </c>
      <c r="CW15" s="192">
        <f>-97-CV15-CU15-CT15</f>
      </c>
      <c r="CX15" s="474">
        <v>25</v>
      </c>
      <c r="CY15" s="77">
        <f>-474-CX15</f>
      </c>
      <c r="CZ15" s="77">
        <f>-689-CY15-CX15</f>
      </c>
      <c r="DA15" s="192">
        <f>-147-CZ15-CY15-CX15</f>
      </c>
      <c r="DB15" s="474">
        <v>167</v>
      </c>
      <c r="DC15" s="77">
        <f>-20-DB15</f>
      </c>
      <c r="DD15" s="77">
        <f>-61-DC15-DB15</f>
      </c>
      <c r="DE15" s="192">
        <f>111-DD15-DC15-DB15</f>
      </c>
      <c r="DF15" s="474">
        <v>0</v>
      </c>
      <c r="DG15" s="77">
        <f>-1732-DF15</f>
      </c>
      <c r="DH15" s="77">
        <f>-1651-DG15-DF15</f>
      </c>
      <c r="DI15" s="3152">
        <f>-2227-SUM(DF15:DH15)</f>
      </c>
      <c r="DJ15" s="474">
        <v>0</v>
      </c>
      <c r="DK15" s="77">
        <f>-1971-DJ15</f>
      </c>
      <c r="DL15" s="77">
        <f>-1964-DK15-DJ15</f>
      </c>
      <c r="DM15" s="3152">
        <f>-2266-SUM(DJ15:DL15)</f>
      </c>
      <c r="DN15" s="474">
        <v>0</v>
      </c>
      <c r="DO15" s="77">
        <f>0-DN15</f>
      </c>
      <c r="DP15" s="77">
        <f>0-DO15-DN15</f>
      </c>
      <c r="DQ15" s="1185">
        <v>0</v>
      </c>
      <c r="DR15" s="1186">
        <v>0</v>
      </c>
      <c r="DS15" s="1186">
        <v>0</v>
      </c>
      <c r="DT15" s="1186">
        <v>0</v>
      </c>
      <c r="DU15" s="1185">
        <v>0</v>
      </c>
      <c r="DV15" s="1186">
        <v>0</v>
      </c>
      <c r="DW15" s="1186">
        <v>0</v>
      </c>
      <c r="DX15" s="1186">
        <v>0</v>
      </c>
      <c r="DY15" s="1185">
        <v>0</v>
      </c>
      <c r="DZ15" s="1186">
        <v>0</v>
      </c>
      <c r="EA15" s="1186">
        <v>0</v>
      </c>
      <c r="EB15" s="1186">
        <v>0</v>
      </c>
      <c r="EC15" s="1185">
        <v>0</v>
      </c>
      <c r="ED15" s="1186">
        <v>0</v>
      </c>
      <c r="EE15" s="1186">
        <v>0</v>
      </c>
      <c r="EF15" s="1186">
        <v>0</v>
      </c>
      <c r="EG15" s="1185">
        <v>0</v>
      </c>
      <c r="EH15" s="1186">
        <v>0</v>
      </c>
      <c r="EI15" s="1186">
        <v>0</v>
      </c>
      <c r="EJ15" s="1186">
        <v>0</v>
      </c>
      <c r="EK15" s="1185">
        <v>0</v>
      </c>
      <c r="EL15" s="3192"/>
      <c r="EN15" s="10">
        <f>SUM(B15:E15)</f>
      </c>
      <c r="EO15" s="10">
        <f>SUM(F15:I15)</f>
      </c>
      <c r="EP15" s="10">
        <f>SUM(J15:M15)</f>
      </c>
      <c r="EQ15" s="10">
        <f>SUM(N15:Q15)</f>
      </c>
      <c r="ER15" s="10">
        <f>SUM(R15:U15)</f>
      </c>
      <c r="ES15" s="10">
        <f>SUM(V15:Y15)</f>
      </c>
      <c r="ET15" s="10">
        <f>SUM(Z15:AC15)</f>
      </c>
      <c r="EU15" s="10">
        <f>SUM(AD15:AG15)</f>
      </c>
      <c r="EV15" s="10">
        <f>SUM(AH15:AK15)</f>
      </c>
      <c r="EW15" s="10">
        <f>SUM(AL15:AO15)</f>
      </c>
      <c r="EX15" s="10">
        <f>SUM(AP15:AS15)</f>
      </c>
      <c r="EY15" s="10">
        <f>SUM(AT15:AW15)</f>
      </c>
      <c r="EZ15" s="10">
        <f>SUM(AX15:BA15)</f>
      </c>
      <c r="FA15" s="10">
        <f>SUM(BB15:BE15)</f>
      </c>
      <c r="FB15" s="10">
        <f>SUM(BF15:BI15)</f>
      </c>
      <c r="FC15" s="10">
        <f>SUM(BJ15:BM15)</f>
      </c>
      <c r="FD15" s="10">
        <f>SUM(BN15:BQ15)</f>
      </c>
      <c r="FE15" s="10">
        <f>SUM(BR15:BU15)</f>
      </c>
      <c r="FF15" s="10">
        <f>SUM(BV15:BY15)</f>
      </c>
      <c r="FG15" s="10">
        <f>SUM(BZ15:CC15)</f>
      </c>
      <c r="FH15" s="10">
        <f>SUM(CD15:CG15)</f>
      </c>
      <c r="FI15" s="10">
        <f>SUM(CH15:CK15)</f>
      </c>
      <c r="FJ15" s="10">
        <f>SUM(CL15:CO15)</f>
      </c>
      <c r="FK15" s="10">
        <f>SUM(CP15:CS15)</f>
      </c>
      <c r="FL15" s="10">
        <f>SUM(CT15:CW15)</f>
      </c>
      <c r="FM15" s="10">
        <f>SUM(CX15:DA15)</f>
      </c>
      <c r="FN15" s="10">
        <f>SUM(DB15:DE15)</f>
      </c>
      <c r="FO15" s="10">
        <f>SUM(DF15:DI15)</f>
      </c>
      <c r="FP15" s="10">
        <f>SUM(DJ15:DM15)</f>
      </c>
      <c r="FQ15" s="10">
        <f>SUM(DN15:DQ15)</f>
      </c>
      <c r="FR15" s="10">
        <f>SUM(DR15:DU15)</f>
      </c>
      <c r="FS15" s="10">
        <f>SUM(DV15:DY15)</f>
      </c>
      <c r="FT15" s="10">
        <f>SUM(DZ15:EC15)</f>
      </c>
      <c r="FU15" s="10">
        <f>SUM(ED15:EG15)</f>
      </c>
      <c r="FV15" s="10">
        <f>SUM(EH15:EK15)</f>
      </c>
      <c r="FW15" s="10"/>
      <c r="FX15" s="10">
        <f>SUM(CM15:CP15)</f>
      </c>
      <c r="FY15" s="10">
        <f>+SUM(CQ15:CT15)</f>
      </c>
      <c r="FZ15" s="10">
        <f>SUM(CU15:CX15)</f>
      </c>
      <c r="GA15" s="10">
        <f>+SUM(CY15:DB15)</f>
      </c>
      <c r="GB15" s="10">
        <f>SUM(DC15:DF15)</f>
      </c>
      <c r="GC15" s="10">
        <f>SUM(DG15:DJ15)</f>
      </c>
      <c r="GD15" s="10">
        <f>SUM(DK15:DN15)</f>
      </c>
      <c r="GE15" s="10">
        <f>SUM(DO15:DR15)</f>
      </c>
      <c r="GF15" s="10">
        <f>SUM(DS15:DV15)</f>
      </c>
      <c r="GG15" s="10">
        <f>SUM(DW15:DZ15)</f>
      </c>
      <c r="GH15" s="10">
        <f>SUM(EA15:ED15)</f>
      </c>
      <c r="GI15" s="10">
        <f>SUM(EE15:EH15)</f>
      </c>
    </row>
    <row r="16" spans="1:191">
      <c r="A16" s="1176" t="s">
        <v>162</v>
      </c>
      <c r="B16" s="15"/>
      <c r="C16" s="15"/>
      <c r="D16" s="15"/>
      <c r="E16" s="174"/>
      <c r="F16" s="15"/>
      <c r="G16" s="15"/>
      <c r="H16" s="15"/>
      <c r="I16" s="174"/>
      <c r="J16" s="15"/>
      <c r="K16" s="15"/>
      <c r="L16" s="15"/>
      <c r="M16" s="174"/>
      <c r="N16" s="15"/>
      <c r="O16" s="15"/>
      <c r="P16" s="15"/>
      <c r="Q16" s="174"/>
      <c r="R16" s="15"/>
      <c r="S16" s="15"/>
      <c r="T16" s="15"/>
      <c r="U16" s="174"/>
      <c r="V16" s="15"/>
      <c r="W16" s="15"/>
      <c r="X16" s="15"/>
      <c r="Y16" s="174"/>
      <c r="Z16" s="15"/>
      <c r="AA16" s="15"/>
      <c r="AB16" s="15"/>
      <c r="AC16" s="174"/>
      <c r="AD16" s="15"/>
      <c r="AE16" s="15"/>
      <c r="AF16" s="15"/>
      <c r="AG16" s="174"/>
      <c r="AH16" s="15"/>
      <c r="AI16" s="15"/>
      <c r="AJ16" s="15"/>
      <c r="AK16" s="174"/>
      <c r="AL16" s="15"/>
      <c r="AM16" s="15"/>
      <c r="AN16" s="15"/>
      <c r="AO16" s="174"/>
      <c r="AP16" s="15"/>
      <c r="AQ16" s="15"/>
      <c r="AR16" s="15"/>
      <c r="AS16" s="174"/>
      <c r="AT16" s="15"/>
      <c r="AU16" s="15"/>
      <c r="AV16" s="15"/>
      <c r="AW16" s="174"/>
      <c r="AX16" s="15"/>
      <c r="AY16" s="15"/>
      <c r="AZ16" s="15"/>
      <c r="BA16" s="174"/>
      <c r="BB16" s="15"/>
      <c r="BC16" s="15"/>
      <c r="BD16" s="15"/>
      <c r="BE16" s="174"/>
      <c r="BF16" s="15"/>
      <c r="BG16" s="15"/>
      <c r="BH16" s="15"/>
      <c r="BI16" s="174"/>
      <c r="BJ16" s="15"/>
      <c r="BK16" s="15"/>
      <c r="BL16" s="15"/>
      <c r="BM16" s="174"/>
      <c r="BN16" s="15"/>
      <c r="BO16" s="15"/>
      <c r="BP16" s="15"/>
      <c r="BQ16" s="174"/>
      <c r="BR16" s="15"/>
      <c r="BS16" s="15"/>
      <c r="BT16" s="15"/>
      <c r="BU16" s="174"/>
      <c r="BV16" s="15"/>
      <c r="BW16" s="15"/>
      <c r="BX16" s="15"/>
      <c r="BY16" s="174"/>
      <c r="BZ16" s="15"/>
      <c r="CA16" s="15"/>
      <c r="CB16" s="15"/>
      <c r="CC16" s="174"/>
      <c r="CD16" s="15"/>
      <c r="CE16" s="15"/>
      <c r="CF16" s="62"/>
      <c r="CG16" s="174"/>
      <c r="CH16" s="15"/>
      <c r="CI16" s="15"/>
      <c r="CJ16" s="15"/>
      <c r="CK16" s="174"/>
      <c r="CL16" s="15"/>
      <c r="CM16" s="15"/>
      <c r="CN16" s="15"/>
      <c r="CO16" s="174"/>
      <c r="CP16" s="62"/>
      <c r="CQ16" s="62"/>
      <c r="CR16" s="15"/>
      <c r="CS16" s="174"/>
      <c r="CT16" s="62"/>
      <c r="CU16" s="62"/>
      <c r="CV16" s="62"/>
      <c r="CW16" s="226"/>
      <c r="CX16" s="476"/>
      <c r="CY16" s="62"/>
      <c r="CZ16" s="62"/>
      <c r="DA16" s="226"/>
      <c r="DB16" s="476"/>
      <c r="DC16" s="62"/>
      <c r="DD16" s="62"/>
      <c r="DE16" s="226"/>
      <c r="DF16" s="476"/>
      <c r="DG16" s="62"/>
      <c r="DH16" s="62"/>
      <c r="DI16" s="226"/>
      <c r="DJ16" s="476"/>
      <c r="DK16" s="62"/>
      <c r="DL16" s="62"/>
      <c r="DM16" s="226"/>
      <c r="DN16" s="476"/>
      <c r="DO16" s="62"/>
      <c r="DP16" s="62"/>
      <c r="DQ16" s="226"/>
      <c r="DR16" s="62"/>
      <c r="DS16" s="62"/>
      <c r="DT16" s="62"/>
      <c r="DU16" s="226"/>
      <c r="DV16" s="62"/>
      <c r="DW16" s="62"/>
      <c r="DX16" s="62"/>
      <c r="DY16" s="226"/>
      <c r="DZ16" s="62"/>
      <c r="EA16" s="62"/>
      <c r="EB16" s="62"/>
      <c r="EC16" s="226"/>
      <c r="ED16" s="62"/>
      <c r="EE16" s="62"/>
      <c r="EF16" s="62"/>
      <c r="EG16" s="226"/>
      <c r="EH16" s="62"/>
      <c r="EI16" s="62"/>
      <c r="EJ16" s="62"/>
      <c r="EK16" s="226"/>
      <c r="EL16" s="3192"/>
      <c r="EN16" s="15"/>
      <c r="EO16" s="15"/>
      <c r="EP16" s="15"/>
      <c r="EQ16" s="15"/>
      <c r="ER16" s="15"/>
      <c r="ES16" s="15"/>
      <c r="ET16" s="15"/>
      <c r="EU16" s="15"/>
      <c r="EV16" s="15"/>
      <c r="EW16" s="15"/>
      <c r="EX16" s="15"/>
      <c r="EY16" s="15"/>
      <c r="EZ16" s="15"/>
      <c r="FA16" s="15"/>
      <c r="FB16" s="15"/>
      <c r="FC16" s="15"/>
      <c r="FD16" s="15"/>
      <c r="FE16" s="15"/>
      <c r="FF16" s="15"/>
      <c r="FG16" s="15"/>
      <c r="FH16" s="15"/>
      <c r="FI16" s="15"/>
      <c r="FJ16" s="15"/>
      <c r="FK16" s="15"/>
      <c r="FL16" s="15"/>
      <c r="FM16" s="15"/>
      <c r="FN16" s="15"/>
      <c r="FO16" s="15"/>
      <c r="FP16" s="15"/>
      <c r="FQ16" s="15"/>
      <c r="FR16" s="15"/>
      <c r="FS16" s="15"/>
      <c r="FT16" s="15"/>
      <c r="FU16" s="15"/>
      <c r="FV16" s="15"/>
      <c r="FW16" s="15"/>
      <c r="FX16" s="15"/>
      <c r="FY16" s="15"/>
      <c r="FZ16" s="15"/>
      <c r="GA16" s="15"/>
      <c r="GB16" s="15"/>
      <c r="GC16" s="15"/>
      <c r="GD16" s="15"/>
      <c r="GE16" s="15"/>
      <c r="GF16" s="15"/>
      <c r="GG16" s="15"/>
      <c r="GH16" s="15"/>
      <c r="GI16" s="15"/>
    </row>
    <row r="17" spans="1:191">
      <c r="A17" s="1177" t="s">
        <v>125</v>
      </c>
      <c r="B17" s="34"/>
      <c r="C17" s="34"/>
      <c r="D17" s="34"/>
      <c r="E17" s="173"/>
      <c r="F17" s="34"/>
      <c r="G17" s="34"/>
      <c r="H17" s="34"/>
      <c r="I17" s="173"/>
      <c r="J17" s="34"/>
      <c r="K17" s="34"/>
      <c r="L17" s="34"/>
      <c r="M17" s="173"/>
      <c r="N17" s="34"/>
      <c r="O17" s="34"/>
      <c r="P17" s="34"/>
      <c r="Q17" s="173"/>
      <c r="R17" s="34"/>
      <c r="S17" s="34"/>
      <c r="T17" s="34"/>
      <c r="U17" s="173"/>
      <c r="V17" s="34"/>
      <c r="W17" s="34"/>
      <c r="X17" s="34"/>
      <c r="Y17" s="173"/>
      <c r="Z17" s="34"/>
      <c r="AA17" s="34"/>
      <c r="AB17" s="34"/>
      <c r="AC17" s="173"/>
      <c r="AD17" s="34"/>
      <c r="AE17" s="34"/>
      <c r="AF17" s="34"/>
      <c r="AG17" s="173"/>
      <c r="AH17" s="34"/>
      <c r="AI17" s="34"/>
      <c r="AJ17" s="34"/>
      <c r="AK17" s="173"/>
      <c r="AL17" s="34"/>
      <c r="AM17" s="34"/>
      <c r="AN17" s="34"/>
      <c r="AO17" s="173"/>
      <c r="AP17" s="34"/>
      <c r="AQ17" s="34"/>
      <c r="AR17" s="34"/>
      <c r="AS17" s="173"/>
      <c r="AT17" s="34"/>
      <c r="AU17" s="34"/>
      <c r="AV17" s="34"/>
      <c r="AW17" s="173"/>
      <c r="AX17" s="34"/>
      <c r="AY17" s="34"/>
      <c r="AZ17" s="34"/>
      <c r="BA17" s="173"/>
      <c r="BB17" s="34">
        <v>226</v>
      </c>
      <c r="BC17" s="34">
        <f>490-BB17</f>
      </c>
      <c r="BD17" s="34">
        <f>-264-SUM(BB17:BC17)</f>
      </c>
      <c r="BE17" s="173">
        <f>-939-SUM(BB17:BD17)</f>
      </c>
      <c r="BF17" s="34">
        <v>271</v>
      </c>
      <c r="BG17" s="34">
        <f>482-BF17</f>
      </c>
      <c r="BH17" s="34">
        <f>-79-SUM(BF17:BG17)</f>
      </c>
      <c r="BI17" s="173">
        <f>-2142-SUM(BF17:BH17)</f>
      </c>
      <c r="BJ17" s="34">
        <v>-517</v>
      </c>
      <c r="BK17" s="34">
        <f>-288-BJ17</f>
      </c>
      <c r="BL17" s="34">
        <f>-592-SUM(BJ17:BK17)</f>
      </c>
      <c r="BM17" s="173">
        <f>143-SUM(BJ17:BL17)</f>
      </c>
      <c r="BN17" s="34">
        <v>-3561</v>
      </c>
      <c r="BO17" s="34">
        <f>-1663-BN17</f>
      </c>
      <c r="BP17" s="34">
        <f>-2278-SUM(BN17:BO17)</f>
      </c>
      <c r="BQ17" s="173">
        <f>-5551-SUM(BN17:BP17)</f>
      </c>
      <c r="BR17" s="34">
        <v>-668</v>
      </c>
      <c r="BS17" s="34">
        <f>3846-BR17</f>
      </c>
      <c r="BT17" s="34">
        <f>2091-SUM(BR17:BS17)</f>
      </c>
      <c r="BU17" s="173">
        <f>-2172-SUM(BR17:BT17)</f>
      </c>
      <c r="BV17" s="34">
        <v>-1098</v>
      </c>
      <c r="BW17" s="34">
        <f>3401-BV17</f>
      </c>
      <c r="BX17" s="34">
        <f>2314-SUM(BV17:BW17)</f>
      </c>
      <c r="BY17" s="173">
        <f>-4232-SUM(BV17:BX17)</f>
      </c>
      <c r="BZ17" s="34">
        <v>751</v>
      </c>
      <c r="CA17" s="34">
        <f>6555-BZ17</f>
      </c>
      <c r="CB17" s="127">
        <f>7090-SUM(BZ17:CA17)</f>
      </c>
      <c r="CC17" s="254">
        <f>611-SUM(BZ17:CB17)</f>
      </c>
      <c r="CD17" s="127">
        <v>3896</v>
      </c>
      <c r="CE17" s="127">
        <f>4620-CD17</f>
      </c>
      <c r="CF17" s="126">
        <f>5135-SUM(CD17:CE17)</f>
      </c>
      <c r="CG17" s="254">
        <f>1095-SUM(CD17:CF17)</f>
      </c>
      <c r="CH17" s="34">
        <v>1697</v>
      </c>
      <c r="CI17" s="34">
        <f>4183-CH17</f>
      </c>
      <c r="CJ17" s="127">
        <f>3381-CI17-CH17</f>
      </c>
      <c r="CK17" s="254">
        <f>-SUM(CH17:CJ17)-2093</f>
      </c>
      <c r="CL17" s="34">
        <v>-5570</v>
      </c>
      <c r="CM17" s="34">
        <f>3523-CL17</f>
      </c>
      <c r="CN17" s="127">
        <f>3756-CM17-CL17</f>
      </c>
      <c r="CO17" s="254">
        <f>-SUM(CL17:CN17)-5322</f>
      </c>
      <c r="CP17" s="77">
        <v>5130</v>
      </c>
      <c r="CQ17" s="77">
        <f>8094-CP17</f>
      </c>
      <c r="CR17" s="127">
        <f>9013-CQ17-CP17</f>
      </c>
      <c r="CS17" s="254">
        <f>-SUM(CP17:CR17)+245</f>
      </c>
      <c r="CT17" s="77">
        <v>2015</v>
      </c>
      <c r="CU17" s="77">
        <f>7284-CT17</f>
      </c>
      <c r="CV17" s="77">
        <f>5149-CU17-CT17</f>
      </c>
      <c r="CW17" s="192">
        <f>6917-CV17-CU17-CT17</f>
      </c>
      <c r="CX17" s="474">
        <v>-10945</v>
      </c>
      <c r="CY17" s="77">
        <f>-2347-CX17</f>
      </c>
      <c r="CZ17" s="77">
        <f>-1316-CY17-CX17</f>
      </c>
      <c r="DA17" s="192">
        <f>-10125-CZ17-CY17-CX17</f>
      </c>
      <c r="DB17" s="474">
        <v>-3934</v>
      </c>
      <c r="DC17" s="77">
        <f>5542-DB17</f>
      </c>
      <c r="DD17" s="77">
        <f>4561-DC17-DB17</f>
      </c>
      <c r="DE17" s="192">
        <f>-1823-DD17-DC17-DB17</f>
      </c>
      <c r="DF17" s="474">
        <v>4275</v>
      </c>
      <c r="DG17" s="77">
        <f>9596-DF17</f>
      </c>
      <c r="DH17" s="77">
        <f>7609-DG17-DF17</f>
      </c>
      <c r="DI17" s="463">
        <f>-1688-SUM(DF17:DH17)</f>
      </c>
      <c r="DJ17" s="474">
        <v>6555</v>
      </c>
      <c r="DK17" s="77">
        <f>7727-DJ17</f>
      </c>
      <c r="DL17" s="77">
        <f>6697-DK17-DJ17</f>
      </c>
      <c r="DM17" s="463">
        <f>-3788-SUM(DJ17:DL17)</f>
      </c>
      <c r="DN17" s="474">
        <v>3597</v>
      </c>
      <c r="DO17" s="77">
        <f>7266-DN17</f>
      </c>
      <c r="DP17" s="77">
        <f>5685-DO17-DN17</f>
      </c>
      <c r="DQ17" s="444">
        <f>+'Balance Sheet'!DP13-'Balance Sheet'!DQ13</f>
      </c>
      <c r="DR17" s="443">
        <f>+'Balance Sheet'!DQ13-'Balance Sheet'!DR13</f>
      </c>
      <c r="DS17" s="443">
        <f>+'Balance Sheet'!DR13-'Balance Sheet'!DS13</f>
      </c>
      <c r="DT17" s="443">
        <f>+'Balance Sheet'!DS13-'Balance Sheet'!DT13</f>
      </c>
      <c r="DU17" s="444">
        <f>+'Balance Sheet'!DT13-'Balance Sheet'!DU13</f>
      </c>
      <c r="DV17" s="443">
        <f>+'Balance Sheet'!DU13-'Balance Sheet'!DV13</f>
      </c>
      <c r="DW17" s="443">
        <f>+'Balance Sheet'!DV13-'Balance Sheet'!DW13</f>
      </c>
      <c r="DX17" s="443">
        <f>+'Balance Sheet'!DW13-'Balance Sheet'!DX13</f>
      </c>
      <c r="DY17" s="444">
        <f>+'Balance Sheet'!DX13-'Balance Sheet'!DY13</f>
      </c>
      <c r="DZ17" s="443">
        <f>+'Balance Sheet'!DY13-'Balance Sheet'!DZ13</f>
      </c>
      <c r="EA17" s="443">
        <f>+'Balance Sheet'!DZ13-'Balance Sheet'!EA13</f>
      </c>
      <c r="EB17" s="443">
        <f>+'Balance Sheet'!EA13-'Balance Sheet'!EB13</f>
      </c>
      <c r="EC17" s="444">
        <f>+'Balance Sheet'!EB13-'Balance Sheet'!EC13</f>
      </c>
      <c r="ED17" s="443">
        <f>+'Balance Sheet'!EC13-'Balance Sheet'!ED13</f>
      </c>
      <c r="EE17" s="443">
        <f>+'Balance Sheet'!ED13-'Balance Sheet'!EE13</f>
      </c>
      <c r="EF17" s="443">
        <f>+'Balance Sheet'!EE13-'Balance Sheet'!EF13</f>
      </c>
      <c r="EG17" s="444">
        <f>+'Balance Sheet'!EF13-'Balance Sheet'!EG13</f>
      </c>
      <c r="EH17" s="443">
        <f>+'Balance Sheet'!EG13-'Balance Sheet'!EH13</f>
      </c>
      <c r="EI17" s="443">
        <f>+'Balance Sheet'!EH13-'Balance Sheet'!EI13</f>
      </c>
      <c r="EJ17" s="443">
        <f>+'Balance Sheet'!EI13-'Balance Sheet'!EJ13</f>
      </c>
      <c r="EK17" s="444">
        <f>+'Balance Sheet'!EJ13-'Balance Sheet'!EK13</f>
      </c>
      <c r="EL17" s="3192"/>
      <c r="EN17" s="37">
        <f t="shared" ref="EN17:EN24" si="1">SUM(B17:E17)</f>
      </c>
      <c r="EO17" s="37">
        <f t="shared" ref="EO17:EO24" si="2">SUM(F17:I17)</f>
      </c>
      <c r="EP17" s="37">
        <f t="shared" ref="EP17:EP24" si="3">SUM(J17:M17)</f>
      </c>
      <c r="EQ17" s="37">
        <f t="shared" ref="EQ17:EQ24" si="4">SUM(N17:Q17)</f>
      </c>
      <c r="ER17" s="37">
        <f t="shared" ref="ER17:ER24" si="5">SUM(R17:U17)</f>
      </c>
      <c r="ES17" s="37">
        <f t="shared" ref="ES17:ES24" si="6">SUM(V17:Y17)</f>
      </c>
      <c r="ET17" s="37">
        <f t="shared" ref="ET17:ET24" si="7">SUM(Z17:AC17)</f>
      </c>
      <c r="EU17" s="37">
        <f t="shared" ref="EU17:EU24" si="8">SUM(AD17:AG17)</f>
      </c>
      <c r="EV17" s="37">
        <f t="shared" ref="EV17:EV24" si="9">SUM(AH17:AK17)</f>
      </c>
      <c r="EW17" s="37">
        <f t="shared" ref="EW17:EW24" si="10">SUM(AL17:AO17)</f>
      </c>
      <c r="EX17" s="37">
        <f t="shared" ref="EX17:EX24" si="11">SUM(AP17:AS17)</f>
      </c>
      <c r="EY17" s="37">
        <f t="shared" ref="EY17:EY24" si="12">SUM(AT17:AW17)</f>
      </c>
      <c r="EZ17" s="37">
        <f t="shared" ref="EZ17:EZ24" si="13">SUM(AX17:BA17)</f>
      </c>
      <c r="FA17" s="37">
        <f t="shared" ref="FA17:FA23" si="14">SUM(BB17:BE17)</f>
      </c>
      <c r="FB17" s="37">
        <f t="shared" ref="FB17:FB23" si="15">SUM(BF17:BI17)</f>
      </c>
      <c r="FC17" s="37">
        <f t="shared" ref="FC17:FC23" si="16">SUM(BJ17:BM17)</f>
      </c>
      <c r="FD17" s="37">
        <f t="shared" ref="FD17:FD23" si="17">SUM(BN17:BQ17)</f>
      </c>
      <c r="FE17" s="37">
        <f t="shared" ref="FE17:FE23" si="18">SUM(BR17:BU17)</f>
      </c>
      <c r="FF17" s="37">
        <f t="shared" ref="FF17:FF23" si="19">SUM(BV17:BY17)</f>
      </c>
      <c r="FG17" s="37">
        <f t="shared" ref="FG17:FG23" si="20">SUM(BZ17:CC17)</f>
      </c>
      <c r="FH17" s="37">
        <f t="shared" ref="FH17:FH23" si="21">SUM(CD17:CG17)</f>
      </c>
      <c r="FI17" s="37">
        <f t="shared" ref="FI17:FI23" si="22">SUM(CH17:CK17)</f>
      </c>
      <c r="FJ17" s="37">
        <f t="shared" ref="FJ17:FJ23" si="23">SUM(CL17:CO17)</f>
      </c>
      <c r="FK17" s="37">
        <f t="shared" ref="FK17:FK23" si="24">SUM(CP17:CS17)</f>
      </c>
      <c r="FL17" s="37">
        <f t="shared" ref="FL17:FL23" si="25">SUM(CT17:CW17)</f>
      </c>
      <c r="FM17" s="37">
        <f t="shared" ref="FM17:FM23" si="26">SUM(CX17:DA17)</f>
      </c>
      <c r="FN17" s="37">
        <f t="shared" ref="FN17:FN23" si="27">SUM(DB17:DE17)</f>
      </c>
      <c r="FO17" s="37">
        <f t="shared" ref="FO17:FO23" si="28">SUM(DF17:DI17)</f>
      </c>
      <c r="FP17" s="37">
        <f t="shared" ref="FP17:FP23" si="29">SUM(DJ17:DM17)</f>
      </c>
      <c r="FQ17" s="37">
        <f t="shared" ref="FQ17:FQ23" si="30">SUM(DN17:DQ17)</f>
      </c>
      <c r="FR17" s="37">
        <f t="shared" ref="FR17:FR23" si="31">SUM(DR17:DU17)</f>
      </c>
      <c r="FS17" s="37">
        <f t="shared" ref="FS17:FS23" si="32">SUM(DV17:DY17)</f>
      </c>
      <c r="FT17" s="37">
        <f t="shared" ref="FT17:FT23" si="33">SUM(DZ17:EC17)</f>
      </c>
      <c r="FU17" s="37">
        <f t="shared" ref="FU17:FU23" si="34">SUM(ED17:EG17)</f>
      </c>
      <c r="FV17" s="37">
        <f t="shared" ref="FV17:FV23" si="35">SUM(EH17:EK17)</f>
      </c>
      <c r="FW17" s="37"/>
      <c r="FX17" s="37">
        <f t="shared" ref="FX17:FX25" si="36">SUM(CM17:CP17)</f>
      </c>
      <c r="FY17" s="37">
        <f t="shared" ref="FY17:FY25" si="37">+SUM(CQ17:CT17)</f>
      </c>
      <c r="FZ17" s="37">
        <f t="shared" ref="FZ17:FZ25" si="38">SUM(CU17:CX17)</f>
      </c>
      <c r="GA17" s="37">
        <f t="shared" ref="GA17:GA25" si="39">+SUM(CY17:DB17)</f>
      </c>
      <c r="GB17" s="37">
        <f t="shared" ref="GB17:GB25" si="40">SUM(DC17:DF17)</f>
      </c>
      <c r="GC17" s="37">
        <f t="shared" ref="GC17:GC25" si="41">SUM(DG17:DJ17)</f>
      </c>
      <c r="GD17" s="37">
        <f t="shared" ref="GD17:GD25" si="42">SUM(DK17:DN17)</f>
      </c>
      <c r="GE17" s="37">
        <f t="shared" ref="GE17:GE25" si="43">SUM(DO17:DR17)</f>
      </c>
      <c r="GF17" s="37">
        <f t="shared" ref="GF17:GF25" si="44">SUM(DS17:DV17)</f>
      </c>
      <c r="GG17" s="37">
        <f t="shared" ref="GG17:GG25" si="45">SUM(DW17:DZ17)</f>
      </c>
      <c r="GH17" s="37">
        <f t="shared" ref="GH17:GH25" si="46">SUM(EA17:ED17)</f>
      </c>
      <c r="GI17" s="37">
        <f t="shared" ref="GI17:GI25" si="47">SUM(EE17:EH17)</f>
      </c>
    </row>
    <row r="18" spans="1:191">
      <c r="A18" s="1177" t="s">
        <v>126</v>
      </c>
      <c r="B18" s="34"/>
      <c r="C18" s="34"/>
      <c r="D18" s="34"/>
      <c r="E18" s="173"/>
      <c r="F18" s="34"/>
      <c r="G18" s="34"/>
      <c r="H18" s="34"/>
      <c r="I18" s="173"/>
      <c r="J18" s="34"/>
      <c r="K18" s="34"/>
      <c r="L18" s="34"/>
      <c r="M18" s="173"/>
      <c r="N18" s="34"/>
      <c r="O18" s="34"/>
      <c r="P18" s="34"/>
      <c r="Q18" s="173"/>
      <c r="R18" s="34"/>
      <c r="S18" s="34"/>
      <c r="T18" s="34"/>
      <c r="U18" s="173"/>
      <c r="V18" s="34"/>
      <c r="W18" s="34"/>
      <c r="X18" s="34"/>
      <c r="Y18" s="173"/>
      <c r="Z18" s="34"/>
      <c r="AA18" s="34"/>
      <c r="AB18" s="34"/>
      <c r="AC18" s="173"/>
      <c r="AD18" s="34"/>
      <c r="AE18" s="34"/>
      <c r="AF18" s="34"/>
      <c r="AG18" s="173"/>
      <c r="AH18" s="34"/>
      <c r="AI18" s="34"/>
      <c r="AJ18" s="34"/>
      <c r="AK18" s="173"/>
      <c r="AL18" s="34"/>
      <c r="AM18" s="34"/>
      <c r="AN18" s="34"/>
      <c r="AO18" s="173"/>
      <c r="AP18" s="34"/>
      <c r="AQ18" s="34"/>
      <c r="AR18" s="34"/>
      <c r="AS18" s="173"/>
      <c r="AT18" s="34"/>
      <c r="AU18" s="34"/>
      <c r="AV18" s="34"/>
      <c r="AW18" s="173"/>
      <c r="AX18" s="34"/>
      <c r="AY18" s="34"/>
      <c r="AZ18" s="34"/>
      <c r="BA18" s="173"/>
      <c r="BB18" s="34">
        <v>113</v>
      </c>
      <c r="BC18" s="34">
        <f>197-BB18</f>
      </c>
      <c r="BD18" s="34">
        <f>129-SUM(BB18:BC18)</f>
      </c>
      <c r="BE18" s="173">
        <f>54-SUM(BB18:BD18)</f>
      </c>
      <c r="BF18" s="34">
        <v>-121</v>
      </c>
      <c r="BG18" s="34">
        <f>-183-BF18</f>
      </c>
      <c r="BH18" s="34">
        <f>-487-SUM(BF18:BG18)</f>
      </c>
      <c r="BI18" s="173">
        <f>-596-SUM(BF18:BH18)</f>
      </c>
      <c r="BJ18" s="34">
        <v>166</v>
      </c>
      <c r="BK18" s="34">
        <f>121-BJ18</f>
      </c>
      <c r="BL18" s="34">
        <f>162-SUM(BJ18:BK18)</f>
      </c>
      <c r="BM18" s="173">
        <f>275-SUM(BJ18:BL18)</f>
      </c>
      <c r="BN18" s="34">
        <v>-460</v>
      </c>
      <c r="BO18" s="34">
        <f>-326-BN18</f>
      </c>
      <c r="BP18" s="34">
        <f>-346-SUM(BN18:BO18)</f>
      </c>
      <c r="BQ18" s="173">
        <f>-15-SUM(BN18:BP18)</f>
      </c>
      <c r="BR18" s="34">
        <v>-664</v>
      </c>
      <c r="BS18" s="34">
        <f>-454-BR18</f>
      </c>
      <c r="BT18" s="34">
        <f>-906-SUM(BR18:BS18)</f>
      </c>
      <c r="BU18" s="173">
        <f>-973-SUM(BR18:BT18)</f>
      </c>
      <c r="BV18" s="34">
        <v>-358</v>
      </c>
      <c r="BW18" s="34">
        <f>-65-BV18</f>
      </c>
      <c r="BX18" s="34">
        <f>170-SUM(BV18:BW18)</f>
      </c>
      <c r="BY18" s="173">
        <f>-76-SUM(BV18:BX18)</f>
      </c>
      <c r="BZ18" s="34">
        <v>-172</v>
      </c>
      <c r="CA18" s="34">
        <f>-285-BZ18</f>
      </c>
      <c r="CB18" s="127">
        <f>69-SUM(BZ18:CA18)</f>
      </c>
      <c r="CC18" s="254">
        <f>-238-SUM(BZ18:CB18)</f>
      </c>
      <c r="CD18" s="127">
        <v>-102</v>
      </c>
      <c r="CE18" s="127">
        <f>68-CD18</f>
      </c>
      <c r="CF18" s="126">
        <f>518-SUM(CD18:CE18)</f>
      </c>
      <c r="CG18" s="254">
        <f>217-SUM(CD18:CF18)</f>
      </c>
      <c r="CH18" s="34">
        <v>-580</v>
      </c>
      <c r="CI18" s="34">
        <f>-778-CH18</f>
      </c>
      <c r="CJ18" s="127">
        <f>-1014-CI18-CH18</f>
      </c>
      <c r="CK18" s="254">
        <f>-SUM(CH18:CJ18)-2723</f>
      </c>
      <c r="CL18" s="34">
        <v>434</v>
      </c>
      <c r="CM18" s="34">
        <f>-2807-CL18</f>
      </c>
      <c r="CN18" s="127">
        <f>-1114-CM18-CL18</f>
      </c>
      <c r="CO18" s="254">
        <f>-SUM(CL18:CN18)+828</f>
      </c>
      <c r="CP18" s="77">
        <v>-1076</v>
      </c>
      <c r="CQ18" s="77">
        <f>-1006-CP18</f>
      </c>
      <c r="CR18" s="127">
        <f>496-CQ18-CP18</f>
      </c>
      <c r="CS18" s="254">
        <f>-SUM(CP18:CR18)+-289</f>
      </c>
      <c r="CT18" s="77">
        <v>-28</v>
      </c>
      <c r="CU18" s="77">
        <f>699-CT18</f>
      </c>
      <c r="CV18" s="77">
        <f>10-CU18-CT18</f>
      </c>
      <c r="CW18" s="192">
        <f>-127-CV18-CU18-CT18</f>
      </c>
      <c r="CX18" s="474">
        <v>-950</v>
      </c>
      <c r="CY18" s="77">
        <f>-1226-CX18</f>
      </c>
      <c r="CZ18" s="77">
        <f>-1213-CY18-CX18</f>
      </c>
      <c r="DA18" s="192">
        <f>-2642-CZ18-CY18-CX18</f>
      </c>
      <c r="DB18" s="474">
        <v>681</v>
      </c>
      <c r="DC18" s="77">
        <f>1065-DB18</f>
      </c>
      <c r="DD18" s="77">
        <f>1049-DC18-DB18</f>
      </c>
      <c r="DE18" s="192">
        <f>1484-DD18-DC18-DB18</f>
      </c>
      <c r="DF18" s="474">
        <v>-1807</v>
      </c>
      <c r="DG18" s="77">
        <f>-2548-DF18</f>
      </c>
      <c r="DH18" s="77">
        <f>-2570-DG18-DF18</f>
      </c>
      <c r="DI18" s="463">
        <f>-1618-SUM(DF18:DH18)</f>
      </c>
      <c r="DJ18" s="474">
        <v>-137</v>
      </c>
      <c r="DK18" s="77">
        <f>53-DJ18</f>
      </c>
      <c r="DL18" s="77">
        <f>41-DK18-DJ18</f>
      </c>
      <c r="DM18" s="463">
        <f>-1046-SUM(DJ18:DL18)</f>
      </c>
      <c r="DN18" s="474">
        <v>215</v>
      </c>
      <c r="DO18" s="77">
        <f>858-DN18</f>
      </c>
      <c r="DP18" s="77">
        <f>1223-DO18-DN18</f>
      </c>
      <c r="DQ18" s="444">
        <f>+'Balance Sheet'!DP14-'Balance Sheet'!DQ14</f>
      </c>
      <c r="DR18" s="443">
        <f>+'Balance Sheet'!DQ14-'Balance Sheet'!DR14</f>
      </c>
      <c r="DS18" s="443">
        <f>+'Balance Sheet'!DR14-'Balance Sheet'!DS14</f>
      </c>
      <c r="DT18" s="443">
        <f>+'Balance Sheet'!DS14-'Balance Sheet'!DT14</f>
      </c>
      <c r="DU18" s="444">
        <f>+'Balance Sheet'!DT14-'Balance Sheet'!DU14</f>
      </c>
      <c r="DV18" s="443">
        <f>+'Balance Sheet'!DU14-'Balance Sheet'!DV14</f>
      </c>
      <c r="DW18" s="443">
        <f>+'Balance Sheet'!DV14-'Balance Sheet'!DW14</f>
      </c>
      <c r="DX18" s="443">
        <f>+'Balance Sheet'!DW14-'Balance Sheet'!DX14</f>
      </c>
      <c r="DY18" s="444">
        <f>+'Balance Sheet'!DX14-'Balance Sheet'!DY14</f>
      </c>
      <c r="DZ18" s="443">
        <f>+'Balance Sheet'!DY14-'Balance Sheet'!DZ14</f>
      </c>
      <c r="EA18" s="443">
        <f>+'Balance Sheet'!DZ14-'Balance Sheet'!EA14</f>
      </c>
      <c r="EB18" s="443">
        <f>+'Balance Sheet'!EA14-'Balance Sheet'!EB14</f>
      </c>
      <c r="EC18" s="444">
        <f>+'Balance Sheet'!EB14-'Balance Sheet'!EC14</f>
      </c>
      <c r="ED18" s="443">
        <f>+'Balance Sheet'!EC14-'Balance Sheet'!ED14</f>
      </c>
      <c r="EE18" s="443">
        <f>+'Balance Sheet'!ED14-'Balance Sheet'!EE14</f>
      </c>
      <c r="EF18" s="443">
        <f>+'Balance Sheet'!EE14-'Balance Sheet'!EF14</f>
      </c>
      <c r="EG18" s="444">
        <f>+'Balance Sheet'!EF14-'Balance Sheet'!EG14</f>
      </c>
      <c r="EH18" s="443">
        <f>+'Balance Sheet'!EG14-'Balance Sheet'!EH14</f>
      </c>
      <c r="EI18" s="443">
        <f>+'Balance Sheet'!EH14-'Balance Sheet'!EI14</f>
      </c>
      <c r="EJ18" s="443">
        <f>+'Balance Sheet'!EI14-'Balance Sheet'!EJ14</f>
      </c>
      <c r="EK18" s="444">
        <f>+'Balance Sheet'!EJ14-'Balance Sheet'!EK14</f>
      </c>
      <c r="EL18" s="3192"/>
      <c r="EN18" s="37">
        <f t="shared" si="1"/>
      </c>
      <c r="EO18" s="37">
        <f t="shared" si="2"/>
      </c>
      <c r="EP18" s="37">
        <f t="shared" si="3"/>
      </c>
      <c r="EQ18" s="37">
        <f t="shared" si="4"/>
      </c>
      <c r="ER18" s="37">
        <f t="shared" si="5"/>
      </c>
      <c r="ES18" s="37">
        <f t="shared" si="6"/>
      </c>
      <c r="ET18" s="37">
        <f t="shared" si="7"/>
      </c>
      <c r="EU18" s="37">
        <f t="shared" si="8"/>
      </c>
      <c r="EV18" s="37">
        <f t="shared" si="9"/>
      </c>
      <c r="EW18" s="37">
        <f t="shared" si="10"/>
      </c>
      <c r="EX18" s="37">
        <f t="shared" si="11"/>
      </c>
      <c r="EY18" s="37">
        <f t="shared" si="12"/>
      </c>
      <c r="EZ18" s="37">
        <f t="shared" si="13"/>
      </c>
      <c r="FA18" s="37">
        <f t="shared" si="14"/>
      </c>
      <c r="FB18" s="37">
        <f t="shared" si="15"/>
      </c>
      <c r="FC18" s="37">
        <f t="shared" si="16"/>
      </c>
      <c r="FD18" s="37">
        <f t="shared" si="17"/>
      </c>
      <c r="FE18" s="37">
        <f t="shared" si="18"/>
      </c>
      <c r="FF18" s="37">
        <f t="shared" si="19"/>
      </c>
      <c r="FG18" s="37">
        <f t="shared" si="20"/>
      </c>
      <c r="FH18" s="37">
        <f t="shared" si="21"/>
      </c>
      <c r="FI18" s="37">
        <f t="shared" si="22"/>
      </c>
      <c r="FJ18" s="37">
        <f t="shared" si="23"/>
      </c>
      <c r="FK18" s="37">
        <f t="shared" si="24"/>
      </c>
      <c r="FL18" s="37">
        <f t="shared" si="25"/>
      </c>
      <c r="FM18" s="37">
        <f t="shared" si="26"/>
      </c>
      <c r="FN18" s="37">
        <f t="shared" si="27"/>
      </c>
      <c r="FO18" s="37">
        <f t="shared" si="28"/>
      </c>
      <c r="FP18" s="37">
        <f t="shared" si="29"/>
      </c>
      <c r="FQ18" s="37">
        <f t="shared" si="30"/>
      </c>
      <c r="FR18" s="37">
        <f t="shared" si="31"/>
      </c>
      <c r="FS18" s="37">
        <f t="shared" si="32"/>
      </c>
      <c r="FT18" s="37">
        <f t="shared" si="33"/>
      </c>
      <c r="FU18" s="37">
        <f t="shared" si="34"/>
      </c>
      <c r="FV18" s="37">
        <f t="shared" si="35"/>
      </c>
      <c r="FW18" s="37"/>
      <c r="FX18" s="37">
        <f t="shared" si="36"/>
      </c>
      <c r="FY18" s="37">
        <f t="shared" si="37"/>
      </c>
      <c r="FZ18" s="37">
        <f t="shared" si="38"/>
      </c>
      <c r="GA18" s="37">
        <f t="shared" si="39"/>
      </c>
      <c r="GB18" s="37">
        <f t="shared" si="40"/>
      </c>
      <c r="GC18" s="37">
        <f t="shared" si="41"/>
      </c>
      <c r="GD18" s="37">
        <f t="shared" si="42"/>
      </c>
      <c r="GE18" s="37">
        <f t="shared" si="43"/>
      </c>
      <c r="GF18" s="37">
        <f t="shared" si="44"/>
      </c>
      <c r="GG18" s="37">
        <f t="shared" si="45"/>
      </c>
      <c r="GH18" s="37">
        <f t="shared" si="46"/>
      </c>
      <c r="GI18" s="37">
        <f t="shared" si="47"/>
      </c>
    </row>
    <row r="19" spans="1:191">
      <c r="A19" s="1177" t="s">
        <v>127</v>
      </c>
      <c r="B19" s="34"/>
      <c r="C19" s="34"/>
      <c r="D19" s="34"/>
      <c r="E19" s="173"/>
      <c r="F19" s="34"/>
      <c r="G19" s="34"/>
      <c r="H19" s="34"/>
      <c r="I19" s="173"/>
      <c r="J19" s="34"/>
      <c r="K19" s="34"/>
      <c r="L19" s="34"/>
      <c r="M19" s="173"/>
      <c r="N19" s="34"/>
      <c r="O19" s="34"/>
      <c r="P19" s="34"/>
      <c r="Q19" s="173"/>
      <c r="R19" s="34"/>
      <c r="S19" s="34"/>
      <c r="T19" s="34"/>
      <c r="U19" s="173"/>
      <c r="V19" s="34"/>
      <c r="W19" s="34"/>
      <c r="X19" s="34"/>
      <c r="Y19" s="173"/>
      <c r="Z19" s="34"/>
      <c r="AA19" s="34"/>
      <c r="AB19" s="34"/>
      <c r="AC19" s="173"/>
      <c r="AD19" s="34"/>
      <c r="AE19" s="34"/>
      <c r="AF19" s="34"/>
      <c r="AG19" s="173"/>
      <c r="AH19" s="34"/>
      <c r="AI19" s="34"/>
      <c r="AJ19" s="34"/>
      <c r="AK19" s="173"/>
      <c r="AL19" s="34"/>
      <c r="AM19" s="34"/>
      <c r="AN19" s="34"/>
      <c r="AO19" s="173"/>
      <c r="AP19" s="34"/>
      <c r="AQ19" s="34"/>
      <c r="AR19" s="34"/>
      <c r="AS19" s="173"/>
      <c r="AT19" s="34"/>
      <c r="AU19" s="34"/>
      <c r="AV19" s="34"/>
      <c r="AW19" s="173"/>
      <c r="AX19" s="34"/>
      <c r="AY19" s="34"/>
      <c r="AZ19" s="34"/>
      <c r="BA19" s="173"/>
      <c r="BB19" s="34">
        <v>0</v>
      </c>
      <c r="BC19" s="34">
        <f>0-BB19</f>
      </c>
      <c r="BD19" s="34">
        <f>788-SUM(BB19:BC19)</f>
      </c>
      <c r="BE19" s="173">
        <f>586-SUM(BB19:BD19)</f>
      </c>
      <c r="BF19" s="34">
        <v>-95</v>
      </c>
      <c r="BG19" s="34">
        <f>-47-BF19</f>
      </c>
      <c r="BH19" s="34">
        <f>-1256-SUM(BF19:BG19)</f>
      </c>
      <c r="BI19" s="173">
        <f>-2718-SUM(BF19:BH19)</f>
      </c>
      <c r="BJ19" s="34">
        <v>-433</v>
      </c>
      <c r="BK19" s="34">
        <f>-883-BJ19</f>
      </c>
      <c r="BL19" s="34">
        <f>-955-SUM(BJ19:BK19)</f>
      </c>
      <c r="BM19" s="173">
        <f>-1934-SUM(BJ19:BL19)</f>
      </c>
      <c r="BN19" s="34">
        <v>-1206</v>
      </c>
      <c r="BO19" s="34">
        <f>-379-BN19</f>
      </c>
      <c r="BP19" s="34">
        <f>-293-SUM(BN19:BO19)</f>
      </c>
      <c r="BQ19" s="173">
        <f>-1414-SUM(BN19:BP19)</f>
      </c>
      <c r="BR19" s="34">
        <v>-2174</v>
      </c>
      <c r="BS19" s="34">
        <f>1510-BR19</f>
      </c>
      <c r="BT19" s="34">
        <f>3148-SUM(BR19:BS19)</f>
      </c>
      <c r="BU19" s="173">
        <f>223-SUM(BR19:BT19)</f>
      </c>
      <c r="BV19" s="34">
        <v>-3459</v>
      </c>
      <c r="BW19" s="34">
        <f>1419-BV19</f>
      </c>
      <c r="BX19" s="34">
        <f>1486-SUM(BV19:BW19)</f>
      </c>
      <c r="BY19" s="173">
        <f>-2220-SUM(BV19:BX19)</f>
      </c>
      <c r="BZ19" s="34">
        <v>-3508</v>
      </c>
      <c r="CA19" s="34">
        <f>2500-BZ19</f>
      </c>
      <c r="CB19" s="127">
        <f>222-SUM(BZ19:CA19)</f>
      </c>
      <c r="CC19" s="254">
        <f>-3735-SUM(BZ19:CB19)</f>
      </c>
      <c r="CD19" s="127">
        <v>1826</v>
      </c>
      <c r="CE19" s="127">
        <f>5899-CD19</f>
      </c>
      <c r="CF19" s="126">
        <f>6166-SUM(CD19:CE19)</f>
      </c>
      <c r="CG19" s="254">
        <f>-51-SUM(CD19:CF19)</f>
      </c>
      <c r="CH19" s="34">
        <v>-375</v>
      </c>
      <c r="CI19" s="34">
        <f>4512-CH19</f>
      </c>
      <c r="CJ19" s="127">
        <f>3312-CI19-CH19</f>
      </c>
      <c r="CK19" s="254">
        <f>-SUM(CH19:CJ19)-4254</f>
      </c>
      <c r="CL19" s="34">
        <v>-9660</v>
      </c>
      <c r="CM19" s="34">
        <f>9715-CL19</f>
      </c>
      <c r="CN19" s="127">
        <f>5536-CM19-CL19</f>
      </c>
      <c r="CO19" s="254">
        <f>-SUM(CL19:CN19)-8010</f>
      </c>
      <c r="CP19" s="77">
        <v>6905</v>
      </c>
      <c r="CQ19" s="77">
        <f>14616-CP19</f>
      </c>
      <c r="CR19" s="127">
        <f>13483-CQ19-CP19</f>
      </c>
      <c r="CS19" s="254">
        <f>-SUM(CP19:CR19)+2931</f>
      </c>
      <c r="CT19" s="77">
        <v>3902</v>
      </c>
      <c r="CU19" s="77">
        <f>7923-CT19</f>
      </c>
      <c r="CV19" s="77">
        <f>8685-CU19-CT19</f>
      </c>
      <c r="CW19" s="192">
        <f>1553-CV19-CU19-CT19</f>
      </c>
      <c r="CX19" s="474">
        <v>-10194</v>
      </c>
      <c r="CY19" s="77">
        <f>6792-CX19</f>
      </c>
      <c r="CZ19" s="77">
        <f>4892-CY19-CX19</f>
      </c>
      <c r="DA19" s="192">
        <f>-3903-CZ19-CY19-CX19</f>
      </c>
      <c r="DB19" s="474">
        <v>-9812</v>
      </c>
      <c r="DC19" s="77">
        <f>643-DB19</f>
      </c>
      <c r="DD19" s="77">
        <f>4789-DC19-DB19</f>
      </c>
      <c r="DE19" s="192">
        <f>-7520-DD19-DC19-DB19</f>
      </c>
      <c r="DF19" s="474">
        <v>2320</v>
      </c>
      <c r="DG19" s="77">
        <f>14785-DF19</f>
      </c>
      <c r="DH19" s="77">
        <f>13111-DG19-DF19</f>
      </c>
      <c r="DI19" s="463">
        <f>1271-SUM(DF19:DH19)</f>
      </c>
      <c r="DJ19" s="474">
        <v>4569</v>
      </c>
      <c r="DK19" s="77">
        <f>12164-DJ19</f>
      </c>
      <c r="DL19" s="77">
        <f>11100-DK19-DJ19</f>
      </c>
      <c r="DM19" s="463">
        <f>-1356-SUM(DJ19:DL19)</f>
      </c>
      <c r="DN19" s="474">
        <v>3166</v>
      </c>
      <c r="DO19" s="77">
        <f>9171-DN19</f>
      </c>
      <c r="DP19" s="77">
        <f>13555-DO19-DN19</f>
      </c>
      <c r="DQ19" s="444">
        <f>+'Balance Sheet'!DP16-'Balance Sheet'!DQ16</f>
      </c>
      <c r="DR19" s="443">
        <f>+'Balance Sheet'!DQ16-'Balance Sheet'!DR16</f>
      </c>
      <c r="DS19" s="443">
        <f>+'Balance Sheet'!DR16-'Balance Sheet'!DS16</f>
      </c>
      <c r="DT19" s="443">
        <f>+'Balance Sheet'!DS16-'Balance Sheet'!DT16</f>
      </c>
      <c r="DU19" s="444">
        <f>+'Balance Sheet'!DT16-'Balance Sheet'!DU16</f>
      </c>
      <c r="DV19" s="443">
        <f>+'Balance Sheet'!DU16-'Balance Sheet'!DV16</f>
      </c>
      <c r="DW19" s="443">
        <f>+'Balance Sheet'!DV16-'Balance Sheet'!DW16</f>
      </c>
      <c r="DX19" s="443">
        <f>+'Balance Sheet'!DW16-'Balance Sheet'!DX16</f>
      </c>
      <c r="DY19" s="444">
        <f>+'Balance Sheet'!DX16-'Balance Sheet'!DY16</f>
      </c>
      <c r="DZ19" s="443">
        <f>+'Balance Sheet'!DY16-'Balance Sheet'!DZ16</f>
      </c>
      <c r="EA19" s="443">
        <f>+'Balance Sheet'!DZ16-'Balance Sheet'!EA16</f>
      </c>
      <c r="EB19" s="443">
        <f>+'Balance Sheet'!EA16-'Balance Sheet'!EB16</f>
      </c>
      <c r="EC19" s="444">
        <f>+'Balance Sheet'!EB16-'Balance Sheet'!EC16</f>
      </c>
      <c r="ED19" s="443">
        <f>+'Balance Sheet'!EC16-'Balance Sheet'!ED16</f>
      </c>
      <c r="EE19" s="443">
        <f>+'Balance Sheet'!ED16-'Balance Sheet'!EE16</f>
      </c>
      <c r="EF19" s="443">
        <f>+'Balance Sheet'!EE16-'Balance Sheet'!EF16</f>
      </c>
      <c r="EG19" s="444">
        <f>+'Balance Sheet'!EF16-'Balance Sheet'!EG16</f>
      </c>
      <c r="EH19" s="443">
        <f>+'Balance Sheet'!EG16-'Balance Sheet'!EH16</f>
      </c>
      <c r="EI19" s="443">
        <f>+'Balance Sheet'!EH16-'Balance Sheet'!EI16</f>
      </c>
      <c r="EJ19" s="443">
        <f>+'Balance Sheet'!EI16-'Balance Sheet'!EJ16</f>
      </c>
      <c r="EK19" s="444">
        <f>+'Balance Sheet'!EJ16-'Balance Sheet'!EK16</f>
      </c>
      <c r="EL19" s="3192"/>
      <c r="EN19" s="37">
        <f t="shared" si="1"/>
      </c>
      <c r="EO19" s="37">
        <f t="shared" si="2"/>
      </c>
      <c r="EP19" s="37">
        <f t="shared" si="3"/>
      </c>
      <c r="EQ19" s="37">
        <f t="shared" si="4"/>
      </c>
      <c r="ER19" s="37">
        <f t="shared" si="5"/>
      </c>
      <c r="ES19" s="37">
        <f t="shared" si="6"/>
      </c>
      <c r="ET19" s="37">
        <f t="shared" si="7"/>
      </c>
      <c r="EU19" s="37">
        <f t="shared" si="8"/>
      </c>
      <c r="EV19" s="37">
        <f t="shared" si="9"/>
      </c>
      <c r="EW19" s="37">
        <f t="shared" si="10"/>
      </c>
      <c r="EX19" s="37">
        <f t="shared" si="11"/>
      </c>
      <c r="EY19" s="37">
        <f t="shared" si="12"/>
      </c>
      <c r="EZ19" s="37">
        <f t="shared" si="13"/>
      </c>
      <c r="FA19" s="37">
        <f t="shared" si="14"/>
      </c>
      <c r="FB19" s="37">
        <f t="shared" si="15"/>
      </c>
      <c r="FC19" s="37">
        <f t="shared" si="16"/>
      </c>
      <c r="FD19" s="37">
        <f t="shared" si="17"/>
      </c>
      <c r="FE19" s="37">
        <f t="shared" si="18"/>
      </c>
      <c r="FF19" s="37">
        <f t="shared" si="19"/>
      </c>
      <c r="FG19" s="37">
        <f t="shared" si="20"/>
      </c>
      <c r="FH19" s="37">
        <f t="shared" si="21"/>
      </c>
      <c r="FI19" s="37">
        <f t="shared" si="22"/>
      </c>
      <c r="FJ19" s="37">
        <f t="shared" si="23"/>
      </c>
      <c r="FK19" s="37">
        <f t="shared" si="24"/>
      </c>
      <c r="FL19" s="37">
        <f t="shared" si="25"/>
      </c>
      <c r="FM19" s="37">
        <f t="shared" si="26"/>
      </c>
      <c r="FN19" s="37">
        <f t="shared" si="27"/>
      </c>
      <c r="FO19" s="37">
        <f t="shared" si="28"/>
      </c>
      <c r="FP19" s="37">
        <f t="shared" si="29"/>
      </c>
      <c r="FQ19" s="37">
        <f t="shared" si="30"/>
      </c>
      <c r="FR19" s="37">
        <f t="shared" si="31"/>
      </c>
      <c r="FS19" s="37">
        <f t="shared" si="32"/>
      </c>
      <c r="FT19" s="37">
        <f t="shared" si="33"/>
      </c>
      <c r="FU19" s="37">
        <f t="shared" si="34"/>
      </c>
      <c r="FV19" s="37">
        <f t="shared" si="35"/>
      </c>
      <c r="FW19" s="37"/>
      <c r="FX19" s="37">
        <f t="shared" si="36"/>
      </c>
      <c r="FY19" s="37">
        <f t="shared" si="37"/>
      </c>
      <c r="FZ19" s="37">
        <f t="shared" si="38"/>
      </c>
      <c r="GA19" s="37">
        <f t="shared" si="39"/>
      </c>
      <c r="GB19" s="37">
        <f t="shared" si="40"/>
      </c>
      <c r="GC19" s="37">
        <f t="shared" si="41"/>
      </c>
      <c r="GD19" s="37">
        <f t="shared" si="42"/>
      </c>
      <c r="GE19" s="37">
        <f t="shared" si="43"/>
      </c>
      <c r="GF19" s="37">
        <f t="shared" si="44"/>
      </c>
      <c r="GG19" s="37">
        <f t="shared" si="45"/>
      </c>
      <c r="GH19" s="37">
        <f t="shared" si="46"/>
      </c>
      <c r="GI19" s="37">
        <f t="shared" si="47"/>
      </c>
    </row>
    <row r="20" spans="1:191">
      <c r="A20" s="1177" t="s">
        <v>128</v>
      </c>
      <c r="B20" s="34"/>
      <c r="C20" s="34"/>
      <c r="D20" s="34"/>
      <c r="E20" s="173"/>
      <c r="F20" s="34"/>
      <c r="G20" s="34"/>
      <c r="H20" s="34"/>
      <c r="I20" s="173"/>
      <c r="J20" s="34"/>
      <c r="K20" s="34"/>
      <c r="L20" s="34"/>
      <c r="M20" s="173"/>
      <c r="N20" s="34"/>
      <c r="O20" s="34"/>
      <c r="P20" s="34"/>
      <c r="Q20" s="173"/>
      <c r="R20" s="34"/>
      <c r="S20" s="34"/>
      <c r="T20" s="34"/>
      <c r="U20" s="173"/>
      <c r="V20" s="34"/>
      <c r="W20" s="34"/>
      <c r="X20" s="34"/>
      <c r="Y20" s="173"/>
      <c r="Z20" s="34"/>
      <c r="AA20" s="34"/>
      <c r="AB20" s="34"/>
      <c r="AC20" s="173"/>
      <c r="AD20" s="34"/>
      <c r="AE20" s="34"/>
      <c r="AF20" s="34"/>
      <c r="AG20" s="173"/>
      <c r="AH20" s="34"/>
      <c r="AI20" s="34"/>
      <c r="AJ20" s="34"/>
      <c r="AK20" s="173"/>
      <c r="AL20" s="34"/>
      <c r="AM20" s="34"/>
      <c r="AN20" s="34"/>
      <c r="AO20" s="173"/>
      <c r="AP20" s="34"/>
      <c r="AQ20" s="34"/>
      <c r="AR20" s="34"/>
      <c r="AS20" s="173"/>
      <c r="AT20" s="34"/>
      <c r="AU20" s="34"/>
      <c r="AV20" s="34"/>
      <c r="AW20" s="173"/>
      <c r="AX20" s="34"/>
      <c r="AY20" s="34"/>
      <c r="AZ20" s="34"/>
      <c r="BA20" s="173"/>
      <c r="BB20" s="34">
        <f>7+1097+7</f>
      </c>
      <c r="BC20" s="34">
        <f>1234-361+8-BB20</f>
      </c>
      <c r="BD20" s="34">
        <f>62-602+18-SUM(BB20:BC20)</f>
      </c>
      <c r="BE20" s="173">
        <f>26-902+163-SUM(BB20:BD20)</f>
      </c>
      <c r="BF20" s="34">
        <v>-369</v>
      </c>
      <c r="BG20" s="34">
        <f>-619-BF20</f>
      </c>
      <c r="BH20" s="34">
        <f>-1001-SUM(BF20:BG20)</f>
      </c>
      <c r="BI20" s="173">
        <f>-1610-SUM(BF20:BH20)</f>
      </c>
      <c r="BJ20" s="34">
        <v>-558</v>
      </c>
      <c r="BK20" s="34">
        <f>-1886-BJ20</f>
      </c>
      <c r="BL20" s="34">
        <f>-1551-SUM(BJ20:BK20)</f>
      </c>
      <c r="BM20" s="173">
        <f>-1391-SUM(BJ20:BL20)</f>
      </c>
      <c r="BN20" s="34">
        <v>-962</v>
      </c>
      <c r="BO20" s="34">
        <f>-1510-BN20</f>
      </c>
      <c r="BP20" s="34">
        <f>-3238-SUM(BN20:BO20)</f>
      </c>
      <c r="BQ20" s="173">
        <f>-3162-SUM(BN20:BP20)</f>
      </c>
      <c r="BR20" s="34">
        <v>413</v>
      </c>
      <c r="BS20" s="34">
        <f>1269-BR20</f>
      </c>
      <c r="BT20" s="34">
        <f>484-SUM(BR20:BS20)</f>
      </c>
      <c r="BU20" s="173">
        <f>1080-SUM(BR20:BT20)</f>
      </c>
      <c r="BV20" s="34">
        <v>-319</v>
      </c>
      <c r="BW20" s="34">
        <f>14-BV20</f>
      </c>
      <c r="BX20" s="34">
        <f>931-SUM(BV20:BW20)</f>
      </c>
      <c r="BY20" s="173">
        <f>167-SUM(BV20:BX20)</f>
      </c>
      <c r="BZ20" s="34">
        <v>-1648</v>
      </c>
      <c r="CA20" s="34">
        <f>2448-BZ20</f>
      </c>
      <c r="CB20" s="127">
        <f>2286-SUM(BZ20:CA20)</f>
      </c>
      <c r="CC20" s="254">
        <f>-179-SUM(BZ20:CB20)</f>
      </c>
      <c r="CD20" s="127">
        <v>-893</v>
      </c>
      <c r="CE20" s="127">
        <f>300-CD20</f>
      </c>
      <c r="CF20" s="126">
        <f>1143-SUM(CD20:CE20)</f>
      </c>
      <c r="CG20" s="254">
        <f>1090-SUM(CD20:CF20)</f>
      </c>
      <c r="CH20" s="34">
        <v>-1446</v>
      </c>
      <c r="CI20" s="34">
        <f>-896-CH20</f>
      </c>
      <c r="CJ20" s="127">
        <f>-3229-CI20-CH20</f>
      </c>
      <c r="CK20" s="254">
        <f>-SUM(CH20:CJ20)-5318</f>
      </c>
      <c r="CL20" s="34">
        <v>-197</v>
      </c>
      <c r="CM20" s="34">
        <f>-1053-CL20</f>
      </c>
      <c r="CN20" s="127">
        <f>-65-CM20-CL20</f>
      </c>
      <c r="CO20" s="254">
        <f>-SUM(CL20:CN20)-423</f>
      </c>
      <c r="CP20" s="77">
        <v>-886</v>
      </c>
      <c r="CQ20" s="77">
        <f>-717-CP20</f>
      </c>
      <c r="CR20" s="127">
        <f>693-CQ20-CP20</f>
      </c>
      <c r="CS20" s="254">
        <f>-SUM(CP20:CR20)+873</f>
      </c>
      <c r="CT20" s="77">
        <v>-7054</v>
      </c>
      <c r="CU20" s="77">
        <f>-8866-CT20</f>
      </c>
      <c r="CV20" s="77">
        <f>-6760-CU20-CT20</f>
      </c>
      <c r="CW20" s="192">
        <f>-9588-CV20-CU20-CT20</f>
      </c>
      <c r="CX20" s="474">
        <v>-3526</v>
      </c>
      <c r="CY20" s="77">
        <f>-4333-CX20</f>
      </c>
      <c r="CZ20" s="77">
        <f>-5899-CY20-CX20</f>
      </c>
      <c r="DA20" s="192">
        <f>-8042-CZ20-CY20-CX20</f>
      </c>
      <c r="DB20" s="474">
        <v>-4921</v>
      </c>
      <c r="DC20" s="77">
        <f>-3542-DB20</f>
      </c>
      <c r="DD20" s="77">
        <f>-3289-DC20-DB20</f>
      </c>
      <c r="DE20" s="192">
        <f>-6499-DD20-DC20-DB20</f>
      </c>
      <c r="DF20" s="474">
        <v>-4099</v>
      </c>
      <c r="DG20" s="77">
        <f>-4092-DF20</f>
      </c>
      <c r="DH20" s="77">
        <f>-4863-DG20-DF20</f>
      </c>
      <c r="DI20" s="463">
        <f>-5684-SUM(DF20:DH20)</f>
      </c>
      <c r="DJ20" s="474">
        <v>-1457</v>
      </c>
      <c r="DK20" s="77">
        <f>-4438-DJ20</f>
      </c>
      <c r="DL20" s="77">
        <f>-5626-DK20-DJ20</f>
      </c>
      <c r="DM20" s="463">
        <f>-11731-SUM(DJ20:DL20)</f>
      </c>
      <c r="DN20" s="474">
        <v>939</v>
      </c>
      <c r="DO20" s="77">
        <f>-4371-DN20</f>
      </c>
      <c r="DP20" s="77">
        <f>-6116-DO20-DN20</f>
      </c>
      <c r="DQ20" s="444">
        <f>('Balance Sheet'!DP17-'Balance Sheet'!DQ17)-'Balance Sheet'!DQ81</f>
      </c>
      <c r="DR20" s="443">
        <f>('Balance Sheet'!DQ17-'Balance Sheet'!DR17)-'Balance Sheet'!DR81</f>
      </c>
      <c r="DS20" s="443">
        <f>('Balance Sheet'!DR17-'Balance Sheet'!DS17)-'Balance Sheet'!DS81</f>
      </c>
      <c r="DT20" s="443">
        <f>('Balance Sheet'!DS17-'Balance Sheet'!DT17)-'Balance Sheet'!DT81</f>
      </c>
      <c r="DU20" s="444">
        <f>('Balance Sheet'!DT17-'Balance Sheet'!DU17)-'Balance Sheet'!DU81</f>
      </c>
      <c r="DV20" s="443">
        <f>('Balance Sheet'!DU17-'Balance Sheet'!DV17)-'Balance Sheet'!DV81</f>
      </c>
      <c r="DW20" s="443">
        <f>('Balance Sheet'!DV17-'Balance Sheet'!DW17)-'Balance Sheet'!DW81</f>
      </c>
      <c r="DX20" s="443">
        <f>('Balance Sheet'!DW17-'Balance Sheet'!DX17)-'Balance Sheet'!DX81</f>
      </c>
      <c r="DY20" s="444">
        <f>('Balance Sheet'!DX17-'Balance Sheet'!DY17)-'Balance Sheet'!DY81</f>
      </c>
      <c r="DZ20" s="443">
        <f>('Balance Sheet'!DY17-'Balance Sheet'!DZ17)-'Balance Sheet'!DZ81</f>
      </c>
      <c r="EA20" s="443">
        <f>('Balance Sheet'!DZ17-'Balance Sheet'!EA17)-'Balance Sheet'!EA81</f>
      </c>
      <c r="EB20" s="443">
        <f>('Balance Sheet'!EA17-'Balance Sheet'!EB17)-'Balance Sheet'!EB81</f>
      </c>
      <c r="EC20" s="444">
        <f>('Balance Sheet'!EB17-'Balance Sheet'!EC17)-'Balance Sheet'!EC81</f>
      </c>
      <c r="ED20" s="443">
        <f>('Balance Sheet'!EC17-'Balance Sheet'!ED17)-'Balance Sheet'!ED81</f>
      </c>
      <c r="EE20" s="443">
        <f>('Balance Sheet'!ED17-'Balance Sheet'!EE17)-'Balance Sheet'!EE81</f>
      </c>
      <c r="EF20" s="443">
        <f>('Balance Sheet'!EE17-'Balance Sheet'!EF17)-'Balance Sheet'!EF81</f>
      </c>
      <c r="EG20" s="444">
        <f>('Balance Sheet'!EF17-'Balance Sheet'!EG17)-'Balance Sheet'!EG81</f>
      </c>
      <c r="EH20" s="443">
        <f>('Balance Sheet'!EG17-'Balance Sheet'!EH17)-'Balance Sheet'!EH81</f>
      </c>
      <c r="EI20" s="443">
        <f>('Balance Sheet'!EH17-'Balance Sheet'!EI17)-'Balance Sheet'!EI81</f>
      </c>
      <c r="EJ20" s="443">
        <f>('Balance Sheet'!EI17-'Balance Sheet'!EJ17)-'Balance Sheet'!EJ81</f>
      </c>
      <c r="EK20" s="444">
        <f>('Balance Sheet'!EJ17-'Balance Sheet'!EK17)-'Balance Sheet'!EK81</f>
      </c>
      <c r="EL20" s="3192"/>
      <c r="EN20" s="37">
        <f t="shared" si="1"/>
      </c>
      <c r="EO20" s="37">
        <f t="shared" si="2"/>
      </c>
      <c r="EP20" s="37">
        <f t="shared" si="3"/>
      </c>
      <c r="EQ20" s="37">
        <f t="shared" si="4"/>
      </c>
      <c r="ER20" s="37">
        <f t="shared" si="5"/>
      </c>
      <c r="ES20" s="37">
        <f t="shared" si="6"/>
      </c>
      <c r="ET20" s="37">
        <f t="shared" si="7"/>
      </c>
      <c r="EU20" s="37">
        <f t="shared" si="8"/>
      </c>
      <c r="EV20" s="37">
        <f t="shared" si="9"/>
      </c>
      <c r="EW20" s="37">
        <f t="shared" si="10"/>
      </c>
      <c r="EX20" s="37">
        <f t="shared" si="11"/>
      </c>
      <c r="EY20" s="37">
        <f t="shared" si="12"/>
      </c>
      <c r="EZ20" s="37">
        <f t="shared" si="13"/>
      </c>
      <c r="FA20" s="37">
        <f t="shared" si="14"/>
      </c>
      <c r="FB20" s="37">
        <f t="shared" si="15"/>
      </c>
      <c r="FC20" s="37">
        <f t="shared" si="16"/>
      </c>
      <c r="FD20" s="37">
        <f t="shared" si="17"/>
      </c>
      <c r="FE20" s="37">
        <f t="shared" si="18"/>
      </c>
      <c r="FF20" s="37">
        <f t="shared" si="19"/>
      </c>
      <c r="FG20" s="37">
        <f t="shared" si="20"/>
      </c>
      <c r="FH20" s="37">
        <f t="shared" si="21"/>
      </c>
      <c r="FI20" s="37">
        <f t="shared" si="22"/>
      </c>
      <c r="FJ20" s="37">
        <f t="shared" si="23"/>
      </c>
      <c r="FK20" s="37">
        <f t="shared" si="24"/>
      </c>
      <c r="FL20" s="37">
        <f t="shared" si="25"/>
      </c>
      <c r="FM20" s="37">
        <f t="shared" si="26"/>
      </c>
      <c r="FN20" s="37">
        <f t="shared" si="27"/>
      </c>
      <c r="FO20" s="37">
        <f t="shared" si="28"/>
      </c>
      <c r="FP20" s="37">
        <f t="shared" si="29"/>
      </c>
      <c r="FQ20" s="37">
        <f t="shared" si="30"/>
      </c>
      <c r="FR20" s="37">
        <f t="shared" si="31"/>
      </c>
      <c r="FS20" s="37">
        <f t="shared" si="32"/>
      </c>
      <c r="FT20" s="37">
        <f t="shared" si="33"/>
      </c>
      <c r="FU20" s="37">
        <f t="shared" si="34"/>
      </c>
      <c r="FV20" s="37">
        <f t="shared" si="35"/>
      </c>
      <c r="FW20" s="37"/>
      <c r="FX20" s="37">
        <f t="shared" si="36"/>
      </c>
      <c r="FY20" s="37">
        <f t="shared" si="37"/>
      </c>
      <c r="FZ20" s="37">
        <f t="shared" si="38"/>
      </c>
      <c r="GA20" s="37">
        <f t="shared" si="39"/>
      </c>
      <c r="GB20" s="37">
        <f t="shared" si="40"/>
      </c>
      <c r="GC20" s="37">
        <f t="shared" si="41"/>
      </c>
      <c r="GD20" s="37">
        <f t="shared" si="42"/>
      </c>
      <c r="GE20" s="37">
        <f t="shared" si="43"/>
      </c>
      <c r="GF20" s="37">
        <f t="shared" si="44"/>
      </c>
      <c r="GG20" s="37">
        <f t="shared" si="45"/>
      </c>
      <c r="GH20" s="37">
        <f t="shared" si="46"/>
      </c>
      <c r="GI20" s="37">
        <f t="shared" si="47"/>
      </c>
    </row>
    <row r="21" spans="1:191">
      <c r="A21" s="1177" t="s">
        <v>129</v>
      </c>
      <c r="B21" s="34"/>
      <c r="C21" s="34"/>
      <c r="D21" s="34"/>
      <c r="E21" s="173"/>
      <c r="F21" s="34"/>
      <c r="G21" s="34"/>
      <c r="H21" s="34"/>
      <c r="I21" s="173"/>
      <c r="J21" s="34"/>
      <c r="K21" s="34"/>
      <c r="L21" s="34"/>
      <c r="M21" s="173"/>
      <c r="N21" s="34"/>
      <c r="O21" s="34"/>
      <c r="P21" s="34"/>
      <c r="Q21" s="173"/>
      <c r="R21" s="34"/>
      <c r="S21" s="34"/>
      <c r="T21" s="34"/>
      <c r="U21" s="173"/>
      <c r="V21" s="34"/>
      <c r="W21" s="34"/>
      <c r="X21" s="34"/>
      <c r="Y21" s="173"/>
      <c r="Z21" s="34"/>
      <c r="AA21" s="34"/>
      <c r="AB21" s="34"/>
      <c r="AC21" s="173"/>
      <c r="AD21" s="34"/>
      <c r="AE21" s="34"/>
      <c r="AF21" s="34"/>
      <c r="AG21" s="173"/>
      <c r="AH21" s="34"/>
      <c r="AI21" s="34"/>
      <c r="AJ21" s="34"/>
      <c r="AK21" s="173"/>
      <c r="AL21" s="34"/>
      <c r="AM21" s="34"/>
      <c r="AN21" s="34"/>
      <c r="AO21" s="173"/>
      <c r="AP21" s="34"/>
      <c r="AQ21" s="34"/>
      <c r="AR21" s="34"/>
      <c r="AS21" s="173"/>
      <c r="AT21" s="34"/>
      <c r="AU21" s="34"/>
      <c r="AV21" s="34"/>
      <c r="AW21" s="173"/>
      <c r="AX21" s="34"/>
      <c r="AY21" s="34"/>
      <c r="AZ21" s="34"/>
      <c r="BA21" s="173"/>
      <c r="BB21" s="34">
        <v>-767</v>
      </c>
      <c r="BC21" s="34">
        <f>-1527-BB21</f>
      </c>
      <c r="BD21" s="34">
        <f>-648-SUM(BB21:BC21)</f>
      </c>
      <c r="BE21" s="173">
        <f>92-SUM(BB21:BD21)</f>
      </c>
      <c r="BF21" s="34">
        <v>956</v>
      </c>
      <c r="BG21" s="34">
        <f>-18-BF21</f>
      </c>
      <c r="BH21" s="34">
        <f>2812-SUM(BF21:BG21)</f>
      </c>
      <c r="BI21" s="173">
        <f>6307-SUM(BF21:BH21)</f>
      </c>
      <c r="BJ21" s="34">
        <v>2346</v>
      </c>
      <c r="BK21" s="34">
        <f>1626-BJ21</f>
      </c>
      <c r="BL21" s="34">
        <f>2480-SUM(BJ21:BK21)</f>
      </c>
      <c r="BM21" s="173">
        <f>2515-SUM(BJ21:BL21)</f>
      </c>
      <c r="BN21" s="34">
        <v>4314</v>
      </c>
      <c r="BO21" s="34">
        <f>2809-BN21</f>
      </c>
      <c r="BP21" s="34">
        <f>2450-SUM(BN21:BO21)</f>
      </c>
      <c r="BQ21" s="173">
        <f>4467-SUM(BN21:BP21)</f>
      </c>
      <c r="BR21" s="34">
        <v>6145</v>
      </c>
      <c r="BS21" s="34">
        <f>-4422-BR21</f>
      </c>
      <c r="BT21" s="34">
        <f>-4740-SUM(BR21:BS21)</f>
      </c>
      <c r="BU21" s="173">
        <f>2340-SUM(BR21:BT21)</f>
      </c>
      <c r="BV21" s="34">
        <v>8191</v>
      </c>
      <c r="BW21" s="34">
        <f>-2375-BV21</f>
      </c>
      <c r="BX21" s="34">
        <f>-2531-SUM(BV21:BW21)</f>
      </c>
      <c r="BY21" s="173">
        <f>5938-SUM(BV21:BX21)</f>
      </c>
      <c r="BZ21" s="34">
        <v>9003</v>
      </c>
      <c r="CA21" s="34">
        <f>-5428-BZ21</f>
      </c>
      <c r="CB21" s="127">
        <f>-3263-SUM(BZ21:CA21)</f>
      </c>
      <c r="CC21" s="254">
        <f>5400-SUM(BZ21:CB21)</f>
      </c>
      <c r="CD21" s="127">
        <v>-852</v>
      </c>
      <c r="CE21" s="127">
        <f>-9475-CD21</f>
      </c>
      <c r="CF21" s="126">
        <f>-9622-SUM(CD21:CE21)</f>
      </c>
      <c r="CG21" s="254">
        <f>1791-SUM(CD21:CF21)</f>
      </c>
      <c r="CH21" s="34">
        <v>2460</v>
      </c>
      <c r="CI21" s="34">
        <f>-6862-CH21</f>
      </c>
      <c r="CJ21" s="127">
        <f>-5212-CI21-CH21</f>
      </c>
      <c r="CK21" s="254">
        <f>-SUM(CH21:CJ21)+8966</f>
      </c>
      <c r="CL21" s="34">
        <v>12602</v>
      </c>
      <c r="CM21" s="34">
        <f>-12004-CL21</f>
      </c>
      <c r="CN21" s="127">
        <f>-11139-CM21-CL21</f>
      </c>
      <c r="CO21" s="254">
        <f>-SUM(CL21:CN21)+9175</f>
      </c>
      <c r="CP21" s="77">
        <v>-8501</v>
      </c>
      <c r="CQ21" s="77">
        <f>-20024-CP21</f>
      </c>
      <c r="CR21" s="127">
        <f>-19804-CQ21-CP21</f>
      </c>
      <c r="CS21" s="254">
        <f>-SUM(CP21:CR21)-1923</f>
      </c>
      <c r="CT21" s="77">
        <v>-1089</v>
      </c>
      <c r="CU21" s="77">
        <f>-13520-CT21</f>
      </c>
      <c r="CV21" s="77">
        <f>-10787-CU21-CT21</f>
      </c>
      <c r="CW21" s="192">
        <f>-4062-CV21-CU21-CT21</f>
      </c>
      <c r="CX21" s="474">
        <v>21670</v>
      </c>
      <c r="CY21" s="77">
        <f>-1997-CX21</f>
      </c>
      <c r="CZ21" s="77">
        <f>-1786-CY21-CX21</f>
      </c>
      <c r="DA21" s="192">
        <f>12326-CZ21-CY21-CX21</f>
      </c>
      <c r="DB21" s="474">
        <v>19813</v>
      </c>
      <c r="DC21" s="77">
        <f>-1750-DB21</f>
      </c>
      <c r="DD21" s="77">
        <f>-6108-DC21-DB21</f>
      </c>
      <c r="DE21" s="192">
        <f>9448-DC21-DB21-DD21</f>
      </c>
      <c r="DF21" s="474">
        <v>-6075</v>
      </c>
      <c r="DG21" s="77">
        <f>-20764-DF21</f>
      </c>
      <c r="DH21" s="77">
        <f>-16790-DG21-DF21</f>
      </c>
      <c r="DI21" s="463">
        <f>-1889-SUM(DF21:DH21)</f>
      </c>
      <c r="DJ21" s="474">
        <v>-4541</v>
      </c>
      <c r="DK21" s="77">
        <f>-16710-DJ21</f>
      </c>
      <c r="DL21" s="77">
        <f>-15171-DK21-DJ21</f>
      </c>
      <c r="DM21" s="463">
        <f>6020-SUM(DJ21:DL21)</f>
      </c>
      <c r="DN21" s="474">
        <v>-6671</v>
      </c>
      <c r="DO21" s="77">
        <f>-14604-DN21</f>
      </c>
      <c r="DP21" s="77">
        <f>-18479-DO21-DN21</f>
      </c>
      <c r="DQ21" s="444">
        <f>+'Balance Sheet'!DQ30-'Balance Sheet'!DP30</f>
      </c>
      <c r="DR21" s="443">
        <f>+'Balance Sheet'!DR30-'Balance Sheet'!DQ30</f>
      </c>
      <c r="DS21" s="443">
        <f>+'Balance Sheet'!DS30-'Balance Sheet'!DR30</f>
      </c>
      <c r="DT21" s="443">
        <f>+'Balance Sheet'!DT30-'Balance Sheet'!DS30</f>
      </c>
      <c r="DU21" s="444">
        <f>+'Balance Sheet'!DU30-'Balance Sheet'!DT30</f>
      </c>
      <c r="DV21" s="443">
        <f>+'Balance Sheet'!DV30-'Balance Sheet'!DU30</f>
      </c>
      <c r="DW21" s="443">
        <f>+'Balance Sheet'!DW30-'Balance Sheet'!DV30</f>
      </c>
      <c r="DX21" s="443">
        <f>+'Balance Sheet'!DX30-'Balance Sheet'!DW30</f>
      </c>
      <c r="DY21" s="444">
        <f>+'Balance Sheet'!DY30-'Balance Sheet'!DX30</f>
      </c>
      <c r="DZ21" s="443">
        <f>+'Balance Sheet'!DZ30-'Balance Sheet'!DY30</f>
      </c>
      <c r="EA21" s="443">
        <f>+'Balance Sheet'!EA30-'Balance Sheet'!DZ30</f>
      </c>
      <c r="EB21" s="443">
        <f>+'Balance Sheet'!EB30-'Balance Sheet'!EA30</f>
      </c>
      <c r="EC21" s="444">
        <f>+'Balance Sheet'!EC30-'Balance Sheet'!EB30</f>
      </c>
      <c r="ED21" s="443">
        <f>+'Balance Sheet'!ED30-'Balance Sheet'!EC30</f>
      </c>
      <c r="EE21" s="443">
        <f>+'Balance Sheet'!EE30-'Balance Sheet'!ED30</f>
      </c>
      <c r="EF21" s="443">
        <f>+'Balance Sheet'!EF30-'Balance Sheet'!EE30</f>
      </c>
      <c r="EG21" s="444">
        <f>+'Balance Sheet'!EG30-'Balance Sheet'!EF30</f>
      </c>
      <c r="EH21" s="443">
        <f>+'Balance Sheet'!EH30-'Balance Sheet'!EG30</f>
      </c>
      <c r="EI21" s="443">
        <f>+'Balance Sheet'!EI30-'Balance Sheet'!EH30</f>
      </c>
      <c r="EJ21" s="443">
        <f>+'Balance Sheet'!EJ30-'Balance Sheet'!EI30</f>
      </c>
      <c r="EK21" s="444">
        <f>+'Balance Sheet'!EK30-'Balance Sheet'!EJ30</f>
      </c>
      <c r="EL21" s="3192"/>
      <c r="EN21" s="37">
        <f t="shared" si="1"/>
      </c>
      <c r="EO21" s="37">
        <f t="shared" si="2"/>
      </c>
      <c r="EP21" s="37">
        <f t="shared" si="3"/>
      </c>
      <c r="EQ21" s="37">
        <f t="shared" si="4"/>
      </c>
      <c r="ER21" s="37">
        <f t="shared" si="5"/>
      </c>
      <c r="ES21" s="37">
        <f t="shared" si="6"/>
      </c>
      <c r="ET21" s="37">
        <f t="shared" si="7"/>
      </c>
      <c r="EU21" s="37">
        <f t="shared" si="8"/>
      </c>
      <c r="EV21" s="37">
        <f t="shared" si="9"/>
      </c>
      <c r="EW21" s="37">
        <f t="shared" si="10"/>
      </c>
      <c r="EX21" s="37">
        <f t="shared" si="11"/>
      </c>
      <c r="EY21" s="37">
        <f t="shared" si="12"/>
      </c>
      <c r="EZ21" s="37">
        <f t="shared" si="13"/>
      </c>
      <c r="FA21" s="37">
        <f t="shared" si="14"/>
      </c>
      <c r="FB21" s="37">
        <f t="shared" si="15"/>
      </c>
      <c r="FC21" s="37">
        <f t="shared" si="16"/>
      </c>
      <c r="FD21" s="37">
        <f t="shared" si="17"/>
      </c>
      <c r="FE21" s="37">
        <f t="shared" si="18"/>
      </c>
      <c r="FF21" s="37">
        <f t="shared" si="19"/>
      </c>
      <c r="FG21" s="37">
        <f t="shared" si="20"/>
      </c>
      <c r="FH21" s="37">
        <f t="shared" si="21"/>
      </c>
      <c r="FI21" s="37">
        <f t="shared" si="22"/>
      </c>
      <c r="FJ21" s="37">
        <f t="shared" si="23"/>
      </c>
      <c r="FK21" s="37">
        <f t="shared" si="24"/>
      </c>
      <c r="FL21" s="37">
        <f t="shared" si="25"/>
      </c>
      <c r="FM21" s="37">
        <f t="shared" si="26"/>
      </c>
      <c r="FN21" s="37">
        <f t="shared" si="27"/>
      </c>
      <c r="FO21" s="37">
        <f t="shared" si="28"/>
      </c>
      <c r="FP21" s="37">
        <f t="shared" si="29"/>
      </c>
      <c r="FQ21" s="37">
        <f t="shared" si="30"/>
      </c>
      <c r="FR21" s="37">
        <f t="shared" si="31"/>
      </c>
      <c r="FS21" s="37">
        <f t="shared" si="32"/>
      </c>
      <c r="FT21" s="37">
        <f t="shared" si="33"/>
      </c>
      <c r="FU21" s="37">
        <f t="shared" si="34"/>
      </c>
      <c r="FV21" s="37">
        <f t="shared" si="35"/>
      </c>
      <c r="FW21" s="37"/>
      <c r="FX21" s="37">
        <f t="shared" si="36"/>
      </c>
      <c r="FY21" s="37">
        <f t="shared" si="37"/>
      </c>
      <c r="FZ21" s="37">
        <f t="shared" si="38"/>
      </c>
      <c r="GA21" s="37">
        <f t="shared" si="39"/>
      </c>
      <c r="GB21" s="37">
        <f t="shared" si="40"/>
      </c>
      <c r="GC21" s="37">
        <f t="shared" si="41"/>
      </c>
      <c r="GD21" s="37">
        <f t="shared" si="42"/>
      </c>
      <c r="GE21" s="37">
        <f t="shared" si="43"/>
      </c>
      <c r="GF21" s="37">
        <f t="shared" si="44"/>
      </c>
      <c r="GG21" s="37">
        <f t="shared" si="45"/>
      </c>
      <c r="GH21" s="37">
        <f t="shared" si="46"/>
      </c>
      <c r="GI21" s="37">
        <f t="shared" si="47"/>
      </c>
    </row>
    <row r="22" spans="1:191">
      <c r="A22" s="1178" t="s">
        <v>130</v>
      </c>
      <c r="B22" s="34"/>
      <c r="C22" s="34"/>
      <c r="D22" s="34"/>
      <c r="E22" s="173"/>
      <c r="F22" s="34"/>
      <c r="G22" s="34"/>
      <c r="H22" s="34"/>
      <c r="I22" s="173"/>
      <c r="J22" s="34"/>
      <c r="K22" s="34"/>
      <c r="L22" s="34"/>
      <c r="M22" s="173"/>
      <c r="N22" s="34"/>
      <c r="O22" s="34"/>
      <c r="P22" s="34"/>
      <c r="Q22" s="173"/>
      <c r="R22" s="34"/>
      <c r="S22" s="34"/>
      <c r="T22" s="34"/>
      <c r="U22" s="173"/>
      <c r="V22" s="34"/>
      <c r="W22" s="34"/>
      <c r="X22" s="34"/>
      <c r="Y22" s="173"/>
      <c r="Z22" s="34"/>
      <c r="AA22" s="34"/>
      <c r="AB22" s="34"/>
      <c r="AC22" s="173"/>
      <c r="AD22" s="34"/>
      <c r="AE22" s="34"/>
      <c r="AF22" s="34"/>
      <c r="AG22" s="173"/>
      <c r="AH22" s="34"/>
      <c r="AI22" s="34"/>
      <c r="AJ22" s="34"/>
      <c r="AK22" s="173"/>
      <c r="AL22" s="34"/>
      <c r="AM22" s="34"/>
      <c r="AN22" s="34"/>
      <c r="AO22" s="173"/>
      <c r="AP22" s="34"/>
      <c r="AQ22" s="34"/>
      <c r="AR22" s="34"/>
      <c r="AS22" s="173"/>
      <c r="AT22" s="34"/>
      <c r="AU22" s="34"/>
      <c r="AV22" s="34"/>
      <c r="AW22" s="173"/>
      <c r="AX22" s="34"/>
      <c r="AY22" s="34"/>
      <c r="AZ22" s="34"/>
      <c r="BA22" s="173"/>
      <c r="BB22" s="34">
        <v>200</v>
      </c>
      <c r="BC22" s="34">
        <f>128-BB22</f>
      </c>
      <c r="BD22" s="34">
        <f>323-SUM(BB22:BC22)</f>
      </c>
      <c r="BE22" s="173">
        <f>521-SUM(BB22:BD22)</f>
      </c>
      <c r="BF22" s="34">
        <v>606</v>
      </c>
      <c r="BG22" s="34">
        <f>577-BF22</f>
      </c>
      <c r="BH22" s="34">
        <f>806-SUM(BF22:BG22)</f>
      </c>
      <c r="BI22" s="173">
        <f>1217-SUM(BF22:BH22)</f>
      </c>
      <c r="BJ22" s="34">
        <v>634</v>
      </c>
      <c r="BK22" s="34">
        <f>698-BJ22</f>
      </c>
      <c r="BL22" s="34">
        <f>1276-SUM(BJ22:BK22)</f>
      </c>
      <c r="BM22" s="173">
        <f>1654-SUM(BJ22:BL22)</f>
      </c>
      <c r="BN22" s="34">
        <v>1296</v>
      </c>
      <c r="BO22" s="34">
        <f>1916-BN22</f>
      </c>
      <c r="BP22" s="34">
        <f>2575-SUM(BN22:BO22)</f>
      </c>
      <c r="BQ22" s="173">
        <f>2824-SUM(BN22:BP22)</f>
      </c>
      <c r="BR22" s="34">
        <v>1611</v>
      </c>
      <c r="BS22" s="34">
        <f>1541-BR22</f>
      </c>
      <c r="BT22" s="34">
        <f>1404-SUM(BR22:BS22)</f>
      </c>
      <c r="BU22" s="173">
        <f>1459-SUM(BR22:BT22)</f>
      </c>
      <c r="BV22" s="34">
        <v>1368</v>
      </c>
      <c r="BW22" s="34">
        <f>1414-BV22</f>
      </c>
      <c r="BX22" s="34">
        <f>1394-SUM(BV22:BW22)</f>
      </c>
      <c r="BY22" s="173">
        <f>1460-SUM(BV22:BX22)</f>
      </c>
      <c r="BZ22" s="34">
        <v>945</v>
      </c>
      <c r="CA22" s="34">
        <f>993-BZ22</f>
      </c>
      <c r="CB22" s="127">
        <f>1040-SUM(BZ22:CA22)</f>
      </c>
      <c r="CC22" s="254">
        <f>1042-SUM(BZ22:CB22)</f>
      </c>
      <c r="CD22" s="127">
        <v>-29</v>
      </c>
      <c r="CE22" s="127">
        <f>219-CD22</f>
      </c>
      <c r="CF22" s="126">
        <f>-1148-SUM(CD22:CE22)</f>
      </c>
      <c r="CG22" s="254">
        <f>-1554-SUM(CD22:CF22)</f>
      </c>
      <c r="CH22" s="34">
        <v>42</v>
      </c>
      <c r="CI22" s="34">
        <f>-221-CH22</f>
      </c>
      <c r="CJ22" s="127">
        <f>-418-CI22-CH22</f>
      </c>
      <c r="CK22" s="254">
        <f>-SUM(CH22:CJ22)-626</f>
      </c>
      <c r="CL22" s="34">
        <v>569</v>
      </c>
      <c r="CM22" s="34">
        <f>394-CL22</f>
      </c>
      <c r="CN22" s="127">
        <f>-103-CM22-CL22</f>
      </c>
      <c r="CO22" s="254">
        <f>-SUM(CL22:CN22)-44</f>
      </c>
      <c r="CP22" s="77">
        <v>-370</v>
      </c>
      <c r="CQ22" s="77">
        <f>-540-CP22</f>
      </c>
      <c r="CR22" s="127">
        <f>-776-CQ22-CP22</f>
      </c>
      <c r="CS22" s="254">
        <f>-SUM(CP22:CR22)-625</f>
      </c>
      <c r="CT22" s="77">
        <v>985</v>
      </c>
      <c r="CU22" s="77">
        <f>1223-CT22</f>
      </c>
      <c r="CV22" s="77">
        <f>1649-CU22-CT22</f>
      </c>
      <c r="CW22" s="192">
        <f>2081-CV22-CU22-CT22</f>
      </c>
      <c r="CX22" s="474">
        <v>1341</v>
      </c>
      <c r="CY22" s="77">
        <f>1642-CX22</f>
      </c>
      <c r="CZ22" s="77">
        <f>1738-CY22-CX22</f>
      </c>
      <c r="DA22" s="192">
        <f>1676-CZ22-CY22-CX22</f>
      </c>
      <c r="DB22" s="474">
        <v>462</v>
      </c>
      <c r="DC22" s="77">
        <f>627-DB22</f>
      </c>
      <c r="DD22" s="77">
        <f>260-DC22-DB22</f>
      </c>
      <c r="DE22" s="192">
        <f>478-DD22-DC22-DB22</f>
      </c>
      <c r="DF22" s="474">
        <v>131</v>
      </c>
      <c r="DG22" s="77">
        <f>0-DF22</f>
      </c>
      <c r="DH22" s="77">
        <f>0-DG22-DF22</f>
      </c>
      <c r="DI22" s="463">
        <f>0-SUM(DF22:DH22)</f>
      </c>
      <c r="DJ22" s="474">
        <v>0</v>
      </c>
      <c r="DK22" s="77">
        <f>0-DJ22</f>
      </c>
      <c r="DL22" s="77">
        <f>0-DK22-DJ22</f>
      </c>
      <c r="DM22" s="463">
        <f>0-SUM(DJ22:DL22)</f>
      </c>
      <c r="DN22" s="474">
        <v>0</v>
      </c>
      <c r="DO22" s="77">
        <f>0-DN22</f>
      </c>
      <c r="DP22" s="77">
        <f>0-DO22-DN22</f>
      </c>
      <c r="DQ22" s="444">
        <f>+'Balance Sheet'!DQ32-'Balance Sheet'!DP32+'Balance Sheet'!DQ37-'Balance Sheet'!DP37</f>
      </c>
      <c r="DR22" s="443">
        <f>+'Balance Sheet'!DR32-'Balance Sheet'!DQ32+'Balance Sheet'!DR37-'Balance Sheet'!DQ37</f>
      </c>
      <c r="DS22" s="443">
        <f>+'Balance Sheet'!DS32-'Balance Sheet'!DR32+'Balance Sheet'!DS37-'Balance Sheet'!DR37</f>
      </c>
      <c r="DT22" s="443">
        <f>+'Balance Sheet'!DT32-'Balance Sheet'!DS32+'Balance Sheet'!DT37-'Balance Sheet'!DS37</f>
      </c>
      <c r="DU22" s="444">
        <f>+'Balance Sheet'!DU32-'Balance Sheet'!DT32+'Balance Sheet'!DU37-'Balance Sheet'!DT37</f>
      </c>
      <c r="DV22" s="443">
        <f>+'Balance Sheet'!DV32-'Balance Sheet'!DU32+'Balance Sheet'!DV37-'Balance Sheet'!DU37</f>
      </c>
      <c r="DW22" s="443">
        <f>+'Balance Sheet'!DW32-'Balance Sheet'!DV32+'Balance Sheet'!DW37-'Balance Sheet'!DV37</f>
      </c>
      <c r="DX22" s="443">
        <f>+'Balance Sheet'!DX32-'Balance Sheet'!DW32+'Balance Sheet'!DX37-'Balance Sheet'!DW37</f>
      </c>
      <c r="DY22" s="444">
        <f>+'Balance Sheet'!DY32-'Balance Sheet'!DX32+'Balance Sheet'!DY37-'Balance Sheet'!DX37</f>
      </c>
      <c r="DZ22" s="443">
        <f>+'Balance Sheet'!DZ32-'Balance Sheet'!DY32+'Balance Sheet'!DZ37-'Balance Sheet'!DY37</f>
      </c>
      <c r="EA22" s="443">
        <f>+'Balance Sheet'!EA32-'Balance Sheet'!DZ32+'Balance Sheet'!EA37-'Balance Sheet'!DZ37</f>
      </c>
      <c r="EB22" s="443">
        <f>+'Balance Sheet'!EB32-'Balance Sheet'!EA32+'Balance Sheet'!EB37-'Balance Sheet'!EA37</f>
      </c>
      <c r="EC22" s="444">
        <f>+'Balance Sheet'!EC32-'Balance Sheet'!EB32+'Balance Sheet'!EC37-'Balance Sheet'!EB37</f>
      </c>
      <c r="ED22" s="443">
        <f>+'Balance Sheet'!ED32-'Balance Sheet'!EC32+'Balance Sheet'!ED37-'Balance Sheet'!EC37</f>
      </c>
      <c r="EE22" s="443">
        <f>+'Balance Sheet'!EE32-'Balance Sheet'!ED32+'Balance Sheet'!EE37-'Balance Sheet'!ED37</f>
      </c>
      <c r="EF22" s="443">
        <f>+'Balance Sheet'!EF32-'Balance Sheet'!EE32+'Balance Sheet'!EF37-'Balance Sheet'!EE37</f>
      </c>
      <c r="EG22" s="444">
        <f>+'Balance Sheet'!EG32-'Balance Sheet'!EF32+'Balance Sheet'!EG37-'Balance Sheet'!EF37</f>
      </c>
      <c r="EH22" s="443">
        <f>+'Balance Sheet'!EH32-'Balance Sheet'!EG32+'Balance Sheet'!EH37-'Balance Sheet'!EG37</f>
      </c>
      <c r="EI22" s="443">
        <f>+'Balance Sheet'!EI32-'Balance Sheet'!EH32+'Balance Sheet'!EI37-'Balance Sheet'!EH37</f>
      </c>
      <c r="EJ22" s="443">
        <f>+'Balance Sheet'!EJ32-'Balance Sheet'!EI32+'Balance Sheet'!EJ37-'Balance Sheet'!EI37</f>
      </c>
      <c r="EK22" s="444">
        <f>+'Balance Sheet'!EK32-'Balance Sheet'!EJ32+'Balance Sheet'!EK37-'Balance Sheet'!EJ37</f>
      </c>
      <c r="EL22" s="3192"/>
      <c r="EN22" s="37">
        <f t="shared" si="1"/>
      </c>
      <c r="EO22" s="37">
        <f t="shared" si="2"/>
      </c>
      <c r="EP22" s="37">
        <f t="shared" si="3"/>
      </c>
      <c r="EQ22" s="37">
        <f t="shared" si="4"/>
      </c>
      <c r="ER22" s="37">
        <f t="shared" si="5"/>
      </c>
      <c r="ES22" s="37">
        <f t="shared" si="6"/>
      </c>
      <c r="ET22" s="37">
        <f t="shared" si="7"/>
      </c>
      <c r="EU22" s="37">
        <f t="shared" si="8"/>
      </c>
      <c r="EV22" s="37">
        <f t="shared" si="9"/>
      </c>
      <c r="EW22" s="37">
        <f t="shared" si="10"/>
      </c>
      <c r="EX22" s="37">
        <f t="shared" si="11"/>
      </c>
      <c r="EY22" s="37">
        <f t="shared" si="12"/>
      </c>
      <c r="EZ22" s="37">
        <f t="shared" si="13"/>
      </c>
      <c r="FA22" s="37">
        <f t="shared" si="14"/>
      </c>
      <c r="FB22" s="37">
        <f t="shared" si="15"/>
      </c>
      <c r="FC22" s="37">
        <f t="shared" si="16"/>
      </c>
      <c r="FD22" s="37">
        <f t="shared" si="17"/>
      </c>
      <c r="FE22" s="37">
        <f t="shared" si="18"/>
      </c>
      <c r="FF22" s="37">
        <f t="shared" si="19"/>
      </c>
      <c r="FG22" s="37">
        <f t="shared" si="20"/>
      </c>
      <c r="FH22" s="37">
        <f t="shared" si="21"/>
      </c>
      <c r="FI22" s="37">
        <f t="shared" si="22"/>
      </c>
      <c r="FJ22" s="37">
        <f t="shared" si="23"/>
      </c>
      <c r="FK22" s="37">
        <f t="shared" si="24"/>
      </c>
      <c r="FL22" s="37">
        <f t="shared" si="25"/>
      </c>
      <c r="FM22" s="37">
        <f t="shared" si="26"/>
      </c>
      <c r="FN22" s="37">
        <f t="shared" si="27"/>
      </c>
      <c r="FO22" s="37">
        <f t="shared" si="28"/>
      </c>
      <c r="FP22" s="37">
        <f t="shared" si="29"/>
      </c>
      <c r="FQ22" s="37">
        <f t="shared" si="30"/>
      </c>
      <c r="FR22" s="37">
        <f t="shared" si="31"/>
      </c>
      <c r="FS22" s="37">
        <f t="shared" si="32"/>
      </c>
      <c r="FT22" s="37">
        <f t="shared" si="33"/>
      </c>
      <c r="FU22" s="37">
        <f t="shared" si="34"/>
      </c>
      <c r="FV22" s="37">
        <f t="shared" si="35"/>
      </c>
      <c r="FW22" s="37"/>
      <c r="FX22" s="37">
        <f t="shared" si="36"/>
      </c>
      <c r="FY22" s="37">
        <f t="shared" si="37"/>
      </c>
      <c r="FZ22" s="37">
        <f t="shared" si="38"/>
      </c>
      <c r="GA22" s="37">
        <f t="shared" si="39"/>
      </c>
      <c r="GB22" s="37">
        <f t="shared" si="40"/>
      </c>
      <c r="GC22" s="37">
        <f t="shared" si="41"/>
      </c>
      <c r="GD22" s="37">
        <f t="shared" si="42"/>
      </c>
      <c r="GE22" s="37">
        <f t="shared" si="43"/>
      </c>
      <c r="GF22" s="37">
        <f t="shared" si="44"/>
      </c>
      <c r="GG22" s="37">
        <f t="shared" si="45"/>
      </c>
      <c r="GH22" s="37">
        <f t="shared" si="46"/>
      </c>
      <c r="GI22" s="37">
        <f t="shared" si="47"/>
      </c>
    </row>
    <row r="23" spans="1:191">
      <c r="A23" s="1178" t="s">
        <v>131</v>
      </c>
      <c r="B23" s="34"/>
      <c r="C23" s="34"/>
      <c r="D23" s="34"/>
      <c r="E23" s="173"/>
      <c r="F23" s="34"/>
      <c r="G23" s="34"/>
      <c r="H23" s="34"/>
      <c r="I23" s="173"/>
      <c r="J23" s="34"/>
      <c r="K23" s="34"/>
      <c r="L23" s="34"/>
      <c r="M23" s="173"/>
      <c r="N23" s="34"/>
      <c r="O23" s="34"/>
      <c r="P23" s="34"/>
      <c r="Q23" s="173"/>
      <c r="R23" s="34"/>
      <c r="S23" s="34"/>
      <c r="T23" s="34"/>
      <c r="U23" s="173"/>
      <c r="V23" s="34"/>
      <c r="W23" s="34"/>
      <c r="X23" s="34"/>
      <c r="Y23" s="173"/>
      <c r="Z23" s="34"/>
      <c r="AA23" s="34"/>
      <c r="AB23" s="34"/>
      <c r="AC23" s="173"/>
      <c r="AD23" s="34"/>
      <c r="AE23" s="34"/>
      <c r="AF23" s="34"/>
      <c r="AG23" s="173"/>
      <c r="AH23" s="34"/>
      <c r="AI23" s="34"/>
      <c r="AJ23" s="34"/>
      <c r="AK23" s="173"/>
      <c r="AL23" s="34"/>
      <c r="AM23" s="34"/>
      <c r="AN23" s="34"/>
      <c r="AO23" s="173"/>
      <c r="AP23" s="34"/>
      <c r="AQ23" s="34"/>
      <c r="AR23" s="34"/>
      <c r="AS23" s="173"/>
      <c r="AT23" s="34"/>
      <c r="AU23" s="34"/>
      <c r="AV23" s="34"/>
      <c r="AW23" s="173"/>
      <c r="AX23" s="34"/>
      <c r="AY23" s="34"/>
      <c r="AZ23" s="34"/>
      <c r="BA23" s="173"/>
      <c r="BB23" s="34">
        <v>186</v>
      </c>
      <c r="BC23" s="34">
        <f>-535-BB23</f>
      </c>
      <c r="BD23" s="34">
        <f>-293-SUM(BB23:BC23)</f>
      </c>
      <c r="BE23" s="173">
        <f>-161-SUM(BB23:BD23)</f>
      </c>
      <c r="BF23" s="34">
        <v>316</v>
      </c>
      <c r="BG23" s="34">
        <f>-287-BF23</f>
      </c>
      <c r="BH23" s="34">
        <f>-239-SUM(BF23:BG23)</f>
      </c>
      <c r="BI23" s="173">
        <f>778-SUM(BF23:BH23)</f>
      </c>
      <c r="BJ23" s="34">
        <v>653</v>
      </c>
      <c r="BK23" s="34">
        <f>1674-BJ23</f>
      </c>
      <c r="BL23" s="34">
        <f>2608-SUM(BJ23:BK23)</f>
      </c>
      <c r="BM23" s="173">
        <f>4495-SUM(BJ23:BL23)</f>
      </c>
      <c r="BN23" s="34">
        <v>2472</v>
      </c>
      <c r="BO23" s="34">
        <f>778-BN23</f>
      </c>
      <c r="BP23" s="34">
        <f>1686-SUM(BN23:BO23)</f>
      </c>
      <c r="BQ23" s="173">
        <f>2552-SUM(BN23:BP23)</f>
      </c>
      <c r="BR23" s="34">
        <v>2373</v>
      </c>
      <c r="BS23" s="34">
        <f>3658-BR23</f>
      </c>
      <c r="BT23" s="34">
        <f>3556-SUM(BR23:BS23)</f>
      </c>
      <c r="BU23" s="173">
        <f>4521-SUM(BR23:BT23)</f>
      </c>
      <c r="BV23" s="34">
        <v>1195</v>
      </c>
      <c r="BW23" s="34">
        <f>1638-BV23</f>
      </c>
      <c r="BX23" s="34">
        <f>424-SUM(BV23:BW23)</f>
      </c>
      <c r="BY23" s="173">
        <f>6010-SUM(BV23:BX23)</f>
      </c>
      <c r="BZ23" s="34">
        <v>4667</v>
      </c>
      <c r="CA23" s="34">
        <f>5679-BZ23</f>
      </c>
      <c r="CB23" s="127">
        <f>4448-SUM(BZ23:CA23)</f>
      </c>
      <c r="CC23" s="254">
        <f>8746-SUM(BZ23:CB23)</f>
      </c>
      <c r="CD23" s="127">
        <v>-368</v>
      </c>
      <c r="CE23" s="127">
        <f>-2093-CD23</f>
      </c>
      <c r="CF23" s="126">
        <f>-5495-SUM(CD23:CE23)</f>
      </c>
      <c r="CG23" s="254">
        <f>-2104-SUM(CD23:CF23)</f>
      </c>
      <c r="CH23" s="34">
        <v>1946</v>
      </c>
      <c r="CI23" s="34">
        <f>316-CH23</f>
      </c>
      <c r="CJ23" s="127">
        <f>-2476-CI23-CH23</f>
      </c>
      <c r="CK23" s="254">
        <f>-SUM(CH23:CJ23)+1125</f>
      </c>
      <c r="CL23" s="34">
        <v>39757</v>
      </c>
      <c r="CM23" s="34">
        <f>38026-CL23</f>
      </c>
      <c r="CN23" s="127">
        <f>37009-CM23-CL23</f>
      </c>
      <c r="CO23" s="254">
        <f>-SUM(CL23:CN23)+38490</f>
      </c>
      <c r="CP23" s="77">
        <v>570</v>
      </c>
      <c r="CQ23" s="77">
        <f>-3273-CP23</f>
      </c>
      <c r="CR23" s="127">
        <f>-8753-CQ23-CP23</f>
      </c>
      <c r="CS23" s="254">
        <f>-SUM(CP23:CR23)-4700</f>
      </c>
      <c r="CT23" s="77">
        <v>5514</v>
      </c>
      <c r="CU23" s="77">
        <f>7500-CT23</f>
      </c>
      <c r="CV23" s="77">
        <f>3867-CU23-CT23</f>
      </c>
      <c r="CW23" s="192">
        <f>8916-CV23-CU23-CT23</f>
      </c>
      <c r="CX23" s="474">
        <v>7959</v>
      </c>
      <c r="CY23" s="77">
        <f>3045-CX23</f>
      </c>
      <c r="CZ23" s="77">
        <f>463-CY23-CX23</f>
      </c>
      <c r="DA23" s="192">
        <f>5799-CZ23-CY23-CX23</f>
      </c>
      <c r="DB23" s="474">
        <v>4236</v>
      </c>
      <c r="DC23" s="77">
        <f>1888-DB23</f>
      </c>
      <c r="DD23" s="77">
        <f>-14-DC23-DB23</f>
      </c>
      <c r="DE23" s="192">
        <f>5632-DD23-DC23-DB23</f>
      </c>
      <c r="DF23" s="474">
        <v>3758</v>
      </c>
      <c r="DG23" s="77">
        <f>1757-DF23</f>
      </c>
      <c r="DH23" s="77">
        <f>2986-DG23-DF23</f>
      </c>
      <c r="DI23" s="463">
        <f>3031-SUM(DF23:DH23)</f>
      </c>
      <c r="DJ23" s="474">
        <v>-3865</v>
      </c>
      <c r="DK23" s="77">
        <f>-3437-DJ23</f>
      </c>
      <c r="DL23" s="77">
        <f>2-DK23-DJ23</f>
      </c>
      <c r="DM23" s="463">
        <f>15552-SUM(DJ23:DL23)</f>
      </c>
      <c r="DN23" s="474">
        <v>-11998</v>
      </c>
      <c r="DO23" s="77">
        <f>-15579-DN23</f>
      </c>
      <c r="DP23" s="77">
        <f>-15161-DO23-DN23</f>
      </c>
      <c r="DQ23" s="444">
        <f>+'Balance Sheet'!DQ42-'Balance Sheet'!DP42+'Balance Sheet'!DQ43-'Balance Sheet'!DP43+'Balance Sheet'!DQ33-'Balance Sheet'!DP33+'Balance Sheet'!DQ31-'Balance Sheet'!DP31</f>
      </c>
      <c r="DR23" s="443">
        <f>+'Balance Sheet'!DR42-'Balance Sheet'!DQ42+'Balance Sheet'!DR43-'Balance Sheet'!DQ43+'Balance Sheet'!DR33-'Balance Sheet'!DQ33+'Balance Sheet'!DR31-'Balance Sheet'!DQ31</f>
      </c>
      <c r="DS23" s="443">
        <f>+'Balance Sheet'!DS42-'Balance Sheet'!DR42+'Balance Sheet'!DS43-'Balance Sheet'!DR43+'Balance Sheet'!DS33-'Balance Sheet'!DR33+'Balance Sheet'!DS31-'Balance Sheet'!DR31</f>
      </c>
      <c r="DT23" s="443">
        <f>+'Balance Sheet'!DT42-'Balance Sheet'!DS42+'Balance Sheet'!DT43-'Balance Sheet'!DS43+'Balance Sheet'!DT33-'Balance Sheet'!DS33+'Balance Sheet'!DT31-'Balance Sheet'!DS31</f>
      </c>
      <c r="DU23" s="444">
        <f>+'Balance Sheet'!DU42-'Balance Sheet'!DT42+'Balance Sheet'!DU43-'Balance Sheet'!DT43+'Balance Sheet'!DU33-'Balance Sheet'!DT33+'Balance Sheet'!DU31-'Balance Sheet'!DT31</f>
      </c>
      <c r="DV23" s="443">
        <f>+'Balance Sheet'!DV42-'Balance Sheet'!DU42+'Balance Sheet'!DV43-'Balance Sheet'!DU43+'Balance Sheet'!DV33-'Balance Sheet'!DU33+'Balance Sheet'!DV31-'Balance Sheet'!DU31</f>
      </c>
      <c r="DW23" s="443">
        <f>+'Balance Sheet'!DW42-'Balance Sheet'!DV42+'Balance Sheet'!DW43-'Balance Sheet'!DV43+'Balance Sheet'!DW33-'Balance Sheet'!DV33+'Balance Sheet'!DW31-'Balance Sheet'!DV31</f>
      </c>
      <c r="DX23" s="443">
        <f>+'Balance Sheet'!DX42-'Balance Sheet'!DW42+'Balance Sheet'!DX43-'Balance Sheet'!DW43+'Balance Sheet'!DX33-'Balance Sheet'!DW33+'Balance Sheet'!DX31-'Balance Sheet'!DW31</f>
      </c>
      <c r="DY23" s="444">
        <f>+'Balance Sheet'!DY42-'Balance Sheet'!DX42+'Balance Sheet'!DY43-'Balance Sheet'!DX43+'Balance Sheet'!DY33-'Balance Sheet'!DX33+'Balance Sheet'!DY31-'Balance Sheet'!DX31</f>
      </c>
      <c r="DZ23" s="443">
        <f>+'Balance Sheet'!DZ42-'Balance Sheet'!DY42+'Balance Sheet'!DZ43-'Balance Sheet'!DY43+'Balance Sheet'!DZ33-'Balance Sheet'!DY33+'Balance Sheet'!DZ31-'Balance Sheet'!DY31</f>
      </c>
      <c r="EA23" s="443">
        <f>+'Balance Sheet'!EA42-'Balance Sheet'!DZ42+'Balance Sheet'!EA43-'Balance Sheet'!DZ43+'Balance Sheet'!EA33-'Balance Sheet'!DZ33+'Balance Sheet'!EA31-'Balance Sheet'!DZ31</f>
      </c>
      <c r="EB23" s="443">
        <f>+'Balance Sheet'!EB42-'Balance Sheet'!EA42+'Balance Sheet'!EB43-'Balance Sheet'!EA43+'Balance Sheet'!EB33-'Balance Sheet'!EA33+'Balance Sheet'!EB31-'Balance Sheet'!EA31</f>
      </c>
      <c r="EC23" s="444">
        <f>+'Balance Sheet'!EC42-'Balance Sheet'!EB42+'Balance Sheet'!EC43-'Balance Sheet'!EB43+'Balance Sheet'!EC33-'Balance Sheet'!EB33+'Balance Sheet'!EC31-'Balance Sheet'!EB31</f>
      </c>
      <c r="ED23" s="443">
        <f>+'Balance Sheet'!ED42-'Balance Sheet'!EC42+'Balance Sheet'!ED43-'Balance Sheet'!EC43+'Balance Sheet'!ED33-'Balance Sheet'!EC33+'Balance Sheet'!ED31-'Balance Sheet'!EC31</f>
      </c>
      <c r="EE23" s="443">
        <f>+'Balance Sheet'!EE42-'Balance Sheet'!ED42+'Balance Sheet'!EE43-'Balance Sheet'!ED43+'Balance Sheet'!EE33-'Balance Sheet'!ED33+'Balance Sheet'!EE31-'Balance Sheet'!ED31</f>
      </c>
      <c r="EF23" s="443">
        <f>+'Balance Sheet'!EF42-'Balance Sheet'!EE42+'Balance Sheet'!EF43-'Balance Sheet'!EE43+'Balance Sheet'!EF33-'Balance Sheet'!EE33+'Balance Sheet'!EF31-'Balance Sheet'!EE31</f>
      </c>
      <c r="EG23" s="444">
        <f>+'Balance Sheet'!EG42-'Balance Sheet'!EF42+'Balance Sheet'!EG43-'Balance Sheet'!EF43+'Balance Sheet'!EG33-'Balance Sheet'!EF33+'Balance Sheet'!EG31-'Balance Sheet'!EF31</f>
      </c>
      <c r="EH23" s="443">
        <f>+'Balance Sheet'!EH42-'Balance Sheet'!EG42+'Balance Sheet'!EH43-'Balance Sheet'!EG43+'Balance Sheet'!EH33-'Balance Sheet'!EG33+'Balance Sheet'!EH31-'Balance Sheet'!EG31</f>
      </c>
      <c r="EI23" s="443">
        <f>+'Balance Sheet'!EI42-'Balance Sheet'!EH42+'Balance Sheet'!EI43-'Balance Sheet'!EH43+'Balance Sheet'!EI33-'Balance Sheet'!EH33+'Balance Sheet'!EI31-'Balance Sheet'!EH31</f>
      </c>
      <c r="EJ23" s="443">
        <f>+'Balance Sheet'!EJ42-'Balance Sheet'!EI42+'Balance Sheet'!EJ43-'Balance Sheet'!EI43+'Balance Sheet'!EJ33-'Balance Sheet'!EI33+'Balance Sheet'!EJ31-'Balance Sheet'!EI31</f>
      </c>
      <c r="EK23" s="444">
        <f>+'Balance Sheet'!EK42-'Balance Sheet'!EJ42+'Balance Sheet'!EK43-'Balance Sheet'!EJ43+'Balance Sheet'!EK33-'Balance Sheet'!EJ33+'Balance Sheet'!EK31-'Balance Sheet'!EJ31</f>
      </c>
      <c r="EL23" s="3192"/>
      <c r="EN23" s="37">
        <f t="shared" si="1"/>
      </c>
      <c r="EO23" s="37">
        <f t="shared" si="2"/>
      </c>
      <c r="EP23" s="37">
        <f t="shared" si="3"/>
      </c>
      <c r="EQ23" s="37">
        <f t="shared" si="4"/>
      </c>
      <c r="ER23" s="37">
        <f t="shared" si="5"/>
      </c>
      <c r="ES23" s="37">
        <f t="shared" si="6"/>
      </c>
      <c r="ET23" s="37">
        <f t="shared" si="7"/>
      </c>
      <c r="EU23" s="37">
        <f t="shared" si="8"/>
      </c>
      <c r="EV23" s="37">
        <f t="shared" si="9"/>
      </c>
      <c r="EW23" s="37">
        <f t="shared" si="10"/>
      </c>
      <c r="EX23" s="37">
        <f t="shared" si="11"/>
      </c>
      <c r="EY23" s="37">
        <f t="shared" si="12"/>
      </c>
      <c r="EZ23" s="37">
        <f t="shared" si="13"/>
      </c>
      <c r="FA23" s="37">
        <f t="shared" si="14"/>
      </c>
      <c r="FB23" s="37">
        <f t="shared" si="15"/>
      </c>
      <c r="FC23" s="37">
        <f t="shared" si="16"/>
      </c>
      <c r="FD23" s="37">
        <f t="shared" si="17"/>
      </c>
      <c r="FE23" s="37">
        <f t="shared" si="18"/>
      </c>
      <c r="FF23" s="37">
        <f t="shared" si="19"/>
      </c>
      <c r="FG23" s="37">
        <f t="shared" si="20"/>
      </c>
      <c r="FH23" s="37">
        <f t="shared" si="21"/>
      </c>
      <c r="FI23" s="37">
        <f t="shared" si="22"/>
      </c>
      <c r="FJ23" s="37">
        <f t="shared" si="23"/>
      </c>
      <c r="FK23" s="37">
        <f t="shared" si="24"/>
      </c>
      <c r="FL23" s="37">
        <f t="shared" si="25"/>
      </c>
      <c r="FM23" s="37">
        <f t="shared" si="26"/>
      </c>
      <c r="FN23" s="37">
        <f t="shared" si="27"/>
      </c>
      <c r="FO23" s="37">
        <f t="shared" si="28"/>
      </c>
      <c r="FP23" s="37">
        <f t="shared" si="29"/>
      </c>
      <c r="FQ23" s="37">
        <f t="shared" si="30"/>
      </c>
      <c r="FR23" s="37">
        <f t="shared" si="31"/>
      </c>
      <c r="FS23" s="37">
        <f t="shared" si="32"/>
      </c>
      <c r="FT23" s="37">
        <f t="shared" si="33"/>
      </c>
      <c r="FU23" s="37">
        <f t="shared" si="34"/>
      </c>
      <c r="FV23" s="37">
        <f t="shared" si="35"/>
      </c>
      <c r="FW23" s="37"/>
      <c r="FX23" s="37">
        <f t="shared" si="36"/>
      </c>
      <c r="FY23" s="37">
        <f t="shared" si="37"/>
      </c>
      <c r="FZ23" s="37">
        <f t="shared" si="38"/>
      </c>
      <c r="GA23" s="37">
        <f t="shared" si="39"/>
      </c>
      <c r="GB23" s="37">
        <f t="shared" si="40"/>
      </c>
      <c r="GC23" s="37">
        <f t="shared" si="41"/>
      </c>
      <c r="GD23" s="37">
        <f t="shared" si="42"/>
      </c>
      <c r="GE23" s="37">
        <f t="shared" si="43"/>
      </c>
      <c r="GF23" s="37">
        <f t="shared" si="44"/>
      </c>
      <c r="GG23" s="37">
        <f t="shared" si="45"/>
      </c>
      <c r="GH23" s="37">
        <f t="shared" si="46"/>
      </c>
      <c r="GI23" s="37">
        <f t="shared" si="47"/>
      </c>
    </row>
    <row r="24" spans="1:191" s="16" customFormat="1">
      <c r="A24" s="1176" t="s">
        <v>674</v>
      </c>
      <c r="B24" s="13">
        <f>-13-172-51+57+266+78+48</f>
      </c>
      <c r="C24" s="13">
        <f>565+309-228-59-348+181+224-100-B24</f>
      </c>
      <c r="D24" s="13">
        <f>639+714-150-26-403+159+119-252-C24-B24</f>
      </c>
      <c r="E24" s="171">
        <f>435+1113-91+45-374+117+212-348-D24-C24-B24</f>
      </c>
      <c r="F24" s="13">
        <f>4+174+18-38+29-12+30-18</f>
      </c>
      <c r="G24" s="13">
        <f>356+153+49+48+130-123-F24</f>
      </c>
      <c r="H24" s="13">
        <f>297+128+55+20+83-133-G24-F24</f>
      </c>
      <c r="I24" s="171">
        <f>469+225+36-4-107+109-9-H24-G24-F24</f>
      </c>
      <c r="J24" s="13">
        <f>133+33+27+5-30-32-82</f>
      </c>
      <c r="K24" s="13">
        <f>220+180+89-9-162-190-J24</f>
      </c>
      <c r="L24" s="13">
        <f>112+308+68+41-112-188-K24-J24</f>
      </c>
      <c r="M24" s="171">
        <f>72+359+31+83+34-107-85-L24-K24-J24</f>
      </c>
      <c r="N24" s="13">
        <f>42+53-2+14-64+28</f>
      </c>
      <c r="O24" s="13">
        <f>151+60-11+11+72-44-N24</f>
      </c>
      <c r="P24" s="13">
        <f>59+71+31+6+73-43-O24-N24</f>
      </c>
      <c r="Q24" s="171">
        <f>274+58-32+21+95-15-P24-O24-N24</f>
      </c>
      <c r="R24" s="13">
        <f>-211+5+4+3+362+74</f>
      </c>
      <c r="S24" s="13">
        <f>-259+10-7-7+299+69-R24</f>
      </c>
      <c r="T24" s="13">
        <f>-286+15+18-21+228+164-S24-R24</f>
      </c>
      <c r="U24" s="171">
        <f>-272-13-37+20+318+176-T24-S24-R24</f>
      </c>
      <c r="V24" s="13">
        <f>512+12+116-16-520+216</f>
      </c>
      <c r="W24" s="13">
        <f>316+23+44-40-196+53-V24</f>
      </c>
      <c r="X24" s="13">
        <f>355+14+66-59-310-12-W24-V24</f>
      </c>
      <c r="Y24" s="171">
        <f>487+22+106+12-356-60-X24-W24-V24</f>
      </c>
      <c r="Z24" s="13">
        <f>-32-12-12+3+29+30</f>
      </c>
      <c r="AA24" s="13">
        <f>-178-15-91-11+186+6-Z24</f>
      </c>
      <c r="AB24" s="13">
        <f>-160-23-154-13+103+79-AA24-Z24</f>
      </c>
      <c r="AC24" s="171">
        <f>-99-34-114-11+110+36-AB24-AA24-Z24</f>
      </c>
      <c r="AD24" s="13">
        <f>68+1+71-12-94+42</f>
      </c>
      <c r="AE24" s="13">
        <f>73+4+34-14+10+47-AD24</f>
      </c>
      <c r="AF24" s="13">
        <f>-3+7+56-15-31+107-AE24-AD24</f>
      </c>
      <c r="AG24" s="171">
        <f>-201-11-34-30+243+152-AF24-AE24-AD24</f>
      </c>
      <c r="AH24" s="13">
        <f>180-33-36-12-69+84</f>
      </c>
      <c r="AI24" s="13">
        <f>181-7-17-25-163+116-AH24</f>
      </c>
      <c r="AJ24" s="13">
        <f>137-16-83-31-93+214-AI24-AH24</f>
      </c>
      <c r="AK24" s="171">
        <f>-8-45-176-25+297+325-AJ24-AI24-AH24</f>
      </c>
      <c r="AL24" s="13">
        <f>-91-55-87-27+286+269</f>
      </c>
      <c r="AM24" s="13">
        <f>-114-63-116-56+322+359-AL24</f>
      </c>
      <c r="AN24" s="13">
        <f>-53-92-11-17+79+527-AM24-AL24</f>
      </c>
      <c r="AO24" s="171">
        <f>-121-64-150-35+328+534-AN24-AM24-AL24</f>
      </c>
      <c r="AP24" s="13">
        <f>-436-79-757-771+1117+478</f>
      </c>
      <c r="AQ24" s="13">
        <f>34-39-892-1195+329+672-AP24</f>
      </c>
      <c r="AR24" s="13">
        <f>-194-48-880-1113+734+735-AQ24-AP24</f>
      </c>
      <c r="AS24" s="171">
        <f>-357-105-1626-1040+1611+319+973-AR24-AQ24-AP24</f>
      </c>
      <c r="AT24" s="13">
        <f>-369-33+41+28+495+191+251</f>
      </c>
      <c r="AU24" s="13">
        <f>693+95+574+233-1482+14-390</f>
      </c>
      <c r="AV24" s="13">
        <f>-482-43-902+50+1257+135+130</f>
      </c>
      <c r="AW24" s="171">
        <f>-227-95-992-26+1224+226+725</f>
      </c>
      <c r="AX24" s="13">
        <f>-302-113-154-13+484+226+736</f>
      </c>
      <c r="AY24" s="13">
        <f>346+95+360+183-1224+68-23</f>
      </c>
      <c r="AZ24" s="13">
        <f>-10-181+477+121-486+142-226</f>
      </c>
      <c r="BA24" s="171">
        <f>-819+36-957-2+1822+282+1177</f>
      </c>
      <c r="BB24" s="13">
        <f>SUM(BB17:BB23)</f>
      </c>
      <c r="BC24" s="13">
        <f t="shared" ref="BC24:CK24" si="48">SUM(BC17:BC23)</f>
      </c>
      <c r="BD24" s="13">
        <f t="shared" si="48"/>
      </c>
      <c r="BE24" s="171">
        <f t="shared" si="48"/>
      </c>
      <c r="BF24" s="13">
        <f t="shared" si="48"/>
      </c>
      <c r="BG24" s="13">
        <f t="shared" si="48"/>
      </c>
      <c r="BH24" s="13">
        <f t="shared" si="48"/>
      </c>
      <c r="BI24" s="171">
        <f t="shared" si="48"/>
      </c>
      <c r="BJ24" s="13">
        <f t="shared" si="48"/>
      </c>
      <c r="BK24" s="13">
        <f t="shared" si="48"/>
      </c>
      <c r="BL24" s="13">
        <f t="shared" si="48"/>
      </c>
      <c r="BM24" s="171">
        <f t="shared" si="48"/>
      </c>
      <c r="BN24" s="13">
        <f t="shared" si="48"/>
      </c>
      <c r="BO24" s="13">
        <f t="shared" si="48"/>
      </c>
      <c r="BP24" s="13">
        <f t="shared" si="48"/>
      </c>
      <c r="BQ24" s="171">
        <f t="shared" si="48"/>
      </c>
      <c r="BR24" s="13">
        <f t="shared" si="48"/>
      </c>
      <c r="BS24" s="13">
        <f t="shared" si="48"/>
      </c>
      <c r="BT24" s="13">
        <f t="shared" si="48"/>
      </c>
      <c r="BU24" s="171">
        <f t="shared" si="48"/>
      </c>
      <c r="BV24" s="13">
        <f t="shared" si="48"/>
      </c>
      <c r="BW24" s="13">
        <f t="shared" si="48"/>
      </c>
      <c r="BX24" s="13">
        <f t="shared" si="48"/>
      </c>
      <c r="BY24" s="171">
        <f t="shared" si="48"/>
      </c>
      <c r="BZ24" s="13">
        <f t="shared" si="48"/>
      </c>
      <c r="CA24" s="13">
        <f t="shared" si="48"/>
      </c>
      <c r="CB24" s="13">
        <f t="shared" si="48"/>
      </c>
      <c r="CC24" s="171">
        <f t="shared" si="48"/>
      </c>
      <c r="CD24" s="13">
        <f>SUM(CD17:CD23)</f>
      </c>
      <c r="CE24" s="13">
        <f>SUM(CE17:CE23)</f>
      </c>
      <c r="CF24" s="83">
        <f>SUM(CF17:CF23)</f>
      </c>
      <c r="CG24" s="171">
        <f t="shared" si="48"/>
      </c>
      <c r="CH24" s="13">
        <f t="shared" si="48"/>
      </c>
      <c r="CI24" s="13">
        <f t="shared" si="48"/>
      </c>
      <c r="CJ24" s="13">
        <f t="shared" si="48"/>
      </c>
      <c r="CK24" s="171">
        <f t="shared" si="48"/>
      </c>
      <c r="CL24" s="13">
        <f t="shared" ref="CL24:CT24" si="49">SUM(CL17:CL23)</f>
      </c>
      <c r="CM24" s="13">
        <f t="shared" si="49"/>
      </c>
      <c r="CN24" s="13">
        <f t="shared" si="49"/>
      </c>
      <c r="CO24" s="171">
        <f t="shared" si="49"/>
      </c>
      <c r="CP24" s="83">
        <f t="shared" si="49"/>
      </c>
      <c r="CQ24" s="83">
        <f t="shared" si="49"/>
      </c>
      <c r="CR24" s="13">
        <f t="shared" si="49"/>
      </c>
      <c r="CS24" s="171">
        <f t="shared" si="49"/>
      </c>
      <c r="CT24" s="83">
        <f t="shared" si="49"/>
      </c>
      <c r="CU24" s="83">
        <f t="shared" ref="CU24:CZ24" si="50">SUM(CU17:CU23)</f>
      </c>
      <c r="CV24" s="83">
        <f t="shared" si="50"/>
      </c>
      <c r="CW24" s="415">
        <f t="shared" si="50"/>
      </c>
      <c r="CX24" s="477">
        <f t="shared" si="50"/>
      </c>
      <c r="CY24" s="83">
        <f t="shared" si="50"/>
      </c>
      <c r="CZ24" s="83">
        <f t="shared" si="50"/>
      </c>
      <c r="DA24" s="415">
        <f t="shared" ref="DA24:DD24" si="51">SUM(DA17:DA23)</f>
      </c>
      <c r="DB24" s="477">
        <f t="shared" si="51"/>
      </c>
      <c r="DC24" s="83">
        <f t="shared" si="51"/>
      </c>
      <c r="DD24" s="83">
        <f t="shared" si="51"/>
      </c>
      <c r="DE24" s="415">
        <f>SUM(DE17:DE23)</f>
      </c>
      <c r="DF24" s="477">
        <f t="shared" ref="DF24" si="52">SUM(DF17:DF23)</f>
      </c>
      <c r="DG24" s="83">
        <f t="shared" ref="DG24:DJ24" si="53">SUM(DG17:DG23)</f>
      </c>
      <c r="DH24" s="83">
        <f t="shared" si="53"/>
      </c>
      <c r="DI24" s="415">
        <f t="shared" si="53"/>
      </c>
      <c r="DJ24" s="477">
        <f t="shared" si="53"/>
      </c>
      <c r="DK24" s="83">
        <f t="shared" ref="DK24:DN24" si="54">SUM(DK17:DK23)</f>
      </c>
      <c r="DL24" s="83">
        <f t="shared" si="54"/>
      </c>
      <c r="DM24" s="415">
        <f t="shared" si="54"/>
      </c>
      <c r="DN24" s="477">
        <f t="shared" si="54"/>
      </c>
      <c r="DO24" s="83">
        <f t="shared" ref="DO24:DP24" si="55">SUM(DO17:DO23)</f>
      </c>
      <c r="DP24" s="83">
        <f t="shared" si="55"/>
      </c>
      <c r="DQ24" s="415">
        <f t="shared" ref="DQ24" si="56">SUM(DQ17:DQ23)</f>
      </c>
      <c r="DR24" s="83">
        <f t="shared" ref="DR24:DU24" si="57">SUM(DR17:DR23)</f>
      </c>
      <c r="DS24" s="83">
        <f t="shared" si="57"/>
      </c>
      <c r="DT24" s="83">
        <f t="shared" si="57"/>
      </c>
      <c r="DU24" s="415">
        <f t="shared" si="57"/>
      </c>
      <c r="DV24" s="83">
        <f t="shared" ref="DV24:EK24" si="58">SUM(DV17:DV23)</f>
      </c>
      <c r="DW24" s="83">
        <f t="shared" si="58"/>
      </c>
      <c r="DX24" s="83">
        <f t="shared" si="58"/>
      </c>
      <c r="DY24" s="415">
        <f t="shared" si="58"/>
      </c>
      <c r="DZ24" s="83">
        <f t="shared" si="58"/>
      </c>
      <c r="EA24" s="83">
        <f t="shared" si="58"/>
      </c>
      <c r="EB24" s="83">
        <f t="shared" si="58"/>
      </c>
      <c r="EC24" s="415">
        <f t="shared" si="58"/>
      </c>
      <c r="ED24" s="83">
        <f t="shared" si="58"/>
      </c>
      <c r="EE24" s="83">
        <f t="shared" si="58"/>
      </c>
      <c r="EF24" s="83">
        <f t="shared" si="58"/>
      </c>
      <c r="EG24" s="415">
        <f t="shared" si="58"/>
      </c>
      <c r="EH24" s="83">
        <f t="shared" si="58"/>
      </c>
      <c r="EI24" s="83">
        <f t="shared" si="58"/>
      </c>
      <c r="EJ24" s="83">
        <f t="shared" si="58"/>
      </c>
      <c r="EK24" s="415">
        <f t="shared" si="58"/>
      </c>
      <c r="EL24" s="3191"/>
      <c r="EN24" s="13">
        <f t="shared" si="1"/>
      </c>
      <c r="EO24" s="13">
        <f t="shared" si="2"/>
      </c>
      <c r="EP24" s="13">
        <f t="shared" si="3"/>
      </c>
      <c r="EQ24" s="13">
        <f t="shared" si="4"/>
      </c>
      <c r="ER24" s="13">
        <f t="shared" si="5"/>
      </c>
      <c r="ES24" s="13">
        <f t="shared" si="6"/>
      </c>
      <c r="ET24" s="13">
        <f t="shared" si="7"/>
      </c>
      <c r="EU24" s="13">
        <f t="shared" si="8"/>
      </c>
      <c r="EV24" s="13">
        <f t="shared" si="9"/>
      </c>
      <c r="EW24" s="13">
        <f t="shared" si="10"/>
      </c>
      <c r="EX24" s="13">
        <f t="shared" si="11"/>
      </c>
      <c r="EY24" s="13">
        <f t="shared" si="12"/>
      </c>
      <c r="EZ24" s="13">
        <f t="shared" si="13"/>
      </c>
      <c r="FA24" s="13">
        <f t="shared" ref="FA24:FJ24" si="59">SUM(FA17:FA23)</f>
      </c>
      <c r="FB24" s="13">
        <f t="shared" si="59"/>
      </c>
      <c r="FC24" s="13">
        <f t="shared" si="59"/>
      </c>
      <c r="FD24" s="13">
        <f t="shared" si="59"/>
      </c>
      <c r="FE24" s="13">
        <f t="shared" si="59"/>
      </c>
      <c r="FF24" s="13">
        <f t="shared" si="59"/>
      </c>
      <c r="FG24" s="13">
        <f t="shared" si="59"/>
      </c>
      <c r="FH24" s="13">
        <f t="shared" si="59"/>
      </c>
      <c r="FI24" s="13">
        <f t="shared" si="59"/>
      </c>
      <c r="FJ24" s="13">
        <f t="shared" si="59"/>
      </c>
      <c r="FK24" s="13">
        <f t="shared" ref="FK24:FP24" si="60">SUM(FK17:FK23)</f>
      </c>
      <c r="FL24" s="13">
        <f t="shared" si="60"/>
      </c>
      <c r="FM24" s="13">
        <f t="shared" si="60"/>
      </c>
      <c r="FN24" s="13">
        <f t="shared" si="60"/>
      </c>
      <c r="FO24" s="13">
        <f t="shared" si="60"/>
      </c>
      <c r="FP24" s="13">
        <f t="shared" si="60"/>
      </c>
      <c r="FQ24" s="13">
        <f t="shared" ref="FQ24" si="61">SUM(FQ17:FQ23)</f>
      </c>
      <c r="FR24" s="13">
        <f t="shared" ref="FR24" si="62">SUM(FR17:FR23)</f>
      </c>
      <c r="FS24" s="13">
        <f t="shared" ref="FS24:FV24" si="63">SUM(FS17:FS23)</f>
      </c>
      <c r="FT24" s="13">
        <f t="shared" si="63"/>
      </c>
      <c r="FU24" s="13">
        <f t="shared" si="63"/>
      </c>
      <c r="FV24" s="13">
        <f t="shared" si="63"/>
      </c>
      <c r="FW24" s="13"/>
      <c r="FX24" s="13">
        <f t="shared" si="36"/>
      </c>
      <c r="FY24" s="13">
        <f t="shared" si="37"/>
      </c>
      <c r="FZ24" s="13">
        <f t="shared" si="38"/>
      </c>
      <c r="GA24" s="13">
        <f t="shared" si="39"/>
      </c>
      <c r="GB24" s="13">
        <f t="shared" si="40"/>
      </c>
      <c r="GC24" s="13">
        <f t="shared" si="41"/>
      </c>
      <c r="GD24" s="13">
        <f t="shared" si="42"/>
      </c>
      <c r="GE24" s="13">
        <f t="shared" si="43"/>
      </c>
      <c r="GF24" s="13">
        <f t="shared" si="44"/>
      </c>
      <c r="GG24" s="13">
        <f t="shared" si="45"/>
      </c>
      <c r="GH24" s="13">
        <f t="shared" si="46"/>
      </c>
      <c r="GI24" s="13">
        <f t="shared" si="47"/>
      </c>
    </row>
    <row r="25" spans="1:191">
      <c r="A25" s="1179" t="s">
        <v>132</v>
      </c>
      <c r="B25" s="1180">
        <f t="shared" ref="B25:AG25" si="64">SUM(B11:B15)+B24</f>
      </c>
      <c r="C25" s="1180">
        <f t="shared" si="64"/>
      </c>
      <c r="D25" s="1180">
        <f t="shared" si="64"/>
      </c>
      <c r="E25" s="1181">
        <f t="shared" si="64"/>
      </c>
      <c r="F25" s="1180">
        <f t="shared" si="64"/>
      </c>
      <c r="G25" s="1180">
        <f t="shared" si="64"/>
      </c>
      <c r="H25" s="1180">
        <f t="shared" si="64"/>
      </c>
      <c r="I25" s="1181">
        <f t="shared" si="64"/>
      </c>
      <c r="J25" s="1180">
        <f t="shared" si="64"/>
      </c>
      <c r="K25" s="1180">
        <f t="shared" si="64"/>
      </c>
      <c r="L25" s="1180">
        <f t="shared" si="64"/>
      </c>
      <c r="M25" s="1181">
        <f t="shared" si="64"/>
      </c>
      <c r="N25" s="1180">
        <f t="shared" si="64"/>
      </c>
      <c r="O25" s="1180">
        <f t="shared" si="64"/>
      </c>
      <c r="P25" s="1180">
        <f t="shared" si="64"/>
      </c>
      <c r="Q25" s="1181">
        <f t="shared" si="64"/>
      </c>
      <c r="R25" s="1180">
        <f t="shared" si="64"/>
      </c>
      <c r="S25" s="1180">
        <f t="shared" si="64"/>
      </c>
      <c r="T25" s="1180">
        <f t="shared" si="64"/>
      </c>
      <c r="U25" s="1181">
        <f t="shared" si="64"/>
      </c>
      <c r="V25" s="1180">
        <f t="shared" si="64"/>
      </c>
      <c r="W25" s="1180">
        <f t="shared" si="64"/>
      </c>
      <c r="X25" s="1180">
        <f t="shared" si="64"/>
      </c>
      <c r="Y25" s="1181">
        <f t="shared" si="64"/>
      </c>
      <c r="Z25" s="1180">
        <f t="shared" si="64"/>
      </c>
      <c r="AA25" s="1180">
        <f t="shared" si="64"/>
      </c>
      <c r="AB25" s="1180">
        <f t="shared" si="64"/>
      </c>
      <c r="AC25" s="1181">
        <f t="shared" si="64"/>
      </c>
      <c r="AD25" s="1180">
        <f t="shared" si="64"/>
      </c>
      <c r="AE25" s="1180">
        <f t="shared" si="64"/>
      </c>
      <c r="AF25" s="1180">
        <f t="shared" si="64"/>
      </c>
      <c r="AG25" s="1181">
        <f t="shared" si="64"/>
      </c>
      <c r="AH25" s="1180">
        <f t="shared" ref="AH25:BM25" si="65">SUM(AH11:AH15)+AH24</f>
      </c>
      <c r="AI25" s="1180">
        <f t="shared" si="65"/>
      </c>
      <c r="AJ25" s="1180">
        <f t="shared" si="65"/>
      </c>
      <c r="AK25" s="1181">
        <f t="shared" si="65"/>
      </c>
      <c r="AL25" s="1180">
        <f t="shared" si="65"/>
      </c>
      <c r="AM25" s="1180">
        <f t="shared" si="65"/>
      </c>
      <c r="AN25" s="1180">
        <f t="shared" si="65"/>
      </c>
      <c r="AO25" s="1181">
        <f t="shared" si="65"/>
      </c>
      <c r="AP25" s="1180">
        <f t="shared" si="65"/>
      </c>
      <c r="AQ25" s="1180">
        <f t="shared" si="65"/>
      </c>
      <c r="AR25" s="1180">
        <f t="shared" si="65"/>
      </c>
      <c r="AS25" s="1181">
        <f t="shared" si="65"/>
      </c>
      <c r="AT25" s="1180">
        <f t="shared" si="65"/>
      </c>
      <c r="AU25" s="1180">
        <f t="shared" si="65"/>
      </c>
      <c r="AV25" s="1180">
        <f t="shared" si="65"/>
      </c>
      <c r="AW25" s="1181">
        <f t="shared" si="65"/>
      </c>
      <c r="AX25" s="1180">
        <f t="shared" si="65"/>
      </c>
      <c r="AY25" s="1180">
        <f t="shared" si="65"/>
      </c>
      <c r="AZ25" s="1180">
        <f t="shared" si="65"/>
      </c>
      <c r="BA25" s="1181">
        <f t="shared" si="65"/>
      </c>
      <c r="BB25" s="1180">
        <f t="shared" si="65"/>
      </c>
      <c r="BC25" s="1180">
        <f t="shared" si="65"/>
      </c>
      <c r="BD25" s="1180">
        <f t="shared" si="65"/>
      </c>
      <c r="BE25" s="1181">
        <f t="shared" si="65"/>
      </c>
      <c r="BF25" s="1180">
        <f t="shared" si="65"/>
      </c>
      <c r="BG25" s="1180">
        <f t="shared" si="65"/>
      </c>
      <c r="BH25" s="1180">
        <f t="shared" si="65"/>
      </c>
      <c r="BI25" s="1181">
        <f t="shared" si="65"/>
      </c>
      <c r="BJ25" s="1180">
        <f t="shared" si="65"/>
      </c>
      <c r="BK25" s="1180">
        <f t="shared" si="65"/>
      </c>
      <c r="BL25" s="1180">
        <f t="shared" si="65"/>
      </c>
      <c r="BM25" s="1181">
        <f t="shared" si="65"/>
      </c>
      <c r="BN25" s="1180">
        <f t="shared" ref="BN25:CS25" si="66">SUM(BN11:BN15)+BN24</f>
      </c>
      <c r="BO25" s="1180">
        <f t="shared" si="66"/>
      </c>
      <c r="BP25" s="1180">
        <f t="shared" si="66"/>
      </c>
      <c r="BQ25" s="1181">
        <f t="shared" si="66"/>
      </c>
      <c r="BR25" s="1180">
        <f t="shared" si="66"/>
      </c>
      <c r="BS25" s="1180">
        <f t="shared" si="66"/>
      </c>
      <c r="BT25" s="1180">
        <f t="shared" si="66"/>
      </c>
      <c r="BU25" s="1181">
        <f t="shared" si="66"/>
      </c>
      <c r="BV25" s="1180">
        <f t="shared" si="66"/>
      </c>
      <c r="BW25" s="1180">
        <f t="shared" si="66"/>
      </c>
      <c r="BX25" s="1180">
        <f t="shared" si="66"/>
      </c>
      <c r="BY25" s="1181">
        <f t="shared" si="66"/>
      </c>
      <c r="BZ25" s="1180">
        <f t="shared" si="66"/>
      </c>
      <c r="CA25" s="1180">
        <f t="shared" si="66"/>
      </c>
      <c r="CB25" s="1180">
        <f t="shared" si="66"/>
      </c>
      <c r="CC25" s="1181">
        <f t="shared" si="66"/>
      </c>
      <c r="CD25" s="1180">
        <f t="shared" si="66"/>
      </c>
      <c r="CE25" s="1180">
        <f t="shared" si="66"/>
      </c>
      <c r="CF25" s="1180">
        <f t="shared" si="66"/>
      </c>
      <c r="CG25" s="1181">
        <f t="shared" si="66"/>
      </c>
      <c r="CH25" s="1180">
        <f t="shared" si="66"/>
      </c>
      <c r="CI25" s="1180">
        <f t="shared" si="66"/>
      </c>
      <c r="CJ25" s="1180">
        <f t="shared" si="66"/>
      </c>
      <c r="CK25" s="1181">
        <f t="shared" si="66"/>
      </c>
      <c r="CL25" s="1180">
        <f t="shared" si="66"/>
      </c>
      <c r="CM25" s="1180">
        <f t="shared" si="66"/>
      </c>
      <c r="CN25" s="1180">
        <f t="shared" si="66"/>
      </c>
      <c r="CO25" s="1181">
        <f t="shared" si="66"/>
      </c>
      <c r="CP25" s="1180">
        <f t="shared" si="66"/>
      </c>
      <c r="CQ25" s="1180">
        <f t="shared" si="66"/>
      </c>
      <c r="CR25" s="1180">
        <f t="shared" si="66"/>
      </c>
      <c r="CS25" s="1181">
        <f t="shared" si="66"/>
      </c>
      <c r="CT25" s="1180">
        <f t="shared" ref="CT25:DU25" si="67">SUM(CT11:CT15)+CT24</f>
      </c>
      <c r="CU25" s="1180">
        <f t="shared" si="67"/>
      </c>
      <c r="CV25" s="1180">
        <f t="shared" si="67"/>
      </c>
      <c r="CW25" s="1181">
        <f t="shared" si="67"/>
      </c>
      <c r="CX25" s="1182">
        <f t="shared" si="67"/>
      </c>
      <c r="CY25" s="1180">
        <f t="shared" si="67"/>
      </c>
      <c r="CZ25" s="1180">
        <f t="shared" si="67"/>
      </c>
      <c r="DA25" s="1181">
        <f t="shared" si="67"/>
      </c>
      <c r="DB25" s="1182">
        <f t="shared" si="67"/>
      </c>
      <c r="DC25" s="1180">
        <f t="shared" si="67"/>
      </c>
      <c r="DD25" s="1180">
        <f t="shared" si="67"/>
      </c>
      <c r="DE25" s="1181">
        <f>SUM(DE11:DE15)+DE24</f>
      </c>
      <c r="DF25" s="1182">
        <f t="shared" ref="DF25" si="68">SUM(DF11:DF15)+DF24</f>
      </c>
      <c r="DG25" s="1180">
        <f t="shared" si="67"/>
      </c>
      <c r="DH25" s="1180">
        <f t="shared" si="67"/>
      </c>
      <c r="DI25" s="1181">
        <f t="shared" si="67"/>
      </c>
      <c r="DJ25" s="1182">
        <f t="shared" ref="DJ25" si="69">SUM(DJ11:DJ15)+DJ24</f>
      </c>
      <c r="DK25" s="1180">
        <f t="shared" ref="DK25:DM25" si="70">SUM(DK11:DK15)+DK24</f>
      </c>
      <c r="DL25" s="1180">
        <f t="shared" si="70"/>
      </c>
      <c r="DM25" s="1181">
        <f t="shared" si="70"/>
      </c>
      <c r="DN25" s="1182">
        <f t="shared" ref="DN25" si="71">SUM(DN11:DN15)+DN24</f>
      </c>
      <c r="DO25" s="1180">
        <f t="shared" si="67"/>
      </c>
      <c r="DP25" s="1180">
        <f t="shared" si="67"/>
      </c>
      <c r="DQ25" s="1181">
        <f t="shared" si="67"/>
      </c>
      <c r="DR25" s="1180">
        <f t="shared" si="67"/>
      </c>
      <c r="DS25" s="1180">
        <f t="shared" si="67"/>
      </c>
      <c r="DT25" s="1180">
        <f t="shared" si="67"/>
      </c>
      <c r="DU25" s="1181">
        <f t="shared" si="67"/>
      </c>
      <c r="DV25" s="1180">
        <f t="shared" ref="DV25:EK25" si="72">SUM(DV11:DV15)+DV24</f>
      </c>
      <c r="DW25" s="1180">
        <f t="shared" si="72"/>
      </c>
      <c r="DX25" s="1180">
        <f t="shared" si="72"/>
      </c>
      <c r="DY25" s="1181">
        <f t="shared" si="72"/>
      </c>
      <c r="DZ25" s="1180">
        <f t="shared" si="72"/>
      </c>
      <c r="EA25" s="1180">
        <f t="shared" si="72"/>
      </c>
      <c r="EB25" s="1180">
        <f t="shared" si="72"/>
      </c>
      <c r="EC25" s="1181">
        <f t="shared" si="72"/>
      </c>
      <c r="ED25" s="1180">
        <f t="shared" si="72"/>
      </c>
      <c r="EE25" s="1180">
        <f t="shared" si="72"/>
      </c>
      <c r="EF25" s="1180">
        <f t="shared" si="72"/>
      </c>
      <c r="EG25" s="1181">
        <f t="shared" si="72"/>
      </c>
      <c r="EH25" s="1180">
        <f t="shared" si="72"/>
      </c>
      <c r="EI25" s="1180">
        <f t="shared" si="72"/>
      </c>
      <c r="EJ25" s="1180">
        <f t="shared" si="72"/>
      </c>
      <c r="EK25" s="1181">
        <f t="shared" si="72"/>
      </c>
      <c r="EL25" s="3192"/>
      <c r="EN25" s="1180">
        <f t="shared" ref="EN25:FP25" si="73">SUM(EN11:EN15)+EN24</f>
      </c>
      <c r="EO25" s="1180">
        <f t="shared" si="73"/>
      </c>
      <c r="EP25" s="1180">
        <f t="shared" si="73"/>
      </c>
      <c r="EQ25" s="1180">
        <f t="shared" si="73"/>
      </c>
      <c r="ER25" s="1180">
        <f t="shared" si="73"/>
      </c>
      <c r="ES25" s="1180">
        <f t="shared" si="73"/>
      </c>
      <c r="ET25" s="1180">
        <f t="shared" si="73"/>
      </c>
      <c r="EU25" s="1180">
        <f t="shared" si="73"/>
      </c>
      <c r="EV25" s="1180">
        <f t="shared" si="73"/>
      </c>
      <c r="EW25" s="1180">
        <f t="shared" si="73"/>
      </c>
      <c r="EX25" s="1180">
        <f t="shared" si="73"/>
      </c>
      <c r="EY25" s="1180">
        <f t="shared" si="73"/>
      </c>
      <c r="EZ25" s="1180">
        <f t="shared" si="73"/>
      </c>
      <c r="FA25" s="1180">
        <f t="shared" si="73"/>
      </c>
      <c r="FB25" s="1180">
        <f t="shared" si="73"/>
      </c>
      <c r="FC25" s="1180">
        <f t="shared" si="73"/>
      </c>
      <c r="FD25" s="1180">
        <f t="shared" si="73"/>
      </c>
      <c r="FE25" s="1180">
        <f t="shared" si="73"/>
      </c>
      <c r="FF25" s="1180">
        <f t="shared" si="73"/>
      </c>
      <c r="FG25" s="1180">
        <f t="shared" si="73"/>
      </c>
      <c r="FH25" s="1180">
        <f t="shared" si="73"/>
      </c>
      <c r="FI25" s="1180">
        <f t="shared" si="73"/>
      </c>
      <c r="FJ25" s="1180">
        <f t="shared" si="73"/>
      </c>
      <c r="FK25" s="1180">
        <f t="shared" si="73"/>
      </c>
      <c r="FL25" s="1180">
        <f t="shared" si="73"/>
      </c>
      <c r="FM25" s="1180">
        <f t="shared" si="73"/>
      </c>
      <c r="FN25" s="1180">
        <f t="shared" si="73"/>
      </c>
      <c r="FO25" s="1180">
        <f t="shared" si="73"/>
      </c>
      <c r="FP25" s="1180">
        <f t="shared" si="73"/>
      </c>
      <c r="FQ25" s="1180">
        <f t="shared" ref="FQ25" si="74">SUM(FQ11:FQ15)+FQ24</f>
      </c>
      <c r="FR25" s="1180">
        <f t="shared" ref="FR25" si="75">SUM(FR11:FR15)+FR24</f>
      </c>
      <c r="FS25" s="1180">
        <f t="shared" ref="FS25:FV25" si="76">SUM(FS11:FS15)+FS24</f>
      </c>
      <c r="FT25" s="1180">
        <f t="shared" si="76"/>
      </c>
      <c r="FU25" s="1180">
        <f t="shared" si="76"/>
      </c>
      <c r="FV25" s="1180">
        <f t="shared" si="76"/>
      </c>
      <c r="FW25" s="1180"/>
      <c r="FX25" s="1180">
        <f t="shared" si="36"/>
      </c>
      <c r="FY25" s="1180">
        <f t="shared" si="37"/>
      </c>
      <c r="FZ25" s="1180">
        <f t="shared" si="38"/>
      </c>
      <c r="GA25" s="1180">
        <f t="shared" si="39"/>
      </c>
      <c r="GB25" s="1180">
        <f t="shared" si="40"/>
      </c>
      <c r="GC25" s="1180">
        <f t="shared" si="41"/>
      </c>
      <c r="GD25" s="1180">
        <f t="shared" si="42"/>
      </c>
      <c r="GE25" s="1180">
        <f t="shared" si="43"/>
      </c>
      <c r="GF25" s="1180">
        <f t="shared" si="44"/>
      </c>
      <c r="GG25" s="1180">
        <f t="shared" si="45"/>
      </c>
      <c r="GH25" s="1180">
        <f t="shared" si="46"/>
      </c>
      <c r="GI25" s="1180">
        <f t="shared" si="47"/>
      </c>
    </row>
    <row r="26" spans="1:191">
      <c r="A26" s="19"/>
      <c r="B26" s="15"/>
      <c r="C26" s="15"/>
      <c r="D26" s="15"/>
      <c r="E26" s="174"/>
      <c r="F26" s="15"/>
      <c r="G26" s="15"/>
      <c r="H26" s="15"/>
      <c r="I26" s="174"/>
      <c r="J26" s="15"/>
      <c r="K26" s="15"/>
      <c r="L26" s="15"/>
      <c r="M26" s="174"/>
      <c r="N26" s="15"/>
      <c r="O26" s="15"/>
      <c r="P26" s="15"/>
      <c r="Q26" s="174"/>
      <c r="R26" s="15"/>
      <c r="S26" s="15"/>
      <c r="T26" s="15"/>
      <c r="U26" s="174"/>
      <c r="V26" s="15"/>
      <c r="W26" s="15"/>
      <c r="X26" s="15"/>
      <c r="Y26" s="174"/>
      <c r="Z26" s="15"/>
      <c r="AA26" s="15"/>
      <c r="AB26" s="15"/>
      <c r="AC26" s="174"/>
      <c r="AD26" s="15"/>
      <c r="AE26" s="15"/>
      <c r="AF26" s="15"/>
      <c r="AG26" s="174"/>
      <c r="AH26" s="15"/>
      <c r="AI26" s="15"/>
      <c r="AJ26" s="15"/>
      <c r="AK26" s="174"/>
      <c r="AL26" s="15"/>
      <c r="AM26" s="15"/>
      <c r="AN26" s="15"/>
      <c r="AO26" s="174"/>
      <c r="AP26" s="15"/>
      <c r="AQ26" s="15"/>
      <c r="AR26" s="15"/>
      <c r="AS26" s="174"/>
      <c r="AT26" s="15"/>
      <c r="AU26" s="15"/>
      <c r="AV26" s="15"/>
      <c r="AW26" s="174"/>
      <c r="AX26" s="15"/>
      <c r="AY26" s="15"/>
      <c r="AZ26" s="15"/>
      <c r="BA26" s="174"/>
      <c r="BB26" s="15"/>
      <c r="BC26" s="15"/>
      <c r="BD26" s="15"/>
      <c r="BE26" s="174"/>
      <c r="BF26" s="15"/>
      <c r="BG26" s="15"/>
      <c r="BH26" s="15"/>
      <c r="BI26" s="174"/>
      <c r="BJ26" s="15"/>
      <c r="BK26" s="15"/>
      <c r="BL26" s="15"/>
      <c r="BM26" s="174"/>
      <c r="BN26" s="15"/>
      <c r="BO26" s="15"/>
      <c r="BP26" s="15"/>
      <c r="BQ26" s="174"/>
      <c r="BR26" s="15"/>
      <c r="BS26" s="15"/>
      <c r="BT26" s="15"/>
      <c r="BU26" s="174"/>
      <c r="BV26" s="15"/>
      <c r="BW26" s="15"/>
      <c r="BX26" s="15"/>
      <c r="BY26" s="174"/>
      <c r="BZ26" s="13"/>
      <c r="CA26" s="15"/>
      <c r="CB26" s="35"/>
      <c r="CC26" s="259"/>
      <c r="CD26" s="36"/>
      <c r="CE26" s="35"/>
      <c r="CF26" s="86"/>
      <c r="CG26" s="257"/>
      <c r="CH26" s="36"/>
      <c r="CI26" s="36"/>
      <c r="CJ26" s="36"/>
      <c r="CK26" s="255"/>
      <c r="CL26" s="36"/>
      <c r="CM26" s="36"/>
      <c r="CN26" s="36"/>
      <c r="CO26" s="255"/>
      <c r="CP26" s="359"/>
      <c r="CQ26" s="359"/>
      <c r="CR26" s="36"/>
      <c r="CS26" s="255"/>
      <c r="CT26" s="359"/>
      <c r="CU26" s="359"/>
      <c r="CV26" s="359"/>
      <c r="CW26" s="464"/>
      <c r="CX26" s="478"/>
      <c r="CY26" s="359"/>
      <c r="CZ26" s="359"/>
      <c r="DA26" s="464"/>
      <c r="DB26" s="478"/>
      <c r="DC26" s="359"/>
      <c r="DD26" s="359"/>
      <c r="DE26" s="226"/>
      <c r="DF26" s="62"/>
      <c r="DG26" s="62"/>
      <c r="DH26" s="62"/>
      <c r="DI26" s="226"/>
      <c r="DJ26" s="62"/>
      <c r="DK26" s="62"/>
      <c r="DL26" s="62"/>
      <c r="DM26" s="226"/>
      <c r="DN26" s="62"/>
      <c r="DO26" s="62"/>
      <c r="DP26" s="62"/>
      <c r="DQ26" s="226"/>
      <c r="DR26" s="62"/>
      <c r="DS26" s="62"/>
      <c r="DT26" s="62"/>
      <c r="DU26" s="226"/>
      <c r="DV26" s="62"/>
      <c r="DW26" s="62"/>
      <c r="DX26" s="62"/>
      <c r="DY26" s="226"/>
      <c r="DZ26" s="62"/>
      <c r="EA26" s="62"/>
      <c r="EB26" s="62"/>
      <c r="EC26" s="226"/>
      <c r="ED26" s="62"/>
      <c r="EE26" s="62"/>
      <c r="EF26" s="62"/>
      <c r="EG26" s="226"/>
      <c r="EH26" s="62"/>
      <c r="EI26" s="62"/>
      <c r="EJ26" s="62"/>
      <c r="EK26" s="226"/>
      <c r="EL26" s="3192"/>
      <c r="EN26" s="35"/>
      <c r="EO26" s="35"/>
      <c r="EP26" s="35"/>
      <c r="EQ26" s="35"/>
      <c r="ER26" s="35"/>
      <c r="ES26" s="35"/>
      <c r="ET26" s="35"/>
      <c r="EU26" s="35"/>
      <c r="EV26" s="35"/>
      <c r="EW26" s="35"/>
      <c r="EX26" s="35"/>
      <c r="EY26" s="35"/>
      <c r="EZ26" s="35"/>
      <c r="FA26" s="35"/>
      <c r="FB26" s="35"/>
      <c r="FC26" s="35"/>
      <c r="FD26" s="35"/>
      <c r="FE26" s="35"/>
      <c r="FF26" s="35"/>
      <c r="FG26" s="35"/>
      <c r="FH26" s="35"/>
      <c r="FI26" s="35"/>
      <c r="FJ26" s="35"/>
      <c r="FK26" s="35"/>
      <c r="FL26" s="35"/>
      <c r="FM26" s="35"/>
      <c r="FN26" s="35"/>
      <c r="FO26" s="35"/>
      <c r="FP26" s="35"/>
      <c r="FQ26" s="35"/>
      <c r="FR26" s="35"/>
      <c r="FS26" s="35"/>
      <c r="FT26" s="35"/>
      <c r="FU26" s="35"/>
      <c r="FV26" s="35"/>
      <c r="FW26" s="35"/>
      <c r="FX26" s="35"/>
      <c r="FY26" s="35"/>
      <c r="FZ26" s="35"/>
      <c r="GA26" s="35"/>
      <c r="GB26" s="35"/>
      <c r="GC26" s="35"/>
      <c r="GD26" s="35"/>
      <c r="GE26" s="35"/>
      <c r="GF26" s="35"/>
      <c r="GG26" s="35"/>
      <c r="GH26" s="35"/>
      <c r="GI26" s="35"/>
    </row>
    <row r="27" spans="1:191">
      <c r="A27" s="29" t="s">
        <v>133</v>
      </c>
      <c r="B27" s="15"/>
      <c r="C27" s="15"/>
      <c r="D27" s="15"/>
      <c r="E27" s="174"/>
      <c r="F27" s="15"/>
      <c r="G27" s="15"/>
      <c r="H27" s="15"/>
      <c r="I27" s="174"/>
      <c r="J27" s="15"/>
      <c r="K27" s="15"/>
      <c r="L27" s="15"/>
      <c r="M27" s="174"/>
      <c r="N27" s="15"/>
      <c r="O27" s="15"/>
      <c r="P27" s="15"/>
      <c r="Q27" s="174"/>
      <c r="R27" s="15"/>
      <c r="S27" s="15"/>
      <c r="T27" s="15"/>
      <c r="U27" s="174"/>
      <c r="V27" s="15"/>
      <c r="W27" s="15"/>
      <c r="X27" s="15"/>
      <c r="Y27" s="174"/>
      <c r="Z27" s="15"/>
      <c r="AA27" s="15"/>
      <c r="AB27" s="15"/>
      <c r="AC27" s="174"/>
      <c r="AD27" s="15"/>
      <c r="AE27" s="15"/>
      <c r="AF27" s="15"/>
      <c r="AG27" s="174"/>
      <c r="AH27" s="15"/>
      <c r="AI27" s="15"/>
      <c r="AJ27" s="15"/>
      <c r="AK27" s="174"/>
      <c r="AL27" s="15"/>
      <c r="AM27" s="15"/>
      <c r="AN27" s="15"/>
      <c r="AO27" s="174"/>
      <c r="AP27" s="15"/>
      <c r="AQ27" s="15"/>
      <c r="AR27" s="15"/>
      <c r="AS27" s="174"/>
      <c r="AT27" s="15"/>
      <c r="AU27" s="15"/>
      <c r="AV27" s="15"/>
      <c r="AW27" s="174"/>
      <c r="AX27" s="15"/>
      <c r="AY27" s="15"/>
      <c r="AZ27" s="15"/>
      <c r="BA27" s="174"/>
      <c r="BB27" s="15"/>
      <c r="BC27" s="15"/>
      <c r="BD27" s="15"/>
      <c r="BE27" s="174"/>
      <c r="BF27" s="15"/>
      <c r="BG27" s="15"/>
      <c r="BH27" s="15"/>
      <c r="BI27" s="174"/>
      <c r="BJ27" s="15"/>
      <c r="BK27" s="15"/>
      <c r="BL27" s="15"/>
      <c r="BM27" s="174"/>
      <c r="BN27" s="15"/>
      <c r="BO27" s="15"/>
      <c r="BP27" s="15"/>
      <c r="BQ27" s="174"/>
      <c r="BR27" s="15"/>
      <c r="BS27" s="15"/>
      <c r="BT27" s="15"/>
      <c r="BU27" s="174"/>
      <c r="BV27" s="15"/>
      <c r="BW27" s="15"/>
      <c r="BX27" s="15"/>
      <c r="BY27" s="174"/>
      <c r="BZ27" s="15"/>
      <c r="CA27" s="15"/>
      <c r="CB27" s="35"/>
      <c r="CC27" s="259"/>
      <c r="CD27" s="36"/>
      <c r="CE27" s="35"/>
      <c r="CF27" s="35"/>
      <c r="CG27" s="257"/>
      <c r="CH27" s="36"/>
      <c r="CI27" s="36"/>
      <c r="CJ27" s="36"/>
      <c r="CK27" s="255"/>
      <c r="CL27" s="36"/>
      <c r="CM27" s="36"/>
      <c r="CN27" s="36"/>
      <c r="CO27" s="255"/>
      <c r="CP27" s="359"/>
      <c r="CQ27" s="359"/>
      <c r="CR27" s="36"/>
      <c r="CS27" s="255"/>
      <c r="CT27" s="359"/>
      <c r="CU27" s="359"/>
      <c r="CV27" s="359"/>
      <c r="CW27" s="464"/>
      <c r="CX27" s="478"/>
      <c r="CY27" s="359"/>
      <c r="CZ27" s="359"/>
      <c r="DA27" s="464"/>
      <c r="DB27" s="478"/>
      <c r="DC27" s="359"/>
      <c r="DD27" s="359"/>
      <c r="DE27" s="226"/>
      <c r="DF27" s="62"/>
      <c r="DG27" s="62"/>
      <c r="DH27" s="62"/>
      <c r="DI27" s="226"/>
      <c r="DJ27" s="62"/>
      <c r="DK27" s="62"/>
      <c r="DL27" s="62"/>
      <c r="DM27" s="226"/>
      <c r="DN27" s="62"/>
      <c r="DO27" s="62"/>
      <c r="DP27" s="62"/>
      <c r="DQ27" s="226"/>
      <c r="DR27" s="62"/>
      <c r="DS27" s="62"/>
      <c r="DT27" s="62"/>
      <c r="DU27" s="226"/>
      <c r="DV27" s="62"/>
      <c r="DW27" s="62"/>
      <c r="DX27" s="62"/>
      <c r="DY27" s="226"/>
      <c r="DZ27" s="62"/>
      <c r="EA27" s="62"/>
      <c r="EB27" s="62"/>
      <c r="EC27" s="226"/>
      <c r="ED27" s="62"/>
      <c r="EE27" s="62"/>
      <c r="EF27" s="62"/>
      <c r="EG27" s="226"/>
      <c r="EH27" s="62"/>
      <c r="EI27" s="62"/>
      <c r="EJ27" s="62"/>
      <c r="EK27" s="226"/>
      <c r="EL27" s="3192"/>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5"/>
      <c r="GC27" s="35"/>
      <c r="GD27" s="35"/>
      <c r="GE27" s="35"/>
      <c r="GF27" s="35"/>
      <c r="GG27" s="35"/>
      <c r="GH27" s="35"/>
      <c r="GI27" s="35"/>
    </row>
    <row r="28" spans="1:191">
      <c r="A28" s="19" t="s">
        <v>134</v>
      </c>
      <c r="B28" s="34">
        <f>-244+164</f>
      </c>
      <c r="C28" s="34">
        <f>-244+348-B28</f>
      </c>
      <c r="D28" s="34">
        <f>-244+440-C28-B28</f>
      </c>
      <c r="E28" s="173">
        <f>-437+440-D28-C28-B28</f>
      </c>
      <c r="F28" s="34">
        <f>-542+102-10</f>
      </c>
      <c r="G28" s="34">
        <f>-671+678-25-F28</f>
      </c>
      <c r="H28" s="34">
        <f>-781+762-49-G28-F28</f>
      </c>
      <c r="I28" s="173">
        <f>-999+963+-73-H28-G28-F28</f>
      </c>
      <c r="J28" s="34">
        <f>-399+194</f>
      </c>
      <c r="K28" s="34">
        <f>-941+632+32-J28</f>
      </c>
      <c r="L28" s="34">
        <f>-1620+1059+24-14-K28-J28</f>
      </c>
      <c r="M28" s="173">
        <f>-2313+1723+24-20-L28-K28-J28</f>
      </c>
      <c r="N28" s="34">
        <f>-1135+597+37+20</f>
      </c>
      <c r="O28" s="34">
        <f>-2254+1509+96+2-N28</f>
      </c>
      <c r="P28" s="34">
        <f>-3039+2525+201-6-O28-N28</f>
      </c>
      <c r="Q28" s="173">
        <f>-4236+3108+47-112+245+8-P28-O28-N28</f>
      </c>
      <c r="R28" s="34">
        <f>-693+519+136-13</f>
      </c>
      <c r="S28" s="34">
        <f>-1843+1796-216+10+237-23-R28</f>
      </c>
      <c r="T28" s="34">
        <f>-3023+2441-232+288-18-S28-R28</f>
      </c>
      <c r="U28" s="173">
        <f>-4267+3075+256-232+372-45-T28-S28-R28</f>
      </c>
      <c r="V28" s="34">
        <f>-634+1073+69-1+74-3</f>
      </c>
      <c r="W28" s="34">
        <f>-1834+2496+168-1+203-7-V28</f>
      </c>
      <c r="X28" s="34">
        <f>-3008+3569+178-1+334-7-W28-V28</f>
      </c>
      <c r="Y28" s="173">
        <f>-4268+4811+278+340-18-X28-W28-V28</f>
      </c>
      <c r="Z28" s="34">
        <f>-1382+647+319+25+10</f>
      </c>
      <c r="AA28" s="34">
        <f>-2897+1422+319+25-32-Z28</f>
      </c>
      <c r="AB28" s="34">
        <f>-3478+1917+519+25-33-AA28-Z28</f>
      </c>
      <c r="AC28" s="173">
        <f>-4144+2846+1254+25-7-AB28-AA28-Z28</f>
      </c>
      <c r="AD28" s="34">
        <f>-674+500+409+13+9</f>
      </c>
      <c r="AE28" s="34">
        <f>-1097+1214+849+13+15-AD28</f>
      </c>
      <c r="AF28" s="34">
        <f>-1981+1954+1072+36+33-AE28-AD28</f>
      </c>
      <c r="AG28" s="173">
        <f>-2648+2446+1116+45+33-AF28-AE28-AD28</f>
      </c>
      <c r="AH28" s="34">
        <f>-395+446+52+5+13</f>
      </c>
      <c r="AI28" s="34">
        <f>-976+660+52+5+12-AH28</f>
      </c>
      <c r="AJ28" s="34">
        <f>-2294+821+790+5+9-AI28-AH28</f>
      </c>
      <c r="AK28" s="173">
        <f>-3270+1141+806+11-AJ28-AI28-AH28</f>
      </c>
      <c r="AL28" s="34">
        <f>-2393+777+138+13</f>
      </c>
      <c r="AM28" s="34">
        <f>-5304+2750+242-19-AL28</f>
      </c>
      <c r="AN28" s="34">
        <f>-7624+5108+582-29-AM28-AL28</f>
      </c>
      <c r="AO28" s="173">
        <f>-11470+8609+586-21-AN28-AM28-AL28</f>
      </c>
      <c r="AP28" s="34">
        <f>-3185+3396-36</f>
      </c>
      <c r="AQ28" s="34">
        <f>-3792+6683-61-AP28</f>
      </c>
      <c r="AR28" s="34">
        <f>-4393+7827+175-12-39+40-AQ28-AP28</f>
      </c>
      <c r="AS28" s="173">
        <f>-7255+7226+1086-25+40-58-AR28-AQ28-AP28</f>
      </c>
      <c r="AT28" s="34">
        <f>-2581+934+655+15</f>
      </c>
      <c r="AU28" s="34">
        <f>-6223+2961+1505-5+13-AT28</f>
      </c>
      <c r="AV28" s="34">
        <f>-9587+4246+2420-6+34-AU28-AT28</f>
      </c>
      <c r="AW28" s="173">
        <f>-11719+6483+2941-17+49-AV28-AU28-AT28</f>
      </c>
      <c r="AX28" s="34">
        <f>-6127+2129+758-9+19</f>
      </c>
      <c r="AY28" s="34">
        <f>-12740+6683+1676-17+21-AX28</f>
      </c>
      <c r="AZ28" s="34">
        <f>-17153+9378+2367-31+20-AY28-AX28</f>
      </c>
      <c r="BA28" s="173">
        <f>-22965+11804+4439-38-10-AZ28-AY28-AX28</f>
      </c>
      <c r="BB28" s="34">
        <v>-13082</v>
      </c>
      <c r="BC28" s="34">
        <f>-23483-BB28</f>
      </c>
      <c r="BD28" s="34">
        <f>-34696-SUM(BB28:BC28)</f>
      </c>
      <c r="BE28" s="173">
        <f>-46724-SUM(BB28:BD28)</f>
      </c>
      <c r="BF28" s="34">
        <v>-12922</v>
      </c>
      <c r="BG28" s="34">
        <f>-25061-BF28</f>
      </c>
      <c r="BH28" s="34">
        <f>-41318-SUM(BF28:BG28)</f>
      </c>
      <c r="BI28" s="173">
        <f>-57793-SUM(BF28:BH28)</f>
      </c>
      <c r="BJ28" s="34">
        <v>-19575</v>
      </c>
      <c r="BK28" s="34">
        <f>-42260-BJ28</f>
      </c>
      <c r="BL28" s="34">
        <f>-75133-SUM(BJ28:BK28)</f>
      </c>
      <c r="BM28" s="173">
        <f>-102317-SUM(BJ28:BL28)</f>
      </c>
      <c r="BN28" s="34">
        <v>-40175</v>
      </c>
      <c r="BO28" s="34">
        <f>-85022-BN28</f>
      </c>
      <c r="BP28" s="34">
        <f>-121091-SUM(BN28:BO28)</f>
      </c>
      <c r="BQ28" s="173">
        <f>-151232-SUM(BN28:BP28)</f>
      </c>
      <c r="BR28" s="34">
        <v>-37192</v>
      </c>
      <c r="BS28" s="34">
        <f>-81163-BR28</f>
      </c>
      <c r="BT28" s="34">
        <f>-122681-SUM(BR28:BS28)</f>
      </c>
      <c r="BU28" s="173">
        <f>-148489-SUM(BR28:BT28)</f>
      </c>
      <c r="BV28" s="34">
        <v>-48397</v>
      </c>
      <c r="BW28" s="34">
        <f>-90360-BV28</f>
      </c>
      <c r="BX28" s="34">
        <f>-160662-SUM(BV28:BW28)</f>
      </c>
      <c r="BY28" s="173">
        <f>-217128-SUM(BV28:BX28)</f>
      </c>
      <c r="BZ28" s="34">
        <v>-44915</v>
      </c>
      <c r="CA28" s="34">
        <f>-92523-BZ28</f>
      </c>
      <c r="CB28" s="34">
        <f>-137524-SUM(BZ28:CA28)</f>
      </c>
      <c r="CC28" s="173">
        <f>-166402-SUM(BZ28:CB28)</f>
      </c>
      <c r="CD28" s="34">
        <v>-47836</v>
      </c>
      <c r="CE28" s="34">
        <f>-86242-CD28</f>
      </c>
      <c r="CF28" s="77">
        <f>-112068-SUM(CD28:CE28)</f>
      </c>
      <c r="CG28" s="173">
        <f>-142428-SUM(CD28:CF28)</f>
      </c>
      <c r="CH28" s="34">
        <v>-54272</v>
      </c>
      <c r="CI28" s="34">
        <f>-99821-CH28</f>
      </c>
      <c r="CJ28" s="34">
        <f>-123781-CI28-CH28</f>
      </c>
      <c r="CK28" s="173">
        <f>-SUM(CH28:CJ28)-159486</f>
      </c>
      <c r="CL28" s="34">
        <v>-41272</v>
      </c>
      <c r="CM28" s="34">
        <f>-48449-CL28</f>
      </c>
      <c r="CN28" s="34">
        <f>-56133-CM28-CL28</f>
      </c>
      <c r="CO28" s="173">
        <f>-SUM(CL28:CN28)-71356</f>
      </c>
      <c r="CP28" s="77">
        <v>-7077</v>
      </c>
      <c r="CQ28" s="77">
        <f>-13854-CP28</f>
      </c>
      <c r="CR28" s="34">
        <f>-21902-CQ28-CP28</f>
      </c>
      <c r="CS28" s="173">
        <f>-SUM(CP28:CR28)-39630</f>
      </c>
      <c r="CT28" s="77">
        <v>-37416</v>
      </c>
      <c r="CU28" s="77">
        <f>-66489-CT28</f>
      </c>
      <c r="CV28" s="77">
        <f>-96606-CU28-CT28</f>
      </c>
      <c r="CW28" s="192">
        <f>-114938-CV28-CU28-CT28</f>
      </c>
      <c r="CX28" s="474">
        <v>-39800</v>
      </c>
      <c r="CY28" s="77">
        <f>-74424-CX28</f>
      </c>
      <c r="CZ28" s="77">
        <f>-94052-CY28-CX28</f>
      </c>
      <c r="DA28" s="192">
        <f>-109558-CZ28-CY28-CX28</f>
      </c>
      <c r="DB28" s="474">
        <v>-34913</v>
      </c>
      <c r="DC28" s="77">
        <f>-61987-DB28</f>
      </c>
      <c r="DD28" s="77">
        <f>-70178-DC28-DB28</f>
      </c>
      <c r="DE28" s="192">
        <f>-76923-DD28-DC28-DB28</f>
      </c>
      <c r="DF28" s="474">
        <v>-5153</v>
      </c>
      <c r="DG28" s="77">
        <f>-11197-DF28</f>
      </c>
      <c r="DH28" s="77">
        <f>-20956-DG28-DF28</f>
      </c>
      <c r="DI28" s="3152">
        <f>-29513-SUM(DF28:DH28)</f>
      </c>
      <c r="DJ28" s="474">
        <v>-9780</v>
      </c>
      <c r="DK28" s="77">
        <f>-25042-DJ28</f>
      </c>
      <c r="DL28" s="77">
        <f>-38074-DK28-DJ28</f>
      </c>
      <c r="DM28" s="3152">
        <f>-48656-SUM(DJ28:DL28)</f>
      </c>
      <c r="DN28" s="474">
        <v>-6124</v>
      </c>
      <c r="DO28" s="77">
        <f>-12442-DN28</f>
      </c>
      <c r="DP28" s="77">
        <f>-17591-DO28-DN28</f>
      </c>
      <c r="DQ28" s="1185">
        <v>0</v>
      </c>
      <c r="DR28" s="1186">
        <v>0</v>
      </c>
      <c r="DS28" s="1186">
        <v>0</v>
      </c>
      <c r="DT28" s="1186">
        <v>0</v>
      </c>
      <c r="DU28" s="1185">
        <v>0</v>
      </c>
      <c r="DV28" s="1186">
        <v>0</v>
      </c>
      <c r="DW28" s="1186">
        <v>0</v>
      </c>
      <c r="DX28" s="1186">
        <v>0</v>
      </c>
      <c r="DY28" s="1185">
        <v>0</v>
      </c>
      <c r="DZ28" s="1186">
        <v>0</v>
      </c>
      <c r="EA28" s="1186">
        <v>0</v>
      </c>
      <c r="EB28" s="1186">
        <v>0</v>
      </c>
      <c r="EC28" s="1185">
        <v>0</v>
      </c>
      <c r="ED28" s="1186">
        <v>0</v>
      </c>
      <c r="EE28" s="1186">
        <v>0</v>
      </c>
      <c r="EF28" s="1186">
        <v>0</v>
      </c>
      <c r="EG28" s="1185">
        <v>0</v>
      </c>
      <c r="EH28" s="1186">
        <v>0</v>
      </c>
      <c r="EI28" s="1186">
        <v>0</v>
      </c>
      <c r="EJ28" s="1186">
        <v>0</v>
      </c>
      <c r="EK28" s="1185">
        <v>0</v>
      </c>
      <c r="EL28" s="3192"/>
      <c r="EN28" s="10">
        <f t="shared" ref="EN28:EN34" si="77">SUM(B28:E28)</f>
      </c>
      <c r="EO28" s="10">
        <f t="shared" ref="EO28:EO34" si="78">SUM(F28:I28)</f>
      </c>
      <c r="EP28" s="10">
        <f t="shared" ref="EP28:EP34" si="79">SUM(J28:M28)</f>
      </c>
      <c r="EQ28" s="10">
        <f t="shared" ref="EQ28:EQ34" si="80">SUM(N28:Q28)</f>
      </c>
      <c r="ER28" s="10">
        <f t="shared" ref="ER28:ER34" si="81">SUM(R28:U28)</f>
      </c>
      <c r="ES28" s="10">
        <f t="shared" ref="ES28:ES34" si="82">SUM(V28:Y28)</f>
      </c>
      <c r="ET28" s="10">
        <f t="shared" ref="ET28:ET34" si="83">SUM(Z28:AC28)</f>
      </c>
      <c r="EU28" s="10">
        <f t="shared" ref="EU28:EU34" si="84">SUM(AD28:AG28)</f>
      </c>
      <c r="EV28" s="10">
        <f t="shared" ref="EV28:EV34" si="85">SUM(AH28:AK28)</f>
      </c>
      <c r="EW28" s="10">
        <f t="shared" ref="EW28:EW34" si="86">SUM(AL28:AO28)</f>
      </c>
      <c r="EX28" s="10">
        <f t="shared" ref="EX28:EX34" si="87">SUM(AP28:AS28)</f>
      </c>
      <c r="EY28" s="10">
        <f t="shared" ref="EY28:EY34" si="88">SUM(AT28:AW28)</f>
      </c>
      <c r="EZ28" s="10">
        <f t="shared" ref="EZ28:EZ34" si="89">SUM(AX28:BA28)</f>
      </c>
      <c r="FA28" s="10">
        <f t="shared" ref="FA28:FA34" si="90">SUM(BB28:BE28)</f>
      </c>
      <c r="FB28" s="10">
        <f t="shared" ref="FB28:FB34" si="91">SUM(BF28:BI28)</f>
      </c>
      <c r="FC28" s="10">
        <f t="shared" ref="FC28:FC34" si="92">SUM(BJ28:BM28)</f>
      </c>
      <c r="FD28" s="10">
        <f t="shared" ref="FD28:FD34" si="93">SUM(BN28:BQ28)</f>
      </c>
      <c r="FE28" s="10">
        <f t="shared" ref="FE28:FE34" si="94">SUM(BR28:BU28)</f>
      </c>
      <c r="FF28" s="10">
        <f t="shared" ref="FF28:FF34" si="95">SUM(BV28:BY28)</f>
      </c>
      <c r="FG28" s="10">
        <f t="shared" ref="FG28:FG34" si="96">SUM(BZ28:CC28)</f>
      </c>
      <c r="FH28" s="10">
        <f t="shared" ref="FH28:FH34" si="97">SUM(CD28:CG28)</f>
      </c>
      <c r="FI28" s="10">
        <f t="shared" ref="FI28:FI34" si="98">SUM(CH28:CK28)</f>
      </c>
      <c r="FJ28" s="10">
        <f t="shared" ref="FJ28:FJ34" si="99">SUM(CL28:CO28)</f>
      </c>
      <c r="FK28" s="10">
        <f t="shared" ref="FK28:FK34" si="100">SUM(CP28:CS28)</f>
      </c>
      <c r="FL28" s="10">
        <f t="shared" ref="FL28:FL34" si="101">SUM(CT28:CW28)</f>
      </c>
      <c r="FM28" s="10">
        <f t="shared" ref="FM28:FM34" si="102">SUM(CX28:DA28)</f>
      </c>
      <c r="FN28" s="10">
        <f t="shared" ref="FN28:FN34" si="103">SUM(DB28:DE28)</f>
      </c>
      <c r="FO28" s="10">
        <f t="shared" ref="FO28:FO34" si="104">SUM(DF28:DI28)</f>
      </c>
      <c r="FP28" s="10">
        <f t="shared" ref="FP28:FP34" si="105">SUM(DJ28:DM28)</f>
      </c>
      <c r="FQ28" s="10">
        <f t="shared" ref="FQ28:FQ34" si="106">SUM(DN28:DQ28)</f>
      </c>
      <c r="FR28" s="10">
        <f t="shared" ref="FR28:FR34" si="107">SUM(DR28:DU28)</f>
      </c>
      <c r="FS28" s="10">
        <f t="shared" ref="FS28:FS34" si="108">SUM(DV28:DY28)</f>
      </c>
      <c r="FT28" s="10">
        <f t="shared" ref="FT28:FT34" si="109">SUM(DZ28:EC28)</f>
      </c>
      <c r="FU28" s="10">
        <f t="shared" ref="FU28:FU34" si="110">SUM(ED28:EG28)</f>
      </c>
      <c r="FV28" s="10">
        <f t="shared" ref="FV28:FV34" si="111">SUM(EH28:EK28)</f>
      </c>
      <c r="FW28" s="10"/>
      <c r="FX28" s="10">
        <f t="shared" ref="FX28:FX35" si="112">SUM(CM28:CP28)</f>
      </c>
      <c r="FY28" s="10">
        <f t="shared" ref="FY28:FY35" si="113">+SUM(CQ28:CT28)</f>
      </c>
      <c r="FZ28" s="10">
        <f t="shared" ref="FZ28:FZ35" si="114">SUM(CU28:CX28)</f>
      </c>
      <c r="GA28" s="10">
        <f t="shared" ref="GA28:GA35" si="115">+SUM(CY28:DB28)</f>
      </c>
      <c r="GB28" s="10">
        <f t="shared" ref="GB28:GB35" si="116">SUM(DC28:DF28)</f>
      </c>
      <c r="GC28" s="10">
        <f t="shared" ref="GC28:GC35" si="117">SUM(DG28:DJ28)</f>
      </c>
      <c r="GD28" s="10">
        <f t="shared" ref="GD28:GD35" si="118">SUM(DK28:DN28)</f>
      </c>
      <c r="GE28" s="10">
        <f t="shared" ref="GE28:GE35" si="119">SUM(DO28:DR28)</f>
      </c>
      <c r="GF28" s="10">
        <f t="shared" ref="GF28:GF35" si="120">SUM(DS28:DV28)</f>
      </c>
      <c r="GG28" s="10">
        <f t="shared" ref="GG28:GG35" si="121">SUM(DW28:DZ28)</f>
      </c>
      <c r="GH28" s="10">
        <f t="shared" ref="GH28:GH35" si="122">SUM(EA28:ED28)</f>
      </c>
      <c r="GI28" s="10">
        <f t="shared" ref="GI28:GI35" si="123">SUM(EE28:EH28)</f>
      </c>
    </row>
    <row r="29" spans="1:191">
      <c r="A29" s="19" t="s">
        <v>135</v>
      </c>
      <c r="B29" s="34"/>
      <c r="C29" s="34"/>
      <c r="D29" s="34"/>
      <c r="E29" s="173"/>
      <c r="F29" s="34"/>
      <c r="G29" s="34"/>
      <c r="H29" s="34"/>
      <c r="I29" s="173"/>
      <c r="J29" s="34"/>
      <c r="K29" s="34"/>
      <c r="L29" s="34"/>
      <c r="M29" s="173"/>
      <c r="N29" s="34"/>
      <c r="O29" s="34"/>
      <c r="P29" s="34"/>
      <c r="Q29" s="173"/>
      <c r="R29" s="34"/>
      <c r="S29" s="34"/>
      <c r="T29" s="34"/>
      <c r="U29" s="173"/>
      <c r="V29" s="34"/>
      <c r="W29" s="34"/>
      <c r="X29" s="34"/>
      <c r="Y29" s="173"/>
      <c r="Z29" s="34"/>
      <c r="AA29" s="34"/>
      <c r="AB29" s="34"/>
      <c r="AC29" s="173"/>
      <c r="AD29" s="34"/>
      <c r="AE29" s="34"/>
      <c r="AF29" s="34"/>
      <c r="AG29" s="173"/>
      <c r="AH29" s="34"/>
      <c r="AI29" s="34"/>
      <c r="AJ29" s="34"/>
      <c r="AK29" s="173"/>
      <c r="AL29" s="34"/>
      <c r="AM29" s="34"/>
      <c r="AN29" s="34"/>
      <c r="AO29" s="173"/>
      <c r="AP29" s="34"/>
      <c r="AQ29" s="34"/>
      <c r="AR29" s="34"/>
      <c r="AS29" s="173"/>
      <c r="AT29" s="34"/>
      <c r="AU29" s="34"/>
      <c r="AV29" s="34"/>
      <c r="AW29" s="173"/>
      <c r="AX29" s="34"/>
      <c r="AY29" s="34"/>
      <c r="AZ29" s="34"/>
      <c r="BA29" s="173"/>
      <c r="BB29" s="34">
        <v>2226</v>
      </c>
      <c r="BC29" s="34">
        <f>6280-BB29</f>
      </c>
      <c r="BD29" s="34">
        <f>12780-SUM(BB29:BC29)</f>
      </c>
      <c r="BE29" s="173">
        <f>19790-SUM(BB29:BD29)</f>
      </c>
      <c r="BF29" s="34">
        <v>6216</v>
      </c>
      <c r="BG29" s="34">
        <f>13331-BF29</f>
      </c>
      <c r="BH29" s="34">
        <f>19758-SUM(BF29:BG29)</f>
      </c>
      <c r="BI29" s="173">
        <f>24930-SUM(BF29:BH29)</f>
      </c>
      <c r="BJ29" s="34">
        <v>3279</v>
      </c>
      <c r="BK29" s="34">
        <f>10211-BJ29</f>
      </c>
      <c r="BL29" s="34">
        <f>16396-SUM(BJ29:BK29)</f>
      </c>
      <c r="BM29" s="173">
        <f>20437-SUM(BJ29:BL29)</f>
      </c>
      <c r="BN29" s="34">
        <v>3038</v>
      </c>
      <c r="BO29" s="34">
        <f>7702-BN29</f>
      </c>
      <c r="BP29" s="34">
        <f>10344-SUM(BN29:BO29)</f>
      </c>
      <c r="BQ29" s="173">
        <f>13035-SUM(BN29:BP29)</f>
      </c>
      <c r="BR29" s="34">
        <v>3460</v>
      </c>
      <c r="BS29" s="34">
        <f>9243-BR29</f>
      </c>
      <c r="BT29" s="34">
        <f>13963-SUM(BR29:BS29)</f>
      </c>
      <c r="BU29" s="173">
        <f>20317-SUM(BR29:BT29)</f>
      </c>
      <c r="BV29" s="34">
        <v>5556</v>
      </c>
      <c r="BW29" s="34">
        <f>10869-BV29</f>
      </c>
      <c r="BX29" s="34">
        <f>15111-SUM(BV29:BW29)</f>
      </c>
      <c r="BY29" s="173">
        <f>18810-SUM(BV29:BX29)</f>
      </c>
      <c r="BZ29" s="34">
        <v>2807</v>
      </c>
      <c r="CA29" s="34">
        <f>5871-BZ29</f>
      </c>
      <c r="CB29" s="34">
        <f>9916-SUM(BZ29:CA29)</f>
      </c>
      <c r="CC29" s="173">
        <f>14538-SUM(BZ29:CB29)</f>
      </c>
      <c r="CD29" s="34">
        <v>3514</v>
      </c>
      <c r="CE29" s="34">
        <f>9148-CD29</f>
      </c>
      <c r="CF29" s="77">
        <f>14915-SUM(CD29:CE29)</f>
      </c>
      <c r="CG29" s="173">
        <f>21258-SUM(CD29:CF29)</f>
      </c>
      <c r="CH29" s="34">
        <v>6525</v>
      </c>
      <c r="CI29" s="34">
        <f>12429-CH29</f>
      </c>
      <c r="CJ29" s="34">
        <f>19347-CI29-CH29</f>
      </c>
      <c r="CK29" s="173">
        <f>-SUM(CH29:CJ29)+31775</f>
      </c>
      <c r="CL29" s="34">
        <v>14048</v>
      </c>
      <c r="CM29" s="34">
        <f>31884-CL29</f>
      </c>
      <c r="CN29" s="34">
        <f>46290-CM29-CL29</f>
      </c>
      <c r="CO29" s="173">
        <f>-SUM(CL29:CN29)+55881</f>
      </c>
      <c r="CP29" s="77">
        <v>7203</v>
      </c>
      <c r="CQ29" s="77">
        <f>16880-CP29</f>
      </c>
      <c r="CR29" s="34">
        <f>26783-CQ29-CP29</f>
      </c>
      <c r="CS29" s="173">
        <f>-SUM(CP29:CR29)+40102</f>
      </c>
      <c r="CT29" s="77">
        <v>19740</v>
      </c>
      <c r="CU29" s="77">
        <f>39738-CT29</f>
      </c>
      <c r="CV29" s="77">
        <f>54865-CU29-CT29</f>
      </c>
      <c r="CW29" s="192">
        <f>69918-CV29-CU29-CT29</f>
      </c>
      <c r="CX29" s="474">
        <v>25177</v>
      </c>
      <c r="CY29" s="77">
        <f>39605-CX29</f>
      </c>
      <c r="CZ29" s="77">
        <f>49880-CY29-CX29</f>
      </c>
      <c r="DA29" s="192">
        <f>59023-CZ29-CY29-CX29</f>
      </c>
      <c r="DB29" s="474">
        <v>11309</v>
      </c>
      <c r="DC29" s="77">
        <f>18000-DB29</f>
      </c>
      <c r="DD29" s="77">
        <f>24203-DC29-DB29</f>
      </c>
      <c r="DE29" s="192">
        <f>29917-DD29-DC29-DB29</f>
      </c>
      <c r="DF29" s="474">
        <v>7127</v>
      </c>
      <c r="DG29" s="77">
        <f>17124-DF29</f>
      </c>
      <c r="DH29" s="77">
        <f>27857-DG29-DF29</f>
      </c>
      <c r="DI29" s="3152">
        <f>39686-SUM(DF29:DH29)</f>
      </c>
      <c r="DJ29" s="474">
        <v>13046</v>
      </c>
      <c r="DK29" s="77">
        <f>27462-DJ29</f>
      </c>
      <c r="DL29" s="77">
        <f>39838-DK29-DJ29</f>
      </c>
      <c r="DM29" s="3152">
        <f>51211-SUM(DJ29:DL29)</f>
      </c>
      <c r="DN29" s="474">
        <v>15967</v>
      </c>
      <c r="DO29" s="77">
        <f>26587-DN29</f>
      </c>
      <c r="DP29" s="77">
        <f>35036-DO29-DN29</f>
      </c>
      <c r="DQ29" s="1185">
        <v>2000</v>
      </c>
      <c r="DR29" s="1186">
        <v>2000</v>
      </c>
      <c r="DS29" s="1186">
        <v>2000</v>
      </c>
      <c r="DT29" s="1186">
        <v>2000</v>
      </c>
      <c r="DU29" s="1185">
        <v>2000</v>
      </c>
      <c r="DV29" s="1186">
        <v>2000</v>
      </c>
      <c r="DW29" s="1186">
        <v>2000</v>
      </c>
      <c r="DX29" s="1186">
        <v>2000</v>
      </c>
      <c r="DY29" s="1186">
        <v>2000</v>
      </c>
      <c r="DZ29" s="1186">
        <v>2000</v>
      </c>
      <c r="EA29" s="1186">
        <v>2000</v>
      </c>
      <c r="EB29" s="1186">
        <v>2000</v>
      </c>
      <c r="EC29" s="1185">
        <v>2000</v>
      </c>
      <c r="ED29" s="1186">
        <v>2000</v>
      </c>
      <c r="EE29" s="1186">
        <v>2000</v>
      </c>
      <c r="EF29" s="1186">
        <v>2000</v>
      </c>
      <c r="EG29" s="1185">
        <v>2000</v>
      </c>
      <c r="EH29" s="1186">
        <v>2000</v>
      </c>
      <c r="EI29" s="1186">
        <v>2000</v>
      </c>
      <c r="EJ29" s="1186">
        <v>2000</v>
      </c>
      <c r="EK29" s="1185">
        <v>2000</v>
      </c>
      <c r="EL29" s="3192"/>
      <c r="EN29" s="10">
        <f t="shared" si="77"/>
      </c>
      <c r="EO29" s="10">
        <f t="shared" si="78"/>
      </c>
      <c r="EP29" s="10">
        <f t="shared" si="79"/>
      </c>
      <c r="EQ29" s="10">
        <f t="shared" si="80"/>
      </c>
      <c r="ER29" s="10">
        <f t="shared" si="81"/>
      </c>
      <c r="ES29" s="10">
        <f t="shared" si="82"/>
      </c>
      <c r="ET29" s="10">
        <f t="shared" si="83"/>
      </c>
      <c r="EU29" s="10">
        <f t="shared" si="84"/>
      </c>
      <c r="EV29" s="10">
        <f t="shared" si="85"/>
      </c>
      <c r="EW29" s="10">
        <f t="shared" si="86"/>
      </c>
      <c r="EX29" s="10">
        <f t="shared" si="87"/>
      </c>
      <c r="EY29" s="10">
        <f t="shared" si="88"/>
      </c>
      <c r="EZ29" s="10">
        <f t="shared" si="89"/>
      </c>
      <c r="FA29" s="10">
        <f t="shared" si="90"/>
      </c>
      <c r="FB29" s="10">
        <f t="shared" si="91"/>
      </c>
      <c r="FC29" s="10">
        <f t="shared" si="92"/>
      </c>
      <c r="FD29" s="10">
        <f t="shared" si="93"/>
      </c>
      <c r="FE29" s="10">
        <f t="shared" si="94"/>
      </c>
      <c r="FF29" s="10">
        <f t="shared" si="95"/>
      </c>
      <c r="FG29" s="10">
        <f t="shared" si="96"/>
      </c>
      <c r="FH29" s="10">
        <f t="shared" si="97"/>
      </c>
      <c r="FI29" s="10">
        <f t="shared" si="98"/>
      </c>
      <c r="FJ29" s="10">
        <f t="shared" si="99"/>
      </c>
      <c r="FK29" s="10">
        <f t="shared" si="100"/>
      </c>
      <c r="FL29" s="10">
        <f t="shared" si="101"/>
      </c>
      <c r="FM29" s="10">
        <f t="shared" si="102"/>
      </c>
      <c r="FN29" s="10">
        <f t="shared" si="103"/>
      </c>
      <c r="FO29" s="10">
        <f t="shared" si="104"/>
      </c>
      <c r="FP29" s="10">
        <f t="shared" si="105"/>
      </c>
      <c r="FQ29" s="10">
        <f t="shared" si="106"/>
      </c>
      <c r="FR29" s="10">
        <f t="shared" si="107"/>
      </c>
      <c r="FS29" s="10">
        <f t="shared" si="108"/>
      </c>
      <c r="FT29" s="10">
        <f t="shared" si="109"/>
      </c>
      <c r="FU29" s="10">
        <f t="shared" si="110"/>
      </c>
      <c r="FV29" s="10">
        <f t="shared" si="111"/>
      </c>
      <c r="FW29" s="10"/>
      <c r="FX29" s="10">
        <f t="shared" si="112"/>
      </c>
      <c r="FY29" s="10">
        <f t="shared" si="113"/>
      </c>
      <c r="FZ29" s="10">
        <f t="shared" si="114"/>
      </c>
      <c r="GA29" s="10">
        <f t="shared" si="115"/>
      </c>
      <c r="GB29" s="10">
        <f t="shared" si="116"/>
      </c>
      <c r="GC29" s="10">
        <f t="shared" si="117"/>
      </c>
      <c r="GD29" s="10">
        <f t="shared" si="118"/>
      </c>
      <c r="GE29" s="10">
        <f t="shared" si="119"/>
      </c>
      <c r="GF29" s="10">
        <f t="shared" si="120"/>
      </c>
      <c r="GG29" s="10">
        <f t="shared" si="121"/>
      </c>
      <c r="GH29" s="10">
        <f t="shared" si="122"/>
      </c>
      <c r="GI29" s="10">
        <f t="shared" si="123"/>
      </c>
    </row>
    <row r="30" spans="1:191">
      <c r="A30" s="19" t="s">
        <v>136</v>
      </c>
      <c r="B30" s="34"/>
      <c r="C30" s="34"/>
      <c r="D30" s="34"/>
      <c r="E30" s="173"/>
      <c r="F30" s="34"/>
      <c r="G30" s="34"/>
      <c r="H30" s="34"/>
      <c r="I30" s="173"/>
      <c r="J30" s="34"/>
      <c r="K30" s="34"/>
      <c r="L30" s="34"/>
      <c r="M30" s="173"/>
      <c r="N30" s="34"/>
      <c r="O30" s="34"/>
      <c r="P30" s="34"/>
      <c r="Q30" s="173"/>
      <c r="R30" s="34"/>
      <c r="S30" s="34"/>
      <c r="T30" s="34"/>
      <c r="U30" s="173"/>
      <c r="V30" s="34"/>
      <c r="W30" s="34"/>
      <c r="X30" s="34"/>
      <c r="Y30" s="173"/>
      <c r="Z30" s="34"/>
      <c r="AA30" s="34"/>
      <c r="AB30" s="34"/>
      <c r="AC30" s="173"/>
      <c r="AD30" s="34"/>
      <c r="AE30" s="34"/>
      <c r="AF30" s="34"/>
      <c r="AG30" s="173"/>
      <c r="AH30" s="34"/>
      <c r="AI30" s="34"/>
      <c r="AJ30" s="34"/>
      <c r="AK30" s="173"/>
      <c r="AL30" s="34"/>
      <c r="AM30" s="34"/>
      <c r="AN30" s="34"/>
      <c r="AO30" s="173"/>
      <c r="AP30" s="34"/>
      <c r="AQ30" s="34"/>
      <c r="AR30" s="34"/>
      <c r="AS30" s="173"/>
      <c r="AT30" s="34"/>
      <c r="AU30" s="34"/>
      <c r="AV30" s="34"/>
      <c r="AW30" s="173"/>
      <c r="AX30" s="34"/>
      <c r="AY30" s="34"/>
      <c r="AZ30" s="34"/>
      <c r="BA30" s="173"/>
      <c r="BB30" s="34">
        <v>2668</v>
      </c>
      <c r="BC30" s="34">
        <f>5457-BB30</f>
      </c>
      <c r="BD30" s="34">
        <f>9117-SUM(BB30:BC30)</f>
      </c>
      <c r="BE30" s="173">
        <f>10888-SUM(BB30:BD30)</f>
      </c>
      <c r="BF30" s="34">
        <v>3199</v>
      </c>
      <c r="BG30" s="34">
        <f>8686-BF30</f>
      </c>
      <c r="BH30" s="34">
        <f>14048-SUM(BF30:BG30)</f>
      </c>
      <c r="BI30" s="173">
        <f>21788-SUM(BF30:BH30)</f>
      </c>
      <c r="BJ30" s="34">
        <v>6853</v>
      </c>
      <c r="BK30" s="34">
        <f>21705-BJ30</f>
      </c>
      <c r="BL30" s="34">
        <f>34301-SUM(BJ30:BK30)</f>
      </c>
      <c r="BM30" s="173">
        <f>49416-SUM(BJ30:BL30)</f>
      </c>
      <c r="BN30" s="34">
        <v>21472</v>
      </c>
      <c r="BO30" s="34">
        <f>49052-BN30</f>
      </c>
      <c r="BP30" s="34">
        <f>73140-SUM(BN30:BO30)</f>
      </c>
      <c r="BQ30" s="173">
        <f>99770-SUM(BN30:BP30)</f>
      </c>
      <c r="BR30" s="34">
        <v>23002</v>
      </c>
      <c r="BS30" s="34">
        <f>49188-BR30</f>
      </c>
      <c r="BT30" s="34">
        <f>81734-SUM(BR30:BS30)</f>
      </c>
      <c r="BU30" s="173">
        <f>104130-SUM(BR30:BT30)</f>
      </c>
      <c r="BV30" s="34">
        <v>30302</v>
      </c>
      <c r="BW30" s="34">
        <f>80241-BV30</f>
      </c>
      <c r="BX30" s="34">
        <f>126827-SUM(BV30:BW30)</f>
      </c>
      <c r="BY30" s="173">
        <f>189301-SUM(BV30:BX30)</f>
      </c>
      <c r="BZ30" s="34">
        <v>24166</v>
      </c>
      <c r="CA30" s="34">
        <f>48924-BZ30</f>
      </c>
      <c r="CB30" s="34">
        <f>80635-SUM(BZ30:CA30)</f>
      </c>
      <c r="CC30" s="173">
        <f>107447-SUM(BZ30:CB30)</f>
      </c>
      <c r="CD30" s="34">
        <v>28262</v>
      </c>
      <c r="CE30" s="34">
        <f>50051-CD30</f>
      </c>
      <c r="CF30" s="77">
        <f>69926-SUM(CD30:CE30)</f>
      </c>
      <c r="CG30" s="173">
        <f>90536-SUM(CD30:CF30)</f>
      </c>
      <c r="CH30" s="34">
        <v>32166</v>
      </c>
      <c r="CI30" s="34">
        <f>60454-CH30</f>
      </c>
      <c r="CJ30" s="34">
        <f>76747-CI30-CH30</f>
      </c>
      <c r="CK30" s="173">
        <f>-SUM(CH30:CJ30)+94564</f>
      </c>
      <c r="CL30" s="34">
        <v>16801</v>
      </c>
      <c r="CM30" s="34">
        <f>38942-CL30</f>
      </c>
      <c r="CN30" s="34">
        <f>41614-CM30-CL30</f>
      </c>
      <c r="CO30" s="173">
        <f>-SUM(CL30:CN30)+47838</f>
      </c>
      <c r="CP30" s="77">
        <v>9723</v>
      </c>
      <c r="CQ30" s="77">
        <f>22635-CP30</f>
      </c>
      <c r="CR30" s="34">
        <f>49516-CQ30-CP30</f>
      </c>
      <c r="CS30" s="173">
        <f>-SUM(CP30:CR30)+56988</f>
      </c>
      <c r="CT30" s="77">
        <v>7280</v>
      </c>
      <c r="CU30" s="77">
        <f>27762-CT30</f>
      </c>
      <c r="CV30" s="77">
        <f>39760-CU30-CT30</f>
      </c>
      <c r="CW30" s="192">
        <f>50473-CV30-CU30-CT30</f>
      </c>
      <c r="CX30" s="474">
        <v>9344</v>
      </c>
      <c r="CY30" s="77">
        <f>21645-CX30</f>
      </c>
      <c r="CZ30" s="77">
        <f>36745-CY30-CX30</f>
      </c>
      <c r="DA30" s="192">
        <f>47460-CZ30-CY30-CX30</f>
      </c>
      <c r="DB30" s="474">
        <v>10675</v>
      </c>
      <c r="DC30" s="77">
        <f>24668-DB30</f>
      </c>
      <c r="DD30" s="77">
        <f>33609-DC30-DB30</f>
      </c>
      <c r="DE30" s="192">
        <f>37446-DD30-DC30-DB30</f>
      </c>
      <c r="DF30" s="474">
        <v>509</v>
      </c>
      <c r="DG30" s="77">
        <f>1897-DF30</f>
      </c>
      <c r="DH30" s="77">
        <f>3959-DG30-DF30</f>
      </c>
      <c r="DI30" s="3152">
        <f>5828-SUM(DF30:DH30)</f>
      </c>
      <c r="DJ30" s="474">
        <v>1337</v>
      </c>
      <c r="DK30" s="77">
        <f>4314-DJ30</f>
      </c>
      <c r="DL30" s="77">
        <f>7382-DK30-DJ30</f>
      </c>
      <c r="DM30" s="3152">
        <f>11135-SUM(DJ30:DL30)</f>
      </c>
      <c r="DN30" s="474">
        <v>3492</v>
      </c>
      <c r="DO30" s="77">
        <f>5210-DN30</f>
      </c>
      <c r="DP30" s="77">
        <f>10785-DO30-DN30</f>
      </c>
      <c r="DQ30" s="1185">
        <v>0</v>
      </c>
      <c r="DR30" s="1186">
        <v>0</v>
      </c>
      <c r="DS30" s="1186">
        <v>0</v>
      </c>
      <c r="DT30" s="1186">
        <v>0</v>
      </c>
      <c r="DU30" s="1185">
        <v>0</v>
      </c>
      <c r="DV30" s="1186">
        <v>0</v>
      </c>
      <c r="DW30" s="1186">
        <v>0</v>
      </c>
      <c r="DX30" s="1186">
        <v>0</v>
      </c>
      <c r="DY30" s="1185">
        <v>0</v>
      </c>
      <c r="DZ30" s="1186">
        <v>0</v>
      </c>
      <c r="EA30" s="1186">
        <v>0</v>
      </c>
      <c r="EB30" s="1186">
        <v>0</v>
      </c>
      <c r="EC30" s="1185">
        <v>0</v>
      </c>
      <c r="ED30" s="1186">
        <v>0</v>
      </c>
      <c r="EE30" s="1186">
        <v>0</v>
      </c>
      <c r="EF30" s="1186">
        <v>0</v>
      </c>
      <c r="EG30" s="1185">
        <v>0</v>
      </c>
      <c r="EH30" s="1186">
        <v>0</v>
      </c>
      <c r="EI30" s="1186">
        <v>0</v>
      </c>
      <c r="EJ30" s="1186">
        <v>0</v>
      </c>
      <c r="EK30" s="1185">
        <v>0</v>
      </c>
      <c r="EL30" s="3192"/>
      <c r="EN30" s="10">
        <f t="shared" si="77"/>
      </c>
      <c r="EO30" s="10">
        <f t="shared" si="78"/>
      </c>
      <c r="EP30" s="10">
        <f t="shared" si="79"/>
      </c>
      <c r="EQ30" s="10">
        <f t="shared" si="80"/>
      </c>
      <c r="ER30" s="10">
        <f t="shared" si="81"/>
      </c>
      <c r="ES30" s="10">
        <f t="shared" si="82"/>
      </c>
      <c r="ET30" s="10">
        <f t="shared" si="83"/>
      </c>
      <c r="EU30" s="10">
        <f t="shared" si="84"/>
      </c>
      <c r="EV30" s="10">
        <f t="shared" si="85"/>
      </c>
      <c r="EW30" s="10">
        <f t="shared" si="86"/>
      </c>
      <c r="EX30" s="10">
        <f t="shared" si="87"/>
      </c>
      <c r="EY30" s="10">
        <f t="shared" si="88"/>
      </c>
      <c r="EZ30" s="10">
        <f t="shared" si="89"/>
      </c>
      <c r="FA30" s="10">
        <f t="shared" si="90"/>
      </c>
      <c r="FB30" s="10">
        <f t="shared" si="91"/>
      </c>
      <c r="FC30" s="10">
        <f t="shared" si="92"/>
      </c>
      <c r="FD30" s="10">
        <f t="shared" si="93"/>
      </c>
      <c r="FE30" s="10">
        <f t="shared" si="94"/>
      </c>
      <c r="FF30" s="10">
        <f t="shared" si="95"/>
      </c>
      <c r="FG30" s="10">
        <f t="shared" si="96"/>
      </c>
      <c r="FH30" s="10">
        <f t="shared" si="97"/>
      </c>
      <c r="FI30" s="10">
        <f t="shared" si="98"/>
      </c>
      <c r="FJ30" s="10">
        <f t="shared" si="99"/>
      </c>
      <c r="FK30" s="10">
        <f t="shared" si="100"/>
      </c>
      <c r="FL30" s="10">
        <f t="shared" si="101"/>
      </c>
      <c r="FM30" s="10">
        <f t="shared" si="102"/>
      </c>
      <c r="FN30" s="10">
        <f t="shared" si="103"/>
      </c>
      <c r="FO30" s="10">
        <f t="shared" si="104"/>
      </c>
      <c r="FP30" s="10">
        <f t="shared" si="105"/>
      </c>
      <c r="FQ30" s="10">
        <f t="shared" si="106"/>
      </c>
      <c r="FR30" s="10">
        <f t="shared" si="107"/>
      </c>
      <c r="FS30" s="10">
        <f t="shared" si="108"/>
      </c>
      <c r="FT30" s="10">
        <f t="shared" si="109"/>
      </c>
      <c r="FU30" s="10">
        <f t="shared" si="110"/>
      </c>
      <c r="FV30" s="10">
        <f t="shared" si="111"/>
      </c>
      <c r="FW30" s="10"/>
      <c r="FX30" s="10">
        <f t="shared" si="112"/>
      </c>
      <c r="FY30" s="10">
        <f t="shared" si="113"/>
      </c>
      <c r="FZ30" s="10">
        <f t="shared" si="114"/>
      </c>
      <c r="GA30" s="10">
        <f t="shared" si="115"/>
      </c>
      <c r="GB30" s="10">
        <f t="shared" si="116"/>
      </c>
      <c r="GC30" s="10">
        <f t="shared" si="117"/>
      </c>
      <c r="GD30" s="10">
        <f t="shared" si="118"/>
      </c>
      <c r="GE30" s="10">
        <f t="shared" si="119"/>
      </c>
      <c r="GF30" s="10">
        <f t="shared" si="120"/>
      </c>
      <c r="GG30" s="10">
        <f t="shared" si="121"/>
      </c>
      <c r="GH30" s="10">
        <f t="shared" si="122"/>
      </c>
      <c r="GI30" s="10">
        <f t="shared" si="123"/>
      </c>
    </row>
    <row r="31" spans="1:191">
      <c r="A31" s="19" t="s">
        <v>137</v>
      </c>
      <c r="B31" s="34">
        <v>0</v>
      </c>
      <c r="C31" s="34">
        <v>0</v>
      </c>
      <c r="D31" s="34">
        <v>0</v>
      </c>
      <c r="E31" s="173">
        <v>0</v>
      </c>
      <c r="F31" s="34">
        <v>0</v>
      </c>
      <c r="G31" s="34">
        <f>-383-F31</f>
      </c>
      <c r="H31" s="34">
        <f>-384-G31-F31</f>
      </c>
      <c r="I31" s="173">
        <f>-384-H31-G31-F31</f>
      </c>
      <c r="J31" s="34">
        <v>0</v>
      </c>
      <c r="K31" s="34">
        <v>0</v>
      </c>
      <c r="L31" s="34">
        <v>0</v>
      </c>
      <c r="M31" s="173">
        <v>0</v>
      </c>
      <c r="N31" s="34">
        <v>0</v>
      </c>
      <c r="O31" s="34">
        <v>0</v>
      </c>
      <c r="P31" s="34">
        <v>0</v>
      </c>
      <c r="Q31" s="173">
        <v>0</v>
      </c>
      <c r="R31" s="34">
        <v>0</v>
      </c>
      <c r="S31" s="34">
        <v>0</v>
      </c>
      <c r="T31" s="34">
        <v>0</v>
      </c>
      <c r="U31" s="173">
        <v>0</v>
      </c>
      <c r="V31" s="34">
        <v>0</v>
      </c>
      <c r="W31" s="34">
        <v>0</v>
      </c>
      <c r="X31" s="34">
        <v>0</v>
      </c>
      <c r="Y31" s="173">
        <f>-19-X31-W31-V31</f>
      </c>
      <c r="Z31" s="34">
        <v>0</v>
      </c>
      <c r="AA31" s="34">
        <v>0</v>
      </c>
      <c r="AB31" s="34">
        <v>0</v>
      </c>
      <c r="AC31" s="173">
        <f>-52-AB31-AA31-Z31</f>
      </c>
      <c r="AD31" s="34">
        <v>0</v>
      </c>
      <c r="AE31" s="34">
        <v>0</v>
      </c>
      <c r="AF31" s="34">
        <v>0</v>
      </c>
      <c r="AG31" s="173">
        <v>0</v>
      </c>
      <c r="AH31" s="34">
        <v>0</v>
      </c>
      <c r="AI31" s="34">
        <v>0</v>
      </c>
      <c r="AJ31" s="34">
        <v>0</v>
      </c>
      <c r="AK31" s="173">
        <v>0</v>
      </c>
      <c r="AL31" s="34"/>
      <c r="AM31" s="34"/>
      <c r="AN31" s="34"/>
      <c r="AO31" s="173"/>
      <c r="AP31" s="34">
        <v>0</v>
      </c>
      <c r="AQ31" s="34">
        <v>0</v>
      </c>
      <c r="AR31" s="34">
        <v>0</v>
      </c>
      <c r="AS31" s="173">
        <v>0</v>
      </c>
      <c r="AT31" s="34">
        <v>-115</v>
      </c>
      <c r="AU31" s="34">
        <f>-216-AT31</f>
      </c>
      <c r="AV31" s="34">
        <f>-222-AU31-AT31</f>
      </c>
      <c r="AW31" s="173">
        <f>-251-AV31-AU31-AT31</f>
      </c>
      <c r="AX31" s="34">
        <v>-8</v>
      </c>
      <c r="AY31" s="34">
        <f>-63-AX31</f>
      </c>
      <c r="AZ31" s="34">
        <f>-89-AY31-AX31</f>
      </c>
      <c r="BA31" s="173">
        <f>-220-108-AZ31-AY31-AX31</f>
      </c>
      <c r="BB31" s="34">
        <v>0</v>
      </c>
      <c r="BC31" s="34">
        <f>0-BB31</f>
      </c>
      <c r="BD31" s="34">
        <f>0-SUM(BB31:BC31)</f>
      </c>
      <c r="BE31" s="173">
        <f>0-SUM(BB31:BD31)</f>
      </c>
      <c r="BF31" s="34">
        <v>0</v>
      </c>
      <c r="BG31" s="34">
        <f>-325-BF31</f>
      </c>
      <c r="BH31" s="34">
        <f>-615-SUM(BF31:BG31)</f>
      </c>
      <c r="BI31" s="173">
        <f>-638-SUM(BF31:BH31)</f>
      </c>
      <c r="BJ31" s="34">
        <v>0</v>
      </c>
      <c r="BK31" s="34">
        <f>0-BJ31</f>
      </c>
      <c r="BL31" s="34">
        <f>0-SUM(BJ31:BK31)</f>
      </c>
      <c r="BM31" s="173">
        <f>-244-SUM(BJ31:BL31)</f>
      </c>
      <c r="BN31" s="34">
        <v>0</v>
      </c>
      <c r="BO31" s="34">
        <f>-350-BN31</f>
      </c>
      <c r="BP31" s="34">
        <f>-350-SUM(BN31:BO31)</f>
      </c>
      <c r="BQ31" s="173">
        <f>-350-SUM(BN31:BP31)</f>
      </c>
      <c r="BR31" s="34">
        <v>-284</v>
      </c>
      <c r="BS31" s="34">
        <f>-299-BR31</f>
      </c>
      <c r="BT31" s="34">
        <f>-443-SUM(BR31:BS31)</f>
      </c>
      <c r="BU31" s="173">
        <f>-496-SUM(BR31:BT31)</f>
      </c>
      <c r="BV31" s="34">
        <v>-525</v>
      </c>
      <c r="BW31" s="34">
        <f>-559-BV31</f>
      </c>
      <c r="BX31" s="34">
        <f>-898-SUM(BV31:BW31)</f>
      </c>
      <c r="BY31" s="173">
        <f>-3765-SUM(BV31:BX31)</f>
      </c>
      <c r="BZ31" s="34">
        <v>-23</v>
      </c>
      <c r="CA31" s="34">
        <f>-115-BZ31</f>
      </c>
      <c r="CB31" s="34">
        <f>-230-SUM(BZ31:CA31)</f>
      </c>
      <c r="CC31" s="173">
        <f>-343-SUM(BZ31:CB31)</f>
      </c>
      <c r="CD31" s="34">
        <v>-86</v>
      </c>
      <c r="CE31" s="34">
        <f>-140-CD31</f>
      </c>
      <c r="CF31" s="77">
        <f>-146-SUM(CD31:CE31)</f>
      </c>
      <c r="CG31" s="173">
        <f>-297-SUM(CD31:CF31)</f>
      </c>
      <c r="CH31" s="34">
        <v>-17</v>
      </c>
      <c r="CI31" s="34">
        <f>-67-CH31</f>
      </c>
      <c r="CJ31" s="34">
        <f>-248-CI31-CH31-87</f>
      </c>
      <c r="CK31" s="173">
        <f>-SUM(CH31:CJ31)-329</f>
      </c>
      <c r="CL31" s="34">
        <v>-173</v>
      </c>
      <c r="CM31" s="34">
        <f>-305-CL31</f>
      </c>
      <c r="CN31" s="34">
        <f>-431-CM31-CL31-1788</f>
      </c>
      <c r="CO31" s="173">
        <f>-SUM(CL31:CN31)-721</f>
      </c>
      <c r="CP31" s="77">
        <v>-167</v>
      </c>
      <c r="CQ31" s="77">
        <f>-291-CP31</f>
      </c>
      <c r="CR31" s="34">
        <f>-611-CQ31-CP31-632</f>
      </c>
      <c r="CS31" s="173">
        <f>-SUM(CP31:CR31)-624</f>
      </c>
      <c r="CT31" s="77">
        <v>-958</v>
      </c>
      <c r="CU31" s="77">
        <f>-1134-CT31</f>
      </c>
      <c r="CV31" s="77">
        <f>-1473-CU31-CT31</f>
      </c>
      <c r="CW31" s="192">
        <f>-1524-CV31-CU31-CT31</f>
      </c>
      <c r="CX31" s="474">
        <v>-9</v>
      </c>
      <c r="CY31" s="77">
        <f>-9-CX31</f>
      </c>
      <c r="CZ31" s="77">
        <f>-13-CY31-CX31</f>
      </c>
      <c r="DA31" s="192">
        <f>-33-CZ31-CY31-CX31</f>
      </c>
      <c r="DB31" s="474">
        <v>0</v>
      </c>
      <c r="DC31" s="77">
        <f>-167-DB31</f>
      </c>
      <c r="DD31" s="77">
        <f>-169-DC31-DB31</f>
      </c>
      <c r="DE31" s="192">
        <f>-306-DD31-DC31-DB31</f>
      </c>
      <c r="DF31" s="474">
        <v>0</v>
      </c>
      <c r="DG31" s="77">
        <v>0</v>
      </c>
      <c r="DH31" s="77">
        <v>0</v>
      </c>
      <c r="DI31" s="3152">
        <v>0</v>
      </c>
      <c r="DJ31" s="474">
        <v>0</v>
      </c>
      <c r="DK31" s="77">
        <v>0</v>
      </c>
      <c r="DL31" s="77">
        <v>0</v>
      </c>
      <c r="DM31" s="3152">
        <v>0</v>
      </c>
      <c r="DN31" s="474">
        <v>0</v>
      </c>
      <c r="DO31" s="77">
        <v>0</v>
      </c>
      <c r="DP31" s="77">
        <v>0</v>
      </c>
      <c r="DQ31" s="1185">
        <v>0</v>
      </c>
      <c r="DR31" s="77"/>
      <c r="DS31" s="77"/>
      <c r="DT31" s="77"/>
      <c r="DU31" s="192"/>
      <c r="DV31" s="77"/>
      <c r="DW31" s="77"/>
      <c r="DX31" s="77"/>
      <c r="DY31" s="192"/>
      <c r="DZ31" s="77"/>
      <c r="EA31" s="77"/>
      <c r="EB31" s="77"/>
      <c r="EC31" s="192"/>
      <c r="ED31" s="77"/>
      <c r="EE31" s="77"/>
      <c r="EF31" s="77"/>
      <c r="EG31" s="192"/>
      <c r="EH31" s="77"/>
      <c r="EI31" s="77"/>
      <c r="EJ31" s="77"/>
      <c r="EK31" s="192"/>
      <c r="EL31" s="3192"/>
      <c r="EN31" s="10">
        <f t="shared" si="77"/>
      </c>
      <c r="EO31" s="10">
        <f t="shared" si="78"/>
      </c>
      <c r="EP31" s="10">
        <f t="shared" si="79"/>
      </c>
      <c r="EQ31" s="10">
        <f t="shared" si="80"/>
      </c>
      <c r="ER31" s="10">
        <f t="shared" si="81"/>
      </c>
      <c r="ES31" s="10">
        <f t="shared" si="82"/>
      </c>
      <c r="ET31" s="10">
        <f t="shared" si="83"/>
      </c>
      <c r="EU31" s="10">
        <f t="shared" si="84"/>
      </c>
      <c r="EV31" s="10">
        <f t="shared" si="85"/>
      </c>
      <c r="EW31" s="10">
        <f t="shared" si="86"/>
      </c>
      <c r="EX31" s="10">
        <f t="shared" si="87"/>
      </c>
      <c r="EY31" s="10">
        <f t="shared" si="88"/>
      </c>
      <c r="EZ31" s="10">
        <f t="shared" si="89"/>
      </c>
      <c r="FA31" s="10">
        <f t="shared" si="90"/>
      </c>
      <c r="FB31" s="10">
        <f t="shared" si="91"/>
      </c>
      <c r="FC31" s="10">
        <f t="shared" si="92"/>
      </c>
      <c r="FD31" s="10">
        <f t="shared" si="93"/>
      </c>
      <c r="FE31" s="10">
        <f t="shared" si="94"/>
      </c>
      <c r="FF31" s="10">
        <f t="shared" si="95"/>
      </c>
      <c r="FG31" s="10">
        <f t="shared" si="96"/>
      </c>
      <c r="FH31" s="10">
        <f t="shared" si="97"/>
      </c>
      <c r="FI31" s="10">
        <f t="shared" si="98"/>
      </c>
      <c r="FJ31" s="10">
        <f t="shared" si="99"/>
      </c>
      <c r="FK31" s="10">
        <f t="shared" si="100"/>
      </c>
      <c r="FL31" s="10">
        <f t="shared" si="101"/>
      </c>
      <c r="FM31" s="10">
        <f t="shared" si="102"/>
      </c>
      <c r="FN31" s="10">
        <f t="shared" si="103"/>
      </c>
      <c r="FO31" s="10">
        <f t="shared" si="104"/>
      </c>
      <c r="FP31" s="10">
        <f t="shared" si="105"/>
      </c>
      <c r="FQ31" s="10">
        <f t="shared" si="106"/>
      </c>
      <c r="FR31" s="10">
        <f t="shared" si="107"/>
      </c>
      <c r="FS31" s="10">
        <f t="shared" si="108"/>
      </c>
      <c r="FT31" s="10">
        <f t="shared" si="109"/>
      </c>
      <c r="FU31" s="10">
        <f t="shared" si="110"/>
      </c>
      <c r="FV31" s="10">
        <f t="shared" si="111"/>
      </c>
      <c r="FW31" s="10"/>
      <c r="FX31" s="10">
        <f t="shared" si="112"/>
      </c>
      <c r="FY31" s="10">
        <f t="shared" si="113"/>
      </c>
      <c r="FZ31" s="10">
        <f t="shared" si="114"/>
      </c>
      <c r="GA31" s="10">
        <f t="shared" si="115"/>
      </c>
      <c r="GB31" s="10">
        <f t="shared" si="116"/>
      </c>
      <c r="GC31" s="10">
        <f t="shared" si="117"/>
      </c>
      <c r="GD31" s="10">
        <f t="shared" si="118"/>
      </c>
      <c r="GE31" s="10">
        <f t="shared" si="119"/>
      </c>
      <c r="GF31" s="10">
        <f t="shared" si="120"/>
      </c>
      <c r="GG31" s="10">
        <f t="shared" si="121"/>
      </c>
      <c r="GH31" s="10">
        <f t="shared" si="122"/>
      </c>
      <c r="GI31" s="10">
        <f t="shared" si="123"/>
      </c>
    </row>
    <row r="32" spans="1:191">
      <c r="A32" s="19" t="s">
        <v>138</v>
      </c>
      <c r="B32" s="34">
        <f>-31-36</f>
      </c>
      <c r="C32" s="34">
        <f>-42-42-B32</f>
      </c>
      <c r="D32" s="34">
        <f>-55-33-C32-B32</f>
      </c>
      <c r="E32" s="173">
        <f>-67-55-D32-C32-B32</f>
      </c>
      <c r="F32" s="34">
        <f>2-20</f>
      </c>
      <c r="G32" s="34">
        <f>1-36-F32</f>
      </c>
      <c r="H32" s="34">
        <f>12-42-G32-F32</f>
      </c>
      <c r="I32" s="173">
        <f>-53+47-H32-G32-F32</f>
      </c>
      <c r="J32" s="34">
        <f>42-7</f>
      </c>
      <c r="K32" s="34">
        <f>45-12-J32</f>
      </c>
      <c r="L32" s="34">
        <f>79-29-10-K32-J32</f>
      </c>
      <c r="M32" s="173">
        <f>89-46-L32-K32-J32</f>
      </c>
      <c r="N32" s="34">
        <v>-5</v>
      </c>
      <c r="O32" s="34">
        <f>-24+20-N32</f>
      </c>
      <c r="P32" s="34">
        <f>21-31-O32-N32</f>
      </c>
      <c r="Q32" s="173">
        <f>-71+23-P32-O32-N32</f>
      </c>
      <c r="R32" s="34">
        <f>-38</f>
      </c>
      <c r="S32" s="34">
        <f>-65-R32</f>
      </c>
      <c r="T32" s="34">
        <f>11-76-S32-R32</f>
      </c>
      <c r="U32" s="173">
        <f>-142+11-T32-S32-R32</f>
      </c>
      <c r="V32" s="34">
        <v>-22</v>
      </c>
      <c r="W32" s="34">
        <f>-39-V32</f>
      </c>
      <c r="X32" s="34">
        <f>-69-W32-V32</f>
      </c>
      <c r="Y32" s="173">
        <f>-232-X32-W32-V32</f>
      </c>
      <c r="Z32" s="34">
        <v>-36</v>
      </c>
      <c r="AA32" s="34">
        <f>-79-Z32</f>
      </c>
      <c r="AB32" s="34">
        <f>-110-AA32-Z32</f>
      </c>
      <c r="AC32" s="173">
        <f>-174-AB32-AA32-Z32</f>
      </c>
      <c r="AD32" s="34">
        <v>-20</v>
      </c>
      <c r="AE32" s="34">
        <f>-60-AD32</f>
      </c>
      <c r="AF32" s="34">
        <f>-106-AE32-AD32</f>
      </c>
      <c r="AG32" s="173">
        <f>-164-AF32-AE32-AD32</f>
      </c>
      <c r="AH32" s="34">
        <v>-44</v>
      </c>
      <c r="AI32" s="34">
        <f>-79-AH32</f>
      </c>
      <c r="AJ32" s="34">
        <f>-117-AI32-AH32</f>
      </c>
      <c r="AK32" s="173">
        <f>-176-AJ32-AI32-AH32</f>
      </c>
      <c r="AL32" s="34">
        <v>-58</v>
      </c>
      <c r="AM32" s="34">
        <f>-101-AL32</f>
      </c>
      <c r="AN32" s="34">
        <f>-164-AM32-AL32</f>
      </c>
      <c r="AO32" s="173">
        <f>-260-AN32-AM32-AL32</f>
      </c>
      <c r="AP32" s="34">
        <v>-82</v>
      </c>
      <c r="AQ32" s="34">
        <f>-275-AP32</f>
      </c>
      <c r="AR32" s="34">
        <f>-512-AQ32-AP32</f>
      </c>
      <c r="AS32" s="173">
        <f>-657-AR32-AQ32-AP32</f>
      </c>
      <c r="AT32" s="34">
        <v>-142</v>
      </c>
      <c r="AU32" s="34">
        <f>-247-AT32</f>
      </c>
      <c r="AV32" s="34">
        <f>-530-AU32-AT32</f>
      </c>
      <c r="AW32" s="173">
        <f>-735-AV32-AU32-AT32</f>
      </c>
      <c r="AX32" s="34">
        <v>-224</v>
      </c>
      <c r="AY32" s="34">
        <f>-384-AX32</f>
      </c>
      <c r="AZ32" s="34">
        <f>-688-AY32-AX32</f>
      </c>
      <c r="BA32" s="173">
        <f>-1091-AZ32-AY32-AX32</f>
      </c>
      <c r="BB32" s="34">
        <v>-339</v>
      </c>
      <c r="BC32" s="34">
        <f>-439-BB32</f>
      </c>
      <c r="BD32" s="34">
        <f>-685-SUM(BB32:BC32)</f>
      </c>
      <c r="BE32" s="173">
        <f>-1144-SUM(BB32:BD32)</f>
      </c>
      <c r="BF32" s="34">
        <v>-376</v>
      </c>
      <c r="BG32" s="34">
        <f>-650-BF32</f>
      </c>
      <c r="BH32" s="34">
        <f>-1245-SUM(BF32:BG32)</f>
      </c>
      <c r="BI32" s="173">
        <f>-2005-SUM(BF32:BH32)</f>
      </c>
      <c r="BJ32" s="34">
        <v>-1214</v>
      </c>
      <c r="BK32" s="34">
        <f>-1838-BJ32</f>
      </c>
      <c r="BL32" s="34">
        <f>-2615-SUM(BJ32:BK32)</f>
      </c>
      <c r="BM32" s="173">
        <f>-4260-SUM(BJ32:BL32)</f>
      </c>
      <c r="BN32" s="34">
        <v>-1321</v>
      </c>
      <c r="BO32" s="34">
        <f>-2778-BN32</f>
      </c>
      <c r="BP32" s="34">
        <f>-4834-SUM(BN32:BO32)</f>
      </c>
      <c r="BQ32" s="173">
        <f>-8295-SUM(BN32:BP32)</f>
      </c>
      <c r="BR32" s="34">
        <v>-2317</v>
      </c>
      <c r="BS32" s="34">
        <f>-4325-BR32</f>
      </c>
      <c r="BT32" s="34">
        <f>-6210-SUM(BR32:BS32)</f>
      </c>
      <c r="BU32" s="173">
        <f>-8165-SUM(BR32:BT32)</f>
      </c>
      <c r="BV32" s="34">
        <v>-1985</v>
      </c>
      <c r="BW32" s="34">
        <f>-3367-BV32</f>
      </c>
      <c r="BX32" s="34">
        <f>-5745-SUM(BV32:BW32)</f>
      </c>
      <c r="BY32" s="173">
        <f>-9571-SUM(BV32:BX32)</f>
      </c>
      <c r="BZ32" s="34">
        <v>-3217</v>
      </c>
      <c r="CA32" s="34">
        <f>-5586-BZ32</f>
      </c>
      <c r="CB32" s="34">
        <f>-7629-SUM(BZ32:CA32)</f>
      </c>
      <c r="CC32" s="173">
        <f>-11247-SUM(BZ32:CB32)</f>
      </c>
      <c r="CD32" s="34">
        <v>-3612</v>
      </c>
      <c r="CE32" s="34">
        <f>-5948-CD32</f>
      </c>
      <c r="CF32" s="77">
        <f>-8757-SUM(CD32:CE32)</f>
      </c>
      <c r="CG32" s="173">
        <f>-12734-SUM(CD32:CF32)</f>
      </c>
      <c r="CH32" s="34">
        <v>-3334</v>
      </c>
      <c r="CI32" s="34">
        <f>-6309-CH32</f>
      </c>
      <c r="CJ32" s="34">
        <f>-8586-CI32-CH32</f>
      </c>
      <c r="CK32" s="173">
        <f>-SUM(CH32:CJ32)-12451</f>
      </c>
      <c r="CL32" s="34">
        <v>-2810</v>
      </c>
      <c r="CM32" s="34">
        <f>-7005-CL32</f>
      </c>
      <c r="CN32" s="34">
        <f>-10272-CM32-CL32</f>
      </c>
      <c r="CO32" s="173">
        <f>-SUM(CL32:CN32)-13313</f>
      </c>
      <c r="CP32" s="77">
        <v>-3355</v>
      </c>
      <c r="CQ32" s="77">
        <f>-5718-CP32</f>
      </c>
      <c r="CR32" s="34">
        <f>-7718-CQ32-CP32</f>
      </c>
      <c r="CS32" s="173">
        <f>-SUM(CP32:CR32)-10495</f>
      </c>
      <c r="CT32" s="77">
        <v>-2107</v>
      </c>
      <c r="CU32" s="77">
        <f>-3960-CT32</f>
      </c>
      <c r="CV32" s="77">
        <f>-5525-CU32-CT32</f>
      </c>
      <c r="CW32" s="192">
        <f>-7309-CV32-CU32-CT32</f>
      </c>
      <c r="CX32" s="474">
        <v>-3500</v>
      </c>
      <c r="CY32" s="77">
        <f>-5769-CX32</f>
      </c>
      <c r="CZ32" s="77">
        <f>-7862-CY32-CX32</f>
      </c>
      <c r="DA32" s="192">
        <f>-11085-CZ32-CY32-CX32</f>
      </c>
      <c r="DB32" s="474">
        <v>-2803</v>
      </c>
      <c r="DC32" s="77">
        <f>-5317-DB32</f>
      </c>
      <c r="DD32" s="77">
        <f>-7419-DC32-DB32</f>
      </c>
      <c r="DE32" s="192">
        <f>-10708-DD32-DC32-DB32</f>
      </c>
      <c r="DF32" s="474">
        <v>-3787</v>
      </c>
      <c r="DG32" s="77">
        <f>-6703-DF32</f>
      </c>
      <c r="DH32" s="77">
        <f>-8796-DG32-DF32</f>
      </c>
      <c r="DI32" s="238">
        <f>-10959-SUM(DF32:DH32)</f>
      </c>
      <c r="DJ32" s="474">
        <v>-2392</v>
      </c>
      <c r="DK32" s="77">
        <f>-4388-DJ32</f>
      </c>
      <c r="DL32" s="77">
        <f>-6539-DK32-DJ32</f>
      </c>
      <c r="DM32" s="173">
        <f>-9447-SUM(DJ32:DL32)</f>
      </c>
      <c r="DN32" s="474">
        <v>-2940</v>
      </c>
      <c r="DO32" s="77">
        <f>-6011-DN32</f>
      </c>
      <c r="DP32" s="77">
        <f>-9473-DO32-DN32</f>
      </c>
      <c r="DQ32" s="176">
        <f>-'Balance Sheet'!DQ80</f>
      </c>
      <c r="DR32" s="85">
        <f>-'Balance Sheet'!DR80</f>
      </c>
      <c r="DS32" s="85">
        <f>-'Balance Sheet'!DS80</f>
      </c>
      <c r="DT32" s="85">
        <f>-'Balance Sheet'!DT80</f>
      </c>
      <c r="DU32" s="176">
        <f>-'Balance Sheet'!DU80</f>
      </c>
      <c r="DV32" s="85">
        <f>-'Balance Sheet'!DV80</f>
      </c>
      <c r="DW32" s="85">
        <f>-'Balance Sheet'!DW80</f>
      </c>
      <c r="DX32" s="85">
        <f>-'Balance Sheet'!DX80</f>
      </c>
      <c r="DY32" s="176">
        <f>-'Balance Sheet'!DY80</f>
      </c>
      <c r="DZ32" s="85">
        <f>-'Balance Sheet'!DZ80</f>
      </c>
      <c r="EA32" s="85">
        <f>-'Balance Sheet'!EA80</f>
      </c>
      <c r="EB32" s="85">
        <f>-'Balance Sheet'!EB80</f>
      </c>
      <c r="EC32" s="176">
        <f>-'Balance Sheet'!EC80</f>
      </c>
      <c r="ED32" s="85">
        <f>-'Balance Sheet'!ED80</f>
      </c>
      <c r="EE32" s="85">
        <f>-'Balance Sheet'!EE80</f>
      </c>
      <c r="EF32" s="85">
        <f>-'Balance Sheet'!EF80</f>
      </c>
      <c r="EG32" s="176">
        <f>-'Balance Sheet'!EG80</f>
      </c>
      <c r="EH32" s="85">
        <f>-'Balance Sheet'!EH80</f>
      </c>
      <c r="EI32" s="85">
        <f>-'Balance Sheet'!EI80</f>
      </c>
      <c r="EJ32" s="85">
        <f>-'Balance Sheet'!EJ80</f>
      </c>
      <c r="EK32" s="176">
        <f>-'Balance Sheet'!EK80</f>
      </c>
      <c r="EL32" s="3192"/>
      <c r="EN32" s="10">
        <f t="shared" si="77"/>
      </c>
      <c r="EO32" s="10">
        <f t="shared" si="78"/>
      </c>
      <c r="EP32" s="10">
        <f t="shared" si="79"/>
      </c>
      <c r="EQ32" s="10">
        <f t="shared" si="80"/>
      </c>
      <c r="ER32" s="10">
        <f t="shared" si="81"/>
      </c>
      <c r="ES32" s="10">
        <f t="shared" si="82"/>
      </c>
      <c r="ET32" s="10">
        <f t="shared" si="83"/>
      </c>
      <c r="EU32" s="10">
        <f t="shared" si="84"/>
      </c>
      <c r="EV32" s="10">
        <f t="shared" si="85"/>
      </c>
      <c r="EW32" s="10">
        <f t="shared" si="86"/>
      </c>
      <c r="EX32" s="10">
        <f t="shared" si="87"/>
      </c>
      <c r="EY32" s="10">
        <f t="shared" si="88"/>
      </c>
      <c r="EZ32" s="10">
        <f t="shared" si="89"/>
      </c>
      <c r="FA32" s="10">
        <f t="shared" si="90"/>
      </c>
      <c r="FB32" s="10">
        <f t="shared" si="91"/>
      </c>
      <c r="FC32" s="10">
        <f t="shared" si="92"/>
      </c>
      <c r="FD32" s="10">
        <f t="shared" si="93"/>
      </c>
      <c r="FE32" s="10">
        <f t="shared" si="94"/>
      </c>
      <c r="FF32" s="10">
        <f t="shared" si="95"/>
      </c>
      <c r="FG32" s="10">
        <f t="shared" si="96"/>
      </c>
      <c r="FH32" s="10">
        <f t="shared" si="97"/>
      </c>
      <c r="FI32" s="10">
        <f t="shared" si="98"/>
      </c>
      <c r="FJ32" s="10">
        <f t="shared" si="99"/>
      </c>
      <c r="FK32" s="10">
        <f t="shared" si="100"/>
      </c>
      <c r="FL32" s="10">
        <f t="shared" si="101"/>
      </c>
      <c r="FM32" s="10">
        <f t="shared" si="102"/>
      </c>
      <c r="FN32" s="10">
        <f t="shared" si="103"/>
      </c>
      <c r="FO32" s="10">
        <f t="shared" si="104"/>
      </c>
      <c r="FP32" s="10">
        <f t="shared" si="105"/>
      </c>
      <c r="FQ32" s="10">
        <f t="shared" si="106"/>
      </c>
      <c r="FR32" s="10">
        <f t="shared" si="107"/>
      </c>
      <c r="FS32" s="10">
        <f t="shared" si="108"/>
      </c>
      <c r="FT32" s="10">
        <f t="shared" si="109"/>
      </c>
      <c r="FU32" s="10">
        <f t="shared" si="110"/>
      </c>
      <c r="FV32" s="10">
        <f t="shared" si="111"/>
      </c>
      <c r="FW32" s="10"/>
      <c r="FX32" s="10">
        <f t="shared" si="112"/>
      </c>
      <c r="FY32" s="10">
        <f t="shared" si="113"/>
      </c>
      <c r="FZ32" s="10">
        <f t="shared" si="114"/>
      </c>
      <c r="GA32" s="10">
        <f t="shared" si="115"/>
      </c>
      <c r="GB32" s="10">
        <f t="shared" si="116"/>
      </c>
      <c r="GC32" s="10">
        <f t="shared" si="117"/>
      </c>
      <c r="GD32" s="10">
        <f t="shared" si="118"/>
      </c>
      <c r="GE32" s="10">
        <f t="shared" si="119"/>
      </c>
      <c r="GF32" s="10">
        <f t="shared" si="120"/>
      </c>
      <c r="GG32" s="10">
        <f t="shared" si="121"/>
      </c>
      <c r="GH32" s="10">
        <f t="shared" si="122"/>
      </c>
      <c r="GI32" s="10">
        <f t="shared" si="123"/>
      </c>
    </row>
    <row r="33" spans="1:191">
      <c r="A33" s="19" t="s">
        <v>139</v>
      </c>
      <c r="B33" s="34"/>
      <c r="C33" s="34"/>
      <c r="D33" s="34"/>
      <c r="E33" s="173"/>
      <c r="F33" s="34"/>
      <c r="G33" s="34"/>
      <c r="H33" s="34"/>
      <c r="I33" s="173"/>
      <c r="J33" s="34"/>
      <c r="K33" s="34"/>
      <c r="L33" s="34"/>
      <c r="M33" s="173"/>
      <c r="N33" s="34"/>
      <c r="O33" s="34"/>
      <c r="P33" s="34"/>
      <c r="Q33" s="173"/>
      <c r="R33" s="34"/>
      <c r="S33" s="34"/>
      <c r="T33" s="34"/>
      <c r="U33" s="173"/>
      <c r="V33" s="34"/>
      <c r="W33" s="34"/>
      <c r="X33" s="34"/>
      <c r="Y33" s="173"/>
      <c r="Z33" s="34"/>
      <c r="AA33" s="34"/>
      <c r="AB33" s="34"/>
      <c r="AC33" s="173"/>
      <c r="AD33" s="34"/>
      <c r="AE33" s="34"/>
      <c r="AF33" s="34"/>
      <c r="AG33" s="173"/>
      <c r="AH33" s="34"/>
      <c r="AI33" s="34"/>
      <c r="AJ33" s="34"/>
      <c r="AK33" s="173"/>
      <c r="AL33" s="34"/>
      <c r="AM33" s="34"/>
      <c r="AN33" s="34"/>
      <c r="AO33" s="173"/>
      <c r="AP33" s="34"/>
      <c r="AQ33" s="34"/>
      <c r="AR33" s="34"/>
      <c r="AS33" s="173"/>
      <c r="AT33" s="34"/>
      <c r="AU33" s="34"/>
      <c r="AV33" s="34"/>
      <c r="AW33" s="173"/>
      <c r="AX33" s="34"/>
      <c r="AY33" s="34"/>
      <c r="AZ33" s="34"/>
      <c r="BA33" s="173"/>
      <c r="BB33" s="34">
        <v>-14</v>
      </c>
      <c r="BC33" s="34">
        <f>-30-BB33</f>
      </c>
      <c r="BD33" s="34">
        <f>-56-SUM(BB33:BC33)</f>
      </c>
      <c r="BE33" s="173">
        <f>-69-SUM(BB33:BD33)</f>
      </c>
      <c r="BF33" s="34">
        <v>-5</v>
      </c>
      <c r="BG33" s="34">
        <f>-32-BF33</f>
      </c>
      <c r="BH33" s="34">
        <f>-63-SUM(BF33:BG33)</f>
      </c>
      <c r="BI33" s="173">
        <f>-116-SUM(BF33:BH33)</f>
      </c>
      <c r="BJ33" s="34">
        <v>-49</v>
      </c>
      <c r="BK33" s="34">
        <f>-81-BJ33</f>
      </c>
      <c r="BL33" s="34">
        <f>-266-SUM(BJ33:BK33)</f>
      </c>
      <c r="BM33" s="173">
        <f>-3192-SUM(BJ33:BL33)</f>
      </c>
      <c r="BN33" s="34">
        <v>-108</v>
      </c>
      <c r="BO33" s="34">
        <f>-160-BN33</f>
      </c>
      <c r="BP33" s="34">
        <f>-1067-SUM(BN33:BO33)</f>
      </c>
      <c r="BQ33" s="173">
        <f>-1107-SUM(BN33:BP33)</f>
      </c>
      <c r="BR33" s="34">
        <v>-138</v>
      </c>
      <c r="BS33" s="34">
        <f>-429-BR33</f>
      </c>
      <c r="BT33" s="34">
        <f>-560-SUM(BR33:BS33)</f>
      </c>
      <c r="BU33" s="173">
        <f>-911-SUM(BR33:BT33)</f>
      </c>
      <c r="BV33" s="34">
        <v>-59</v>
      </c>
      <c r="BW33" s="34">
        <f>-163-BV33</f>
      </c>
      <c r="BX33" s="34">
        <f>-216-SUM(BV33:BW33)</f>
      </c>
      <c r="BY33" s="173">
        <f>-242-SUM(BV33:BX33)</f>
      </c>
      <c r="BZ33" s="34">
        <v>-48</v>
      </c>
      <c r="CA33" s="34">
        <f>-155-BZ33</f>
      </c>
      <c r="CB33" s="34">
        <f>-201-SUM(BZ33:CA33)</f>
      </c>
      <c r="CC33" s="173">
        <f>-241-SUM(BZ33:CB33)</f>
      </c>
      <c r="CD33" s="34">
        <v>-394</v>
      </c>
      <c r="CE33" s="34">
        <f>-657-CD33</f>
      </c>
      <c r="CF33" s="77">
        <f>-753-SUM(CD33:CE33)</f>
      </c>
      <c r="CG33" s="173">
        <f>-814-SUM(CD33:CF33)</f>
      </c>
      <c r="CH33" s="34">
        <v>-86</v>
      </c>
      <c r="CI33" s="34">
        <f>-126-CH33</f>
      </c>
      <c r="CJ33" s="34">
        <f>-209-CI33-CH33</f>
      </c>
      <c r="CK33" s="173">
        <f>-SUM(CH33:CJ33)-344</f>
      </c>
      <c r="CL33" s="356">
        <v>-141</v>
      </c>
      <c r="CM33" s="356">
        <f>0-CL33</f>
      </c>
      <c r="CN33" s="356">
        <f>310-CM33-CL33</f>
      </c>
      <c r="CO33" s="358">
        <f>-SUM(CL33:CN33)+0</f>
      </c>
      <c r="CP33" s="356">
        <v>-427</v>
      </c>
      <c r="CQ33" s="356">
        <f>0-CP33</f>
      </c>
      <c r="CR33" s="356">
        <f>1526-CQ33-CP33</f>
      </c>
      <c r="CS33" s="358">
        <f>-SUM(CP33:CR33)+0</f>
      </c>
      <c r="CT33" s="77">
        <v>-77</v>
      </c>
      <c r="CU33" s="77">
        <f>0-CT33</f>
      </c>
      <c r="CV33" s="77">
        <f>0-CU33-CT33</f>
      </c>
      <c r="CW33" s="192">
        <v>0</v>
      </c>
      <c r="CX33" s="474">
        <v>0</v>
      </c>
      <c r="CY33" s="77">
        <v>0</v>
      </c>
      <c r="CZ33" s="77">
        <v>0</v>
      </c>
      <c r="DA33" s="192">
        <v>0</v>
      </c>
      <c r="DB33" s="474">
        <v>0</v>
      </c>
      <c r="DC33" s="77">
        <v>0</v>
      </c>
      <c r="DD33" s="77">
        <v>0</v>
      </c>
      <c r="DE33" s="192">
        <v>0</v>
      </c>
      <c r="DF33" s="474">
        <v>0</v>
      </c>
      <c r="DG33" s="77">
        <v>0</v>
      </c>
      <c r="DH33" s="77">
        <v>0</v>
      </c>
      <c r="DI33" s="3152">
        <v>0</v>
      </c>
      <c r="DJ33" s="474">
        <v>0</v>
      </c>
      <c r="DK33" s="77">
        <v>0</v>
      </c>
      <c r="DL33" s="77">
        <v>0</v>
      </c>
      <c r="DM33" s="3152">
        <v>0</v>
      </c>
      <c r="DN33" s="474">
        <v>0</v>
      </c>
      <c r="DO33" s="77">
        <v>0</v>
      </c>
      <c r="DP33" s="77">
        <v>0</v>
      </c>
      <c r="DQ33" s="1185">
        <v>0</v>
      </c>
      <c r="DR33" s="1186">
        <v>0</v>
      </c>
      <c r="DS33" s="1186">
        <v>0</v>
      </c>
      <c r="DT33" s="1186">
        <v>0</v>
      </c>
      <c r="DU33" s="1185">
        <v>0</v>
      </c>
      <c r="DV33" s="1186">
        <v>0</v>
      </c>
      <c r="DW33" s="1186">
        <v>0</v>
      </c>
      <c r="DX33" s="1186">
        <v>0</v>
      </c>
      <c r="DY33" s="1185">
        <v>0</v>
      </c>
      <c r="DZ33" s="1186">
        <v>0</v>
      </c>
      <c r="EA33" s="1186">
        <v>0</v>
      </c>
      <c r="EB33" s="1186">
        <v>0</v>
      </c>
      <c r="EC33" s="1185">
        <v>0</v>
      </c>
      <c r="ED33" s="1186">
        <v>0</v>
      </c>
      <c r="EE33" s="1186">
        <v>0</v>
      </c>
      <c r="EF33" s="1186">
        <v>0</v>
      </c>
      <c r="EG33" s="1185">
        <v>0</v>
      </c>
      <c r="EH33" s="1186">
        <v>0</v>
      </c>
      <c r="EI33" s="1186">
        <v>0</v>
      </c>
      <c r="EJ33" s="1186">
        <v>0</v>
      </c>
      <c r="EK33" s="1185">
        <v>0</v>
      </c>
      <c r="EL33" s="3192"/>
      <c r="EN33" s="10">
        <f t="shared" si="77"/>
      </c>
      <c r="EO33" s="10">
        <f t="shared" si="78"/>
      </c>
      <c r="EP33" s="10">
        <f t="shared" si="79"/>
      </c>
      <c r="EQ33" s="10">
        <f t="shared" si="80"/>
      </c>
      <c r="ER33" s="10">
        <f t="shared" si="81"/>
      </c>
      <c r="ES33" s="10">
        <f t="shared" si="82"/>
      </c>
      <c r="ET33" s="10">
        <f t="shared" si="83"/>
      </c>
      <c r="EU33" s="10">
        <f t="shared" si="84"/>
      </c>
      <c r="EV33" s="10">
        <f t="shared" si="85"/>
      </c>
      <c r="EW33" s="10">
        <f t="shared" si="86"/>
      </c>
      <c r="EX33" s="10">
        <f t="shared" si="87"/>
      </c>
      <c r="EY33" s="10">
        <f t="shared" si="88"/>
      </c>
      <c r="EZ33" s="10">
        <f t="shared" si="89"/>
      </c>
      <c r="FA33" s="10">
        <f t="shared" si="90"/>
      </c>
      <c r="FB33" s="10">
        <f t="shared" si="91"/>
      </c>
      <c r="FC33" s="10">
        <f t="shared" si="92"/>
      </c>
      <c r="FD33" s="10">
        <f t="shared" si="93"/>
      </c>
      <c r="FE33" s="10">
        <f t="shared" si="94"/>
      </c>
      <c r="FF33" s="10">
        <f t="shared" si="95"/>
      </c>
      <c r="FG33" s="10">
        <f t="shared" si="96"/>
      </c>
      <c r="FH33" s="10">
        <f t="shared" si="97"/>
      </c>
      <c r="FI33" s="10">
        <f t="shared" si="98"/>
      </c>
      <c r="FJ33" s="10">
        <f t="shared" si="99"/>
      </c>
      <c r="FK33" s="10">
        <f t="shared" si="100"/>
      </c>
      <c r="FL33" s="10">
        <f t="shared" si="101"/>
      </c>
      <c r="FM33" s="10">
        <f t="shared" si="102"/>
      </c>
      <c r="FN33" s="10">
        <f t="shared" si="103"/>
      </c>
      <c r="FO33" s="10">
        <f t="shared" si="104"/>
      </c>
      <c r="FP33" s="10">
        <f t="shared" si="105"/>
      </c>
      <c r="FQ33" s="10">
        <f t="shared" si="106"/>
      </c>
      <c r="FR33" s="10">
        <f t="shared" si="107"/>
      </c>
      <c r="FS33" s="10">
        <f t="shared" si="108"/>
      </c>
      <c r="FT33" s="10">
        <f t="shared" si="109"/>
      </c>
      <c r="FU33" s="10">
        <f t="shared" si="110"/>
      </c>
      <c r="FV33" s="10">
        <f t="shared" si="111"/>
      </c>
      <c r="FW33" s="10"/>
      <c r="FX33" s="10">
        <f t="shared" si="112"/>
      </c>
      <c r="FY33" s="10">
        <f t="shared" si="113"/>
      </c>
      <c r="FZ33" s="10">
        <f t="shared" si="114"/>
      </c>
      <c r="GA33" s="10">
        <f t="shared" si="115"/>
      </c>
      <c r="GB33" s="10">
        <f t="shared" si="116"/>
      </c>
      <c r="GC33" s="10">
        <f t="shared" si="117"/>
      </c>
      <c r="GD33" s="10">
        <f t="shared" si="118"/>
      </c>
      <c r="GE33" s="10">
        <f t="shared" si="119"/>
      </c>
      <c r="GF33" s="10">
        <f t="shared" si="120"/>
      </c>
      <c r="GG33" s="10">
        <f t="shared" si="121"/>
      </c>
      <c r="GH33" s="10">
        <f t="shared" si="122"/>
      </c>
      <c r="GI33" s="10">
        <f t="shared" si="123"/>
      </c>
    </row>
    <row r="34" spans="1:191">
      <c r="A34" s="19" t="s">
        <v>140</v>
      </c>
      <c r="B34" s="34"/>
      <c r="C34" s="34"/>
      <c r="D34" s="34"/>
      <c r="E34" s="173"/>
      <c r="F34" s="34"/>
      <c r="G34" s="34"/>
      <c r="H34" s="34"/>
      <c r="I34" s="173"/>
      <c r="J34" s="34"/>
      <c r="K34" s="34"/>
      <c r="L34" s="34"/>
      <c r="M34" s="173"/>
      <c r="N34" s="34"/>
      <c r="O34" s="34"/>
      <c r="P34" s="34"/>
      <c r="Q34" s="173"/>
      <c r="R34" s="34"/>
      <c r="S34" s="34"/>
      <c r="T34" s="34"/>
      <c r="U34" s="173"/>
      <c r="V34" s="34"/>
      <c r="W34" s="34"/>
      <c r="X34" s="34"/>
      <c r="Y34" s="173"/>
      <c r="Z34" s="34"/>
      <c r="AA34" s="34"/>
      <c r="AB34" s="34"/>
      <c r="AC34" s="173"/>
      <c r="AD34" s="34"/>
      <c r="AE34" s="34"/>
      <c r="AF34" s="34"/>
      <c r="AG34" s="173"/>
      <c r="AH34" s="34"/>
      <c r="AI34" s="34"/>
      <c r="AJ34" s="34"/>
      <c r="AK34" s="173"/>
      <c r="AL34" s="34"/>
      <c r="AM34" s="34"/>
      <c r="AN34" s="34"/>
      <c r="AO34" s="173"/>
      <c r="AP34" s="34"/>
      <c r="AQ34" s="34"/>
      <c r="AR34" s="34"/>
      <c r="AS34" s="173"/>
      <c r="AT34" s="34"/>
      <c r="AU34" s="34"/>
      <c r="AV34" s="34"/>
      <c r="AW34" s="173"/>
      <c r="AX34" s="34"/>
      <c r="AY34" s="34"/>
      <c r="AZ34" s="34"/>
      <c r="BA34" s="173"/>
      <c r="BB34" s="34">
        <f>-60-38</f>
      </c>
      <c r="BC34" s="34">
        <f>-55-54-BB34</f>
      </c>
      <c r="BD34" s="34">
        <f>-62-61-SUM(BB34:BC34)</f>
      </c>
      <c r="BE34" s="173">
        <f>-74-101-SUM(BB34:BD34)</f>
      </c>
      <c r="BF34" s="34">
        <v>-70</v>
      </c>
      <c r="BG34" s="34">
        <f>10-BF34</f>
      </c>
      <c r="BH34" s="34">
        <f>-36-SUM(BF34:BG34)</f>
      </c>
      <c r="BI34" s="173">
        <f>-20-SUM(BF34:BH34)</f>
      </c>
      <c r="BJ34" s="34">
        <v>-23</v>
      </c>
      <c r="BK34" s="34">
        <f>12-BJ34</f>
      </c>
      <c r="BL34" s="34">
        <f>34-SUM(BJ34:BK34)</f>
      </c>
      <c r="BM34" s="173">
        <f>-259-SUM(BJ34:BL34)</f>
      </c>
      <c r="BN34" s="34">
        <v>-34</v>
      </c>
      <c r="BO34" s="34">
        <f>-48-BN34</f>
      </c>
      <c r="BP34" s="34">
        <f>-56-SUM(BN34:BO34)</f>
      </c>
      <c r="BQ34" s="173">
        <f>-48-SUM(BN34:BP34)</f>
      </c>
      <c r="BR34" s="34">
        <v>-52</v>
      </c>
      <c r="BS34" s="34">
        <f>-93-BR34</f>
      </c>
      <c r="BT34" s="34">
        <f>-188-SUM(BR34:BS34)</f>
      </c>
      <c r="BU34" s="173">
        <f>-160-SUM(BR34:BT34)</f>
      </c>
      <c r="BV34" s="34">
        <v>5</v>
      </c>
      <c r="BW34" s="34">
        <f>-23-BV34</f>
      </c>
      <c r="BX34" s="34">
        <f>7-SUM(BV34:BW34)</f>
      </c>
      <c r="BY34" s="173">
        <f>16-SUM(BV34:BX34)</f>
      </c>
      <c r="BZ34" s="34">
        <v>65</v>
      </c>
      <c r="CA34" s="34">
        <f>88-BZ34</f>
      </c>
      <c r="CB34" s="34">
        <f>134-SUM(BZ34:CA34)</f>
      </c>
      <c r="CC34" s="173">
        <f>-26-SUM(BZ34:CB34)</f>
      </c>
      <c r="CD34" s="34">
        <v>-298</v>
      </c>
      <c r="CE34" s="34">
        <f>-322-CD34</f>
      </c>
      <c r="CF34" s="77">
        <f>-1376-321-SUM(CD34:CE34)</f>
      </c>
      <c r="CG34" s="173">
        <f>-1388-110-SUM(CD34:CF34)</f>
      </c>
      <c r="CH34" s="34">
        <v>-104</v>
      </c>
      <c r="CI34" s="34">
        <f>116-CH34</f>
      </c>
      <c r="CJ34" s="34">
        <f>313-CI34-CH34</f>
      </c>
      <c r="CK34" s="173">
        <f>-SUM(CH34:CJ34)-395+220</f>
      </c>
      <c r="CL34" s="34">
        <v>-43</v>
      </c>
      <c r="CM34" s="34">
        <f>53-CL34</f>
      </c>
      <c r="CN34" s="34">
        <f>-523-CM34-CL34</f>
      </c>
      <c r="CO34" s="192">
        <f>-SUM(CL34:CN34)+353-745-1871</f>
      </c>
      <c r="CP34" s="77">
        <v>-56</v>
      </c>
      <c r="CQ34" s="77">
        <f>-490+30-CP34</f>
      </c>
      <c r="CR34" s="34">
        <f>-268-CQ34-CP34</f>
      </c>
      <c r="CS34" s="192">
        <f>-SUM(CP34:CR34)+-1001+1634-1078</f>
      </c>
      <c r="CT34" s="77">
        <v>-130</v>
      </c>
      <c r="CU34" s="77">
        <f>-146-426-CT34</f>
      </c>
      <c r="CV34" s="77">
        <f>-210+58-689-CU34-CT34</f>
      </c>
      <c r="CW34" s="192">
        <f>-210+92-791-CV34-CU34-CT34</f>
      </c>
      <c r="CX34" s="474">
        <v>204</v>
      </c>
      <c r="CY34" s="77">
        <f>0-CX34</f>
      </c>
      <c r="CZ34" s="77">
        <f>-78-CY34-CX34</f>
      </c>
      <c r="DA34" s="192">
        <f>-352-CZ34-CY34-CX34</f>
      </c>
      <c r="DB34" s="474">
        <f>-374</f>
      </c>
      <c r="DC34" s="77">
        <f>-568-DB34</f>
      </c>
      <c r="DD34" s="77">
        <f>-1183-DC34-DB34</f>
      </c>
      <c r="DE34" s="192">
        <f>-1780-DD34-DC34-DB34</f>
      </c>
      <c r="DF34" s="474">
        <v>-141</v>
      </c>
      <c r="DG34" s="77">
        <f>-247-DF34</f>
      </c>
      <c r="DH34" s="77">
        <f>-753-DG34-DF34</f>
      </c>
      <c r="DI34" s="3152">
        <f>-1337-SUM(DF34:DH34)</f>
      </c>
      <c r="DJ34" s="474">
        <v>-284</v>
      </c>
      <c r="DK34" s="77">
        <f>-729-DJ34</f>
      </c>
      <c r="DL34" s="77">
        <f>-1117-DK34-DJ34</f>
      </c>
      <c r="DM34" s="3152">
        <f>-1308-SUM(DJ34:DL34)</f>
      </c>
      <c r="DN34" s="474">
        <v>-603</v>
      </c>
      <c r="DO34" s="77">
        <f>-635-DN34</f>
      </c>
      <c r="DP34" s="77">
        <f>-975-DO34-DN34</f>
      </c>
      <c r="DQ34" s="1185">
        <v>0</v>
      </c>
      <c r="DR34" s="1186">
        <v>0</v>
      </c>
      <c r="DS34" s="1186">
        <v>0</v>
      </c>
      <c r="DT34" s="1186">
        <v>0</v>
      </c>
      <c r="DU34" s="1185">
        <v>0</v>
      </c>
      <c r="DV34" s="1186">
        <v>0</v>
      </c>
      <c r="DW34" s="1186">
        <v>0</v>
      </c>
      <c r="DX34" s="1186">
        <v>0</v>
      </c>
      <c r="DY34" s="1185">
        <v>0</v>
      </c>
      <c r="DZ34" s="1186">
        <v>0</v>
      </c>
      <c r="EA34" s="1186">
        <v>0</v>
      </c>
      <c r="EB34" s="1186">
        <v>0</v>
      </c>
      <c r="EC34" s="1185">
        <v>0</v>
      </c>
      <c r="ED34" s="1186">
        <v>0</v>
      </c>
      <c r="EE34" s="1186">
        <v>0</v>
      </c>
      <c r="EF34" s="1186">
        <v>0</v>
      </c>
      <c r="EG34" s="1185">
        <v>0</v>
      </c>
      <c r="EH34" s="1186">
        <v>0</v>
      </c>
      <c r="EI34" s="1186">
        <v>0</v>
      </c>
      <c r="EJ34" s="1186">
        <v>0</v>
      </c>
      <c r="EK34" s="1185">
        <v>0</v>
      </c>
      <c r="EL34" s="3192"/>
      <c r="EN34" s="10">
        <f t="shared" si="77"/>
      </c>
      <c r="EO34" s="10">
        <f t="shared" si="78"/>
      </c>
      <c r="EP34" s="10">
        <f t="shared" si="79"/>
      </c>
      <c r="EQ34" s="10">
        <f t="shared" si="80"/>
      </c>
      <c r="ER34" s="10">
        <f t="shared" si="81"/>
      </c>
      <c r="ES34" s="10">
        <f t="shared" si="82"/>
      </c>
      <c r="ET34" s="10">
        <f t="shared" si="83"/>
      </c>
      <c r="EU34" s="10">
        <f t="shared" si="84"/>
      </c>
      <c r="EV34" s="10">
        <f t="shared" si="85"/>
      </c>
      <c r="EW34" s="10">
        <f t="shared" si="86"/>
      </c>
      <c r="EX34" s="10">
        <f t="shared" si="87"/>
      </c>
      <c r="EY34" s="10">
        <f t="shared" si="88"/>
      </c>
      <c r="EZ34" s="10">
        <f t="shared" si="89"/>
      </c>
      <c r="FA34" s="10">
        <f t="shared" si="90"/>
      </c>
      <c r="FB34" s="10">
        <f t="shared" si="91"/>
      </c>
      <c r="FC34" s="10">
        <f t="shared" si="92"/>
      </c>
      <c r="FD34" s="10">
        <f t="shared" si="93"/>
      </c>
      <c r="FE34" s="10">
        <f t="shared" si="94"/>
      </c>
      <c r="FF34" s="10">
        <f t="shared" si="95"/>
      </c>
      <c r="FG34" s="10">
        <f t="shared" si="96"/>
      </c>
      <c r="FH34" s="10">
        <f t="shared" si="97"/>
      </c>
      <c r="FI34" s="10">
        <f t="shared" si="98"/>
      </c>
      <c r="FJ34" s="10">
        <f t="shared" si="99"/>
      </c>
      <c r="FK34" s="10">
        <f t="shared" si="100"/>
      </c>
      <c r="FL34" s="10">
        <f t="shared" si="101"/>
      </c>
      <c r="FM34" s="10">
        <f t="shared" si="102"/>
      </c>
      <c r="FN34" s="10">
        <f t="shared" si="103"/>
      </c>
      <c r="FO34" s="10">
        <f t="shared" si="104"/>
      </c>
      <c r="FP34" s="10">
        <f t="shared" si="105"/>
      </c>
      <c r="FQ34" s="10">
        <f t="shared" si="106"/>
      </c>
      <c r="FR34" s="10">
        <f t="shared" si="107"/>
      </c>
      <c r="FS34" s="10">
        <f t="shared" si="108"/>
      </c>
      <c r="FT34" s="10">
        <f t="shared" si="109"/>
      </c>
      <c r="FU34" s="10">
        <f t="shared" si="110"/>
      </c>
      <c r="FV34" s="10">
        <f t="shared" si="111"/>
      </c>
      <c r="FW34" s="10"/>
      <c r="FX34" s="10">
        <f t="shared" si="112"/>
      </c>
      <c r="FY34" s="10">
        <f t="shared" si="113"/>
      </c>
      <c r="FZ34" s="10">
        <f t="shared" si="114"/>
      </c>
      <c r="GA34" s="10">
        <f t="shared" si="115"/>
      </c>
      <c r="GB34" s="10">
        <f t="shared" si="116"/>
      </c>
      <c r="GC34" s="10">
        <f t="shared" si="117"/>
      </c>
      <c r="GD34" s="10">
        <f t="shared" si="118"/>
      </c>
      <c r="GE34" s="10">
        <f t="shared" si="119"/>
      </c>
      <c r="GF34" s="10">
        <f t="shared" si="120"/>
      </c>
      <c r="GG34" s="10">
        <f t="shared" si="121"/>
      </c>
      <c r="GH34" s="10">
        <f t="shared" si="122"/>
      </c>
      <c r="GI34" s="10">
        <f t="shared" si="123"/>
      </c>
    </row>
    <row r="35" spans="1:191">
      <c r="A35" s="1179" t="s">
        <v>141</v>
      </c>
      <c r="B35" s="1180">
        <f t="shared" ref="B35:AG35" si="124">SUM(B28:B32,B33:B34)</f>
      </c>
      <c r="C35" s="1180">
        <f t="shared" si="124"/>
      </c>
      <c r="D35" s="1180">
        <f t="shared" si="124"/>
      </c>
      <c r="E35" s="1181">
        <f t="shared" si="124"/>
      </c>
      <c r="F35" s="1180">
        <f t="shared" si="124"/>
      </c>
      <c r="G35" s="1180">
        <f t="shared" si="124"/>
      </c>
      <c r="H35" s="1180">
        <f t="shared" si="124"/>
      </c>
      <c r="I35" s="1181">
        <f t="shared" si="124"/>
      </c>
      <c r="J35" s="1180">
        <f t="shared" si="124"/>
      </c>
      <c r="K35" s="1180">
        <f t="shared" si="124"/>
      </c>
      <c r="L35" s="1180">
        <f t="shared" si="124"/>
      </c>
      <c r="M35" s="1181">
        <f t="shared" si="124"/>
      </c>
      <c r="N35" s="1180">
        <f t="shared" si="124"/>
      </c>
      <c r="O35" s="1180">
        <f t="shared" si="124"/>
      </c>
      <c r="P35" s="1180">
        <f t="shared" si="124"/>
      </c>
      <c r="Q35" s="1181">
        <f t="shared" si="124"/>
      </c>
      <c r="R35" s="1180">
        <f t="shared" si="124"/>
      </c>
      <c r="S35" s="1180">
        <f t="shared" si="124"/>
      </c>
      <c r="T35" s="1180">
        <f t="shared" si="124"/>
      </c>
      <c r="U35" s="1181">
        <f t="shared" si="124"/>
      </c>
      <c r="V35" s="1180">
        <f t="shared" si="124"/>
      </c>
      <c r="W35" s="1180">
        <f t="shared" si="124"/>
      </c>
      <c r="X35" s="1180">
        <f t="shared" si="124"/>
      </c>
      <c r="Y35" s="1181">
        <f t="shared" si="124"/>
      </c>
      <c r="Z35" s="1180">
        <f t="shared" si="124"/>
      </c>
      <c r="AA35" s="1180">
        <f t="shared" si="124"/>
      </c>
      <c r="AB35" s="1180">
        <f t="shared" si="124"/>
      </c>
      <c r="AC35" s="1181">
        <f t="shared" si="124"/>
      </c>
      <c r="AD35" s="1180">
        <f t="shared" si="124"/>
      </c>
      <c r="AE35" s="1180">
        <f t="shared" si="124"/>
      </c>
      <c r="AF35" s="1180">
        <f t="shared" si="124"/>
      </c>
      <c r="AG35" s="1181">
        <f t="shared" si="124"/>
      </c>
      <c r="AH35" s="1180">
        <f t="shared" ref="AH35:BM35" si="125">SUM(AH28:AH32,AH33:AH34)</f>
      </c>
      <c r="AI35" s="1180">
        <f t="shared" si="125"/>
      </c>
      <c r="AJ35" s="1180">
        <f t="shared" si="125"/>
      </c>
      <c r="AK35" s="1181">
        <f t="shared" si="125"/>
      </c>
      <c r="AL35" s="1180">
        <f t="shared" si="125"/>
      </c>
      <c r="AM35" s="1180">
        <f t="shared" si="125"/>
      </c>
      <c r="AN35" s="1180">
        <f t="shared" si="125"/>
      </c>
      <c r="AO35" s="1181">
        <f t="shared" si="125"/>
      </c>
      <c r="AP35" s="1180">
        <f t="shared" si="125"/>
      </c>
      <c r="AQ35" s="1180">
        <f t="shared" si="125"/>
      </c>
      <c r="AR35" s="1180">
        <f t="shared" si="125"/>
      </c>
      <c r="AS35" s="1181">
        <f t="shared" si="125"/>
      </c>
      <c r="AT35" s="1180">
        <f t="shared" si="125"/>
      </c>
      <c r="AU35" s="1180">
        <f t="shared" si="125"/>
      </c>
      <c r="AV35" s="1180">
        <f t="shared" si="125"/>
      </c>
      <c r="AW35" s="1181">
        <f t="shared" si="125"/>
      </c>
      <c r="AX35" s="1180">
        <f t="shared" si="125"/>
      </c>
      <c r="AY35" s="1180">
        <f t="shared" si="125"/>
      </c>
      <c r="AZ35" s="1180">
        <f t="shared" si="125"/>
      </c>
      <c r="BA35" s="1181">
        <f t="shared" si="125"/>
      </c>
      <c r="BB35" s="1180">
        <f t="shared" si="125"/>
      </c>
      <c r="BC35" s="1180">
        <f t="shared" si="125"/>
      </c>
      <c r="BD35" s="1180">
        <f t="shared" si="125"/>
      </c>
      <c r="BE35" s="1181">
        <f t="shared" si="125"/>
      </c>
      <c r="BF35" s="1180">
        <f t="shared" si="125"/>
      </c>
      <c r="BG35" s="1180">
        <f t="shared" si="125"/>
      </c>
      <c r="BH35" s="1180">
        <f t="shared" si="125"/>
      </c>
      <c r="BI35" s="1181">
        <f t="shared" si="125"/>
      </c>
      <c r="BJ35" s="1180">
        <f t="shared" si="125"/>
      </c>
      <c r="BK35" s="1180">
        <f t="shared" si="125"/>
      </c>
      <c r="BL35" s="1180">
        <f t="shared" si="125"/>
      </c>
      <c r="BM35" s="1181">
        <f t="shared" si="125"/>
      </c>
      <c r="BN35" s="1180">
        <f t="shared" ref="BN35:CS35" si="126">SUM(BN28:BN32,BN33:BN34)</f>
      </c>
      <c r="BO35" s="1180">
        <f t="shared" si="126"/>
      </c>
      <c r="BP35" s="1180">
        <f t="shared" si="126"/>
      </c>
      <c r="BQ35" s="1181">
        <f t="shared" si="126"/>
      </c>
      <c r="BR35" s="1180">
        <f t="shared" si="126"/>
      </c>
      <c r="BS35" s="1180">
        <f t="shared" si="126"/>
      </c>
      <c r="BT35" s="1180">
        <f t="shared" si="126"/>
      </c>
      <c r="BU35" s="1181">
        <f t="shared" si="126"/>
      </c>
      <c r="BV35" s="1180">
        <f t="shared" si="126"/>
      </c>
      <c r="BW35" s="1180">
        <f t="shared" si="126"/>
      </c>
      <c r="BX35" s="1180">
        <f t="shared" si="126"/>
      </c>
      <c r="BY35" s="1181">
        <f t="shared" si="126"/>
      </c>
      <c r="BZ35" s="1180">
        <f t="shared" si="126"/>
      </c>
      <c r="CA35" s="1180">
        <f t="shared" si="126"/>
      </c>
      <c r="CB35" s="1180">
        <f t="shared" si="126"/>
      </c>
      <c r="CC35" s="1181">
        <f t="shared" si="126"/>
      </c>
      <c r="CD35" s="1180">
        <f t="shared" si="126"/>
      </c>
      <c r="CE35" s="1180">
        <f t="shared" si="126"/>
      </c>
      <c r="CF35" s="1180">
        <f t="shared" si="126"/>
      </c>
      <c r="CG35" s="1181">
        <f t="shared" si="126"/>
      </c>
      <c r="CH35" s="1180">
        <f t="shared" si="126"/>
      </c>
      <c r="CI35" s="1180">
        <f t="shared" si="126"/>
      </c>
      <c r="CJ35" s="1180">
        <f t="shared" si="126"/>
      </c>
      <c r="CK35" s="1181">
        <f t="shared" si="126"/>
      </c>
      <c r="CL35" s="1180">
        <f t="shared" si="126"/>
      </c>
      <c r="CM35" s="1180">
        <f t="shared" si="126"/>
      </c>
      <c r="CN35" s="1180">
        <f t="shared" si="126"/>
      </c>
      <c r="CO35" s="1181">
        <f t="shared" si="126"/>
      </c>
      <c r="CP35" s="1180">
        <f t="shared" si="126"/>
      </c>
      <c r="CQ35" s="1180">
        <f t="shared" si="126"/>
      </c>
      <c r="CR35" s="1180">
        <f t="shared" si="126"/>
      </c>
      <c r="CS35" s="1181">
        <f t="shared" si="126"/>
      </c>
      <c r="CT35" s="1180">
        <f t="shared" ref="CT35:DU35" si="127">SUM(CT28:CT32,CT33:CT34)</f>
      </c>
      <c r="CU35" s="1180">
        <f t="shared" si="127"/>
      </c>
      <c r="CV35" s="1180">
        <f t="shared" si="127"/>
      </c>
      <c r="CW35" s="1181">
        <f t="shared" si="127"/>
      </c>
      <c r="CX35" s="1182">
        <f t="shared" si="127"/>
      </c>
      <c r="CY35" s="1180">
        <f t="shared" si="127"/>
      </c>
      <c r="CZ35" s="1180">
        <f t="shared" si="127"/>
      </c>
      <c r="DA35" s="1181">
        <f t="shared" si="127"/>
      </c>
      <c r="DB35" s="1182">
        <f t="shared" si="127"/>
      </c>
      <c r="DC35" s="1180">
        <f t="shared" si="127"/>
      </c>
      <c r="DD35" s="1180">
        <f t="shared" si="127"/>
      </c>
      <c r="DE35" s="1181">
        <f>SUM(DE28:DE34)</f>
      </c>
      <c r="DF35" s="1180">
        <f t="shared" si="127"/>
      </c>
      <c r="DG35" s="1180">
        <f t="shared" si="127"/>
      </c>
      <c r="DH35" s="1180">
        <f t="shared" si="127"/>
      </c>
      <c r="DI35" s="1181">
        <f t="shared" si="127"/>
      </c>
      <c r="DJ35" s="1180">
        <f t="shared" ref="DJ35:DM35" si="128">SUM(DJ28:DJ32,DJ33:DJ34)</f>
      </c>
      <c r="DK35" s="1180">
        <f t="shared" si="128"/>
      </c>
      <c r="DL35" s="1180">
        <f t="shared" si="128"/>
      </c>
      <c r="DM35" s="1181">
        <f t="shared" si="128"/>
      </c>
      <c r="DN35" s="1180">
        <f t="shared" ref="DN35:DP35" si="129">SUM(DN28:DN32,DN33:DN34)</f>
      </c>
      <c r="DO35" s="1180">
        <f t="shared" si="129"/>
      </c>
      <c r="DP35" s="1180">
        <f t="shared" si="129"/>
      </c>
      <c r="DQ35" s="1181">
        <f t="shared" si="127"/>
      </c>
      <c r="DR35" s="1180">
        <f t="shared" si="127"/>
      </c>
      <c r="DS35" s="1180">
        <f t="shared" si="127"/>
      </c>
      <c r="DT35" s="1180">
        <f t="shared" si="127"/>
      </c>
      <c r="DU35" s="1181">
        <f t="shared" si="127"/>
      </c>
      <c r="DV35" s="1180">
        <f t="shared" ref="DV35:EK35" si="130">SUM(DV28:DV32,DV33:DV34)</f>
      </c>
      <c r="DW35" s="1180">
        <f t="shared" si="130"/>
      </c>
      <c r="DX35" s="1180">
        <f t="shared" si="130"/>
      </c>
      <c r="DY35" s="1181">
        <f t="shared" si="130"/>
      </c>
      <c r="DZ35" s="1180">
        <f t="shared" si="130"/>
      </c>
      <c r="EA35" s="1180">
        <f t="shared" si="130"/>
      </c>
      <c r="EB35" s="1180">
        <f t="shared" si="130"/>
      </c>
      <c r="EC35" s="1181">
        <f t="shared" si="130"/>
      </c>
      <c r="ED35" s="1180">
        <f t="shared" si="130"/>
      </c>
      <c r="EE35" s="1180">
        <f t="shared" si="130"/>
      </c>
      <c r="EF35" s="1180">
        <f t="shared" si="130"/>
      </c>
      <c r="EG35" s="1181">
        <f t="shared" si="130"/>
      </c>
      <c r="EH35" s="1180">
        <f t="shared" si="130"/>
      </c>
      <c r="EI35" s="1180">
        <f t="shared" si="130"/>
      </c>
      <c r="EJ35" s="1180">
        <f t="shared" si="130"/>
      </c>
      <c r="EK35" s="1181">
        <f t="shared" si="130"/>
      </c>
      <c r="EL35" s="3192"/>
      <c r="EN35" s="1180">
        <f t="shared" ref="EN35:FR35" si="131">SUM(EN28:EN32,EN33:EN34)</f>
      </c>
      <c r="EO35" s="1180">
        <f t="shared" si="131"/>
      </c>
      <c r="EP35" s="1180">
        <f t="shared" si="131"/>
      </c>
      <c r="EQ35" s="1180">
        <f t="shared" si="131"/>
      </c>
      <c r="ER35" s="1180">
        <f t="shared" si="131"/>
      </c>
      <c r="ES35" s="1180">
        <f t="shared" si="131"/>
      </c>
      <c r="ET35" s="1180">
        <f t="shared" si="131"/>
      </c>
      <c r="EU35" s="1180">
        <f t="shared" si="131"/>
      </c>
      <c r="EV35" s="1180">
        <f t="shared" si="131"/>
      </c>
      <c r="EW35" s="1180">
        <f t="shared" si="131"/>
      </c>
      <c r="EX35" s="1180">
        <f t="shared" si="131"/>
      </c>
      <c r="EY35" s="1180">
        <f t="shared" si="131"/>
      </c>
      <c r="EZ35" s="1180">
        <f t="shared" si="131"/>
      </c>
      <c r="FA35" s="1180">
        <f t="shared" si="131"/>
      </c>
      <c r="FB35" s="1180">
        <f t="shared" si="131"/>
      </c>
      <c r="FC35" s="1180">
        <f t="shared" si="131"/>
      </c>
      <c r="FD35" s="1180">
        <f t="shared" si="131"/>
      </c>
      <c r="FE35" s="1180">
        <f t="shared" si="131"/>
      </c>
      <c r="FF35" s="1180">
        <f t="shared" si="131"/>
      </c>
      <c r="FG35" s="1180">
        <f t="shared" si="131"/>
      </c>
      <c r="FH35" s="1180">
        <f t="shared" si="131"/>
      </c>
      <c r="FI35" s="1180">
        <f t="shared" si="131"/>
      </c>
      <c r="FJ35" s="1180">
        <f t="shared" si="131"/>
      </c>
      <c r="FK35" s="1180">
        <f t="shared" si="131"/>
      </c>
      <c r="FL35" s="1180">
        <f t="shared" si="131"/>
      </c>
      <c r="FM35" s="1180">
        <f t="shared" si="131"/>
      </c>
      <c r="FN35" s="1180">
        <f t="shared" si="131"/>
      </c>
      <c r="FO35" s="1180">
        <f t="shared" si="131"/>
      </c>
      <c r="FP35" s="1180">
        <f t="shared" si="131"/>
      </c>
      <c r="FQ35" s="1180">
        <f t="shared" si="131"/>
      </c>
      <c r="FR35" s="1180">
        <f t="shared" si="131"/>
      </c>
      <c r="FS35" s="1180">
        <f t="shared" ref="FS35:FV35" si="132">SUM(FS28:FS32,FS33:FS34)</f>
      </c>
      <c r="FT35" s="1180">
        <f t="shared" si="132"/>
      </c>
      <c r="FU35" s="1180">
        <f t="shared" si="132"/>
      </c>
      <c r="FV35" s="1180">
        <f t="shared" si="132"/>
      </c>
      <c r="FW35" s="1180"/>
      <c r="FX35" s="1180">
        <f t="shared" si="112"/>
      </c>
      <c r="FY35" s="1180">
        <f t="shared" si="113"/>
      </c>
      <c r="FZ35" s="1180">
        <f t="shared" si="114"/>
      </c>
      <c r="GA35" s="1180">
        <f t="shared" si="115"/>
      </c>
      <c r="GB35" s="1180">
        <f t="shared" si="116"/>
      </c>
      <c r="GC35" s="1180">
        <f t="shared" si="117"/>
      </c>
      <c r="GD35" s="1180">
        <f t="shared" si="118"/>
      </c>
      <c r="GE35" s="1180">
        <f t="shared" si="119"/>
      </c>
      <c r="GF35" s="1180">
        <f t="shared" si="120"/>
      </c>
      <c r="GG35" s="1180">
        <f t="shared" si="121"/>
      </c>
      <c r="GH35" s="1180">
        <f t="shared" si="122"/>
      </c>
      <c r="GI35" s="1180">
        <f t="shared" si="123"/>
      </c>
    </row>
    <row r="36" spans="1:191">
      <c r="A36" s="19"/>
      <c r="B36" s="15"/>
      <c r="C36" s="15"/>
      <c r="D36" s="15"/>
      <c r="E36" s="174"/>
      <c r="F36" s="15"/>
      <c r="G36" s="15"/>
      <c r="H36" s="15"/>
      <c r="I36" s="174"/>
      <c r="J36" s="15"/>
      <c r="K36" s="15"/>
      <c r="L36" s="15"/>
      <c r="M36" s="174"/>
      <c r="N36" s="15"/>
      <c r="O36" s="15"/>
      <c r="P36" s="15"/>
      <c r="Q36" s="174"/>
      <c r="R36" s="15"/>
      <c r="S36" s="15"/>
      <c r="T36" s="15"/>
      <c r="U36" s="174"/>
      <c r="V36" s="15"/>
      <c r="W36" s="15"/>
      <c r="X36" s="15"/>
      <c r="Y36" s="174"/>
      <c r="Z36" s="15"/>
      <c r="AA36" s="15"/>
      <c r="AB36" s="15"/>
      <c r="AC36" s="174"/>
      <c r="AD36" s="15"/>
      <c r="AE36" s="15"/>
      <c r="AF36" s="15"/>
      <c r="AG36" s="174"/>
      <c r="AH36" s="15"/>
      <c r="AI36" s="15"/>
      <c r="AJ36" s="15"/>
      <c r="AK36" s="174"/>
      <c r="AL36" s="15"/>
      <c r="AM36" s="15"/>
      <c r="AN36" s="15"/>
      <c r="AO36" s="174"/>
      <c r="AP36" s="15"/>
      <c r="AQ36" s="15"/>
      <c r="AR36" s="15"/>
      <c r="AS36" s="174"/>
      <c r="AT36" s="15"/>
      <c r="AU36" s="15"/>
      <c r="AV36" s="15"/>
      <c r="AW36" s="174"/>
      <c r="AX36" s="15"/>
      <c r="AY36" s="15"/>
      <c r="AZ36" s="15"/>
      <c r="BA36" s="174"/>
      <c r="BB36" s="15"/>
      <c r="BC36" s="15"/>
      <c r="BD36" s="15"/>
      <c r="BE36" s="174"/>
      <c r="BF36" s="15"/>
      <c r="BG36" s="15"/>
      <c r="BH36" s="15"/>
      <c r="BI36" s="174"/>
      <c r="BJ36" s="15"/>
      <c r="BK36" s="15"/>
      <c r="BL36" s="15"/>
      <c r="BM36" s="174"/>
      <c r="BN36" s="15"/>
      <c r="BO36" s="15"/>
      <c r="BP36" s="15"/>
      <c r="BQ36" s="174"/>
      <c r="BR36" s="15"/>
      <c r="BS36" s="15"/>
      <c r="BT36" s="15"/>
      <c r="BU36" s="174"/>
      <c r="BV36" s="15"/>
      <c r="BW36" s="58"/>
      <c r="BX36" s="58"/>
      <c r="BY36" s="188"/>
      <c r="BZ36" s="58"/>
      <c r="CA36" s="58"/>
      <c r="CB36" s="58"/>
      <c r="CC36" s="258"/>
      <c r="CD36" s="58"/>
      <c r="CE36" s="15"/>
      <c r="CF36" s="62"/>
      <c r="CG36" s="258"/>
      <c r="CH36" s="15"/>
      <c r="CI36" s="15"/>
      <c r="CJ36" s="15"/>
      <c r="CK36" s="174"/>
      <c r="CL36" s="15"/>
      <c r="CM36" s="15"/>
      <c r="CN36" s="15"/>
      <c r="CO36" s="174"/>
      <c r="CP36" s="62"/>
      <c r="CQ36" s="62"/>
      <c r="CR36" s="15"/>
      <c r="CS36" s="174"/>
      <c r="CT36" s="62"/>
      <c r="CU36" s="62"/>
      <c r="CV36" s="62"/>
      <c r="CW36" s="226"/>
      <c r="CX36" s="476"/>
      <c r="CY36" s="62"/>
      <c r="CZ36" s="62"/>
      <c r="DA36" s="226"/>
      <c r="DB36" s="476"/>
      <c r="DC36" s="62"/>
      <c r="DD36" s="62"/>
      <c r="DE36" s="226"/>
      <c r="DF36" s="62"/>
      <c r="DG36" s="62"/>
      <c r="DH36" s="62"/>
      <c r="DI36" s="226"/>
      <c r="DJ36" s="62"/>
      <c r="DK36" s="62"/>
      <c r="DL36" s="62"/>
      <c r="DM36" s="226"/>
      <c r="DN36" s="62"/>
      <c r="DO36" s="62"/>
      <c r="DP36" s="62"/>
      <c r="DQ36" s="226"/>
      <c r="DR36" s="62"/>
      <c r="DS36" s="62"/>
      <c r="DT36" s="62"/>
      <c r="DU36" s="226"/>
      <c r="DV36" s="62"/>
      <c r="DW36" s="62"/>
      <c r="DX36" s="62"/>
      <c r="DY36" s="226"/>
      <c r="DZ36" s="62"/>
      <c r="EA36" s="62"/>
      <c r="EB36" s="62"/>
      <c r="EC36" s="226"/>
      <c r="ED36" s="62"/>
      <c r="EE36" s="62"/>
      <c r="EF36" s="62"/>
      <c r="EG36" s="226"/>
      <c r="EH36" s="62"/>
      <c r="EI36" s="62"/>
      <c r="EJ36" s="62"/>
      <c r="EK36" s="226"/>
      <c r="EL36" s="3192"/>
      <c r="EN36" s="15"/>
      <c r="EO36" s="15"/>
      <c r="EP36" s="15"/>
      <c r="EQ36" s="15"/>
      <c r="ER36" s="15"/>
      <c r="ES36" s="15"/>
      <c r="ET36" s="15"/>
      <c r="EU36" s="15"/>
      <c r="EV36" s="15"/>
      <c r="EW36" s="15"/>
      <c r="EX36" s="15"/>
      <c r="EY36" s="15"/>
      <c r="EZ36" s="15"/>
      <c r="FA36" s="15"/>
      <c r="FB36" s="15"/>
      <c r="FC36" s="15"/>
      <c r="FD36" s="15"/>
      <c r="FE36" s="15"/>
      <c r="FF36" s="15"/>
      <c r="FG36" s="15"/>
      <c r="FH36" s="15"/>
      <c r="FI36" s="15"/>
      <c r="FJ36" s="15"/>
      <c r="FK36" s="15"/>
      <c r="FL36" s="15"/>
      <c r="FM36" s="15"/>
      <c r="FN36" s="15"/>
      <c r="FO36" s="15"/>
      <c r="FP36" s="15"/>
      <c r="FQ36" s="15"/>
      <c r="FR36" s="15"/>
      <c r="FS36" s="15"/>
      <c r="FT36" s="15"/>
      <c r="FU36" s="15"/>
      <c r="FV36" s="15"/>
      <c r="FW36" s="15"/>
      <c r="FX36" s="15"/>
      <c r="FY36" s="15"/>
      <c r="FZ36" s="15"/>
      <c r="GA36" s="15"/>
      <c r="GB36" s="15"/>
      <c r="GC36" s="15"/>
      <c r="GD36" s="15"/>
      <c r="GE36" s="15"/>
      <c r="GF36" s="15"/>
      <c r="GG36" s="15"/>
      <c r="GH36" s="15"/>
      <c r="GI36" s="15"/>
    </row>
    <row r="37" spans="1:191">
      <c r="A37" s="29" t="s">
        <v>142</v>
      </c>
      <c r="B37" s="15"/>
      <c r="C37" s="15"/>
      <c r="D37" s="15"/>
      <c r="E37" s="174"/>
      <c r="F37" s="15"/>
      <c r="G37" s="15"/>
      <c r="H37" s="15"/>
      <c r="I37" s="174"/>
      <c r="J37" s="15"/>
      <c r="K37" s="15"/>
      <c r="L37" s="15"/>
      <c r="M37" s="174"/>
      <c r="N37" s="15"/>
      <c r="O37" s="15"/>
      <c r="P37" s="15"/>
      <c r="Q37" s="174"/>
      <c r="R37" s="15"/>
      <c r="S37" s="15"/>
      <c r="T37" s="15"/>
      <c r="U37" s="174"/>
      <c r="V37" s="15"/>
      <c r="W37" s="15"/>
      <c r="X37" s="15"/>
      <c r="Y37" s="174"/>
      <c r="Z37" s="15"/>
      <c r="AA37" s="15"/>
      <c r="AB37" s="15"/>
      <c r="AC37" s="174"/>
      <c r="AD37" s="15"/>
      <c r="AE37" s="15"/>
      <c r="AF37" s="15"/>
      <c r="AG37" s="174"/>
      <c r="AH37" s="15"/>
      <c r="AI37" s="15"/>
      <c r="AJ37" s="15"/>
      <c r="AK37" s="174"/>
      <c r="AL37" s="15"/>
      <c r="AM37" s="15"/>
      <c r="AN37" s="15"/>
      <c r="AO37" s="174"/>
      <c r="AP37" s="15"/>
      <c r="AQ37" s="15"/>
      <c r="AR37" s="15"/>
      <c r="AS37" s="174"/>
      <c r="AT37" s="15"/>
      <c r="AU37" s="15"/>
      <c r="AV37" s="15"/>
      <c r="AW37" s="174"/>
      <c r="AX37" s="15"/>
      <c r="AY37" s="15"/>
      <c r="AZ37" s="15"/>
      <c r="BA37" s="174"/>
      <c r="BB37" s="15"/>
      <c r="BC37" s="15"/>
      <c r="BD37" s="15"/>
      <c r="BE37" s="174"/>
      <c r="BF37" s="15"/>
      <c r="BG37" s="15"/>
      <c r="BH37" s="15"/>
      <c r="BI37" s="174"/>
      <c r="BJ37" s="15"/>
      <c r="BK37" s="15"/>
      <c r="BL37" s="15"/>
      <c r="BM37" s="174"/>
      <c r="BN37" s="15"/>
      <c r="BO37" s="15"/>
      <c r="BP37" s="15"/>
      <c r="BQ37" s="174"/>
      <c r="BR37" s="15"/>
      <c r="BS37" s="15"/>
      <c r="BT37" s="15"/>
      <c r="BU37" s="174"/>
      <c r="BV37" s="58"/>
      <c r="BW37" s="58"/>
      <c r="BX37" s="58"/>
      <c r="BY37" s="188"/>
      <c r="BZ37" s="58"/>
      <c r="CA37" s="58"/>
      <c r="CB37" s="15"/>
      <c r="CC37" s="174"/>
      <c r="CD37" s="15"/>
      <c r="CE37" s="15"/>
      <c r="CF37" s="88"/>
      <c r="CG37" s="174"/>
      <c r="CH37" s="10"/>
      <c r="CI37" s="10"/>
      <c r="CJ37" s="15"/>
      <c r="CK37" s="174"/>
      <c r="CL37" s="10"/>
      <c r="CM37" s="10"/>
      <c r="CN37" s="15"/>
      <c r="CO37" s="174"/>
      <c r="CP37" s="85"/>
      <c r="CQ37" s="85"/>
      <c r="CR37" s="15"/>
      <c r="CS37" s="174"/>
      <c r="CT37" s="85"/>
      <c r="CU37" s="85"/>
      <c r="CV37" s="85"/>
      <c r="CW37" s="176"/>
      <c r="CX37" s="475"/>
      <c r="CY37" s="85"/>
      <c r="CZ37" s="85"/>
      <c r="DA37" s="176"/>
      <c r="DB37" s="475"/>
      <c r="DC37" s="85"/>
      <c r="DD37" s="85"/>
      <c r="DE37" s="226"/>
      <c r="DF37" s="62"/>
      <c r="DG37" s="62"/>
      <c r="DH37" s="62"/>
      <c r="DI37" s="226"/>
      <c r="DJ37" s="62"/>
      <c r="DK37" s="62"/>
      <c r="DL37" s="62"/>
      <c r="DM37" s="226"/>
      <c r="DN37" s="62"/>
      <c r="DO37" s="62"/>
      <c r="DP37" s="62"/>
      <c r="DQ37" s="226"/>
      <c r="DR37" s="62"/>
      <c r="DS37" s="62"/>
      <c r="DT37" s="62"/>
      <c r="DU37" s="226"/>
      <c r="DV37" s="62"/>
      <c r="DW37" s="62"/>
      <c r="DX37" s="62"/>
      <c r="DY37" s="226"/>
      <c r="DZ37" s="62"/>
      <c r="EA37" s="62"/>
      <c r="EB37" s="62"/>
      <c r="EC37" s="226"/>
      <c r="ED37" s="62"/>
      <c r="EE37" s="62"/>
      <c r="EF37" s="62"/>
      <c r="EG37" s="226"/>
      <c r="EH37" s="62"/>
      <c r="EI37" s="62"/>
      <c r="EJ37" s="62"/>
      <c r="EK37" s="226"/>
      <c r="EL37" s="3192"/>
      <c r="EN37" s="15"/>
      <c r="EO37" s="15"/>
      <c r="EP37" s="15"/>
      <c r="EQ37" s="15"/>
      <c r="ER37" s="15"/>
      <c r="ES37" s="15"/>
      <c r="ET37" s="15"/>
      <c r="EU37" s="15"/>
      <c r="EV37" s="15"/>
      <c r="EW37" s="15"/>
      <c r="EX37" s="15"/>
      <c r="EY37" s="15"/>
      <c r="EZ37" s="15"/>
      <c r="FA37" s="15"/>
      <c r="FB37" s="15"/>
      <c r="FC37" s="15"/>
      <c r="FD37" s="15"/>
      <c r="FE37" s="15"/>
      <c r="FF37" s="15"/>
      <c r="FG37" s="15"/>
      <c r="FH37" s="15"/>
      <c r="FI37" s="15"/>
      <c r="FJ37" s="15"/>
      <c r="FK37" s="15"/>
      <c r="FL37" s="15"/>
      <c r="FM37" s="15"/>
      <c r="FN37" s="15"/>
      <c r="FO37" s="15"/>
      <c r="FP37" s="15"/>
      <c r="FQ37" s="15"/>
      <c r="FR37" s="15"/>
      <c r="FS37" s="15"/>
      <c r="FT37" s="15"/>
      <c r="FU37" s="15"/>
      <c r="FV37" s="15"/>
      <c r="FW37" s="15"/>
      <c r="FX37" s="15"/>
      <c r="FY37" s="15"/>
      <c r="FZ37" s="15"/>
      <c r="GA37" s="15"/>
      <c r="GB37" s="15"/>
      <c r="GC37" s="15"/>
      <c r="GD37" s="15"/>
      <c r="GE37" s="15"/>
      <c r="GF37" s="15"/>
      <c r="GG37" s="15"/>
      <c r="GH37" s="15"/>
      <c r="GI37" s="15"/>
    </row>
    <row r="38" spans="1:191">
      <c r="A38" s="19" t="s">
        <v>143</v>
      </c>
      <c r="B38" s="34">
        <v>5</v>
      </c>
      <c r="C38" s="34">
        <f>22-B38</f>
      </c>
      <c r="D38" s="34">
        <f>25-C38-B38</f>
      </c>
      <c r="E38" s="173">
        <f>39-D38-C38-B38</f>
      </c>
      <c r="F38" s="34">
        <v>3</v>
      </c>
      <c r="G38" s="34">
        <f>8-F38</f>
      </c>
      <c r="H38" s="34">
        <f>12-G38-F38</f>
      </c>
      <c r="I38" s="173">
        <f>150+34-H38-G38-F38</f>
      </c>
      <c r="J38" s="34">
        <v>1</v>
      </c>
      <c r="K38" s="34">
        <f>12-J38</f>
      </c>
      <c r="L38" s="34">
        <f>14-K38-J38</f>
      </c>
      <c r="M38" s="173">
        <f>41-L38-K38-J38</f>
      </c>
      <c r="N38" s="34">
        <v>3</v>
      </c>
      <c r="O38" s="34">
        <f>36-N38</f>
      </c>
      <c r="P38" s="34">
        <f>41-O38-N38</f>
      </c>
      <c r="Q38" s="173">
        <f>86-75-P38-O38-N38</f>
      </c>
      <c r="R38" s="34">
        <f>17-41</f>
      </c>
      <c r="S38" s="34">
        <f>47-41-R38</f>
      </c>
      <c r="T38" s="34">
        <f>50-91-S38-R38</f>
      </c>
      <c r="U38" s="173">
        <f>-116+85-T38-S38-R38</f>
      </c>
      <c r="V38" s="34">
        <v>3</v>
      </c>
      <c r="W38" s="34">
        <f>18-V38</f>
      </c>
      <c r="X38" s="34">
        <f>24-W38-V38</f>
      </c>
      <c r="Y38" s="173">
        <f>42-X38-W38-V38</f>
      </c>
      <c r="Z38" s="34">
        <v>11</v>
      </c>
      <c r="AA38" s="34">
        <f>47-Z38</f>
      </c>
      <c r="AB38" s="34">
        <f>89-AA38-Z38</f>
      </c>
      <c r="AC38" s="173">
        <f>105-AB38-AA38-Z38</f>
      </c>
      <c r="AD38" s="34">
        <v>13</v>
      </c>
      <c r="AE38" s="34">
        <f>16-AD38</f>
      </c>
      <c r="AF38" s="34">
        <f>31-AE38-AD38</f>
      </c>
      <c r="AG38" s="173">
        <f>53-26-AF38-AE38-AD38</f>
      </c>
      <c r="AH38" s="34">
        <v>32</v>
      </c>
      <c r="AI38" s="34">
        <f>108-AH38</f>
      </c>
      <c r="AJ38" s="34">
        <f>319-AI38-AH38</f>
      </c>
      <c r="AK38" s="173">
        <f>427-AJ38-AI38-AH38</f>
      </c>
      <c r="AL38" s="34">
        <v>254</v>
      </c>
      <c r="AM38" s="34">
        <f>406-AL38</f>
      </c>
      <c r="AN38" s="34">
        <f>469-AM38-AL38</f>
      </c>
      <c r="AO38" s="173">
        <f>543-AN38-AM38-AL38</f>
      </c>
      <c r="AP38" s="34">
        <f>134+149</f>
      </c>
      <c r="AQ38" s="34">
        <f>212+283-353-AP38</f>
      </c>
      <c r="AR38" s="34">
        <f>286+339-354-AQ38-AP38</f>
      </c>
      <c r="AS38" s="173">
        <f>318+361-355-AR38-AQ38-AP38</f>
      </c>
      <c r="AT38" s="34">
        <f>101+87</f>
      </c>
      <c r="AU38" s="34">
        <f>176+192-AT38</f>
      </c>
      <c r="AV38" s="34">
        <f>294+303-AU38-AT38</f>
      </c>
      <c r="AW38" s="173">
        <f>365+377-3-AV38-AU38-AT38</f>
      </c>
      <c r="AX38" s="34">
        <f>179+315-9</f>
      </c>
      <c r="AY38" s="34">
        <f>233+445-116-AX38</f>
      </c>
      <c r="AZ38" s="34">
        <f>411+621-116-AY38-AX38</f>
      </c>
      <c r="BA38" s="173">
        <f>483+757-124-AZ38-AY38-AX38</f>
      </c>
      <c r="BB38" s="34">
        <v>77</v>
      </c>
      <c r="BC38" s="34">
        <f>122-BB38</f>
      </c>
      <c r="BD38" s="34">
        <f>288-SUM(BB38:BC38)</f>
      </c>
      <c r="BE38" s="173">
        <f>475-SUM(BB38:BD38)</f>
      </c>
      <c r="BF38" s="34">
        <v>374</v>
      </c>
      <c r="BG38" s="34">
        <f>534-BF38</f>
      </c>
      <c r="BH38" s="34">
        <f>733-SUM(BF38:BG38)</f>
      </c>
      <c r="BI38" s="173">
        <f>912-SUM(BF38:BH38)</f>
      </c>
      <c r="BJ38" s="34">
        <v>208</v>
      </c>
      <c r="BK38" s="34">
        <f>494-BJ38</f>
      </c>
      <c r="BL38" s="34">
        <f>577-SUM(BJ38:BK38)</f>
      </c>
      <c r="BM38" s="173">
        <f>831-SUM(BJ38:BL38)</f>
      </c>
      <c r="BN38" s="34">
        <v>91</v>
      </c>
      <c r="BO38" s="34">
        <f>377-BN38</f>
      </c>
      <c r="BP38" s="34">
        <f>433-SUM(BN38:BO38)</f>
      </c>
      <c r="BQ38" s="173">
        <f>665-SUM(BN38:BP38)</f>
      </c>
      <c r="BR38" s="34">
        <v>76</v>
      </c>
      <c r="BS38" s="34">
        <f>275-BR38</f>
      </c>
      <c r="BT38" s="34">
        <f>335-SUM(BR38:BS38)</f>
      </c>
      <c r="BU38" s="173">
        <f>530-SUM(BR38:BT38)</f>
      </c>
      <c r="BV38" s="34">
        <v>134</v>
      </c>
      <c r="BW38" s="34">
        <f>341-BV38</f>
      </c>
      <c r="BX38" s="34">
        <f>435-SUM(BV38:BW38)</f>
      </c>
      <c r="BY38" s="173">
        <f>730-SUM(BV38:BX38)</f>
      </c>
      <c r="BZ38" s="34">
        <v>80</v>
      </c>
      <c r="CA38" s="34">
        <f>309-BZ38</f>
      </c>
      <c r="CB38" s="34">
        <f>324-SUM(BZ38:CA38)</f>
      </c>
      <c r="CC38" s="173">
        <f>543-SUM(BZ38:CB38)</f>
      </c>
      <c r="CD38" s="34">
        <v>1</v>
      </c>
      <c r="CE38" s="34">
        <f>247-CD38</f>
      </c>
      <c r="CF38" s="77">
        <f>247-SUM(CD38:CE38)</f>
      </c>
      <c r="CG38" s="173">
        <f>495-SUM(CD38:CF38)</f>
      </c>
      <c r="CH38" s="34">
        <v>0</v>
      </c>
      <c r="CI38" s="34">
        <f>273-CH38</f>
      </c>
      <c r="CJ38" s="34">
        <f>274-CI38-CH38</f>
      </c>
      <c r="CK38" s="173">
        <f>-SUM(CH38:CJ38)+555</f>
      </c>
      <c r="CL38" s="34">
        <v>0</v>
      </c>
      <c r="CM38" s="34">
        <f>327-CL38</f>
      </c>
      <c r="CN38" s="34">
        <f>328-CM38-CL38</f>
      </c>
      <c r="CO38" s="173">
        <f>-SUM(CL38:CN38)+669</f>
      </c>
      <c r="CP38" s="77">
        <v>0</v>
      </c>
      <c r="CQ38" s="77">
        <f>390-CP38</f>
      </c>
      <c r="CR38" s="34">
        <f>391-CQ38-CP38</f>
      </c>
      <c r="CS38" s="173">
        <f>-SUM(CP38:CR38)+781</f>
      </c>
      <c r="CT38" s="77">
        <v>2</v>
      </c>
      <c r="CU38" s="77">
        <f>430-CT38</f>
      </c>
      <c r="CV38" s="77">
        <f>430-CU38-CT38</f>
      </c>
      <c r="CW38" s="192">
        <f>880-CV38-CU38-CT38</f>
      </c>
      <c r="CX38" s="474">
        <v>0</v>
      </c>
      <c r="CY38" s="77">
        <f>561-CX38</f>
      </c>
      <c r="CZ38" s="77">
        <f>561-CY38-CX38</f>
      </c>
      <c r="DA38" s="192">
        <f>1105-CZ38-CY38-CX38</f>
      </c>
      <c r="DB38" s="474">
        <v>0</v>
      </c>
      <c r="DC38" s="77">
        <f>0-DB38</f>
      </c>
      <c r="DD38" s="77">
        <f>0-DC38-DB38</f>
      </c>
      <c r="DE38" s="192">
        <v>0</v>
      </c>
      <c r="DF38" s="474">
        <v>0</v>
      </c>
      <c r="DG38" s="77">
        <v>0</v>
      </c>
      <c r="DH38" s="77">
        <v>0</v>
      </c>
      <c r="DI38" s="173">
        <v>0</v>
      </c>
      <c r="DJ38" s="474">
        <v>0</v>
      </c>
      <c r="DK38" s="77">
        <v>0</v>
      </c>
      <c r="DL38" s="77">
        <v>0</v>
      </c>
      <c r="DM38" s="173">
        <v>0</v>
      </c>
      <c r="DN38" s="474">
        <v>0</v>
      </c>
      <c r="DO38" s="77">
        <v>0</v>
      </c>
      <c r="DP38" s="77">
        <v>0</v>
      </c>
      <c r="DQ38" s="1185">
        <v>0</v>
      </c>
      <c r="DR38" s="1186">
        <v>0</v>
      </c>
      <c r="DS38" s="1186">
        <v>0</v>
      </c>
      <c r="DT38" s="1186">
        <v>0</v>
      </c>
      <c r="DU38" s="1185">
        <v>0</v>
      </c>
      <c r="DV38" s="1186">
        <v>0</v>
      </c>
      <c r="DW38" s="1186">
        <v>0</v>
      </c>
      <c r="DX38" s="1186">
        <v>0</v>
      </c>
      <c r="DY38" s="1185">
        <v>0</v>
      </c>
      <c r="DZ38" s="1186">
        <v>0</v>
      </c>
      <c r="EA38" s="1186">
        <v>0</v>
      </c>
      <c r="EB38" s="1186">
        <v>0</v>
      </c>
      <c r="EC38" s="1185">
        <v>0</v>
      </c>
      <c r="ED38" s="1186">
        <v>0</v>
      </c>
      <c r="EE38" s="1186">
        <v>0</v>
      </c>
      <c r="EF38" s="1186">
        <v>0</v>
      </c>
      <c r="EG38" s="1185">
        <v>0</v>
      </c>
      <c r="EH38" s="1186">
        <v>0</v>
      </c>
      <c r="EI38" s="1186">
        <v>0</v>
      </c>
      <c r="EJ38" s="1186">
        <v>0</v>
      </c>
      <c r="EK38" s="1185">
        <v>0</v>
      </c>
      <c r="EL38" s="3192"/>
      <c r="EN38" s="10">
        <f t="shared" ref="EN38:EN43" si="133">SUM(B38:E38)</f>
      </c>
      <c r="EO38" s="10">
        <f t="shared" ref="EO38:EO43" si="134">SUM(F38:I38)</f>
      </c>
      <c r="EP38" s="10">
        <f t="shared" ref="EP38:EP43" si="135">SUM(J38:M38)</f>
      </c>
      <c r="EQ38" s="10">
        <f t="shared" ref="EQ38:EQ43" si="136">SUM(N38:Q38)</f>
      </c>
      <c r="ER38" s="10">
        <f t="shared" ref="ER38:ER43" si="137">SUM(R38:U38)</f>
      </c>
      <c r="ES38" s="10">
        <f t="shared" ref="ES38:ES43" si="138">SUM(V38:Y38)</f>
      </c>
      <c r="ET38" s="10">
        <f t="shared" ref="ET38:ET43" si="139">SUM(Z38:AC38)</f>
      </c>
      <c r="EU38" s="10">
        <f t="shared" ref="EU38:EU43" si="140">SUM(AD38:AG38)</f>
      </c>
      <c r="EV38" s="10">
        <f t="shared" ref="EV38:EV43" si="141">SUM(AH38:AK38)</f>
      </c>
      <c r="EW38" s="10">
        <f t="shared" ref="EW38:EW43" si="142">SUM(AL38:AO38)</f>
      </c>
      <c r="EX38" s="10">
        <f t="shared" ref="EX38:EX43" si="143">SUM(AP38:AS38)</f>
      </c>
      <c r="EY38" s="10">
        <f t="shared" ref="EY38:EY43" si="144">SUM(AT38:AW38)</f>
      </c>
      <c r="EZ38" s="10">
        <f t="shared" ref="EZ38:EZ43" si="145">SUM(AX38:BA38)</f>
      </c>
      <c r="FA38" s="10">
        <f t="shared" ref="FA38:FA43" si="146">SUM(BB38:BE38)</f>
      </c>
      <c r="FB38" s="10">
        <f t="shared" ref="FB38:FB43" si="147">SUM(BF38:BI38)</f>
      </c>
      <c r="FC38" s="10">
        <f t="shared" ref="FC38:FC43" si="148">SUM(BJ38:BM38)</f>
      </c>
      <c r="FD38" s="10">
        <f t="shared" ref="FD38:FD43" si="149">SUM(BN38:BQ38)</f>
      </c>
      <c r="FE38" s="10">
        <f t="shared" ref="FE38:FE45" si="150">SUM(BR38:BU38)</f>
      </c>
      <c r="FF38" s="10">
        <f t="shared" ref="FF38:FF45" si="151">SUM(BV38:BY38)</f>
      </c>
      <c r="FG38" s="10">
        <f t="shared" ref="FG38:FG45" si="152">SUM(BZ38:CC38)</f>
      </c>
      <c r="FH38" s="10">
        <f t="shared" ref="FH38:FH47" si="153">SUM(CD38:CG38)</f>
      </c>
      <c r="FI38" s="10">
        <f t="shared" ref="FI38:FI47" si="154">SUM(CH38:CK38)</f>
      </c>
      <c r="FJ38" s="10">
        <f t="shared" ref="FJ38:FJ47" si="155">SUM(CL38:CO38)</f>
      </c>
      <c r="FK38" s="10">
        <f t="shared" ref="FK38:FK47" si="156">SUM(CP38:CS38)</f>
      </c>
      <c r="FL38" s="10">
        <f t="shared" ref="FL38:FL47" si="157">SUM(CT38:CW38)</f>
      </c>
      <c r="FM38" s="10">
        <f t="shared" ref="FM38:FM47" si="158">SUM(CX38:DA38)</f>
      </c>
      <c r="FN38" s="10">
        <f t="shared" ref="FN38:FN47" si="159">SUM(DB38:DE38)</f>
      </c>
      <c r="FO38" s="10">
        <f t="shared" ref="FO38:FO47" si="160">SUM(DF38:DI38)</f>
      </c>
      <c r="FP38" s="10">
        <f t="shared" ref="FP38:FP47" si="161">SUM(DJ38:DM38)</f>
      </c>
      <c r="FQ38" s="10">
        <f t="shared" ref="FQ38:FQ47" si="162">SUM(DN38:DQ38)</f>
      </c>
      <c r="FR38" s="10">
        <f t="shared" ref="FR38:FR47" si="163">SUM(DR38:DU38)</f>
      </c>
      <c r="FS38" s="10">
        <f t="shared" ref="FS38:FS47" si="164">SUM(DV38:DY38)</f>
      </c>
      <c r="FT38" s="10">
        <f t="shared" ref="FT38:FT47" si="165">SUM(DZ38:EC38)</f>
      </c>
      <c r="FU38" s="10">
        <f t="shared" ref="FU38:FU47" si="166">SUM(ED38:EG38)</f>
      </c>
      <c r="FV38" s="10">
        <f t="shared" ref="FV38:FV47" si="167">SUM(EH38:EK38)</f>
      </c>
      <c r="FW38" s="10"/>
      <c r="FX38" s="10">
        <f t="shared" ref="FX38:FX48" si="168">SUM(CM38:CP38)</f>
      </c>
      <c r="FY38" s="10">
        <f t="shared" ref="FY38:FY48" si="169">+SUM(CQ38:CT38)</f>
      </c>
      <c r="FZ38" s="10">
        <f t="shared" ref="FZ38:FZ48" si="170">SUM(CU38:CX38)</f>
      </c>
      <c r="GA38" s="10">
        <f t="shared" ref="GA38:GA48" si="171">+SUM(CY38:DB38)</f>
      </c>
      <c r="GB38" s="10">
        <f t="shared" ref="GB38:GB48" si="172">SUM(DC38:DF38)</f>
      </c>
      <c r="GC38" s="10">
        <f t="shared" ref="GC38:GC48" si="173">SUM(DG38:DJ38)</f>
      </c>
      <c r="GD38" s="10">
        <f t="shared" ref="GD38:GD48" si="174">SUM(DK38:DN38)</f>
      </c>
      <c r="GE38" s="10">
        <f t="shared" ref="GE38:GE48" si="175">SUM(DO38:DR38)</f>
      </c>
      <c r="GF38" s="10">
        <f t="shared" ref="GF38:GF48" si="176">SUM(DS38:DV38)</f>
      </c>
      <c r="GG38" s="10">
        <f t="shared" ref="GG38:GG48" si="177">SUM(DW38:DZ38)</f>
      </c>
      <c r="GH38" s="10">
        <f t="shared" ref="GH38:GH48" si="178">SUM(EA38:ED38)</f>
      </c>
      <c r="GI38" s="10">
        <f t="shared" ref="GI38:GI48" si="179">SUM(EE38:EH38)</f>
      </c>
    </row>
    <row r="39" spans="1:191">
      <c r="A39" s="19" t="s">
        <v>982</v>
      </c>
      <c r="B39" s="34"/>
      <c r="C39" s="34"/>
      <c r="D39" s="34"/>
      <c r="E39" s="173"/>
      <c r="F39" s="34"/>
      <c r="G39" s="34"/>
      <c r="H39" s="34"/>
      <c r="I39" s="173"/>
      <c r="J39" s="34"/>
      <c r="K39" s="34"/>
      <c r="L39" s="34"/>
      <c r="M39" s="173"/>
      <c r="N39" s="34"/>
      <c r="O39" s="34"/>
      <c r="P39" s="34"/>
      <c r="Q39" s="173"/>
      <c r="R39" s="34"/>
      <c r="S39" s="34"/>
      <c r="T39" s="34"/>
      <c r="U39" s="173"/>
      <c r="V39" s="34"/>
      <c r="W39" s="34"/>
      <c r="X39" s="34"/>
      <c r="Y39" s="173"/>
      <c r="Z39" s="34"/>
      <c r="AA39" s="34"/>
      <c r="AB39" s="34"/>
      <c r="AC39" s="173"/>
      <c r="AD39" s="34"/>
      <c r="AE39" s="34"/>
      <c r="AF39" s="34"/>
      <c r="AG39" s="173"/>
      <c r="AH39" s="34"/>
      <c r="AI39" s="34"/>
      <c r="AJ39" s="34"/>
      <c r="AK39" s="173"/>
      <c r="AL39" s="34"/>
      <c r="AM39" s="34"/>
      <c r="AN39" s="34"/>
      <c r="AO39" s="173"/>
      <c r="AP39" s="34"/>
      <c r="AQ39" s="34"/>
      <c r="AR39" s="34"/>
      <c r="AS39" s="173"/>
      <c r="AT39" s="34"/>
      <c r="AU39" s="34"/>
      <c r="AV39" s="34"/>
      <c r="AW39" s="173"/>
      <c r="AX39" s="34"/>
      <c r="AY39" s="34"/>
      <c r="AZ39" s="34"/>
      <c r="BA39" s="173"/>
      <c r="BB39" s="34">
        <v>19</v>
      </c>
      <c r="BC39" s="34">
        <f>47-BB39</f>
      </c>
      <c r="BD39" s="34">
        <f>124-SUM(BB39:BC39)</f>
      </c>
      <c r="BE39" s="173">
        <f>270-SUM(BB39:BD39)</f>
      </c>
      <c r="BF39" s="34">
        <v>252</v>
      </c>
      <c r="BG39" s="34">
        <f>413-BF39</f>
      </c>
      <c r="BH39" s="34">
        <f>652-SUM(BF39:BG39)</f>
      </c>
      <c r="BI39" s="173">
        <f>751-SUM(BF39:BH39)</f>
      </c>
      <c r="BJ39" s="34">
        <v>454</v>
      </c>
      <c r="BK39" s="34">
        <f>740-BJ39</f>
      </c>
      <c r="BL39" s="34">
        <f>915-SUM(BJ39:BK39)</f>
      </c>
      <c r="BM39" s="173">
        <f>1133-SUM(BJ39:BL39)</f>
      </c>
      <c r="BN39" s="34">
        <v>333</v>
      </c>
      <c r="BO39" s="34">
        <f>636-BN39</f>
      </c>
      <c r="BP39" s="34">
        <f>1036-SUM(BN39:BO39)</f>
      </c>
      <c r="BQ39" s="173">
        <f>1351-SUM(BN39:BP39)</f>
      </c>
      <c r="BR39" s="34">
        <v>404</v>
      </c>
      <c r="BS39" s="34">
        <f>502-BR39</f>
      </c>
      <c r="BT39" s="34">
        <f>644-SUM(BR39:BS39)</f>
      </c>
      <c r="BU39" s="173">
        <f>701-SUM(BR39:BT39)</f>
      </c>
      <c r="BV39" s="34">
        <v>280</v>
      </c>
      <c r="BW39" s="34">
        <f>363-BV39</f>
      </c>
      <c r="BX39" s="34">
        <f>562-SUM(BV39:BW39)</f>
      </c>
      <c r="BY39" s="173">
        <f>739-SUM(BV39:BX39)</f>
      </c>
      <c r="BZ39" s="34">
        <v>264</v>
      </c>
      <c r="CA39" s="34">
        <f>357-BZ39</f>
      </c>
      <c r="CB39" s="34">
        <f>684-SUM(BZ39:CA39)</f>
      </c>
      <c r="CC39" s="173">
        <f>749-SUM(BZ39:CB39)</f>
      </c>
      <c r="CD39" s="34">
        <v>224</v>
      </c>
      <c r="CE39" s="34">
        <f>264-CD39</f>
      </c>
      <c r="CF39" s="77">
        <f>391-SUM(CD39:CE39)</f>
      </c>
      <c r="CG39" s="173">
        <f>407-SUM(CD39:CF39)</f>
      </c>
      <c r="CH39" s="34">
        <v>178</v>
      </c>
      <c r="CI39" s="34">
        <f>225-CH39</f>
      </c>
      <c r="CJ39" s="34">
        <f>534-CI39-CH39</f>
      </c>
      <c r="CK39" s="173">
        <f>-SUM(CH39:CJ39)</f>
      </c>
      <c r="CL39" s="34">
        <v>0</v>
      </c>
      <c r="CM39" s="34">
        <v>0</v>
      </c>
      <c r="CN39" s="34">
        <v>0</v>
      </c>
      <c r="CO39" s="173">
        <f>-SUM(CL39:CN39)+0</f>
      </c>
      <c r="CP39" s="77">
        <v>0</v>
      </c>
      <c r="CQ39" s="77">
        <v>0</v>
      </c>
      <c r="CR39" s="34">
        <v>0</v>
      </c>
      <c r="CS39" s="173">
        <f>-SUM(CP39:CR39)+0</f>
      </c>
      <c r="CT39" s="77">
        <v>0</v>
      </c>
      <c r="CU39" s="77">
        <v>0</v>
      </c>
      <c r="CV39" s="77">
        <v>0</v>
      </c>
      <c r="CW39" s="192">
        <v>0</v>
      </c>
      <c r="CX39" s="474">
        <v>0</v>
      </c>
      <c r="CY39" s="77">
        <v>0</v>
      </c>
      <c r="CZ39" s="77"/>
      <c r="DA39" s="192">
        <v>0</v>
      </c>
      <c r="DB39" s="474">
        <v>0</v>
      </c>
      <c r="DC39" s="77">
        <v>0</v>
      </c>
      <c r="DD39" s="77">
        <f>0-DC39-DB39</f>
      </c>
      <c r="DE39" s="192">
        <v>0</v>
      </c>
      <c r="DF39" s="474">
        <v>0</v>
      </c>
      <c r="DG39" s="77">
        <v>0</v>
      </c>
      <c r="DH39" s="77">
        <v>0</v>
      </c>
      <c r="DI39" s="173">
        <v>0</v>
      </c>
      <c r="DJ39" s="474">
        <v>0</v>
      </c>
      <c r="DK39" s="77">
        <v>0</v>
      </c>
      <c r="DL39" s="77">
        <v>0</v>
      </c>
      <c r="DM39" s="173">
        <v>0</v>
      </c>
      <c r="DN39" s="474">
        <v>0</v>
      </c>
      <c r="DO39" s="77">
        <v>0</v>
      </c>
      <c r="DP39" s="77">
        <v>0</v>
      </c>
      <c r="DQ39" s="1185">
        <v>0</v>
      </c>
      <c r="DR39" s="1186">
        <v>0</v>
      </c>
      <c r="DS39" s="1186">
        <v>0</v>
      </c>
      <c r="DT39" s="1186">
        <v>0</v>
      </c>
      <c r="DU39" s="1185">
        <v>0</v>
      </c>
      <c r="DV39" s="1186">
        <v>0</v>
      </c>
      <c r="DW39" s="1186">
        <v>0</v>
      </c>
      <c r="DX39" s="1186">
        <v>0</v>
      </c>
      <c r="DY39" s="1185">
        <v>0</v>
      </c>
      <c r="DZ39" s="1186">
        <v>0</v>
      </c>
      <c r="EA39" s="1186">
        <v>0</v>
      </c>
      <c r="EB39" s="1186">
        <v>0</v>
      </c>
      <c r="EC39" s="1185">
        <v>0</v>
      </c>
      <c r="ED39" s="1186">
        <v>0</v>
      </c>
      <c r="EE39" s="1186">
        <v>0</v>
      </c>
      <c r="EF39" s="1186">
        <v>0</v>
      </c>
      <c r="EG39" s="1185">
        <v>0</v>
      </c>
      <c r="EH39" s="1186">
        <v>0</v>
      </c>
      <c r="EI39" s="1186">
        <v>0</v>
      </c>
      <c r="EJ39" s="1186">
        <v>0</v>
      </c>
      <c r="EK39" s="1185">
        <v>0</v>
      </c>
      <c r="EL39" s="3192"/>
      <c r="EN39" s="10">
        <f t="shared" si="133"/>
      </c>
      <c r="EO39" s="10">
        <f t="shared" si="134"/>
      </c>
      <c r="EP39" s="10">
        <f t="shared" si="135"/>
      </c>
      <c r="EQ39" s="10">
        <f t="shared" si="136"/>
      </c>
      <c r="ER39" s="10">
        <f t="shared" si="137"/>
      </c>
      <c r="ES39" s="10">
        <f t="shared" si="138"/>
      </c>
      <c r="ET39" s="10">
        <f t="shared" si="139"/>
      </c>
      <c r="EU39" s="10">
        <f t="shared" si="140"/>
      </c>
      <c r="EV39" s="10">
        <f t="shared" si="141"/>
      </c>
      <c r="EW39" s="10">
        <f t="shared" si="142"/>
      </c>
      <c r="EX39" s="10">
        <f t="shared" si="143"/>
      </c>
      <c r="EY39" s="10">
        <f t="shared" si="144"/>
      </c>
      <c r="EZ39" s="10">
        <f t="shared" si="145"/>
      </c>
      <c r="FA39" s="10">
        <f t="shared" si="146"/>
      </c>
      <c r="FB39" s="10">
        <f t="shared" si="147"/>
      </c>
      <c r="FC39" s="10">
        <f t="shared" si="148"/>
      </c>
      <c r="FD39" s="10">
        <f t="shared" si="149"/>
      </c>
      <c r="FE39" s="10">
        <f t="shared" si="150"/>
      </c>
      <c r="FF39" s="10">
        <f t="shared" si="151"/>
      </c>
      <c r="FG39" s="10">
        <f t="shared" si="152"/>
      </c>
      <c r="FH39" s="10">
        <f t="shared" si="153"/>
      </c>
      <c r="FI39" s="10">
        <f t="shared" si="154"/>
      </c>
      <c r="FJ39" s="10">
        <f t="shared" si="155"/>
      </c>
      <c r="FK39" s="10">
        <f t="shared" si="156"/>
      </c>
      <c r="FL39" s="10">
        <f t="shared" si="157"/>
      </c>
      <c r="FM39" s="10">
        <f t="shared" si="158"/>
      </c>
      <c r="FN39" s="10">
        <f t="shared" si="159"/>
      </c>
      <c r="FO39" s="10">
        <f t="shared" si="160"/>
      </c>
      <c r="FP39" s="10">
        <f t="shared" si="161"/>
      </c>
      <c r="FQ39" s="10">
        <f t="shared" si="162"/>
      </c>
      <c r="FR39" s="10">
        <f t="shared" si="163"/>
      </c>
      <c r="FS39" s="10">
        <f t="shared" si="164"/>
      </c>
      <c r="FT39" s="10">
        <f t="shared" si="165"/>
      </c>
      <c r="FU39" s="10">
        <f t="shared" si="166"/>
      </c>
      <c r="FV39" s="10">
        <f t="shared" si="167"/>
      </c>
      <c r="FW39" s="10"/>
      <c r="FX39" s="10">
        <f t="shared" si="168"/>
      </c>
      <c r="FY39" s="10">
        <f t="shared" si="169"/>
      </c>
      <c r="FZ39" s="10">
        <f t="shared" si="170"/>
      </c>
      <c r="GA39" s="10">
        <f t="shared" si="171"/>
      </c>
      <c r="GB39" s="10">
        <f t="shared" si="172"/>
      </c>
      <c r="GC39" s="10">
        <f t="shared" si="173"/>
      </c>
      <c r="GD39" s="10">
        <f t="shared" si="174"/>
      </c>
      <c r="GE39" s="10">
        <f t="shared" si="175"/>
      </c>
      <c r="GF39" s="10">
        <f t="shared" si="176"/>
      </c>
      <c r="GG39" s="10">
        <f t="shared" si="177"/>
      </c>
      <c r="GH39" s="10">
        <f t="shared" si="178"/>
      </c>
      <c r="GI39" s="10">
        <f t="shared" si="179"/>
      </c>
    </row>
    <row r="40" spans="1:191">
      <c r="A40" s="19" t="s">
        <v>144</v>
      </c>
      <c r="B40" s="34"/>
      <c r="C40" s="34"/>
      <c r="D40" s="34"/>
      <c r="E40" s="173"/>
      <c r="F40" s="34"/>
      <c r="G40" s="34"/>
      <c r="H40" s="34"/>
      <c r="I40" s="173"/>
      <c r="J40" s="34"/>
      <c r="K40" s="34"/>
      <c r="L40" s="34"/>
      <c r="M40" s="173"/>
      <c r="N40" s="34"/>
      <c r="O40" s="34"/>
      <c r="P40" s="34"/>
      <c r="Q40" s="173"/>
      <c r="R40" s="34"/>
      <c r="S40" s="34"/>
      <c r="T40" s="34"/>
      <c r="U40" s="173"/>
      <c r="V40" s="34"/>
      <c r="W40" s="34"/>
      <c r="X40" s="34"/>
      <c r="Y40" s="173"/>
      <c r="Z40" s="34"/>
      <c r="AA40" s="34"/>
      <c r="AB40" s="34"/>
      <c r="AC40" s="173"/>
      <c r="AD40" s="34"/>
      <c r="AE40" s="34"/>
      <c r="AF40" s="34"/>
      <c r="AG40" s="173"/>
      <c r="AH40" s="34"/>
      <c r="AI40" s="34"/>
      <c r="AJ40" s="34"/>
      <c r="AK40" s="173"/>
      <c r="AL40" s="34"/>
      <c r="AM40" s="34"/>
      <c r="AN40" s="34"/>
      <c r="AO40" s="173"/>
      <c r="AP40" s="34"/>
      <c r="AQ40" s="34"/>
      <c r="AR40" s="34"/>
      <c r="AS40" s="173"/>
      <c r="AT40" s="34"/>
      <c r="AU40" s="34"/>
      <c r="AV40" s="34"/>
      <c r="AW40" s="173"/>
      <c r="AX40" s="34"/>
      <c r="AY40" s="34"/>
      <c r="AZ40" s="34"/>
      <c r="BA40" s="173"/>
      <c r="BB40" s="34">
        <v>-34</v>
      </c>
      <c r="BC40" s="34">
        <f>-33-BB40</f>
      </c>
      <c r="BD40" s="34">
        <f>-68-SUM(BB40:BC40)</f>
      </c>
      <c r="BE40" s="173">
        <f>-82-SUM(BB40:BD40)</f>
      </c>
      <c r="BF40" s="34">
        <v>-103</v>
      </c>
      <c r="BG40" s="34">
        <f>-262-BF40</f>
      </c>
      <c r="BH40" s="34">
        <f>-384-SUM(BF40:BG40)</f>
      </c>
      <c r="BI40" s="173">
        <f>-406-SUM(BF40:BH40)</f>
      </c>
      <c r="BJ40" s="34">
        <v>-233</v>
      </c>
      <c r="BK40" s="34">
        <f>-258-BJ40</f>
      </c>
      <c r="BL40" s="34">
        <f>-479-SUM(BJ40:BK40)</f>
      </c>
      <c r="BM40" s="173">
        <f>-520-SUM(BJ40:BL40)</f>
      </c>
      <c r="BN40" s="34">
        <v>-355</v>
      </c>
      <c r="BO40" s="34">
        <f>-634-BN40</f>
      </c>
      <c r="BP40" s="34">
        <f>-1145-SUM(BN40:BO40)</f>
      </c>
      <c r="BQ40" s="173">
        <f>-1226-SUM(BN40:BP40)</f>
      </c>
      <c r="BR40" s="34">
        <v>-534</v>
      </c>
      <c r="BS40" s="34">
        <f>-588-BR40</f>
      </c>
      <c r="BT40" s="34">
        <f>-1001-SUM(BR40:BS40)</f>
      </c>
      <c r="BU40" s="173">
        <f>-1082-SUM(BR40:BT40)</f>
      </c>
      <c r="BV40" s="34">
        <v>-365</v>
      </c>
      <c r="BW40" s="34">
        <f>-430-BV40</f>
      </c>
      <c r="BX40" s="34">
        <f>-839-SUM(BV40:BW40)</f>
      </c>
      <c r="BY40" s="173">
        <f>-1158-SUM(BV40:BX40)</f>
      </c>
      <c r="BZ40" s="34">
        <v>-512</v>
      </c>
      <c r="CA40" s="34">
        <f>-608-BZ40</f>
      </c>
      <c r="CB40" s="34">
        <f>-1332-SUM(BZ40:CA40)</f>
      </c>
      <c r="CC40" s="173">
        <f>-1499-SUM(BZ40:CB40)</f>
      </c>
      <c r="CD40" s="34">
        <v>-597</v>
      </c>
      <c r="CE40" s="34">
        <f>-751-CD40</f>
      </c>
      <c r="CF40" s="77">
        <f>-1361-SUM(CD40:CE40)</f>
      </c>
      <c r="CG40" s="173">
        <f>-1570-SUM(CD40:CF40)</f>
      </c>
      <c r="CH40" s="34">
        <v>-629</v>
      </c>
      <c r="CI40" s="34">
        <f>-788-CH40</f>
      </c>
      <c r="CJ40" s="34">
        <f>-1646-CI40-CH40</f>
      </c>
      <c r="CK40" s="173">
        <f>-SUM(CH40:CJ40)-1874</f>
      </c>
      <c r="CL40" s="34">
        <v>-1038</v>
      </c>
      <c r="CM40" s="34">
        <f>-1190-CL40</f>
      </c>
      <c r="CN40" s="34">
        <f>-2267-CM40-CL40</f>
      </c>
      <c r="CO40" s="173">
        <f>-SUM(CL40:CN40)-2527</f>
      </c>
      <c r="CP40" s="77">
        <v>-1318</v>
      </c>
      <c r="CQ40" s="77">
        <f>-1427-CP40</f>
      </c>
      <c r="CR40" s="34">
        <f>-2626-CQ40-CP40</f>
      </c>
      <c r="CS40" s="173">
        <f>-SUM(CP40:CR40)-2817</f>
      </c>
      <c r="CT40" s="77">
        <v>-1379</v>
      </c>
      <c r="CU40" s="77">
        <f>-1566-CT40</f>
      </c>
      <c r="CV40" s="77">
        <f>-3234-CU40-CT40</f>
      </c>
      <c r="CW40" s="192">
        <f>-3634-CV40-CU40-CT40</f>
      </c>
      <c r="CX40" s="474">
        <v>-2861</v>
      </c>
      <c r="CY40" s="77">
        <f>-3160-CX40</f>
      </c>
      <c r="CZ40" s="77">
        <f>-5855-CY40-CX40</f>
      </c>
      <c r="DA40" s="192">
        <f>-6556-CZ40-CY40-CX40</f>
      </c>
      <c r="DB40" s="474">
        <v>-2888</v>
      </c>
      <c r="DC40" s="77">
        <f>-3218-DB40</f>
      </c>
      <c r="DD40" s="77">
        <f>-5915-DC40-DB40</f>
      </c>
      <c r="DE40" s="192">
        <f>-6223-DD40-DC40-DB40</f>
      </c>
      <c r="DF40" s="474">
        <v>-2316</v>
      </c>
      <c r="DG40" s="77">
        <f>-2734-DF40</f>
      </c>
      <c r="DH40" s="77">
        <f>-5119-DG40-DF40</f>
      </c>
      <c r="DI40" s="173">
        <f>-5431-SUM(DF40:DH40)</f>
      </c>
      <c r="DJ40" s="474">
        <v>-2591</v>
      </c>
      <c r="DK40" s="77">
        <f>-2875-DJ40</f>
      </c>
      <c r="DL40" s="77">
        <f>-5163-DK40-DJ40</f>
      </c>
      <c r="DM40" s="173">
        <f>-5441-SUM(DJ40:DL40)</f>
      </c>
      <c r="DN40" s="474">
        <v>-2921</v>
      </c>
      <c r="DO40" s="77">
        <f>-3205-DN40</f>
      </c>
      <c r="DP40" s="77">
        <f>-5719-DO40-DN40</f>
      </c>
      <c r="DQ40" s="1185">
        <v>-300</v>
      </c>
      <c r="DR40" s="1186">
        <v>-2900</v>
      </c>
      <c r="DS40" s="1186">
        <v>-300</v>
      </c>
      <c r="DT40" s="1186">
        <v>-2900</v>
      </c>
      <c r="DU40" s="1185">
        <v>-300</v>
      </c>
      <c r="DV40" s="1186">
        <v>-2900</v>
      </c>
      <c r="DW40" s="1186">
        <v>-300</v>
      </c>
      <c r="DX40" s="1186">
        <v>-2900</v>
      </c>
      <c r="DY40" s="1185">
        <v>-300</v>
      </c>
      <c r="DZ40" s="1186">
        <v>-2900</v>
      </c>
      <c r="EA40" s="1186">
        <v>-300</v>
      </c>
      <c r="EB40" s="1186">
        <v>-2900</v>
      </c>
      <c r="EC40" s="1185">
        <v>-300</v>
      </c>
      <c r="ED40" s="1186">
        <v>-2900</v>
      </c>
      <c r="EE40" s="1186">
        <v>-300</v>
      </c>
      <c r="EF40" s="1186">
        <v>-2900</v>
      </c>
      <c r="EG40" s="1185">
        <v>-300</v>
      </c>
      <c r="EH40" s="1186">
        <v>-2900</v>
      </c>
      <c r="EI40" s="1186">
        <v>-300</v>
      </c>
      <c r="EJ40" s="1186">
        <v>-2900</v>
      </c>
      <c r="EK40" s="1185">
        <v>-300</v>
      </c>
      <c r="EL40" s="3192"/>
      <c r="EN40" s="10">
        <f t="shared" si="133"/>
      </c>
      <c r="EO40" s="10">
        <f t="shared" si="134"/>
      </c>
      <c r="EP40" s="10">
        <f t="shared" si="135"/>
      </c>
      <c r="EQ40" s="10">
        <f t="shared" si="136"/>
      </c>
      <c r="ER40" s="10">
        <f t="shared" si="137"/>
      </c>
      <c r="ES40" s="10">
        <f t="shared" si="138"/>
      </c>
      <c r="ET40" s="10">
        <f t="shared" si="139"/>
      </c>
      <c r="EU40" s="10">
        <f t="shared" si="140"/>
      </c>
      <c r="EV40" s="10">
        <f t="shared" si="141"/>
      </c>
      <c r="EW40" s="10">
        <f t="shared" si="142"/>
      </c>
      <c r="EX40" s="10">
        <f t="shared" si="143"/>
      </c>
      <c r="EY40" s="10">
        <f t="shared" si="144"/>
      </c>
      <c r="EZ40" s="10">
        <f t="shared" si="145"/>
      </c>
      <c r="FA40" s="10">
        <f t="shared" si="146"/>
      </c>
      <c r="FB40" s="10">
        <f t="shared" si="147"/>
      </c>
      <c r="FC40" s="10">
        <f t="shared" si="148"/>
      </c>
      <c r="FD40" s="10">
        <f t="shared" si="149"/>
      </c>
      <c r="FE40" s="10">
        <f t="shared" si="150"/>
      </c>
      <c r="FF40" s="10">
        <f t="shared" si="151"/>
      </c>
      <c r="FG40" s="10">
        <f t="shared" si="152"/>
      </c>
      <c r="FH40" s="10">
        <f t="shared" si="153"/>
      </c>
      <c r="FI40" s="10">
        <f t="shared" si="154"/>
      </c>
      <c r="FJ40" s="10">
        <f t="shared" si="155"/>
      </c>
      <c r="FK40" s="10">
        <f t="shared" si="156"/>
      </c>
      <c r="FL40" s="10">
        <f t="shared" si="157"/>
      </c>
      <c r="FM40" s="10">
        <f t="shared" si="158"/>
      </c>
      <c r="FN40" s="10">
        <f t="shared" si="159"/>
      </c>
      <c r="FO40" s="10">
        <f t="shared" si="160"/>
      </c>
      <c r="FP40" s="10">
        <f t="shared" si="161"/>
      </c>
      <c r="FQ40" s="10">
        <f t="shared" si="162"/>
      </c>
      <c r="FR40" s="10">
        <f t="shared" si="163"/>
      </c>
      <c r="FS40" s="10">
        <f t="shared" si="164"/>
      </c>
      <c r="FT40" s="10">
        <f t="shared" si="165"/>
      </c>
      <c r="FU40" s="10">
        <f t="shared" si="166"/>
      </c>
      <c r="FV40" s="10">
        <f t="shared" si="167"/>
      </c>
      <c r="FW40" s="10"/>
      <c r="FX40" s="10">
        <f t="shared" si="168"/>
      </c>
      <c r="FY40" s="10">
        <f t="shared" si="169"/>
      </c>
      <c r="FZ40" s="10">
        <f t="shared" si="170"/>
      </c>
      <c r="GA40" s="10">
        <f t="shared" si="171"/>
      </c>
      <c r="GB40" s="10">
        <f t="shared" si="172"/>
      </c>
      <c r="GC40" s="10">
        <f t="shared" si="173"/>
      </c>
      <c r="GD40" s="10">
        <f t="shared" si="174"/>
      </c>
      <c r="GE40" s="10">
        <f t="shared" si="175"/>
      </c>
      <c r="GF40" s="10">
        <f t="shared" si="176"/>
      </c>
      <c r="GG40" s="10">
        <f t="shared" si="177"/>
      </c>
      <c r="GH40" s="10">
        <f t="shared" si="178"/>
      </c>
      <c r="GI40" s="10">
        <f t="shared" si="179"/>
      </c>
    </row>
    <row r="41" spans="1:191">
      <c r="A41" s="19" t="s">
        <v>163</v>
      </c>
      <c r="B41" s="34">
        <v>-15</v>
      </c>
      <c r="C41" s="34">
        <f>-14-B41</f>
      </c>
      <c r="D41" s="34">
        <v>0</v>
      </c>
      <c r="E41" s="173">
        <f>-14-D41-C41-B41</f>
      </c>
      <c r="F41" s="34"/>
      <c r="G41" s="34"/>
      <c r="H41" s="34"/>
      <c r="I41" s="173"/>
      <c r="J41" s="34"/>
      <c r="K41" s="34"/>
      <c r="L41" s="34"/>
      <c r="M41" s="173"/>
      <c r="N41" s="34"/>
      <c r="O41" s="34"/>
      <c r="P41" s="34"/>
      <c r="Q41" s="173"/>
      <c r="R41" s="34"/>
      <c r="S41" s="34"/>
      <c r="T41" s="34"/>
      <c r="U41" s="173"/>
      <c r="V41" s="34"/>
      <c r="W41" s="34"/>
      <c r="X41" s="34"/>
      <c r="Y41" s="173"/>
      <c r="Z41" s="34"/>
      <c r="AA41" s="34"/>
      <c r="AB41" s="34"/>
      <c r="AC41" s="173"/>
      <c r="AD41" s="34"/>
      <c r="AE41" s="34"/>
      <c r="AF41" s="34"/>
      <c r="AG41" s="173"/>
      <c r="AH41" s="34"/>
      <c r="AI41" s="34"/>
      <c r="AJ41" s="34"/>
      <c r="AK41" s="173"/>
      <c r="AL41" s="34"/>
      <c r="AM41" s="34"/>
      <c r="AN41" s="34"/>
      <c r="AO41" s="173"/>
      <c r="AP41" s="34"/>
      <c r="AQ41" s="34"/>
      <c r="AR41" s="34"/>
      <c r="AS41" s="173"/>
      <c r="AT41" s="34"/>
      <c r="AU41" s="34"/>
      <c r="AV41" s="34"/>
      <c r="AW41" s="173"/>
      <c r="AX41" s="34"/>
      <c r="AY41" s="34"/>
      <c r="AZ41" s="34"/>
      <c r="BA41" s="173"/>
      <c r="BB41" s="34">
        <v>0</v>
      </c>
      <c r="BC41" s="34">
        <f>0-BB41</f>
      </c>
      <c r="BD41" s="34">
        <f>0-SUM(BB41:BC41)</f>
      </c>
      <c r="BE41" s="173">
        <f>0-SUM(BB41:BD41)</f>
      </c>
      <c r="BF41" s="34">
        <v>0</v>
      </c>
      <c r="BG41" s="34">
        <f>0-BF41</f>
      </c>
      <c r="BH41" s="34">
        <f>0-SUM(BF41:BG41)</f>
      </c>
      <c r="BI41" s="173">
        <f>0-SUM(BF41:BH41)</f>
      </c>
      <c r="BJ41" s="34">
        <v>0</v>
      </c>
      <c r="BK41" s="34">
        <f>0-BJ41</f>
      </c>
      <c r="BL41" s="34">
        <f>0-SUM(BJ41:BK41)</f>
      </c>
      <c r="BM41" s="173">
        <f>0-SUM(BJ41:BL41)</f>
      </c>
      <c r="BN41" s="34">
        <v>0</v>
      </c>
      <c r="BO41" s="34">
        <f>0-BN41</f>
      </c>
      <c r="BP41" s="34">
        <f>0-SUM(BN41:BO41)</f>
      </c>
      <c r="BQ41" s="173">
        <f>-2488-SUM(BN41:BP41)</f>
      </c>
      <c r="BR41" s="34">
        <v>-2493</v>
      </c>
      <c r="BS41" s="34">
        <f>-4984-BR41</f>
      </c>
      <c r="BT41" s="34">
        <f>-7795-SUM(BR41:BS41)</f>
      </c>
      <c r="BU41" s="173">
        <f>-10564-SUM(BR41:BT41)</f>
      </c>
      <c r="BV41" s="34">
        <v>-2769</v>
      </c>
      <c r="BW41" s="34">
        <f>-5430-BV41</f>
      </c>
      <c r="BX41" s="34">
        <f>-8297-SUM(BV41:BW41)</f>
      </c>
      <c r="BY41" s="173">
        <f>-11126-SUM(BV41:BX41)</f>
      </c>
      <c r="BZ41" s="34">
        <v>-2801</v>
      </c>
      <c r="CA41" s="34">
        <f>-5544-BZ41</f>
      </c>
      <c r="CB41" s="34">
        <f>-8597-SUM(BZ41:CA41)</f>
      </c>
      <c r="CC41" s="173">
        <f>-11561-SUM(BZ41:CB41)</f>
      </c>
      <c r="CD41" s="34">
        <v>-2969</v>
      </c>
      <c r="CE41" s="34">
        <f>-5871-CD41</f>
      </c>
      <c r="CF41" s="77">
        <f>-9058-SUM(CD41:CE41)</f>
      </c>
      <c r="CG41" s="173">
        <f>-12150-SUM(CD41:CF41)</f>
      </c>
      <c r="CH41" s="34">
        <v>-3130</v>
      </c>
      <c r="CI41" s="34">
        <f>-6134-CH41</f>
      </c>
      <c r="CJ41" s="34">
        <f>-9499-CI41-CH41</f>
      </c>
      <c r="CK41" s="173">
        <f>-SUM(CH41:CJ41)-12769</f>
      </c>
      <c r="CL41" s="34">
        <v>-3339</v>
      </c>
      <c r="CM41" s="34">
        <f>-6529-CL41</f>
      </c>
      <c r="CN41" s="34">
        <f>-10182-CM41-CL41</f>
      </c>
      <c r="CO41" s="173">
        <f>-SUM(CL41:CN41)-13712</f>
      </c>
      <c r="CP41" s="77">
        <v>-3568</v>
      </c>
      <c r="CQ41" s="77">
        <f>-7011-CP41</f>
      </c>
      <c r="CR41" s="34">
        <f>-10640-CQ41-CP41</f>
      </c>
      <c r="CS41" s="173">
        <f>-SUM(CP41:CR41)-14119</f>
      </c>
      <c r="CT41" s="77">
        <v>-3539</v>
      </c>
      <c r="CU41" s="77">
        <f>-6914-CT41</f>
      </c>
      <c r="CV41" s="77">
        <f>-10570-CU41-CT41</f>
      </c>
      <c r="CW41" s="192">
        <f>-14081-CV41-CU41-CT41</f>
      </c>
      <c r="CX41" s="474">
        <v>-3613</v>
      </c>
      <c r="CY41" s="77">
        <f>-7060-CX41</f>
      </c>
      <c r="CZ41" s="77">
        <f>-10827-CY41-CX41</f>
      </c>
      <c r="DA41" s="192">
        <f>-14467-CZ41-CY41-CX41</f>
      </c>
      <c r="DB41" s="474">
        <v>-3732</v>
      </c>
      <c r="DC41" s="77">
        <f>-7327-DB41</f>
      </c>
      <c r="DD41" s="77">
        <f>-11138-DC41-DB41</f>
      </c>
      <c r="DE41" s="192">
        <f>-14841-DD41-DC41-DB41</f>
      </c>
      <c r="DF41" s="474">
        <v>-3768</v>
      </c>
      <c r="DG41" s="77">
        <f>-7418-DF41</f>
      </c>
      <c r="DH41" s="77">
        <f>-11267-DG41-DF41</f>
      </c>
      <c r="DI41" s="173">
        <f>-15025-SUM(DF41:DH41)</f>
      </c>
      <c r="DJ41" s="474">
        <v>-3825</v>
      </c>
      <c r="DK41" s="77">
        <f>-7535-DJ41</f>
      </c>
      <c r="DL41" s="77">
        <f>-11430-DK41-DJ41</f>
      </c>
      <c r="DM41" s="173">
        <f>-15234-SUM(DJ41:DL41)</f>
      </c>
      <c r="DN41" s="474">
        <v>-3856</v>
      </c>
      <c r="DO41" s="77">
        <f>-7614-DN41</f>
      </c>
      <c r="DP41" s="77">
        <f>-11559-DO41-DN41</f>
      </c>
      <c r="DQ41" s="176">
        <f>-'Income Statement'!DQ35*'Income Statement'!DQ34</f>
      </c>
      <c r="DR41" s="85">
        <f>-'Income Statement'!DR35*'Income Statement'!DR34</f>
      </c>
      <c r="DS41" s="85">
        <f>-'Income Statement'!DS35*'Income Statement'!DS34</f>
      </c>
      <c r="DT41" s="85">
        <f>-'Income Statement'!DT35*'Income Statement'!DT34</f>
      </c>
      <c r="DU41" s="176">
        <f>-'Income Statement'!DU35*'Income Statement'!DU34</f>
      </c>
      <c r="DV41" s="85">
        <f>-'Income Statement'!DV35*'Income Statement'!DV34</f>
      </c>
      <c r="DW41" s="85">
        <f>-'Income Statement'!DW35*'Income Statement'!DW34</f>
      </c>
      <c r="DX41" s="85">
        <f>-'Income Statement'!DX35*'Income Statement'!DX34</f>
      </c>
      <c r="DY41" s="176">
        <f>-'Income Statement'!DY35*'Income Statement'!DY34</f>
      </c>
      <c r="DZ41" s="85">
        <f>-'Income Statement'!DZ35*'Income Statement'!DZ34</f>
      </c>
      <c r="EA41" s="85">
        <f>-'Income Statement'!EA35*'Income Statement'!EA34</f>
      </c>
      <c r="EB41" s="85">
        <f>-'Income Statement'!EB35*'Income Statement'!EB34</f>
      </c>
      <c r="EC41" s="176">
        <f>-'Income Statement'!EC35*'Income Statement'!EC34</f>
      </c>
      <c r="ED41" s="85">
        <f>-'Income Statement'!ED35*'Income Statement'!ED34</f>
      </c>
      <c r="EE41" s="85">
        <f>-'Income Statement'!EE35*'Income Statement'!EE34</f>
      </c>
      <c r="EF41" s="85">
        <f>-'Income Statement'!EF35*'Income Statement'!EF34</f>
      </c>
      <c r="EG41" s="176">
        <f>-'Income Statement'!EG35*'Income Statement'!EG34</f>
      </c>
      <c r="EH41" s="85">
        <f>-'Income Statement'!EH35*'Income Statement'!EH34</f>
      </c>
      <c r="EI41" s="85">
        <f>-'Income Statement'!EI35*'Income Statement'!EI34</f>
      </c>
      <c r="EJ41" s="85">
        <f>-'Income Statement'!EJ35*'Income Statement'!EJ34</f>
      </c>
      <c r="EK41" s="176">
        <f>-'Income Statement'!EK35*'Income Statement'!EK34</f>
      </c>
      <c r="EL41" s="3192"/>
      <c r="EN41" s="10">
        <f t="shared" si="133"/>
      </c>
      <c r="EO41" s="10">
        <f t="shared" si="134"/>
      </c>
      <c r="EP41" s="10">
        <f t="shared" si="135"/>
      </c>
      <c r="EQ41" s="10">
        <f t="shared" si="136"/>
      </c>
      <c r="ER41" s="10">
        <f t="shared" si="137"/>
      </c>
      <c r="ES41" s="10">
        <f t="shared" si="138"/>
      </c>
      <c r="ET41" s="10">
        <f t="shared" si="139"/>
      </c>
      <c r="EU41" s="10">
        <f t="shared" si="140"/>
      </c>
      <c r="EV41" s="10">
        <f t="shared" si="141"/>
      </c>
      <c r="EW41" s="10">
        <f t="shared" si="142"/>
      </c>
      <c r="EX41" s="10">
        <f t="shared" si="143"/>
      </c>
      <c r="EY41" s="10">
        <f t="shared" si="144"/>
      </c>
      <c r="EZ41" s="10">
        <f t="shared" si="145"/>
      </c>
      <c r="FA41" s="10">
        <f t="shared" si="146"/>
      </c>
      <c r="FB41" s="10">
        <f t="shared" si="147"/>
      </c>
      <c r="FC41" s="10">
        <f t="shared" si="148"/>
      </c>
      <c r="FD41" s="10">
        <f t="shared" si="149"/>
      </c>
      <c r="FE41" s="10">
        <f t="shared" si="150"/>
      </c>
      <c r="FF41" s="10">
        <f t="shared" si="151"/>
      </c>
      <c r="FG41" s="10">
        <f t="shared" si="152"/>
      </c>
      <c r="FH41" s="10">
        <f t="shared" si="153"/>
      </c>
      <c r="FI41" s="10">
        <f t="shared" si="154"/>
      </c>
      <c r="FJ41" s="10">
        <f t="shared" si="155"/>
      </c>
      <c r="FK41" s="10">
        <f t="shared" si="156"/>
      </c>
      <c r="FL41" s="10">
        <f t="shared" si="157"/>
      </c>
      <c r="FM41" s="10">
        <f t="shared" si="158"/>
      </c>
      <c r="FN41" s="10">
        <f t="shared" si="159"/>
      </c>
      <c r="FO41" s="10">
        <f t="shared" si="160"/>
      </c>
      <c r="FP41" s="10">
        <f t="shared" si="161"/>
      </c>
      <c r="FQ41" s="10">
        <f t="shared" si="162"/>
      </c>
      <c r="FR41" s="10">
        <f t="shared" si="163"/>
      </c>
      <c r="FS41" s="10">
        <f t="shared" si="164"/>
      </c>
      <c r="FT41" s="10">
        <f t="shared" si="165"/>
      </c>
      <c r="FU41" s="10">
        <f t="shared" si="166"/>
      </c>
      <c r="FV41" s="10">
        <f t="shared" si="167"/>
      </c>
      <c r="FW41" s="10"/>
      <c r="FX41" s="10">
        <f t="shared" si="168"/>
      </c>
      <c r="FY41" s="10">
        <f t="shared" si="169"/>
      </c>
      <c r="FZ41" s="10">
        <f t="shared" si="170"/>
      </c>
      <c r="GA41" s="10">
        <f t="shared" si="171"/>
      </c>
      <c r="GB41" s="10">
        <f t="shared" si="172"/>
      </c>
      <c r="GC41" s="10">
        <f t="shared" si="173"/>
      </c>
      <c r="GD41" s="10">
        <f t="shared" si="174"/>
      </c>
      <c r="GE41" s="10">
        <f t="shared" si="175"/>
      </c>
      <c r="GF41" s="10">
        <f t="shared" si="176"/>
      </c>
      <c r="GG41" s="10">
        <f t="shared" si="177"/>
      </c>
      <c r="GH41" s="10">
        <f t="shared" si="178"/>
      </c>
      <c r="GI41" s="10">
        <f t="shared" si="179"/>
      </c>
    </row>
    <row r="42" spans="1:191" ht="11.25" customHeight="1">
      <c r="A42" s="19" t="s">
        <v>145</v>
      </c>
      <c r="B42" s="34"/>
      <c r="C42" s="34"/>
      <c r="D42" s="34"/>
      <c r="E42" s="173"/>
      <c r="F42" s="34"/>
      <c r="G42" s="34"/>
      <c r="H42" s="34"/>
      <c r="I42" s="173"/>
      <c r="J42" s="34"/>
      <c r="K42" s="34"/>
      <c r="L42" s="34"/>
      <c r="M42" s="173"/>
      <c r="N42" s="34"/>
      <c r="O42" s="34"/>
      <c r="P42" s="34"/>
      <c r="Q42" s="173"/>
      <c r="R42" s="34"/>
      <c r="S42" s="34"/>
      <c r="T42" s="34"/>
      <c r="U42" s="173"/>
      <c r="V42" s="34"/>
      <c r="W42" s="34"/>
      <c r="X42" s="34"/>
      <c r="Y42" s="173"/>
      <c r="Z42" s="34"/>
      <c r="AA42" s="34"/>
      <c r="AB42" s="34"/>
      <c r="AC42" s="173"/>
      <c r="AD42" s="34"/>
      <c r="AE42" s="34"/>
      <c r="AF42" s="34"/>
      <c r="AG42" s="173"/>
      <c r="AH42" s="34"/>
      <c r="AI42" s="34"/>
      <c r="AJ42" s="34"/>
      <c r="AK42" s="173"/>
      <c r="AL42" s="34"/>
      <c r="AM42" s="34"/>
      <c r="AN42" s="34"/>
      <c r="AO42" s="173"/>
      <c r="AP42" s="34"/>
      <c r="AQ42" s="34"/>
      <c r="AR42" s="34"/>
      <c r="AS42" s="173"/>
      <c r="AT42" s="34"/>
      <c r="AU42" s="34"/>
      <c r="AV42" s="34"/>
      <c r="AW42" s="173"/>
      <c r="AX42" s="34"/>
      <c r="AY42" s="34"/>
      <c r="AZ42" s="34"/>
      <c r="BA42" s="173"/>
      <c r="BB42" s="34">
        <v>0</v>
      </c>
      <c r="BC42" s="34">
        <f>0-BB42</f>
      </c>
      <c r="BD42" s="34">
        <f>0-SUM(BB42:BC42)</f>
      </c>
      <c r="BE42" s="173">
        <f>0-SUM(BB42:BD42)</f>
      </c>
      <c r="BF42" s="34">
        <v>0</v>
      </c>
      <c r="BG42" s="34">
        <f>0-BF42</f>
      </c>
      <c r="BH42" s="34">
        <f>0-SUM(BF42:BG42)</f>
      </c>
      <c r="BI42" s="173">
        <f>0-SUM(BF42:BH42)</f>
      </c>
      <c r="BJ42" s="34">
        <v>0</v>
      </c>
      <c r="BK42" s="34">
        <f>0-BJ42</f>
      </c>
      <c r="BL42" s="34">
        <f>0-SUM(BJ42:BK42)</f>
      </c>
      <c r="BM42" s="173">
        <f>0-SUM(BJ42:BL42)</f>
      </c>
      <c r="BN42" s="34">
        <v>0</v>
      </c>
      <c r="BO42" s="34">
        <f>0-BN42</f>
      </c>
      <c r="BP42" s="34">
        <f>0-SUM(BN42:BO42)</f>
      </c>
      <c r="BQ42" s="173">
        <f>0-SUM(BN42:BP42)</f>
      </c>
      <c r="BR42" s="34">
        <v>-1950</v>
      </c>
      <c r="BS42" s="34">
        <f>-1950-BR42</f>
      </c>
      <c r="BT42" s="34">
        <f>-17950-SUM(BR42:BS42)</f>
      </c>
      <c r="BU42" s="173">
        <f>-22860-SUM(BR42:BT42)</f>
      </c>
      <c r="BV42" s="34">
        <v>-5029</v>
      </c>
      <c r="BW42" s="34">
        <f>-23000-BV42</f>
      </c>
      <c r="BX42" s="34">
        <f>-28000-SUM(BV42:BW42)</f>
      </c>
      <c r="BY42" s="173">
        <f>-45000-SUM(BV42:BX42)</f>
      </c>
      <c r="BZ42" s="34">
        <v>-5030</v>
      </c>
      <c r="CA42" s="34">
        <f>-12000-BZ42</f>
      </c>
      <c r="CB42" s="34">
        <f>-22000-SUM(BZ42:CA42)</f>
      </c>
      <c r="CC42" s="173">
        <f>-35253-SUM(BZ42:CB42)</f>
      </c>
      <c r="CD42" s="34">
        <v>-6863</v>
      </c>
      <c r="CE42" s="34">
        <f>-13530-CD42</f>
      </c>
      <c r="CF42" s="77">
        <f>-23696-SUM(CD42:CE42)</f>
      </c>
      <c r="CG42" s="173">
        <f>-29722-SUM(CD42:CF42)</f>
      </c>
      <c r="CH42" s="34">
        <v>-10851</v>
      </c>
      <c r="CI42" s="34">
        <f>-18012-CH42</f>
      </c>
      <c r="CJ42" s="34">
        <f>-25105-CI42-CH42</f>
      </c>
      <c r="CK42" s="173">
        <f>-SUM(CH42:CJ42)-32900</f>
      </c>
      <c r="CL42" s="34">
        <v>-10095</v>
      </c>
      <c r="CM42" s="34">
        <f>-32851-CL42</f>
      </c>
      <c r="CN42" s="34">
        <f>-53634-CM42-CL42</f>
      </c>
      <c r="CO42" s="173">
        <f>-SUM(CL42:CN42)-72738</f>
      </c>
      <c r="CP42" s="77">
        <v>-8796</v>
      </c>
      <c r="CQ42" s="77">
        <f>-32498-CP42</f>
      </c>
      <c r="CR42" s="34">
        <f>-49453-CQ42-CP42</f>
      </c>
      <c r="CS42" s="173">
        <f>-SUM(CP42:CR42)-66897</f>
      </c>
      <c r="CT42" s="77">
        <v>-20706</v>
      </c>
      <c r="CU42" s="77">
        <f>-39280-CT42</f>
      </c>
      <c r="CV42" s="77">
        <f>-55171-CU42-CT42</f>
      </c>
      <c r="CW42" s="192">
        <f>-72358-CV42-CU42-CT42</f>
      </c>
      <c r="CX42" s="474">
        <v>-24775</v>
      </c>
      <c r="CY42" s="77">
        <f>-43323-CX42</f>
      </c>
      <c r="CZ42" s="77">
        <f>-66223-CY42-CX42</f>
      </c>
      <c r="DA42" s="192">
        <f>-85971-CZ42-CY42-CX42</f>
      </c>
      <c r="DB42" s="474">
        <v>-20478</v>
      </c>
      <c r="DC42" s="77">
        <f>-43109-DB42</f>
      </c>
      <c r="DD42" s="77">
        <f>-64974-DC42-DB42</f>
      </c>
      <c r="DE42" s="192">
        <f>-89402-DD42-DC42-DB42</f>
      </c>
      <c r="DF42" s="474">
        <v>-19475</v>
      </c>
      <c r="DG42" s="77">
        <f>-39069-DF42</f>
      </c>
      <c r="DH42" s="77">
        <f>-56547-DG42-DF42</f>
      </c>
      <c r="DI42" s="173">
        <f>-77550-SUM(DF42:DH42)</f>
      </c>
      <c r="DJ42" s="474">
        <v>-20139</v>
      </c>
      <c r="DK42" s="77">
        <f>-43344-DJ42</f>
      </c>
      <c r="DL42" s="77">
        <f>-69866-DK42-DJ42</f>
      </c>
      <c r="DM42" s="173">
        <f>-94949-SUM(DJ42:DL42)</f>
      </c>
      <c r="DN42" s="474">
        <v>-23606</v>
      </c>
      <c r="DO42" s="34">
        <f>-49504-DN42</f>
      </c>
      <c r="DP42" s="77">
        <f>-70579-DO42-DN42</f>
      </c>
      <c r="DQ42" s="1185">
        <v>-25000</v>
      </c>
      <c r="DR42" s="3143">
        <f>DN42-3500</f>
      </c>
      <c r="DS42" s="1186">
        <f t="shared" ref="DS42:DU42" si="180">DO42-3500</f>
      </c>
      <c r="DT42" s="1186">
        <f t="shared" si="180"/>
      </c>
      <c r="DU42" s="1185">
        <f t="shared" si="180"/>
      </c>
      <c r="DV42" s="3143">
        <f>DR42-3500</f>
      </c>
      <c r="DW42" s="1186">
        <f t="shared" ref="DW42" si="181">DS42-3500</f>
      </c>
      <c r="DX42" s="1186">
        <f t="shared" ref="DX42" si="182">DT42-3500</f>
      </c>
      <c r="DY42" s="1185">
        <f t="shared" ref="DY42" si="183">DU42-3500</f>
      </c>
      <c r="DZ42" s="3143">
        <f>DV42-2000</f>
      </c>
      <c r="EA42" s="1186">
        <f t="shared" ref="EA42:EK42" si="184">DW42-2000</f>
      </c>
      <c r="EB42" s="1186">
        <f t="shared" si="184"/>
      </c>
      <c r="EC42" s="1185">
        <f t="shared" si="184"/>
      </c>
      <c r="ED42" s="3143">
        <f t="shared" si="184"/>
      </c>
      <c r="EE42" s="1186">
        <f t="shared" si="184"/>
      </c>
      <c r="EF42" s="1186">
        <f t="shared" si="184"/>
      </c>
      <c r="EG42" s="1185">
        <f t="shared" si="184"/>
      </c>
      <c r="EH42" s="3143">
        <f t="shared" si="184"/>
      </c>
      <c r="EI42" s="1186">
        <f t="shared" si="184"/>
      </c>
      <c r="EJ42" s="1186">
        <f t="shared" si="184"/>
      </c>
      <c r="EK42" s="1185">
        <f t="shared" si="184"/>
      </c>
      <c r="EL42" s="3192"/>
      <c r="EN42" s="10">
        <f t="shared" si="133"/>
      </c>
      <c r="EO42" s="10">
        <f t="shared" si="134"/>
      </c>
      <c r="EP42" s="10">
        <f t="shared" si="135"/>
      </c>
      <c r="EQ42" s="10">
        <f t="shared" si="136"/>
      </c>
      <c r="ER42" s="10">
        <f t="shared" si="137"/>
      </c>
      <c r="ES42" s="10">
        <f t="shared" si="138"/>
      </c>
      <c r="ET42" s="10">
        <f t="shared" si="139"/>
      </c>
      <c r="EU42" s="10">
        <f t="shared" si="140"/>
      </c>
      <c r="EV42" s="10">
        <f t="shared" si="141"/>
      </c>
      <c r="EW42" s="10">
        <f t="shared" si="142"/>
      </c>
      <c r="EX42" s="10">
        <f t="shared" si="143"/>
      </c>
      <c r="EY42" s="10">
        <f t="shared" si="144"/>
      </c>
      <c r="EZ42" s="10">
        <f t="shared" si="145"/>
      </c>
      <c r="FA42" s="10">
        <f t="shared" si="146"/>
      </c>
      <c r="FB42" s="10">
        <f t="shared" si="147"/>
      </c>
      <c r="FC42" s="10">
        <f t="shared" si="148"/>
      </c>
      <c r="FD42" s="10">
        <f t="shared" si="149"/>
      </c>
      <c r="FE42" s="10">
        <f t="shared" si="150"/>
      </c>
      <c r="FF42" s="10">
        <f t="shared" si="151"/>
      </c>
      <c r="FG42" s="10">
        <f t="shared" si="152"/>
      </c>
      <c r="FH42" s="10">
        <f t="shared" si="153"/>
      </c>
      <c r="FI42" s="10">
        <f t="shared" si="154"/>
      </c>
      <c r="FJ42" s="10">
        <f t="shared" si="155"/>
      </c>
      <c r="FK42" s="10">
        <f t="shared" si="156"/>
      </c>
      <c r="FL42" s="10">
        <f t="shared" si="157"/>
      </c>
      <c r="FM42" s="10">
        <f t="shared" si="158"/>
      </c>
      <c r="FN42" s="10">
        <f t="shared" si="159"/>
      </c>
      <c r="FO42" s="10">
        <f t="shared" si="160"/>
      </c>
      <c r="FP42" s="10">
        <f t="shared" si="161"/>
      </c>
      <c r="FQ42" s="10">
        <f t="shared" si="162"/>
      </c>
      <c r="FR42" s="10">
        <f t="shared" si="163"/>
      </c>
      <c r="FS42" s="10">
        <f t="shared" si="164"/>
      </c>
      <c r="FT42" s="10">
        <f t="shared" si="165"/>
      </c>
      <c r="FU42" s="10">
        <f t="shared" si="166"/>
      </c>
      <c r="FV42" s="10">
        <f t="shared" si="167"/>
      </c>
      <c r="FW42" s="10"/>
      <c r="FX42" s="10">
        <f t="shared" si="168"/>
      </c>
      <c r="FY42" s="10">
        <f t="shared" si="169"/>
      </c>
      <c r="FZ42" s="10">
        <f t="shared" si="170"/>
      </c>
      <c r="GA42" s="10">
        <f t="shared" si="171"/>
      </c>
      <c r="GB42" s="10">
        <f t="shared" si="172"/>
      </c>
      <c r="GC42" s="10">
        <f t="shared" si="173"/>
      </c>
      <c r="GD42" s="10">
        <f t="shared" si="174"/>
      </c>
      <c r="GE42" s="10">
        <f t="shared" si="175"/>
      </c>
      <c r="GF42" s="10">
        <f t="shared" si="176"/>
      </c>
      <c r="GG42" s="10">
        <f t="shared" si="177"/>
      </c>
      <c r="GH42" s="10">
        <f t="shared" si="178"/>
      </c>
      <c r="GI42" s="10">
        <f t="shared" si="179"/>
      </c>
    </row>
    <row r="43" spans="1:191">
      <c r="A43" s="19" t="s">
        <v>692</v>
      </c>
      <c r="B43" s="34">
        <f>37+1</f>
      </c>
      <c r="C43" s="34">
        <f>-109-B43</f>
      </c>
      <c r="D43" s="34">
        <f>-274+646-C43-B43</f>
      </c>
      <c r="E43" s="173">
        <f>-275+646-D43-C43-B43</f>
      </c>
      <c r="F43" s="34">
        <f>-6+1</f>
      </c>
      <c r="G43" s="34">
        <f>-53+1-F43</f>
      </c>
      <c r="H43" s="34">
        <f>-59-G43-F43</f>
      </c>
      <c r="I43" s="173">
        <f>-161-H43-G43-F43</f>
      </c>
      <c r="J43" s="34">
        <f>-1+1</f>
      </c>
      <c r="K43" s="34">
        <f>-2+2-J43</f>
      </c>
      <c r="L43" s="34">
        <f>-25+2-K43-J43</f>
      </c>
      <c r="M43" s="173">
        <f>-22-L43-K43-J43</f>
      </c>
      <c r="N43" s="34">
        <v>0</v>
      </c>
      <c r="O43" s="34"/>
      <c r="P43" s="34"/>
      <c r="Q43" s="173"/>
      <c r="R43" s="34"/>
      <c r="S43" s="34"/>
      <c r="T43" s="34"/>
      <c r="U43" s="173"/>
      <c r="V43" s="34"/>
      <c r="W43" s="34"/>
      <c r="X43" s="34"/>
      <c r="Y43" s="173"/>
      <c r="Z43" s="34"/>
      <c r="AA43" s="34"/>
      <c r="AB43" s="34"/>
      <c r="AC43" s="173"/>
      <c r="AD43" s="34"/>
      <c r="AE43" s="34"/>
      <c r="AF43" s="34"/>
      <c r="AG43" s="173"/>
      <c r="AH43" s="34">
        <v>0</v>
      </c>
      <c r="AI43" s="34">
        <v>-300</v>
      </c>
      <c r="AJ43" s="34">
        <f>-300-AI43-AH43</f>
      </c>
      <c r="AK43" s="173">
        <f>-300-AJ43-AI43-AH43</f>
      </c>
      <c r="AL43" s="34"/>
      <c r="AM43" s="34"/>
      <c r="AN43" s="34"/>
      <c r="AO43" s="173"/>
      <c r="AP43" s="34"/>
      <c r="AQ43" s="34"/>
      <c r="AR43" s="34"/>
      <c r="AS43" s="173"/>
      <c r="AT43" s="34"/>
      <c r="AU43" s="34"/>
      <c r="AV43" s="34"/>
      <c r="AW43" s="173"/>
      <c r="AX43" s="34"/>
      <c r="AY43" s="34"/>
      <c r="AZ43" s="34"/>
      <c r="BA43" s="173"/>
      <c r="BB43" s="34">
        <v>0</v>
      </c>
      <c r="BC43" s="34">
        <f>0-BB43</f>
      </c>
      <c r="BD43" s="34">
        <f>0-SUM(BB43:BC43)</f>
      </c>
      <c r="BE43" s="173">
        <f>0-SUM(BB43:BD43)</f>
      </c>
      <c r="BF43" s="34">
        <v>0</v>
      </c>
      <c r="BG43" s="34">
        <f>0-BF43</f>
      </c>
      <c r="BH43" s="34">
        <f>0-SUM(BF43:BG43)</f>
      </c>
      <c r="BI43" s="173">
        <f>0-SUM(BF43:BH43)</f>
      </c>
      <c r="BJ43" s="34">
        <v>0</v>
      </c>
      <c r="BK43" s="34">
        <f>0-BJ43</f>
      </c>
      <c r="BL43" s="34">
        <f>0-SUM(BJ43:BK43)</f>
      </c>
      <c r="BM43" s="173">
        <f>0-SUM(BJ43:BL43)</f>
      </c>
      <c r="BN43" s="34">
        <v>0</v>
      </c>
      <c r="BO43" s="34">
        <f>0-BN43</f>
      </c>
      <c r="BP43" s="34">
        <f>0-SUM(BN43:BO43)</f>
      </c>
      <c r="BQ43" s="173">
        <f>0-SUM(BN43:BP43)</f>
      </c>
      <c r="BR43" s="34">
        <v>0</v>
      </c>
      <c r="BS43" s="34">
        <f>0-BR43</f>
      </c>
      <c r="BT43" s="34">
        <f>16896-SUM(BR43:BS43)</f>
      </c>
      <c r="BU43" s="173">
        <f>16896-SUM(BR43:BT43)</f>
      </c>
      <c r="BV43" s="34">
        <v>0</v>
      </c>
      <c r="BW43" s="34">
        <f>0-BV43</f>
      </c>
      <c r="BX43" s="34">
        <f>11960-SUM(BV43:BW43)</f>
      </c>
      <c r="BY43" s="173">
        <f>11960-SUM(BV43:BX43)</f>
      </c>
      <c r="BZ43" s="34">
        <v>3485</v>
      </c>
      <c r="CA43" s="34">
        <f>11332-BZ43</f>
      </c>
      <c r="CB43" s="34">
        <f>21312-SUM(BZ43:CA43)</f>
      </c>
      <c r="CC43" s="173">
        <f>27114-SUM(BZ43:CB43)</f>
      </c>
      <c r="CD43" s="34">
        <v>0</v>
      </c>
      <c r="CE43" s="34">
        <f>15584-CD43</f>
      </c>
      <c r="CF43" s="77">
        <f>17984-SUM(CD43:CE43)</f>
      </c>
      <c r="CG43" s="173">
        <f>24954-SUM(CD43:CF43)</f>
      </c>
      <c r="CH43" s="34">
        <v>0</v>
      </c>
      <c r="CI43" s="34">
        <f>10975-CH43</f>
      </c>
      <c r="CJ43" s="34">
        <f>21725-CI43-CH43</f>
      </c>
      <c r="CK43" s="173">
        <f>-SUM(CH43:CJ43)+28662</f>
      </c>
      <c r="CL43" s="34">
        <v>6969</v>
      </c>
      <c r="CM43" s="34">
        <f>6969-CL43</f>
      </c>
      <c r="CN43" s="34">
        <f>6969-CM43-CL43</f>
      </c>
      <c r="CO43" s="173">
        <f>-SUM(CL43:CN43)+6969</f>
      </c>
      <c r="CP43" s="77">
        <v>0</v>
      </c>
      <c r="CQ43" s="77">
        <f>0-CP43</f>
      </c>
      <c r="CR43" s="34">
        <f>0-CQ43-CP43</f>
      </c>
      <c r="CS43" s="173">
        <f>-SUM(CP43:CR43)+6963</f>
      </c>
      <c r="CT43" s="77">
        <v>2210</v>
      </c>
      <c r="CU43" s="77">
        <f>2210-CT43</f>
      </c>
      <c r="CV43" s="77">
        <f>10635-CU43-CT43</f>
      </c>
      <c r="CW43" s="192">
        <f>16091-CV43-CU43-CT43</f>
      </c>
      <c r="CX43" s="474">
        <v>0</v>
      </c>
      <c r="CY43" s="77">
        <f>13923-CX43</f>
      </c>
      <c r="CZ43" s="77">
        <f>13923-CY43-CX43</f>
      </c>
      <c r="DA43" s="192">
        <f>20393-CZ43-CY43-CX43</f>
      </c>
      <c r="DB43" s="474">
        <v>0</v>
      </c>
      <c r="DC43" s="77">
        <f>0-DB43</f>
      </c>
      <c r="DD43" s="77">
        <f>0-DC43-DB43</f>
      </c>
      <c r="DE43" s="192">
        <f>5465-DD43-DC43-DB43</f>
      </c>
      <c r="DF43" s="474">
        <v>0</v>
      </c>
      <c r="DG43" s="77">
        <v>0</v>
      </c>
      <c r="DH43" s="77">
        <f>5228-DG43-DF43</f>
      </c>
      <c r="DI43" s="173">
        <f>5228-SUM(DF43:DH43)</f>
      </c>
      <c r="DJ43" s="474">
        <v>0</v>
      </c>
      <c r="DK43" s="77">
        <v>0</v>
      </c>
      <c r="DL43" s="77">
        <v>0</v>
      </c>
      <c r="DM43" s="173">
        <f>0-SUM(DJ43:DL43)</f>
      </c>
      <c r="DN43" s="474">
        <v>0</v>
      </c>
      <c r="DO43" s="77">
        <v>0</v>
      </c>
      <c r="DP43" s="77">
        <v>4481</v>
      </c>
      <c r="DQ43" s="1185">
        <v>0</v>
      </c>
      <c r="DR43" s="1186"/>
      <c r="DS43" s="1186">
        <v>0</v>
      </c>
      <c r="DT43" s="1186">
        <v>0</v>
      </c>
      <c r="DU43" s="1185">
        <v>0</v>
      </c>
      <c r="DV43" s="1186">
        <v>0</v>
      </c>
      <c r="DW43" s="1186">
        <v>0</v>
      </c>
      <c r="DX43" s="1186">
        <v>0</v>
      </c>
      <c r="DY43" s="1185">
        <v>0</v>
      </c>
      <c r="DZ43" s="1186">
        <v>0</v>
      </c>
      <c r="EA43" s="1186">
        <v>0</v>
      </c>
      <c r="EB43" s="1186">
        <v>0</v>
      </c>
      <c r="EC43" s="1185">
        <v>0</v>
      </c>
      <c r="ED43" s="1186">
        <v>0</v>
      </c>
      <c r="EE43" s="1186">
        <v>0</v>
      </c>
      <c r="EF43" s="1186">
        <v>0</v>
      </c>
      <c r="EG43" s="1185">
        <v>0</v>
      </c>
      <c r="EH43" s="1186">
        <v>0</v>
      </c>
      <c r="EI43" s="1186">
        <v>0</v>
      </c>
      <c r="EJ43" s="1186">
        <v>0</v>
      </c>
      <c r="EK43" s="1185">
        <v>0</v>
      </c>
      <c r="EL43" s="3192"/>
      <c r="EN43" s="10">
        <f t="shared" si="133"/>
      </c>
      <c r="EO43" s="10">
        <f t="shared" si="134"/>
      </c>
      <c r="EP43" s="10">
        <f t="shared" si="135"/>
      </c>
      <c r="EQ43" s="10">
        <f t="shared" si="136"/>
      </c>
      <c r="ER43" s="10">
        <f t="shared" si="137"/>
      </c>
      <c r="ES43" s="10">
        <f t="shared" si="138"/>
      </c>
      <c r="ET43" s="10">
        <f t="shared" si="139"/>
      </c>
      <c r="EU43" s="10">
        <f t="shared" si="140"/>
      </c>
      <c r="EV43" s="10">
        <f t="shared" si="141"/>
      </c>
      <c r="EW43" s="10">
        <f t="shared" si="142"/>
      </c>
      <c r="EX43" s="10">
        <f t="shared" si="143"/>
      </c>
      <c r="EY43" s="10">
        <f t="shared" si="144"/>
      </c>
      <c r="EZ43" s="10">
        <f t="shared" si="145"/>
      </c>
      <c r="FA43" s="10">
        <f t="shared" si="146"/>
      </c>
      <c r="FB43" s="10">
        <f t="shared" si="147"/>
      </c>
      <c r="FC43" s="10">
        <f t="shared" si="148"/>
      </c>
      <c r="FD43" s="10">
        <f t="shared" si="149"/>
      </c>
      <c r="FE43" s="10">
        <f t="shared" si="150"/>
      </c>
      <c r="FF43" s="10">
        <f t="shared" si="151"/>
      </c>
      <c r="FG43" s="10">
        <f t="shared" si="152"/>
      </c>
      <c r="FH43" s="10">
        <f t="shared" si="153"/>
      </c>
      <c r="FI43" s="10">
        <f t="shared" si="154"/>
      </c>
      <c r="FJ43" s="10">
        <f t="shared" si="155"/>
      </c>
      <c r="FK43" s="10">
        <f t="shared" si="156"/>
      </c>
      <c r="FL43" s="10">
        <f t="shared" si="157"/>
      </c>
      <c r="FM43" s="10">
        <f t="shared" si="158"/>
      </c>
      <c r="FN43" s="10">
        <f t="shared" si="159"/>
      </c>
      <c r="FO43" s="10">
        <f t="shared" si="160"/>
      </c>
      <c r="FP43" s="10">
        <f t="shared" si="161"/>
      </c>
      <c r="FQ43" s="10">
        <f t="shared" si="162"/>
      </c>
      <c r="FR43" s="10">
        <f t="shared" si="163"/>
      </c>
      <c r="FS43" s="10">
        <f t="shared" si="164"/>
      </c>
      <c r="FT43" s="10">
        <f t="shared" si="165"/>
      </c>
      <c r="FU43" s="10">
        <f t="shared" si="166"/>
      </c>
      <c r="FV43" s="10">
        <f t="shared" si="167"/>
      </c>
      <c r="FW43" s="10"/>
      <c r="FX43" s="10">
        <f t="shared" si="168"/>
      </c>
      <c r="FY43" s="10">
        <f t="shared" si="169"/>
      </c>
      <c r="FZ43" s="10">
        <f t="shared" si="170"/>
      </c>
      <c r="GA43" s="10">
        <f t="shared" si="171"/>
      </c>
      <c r="GB43" s="10">
        <f t="shared" si="172"/>
      </c>
      <c r="GC43" s="10">
        <f t="shared" si="173"/>
      </c>
      <c r="GD43" s="10">
        <f t="shared" si="174"/>
      </c>
      <c r="GE43" s="10">
        <f t="shared" si="175"/>
      </c>
      <c r="GF43" s="10">
        <f t="shared" si="176"/>
      </c>
      <c r="GG43" s="10">
        <f t="shared" si="177"/>
      </c>
      <c r="GH43" s="10">
        <f t="shared" si="178"/>
      </c>
      <c r="GI43" s="10">
        <f t="shared" si="179"/>
      </c>
    </row>
    <row r="44" spans="1:191">
      <c r="A44" s="19" t="s">
        <v>716</v>
      </c>
      <c r="B44" s="34"/>
      <c r="C44" s="34"/>
      <c r="D44" s="34"/>
      <c r="E44" s="173"/>
      <c r="F44" s="34"/>
      <c r="G44" s="34"/>
      <c r="H44" s="34"/>
      <c r="I44" s="173"/>
      <c r="J44" s="34"/>
      <c r="K44" s="34"/>
      <c r="L44" s="34"/>
      <c r="M44" s="173"/>
      <c r="N44" s="34"/>
      <c r="O44" s="34"/>
      <c r="P44" s="34"/>
      <c r="Q44" s="173"/>
      <c r="R44" s="34"/>
      <c r="S44" s="34"/>
      <c r="T44" s="34"/>
      <c r="U44" s="173"/>
      <c r="V44" s="34"/>
      <c r="W44" s="34"/>
      <c r="X44" s="34"/>
      <c r="Y44" s="173"/>
      <c r="Z44" s="34"/>
      <c r="AA44" s="34"/>
      <c r="AB44" s="34"/>
      <c r="AC44" s="173"/>
      <c r="AD44" s="34"/>
      <c r="AE44" s="34"/>
      <c r="AF44" s="34"/>
      <c r="AG44" s="173"/>
      <c r="AH44" s="34"/>
      <c r="AI44" s="34"/>
      <c r="AJ44" s="34"/>
      <c r="AK44" s="173"/>
      <c r="AL44" s="34"/>
      <c r="AM44" s="34"/>
      <c r="AN44" s="34"/>
      <c r="AO44" s="173"/>
      <c r="AP44" s="34"/>
      <c r="AQ44" s="34"/>
      <c r="AR44" s="34"/>
      <c r="AS44" s="173"/>
      <c r="AT44" s="34"/>
      <c r="AU44" s="34"/>
      <c r="AV44" s="34"/>
      <c r="AW44" s="173"/>
      <c r="AX44" s="34"/>
      <c r="AY44" s="34"/>
      <c r="AZ44" s="34"/>
      <c r="BA44" s="173"/>
      <c r="BB44" s="34"/>
      <c r="BC44" s="34"/>
      <c r="BD44" s="34"/>
      <c r="BE44" s="173"/>
      <c r="BF44" s="34"/>
      <c r="BG44" s="34"/>
      <c r="BH44" s="34"/>
      <c r="BI44" s="173"/>
      <c r="BJ44" s="34"/>
      <c r="BK44" s="34"/>
      <c r="BL44" s="34"/>
      <c r="BM44" s="173"/>
      <c r="BN44" s="34"/>
      <c r="BO44" s="34"/>
      <c r="BP44" s="34"/>
      <c r="BQ44" s="173"/>
      <c r="BR44" s="34"/>
      <c r="BS44" s="34"/>
      <c r="BT44" s="34"/>
      <c r="BU44" s="173"/>
      <c r="BV44" s="34">
        <v>0</v>
      </c>
      <c r="BW44" s="34">
        <v>0</v>
      </c>
      <c r="BX44" s="34">
        <v>0</v>
      </c>
      <c r="BY44" s="173">
        <v>0</v>
      </c>
      <c r="BZ44" s="34">
        <v>0</v>
      </c>
      <c r="CA44" s="34">
        <v>0</v>
      </c>
      <c r="CB44" s="34">
        <v>0</v>
      </c>
      <c r="CC44" s="173">
        <f>0-SUM(BZ44:CB44)</f>
      </c>
      <c r="CD44" s="34">
        <v>0</v>
      </c>
      <c r="CE44" s="34">
        <f>0-CD44</f>
      </c>
      <c r="CF44" s="77">
        <f>-2500-SUM(CD44:CE44)</f>
      </c>
      <c r="CG44" s="173">
        <f>-2500-SUM(CD44:CF44)</f>
      </c>
      <c r="CH44" s="34">
        <v>0</v>
      </c>
      <c r="CI44" s="34">
        <f>0-CH44</f>
      </c>
      <c r="CJ44" s="34">
        <f>-3500-CI44-CH44</f>
      </c>
      <c r="CK44" s="173">
        <f>-SUM(CH44:CJ44)-3500</f>
      </c>
      <c r="CL44" s="34">
        <v>0</v>
      </c>
      <c r="CM44" s="34">
        <f>-500-CL44</f>
      </c>
      <c r="CN44" s="34">
        <f>-6500-CM44-CL44</f>
      </c>
      <c r="CO44" s="173">
        <f>-SUM(CL44:CN44)-6500</f>
      </c>
      <c r="CP44" s="77">
        <v>0</v>
      </c>
      <c r="CQ44" s="77">
        <f>-2500-CP44</f>
      </c>
      <c r="CR44" s="34">
        <f>-5500-CQ44-CP44</f>
      </c>
      <c r="CS44" s="173">
        <f>-SUM(CP44:CR44)-8805</f>
      </c>
      <c r="CT44" s="77">
        <v>-1000</v>
      </c>
      <c r="CU44" s="77">
        <f>-5250-CT44</f>
      </c>
      <c r="CV44" s="77">
        <f>-12629-CU44-CT44</f>
      </c>
      <c r="CW44" s="192">
        <f>-12629-CV44-CU44-CT44</f>
      </c>
      <c r="CX44" s="474">
        <v>-1000</v>
      </c>
      <c r="CY44" s="77">
        <f>-4500-CX44</f>
      </c>
      <c r="CZ44" s="77">
        <f>-7500-CY44-CX44</f>
      </c>
      <c r="DA44" s="192">
        <f>-8750-CZ44-CY44-CX44</f>
      </c>
      <c r="DB44" s="474">
        <v>0</v>
      </c>
      <c r="DC44" s="77">
        <f>-3750-DB44</f>
      </c>
      <c r="DD44" s="77">
        <f>-6750-DC44-DB44</f>
      </c>
      <c r="DE44" s="192">
        <f>-9543-DD44-DC44-DB44</f>
      </c>
      <c r="DF44" s="474">
        <v>-1401</v>
      </c>
      <c r="DG44" s="77">
        <f>-3651-DF44</f>
      </c>
      <c r="DH44" s="77">
        <f>-11151-DG44-DF44</f>
      </c>
      <c r="DI44" s="173">
        <f>-11151-SUM(DF44:DH44)</f>
      </c>
      <c r="DJ44" s="474">
        <v>0</v>
      </c>
      <c r="DK44" s="77">
        <f>-3150-DJ44</f>
      </c>
      <c r="DL44" s="77">
        <f>-7400-DK44-DJ44</f>
      </c>
      <c r="DM44" s="173">
        <f>-9958-SUM(DJ44:DL44)</f>
      </c>
      <c r="DN44" s="474">
        <v>-1009</v>
      </c>
      <c r="DO44" s="77">
        <f>-4009-DN44</f>
      </c>
      <c r="DP44" s="77">
        <f>-9682-DO44-DN44</f>
      </c>
      <c r="DQ44" s="317">
        <f>'Debt Schedule'!DQ118</f>
      </c>
      <c r="DR44" s="316">
        <f>'Debt Schedule'!DR118</f>
      </c>
      <c r="DS44" s="316">
        <f>'Debt Schedule'!DS118</f>
      </c>
      <c r="DT44" s="316">
        <f>'Debt Schedule'!DT118</f>
      </c>
      <c r="DU44" s="317">
        <f>'Debt Schedule'!DU118</f>
      </c>
      <c r="DV44" s="316">
        <f>'Debt Schedule'!DV118</f>
      </c>
      <c r="DW44" s="316">
        <f>'Debt Schedule'!DW118</f>
      </c>
      <c r="DX44" s="316">
        <f>'Debt Schedule'!DX118</f>
      </c>
      <c r="DY44" s="317">
        <f>'Debt Schedule'!DY118</f>
      </c>
      <c r="DZ44" s="316">
        <f>'Debt Schedule'!DZ118</f>
      </c>
      <c r="EA44" s="316">
        <f>'Debt Schedule'!EA118</f>
      </c>
      <c r="EB44" s="316">
        <f>'Debt Schedule'!EB118</f>
      </c>
      <c r="EC44" s="317">
        <f>'Debt Schedule'!EC118</f>
      </c>
      <c r="ED44" s="316">
        <f>'Debt Schedule'!ED118</f>
      </c>
      <c r="EE44" s="316">
        <f>'Debt Schedule'!EE118</f>
      </c>
      <c r="EF44" s="316">
        <f>'Debt Schedule'!EF118</f>
      </c>
      <c r="EG44" s="317">
        <f>'Debt Schedule'!EG118</f>
      </c>
      <c r="EH44" s="316">
        <f>'Debt Schedule'!EH118</f>
      </c>
      <c r="EI44" s="316">
        <f>'Debt Schedule'!EI118</f>
      </c>
      <c r="EJ44" s="316">
        <f>'Debt Schedule'!EJ118</f>
      </c>
      <c r="EK44" s="317">
        <f>'Debt Schedule'!EK118</f>
      </c>
      <c r="EL44" s="3192"/>
      <c r="EN44" s="10"/>
      <c r="EO44" s="10"/>
      <c r="EP44" s="10"/>
      <c r="EQ44" s="10"/>
      <c r="ER44" s="10"/>
      <c r="ES44" s="10"/>
      <c r="ET44" s="10"/>
      <c r="EU44" s="10"/>
      <c r="EV44" s="10"/>
      <c r="EW44" s="10"/>
      <c r="EX44" s="10"/>
      <c r="EY44" s="10"/>
      <c r="EZ44" s="10"/>
      <c r="FA44" s="10"/>
      <c r="FB44" s="10"/>
      <c r="FC44" s="10"/>
      <c r="FD44" s="10"/>
      <c r="FE44" s="10">
        <f t="shared" si="150"/>
      </c>
      <c r="FF44" s="10">
        <f t="shared" si="151"/>
      </c>
      <c r="FG44" s="10">
        <f t="shared" si="152"/>
      </c>
      <c r="FH44" s="10">
        <f t="shared" si="153"/>
      </c>
      <c r="FI44" s="10">
        <f t="shared" si="154"/>
      </c>
      <c r="FJ44" s="10">
        <f t="shared" si="155"/>
      </c>
      <c r="FK44" s="10">
        <f t="shared" si="156"/>
      </c>
      <c r="FL44" s="10">
        <f t="shared" si="157"/>
      </c>
      <c r="FM44" s="10">
        <f t="shared" si="158"/>
      </c>
      <c r="FN44" s="10">
        <f t="shared" si="159"/>
      </c>
      <c r="FO44" s="10">
        <f t="shared" si="160"/>
      </c>
      <c r="FP44" s="10">
        <f t="shared" si="161"/>
      </c>
      <c r="FQ44" s="10">
        <f t="shared" si="162"/>
      </c>
      <c r="FR44" s="10">
        <f t="shared" si="163"/>
      </c>
      <c r="FS44" s="10">
        <f t="shared" si="164"/>
      </c>
      <c r="FT44" s="10">
        <f t="shared" si="165"/>
      </c>
      <c r="FU44" s="10">
        <f t="shared" si="166"/>
      </c>
      <c r="FV44" s="10">
        <f t="shared" si="167"/>
      </c>
      <c r="FW44" s="10"/>
      <c r="FX44" s="10">
        <f t="shared" si="168"/>
      </c>
      <c r="FY44" s="10">
        <f t="shared" si="169"/>
      </c>
      <c r="FZ44" s="10">
        <f t="shared" si="170"/>
      </c>
      <c r="GA44" s="10">
        <f t="shared" si="171"/>
      </c>
      <c r="GB44" s="10">
        <f t="shared" si="172"/>
      </c>
      <c r="GC44" s="10">
        <f t="shared" si="173"/>
      </c>
      <c r="GD44" s="10">
        <f t="shared" si="174"/>
      </c>
      <c r="GE44" s="10">
        <f t="shared" si="175"/>
      </c>
      <c r="GF44" s="10">
        <f t="shared" si="176"/>
      </c>
      <c r="GG44" s="10">
        <f t="shared" si="177"/>
      </c>
      <c r="GH44" s="10">
        <f t="shared" si="178"/>
      </c>
      <c r="GI44" s="10">
        <f t="shared" si="179"/>
      </c>
    </row>
    <row r="45" spans="1:191">
      <c r="A45" s="19" t="s">
        <v>146</v>
      </c>
      <c r="B45" s="34"/>
      <c r="C45" s="34"/>
      <c r="D45" s="34"/>
      <c r="E45" s="173"/>
      <c r="F45" s="34"/>
      <c r="G45" s="34"/>
      <c r="H45" s="34"/>
      <c r="I45" s="173"/>
      <c r="J45" s="34"/>
      <c r="K45" s="34"/>
      <c r="L45" s="34"/>
      <c r="M45" s="173"/>
      <c r="N45" s="34"/>
      <c r="O45" s="34"/>
      <c r="P45" s="34"/>
      <c r="Q45" s="173"/>
      <c r="R45" s="34"/>
      <c r="S45" s="34"/>
      <c r="T45" s="34"/>
      <c r="U45" s="173"/>
      <c r="V45" s="34"/>
      <c r="W45" s="34"/>
      <c r="X45" s="34"/>
      <c r="Y45" s="173"/>
      <c r="Z45" s="34"/>
      <c r="AA45" s="34"/>
      <c r="AB45" s="34"/>
      <c r="AC45" s="173"/>
      <c r="AD45" s="34"/>
      <c r="AE45" s="34"/>
      <c r="AF45" s="34"/>
      <c r="AG45" s="173"/>
      <c r="AH45" s="34"/>
      <c r="AI45" s="34"/>
      <c r="AJ45" s="34"/>
      <c r="AK45" s="173"/>
      <c r="AL45" s="34"/>
      <c r="AM45" s="34"/>
      <c r="AN45" s="34"/>
      <c r="AO45" s="173"/>
      <c r="AP45" s="34"/>
      <c r="AQ45" s="34"/>
      <c r="AR45" s="34"/>
      <c r="AS45" s="173"/>
      <c r="AT45" s="34"/>
      <c r="AU45" s="34"/>
      <c r="AV45" s="34"/>
      <c r="AW45" s="173"/>
      <c r="AX45" s="34"/>
      <c r="AY45" s="34"/>
      <c r="AZ45" s="34"/>
      <c r="BA45" s="173"/>
      <c r="BB45" s="34">
        <v>0</v>
      </c>
      <c r="BC45" s="34">
        <f>0-BB45</f>
      </c>
      <c r="BD45" s="34">
        <f>0-SUM(BB45:BC45)</f>
      </c>
      <c r="BE45" s="173">
        <f>0-SUM(BB45:BD45)</f>
      </c>
      <c r="BF45" s="34">
        <v>0</v>
      </c>
      <c r="BG45" s="34">
        <f>0-BF45</f>
      </c>
      <c r="BH45" s="34">
        <f>0-SUM(BF45:BG45)</f>
      </c>
      <c r="BI45" s="173">
        <f>0-SUM(BF45:BH45)</f>
      </c>
      <c r="BJ45" s="34">
        <v>0</v>
      </c>
      <c r="BK45" s="34">
        <f>0-BJ45</f>
      </c>
      <c r="BL45" s="34">
        <f>0-SUM(BJ45:BK45)</f>
      </c>
      <c r="BM45" s="173">
        <f>0-SUM(BJ45:BL45)</f>
      </c>
      <c r="BN45" s="34">
        <v>0</v>
      </c>
      <c r="BO45" s="34">
        <f>0-BN45</f>
      </c>
      <c r="BP45" s="34">
        <f>0-SUM(BN45:BO45)</f>
      </c>
      <c r="BQ45" s="173">
        <f>0-SUM(BN45:BP45)</f>
      </c>
      <c r="BR45" s="34">
        <v>0</v>
      </c>
      <c r="BS45" s="34">
        <f>0-BR45</f>
      </c>
      <c r="BT45" s="34">
        <f>0-SUM(BR45:BS45)</f>
      </c>
      <c r="BU45" s="173">
        <f>0-SUM(BR45:BT45)</f>
      </c>
      <c r="BV45" s="34">
        <v>0</v>
      </c>
      <c r="BW45" s="34">
        <f>0-BV45</f>
      </c>
      <c r="BX45" s="34">
        <f>2010-SUM(BV45:BW45)</f>
      </c>
      <c r="BY45" s="173">
        <f>6306-SUM(BV45:BX45)</f>
      </c>
      <c r="BZ45" s="34">
        <v>-2409</v>
      </c>
      <c r="CA45" s="34">
        <f>-2508-BZ45</f>
      </c>
      <c r="CB45" s="34">
        <f>-1808-SUM(BZ45:CA45)</f>
      </c>
      <c r="CC45" s="173">
        <f>2191-SUM(BZ45:CB45)</f>
      </c>
      <c r="CD45" s="34">
        <v>-1240</v>
      </c>
      <c r="CE45" s="34">
        <f>-503-CD45</f>
      </c>
      <c r="CF45" s="77">
        <f>3992-SUM(CD45:CE45)</f>
      </c>
      <c r="CG45" s="173">
        <f>-397-SUM(CD45:CF45)</f>
      </c>
      <c r="CH45" s="34">
        <v>2385</v>
      </c>
      <c r="CI45" s="34">
        <f>1879-CH45</f>
      </c>
      <c r="CJ45" s="34">
        <f>3866-CI45-CH45</f>
      </c>
      <c r="CK45" s="173">
        <f>-SUM(CH45:CJ45)+3852</f>
      </c>
      <c r="CL45" s="34">
        <v>2</v>
      </c>
      <c r="CM45" s="34">
        <f>1-CL45</f>
      </c>
      <c r="CN45" s="34">
        <f>-10-CM45-CL45</f>
      </c>
      <c r="CO45" s="173">
        <f>-SUM(CL45:CN45)-37</f>
      </c>
      <c r="CP45" s="77">
        <v>6</v>
      </c>
      <c r="CQ45" s="77">
        <f>-87-CP45</f>
      </c>
      <c r="CR45" s="34">
        <f>-2026-83-CQ45-CP45</f>
      </c>
      <c r="CS45" s="173">
        <f>-SUM(CP45:CR45)-5977-105</f>
      </c>
      <c r="CT45" s="77">
        <v>-979</v>
      </c>
      <c r="CU45" s="77">
        <f>1518-CT45</f>
      </c>
      <c r="CV45" s="77">
        <f>31-CU45-CT45</f>
      </c>
      <c r="CW45" s="192">
        <f>-963-CV45-CU45-CT45</f>
      </c>
      <c r="CX45" s="474">
        <v>22</v>
      </c>
      <c r="CY45" s="77">
        <v>0</v>
      </c>
      <c r="CZ45" s="77">
        <f>3022-CY45-CX45</f>
      </c>
      <c r="DA45" s="192">
        <f>1022-CZ45-CY45-CX45</f>
      </c>
      <c r="DB45" s="474">
        <v>-1000</v>
      </c>
      <c r="DC45" s="77">
        <f>999-DB45</f>
      </c>
      <c r="DD45" s="77">
        <f>4970-DC45-DB45</f>
      </c>
      <c r="DE45" s="192">
        <f>3955-DD45-DC45-DB45</f>
      </c>
      <c r="DF45" s="474">
        <v>-8214</v>
      </c>
      <c r="DG45" s="77">
        <f>-7960-DF45</f>
      </c>
      <c r="DH45" s="77">
        <f>-5971-DG45-DF45</f>
      </c>
      <c r="DI45" s="173">
        <f>-3978-SUM(DF45:DH45)</f>
      </c>
      <c r="DJ45" s="474">
        <v>-3984</v>
      </c>
      <c r="DK45" s="77">
        <f>-3982-DJ45</f>
      </c>
      <c r="DL45" s="77">
        <f>-2985-DK45-DJ45</f>
      </c>
      <c r="DM45" s="173">
        <f>3960-SUM(DJ45:DL45)</f>
      </c>
      <c r="DN45" s="474">
        <v>-7944</v>
      </c>
      <c r="DO45" s="77">
        <f>-3968-DN45</f>
      </c>
      <c r="DP45" s="77">
        <f>-65-DO45-DN45</f>
      </c>
      <c r="DQ45" s="1185">
        <v>0</v>
      </c>
      <c r="DR45" s="1186">
        <v>0</v>
      </c>
      <c r="DS45" s="1186">
        <v>0</v>
      </c>
      <c r="DT45" s="1186">
        <v>0</v>
      </c>
      <c r="DU45" s="1185">
        <v>0</v>
      </c>
      <c r="DV45" s="1186">
        <v>0</v>
      </c>
      <c r="DW45" s="1186">
        <v>0</v>
      </c>
      <c r="DX45" s="1186">
        <v>0</v>
      </c>
      <c r="DY45" s="1185">
        <v>0</v>
      </c>
      <c r="DZ45" s="1186">
        <v>0</v>
      </c>
      <c r="EA45" s="1186">
        <v>0</v>
      </c>
      <c r="EB45" s="1186">
        <v>0</v>
      </c>
      <c r="EC45" s="1185">
        <v>0</v>
      </c>
      <c r="ED45" s="1186">
        <v>0</v>
      </c>
      <c r="EE45" s="1186">
        <v>0</v>
      </c>
      <c r="EF45" s="1186">
        <v>0</v>
      </c>
      <c r="EG45" s="1185">
        <v>0</v>
      </c>
      <c r="EH45" s="1186">
        <v>0</v>
      </c>
      <c r="EI45" s="1186">
        <v>0</v>
      </c>
      <c r="EJ45" s="1186">
        <v>0</v>
      </c>
      <c r="EK45" s="1185">
        <v>0</v>
      </c>
      <c r="EL45" s="3192"/>
      <c r="EN45" s="10">
        <f>SUM(B45:E45)</f>
      </c>
      <c r="EO45" s="10">
        <f>SUM(F45:I45)</f>
      </c>
      <c r="EP45" s="10">
        <f>SUM(J45:M45)</f>
      </c>
      <c r="EQ45" s="10">
        <f>SUM(N45:Q45)</f>
      </c>
      <c r="ER45" s="10">
        <f>SUM(R45:U45)</f>
      </c>
      <c r="ES45" s="10">
        <f>SUM(V45:Y45)</f>
      </c>
      <c r="ET45" s="10">
        <f>SUM(Z45:AC45)</f>
      </c>
      <c r="EU45" s="10">
        <f>SUM(AD45:AG45)</f>
      </c>
      <c r="EV45" s="10">
        <f>SUM(AH45:AK45)</f>
      </c>
      <c r="EW45" s="10">
        <f>SUM(AL45:AO45)</f>
      </c>
      <c r="EX45" s="10">
        <f>SUM(AP45:AS45)</f>
      </c>
      <c r="EY45" s="10">
        <f>SUM(AT45:AW45)</f>
      </c>
      <c r="EZ45" s="10">
        <f>SUM(AX45:BA45)</f>
      </c>
      <c r="FA45" s="10">
        <f>SUM(BB45:BE45)</f>
      </c>
      <c r="FB45" s="10">
        <f>SUM(BF45:BI45)</f>
      </c>
      <c r="FC45" s="10">
        <f>SUM(BJ45:BM45)</f>
      </c>
      <c r="FD45" s="10">
        <f>SUM(BN45:BQ45)</f>
      </c>
      <c r="FE45" s="10">
        <f t="shared" si="150"/>
      </c>
      <c r="FF45" s="10">
        <f t="shared" si="151"/>
      </c>
      <c r="FG45" s="10">
        <f t="shared" si="152"/>
      </c>
      <c r="FH45" s="10">
        <f t="shared" si="153"/>
      </c>
      <c r="FI45" s="10">
        <f t="shared" si="154"/>
      </c>
      <c r="FJ45" s="10">
        <f t="shared" si="155"/>
      </c>
      <c r="FK45" s="10">
        <f t="shared" si="156"/>
      </c>
      <c r="FL45" s="10">
        <f t="shared" si="157"/>
      </c>
      <c r="FM45" s="10">
        <f t="shared" si="158"/>
      </c>
      <c r="FN45" s="10">
        <f t="shared" si="159"/>
      </c>
      <c r="FO45" s="10">
        <f t="shared" si="160"/>
      </c>
      <c r="FP45" s="10">
        <f t="shared" si="161"/>
      </c>
      <c r="FQ45" s="10">
        <f t="shared" si="162"/>
      </c>
      <c r="FR45" s="10">
        <f t="shared" si="163"/>
      </c>
      <c r="FS45" s="10">
        <f t="shared" si="164"/>
      </c>
      <c r="FT45" s="10">
        <f t="shared" si="165"/>
      </c>
      <c r="FU45" s="10">
        <f t="shared" si="166"/>
      </c>
      <c r="FV45" s="10">
        <f t="shared" si="167"/>
      </c>
      <c r="FW45" s="10"/>
      <c r="FX45" s="10">
        <f t="shared" si="168"/>
      </c>
      <c r="FY45" s="10">
        <f t="shared" si="169"/>
      </c>
      <c r="FZ45" s="10">
        <f t="shared" si="170"/>
      </c>
      <c r="GA45" s="10">
        <f t="shared" si="171"/>
      </c>
      <c r="GB45" s="10">
        <f t="shared" si="172"/>
      </c>
      <c r="GC45" s="10">
        <f t="shared" si="173"/>
      </c>
      <c r="GD45" s="10">
        <f t="shared" si="174"/>
      </c>
      <c r="GE45" s="10">
        <f t="shared" si="175"/>
      </c>
      <c r="GF45" s="10">
        <f t="shared" si="176"/>
      </c>
      <c r="GG45" s="10">
        <f t="shared" si="177"/>
      </c>
      <c r="GH45" s="10">
        <f t="shared" si="178"/>
      </c>
      <c r="GI45" s="10">
        <f t="shared" si="179"/>
      </c>
    </row>
    <row r="46" spans="1:191">
      <c r="A46" s="19" t="s">
        <v>1113</v>
      </c>
      <c r="B46" s="34"/>
      <c r="C46" s="34"/>
      <c r="D46" s="34"/>
      <c r="E46" s="173"/>
      <c r="F46" s="34"/>
      <c r="G46" s="34"/>
      <c r="H46" s="34"/>
      <c r="I46" s="173"/>
      <c r="J46" s="34"/>
      <c r="K46" s="34"/>
      <c r="L46" s="34"/>
      <c r="M46" s="173"/>
      <c r="N46" s="34"/>
      <c r="O46" s="34"/>
      <c r="P46" s="34"/>
      <c r="Q46" s="173"/>
      <c r="R46" s="34"/>
      <c r="S46" s="34"/>
      <c r="T46" s="34"/>
      <c r="U46" s="173"/>
      <c r="V46" s="34"/>
      <c r="W46" s="34"/>
      <c r="X46" s="34"/>
      <c r="Y46" s="173"/>
      <c r="Z46" s="34"/>
      <c r="AA46" s="34"/>
      <c r="AB46" s="34"/>
      <c r="AC46" s="173"/>
      <c r="AD46" s="34"/>
      <c r="AE46" s="34"/>
      <c r="AF46" s="34"/>
      <c r="AG46" s="173"/>
      <c r="AH46" s="34"/>
      <c r="AI46" s="34"/>
      <c r="AJ46" s="34"/>
      <c r="AK46" s="173"/>
      <c r="AL46" s="34"/>
      <c r="AM46" s="34"/>
      <c r="AN46" s="34"/>
      <c r="AO46" s="173"/>
      <c r="AP46" s="34"/>
      <c r="AQ46" s="34"/>
      <c r="AR46" s="34"/>
      <c r="AS46" s="173"/>
      <c r="AT46" s="34"/>
      <c r="AU46" s="34"/>
      <c r="AV46" s="34"/>
      <c r="AW46" s="173"/>
      <c r="AX46" s="34"/>
      <c r="AY46" s="34"/>
      <c r="AZ46" s="34"/>
      <c r="BA46" s="173"/>
      <c r="BB46" s="34"/>
      <c r="BC46" s="34"/>
      <c r="BD46" s="34"/>
      <c r="BE46" s="173"/>
      <c r="BF46" s="34"/>
      <c r="BG46" s="34"/>
      <c r="BH46" s="34"/>
      <c r="BI46" s="173"/>
      <c r="BJ46" s="34"/>
      <c r="BK46" s="34"/>
      <c r="BL46" s="34"/>
      <c r="BM46" s="173"/>
      <c r="BN46" s="34"/>
      <c r="BO46" s="34"/>
      <c r="BP46" s="34"/>
      <c r="BQ46" s="173"/>
      <c r="BR46" s="34"/>
      <c r="BS46" s="34"/>
      <c r="BT46" s="34"/>
      <c r="BU46" s="173"/>
      <c r="BV46" s="34"/>
      <c r="BW46" s="34"/>
      <c r="BX46" s="34"/>
      <c r="BY46" s="173"/>
      <c r="BZ46" s="34"/>
      <c r="CA46" s="34"/>
      <c r="CB46" s="34"/>
      <c r="CC46" s="173"/>
      <c r="CD46" s="34"/>
      <c r="CE46" s="34"/>
      <c r="CF46" s="77"/>
      <c r="CG46" s="173"/>
      <c r="CH46" s="34"/>
      <c r="CI46" s="34"/>
      <c r="CJ46" s="34"/>
      <c r="CK46" s="173"/>
      <c r="CL46" s="34"/>
      <c r="CM46" s="34"/>
      <c r="CN46" s="34"/>
      <c r="CO46" s="173"/>
      <c r="CP46" s="77"/>
      <c r="CQ46" s="77"/>
      <c r="CR46" s="34"/>
      <c r="CS46" s="173"/>
      <c r="CT46" s="77"/>
      <c r="CU46" s="77">
        <f>2556-CT46</f>
      </c>
      <c r="CV46" s="77">
        <f>5165-CU46-CT46</f>
      </c>
      <c r="CW46" s="192">
        <v>0</v>
      </c>
      <c r="CX46" s="474">
        <v>0</v>
      </c>
      <c r="CY46" s="77">
        <v>0</v>
      </c>
      <c r="CZ46" s="77">
        <v>0</v>
      </c>
      <c r="DA46" s="192">
        <v>0</v>
      </c>
      <c r="DB46" s="474">
        <v>0</v>
      </c>
      <c r="DC46" s="77">
        <f>0-DB46</f>
      </c>
      <c r="DD46" s="77">
        <v>0</v>
      </c>
      <c r="DE46" s="192">
        <v>0</v>
      </c>
      <c r="DF46" s="474">
        <v>0</v>
      </c>
      <c r="DG46" s="77">
        <v>0</v>
      </c>
      <c r="DH46" s="77">
        <v>0</v>
      </c>
      <c r="DI46" s="173">
        <v>0</v>
      </c>
      <c r="DJ46" s="474">
        <v>0</v>
      </c>
      <c r="DK46" s="77">
        <v>0</v>
      </c>
      <c r="DL46" s="77">
        <v>0</v>
      </c>
      <c r="DM46" s="173">
        <v>0</v>
      </c>
      <c r="DN46" s="474">
        <v>0</v>
      </c>
      <c r="DO46" s="77">
        <v>0</v>
      </c>
      <c r="DP46" s="77">
        <v>0</v>
      </c>
      <c r="DQ46" s="192"/>
      <c r="DR46" s="77"/>
      <c r="DS46" s="77"/>
      <c r="DT46" s="77"/>
      <c r="DU46" s="192"/>
      <c r="DV46" s="77"/>
      <c r="DW46" s="77"/>
      <c r="DX46" s="77"/>
      <c r="DY46" s="192"/>
      <c r="DZ46" s="77"/>
      <c r="EA46" s="77"/>
      <c r="EB46" s="77"/>
      <c r="EC46" s="192"/>
      <c r="ED46" s="77"/>
      <c r="EE46" s="77"/>
      <c r="EF46" s="77"/>
      <c r="EG46" s="192"/>
      <c r="EH46" s="77"/>
      <c r="EI46" s="77"/>
      <c r="EJ46" s="77"/>
      <c r="EK46" s="192"/>
      <c r="EL46" s="3192"/>
      <c r="EN46" s="10"/>
      <c r="EO46" s="10"/>
      <c r="EP46" s="10"/>
      <c r="EQ46" s="10"/>
      <c r="ER46" s="10"/>
      <c r="ES46" s="10"/>
      <c r="ET46" s="10"/>
      <c r="EU46" s="10"/>
      <c r="EV46" s="10"/>
      <c r="EW46" s="10"/>
      <c r="EX46" s="10"/>
      <c r="EY46" s="10"/>
      <c r="EZ46" s="10"/>
      <c r="FA46" s="10"/>
      <c r="FB46" s="10"/>
      <c r="FC46" s="10"/>
      <c r="FD46" s="10"/>
      <c r="FE46" s="10"/>
      <c r="FF46" s="10"/>
      <c r="FG46" s="10"/>
      <c r="FH46" s="10">
        <f t="shared" si="153"/>
      </c>
      <c r="FI46" s="10">
        <f t="shared" si="154"/>
      </c>
      <c r="FJ46" s="10">
        <f t="shared" si="155"/>
      </c>
      <c r="FK46" s="10">
        <f t="shared" si="156"/>
      </c>
      <c r="FL46" s="10">
        <f t="shared" si="157"/>
      </c>
      <c r="FM46" s="10">
        <f t="shared" si="158"/>
      </c>
      <c r="FN46" s="10">
        <f t="shared" si="159"/>
      </c>
      <c r="FO46" s="10">
        <f t="shared" si="160"/>
      </c>
      <c r="FP46" s="10">
        <f t="shared" si="161"/>
      </c>
      <c r="FQ46" s="10">
        <f t="shared" si="162"/>
      </c>
      <c r="FR46" s="10">
        <f t="shared" si="163"/>
      </c>
      <c r="FS46" s="10">
        <f t="shared" si="164"/>
      </c>
      <c r="FT46" s="10">
        <f t="shared" si="165"/>
      </c>
      <c r="FU46" s="10">
        <f t="shared" si="166"/>
      </c>
      <c r="FV46" s="10">
        <f t="shared" si="167"/>
      </c>
      <c r="FW46" s="10"/>
      <c r="FX46" s="10">
        <f t="shared" si="168"/>
      </c>
      <c r="FY46" s="10">
        <f t="shared" si="169"/>
      </c>
      <c r="FZ46" s="10">
        <f t="shared" si="170"/>
      </c>
      <c r="GA46" s="10">
        <f t="shared" si="171"/>
      </c>
      <c r="GB46" s="10">
        <f t="shared" si="172"/>
      </c>
      <c r="GC46" s="10">
        <f t="shared" si="173"/>
      </c>
      <c r="GD46" s="10">
        <f t="shared" si="174"/>
      </c>
      <c r="GE46" s="10">
        <f t="shared" si="175"/>
      </c>
      <c r="GF46" s="10">
        <f t="shared" si="176"/>
      </c>
      <c r="GG46" s="10">
        <f t="shared" si="177"/>
      </c>
      <c r="GH46" s="10">
        <f t="shared" si="178"/>
      </c>
      <c r="GI46" s="10">
        <f t="shared" si="179"/>
      </c>
    </row>
    <row r="47" spans="1:191">
      <c r="A47" s="19" t="s">
        <v>140</v>
      </c>
      <c r="B47" s="34"/>
      <c r="C47" s="34"/>
      <c r="D47" s="34"/>
      <c r="E47" s="173"/>
      <c r="F47" s="34"/>
      <c r="G47" s="34"/>
      <c r="H47" s="34"/>
      <c r="I47" s="173"/>
      <c r="J47" s="34"/>
      <c r="K47" s="34"/>
      <c r="L47" s="34"/>
      <c r="M47" s="173"/>
      <c r="N47" s="34"/>
      <c r="O47" s="34"/>
      <c r="P47" s="34"/>
      <c r="Q47" s="173"/>
      <c r="R47" s="34"/>
      <c r="S47" s="34"/>
      <c r="T47" s="34"/>
      <c r="U47" s="173"/>
      <c r="V47" s="34"/>
      <c r="W47" s="34"/>
      <c r="X47" s="34"/>
      <c r="Y47" s="173"/>
      <c r="Z47" s="34"/>
      <c r="AA47" s="34"/>
      <c r="AB47" s="34"/>
      <c r="AC47" s="173"/>
      <c r="AD47" s="34"/>
      <c r="AE47" s="34"/>
      <c r="AF47" s="34"/>
      <c r="AG47" s="173"/>
      <c r="AH47" s="34"/>
      <c r="AI47" s="34"/>
      <c r="AJ47" s="34"/>
      <c r="AK47" s="173"/>
      <c r="AL47" s="34"/>
      <c r="AM47" s="34"/>
      <c r="AN47" s="34"/>
      <c r="AO47" s="173"/>
      <c r="AP47" s="34"/>
      <c r="AQ47" s="34"/>
      <c r="AR47" s="34"/>
      <c r="AS47" s="173"/>
      <c r="AT47" s="34"/>
      <c r="AU47" s="34"/>
      <c r="AV47" s="34"/>
      <c r="AW47" s="173"/>
      <c r="AX47" s="34"/>
      <c r="AY47" s="34"/>
      <c r="AZ47" s="34"/>
      <c r="BA47" s="173"/>
      <c r="BB47" s="34"/>
      <c r="BC47" s="34"/>
      <c r="BD47" s="34"/>
      <c r="BE47" s="173"/>
      <c r="BF47" s="34"/>
      <c r="BG47" s="34"/>
      <c r="BH47" s="34"/>
      <c r="BI47" s="173"/>
      <c r="BJ47" s="34"/>
      <c r="BK47" s="34"/>
      <c r="BL47" s="34"/>
      <c r="BM47" s="173"/>
      <c r="BN47" s="34"/>
      <c r="BO47" s="34"/>
      <c r="BP47" s="34"/>
      <c r="BQ47" s="173"/>
      <c r="BR47" s="34"/>
      <c r="BS47" s="34"/>
      <c r="BT47" s="34"/>
      <c r="BU47" s="173"/>
      <c r="BV47" s="34"/>
      <c r="BW47" s="34"/>
      <c r="BX47" s="34"/>
      <c r="BY47" s="173"/>
      <c r="BZ47" s="34"/>
      <c r="CA47" s="34"/>
      <c r="CB47" s="34"/>
      <c r="CC47" s="173"/>
      <c r="CD47" s="34"/>
      <c r="CE47" s="34"/>
      <c r="CF47" s="77"/>
      <c r="CG47" s="173"/>
      <c r="CH47" s="34"/>
      <c r="CI47" s="34"/>
      <c r="CJ47" s="34"/>
      <c r="CK47" s="173"/>
      <c r="CL47" s="34"/>
      <c r="CM47" s="34"/>
      <c r="CN47" s="34"/>
      <c r="CO47" s="173"/>
      <c r="CP47" s="77"/>
      <c r="CQ47" s="77"/>
      <c r="CR47" s="34"/>
      <c r="CS47" s="173"/>
      <c r="CT47" s="77">
        <v>-16</v>
      </c>
      <c r="CU47" s="77">
        <f>-51-CT47</f>
      </c>
      <c r="CV47" s="77">
        <f>-120-CU47-CT47</f>
      </c>
      <c r="CW47" s="192">
        <f>-126-CV47-CU47-CT47-CV46-CU46</f>
      </c>
      <c r="CX47" s="474">
        <v>-22</v>
      </c>
      <c r="CY47" s="77">
        <v>-16</v>
      </c>
      <c r="CZ47" s="77">
        <f>-72-CY47-CX47</f>
      </c>
      <c r="DA47" s="192">
        <f>-129-CZ47-CY47-CX47-CZ46-CY46</f>
      </c>
      <c r="DB47" s="474">
        <v>-61</v>
      </c>
      <c r="DC47" s="77">
        <f>-105-DB47</f>
      </c>
      <c r="DD47" s="77">
        <f>-148-DC47-DB47</f>
      </c>
      <c r="DE47" s="192">
        <f>-160-DD47-DC47-DB47</f>
      </c>
      <c r="DF47" s="474">
        <v>-389</v>
      </c>
      <c r="DG47" s="77">
        <f>-455-DF47</f>
      </c>
      <c r="DH47" s="77">
        <f>-508-DG47-DF47</f>
      </c>
      <c r="DI47" s="173">
        <f>-581-SUM(DF47:DH47)</f>
      </c>
      <c r="DJ47" s="474">
        <v>-46</v>
      </c>
      <c r="DK47" s="77">
        <f>-132-DJ47</f>
      </c>
      <c r="DL47" s="77">
        <f>-191-DK47-DJ47</f>
      </c>
      <c r="DM47" s="173">
        <f>-361-SUM(DJ47:DL47)</f>
      </c>
      <c r="DN47" s="474">
        <v>-35</v>
      </c>
      <c r="DO47" s="77">
        <f>-77-DN47</f>
      </c>
      <c r="DP47" s="77">
        <f>-87-DO47-DN47</f>
      </c>
      <c r="DQ47" s="192"/>
      <c r="DR47" s="77"/>
      <c r="DS47" s="77"/>
      <c r="DT47" s="77"/>
      <c r="DU47" s="192"/>
      <c r="DV47" s="77"/>
      <c r="DW47" s="77"/>
      <c r="DX47" s="77"/>
      <c r="DY47" s="192"/>
      <c r="DZ47" s="77"/>
      <c r="EA47" s="77"/>
      <c r="EB47" s="77"/>
      <c r="EC47" s="192"/>
      <c r="ED47" s="77"/>
      <c r="EE47" s="77"/>
      <c r="EF47" s="77"/>
      <c r="EG47" s="192"/>
      <c r="EH47" s="77"/>
      <c r="EI47" s="77"/>
      <c r="EJ47" s="77"/>
      <c r="EK47" s="192"/>
      <c r="EL47" s="3192"/>
      <c r="EN47" s="10"/>
      <c r="EO47" s="10"/>
      <c r="EP47" s="10"/>
      <c r="EQ47" s="10"/>
      <c r="ER47" s="10"/>
      <c r="ES47" s="10"/>
      <c r="ET47" s="10"/>
      <c r="EU47" s="10"/>
      <c r="EV47" s="10"/>
      <c r="EW47" s="10"/>
      <c r="EX47" s="10"/>
      <c r="EY47" s="10"/>
      <c r="EZ47" s="10"/>
      <c r="FA47" s="10"/>
      <c r="FB47" s="10"/>
      <c r="FC47" s="10"/>
      <c r="FD47" s="10"/>
      <c r="FE47" s="10"/>
      <c r="FF47" s="10"/>
      <c r="FG47" s="10"/>
      <c r="FH47" s="10">
        <f t="shared" si="153"/>
      </c>
      <c r="FI47" s="10">
        <f t="shared" si="154"/>
      </c>
      <c r="FJ47" s="10">
        <f t="shared" si="155"/>
      </c>
      <c r="FK47" s="10">
        <f t="shared" si="156"/>
      </c>
      <c r="FL47" s="10">
        <f t="shared" si="157"/>
      </c>
      <c r="FM47" s="10">
        <f t="shared" si="158"/>
      </c>
      <c r="FN47" s="10">
        <f t="shared" si="159"/>
      </c>
      <c r="FO47" s="10">
        <f t="shared" si="160"/>
      </c>
      <c r="FP47" s="10">
        <f t="shared" si="161"/>
      </c>
      <c r="FQ47" s="10">
        <f t="shared" si="162"/>
      </c>
      <c r="FR47" s="10">
        <f t="shared" si="163"/>
      </c>
      <c r="FS47" s="10">
        <f t="shared" si="164"/>
      </c>
      <c r="FT47" s="10">
        <f t="shared" si="165"/>
      </c>
      <c r="FU47" s="10">
        <f t="shared" si="166"/>
      </c>
      <c r="FV47" s="10">
        <f t="shared" si="167"/>
      </c>
      <c r="FW47" s="10"/>
      <c r="FX47" s="10">
        <f t="shared" si="168"/>
      </c>
      <c r="FY47" s="10">
        <f t="shared" si="169"/>
      </c>
      <c r="FZ47" s="10">
        <f t="shared" si="170"/>
      </c>
      <c r="GA47" s="10">
        <f t="shared" si="171"/>
      </c>
      <c r="GB47" s="10">
        <f t="shared" si="172"/>
      </c>
      <c r="GC47" s="10">
        <f t="shared" si="173"/>
      </c>
      <c r="GD47" s="10">
        <f t="shared" si="174"/>
      </c>
      <c r="GE47" s="10">
        <f t="shared" si="175"/>
      </c>
      <c r="GF47" s="10">
        <f t="shared" si="176"/>
      </c>
      <c r="GG47" s="10">
        <f t="shared" si="177"/>
      </c>
      <c r="GH47" s="10">
        <f t="shared" si="178"/>
      </c>
      <c r="GI47" s="10">
        <f t="shared" si="179"/>
      </c>
    </row>
    <row r="48" spans="1:191">
      <c r="A48" s="1179" t="s">
        <v>147</v>
      </c>
      <c r="B48" s="1180">
        <f t="shared" ref="B48:AG48" si="185">SUM(B38:B45)</f>
      </c>
      <c r="C48" s="1180">
        <f t="shared" si="185"/>
      </c>
      <c r="D48" s="1180">
        <f t="shared" si="185"/>
      </c>
      <c r="E48" s="1181">
        <f t="shared" si="185"/>
      </c>
      <c r="F48" s="1180">
        <f t="shared" si="185"/>
      </c>
      <c r="G48" s="1180">
        <f t="shared" si="185"/>
      </c>
      <c r="H48" s="1180">
        <f t="shared" si="185"/>
      </c>
      <c r="I48" s="1181">
        <f t="shared" si="185"/>
      </c>
      <c r="J48" s="1180">
        <f t="shared" si="185"/>
      </c>
      <c r="K48" s="1180">
        <f t="shared" si="185"/>
      </c>
      <c r="L48" s="1180">
        <f t="shared" si="185"/>
      </c>
      <c r="M48" s="1181">
        <f t="shared" si="185"/>
      </c>
      <c r="N48" s="1180">
        <f t="shared" si="185"/>
      </c>
      <c r="O48" s="1180">
        <f t="shared" si="185"/>
      </c>
      <c r="P48" s="1180">
        <f t="shared" si="185"/>
      </c>
      <c r="Q48" s="1181">
        <f t="shared" si="185"/>
      </c>
      <c r="R48" s="1180">
        <f t="shared" si="185"/>
      </c>
      <c r="S48" s="1180">
        <f t="shared" si="185"/>
      </c>
      <c r="T48" s="1180">
        <f t="shared" si="185"/>
      </c>
      <c r="U48" s="1181">
        <f t="shared" si="185"/>
      </c>
      <c r="V48" s="1180">
        <f t="shared" si="185"/>
      </c>
      <c r="W48" s="1180">
        <f t="shared" si="185"/>
      </c>
      <c r="X48" s="1180">
        <f t="shared" si="185"/>
      </c>
      <c r="Y48" s="1181">
        <f t="shared" si="185"/>
      </c>
      <c r="Z48" s="1180">
        <f t="shared" si="185"/>
      </c>
      <c r="AA48" s="1180">
        <f t="shared" si="185"/>
      </c>
      <c r="AB48" s="1180">
        <f t="shared" si="185"/>
      </c>
      <c r="AC48" s="1181">
        <f t="shared" si="185"/>
      </c>
      <c r="AD48" s="1180">
        <f t="shared" si="185"/>
      </c>
      <c r="AE48" s="1180">
        <f t="shared" si="185"/>
      </c>
      <c r="AF48" s="1180">
        <f t="shared" si="185"/>
      </c>
      <c r="AG48" s="1181">
        <f t="shared" si="185"/>
      </c>
      <c r="AH48" s="1180">
        <f t="shared" ref="AH48:BM48" si="186">SUM(AH38:AH45)</f>
      </c>
      <c r="AI48" s="1180">
        <f t="shared" si="186"/>
      </c>
      <c r="AJ48" s="1180">
        <f t="shared" si="186"/>
      </c>
      <c r="AK48" s="1181">
        <f t="shared" si="186"/>
      </c>
      <c r="AL48" s="1180">
        <f t="shared" si="186"/>
      </c>
      <c r="AM48" s="1180">
        <f t="shared" si="186"/>
      </c>
      <c r="AN48" s="1180">
        <f t="shared" si="186"/>
      </c>
      <c r="AO48" s="1181">
        <f t="shared" si="186"/>
      </c>
      <c r="AP48" s="1180">
        <f t="shared" si="186"/>
      </c>
      <c r="AQ48" s="1180">
        <f t="shared" si="186"/>
      </c>
      <c r="AR48" s="1180">
        <f t="shared" si="186"/>
      </c>
      <c r="AS48" s="1181">
        <f t="shared" si="186"/>
      </c>
      <c r="AT48" s="1180">
        <f t="shared" si="186"/>
      </c>
      <c r="AU48" s="1180">
        <f t="shared" si="186"/>
      </c>
      <c r="AV48" s="1180">
        <f t="shared" si="186"/>
      </c>
      <c r="AW48" s="1181">
        <f t="shared" si="186"/>
      </c>
      <c r="AX48" s="1180">
        <f t="shared" si="186"/>
      </c>
      <c r="AY48" s="1180">
        <f t="shared" si="186"/>
      </c>
      <c r="AZ48" s="1180">
        <f t="shared" si="186"/>
      </c>
      <c r="BA48" s="1181">
        <f t="shared" si="186"/>
      </c>
      <c r="BB48" s="1180">
        <f t="shared" si="186"/>
      </c>
      <c r="BC48" s="1180">
        <f t="shared" si="186"/>
      </c>
      <c r="BD48" s="1180">
        <f t="shared" si="186"/>
      </c>
      <c r="BE48" s="1181">
        <f t="shared" si="186"/>
      </c>
      <c r="BF48" s="1180">
        <f t="shared" si="186"/>
      </c>
      <c r="BG48" s="1180">
        <f t="shared" si="186"/>
      </c>
      <c r="BH48" s="1180">
        <f t="shared" si="186"/>
      </c>
      <c r="BI48" s="1181">
        <f t="shared" si="186"/>
      </c>
      <c r="BJ48" s="1180">
        <f t="shared" si="186"/>
      </c>
      <c r="BK48" s="1180">
        <f t="shared" si="186"/>
      </c>
      <c r="BL48" s="1180">
        <f t="shared" si="186"/>
      </c>
      <c r="BM48" s="1181">
        <f t="shared" si="186"/>
      </c>
      <c r="BN48" s="1180">
        <f t="shared" ref="BN48:CL48" si="187">SUM(BN38:BN45)</f>
      </c>
      <c r="BO48" s="1180">
        <f t="shared" si="187"/>
      </c>
      <c r="BP48" s="1180">
        <f t="shared" si="187"/>
      </c>
      <c r="BQ48" s="1181">
        <f t="shared" si="187"/>
      </c>
      <c r="BR48" s="1180">
        <f t="shared" si="187"/>
      </c>
      <c r="BS48" s="1180">
        <f t="shared" si="187"/>
      </c>
      <c r="BT48" s="1180">
        <f t="shared" si="187"/>
      </c>
      <c r="BU48" s="1181">
        <f t="shared" si="187"/>
      </c>
      <c r="BV48" s="1180">
        <f t="shared" si="187"/>
      </c>
      <c r="BW48" s="1180">
        <f t="shared" si="187"/>
      </c>
      <c r="BX48" s="1180">
        <f t="shared" si="187"/>
      </c>
      <c r="BY48" s="1181">
        <f t="shared" si="187"/>
      </c>
      <c r="BZ48" s="1180">
        <f t="shared" si="187"/>
      </c>
      <c r="CA48" s="1180">
        <f t="shared" si="187"/>
      </c>
      <c r="CB48" s="1180">
        <f t="shared" si="187"/>
      </c>
      <c r="CC48" s="1181">
        <f t="shared" si="187"/>
      </c>
      <c r="CD48" s="1180">
        <f t="shared" si="187"/>
      </c>
      <c r="CE48" s="1180">
        <f t="shared" si="187"/>
      </c>
      <c r="CF48" s="1180">
        <f t="shared" si="187"/>
      </c>
      <c r="CG48" s="1181">
        <f t="shared" si="187"/>
      </c>
      <c r="CH48" s="1180">
        <f t="shared" si="187"/>
      </c>
      <c r="CI48" s="1180">
        <f t="shared" si="187"/>
      </c>
      <c r="CJ48" s="1180">
        <f t="shared" si="187"/>
      </c>
      <c r="CK48" s="1181">
        <f t="shared" si="187"/>
      </c>
      <c r="CL48" s="1180">
        <f t="shared" si="187"/>
      </c>
      <c r="CM48" s="1180">
        <f t="shared" ref="CM48:CS48" si="188">SUM(CM38:CM45)</f>
      </c>
      <c r="CN48" s="1180">
        <f t="shared" si="188"/>
      </c>
      <c r="CO48" s="1181">
        <f t="shared" si="188"/>
      </c>
      <c r="CP48" s="1180">
        <f t="shared" si="188"/>
      </c>
      <c r="CQ48" s="1180">
        <f t="shared" si="188"/>
      </c>
      <c r="CR48" s="1180">
        <f t="shared" si="188"/>
      </c>
      <c r="CS48" s="1181">
        <f t="shared" si="188"/>
      </c>
      <c r="CT48" s="1180">
        <f t="shared" ref="CT48:CY48" si="189">SUM(CT38:CT47)</f>
      </c>
      <c r="CU48" s="1180">
        <f t="shared" si="189"/>
      </c>
      <c r="CV48" s="1180">
        <f t="shared" si="189"/>
      </c>
      <c r="CW48" s="1181">
        <f t="shared" si="189"/>
      </c>
      <c r="CX48" s="1182">
        <f t="shared" si="189"/>
      </c>
      <c r="CY48" s="1180">
        <f t="shared" si="189"/>
      </c>
      <c r="CZ48" s="1180">
        <f t="shared" ref="CZ48:DC48" si="190">SUM(CZ38:CZ47)</f>
      </c>
      <c r="DA48" s="1181">
        <f t="shared" si="190"/>
      </c>
      <c r="DB48" s="1182">
        <f t="shared" si="190"/>
      </c>
      <c r="DC48" s="1180">
        <f t="shared" si="190"/>
      </c>
      <c r="DD48" s="1180">
        <f t="shared" ref="DD48" si="191">SUM(DD38:DD47)</f>
      </c>
      <c r="DE48" s="1181">
        <f t="shared" ref="DE48" si="192">SUM(DE38:DE47)</f>
      </c>
      <c r="DF48" s="1180">
        <f t="shared" ref="DF48:DI48" si="193">SUM(DF38:DF47)</f>
      </c>
      <c r="DG48" s="1180">
        <f t="shared" si="193"/>
      </c>
      <c r="DH48" s="1180">
        <f t="shared" si="193"/>
      </c>
      <c r="DI48" s="1181">
        <f t="shared" si="193"/>
      </c>
      <c r="DJ48" s="1180">
        <f t="shared" ref="DJ48:DM48" si="194">SUM(DJ38:DJ47)</f>
      </c>
      <c r="DK48" s="1180">
        <f t="shared" si="194"/>
      </c>
      <c r="DL48" s="1180">
        <f t="shared" si="194"/>
      </c>
      <c r="DM48" s="1181">
        <f t="shared" si="194"/>
      </c>
      <c r="DN48" s="1180">
        <f t="shared" ref="DN48" si="195">SUM(DN38:DN47)</f>
      </c>
      <c r="DO48" s="1180">
        <f t="shared" ref="DO48:DQ48" si="196">SUM(DO38:DO47)</f>
      </c>
      <c r="DP48" s="1180">
        <f t="shared" si="196"/>
      </c>
      <c r="DQ48" s="1181">
        <f t="shared" si="196"/>
      </c>
      <c r="DR48" s="1180">
        <f t="shared" ref="DR48:DU48" si="197">SUM(DR38:DR47)</f>
      </c>
      <c r="DS48" s="1180">
        <f t="shared" si="197"/>
      </c>
      <c r="DT48" s="1180">
        <f t="shared" si="197"/>
      </c>
      <c r="DU48" s="1181">
        <f t="shared" si="197"/>
      </c>
      <c r="DV48" s="1180">
        <f t="shared" ref="DV48:EK48" si="198">SUM(DV38:DV47)</f>
      </c>
      <c r="DW48" s="1180">
        <f t="shared" si="198"/>
      </c>
      <c r="DX48" s="1180">
        <f t="shared" si="198"/>
      </c>
      <c r="DY48" s="1181">
        <f t="shared" si="198"/>
      </c>
      <c r="DZ48" s="1180">
        <f t="shared" si="198"/>
      </c>
      <c r="EA48" s="1180">
        <f t="shared" si="198"/>
      </c>
      <c r="EB48" s="1180">
        <f t="shared" si="198"/>
      </c>
      <c r="EC48" s="1181">
        <f t="shared" si="198"/>
      </c>
      <c r="ED48" s="1180">
        <f t="shared" si="198"/>
      </c>
      <c r="EE48" s="1180">
        <f t="shared" si="198"/>
      </c>
      <c r="EF48" s="1180">
        <f t="shared" si="198"/>
      </c>
      <c r="EG48" s="1181">
        <f t="shared" si="198"/>
      </c>
      <c r="EH48" s="1180">
        <f t="shared" si="198"/>
      </c>
      <c r="EI48" s="1180">
        <f t="shared" si="198"/>
      </c>
      <c r="EJ48" s="1180">
        <f t="shared" si="198"/>
      </c>
      <c r="EK48" s="1181">
        <f t="shared" si="198"/>
      </c>
      <c r="EL48" s="3192"/>
      <c r="EN48" s="1180">
        <f t="shared" ref="EN48:FG48" si="199">SUM(EN38:EN45)</f>
      </c>
      <c r="EO48" s="1180">
        <f t="shared" si="199"/>
      </c>
      <c r="EP48" s="1180">
        <f t="shared" si="199"/>
      </c>
      <c r="EQ48" s="1180">
        <f t="shared" si="199"/>
      </c>
      <c r="ER48" s="1180">
        <f t="shared" si="199"/>
      </c>
      <c r="ES48" s="1180">
        <f t="shared" si="199"/>
      </c>
      <c r="ET48" s="1180">
        <f t="shared" si="199"/>
      </c>
      <c r="EU48" s="1180">
        <f t="shared" si="199"/>
      </c>
      <c r="EV48" s="1180">
        <f t="shared" si="199"/>
      </c>
      <c r="EW48" s="1180">
        <f t="shared" si="199"/>
      </c>
      <c r="EX48" s="1180">
        <f t="shared" si="199"/>
      </c>
      <c r="EY48" s="1180">
        <f t="shared" si="199"/>
      </c>
      <c r="EZ48" s="1180">
        <f t="shared" si="199"/>
      </c>
      <c r="FA48" s="1180">
        <f t="shared" si="199"/>
      </c>
      <c r="FB48" s="1180">
        <f t="shared" si="199"/>
      </c>
      <c r="FC48" s="1180">
        <f t="shared" si="199"/>
      </c>
      <c r="FD48" s="1180">
        <f t="shared" si="199"/>
      </c>
      <c r="FE48" s="1180">
        <f t="shared" si="199"/>
      </c>
      <c r="FF48" s="1180">
        <f t="shared" si="199"/>
      </c>
      <c r="FG48" s="1180">
        <f t="shared" si="199"/>
      </c>
      <c r="FH48" s="1180">
        <f>SUM(FH38:FH47)</f>
      </c>
      <c r="FI48" s="1180">
        <f t="shared" ref="FI48:FN48" si="200">SUM(FI38:FI47)</f>
      </c>
      <c r="FJ48" s="1180">
        <f t="shared" si="200"/>
      </c>
      <c r="FK48" s="1180">
        <f t="shared" si="200"/>
      </c>
      <c r="FL48" s="1180">
        <f t="shared" si="200"/>
      </c>
      <c r="FM48" s="1180">
        <f t="shared" si="200"/>
      </c>
      <c r="FN48" s="1180">
        <f t="shared" si="200"/>
      </c>
      <c r="FO48" s="1180">
        <f>SUM(FO38:FO47)</f>
      </c>
      <c r="FP48" s="1180">
        <f>SUM(FP38:FP47)</f>
      </c>
      <c r="FQ48" s="1180">
        <f>SUM(FQ38:FQ47)</f>
      </c>
      <c r="FR48" s="1180">
        <f>SUM(FR38:FR47)</f>
      </c>
      <c r="FS48" s="1180">
        <f t="shared" ref="FS48:FV48" si="201">SUM(FS38:FS47)</f>
      </c>
      <c r="FT48" s="1180">
        <f t="shared" si="201"/>
      </c>
      <c r="FU48" s="1180">
        <f t="shared" si="201"/>
      </c>
      <c r="FV48" s="1180">
        <f t="shared" si="201"/>
      </c>
      <c r="FW48" s="1180"/>
      <c r="FX48" s="1180">
        <f t="shared" si="168"/>
      </c>
      <c r="FY48" s="1180">
        <f t="shared" si="169"/>
      </c>
      <c r="FZ48" s="1180">
        <f t="shared" si="170"/>
      </c>
      <c r="GA48" s="1180">
        <f t="shared" si="171"/>
      </c>
      <c r="GB48" s="1180">
        <f t="shared" si="172"/>
      </c>
      <c r="GC48" s="1180">
        <f t="shared" si="173"/>
      </c>
      <c r="GD48" s="1180">
        <f t="shared" si="174"/>
      </c>
      <c r="GE48" s="1180">
        <f t="shared" si="175"/>
      </c>
      <c r="GF48" s="1180">
        <f t="shared" si="176"/>
      </c>
      <c r="GG48" s="1180">
        <f t="shared" si="177"/>
      </c>
      <c r="GH48" s="1180">
        <f t="shared" si="178"/>
      </c>
      <c r="GI48" s="1180">
        <f t="shared" si="179"/>
      </c>
    </row>
    <row r="49" spans="1:191">
      <c r="A49" s="1"/>
      <c r="B49" s="15"/>
      <c r="C49" s="15"/>
      <c r="D49" s="15"/>
      <c r="E49" s="174"/>
      <c r="F49" s="15"/>
      <c r="G49" s="15"/>
      <c r="H49" s="15"/>
      <c r="I49" s="174"/>
      <c r="J49" s="15"/>
      <c r="K49" s="15"/>
      <c r="L49" s="15"/>
      <c r="M49" s="174"/>
      <c r="N49" s="15"/>
      <c r="O49" s="15"/>
      <c r="P49" s="15"/>
      <c r="Q49" s="174"/>
      <c r="R49" s="15"/>
      <c r="S49" s="15"/>
      <c r="T49" s="15"/>
      <c r="U49" s="174"/>
      <c r="V49" s="15"/>
      <c r="W49" s="15"/>
      <c r="X49" s="15"/>
      <c r="Y49" s="174"/>
      <c r="Z49" s="15"/>
      <c r="AA49" s="15"/>
      <c r="AB49" s="15"/>
      <c r="AC49" s="174"/>
      <c r="AD49" s="15"/>
      <c r="AE49" s="15"/>
      <c r="AF49" s="15"/>
      <c r="AG49" s="174"/>
      <c r="AH49" s="15"/>
      <c r="AI49" s="15"/>
      <c r="AJ49" s="15"/>
      <c r="AK49" s="174"/>
      <c r="AL49" s="15"/>
      <c r="AM49" s="15"/>
      <c r="AN49" s="15"/>
      <c r="AO49" s="174"/>
      <c r="AP49" s="15"/>
      <c r="AQ49" s="15"/>
      <c r="AR49" s="15"/>
      <c r="AS49" s="174"/>
      <c r="AT49" s="15"/>
      <c r="AU49" s="15"/>
      <c r="AV49" s="15"/>
      <c r="AW49" s="174"/>
      <c r="AX49" s="15"/>
      <c r="AY49" s="15"/>
      <c r="AZ49" s="15"/>
      <c r="BA49" s="174"/>
      <c r="BB49" s="15"/>
      <c r="BC49" s="15"/>
      <c r="BD49" s="15"/>
      <c r="BE49" s="174"/>
      <c r="BF49" s="15"/>
      <c r="BG49" s="15"/>
      <c r="BH49" s="15"/>
      <c r="BI49" s="174"/>
      <c r="BJ49" s="15"/>
      <c r="BK49" s="15"/>
      <c r="BL49" s="15"/>
      <c r="BM49" s="174"/>
      <c r="BN49" s="15"/>
      <c r="BO49" s="15"/>
      <c r="BP49" s="15"/>
      <c r="BQ49" s="174"/>
      <c r="BR49" s="15"/>
      <c r="BS49" s="15"/>
      <c r="BT49" s="15"/>
      <c r="BU49" s="174"/>
      <c r="BV49" s="15"/>
      <c r="BW49" s="15"/>
      <c r="BX49" s="15"/>
      <c r="BY49" s="174"/>
      <c r="BZ49" s="15"/>
      <c r="CA49" s="15"/>
      <c r="CB49" s="15"/>
      <c r="CC49" s="174"/>
      <c r="CD49" s="15"/>
      <c r="CE49" s="15"/>
      <c r="CF49" s="62"/>
      <c r="CG49" s="174"/>
      <c r="CH49" s="15"/>
      <c r="CI49" s="15"/>
      <c r="CJ49" s="15"/>
      <c r="CK49" s="174"/>
      <c r="CL49" s="15"/>
      <c r="CM49" s="15"/>
      <c r="CN49" s="15"/>
      <c r="CO49" s="174"/>
      <c r="CP49" s="62"/>
      <c r="CQ49" s="62"/>
      <c r="CR49" s="15"/>
      <c r="CS49" s="174"/>
      <c r="CT49" s="62"/>
      <c r="CU49" s="62"/>
      <c r="CV49" s="62"/>
      <c r="CW49" s="226"/>
      <c r="CX49" s="476"/>
      <c r="CY49" s="62"/>
      <c r="CZ49" s="62"/>
      <c r="DA49" s="226"/>
      <c r="DB49" s="476"/>
      <c r="DC49" s="62"/>
      <c r="DD49" s="62"/>
      <c r="DE49" s="226"/>
      <c r="DF49" s="62"/>
      <c r="DG49" s="62"/>
      <c r="DH49" s="62"/>
      <c r="DI49" s="226"/>
      <c r="DJ49" s="62"/>
      <c r="DK49" s="62"/>
      <c r="DL49" s="62"/>
      <c r="DM49" s="226"/>
      <c r="DN49" s="62"/>
      <c r="DO49" s="62"/>
      <c r="DP49" s="62"/>
      <c r="DQ49" s="226"/>
      <c r="DR49" s="62"/>
      <c r="DS49" s="62"/>
      <c r="DT49" s="62"/>
      <c r="DU49" s="226"/>
      <c r="DV49" s="62"/>
      <c r="DW49" s="62"/>
      <c r="DX49" s="62"/>
      <c r="DY49" s="226"/>
      <c r="DZ49" s="62"/>
      <c r="EA49" s="62"/>
      <c r="EB49" s="62"/>
      <c r="EC49" s="226"/>
      <c r="ED49" s="62"/>
      <c r="EE49" s="62"/>
      <c r="EF49" s="62"/>
      <c r="EG49" s="226"/>
      <c r="EH49" s="62"/>
      <c r="EI49" s="62"/>
      <c r="EJ49" s="62"/>
      <c r="EK49" s="226"/>
      <c r="EL49" s="3192"/>
      <c r="EN49" s="15"/>
      <c r="EO49" s="15"/>
      <c r="EP49" s="15"/>
      <c r="EQ49" s="15"/>
      <c r="ER49" s="15"/>
      <c r="ES49" s="15"/>
      <c r="ET49" s="15"/>
      <c r="EU49" s="15"/>
      <c r="EV49" s="15"/>
      <c r="EW49" s="15"/>
      <c r="EX49" s="15"/>
      <c r="EY49" s="15"/>
      <c r="EZ49" s="15"/>
      <c r="FA49" s="15"/>
      <c r="FB49" s="15"/>
      <c r="FC49" s="15"/>
      <c r="FD49" s="15"/>
      <c r="FE49" s="15"/>
      <c r="FF49" s="15"/>
      <c r="FG49" s="15"/>
      <c r="FH49" s="15"/>
      <c r="FI49" s="15"/>
      <c r="FJ49" s="15"/>
      <c r="FK49" s="15"/>
      <c r="FL49" s="15"/>
      <c r="FM49" s="15"/>
      <c r="FN49" s="15"/>
      <c r="FO49" s="15"/>
      <c r="FP49" s="15"/>
      <c r="FQ49" s="15"/>
      <c r="FR49" s="15"/>
      <c r="FS49" s="15"/>
      <c r="FT49" s="17">
        <f>(FT42/FO42)^(1/5)-1</f>
      </c>
      <c r="FU49" s="15"/>
      <c r="FV49" s="15"/>
      <c r="FW49" s="15"/>
      <c r="FX49" s="15"/>
      <c r="FY49" s="15"/>
      <c r="FZ49" s="15"/>
      <c r="GA49" s="15"/>
      <c r="GB49" s="15"/>
      <c r="GC49" s="15"/>
      <c r="GD49" s="15"/>
      <c r="GE49" s="15"/>
      <c r="GF49" s="15"/>
      <c r="GG49" s="15"/>
      <c r="GH49" s="15"/>
      <c r="GI49" s="15"/>
    </row>
    <row r="50" spans="1:191" s="16" customFormat="1">
      <c r="A50" s="1175" t="s">
        <v>158</v>
      </c>
      <c r="B50" s="13">
        <f t="shared" ref="B50:AG50" si="202">B25+B35+B48</f>
      </c>
      <c r="C50" s="13">
        <f t="shared" si="202"/>
      </c>
      <c r="D50" s="13">
        <f t="shared" si="202"/>
      </c>
      <c r="E50" s="171">
        <f t="shared" si="202"/>
      </c>
      <c r="F50" s="13">
        <f t="shared" si="202"/>
      </c>
      <c r="G50" s="13">
        <f t="shared" si="202"/>
      </c>
      <c r="H50" s="13">
        <f t="shared" si="202"/>
      </c>
      <c r="I50" s="171">
        <f t="shared" si="202"/>
      </c>
      <c r="J50" s="13">
        <f t="shared" si="202"/>
      </c>
      <c r="K50" s="13">
        <f t="shared" si="202"/>
      </c>
      <c r="L50" s="13">
        <f t="shared" si="202"/>
      </c>
      <c r="M50" s="171">
        <f t="shared" si="202"/>
      </c>
      <c r="N50" s="13">
        <f t="shared" si="202"/>
      </c>
      <c r="O50" s="13">
        <f t="shared" si="202"/>
      </c>
      <c r="P50" s="13">
        <f t="shared" si="202"/>
      </c>
      <c r="Q50" s="171">
        <f t="shared" si="202"/>
      </c>
      <c r="R50" s="13">
        <f t="shared" si="202"/>
      </c>
      <c r="S50" s="13">
        <f t="shared" si="202"/>
      </c>
      <c r="T50" s="13">
        <f t="shared" si="202"/>
      </c>
      <c r="U50" s="171">
        <f t="shared" si="202"/>
      </c>
      <c r="V50" s="13">
        <f t="shared" si="202"/>
      </c>
      <c r="W50" s="13">
        <f t="shared" si="202"/>
      </c>
      <c r="X50" s="13">
        <f t="shared" si="202"/>
      </c>
      <c r="Y50" s="171">
        <f t="shared" si="202"/>
      </c>
      <c r="Z50" s="13">
        <f t="shared" si="202"/>
      </c>
      <c r="AA50" s="13">
        <f t="shared" si="202"/>
      </c>
      <c r="AB50" s="13">
        <f t="shared" si="202"/>
      </c>
      <c r="AC50" s="171">
        <f t="shared" si="202"/>
      </c>
      <c r="AD50" s="13">
        <f t="shared" si="202"/>
      </c>
      <c r="AE50" s="13">
        <f t="shared" si="202"/>
      </c>
      <c r="AF50" s="13">
        <f t="shared" si="202"/>
      </c>
      <c r="AG50" s="171">
        <f t="shared" si="202"/>
      </c>
      <c r="AH50" s="13">
        <f t="shared" ref="AH50:BM50" si="203">AH25+AH35+AH48</f>
      </c>
      <c r="AI50" s="13">
        <f t="shared" si="203"/>
      </c>
      <c r="AJ50" s="13">
        <f t="shared" si="203"/>
      </c>
      <c r="AK50" s="171">
        <f t="shared" si="203"/>
      </c>
      <c r="AL50" s="13">
        <f t="shared" si="203"/>
      </c>
      <c r="AM50" s="13">
        <f t="shared" si="203"/>
      </c>
      <c r="AN50" s="13">
        <f t="shared" si="203"/>
      </c>
      <c r="AO50" s="171">
        <f t="shared" si="203"/>
      </c>
      <c r="AP50" s="13">
        <f t="shared" si="203"/>
      </c>
      <c r="AQ50" s="13">
        <f t="shared" si="203"/>
      </c>
      <c r="AR50" s="13">
        <f t="shared" si="203"/>
      </c>
      <c r="AS50" s="171">
        <f t="shared" si="203"/>
      </c>
      <c r="AT50" s="13">
        <f t="shared" si="203"/>
      </c>
      <c r="AU50" s="13">
        <f t="shared" si="203"/>
      </c>
      <c r="AV50" s="13">
        <f t="shared" si="203"/>
      </c>
      <c r="AW50" s="171">
        <f t="shared" si="203"/>
      </c>
      <c r="AX50" s="13">
        <f t="shared" si="203"/>
      </c>
      <c r="AY50" s="13">
        <f t="shared" si="203"/>
      </c>
      <c r="AZ50" s="13">
        <f t="shared" si="203"/>
      </c>
      <c r="BA50" s="171">
        <f t="shared" si="203"/>
      </c>
      <c r="BB50" s="13">
        <f t="shared" si="203"/>
      </c>
      <c r="BC50" s="13">
        <f t="shared" si="203"/>
      </c>
      <c r="BD50" s="13">
        <f t="shared" si="203"/>
      </c>
      <c r="BE50" s="171">
        <f t="shared" si="203"/>
      </c>
      <c r="BF50" s="13">
        <f t="shared" si="203"/>
      </c>
      <c r="BG50" s="13">
        <f t="shared" si="203"/>
      </c>
      <c r="BH50" s="13">
        <f t="shared" si="203"/>
      </c>
      <c r="BI50" s="171">
        <f t="shared" si="203"/>
      </c>
      <c r="BJ50" s="13">
        <f t="shared" si="203"/>
      </c>
      <c r="BK50" s="13">
        <f t="shared" si="203"/>
      </c>
      <c r="BL50" s="13">
        <f t="shared" si="203"/>
      </c>
      <c r="BM50" s="171">
        <f t="shared" si="203"/>
      </c>
      <c r="BN50" s="13">
        <f t="shared" ref="BN50:CS50" si="204">BN25+BN35+BN48</f>
      </c>
      <c r="BO50" s="13">
        <f t="shared" si="204"/>
      </c>
      <c r="BP50" s="13">
        <f t="shared" si="204"/>
      </c>
      <c r="BQ50" s="171">
        <f t="shared" si="204"/>
      </c>
      <c r="BR50" s="13">
        <f t="shared" si="204"/>
      </c>
      <c r="BS50" s="13">
        <f t="shared" si="204"/>
      </c>
      <c r="BT50" s="13">
        <f t="shared" si="204"/>
      </c>
      <c r="BU50" s="171">
        <f t="shared" si="204"/>
      </c>
      <c r="BV50" s="13">
        <f t="shared" si="204"/>
      </c>
      <c r="BW50" s="13">
        <f t="shared" si="204"/>
      </c>
      <c r="BX50" s="13">
        <f t="shared" si="204"/>
      </c>
      <c r="BY50" s="171">
        <f t="shared" si="204"/>
      </c>
      <c r="BZ50" s="13">
        <f t="shared" si="204"/>
      </c>
      <c r="CA50" s="13">
        <f t="shared" si="204"/>
      </c>
      <c r="CB50" s="13">
        <f t="shared" si="204"/>
      </c>
      <c r="CC50" s="171">
        <f t="shared" si="204"/>
      </c>
      <c r="CD50" s="13">
        <f t="shared" si="204"/>
      </c>
      <c r="CE50" s="13">
        <f t="shared" si="204"/>
      </c>
      <c r="CF50" s="13">
        <f t="shared" si="204"/>
      </c>
      <c r="CG50" s="171">
        <f t="shared" si="204"/>
      </c>
      <c r="CH50" s="13">
        <f t="shared" si="204"/>
      </c>
      <c r="CI50" s="13">
        <f t="shared" si="204"/>
      </c>
      <c r="CJ50" s="13">
        <f t="shared" si="204"/>
      </c>
      <c r="CK50" s="171">
        <f t="shared" si="204"/>
      </c>
      <c r="CL50" s="13">
        <f t="shared" si="204"/>
      </c>
      <c r="CM50" s="13">
        <f t="shared" si="204"/>
      </c>
      <c r="CN50" s="13">
        <f t="shared" si="204"/>
      </c>
      <c r="CO50" s="171">
        <f t="shared" si="204"/>
      </c>
      <c r="CP50" s="83">
        <f t="shared" si="204"/>
      </c>
      <c r="CQ50" s="83">
        <f t="shared" si="204"/>
      </c>
      <c r="CR50" s="13">
        <f t="shared" si="204"/>
      </c>
      <c r="CS50" s="171">
        <f t="shared" si="204"/>
      </c>
      <c r="CT50" s="83">
        <f t="shared" ref="CT50:DU50" si="205">CT25+CT35+CT48</f>
      </c>
      <c r="CU50" s="83">
        <f t="shared" si="205"/>
      </c>
      <c r="CV50" s="83">
        <f t="shared" si="205"/>
      </c>
      <c r="CW50" s="415">
        <f t="shared" si="205"/>
      </c>
      <c r="CX50" s="477">
        <f t="shared" si="205"/>
      </c>
      <c r="CY50" s="83">
        <f t="shared" si="205"/>
      </c>
      <c r="CZ50" s="83">
        <f t="shared" si="205"/>
      </c>
      <c r="DA50" s="415">
        <f t="shared" si="205"/>
      </c>
      <c r="DB50" s="477">
        <f t="shared" si="205"/>
      </c>
      <c r="DC50" s="83">
        <f t="shared" si="205"/>
      </c>
      <c r="DD50" s="83">
        <f t="shared" si="205"/>
      </c>
      <c r="DE50" s="415">
        <f t="shared" si="205"/>
      </c>
      <c r="DF50" s="83">
        <f t="shared" si="205"/>
      </c>
      <c r="DG50" s="83">
        <f t="shared" si="205"/>
      </c>
      <c r="DH50" s="83">
        <f t="shared" si="205"/>
      </c>
      <c r="DI50" s="415">
        <f t="shared" si="205"/>
      </c>
      <c r="DJ50" s="83">
        <f t="shared" ref="DJ50:DM50" si="206">DJ25+DJ35+DJ48</f>
      </c>
      <c r="DK50" s="83">
        <f t="shared" si="206"/>
      </c>
      <c r="DL50" s="83">
        <f t="shared" si="206"/>
      </c>
      <c r="DM50" s="415">
        <f t="shared" si="206"/>
      </c>
      <c r="DN50" s="83">
        <f t="shared" ref="DN50" si="207">DN25+DN35+DN48</f>
      </c>
      <c r="DO50" s="83">
        <f t="shared" si="205"/>
      </c>
      <c r="DP50" s="83">
        <f t="shared" si="205"/>
      </c>
      <c r="DQ50" s="415">
        <f t="shared" si="205"/>
      </c>
      <c r="DR50" s="83">
        <f t="shared" si="205"/>
      </c>
      <c r="DS50" s="83">
        <f t="shared" si="205"/>
      </c>
      <c r="DT50" s="83">
        <f t="shared" si="205"/>
      </c>
      <c r="DU50" s="415">
        <f t="shared" si="205"/>
      </c>
      <c r="DV50" s="83">
        <f t="shared" ref="DV50:EK50" si="208">DV25+DV35+DV48</f>
      </c>
      <c r="DW50" s="83">
        <f t="shared" si="208"/>
      </c>
      <c r="DX50" s="83">
        <f t="shared" si="208"/>
      </c>
      <c r="DY50" s="415">
        <f t="shared" si="208"/>
      </c>
      <c r="DZ50" s="83">
        <f t="shared" si="208"/>
      </c>
      <c r="EA50" s="83">
        <f t="shared" si="208"/>
      </c>
      <c r="EB50" s="83">
        <f t="shared" si="208"/>
      </c>
      <c r="EC50" s="415">
        <f t="shared" si="208"/>
      </c>
      <c r="ED50" s="83">
        <f t="shared" si="208"/>
      </c>
      <c r="EE50" s="83">
        <f t="shared" si="208"/>
      </c>
      <c r="EF50" s="83">
        <f t="shared" si="208"/>
      </c>
      <c r="EG50" s="415">
        <f t="shared" si="208"/>
      </c>
      <c r="EH50" s="83">
        <f t="shared" si="208"/>
      </c>
      <c r="EI50" s="83">
        <f t="shared" si="208"/>
      </c>
      <c r="EJ50" s="83">
        <f t="shared" si="208"/>
      </c>
      <c r="EK50" s="415">
        <f t="shared" si="208"/>
      </c>
      <c r="EL50" s="3191"/>
      <c r="EN50" s="13">
        <f t="shared" ref="EN50:FR50" si="209">EN25+EN35+EN48</f>
      </c>
      <c r="EO50" s="13">
        <f t="shared" si="209"/>
      </c>
      <c r="EP50" s="13">
        <f t="shared" si="209"/>
      </c>
      <c r="EQ50" s="13">
        <f t="shared" si="209"/>
      </c>
      <c r="ER50" s="13">
        <f t="shared" si="209"/>
      </c>
      <c r="ES50" s="13">
        <f t="shared" si="209"/>
      </c>
      <c r="ET50" s="13">
        <f t="shared" si="209"/>
      </c>
      <c r="EU50" s="13">
        <f t="shared" si="209"/>
      </c>
      <c r="EV50" s="13">
        <f t="shared" si="209"/>
      </c>
      <c r="EW50" s="13">
        <f t="shared" si="209"/>
      </c>
      <c r="EX50" s="13">
        <f t="shared" si="209"/>
      </c>
      <c r="EY50" s="13">
        <f t="shared" si="209"/>
      </c>
      <c r="EZ50" s="13">
        <f t="shared" si="209"/>
      </c>
      <c r="FA50" s="13">
        <f t="shared" si="209"/>
      </c>
      <c r="FB50" s="13">
        <f t="shared" si="209"/>
      </c>
      <c r="FC50" s="13">
        <f t="shared" si="209"/>
      </c>
      <c r="FD50" s="13">
        <f t="shared" si="209"/>
      </c>
      <c r="FE50" s="13">
        <f t="shared" si="209"/>
      </c>
      <c r="FF50" s="13">
        <f t="shared" si="209"/>
      </c>
      <c r="FG50" s="13">
        <f t="shared" si="209"/>
      </c>
      <c r="FH50" s="13">
        <f t="shared" si="209"/>
      </c>
      <c r="FI50" s="13">
        <f t="shared" si="209"/>
      </c>
      <c r="FJ50" s="13">
        <f t="shared" si="209"/>
      </c>
      <c r="FK50" s="13">
        <f t="shared" si="209"/>
      </c>
      <c r="FL50" s="13">
        <f t="shared" si="209"/>
      </c>
      <c r="FM50" s="13">
        <f t="shared" si="209"/>
      </c>
      <c r="FN50" s="13">
        <f t="shared" si="209"/>
      </c>
      <c r="FO50" s="13">
        <f t="shared" si="209"/>
      </c>
      <c r="FP50" s="13">
        <f t="shared" si="209"/>
      </c>
      <c r="FQ50" s="13">
        <f t="shared" si="209"/>
      </c>
      <c r="FR50" s="13">
        <f t="shared" si="209"/>
      </c>
      <c r="FS50" s="13">
        <f t="shared" ref="FS50:FV50" si="210">FS25+FS35+FS48</f>
      </c>
      <c r="FT50" s="13">
        <f t="shared" si="210"/>
      </c>
      <c r="FU50" s="13">
        <f t="shared" si="210"/>
      </c>
      <c r="FV50" s="13">
        <f t="shared" si="210"/>
      </c>
      <c r="FW50" s="13"/>
      <c r="FX50" s="13">
        <f>SUM(CM50:CP50)</f>
      </c>
      <c r="FY50" s="13">
        <f>+SUM(CQ50:CT50)</f>
      </c>
      <c r="FZ50" s="13">
        <f>SUM(CU50:CX50)</f>
      </c>
      <c r="GA50" s="13">
        <f>+SUM(CY50:DB50)</f>
      </c>
      <c r="GB50" s="13">
        <f>SUM(DC50:DF50)</f>
      </c>
      <c r="GC50" s="13">
        <f>SUM(DG50:DJ50)</f>
      </c>
      <c r="GD50" s="13">
        <f>SUM(DK50:DN50)</f>
      </c>
      <c r="GE50" s="13">
        <f>SUM(DO50:DR50)</f>
      </c>
      <c r="GF50" s="13">
        <f>SUM(DS50:DV50)</f>
      </c>
      <c r="GG50" s="13">
        <f>SUM(DW50:DZ50)</f>
      </c>
      <c r="GH50" s="13">
        <f>SUM(EA50:ED50)</f>
      </c>
      <c r="GI50" s="13">
        <f>SUM(EE50:EH50)</f>
      </c>
    </row>
    <row r="51" spans="1:191">
      <c r="A51" s="1183" t="s">
        <v>159</v>
      </c>
      <c r="B51" s="10">
        <f>B52-B50</f>
      </c>
      <c r="C51" s="10">
        <f t="shared" ref="C51:AH51" si="211">B52</f>
      </c>
      <c r="D51" s="10">
        <f t="shared" si="211"/>
      </c>
      <c r="E51" s="238">
        <f t="shared" si="211"/>
      </c>
      <c r="F51" s="10">
        <f t="shared" si="211"/>
      </c>
      <c r="G51" s="10">
        <f t="shared" si="211"/>
      </c>
      <c r="H51" s="10">
        <f t="shared" si="211"/>
      </c>
      <c r="I51" s="238">
        <f t="shared" si="211"/>
      </c>
      <c r="J51" s="10">
        <f t="shared" si="211"/>
      </c>
      <c r="K51" s="10">
        <f t="shared" si="211"/>
      </c>
      <c r="L51" s="10">
        <f t="shared" si="211"/>
      </c>
      <c r="M51" s="238">
        <f t="shared" si="211"/>
      </c>
      <c r="N51" s="10">
        <f t="shared" si="211"/>
      </c>
      <c r="O51" s="10">
        <f t="shared" si="211"/>
      </c>
      <c r="P51" s="10">
        <f t="shared" si="211"/>
      </c>
      <c r="Q51" s="238">
        <f t="shared" si="211"/>
      </c>
      <c r="R51" s="10">
        <f t="shared" si="211"/>
      </c>
      <c r="S51" s="10">
        <f t="shared" si="211"/>
      </c>
      <c r="T51" s="10">
        <f t="shared" si="211"/>
      </c>
      <c r="U51" s="238">
        <f t="shared" si="211"/>
      </c>
      <c r="V51" s="10">
        <f t="shared" si="211"/>
      </c>
      <c r="W51" s="10">
        <f t="shared" si="211"/>
      </c>
      <c r="X51" s="10">
        <f t="shared" si="211"/>
      </c>
      <c r="Y51" s="238">
        <f t="shared" si="211"/>
      </c>
      <c r="Z51" s="10">
        <f t="shared" si="211"/>
      </c>
      <c r="AA51" s="10">
        <f t="shared" si="211"/>
      </c>
      <c r="AB51" s="10">
        <f t="shared" si="211"/>
      </c>
      <c r="AC51" s="238">
        <f t="shared" si="211"/>
      </c>
      <c r="AD51" s="10">
        <f t="shared" si="211"/>
      </c>
      <c r="AE51" s="10">
        <f t="shared" si="211"/>
      </c>
      <c r="AF51" s="10">
        <f t="shared" si="211"/>
      </c>
      <c r="AG51" s="238">
        <f t="shared" si="211"/>
      </c>
      <c r="AH51" s="10">
        <f t="shared" si="211"/>
      </c>
      <c r="AI51" s="10">
        <f t="shared" ref="AI51:BB51" si="212">AH52</f>
      </c>
      <c r="AJ51" s="10">
        <f t="shared" si="212"/>
      </c>
      <c r="AK51" s="238">
        <f t="shared" si="212"/>
      </c>
      <c r="AL51" s="10">
        <f t="shared" si="212"/>
      </c>
      <c r="AM51" s="10">
        <f t="shared" si="212"/>
      </c>
      <c r="AN51" s="10">
        <f t="shared" si="212"/>
      </c>
      <c r="AO51" s="238">
        <f t="shared" si="212"/>
      </c>
      <c r="AP51" s="10">
        <f t="shared" si="212"/>
      </c>
      <c r="AQ51" s="10">
        <f t="shared" si="212"/>
      </c>
      <c r="AR51" s="10">
        <f t="shared" si="212"/>
      </c>
      <c r="AS51" s="238">
        <f t="shared" si="212"/>
      </c>
      <c r="AT51" s="10">
        <f t="shared" si="212"/>
      </c>
      <c r="AU51" s="10">
        <f t="shared" si="212"/>
      </c>
      <c r="AV51" s="10">
        <f t="shared" si="212"/>
      </c>
      <c r="AW51" s="238">
        <f t="shared" si="212"/>
      </c>
      <c r="AX51" s="10">
        <f t="shared" si="212"/>
      </c>
      <c r="AY51" s="10">
        <f t="shared" si="212"/>
      </c>
      <c r="AZ51" s="10">
        <f t="shared" si="212"/>
      </c>
      <c r="BA51" s="238">
        <f t="shared" si="212"/>
      </c>
      <c r="BB51" s="10">
        <f t="shared" si="212"/>
      </c>
      <c r="BC51" s="10">
        <f t="shared" ref="BC51:DD51" si="213">BB52</f>
      </c>
      <c r="BD51" s="10">
        <f t="shared" si="213"/>
      </c>
      <c r="BE51" s="238">
        <f t="shared" si="213"/>
      </c>
      <c r="BF51" s="10">
        <f t="shared" si="213"/>
      </c>
      <c r="BG51" s="10">
        <f t="shared" si="213"/>
      </c>
      <c r="BH51" s="10">
        <f t="shared" si="213"/>
      </c>
      <c r="BI51" s="238">
        <f t="shared" si="213"/>
      </c>
      <c r="BJ51" s="10">
        <f t="shared" si="213"/>
      </c>
      <c r="BK51" s="10">
        <f t="shared" si="213"/>
      </c>
      <c r="BL51" s="10">
        <f t="shared" si="213"/>
      </c>
      <c r="BM51" s="238">
        <f t="shared" si="213"/>
      </c>
      <c r="BN51" s="10">
        <f t="shared" si="213"/>
      </c>
      <c r="BO51" s="10">
        <f t="shared" si="213"/>
      </c>
      <c r="BP51" s="10">
        <f t="shared" si="213"/>
      </c>
      <c r="BQ51" s="238">
        <f t="shared" si="213"/>
      </c>
      <c r="BR51" s="10">
        <f t="shared" si="213"/>
      </c>
      <c r="BS51" s="10">
        <f t="shared" si="213"/>
      </c>
      <c r="BT51" s="10">
        <f t="shared" si="213"/>
      </c>
      <c r="BU51" s="238">
        <f t="shared" si="213"/>
      </c>
      <c r="BV51" s="10">
        <f t="shared" si="213"/>
      </c>
      <c r="BW51" s="10">
        <f t="shared" si="213"/>
      </c>
      <c r="BX51" s="10">
        <f t="shared" si="213"/>
      </c>
      <c r="BY51" s="238">
        <f t="shared" si="213"/>
      </c>
      <c r="BZ51" s="10">
        <f t="shared" si="213"/>
      </c>
      <c r="CA51" s="10">
        <f t="shared" si="213"/>
      </c>
      <c r="CB51" s="10">
        <f t="shared" si="213"/>
      </c>
      <c r="CC51" s="238">
        <f t="shared" si="213"/>
      </c>
      <c r="CD51" s="10">
        <f t="shared" si="213"/>
      </c>
      <c r="CE51" s="10">
        <f>CD52</f>
      </c>
      <c r="CF51" s="10">
        <f>CE52</f>
      </c>
      <c r="CG51" s="238">
        <f t="shared" si="213"/>
      </c>
      <c r="CH51" s="10">
        <f t="shared" si="213"/>
      </c>
      <c r="CI51" s="10">
        <f t="shared" si="213"/>
      </c>
      <c r="CJ51" s="10">
        <f t="shared" si="213"/>
      </c>
      <c r="CK51" s="238">
        <f t="shared" si="213"/>
      </c>
      <c r="CL51" s="10">
        <f t="shared" si="213"/>
      </c>
      <c r="CM51" s="10">
        <f t="shared" si="213"/>
      </c>
      <c r="CN51" s="10">
        <f t="shared" si="213"/>
      </c>
      <c r="CO51" s="238">
        <f t="shared" si="213"/>
      </c>
      <c r="CP51" s="85">
        <f t="shared" si="213"/>
      </c>
      <c r="CQ51" s="85">
        <f t="shared" si="213"/>
      </c>
      <c r="CR51" s="10">
        <f t="shared" si="213"/>
      </c>
      <c r="CS51" s="238">
        <f t="shared" si="213"/>
      </c>
      <c r="CT51" s="85">
        <f t="shared" si="213"/>
      </c>
      <c r="CU51" s="85">
        <f t="shared" si="213"/>
      </c>
      <c r="CV51" s="85">
        <f t="shared" si="213"/>
      </c>
      <c r="CW51" s="176">
        <f t="shared" si="213"/>
      </c>
      <c r="CX51" s="475">
        <f t="shared" si="213"/>
      </c>
      <c r="CY51" s="85">
        <f t="shared" si="213"/>
      </c>
      <c r="CZ51" s="85">
        <f t="shared" si="213"/>
      </c>
      <c r="DA51" s="176">
        <f t="shared" si="213"/>
      </c>
      <c r="DB51" s="475">
        <f t="shared" si="213"/>
      </c>
      <c r="DC51" s="85">
        <f t="shared" si="213"/>
      </c>
      <c r="DD51" s="85">
        <f t="shared" si="213"/>
      </c>
      <c r="DE51" s="176">
        <f t="shared" ref="DE51" si="214">DD52</f>
      </c>
      <c r="DF51" s="85">
        <f t="shared" ref="DF51:DP51" si="215">DE52</f>
      </c>
      <c r="DG51" s="85">
        <f t="shared" si="215"/>
      </c>
      <c r="DH51" s="85">
        <f t="shared" si="215"/>
      </c>
      <c r="DI51" s="176">
        <f t="shared" si="215"/>
      </c>
      <c r="DJ51" s="85">
        <f t="shared" si="215"/>
      </c>
      <c r="DK51" s="85">
        <f t="shared" si="215"/>
      </c>
      <c r="DL51" s="85">
        <f t="shared" si="215"/>
      </c>
      <c r="DM51" s="176">
        <f t="shared" si="215"/>
      </c>
      <c r="DN51" s="85">
        <f t="shared" si="215"/>
      </c>
      <c r="DO51" s="85">
        <f t="shared" ref="DO51" si="216">DN52</f>
      </c>
      <c r="DP51" s="85">
        <f t="shared" si="215"/>
      </c>
      <c r="DQ51" s="176">
        <f t="shared" ref="DQ51" si="217">DP52</f>
      </c>
      <c r="DR51" s="85">
        <f t="shared" ref="DR51" si="218">DQ52</f>
      </c>
      <c r="DS51" s="85">
        <f t="shared" ref="DS51" si="219">DR52</f>
      </c>
      <c r="DT51" s="85">
        <f t="shared" ref="DT51" si="220">DS52</f>
      </c>
      <c r="DU51" s="176">
        <f t="shared" ref="DU51" si="221">DT52</f>
      </c>
      <c r="DV51" s="85">
        <f t="shared" ref="DV51" si="222">DU52</f>
      </c>
      <c r="DW51" s="85">
        <f t="shared" ref="DW51" si="223">DV52</f>
      </c>
      <c r="DX51" s="85">
        <f t="shared" ref="DX51" si="224">DW52</f>
      </c>
      <c r="DY51" s="176">
        <f t="shared" ref="DY51" si="225">DX52</f>
      </c>
      <c r="DZ51" s="85">
        <f t="shared" ref="DZ51" si="226">DY52</f>
      </c>
      <c r="EA51" s="85">
        <f t="shared" ref="EA51" si="227">DZ52</f>
      </c>
      <c r="EB51" s="85">
        <f t="shared" ref="EB51" si="228">EA52</f>
      </c>
      <c r="EC51" s="176">
        <f t="shared" ref="EC51" si="229">EB52</f>
      </c>
      <c r="ED51" s="85">
        <f t="shared" ref="ED51" si="230">EC52</f>
      </c>
      <c r="EE51" s="85">
        <f t="shared" ref="EE51" si="231">ED52</f>
      </c>
      <c r="EF51" s="85">
        <f t="shared" ref="EF51" si="232">EE52</f>
      </c>
      <c r="EG51" s="176">
        <f t="shared" ref="EG51" si="233">EF52</f>
      </c>
      <c r="EH51" s="85">
        <f t="shared" ref="EH51" si="234">EG52</f>
      </c>
      <c r="EI51" s="85">
        <f t="shared" ref="EI51" si="235">EH52</f>
      </c>
      <c r="EJ51" s="85">
        <f t="shared" ref="EJ51" si="236">EI52</f>
      </c>
      <c r="EK51" s="176">
        <f t="shared" ref="EK51" si="237">EJ52</f>
      </c>
      <c r="EL51" s="3192"/>
      <c r="EN51" s="10">
        <f>B51</f>
      </c>
      <c r="EO51" s="10">
        <f>F51</f>
      </c>
      <c r="EP51" s="10">
        <f>J51</f>
      </c>
      <c r="EQ51" s="10">
        <f>N51</f>
      </c>
      <c r="ER51" s="10">
        <f>R51</f>
      </c>
      <c r="ES51" s="10">
        <f>V51</f>
      </c>
      <c r="ET51" s="10">
        <f>Z51</f>
      </c>
      <c r="EU51" s="10">
        <f>AD51</f>
      </c>
      <c r="EV51" s="10">
        <f>AH51</f>
      </c>
      <c r="EW51" s="10">
        <f>AL51</f>
      </c>
      <c r="EX51" s="10">
        <f>AP51</f>
      </c>
      <c r="EY51" s="10">
        <f>AT51</f>
      </c>
      <c r="EZ51" s="10">
        <f>AX51</f>
      </c>
      <c r="FA51" s="10">
        <f>BB51</f>
      </c>
      <c r="FB51" s="10">
        <f t="shared" ref="FB51:FN51" si="238">FA52</f>
      </c>
      <c r="FC51" s="10">
        <f t="shared" si="238"/>
      </c>
      <c r="FD51" s="10">
        <f t="shared" si="238"/>
      </c>
      <c r="FE51" s="10">
        <f t="shared" si="238"/>
      </c>
      <c r="FF51" s="10">
        <f t="shared" si="238"/>
      </c>
      <c r="FG51" s="10">
        <f t="shared" si="238"/>
      </c>
      <c r="FH51" s="10">
        <f t="shared" si="238"/>
      </c>
      <c r="FI51" s="10">
        <f t="shared" si="238"/>
      </c>
      <c r="FJ51" s="10">
        <f t="shared" si="238"/>
      </c>
      <c r="FK51" s="10">
        <f t="shared" si="238"/>
      </c>
      <c r="FL51" s="10">
        <f t="shared" si="238"/>
      </c>
      <c r="FM51" s="10">
        <f t="shared" si="238"/>
      </c>
      <c r="FN51" s="10">
        <f t="shared" si="238"/>
      </c>
      <c r="FO51" s="10">
        <f>+FN52</f>
      </c>
      <c r="FP51" s="10">
        <f>+FO52</f>
      </c>
      <c r="FQ51" s="10">
        <f>+FP52</f>
      </c>
      <c r="FR51" s="10">
        <f>+FQ52</f>
      </c>
      <c r="FS51" s="10">
        <f t="shared" ref="FS51:FV51" si="239">+FR52</f>
      </c>
      <c r="FT51" s="10">
        <f t="shared" si="239"/>
      </c>
      <c r="FU51" s="10">
        <f t="shared" si="239"/>
      </c>
      <c r="FV51" s="10">
        <f t="shared" si="239"/>
      </c>
      <c r="FW51" s="10"/>
      <c r="FX51" s="10">
        <f>+CM51</f>
      </c>
      <c r="FY51" s="10">
        <f>+CQ51</f>
      </c>
      <c r="FZ51" s="10">
        <f>+CU51</f>
      </c>
      <c r="GA51" s="10">
        <f>+CY51</f>
      </c>
      <c r="GB51" s="10">
        <f>+DC51</f>
      </c>
      <c r="GC51" s="10">
        <f>+DG51</f>
      </c>
      <c r="GD51" s="10">
        <f>+DK51</f>
      </c>
      <c r="GE51" s="10">
        <f>+DO51</f>
      </c>
      <c r="GF51" s="10">
        <f>+DS51</f>
      </c>
      <c r="GG51" s="10">
        <f>+DW51</f>
      </c>
      <c r="GH51" s="10">
        <f>+EA51</f>
      </c>
      <c r="GI51" s="10">
        <f>+EE51</f>
      </c>
    </row>
    <row r="52" spans="1:191" s="16" customFormat="1">
      <c r="A52" s="1175" t="s">
        <v>160</v>
      </c>
      <c r="B52" s="13">
        <f>'Balance Sheet'!B11</f>
      </c>
      <c r="C52" s="13">
        <f t="shared" ref="C52:AH52" si="240">C50+C51</f>
      </c>
      <c r="D52" s="13">
        <f t="shared" si="240"/>
      </c>
      <c r="E52" s="171">
        <f t="shared" si="240"/>
      </c>
      <c r="F52" s="13">
        <f t="shared" si="240"/>
      </c>
      <c r="G52" s="13">
        <f t="shared" si="240"/>
      </c>
      <c r="H52" s="13">
        <f t="shared" si="240"/>
      </c>
      <c r="I52" s="171">
        <f t="shared" si="240"/>
      </c>
      <c r="J52" s="13">
        <f t="shared" si="240"/>
      </c>
      <c r="K52" s="13">
        <f t="shared" si="240"/>
      </c>
      <c r="L52" s="13">
        <f t="shared" si="240"/>
      </c>
      <c r="M52" s="171">
        <f t="shared" si="240"/>
      </c>
      <c r="N52" s="13">
        <f t="shared" si="240"/>
      </c>
      <c r="O52" s="13">
        <f t="shared" si="240"/>
      </c>
      <c r="P52" s="13">
        <f t="shared" si="240"/>
      </c>
      <c r="Q52" s="171">
        <f t="shared" si="240"/>
      </c>
      <c r="R52" s="13">
        <f t="shared" si="240"/>
      </c>
      <c r="S52" s="13">
        <f t="shared" si="240"/>
      </c>
      <c r="T52" s="13">
        <f t="shared" si="240"/>
      </c>
      <c r="U52" s="171">
        <f t="shared" si="240"/>
      </c>
      <c r="V52" s="13">
        <f t="shared" si="240"/>
      </c>
      <c r="W52" s="13">
        <f t="shared" si="240"/>
      </c>
      <c r="X52" s="13">
        <f t="shared" si="240"/>
      </c>
      <c r="Y52" s="171">
        <f t="shared" si="240"/>
      </c>
      <c r="Z52" s="13">
        <f t="shared" si="240"/>
      </c>
      <c r="AA52" s="13">
        <f t="shared" si="240"/>
      </c>
      <c r="AB52" s="13">
        <f t="shared" si="240"/>
      </c>
      <c r="AC52" s="171">
        <f t="shared" si="240"/>
      </c>
      <c r="AD52" s="13">
        <f t="shared" si="240"/>
      </c>
      <c r="AE52" s="13">
        <f t="shared" si="240"/>
      </c>
      <c r="AF52" s="13">
        <f t="shared" si="240"/>
      </c>
      <c r="AG52" s="171">
        <f t="shared" si="240"/>
      </c>
      <c r="AH52" s="13">
        <f t="shared" si="240"/>
      </c>
      <c r="AI52" s="13">
        <f t="shared" ref="AI52:BN52" si="241">AI50+AI51</f>
      </c>
      <c r="AJ52" s="13">
        <f t="shared" si="241"/>
      </c>
      <c r="AK52" s="171">
        <f t="shared" si="241"/>
      </c>
      <c r="AL52" s="13">
        <f t="shared" si="241"/>
      </c>
      <c r="AM52" s="13">
        <f t="shared" si="241"/>
      </c>
      <c r="AN52" s="13">
        <f t="shared" si="241"/>
      </c>
      <c r="AO52" s="171">
        <f t="shared" si="241"/>
      </c>
      <c r="AP52" s="13">
        <f t="shared" si="241"/>
      </c>
      <c r="AQ52" s="13">
        <f t="shared" si="241"/>
      </c>
      <c r="AR52" s="13">
        <f t="shared" si="241"/>
      </c>
      <c r="AS52" s="171">
        <f t="shared" si="241"/>
      </c>
      <c r="AT52" s="13">
        <f t="shared" si="241"/>
      </c>
      <c r="AU52" s="13">
        <f t="shared" si="241"/>
      </c>
      <c r="AV52" s="13">
        <f t="shared" si="241"/>
      </c>
      <c r="AW52" s="171">
        <f t="shared" si="241"/>
      </c>
      <c r="AX52" s="13">
        <f t="shared" si="241"/>
      </c>
      <c r="AY52" s="13">
        <f t="shared" si="241"/>
      </c>
      <c r="AZ52" s="13">
        <f t="shared" si="241"/>
      </c>
      <c r="BA52" s="171">
        <f t="shared" si="241"/>
      </c>
      <c r="BB52" s="13">
        <f t="shared" si="241"/>
      </c>
      <c r="BC52" s="13">
        <f t="shared" si="241"/>
      </c>
      <c r="BD52" s="13">
        <f t="shared" si="241"/>
      </c>
      <c r="BE52" s="171">
        <f t="shared" si="241"/>
      </c>
      <c r="BF52" s="13">
        <f t="shared" si="241"/>
      </c>
      <c r="BG52" s="13">
        <f t="shared" si="241"/>
      </c>
      <c r="BH52" s="13">
        <f t="shared" si="241"/>
      </c>
      <c r="BI52" s="171">
        <f t="shared" si="241"/>
      </c>
      <c r="BJ52" s="13">
        <f t="shared" si="241"/>
      </c>
      <c r="BK52" s="13">
        <f t="shared" si="241"/>
      </c>
      <c r="BL52" s="13">
        <f t="shared" si="241"/>
      </c>
      <c r="BM52" s="171">
        <f t="shared" si="241"/>
      </c>
      <c r="BN52" s="13">
        <f t="shared" si="241"/>
      </c>
      <c r="BO52" s="13">
        <f t="shared" ref="BO52:CL52" si="242">BO50+BO51</f>
      </c>
      <c r="BP52" s="13">
        <f t="shared" si="242"/>
      </c>
      <c r="BQ52" s="171">
        <f t="shared" si="242"/>
      </c>
      <c r="BR52" s="13">
        <f t="shared" si="242"/>
      </c>
      <c r="BS52" s="13">
        <f t="shared" si="242"/>
      </c>
      <c r="BT52" s="13">
        <f t="shared" si="242"/>
      </c>
      <c r="BU52" s="171">
        <f t="shared" si="242"/>
      </c>
      <c r="BV52" s="13">
        <f t="shared" si="242"/>
      </c>
      <c r="BW52" s="13">
        <f t="shared" si="242"/>
      </c>
      <c r="BX52" s="13">
        <f t="shared" si="242"/>
      </c>
      <c r="BY52" s="171">
        <f t="shared" si="242"/>
      </c>
      <c r="BZ52" s="13">
        <f t="shared" si="242"/>
      </c>
      <c r="CA52" s="13">
        <f t="shared" si="242"/>
      </c>
      <c r="CB52" s="13">
        <f t="shared" si="242"/>
      </c>
      <c r="CC52" s="171">
        <f t="shared" si="242"/>
      </c>
      <c r="CD52" s="13">
        <f t="shared" si="242"/>
      </c>
      <c r="CE52" s="13">
        <f t="shared" si="242"/>
      </c>
      <c r="CF52" s="13">
        <f t="shared" si="242"/>
      </c>
      <c r="CG52" s="171">
        <f t="shared" si="242"/>
      </c>
      <c r="CH52" s="13">
        <f t="shared" si="242"/>
      </c>
      <c r="CI52" s="13">
        <f t="shared" si="242"/>
      </c>
      <c r="CJ52" s="13">
        <f t="shared" si="242"/>
      </c>
      <c r="CK52" s="171">
        <f t="shared" si="242"/>
      </c>
      <c r="CL52" s="13">
        <f t="shared" si="242"/>
      </c>
      <c r="CM52" s="13">
        <f t="shared" ref="CM52:DE52" si="243">CM50+CM51</f>
      </c>
      <c r="CN52" s="13">
        <f t="shared" si="243"/>
      </c>
      <c r="CO52" s="171">
        <f t="shared" si="243"/>
      </c>
      <c r="CP52" s="83">
        <f t="shared" si="243"/>
      </c>
      <c r="CQ52" s="83">
        <f t="shared" si="243"/>
      </c>
      <c r="CR52" s="13">
        <f t="shared" si="243"/>
      </c>
      <c r="CS52" s="171">
        <f t="shared" si="243"/>
      </c>
      <c r="CT52" s="83">
        <f t="shared" si="243"/>
      </c>
      <c r="CU52" s="83">
        <f t="shared" ref="CU52:CZ52" si="244">CU50+CU51</f>
      </c>
      <c r="CV52" s="83">
        <f t="shared" si="244"/>
      </c>
      <c r="CW52" s="415">
        <f t="shared" si="244"/>
      </c>
      <c r="CX52" s="477">
        <f t="shared" si="244"/>
      </c>
      <c r="CY52" s="83">
        <f t="shared" si="244"/>
      </c>
      <c r="CZ52" s="83">
        <f t="shared" si="244"/>
      </c>
      <c r="DA52" s="415">
        <f t="shared" ref="DA52:DD52" si="245">DA50+DA51</f>
      </c>
      <c r="DB52" s="477">
        <f t="shared" si="245"/>
      </c>
      <c r="DC52" s="83">
        <f t="shared" si="245"/>
      </c>
      <c r="DD52" s="83">
        <f t="shared" si="245"/>
      </c>
      <c r="DE52" s="415">
        <f t="shared" si="243"/>
      </c>
      <c r="DF52" s="83">
        <f t="shared" ref="DF52:DI52" si="246">DF50+DF51</f>
      </c>
      <c r="DG52" s="83">
        <f t="shared" si="246"/>
      </c>
      <c r="DH52" s="83">
        <f t="shared" si="246"/>
      </c>
      <c r="DI52" s="415">
        <f t="shared" si="246"/>
      </c>
      <c r="DJ52" s="83">
        <f t="shared" ref="DJ52:DM52" si="247">DJ50+DJ51</f>
      </c>
      <c r="DK52" s="83">
        <f t="shared" si="247"/>
      </c>
      <c r="DL52" s="83">
        <f t="shared" si="247"/>
      </c>
      <c r="DM52" s="415">
        <f t="shared" si="247"/>
      </c>
      <c r="DN52" s="83">
        <f t="shared" ref="DN52" si="248">DN50+DN51</f>
      </c>
      <c r="DO52" s="83">
        <f t="shared" ref="DO52:DQ52" si="249">DO50+DO51</f>
      </c>
      <c r="DP52" s="83">
        <f t="shared" si="249"/>
      </c>
      <c r="DQ52" s="415">
        <f t="shared" si="249"/>
      </c>
      <c r="DR52" s="83">
        <f t="shared" ref="DR52:DU52" si="250">DR50+DR51</f>
      </c>
      <c r="DS52" s="83">
        <f t="shared" si="250"/>
      </c>
      <c r="DT52" s="83">
        <f t="shared" si="250"/>
      </c>
      <c r="DU52" s="415">
        <f t="shared" si="250"/>
      </c>
      <c r="DV52" s="83">
        <f t="shared" ref="DV52:EK52" si="251">DV50+DV51</f>
      </c>
      <c r="DW52" s="83">
        <f t="shared" si="251"/>
      </c>
      <c r="DX52" s="83">
        <f t="shared" si="251"/>
      </c>
      <c r="DY52" s="415">
        <f t="shared" si="251"/>
      </c>
      <c r="DZ52" s="83">
        <f t="shared" si="251"/>
      </c>
      <c r="EA52" s="83">
        <f t="shared" si="251"/>
      </c>
      <c r="EB52" s="83">
        <f t="shared" si="251"/>
      </c>
      <c r="EC52" s="415">
        <f t="shared" si="251"/>
      </c>
      <c r="ED52" s="83">
        <f t="shared" si="251"/>
      </c>
      <c r="EE52" s="83">
        <f t="shared" si="251"/>
      </c>
      <c r="EF52" s="83">
        <f t="shared" si="251"/>
      </c>
      <c r="EG52" s="415">
        <f t="shared" si="251"/>
      </c>
      <c r="EH52" s="83">
        <f t="shared" si="251"/>
      </c>
      <c r="EI52" s="83">
        <f t="shared" si="251"/>
      </c>
      <c r="EJ52" s="83">
        <f t="shared" si="251"/>
      </c>
      <c r="EK52" s="415">
        <f t="shared" si="251"/>
      </c>
      <c r="EL52" s="3191"/>
      <c r="EN52" s="13">
        <f t="shared" ref="EN52:FL52" si="252">EN50+EN51</f>
      </c>
      <c r="EO52" s="13">
        <f t="shared" si="252"/>
      </c>
      <c r="EP52" s="13">
        <f t="shared" si="252"/>
      </c>
      <c r="EQ52" s="13">
        <f t="shared" si="252"/>
      </c>
      <c r="ER52" s="13">
        <f t="shared" si="252"/>
      </c>
      <c r="ES52" s="13">
        <f t="shared" si="252"/>
      </c>
      <c r="ET52" s="13">
        <f t="shared" si="252"/>
      </c>
      <c r="EU52" s="13">
        <f t="shared" si="252"/>
      </c>
      <c r="EV52" s="13">
        <f t="shared" si="252"/>
      </c>
      <c r="EW52" s="13">
        <f t="shared" si="252"/>
      </c>
      <c r="EX52" s="13">
        <f t="shared" si="252"/>
      </c>
      <c r="EY52" s="13">
        <f t="shared" si="252"/>
      </c>
      <c r="EZ52" s="13">
        <f t="shared" si="252"/>
      </c>
      <c r="FA52" s="13">
        <f t="shared" si="252"/>
      </c>
      <c r="FB52" s="13">
        <f t="shared" si="252"/>
      </c>
      <c r="FC52" s="13">
        <f t="shared" si="252"/>
      </c>
      <c r="FD52" s="13">
        <f t="shared" si="252"/>
      </c>
      <c r="FE52" s="13">
        <f t="shared" si="252"/>
      </c>
      <c r="FF52" s="13">
        <f t="shared" si="252"/>
      </c>
      <c r="FG52" s="13">
        <f t="shared" si="252"/>
      </c>
      <c r="FH52" s="13">
        <f t="shared" si="252"/>
      </c>
      <c r="FI52" s="13">
        <f t="shared" si="252"/>
      </c>
      <c r="FJ52" s="13">
        <f t="shared" si="252"/>
      </c>
      <c r="FK52" s="13">
        <f t="shared" si="252"/>
      </c>
      <c r="FL52" s="13">
        <f t="shared" si="252"/>
      </c>
      <c r="FM52" s="13">
        <f t="shared" ref="FM52:FR52" si="253">FM50+FM51</f>
      </c>
      <c r="FN52" s="13">
        <f t="shared" si="253"/>
      </c>
      <c r="FO52" s="13">
        <f t="shared" si="253"/>
      </c>
      <c r="FP52" s="13">
        <f t="shared" si="253"/>
      </c>
      <c r="FQ52" s="13">
        <f t="shared" si="253"/>
      </c>
      <c r="FR52" s="13">
        <f t="shared" si="253"/>
      </c>
      <c r="FS52" s="13">
        <f t="shared" ref="FS52:FV52" si="254">FS50+FS51</f>
      </c>
      <c r="FT52" s="13">
        <f t="shared" si="254"/>
      </c>
      <c r="FU52" s="13">
        <f t="shared" si="254"/>
      </c>
      <c r="FV52" s="13">
        <f t="shared" si="254"/>
      </c>
      <c r="FW52" s="13"/>
      <c r="FX52" s="13">
        <f t="shared" ref="FX52:GI52" si="255">FX50+FX51</f>
      </c>
      <c r="FY52" s="13">
        <f t="shared" si="255"/>
      </c>
      <c r="FZ52" s="13">
        <f t="shared" si="255"/>
      </c>
      <c r="GA52" s="13">
        <f t="shared" si="255"/>
      </c>
      <c r="GB52" s="13">
        <f t="shared" si="255"/>
      </c>
      <c r="GC52" s="13">
        <f t="shared" si="255"/>
      </c>
      <c r="GD52" s="13">
        <f t="shared" si="255"/>
      </c>
      <c r="GE52" s="13">
        <f t="shared" si="255"/>
      </c>
      <c r="GF52" s="13">
        <f t="shared" si="255"/>
      </c>
      <c r="GG52" s="13">
        <f t="shared" si="255"/>
      </c>
      <c r="GH52" s="13">
        <f t="shared" si="255"/>
      </c>
      <c r="GI52" s="13">
        <f t="shared" si="255"/>
      </c>
    </row>
    <row r="53" spans="1:191">
      <c r="A53" s="1"/>
      <c r="E53" s="170"/>
      <c r="I53" s="170"/>
      <c r="M53" s="170"/>
      <c r="Q53" s="170"/>
      <c r="U53" s="170"/>
      <c r="Y53" s="170"/>
      <c r="AC53" s="170"/>
      <c r="AG53" s="170"/>
      <c r="AK53" s="170"/>
      <c r="AO53" s="170"/>
      <c r="AS53" s="170"/>
      <c r="AW53" s="170"/>
      <c r="BA53" s="170"/>
      <c r="BE53" s="170"/>
      <c r="BI53" s="170"/>
      <c r="BM53" s="170"/>
      <c r="BQ53" s="170"/>
      <c r="BU53" s="170"/>
      <c r="BY53" s="170"/>
      <c r="CC53" s="170"/>
      <c r="CG53" s="170"/>
      <c r="CK53" s="170"/>
      <c r="CO53" s="170"/>
      <c r="CP53" s="89"/>
      <c r="CS53" s="170"/>
      <c r="CT53" s="89"/>
      <c r="CW53" s="170"/>
      <c r="CX53" s="451"/>
      <c r="DA53" s="170"/>
      <c r="DB53" s="451"/>
      <c r="DC53" s="11"/>
      <c r="DD53" s="11"/>
      <c r="DE53" s="260"/>
      <c r="DI53" s="260"/>
      <c r="DM53" s="260"/>
      <c r="DQ53" s="260"/>
      <c r="DU53" s="260"/>
      <c r="DY53" s="260"/>
      <c r="EC53" s="260"/>
      <c r="EG53" s="260"/>
      <c r="EK53" s="260"/>
      <c r="EL53" s="3192"/>
    </row>
    <row r="54" spans="1:191">
      <c r="A54" s="33" t="s">
        <v>669</v>
      </c>
      <c r="B54" s="23">
        <f t="shared" ref="B54:AG54" si="256">B25+B32</f>
      </c>
      <c r="C54" s="23">
        <f t="shared" si="256"/>
      </c>
      <c r="D54" s="23">
        <f t="shared" si="256"/>
      </c>
      <c r="E54" s="175">
        <f t="shared" si="256"/>
      </c>
      <c r="F54" s="23">
        <f t="shared" si="256"/>
      </c>
      <c r="G54" s="23">
        <f t="shared" si="256"/>
      </c>
      <c r="H54" s="23">
        <f t="shared" si="256"/>
      </c>
      <c r="I54" s="175">
        <f t="shared" si="256"/>
      </c>
      <c r="J54" s="23">
        <f t="shared" si="256"/>
      </c>
      <c r="K54" s="23">
        <f t="shared" si="256"/>
      </c>
      <c r="L54" s="23">
        <f t="shared" si="256"/>
      </c>
      <c r="M54" s="175">
        <f t="shared" si="256"/>
      </c>
      <c r="N54" s="23">
        <f t="shared" si="256"/>
      </c>
      <c r="O54" s="23">
        <f t="shared" si="256"/>
      </c>
      <c r="P54" s="23">
        <f t="shared" si="256"/>
      </c>
      <c r="Q54" s="175">
        <f t="shared" si="256"/>
      </c>
      <c r="R54" s="23">
        <f t="shared" si="256"/>
      </c>
      <c r="S54" s="23">
        <f t="shared" si="256"/>
      </c>
      <c r="T54" s="23">
        <f t="shared" si="256"/>
      </c>
      <c r="U54" s="175">
        <f t="shared" si="256"/>
      </c>
      <c r="V54" s="23">
        <f t="shared" si="256"/>
      </c>
      <c r="W54" s="23">
        <f t="shared" si="256"/>
      </c>
      <c r="X54" s="23">
        <f t="shared" si="256"/>
      </c>
      <c r="Y54" s="175">
        <f t="shared" si="256"/>
      </c>
      <c r="Z54" s="23">
        <f t="shared" si="256"/>
      </c>
      <c r="AA54" s="23">
        <f t="shared" si="256"/>
      </c>
      <c r="AB54" s="23">
        <f t="shared" si="256"/>
      </c>
      <c r="AC54" s="175">
        <f t="shared" si="256"/>
      </c>
      <c r="AD54" s="23">
        <f t="shared" si="256"/>
      </c>
      <c r="AE54" s="23">
        <f t="shared" si="256"/>
      </c>
      <c r="AF54" s="23">
        <f t="shared" si="256"/>
      </c>
      <c r="AG54" s="175">
        <f t="shared" si="256"/>
      </c>
      <c r="AH54" s="23">
        <f t="shared" ref="AH54:BM54" si="257">AH25+AH32</f>
      </c>
      <c r="AI54" s="23">
        <f t="shared" si="257"/>
      </c>
      <c r="AJ54" s="23">
        <f t="shared" si="257"/>
      </c>
      <c r="AK54" s="175">
        <f t="shared" si="257"/>
      </c>
      <c r="AL54" s="23">
        <f t="shared" si="257"/>
      </c>
      <c r="AM54" s="23">
        <f t="shared" si="257"/>
      </c>
      <c r="AN54" s="23">
        <f t="shared" si="257"/>
      </c>
      <c r="AO54" s="175">
        <f t="shared" si="257"/>
      </c>
      <c r="AP54" s="23">
        <f t="shared" si="257"/>
      </c>
      <c r="AQ54" s="23">
        <f t="shared" si="257"/>
      </c>
      <c r="AR54" s="23">
        <f t="shared" si="257"/>
      </c>
      <c r="AS54" s="175">
        <f t="shared" si="257"/>
      </c>
      <c r="AT54" s="23">
        <f t="shared" si="257"/>
      </c>
      <c r="AU54" s="23">
        <f t="shared" si="257"/>
      </c>
      <c r="AV54" s="23">
        <f t="shared" si="257"/>
      </c>
      <c r="AW54" s="175">
        <f t="shared" si="257"/>
      </c>
      <c r="AX54" s="23">
        <f t="shared" si="257"/>
      </c>
      <c r="AY54" s="23">
        <f t="shared" si="257"/>
      </c>
      <c r="AZ54" s="23">
        <f t="shared" si="257"/>
      </c>
      <c r="BA54" s="175">
        <f t="shared" si="257"/>
      </c>
      <c r="BB54" s="23">
        <f t="shared" si="257"/>
      </c>
      <c r="BC54" s="23">
        <f t="shared" si="257"/>
      </c>
      <c r="BD54" s="23">
        <f t="shared" si="257"/>
      </c>
      <c r="BE54" s="175">
        <f t="shared" si="257"/>
      </c>
      <c r="BF54" s="23">
        <f t="shared" si="257"/>
      </c>
      <c r="BG54" s="23">
        <f t="shared" si="257"/>
      </c>
      <c r="BH54" s="23">
        <f t="shared" si="257"/>
      </c>
      <c r="BI54" s="175">
        <f t="shared" si="257"/>
      </c>
      <c r="BJ54" s="23">
        <f t="shared" si="257"/>
      </c>
      <c r="BK54" s="23">
        <f t="shared" si="257"/>
      </c>
      <c r="BL54" s="23">
        <f t="shared" si="257"/>
      </c>
      <c r="BM54" s="175">
        <f t="shared" si="257"/>
      </c>
      <c r="BN54" s="23">
        <f t="shared" ref="BN54:CS54" si="258">BN25+BN32</f>
      </c>
      <c r="BO54" s="23">
        <f t="shared" si="258"/>
      </c>
      <c r="BP54" s="23">
        <f t="shared" si="258"/>
      </c>
      <c r="BQ54" s="175">
        <f t="shared" si="258"/>
      </c>
      <c r="BR54" s="23">
        <f t="shared" si="258"/>
      </c>
      <c r="BS54" s="23">
        <f t="shared" si="258"/>
      </c>
      <c r="BT54" s="23">
        <f t="shared" si="258"/>
      </c>
      <c r="BU54" s="175">
        <f t="shared" si="258"/>
      </c>
      <c r="BV54" s="23">
        <f t="shared" si="258"/>
      </c>
      <c r="BW54" s="23">
        <f t="shared" si="258"/>
      </c>
      <c r="BX54" s="23">
        <f t="shared" si="258"/>
      </c>
      <c r="BY54" s="175">
        <f t="shared" si="258"/>
      </c>
      <c r="BZ54" s="23">
        <f t="shared" si="258"/>
      </c>
      <c r="CA54" s="23">
        <f t="shared" si="258"/>
      </c>
      <c r="CB54" s="23">
        <f t="shared" si="258"/>
      </c>
      <c r="CC54" s="175">
        <f t="shared" si="258"/>
      </c>
      <c r="CD54" s="23">
        <f t="shared" si="258"/>
      </c>
      <c r="CE54" s="23">
        <f t="shared" si="258"/>
      </c>
      <c r="CF54" s="23">
        <f t="shared" si="258"/>
      </c>
      <c r="CG54" s="175">
        <f t="shared" si="258"/>
      </c>
      <c r="CH54" s="23">
        <f t="shared" si="258"/>
      </c>
      <c r="CI54" s="23">
        <f t="shared" si="258"/>
      </c>
      <c r="CJ54" s="23">
        <f t="shared" si="258"/>
      </c>
      <c r="CK54" s="175">
        <f t="shared" si="258"/>
      </c>
      <c r="CL54" s="23">
        <f t="shared" si="258"/>
      </c>
      <c r="CM54" s="23">
        <f t="shared" si="258"/>
      </c>
      <c r="CN54" s="23">
        <f t="shared" si="258"/>
      </c>
      <c r="CO54" s="175">
        <f t="shared" si="258"/>
      </c>
      <c r="CP54" s="90">
        <f t="shared" si="258"/>
      </c>
      <c r="CQ54" s="23">
        <f t="shared" si="258"/>
      </c>
      <c r="CR54" s="23">
        <f t="shared" si="258"/>
      </c>
      <c r="CS54" s="175">
        <f t="shared" si="258"/>
      </c>
      <c r="CT54" s="90">
        <f t="shared" ref="CT54:DU54" si="259">CT25+CT32</f>
      </c>
      <c r="CU54" s="23">
        <f t="shared" si="259"/>
      </c>
      <c r="CV54" s="23">
        <f t="shared" si="259"/>
      </c>
      <c r="CW54" s="175">
        <f t="shared" si="259"/>
      </c>
      <c r="CX54" s="470">
        <f t="shared" si="259"/>
      </c>
      <c r="CY54" s="23">
        <f t="shared" si="259"/>
      </c>
      <c r="CZ54" s="23">
        <f t="shared" si="259"/>
      </c>
      <c r="DA54" s="175">
        <f t="shared" si="259"/>
      </c>
      <c r="DB54" s="470">
        <f t="shared" si="259"/>
      </c>
      <c r="DC54" s="23">
        <f t="shared" si="259"/>
      </c>
      <c r="DD54" s="23">
        <f t="shared" si="259"/>
      </c>
      <c r="DE54" s="271">
        <f t="shared" si="259"/>
      </c>
      <c r="DF54" s="90">
        <f t="shared" si="259"/>
      </c>
      <c r="DG54" s="90">
        <f t="shared" si="259"/>
      </c>
      <c r="DH54" s="90">
        <f t="shared" si="259"/>
      </c>
      <c r="DI54" s="271">
        <f t="shared" si="259"/>
      </c>
      <c r="DJ54" s="90">
        <f t="shared" ref="DJ54:DM54" si="260">DJ25+DJ32</f>
      </c>
      <c r="DK54" s="90">
        <f t="shared" si="260"/>
      </c>
      <c r="DL54" s="90">
        <f t="shared" si="260"/>
      </c>
      <c r="DM54" s="271">
        <f t="shared" si="260"/>
      </c>
      <c r="DN54" s="90">
        <f t="shared" ref="DN54" si="261">DN25+DN32</f>
      </c>
      <c r="DO54" s="90">
        <f t="shared" si="259"/>
      </c>
      <c r="DP54" s="90">
        <f t="shared" si="259"/>
      </c>
      <c r="DQ54" s="271">
        <f t="shared" si="259"/>
      </c>
      <c r="DR54" s="90">
        <f t="shared" si="259"/>
      </c>
      <c r="DS54" s="90">
        <f t="shared" si="259"/>
      </c>
      <c r="DT54" s="90">
        <f t="shared" si="259"/>
      </c>
      <c r="DU54" s="271">
        <f t="shared" si="259"/>
      </c>
      <c r="DV54" s="90">
        <f t="shared" ref="DV54:EK54" si="262">DV25+DV32</f>
      </c>
      <c r="DW54" s="90">
        <f t="shared" si="262"/>
      </c>
      <c r="DX54" s="90">
        <f t="shared" si="262"/>
      </c>
      <c r="DY54" s="271">
        <f t="shared" si="262"/>
      </c>
      <c r="DZ54" s="90">
        <f t="shared" si="262"/>
      </c>
      <c r="EA54" s="90">
        <f t="shared" si="262"/>
      </c>
      <c r="EB54" s="90">
        <f t="shared" si="262"/>
      </c>
      <c r="EC54" s="271">
        <f t="shared" si="262"/>
      </c>
      <c r="ED54" s="90">
        <f t="shared" si="262"/>
      </c>
      <c r="EE54" s="90">
        <f t="shared" si="262"/>
      </c>
      <c r="EF54" s="90">
        <f t="shared" si="262"/>
      </c>
      <c r="EG54" s="271">
        <f t="shared" si="262"/>
      </c>
      <c r="EH54" s="90">
        <f t="shared" si="262"/>
      </c>
      <c r="EI54" s="90">
        <f t="shared" si="262"/>
      </c>
      <c r="EJ54" s="90">
        <f t="shared" si="262"/>
      </c>
      <c r="EK54" s="271">
        <f t="shared" si="262"/>
      </c>
      <c r="EL54" s="3192"/>
      <c r="EN54" s="23">
        <f t="shared" ref="EN54:FR54" si="263">EN25+EN32</f>
      </c>
      <c r="EO54" s="23">
        <f t="shared" si="263"/>
      </c>
      <c r="EP54" s="23">
        <f t="shared" si="263"/>
      </c>
      <c r="EQ54" s="23">
        <f t="shared" si="263"/>
      </c>
      <c r="ER54" s="23">
        <f t="shared" si="263"/>
      </c>
      <c r="ES54" s="23">
        <f t="shared" si="263"/>
      </c>
      <c r="ET54" s="23">
        <f t="shared" si="263"/>
      </c>
      <c r="EU54" s="23">
        <f t="shared" si="263"/>
      </c>
      <c r="EV54" s="23">
        <f t="shared" si="263"/>
      </c>
      <c r="EW54" s="23">
        <f t="shared" si="263"/>
      </c>
      <c r="EX54" s="23">
        <f t="shared" si="263"/>
      </c>
      <c r="EY54" s="23">
        <f t="shared" si="263"/>
      </c>
      <c r="EZ54" s="23">
        <f t="shared" si="263"/>
      </c>
      <c r="FA54" s="23">
        <f t="shared" si="263"/>
      </c>
      <c r="FB54" s="23">
        <f t="shared" si="263"/>
      </c>
      <c r="FC54" s="23">
        <f t="shared" si="263"/>
      </c>
      <c r="FD54" s="23">
        <f t="shared" si="263"/>
      </c>
      <c r="FE54" s="23">
        <f t="shared" si="263"/>
      </c>
      <c r="FF54" s="23">
        <f t="shared" si="263"/>
      </c>
      <c r="FG54" s="23">
        <f t="shared" si="263"/>
      </c>
      <c r="FH54" s="23">
        <f t="shared" si="263"/>
      </c>
      <c r="FI54" s="23">
        <f t="shared" si="263"/>
      </c>
      <c r="FJ54" s="23">
        <f t="shared" si="263"/>
      </c>
      <c r="FK54" s="23">
        <f t="shared" si="263"/>
      </c>
      <c r="FL54" s="23">
        <f t="shared" si="263"/>
      </c>
      <c r="FM54" s="23">
        <f t="shared" si="263"/>
      </c>
      <c r="FN54" s="23">
        <f t="shared" si="263"/>
      </c>
      <c r="FO54" s="23">
        <f t="shared" si="263"/>
      </c>
      <c r="FP54" s="23">
        <f t="shared" si="263"/>
      </c>
      <c r="FQ54" s="23">
        <f t="shared" si="263"/>
      </c>
      <c r="FR54" s="23">
        <f t="shared" si="263"/>
      </c>
      <c r="FS54" s="23">
        <f t="shared" ref="FS54:FV54" si="264">FS25+FS32</f>
      </c>
      <c r="FT54" s="23">
        <f t="shared" si="264"/>
      </c>
      <c r="FU54" s="23">
        <f t="shared" si="264"/>
      </c>
      <c r="FV54" s="23">
        <f t="shared" si="264"/>
      </c>
      <c r="FW54" s="23"/>
      <c r="FX54" s="23">
        <f t="shared" ref="FX54:GI54" si="265">FX25+FX32</f>
      </c>
      <c r="FY54" s="23">
        <f t="shared" si="265"/>
      </c>
      <c r="FZ54" s="23">
        <f t="shared" si="265"/>
      </c>
      <c r="GA54" s="23">
        <f t="shared" si="265"/>
      </c>
      <c r="GB54" s="23">
        <f t="shared" si="265"/>
      </c>
      <c r="GC54" s="23">
        <f t="shared" si="265"/>
      </c>
      <c r="GD54" s="23">
        <f t="shared" si="265"/>
      </c>
      <c r="GE54" s="23">
        <f t="shared" si="265"/>
      </c>
      <c r="GF54" s="23">
        <f t="shared" si="265"/>
      </c>
      <c r="GG54" s="23">
        <f t="shared" si="265"/>
      </c>
      <c r="GH54" s="23">
        <f t="shared" si="265"/>
      </c>
      <c r="GI54" s="23">
        <f t="shared" si="265"/>
      </c>
    </row>
    <row r="55" spans="1:191">
      <c r="A55" s="33" t="s">
        <v>670</v>
      </c>
      <c r="B55" s="44">
        <f>B54/'Income Statement'!B34</f>
      </c>
      <c r="C55" s="44">
        <f>C54/'Income Statement'!C34</f>
      </c>
      <c r="D55" s="44">
        <f>D54/'Income Statement'!D34</f>
      </c>
      <c r="E55" s="178">
        <f>E54/'Income Statement'!E34</f>
      </c>
      <c r="F55" s="44">
        <f>F54/'Income Statement'!F34</f>
      </c>
      <c r="G55" s="44">
        <f>G54/'Income Statement'!G34</f>
      </c>
      <c r="H55" s="44">
        <f>H54/'Income Statement'!H34</f>
      </c>
      <c r="I55" s="178">
        <f>I54/'Income Statement'!I34</f>
      </c>
      <c r="J55" s="44">
        <f>J54/'Income Statement'!J34</f>
      </c>
      <c r="K55" s="44">
        <f>K54/'Income Statement'!K34</f>
      </c>
      <c r="L55" s="44">
        <f>L54/'Income Statement'!L34</f>
      </c>
      <c r="M55" s="178">
        <f>M54/'Income Statement'!M34</f>
      </c>
      <c r="N55" s="44">
        <f>N54/'Income Statement'!N34</f>
      </c>
      <c r="O55" s="44">
        <f>O54/'Income Statement'!O34</f>
      </c>
      <c r="P55" s="44">
        <f>P54/'Income Statement'!P34</f>
      </c>
      <c r="Q55" s="178">
        <f>Q54/'Income Statement'!Q34</f>
      </c>
      <c r="R55" s="44">
        <f>R54/'Income Statement'!R34</f>
      </c>
      <c r="S55" s="44">
        <f>S54/'Income Statement'!S34</f>
      </c>
      <c r="T55" s="44">
        <f>T54/'Income Statement'!T34</f>
      </c>
      <c r="U55" s="178">
        <f>U54/'Income Statement'!U34</f>
      </c>
      <c r="V55" s="44">
        <f>V54/'Income Statement'!V34</f>
      </c>
      <c r="W55" s="44">
        <f>W54/'Income Statement'!W34</f>
      </c>
      <c r="X55" s="44">
        <f>X54/'Income Statement'!X34</f>
      </c>
      <c r="Y55" s="178">
        <f>Y54/'Income Statement'!Y34</f>
      </c>
      <c r="Z55" s="44">
        <f>Z54/'Income Statement'!Z34</f>
      </c>
      <c r="AA55" s="44">
        <f>AA54/'Income Statement'!AA34</f>
      </c>
      <c r="AB55" s="44">
        <f>AB54/'Income Statement'!AB34</f>
      </c>
      <c r="AC55" s="178">
        <f>AC54/'Income Statement'!AC34</f>
      </c>
      <c r="AD55" s="44">
        <f>AD54/'Income Statement'!AD34</f>
      </c>
      <c r="AE55" s="44">
        <f>AE54/'Income Statement'!AE34</f>
      </c>
      <c r="AF55" s="44">
        <f>AF54/'Income Statement'!AF34</f>
      </c>
      <c r="AG55" s="178">
        <f>AG54/'Income Statement'!AG34</f>
      </c>
      <c r="AH55" s="44">
        <f>AH54/'Income Statement'!AH34</f>
      </c>
      <c r="AI55" s="44">
        <f>AI54/'Income Statement'!AI34</f>
      </c>
      <c r="AJ55" s="44">
        <f>AJ54/'Income Statement'!AJ34</f>
      </c>
      <c r="AK55" s="178">
        <f>AK54/'Income Statement'!AK34</f>
      </c>
      <c r="AL55" s="44">
        <f>AL54/'Income Statement'!AL34</f>
      </c>
      <c r="AM55" s="44">
        <f>AM54/'Income Statement'!AM34</f>
      </c>
      <c r="AN55" s="44">
        <f>AN54/'Income Statement'!AN34</f>
      </c>
      <c r="AO55" s="178">
        <f>AO54/'Income Statement'!AO34</f>
      </c>
      <c r="AP55" s="44">
        <f>AP54/'Income Statement'!AP34</f>
      </c>
      <c r="AQ55" s="44">
        <f>AQ54/'Income Statement'!AQ34</f>
      </c>
      <c r="AR55" s="44">
        <f>AR54/'Income Statement'!AR34</f>
      </c>
      <c r="AS55" s="178">
        <f>AS54/'Income Statement'!AS34</f>
      </c>
      <c r="AT55" s="44">
        <f>AT54/'Income Statement'!AT34</f>
      </c>
      <c r="AU55" s="44">
        <f>AU54/'Income Statement'!AU34</f>
      </c>
      <c r="AV55" s="44">
        <f>AV54/'Income Statement'!AV34</f>
      </c>
      <c r="AW55" s="178">
        <f>AW54/'Income Statement'!AW34</f>
      </c>
      <c r="AX55" s="44">
        <f>AX54/'Income Statement'!AX34</f>
      </c>
      <c r="AY55" s="44">
        <f>AY54/'Income Statement'!AY34</f>
      </c>
      <c r="AZ55" s="44">
        <f>AZ54/'Income Statement'!AZ34</f>
      </c>
      <c r="BA55" s="178">
        <f>BA54/'Income Statement'!BA34</f>
      </c>
      <c r="BB55" s="44">
        <f>BB54/'Income Statement'!BB34</f>
      </c>
      <c r="BC55" s="44">
        <f>BC54/'Income Statement'!BC34</f>
      </c>
      <c r="BD55" s="44">
        <f>BD54/'Income Statement'!BD34</f>
      </c>
      <c r="BE55" s="178">
        <f>BE54/'Income Statement'!BE34</f>
      </c>
      <c r="BF55" s="44">
        <f>BF54/'Income Statement'!BF34</f>
      </c>
      <c r="BG55" s="44">
        <f>BG54/'Income Statement'!BG34</f>
      </c>
      <c r="BH55" s="44">
        <f>BH54/'Income Statement'!BH34</f>
      </c>
      <c r="BI55" s="178">
        <f>BI54/'Income Statement'!BI34</f>
      </c>
      <c r="BJ55" s="44">
        <f>BJ54/'Income Statement'!BJ34</f>
      </c>
      <c r="BK55" s="44">
        <f>BK54/'Income Statement'!BK34</f>
      </c>
      <c r="BL55" s="44">
        <f>BL54/'Income Statement'!BL34</f>
      </c>
      <c r="BM55" s="178">
        <f>BM54/'Income Statement'!BM34</f>
      </c>
      <c r="BN55" s="44">
        <f>BN54/'Income Statement'!BN34</f>
      </c>
      <c r="BO55" s="44">
        <f>BO54/'Income Statement'!BO34</f>
      </c>
      <c r="BP55" s="44">
        <f>BP54/'Income Statement'!BP34</f>
      </c>
      <c r="BQ55" s="178">
        <f>BQ54/'Income Statement'!BQ34</f>
      </c>
      <c r="BR55" s="44">
        <f>BR54/'Income Statement'!BR34</f>
      </c>
      <c r="BS55" s="44">
        <f>BS54/'Income Statement'!BS34</f>
      </c>
      <c r="BT55" s="44">
        <f>BT54/'Income Statement'!BT34</f>
      </c>
      <c r="BU55" s="178">
        <f>BU54/'Income Statement'!BU34</f>
      </c>
      <c r="BV55" s="44">
        <f>BV54/'Income Statement'!BV34</f>
      </c>
      <c r="BW55" s="44">
        <f>BW54/'Income Statement'!BW34</f>
      </c>
      <c r="BX55" s="44">
        <f>BX54/'Income Statement'!BX34</f>
      </c>
      <c r="BY55" s="178">
        <f>BY54/'Income Statement'!BY34</f>
      </c>
      <c r="BZ55" s="44">
        <f>BZ54/'Income Statement'!BZ34</f>
      </c>
      <c r="CA55" s="44">
        <f>CA54/'Income Statement'!CA34</f>
      </c>
      <c r="CB55" s="44">
        <f>CB54/'Income Statement'!CB34</f>
      </c>
      <c r="CC55" s="178">
        <f>CC54/'Income Statement'!CC34</f>
      </c>
      <c r="CD55" s="44">
        <f>CD54/'Income Statement'!CD34</f>
      </c>
      <c r="CE55" s="44">
        <f>CE54/'Income Statement'!CE34</f>
      </c>
      <c r="CF55" s="44">
        <f>CF54/'Income Statement'!CF34</f>
      </c>
      <c r="CG55" s="178">
        <f>CG54/'Income Statement'!CG34</f>
      </c>
      <c r="CH55" s="44">
        <f>CH54/'Income Statement'!CH34</f>
      </c>
      <c r="CI55" s="44">
        <f>CI54/'Income Statement'!CI34</f>
      </c>
      <c r="CJ55" s="44">
        <f>CJ54/'Income Statement'!CJ34</f>
      </c>
      <c r="CK55" s="178">
        <f>CK54/'Income Statement'!CK34</f>
      </c>
      <c r="CL55" s="44">
        <f>CL54/'Income Statement'!CL34</f>
      </c>
      <c r="CM55" s="44">
        <f>CM54/'Income Statement'!CM34</f>
      </c>
      <c r="CN55" s="44">
        <f>CN54/'Income Statement'!CN34</f>
      </c>
      <c r="CO55" s="178">
        <f>CO54/'Income Statement'!CO34</f>
      </c>
      <c r="CP55" s="360">
        <f>CP54/'Income Statement'!CP34</f>
      </c>
      <c r="CQ55" s="44">
        <f>CQ54/'Income Statement'!CQ34</f>
      </c>
      <c r="CR55" s="44">
        <f>CR54/'Income Statement'!CR34</f>
      </c>
      <c r="CS55" s="178">
        <f>CS54/'Income Statement'!CS34</f>
      </c>
      <c r="CT55" s="360">
        <f>CT54/'Income Statement'!CT34</f>
      </c>
      <c r="CU55" s="44">
        <f>CU54/'Income Statement'!CU34</f>
      </c>
      <c r="CV55" s="44">
        <f>CV54/'Income Statement'!CV34</f>
      </c>
      <c r="CW55" s="178">
        <f>CW54/'Income Statement'!CW34</f>
      </c>
      <c r="CX55" s="469">
        <f>CX54/'Income Statement'!CX34</f>
      </c>
      <c r="CY55" s="44">
        <f>CY54/'Income Statement'!CY34</f>
      </c>
      <c r="CZ55" s="44">
        <f>CZ54/'Income Statement'!CZ34</f>
      </c>
      <c r="DA55" s="178">
        <f>DA54/'Income Statement'!DA34</f>
      </c>
      <c r="DB55" s="469">
        <f>DB54/'Income Statement'!DB34</f>
      </c>
      <c r="DC55" s="44">
        <f>DC54/'Income Statement'!DC34</f>
      </c>
      <c r="DD55" s="44">
        <f>DD54/'Income Statement'!DD34</f>
      </c>
      <c r="DE55" s="417">
        <f>DE54/'Income Statement'!DE34</f>
      </c>
      <c r="DF55" s="360">
        <f>DF54/'Income Statement'!DF34</f>
      </c>
      <c r="DG55" s="360">
        <f>DG54/'Income Statement'!DG34</f>
      </c>
      <c r="DH55" s="360">
        <f>DH54/'Income Statement'!DH34</f>
      </c>
      <c r="DI55" s="417">
        <f>DI54/'Income Statement'!DI34</f>
      </c>
      <c r="DJ55" s="360">
        <f>DJ54/'Income Statement'!DJ34</f>
      </c>
      <c r="DK55" s="360">
        <f>DK54/'Income Statement'!DK34</f>
      </c>
      <c r="DL55" s="360">
        <f>DL54/'Income Statement'!DL34</f>
      </c>
      <c r="DM55" s="417">
        <f>DM54/'Income Statement'!DM34</f>
      </c>
      <c r="DN55" s="360">
        <f>DN54/'Income Statement'!DN34</f>
      </c>
      <c r="DO55" s="360">
        <f>DO54/'Income Statement'!DO34</f>
      </c>
      <c r="DP55" s="360">
        <f>DP54/'Income Statement'!DP34</f>
      </c>
      <c r="DQ55" s="417">
        <f>DQ54/'Income Statement'!DQ34</f>
      </c>
      <c r="DR55" s="360">
        <f>DR54/'Income Statement'!DR34</f>
      </c>
      <c r="DS55" s="360">
        <f>DS54/'Income Statement'!DS34</f>
      </c>
      <c r="DT55" s="360">
        <f>DT54/'Income Statement'!DT34</f>
      </c>
      <c r="DU55" s="417">
        <f>DU54/'Income Statement'!DU34</f>
      </c>
      <c r="DV55" s="360">
        <f>DV54/'Income Statement'!DV34</f>
      </c>
      <c r="DW55" s="360">
        <f>DW54/'Income Statement'!DW34</f>
      </c>
      <c r="DX55" s="360">
        <f>DX54/'Income Statement'!DX34</f>
      </c>
      <c r="DY55" s="417">
        <f>DY54/'Income Statement'!DY34</f>
      </c>
      <c r="DZ55" s="360">
        <f>DZ54/'Income Statement'!DZ34</f>
      </c>
      <c r="EA55" s="360">
        <f>EA54/'Income Statement'!EA34</f>
      </c>
      <c r="EB55" s="360">
        <f>EB54/'Income Statement'!EB34</f>
      </c>
      <c r="EC55" s="417">
        <f>EC54/'Income Statement'!EC34</f>
      </c>
      <c r="ED55" s="360">
        <f>ED54/'Income Statement'!ED34</f>
      </c>
      <c r="EE55" s="360">
        <f>EE54/'Income Statement'!EE34</f>
      </c>
      <c r="EF55" s="360">
        <f>EF54/'Income Statement'!EF34</f>
      </c>
      <c r="EG55" s="417">
        <f>EG54/'Income Statement'!EG34</f>
      </c>
      <c r="EH55" s="360">
        <f>EH54/'Income Statement'!EH34</f>
      </c>
      <c r="EI55" s="360">
        <f>EI54/'Income Statement'!EI34</f>
      </c>
      <c r="EJ55" s="360">
        <f>EJ54/'Income Statement'!EJ34</f>
      </c>
      <c r="EK55" s="417">
        <f>EK54/'Income Statement'!EK34</f>
      </c>
      <c r="EL55" s="3192"/>
      <c r="EN55" s="44">
        <f>EN54/'Income Statement'!EM34</f>
      </c>
      <c r="EO55" s="44">
        <f>EO54/'Income Statement'!EN34</f>
      </c>
      <c r="EP55" s="44">
        <f>EP54/'Income Statement'!EO34</f>
      </c>
      <c r="EQ55" s="44">
        <f>EQ54/'Income Statement'!EP34</f>
      </c>
      <c r="ER55" s="44">
        <f>ER54/'Income Statement'!EQ34</f>
      </c>
      <c r="ES55" s="44">
        <f>ES54/'Income Statement'!ER34</f>
      </c>
      <c r="ET55" s="44">
        <f>ET54/'Income Statement'!ES34</f>
      </c>
      <c r="EU55" s="44">
        <f>EU54/'Income Statement'!ET34</f>
      </c>
      <c r="EV55" s="44">
        <f>EV54/'Income Statement'!EU34</f>
      </c>
      <c r="EW55" s="44">
        <f>EW54/'Income Statement'!EV34</f>
      </c>
      <c r="EX55" s="44">
        <f>EX54/'Income Statement'!EW34</f>
      </c>
      <c r="EY55" s="44">
        <f>EY54/'Income Statement'!EX34</f>
      </c>
      <c r="EZ55" s="44">
        <f>EZ54/'Income Statement'!EY34</f>
      </c>
      <c r="FA55" s="44">
        <f>FA54/'Income Statement'!EZ34</f>
      </c>
      <c r="FB55" s="44">
        <f>FB54/'Income Statement'!FA34</f>
      </c>
      <c r="FC55" s="44">
        <f>FC54/'Income Statement'!FB34</f>
      </c>
      <c r="FD55" s="44">
        <f>FD54/'Income Statement'!FC34</f>
      </c>
      <c r="FE55" s="44">
        <f>FE54/'Income Statement'!FD34</f>
      </c>
      <c r="FF55" s="44">
        <f>FF54/'Income Statement'!FE34</f>
      </c>
      <c r="FG55" s="44">
        <f>FG54/'Income Statement'!FF34</f>
      </c>
      <c r="FH55" s="44">
        <f>FH54/'Income Statement'!FG34</f>
      </c>
      <c r="FI55" s="44">
        <f>FI54/'Income Statement'!FH34</f>
      </c>
      <c r="FJ55" s="44">
        <f>FJ54/'Income Statement'!FI34</f>
      </c>
      <c r="FK55" s="44">
        <f>FK54/'Income Statement'!FJ34</f>
      </c>
      <c r="FL55" s="44">
        <f>FL54/'Income Statement'!FK34</f>
      </c>
      <c r="FM55" s="44">
        <f>FM54/'Income Statement'!FL34</f>
      </c>
      <c r="FN55" s="44">
        <f>FN54/'Income Statement'!FM34</f>
      </c>
      <c r="FO55" s="44">
        <f>FO54/'Income Statement'!FN34</f>
      </c>
      <c r="FP55" s="44">
        <f>FP54/'Income Statement'!FO34</f>
      </c>
      <c r="FQ55" s="44">
        <f>FQ54/'Income Statement'!FP34</f>
      </c>
      <c r="FR55" s="44">
        <f>FR54/'Income Statement'!FQ34</f>
      </c>
      <c r="FS55" s="44">
        <f>FS54/'Income Statement'!FR34</f>
      </c>
      <c r="FT55" s="44">
        <f>FT54/'Income Statement'!FS34</f>
      </c>
      <c r="FU55" s="44">
        <f>FU54/'Income Statement'!FT34</f>
      </c>
      <c r="FV55" s="44">
        <f>FV54/'Income Statement'!FU34</f>
      </c>
      <c r="FW55" s="44"/>
      <c r="FX55" s="44">
        <f>+FX54/'Income Statement'!GS34</f>
      </c>
      <c r="FY55" s="44">
        <f>+FY54/'Income Statement'!GT34</f>
      </c>
      <c r="FZ55" s="44">
        <f>+FZ54/'Income Statement'!GU34</f>
      </c>
      <c r="GA55" s="44">
        <f>+GA54/'Income Statement'!GV34</f>
      </c>
      <c r="GB55" s="44">
        <f>+GB54/'Income Statement'!GW34</f>
      </c>
      <c r="GC55" s="44">
        <f>+GC54/'Income Statement'!GX34</f>
      </c>
      <c r="GD55" s="44">
        <f>+GD54/'Income Statement'!GY34</f>
      </c>
      <c r="GE55" s="44">
        <f>+GE54/'Income Statement'!GZ34</f>
      </c>
      <c r="GF55" s="44">
        <f>+GF54/'Income Statement'!HA34</f>
      </c>
      <c r="GG55" s="44">
        <f>+GG54/'Income Statement'!HB34</f>
      </c>
      <c r="GH55" s="44">
        <f>+GH54/'Income Statement'!HC34</f>
      </c>
      <c r="GI55" s="44">
        <f>+GI54/'Income Statement'!HD34</f>
      </c>
    </row>
    <row r="56" spans="1:191">
      <c r="E56" s="170"/>
      <c r="I56" s="170"/>
      <c r="M56" s="170"/>
      <c r="Q56" s="170"/>
      <c r="U56" s="170"/>
      <c r="Y56" s="170"/>
      <c r="AC56" s="170"/>
      <c r="AG56" s="170"/>
      <c r="AK56" s="170"/>
      <c r="AO56" s="170"/>
      <c r="AS56" s="170"/>
      <c r="AW56" s="170"/>
      <c r="BA56" s="170"/>
      <c r="BE56" s="170"/>
      <c r="BI56" s="170"/>
      <c r="BM56" s="170"/>
      <c r="BQ56" s="170"/>
      <c r="BU56" s="170"/>
      <c r="BY56" s="170"/>
      <c r="CC56" s="170"/>
      <c r="CG56" s="170"/>
      <c r="CH56" s="58"/>
      <c r="CK56" s="170"/>
      <c r="CL56" s="58"/>
      <c r="CO56" s="170"/>
      <c r="CP56" s="58"/>
      <c r="CS56" s="170"/>
      <c r="CT56" s="58"/>
      <c r="CW56" s="170"/>
      <c r="CX56" s="451"/>
      <c r="DA56" s="170"/>
      <c r="DB56" s="451"/>
      <c r="DC56" s="11"/>
      <c r="DD56" s="11"/>
      <c r="DE56" s="260"/>
      <c r="DF56" s="88"/>
      <c r="DI56" s="260"/>
      <c r="DJ56" s="88"/>
      <c r="DM56" s="260"/>
      <c r="DN56" s="88"/>
      <c r="DQ56" s="260"/>
      <c r="DR56" s="88"/>
      <c r="DU56" s="260"/>
      <c r="DV56" s="88"/>
      <c r="DY56" s="260"/>
      <c r="DZ56" s="88"/>
      <c r="EC56" s="260"/>
      <c r="ED56" s="88"/>
      <c r="EG56" s="260"/>
      <c r="EH56" s="88"/>
      <c r="EK56" s="260"/>
      <c r="EL56" s="3192"/>
      <c r="FN56" s="17"/>
      <c r="FO56" s="17"/>
      <c r="FP56" s="17"/>
      <c r="FQ56" s="17"/>
      <c r="FR56" s="17"/>
      <c r="FS56" s="17"/>
      <c r="FT56" s="17"/>
      <c r="FU56" s="17"/>
      <c r="FV56" s="17"/>
    </row>
    <row r="57" spans="1:191" s="82" customFormat="1">
      <c r="A57" s="82" t="s">
        <v>1097</v>
      </c>
      <c r="E57" s="236"/>
      <c r="I57" s="236"/>
      <c r="M57" s="236"/>
      <c r="Q57" s="236"/>
      <c r="U57" s="236"/>
      <c r="Y57" s="236"/>
      <c r="AC57" s="236"/>
      <c r="AG57" s="236"/>
      <c r="AK57" s="236"/>
      <c r="AO57" s="236"/>
      <c r="AS57" s="236"/>
      <c r="AW57" s="236"/>
      <c r="BA57" s="236"/>
      <c r="BE57" s="236"/>
      <c r="BI57" s="236"/>
      <c r="BM57" s="236"/>
      <c r="BQ57" s="236"/>
      <c r="BU57" s="236"/>
      <c r="BY57" s="236"/>
      <c r="CC57" s="236"/>
      <c r="CD57" s="393">
        <f>'Cash Flow Statement'!CD52-'Balance Sheet'!CD11</f>
      </c>
      <c r="CE57" s="393">
        <f>'Cash Flow Statement'!CE52-'Balance Sheet'!CE11</f>
      </c>
      <c r="CF57" s="394">
        <f>'Cash Flow Statement'!CF52-'Balance Sheet'!CF11</f>
      </c>
      <c r="CG57" s="395">
        <f>'Cash Flow Statement'!CG52-'Balance Sheet'!CG11</f>
      </c>
      <c r="CH57" s="393">
        <f>'Cash Flow Statement'!CH52-'Balance Sheet'!CH11</f>
      </c>
      <c r="CI57" s="393">
        <f>'Cash Flow Statement'!CI52-'Balance Sheet'!CI11</f>
      </c>
      <c r="CJ57" s="393">
        <f>'Cash Flow Statement'!CJ52-'Balance Sheet'!CJ11</f>
      </c>
      <c r="CK57" s="395">
        <f>'Cash Flow Statement'!CK52-'Balance Sheet'!CK11</f>
      </c>
      <c r="CL57" s="393">
        <f>'Cash Flow Statement'!CL52-'Balance Sheet'!CL11</f>
      </c>
      <c r="CM57" s="393">
        <f>'Cash Flow Statement'!CM52-'Balance Sheet'!CM11</f>
      </c>
      <c r="CN57" s="393">
        <f>'Cash Flow Statement'!CN52-'Balance Sheet'!CN11</f>
      </c>
      <c r="CO57" s="395">
        <f>'Cash Flow Statement'!CO52-'Balance Sheet'!CO11</f>
      </c>
      <c r="CP57" s="394">
        <f>'Cash Flow Statement'!CP52-'Balance Sheet'!CP11</f>
      </c>
      <c r="CQ57" s="396">
        <f>'Cash Flow Statement'!CQ52-'Balance Sheet'!CQ11</f>
      </c>
      <c r="CR57" s="393">
        <f>'Cash Flow Statement'!CR52-'Balance Sheet'!CR11</f>
      </c>
      <c r="CS57" s="398">
        <f>'Cash Flow Statement'!CS52-'Balance Sheet'!CS11</f>
      </c>
      <c r="CT57" s="394">
        <f>'Cash Flow Statement'!CT52-'Balance Sheet'!CT11</f>
      </c>
      <c r="CU57" s="396">
        <f>'Cash Flow Statement'!CU52-'Balance Sheet'!CU11</f>
      </c>
      <c r="CV57" s="396">
        <f>'Cash Flow Statement'!CV52-'Balance Sheet'!CV11</f>
      </c>
      <c r="CW57" s="398">
        <f>'Cash Flow Statement'!CW52-'Balance Sheet'!CW11</f>
      </c>
      <c r="CX57" s="480">
        <f>'Cash Flow Statement'!CX52-'Balance Sheet'!CX11</f>
      </c>
      <c r="CY57" s="396">
        <f>'Cash Flow Statement'!CY52-'Balance Sheet'!CY11</f>
      </c>
      <c r="CZ57" s="396">
        <f>'Cash Flow Statement'!CZ52-'Balance Sheet'!CZ11</f>
      </c>
      <c r="DA57" s="398">
        <f>'Cash Flow Statement'!DA52-'Balance Sheet'!DA11</f>
      </c>
      <c r="DB57" s="480">
        <f>'Cash Flow Statement'!DB52-'Balance Sheet'!DB11</f>
      </c>
      <c r="DC57" s="396">
        <f>'Cash Flow Statement'!DC52-'Balance Sheet'!DC11</f>
      </c>
      <c r="DD57" s="396">
        <f>'Cash Flow Statement'!DD52-'Balance Sheet'!DD11</f>
      </c>
      <c r="DE57" s="398">
        <f>'Cash Flow Statement'!DE52-'Balance Sheet'!DE11</f>
      </c>
      <c r="DF57" s="396">
        <f>'Cash Flow Statement'!DF52-'Balance Sheet'!DF11</f>
      </c>
      <c r="DG57" s="396">
        <f>'Cash Flow Statement'!DG52-'Balance Sheet'!DG11</f>
      </c>
      <c r="DH57" s="396">
        <f>'Cash Flow Statement'!DH52-'Balance Sheet'!DH11</f>
      </c>
      <c r="DI57" s="398">
        <f>'Cash Flow Statement'!DI52-'Balance Sheet'!DI11</f>
      </c>
      <c r="DJ57" s="396">
        <f>'Cash Flow Statement'!DJ52-'Balance Sheet'!DJ11</f>
      </c>
      <c r="DK57" s="396">
        <f>'Cash Flow Statement'!DK52-'Balance Sheet'!DK11</f>
      </c>
      <c r="DL57" s="396">
        <f>'Cash Flow Statement'!DL52-'Balance Sheet'!DL11</f>
      </c>
      <c r="DM57" s="398">
        <f>'Cash Flow Statement'!DM52-'Balance Sheet'!DM11</f>
      </c>
      <c r="DN57" s="396">
        <f>'Cash Flow Statement'!DN52-'Balance Sheet'!DN11</f>
      </c>
      <c r="DO57" s="396">
        <f>'Cash Flow Statement'!DO52-'Balance Sheet'!DO11</f>
      </c>
      <c r="DP57" s="396">
        <f>'Cash Flow Statement'!DP52-'Balance Sheet'!DP11</f>
      </c>
      <c r="DQ57" s="1189">
        <f t="shared" ref="DQ57" si="266">DP57</f>
      </c>
      <c r="DR57" s="1190">
        <f t="shared" ref="DR57" si="267">DQ57</f>
      </c>
      <c r="DS57" s="1190">
        <f t="shared" ref="DS57" si="268">DR57</f>
      </c>
      <c r="DT57" s="1190">
        <f t="shared" ref="DT57" si="269">DS57</f>
      </c>
      <c r="DU57" s="1189">
        <f t="shared" ref="DU57" si="270">DT57</f>
      </c>
      <c r="DV57" s="1190">
        <f t="shared" ref="DV57" si="271">DU57</f>
      </c>
      <c r="DW57" s="1190">
        <f t="shared" ref="DW57" si="272">DV57</f>
      </c>
      <c r="DX57" s="1190">
        <f t="shared" ref="DX57" si="273">DW57</f>
      </c>
      <c r="DY57" s="1189">
        <f t="shared" ref="DY57" si="274">DX57</f>
      </c>
      <c r="DZ57" s="1190">
        <f t="shared" ref="DZ57" si="275">DY57</f>
      </c>
      <c r="EA57" s="1190">
        <f t="shared" ref="EA57" si="276">DZ57</f>
      </c>
      <c r="EB57" s="1190">
        <f t="shared" ref="EB57" si="277">EA57</f>
      </c>
      <c r="EC57" s="1189">
        <f t="shared" ref="EC57" si="278">EB57</f>
      </c>
      <c r="ED57" s="1190">
        <f t="shared" ref="ED57" si="279">EC57</f>
      </c>
      <c r="EE57" s="1190">
        <f t="shared" ref="EE57" si="280">ED57</f>
      </c>
      <c r="EF57" s="1190">
        <f t="shared" ref="EF57" si="281">EE57</f>
      </c>
      <c r="EG57" s="1189">
        <f t="shared" ref="EG57" si="282">EF57</f>
      </c>
      <c r="EH57" s="1190">
        <f t="shared" ref="EH57" si="283">EG57</f>
      </c>
      <c r="EI57" s="1190">
        <f t="shared" ref="EI57" si="284">EH57</f>
      </c>
      <c r="EJ57" s="1190">
        <f t="shared" ref="EJ57" si="285">EI57</f>
      </c>
      <c r="EK57" s="1189">
        <f t="shared" ref="EK57" si="286">EJ57</f>
      </c>
      <c r="EL57" s="3193"/>
      <c r="FH57" s="397">
        <f>CG57</f>
      </c>
      <c r="FI57" s="397">
        <f>CK57</f>
      </c>
      <c r="FJ57" s="397">
        <f>CO57</f>
      </c>
      <c r="FK57" s="397">
        <f>CS57</f>
      </c>
      <c r="FL57" s="397">
        <f>CW57</f>
      </c>
      <c r="FM57" s="397">
        <f>DA57</f>
      </c>
      <c r="FN57" s="397">
        <f>DE57</f>
      </c>
      <c r="FO57" s="397">
        <f>DI57</f>
      </c>
      <c r="FP57" s="397">
        <f>DM57</f>
      </c>
      <c r="FQ57" s="397">
        <f>DQ57</f>
      </c>
      <c r="FR57" s="397">
        <f>DU57</f>
      </c>
      <c r="FS57" s="397">
        <f>DY57</f>
      </c>
      <c r="FT57" s="397">
        <f>EC57</f>
      </c>
      <c r="FU57" s="397">
        <f>EG57</f>
      </c>
      <c r="FV57" s="397">
        <f>EK57</f>
      </c>
      <c r="FW57" s="397"/>
      <c r="FX57" s="397"/>
      <c r="FY57" s="397"/>
      <c r="FZ57" s="397"/>
      <c r="GA57" s="397"/>
      <c r="GB57" s="397"/>
      <c r="GC57" s="2357"/>
      <c r="GD57" s="397"/>
      <c r="GE57" s="397"/>
      <c r="GF57" s="397"/>
      <c r="GG57" s="397"/>
      <c r="GH57" s="397"/>
      <c r="GI57" s="397"/>
    </row>
    <row r="58" spans="1:191" s="82" customFormat="1">
      <c r="A58" s="82" t="s">
        <v>1098</v>
      </c>
      <c r="E58" s="236"/>
      <c r="I58" s="236"/>
      <c r="M58" s="236"/>
      <c r="Q58" s="236"/>
      <c r="U58" s="236"/>
      <c r="Y58" s="236"/>
      <c r="AC58" s="236"/>
      <c r="AG58" s="236"/>
      <c r="AK58" s="236"/>
      <c r="AO58" s="236"/>
      <c r="AS58" s="236"/>
      <c r="AW58" s="236"/>
      <c r="BA58" s="236"/>
      <c r="BE58" s="236"/>
      <c r="BI58" s="236"/>
      <c r="BM58" s="236"/>
      <c r="BQ58" s="236"/>
      <c r="BU58" s="236"/>
      <c r="BY58" s="236"/>
      <c r="CC58" s="236"/>
      <c r="CD58" s="393">
        <f t="shared" ref="CD58:DU58" si="287">CD52-CD57</f>
      </c>
      <c r="CE58" s="393">
        <f t="shared" si="287"/>
      </c>
      <c r="CF58" s="394">
        <f t="shared" si="287"/>
      </c>
      <c r="CG58" s="395">
        <f t="shared" si="287"/>
      </c>
      <c r="CH58" s="393">
        <f t="shared" si="287"/>
      </c>
      <c r="CI58" s="393">
        <f t="shared" si="287"/>
      </c>
      <c r="CJ58" s="393">
        <f t="shared" si="287"/>
      </c>
      <c r="CK58" s="395">
        <f t="shared" si="287"/>
      </c>
      <c r="CL58" s="393">
        <f t="shared" si="287"/>
      </c>
      <c r="CM58" s="393">
        <f t="shared" si="287"/>
      </c>
      <c r="CN58" s="393">
        <f t="shared" si="287"/>
      </c>
      <c r="CO58" s="395">
        <f t="shared" si="287"/>
      </c>
      <c r="CP58" s="394">
        <f t="shared" si="287"/>
      </c>
      <c r="CQ58" s="396">
        <f t="shared" si="287"/>
      </c>
      <c r="CR58" s="393">
        <f t="shared" si="287"/>
      </c>
      <c r="CS58" s="398">
        <f t="shared" si="287"/>
      </c>
      <c r="CT58" s="394">
        <f t="shared" si="287"/>
      </c>
      <c r="CU58" s="396">
        <f t="shared" si="287"/>
      </c>
      <c r="CV58" s="396">
        <f t="shared" si="287"/>
      </c>
      <c r="CW58" s="398">
        <f t="shared" si="287"/>
      </c>
      <c r="CX58" s="480">
        <f t="shared" si="287"/>
      </c>
      <c r="CY58" s="396">
        <f t="shared" si="287"/>
      </c>
      <c r="CZ58" s="396">
        <f t="shared" si="287"/>
      </c>
      <c r="DA58" s="398">
        <f t="shared" si="287"/>
      </c>
      <c r="DB58" s="480">
        <f t="shared" si="287"/>
      </c>
      <c r="DC58" s="396">
        <f t="shared" si="287"/>
      </c>
      <c r="DD58" s="396">
        <f t="shared" si="287"/>
      </c>
      <c r="DE58" s="445">
        <f t="shared" si="287"/>
      </c>
      <c r="DF58" s="396">
        <f t="shared" ref="DF58:DG58" si="288">DF52-DF57</f>
      </c>
      <c r="DG58" s="396">
        <f t="shared" si="288"/>
      </c>
      <c r="DH58" s="394">
        <f t="shared" si="287"/>
      </c>
      <c r="DI58" s="445">
        <f t="shared" si="287"/>
      </c>
      <c r="DJ58" s="396">
        <f t="shared" si="287"/>
      </c>
      <c r="DK58" s="396">
        <f t="shared" si="287"/>
      </c>
      <c r="DL58" s="394">
        <f t="shared" ref="DL58:DO58" si="289">DL52-DL57</f>
      </c>
      <c r="DM58" s="445">
        <f t="shared" si="289"/>
      </c>
      <c r="DN58" s="396">
        <f t="shared" si="289"/>
      </c>
      <c r="DO58" s="396">
        <f t="shared" si="289"/>
      </c>
      <c r="DP58" s="394">
        <f t="shared" ref="DP58" si="290">DP52-DP57</f>
      </c>
      <c r="DQ58" s="445">
        <f t="shared" si="287"/>
      </c>
      <c r="DR58" s="394">
        <f t="shared" si="287"/>
      </c>
      <c r="DS58" s="394">
        <f t="shared" si="287"/>
      </c>
      <c r="DT58" s="394">
        <f t="shared" si="287"/>
      </c>
      <c r="DU58" s="445">
        <f t="shared" si="287"/>
      </c>
      <c r="DV58" s="394">
        <f t="shared" ref="DV58:EK58" si="291">DV52-DV57</f>
      </c>
      <c r="DW58" s="394">
        <f t="shared" si="291"/>
      </c>
      <c r="DX58" s="394">
        <f t="shared" si="291"/>
      </c>
      <c r="DY58" s="445">
        <f t="shared" si="291"/>
      </c>
      <c r="DZ58" s="394">
        <f t="shared" si="291"/>
      </c>
      <c r="EA58" s="394">
        <f t="shared" si="291"/>
      </c>
      <c r="EB58" s="394">
        <f t="shared" si="291"/>
      </c>
      <c r="EC58" s="445">
        <f t="shared" si="291"/>
      </c>
      <c r="ED58" s="394">
        <f t="shared" si="291"/>
      </c>
      <c r="EE58" s="394">
        <f t="shared" si="291"/>
      </c>
      <c r="EF58" s="394">
        <f t="shared" si="291"/>
      </c>
      <c r="EG58" s="445">
        <f t="shared" si="291"/>
      </c>
      <c r="EH58" s="394">
        <f t="shared" si="291"/>
      </c>
      <c r="EI58" s="394">
        <f t="shared" si="291"/>
      </c>
      <c r="EJ58" s="394">
        <f t="shared" si="291"/>
      </c>
      <c r="EK58" s="445">
        <f t="shared" si="291"/>
      </c>
      <c r="EL58" s="3193"/>
      <c r="FH58" s="396">
        <f t="shared" ref="FH58:FP58" si="292">FH52-FH57</f>
      </c>
      <c r="FI58" s="396">
        <f t="shared" si="292"/>
      </c>
      <c r="FJ58" s="396">
        <f t="shared" si="292"/>
      </c>
      <c r="FK58" s="396">
        <f t="shared" si="292"/>
      </c>
      <c r="FL58" s="396">
        <f t="shared" si="292"/>
      </c>
      <c r="FM58" s="396">
        <f t="shared" si="292"/>
      </c>
      <c r="FN58" s="396">
        <f t="shared" si="292"/>
      </c>
      <c r="FO58" s="396">
        <f t="shared" si="292"/>
      </c>
      <c r="FP58" s="396">
        <f t="shared" si="292"/>
      </c>
      <c r="FQ58" s="396">
        <f t="shared" ref="FQ58" si="293">FQ52-FQ57</f>
      </c>
      <c r="FR58" s="396">
        <f t="shared" ref="FR58" si="294">FR52-FR57</f>
      </c>
      <c r="FS58" s="396">
        <f t="shared" ref="FS58:FV58" si="295">FS52-FS57</f>
      </c>
      <c r="FT58" s="396">
        <f t="shared" si="295"/>
      </c>
      <c r="FU58" s="396">
        <f t="shared" si="295"/>
      </c>
      <c r="FV58" s="396">
        <f t="shared" si="295"/>
      </c>
      <c r="FW58" s="396"/>
      <c r="FX58" s="396"/>
      <c r="FY58" s="396"/>
      <c r="FZ58" s="396"/>
      <c r="GA58" s="396"/>
      <c r="GB58" s="396"/>
      <c r="GC58" s="2712"/>
      <c r="GD58" s="396"/>
      <c r="GE58" s="396"/>
      <c r="GF58" s="396"/>
      <c r="GG58" s="396"/>
      <c r="GH58" s="396"/>
      <c r="GI58" s="396"/>
    </row>
    <row r="59" spans="1:191" s="2176" customFormat="1">
      <c r="A59" s="2172" t="s">
        <v>82</v>
      </c>
      <c r="B59" s="2173"/>
      <c r="C59" s="2173"/>
      <c r="D59" s="2173"/>
      <c r="E59" s="2173"/>
      <c r="F59" s="2173"/>
      <c r="G59" s="2173"/>
      <c r="H59" s="2173"/>
      <c r="I59" s="2173"/>
      <c r="J59" s="2173"/>
      <c r="K59" s="2173"/>
      <c r="L59" s="2173"/>
      <c r="M59" s="2173"/>
      <c r="N59" s="2173"/>
      <c r="O59" s="2173"/>
      <c r="P59" s="2173"/>
      <c r="Q59" s="2173"/>
      <c r="R59" s="2173"/>
      <c r="S59" s="2173"/>
      <c r="T59" s="2173"/>
      <c r="U59" s="2173"/>
      <c r="V59" s="2173"/>
      <c r="W59" s="2173"/>
      <c r="X59" s="2173"/>
      <c r="Y59" s="2173"/>
      <c r="Z59" s="2173"/>
      <c r="AA59" s="2174"/>
      <c r="AB59" s="2173"/>
      <c r="AC59" s="2173"/>
      <c r="AD59" s="2173"/>
      <c r="AE59" s="2173"/>
      <c r="AF59" s="2173"/>
      <c r="AG59" s="2173"/>
      <c r="AH59" s="2173"/>
      <c r="AI59" s="2173"/>
      <c r="AJ59" s="2173"/>
      <c r="AK59" s="2173"/>
      <c r="AL59" s="2173"/>
      <c r="AM59" s="2173"/>
      <c r="AN59" s="2173"/>
      <c r="AO59" s="2173"/>
      <c r="AP59" s="2173"/>
      <c r="AQ59" s="2173"/>
      <c r="AR59" s="2173"/>
      <c r="AS59" s="2173"/>
      <c r="AT59" s="2173"/>
      <c r="AU59" s="2173"/>
      <c r="AV59" s="2173"/>
      <c r="AW59" s="2173"/>
      <c r="AX59" s="2173"/>
      <c r="AY59" s="2173"/>
      <c r="AZ59" s="2173"/>
      <c r="BA59" s="2173"/>
      <c r="BB59" s="2173"/>
      <c r="BC59" s="2173"/>
      <c r="BD59" s="2173"/>
      <c r="BE59" s="2173"/>
      <c r="BF59" s="2173"/>
      <c r="BG59" s="2173"/>
      <c r="BH59" s="2173"/>
      <c r="BI59" s="2173"/>
      <c r="BJ59" s="2173"/>
      <c r="BK59" s="2173"/>
      <c r="BL59" s="2173"/>
      <c r="BM59" s="2173"/>
      <c r="BN59" s="2173"/>
      <c r="BO59" s="2173"/>
      <c r="BP59" s="2173"/>
      <c r="BQ59" s="2173"/>
      <c r="BR59" s="2173"/>
      <c r="BS59" s="2173"/>
      <c r="BT59" s="2173"/>
      <c r="BU59" s="2173"/>
      <c r="BV59" s="2173"/>
      <c r="BW59" s="2173"/>
      <c r="BX59" s="2173"/>
      <c r="BY59" s="2173"/>
      <c r="BZ59" s="2173"/>
      <c r="CA59" s="2173"/>
      <c r="CB59" s="2173"/>
      <c r="CC59" s="2173"/>
      <c r="CD59" s="2173">
        <f>-'Balance Sheet'!CD11+CD58</f>
      </c>
      <c r="CE59" s="2173">
        <f>-'Balance Sheet'!CE11+CE58</f>
      </c>
      <c r="CF59" s="2173">
        <f>-'Balance Sheet'!CF11+CF58</f>
      </c>
      <c r="CG59" s="2173">
        <f>-'Balance Sheet'!CG11+CG58</f>
      </c>
      <c r="CH59" s="2173">
        <f>-'Balance Sheet'!CH11+CH58</f>
      </c>
      <c r="CI59" s="2173">
        <f>-'Balance Sheet'!CI11+CI58</f>
      </c>
      <c r="CJ59" s="2173">
        <f>-'Balance Sheet'!CJ11+CJ58</f>
      </c>
      <c r="CK59" s="2173">
        <f>-'Balance Sheet'!CK11+CK58</f>
      </c>
      <c r="CL59" s="2173">
        <f>-'Balance Sheet'!CL11+CL58</f>
      </c>
      <c r="CM59" s="2173">
        <f>-'Balance Sheet'!CM11+CM58</f>
      </c>
      <c r="CN59" s="2173">
        <f>-'Balance Sheet'!CN11+CN58</f>
      </c>
      <c r="CO59" s="2173">
        <f>-'Balance Sheet'!CO11+CO58</f>
      </c>
      <c r="CP59" s="2173">
        <f>-'Balance Sheet'!CP11+CP58</f>
      </c>
      <c r="CQ59" s="2173">
        <f>-'Balance Sheet'!CQ11+CQ58</f>
      </c>
      <c r="CR59" s="2173">
        <f>-'Balance Sheet'!CR11+CR58</f>
      </c>
      <c r="CS59" s="2173">
        <f>-'Balance Sheet'!CS11+CS58</f>
      </c>
      <c r="CT59" s="2173">
        <f>-'Balance Sheet'!CT11+CT58</f>
      </c>
      <c r="CU59" s="2173">
        <f>-'Balance Sheet'!CU11+CU58</f>
      </c>
      <c r="CV59" s="2173">
        <f>-'Balance Sheet'!CV11+CV58</f>
      </c>
      <c r="CW59" s="2173">
        <f>-'Balance Sheet'!CW11+CW58</f>
      </c>
      <c r="CX59" s="2173">
        <f>-'Balance Sheet'!CX11+CX58</f>
      </c>
      <c r="CY59" s="2173">
        <f>-'Balance Sheet'!CY11+CY58</f>
      </c>
      <c r="CZ59" s="2173">
        <f>-'Balance Sheet'!CZ11+CZ58</f>
      </c>
      <c r="DA59" s="2173">
        <f>-'Balance Sheet'!DA11+DA58</f>
      </c>
      <c r="DB59" s="2704">
        <f>-'Balance Sheet'!DB11+DB58</f>
      </c>
      <c r="DC59" s="2173">
        <f>-'Balance Sheet'!DC11+DC58</f>
      </c>
      <c r="DD59" s="2173">
        <f>-'Balance Sheet'!DD11+DD58</f>
      </c>
      <c r="DE59" s="2705">
        <f>-'Balance Sheet'!DE11+DE58</f>
      </c>
      <c r="DF59" s="2175">
        <f>-'Balance Sheet'!DF11+DF58</f>
      </c>
      <c r="DG59" s="2173">
        <f>-'Balance Sheet'!DG11+DG58</f>
      </c>
      <c r="DH59" s="2175">
        <f>-'Balance Sheet'!DH11+DH58</f>
      </c>
      <c r="DI59" s="2175">
        <f>-'Balance Sheet'!DI11+DI58</f>
      </c>
      <c r="DJ59" s="3200">
        <f>-'Balance Sheet'!DJ11+DJ58</f>
      </c>
      <c r="DK59" s="2173">
        <f>-'Balance Sheet'!DK11+DK58</f>
      </c>
      <c r="DL59" s="2175">
        <f>-'Balance Sheet'!DL11+DL58</f>
      </c>
      <c r="DM59" s="2175">
        <f>-'Balance Sheet'!DM11+DM58</f>
      </c>
      <c r="DN59" s="3200">
        <f>-'Balance Sheet'!DN11+DN58</f>
      </c>
      <c r="DO59" s="2173">
        <f>-'Balance Sheet'!DO11+DO58</f>
      </c>
      <c r="DP59" s="2175">
        <f>-'Balance Sheet'!DP11+DP58</f>
      </c>
      <c r="DQ59" s="2705">
        <f>-'Balance Sheet'!DQ11+DQ58</f>
      </c>
      <c r="DR59" s="2175">
        <f>-'Balance Sheet'!DR11+DR58</f>
      </c>
      <c r="DS59" s="2175">
        <f>-'Balance Sheet'!DS11+DS58</f>
      </c>
      <c r="DT59" s="2175">
        <f>-'Balance Sheet'!DT11+DT58</f>
      </c>
      <c r="DU59" s="2175">
        <f>-'Balance Sheet'!DU11+DU58</f>
      </c>
      <c r="DV59" s="2175">
        <f>-'Balance Sheet'!DV11+DV58</f>
      </c>
      <c r="DW59" s="2175">
        <f>-'Balance Sheet'!DW11+DW58</f>
      </c>
      <c r="DX59" s="2175">
        <f>-'Balance Sheet'!DX11+DX58</f>
      </c>
      <c r="DY59" s="2175">
        <f>-'Balance Sheet'!DY11+DY58</f>
      </c>
      <c r="DZ59" s="2175">
        <f>-'Balance Sheet'!DZ11+DZ58</f>
      </c>
      <c r="EA59" s="2175">
        <f>-'Balance Sheet'!EA11+EA58</f>
      </c>
      <c r="EB59" s="2175">
        <f>-'Balance Sheet'!EB11+EB58</f>
      </c>
      <c r="EC59" s="2175">
        <f>-'Balance Sheet'!EC11+EC58</f>
      </c>
      <c r="ED59" s="2175">
        <f>-'Balance Sheet'!ED11+ED58</f>
      </c>
      <c r="EE59" s="2175">
        <f>-'Balance Sheet'!EE11+EE58</f>
      </c>
      <c r="EF59" s="2175">
        <f>-'Balance Sheet'!EF11+EF58</f>
      </c>
      <c r="EG59" s="2175">
        <f>-'Balance Sheet'!EG11+EG58</f>
      </c>
      <c r="EH59" s="2175">
        <f>-'Balance Sheet'!EH11+EH58</f>
      </c>
      <c r="EI59" s="2175">
        <f>-'Balance Sheet'!EI11+EI58</f>
      </c>
      <c r="EJ59" s="2175">
        <f>-'Balance Sheet'!EJ11+EJ58</f>
      </c>
      <c r="EK59" s="2175">
        <f>-'Balance Sheet'!EK11+EK58</f>
      </c>
      <c r="EL59" s="3194"/>
      <c r="EN59" s="2173"/>
      <c r="EO59" s="2173"/>
      <c r="EP59" s="2173"/>
      <c r="EQ59" s="2173"/>
      <c r="ER59" s="2173"/>
      <c r="ES59" s="2173"/>
      <c r="ET59" s="2173"/>
      <c r="EU59" s="2173"/>
      <c r="EV59" s="2173"/>
      <c r="EW59" s="2173"/>
      <c r="EX59" s="2173"/>
      <c r="EY59" s="2173"/>
      <c r="EZ59" s="2173"/>
      <c r="FA59" s="2173"/>
      <c r="FB59" s="2173"/>
      <c r="FC59" s="2173"/>
      <c r="FD59" s="2173"/>
      <c r="FE59" s="2173"/>
      <c r="FF59" s="2173"/>
      <c r="FG59" s="2173"/>
      <c r="FH59" s="2173">
        <f>-'Balance Sheet'!FH11+FH58</f>
      </c>
      <c r="FI59" s="2173">
        <f>-'Balance Sheet'!FI11+FI58</f>
      </c>
      <c r="FJ59" s="2173">
        <f>-'Balance Sheet'!FJ11+FJ58</f>
      </c>
      <c r="FK59" s="2173">
        <f>-'Balance Sheet'!FK11+FK58</f>
      </c>
      <c r="FL59" s="2173">
        <f>-'Balance Sheet'!FL11+FL58</f>
      </c>
      <c r="FM59" s="2173">
        <f>-'Balance Sheet'!FM11+FM58</f>
      </c>
      <c r="FN59" s="2173">
        <f>-'Balance Sheet'!FN11+FN58</f>
      </c>
      <c r="FO59" s="2177">
        <f>-'Balance Sheet'!FO11+FO58</f>
      </c>
      <c r="FP59" s="2173">
        <f>-'Balance Sheet'!FP11+FP58</f>
      </c>
      <c r="FQ59" s="2173">
        <f>-'Balance Sheet'!FQ11+FQ58</f>
      </c>
      <c r="FR59" s="2173">
        <f>-'Balance Sheet'!FR11+FR58</f>
      </c>
      <c r="FS59" s="2173">
        <f>-'Balance Sheet'!FS11+FS58</f>
      </c>
      <c r="FT59" s="2173">
        <f>-'Balance Sheet'!FT11+FT58</f>
      </c>
      <c r="FU59" s="2173">
        <f>-'Balance Sheet'!FU11+FU58</f>
      </c>
      <c r="FV59" s="2173">
        <f>-'Balance Sheet'!FV11+FV58</f>
      </c>
      <c r="FW59" s="2173"/>
      <c r="FX59" s="2173"/>
      <c r="FY59" s="2173"/>
      <c r="FZ59" s="2173"/>
      <c r="GA59" s="2173"/>
      <c r="GB59" s="2173"/>
      <c r="GC59" s="2173"/>
      <c r="GD59" s="2173"/>
      <c r="GE59" s="2173"/>
      <c r="GF59" s="2173"/>
      <c r="GG59" s="2173"/>
      <c r="GH59" s="2173"/>
      <c r="GI59" s="2173"/>
    </row>
    <row r="60" spans="1:191">
      <c r="CH60" s="58"/>
      <c r="CL60" s="58"/>
      <c r="CP60" s="58"/>
      <c r="CQ60" s="283"/>
      <c r="CT60" s="58"/>
      <c r="DB60" s="451"/>
      <c r="DC60" s="11"/>
      <c r="DE60" s="260"/>
      <c r="DF60" s="88"/>
      <c r="DJ60" s="3201"/>
      <c r="DN60" s="3201"/>
      <c r="DQ60" s="260"/>
      <c r="DR60" s="88"/>
      <c r="DV60" s="88"/>
      <c r="DZ60" s="88"/>
      <c r="ED60" s="88"/>
      <c r="EH60" s="88"/>
    </row>
    <row r="61" spans="1:191">
      <c r="A61" s="11" t="s">
        <v>1101</v>
      </c>
      <c r="CH61" s="58"/>
      <c r="CL61" s="58"/>
      <c r="CN61" s="34">
        <f>8819-CM61-CL61</f>
      </c>
      <c r="CO61" s="34">
        <f>10417-CN61-CM61-CL61</f>
      </c>
      <c r="CP61" s="77"/>
      <c r="CQ61" s="34">
        <f>9497-CP61</f>
      </c>
      <c r="CR61" s="34">
        <f>11795-CQ61-CP61</f>
      </c>
      <c r="CS61" s="34">
        <f>15263-CR61-CQ61-CP61</f>
      </c>
      <c r="CT61" s="58"/>
      <c r="CU61" s="34">
        <f>7505-CT61</f>
      </c>
      <c r="CV61" s="34">
        <f>8410-CU61-CT61</f>
      </c>
      <c r="CW61" s="34">
        <f>9501-CV61-CU61-CT61</f>
      </c>
      <c r="CX61" s="34">
        <v>1787</v>
      </c>
      <c r="CY61" s="34">
        <f>10276-CX61</f>
      </c>
      <c r="CZ61" s="34">
        <f>18536-CY61-CX61</f>
      </c>
      <c r="DA61" s="34">
        <f>25385-CZ61-CY61-CX61</f>
      </c>
      <c r="DB61" s="382">
        <v>5235</v>
      </c>
      <c r="DC61" s="34">
        <f>9301-DB61</f>
      </c>
      <c r="DD61" s="34">
        <f>12251-DC61-DB61</f>
      </c>
      <c r="DE61" s="173">
        <f>19573-DD61-DC61-DB61</f>
      </c>
      <c r="DF61" s="34">
        <v>828</v>
      </c>
      <c r="DG61" s="34">
        <f>4894-DF61</f>
      </c>
      <c r="DH61" s="34">
        <f>7020-DG61-DF61</f>
      </c>
      <c r="DI61" s="77">
        <f>18679-SUM(DF61:DH61)</f>
      </c>
      <c r="DJ61" s="382">
        <v>7255</v>
      </c>
      <c r="DK61" s="34">
        <f>14531-DJ61</f>
      </c>
      <c r="DL61" s="34">
        <f>19230-DK61-DJ61</f>
      </c>
      <c r="DM61" s="77">
        <f>26102-SUM(DJ61:DL61)</f>
      </c>
      <c r="DN61" s="382">
        <v>18651</v>
      </c>
      <c r="DO61" s="34">
        <f>31683-DN61</f>
      </c>
      <c r="DP61" s="34">
        <f>37332-DO61-DN61</f>
      </c>
      <c r="DQ61" s="260"/>
      <c r="DR61" s="88"/>
      <c r="DV61" s="88"/>
      <c r="DZ61" s="88"/>
      <c r="ED61" s="88"/>
      <c r="EH61" s="88"/>
    </row>
    <row r="62" spans="1:191">
      <c r="A62" s="11" t="s">
        <v>1102</v>
      </c>
      <c r="CH62" s="58"/>
      <c r="CL62" s="58"/>
      <c r="CN62" s="34">
        <f>2120-CM62-CL62</f>
      </c>
      <c r="CO62" s="34">
        <f>3423-CN62-CM62-CL62</f>
      </c>
      <c r="CP62" s="77"/>
      <c r="CQ62" s="34">
        <f>1762-CP62</f>
      </c>
      <c r="CR62" s="34">
        <f>2563-CQ62-CP62</f>
      </c>
      <c r="CS62" s="34">
        <f>3423-CR62-CQ62-CP62</f>
      </c>
      <c r="CT62" s="58"/>
      <c r="CU62" s="34">
        <f>1689-CT62</f>
      </c>
      <c r="CV62" s="34">
        <f>2275-CU62-CT62</f>
      </c>
      <c r="CW62" s="34">
        <f>3002-CV62-CU62-CT62</f>
      </c>
      <c r="CX62" s="34">
        <v>619</v>
      </c>
      <c r="CY62" s="34">
        <f>1327-CX62</f>
      </c>
      <c r="CZ62" s="34">
        <f>1870-CY62-CX62</f>
      </c>
      <c r="DA62" s="34">
        <f>2687-CZ62-CY62-CX62</f>
      </c>
      <c r="DB62" s="382">
        <v>531</v>
      </c>
      <c r="DC62" s="34">
        <f>1406-DB62</f>
      </c>
      <c r="DD62" s="34">
        <f>1910-DC62-DB62</f>
      </c>
      <c r="DE62" s="173">
        <f>2865-DD62-DC62-DB62</f>
      </c>
      <c r="DF62" s="34">
        <v>703</v>
      </c>
      <c r="DG62" s="34">
        <f>1873-DF62</f>
      </c>
      <c r="DH62" s="34">
        <f>2590-DG62-DF62</f>
      </c>
      <c r="DI62" s="77">
        <f>3803-SUM(DF62:DH62)</f>
      </c>
      <c r="DJ62" s="3201"/>
      <c r="DK62" s="34"/>
      <c r="DL62" s="34"/>
      <c r="DM62" s="260"/>
      <c r="DN62" s="3201"/>
      <c r="DQ62" s="260"/>
      <c r="DR62" s="88"/>
      <c r="DV62" s="88"/>
      <c r="DZ62" s="88"/>
      <c r="ED62" s="88"/>
      <c r="EH62" s="88"/>
    </row>
    <row r="63" spans="1:191">
      <c r="CH63" s="58"/>
      <c r="CL63" s="58"/>
      <c r="CN63" s="34"/>
      <c r="CO63" s="34"/>
      <c r="CP63" s="77"/>
      <c r="CQ63" s="34"/>
      <c r="CR63" s="34"/>
      <c r="CS63" s="34"/>
      <c r="CT63" s="58"/>
      <c r="CU63" s="34"/>
      <c r="CV63" s="34"/>
      <c r="CW63" s="34"/>
      <c r="CX63" s="34"/>
      <c r="CY63" s="34"/>
      <c r="CZ63" s="34"/>
      <c r="DA63" s="34"/>
      <c r="DB63" s="382"/>
      <c r="DC63" s="34"/>
      <c r="DD63" s="34"/>
      <c r="DE63" s="173"/>
      <c r="DF63" s="34"/>
      <c r="DG63" s="34"/>
      <c r="DH63" s="34"/>
      <c r="DJ63" s="3201"/>
      <c r="DK63" s="34"/>
      <c r="DL63" s="34"/>
      <c r="DN63" s="3201"/>
      <c r="DQ63" s="260"/>
      <c r="DR63" s="88"/>
      <c r="DV63" s="88"/>
      <c r="DZ63" s="88"/>
      <c r="ED63" s="88"/>
      <c r="EH63" s="88"/>
      <c r="FJ63" s="15"/>
      <c r="FK63" s="15"/>
      <c r="FL63" s="15"/>
      <c r="FM63" s="15"/>
      <c r="FN63" s="15"/>
      <c r="FO63" s="15"/>
      <c r="FP63" s="15"/>
      <c r="FQ63" s="15"/>
      <c r="FR63" s="15"/>
      <c r="FS63" s="15"/>
      <c r="FT63" s="15"/>
      <c r="FU63" s="15"/>
      <c r="FV63" s="15"/>
    </row>
    <row r="64" spans="1:191" s="3202" customFormat="1">
      <c r="A64" s="3202" t="s">
        <v>2307</v>
      </c>
      <c r="CP64" s="996"/>
      <c r="DB64" s="3203">
        <f t="shared" ref="DB64:EK64" si="296">DB42+DB41</f>
      </c>
      <c r="DC64" s="3202">
        <f t="shared" si="296"/>
      </c>
      <c r="DD64" s="3202">
        <f t="shared" si="296"/>
      </c>
      <c r="DE64" s="3204">
        <f t="shared" si="296"/>
      </c>
      <c r="DF64" s="3202">
        <f t="shared" si="296"/>
      </c>
      <c r="DG64" s="3202">
        <f t="shared" si="296"/>
      </c>
      <c r="DH64" s="3202">
        <f t="shared" si="296"/>
      </c>
      <c r="DI64" s="996">
        <f t="shared" si="296"/>
      </c>
      <c r="DJ64" s="3205">
        <f t="shared" si="296"/>
      </c>
      <c r="DK64" s="3202">
        <f t="shared" ref="DK64:DL64" si="297">DK42+DK41</f>
      </c>
      <c r="DL64" s="3202">
        <f t="shared" si="297"/>
      </c>
      <c r="DM64" s="996">
        <f t="shared" si="296"/>
      </c>
      <c r="DN64" s="3205">
        <f t="shared" si="296"/>
      </c>
      <c r="DO64" s="996">
        <f t="shared" si="296"/>
      </c>
      <c r="DP64" s="996">
        <f t="shared" si="296"/>
      </c>
      <c r="DQ64" s="1002">
        <f t="shared" si="296"/>
      </c>
      <c r="DR64" s="996">
        <f t="shared" si="296"/>
      </c>
      <c r="DS64" s="996">
        <f t="shared" si="296"/>
      </c>
      <c r="DT64" s="996">
        <f t="shared" si="296"/>
      </c>
      <c r="DU64" s="996">
        <f t="shared" si="296"/>
      </c>
      <c r="DV64" s="996">
        <f t="shared" si="296"/>
      </c>
      <c r="DW64" s="996">
        <f t="shared" si="296"/>
      </c>
      <c r="DX64" s="996">
        <f t="shared" si="296"/>
      </c>
      <c r="DY64" s="996">
        <f t="shared" si="296"/>
      </c>
      <c r="DZ64" s="996">
        <f t="shared" si="296"/>
      </c>
      <c r="EA64" s="996">
        <f t="shared" si="296"/>
      </c>
      <c r="EB64" s="996">
        <f t="shared" si="296"/>
      </c>
      <c r="EC64" s="996">
        <f t="shared" si="296"/>
      </c>
      <c r="ED64" s="996">
        <f t="shared" si="296"/>
      </c>
      <c r="EE64" s="996">
        <f t="shared" si="296"/>
      </c>
      <c r="EF64" s="996">
        <f t="shared" si="296"/>
      </c>
      <c r="EG64" s="996">
        <f t="shared" si="296"/>
      </c>
      <c r="EH64" s="996">
        <f t="shared" si="296"/>
      </c>
      <c r="EI64" s="996">
        <f t="shared" si="296"/>
      </c>
      <c r="EJ64" s="996">
        <f t="shared" si="296"/>
      </c>
      <c r="EK64" s="996">
        <f t="shared" si="296"/>
      </c>
      <c r="FD64" s="3202">
        <f t="shared" ref="FD64:FI64" si="298">FD42+FD41</f>
      </c>
      <c r="FE64" s="3202">
        <f t="shared" si="298"/>
      </c>
      <c r="FF64" s="3202">
        <f t="shared" si="298"/>
      </c>
      <c r="FG64" s="3202">
        <f t="shared" si="298"/>
      </c>
      <c r="FH64" s="3202">
        <f t="shared" si="298"/>
      </c>
      <c r="FI64" s="3202">
        <f t="shared" si="298"/>
      </c>
      <c r="FJ64" s="3202">
        <f t="shared" ref="FJ64:FV64" si="299">FJ42+FJ41</f>
      </c>
      <c r="FK64" s="3202">
        <f t="shared" si="299"/>
      </c>
      <c r="FL64" s="3202">
        <f t="shared" si="299"/>
      </c>
      <c r="FM64" s="3202">
        <f t="shared" si="299"/>
      </c>
      <c r="FN64" s="3202">
        <f t="shared" si="299"/>
      </c>
      <c r="FO64" s="3202">
        <f>FO42+FO41</f>
      </c>
      <c r="FP64" s="3202">
        <f t="shared" si="299"/>
      </c>
      <c r="FQ64" s="3202">
        <f t="shared" si="299"/>
      </c>
      <c r="FR64" s="3202">
        <f t="shared" si="299"/>
      </c>
      <c r="FS64" s="3202">
        <f t="shared" si="299"/>
      </c>
      <c r="FT64" s="3202">
        <f t="shared" si="299"/>
      </c>
      <c r="FU64" s="3202">
        <f t="shared" si="299"/>
      </c>
      <c r="FV64" s="3202">
        <f t="shared" si="299"/>
      </c>
    </row>
    <row r="65" spans="1:191" s="1463" customFormat="1">
      <c r="A65" s="1463" t="s">
        <v>2308</v>
      </c>
      <c r="DB65" s="3196">
        <f t="shared" ref="DB65:EK65" si="300">DB64/DB54</f>
      </c>
      <c r="DC65" s="3197">
        <f t="shared" si="300"/>
      </c>
      <c r="DD65" s="3197">
        <f t="shared" si="300"/>
      </c>
      <c r="DE65" s="3198">
        <f t="shared" si="300"/>
      </c>
      <c r="DF65" s="2651">
        <f t="shared" si="300"/>
      </c>
      <c r="DG65" s="2651">
        <f t="shared" si="300"/>
      </c>
      <c r="DH65" s="2651">
        <f t="shared" si="300"/>
      </c>
      <c r="DI65" s="2651">
        <f t="shared" si="300"/>
      </c>
      <c r="DJ65" s="3196">
        <f t="shared" si="300"/>
      </c>
      <c r="DK65" s="2651">
        <f t="shared" ref="DK65:DL65" si="301">DK64/DK54</f>
      </c>
      <c r="DL65" s="2651">
        <f t="shared" si="301"/>
      </c>
      <c r="DM65" s="2651">
        <f t="shared" si="300"/>
      </c>
      <c r="DN65" s="3196">
        <f t="shared" si="300"/>
      </c>
      <c r="DO65" s="2651">
        <f t="shared" si="300"/>
      </c>
      <c r="DP65" s="2651">
        <f t="shared" si="300"/>
      </c>
      <c r="DQ65" s="3199">
        <f t="shared" si="300"/>
      </c>
      <c r="DR65" s="2651">
        <f t="shared" si="300"/>
      </c>
      <c r="DS65" s="2651">
        <f t="shared" si="300"/>
      </c>
      <c r="DT65" s="2651">
        <f t="shared" si="300"/>
      </c>
      <c r="DU65" s="2651">
        <f t="shared" si="300"/>
      </c>
      <c r="DV65" s="2651">
        <f t="shared" si="300"/>
      </c>
      <c r="DW65" s="2651">
        <f t="shared" si="300"/>
      </c>
      <c r="DX65" s="2651">
        <f t="shared" si="300"/>
      </c>
      <c r="DY65" s="2651">
        <f t="shared" si="300"/>
      </c>
      <c r="DZ65" s="2651">
        <f t="shared" si="300"/>
      </c>
      <c r="EA65" s="2651">
        <f t="shared" si="300"/>
      </c>
      <c r="EB65" s="2651">
        <f t="shared" si="300"/>
      </c>
      <c r="EC65" s="2651">
        <f t="shared" si="300"/>
      </c>
      <c r="ED65" s="2651">
        <f t="shared" si="300"/>
      </c>
      <c r="EE65" s="2651">
        <f t="shared" si="300"/>
      </c>
      <c r="EF65" s="2651">
        <f t="shared" si="300"/>
      </c>
      <c r="EG65" s="2651">
        <f t="shared" si="300"/>
      </c>
      <c r="EH65" s="2651">
        <f t="shared" si="300"/>
      </c>
      <c r="EI65" s="2651">
        <f t="shared" si="300"/>
      </c>
      <c r="EJ65" s="2651">
        <f t="shared" si="300"/>
      </c>
      <c r="EK65" s="2651">
        <f t="shared" si="300"/>
      </c>
      <c r="FD65" s="1463">
        <f t="shared" ref="FD65:FI65" si="302">FD64/FD54</f>
      </c>
      <c r="FE65" s="1463">
        <f t="shared" si="302"/>
      </c>
      <c r="FF65" s="1463">
        <f t="shared" si="302"/>
      </c>
      <c r="FG65" s="1463">
        <f t="shared" si="302"/>
      </c>
      <c r="FH65" s="1463">
        <f t="shared" si="302"/>
      </c>
      <c r="FI65" s="1463">
        <f t="shared" si="302"/>
      </c>
      <c r="FJ65" s="1463">
        <f t="shared" ref="FJ65:FV65" si="303">FJ64/FJ54</f>
      </c>
      <c r="FK65" s="1463">
        <f t="shared" si="303"/>
      </c>
      <c r="FL65" s="1463">
        <f t="shared" si="303"/>
      </c>
      <c r="FM65" s="1463">
        <f t="shared" si="303"/>
      </c>
      <c r="FN65" s="1463">
        <f t="shared" si="303"/>
      </c>
      <c r="FO65" s="1463">
        <f t="shared" si="303"/>
      </c>
      <c r="FP65" s="1463">
        <f t="shared" si="303"/>
      </c>
      <c r="FQ65" s="1463">
        <f t="shared" si="303"/>
      </c>
      <c r="FR65" s="1463">
        <f t="shared" si="303"/>
      </c>
      <c r="FS65" s="1463">
        <f t="shared" si="303"/>
      </c>
      <c r="FT65" s="1463">
        <f t="shared" si="303"/>
      </c>
      <c r="FU65" s="1463">
        <f t="shared" si="303"/>
      </c>
      <c r="FV65" s="1463">
        <f t="shared" si="303"/>
      </c>
    </row>
    <row r="66" spans="1:191" s="1" customFormat="1" collapsed="1">
      <c r="A66" s="579"/>
      <c r="B66" s="543"/>
      <c r="C66" s="543"/>
      <c r="D66" s="543"/>
      <c r="E66" s="547"/>
      <c r="F66" s="543"/>
      <c r="G66" s="543"/>
      <c r="H66" s="543"/>
      <c r="I66" s="547"/>
      <c r="J66" s="543"/>
      <c r="K66" s="543"/>
      <c r="L66" s="543"/>
      <c r="M66" s="547"/>
      <c r="N66" s="543"/>
      <c r="O66" s="543"/>
      <c r="P66" s="543"/>
      <c r="Q66" s="547"/>
      <c r="R66" s="543"/>
      <c r="S66" s="543"/>
      <c r="T66" s="543"/>
      <c r="U66" s="547"/>
      <c r="V66" s="543"/>
      <c r="W66" s="543"/>
      <c r="X66" s="543"/>
      <c r="Y66" s="547"/>
      <c r="Z66" s="543"/>
      <c r="AA66" s="543"/>
      <c r="AB66" s="543"/>
      <c r="AC66" s="547"/>
      <c r="AD66" s="543"/>
      <c r="AE66" s="543"/>
      <c r="AF66" s="543"/>
      <c r="AG66" s="547"/>
      <c r="AH66" s="543"/>
      <c r="AI66" s="543"/>
      <c r="AJ66" s="543"/>
      <c r="AK66" s="547"/>
      <c r="AL66" s="543"/>
      <c r="AM66" s="543"/>
      <c r="AN66" s="543"/>
      <c r="AO66" s="547"/>
      <c r="AP66" s="543"/>
      <c r="AQ66" s="543"/>
      <c r="AR66" s="543"/>
      <c r="AS66" s="547"/>
      <c r="AT66" s="543"/>
      <c r="AU66" s="543"/>
      <c r="AV66" s="543"/>
      <c r="AW66" s="547"/>
      <c r="AX66" s="543"/>
      <c r="AY66" s="543"/>
      <c r="AZ66" s="543"/>
      <c r="BA66" s="547"/>
      <c r="BB66" s="543"/>
      <c r="BC66" s="543"/>
      <c r="BD66" s="543"/>
      <c r="BE66" s="547"/>
      <c r="BF66" s="543"/>
      <c r="BG66" s="543"/>
      <c r="BH66" s="543"/>
      <c r="BI66" s="547"/>
      <c r="BJ66" s="543"/>
      <c r="BK66" s="543"/>
      <c r="BL66" s="543"/>
      <c r="BM66" s="547"/>
      <c r="BN66" s="543"/>
      <c r="BO66" s="543"/>
      <c r="BP66" s="543"/>
      <c r="BQ66" s="547"/>
      <c r="BR66" s="543"/>
      <c r="BS66" s="543"/>
      <c r="BT66" s="543"/>
      <c r="BU66" s="547"/>
      <c r="BV66" s="543"/>
      <c r="BW66" s="543"/>
      <c r="BX66" s="543"/>
      <c r="BY66" s="547"/>
      <c r="BZ66" s="543"/>
      <c r="CA66" s="543"/>
      <c r="CB66" s="543"/>
      <c r="CC66" s="547"/>
      <c r="CD66" s="543"/>
      <c r="CE66" s="543"/>
      <c r="CF66" s="543"/>
      <c r="CG66" s="547"/>
      <c r="CH66" s="543"/>
      <c r="CI66" s="543"/>
      <c r="CJ66" s="543"/>
      <c r="CK66" s="547"/>
      <c r="CL66" s="543" t="str">
        <f>CL8</f>
      </c>
      <c r="CM66" s="543" t="str">
        <f t="shared" ref="CM66:DU66" si="304">CM8</f>
      </c>
      <c r="CN66" s="543" t="str">
        <f t="shared" si="304"/>
      </c>
      <c r="CO66" s="547" t="str">
        <f t="shared" si="304"/>
      </c>
      <c r="CP66" s="543" t="str">
        <f t="shared" si="304"/>
      </c>
      <c r="CQ66" s="543" t="str">
        <f t="shared" si="304"/>
      </c>
      <c r="CR66" s="543" t="str">
        <f t="shared" si="304"/>
      </c>
      <c r="CS66" s="547" t="str">
        <f t="shared" si="304"/>
      </c>
      <c r="CT66" s="543" t="str">
        <f t="shared" si="304"/>
      </c>
      <c r="CU66" s="543" t="str">
        <f t="shared" si="304"/>
      </c>
      <c r="CV66" s="543" t="str">
        <f t="shared" si="304"/>
      </c>
      <c r="CW66" s="547" t="str">
        <f t="shared" si="304"/>
      </c>
      <c r="CX66" s="543" t="str">
        <f t="shared" si="304"/>
      </c>
      <c r="CY66" s="543" t="str">
        <f t="shared" si="304"/>
      </c>
      <c r="CZ66" s="543" t="str">
        <f t="shared" si="304"/>
      </c>
      <c r="DA66" s="547" t="str">
        <f t="shared" si="304"/>
      </c>
      <c r="DB66" s="543" t="str">
        <f t="shared" si="304"/>
      </c>
      <c r="DC66" s="543" t="str">
        <f t="shared" si="304"/>
      </c>
      <c r="DD66" s="543" t="str">
        <f t="shared" si="304"/>
      </c>
      <c r="DE66" s="547" t="str">
        <f t="shared" si="304"/>
      </c>
      <c r="DF66" s="543" t="str">
        <f t="shared" si="304"/>
      </c>
      <c r="DG66" s="543" t="str">
        <f t="shared" si="304"/>
      </c>
      <c r="DH66" s="543" t="str">
        <f t="shared" si="304"/>
      </c>
      <c r="DI66" s="547" t="str">
        <f t="shared" si="304"/>
      </c>
      <c r="DJ66" s="543" t="str">
        <f t="shared" si="304"/>
      </c>
      <c r="DK66" s="543" t="str">
        <f t="shared" si="304"/>
      </c>
      <c r="DL66" s="543" t="str">
        <f t="shared" si="304"/>
      </c>
      <c r="DM66" s="547" t="str">
        <f t="shared" si="304"/>
      </c>
      <c r="DN66" s="543" t="str">
        <f t="shared" si="304"/>
      </c>
      <c r="DO66" s="543" t="str">
        <f t="shared" si="304"/>
      </c>
      <c r="DP66" s="543" t="str">
        <f t="shared" si="304"/>
      </c>
      <c r="DQ66" s="2144" t="str">
        <f t="shared" si="304"/>
      </c>
      <c r="DR66" s="543" t="str">
        <f t="shared" si="304"/>
      </c>
      <c r="DS66" s="543" t="str">
        <f t="shared" si="304"/>
      </c>
      <c r="DT66" s="543" t="str">
        <f t="shared" si="304"/>
      </c>
      <c r="DU66" s="547" t="str">
        <f t="shared" si="304"/>
      </c>
      <c r="DV66" s="543" t="str">
        <f t="shared" ref="DV66:EK66" si="305">DV8</f>
      </c>
      <c r="DW66" s="543" t="str">
        <f t="shared" si="305"/>
      </c>
      <c r="DX66" s="543" t="str">
        <f t="shared" si="305"/>
      </c>
      <c r="DY66" s="547" t="str">
        <f t="shared" si="305"/>
      </c>
      <c r="DZ66" s="543" t="str">
        <f t="shared" si="305"/>
      </c>
      <c r="EA66" s="543" t="str">
        <f t="shared" si="305"/>
      </c>
      <c r="EB66" s="543" t="str">
        <f t="shared" si="305"/>
      </c>
      <c r="EC66" s="547" t="str">
        <f t="shared" si="305"/>
      </c>
      <c r="ED66" s="543" t="str">
        <f t="shared" si="305"/>
      </c>
      <c r="EE66" s="543" t="str">
        <f t="shared" si="305"/>
      </c>
      <c r="EF66" s="543" t="str">
        <f t="shared" si="305"/>
      </c>
      <c r="EG66" s="547" t="str">
        <f t="shared" si="305"/>
      </c>
      <c r="EH66" s="543" t="str">
        <f t="shared" si="305"/>
      </c>
      <c r="EI66" s="543" t="str">
        <f t="shared" si="305"/>
      </c>
      <c r="EJ66" s="543" t="str">
        <f t="shared" si="305"/>
      </c>
      <c r="EK66" s="547" t="str">
        <f t="shared" si="305"/>
      </c>
      <c r="EL66" s="516"/>
      <c r="EM66" s="516"/>
      <c r="EN66" s="516"/>
      <c r="EO66" s="516"/>
      <c r="EP66" s="516"/>
      <c r="EQ66" s="516"/>
      <c r="ER66" s="516"/>
      <c r="ES66" s="516"/>
      <c r="ET66" s="516"/>
      <c r="EU66" s="516"/>
      <c r="EV66" s="516"/>
      <c r="EW66" s="516"/>
      <c r="EX66" s="516"/>
      <c r="EY66" s="516"/>
      <c r="EZ66" s="516"/>
      <c r="FA66" s="516"/>
      <c r="FB66" s="516"/>
      <c r="FC66" s="516"/>
      <c r="FD66" s="516"/>
      <c r="FE66" s="516"/>
      <c r="FF66" s="516"/>
      <c r="FG66" s="46"/>
      <c r="FH66" s="516"/>
      <c r="FI66" s="516"/>
      <c r="FJ66" s="516"/>
      <c r="FK66" s="516"/>
      <c r="FL66" s="516"/>
      <c r="FM66" s="516"/>
      <c r="FN66" s="516"/>
      <c r="FO66" s="516"/>
      <c r="FP66" s="516"/>
      <c r="FQ66" s="516"/>
      <c r="FR66" s="516"/>
      <c r="FS66" s="516"/>
      <c r="FT66" s="516"/>
      <c r="FU66" s="516"/>
      <c r="FV66" s="516"/>
      <c r="FX66" s="516"/>
      <c r="FY66" s="516"/>
      <c r="FZ66" s="516"/>
      <c r="GA66" s="516"/>
      <c r="GB66" s="516"/>
      <c r="GC66" s="516"/>
      <c r="GD66" s="516"/>
      <c r="GE66" s="516"/>
      <c r="GF66" s="516"/>
      <c r="GG66" s="516"/>
      <c r="GH66" s="516"/>
      <c r="GI66" s="516"/>
    </row>
    <row r="67" spans="1:191" s="1" customFormat="1">
      <c r="A67" s="1692"/>
      <c r="B67" s="576"/>
      <c r="C67" s="576"/>
      <c r="D67" s="576"/>
      <c r="E67" s="578"/>
      <c r="F67" s="576"/>
      <c r="G67" s="576"/>
      <c r="H67" s="576"/>
      <c r="I67" s="578"/>
      <c r="J67" s="576"/>
      <c r="K67" s="576"/>
      <c r="L67" s="576"/>
      <c r="M67" s="578"/>
      <c r="N67" s="576"/>
      <c r="O67" s="576"/>
      <c r="P67" s="576"/>
      <c r="Q67" s="578"/>
      <c r="R67" s="576"/>
      <c r="S67" s="576"/>
      <c r="T67" s="576"/>
      <c r="U67" s="578"/>
      <c r="V67" s="576"/>
      <c r="W67" s="576"/>
      <c r="X67" s="576"/>
      <c r="Y67" s="578"/>
      <c r="Z67" s="576"/>
      <c r="AA67" s="576"/>
      <c r="AB67" s="576"/>
      <c r="AC67" s="578"/>
      <c r="AD67" s="576"/>
      <c r="AE67" s="576"/>
      <c r="AF67" s="576"/>
      <c r="AG67" s="578"/>
      <c r="AH67" s="576"/>
      <c r="AI67" s="576"/>
      <c r="AJ67" s="576"/>
      <c r="AK67" s="578"/>
      <c r="AL67" s="576"/>
      <c r="AM67" s="576"/>
      <c r="AN67" s="576"/>
      <c r="AO67" s="578"/>
      <c r="AP67" s="576"/>
      <c r="AQ67" s="576"/>
      <c r="AR67" s="576"/>
      <c r="AS67" s="578"/>
      <c r="AT67" s="576"/>
      <c r="AU67" s="576"/>
      <c r="AV67" s="576"/>
      <c r="AW67" s="578"/>
      <c r="AX67" s="576"/>
      <c r="AY67" s="576"/>
      <c r="AZ67" s="576"/>
      <c r="BA67" s="578"/>
      <c r="BB67" s="576"/>
      <c r="BC67" s="576"/>
      <c r="BD67" s="576"/>
      <c r="BE67" s="578"/>
      <c r="BF67" s="576"/>
      <c r="BG67" s="576"/>
      <c r="BH67" s="576"/>
      <c r="BI67" s="578"/>
      <c r="BJ67" s="576"/>
      <c r="BK67" s="576"/>
      <c r="BL67" s="576"/>
      <c r="BM67" s="578"/>
      <c r="BN67" s="576"/>
      <c r="BO67" s="576"/>
      <c r="BP67" s="576"/>
      <c r="BQ67" s="578"/>
      <c r="BR67" s="576"/>
      <c r="BS67" s="576"/>
      <c r="BT67" s="576"/>
      <c r="BU67" s="578"/>
      <c r="BV67" s="576"/>
      <c r="BW67" s="576"/>
      <c r="BX67" s="576"/>
      <c r="BY67" s="578"/>
      <c r="BZ67" s="576"/>
      <c r="CA67" s="576"/>
      <c r="CB67" s="576"/>
      <c r="CC67" s="578"/>
      <c r="CD67" s="576"/>
      <c r="CE67" s="576"/>
      <c r="CF67" s="576"/>
      <c r="CG67" s="578"/>
      <c r="CH67" s="576"/>
      <c r="CI67" s="576"/>
      <c r="CJ67" s="576"/>
      <c r="CK67" s="578"/>
      <c r="CL67" s="576">
        <f>CL9</f>
      </c>
      <c r="CM67" s="576">
        <f t="shared" ref="CM67:DU67" si="306">CM9</f>
      </c>
      <c r="CN67" s="576">
        <f t="shared" si="306"/>
      </c>
      <c r="CO67" s="578">
        <f t="shared" si="306"/>
      </c>
      <c r="CP67" s="576">
        <f t="shared" si="306"/>
      </c>
      <c r="CQ67" s="576">
        <f t="shared" si="306"/>
      </c>
      <c r="CR67" s="576">
        <f t="shared" si="306"/>
      </c>
      <c r="CS67" s="578">
        <f t="shared" si="306"/>
      </c>
      <c r="CT67" s="576">
        <f t="shared" si="306"/>
      </c>
      <c r="CU67" s="576">
        <f t="shared" si="306"/>
      </c>
      <c r="CV67" s="576">
        <f t="shared" si="306"/>
      </c>
      <c r="CW67" s="578">
        <f t="shared" si="306"/>
      </c>
      <c r="CX67" s="576">
        <f t="shared" si="306"/>
      </c>
      <c r="CY67" s="576">
        <f t="shared" si="306"/>
      </c>
      <c r="CZ67" s="576">
        <f t="shared" si="306"/>
      </c>
      <c r="DA67" s="578">
        <f t="shared" si="306"/>
      </c>
      <c r="DB67" s="576">
        <f t="shared" si="306"/>
      </c>
      <c r="DC67" s="576">
        <f t="shared" si="306"/>
      </c>
      <c r="DD67" s="576">
        <f t="shared" si="306"/>
      </c>
      <c r="DE67" s="578">
        <f t="shared" si="306"/>
      </c>
      <c r="DF67" s="576">
        <f t="shared" si="306"/>
      </c>
      <c r="DG67" s="576">
        <f t="shared" si="306"/>
      </c>
      <c r="DH67" s="576">
        <f t="shared" si="306"/>
      </c>
      <c r="DI67" s="578">
        <f t="shared" si="306"/>
      </c>
      <c r="DJ67" s="576">
        <f t="shared" si="306"/>
      </c>
      <c r="DK67" s="576">
        <f t="shared" si="306"/>
      </c>
      <c r="DL67" s="576">
        <f t="shared" si="306"/>
      </c>
      <c r="DM67" s="578">
        <f t="shared" si="306"/>
      </c>
      <c r="DN67" s="576">
        <f t="shared" si="306"/>
      </c>
      <c r="DO67" s="576">
        <f t="shared" si="306"/>
      </c>
      <c r="DP67" s="576">
        <f t="shared" si="306"/>
      </c>
      <c r="DQ67" s="578">
        <f t="shared" si="306"/>
      </c>
      <c r="DR67" s="576">
        <f t="shared" si="306"/>
      </c>
      <c r="DS67" s="576">
        <f t="shared" si="306"/>
      </c>
      <c r="DT67" s="576">
        <f t="shared" si="306"/>
      </c>
      <c r="DU67" s="578">
        <f t="shared" si="306"/>
      </c>
      <c r="DV67" s="576">
        <f t="shared" ref="DV67:EK67" si="307">DV9</f>
      </c>
      <c r="DW67" s="576">
        <f t="shared" si="307"/>
      </c>
      <c r="DX67" s="576">
        <f t="shared" si="307"/>
      </c>
      <c r="DY67" s="578">
        <f t="shared" si="307"/>
      </c>
      <c r="DZ67" s="576">
        <f t="shared" si="307"/>
      </c>
      <c r="EA67" s="576">
        <f t="shared" si="307"/>
      </c>
      <c r="EB67" s="576">
        <f t="shared" si="307"/>
      </c>
      <c r="EC67" s="578">
        <f t="shared" si="307"/>
      </c>
      <c r="ED67" s="576">
        <f t="shared" si="307"/>
      </c>
      <c r="EE67" s="576">
        <f t="shared" si="307"/>
      </c>
      <c r="EF67" s="576">
        <f t="shared" si="307"/>
      </c>
      <c r="EG67" s="578">
        <f t="shared" si="307"/>
      </c>
      <c r="EH67" s="576">
        <f t="shared" si="307"/>
      </c>
      <c r="EI67" s="576">
        <f t="shared" si="307"/>
      </c>
      <c r="EJ67" s="576">
        <f t="shared" si="307"/>
      </c>
      <c r="EK67" s="578">
        <f t="shared" si="307"/>
      </c>
      <c r="EN67" s="3"/>
      <c r="EO67" s="3"/>
      <c r="EP67" s="3"/>
      <c r="EQ67" s="3"/>
      <c r="ER67" s="3"/>
      <c r="ES67" s="3"/>
      <c r="ET67" s="3"/>
      <c r="EU67" s="3"/>
      <c r="EV67" s="3"/>
      <c r="EW67" s="3"/>
      <c r="EX67" s="3"/>
      <c r="EY67" s="3"/>
      <c r="EZ67" s="3"/>
      <c r="FA67" s="3"/>
      <c r="FB67" s="3"/>
      <c r="FC67" s="3"/>
      <c r="FD67" s="3"/>
      <c r="FE67" s="3"/>
      <c r="FF67" s="3"/>
      <c r="FG67" s="3"/>
      <c r="FH67" s="3"/>
      <c r="FI67" s="3"/>
      <c r="FJ67" s="3"/>
      <c r="FK67" s="3"/>
      <c r="FL67" s="3"/>
      <c r="FM67" s="3"/>
      <c r="FN67" s="3"/>
      <c r="FO67" s="3"/>
      <c r="FP67" s="3"/>
      <c r="FQ67" s="3"/>
      <c r="FR67" s="3"/>
      <c r="FS67" s="3"/>
      <c r="FT67" s="3"/>
      <c r="FU67" s="3"/>
      <c r="FV67" s="3"/>
      <c r="FW67" s="3"/>
      <c r="FX67" s="3"/>
      <c r="FY67" s="3"/>
      <c r="FZ67" s="3"/>
      <c r="GA67" s="3"/>
      <c r="GB67" s="3"/>
      <c r="GC67" s="3"/>
      <c r="GD67" s="3"/>
      <c r="GE67" s="3"/>
      <c r="GF67" s="3"/>
      <c r="GG67" s="3"/>
      <c r="GH67" s="3"/>
      <c r="GI67" s="3"/>
    </row>
    <row r="68" spans="1:191" s="15" customFormat="1">
      <c r="A68" s="60" t="s">
        <v>1446</v>
      </c>
      <c r="B68" s="60"/>
      <c r="C68" s="60"/>
      <c r="D68" s="60"/>
      <c r="E68" s="60"/>
      <c r="F68" s="60"/>
      <c r="G68" s="60"/>
      <c r="H68" s="60"/>
      <c r="I68" s="60"/>
      <c r="J68" s="60"/>
      <c r="K68" s="60"/>
      <c r="L68" s="60"/>
      <c r="M68" s="60"/>
      <c r="N68" s="60"/>
      <c r="O68" s="60"/>
      <c r="P68" s="60"/>
      <c r="Q68" s="60"/>
      <c r="R68" s="60"/>
      <c r="S68" s="60"/>
      <c r="T68" s="60"/>
      <c r="U68" s="60"/>
      <c r="V68" s="60"/>
      <c r="W68" s="60"/>
      <c r="X68" s="60"/>
      <c r="Y68" s="60"/>
      <c r="Z68" s="60"/>
      <c r="AA68" s="60"/>
      <c r="AB68" s="60"/>
      <c r="AC68" s="60"/>
      <c r="AD68" s="60"/>
      <c r="AE68" s="60"/>
      <c r="AF68" s="60"/>
      <c r="AG68" s="60"/>
      <c r="AH68" s="60"/>
      <c r="AI68" s="60"/>
      <c r="AJ68" s="60"/>
      <c r="AK68" s="60"/>
      <c r="AL68" s="60"/>
      <c r="AM68" s="60"/>
      <c r="AN68" s="60"/>
      <c r="AO68" s="60"/>
      <c r="AP68" s="60"/>
      <c r="AQ68" s="60"/>
      <c r="AR68" s="60"/>
      <c r="AS68" s="60"/>
      <c r="AT68" s="60"/>
      <c r="AU68" s="60"/>
      <c r="AV68" s="60"/>
      <c r="AW68" s="60"/>
      <c r="AX68" s="60"/>
      <c r="AY68" s="60"/>
      <c r="AZ68" s="60"/>
      <c r="BA68" s="60"/>
      <c r="BB68" s="60"/>
      <c r="BC68" s="60"/>
      <c r="BD68" s="60"/>
      <c r="BE68" s="60"/>
      <c r="BF68" s="60"/>
      <c r="BG68" s="60"/>
      <c r="BH68" s="60"/>
      <c r="BI68" s="60"/>
      <c r="BJ68" s="60"/>
      <c r="BK68" s="60"/>
      <c r="BL68" s="60"/>
      <c r="BM68" s="60"/>
      <c r="BN68" s="60"/>
      <c r="BO68" s="60"/>
      <c r="BP68" s="60"/>
      <c r="BQ68" s="60"/>
      <c r="BR68" s="60"/>
      <c r="BS68" s="60"/>
      <c r="BT68" s="60"/>
      <c r="BU68" s="60"/>
      <c r="BV68" s="60"/>
      <c r="BW68" s="60"/>
      <c r="BX68" s="60"/>
      <c r="BY68" s="60"/>
      <c r="BZ68" s="60"/>
      <c r="CA68" s="60"/>
      <c r="CB68" s="60"/>
      <c r="CC68" s="60"/>
      <c r="CD68" s="60"/>
      <c r="CE68" s="60"/>
      <c r="CF68" s="60"/>
      <c r="CG68" s="60"/>
      <c r="CH68" s="60"/>
      <c r="CI68" s="60"/>
      <c r="CJ68" s="60"/>
      <c r="CK68" s="60"/>
      <c r="CL68" s="60"/>
      <c r="CM68" s="60"/>
      <c r="CN68" s="60"/>
      <c r="CO68" s="60"/>
      <c r="CP68" s="60"/>
      <c r="CQ68" s="60"/>
      <c r="CR68" s="60"/>
      <c r="CS68" s="60"/>
      <c r="CT68" s="60"/>
      <c r="CU68" s="60"/>
      <c r="CV68" s="60"/>
      <c r="CW68" s="60"/>
      <c r="CX68" s="60"/>
      <c r="CY68" s="60"/>
      <c r="CZ68" s="60"/>
      <c r="DA68" s="60"/>
      <c r="DB68" s="2706">
        <v>16426.786</v>
      </c>
      <c r="DC68" s="553">
        <f t="shared" ref="DC68:DD68" si="308">DB73</f>
      </c>
      <c r="DD68" s="553">
        <f t="shared" si="308"/>
      </c>
      <c r="DE68" s="552">
        <f>DD73</f>
      </c>
      <c r="DF68" s="553">
        <f>DE74</f>
      </c>
      <c r="DG68" s="553">
        <f t="shared" ref="DG68" si="309">DF73</f>
      </c>
      <c r="DH68" s="553">
        <f t="shared" ref="DH68:DU68" si="310">DG74</f>
      </c>
      <c r="DI68" s="551">
        <f t="shared" si="310"/>
      </c>
      <c r="DJ68" s="553">
        <f>DI74</f>
      </c>
      <c r="DK68" s="553">
        <f t="shared" ref="DK68" si="311">DJ73</f>
      </c>
      <c r="DL68" s="553">
        <f t="shared" si="310"/>
      </c>
      <c r="DM68" s="552">
        <f t="shared" si="310"/>
      </c>
      <c r="DN68" s="553">
        <f>DM74</f>
      </c>
      <c r="DO68" s="553">
        <f t="shared" ref="DO68" si="312">DN73</f>
      </c>
      <c r="DP68" s="553">
        <f t="shared" si="310"/>
      </c>
      <c r="DQ68" s="552">
        <f t="shared" si="310"/>
      </c>
      <c r="DR68" s="553">
        <f>DQ74</f>
      </c>
      <c r="DS68" s="553">
        <f t="shared" si="310"/>
      </c>
      <c r="DT68" s="553">
        <f t="shared" si="310"/>
      </c>
      <c r="DU68" s="552">
        <f t="shared" si="310"/>
      </c>
      <c r="DV68" s="553">
        <f>DU74</f>
      </c>
      <c r="DW68" s="553">
        <f t="shared" ref="DW68" si="313">DV74</f>
      </c>
      <c r="DX68" s="553">
        <f t="shared" ref="DX68" si="314">DW74</f>
      </c>
      <c r="DY68" s="552">
        <f t="shared" ref="DY68" si="315">DX74</f>
      </c>
      <c r="DZ68" s="553">
        <f>DY74</f>
      </c>
      <c r="EA68" s="553">
        <f t="shared" ref="EA68" si="316">DZ74</f>
      </c>
      <c r="EB68" s="553">
        <f t="shared" ref="EB68" si="317">EA74</f>
      </c>
      <c r="EC68" s="552">
        <f t="shared" ref="EC68" si="318">EB74</f>
      </c>
      <c r="ED68" s="553">
        <f>EC74</f>
      </c>
      <c r="EE68" s="553">
        <f t="shared" ref="EE68" si="319">ED74</f>
      </c>
      <c r="EF68" s="553">
        <f t="shared" ref="EF68" si="320">EE74</f>
      </c>
      <c r="EG68" s="552">
        <f t="shared" ref="EG68" si="321">EF74</f>
      </c>
      <c r="EH68" s="553">
        <f>EG74</f>
      </c>
      <c r="EI68" s="553">
        <f t="shared" ref="EI68" si="322">EH74</f>
      </c>
      <c r="EJ68" s="553">
        <f t="shared" ref="EJ68" si="323">EI74</f>
      </c>
      <c r="EK68" s="552">
        <f t="shared" ref="EK68" si="324">EJ74</f>
      </c>
    </row>
    <row r="69" spans="1:191" s="15" customFormat="1">
      <c r="A69" s="15" t="s">
        <v>1441</v>
      </c>
      <c r="DB69" s="2707">
        <f t="shared" ref="DB69:DJ69" si="325">-(DA73-DB73-DB72)</f>
      </c>
      <c r="DC69" s="316">
        <f t="shared" si="325"/>
      </c>
      <c r="DD69" s="316">
        <f t="shared" si="325"/>
      </c>
      <c r="DE69" s="317">
        <f t="shared" si="325"/>
      </c>
      <c r="DF69" s="316">
        <f t="shared" si="325"/>
      </c>
      <c r="DG69" s="316">
        <f t="shared" si="325"/>
      </c>
      <c r="DH69" s="316">
        <f t="shared" si="325"/>
      </c>
      <c r="DI69" s="317">
        <f t="shared" si="325"/>
      </c>
      <c r="DJ69" s="316">
        <f t="shared" si="325"/>
      </c>
      <c r="DK69" s="316">
        <f>-(DJ73-DK73-DK72)</f>
      </c>
      <c r="DL69" s="316">
        <f>-(DK73-DL73-DL72)</f>
      </c>
      <c r="DM69" s="317">
        <f t="shared" ref="DM69:DN69" si="326">-(DL73-DM73-DM72)</f>
      </c>
      <c r="DN69" s="316">
        <f t="shared" si="326"/>
      </c>
      <c r="DO69" s="316">
        <f>-(DN73-DO73-DO72)</f>
      </c>
      <c r="DP69" s="1699">
        <f t="shared" ref="DP69:DU69" si="327">DP13/DP70+DP38/DP70</f>
      </c>
      <c r="DQ69" s="1698">
        <f t="shared" si="327"/>
      </c>
      <c r="DR69" s="1699">
        <f t="shared" si="327"/>
      </c>
      <c r="DS69" s="1699">
        <f t="shared" si="327"/>
      </c>
      <c r="DT69" s="1699">
        <f t="shared" si="327"/>
      </c>
      <c r="DU69" s="1698">
        <f t="shared" si="327"/>
      </c>
      <c r="DV69" s="1699">
        <f t="shared" ref="DV69:EK69" si="328">DV13/DV70+DV38/DV70</f>
      </c>
      <c r="DW69" s="1699">
        <f t="shared" si="328"/>
      </c>
      <c r="DX69" s="1699">
        <f t="shared" si="328"/>
      </c>
      <c r="DY69" s="1698">
        <f t="shared" si="328"/>
      </c>
      <c r="DZ69" s="1699">
        <f t="shared" si="328"/>
      </c>
      <c r="EA69" s="1699">
        <f t="shared" si="328"/>
      </c>
      <c r="EB69" s="1699">
        <f t="shared" si="328"/>
      </c>
      <c r="EC69" s="1698">
        <f t="shared" si="328"/>
      </c>
      <c r="ED69" s="1699">
        <f t="shared" si="328"/>
      </c>
      <c r="EE69" s="1699">
        <f t="shared" si="328"/>
      </c>
      <c r="EF69" s="1699">
        <f t="shared" si="328"/>
      </c>
      <c r="EG69" s="1698">
        <f t="shared" si="328"/>
      </c>
      <c r="EH69" s="1699">
        <f t="shared" si="328"/>
      </c>
      <c r="EI69" s="1699">
        <f t="shared" si="328"/>
      </c>
      <c r="EJ69" s="1699">
        <f t="shared" si="328"/>
      </c>
      <c r="EK69" s="1698">
        <f t="shared" si="328"/>
      </c>
    </row>
    <row r="70" spans="1:191" s="67" customFormat="1">
      <c r="A70" s="1694" t="s">
        <v>1443</v>
      </c>
      <c r="DB70" s="2708">
        <f>DB71/DB72</f>
      </c>
      <c r="DC70" s="1695">
        <f t="shared" ref="DC70:DE70" si="329">DC71/DC72</f>
      </c>
      <c r="DD70" s="1695">
        <f t="shared" si="329"/>
      </c>
      <c r="DE70" s="1701">
        <f t="shared" si="329"/>
      </c>
      <c r="DF70" s="1695">
        <f>DF71/DF72</f>
      </c>
      <c r="DG70" s="1695">
        <f t="shared" ref="DG70:DI70" si="330">DG71/DG72</f>
      </c>
      <c r="DH70" s="1695">
        <f t="shared" si="330"/>
      </c>
      <c r="DI70" s="1701">
        <f t="shared" si="330"/>
      </c>
      <c r="DJ70" s="1695">
        <f>DJ71/DJ72</f>
      </c>
      <c r="DK70" s="1695">
        <f t="shared" ref="DK70:DM70" si="331">DK71/DK72</f>
      </c>
      <c r="DL70" s="1695">
        <f t="shared" si="331"/>
      </c>
      <c r="DM70" s="1701">
        <f t="shared" si="331"/>
      </c>
      <c r="DN70" s="1695">
        <f>DN71/DN72</f>
      </c>
      <c r="DO70" s="1695">
        <f t="shared" ref="DO70" si="332">DO71/DO72</f>
      </c>
      <c r="DP70" s="1697">
        <v>205</v>
      </c>
      <c r="DQ70" s="1696">
        <f t="shared" ref="DQ70:EK70" si="333">DP70*1.02</f>
      </c>
      <c r="DR70" s="1697">
        <f t="shared" si="333"/>
      </c>
      <c r="DS70" s="1697">
        <f t="shared" si="333"/>
      </c>
      <c r="DT70" s="1697">
        <f t="shared" si="333"/>
      </c>
      <c r="DU70" s="1696">
        <f t="shared" si="333"/>
      </c>
      <c r="DV70" s="1697">
        <f t="shared" si="333"/>
      </c>
      <c r="DW70" s="1697">
        <f t="shared" si="333"/>
      </c>
      <c r="DX70" s="1697">
        <f t="shared" si="333"/>
      </c>
      <c r="DY70" s="1696">
        <f t="shared" si="333"/>
      </c>
      <c r="DZ70" s="1697">
        <f t="shared" si="333"/>
      </c>
      <c r="EA70" s="1697">
        <f t="shared" si="333"/>
      </c>
      <c r="EB70" s="1697">
        <f t="shared" si="333"/>
      </c>
      <c r="EC70" s="1696">
        <f t="shared" si="333"/>
      </c>
      <c r="ED70" s="1697">
        <f t="shared" si="333"/>
      </c>
      <c r="EE70" s="1697">
        <f t="shared" si="333"/>
      </c>
      <c r="EF70" s="1697">
        <f t="shared" si="333"/>
      </c>
      <c r="EG70" s="1696">
        <f t="shared" si="333"/>
      </c>
      <c r="EH70" s="1697">
        <f t="shared" si="333"/>
      </c>
      <c r="EI70" s="1697">
        <f t="shared" si="333"/>
      </c>
      <c r="EJ70" s="1697">
        <f t="shared" si="333"/>
      </c>
      <c r="EK70" s="1696">
        <f t="shared" si="333"/>
      </c>
    </row>
    <row r="71" spans="1:191">
      <c r="A71" s="1622" t="s">
        <v>1444</v>
      </c>
      <c r="CL71" s="1693"/>
      <c r="CM71" s="1693"/>
      <c r="CN71" s="1693"/>
      <c r="CO71" s="1693"/>
      <c r="CP71" s="1693"/>
      <c r="CQ71" s="1693"/>
      <c r="CR71" s="1693"/>
      <c r="CS71" s="1693"/>
      <c r="CT71" s="1693"/>
      <c r="CU71" s="1693"/>
      <c r="CV71" s="1693"/>
      <c r="CW71" s="1693"/>
      <c r="CX71" s="1693"/>
      <c r="CY71" s="1693"/>
      <c r="CZ71" s="1693"/>
      <c r="DA71" s="1693"/>
      <c r="DB71" s="2709">
        <f t="shared" ref="DB71:DU71" si="334">-DB42</f>
      </c>
      <c r="DC71" s="1693">
        <f t="shared" si="334"/>
      </c>
      <c r="DD71" s="1693">
        <f t="shared" si="334"/>
      </c>
      <c r="DE71" s="1700">
        <f t="shared" si="334"/>
      </c>
      <c r="DF71" s="1693">
        <f t="shared" ref="DF71:DG71" si="335">-DF42</f>
      </c>
      <c r="DG71" s="1693">
        <f t="shared" si="335"/>
      </c>
      <c r="DH71" s="1693">
        <f t="shared" si="334"/>
      </c>
      <c r="DI71" s="1700">
        <f t="shared" si="334"/>
      </c>
      <c r="DJ71" s="1693">
        <f t="shared" si="334"/>
      </c>
      <c r="DK71" s="1693">
        <f t="shared" si="334"/>
      </c>
      <c r="DL71" s="1693">
        <f t="shared" si="334"/>
      </c>
      <c r="DM71" s="1700">
        <f t="shared" si="334"/>
      </c>
      <c r="DN71" s="1693">
        <f t="shared" si="334"/>
      </c>
      <c r="DO71" s="1693">
        <f t="shared" ref="DO71" si="336">-DO42</f>
      </c>
      <c r="DP71" s="1693">
        <f t="shared" si="334"/>
      </c>
      <c r="DQ71" s="1700">
        <f t="shared" si="334"/>
      </c>
      <c r="DR71" s="1693">
        <f t="shared" si="334"/>
      </c>
      <c r="DS71" s="1693">
        <f t="shared" si="334"/>
      </c>
      <c r="DT71" s="1693">
        <f t="shared" si="334"/>
      </c>
      <c r="DU71" s="1700">
        <f t="shared" si="334"/>
      </c>
      <c r="DV71" s="1693">
        <f t="shared" ref="DV71:EK71" si="337">-DV42</f>
      </c>
      <c r="DW71" s="1693">
        <f t="shared" si="337"/>
      </c>
      <c r="DX71" s="1693">
        <f t="shared" si="337"/>
      </c>
      <c r="DY71" s="1700">
        <f t="shared" si="337"/>
      </c>
      <c r="DZ71" s="1693">
        <f t="shared" si="337"/>
      </c>
      <c r="EA71" s="1693">
        <f t="shared" si="337"/>
      </c>
      <c r="EB71" s="1693">
        <f t="shared" si="337"/>
      </c>
      <c r="EC71" s="1700">
        <f t="shared" si="337"/>
      </c>
      <c r="ED71" s="1693">
        <f t="shared" si="337"/>
      </c>
      <c r="EE71" s="1693">
        <f t="shared" si="337"/>
      </c>
      <c r="EF71" s="1693">
        <f t="shared" si="337"/>
      </c>
      <c r="EG71" s="1700">
        <f t="shared" si="337"/>
      </c>
      <c r="EH71" s="1693">
        <f t="shared" si="337"/>
      </c>
      <c r="EI71" s="1693">
        <f t="shared" si="337"/>
      </c>
      <c r="EJ71" s="1693">
        <f t="shared" si="337"/>
      </c>
      <c r="EK71" s="1700">
        <f t="shared" si="337"/>
      </c>
    </row>
    <row r="72" spans="1:191" s="15" customFormat="1">
      <c r="A72" s="15" t="s">
        <v>1442</v>
      </c>
      <c r="DB72" s="474">
        <v>124</v>
      </c>
      <c r="DC72" s="77">
        <f>266-DB72</f>
      </c>
      <c r="DD72" s="77">
        <f>408-DC72-DB72-DA72</f>
      </c>
      <c r="DE72" s="192">
        <f>160.172</f>
      </c>
      <c r="DF72" s="77">
        <v>133</v>
      </c>
      <c r="DG72" s="77">
        <v>129</v>
      </c>
      <c r="DH72" s="77">
        <v>103</v>
      </c>
      <c r="DI72" s="173">
        <v>106.595</v>
      </c>
      <c r="DJ72" s="77">
        <v>118</v>
      </c>
      <c r="DK72" s="77">
        <v>130.292</v>
      </c>
      <c r="DL72" s="77">
        <v>139</v>
      </c>
      <c r="DM72" s="173">
        <v>112.26</v>
      </c>
      <c r="DN72" s="77">
        <v>100</v>
      </c>
      <c r="DO72" s="77">
        <v>108</v>
      </c>
      <c r="DP72" s="62">
        <f t="shared" ref="DP72:DU72" si="338">DP71/DP70</f>
      </c>
      <c r="DQ72" s="226">
        <f t="shared" si="338"/>
      </c>
      <c r="DR72" s="62">
        <f t="shared" si="338"/>
      </c>
      <c r="DS72" s="62">
        <f t="shared" si="338"/>
      </c>
      <c r="DT72" s="62">
        <f t="shared" si="338"/>
      </c>
      <c r="DU72" s="226">
        <f t="shared" si="338"/>
      </c>
      <c r="DV72" s="62">
        <f t="shared" ref="DV72:EK72" si="339">DV71/DV70</f>
      </c>
      <c r="DW72" s="62">
        <f t="shared" si="339"/>
      </c>
      <c r="DX72" s="62">
        <f t="shared" si="339"/>
      </c>
      <c r="DY72" s="226">
        <f t="shared" si="339"/>
      </c>
      <c r="DZ72" s="62">
        <f t="shared" si="339"/>
      </c>
      <c r="EA72" s="62">
        <f t="shared" si="339"/>
      </c>
      <c r="EB72" s="62">
        <f t="shared" si="339"/>
      </c>
      <c r="EC72" s="226">
        <f t="shared" si="339"/>
      </c>
      <c r="ED72" s="62">
        <f t="shared" si="339"/>
      </c>
      <c r="EE72" s="62">
        <f t="shared" si="339"/>
      </c>
      <c r="EF72" s="62">
        <f t="shared" si="339"/>
      </c>
      <c r="EG72" s="226">
        <f t="shared" si="339"/>
      </c>
      <c r="EH72" s="62">
        <f t="shared" si="339"/>
      </c>
      <c r="EI72" s="62">
        <f t="shared" si="339"/>
      </c>
      <c r="EJ72" s="62">
        <f t="shared" si="339"/>
      </c>
      <c r="EK72" s="226">
        <f t="shared" si="339"/>
      </c>
    </row>
    <row r="73" spans="1:191" s="15" customFormat="1">
      <c r="A73" s="15" t="s">
        <v>1447</v>
      </c>
      <c r="DA73" s="34">
        <v>16426.786</v>
      </c>
      <c r="DB73" s="474">
        <v>16319.441000000001</v>
      </c>
      <c r="DC73" s="77">
        <v>16185.181</v>
      </c>
      <c r="DD73" s="77">
        <v>16070.752</v>
      </c>
      <c r="DE73" s="192">
        <v>15943.424999999999</v>
      </c>
      <c r="DF73" s="77">
        <v>15821.946</v>
      </c>
      <c r="DG73" s="77">
        <v>15728.701999999999</v>
      </c>
      <c r="DH73" s="77">
        <v>15643.232</v>
      </c>
      <c r="DI73" s="173">
        <v>15550.061</v>
      </c>
      <c r="DJ73" s="77">
        <v>15460.223</v>
      </c>
      <c r="DK73" s="77">
        <v>15337.686</v>
      </c>
      <c r="DL73" s="77">
        <v>15204.137000000001</v>
      </c>
      <c r="DM73" s="77">
        <v>15115.823</v>
      </c>
      <c r="DN73" s="77">
        <v>15022.073</v>
      </c>
      <c r="DO73" s="77">
        <v>14939.315000000001</v>
      </c>
      <c r="DP73" s="62">
        <f t="shared" ref="DP73" si="340">DO73+DP69-DP72</f>
      </c>
      <c r="DQ73" s="226">
        <f t="shared" ref="DQ73" si="341">DP73+DQ69-DQ72</f>
      </c>
      <c r="DR73" s="62">
        <f>DQ73+DR69-DR72</f>
      </c>
      <c r="DS73" s="62">
        <f t="shared" ref="DS73" si="342">DR73+DS69-DS72</f>
      </c>
      <c r="DT73" s="62">
        <f t="shared" ref="DT73" si="343">DS73+DT69-DT72</f>
      </c>
      <c r="DU73" s="226">
        <f t="shared" ref="DU73" si="344">DT73+DU69-DU72</f>
      </c>
      <c r="DV73" s="62">
        <f>DU73+DV69-DV72</f>
      </c>
      <c r="DW73" s="62">
        <f t="shared" ref="DW73" si="345">DV73+DW69-DW72</f>
      </c>
      <c r="DX73" s="62">
        <f t="shared" ref="DX73" si="346">DW73+DX69-DX72</f>
      </c>
      <c r="DY73" s="226">
        <f t="shared" ref="DY73" si="347">DX73+DY69-DY72</f>
      </c>
      <c r="DZ73" s="62">
        <f>DY73+DZ69-DZ72</f>
      </c>
      <c r="EA73" s="62">
        <f t="shared" ref="EA73" si="348">DZ73+EA69-EA72</f>
      </c>
      <c r="EB73" s="62">
        <f t="shared" ref="EB73" si="349">EA73+EB69-EB72</f>
      </c>
      <c r="EC73" s="226">
        <f t="shared" ref="EC73" si="350">EB73+EC69-EC72</f>
      </c>
      <c r="ED73" s="62">
        <f>EC73+ED69-ED72</f>
      </c>
      <c r="EE73" s="62">
        <f t="shared" ref="EE73" si="351">ED73+EE69-EE72</f>
      </c>
      <c r="EF73" s="62">
        <f t="shared" ref="EF73" si="352">EE73+EF69-EF72</f>
      </c>
      <c r="EG73" s="226">
        <f t="shared" ref="EG73" si="353">EF73+EG69-EG72</f>
      </c>
      <c r="EH73" s="62">
        <f>EG73+EH69-EH72</f>
      </c>
      <c r="EI73" s="62">
        <f t="shared" ref="EI73" si="354">EH73+EI69-EI72</f>
      </c>
      <c r="EJ73" s="62">
        <f t="shared" ref="EJ73" si="355">EI73+EJ69-EJ72</f>
      </c>
      <c r="EK73" s="226">
        <f t="shared" ref="EK73" si="356">EJ73+EK69-EK72</f>
      </c>
    </row>
    <row r="74" spans="1:191">
      <c r="A74" s="134" t="s">
        <v>1445</v>
      </c>
      <c r="B74" s="134"/>
      <c r="C74" s="134"/>
      <c r="D74" s="134"/>
      <c r="E74" s="134"/>
      <c r="F74" s="134"/>
      <c r="G74" s="134"/>
      <c r="H74" s="134"/>
      <c r="I74" s="134"/>
      <c r="J74" s="134"/>
      <c r="K74" s="134"/>
      <c r="L74" s="134"/>
      <c r="M74" s="134"/>
      <c r="N74" s="134"/>
      <c r="O74" s="134"/>
      <c r="P74" s="134"/>
      <c r="Q74" s="134"/>
      <c r="R74" s="134"/>
      <c r="S74" s="134"/>
      <c r="T74" s="134"/>
      <c r="U74" s="134"/>
      <c r="V74" s="134"/>
      <c r="W74" s="134"/>
      <c r="X74" s="134"/>
      <c r="Y74" s="134"/>
      <c r="Z74" s="134"/>
      <c r="AA74" s="134"/>
      <c r="AB74" s="134"/>
      <c r="AC74" s="134"/>
      <c r="AD74" s="134"/>
      <c r="AE74" s="134"/>
      <c r="AF74" s="134"/>
      <c r="AG74" s="134"/>
      <c r="AH74" s="134"/>
      <c r="AI74" s="134"/>
      <c r="AJ74" s="134"/>
      <c r="AK74" s="134"/>
      <c r="AL74" s="134"/>
      <c r="AM74" s="134"/>
      <c r="AN74" s="134"/>
      <c r="AO74" s="134"/>
      <c r="AP74" s="134"/>
      <c r="AQ74" s="134"/>
      <c r="AR74" s="134"/>
      <c r="AS74" s="134"/>
      <c r="AT74" s="134"/>
      <c r="AU74" s="134"/>
      <c r="AV74" s="134"/>
      <c r="AW74" s="134"/>
      <c r="AX74" s="134"/>
      <c r="AY74" s="134"/>
      <c r="AZ74" s="134"/>
      <c r="BA74" s="134"/>
      <c r="BB74" s="134"/>
      <c r="BC74" s="134"/>
      <c r="BD74" s="134"/>
      <c r="BE74" s="134"/>
      <c r="BF74" s="134"/>
      <c r="BG74" s="134"/>
      <c r="BH74" s="134"/>
      <c r="BI74" s="134"/>
      <c r="BJ74" s="134"/>
      <c r="BK74" s="134"/>
      <c r="BL74" s="134"/>
      <c r="BM74" s="134"/>
      <c r="BN74" s="134"/>
      <c r="BO74" s="134"/>
      <c r="BP74" s="134"/>
      <c r="BQ74" s="134"/>
      <c r="BR74" s="134"/>
      <c r="BS74" s="134"/>
      <c r="BT74" s="134"/>
      <c r="BU74" s="134"/>
      <c r="BV74" s="134"/>
      <c r="BW74" s="134"/>
      <c r="BX74" s="134"/>
      <c r="BY74" s="134"/>
      <c r="BZ74" s="134"/>
      <c r="CA74" s="134"/>
      <c r="CB74" s="134"/>
      <c r="CC74" s="134"/>
      <c r="CD74" s="134"/>
      <c r="CE74" s="134"/>
      <c r="CF74" s="134"/>
      <c r="CG74" s="134"/>
      <c r="CH74" s="134"/>
      <c r="CI74" s="134"/>
      <c r="CJ74" s="134"/>
      <c r="CK74" s="134"/>
      <c r="CL74" s="1702"/>
      <c r="CM74" s="1702"/>
      <c r="CN74" s="1702"/>
      <c r="CO74" s="1702"/>
      <c r="CP74" s="1702"/>
      <c r="CQ74" s="1702"/>
      <c r="CR74" s="1702"/>
      <c r="CS74" s="1702"/>
      <c r="CT74" s="1702"/>
      <c r="CU74" s="1702"/>
      <c r="CV74" s="1702"/>
      <c r="CW74" s="1702"/>
      <c r="CX74" s="1702"/>
      <c r="CY74" s="1702"/>
      <c r="CZ74" s="1702"/>
      <c r="DA74" s="1702"/>
      <c r="DB74" s="2710">
        <f>'Income Statement'!DB33</f>
      </c>
      <c r="DC74" s="1703">
        <f>'Income Statement'!DC33</f>
      </c>
      <c r="DD74" s="1703">
        <f>'Income Statement'!DD33</f>
      </c>
      <c r="DE74" s="1704">
        <f>'Income Statement'!DE33</f>
      </c>
      <c r="DF74" s="1703">
        <f>'Income Statement'!DF33</f>
      </c>
      <c r="DG74" s="1703">
        <f>'Income Statement'!DG33</f>
      </c>
      <c r="DH74" s="1703">
        <f>'Income Statement'!DH33</f>
      </c>
      <c r="DI74" s="1704">
        <f>'Income Statement'!DI33</f>
      </c>
      <c r="DJ74" s="1703">
        <f>'Income Statement'!DJ33</f>
      </c>
      <c r="DK74" s="1703">
        <f>'Income Statement'!DK33</f>
      </c>
      <c r="DL74" s="1703">
        <f>'Income Statement'!DL33</f>
      </c>
      <c r="DM74" s="1704">
        <f>'Income Statement'!DM33</f>
      </c>
      <c r="DN74" s="147">
        <f>AVERAGE(DN73,DN68)</f>
      </c>
      <c r="DO74" s="1703">
        <f>'Income Statement'!DO33</f>
      </c>
      <c r="DP74" s="147">
        <f t="shared" ref="DP74" si="357">AVERAGE(DP73,DP68)</f>
      </c>
      <c r="DQ74" s="272">
        <f t="shared" ref="DQ74" si="358">AVERAGE(DQ73,DQ68)</f>
      </c>
      <c r="DR74" s="147">
        <f>AVERAGE(DR73,DR68)</f>
      </c>
      <c r="DS74" s="147">
        <f t="shared" ref="DS74" si="359">AVERAGE(DS73,DS68)</f>
      </c>
      <c r="DT74" s="147">
        <f t="shared" ref="DT74" si="360">AVERAGE(DT73,DT68)</f>
      </c>
      <c r="DU74" s="272">
        <f t="shared" ref="DU74" si="361">AVERAGE(DU73,DU68)</f>
      </c>
      <c r="DV74" s="147">
        <f>AVERAGE(DV73,DV68)</f>
      </c>
      <c r="DW74" s="147">
        <f t="shared" ref="DW74:DY74" si="362">AVERAGE(DW73,DW68)</f>
      </c>
      <c r="DX74" s="147">
        <f t="shared" si="362"/>
      </c>
      <c r="DY74" s="272">
        <f t="shared" si="362"/>
      </c>
      <c r="DZ74" s="147">
        <f>AVERAGE(DZ73,DZ68)</f>
      </c>
      <c r="EA74" s="147">
        <f t="shared" ref="EA74:EC74" si="363">AVERAGE(EA73,EA68)</f>
      </c>
      <c r="EB74" s="147">
        <f t="shared" si="363"/>
      </c>
      <c r="EC74" s="272">
        <f t="shared" si="363"/>
      </c>
      <c r="ED74" s="147">
        <f>AVERAGE(ED73,ED68)</f>
      </c>
      <c r="EE74" s="147">
        <f t="shared" ref="EE74:EG74" si="364">AVERAGE(EE73,EE68)</f>
      </c>
      <c r="EF74" s="147">
        <f t="shared" si="364"/>
      </c>
      <c r="EG74" s="272">
        <f t="shared" si="364"/>
      </c>
      <c r="EH74" s="147">
        <f>AVERAGE(EH73,EH68)</f>
      </c>
      <c r="EI74" s="147">
        <f t="shared" ref="EI74:EK74" si="365">AVERAGE(EI73,EI68)</f>
      </c>
      <c r="EJ74" s="147">
        <f t="shared" si="365"/>
      </c>
      <c r="EK74" s="272">
        <f t="shared" si="365"/>
      </c>
    </row>
    <row r="75" spans="1:191">
      <c r="DE75" s="141"/>
      <c r="DF75" s="141"/>
      <c r="DG75" s="141"/>
      <c r="DH75" s="141"/>
      <c r="DI75" s="141"/>
      <c r="DM75" s="141"/>
      <c r="DQ75" s="141"/>
      <c r="DU75" s="141"/>
      <c r="DY75" s="141"/>
      <c r="EC75" s="141"/>
      <c r="EG75" s="141"/>
      <c r="EK75" s="141"/>
      <c r="FO75" s="15"/>
      <c r="FP75" s="15"/>
      <c r="FQ75" s="15"/>
      <c r="FR75" s="15"/>
      <c r="FS75" s="15"/>
      <c r="FT75" s="15"/>
      <c r="FU75" s="15"/>
      <c r="FV75" s="15"/>
    </row>
    <row r="76" spans="1:191">
      <c r="DB76" s="322"/>
      <c r="DD76" s="62"/>
      <c r="DI76" s="62"/>
      <c r="DJ76" s="62"/>
      <c r="FO76" s="15"/>
      <c r="FP76" s="15"/>
      <c r="FQ76" s="15"/>
      <c r="FR76" s="15"/>
      <c r="FS76" s="15"/>
      <c r="FT76" s="15"/>
    </row>
    <row r="77" spans="1:191">
      <c r="DE77" s="322"/>
      <c r="DF77" s="2390"/>
      <c r="FL77" s="2711"/>
      <c r="FM77" s="2711"/>
      <c r="FN77" s="2711"/>
      <c r="FO77" s="2711"/>
      <c r="FP77" s="2711"/>
      <c r="FQ77" s="2711"/>
      <c r="FR77" s="2711"/>
      <c r="FS77" s="58"/>
      <c r="FT77" s="58"/>
      <c r="FU77" s="58"/>
    </row>
    <row r="78" spans="1:191">
      <c r="DD78" s="62"/>
      <c r="DF78" s="361"/>
      <c r="FL78" s="58"/>
      <c r="FM78" s="58"/>
      <c r="FN78" s="58"/>
      <c r="FO78" s="58"/>
      <c r="FP78" s="58"/>
      <c r="FQ78" s="58"/>
      <c r="FR78" s="58"/>
    </row>
    <row r="79" spans="1:191">
      <c r="FM79" s="17">
        <f>FM54/'Income Statement'!FL9</f>
      </c>
      <c r="FN79" s="17"/>
      <c r="FO79" s="17"/>
      <c r="FP79" s="17"/>
      <c r="FQ79" s="17"/>
      <c r="FR79" s="17"/>
      <c r="FS79" s="17"/>
      <c r="FT79" s="17">
        <f>FT54/'Income Statement'!FS9</f>
      </c>
      <c r="FU79" s="17">
        <f>FU54/'Income Statement'!FT9</f>
      </c>
      <c r="FV79" s="17">
        <f>FV54/'Income Statement'!FU9</f>
      </c>
    </row>
  </sheetData>
  <dataValidations disablePrompts="1" count="1">
    <dataValidation type="custom" allowBlank="1" showInputMessage="1" showErrorMessage="1" sqref="BF9:CK9" xr:uid="{00000000-0002-0000-0B00-000000000000}">
      <formula1>-1</formula1>
    </dataValidation>
  </dataValidations>
  <pageMargins left="0.7" right="0.7" top="0.75" bottom="0.75" header="0.3" footer="0.3"/>
  <pageSetup scale="49" fitToWidth="0" fitToHeight="0" orientation="landscape" r:id="rId1"/>
  <headerFooter>
    <oddFooter>&amp;L&amp;P/&amp;N&amp;R&amp;F
&amp;A
&amp;D</oddFooter>
  </headerFooter>
  <customProperties>
    <customPr name="Qube.Worksheet.ID" r:id="rId2"/>
    <customPr name="Qube.Worksheet.Visibility" r:id="rId3"/>
    <customPr name="QXL_SHEET_ID" r:id="rId4"/>
  </customProperties>
  <drawing r:id="rId5"/>
  <legacyDrawing r:id="rId6"/>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9">
    <pageSetUpPr autoPageBreaks="0"/>
  </sheetPr>
  <dimension ref="A1:FJ99"/>
  <sheetViews>
    <sheetView showGridLines="0" zoomScale="115" zoomScaleNormal="115" zoomScaleSheetLayoutView="115" workbookViewId="0">
      <pane xSplit="1" ySplit="8" topLeftCell="CL9" activePane="bottomRight" state="frozen"/>
      <selection pane="topRight"/>
      <selection pane="bottomLeft"/>
      <selection pane="bottomRight"/>
    </sheetView>
  </sheetViews>
  <sheetFormatPr defaultColWidth="9" defaultRowHeight="10.199999999999999" outlineLevelCol="1"/>
  <cols>
    <col min="1" max="1" width="28.09765625" style="11" customWidth="1"/>
    <col min="2" max="45" width="9" style="11" hidden="1" customWidth="1" outlineLevel="1"/>
    <col min="46" max="46" width="9" style="11" hidden="1" customWidth="1" outlineLevel="1" collapsed="1"/>
    <col min="47" max="53" width="9" style="11" hidden="1" customWidth="1" outlineLevel="1"/>
    <col min="54" max="54" width="9" style="11" hidden="1" customWidth="1" outlineLevel="1" collapsed="1"/>
    <col min="55" max="69" width="9" style="11" hidden="1" customWidth="1" outlineLevel="1"/>
    <col min="70" max="70" width="9" style="11" hidden="1" customWidth="1" outlineLevel="1" collapsed="1"/>
    <col min="71" max="72" width="9" style="11" hidden="1" customWidth="1" outlineLevel="1"/>
    <col min="73" max="73" width="9.19921875" style="11" hidden="1" customWidth="1" outlineLevel="1"/>
    <col min="74" max="74" width="7.09765625" style="11" hidden="1" customWidth="1" outlineLevel="1" collapsed="1"/>
    <col min="75" max="81" width="7.09765625" style="11" hidden="1" customWidth="1" outlineLevel="1"/>
    <col min="82" max="82" width="7.09765625" style="11" hidden="1" customWidth="1" outlineLevel="1" collapsed="1"/>
    <col min="83" max="85" width="7.09765625" style="11" hidden="1" customWidth="1" outlineLevel="1"/>
    <col min="86" max="86" width="7.09765625" style="11" hidden="1" customWidth="1" outlineLevel="1" collapsed="1"/>
    <col min="87" max="89" width="7.09765625" style="11" hidden="1" customWidth="1" outlineLevel="1"/>
    <col min="90" max="90" width="7.09765625" style="11" customWidth="1" collapsed="1"/>
    <col min="91" max="105" width="7.09765625" style="11" customWidth="1"/>
    <col min="106" max="121" width="7.09765625" style="11" hidden="1" customWidth="1" outlineLevel="1"/>
    <col min="122" max="122" width="6" style="11" customWidth="1" collapsed="1"/>
    <col min="123" max="133" width="9" style="11" hidden="1" customWidth="1" outlineLevel="1"/>
    <col min="134" max="134" width="9" style="11" hidden="1" customWidth="1" outlineLevel="1" collapsed="1"/>
    <col min="135" max="139" width="9" style="11" hidden="1" customWidth="1" outlineLevel="1"/>
    <col min="140" max="140" width="9.3984375" style="11" hidden="1" customWidth="1" outlineLevel="1" collapsed="1"/>
    <col min="141" max="143" width="9.3984375" style="11" hidden="1" customWidth="1" outlineLevel="1"/>
    <col min="144" max="144" width="9.3984375" style="11" bestFit="1" customWidth="1" collapsed="1"/>
    <col min="145" max="149" width="9.3984375" style="11" bestFit="1" customWidth="1"/>
    <col min="150" max="152" width="9.3984375" style="11" hidden="1" customWidth="1" outlineLevel="1"/>
    <col min="153" max="153" width="9" style="11" collapsed="1"/>
    <col min="154" max="154" width="9" style="11"/>
    <col min="155" max="158" width="9" style="11" hidden="1" customWidth="1" outlineLevel="1"/>
    <col min="159" max="159" width="9.3984375" style="11" bestFit="1" customWidth="1" collapsed="1"/>
    <col min="160" max="162" width="9.3984375" style="11" bestFit="1" customWidth="1"/>
    <col min="163" max="16384" width="9" style="11"/>
  </cols>
  <sheetData>
    <row r="1" spans="1:166">
      <c r="A1" s="152"/>
      <c r="B1" s="89"/>
      <c r="C1" s="89"/>
      <c r="D1" s="89"/>
      <c r="E1" s="260"/>
      <c r="F1" s="89"/>
      <c r="G1" s="89"/>
      <c r="H1" s="89"/>
      <c r="I1" s="260"/>
      <c r="J1" s="89"/>
      <c r="K1" s="89"/>
      <c r="L1" s="89"/>
      <c r="M1" s="260"/>
      <c r="N1" s="89"/>
      <c r="O1" s="89"/>
      <c r="P1" s="89"/>
      <c r="Q1" s="260"/>
      <c r="R1" s="89"/>
      <c r="S1" s="89"/>
      <c r="T1" s="89"/>
      <c r="U1" s="260"/>
      <c r="V1" s="89"/>
      <c r="W1" s="89"/>
      <c r="X1" s="89"/>
      <c r="Y1" s="260"/>
      <c r="Z1" s="89"/>
      <c r="AA1" s="89"/>
      <c r="AB1" s="89"/>
      <c r="AC1" s="260"/>
      <c r="AD1" s="89"/>
      <c r="AE1" s="89"/>
      <c r="AF1" s="89"/>
      <c r="AG1" s="260"/>
      <c r="AH1" s="89"/>
      <c r="AI1" s="89"/>
      <c r="AJ1" s="89"/>
      <c r="AK1" s="260"/>
      <c r="AL1" s="89"/>
      <c r="AM1" s="89"/>
      <c r="AN1" s="89"/>
      <c r="AO1" s="260"/>
      <c r="AP1" s="89"/>
      <c r="AQ1" s="89"/>
      <c r="AR1" s="89"/>
      <c r="AS1" s="260"/>
      <c r="AT1" s="89"/>
      <c r="AU1" s="89"/>
      <c r="AV1" s="89"/>
      <c r="AW1" s="260"/>
      <c r="AX1" s="89"/>
      <c r="AY1" s="89"/>
      <c r="AZ1" s="89"/>
      <c r="BA1" s="260"/>
      <c r="BB1" s="89"/>
      <c r="BC1" s="89"/>
      <c r="BD1" s="89"/>
      <c r="BE1" s="260"/>
      <c r="BF1" s="89"/>
      <c r="BG1" s="89"/>
      <c r="BH1" s="89"/>
      <c r="BI1" s="260"/>
      <c r="BJ1" s="89"/>
      <c r="BK1" s="89"/>
      <c r="BL1" s="89"/>
      <c r="BM1" s="260"/>
      <c r="BN1" s="89"/>
      <c r="BO1" s="89"/>
      <c r="BP1" s="89"/>
      <c r="BQ1" s="260"/>
      <c r="BR1" s="89"/>
      <c r="BS1" s="89"/>
      <c r="BT1" s="89"/>
      <c r="BU1" s="260"/>
      <c r="BV1" s="89"/>
      <c r="BW1" s="89"/>
      <c r="BX1" s="89"/>
      <c r="BY1" s="260"/>
      <c r="BZ1" s="89"/>
      <c r="CA1" s="89"/>
      <c r="CB1" s="89"/>
      <c r="CC1" s="260"/>
      <c r="CD1" s="89"/>
      <c r="CE1" s="89"/>
      <c r="CF1" s="89"/>
      <c r="CG1" s="260"/>
      <c r="CH1" s="89"/>
      <c r="CI1" s="89"/>
      <c r="CJ1" s="89"/>
      <c r="CK1" s="260"/>
      <c r="CL1" s="89"/>
      <c r="CM1" s="89"/>
      <c r="CN1" s="89"/>
      <c r="CO1" s="260"/>
      <c r="CP1" s="89"/>
      <c r="CQ1" s="89"/>
      <c r="CR1" s="89"/>
      <c r="CS1" s="260"/>
      <c r="CT1" s="89"/>
      <c r="CU1" s="89"/>
      <c r="CV1" s="89"/>
      <c r="CW1" s="260"/>
      <c r="CX1" s="89"/>
      <c r="CY1" s="89"/>
      <c r="CZ1" s="89"/>
      <c r="DA1" s="260"/>
      <c r="DB1" s="89"/>
      <c r="DC1" s="89"/>
      <c r="DD1" s="89"/>
      <c r="DE1" s="260"/>
      <c r="DF1" s="89"/>
      <c r="DG1" s="89"/>
      <c r="DH1" s="89"/>
      <c r="DI1" s="260"/>
      <c r="DJ1" s="89"/>
      <c r="DK1" s="89"/>
      <c r="DL1" s="89"/>
      <c r="DM1" s="260"/>
      <c r="DN1" s="89"/>
      <c r="DO1" s="89"/>
      <c r="DP1" s="89"/>
      <c r="DQ1" s="260"/>
      <c r="DR1" s="89"/>
      <c r="DS1" s="89"/>
      <c r="DT1" s="89"/>
      <c r="DU1" s="89"/>
      <c r="DV1" s="89"/>
      <c r="DW1" s="89"/>
      <c r="DX1" s="89"/>
      <c r="DY1" s="89"/>
      <c r="DZ1" s="89"/>
      <c r="EA1" s="89"/>
      <c r="EB1" s="89"/>
      <c r="EC1" s="89"/>
      <c r="ED1" s="89"/>
      <c r="EE1" s="89"/>
      <c r="EF1" s="137"/>
      <c r="EG1" s="89"/>
      <c r="EH1" s="89"/>
      <c r="EI1" s="89"/>
      <c r="EJ1" s="88"/>
      <c r="EK1" s="89"/>
      <c r="EL1" s="537"/>
      <c r="EM1" s="89"/>
      <c r="EN1" s="88"/>
      <c r="EO1" s="89"/>
      <c r="EP1" s="89"/>
      <c r="EQ1" s="89"/>
      <c r="ER1" s="89"/>
      <c r="ES1" s="89"/>
      <c r="ET1" s="89"/>
      <c r="EU1" s="89"/>
      <c r="EV1" s="89"/>
      <c r="EW1" s="89"/>
      <c r="EX1" s="89"/>
      <c r="EY1" s="89"/>
      <c r="EZ1" s="89"/>
      <c r="FA1" s="89"/>
      <c r="FB1" s="89"/>
      <c r="FC1" s="89"/>
      <c r="FD1" s="89"/>
      <c r="FE1" s="89"/>
      <c r="FF1" s="89"/>
      <c r="FG1" s="89"/>
      <c r="FH1" s="89"/>
      <c r="FI1" s="89"/>
      <c r="FJ1" s="89"/>
    </row>
    <row r="2" spans="1:166">
      <c r="A2" s="152"/>
      <c r="B2" s="89"/>
      <c r="C2" s="89"/>
      <c r="D2" s="89"/>
      <c r="E2" s="260"/>
      <c r="F2" s="89"/>
      <c r="G2" s="89"/>
      <c r="H2" s="89"/>
      <c r="I2" s="260"/>
      <c r="J2" s="89"/>
      <c r="K2" s="89"/>
      <c r="L2" s="89"/>
      <c r="M2" s="260"/>
      <c r="N2" s="89"/>
      <c r="O2" s="89"/>
      <c r="P2" s="89"/>
      <c r="Q2" s="260"/>
      <c r="R2" s="89"/>
      <c r="S2" s="89"/>
      <c r="T2" s="89"/>
      <c r="U2" s="260"/>
      <c r="V2" s="89"/>
      <c r="W2" s="89"/>
      <c r="X2" s="89"/>
      <c r="Y2" s="260"/>
      <c r="Z2" s="89"/>
      <c r="AA2" s="89"/>
      <c r="AB2" s="89"/>
      <c r="AC2" s="260"/>
      <c r="AD2" s="89"/>
      <c r="AE2" s="89"/>
      <c r="AF2" s="89"/>
      <c r="AG2" s="260"/>
      <c r="AH2" s="89"/>
      <c r="AI2" s="89"/>
      <c r="AJ2" s="89"/>
      <c r="AK2" s="260"/>
      <c r="AL2" s="89"/>
      <c r="AM2" s="89"/>
      <c r="AN2" s="89"/>
      <c r="AO2" s="260"/>
      <c r="AP2" s="89"/>
      <c r="AQ2" s="89"/>
      <c r="AR2" s="89"/>
      <c r="AS2" s="260"/>
      <c r="AT2" s="89"/>
      <c r="AU2" s="89"/>
      <c r="AV2" s="89"/>
      <c r="AW2" s="260"/>
      <c r="AX2" s="89"/>
      <c r="AY2" s="89"/>
      <c r="AZ2" s="89"/>
      <c r="BA2" s="260"/>
      <c r="BB2" s="89"/>
      <c r="BC2" s="89"/>
      <c r="BD2" s="89"/>
      <c r="BE2" s="260"/>
      <c r="BF2" s="89"/>
      <c r="BG2" s="89"/>
      <c r="BH2" s="89"/>
      <c r="BI2" s="260"/>
      <c r="BJ2" s="89"/>
      <c r="BK2" s="89"/>
      <c r="BL2" s="89"/>
      <c r="BM2" s="260"/>
      <c r="BN2" s="89"/>
      <c r="BO2" s="89"/>
      <c r="BP2" s="89"/>
      <c r="BQ2" s="260"/>
      <c r="BR2" s="89"/>
      <c r="BS2" s="89"/>
      <c r="BT2" s="89"/>
      <c r="BU2" s="260"/>
      <c r="BV2" s="89"/>
      <c r="BW2" s="89"/>
      <c r="BX2" s="89"/>
      <c r="BY2" s="260"/>
      <c r="BZ2" s="89"/>
      <c r="CA2" s="89"/>
      <c r="CB2" s="142"/>
      <c r="CC2" s="260"/>
      <c r="CD2" s="89"/>
      <c r="CE2" s="89"/>
      <c r="CF2" s="89"/>
      <c r="CG2" s="861"/>
      <c r="CH2" s="88"/>
      <c r="CI2" s="149"/>
      <c r="CJ2" s="149"/>
      <c r="CK2" s="861"/>
      <c r="CL2" s="88"/>
      <c r="CM2" s="149"/>
      <c r="CN2" s="149"/>
      <c r="CO2" s="861"/>
      <c r="CP2" s="88"/>
      <c r="CQ2" s="149"/>
      <c r="CR2" s="149"/>
      <c r="CS2" s="861"/>
      <c r="CT2" s="88"/>
      <c r="CU2" s="149"/>
      <c r="CV2" s="149"/>
      <c r="CW2" s="861"/>
      <c r="CX2" s="88"/>
      <c r="CY2" s="149"/>
      <c r="CZ2" s="149"/>
      <c r="DA2" s="861"/>
      <c r="DB2" s="88"/>
      <c r="DC2" s="149"/>
      <c r="DD2" s="149"/>
      <c r="DE2" s="861"/>
      <c r="DF2" s="88"/>
      <c r="DG2" s="149"/>
      <c r="DH2" s="149"/>
      <c r="DI2" s="861"/>
      <c r="DJ2" s="88"/>
      <c r="DK2" s="149"/>
      <c r="DL2" s="149"/>
      <c r="DM2" s="861"/>
      <c r="DN2" s="88"/>
      <c r="DO2" s="149"/>
      <c r="DP2" s="149"/>
      <c r="DQ2" s="861"/>
      <c r="DR2" s="149"/>
      <c r="DS2" s="325"/>
      <c r="DT2" s="325"/>
      <c r="DU2" s="325"/>
      <c r="DV2" s="325"/>
      <c r="DW2" s="325"/>
      <c r="DX2" s="325"/>
      <c r="DY2" s="454"/>
      <c r="DZ2" s="454"/>
      <c r="EA2" s="454"/>
      <c r="EB2" s="454"/>
      <c r="EC2" s="454"/>
      <c r="ED2" s="454"/>
      <c r="EE2" s="454"/>
      <c r="EF2" s="1490"/>
      <c r="EG2" s="454"/>
      <c r="EH2" s="454"/>
      <c r="EI2" s="440"/>
      <c r="EJ2" s="454"/>
      <c r="EK2" s="454"/>
      <c r="EL2" s="454"/>
      <c r="EM2" s="454"/>
      <c r="EN2" s="454"/>
      <c r="EO2" s="454"/>
      <c r="EP2" s="454"/>
      <c r="EQ2" s="454"/>
      <c r="ER2" s="454"/>
      <c r="ES2" s="454"/>
      <c r="ET2" s="454"/>
      <c r="EU2" s="454"/>
      <c r="EV2" s="454"/>
      <c r="EW2" s="454"/>
      <c r="EX2" s="454"/>
      <c r="EY2" s="454"/>
      <c r="EZ2" s="454"/>
      <c r="FA2" s="454"/>
      <c r="FB2" s="454"/>
      <c r="FC2" s="454"/>
      <c r="FD2" s="454"/>
      <c r="FE2" s="454"/>
      <c r="FF2" s="454"/>
      <c r="FG2" s="454"/>
      <c r="FH2" s="454"/>
      <c r="FI2" s="454"/>
      <c r="FJ2" s="89"/>
    </row>
    <row r="3" spans="1:166" ht="22.8">
      <c r="A3" s="863" t="s">
        <v>0</v>
      </c>
      <c r="B3" s="152"/>
      <c r="C3" s="89"/>
      <c r="D3" s="89"/>
      <c r="E3" s="260"/>
      <c r="F3" s="89"/>
      <c r="G3" s="89"/>
      <c r="H3" s="89"/>
      <c r="I3" s="260"/>
      <c r="J3" s="89"/>
      <c r="K3" s="89"/>
      <c r="L3" s="89"/>
      <c r="M3" s="260"/>
      <c r="N3" s="89"/>
      <c r="O3" s="89"/>
      <c r="P3" s="89"/>
      <c r="Q3" s="260"/>
      <c r="R3" s="89"/>
      <c r="S3" s="89"/>
      <c r="T3" s="89"/>
      <c r="U3" s="260"/>
      <c r="V3" s="89"/>
      <c r="W3" s="89"/>
      <c r="X3" s="89"/>
      <c r="Y3" s="260"/>
      <c r="Z3" s="89"/>
      <c r="AA3" s="89"/>
      <c r="AB3" s="89"/>
      <c r="AC3" s="260"/>
      <c r="AD3" s="89"/>
      <c r="AE3" s="89"/>
      <c r="AF3" s="89"/>
      <c r="AG3" s="260"/>
      <c r="AH3" s="89"/>
      <c r="AI3" s="89"/>
      <c r="AJ3" s="89"/>
      <c r="AK3" s="260"/>
      <c r="AL3" s="89"/>
      <c r="AM3" s="89"/>
      <c r="AN3" s="89"/>
      <c r="AO3" s="260"/>
      <c r="AP3" s="89"/>
      <c r="AQ3" s="89"/>
      <c r="AR3" s="89"/>
      <c r="AS3" s="260"/>
      <c r="AT3" s="89"/>
      <c r="AU3" s="89"/>
      <c r="AV3" s="89"/>
      <c r="AW3" s="260"/>
      <c r="AX3" s="89"/>
      <c r="AY3" s="89"/>
      <c r="AZ3" s="89"/>
      <c r="BA3" s="260"/>
      <c r="BB3" s="89"/>
      <c r="BC3" s="89"/>
      <c r="BD3" s="89"/>
      <c r="BE3" s="260"/>
      <c r="BF3" s="89"/>
      <c r="BG3" s="89"/>
      <c r="BH3" s="89"/>
      <c r="BI3" s="260"/>
      <c r="BJ3" s="89"/>
      <c r="BK3" s="89"/>
      <c r="BL3" s="89"/>
      <c r="BM3" s="260"/>
      <c r="BN3" s="89"/>
      <c r="BO3" s="89"/>
      <c r="BP3" s="89"/>
      <c r="BQ3" s="260"/>
      <c r="BR3" s="89"/>
      <c r="BS3" s="89"/>
      <c r="BT3" s="89"/>
      <c r="BU3" s="260"/>
      <c r="BV3" s="863"/>
      <c r="BW3" s="863"/>
      <c r="BX3" s="89"/>
      <c r="BY3" s="260"/>
      <c r="BZ3" s="863"/>
      <c r="CA3" s="89"/>
      <c r="CB3" s="62"/>
      <c r="CC3" s="260"/>
      <c r="CD3" s="863"/>
      <c r="CE3" s="89"/>
      <c r="CF3" s="89"/>
      <c r="CG3" s="864"/>
      <c r="CH3" s="865"/>
      <c r="CI3" s="865"/>
      <c r="CJ3" s="865"/>
      <c r="CK3" s="866"/>
      <c r="CL3" s="1070"/>
      <c r="CM3" s="865"/>
      <c r="CN3" s="865"/>
      <c r="CO3" s="866"/>
      <c r="CP3" s="865"/>
      <c r="CQ3" s="865"/>
      <c r="CR3" s="865"/>
      <c r="CS3" s="866"/>
      <c r="CT3" s="3331"/>
      <c r="CU3" s="865"/>
      <c r="CV3" s="865"/>
      <c r="CW3" s="866"/>
      <c r="CX3" s="865"/>
      <c r="CY3" s="865"/>
      <c r="CZ3" s="865"/>
      <c r="DA3" s="866"/>
      <c r="DB3" s="865"/>
      <c r="DC3" s="865"/>
      <c r="DD3" s="865"/>
      <c r="DE3" s="866"/>
      <c r="DF3" s="865"/>
      <c r="DG3" s="865"/>
      <c r="DH3" s="865"/>
      <c r="DI3" s="866"/>
      <c r="DJ3" s="865"/>
      <c r="DK3" s="865"/>
      <c r="DL3" s="865"/>
      <c r="DM3" s="866"/>
      <c r="DN3" s="865"/>
      <c r="DO3" s="865"/>
      <c r="DP3" s="865"/>
      <c r="DQ3" s="866"/>
      <c r="DR3" s="865"/>
      <c r="DS3" s="865"/>
      <c r="DT3" s="865"/>
      <c r="DU3" s="865"/>
      <c r="DV3" s="865"/>
      <c r="DW3" s="865"/>
      <c r="DX3" s="865"/>
      <c r="DY3" s="428"/>
      <c r="DZ3" s="428"/>
      <c r="EA3" s="428"/>
      <c r="EB3" s="428"/>
      <c r="EC3" s="428"/>
      <c r="ED3" s="428"/>
      <c r="EE3" s="428"/>
      <c r="EF3" s="1490"/>
      <c r="EG3" s="428"/>
      <c r="EH3" s="428"/>
      <c r="EI3" s="159"/>
      <c r="EJ3" s="1491"/>
      <c r="EK3" s="428"/>
      <c r="EL3" s="159"/>
      <c r="EM3" s="428"/>
      <c r="EN3" s="1086"/>
      <c r="EO3" s="428"/>
      <c r="EP3" s="865"/>
      <c r="EQ3" s="428"/>
      <c r="ER3" s="428"/>
      <c r="ES3" s="428"/>
      <c r="ET3" s="428"/>
      <c r="EU3" s="428"/>
      <c r="EV3" s="1086"/>
      <c r="EW3" s="428"/>
      <c r="EX3" s="428"/>
      <c r="EY3" s="428"/>
      <c r="EZ3" s="428"/>
      <c r="FA3" s="428"/>
      <c r="FB3" s="428"/>
      <c r="FC3" s="428"/>
      <c r="FD3" s="428"/>
      <c r="FE3" s="428"/>
      <c r="FF3" s="428"/>
      <c r="FG3" s="428"/>
      <c r="FH3" s="428"/>
      <c r="FI3" s="428"/>
      <c r="FJ3" s="322"/>
    </row>
    <row r="4" spans="1:166" ht="13.8">
      <c r="A4" s="870" t="s">
        <v>1473</v>
      </c>
      <c r="B4" s="868"/>
      <c r="C4" s="869"/>
      <c r="D4" s="869"/>
      <c r="E4" s="261"/>
      <c r="F4" s="869"/>
      <c r="G4" s="869"/>
      <c r="H4" s="869"/>
      <c r="I4" s="261"/>
      <c r="J4" s="869"/>
      <c r="K4" s="869"/>
      <c r="L4" s="869"/>
      <c r="M4" s="261"/>
      <c r="N4" s="869"/>
      <c r="O4" s="869"/>
      <c r="P4" s="869"/>
      <c r="Q4" s="261"/>
      <c r="R4" s="869"/>
      <c r="S4" s="869"/>
      <c r="T4" s="869"/>
      <c r="U4" s="261"/>
      <c r="V4" s="869"/>
      <c r="W4" s="869"/>
      <c r="X4" s="869"/>
      <c r="Y4" s="261"/>
      <c r="Z4" s="869"/>
      <c r="AA4" s="869"/>
      <c r="AB4" s="869"/>
      <c r="AC4" s="261"/>
      <c r="AD4" s="869"/>
      <c r="AE4" s="869"/>
      <c r="AF4" s="869"/>
      <c r="AG4" s="261"/>
      <c r="AH4" s="869"/>
      <c r="AI4" s="869"/>
      <c r="AJ4" s="869"/>
      <c r="AK4" s="261"/>
      <c r="AL4" s="869"/>
      <c r="AM4" s="869"/>
      <c r="AN4" s="869"/>
      <c r="AO4" s="261"/>
      <c r="AP4" s="869"/>
      <c r="AQ4" s="869"/>
      <c r="AR4" s="869"/>
      <c r="AS4" s="261"/>
      <c r="AT4" s="869"/>
      <c r="AU4" s="869"/>
      <c r="AV4" s="869"/>
      <c r="AW4" s="261"/>
      <c r="AX4" s="869"/>
      <c r="AY4" s="869"/>
      <c r="AZ4" s="869"/>
      <c r="BA4" s="261"/>
      <c r="BB4" s="869"/>
      <c r="BC4" s="869"/>
      <c r="BD4" s="869"/>
      <c r="BE4" s="261"/>
      <c r="BF4" s="869"/>
      <c r="BG4" s="869"/>
      <c r="BH4" s="869"/>
      <c r="BI4" s="261"/>
      <c r="BJ4" s="869"/>
      <c r="BK4" s="869"/>
      <c r="BL4" s="869"/>
      <c r="BM4" s="261"/>
      <c r="BN4" s="869"/>
      <c r="BO4" s="869"/>
      <c r="BP4" s="869"/>
      <c r="BQ4" s="261"/>
      <c r="BR4" s="869"/>
      <c r="BS4" s="869"/>
      <c r="BT4" s="869"/>
      <c r="BU4" s="261"/>
      <c r="BV4" s="870"/>
      <c r="BW4" s="870"/>
      <c r="BX4" s="869"/>
      <c r="BY4" s="261"/>
      <c r="BZ4" s="870"/>
      <c r="CA4" s="869"/>
      <c r="CB4" s="869"/>
      <c r="CC4" s="261"/>
      <c r="CD4" s="867"/>
      <c r="CE4" s="869"/>
      <c r="CF4" s="869"/>
      <c r="CG4" s="261"/>
      <c r="CH4" s="869"/>
      <c r="CI4" s="869"/>
      <c r="CJ4" s="869"/>
      <c r="CK4" s="261"/>
      <c r="CL4" s="869"/>
      <c r="CM4" s="869"/>
      <c r="CN4" s="869"/>
      <c r="CO4" s="261"/>
      <c r="CP4" s="869"/>
      <c r="CQ4" s="869"/>
      <c r="CR4" s="869"/>
      <c r="CS4" s="261"/>
      <c r="CT4" s="869"/>
      <c r="CU4" s="869"/>
      <c r="CV4" s="869"/>
      <c r="CW4" s="261"/>
      <c r="CX4" s="869"/>
      <c r="CY4" s="869"/>
      <c r="CZ4" s="869"/>
      <c r="DA4" s="261"/>
      <c r="DB4" s="869"/>
      <c r="DC4" s="869"/>
      <c r="DD4" s="869"/>
      <c r="DE4" s="261"/>
      <c r="DF4" s="869"/>
      <c r="DG4" s="869"/>
      <c r="DH4" s="869"/>
      <c r="DI4" s="261"/>
      <c r="DJ4" s="869"/>
      <c r="DK4" s="869"/>
      <c r="DL4" s="869"/>
      <c r="DM4" s="261"/>
      <c r="DN4" s="869"/>
      <c r="DO4" s="869"/>
      <c r="DP4" s="869"/>
      <c r="DQ4" s="261"/>
      <c r="DR4" s="144"/>
      <c r="DS4" s="144"/>
      <c r="DT4" s="144"/>
      <c r="DU4" s="144"/>
      <c r="DV4" s="144"/>
      <c r="DW4" s="144"/>
      <c r="DX4" s="144"/>
      <c r="DY4" s="144"/>
      <c r="DZ4" s="144"/>
      <c r="EA4" s="144"/>
      <c r="EB4" s="144"/>
      <c r="EC4" s="1051"/>
      <c r="ED4" s="144"/>
      <c r="EE4" s="144"/>
      <c r="EF4" s="1492"/>
      <c r="EG4" s="144"/>
      <c r="EH4" s="144"/>
      <c r="EI4" s="531"/>
      <c r="EJ4" s="144"/>
      <c r="EK4" s="144"/>
      <c r="EL4" s="532"/>
      <c r="EM4" s="145"/>
      <c r="EN4" s="145"/>
      <c r="EO4" s="145"/>
      <c r="EP4" s="2920"/>
      <c r="EQ4" s="145"/>
      <c r="ER4" s="145"/>
      <c r="ES4" s="145"/>
      <c r="ET4" s="145"/>
      <c r="EU4" s="145"/>
      <c r="EV4" s="145"/>
      <c r="EW4" s="145"/>
      <c r="EX4" s="1493"/>
      <c r="EY4" s="144"/>
      <c r="EZ4" s="144"/>
      <c r="FA4" s="144"/>
      <c r="FB4" s="144"/>
      <c r="FC4" s="144"/>
      <c r="FD4" s="144"/>
      <c r="FE4" s="144"/>
      <c r="FF4" s="144"/>
      <c r="FG4" s="144"/>
      <c r="FH4" s="144"/>
      <c r="FI4" s="144"/>
      <c r="FJ4" s="144"/>
    </row>
    <row r="5" spans="1:166">
      <c r="A5" s="152" t="s">
        <v>874</v>
      </c>
      <c r="BB5" s="88"/>
      <c r="BC5" s="142">
        <f t="shared" ref="BC5:CJ5" si="0">(BC6-BB6)/7</f>
      </c>
      <c r="BD5" s="142">
        <f t="shared" si="0"/>
      </c>
      <c r="BE5" s="268">
        <f t="shared" si="0"/>
      </c>
      <c r="BF5" s="142">
        <f t="shared" si="0"/>
      </c>
      <c r="BG5" s="142">
        <f t="shared" si="0"/>
      </c>
      <c r="BH5" s="142">
        <f t="shared" si="0"/>
      </c>
      <c r="BI5" s="268">
        <f t="shared" si="0"/>
      </c>
      <c r="BJ5" s="142">
        <f t="shared" si="0"/>
      </c>
      <c r="BK5" s="142">
        <f t="shared" si="0"/>
      </c>
      <c r="BL5" s="142">
        <f t="shared" si="0"/>
      </c>
      <c r="BM5" s="268">
        <f t="shared" si="0"/>
      </c>
      <c r="BN5" s="142">
        <f t="shared" si="0"/>
      </c>
      <c r="BO5" s="142">
        <f t="shared" si="0"/>
      </c>
      <c r="BP5" s="142">
        <f t="shared" si="0"/>
      </c>
      <c r="BQ5" s="268">
        <f t="shared" si="0"/>
      </c>
      <c r="BR5" s="142">
        <f t="shared" si="0"/>
      </c>
      <c r="BS5" s="142">
        <f t="shared" si="0"/>
      </c>
      <c r="BT5" s="142">
        <f t="shared" si="0"/>
      </c>
      <c r="BU5" s="268">
        <f t="shared" si="0"/>
      </c>
      <c r="BV5" s="142">
        <f t="shared" si="0"/>
      </c>
      <c r="BW5" s="142">
        <f t="shared" si="0"/>
      </c>
      <c r="BX5" s="142">
        <f t="shared" si="0"/>
      </c>
      <c r="BY5" s="268">
        <f t="shared" si="0"/>
      </c>
      <c r="BZ5" s="142">
        <f t="shared" si="0"/>
      </c>
      <c r="CA5" s="142">
        <f t="shared" si="0"/>
      </c>
      <c r="CB5" s="142">
        <f t="shared" si="0"/>
      </c>
      <c r="CC5" s="268">
        <f t="shared" si="0"/>
      </c>
      <c r="CD5" s="142">
        <f t="shared" si="0"/>
      </c>
      <c r="CE5" s="142">
        <f t="shared" si="0"/>
      </c>
      <c r="CF5" s="142">
        <f t="shared" si="0"/>
      </c>
      <c r="CG5" s="268">
        <f t="shared" si="0"/>
      </c>
      <c r="CH5" s="142">
        <f t="shared" si="0"/>
      </c>
      <c r="CI5" s="142">
        <f t="shared" si="0"/>
      </c>
      <c r="CJ5" s="142">
        <f t="shared" si="0"/>
      </c>
      <c r="CK5" s="268">
        <f t="shared" ref="CK5" si="1">(CK6-CJ6)/7</f>
      </c>
      <c r="CL5" s="142">
        <f t="shared" ref="CL5" si="2">(CL6-CK6)/7</f>
      </c>
      <c r="CM5" s="142">
        <f t="shared" ref="CM5" si="3">(CM6-CL6)/7</f>
      </c>
      <c r="CN5" s="142">
        <f t="shared" ref="CN5" si="4">(CN6-CM6)/7</f>
      </c>
      <c r="CO5" s="268">
        <f t="shared" ref="CO5" si="5">(CO6-CN6)/7</f>
      </c>
      <c r="CP5" s="142">
        <f t="shared" ref="CP5" si="6">(CP6-CO6)/7</f>
      </c>
      <c r="CQ5" s="142">
        <f t="shared" ref="CQ5" si="7">(CQ6-CP6)/7</f>
      </c>
      <c r="CR5" s="142">
        <f t="shared" ref="CR5" si="8">(CR6-CQ6)/7</f>
      </c>
      <c r="CS5" s="268">
        <f t="shared" ref="CS5" si="9">(CS6-CR6)/7</f>
      </c>
      <c r="CT5" s="142">
        <f t="shared" ref="CT5" si="10">(CT6-CS6)/7</f>
      </c>
      <c r="CU5" s="142">
        <f t="shared" ref="CU5" si="11">(CU6-CT6)/7</f>
      </c>
      <c r="CV5" s="142">
        <f t="shared" ref="CV5" si="12">(CV6-CU6)/7</f>
      </c>
      <c r="CW5" s="268">
        <f t="shared" ref="CW5" si="13">(CW6-CV6)/7</f>
      </c>
      <c r="CX5" s="142">
        <f t="shared" ref="CX5" si="14">(CX6-CW6)/7</f>
      </c>
      <c r="CY5" s="142">
        <f t="shared" ref="CY5" si="15">(CY6-CX6)/7</f>
      </c>
      <c r="CZ5" s="142">
        <f t="shared" ref="CZ5:DA5" si="16">(CZ6-CY6)/7</f>
      </c>
      <c r="DA5" s="268">
        <f t="shared" si="16"/>
      </c>
      <c r="DB5" s="142">
        <f t="shared" ref="DB5" si="17">(DB6-DA6)/7</f>
      </c>
      <c r="DC5" s="142">
        <f t="shared" ref="DC5" si="18">(DC6-DB6)/7</f>
      </c>
      <c r="DD5" s="142">
        <f t="shared" ref="DD5" si="19">(DD6-DC6)/7</f>
      </c>
      <c r="DE5" s="268">
        <f t="shared" ref="DE5" si="20">(DE6-DD6)/7</f>
      </c>
      <c r="DF5" s="142">
        <f t="shared" ref="DF5" si="21">(DF6-DE6)/7</f>
      </c>
      <c r="DG5" s="142">
        <f t="shared" ref="DG5" si="22">(DG6-DF6)/7</f>
      </c>
      <c r="DH5" s="142">
        <f t="shared" ref="DH5" si="23">(DH6-DG6)/7</f>
      </c>
      <c r="DI5" s="268">
        <f t="shared" ref="DI5" si="24">(DI6-DH6)/7</f>
      </c>
      <c r="DJ5" s="142">
        <f t="shared" ref="DJ5" si="25">(DJ6-DI6)/7</f>
      </c>
      <c r="DK5" s="142">
        <f t="shared" ref="DK5" si="26">(DK6-DJ6)/7</f>
      </c>
      <c r="DL5" s="142">
        <f t="shared" ref="DL5" si="27">(DL6-DK6)/7</f>
      </c>
      <c r="DM5" s="268">
        <f t="shared" ref="DM5" si="28">(DM6-DL6)/7</f>
      </c>
      <c r="DN5" s="142">
        <f t="shared" ref="DN5" si="29">(DN6-DM6)/7</f>
      </c>
      <c r="DO5" s="142">
        <f t="shared" ref="DO5" si="30">(DO6-DN6)/7</f>
      </c>
      <c r="DP5" s="142">
        <f t="shared" ref="DP5" si="31">(DP6-DO6)/7</f>
      </c>
      <c r="DQ5" s="268">
        <f t="shared" ref="DQ5" si="32">(DQ6-DP6)/7</f>
      </c>
      <c r="DR5" s="402"/>
      <c r="EN5" s="58"/>
    </row>
    <row r="6" spans="1:166">
      <c r="A6" s="874" t="s">
        <v>873</v>
      </c>
      <c r="AD6" s="134"/>
      <c r="AE6" s="134"/>
      <c r="AF6" s="134"/>
      <c r="AG6" s="134"/>
      <c r="BB6" s="413">
        <f>'Income Statement'!BV6</f>
      </c>
      <c r="BC6" s="413">
        <f>'Income Statement'!BW6</f>
      </c>
      <c r="BD6" s="413">
        <f>'Income Statement'!BX6</f>
      </c>
      <c r="BE6" s="414">
        <f>'Income Statement'!BY6</f>
      </c>
      <c r="BF6" s="413">
        <f>'Income Statement'!BZ6</f>
      </c>
      <c r="BG6" s="413">
        <f>'Income Statement'!CA6</f>
      </c>
      <c r="BH6" s="413">
        <f>'Income Statement'!CB6</f>
      </c>
      <c r="BI6" s="414">
        <f>'Income Statement'!CC6</f>
      </c>
      <c r="BJ6" s="413">
        <f>'Income Statement'!CD6</f>
      </c>
      <c r="BK6" s="413">
        <f>'Income Statement'!CE6</f>
      </c>
      <c r="BL6" s="413">
        <f>'Income Statement'!CF6</f>
      </c>
      <c r="BM6" s="414">
        <f>'Income Statement'!CG6</f>
      </c>
      <c r="BN6" s="413">
        <f>'Income Statement'!CH6</f>
      </c>
      <c r="BO6" s="413">
        <f>'Income Statement'!CI6</f>
      </c>
      <c r="BP6" s="413">
        <f>'Income Statement'!CJ6</f>
      </c>
      <c r="BQ6" s="414">
        <f>'Income Statement'!CK6</f>
      </c>
      <c r="BR6" s="413">
        <f>'Income Statement'!CL6</f>
      </c>
      <c r="BS6" s="413">
        <f>'Income Statement'!CM6</f>
      </c>
      <c r="BT6" s="413">
        <f>'Income Statement'!CN6</f>
      </c>
      <c r="BU6" s="414">
        <f>'Income Statement'!CO6</f>
      </c>
      <c r="BV6" s="413">
        <f>'Income Statement'!CP6</f>
      </c>
      <c r="BW6" s="413">
        <f>'Income Statement'!CQ6</f>
      </c>
      <c r="BX6" s="413">
        <f>'Income Statement'!CR6</f>
      </c>
      <c r="BY6" s="414">
        <f>'Income Statement'!CS6</f>
      </c>
      <c r="BZ6" s="413">
        <f>'Income Statement'!CT6</f>
      </c>
      <c r="CA6" s="413">
        <f>'Income Statement'!CU6</f>
      </c>
      <c r="CB6" s="413">
        <f>'Income Statement'!CV6</f>
      </c>
      <c r="CC6" s="414">
        <f>'Income Statement'!CW6</f>
      </c>
      <c r="CD6" s="413">
        <f>'Income Statement'!CX6</f>
      </c>
      <c r="CE6" s="413">
        <f>'Income Statement'!CY6</f>
      </c>
      <c r="CF6" s="413">
        <f>'Income Statement'!CZ6</f>
      </c>
      <c r="CG6" s="414">
        <f>'Income Statement'!DA6</f>
      </c>
      <c r="CH6" s="413">
        <f>'Income Statement'!DB6</f>
      </c>
      <c r="CI6" s="413">
        <f>'Income Statement'!DC6</f>
      </c>
      <c r="CJ6" s="413">
        <f>'Income Statement'!DD6</f>
      </c>
      <c r="CK6" s="414">
        <f>'Income Statement'!DE6</f>
      </c>
      <c r="CL6" s="413">
        <f>'Income Statement'!DF6</f>
      </c>
      <c r="CM6" s="413">
        <f>'Income Statement'!DG6</f>
      </c>
      <c r="CN6" s="413">
        <f>'Income Statement'!DH6</f>
      </c>
      <c r="CO6" s="414">
        <f>'Income Statement'!DI6</f>
      </c>
      <c r="CP6" s="413">
        <f>'Income Statement'!DJ6</f>
      </c>
      <c r="CQ6" s="413">
        <f>'Income Statement'!DK6</f>
      </c>
      <c r="CR6" s="413">
        <f>'Income Statement'!DL6</f>
      </c>
      <c r="CS6" s="414">
        <f>'Income Statement'!DM6</f>
      </c>
      <c r="CT6" s="413">
        <f>'Income Statement'!DN6</f>
      </c>
      <c r="CU6" s="413">
        <f>'Income Statement'!DO6</f>
      </c>
      <c r="CV6" s="413">
        <f>'Income Statement'!DP6</f>
      </c>
      <c r="CW6" s="414">
        <f>'Income Statement'!DQ6</f>
      </c>
      <c r="CX6" s="413">
        <f>'Income Statement'!DR6</f>
      </c>
      <c r="CY6" s="413">
        <f>'Income Statement'!DS6</f>
      </c>
      <c r="CZ6" s="413">
        <f>'Income Statement'!DT6</f>
      </c>
      <c r="DA6" s="414">
        <f>'Income Statement'!DU6</f>
      </c>
      <c r="DB6" s="413">
        <f>'Income Statement'!DV6</f>
      </c>
      <c r="DC6" s="413">
        <f>'Income Statement'!DW6</f>
      </c>
      <c r="DD6" s="413">
        <f>'Income Statement'!DX6</f>
      </c>
      <c r="DE6" s="414">
        <f>'Income Statement'!DY6</f>
      </c>
      <c r="DF6" s="413">
        <f>'Income Statement'!DZ6</f>
      </c>
      <c r="DG6" s="413">
        <f>'Income Statement'!EA6</f>
      </c>
      <c r="DH6" s="413">
        <f>'Income Statement'!EB6</f>
      </c>
      <c r="DI6" s="414">
        <f>'Income Statement'!EC6</f>
      </c>
      <c r="DJ6" s="413">
        <f>'Income Statement'!ED6</f>
      </c>
      <c r="DK6" s="413">
        <f>'Income Statement'!EE6</f>
      </c>
      <c r="DL6" s="413">
        <f>'Income Statement'!EF6</f>
      </c>
      <c r="DM6" s="414">
        <f>'Income Statement'!EG6</f>
      </c>
      <c r="DN6" s="413">
        <f>'Income Statement'!EH6</f>
      </c>
      <c r="DO6" s="413">
        <f>'Income Statement'!EI6</f>
      </c>
      <c r="DP6" s="413">
        <f>'Income Statement'!EJ6</f>
      </c>
      <c r="DQ6" s="414">
        <f>'Income Statement'!EK6</f>
      </c>
      <c r="DR6" s="413"/>
      <c r="ED6" s="76"/>
      <c r="EE6" s="76"/>
      <c r="EF6" s="76"/>
      <c r="EG6" s="76"/>
      <c r="EH6" s="76"/>
      <c r="EI6" s="76"/>
      <c r="EJ6" s="76"/>
      <c r="EK6" s="76"/>
      <c r="EL6" s="76"/>
      <c r="EM6" s="76"/>
      <c r="EN6" s="2376"/>
      <c r="EO6" s="76"/>
      <c r="EP6" s="76"/>
      <c r="EQ6" s="76"/>
      <c r="ER6" s="76"/>
      <c r="ES6" s="76"/>
      <c r="ET6" s="76"/>
      <c r="EU6" s="76"/>
      <c r="EV6" s="76"/>
      <c r="EW6" s="76"/>
    </row>
    <row r="7" spans="1:166">
      <c r="A7" s="1519"/>
      <c r="B7" s="543" t="str">
        <f>'Income Statement'!V7</f>
      </c>
      <c r="C7" s="543" t="str">
        <f>'Income Statement'!W7</f>
      </c>
      <c r="D7" s="543" t="str">
        <f>'Income Statement'!X7</f>
      </c>
      <c r="E7" s="543" t="str">
        <f>'Income Statement'!Y7</f>
      </c>
      <c r="F7" s="1481" t="str">
        <f>'Income Statement'!Z7</f>
      </c>
      <c r="G7" s="543" t="str">
        <f>'Income Statement'!AA7</f>
      </c>
      <c r="H7" s="543" t="str">
        <f>'Income Statement'!AB7</f>
      </c>
      <c r="I7" s="1472" t="str">
        <f>'Income Statement'!AC7</f>
      </c>
      <c r="J7" s="543" t="str">
        <f>'Income Statement'!AD7</f>
      </c>
      <c r="K7" s="543" t="str">
        <f>'Income Statement'!AE7</f>
      </c>
      <c r="L7" s="543" t="str">
        <f>'Income Statement'!AF7</f>
      </c>
      <c r="M7" s="543" t="str">
        <f>'Income Statement'!AG7</f>
      </c>
      <c r="N7" s="1481" t="str">
        <f>'Income Statement'!AH7</f>
      </c>
      <c r="O7" s="543" t="str">
        <f>'Income Statement'!AI7</f>
      </c>
      <c r="P7" s="543" t="str">
        <f>'Income Statement'!AJ7</f>
      </c>
      <c r="Q7" s="1472" t="str">
        <f>'Income Statement'!AK7</f>
      </c>
      <c r="R7" s="543" t="str">
        <f>'Income Statement'!AL7</f>
      </c>
      <c r="S7" s="543" t="str">
        <f>'Income Statement'!AM7</f>
      </c>
      <c r="T7" s="543" t="str">
        <f>'Income Statement'!AN7</f>
      </c>
      <c r="U7" s="543" t="str">
        <f>'Income Statement'!AO7</f>
      </c>
      <c r="V7" s="1481" t="str">
        <f>'Income Statement'!AP7</f>
      </c>
      <c r="W7" s="543" t="str">
        <f>'Income Statement'!AQ7</f>
      </c>
      <c r="X7" s="543" t="str">
        <f>'Income Statement'!AR7</f>
      </c>
      <c r="Y7" s="1472" t="str">
        <f>'Income Statement'!AS7</f>
      </c>
      <c r="Z7" s="543" t="str">
        <f>'Income Statement'!AT7</f>
      </c>
      <c r="AA7" s="543" t="str">
        <f>'Income Statement'!AU7</f>
      </c>
      <c r="AB7" s="543" t="str">
        <f>'Income Statement'!AV7</f>
      </c>
      <c r="AC7" s="543" t="str">
        <f>'Income Statement'!AW7</f>
      </c>
      <c r="AD7" s="1481" t="str">
        <f>'Income Statement'!AX7</f>
      </c>
      <c r="AE7" s="543" t="str">
        <f>'Income Statement'!AY7</f>
      </c>
      <c r="AF7" s="543" t="str">
        <f>'Income Statement'!AZ7</f>
      </c>
      <c r="AG7" s="1472" t="str">
        <f>'Income Statement'!BA7</f>
      </c>
      <c r="AH7" s="543" t="str">
        <f>'Income Statement'!BB7</f>
      </c>
      <c r="AI7" s="543" t="str">
        <f>'Income Statement'!BC7</f>
      </c>
      <c r="AJ7" s="543" t="str">
        <f>'Income Statement'!BD7</f>
      </c>
      <c r="AK7" s="1472" t="str">
        <f>'Income Statement'!BE7</f>
      </c>
      <c r="AL7" s="543" t="str">
        <f>'Income Statement'!BF7</f>
      </c>
      <c r="AM7" s="543" t="str">
        <f>'Income Statement'!BG7</f>
      </c>
      <c r="AN7" s="543" t="str">
        <f>'Income Statement'!BH7</f>
      </c>
      <c r="AO7" s="1472" t="str">
        <f>'Income Statement'!BI7</f>
      </c>
      <c r="AP7" s="543" t="str">
        <f>'Income Statement'!BJ7</f>
      </c>
      <c r="AQ7" s="543" t="str">
        <f>'Income Statement'!BK7</f>
      </c>
      <c r="AR7" s="543" t="str">
        <f>'Income Statement'!BL7</f>
      </c>
      <c r="AS7" s="1472" t="str">
        <f>'Income Statement'!BM7</f>
      </c>
      <c r="AT7" s="543" t="str">
        <f>'Income Statement'!BN7</f>
      </c>
      <c r="AU7" s="543" t="str">
        <f>'Income Statement'!BO7</f>
      </c>
      <c r="AV7" s="543" t="str">
        <f>'Income Statement'!BP7</f>
      </c>
      <c r="AW7" s="1472" t="str">
        <f>'Income Statement'!BQ7</f>
      </c>
      <c r="AX7" s="543" t="str">
        <f>'Income Statement'!BR7</f>
      </c>
      <c r="AY7" s="543" t="str">
        <f>'Income Statement'!BS7</f>
      </c>
      <c r="AZ7" s="543" t="str">
        <f>'Income Statement'!BT7</f>
      </c>
      <c r="BA7" s="1472" t="str">
        <f>'Income Statement'!BU7</f>
      </c>
      <c r="BB7" s="543" t="str">
        <f>'Income Statement'!BV7</f>
      </c>
      <c r="BC7" s="543" t="str">
        <f>'Income Statement'!BW7</f>
      </c>
      <c r="BD7" s="543" t="str">
        <f>'Income Statement'!BX7</f>
      </c>
      <c r="BE7" s="1472" t="str">
        <f>'Income Statement'!BY7</f>
      </c>
      <c r="BF7" s="543" t="str">
        <f>'Income Statement'!BZ7</f>
      </c>
      <c r="BG7" s="543" t="str">
        <f>'Income Statement'!CA7</f>
      </c>
      <c r="BH7" s="543" t="str">
        <f>'Income Statement'!CB7</f>
      </c>
      <c r="BI7" s="1472" t="str">
        <f>'Income Statement'!CC7</f>
      </c>
      <c r="BJ7" s="543" t="str">
        <f>'Income Statement'!CD7</f>
      </c>
      <c r="BK7" s="543" t="str">
        <f>'Income Statement'!CE7</f>
      </c>
      <c r="BL7" s="543" t="str">
        <f>'Income Statement'!CF7</f>
      </c>
      <c r="BM7" s="1472" t="str">
        <f>'Income Statement'!CG7</f>
      </c>
      <c r="BN7" s="543" t="str">
        <f>'Income Statement'!CH7</f>
      </c>
      <c r="BO7" s="543" t="str">
        <f>'Income Statement'!CI7</f>
      </c>
      <c r="BP7" s="543" t="str">
        <f>'Income Statement'!CJ7</f>
      </c>
      <c r="BQ7" s="1472" t="str">
        <f>'Income Statement'!CK7</f>
      </c>
      <c r="BR7" s="543" t="str">
        <f>'Income Statement'!CL7</f>
      </c>
      <c r="BS7" s="543" t="str">
        <f>'Income Statement'!CM7</f>
      </c>
      <c r="BT7" s="543" t="str">
        <f>'Income Statement'!CN7</f>
      </c>
      <c r="BU7" s="1472" t="str">
        <f>'Income Statement'!CO7</f>
      </c>
      <c r="BV7" s="543" t="str">
        <f>'Income Statement'!CP7</f>
      </c>
      <c r="BW7" s="543" t="str">
        <f>'Income Statement'!CQ7</f>
      </c>
      <c r="BX7" s="543" t="str">
        <f>'Income Statement'!CR7</f>
      </c>
      <c r="BY7" s="1472" t="str">
        <f>'Income Statement'!CS7</f>
      </c>
      <c r="BZ7" s="543" t="str">
        <f>'Income Statement'!CT7</f>
      </c>
      <c r="CA7" s="543" t="str">
        <f>'Income Statement'!CU7</f>
      </c>
      <c r="CB7" s="543" t="str">
        <f>'Income Statement'!CV7</f>
      </c>
      <c r="CC7" s="1472" t="str">
        <f>'Income Statement'!CW7</f>
      </c>
      <c r="CD7" s="543" t="str">
        <f>'Income Statement'!CX7</f>
      </c>
      <c r="CE7" s="543" t="str">
        <f>'Income Statement'!CY7</f>
      </c>
      <c r="CF7" s="543" t="str">
        <f>'Income Statement'!CZ7</f>
      </c>
      <c r="CG7" s="1472" t="str">
        <f>'Income Statement'!DA7</f>
      </c>
      <c r="CH7" s="543" t="str">
        <f>'Income Statement'!DB7</f>
      </c>
      <c r="CI7" s="543" t="str">
        <f>'Income Statement'!DC7</f>
      </c>
      <c r="CJ7" s="543" t="str">
        <f>'Income Statement'!DD7</f>
      </c>
      <c r="CK7" s="1472" t="str">
        <f>'Income Statement'!DE7</f>
      </c>
      <c r="CL7" s="543" t="str">
        <f>'Income Statement'!DF7</f>
      </c>
      <c r="CM7" s="543" t="str">
        <f>'Income Statement'!DG7</f>
      </c>
      <c r="CN7" s="543" t="str">
        <f>'Income Statement'!DH7</f>
      </c>
      <c r="CO7" s="1472" t="str">
        <f>'Income Statement'!DI7</f>
      </c>
      <c r="CP7" s="543" t="str">
        <f>'Income Statement'!DJ7</f>
      </c>
      <c r="CQ7" s="543" t="str">
        <f>'Income Statement'!DK7</f>
      </c>
      <c r="CR7" s="543" t="str">
        <f>'Income Statement'!DL7</f>
      </c>
      <c r="CS7" s="1472" t="str">
        <f>'Income Statement'!DM7</f>
      </c>
      <c r="CT7" s="543" t="str">
        <f>'Income Statement'!DN7</f>
      </c>
      <c r="CU7" s="543" t="str">
        <f>'Income Statement'!DO7</f>
      </c>
      <c r="CV7" s="543" t="str">
        <f>'Income Statement'!DP7</f>
      </c>
      <c r="CW7" s="1472" t="str">
        <f>'Income Statement'!DQ7</f>
      </c>
      <c r="CX7" s="543" t="str">
        <f>'Income Statement'!DR7</f>
      </c>
      <c r="CY7" s="543" t="str">
        <f>'Income Statement'!DS7</f>
      </c>
      <c r="CZ7" s="543" t="str">
        <f>'Income Statement'!DT7</f>
      </c>
      <c r="DA7" s="1472" t="str">
        <f>'Income Statement'!DU7</f>
      </c>
      <c r="DB7" s="543" t="str">
        <f>'Income Statement'!DV7</f>
      </c>
      <c r="DC7" s="543" t="str">
        <f>'Income Statement'!DW7</f>
      </c>
      <c r="DD7" s="543" t="str">
        <f>'Income Statement'!DX7</f>
      </c>
      <c r="DE7" s="1472" t="str">
        <f>'Income Statement'!DY7</f>
      </c>
      <c r="DF7" s="543" t="str">
        <f>'Income Statement'!DZ7</f>
      </c>
      <c r="DG7" s="543" t="str">
        <f>'Income Statement'!EA7</f>
      </c>
      <c r="DH7" s="543" t="str">
        <f>'Income Statement'!EB7</f>
      </c>
      <c r="DI7" s="1472" t="str">
        <f>'Income Statement'!EC7</f>
      </c>
      <c r="DJ7" s="543" t="str">
        <f>'Income Statement'!ED7</f>
      </c>
      <c r="DK7" s="543" t="str">
        <f>'Income Statement'!EE7</f>
      </c>
      <c r="DL7" s="543" t="str">
        <f>'Income Statement'!EF7</f>
      </c>
      <c r="DM7" s="1472" t="str">
        <f>'Income Statement'!EG7</f>
      </c>
      <c r="DN7" s="543" t="str">
        <f>'Income Statement'!EH7</f>
      </c>
      <c r="DO7" s="543" t="str">
        <f>'Income Statement'!EI7</f>
      </c>
      <c r="DP7" s="543" t="str">
        <f>'Income Statement'!EJ7</f>
      </c>
      <c r="DQ7" s="1472" t="str">
        <f>'Income Statement'!EK7</f>
      </c>
      <c r="DR7" s="543"/>
      <c r="DS7" s="1471"/>
      <c r="DT7" s="1471"/>
      <c r="DU7" s="1471"/>
      <c r="DV7" s="1471"/>
      <c r="DW7" s="1471"/>
      <c r="DX7" s="1471"/>
      <c r="DY7" s="1471"/>
      <c r="DZ7" s="1471"/>
      <c r="EA7" s="1471"/>
      <c r="EB7" s="1471"/>
      <c r="EC7" s="1471"/>
      <c r="ED7" s="580"/>
      <c r="EE7" s="1471"/>
      <c r="EF7" s="580" t="s">
        <v>61</v>
      </c>
      <c r="EG7" s="1471"/>
      <c r="EH7" s="1471"/>
      <c r="EI7" s="1471"/>
      <c r="EJ7" s="1471"/>
      <c r="EK7" s="1471"/>
      <c r="EL7" s="1471"/>
      <c r="EM7" s="1471"/>
      <c r="EN7" s="1471"/>
      <c r="EO7" s="1471"/>
      <c r="EP7" s="1471"/>
      <c r="EQ7" s="1471"/>
      <c r="ER7" s="1471"/>
      <c r="ES7" s="1471"/>
      <c r="ET7" s="1471"/>
      <c r="EU7" s="1471"/>
      <c r="EV7" s="1471"/>
      <c r="EW7" s="1471"/>
      <c r="EX7" s="1471"/>
      <c r="EY7" s="1471"/>
      <c r="EZ7" s="1471"/>
      <c r="FA7" s="1471"/>
      <c r="FB7" s="1471"/>
      <c r="FC7" s="1471"/>
      <c r="FD7" s="1471"/>
      <c r="FE7" s="1471"/>
      <c r="FF7" s="1471"/>
      <c r="FG7" s="1471"/>
      <c r="FH7" s="1471"/>
      <c r="FI7" s="1471"/>
      <c r="FJ7" s="1471"/>
    </row>
    <row r="8" spans="1:166">
      <c r="A8" s="1520" t="s">
        <v>167</v>
      </c>
      <c r="B8" s="549">
        <f>'Income Statement'!V8</f>
      </c>
      <c r="C8" s="549">
        <f>'Income Statement'!W8</f>
      </c>
      <c r="D8" s="549">
        <f>'Income Statement'!X8</f>
      </c>
      <c r="E8" s="549">
        <f>'Income Statement'!Y8</f>
      </c>
      <c r="F8" s="1482">
        <f>'Income Statement'!Z8</f>
      </c>
      <c r="G8" s="549">
        <f>'Income Statement'!AA8</f>
      </c>
      <c r="H8" s="549">
        <f>'Income Statement'!AB8</f>
      </c>
      <c r="I8" s="1473">
        <f>'Income Statement'!AC8</f>
      </c>
      <c r="J8" s="549">
        <f>'Income Statement'!AD8</f>
      </c>
      <c r="K8" s="549">
        <f>'Income Statement'!AE8</f>
      </c>
      <c r="L8" s="549">
        <f>'Income Statement'!AF8</f>
      </c>
      <c r="M8" s="549">
        <f>'Income Statement'!AG8</f>
      </c>
      <c r="N8" s="1482">
        <f>'Income Statement'!AH8</f>
      </c>
      <c r="O8" s="549">
        <f>'Income Statement'!AI8</f>
      </c>
      <c r="P8" s="549">
        <f>'Income Statement'!AJ8</f>
      </c>
      <c r="Q8" s="1473">
        <f>'Income Statement'!AK8</f>
      </c>
      <c r="R8" s="549">
        <f>'Income Statement'!AL8</f>
      </c>
      <c r="S8" s="549">
        <f>'Income Statement'!AM8</f>
      </c>
      <c r="T8" s="549">
        <f>'Income Statement'!AN8</f>
      </c>
      <c r="U8" s="549">
        <f>'Income Statement'!AO8</f>
      </c>
      <c r="V8" s="1482">
        <f>'Income Statement'!AP8</f>
      </c>
      <c r="W8" s="549">
        <f>'Income Statement'!AQ8</f>
      </c>
      <c r="X8" s="549">
        <f>'Income Statement'!AR8</f>
      </c>
      <c r="Y8" s="1473">
        <f>'Income Statement'!AS8</f>
      </c>
      <c r="Z8" s="549">
        <f>'Income Statement'!AT8</f>
      </c>
      <c r="AA8" s="549">
        <f>'Income Statement'!AU8</f>
      </c>
      <c r="AB8" s="549">
        <f>'Income Statement'!AV8</f>
      </c>
      <c r="AC8" s="549">
        <f>'Income Statement'!AW8</f>
      </c>
      <c r="AD8" s="1482">
        <f>'Income Statement'!AX8</f>
      </c>
      <c r="AE8" s="549">
        <f>'Income Statement'!AY8</f>
      </c>
      <c r="AF8" s="549">
        <f>'Income Statement'!AZ8</f>
      </c>
      <c r="AG8" s="1473">
        <f>'Income Statement'!BA8</f>
      </c>
      <c r="AH8" s="549">
        <f>'Income Statement'!BB8</f>
      </c>
      <c r="AI8" s="549">
        <f>'Income Statement'!BC8</f>
      </c>
      <c r="AJ8" s="549">
        <f>'Income Statement'!BD8</f>
      </c>
      <c r="AK8" s="1473">
        <f>'Income Statement'!BE8</f>
      </c>
      <c r="AL8" s="549">
        <f>'Income Statement'!BF8</f>
      </c>
      <c r="AM8" s="549">
        <f>'Income Statement'!BG8</f>
      </c>
      <c r="AN8" s="549">
        <f>'Income Statement'!BH8</f>
      </c>
      <c r="AO8" s="1473">
        <f>'Income Statement'!BI8</f>
      </c>
      <c r="AP8" s="549">
        <f>'Income Statement'!BJ8</f>
      </c>
      <c r="AQ8" s="549">
        <f>'Income Statement'!BK8</f>
      </c>
      <c r="AR8" s="549">
        <f>'Income Statement'!BL8</f>
      </c>
      <c r="AS8" s="1473">
        <f>'Income Statement'!BM8</f>
      </c>
      <c r="AT8" s="549">
        <f>'Income Statement'!BN8</f>
      </c>
      <c r="AU8" s="549">
        <f>'Income Statement'!BO8</f>
      </c>
      <c r="AV8" s="549">
        <f>'Income Statement'!BP8</f>
      </c>
      <c r="AW8" s="1473">
        <f>'Income Statement'!BQ8</f>
      </c>
      <c r="AX8" s="549">
        <f>'Income Statement'!BR8</f>
      </c>
      <c r="AY8" s="549">
        <f>'Income Statement'!BS8</f>
      </c>
      <c r="AZ8" s="549">
        <f>'Income Statement'!BT8</f>
      </c>
      <c r="BA8" s="1473">
        <f>'Income Statement'!BU8</f>
      </c>
      <c r="BB8" s="549">
        <f>'Income Statement'!BV8</f>
      </c>
      <c r="BC8" s="549">
        <f>'Income Statement'!BW8</f>
      </c>
      <c r="BD8" s="549">
        <f>'Income Statement'!BX8</f>
      </c>
      <c r="BE8" s="1473">
        <f>'Income Statement'!BY8</f>
      </c>
      <c r="BF8" s="549">
        <f>'Income Statement'!BZ8</f>
      </c>
      <c r="BG8" s="549">
        <f>'Income Statement'!CA8</f>
      </c>
      <c r="BH8" s="549">
        <f>'Income Statement'!CB8</f>
      </c>
      <c r="BI8" s="1473">
        <f>'Income Statement'!CC8</f>
      </c>
      <c r="BJ8" s="549">
        <f>'Income Statement'!CD8</f>
      </c>
      <c r="BK8" s="549">
        <f>'Income Statement'!CE8</f>
      </c>
      <c r="BL8" s="549">
        <f>'Income Statement'!CF8</f>
      </c>
      <c r="BM8" s="1473">
        <f>'Income Statement'!CG8</f>
      </c>
      <c r="BN8" s="549">
        <f>'Income Statement'!CH8</f>
      </c>
      <c r="BO8" s="549">
        <f>'Income Statement'!CI8</f>
      </c>
      <c r="BP8" s="549">
        <f>'Income Statement'!CJ8</f>
      </c>
      <c r="BQ8" s="1473">
        <f>'Income Statement'!CK8</f>
      </c>
      <c r="BR8" s="549">
        <f>'Income Statement'!CL8</f>
      </c>
      <c r="BS8" s="549">
        <f>'Income Statement'!CM8</f>
      </c>
      <c r="BT8" s="549">
        <f>'Income Statement'!CN8</f>
      </c>
      <c r="BU8" s="1473">
        <f>'Income Statement'!CO8</f>
      </c>
      <c r="BV8" s="549">
        <f>'Income Statement'!CP8</f>
      </c>
      <c r="BW8" s="549">
        <f>'Income Statement'!CQ8</f>
      </c>
      <c r="BX8" s="549">
        <f>'Income Statement'!CR8</f>
      </c>
      <c r="BY8" s="1473">
        <f>'Income Statement'!CS8</f>
      </c>
      <c r="BZ8" s="549">
        <f>'Income Statement'!CT8</f>
      </c>
      <c r="CA8" s="549">
        <f>'Income Statement'!CU8</f>
      </c>
      <c r="CB8" s="549">
        <f>'Income Statement'!CV8</f>
      </c>
      <c r="CC8" s="1473">
        <f>'Income Statement'!CW8</f>
      </c>
      <c r="CD8" s="549">
        <f>'Income Statement'!CX8</f>
      </c>
      <c r="CE8" s="549">
        <f>'Income Statement'!CY8</f>
      </c>
      <c r="CF8" s="549">
        <f>'Income Statement'!CZ8</f>
      </c>
      <c r="CG8" s="1473">
        <f>'Income Statement'!DA8</f>
      </c>
      <c r="CH8" s="549">
        <f>'Income Statement'!DB8</f>
      </c>
      <c r="CI8" s="549">
        <f>'Income Statement'!DC8</f>
      </c>
      <c r="CJ8" s="549">
        <f>'Income Statement'!DD8</f>
      </c>
      <c r="CK8" s="1473">
        <f>'Income Statement'!DE8</f>
      </c>
      <c r="CL8" s="549">
        <f>'Income Statement'!DF8</f>
      </c>
      <c r="CM8" s="549">
        <f>'Income Statement'!DG8</f>
      </c>
      <c r="CN8" s="549">
        <f>'Income Statement'!DH8</f>
      </c>
      <c r="CO8" s="1473">
        <f>'Income Statement'!DI8</f>
      </c>
      <c r="CP8" s="549">
        <f>'Income Statement'!DJ8</f>
      </c>
      <c r="CQ8" s="549">
        <f>'Income Statement'!DK8</f>
      </c>
      <c r="CR8" s="549">
        <f>'Income Statement'!DL8</f>
      </c>
      <c r="CS8" s="1473">
        <f>'Income Statement'!DM8</f>
      </c>
      <c r="CT8" s="549">
        <f>'Income Statement'!DN8</f>
      </c>
      <c r="CU8" s="549">
        <f>'Income Statement'!DO8</f>
      </c>
      <c r="CV8" s="549">
        <f>'Income Statement'!DP8</f>
      </c>
      <c r="CW8" s="1473">
        <f>'Income Statement'!DQ8</f>
      </c>
      <c r="CX8" s="549">
        <f>'Income Statement'!DR8</f>
      </c>
      <c r="CY8" s="549">
        <f>'Income Statement'!DS8</f>
      </c>
      <c r="CZ8" s="549">
        <f>'Income Statement'!DT8</f>
      </c>
      <c r="DA8" s="1473">
        <f>'Income Statement'!DU8</f>
      </c>
      <c r="DB8" s="549">
        <f>'Income Statement'!DV8</f>
      </c>
      <c r="DC8" s="549">
        <f>'Income Statement'!DW8</f>
      </c>
      <c r="DD8" s="549">
        <f>'Income Statement'!DX8</f>
      </c>
      <c r="DE8" s="1473">
        <f>'Income Statement'!DY8</f>
      </c>
      <c r="DF8" s="549">
        <f>'Income Statement'!DZ8</f>
      </c>
      <c r="DG8" s="549">
        <f>'Income Statement'!EA8</f>
      </c>
      <c r="DH8" s="549">
        <f>'Income Statement'!EB8</f>
      </c>
      <c r="DI8" s="1473">
        <f>'Income Statement'!EC8</f>
      </c>
      <c r="DJ8" s="549">
        <f>'Income Statement'!ED8</f>
      </c>
      <c r="DK8" s="549">
        <f>'Income Statement'!EE8</f>
      </c>
      <c r="DL8" s="549">
        <f>'Income Statement'!EF8</f>
      </c>
      <c r="DM8" s="1473">
        <f>'Income Statement'!EG8</f>
      </c>
      <c r="DN8" s="549">
        <f>'Income Statement'!EH8</f>
      </c>
      <c r="DO8" s="549">
        <f>'Income Statement'!EI8</f>
      </c>
      <c r="DP8" s="549">
        <f>'Income Statement'!EJ8</f>
      </c>
      <c r="DQ8" s="1473">
        <f>'Income Statement'!EK8</f>
      </c>
      <c r="DR8" s="549"/>
      <c r="DS8" s="694" t="str">
        <f>'Income Statement'!ER8</f>
      </c>
      <c r="DT8" s="694" t="str">
        <f>'Income Statement'!ES8</f>
      </c>
      <c r="DU8" s="694" t="str">
        <f>'Income Statement'!ET8</f>
      </c>
      <c r="DV8" s="694" t="str">
        <f>'Income Statement'!EU8</f>
      </c>
      <c r="DW8" s="694" t="str">
        <f>'Income Statement'!EV8</f>
      </c>
      <c r="DX8" s="694" t="str">
        <f>'Income Statement'!EW8</f>
      </c>
      <c r="DY8" s="694" t="str">
        <f>'Income Statement'!EX8</f>
      </c>
      <c r="DZ8" s="694" t="str">
        <f>'Income Statement'!EY8</f>
      </c>
      <c r="EA8" s="694" t="str">
        <f>'Income Statement'!EZ8</f>
      </c>
      <c r="EB8" s="694" t="str">
        <f>'Income Statement'!FA8</f>
      </c>
      <c r="EC8" s="694" t="str">
        <f>'Income Statement'!FB8</f>
      </c>
      <c r="ED8" s="694" t="str">
        <f>'Income Statement'!FC8</f>
      </c>
      <c r="EE8" s="694" t="str">
        <f>'Income Statement'!FD8</f>
      </c>
      <c r="EF8" s="694" t="str">
        <f>'Income Statement'!FE8</f>
      </c>
      <c r="EG8" s="694" t="str">
        <f>'Income Statement'!FF8</f>
      </c>
      <c r="EH8" s="694" t="str">
        <f>'Income Statement'!FG8</f>
      </c>
      <c r="EI8" s="694" t="str">
        <f>'Income Statement'!FH8</f>
      </c>
      <c r="EJ8" s="694" t="str">
        <f>'Income Statement'!FI8</f>
      </c>
      <c r="EK8" s="694" t="str">
        <f>'Income Statement'!FJ8</f>
      </c>
      <c r="EL8" s="694" t="str">
        <f>'Income Statement'!FK8</f>
      </c>
      <c r="EM8" s="694" t="str">
        <f>'Income Statement'!FL8</f>
      </c>
      <c r="EN8" s="694" t="str">
        <f>'Income Statement'!FM8</f>
      </c>
      <c r="EO8" s="694" t="str">
        <f>'Income Statement'!FN8</f>
      </c>
      <c r="EP8" s="694" t="str">
        <f>'Income Statement'!FO8</f>
      </c>
      <c r="EQ8" s="694" t="str">
        <f>'Income Statement'!FP8</f>
      </c>
      <c r="ER8" s="694" t="str">
        <f>'Income Statement'!FQ8</f>
      </c>
      <c r="ES8" s="694" t="str">
        <f>'Income Statement'!FR8</f>
      </c>
      <c r="ET8" s="694" t="str">
        <f>'Income Statement'!FS8</f>
      </c>
      <c r="EU8" s="694" t="str">
        <f>'Income Statement'!FT8</f>
      </c>
      <c r="EV8" s="694" t="str">
        <f>'Income Statement'!FU8</f>
      </c>
      <c r="EW8" s="694"/>
      <c r="EX8" s="1501"/>
      <c r="EY8" s="1502" t="str">
        <f>'Segment - Services'!GO9</f>
      </c>
      <c r="EZ8" s="1502" t="str">
        <f>'Segment - Services'!GP9</f>
      </c>
      <c r="FA8" s="1502" t="str">
        <f>'Segment - Services'!GQ9</f>
      </c>
      <c r="FB8" s="1502" t="str">
        <f>'Segment - Services'!GR9</f>
      </c>
      <c r="FC8" s="1502" t="str">
        <f>'Segment - Services'!GS9</f>
      </c>
      <c r="FD8" s="1502" t="str">
        <f>'Segment - Services'!GT9</f>
      </c>
      <c r="FE8" s="1502" t="str">
        <f>'Segment - Services'!GU9</f>
      </c>
      <c r="FF8" s="1502" t="str">
        <f>'Segment - Services'!GV9</f>
      </c>
      <c r="FG8" s="1502" t="str">
        <f>'Segment - Services'!GW9</f>
      </c>
      <c r="FH8" s="1502" t="str">
        <f>'Segment - Services'!GX9</f>
      </c>
      <c r="FI8" s="1502" t="str">
        <f>'Segment - Services'!GY9</f>
      </c>
      <c r="FJ8" s="1502" t="str">
        <f>'Segment - Services'!GZ9</f>
      </c>
    </row>
    <row r="9" spans="1:166" s="673" customFormat="1" ht="12" customHeight="1">
      <c r="A9" s="2314" t="s">
        <v>168</v>
      </c>
      <c r="B9" s="2315">
        <v>513</v>
      </c>
      <c r="C9" s="2315">
        <v>767</v>
      </c>
      <c r="D9" s="2315">
        <v>843</v>
      </c>
      <c r="E9" s="2315">
        <v>873</v>
      </c>
      <c r="F9" s="2316">
        <v>689</v>
      </c>
      <c r="G9" s="2315">
        <v>737</v>
      </c>
      <c r="H9" s="2315">
        <v>808</v>
      </c>
      <c r="I9" s="2317">
        <v>876</v>
      </c>
      <c r="J9" s="2315">
        <v>738</v>
      </c>
      <c r="K9" s="2315">
        <v>684</v>
      </c>
      <c r="L9" s="2315">
        <v>831</v>
      </c>
      <c r="M9" s="2315">
        <v>928</v>
      </c>
      <c r="N9" s="2316">
        <v>924</v>
      </c>
      <c r="O9" s="2315">
        <v>881</v>
      </c>
      <c r="P9" s="2315">
        <v>1018</v>
      </c>
      <c r="Q9" s="2317">
        <v>1196</v>
      </c>
      <c r="R9" s="2315">
        <v>1637</v>
      </c>
      <c r="S9" s="2315">
        <v>1443</v>
      </c>
      <c r="T9" s="2315">
        <v>1739</v>
      </c>
      <c r="U9" s="2315">
        <v>1771</v>
      </c>
      <c r="V9" s="2316">
        <v>2700</v>
      </c>
      <c r="W9" s="2315">
        <v>2122</v>
      </c>
      <c r="X9" s="2315">
        <v>2213</v>
      </c>
      <c r="Y9" s="2317">
        <v>2348</v>
      </c>
      <c r="Z9" s="2315">
        <v>3528</v>
      </c>
      <c r="AA9" s="2315">
        <v>2480</v>
      </c>
      <c r="AB9" s="2315">
        <v>2743</v>
      </c>
      <c r="AC9" s="2315">
        <v>3156</v>
      </c>
      <c r="AD9" s="2316">
        <v>4635</v>
      </c>
      <c r="AE9" s="2315">
        <v>3463</v>
      </c>
      <c r="AF9" s="2315">
        <v>3538</v>
      </c>
      <c r="AG9" s="2317">
        <v>4811</v>
      </c>
      <c r="AH9" s="2315">
        <v>5278</v>
      </c>
      <c r="AI9" s="2315">
        <v>3942</v>
      </c>
      <c r="AJ9" s="2315">
        <v>4452</v>
      </c>
      <c r="AK9" s="2317">
        <v>5215</v>
      </c>
      <c r="AL9" s="2315">
        <v>6092</v>
      </c>
      <c r="AM9" s="2315">
        <v>4993</v>
      </c>
      <c r="AN9" s="2315">
        <v>6227</v>
      </c>
      <c r="AO9" s="2317">
        <v>7186</v>
      </c>
      <c r="AP9" s="2315">
        <v>9218</v>
      </c>
      <c r="AQ9" s="2315">
        <v>9323</v>
      </c>
      <c r="AR9" s="2315">
        <v>10126</v>
      </c>
      <c r="AS9" s="2317">
        <v>9648</v>
      </c>
      <c r="AT9" s="2315">
        <v>22070</v>
      </c>
      <c r="AU9" s="2315">
        <v>16373</v>
      </c>
      <c r="AV9" s="2315">
        <v>15764</v>
      </c>
      <c r="AW9" s="2317">
        <v>16853</v>
      </c>
      <c r="AX9" s="2315">
        <v>24849</v>
      </c>
      <c r="AY9" s="2315">
        <v>17683</v>
      </c>
      <c r="AZ9" s="2315">
        <v>17371</v>
      </c>
      <c r="BA9" s="2317">
        <v>17190</v>
      </c>
      <c r="BB9" s="2315">
        <v>24789</v>
      </c>
      <c r="BC9" s="2315">
        <v>17982</v>
      </c>
      <c r="BD9" s="2315">
        <v>17574</v>
      </c>
      <c r="BE9" s="2317">
        <v>19750</v>
      </c>
      <c r="BF9" s="2315">
        <v>30566</v>
      </c>
      <c r="BG9" s="2315">
        <v>21316</v>
      </c>
      <c r="BH9" s="2315">
        <v>20209</v>
      </c>
      <c r="BI9" s="2317">
        <v>21773</v>
      </c>
      <c r="BJ9" s="2315">
        <v>29325</v>
      </c>
      <c r="BK9" s="2315">
        <v>19096</v>
      </c>
      <c r="BL9" s="1065">
        <v>17963</v>
      </c>
      <c r="BM9" s="2318">
        <v>20229</v>
      </c>
      <c r="BN9" s="1065">
        <v>31968</v>
      </c>
      <c r="BO9" s="1065">
        <v>21157</v>
      </c>
      <c r="BP9" s="1065">
        <v>20376</v>
      </c>
      <c r="BQ9" s="2318">
        <v>23099</v>
      </c>
      <c r="BR9" s="1065">
        <v>35193</v>
      </c>
      <c r="BS9" s="1065">
        <v>24841</v>
      </c>
      <c r="BT9" s="1065">
        <v>24542</v>
      </c>
      <c r="BU9" s="2318">
        <v>27517</v>
      </c>
      <c r="BV9" s="1065">
        <v>36940</v>
      </c>
      <c r="BW9" s="1065">
        <v>25596</v>
      </c>
      <c r="BX9" s="1065">
        <v>25056</v>
      </c>
      <c r="BY9" s="2318">
        <v>29322</v>
      </c>
      <c r="BZ9" s="1065">
        <v>41367</v>
      </c>
      <c r="CA9" s="1065">
        <v>25473</v>
      </c>
      <c r="CB9" s="1065">
        <v>27018</v>
      </c>
      <c r="CC9" s="2318">
        <v>30698</v>
      </c>
      <c r="CD9" s="1065">
        <v>46310</v>
      </c>
      <c r="CE9" s="1065">
        <v>34306</v>
      </c>
      <c r="CF9" s="1065">
        <v>35870</v>
      </c>
      <c r="CG9" s="2318">
        <v>36820</v>
      </c>
      <c r="CH9" s="1065">
        <v>51496</v>
      </c>
      <c r="CI9" s="1065">
        <v>40882</v>
      </c>
      <c r="CJ9" s="1065">
        <v>37472</v>
      </c>
      <c r="CK9" s="2318">
        <v>39808</v>
      </c>
      <c r="CL9" s="1065">
        <v>49278</v>
      </c>
      <c r="CM9" s="1065">
        <v>37784</v>
      </c>
      <c r="CN9" s="1065">
        <v>35383</v>
      </c>
      <c r="CO9" s="2318">
        <v>40115</v>
      </c>
      <c r="CP9" s="1065">
        <v>50430</v>
      </c>
      <c r="CQ9" s="1065">
        <v>37273</v>
      </c>
      <c r="CR9" s="1065">
        <v>37678</v>
      </c>
      <c r="CS9" s="2318">
        <v>41664</v>
      </c>
      <c r="CT9" s="1065">
        <v>52648</v>
      </c>
      <c r="CU9" s="1065">
        <v>40315</v>
      </c>
      <c r="CV9" s="1065">
        <v>41198</v>
      </c>
      <c r="CW9" s="2319">
        <f t="shared" ref="CW9:DQ12" si="33">CS9*(1+CW44)</f>
      </c>
      <c r="CX9" s="1061">
        <f t="shared" si="33"/>
      </c>
      <c r="CY9" s="1061">
        <f t="shared" si="33"/>
      </c>
      <c r="CZ9" s="1061">
        <f t="shared" si="33"/>
      </c>
      <c r="DA9" s="2319">
        <f t="shared" si="33"/>
      </c>
      <c r="DB9" s="1061">
        <f t="shared" si="33"/>
      </c>
      <c r="DC9" s="1061">
        <f t="shared" si="33"/>
      </c>
      <c r="DD9" s="1061">
        <f t="shared" si="33"/>
      </c>
      <c r="DE9" s="2319">
        <f t="shared" si="33"/>
      </c>
      <c r="DF9" s="1061">
        <f t="shared" si="33"/>
      </c>
      <c r="DG9" s="1061">
        <f t="shared" si="33"/>
      </c>
      <c r="DH9" s="1061">
        <f t="shared" si="33"/>
      </c>
      <c r="DI9" s="2319">
        <f t="shared" si="33"/>
      </c>
      <c r="DJ9" s="1061">
        <f t="shared" si="33"/>
      </c>
      <c r="DK9" s="1061">
        <f t="shared" si="33"/>
      </c>
      <c r="DL9" s="1061">
        <f t="shared" si="33"/>
      </c>
      <c r="DM9" s="2319">
        <f t="shared" si="33"/>
      </c>
      <c r="DN9" s="1061">
        <f t="shared" si="33"/>
      </c>
      <c r="DO9" s="1061">
        <f t="shared" si="33"/>
      </c>
      <c r="DP9" s="1061">
        <f t="shared" si="33"/>
      </c>
      <c r="DQ9" s="2319">
        <f t="shared" si="33"/>
      </c>
      <c r="DR9" s="1065"/>
      <c r="DS9" s="2320">
        <f>SUM(B9:E9)</f>
      </c>
      <c r="DT9" s="2320">
        <f>SUM(F9:I9)</f>
      </c>
      <c r="DU9" s="2320">
        <f>SUM(J9:M9)</f>
      </c>
      <c r="DV9" s="2320">
        <f>SUM(N9:Q9)</f>
      </c>
      <c r="DW9" s="2320">
        <f>SUM(R9:U9)</f>
      </c>
      <c r="DX9" s="2320">
        <f>SUM(V9:Y9)</f>
      </c>
      <c r="DY9" s="2320">
        <f>SUM(Z9:AC9)</f>
      </c>
      <c r="DZ9" s="2320">
        <f>SUM(AD9:AG9)</f>
      </c>
      <c r="EA9" s="2320">
        <f>SUM(AH9:AK9)</f>
      </c>
      <c r="EB9" s="2320">
        <f>SUM(AL9:AO9)</f>
      </c>
      <c r="EC9" s="2320">
        <f t="shared" ref="EC9:EC14" si="34">SUM(AP9:AS9)</f>
      </c>
      <c r="ED9" s="2320">
        <f>SUM(AT9:AW9)</f>
      </c>
      <c r="EE9" s="2320">
        <f>SUM(AX9:BA9)</f>
      </c>
      <c r="EF9" s="2320">
        <f>SUM(BB9:BE9)</f>
      </c>
      <c r="EG9" s="2320">
        <f>SUM(BF9:BI9)</f>
      </c>
      <c r="EH9" s="2320">
        <f>SUM(BJ9:BM9)</f>
      </c>
      <c r="EI9" s="2320">
        <f>SUM(BN9:BQ9)</f>
      </c>
      <c r="EJ9" s="2320">
        <f>SUM(BR9:BU9)</f>
      </c>
      <c r="EK9" s="2320">
        <f>SUM(BV9:BY9)</f>
      </c>
      <c r="EL9" s="2320">
        <f>SUM(BZ9:CC9)</f>
      </c>
      <c r="EM9" s="2320">
        <f>SUM(CD9:CG9)</f>
      </c>
      <c r="EN9" s="2320">
        <f>SUM(CH9:CK9)</f>
      </c>
      <c r="EO9" s="2320">
        <f>SUM(CL9:CO9)</f>
      </c>
      <c r="EP9" s="2320">
        <f>SUM(CP9:CS9)</f>
      </c>
      <c r="EQ9" s="2320">
        <f>SUM(CT9:CW9)</f>
      </c>
      <c r="ER9" s="2320">
        <f>SUM(CX9:DA9)</f>
      </c>
      <c r="ES9" s="2320">
        <f>SUM(DB9:DE9)</f>
      </c>
      <c r="ET9" s="2320">
        <f>SUM(DF9:DI9)</f>
      </c>
      <c r="EU9" s="2320">
        <f>SUM(DJ9:DM9)</f>
      </c>
      <c r="EV9" s="2320">
        <f>SUM(DN9:DQ9)</f>
      </c>
      <c r="EW9" s="2320"/>
      <c r="EX9" s="2320"/>
      <c r="EY9" s="2320">
        <f>SUM(BC9:BF9)</f>
      </c>
      <c r="EZ9" s="2320">
        <f>SUM(BG9:BJ9)</f>
      </c>
      <c r="FA9" s="2320">
        <f>SUM(BK9:BN9)</f>
      </c>
      <c r="FB9" s="2320">
        <f>SUM(BO9:BR9)</f>
      </c>
      <c r="FC9" s="2320">
        <f>SUM(BS9:BV9)</f>
      </c>
      <c r="FD9" s="2320">
        <f>SUM(BW9:BZ9)</f>
      </c>
      <c r="FE9" s="2320">
        <f>SUM(CA9:CD9)</f>
      </c>
      <c r="FF9" s="2320">
        <f>SUM(CE9:CH9)</f>
      </c>
      <c r="FG9" s="2320"/>
      <c r="FH9" s="2320"/>
      <c r="FI9" s="2320"/>
      <c r="FJ9" s="2320"/>
    </row>
    <row r="10" spans="1:166" s="673" customFormat="1" ht="12" customHeight="1">
      <c r="A10" s="2321" t="s">
        <v>663</v>
      </c>
      <c r="B10" s="674">
        <v>326</v>
      </c>
      <c r="C10" s="674">
        <v>355</v>
      </c>
      <c r="D10" s="674">
        <v>275</v>
      </c>
      <c r="E10" s="674">
        <v>293</v>
      </c>
      <c r="F10" s="2322">
        <v>363</v>
      </c>
      <c r="G10" s="674">
        <v>365</v>
      </c>
      <c r="H10" s="674">
        <v>275</v>
      </c>
      <c r="I10" s="2323">
        <v>248</v>
      </c>
      <c r="J10" s="674">
        <v>351</v>
      </c>
      <c r="K10" s="674">
        <v>338</v>
      </c>
      <c r="L10" s="674">
        <v>297</v>
      </c>
      <c r="M10" s="674">
        <v>323</v>
      </c>
      <c r="N10" s="2322">
        <v>519</v>
      </c>
      <c r="O10" s="674">
        <v>449</v>
      </c>
      <c r="P10" s="674">
        <v>408</v>
      </c>
      <c r="Q10" s="2323">
        <v>423</v>
      </c>
      <c r="R10" s="674">
        <v>847</v>
      </c>
      <c r="S10" s="674">
        <v>705</v>
      </c>
      <c r="T10" s="674">
        <v>742</v>
      </c>
      <c r="U10" s="674">
        <v>779</v>
      </c>
      <c r="V10" s="2322">
        <v>1242</v>
      </c>
      <c r="W10" s="674">
        <v>966</v>
      </c>
      <c r="X10" s="674">
        <v>900</v>
      </c>
      <c r="Y10" s="2323">
        <v>988</v>
      </c>
      <c r="Z10" s="674">
        <v>1712</v>
      </c>
      <c r="AA10" s="674">
        <v>1252</v>
      </c>
      <c r="AB10" s="674">
        <v>1166</v>
      </c>
      <c r="AC10" s="674">
        <v>1339</v>
      </c>
      <c r="AD10" s="2322">
        <v>2651</v>
      </c>
      <c r="AE10" s="674">
        <v>1784</v>
      </c>
      <c r="AF10" s="674">
        <v>1630</v>
      </c>
      <c r="AG10" s="2323">
        <v>3168</v>
      </c>
      <c r="AH10" s="674">
        <v>3585</v>
      </c>
      <c r="AI10" s="674">
        <v>2485</v>
      </c>
      <c r="AJ10" s="674">
        <v>2505</v>
      </c>
      <c r="AK10" s="2323">
        <v>3235</v>
      </c>
      <c r="AL10" s="674">
        <v>5024</v>
      </c>
      <c r="AM10" s="674">
        <v>4050</v>
      </c>
      <c r="AN10" s="674">
        <v>4160</v>
      </c>
      <c r="AO10" s="2323">
        <v>5458</v>
      </c>
      <c r="AP10" s="674">
        <v>7256</v>
      </c>
      <c r="AQ10" s="674">
        <v>6027</v>
      </c>
      <c r="AR10" s="674">
        <v>7098</v>
      </c>
      <c r="AS10" s="2323">
        <v>7397</v>
      </c>
      <c r="AT10" s="674">
        <v>12286</v>
      </c>
      <c r="AU10" s="674">
        <v>9515</v>
      </c>
      <c r="AV10" s="674">
        <v>8842</v>
      </c>
      <c r="AW10" s="2323">
        <v>8683</v>
      </c>
      <c r="AX10" s="674">
        <v>13582</v>
      </c>
      <c r="AY10" s="674">
        <v>10552</v>
      </c>
      <c r="AZ10" s="674">
        <v>8178</v>
      </c>
      <c r="BA10" s="2323">
        <v>8668</v>
      </c>
      <c r="BB10" s="674">
        <v>14335</v>
      </c>
      <c r="BC10" s="674">
        <v>10941</v>
      </c>
      <c r="BD10" s="674">
        <v>8659</v>
      </c>
      <c r="BE10" s="2323">
        <v>10350</v>
      </c>
      <c r="BF10" s="674">
        <v>17214</v>
      </c>
      <c r="BG10" s="674">
        <v>12204</v>
      </c>
      <c r="BH10" s="674">
        <v>10342</v>
      </c>
      <c r="BI10" s="2323">
        <v>10577</v>
      </c>
      <c r="BJ10" s="674">
        <v>17932</v>
      </c>
      <c r="BK10" s="674">
        <v>11535</v>
      </c>
      <c r="BL10" s="779">
        <v>9643</v>
      </c>
      <c r="BM10" s="1124">
        <v>10842</v>
      </c>
      <c r="BN10" s="779">
        <v>18521</v>
      </c>
      <c r="BO10" s="779">
        <v>12733</v>
      </c>
      <c r="BP10" s="779">
        <v>10675</v>
      </c>
      <c r="BQ10" s="1124">
        <v>13009</v>
      </c>
      <c r="BR10" s="779">
        <v>21054</v>
      </c>
      <c r="BS10" s="779">
        <v>13846</v>
      </c>
      <c r="BT10" s="779">
        <v>12138</v>
      </c>
      <c r="BU10" s="1124">
        <v>15382</v>
      </c>
      <c r="BV10" s="779">
        <v>20363</v>
      </c>
      <c r="BW10" s="779">
        <v>13054</v>
      </c>
      <c r="BX10" s="779">
        <v>11925</v>
      </c>
      <c r="BY10" s="1124">
        <v>14946</v>
      </c>
      <c r="BZ10" s="779">
        <v>23273</v>
      </c>
      <c r="CA10" s="779">
        <v>14294</v>
      </c>
      <c r="CB10" s="779">
        <v>14173</v>
      </c>
      <c r="CC10" s="1124">
        <v>16900</v>
      </c>
      <c r="CD10" s="779">
        <v>27306</v>
      </c>
      <c r="CE10" s="779">
        <v>22264</v>
      </c>
      <c r="CF10" s="779">
        <v>18943</v>
      </c>
      <c r="CG10" s="1124">
        <v>20794</v>
      </c>
      <c r="CH10" s="779">
        <v>29749</v>
      </c>
      <c r="CI10" s="779">
        <v>23287</v>
      </c>
      <c r="CJ10" s="779">
        <v>19287</v>
      </c>
      <c r="CK10" s="1124">
        <v>22795</v>
      </c>
      <c r="CL10" s="779">
        <v>27681</v>
      </c>
      <c r="CM10" s="779">
        <v>23945</v>
      </c>
      <c r="CN10" s="779">
        <v>20205</v>
      </c>
      <c r="CO10" s="1124">
        <v>22463</v>
      </c>
      <c r="CP10" s="779">
        <v>30397</v>
      </c>
      <c r="CQ10" s="779">
        <v>24123</v>
      </c>
      <c r="CR10" s="779">
        <v>21884</v>
      </c>
      <c r="CS10" s="1124">
        <v>24924</v>
      </c>
      <c r="CT10" s="779">
        <v>33861</v>
      </c>
      <c r="CU10" s="779">
        <v>24454</v>
      </c>
      <c r="CV10" s="779">
        <v>24014</v>
      </c>
      <c r="CW10" s="2260">
        <f t="shared" si="33"/>
      </c>
      <c r="CX10" s="1057">
        <f t="shared" si="33"/>
      </c>
      <c r="CY10" s="1057">
        <f t="shared" si="33"/>
      </c>
      <c r="CZ10" s="1057">
        <f t="shared" si="33"/>
      </c>
      <c r="DA10" s="2260">
        <f t="shared" si="33"/>
      </c>
      <c r="DB10" s="1057">
        <f t="shared" si="33"/>
      </c>
      <c r="DC10" s="1057">
        <f t="shared" si="33"/>
      </c>
      <c r="DD10" s="1057">
        <f t="shared" si="33"/>
      </c>
      <c r="DE10" s="2260">
        <f t="shared" si="33"/>
      </c>
      <c r="DF10" s="1057">
        <f t="shared" si="33"/>
      </c>
      <c r="DG10" s="1057">
        <f t="shared" si="33"/>
      </c>
      <c r="DH10" s="1057">
        <f t="shared" si="33"/>
      </c>
      <c r="DI10" s="2260">
        <f t="shared" si="33"/>
      </c>
      <c r="DJ10" s="1057">
        <f t="shared" si="33"/>
      </c>
      <c r="DK10" s="1057">
        <f t="shared" si="33"/>
      </c>
      <c r="DL10" s="1057">
        <f t="shared" si="33"/>
      </c>
      <c r="DM10" s="2260">
        <f t="shared" si="33"/>
      </c>
      <c r="DN10" s="1057">
        <f t="shared" si="33"/>
      </c>
      <c r="DO10" s="1057">
        <f t="shared" si="33"/>
      </c>
      <c r="DP10" s="1057">
        <f t="shared" si="33"/>
      </c>
      <c r="DQ10" s="2260">
        <f t="shared" si="33"/>
      </c>
      <c r="DR10" s="779"/>
      <c r="DS10" s="673">
        <f>SUM(B10:E10)</f>
      </c>
      <c r="DT10" s="673">
        <f>SUM(F10:I10)</f>
      </c>
      <c r="DU10" s="673">
        <f>SUM(J10:M10)</f>
      </c>
      <c r="DV10" s="673">
        <f>SUM(N10:Q10)</f>
      </c>
      <c r="DW10" s="673">
        <f>SUM(R10:U10)</f>
      </c>
      <c r="DX10" s="673">
        <f>SUM(V10:Y10)</f>
      </c>
      <c r="DY10" s="673">
        <f>SUM(Z10:AC10)</f>
      </c>
      <c r="DZ10" s="673">
        <f>SUM(AD10:AG10)</f>
      </c>
      <c r="EA10" s="673">
        <f>SUM(AH10:AK10)</f>
      </c>
      <c r="EB10" s="673">
        <f>SUM(AL10:AO10)</f>
      </c>
      <c r="EC10" s="673">
        <f t="shared" si="34"/>
      </c>
      <c r="ED10" s="673">
        <f>SUM(AT10:AW10)</f>
      </c>
      <c r="EE10" s="673">
        <f>SUM(AX10:BA10)</f>
      </c>
      <c r="EF10" s="673">
        <f>SUM(BB10:BE10)</f>
      </c>
      <c r="EG10" s="673">
        <f>SUM(BF10:BI10)</f>
      </c>
      <c r="EH10" s="673">
        <f>SUM(BJ10:BM10)</f>
      </c>
      <c r="EI10" s="673">
        <f>SUM(BN10:BQ10)</f>
      </c>
      <c r="EJ10" s="673">
        <f>SUM(BR10:BU10)</f>
      </c>
      <c r="EK10" s="673">
        <f>SUM(BV10:BY10)</f>
      </c>
      <c r="EL10" s="673">
        <f>SUM(BZ10:CC10)</f>
      </c>
      <c r="EM10" s="673">
        <f>SUM(CD10:CG10)</f>
      </c>
      <c r="EN10" s="673">
        <f>SUM(CH10:CK10)</f>
      </c>
      <c r="EO10" s="673">
        <f>SUM(CL10:CO10)</f>
      </c>
      <c r="EP10" s="673">
        <f>SUM(CP10:CS10)</f>
      </c>
      <c r="EQ10" s="673">
        <f>SUM(CT10:CW10)</f>
      </c>
      <c r="ER10" s="673">
        <f>SUM(CX10:DA10)</f>
      </c>
      <c r="ES10" s="673">
        <f>SUM(DB10:DE10)</f>
      </c>
      <c r="ET10" s="673">
        <f>SUM(DF10:DI10)</f>
      </c>
      <c r="EU10" s="673">
        <f>SUM(DJ10:DM10)</f>
      </c>
      <c r="EV10" s="673">
        <f>SUM(DN10:DQ10)</f>
      </c>
      <c r="EY10" s="673">
        <f>SUM(BC10:BF10)</f>
      </c>
      <c r="EZ10" s="673">
        <f>SUM(BG10:BJ10)</f>
      </c>
      <c r="FA10" s="673">
        <f>SUM(BK10:BN10)</f>
      </c>
      <c r="FB10" s="673">
        <f>SUM(BO10:BR10)</f>
      </c>
      <c r="FC10" s="673">
        <f>SUM(BS10:BV10)</f>
      </c>
      <c r="FD10" s="673">
        <f>SUM(BW10:BZ10)</f>
      </c>
      <c r="FE10" s="673">
        <f>SUM(CA10:CD10)</f>
      </c>
      <c r="FF10" s="673">
        <f>SUM(CE10:CH10)</f>
      </c>
    </row>
    <row r="11" spans="1:166" s="673" customFormat="1" ht="12" customHeight="1">
      <c r="A11" s="2321" t="s">
        <v>171</v>
      </c>
      <c r="B11" s="674"/>
      <c r="C11" s="674"/>
      <c r="D11" s="674"/>
      <c r="E11" s="674"/>
      <c r="F11" s="2322"/>
      <c r="G11" s="674"/>
      <c r="H11" s="674"/>
      <c r="I11" s="2323"/>
      <c r="J11" s="674"/>
      <c r="K11" s="674"/>
      <c r="L11" s="674"/>
      <c r="M11" s="674"/>
      <c r="N11" s="2322"/>
      <c r="O11" s="674"/>
      <c r="P11" s="674"/>
      <c r="Q11" s="2323"/>
      <c r="R11" s="674"/>
      <c r="S11" s="674"/>
      <c r="T11" s="674"/>
      <c r="U11" s="674"/>
      <c r="V11" s="2322"/>
      <c r="W11" s="674"/>
      <c r="X11" s="674"/>
      <c r="Y11" s="2323"/>
      <c r="Z11" s="674"/>
      <c r="AA11" s="674"/>
      <c r="AB11" s="674"/>
      <c r="AC11" s="674"/>
      <c r="AD11" s="2322"/>
      <c r="AE11" s="674"/>
      <c r="AF11" s="674"/>
      <c r="AG11" s="2323"/>
      <c r="AH11" s="674"/>
      <c r="AI11" s="674"/>
      <c r="AJ11" s="674"/>
      <c r="AK11" s="2323"/>
      <c r="AL11" s="674"/>
      <c r="AM11" s="674"/>
      <c r="AN11" s="674"/>
      <c r="AO11" s="2323"/>
      <c r="AP11" s="674">
        <v>2467</v>
      </c>
      <c r="AQ11" s="674">
        <v>2220</v>
      </c>
      <c r="AR11" s="674">
        <v>3640</v>
      </c>
      <c r="AS11" s="2323">
        <v>4363</v>
      </c>
      <c r="AT11" s="674">
        <v>4493</v>
      </c>
      <c r="AU11" s="674">
        <v>7893</v>
      </c>
      <c r="AV11" s="674">
        <v>5672</v>
      </c>
      <c r="AW11" s="2323">
        <v>5698</v>
      </c>
      <c r="AX11" s="674">
        <v>7262</v>
      </c>
      <c r="AY11" s="674">
        <v>8770</v>
      </c>
      <c r="AZ11" s="674">
        <v>4933</v>
      </c>
      <c r="BA11" s="2323">
        <v>6051</v>
      </c>
      <c r="BB11" s="674">
        <v>9496</v>
      </c>
      <c r="BC11" s="674">
        <v>9835</v>
      </c>
      <c r="BD11" s="674">
        <v>6230</v>
      </c>
      <c r="BE11" s="2323">
        <v>6292</v>
      </c>
      <c r="BF11" s="674">
        <v>16144</v>
      </c>
      <c r="BG11" s="674">
        <v>16823</v>
      </c>
      <c r="BH11" s="674">
        <v>13230</v>
      </c>
      <c r="BI11" s="2323">
        <v>12518</v>
      </c>
      <c r="BJ11" s="674">
        <v>18373</v>
      </c>
      <c r="BK11" s="674">
        <v>12486</v>
      </c>
      <c r="BL11" s="779">
        <v>8848</v>
      </c>
      <c r="BM11" s="1124">
        <v>8785</v>
      </c>
      <c r="BN11" s="779">
        <v>16233</v>
      </c>
      <c r="BO11" s="779">
        <v>10726</v>
      </c>
      <c r="BP11" s="779">
        <v>8004</v>
      </c>
      <c r="BQ11" s="1124">
        <v>9801</v>
      </c>
      <c r="BR11" s="779">
        <v>17956</v>
      </c>
      <c r="BS11" s="779">
        <v>13024</v>
      </c>
      <c r="BT11" s="779">
        <v>9551</v>
      </c>
      <c r="BU11" s="1124">
        <v>11411</v>
      </c>
      <c r="BV11" s="779">
        <v>13169</v>
      </c>
      <c r="BW11" s="779">
        <v>10218</v>
      </c>
      <c r="BX11" s="779">
        <v>9157</v>
      </c>
      <c r="BY11" s="1124">
        <v>11134</v>
      </c>
      <c r="BZ11" s="779">
        <v>13578</v>
      </c>
      <c r="CA11" s="779">
        <v>9455</v>
      </c>
      <c r="CB11" s="779">
        <v>9329</v>
      </c>
      <c r="CC11" s="1124">
        <v>7946</v>
      </c>
      <c r="CD11" s="779">
        <v>21313</v>
      </c>
      <c r="CE11" s="779">
        <v>17728</v>
      </c>
      <c r="CF11" s="779">
        <v>14762</v>
      </c>
      <c r="CG11" s="1124">
        <v>14563</v>
      </c>
      <c r="CH11" s="779">
        <v>25783</v>
      </c>
      <c r="CI11" s="779">
        <v>18343</v>
      </c>
      <c r="CJ11" s="779">
        <v>14604</v>
      </c>
      <c r="CK11" s="1124">
        <v>15470</v>
      </c>
      <c r="CL11" s="779">
        <v>23905</v>
      </c>
      <c r="CM11" s="779">
        <v>17812</v>
      </c>
      <c r="CN11" s="779">
        <v>15758</v>
      </c>
      <c r="CO11" s="1124">
        <v>15084</v>
      </c>
      <c r="CP11" s="779">
        <v>20819</v>
      </c>
      <c r="CQ11" s="779">
        <v>16372</v>
      </c>
      <c r="CR11" s="779">
        <v>14728</v>
      </c>
      <c r="CS11" s="1124">
        <v>15033</v>
      </c>
      <c r="CT11" s="779">
        <v>18513</v>
      </c>
      <c r="CU11" s="779">
        <v>16002</v>
      </c>
      <c r="CV11" s="779">
        <v>15369</v>
      </c>
      <c r="CW11" s="2260">
        <f t="shared" si="33"/>
      </c>
      <c r="CX11" s="1057">
        <f t="shared" si="33"/>
      </c>
      <c r="CY11" s="1057">
        <f t="shared" si="33"/>
      </c>
      <c r="CZ11" s="1057">
        <f t="shared" si="33"/>
      </c>
      <c r="DA11" s="2260">
        <f t="shared" si="33"/>
      </c>
      <c r="DB11" s="1057">
        <f t="shared" si="33"/>
      </c>
      <c r="DC11" s="1057">
        <f t="shared" si="33"/>
      </c>
      <c r="DD11" s="1057">
        <f t="shared" si="33"/>
      </c>
      <c r="DE11" s="2260">
        <f t="shared" si="33"/>
      </c>
      <c r="DF11" s="1057">
        <f t="shared" si="33"/>
      </c>
      <c r="DG11" s="1057">
        <f t="shared" si="33"/>
      </c>
      <c r="DH11" s="1057">
        <f t="shared" si="33"/>
      </c>
      <c r="DI11" s="2260">
        <f t="shared" si="33"/>
      </c>
      <c r="DJ11" s="1057">
        <f t="shared" si="33"/>
      </c>
      <c r="DK11" s="1057">
        <f t="shared" si="33"/>
      </c>
      <c r="DL11" s="1057">
        <f t="shared" si="33"/>
      </c>
      <c r="DM11" s="2260">
        <f t="shared" si="33"/>
      </c>
      <c r="DN11" s="1057">
        <f t="shared" si="33"/>
      </c>
      <c r="DO11" s="1057">
        <f t="shared" si="33"/>
      </c>
      <c r="DP11" s="1057">
        <f t="shared" si="33"/>
      </c>
      <c r="DQ11" s="2260">
        <f t="shared" si="33"/>
      </c>
      <c r="DR11" s="779"/>
      <c r="EC11" s="673">
        <f t="shared" si="34"/>
      </c>
      <c r="ED11" s="673">
        <f>SUM(AT11:AW11)</f>
      </c>
      <c r="EE11" s="673">
        <f>SUM(AX11:BA11)</f>
      </c>
      <c r="EF11" s="673">
        <f>SUM(BB11:BE11)</f>
      </c>
      <c r="EG11" s="673">
        <f>SUM(BF11:BI11)</f>
      </c>
      <c r="EH11" s="673">
        <f>SUM(BJ11:BM11)</f>
      </c>
      <c r="EI11" s="673">
        <f>SUM(BN11:BQ11)</f>
      </c>
      <c r="EJ11" s="673">
        <f>SUM(BR11:BU11)</f>
      </c>
      <c r="EK11" s="673">
        <f>SUM(BV11:BY11)</f>
      </c>
      <c r="EL11" s="673">
        <f>SUM(BZ11:CC11)</f>
      </c>
      <c r="EM11" s="673">
        <f>SUM(CD11:CG11)</f>
      </c>
      <c r="EN11" s="673">
        <f>SUM(CH11:CK11)</f>
      </c>
      <c r="EO11" s="673">
        <f>SUM(CL11:CO11)</f>
      </c>
      <c r="EP11" s="673">
        <f>SUM(CP11:CS11)</f>
      </c>
      <c r="EQ11" s="673">
        <f>SUM(CT11:CW11)</f>
      </c>
      <c r="ER11" s="673">
        <f>SUM(CX11:DA11)</f>
      </c>
      <c r="ES11" s="673">
        <f>SUM(DB11:DE11)</f>
      </c>
      <c r="ET11" s="673">
        <f>SUM(DF11:DI11)</f>
      </c>
      <c r="EU11" s="673">
        <f>SUM(DJ11:DM11)</f>
      </c>
      <c r="EV11" s="673">
        <f>SUM(DN11:DQ11)</f>
      </c>
      <c r="EY11" s="673">
        <f>SUM(BC11:BF11)</f>
      </c>
      <c r="EZ11" s="673">
        <f>SUM(BG11:BJ11)</f>
      </c>
      <c r="FA11" s="673">
        <f>SUM(BK11:BN11)</f>
      </c>
      <c r="FB11" s="673">
        <f>SUM(BO11:BR11)</f>
      </c>
      <c r="FC11" s="673">
        <f>SUM(BS11:BV11)</f>
      </c>
      <c r="FD11" s="673">
        <f>SUM(BW11:BZ11)</f>
      </c>
      <c r="FE11" s="673">
        <f>SUM(CA11:CD11)</f>
      </c>
      <c r="FF11" s="673">
        <f>SUM(CE11:CH11)</f>
      </c>
    </row>
    <row r="12" spans="1:166" s="673" customFormat="1" ht="12" customHeight="1">
      <c r="A12" s="2321" t="s">
        <v>169</v>
      </c>
      <c r="B12" s="674">
        <v>84</v>
      </c>
      <c r="C12" s="674">
        <v>214</v>
      </c>
      <c r="D12" s="674">
        <v>244</v>
      </c>
      <c r="E12" s="674">
        <v>171</v>
      </c>
      <c r="F12" s="2322">
        <v>183</v>
      </c>
      <c r="G12" s="674">
        <v>227</v>
      </c>
      <c r="H12" s="674">
        <v>168</v>
      </c>
      <c r="I12" s="2323">
        <v>132</v>
      </c>
      <c r="J12" s="674">
        <v>139</v>
      </c>
      <c r="K12" s="674">
        <v>220</v>
      </c>
      <c r="L12" s="674">
        <v>168</v>
      </c>
      <c r="M12" s="674">
        <v>171</v>
      </c>
      <c r="N12" s="2322">
        <v>157</v>
      </c>
      <c r="O12" s="674">
        <v>173</v>
      </c>
      <c r="P12" s="674">
        <v>172</v>
      </c>
      <c r="Q12" s="2323">
        <v>175</v>
      </c>
      <c r="R12" s="674">
        <v>185</v>
      </c>
      <c r="S12" s="674">
        <v>284</v>
      </c>
      <c r="T12" s="674">
        <v>227</v>
      </c>
      <c r="U12" s="674">
        <v>224</v>
      </c>
      <c r="V12" s="2322">
        <v>355</v>
      </c>
      <c r="W12" s="674">
        <v>309</v>
      </c>
      <c r="X12" s="674">
        <v>259</v>
      </c>
      <c r="Y12" s="2323">
        <v>286</v>
      </c>
      <c r="Z12" s="674">
        <v>285</v>
      </c>
      <c r="AA12" s="674">
        <v>285</v>
      </c>
      <c r="AB12" s="674">
        <v>259</v>
      </c>
      <c r="AC12" s="674">
        <v>255</v>
      </c>
      <c r="AD12" s="2322">
        <v>400</v>
      </c>
      <c r="AE12" s="674">
        <v>424</v>
      </c>
      <c r="AF12" s="674">
        <v>365</v>
      </c>
      <c r="AG12" s="2323">
        <v>539</v>
      </c>
      <c r="AH12" s="674">
        <v>498</v>
      </c>
      <c r="AI12" s="674">
        <v>587</v>
      </c>
      <c r="AJ12" s="674">
        <v>560</v>
      </c>
      <c r="AK12" s="2323">
        <v>634</v>
      </c>
      <c r="AL12" s="674">
        <v>783</v>
      </c>
      <c r="AM12" s="674">
        <v>887</v>
      </c>
      <c r="AN12" s="674">
        <v>910</v>
      </c>
      <c r="AO12" s="2323">
        <v>1401</v>
      </c>
      <c r="AP12" s="674">
        <v>1433</v>
      </c>
      <c r="AQ12" s="674">
        <v>1383</v>
      </c>
      <c r="AR12" s="674">
        <v>1510</v>
      </c>
      <c r="AS12" s="2323">
        <v>1111</v>
      </c>
      <c r="AT12" s="674">
        <v>3646</v>
      </c>
      <c r="AU12" s="674">
        <v>2727</v>
      </c>
      <c r="AV12" s="674">
        <v>2095</v>
      </c>
      <c r="AW12" s="2323">
        <v>2445</v>
      </c>
      <c r="AX12" s="674">
        <v>4546</v>
      </c>
      <c r="AY12" s="674">
        <v>3221</v>
      </c>
      <c r="AZ12" s="674">
        <v>2611</v>
      </c>
      <c r="BA12" s="2323">
        <v>3404</v>
      </c>
      <c r="BB12" s="674">
        <v>5045</v>
      </c>
      <c r="BC12" s="674">
        <v>4047</v>
      </c>
      <c r="BD12" s="674">
        <v>2627</v>
      </c>
      <c r="BE12" s="2323">
        <v>3595</v>
      </c>
      <c r="BF12" s="674">
        <v>5448</v>
      </c>
      <c r="BG12" s="674">
        <v>3457</v>
      </c>
      <c r="BH12" s="674">
        <v>2872</v>
      </c>
      <c r="BI12" s="2323">
        <v>3929</v>
      </c>
      <c r="BJ12" s="674">
        <v>4794</v>
      </c>
      <c r="BK12" s="674">
        <v>4281</v>
      </c>
      <c r="BL12" s="779">
        <v>3529</v>
      </c>
      <c r="BM12" s="1124">
        <v>4324</v>
      </c>
      <c r="BN12" s="779">
        <v>5766</v>
      </c>
      <c r="BO12" s="779">
        <v>4485</v>
      </c>
      <c r="BP12" s="779">
        <v>3624</v>
      </c>
      <c r="BQ12" s="1124">
        <v>3858</v>
      </c>
      <c r="BR12" s="779">
        <v>7237</v>
      </c>
      <c r="BS12" s="779">
        <v>5468</v>
      </c>
      <c r="BT12" s="779">
        <v>3867</v>
      </c>
      <c r="BU12" s="1124">
        <v>5161</v>
      </c>
      <c r="BV12" s="779">
        <v>6910</v>
      </c>
      <c r="BW12" s="779">
        <v>5532</v>
      </c>
      <c r="BX12" s="779">
        <v>4082</v>
      </c>
      <c r="BY12" s="1124">
        <v>4982</v>
      </c>
      <c r="BZ12" s="779">
        <v>6223</v>
      </c>
      <c r="CA12" s="779">
        <v>5206</v>
      </c>
      <c r="CB12" s="779">
        <v>4966</v>
      </c>
      <c r="CC12" s="779">
        <v>5023</v>
      </c>
      <c r="CD12" s="2324">
        <v>8285</v>
      </c>
      <c r="CE12" s="779">
        <v>7742</v>
      </c>
      <c r="CF12" s="779">
        <v>6464</v>
      </c>
      <c r="CG12" s="1124">
        <v>5991</v>
      </c>
      <c r="CH12" s="2324">
        <v>7107</v>
      </c>
      <c r="CI12" s="779">
        <v>7724</v>
      </c>
      <c r="CJ12" s="779">
        <v>5446</v>
      </c>
      <c r="CK12" s="1124">
        <v>5700</v>
      </c>
      <c r="CL12" s="2324">
        <v>6755</v>
      </c>
      <c r="CM12" s="779">
        <v>7176</v>
      </c>
      <c r="CN12" s="779">
        <v>4821</v>
      </c>
      <c r="CO12" s="1124">
        <v>5505</v>
      </c>
      <c r="CP12" s="2324">
        <v>7767</v>
      </c>
      <c r="CQ12" s="779">
        <v>6262</v>
      </c>
      <c r="CR12" s="779">
        <v>5097</v>
      </c>
      <c r="CS12" s="1124">
        <v>5926</v>
      </c>
      <c r="CT12" s="2324">
        <v>8987</v>
      </c>
      <c r="CU12" s="779">
        <v>7298</v>
      </c>
      <c r="CV12" s="779">
        <v>5782</v>
      </c>
      <c r="CW12" s="2260">
        <f t="shared" si="33"/>
      </c>
      <c r="CX12" s="1123">
        <f t="shared" si="33"/>
      </c>
      <c r="CY12" s="1057">
        <f t="shared" si="33"/>
      </c>
      <c r="CZ12" s="1057">
        <f t="shared" si="33"/>
      </c>
      <c r="DA12" s="2260">
        <f t="shared" si="33"/>
      </c>
      <c r="DB12" s="1123">
        <f t="shared" si="33"/>
      </c>
      <c r="DC12" s="1057">
        <f t="shared" si="33"/>
      </c>
      <c r="DD12" s="1057">
        <f t="shared" si="33"/>
      </c>
      <c r="DE12" s="2260">
        <f t="shared" si="33"/>
      </c>
      <c r="DF12" s="1123">
        <f t="shared" si="33"/>
      </c>
      <c r="DG12" s="1057">
        <f t="shared" si="33"/>
      </c>
      <c r="DH12" s="1057">
        <f t="shared" si="33"/>
      </c>
      <c r="DI12" s="2260">
        <f t="shared" si="33"/>
      </c>
      <c r="DJ12" s="1123">
        <f t="shared" si="33"/>
      </c>
      <c r="DK12" s="1057">
        <f t="shared" si="33"/>
      </c>
      <c r="DL12" s="1057">
        <f t="shared" si="33"/>
      </c>
      <c r="DM12" s="2260">
        <f t="shared" si="33"/>
      </c>
      <c r="DN12" s="1123">
        <f t="shared" si="33"/>
      </c>
      <c r="DO12" s="1057">
        <f t="shared" si="33"/>
      </c>
      <c r="DP12" s="1057">
        <f t="shared" si="33"/>
      </c>
      <c r="DQ12" s="2260">
        <f t="shared" si="33"/>
      </c>
      <c r="DR12" s="779"/>
      <c r="DS12" s="673">
        <f>SUM(B12:E12)</f>
      </c>
      <c r="DT12" s="673">
        <f>SUM(F12:I12)</f>
      </c>
      <c r="DU12" s="673">
        <f>SUM(J12:M12)</f>
      </c>
      <c r="DV12" s="673">
        <f>SUM(N12:Q12)</f>
      </c>
      <c r="DW12" s="673">
        <f>SUM(R12:U12)</f>
      </c>
      <c r="DX12" s="673">
        <f>SUM(V12:Y12)</f>
      </c>
      <c r="DY12" s="673">
        <f>SUM(Z12:AC12)</f>
      </c>
      <c r="DZ12" s="673">
        <f>SUM(AD12:AG12)</f>
      </c>
      <c r="EA12" s="673">
        <f>SUM(AH12:AK12)</f>
      </c>
      <c r="EB12" s="673">
        <f>SUM(AL12:AO12)</f>
      </c>
      <c r="EC12" s="673">
        <f t="shared" si="34"/>
      </c>
      <c r="ED12" s="673">
        <f>SUM(AT12:AW12)</f>
      </c>
      <c r="EE12" s="673">
        <f>SUM(AX12:BA12)</f>
      </c>
      <c r="EF12" s="673">
        <f>SUM(BB12:BE12)</f>
      </c>
      <c r="EG12" s="673">
        <f>SUM(BF12:BI12)</f>
      </c>
      <c r="EH12" s="673">
        <f>SUM(BJ12:BM12)</f>
      </c>
      <c r="EI12" s="673">
        <f>SUM(BN12:BQ12)</f>
      </c>
      <c r="EJ12" s="673">
        <f>SUM(BR12:BU12)</f>
      </c>
      <c r="EK12" s="673">
        <f>SUM(BV12:BY12)</f>
      </c>
      <c r="EL12" s="673">
        <f>SUM(BZ12:CC12)</f>
      </c>
      <c r="EM12" s="673">
        <f>SUM(CD12:CG12)</f>
      </c>
      <c r="EN12" s="673">
        <f>SUM(CH12:CK12)</f>
      </c>
      <c r="EO12" s="673">
        <f>SUM(CL12:CO12)</f>
      </c>
      <c r="EP12" s="673">
        <f>SUM(CP12:CS12)</f>
      </c>
      <c r="EQ12" s="673">
        <f>SUM(CT12:CW12)</f>
      </c>
      <c r="ER12" s="673">
        <f>SUM(CX12:DA12)</f>
      </c>
      <c r="ES12" s="673">
        <f>SUM(DB12:DE12)</f>
      </c>
      <c r="ET12" s="673">
        <f>SUM(DF12:DI12)</f>
      </c>
      <c r="EU12" s="673">
        <f>SUM(DJ12:DM12)</f>
      </c>
      <c r="EV12" s="673">
        <f>SUM(DN12:DQ12)</f>
      </c>
      <c r="EY12" s="673">
        <f>SUM(BC12:BF12)</f>
      </c>
      <c r="EZ12" s="673">
        <f>SUM(BG12:BJ12)</f>
      </c>
      <c r="FA12" s="673">
        <f>SUM(BK12:BN12)</f>
      </c>
      <c r="FB12" s="673">
        <f>SUM(BO12:BR12)</f>
      </c>
      <c r="FC12" s="673">
        <f>SUM(BS12:BV12)</f>
      </c>
      <c r="FD12" s="673">
        <f>SUM(BW12:BZ12)</f>
      </c>
      <c r="FE12" s="673">
        <f>SUM(CA12:CD12)</f>
      </c>
      <c r="FF12" s="673">
        <f>SUM(CE12:CH12)</f>
      </c>
    </row>
    <row r="13" spans="1:166" s="673" customFormat="1" ht="12" customHeight="1">
      <c r="A13" s="2321" t="s">
        <v>172</v>
      </c>
      <c r="B13" s="674">
        <v>84</v>
      </c>
      <c r="C13" s="674">
        <v>95</v>
      </c>
      <c r="D13" s="674">
        <v>107</v>
      </c>
      <c r="E13" s="674">
        <v>100</v>
      </c>
      <c r="F13" s="2322">
        <v>92</v>
      </c>
      <c r="G13" s="674">
        <v>96</v>
      </c>
      <c r="H13" s="674">
        <v>115</v>
      </c>
      <c r="I13" s="2323">
        <v>85</v>
      </c>
      <c r="J13" s="674">
        <v>96</v>
      </c>
      <c r="K13" s="674">
        <v>98</v>
      </c>
      <c r="L13" s="674">
        <v>104</v>
      </c>
      <c r="M13" s="674">
        <v>100</v>
      </c>
      <c r="N13" s="2322">
        <v>133</v>
      </c>
      <c r="O13" s="674">
        <v>140</v>
      </c>
      <c r="P13" s="674">
        <v>146</v>
      </c>
      <c r="Q13" s="2323">
        <v>180</v>
      </c>
      <c r="R13" s="674">
        <v>260</v>
      </c>
      <c r="S13" s="674">
        <v>240</v>
      </c>
      <c r="T13" s="674">
        <v>257</v>
      </c>
      <c r="U13" s="674">
        <v>241</v>
      </c>
      <c r="V13" s="2322">
        <v>380</v>
      </c>
      <c r="W13" s="674">
        <v>326</v>
      </c>
      <c r="X13" s="674">
        <v>310</v>
      </c>
      <c r="Y13" s="2323">
        <v>331</v>
      </c>
      <c r="Z13" s="674">
        <v>482</v>
      </c>
      <c r="AA13" s="674">
        <v>432</v>
      </c>
      <c r="AB13" s="674">
        <v>397</v>
      </c>
      <c r="AC13" s="674">
        <v>445</v>
      </c>
      <c r="AD13" s="2322">
        <v>737</v>
      </c>
      <c r="AE13" s="674">
        <v>589</v>
      </c>
      <c r="AF13" s="674">
        <v>574</v>
      </c>
      <c r="AG13" s="2323">
        <v>891</v>
      </c>
      <c r="AH13" s="674">
        <v>773</v>
      </c>
      <c r="AI13" s="674">
        <v>693</v>
      </c>
      <c r="AJ13" s="674">
        <v>725</v>
      </c>
      <c r="AK13" s="2323">
        <v>1082</v>
      </c>
      <c r="AL13" s="674">
        <v>1813</v>
      </c>
      <c r="AM13" s="674">
        <v>1886</v>
      </c>
      <c r="AN13" s="674">
        <v>1825</v>
      </c>
      <c r="AO13" s="2323">
        <v>2732</v>
      </c>
      <c r="AP13" s="674">
        <v>2520</v>
      </c>
      <c r="AQ13" s="674">
        <v>2523</v>
      </c>
      <c r="AR13" s="674">
        <v>2692</v>
      </c>
      <c r="AS13" s="2323">
        <v>2167</v>
      </c>
      <c r="AT13" s="674">
        <v>3838</v>
      </c>
      <c r="AU13" s="674">
        <v>2678</v>
      </c>
      <c r="AV13" s="674">
        <v>2650</v>
      </c>
      <c r="AW13" s="2323">
        <v>2287</v>
      </c>
      <c r="AX13" s="674">
        <v>4273</v>
      </c>
      <c r="AY13" s="674">
        <v>3377</v>
      </c>
      <c r="AZ13" s="674">
        <v>2230</v>
      </c>
      <c r="BA13" s="2323">
        <v>2159</v>
      </c>
      <c r="BB13" s="674">
        <v>3929</v>
      </c>
      <c r="BC13" s="674">
        <v>2841</v>
      </c>
      <c r="BD13" s="674">
        <v>2342</v>
      </c>
      <c r="BE13" s="2323">
        <v>2136</v>
      </c>
      <c r="BF13" s="674">
        <v>5227</v>
      </c>
      <c r="BG13" s="674">
        <v>4210</v>
      </c>
      <c r="BH13" s="674">
        <v>2952</v>
      </c>
      <c r="BI13" s="2323">
        <v>2704</v>
      </c>
      <c r="BJ13" s="674">
        <v>5448</v>
      </c>
      <c r="BK13" s="674">
        <v>3159</v>
      </c>
      <c r="BL13" s="779">
        <v>2375</v>
      </c>
      <c r="BM13" s="1124">
        <v>2672</v>
      </c>
      <c r="BN13" s="779">
        <v>5863</v>
      </c>
      <c r="BO13" s="779">
        <v>3795</v>
      </c>
      <c r="BP13" s="779">
        <v>2729</v>
      </c>
      <c r="BQ13" s="1124">
        <v>2812</v>
      </c>
      <c r="BR13" s="779">
        <v>6853</v>
      </c>
      <c r="BS13" s="779">
        <v>3958</v>
      </c>
      <c r="BT13" s="779">
        <v>3167</v>
      </c>
      <c r="BU13" s="1124">
        <v>3429</v>
      </c>
      <c r="BV13" s="779">
        <v>6928</v>
      </c>
      <c r="BW13" s="779">
        <v>3615</v>
      </c>
      <c r="BX13" s="779">
        <v>3589</v>
      </c>
      <c r="BY13" s="1124">
        <v>3656</v>
      </c>
      <c r="BZ13" s="779">
        <v>7378</v>
      </c>
      <c r="CA13" s="779">
        <v>3885</v>
      </c>
      <c r="CB13" s="779">
        <v>4199</v>
      </c>
      <c r="CC13" s="779">
        <v>4131</v>
      </c>
      <c r="CD13" s="2324">
        <v>8225</v>
      </c>
      <c r="CE13" s="779">
        <v>7544</v>
      </c>
      <c r="CF13" s="779">
        <v>5395</v>
      </c>
      <c r="CG13" s="1124">
        <v>5192</v>
      </c>
      <c r="CH13" s="2324">
        <v>9810</v>
      </c>
      <c r="CI13" s="779">
        <v>7042</v>
      </c>
      <c r="CJ13" s="779">
        <v>6150</v>
      </c>
      <c r="CK13" s="1124">
        <v>6373</v>
      </c>
      <c r="CL13" s="2324">
        <v>9535</v>
      </c>
      <c r="CM13" s="779">
        <v>8119</v>
      </c>
      <c r="CN13" s="779">
        <v>5630</v>
      </c>
      <c r="CO13" s="1124">
        <v>6331</v>
      </c>
      <c r="CP13" s="2324">
        <v>10162</v>
      </c>
      <c r="CQ13" s="779">
        <v>6723</v>
      </c>
      <c r="CR13" s="779">
        <v>6390</v>
      </c>
      <c r="CS13" s="1124">
        <v>7383</v>
      </c>
      <c r="CT13" s="2324">
        <v>10291</v>
      </c>
      <c r="CU13" s="779">
        <v>7290</v>
      </c>
      <c r="CV13" s="779">
        <v>7673</v>
      </c>
      <c r="CW13" s="2260">
        <f t="shared" ref="CW13:DQ13" si="35">CW16-CW12-CW11-CW9-CW10</f>
      </c>
      <c r="CX13" s="1123">
        <f t="shared" si="35"/>
      </c>
      <c r="CY13" s="1057">
        <f t="shared" si="35"/>
      </c>
      <c r="CZ13" s="1057">
        <f t="shared" si="35"/>
      </c>
      <c r="DA13" s="2260">
        <f t="shared" si="35"/>
      </c>
      <c r="DB13" s="1123">
        <f t="shared" si="35"/>
      </c>
      <c r="DC13" s="1057">
        <f t="shared" si="35"/>
      </c>
      <c r="DD13" s="1057">
        <f t="shared" si="35"/>
      </c>
      <c r="DE13" s="2260">
        <f t="shared" si="35"/>
      </c>
      <c r="DF13" s="1123">
        <f t="shared" si="35"/>
      </c>
      <c r="DG13" s="1057">
        <f t="shared" si="35"/>
      </c>
      <c r="DH13" s="1057">
        <f t="shared" si="35"/>
      </c>
      <c r="DI13" s="2260">
        <f t="shared" si="35"/>
      </c>
      <c r="DJ13" s="1123">
        <f t="shared" si="35"/>
      </c>
      <c r="DK13" s="1057">
        <f t="shared" si="35"/>
      </c>
      <c r="DL13" s="1057">
        <f t="shared" si="35"/>
      </c>
      <c r="DM13" s="2260">
        <f t="shared" si="35"/>
      </c>
      <c r="DN13" s="1123">
        <f t="shared" si="35"/>
      </c>
      <c r="DO13" s="1057">
        <f t="shared" si="35"/>
      </c>
      <c r="DP13" s="1057">
        <f t="shared" si="35"/>
      </c>
      <c r="DQ13" s="2260">
        <f t="shared" si="35"/>
      </c>
      <c r="DR13" s="779"/>
      <c r="DS13" s="673">
        <f>SUM(B13:E13)</f>
      </c>
      <c r="DT13" s="673">
        <f>SUM(F13:I13)</f>
      </c>
      <c r="DU13" s="673">
        <f>SUM(J13:M13)</f>
      </c>
      <c r="DV13" s="673">
        <f>SUM(N13:Q13)</f>
      </c>
      <c r="DW13" s="673">
        <f>SUM(R13:U13)</f>
      </c>
      <c r="DX13" s="673">
        <f>SUM(V13:Y13)</f>
      </c>
      <c r="DY13" s="673">
        <f>SUM(Z13:AC13)</f>
      </c>
      <c r="DZ13" s="673">
        <f>SUM(AD13:AG13)</f>
      </c>
      <c r="EA13" s="673">
        <f>SUM(AH13:AK13)</f>
      </c>
      <c r="EB13" s="673">
        <f>SUM(AL13:AO13)</f>
      </c>
      <c r="EC13" s="673">
        <f t="shared" si="34"/>
      </c>
      <c r="ED13" s="673">
        <f>SUM(AT13:AW13)</f>
      </c>
      <c r="EE13" s="673">
        <f>SUM(AX13:BA13)</f>
      </c>
      <c r="EF13" s="673">
        <f>SUM(BB13:BE13)</f>
      </c>
      <c r="EG13" s="673">
        <f>SUM(BF13:BI13)</f>
      </c>
      <c r="EH13" s="673">
        <f>SUM(BJ13:BM13)</f>
      </c>
      <c r="EI13" s="673">
        <f>SUM(BN13:BQ13)</f>
      </c>
      <c r="EJ13" s="673">
        <f>SUM(BR13:BU13)</f>
      </c>
      <c r="EK13" s="673">
        <f>SUM(BV13:BY13)</f>
      </c>
      <c r="EL13" s="673">
        <f>SUM(BZ13:CC13)</f>
      </c>
      <c r="EM13" s="673">
        <f>SUM(CD13:CG13)</f>
      </c>
      <c r="EN13" s="673">
        <f>SUM(CH13:CK13)</f>
      </c>
      <c r="EO13" s="673">
        <f>SUM(CL13:CO13)</f>
      </c>
      <c r="EP13" s="673">
        <f>SUM(CP13:CS13)</f>
      </c>
      <c r="EQ13" s="673">
        <f>SUM(CT13:CW13)</f>
      </c>
      <c r="ER13" s="673">
        <f>SUM(CX13:DA13)</f>
      </c>
      <c r="ES13" s="673">
        <f>SUM(DB13:DE13)</f>
      </c>
      <c r="ET13" s="673">
        <f>SUM(DF13:DI13)</f>
      </c>
      <c r="EU13" s="673">
        <f>SUM(DJ13:DM13)</f>
      </c>
      <c r="EV13" s="673">
        <f>SUM(DN13:DQ13)</f>
      </c>
      <c r="EY13" s="673">
        <f>SUM(BC13:BF13)</f>
      </c>
      <c r="EZ13" s="673">
        <f>SUM(BG13:BJ13)</f>
      </c>
      <c r="FA13" s="673">
        <f>SUM(BK13:BN13)</f>
      </c>
      <c r="FB13" s="673">
        <f>SUM(BO13:BR13)</f>
      </c>
      <c r="FC13" s="673">
        <f>SUM(BS13:BV13)</f>
      </c>
      <c r="FD13" s="673">
        <f>SUM(BW13:BZ13)</f>
      </c>
      <c r="FE13" s="673">
        <f>SUM(CA13:CD13)</f>
      </c>
      <c r="FF13" s="673">
        <f>SUM(CE13:CH13)</f>
      </c>
    </row>
    <row r="14" spans="1:166" s="673" customFormat="1" ht="12" customHeight="1">
      <c r="A14" s="2377" t="s">
        <v>1420</v>
      </c>
      <c r="B14" s="674">
        <v>0</v>
      </c>
      <c r="C14" s="674">
        <v>0</v>
      </c>
      <c r="D14" s="674">
        <v>6</v>
      </c>
      <c r="E14" s="674">
        <v>13</v>
      </c>
      <c r="F14" s="2322">
        <v>48</v>
      </c>
      <c r="G14" s="674">
        <v>70</v>
      </c>
      <c r="H14" s="674">
        <v>63</v>
      </c>
      <c r="I14" s="2323">
        <v>102</v>
      </c>
      <c r="J14" s="674">
        <v>148</v>
      </c>
      <c r="K14" s="674">
        <v>135</v>
      </c>
      <c r="L14" s="674">
        <v>145</v>
      </c>
      <c r="M14" s="674">
        <v>193</v>
      </c>
      <c r="N14" s="2322">
        <v>273</v>
      </c>
      <c r="O14" s="674">
        <v>266</v>
      </c>
      <c r="P14" s="674">
        <v>270</v>
      </c>
      <c r="Q14" s="2323">
        <v>376</v>
      </c>
      <c r="R14" s="674">
        <v>561</v>
      </c>
      <c r="S14" s="674">
        <v>571</v>
      </c>
      <c r="T14" s="674">
        <v>555</v>
      </c>
      <c r="U14" s="674">
        <v>663</v>
      </c>
      <c r="V14" s="2322">
        <v>1072</v>
      </c>
      <c r="W14" s="674">
        <v>636</v>
      </c>
      <c r="X14" s="674">
        <v>688</v>
      </c>
      <c r="Y14" s="2323">
        <v>884</v>
      </c>
      <c r="Z14" s="674">
        <v>1116</v>
      </c>
      <c r="AA14" s="674">
        <v>837</v>
      </c>
      <c r="AB14" s="674">
        <v>998</v>
      </c>
      <c r="AC14" s="674">
        <v>1411</v>
      </c>
      <c r="AD14" s="2322">
        <v>2007</v>
      </c>
      <c r="AE14" s="674">
        <v>1720</v>
      </c>
      <c r="AF14" s="674">
        <v>1454</v>
      </c>
      <c r="AG14" s="2323">
        <v>2111</v>
      </c>
      <c r="AH14" s="674">
        <v>1746</v>
      </c>
      <c r="AI14" s="674">
        <v>1377</v>
      </c>
      <c r="AJ14" s="674">
        <v>1492</v>
      </c>
      <c r="AK14" s="2323">
        <v>2041</v>
      </c>
      <c r="AL14" s="674">
        <v>1971</v>
      </c>
      <c r="AM14" s="674">
        <v>1683</v>
      </c>
      <c r="AN14" s="674">
        <v>2578</v>
      </c>
      <c r="AO14" s="2323">
        <v>3566</v>
      </c>
      <c r="AP14" s="674">
        <v>3847</v>
      </c>
      <c r="AQ14" s="674">
        <v>3191</v>
      </c>
      <c r="AR14" s="674">
        <v>3505</v>
      </c>
      <c r="AS14" s="2323">
        <v>3584</v>
      </c>
      <c r="AW14" s="2329"/>
      <c r="BA14" s="2329"/>
      <c r="BE14" s="2329"/>
      <c r="BI14" s="2329"/>
      <c r="BL14" s="905"/>
      <c r="BM14" s="2378"/>
      <c r="BN14" s="905"/>
      <c r="BO14" s="905"/>
      <c r="BP14" s="905"/>
      <c r="BQ14" s="2378"/>
      <c r="BR14" s="905"/>
      <c r="BU14" s="2378"/>
      <c r="BY14" s="2329"/>
      <c r="CC14" s="2329"/>
      <c r="CG14" s="2329"/>
      <c r="CK14" s="2329"/>
      <c r="CO14" s="2329"/>
      <c r="CS14" s="2329"/>
      <c r="CW14" s="2329"/>
      <c r="DA14" s="2329"/>
      <c r="DE14" s="2329"/>
      <c r="DI14" s="2329"/>
      <c r="DM14" s="2329"/>
      <c r="DQ14" s="2329"/>
      <c r="DS14" s="673">
        <f>SUM(B14:E14)</f>
      </c>
      <c r="DT14" s="673">
        <f>SUM(F14:I14)</f>
      </c>
      <c r="DU14" s="673">
        <f>SUM(J14:M14)</f>
      </c>
      <c r="DV14" s="673">
        <f>SUM(N14:Q14)</f>
      </c>
      <c r="DW14" s="673">
        <f>SUM(R14:U14)</f>
      </c>
      <c r="DX14" s="673">
        <f>SUM(V14:Y14)</f>
      </c>
      <c r="DY14" s="673">
        <f>SUM(Z14:AC14)</f>
      </c>
      <c r="DZ14" s="673">
        <f>SUM(AD14:AG14)</f>
      </c>
      <c r="EA14" s="673">
        <f>SUM(AH14:AK14)</f>
      </c>
      <c r="EB14" s="673">
        <f>SUM(AL14:AO14)</f>
      </c>
      <c r="EC14" s="673">
        <f t="shared" si="34"/>
      </c>
    </row>
    <row r="15" spans="1:166" s="1503" customFormat="1" ht="12" customHeight="1">
      <c r="A15" s="1524" t="s">
        <v>82</v>
      </c>
      <c r="B15" s="1479"/>
      <c r="C15" s="1479"/>
      <c r="D15" s="1479"/>
      <c r="E15" s="1479"/>
      <c r="F15" s="1486"/>
      <c r="G15" s="1479"/>
      <c r="H15" s="1479"/>
      <c r="I15" s="1480"/>
      <c r="J15" s="1479"/>
      <c r="K15" s="1479"/>
      <c r="L15" s="1479"/>
      <c r="M15" s="1479"/>
      <c r="N15" s="1486"/>
      <c r="O15" s="1479"/>
      <c r="P15" s="1479"/>
      <c r="Q15" s="1480"/>
      <c r="R15" s="1479"/>
      <c r="S15" s="1479"/>
      <c r="T15" s="1479"/>
      <c r="U15" s="1479"/>
      <c r="V15" s="1486"/>
      <c r="W15" s="1479"/>
      <c r="X15" s="1479"/>
      <c r="Y15" s="1480"/>
      <c r="Z15" s="1479"/>
      <c r="AA15" s="1479"/>
      <c r="AB15" s="1479"/>
      <c r="AC15" s="1479"/>
      <c r="AD15" s="1486"/>
      <c r="AE15" s="1479"/>
      <c r="AF15" s="1479"/>
      <c r="AG15" s="1479"/>
      <c r="AH15" s="1516"/>
      <c r="AI15" s="1517"/>
      <c r="AJ15" s="1517"/>
      <c r="AK15" s="1518"/>
      <c r="AL15" s="1479"/>
      <c r="AM15" s="1479"/>
      <c r="AN15" s="1479"/>
      <c r="AO15" s="1479"/>
      <c r="AP15" s="1516"/>
      <c r="AQ15" s="1479"/>
      <c r="AR15" s="1479"/>
      <c r="AS15" s="1518"/>
      <c r="AT15" s="1479"/>
      <c r="AU15" s="1479"/>
      <c r="AV15" s="1479"/>
      <c r="AW15" s="1479"/>
      <c r="AX15" s="1516"/>
      <c r="AY15" s="1517"/>
      <c r="AZ15" s="1517"/>
      <c r="BA15" s="1518"/>
      <c r="BB15" s="1479"/>
      <c r="BC15" s="1479"/>
      <c r="BD15" s="1479"/>
      <c r="BE15" s="1479"/>
      <c r="BF15" s="1516"/>
      <c r="BG15" s="1517"/>
      <c r="BH15" s="1517"/>
      <c r="BI15" s="1518"/>
      <c r="BJ15" s="1479"/>
      <c r="BK15" s="1479"/>
      <c r="BL15" s="1479"/>
      <c r="BM15" s="1479"/>
      <c r="BN15" s="1516"/>
      <c r="BO15" s="1517"/>
      <c r="BP15" s="1517"/>
      <c r="BQ15" s="1518"/>
      <c r="BR15" s="1516"/>
      <c r="BS15" s="1517"/>
      <c r="BT15" s="1517"/>
      <c r="BU15" s="1518"/>
      <c r="BV15" s="1516"/>
      <c r="BW15" s="1517"/>
      <c r="BX15" s="1517"/>
      <c r="BY15" s="1518"/>
      <c r="BZ15" s="1516"/>
      <c r="CA15" s="1517"/>
      <c r="CB15" s="1517"/>
      <c r="CC15" s="1518"/>
      <c r="CD15" s="1516"/>
      <c r="CE15" s="1517"/>
      <c r="CF15" s="1517"/>
      <c r="CG15" s="1518"/>
      <c r="CH15" s="1479"/>
      <c r="CI15" s="1479"/>
      <c r="CJ15" s="1479"/>
      <c r="CK15" s="1489"/>
      <c r="CL15" s="1479"/>
      <c r="CM15" s="1479"/>
      <c r="CN15" s="1479"/>
      <c r="CO15" s="1489"/>
      <c r="CP15" s="1479"/>
      <c r="CQ15" s="1479"/>
      <c r="CR15" s="1479"/>
      <c r="CS15" s="1489"/>
      <c r="CT15" s="1479"/>
      <c r="CU15" s="1479"/>
      <c r="CV15" s="1479"/>
      <c r="CW15" s="1489"/>
      <c r="CX15" s="1479"/>
      <c r="CY15" s="1479"/>
      <c r="CZ15" s="1479"/>
      <c r="DA15" s="1489"/>
      <c r="DB15" s="1479"/>
      <c r="DC15" s="1479"/>
      <c r="DD15" s="1479"/>
      <c r="DE15" s="1489"/>
      <c r="DF15" s="1479"/>
      <c r="DG15" s="1479"/>
      <c r="DH15" s="1479"/>
      <c r="DI15" s="1489"/>
      <c r="DJ15" s="1479"/>
      <c r="DK15" s="1479"/>
      <c r="DL15" s="1479"/>
      <c r="DM15" s="1489"/>
      <c r="DN15" s="1479"/>
      <c r="DO15" s="1479"/>
      <c r="DP15" s="1479"/>
      <c r="DQ15" s="1489"/>
      <c r="DS15" s="1479"/>
      <c r="DT15" s="1479"/>
      <c r="DU15" s="1479"/>
      <c r="DV15" s="1479"/>
      <c r="DW15" s="1479"/>
      <c r="DX15" s="1479"/>
      <c r="DY15" s="1479"/>
      <c r="DZ15" s="1479"/>
      <c r="EA15" s="1504"/>
      <c r="EB15" s="1504"/>
      <c r="EC15" s="1504"/>
      <c r="ED15" s="1504"/>
      <c r="EE15" s="1504">
        <f t="shared" ref="EE15:EN15" si="36">EE18+EE11+EE21-EE16</f>
      </c>
      <c r="EF15" s="1504">
        <f t="shared" si="36"/>
      </c>
      <c r="EG15" s="1504">
        <f t="shared" si="36"/>
      </c>
      <c r="EH15" s="1504">
        <f t="shared" si="36"/>
      </c>
      <c r="EI15" s="1504">
        <f t="shared" si="36"/>
      </c>
      <c r="EJ15" s="1504">
        <f t="shared" si="36"/>
      </c>
      <c r="EK15" s="1504">
        <f t="shared" si="36"/>
      </c>
      <c r="EL15" s="1504">
        <f t="shared" si="36"/>
      </c>
      <c r="EM15" s="1504">
        <f t="shared" si="36"/>
      </c>
      <c r="EN15" s="1504">
        <f t="shared" si="36"/>
      </c>
      <c r="EO15" s="1504">
        <f t="shared" ref="EO15:EV15" si="37">EO18+EO11+EO21-EO16</f>
      </c>
      <c r="EP15" s="1504">
        <f t="shared" si="37"/>
      </c>
      <c r="EQ15" s="1504">
        <f t="shared" si="37"/>
      </c>
      <c r="ER15" s="1504">
        <f t="shared" si="37"/>
      </c>
      <c r="ES15" s="1504">
        <f t="shared" si="37"/>
      </c>
      <c r="ET15" s="1504">
        <f t="shared" si="37"/>
      </c>
      <c r="EU15" s="1504">
        <f t="shared" si="37"/>
      </c>
      <c r="EV15" s="1504">
        <f t="shared" si="37"/>
      </c>
      <c r="EW15" s="1504"/>
    </row>
    <row r="16" spans="1:166" s="1165" customFormat="1" ht="12" customHeight="1">
      <c r="A16" s="2291" t="s">
        <v>170</v>
      </c>
      <c r="B16" s="2292">
        <f t="shared" ref="B16:AS16" si="38">B9+B10+B11+B12+B13+B14</f>
      </c>
      <c r="C16" s="2292">
        <f t="shared" si="38"/>
      </c>
      <c r="D16" s="2292">
        <f t="shared" si="38"/>
      </c>
      <c r="E16" s="2293">
        <f t="shared" si="38"/>
      </c>
      <c r="F16" s="2292">
        <f t="shared" si="38"/>
      </c>
      <c r="G16" s="2292">
        <f t="shared" si="38"/>
      </c>
      <c r="H16" s="2292">
        <f t="shared" si="38"/>
      </c>
      <c r="I16" s="2293">
        <f t="shared" si="38"/>
      </c>
      <c r="J16" s="2292">
        <f t="shared" si="38"/>
      </c>
      <c r="K16" s="2292">
        <f t="shared" si="38"/>
      </c>
      <c r="L16" s="2292">
        <f t="shared" si="38"/>
      </c>
      <c r="M16" s="2293">
        <f t="shared" si="38"/>
      </c>
      <c r="N16" s="2292">
        <f t="shared" si="38"/>
      </c>
      <c r="O16" s="2292">
        <f t="shared" si="38"/>
      </c>
      <c r="P16" s="2292">
        <f t="shared" si="38"/>
      </c>
      <c r="Q16" s="2293">
        <f t="shared" si="38"/>
      </c>
      <c r="R16" s="2292">
        <f t="shared" si="38"/>
      </c>
      <c r="S16" s="2292">
        <f t="shared" si="38"/>
      </c>
      <c r="T16" s="2292">
        <f t="shared" si="38"/>
      </c>
      <c r="U16" s="2293">
        <f t="shared" si="38"/>
      </c>
      <c r="V16" s="2292">
        <f t="shared" si="38"/>
      </c>
      <c r="W16" s="2292">
        <f t="shared" si="38"/>
      </c>
      <c r="X16" s="2292">
        <f t="shared" si="38"/>
      </c>
      <c r="Y16" s="2293">
        <f t="shared" si="38"/>
      </c>
      <c r="Z16" s="2292">
        <f t="shared" si="38"/>
      </c>
      <c r="AA16" s="2292">
        <f t="shared" si="38"/>
      </c>
      <c r="AB16" s="2292">
        <f t="shared" si="38"/>
      </c>
      <c r="AC16" s="2293">
        <f t="shared" si="38"/>
      </c>
      <c r="AD16" s="2292">
        <f t="shared" si="38"/>
      </c>
      <c r="AE16" s="2292">
        <f t="shared" si="38"/>
      </c>
      <c r="AF16" s="2292">
        <f t="shared" si="38"/>
      </c>
      <c r="AG16" s="2293">
        <f t="shared" si="38"/>
      </c>
      <c r="AH16" s="2292">
        <f t="shared" si="38"/>
      </c>
      <c r="AI16" s="2292">
        <f t="shared" si="38"/>
      </c>
      <c r="AJ16" s="2292">
        <f t="shared" si="38"/>
      </c>
      <c r="AK16" s="2293">
        <f t="shared" si="38"/>
      </c>
      <c r="AL16" s="2292">
        <f t="shared" si="38"/>
      </c>
      <c r="AM16" s="2292">
        <f t="shared" si="38"/>
      </c>
      <c r="AN16" s="2292">
        <f t="shared" si="38"/>
      </c>
      <c r="AO16" s="2293">
        <f t="shared" si="38"/>
      </c>
      <c r="AP16" s="2292">
        <f t="shared" si="38"/>
      </c>
      <c r="AQ16" s="2292">
        <f t="shared" si="38"/>
      </c>
      <c r="AR16" s="2292">
        <f t="shared" si="38"/>
      </c>
      <c r="AS16" s="2293">
        <f t="shared" si="38"/>
      </c>
      <c r="AT16" s="2292">
        <f t="shared" ref="AT16:CK16" si="39">AT9+AT10+AT11+AT12+AT13</f>
      </c>
      <c r="AU16" s="2292">
        <f t="shared" si="39"/>
      </c>
      <c r="AV16" s="2292">
        <f t="shared" si="39"/>
      </c>
      <c r="AW16" s="2293">
        <f t="shared" si="39"/>
      </c>
      <c r="AX16" s="2292">
        <f t="shared" si="39"/>
      </c>
      <c r="AY16" s="2292">
        <f t="shared" si="39"/>
      </c>
      <c r="AZ16" s="2292">
        <f t="shared" si="39"/>
      </c>
      <c r="BA16" s="2293">
        <f t="shared" si="39"/>
      </c>
      <c r="BB16" s="2292">
        <f t="shared" si="39"/>
      </c>
      <c r="BC16" s="2292">
        <f t="shared" si="39"/>
      </c>
      <c r="BD16" s="2292">
        <f t="shared" si="39"/>
      </c>
      <c r="BE16" s="2293">
        <f t="shared" si="39"/>
      </c>
      <c r="BF16" s="2292">
        <f t="shared" si="39"/>
      </c>
      <c r="BG16" s="2292">
        <f t="shared" si="39"/>
      </c>
      <c r="BH16" s="2292">
        <f t="shared" si="39"/>
      </c>
      <c r="BI16" s="2293">
        <f t="shared" si="39"/>
      </c>
      <c r="BJ16" s="2292">
        <f t="shared" si="39"/>
      </c>
      <c r="BK16" s="2292">
        <f t="shared" si="39"/>
      </c>
      <c r="BL16" s="2294">
        <f t="shared" si="39"/>
      </c>
      <c r="BM16" s="2295">
        <f t="shared" si="39"/>
      </c>
      <c r="BN16" s="2294">
        <f t="shared" si="39"/>
      </c>
      <c r="BO16" s="2294">
        <f t="shared" si="39"/>
      </c>
      <c r="BP16" s="2294">
        <f t="shared" si="39"/>
      </c>
      <c r="BQ16" s="2295">
        <f t="shared" si="39"/>
      </c>
      <c r="BR16" s="2294">
        <f t="shared" si="39"/>
      </c>
      <c r="BS16" s="2294">
        <f t="shared" si="39"/>
      </c>
      <c r="BT16" s="2294">
        <f t="shared" si="39"/>
      </c>
      <c r="BU16" s="2295">
        <f t="shared" si="39"/>
      </c>
      <c r="BV16" s="2294">
        <f t="shared" si="39"/>
      </c>
      <c r="BW16" s="2294">
        <f t="shared" si="39"/>
      </c>
      <c r="BX16" s="2294">
        <f t="shared" si="39"/>
      </c>
      <c r="BY16" s="2295">
        <f t="shared" si="39"/>
      </c>
      <c r="BZ16" s="2294">
        <f t="shared" si="39"/>
      </c>
      <c r="CA16" s="2294">
        <f t="shared" si="39"/>
      </c>
      <c r="CB16" s="2294">
        <f t="shared" si="39"/>
      </c>
      <c r="CC16" s="2295">
        <f t="shared" si="39"/>
      </c>
      <c r="CD16" s="2294">
        <f t="shared" si="39"/>
      </c>
      <c r="CE16" s="2294">
        <f t="shared" si="39"/>
      </c>
      <c r="CF16" s="2294">
        <f t="shared" si="39"/>
      </c>
      <c r="CG16" s="2295">
        <f t="shared" si="39"/>
      </c>
      <c r="CH16" s="2313">
        <f t="shared" si="39"/>
      </c>
      <c r="CI16" s="2313">
        <f t="shared" si="39"/>
      </c>
      <c r="CJ16" s="2313">
        <f t="shared" si="39"/>
      </c>
      <c r="CK16" s="2313">
        <f t="shared" si="39"/>
      </c>
      <c r="CL16" s="3335">
        <f t="shared" ref="CL16:CS16" si="40">CL9+CL10+CL11+CL12+CL13</f>
      </c>
      <c r="CM16" s="3336">
        <f t="shared" si="40"/>
      </c>
      <c r="CN16" s="3336">
        <f t="shared" si="40"/>
      </c>
      <c r="CO16" s="3338">
        <f t="shared" si="40"/>
      </c>
      <c r="CP16" s="3335">
        <f t="shared" si="40"/>
      </c>
      <c r="CQ16" s="3336">
        <f t="shared" si="40"/>
      </c>
      <c r="CR16" s="3336">
        <f t="shared" si="40"/>
      </c>
      <c r="CS16" s="3340">
        <f t="shared" si="40"/>
      </c>
      <c r="CT16" s="2313">
        <f t="shared" ref="CT16:CV16" si="41">CT9+CT10+CT11+CT12+CT13</f>
      </c>
      <c r="CU16" s="3336">
        <f t="shared" si="41"/>
      </c>
      <c r="CV16" s="3336">
        <f t="shared" si="41"/>
      </c>
      <c r="CW16" s="2293">
        <f>'Revenue summary'!DQ17</f>
      </c>
      <c r="CX16" s="2294">
        <f>'Revenue summary'!DR17</f>
      </c>
      <c r="CY16" s="2294">
        <f>'Revenue summary'!DS17</f>
      </c>
      <c r="CZ16" s="2294">
        <f>'Revenue summary'!DT17</f>
      </c>
      <c r="DA16" s="2293">
        <f>'Revenue summary'!DU17</f>
      </c>
      <c r="DB16" s="2294">
        <f>'Revenue summary'!DV17</f>
      </c>
      <c r="DC16" s="2294">
        <f>'Revenue summary'!DW17</f>
      </c>
      <c r="DD16" s="2294">
        <f>'Revenue summary'!DX17</f>
      </c>
      <c r="DE16" s="2293">
        <f>'Revenue summary'!DY17</f>
      </c>
      <c r="DF16" s="2294">
        <f>'Revenue summary'!DZ17</f>
      </c>
      <c r="DG16" s="2294">
        <f>'Revenue summary'!EA17</f>
      </c>
      <c r="DH16" s="2294">
        <f>'Revenue summary'!EB17</f>
      </c>
      <c r="DI16" s="2293">
        <f>'Revenue summary'!EC17</f>
      </c>
      <c r="DJ16" s="2294">
        <f>'Revenue summary'!ED17</f>
      </c>
      <c r="DK16" s="2294">
        <f>'Revenue summary'!EE17</f>
      </c>
      <c r="DL16" s="2294">
        <f>'Revenue summary'!EF17</f>
      </c>
      <c r="DM16" s="2293">
        <f>'Revenue summary'!EG17</f>
      </c>
      <c r="DN16" s="2294">
        <f>'Revenue summary'!EH17</f>
      </c>
      <c r="DO16" s="2294">
        <f>'Revenue summary'!EI17</f>
      </c>
      <c r="DP16" s="2294">
        <f>'Revenue summary'!EJ17</f>
      </c>
      <c r="DQ16" s="2293">
        <f>'Revenue summary'!EK17</f>
      </c>
      <c r="DR16" s="2292"/>
      <c r="DS16" s="2292">
        <f t="shared" ref="DS16:EC16" si="42">DS9+DS10+DS11+DS12+DS13+DS14</f>
      </c>
      <c r="DT16" s="2292">
        <f t="shared" si="42"/>
      </c>
      <c r="DU16" s="2292">
        <f t="shared" si="42"/>
      </c>
      <c r="DV16" s="2292">
        <f t="shared" si="42"/>
      </c>
      <c r="DW16" s="2292">
        <f t="shared" si="42"/>
      </c>
      <c r="DX16" s="2292">
        <f t="shared" si="42"/>
      </c>
      <c r="DY16" s="2292">
        <f t="shared" si="42"/>
      </c>
      <c r="DZ16" s="2292">
        <f t="shared" si="42"/>
      </c>
      <c r="EA16" s="2292">
        <f t="shared" si="42"/>
      </c>
      <c r="EB16" s="2292">
        <f t="shared" si="42"/>
      </c>
      <c r="EC16" s="2292">
        <f t="shared" si="42"/>
      </c>
      <c r="ED16" s="2292">
        <f>ED9+ED10+ED11+ED12+ED13</f>
      </c>
      <c r="EE16" s="2292">
        <f>EE9+EE10+EE11+EE12+EE13</f>
      </c>
      <c r="EF16" s="2292">
        <f>EF9+EF10+EF11+EF12+EF13</f>
      </c>
      <c r="EG16" s="2292">
        <f>SUM(BF16:BI16)</f>
      </c>
      <c r="EH16" s="2292">
        <f>SUM(BJ16:BM16)</f>
      </c>
      <c r="EI16" s="2292">
        <f>SUM(BN16:BQ16)</f>
      </c>
      <c r="EJ16" s="2292">
        <f>SUM(BR16:BU16)</f>
      </c>
      <c r="EK16" s="2292">
        <f>SUM(BV16:BY16)</f>
      </c>
      <c r="EL16" s="2292">
        <f>SUM(BZ16:CC16)</f>
      </c>
      <c r="EM16" s="2292">
        <f>SUM(CD16:CG16)</f>
      </c>
      <c r="EN16" s="2292">
        <f>SUM(CH16:CK16)</f>
      </c>
      <c r="EO16" s="2292">
        <f>SUM(CL16:CO16)</f>
      </c>
      <c r="EP16" s="2292">
        <f>SUM(CP16:CS16)</f>
      </c>
      <c r="EQ16" s="2292">
        <f>SUM(CT16:CW16)</f>
      </c>
      <c r="ER16" s="2292">
        <f>SUM(CX16:DA16)</f>
      </c>
      <c r="ES16" s="2292">
        <f>SUM(DB16:DE16)</f>
      </c>
      <c r="ET16" s="2292">
        <f>SUM(DF16:DI16)</f>
      </c>
      <c r="EU16" s="2292">
        <f>SUM(DJ16:DM16)</f>
      </c>
      <c r="EV16" s="2292">
        <f>SUM(DN16:DQ16)</f>
      </c>
      <c r="EW16" s="2292"/>
      <c r="EX16" s="2292"/>
      <c r="EY16" s="2292">
        <f>SUM(BC16:BF16)</f>
      </c>
      <c r="EZ16" s="2292">
        <f>SUM(BG16:BJ16)</f>
      </c>
      <c r="FA16" s="2292">
        <f>SUM(BK16:BN16)</f>
      </c>
      <c r="FB16" s="2292">
        <f>SUM(BO16:BR16)</f>
      </c>
      <c r="FC16" s="2292">
        <f>SUM(BS16:BV16)</f>
      </c>
      <c r="FD16" s="2292">
        <f>SUM(BW16:BZ16)</f>
      </c>
      <c r="FE16" s="2292">
        <f>SUM(CA16:CD16)</f>
      </c>
      <c r="FF16" s="2292">
        <f>SUM(CE16:CH16)</f>
      </c>
      <c r="FG16" s="2292"/>
      <c r="FH16" s="2292"/>
      <c r="FI16" s="2292"/>
      <c r="FJ16" s="2292"/>
    </row>
    <row r="17" spans="1:166" s="3260" customFormat="1" ht="12" customHeight="1">
      <c r="A17" s="3255" t="s">
        <v>82</v>
      </c>
      <c r="B17" s="3256">
        <f>B16-'Income Statement'!V9</f>
      </c>
      <c r="C17" s="3256">
        <f>C16-'Income Statement'!W9</f>
      </c>
      <c r="D17" s="3256">
        <f>D16-'Income Statement'!X9</f>
      </c>
      <c r="E17" s="3256">
        <f>E16-'Income Statement'!Y9</f>
      </c>
      <c r="F17" s="3257">
        <f>F16-'Income Statement'!Z9</f>
      </c>
      <c r="G17" s="3256">
        <f>G16-'Income Statement'!AA9</f>
      </c>
      <c r="H17" s="3256">
        <f>H16-'Income Statement'!AB9</f>
      </c>
      <c r="I17" s="3258">
        <f>I16-'Income Statement'!AC9</f>
      </c>
      <c r="J17" s="3256">
        <f>J16-'Income Statement'!AD9</f>
      </c>
      <c r="K17" s="3256">
        <f>K16-'Income Statement'!AE9</f>
      </c>
      <c r="L17" s="3256">
        <f>L16-'Income Statement'!AF9</f>
      </c>
      <c r="M17" s="3256">
        <f>M16-'Income Statement'!AG9</f>
      </c>
      <c r="N17" s="3257">
        <f>N16-'Income Statement'!AH9</f>
      </c>
      <c r="O17" s="3256">
        <f>O16-'Income Statement'!AI9</f>
      </c>
      <c r="P17" s="3256">
        <f>P16-'Income Statement'!AJ9</f>
      </c>
      <c r="Q17" s="3258">
        <f>Q16-'Income Statement'!AK9</f>
      </c>
      <c r="R17" s="3256">
        <f>R16-'Income Statement'!AL9</f>
      </c>
      <c r="S17" s="3256">
        <f>S16-'Income Statement'!AM9</f>
      </c>
      <c r="T17" s="3256">
        <f>T16-'Income Statement'!AN9</f>
      </c>
      <c r="U17" s="3256">
        <f>U16-'Income Statement'!AO9</f>
      </c>
      <c r="V17" s="3257">
        <f>V16-'Income Statement'!AP9</f>
      </c>
      <c r="W17" s="3256">
        <f>W16-'Income Statement'!AQ9</f>
      </c>
      <c r="X17" s="3256">
        <f>X16-'Income Statement'!AR9</f>
      </c>
      <c r="Y17" s="3258">
        <f>Y16-'Income Statement'!AS9</f>
      </c>
      <c r="Z17" s="3256">
        <f>Z16-'Income Statement'!AT9</f>
      </c>
      <c r="AA17" s="3256">
        <f>AA16-'Income Statement'!AU9</f>
      </c>
      <c r="AB17" s="3256">
        <f>AB16-'Income Statement'!AV9</f>
      </c>
      <c r="AC17" s="3256">
        <f>AC16-'Income Statement'!AW9</f>
      </c>
      <c r="AD17" s="3257">
        <f>AD16-'Income Statement'!AX9</f>
      </c>
      <c r="AE17" s="3256">
        <f>AE16-'Income Statement'!AY9</f>
      </c>
      <c r="AF17" s="3256">
        <f>AF16-'Income Statement'!AZ9</f>
      </c>
      <c r="AG17" s="3258">
        <f>AG16-'Income Statement'!BA9</f>
      </c>
      <c r="AH17" s="3256">
        <f>AH16-'Income Statement'!BB9</f>
      </c>
      <c r="AI17" s="3256">
        <f>AI16-'Income Statement'!BC9</f>
      </c>
      <c r="AJ17" s="3256">
        <f>AJ16-'Income Statement'!BD9</f>
      </c>
      <c r="AK17" s="3258">
        <f>AK16-'Income Statement'!BE9</f>
      </c>
      <c r="AL17" s="3256">
        <f>AL16-'Income Statement'!BF9</f>
      </c>
      <c r="AM17" s="3256">
        <f>AM16-'Income Statement'!BG9</f>
      </c>
      <c r="AN17" s="3256">
        <f>AN16-'Income Statement'!BH9</f>
      </c>
      <c r="AO17" s="3258">
        <f>AO16-'Income Statement'!BI9</f>
      </c>
      <c r="AP17" s="3256">
        <f>AP16-'Income Statement'!BJ9</f>
      </c>
      <c r="AQ17" s="3256">
        <f>AQ16-'Income Statement'!BK9</f>
      </c>
      <c r="AR17" s="3256">
        <f>AR16-'Income Statement'!BL9</f>
      </c>
      <c r="AS17" s="3258">
        <f>AS16-'Income Statement'!BM9</f>
      </c>
      <c r="AT17" s="3256">
        <f>AT16-'Income Statement'!BN9</f>
      </c>
      <c r="AU17" s="3256">
        <f>AU16-'Income Statement'!BO9</f>
      </c>
      <c r="AV17" s="3256">
        <f>AV16-'Income Statement'!BP9</f>
      </c>
      <c r="AW17" s="3258">
        <f>AW16-'Income Statement'!BQ9</f>
      </c>
      <c r="AX17" s="3256">
        <f>AX16-'Income Statement'!BR9</f>
      </c>
      <c r="AY17" s="3256">
        <f>AY16-'Income Statement'!BS9</f>
      </c>
      <c r="AZ17" s="3256">
        <f>AZ16-'Income Statement'!BT9</f>
      </c>
      <c r="BA17" s="3258">
        <f>BA16-'Income Statement'!BU9</f>
      </c>
      <c r="BB17" s="3256">
        <f>BB16-'Income Statement'!BV9</f>
      </c>
      <c r="BC17" s="3256">
        <f>BC16-'Income Statement'!BW9</f>
      </c>
      <c r="BD17" s="3256">
        <f>BD16-'Income Statement'!BX9</f>
      </c>
      <c r="BE17" s="3258">
        <f>BE16-'Income Statement'!BY9</f>
      </c>
      <c r="BF17" s="3256">
        <f>BF16-'Income Statement'!BZ9</f>
      </c>
      <c r="BG17" s="3256">
        <f>BG16-'Income Statement'!CA9</f>
      </c>
      <c r="BH17" s="3256">
        <f>BH16-'Income Statement'!CB9</f>
      </c>
      <c r="BI17" s="3258">
        <f>BI16-'Income Statement'!CC9</f>
      </c>
      <c r="BJ17" s="3256">
        <f>BJ16-'Income Statement'!CD9</f>
      </c>
      <c r="BK17" s="3256">
        <f>BK16-'Income Statement'!CE9</f>
      </c>
      <c r="BL17" s="3256">
        <f>BL16-'Income Statement'!CF9</f>
      </c>
      <c r="BM17" s="3258">
        <f>BM16-'Income Statement'!CG9</f>
      </c>
      <c r="BN17" s="3256">
        <f>BN16-'Income Statement'!CH9</f>
      </c>
      <c r="BO17" s="3256">
        <f>BO16-'Income Statement'!CI9</f>
      </c>
      <c r="BP17" s="3256">
        <f>BP16-'Income Statement'!CJ9</f>
      </c>
      <c r="BQ17" s="3258">
        <f>BQ16-'Income Statement'!CK9</f>
      </c>
      <c r="BR17" s="3256">
        <f>BR16-'Income Statement'!CL9</f>
      </c>
      <c r="BS17" s="3256">
        <f>BS16-'Income Statement'!CM9</f>
      </c>
      <c r="BT17" s="3256">
        <f>BT16-'Income Statement'!CN9</f>
      </c>
      <c r="BU17" s="3258">
        <f>BU16-'Income Statement'!CO9</f>
      </c>
      <c r="BV17" s="3256">
        <f>BV16-'Income Statement'!CP9</f>
      </c>
      <c r="BW17" s="3256">
        <f>BW16-'Income Statement'!CQ9</f>
      </c>
      <c r="BX17" s="3256">
        <f>BX16-'Income Statement'!CR9</f>
      </c>
      <c r="BY17" s="3258">
        <f>BY16-'Income Statement'!CS9</f>
      </c>
      <c r="BZ17" s="3256">
        <f>BZ16-'Income Statement'!CT9</f>
      </c>
      <c r="CA17" s="3256">
        <f>CA16-'Income Statement'!CU9</f>
      </c>
      <c r="CB17" s="3256">
        <f>CB16-'Income Statement'!CV9</f>
      </c>
      <c r="CC17" s="3258">
        <f>CC16-'Income Statement'!CW9</f>
      </c>
      <c r="CD17" s="3256">
        <f>CD16-'Income Statement'!CX9</f>
      </c>
      <c r="CE17" s="3256">
        <f>CE16-'Income Statement'!CY9</f>
      </c>
      <c r="CF17" s="3256">
        <f>CF16-'Income Statement'!CZ9</f>
      </c>
      <c r="CG17" s="3258">
        <f>CG16-'Income Statement'!DA9</f>
      </c>
      <c r="CH17" s="3256">
        <f>CH16-'Income Statement'!DB9</f>
      </c>
      <c r="CI17" s="3256">
        <f>CI16-'Income Statement'!DC9</f>
      </c>
      <c r="CJ17" s="3256">
        <f>CJ16-'Income Statement'!DD9</f>
      </c>
      <c r="CK17" s="3258">
        <f>CK16-'Income Statement'!DE9</f>
      </c>
      <c r="CL17" s="3337">
        <f>CL16-'Income Statement'!DF9</f>
      </c>
      <c r="CM17" s="3337">
        <f>CM16-'Income Statement'!DG9</f>
      </c>
      <c r="CN17" s="3337">
        <f>CN16-'Income Statement'!DH9</f>
      </c>
      <c r="CO17" s="3339">
        <f>CO16-'Income Statement'!DI9</f>
      </c>
      <c r="CP17" s="3337">
        <f>CP16-'Income Statement'!DJ9</f>
      </c>
      <c r="CQ17" s="3337">
        <f>CQ16-'Income Statement'!DK9</f>
      </c>
      <c r="CR17" s="3337">
        <f>CR16-'Income Statement'!DL9</f>
      </c>
      <c r="CS17" s="3339">
        <f>CS16-'Income Statement'!DM9</f>
      </c>
      <c r="CT17" s="3256">
        <f>CT16-'Income Statement'!DN9</f>
      </c>
      <c r="CU17" s="3337">
        <f>CU16-'Income Statement'!DO9</f>
      </c>
      <c r="CV17" s="3256">
        <f>CV16-'Income Statement'!DP9</f>
      </c>
      <c r="CW17" s="3259">
        <f>CW16-'Income Statement'!DQ9</f>
      </c>
      <c r="CX17" s="3256"/>
      <c r="CY17" s="3256"/>
      <c r="CZ17" s="3256"/>
      <c r="DA17" s="3259"/>
      <c r="DB17" s="3256"/>
      <c r="DC17" s="3256"/>
      <c r="DD17" s="3256"/>
      <c r="DE17" s="3259"/>
      <c r="DF17" s="3256"/>
      <c r="DG17" s="3256"/>
      <c r="DH17" s="3256"/>
      <c r="DI17" s="3259"/>
      <c r="DJ17" s="3256"/>
      <c r="DK17" s="3256"/>
      <c r="DL17" s="3256"/>
      <c r="DM17" s="3259"/>
      <c r="DN17" s="3256"/>
      <c r="DO17" s="3256"/>
      <c r="DP17" s="3256"/>
      <c r="DQ17" s="3259"/>
      <c r="DS17" s="3256">
        <f>DS16-'Income Statement'!ER9</f>
      </c>
      <c r="DT17" s="3256">
        <f>DT16-'Income Statement'!ES9</f>
      </c>
      <c r="DU17" s="3256">
        <f>DU16-'Income Statement'!ET9</f>
      </c>
      <c r="DV17" s="3256">
        <f>DV16-'Income Statement'!EU9</f>
      </c>
      <c r="DW17" s="3256">
        <f>DW16-'Income Statement'!EV9</f>
      </c>
      <c r="DX17" s="3256">
        <f>DX16-'Income Statement'!EW9</f>
      </c>
      <c r="DY17" s="3256">
        <f>DY16-'Income Statement'!EX9</f>
      </c>
      <c r="DZ17" s="3256">
        <f>DZ16-'Income Statement'!EY9</f>
      </c>
      <c r="EA17" s="3256">
        <f>EA16-'Income Statement'!EZ9</f>
      </c>
      <c r="EB17" s="3256">
        <f>EB16-'Income Statement'!FA9</f>
      </c>
      <c r="EC17" s="3256">
        <f>EC16-'Income Statement'!FB9</f>
      </c>
      <c r="ED17" s="3256">
        <f>ED16-'Income Statement'!FC9</f>
      </c>
      <c r="EE17" s="3256">
        <f>EE16-'Income Statement'!FD9</f>
      </c>
      <c r="EF17" s="3256">
        <f>EF16-'Income Statement'!FE9</f>
      </c>
      <c r="EG17" s="3256">
        <f>EG16-'Income Statement'!FF9</f>
      </c>
      <c r="EH17" s="3256">
        <f>EH16-'Income Statement'!FG9</f>
      </c>
      <c r="EI17" s="3256">
        <f>EI16-'Income Statement'!FH9</f>
      </c>
      <c r="EJ17" s="3256">
        <f>EJ16-'Income Statement'!FI9</f>
      </c>
      <c r="EK17" s="3256">
        <f>EK16-'Income Statement'!FJ9</f>
      </c>
      <c r="EL17" s="3256">
        <f>EL16-'Income Statement'!FK9</f>
      </c>
      <c r="EM17" s="3256">
        <f>EM16-'Income Statement'!FL9</f>
      </c>
      <c r="EN17" s="3256">
        <f>EN16-'Income Statement'!FM9</f>
      </c>
      <c r="EO17" s="3256">
        <f>EO16-'Income Statement'!FN9</f>
      </c>
      <c r="EP17" s="3256">
        <f>EP16-'Income Statement'!FO9</f>
      </c>
      <c r="EQ17" s="3256">
        <f>EQ16-'Income Statement'!FP9</f>
      </c>
      <c r="ER17" s="3256">
        <f>ER16-'Income Statement'!FQ9</f>
      </c>
      <c r="ES17" s="3256">
        <f>ES16-'Income Statement'!FR9</f>
      </c>
      <c r="ET17" s="3256">
        <f>ET16-'Income Statement'!FS9</f>
      </c>
      <c r="EU17" s="3256">
        <f>EU16-'Income Statement'!FT9</f>
      </c>
      <c r="EV17" s="3256">
        <f>EV16-'Income Statement'!FU9</f>
      </c>
      <c r="EW17" s="3256"/>
    </row>
    <row r="18" spans="1:166" s="673" customFormat="1" ht="12" customHeight="1">
      <c r="A18" s="2335" t="s">
        <v>662</v>
      </c>
      <c r="F18" s="2336"/>
      <c r="I18" s="2329"/>
      <c r="N18" s="2336"/>
      <c r="Q18" s="2329"/>
      <c r="V18" s="2336"/>
      <c r="Y18" s="2329"/>
      <c r="AD18" s="2336"/>
      <c r="AG18" s="2329"/>
      <c r="AK18" s="2329"/>
      <c r="AO18" s="2329"/>
      <c r="AS18" s="2329"/>
      <c r="AW18" s="2329"/>
      <c r="BA18" s="2329"/>
      <c r="BE18" s="2329"/>
      <c r="BI18" s="2329"/>
      <c r="BM18" s="2329"/>
      <c r="BQ18" s="2329"/>
      <c r="BU18" s="2329"/>
      <c r="BY18" s="2329"/>
      <c r="CC18" s="2329"/>
      <c r="CG18" s="2329"/>
      <c r="CH18" s="3342">
        <f t="shared" ref="CH18:CJ18" si="43">$EN$18/$EN$9*CH9</f>
      </c>
      <c r="CI18" s="672">
        <f t="shared" si="43"/>
      </c>
      <c r="CJ18" s="672">
        <f t="shared" si="43"/>
      </c>
      <c r="CK18" s="672">
        <f>$EN$18/$EN$9*CK9</f>
      </c>
      <c r="CL18" s="3343">
        <f>$EO$18/$EO$9*CL9</f>
      </c>
      <c r="CM18" s="3344">
        <f>$EO$18/$EO$9*CM9</f>
      </c>
      <c r="CN18" s="3344">
        <f>$EO$18/$EO$9*CN9</f>
      </c>
      <c r="CO18" s="3344">
        <f>$EO$18/$EO$9*CO9</f>
      </c>
      <c r="CP18" s="3343">
        <f>$EP$18/$EP$9*CP9</f>
      </c>
      <c r="CQ18" s="3344">
        <f>$EP$18/$EP$9*CQ9</f>
      </c>
      <c r="CR18" s="3344">
        <f>$EP$18/$EP$9*CR9</f>
      </c>
      <c r="CS18" s="3345">
        <f>$EP$18/$EP$9*CS9</f>
      </c>
      <c r="CT18" s="3343">
        <f>$EQ$18/$EQ$9*CT9</f>
      </c>
      <c r="CU18" s="3344">
        <f t="shared" ref="CU18:CV18" si="44">$EQ$18/$EQ$9*CU9</f>
      </c>
      <c r="CV18" s="3344">
        <f t="shared" si="44"/>
      </c>
      <c r="CW18" s="1057">
        <f>EQ18-CV18-CU18-CT18</f>
      </c>
      <c r="CX18" s="3343">
        <f>$ER$18/$ER$9*CX9</f>
      </c>
      <c r="CY18" s="3344">
        <f t="shared" ref="CY18:CZ18" si="45">$ER$18/$ER$9*CY9</f>
      </c>
      <c r="CZ18" s="3344">
        <f t="shared" si="45"/>
      </c>
      <c r="DA18" s="2260">
        <f>ER18-CZ18-CY18-CX18</f>
      </c>
      <c r="DB18" s="3343">
        <f>$ES$18/$ES$9*DB9</f>
      </c>
      <c r="DC18" s="3344">
        <f t="shared" ref="DC18:DD18" si="46">$ES$18/$ES$9*DC9</f>
      </c>
      <c r="DD18" s="3344">
        <f t="shared" si="46"/>
      </c>
      <c r="DE18" s="2260">
        <f>ES18-DD18-DC18-DB18</f>
      </c>
      <c r="DF18" s="3343">
        <f>$ET$18/$ET$9*DF9</f>
      </c>
      <c r="DG18" s="3344">
        <f t="shared" ref="DG18:DH18" si="47">$ET$18/$ET$9*DG9</f>
      </c>
      <c r="DH18" s="3344">
        <f t="shared" si="47"/>
      </c>
      <c r="DI18" s="2260">
        <f>$ET$18-DH18-DG18-DF18</f>
      </c>
      <c r="DJ18" s="3343">
        <f>$EU$18/$EU$9*DJ9</f>
      </c>
      <c r="DK18" s="3344">
        <f>$EU$18/$EU$9*DK9</f>
      </c>
      <c r="DL18" s="3344">
        <f>$EU$18/$EU$9*DL9</f>
      </c>
      <c r="DM18" s="2260">
        <f>$EU$18-DL18-DK18-DJ18</f>
      </c>
      <c r="DN18" s="3343">
        <f>$EV$18/$EV$9*DN9</f>
      </c>
      <c r="DO18" s="3344">
        <f>$EV$18/$EV$9*DO9</f>
      </c>
      <c r="DP18" s="3344">
        <f>$EV$18/$EV$9*DP9</f>
      </c>
      <c r="DQ18" s="2260">
        <f>$EV$18-DP18-DO18-DN18</f>
      </c>
      <c r="EE18" s="674">
        <v>66197</v>
      </c>
      <c r="EF18" s="674">
        <v>68909</v>
      </c>
      <c r="EG18" s="674">
        <v>81732</v>
      </c>
      <c r="EH18" s="674">
        <v>75667</v>
      </c>
      <c r="EI18" s="674">
        <v>84339</v>
      </c>
      <c r="EJ18" s="674">
        <v>98061</v>
      </c>
      <c r="EK18" s="674">
        <v>102266</v>
      </c>
      <c r="EL18" s="674">
        <v>109197</v>
      </c>
      <c r="EM18" s="674">
        <v>133803</v>
      </c>
      <c r="EN18" s="674">
        <v>147859</v>
      </c>
      <c r="EO18" s="674">
        <v>138573</v>
      </c>
      <c r="EP18" s="674">
        <v>142196</v>
      </c>
      <c r="EQ18" s="672">
        <f t="shared" ref="EQ18:EV18" si="48">EP18/EP16*EQ16</f>
      </c>
      <c r="ER18" s="672">
        <f t="shared" si="48"/>
      </c>
      <c r="ES18" s="672">
        <f t="shared" si="48"/>
      </c>
      <c r="ET18" s="672">
        <f t="shared" si="48"/>
      </c>
      <c r="EU18" s="672">
        <f t="shared" si="48"/>
      </c>
      <c r="EV18" s="672">
        <f t="shared" si="48"/>
      </c>
      <c r="EW18" s="674"/>
    </row>
    <row r="19" spans="1:166" s="673" customFormat="1" ht="12" customHeight="1">
      <c r="A19" s="3346" t="s">
        <v>1408</v>
      </c>
      <c r="F19" s="2336"/>
      <c r="I19" s="2329"/>
      <c r="N19" s="2336"/>
      <c r="Q19" s="2329"/>
      <c r="V19" s="2336"/>
      <c r="Y19" s="2329"/>
      <c r="AD19" s="2336"/>
      <c r="AG19" s="2329"/>
      <c r="AK19" s="2329"/>
      <c r="AO19" s="2329"/>
      <c r="AS19" s="2329"/>
      <c r="AW19" s="2329"/>
      <c r="BA19" s="2329"/>
      <c r="BE19" s="2329"/>
      <c r="BI19" s="2329"/>
      <c r="BL19" s="905"/>
      <c r="BM19" s="2378"/>
      <c r="BN19" s="905"/>
      <c r="BO19" s="905"/>
      <c r="BP19" s="905"/>
      <c r="BQ19" s="2378"/>
      <c r="BR19" s="905"/>
      <c r="BS19" s="905"/>
      <c r="BT19" s="905"/>
      <c r="BU19" s="2378"/>
      <c r="BV19" s="905"/>
      <c r="BW19" s="905"/>
      <c r="BX19" s="905"/>
      <c r="BY19" s="2260">
        <f>(60%-BY81-BY82-BY83-BY84)*BY16</f>
      </c>
      <c r="BZ19" s="905"/>
      <c r="CA19" s="905"/>
      <c r="CB19" s="905"/>
      <c r="CC19" s="2260"/>
      <c r="CD19" s="905"/>
      <c r="CE19" s="905"/>
      <c r="CF19" s="905"/>
      <c r="CG19" s="2260"/>
      <c r="CH19" s="905"/>
      <c r="CI19" s="905"/>
      <c r="CJ19" s="905"/>
      <c r="CK19" s="2329"/>
      <c r="CL19" s="3347">
        <f t="shared" ref="CL19:DQ19" si="49">CL9-CL18</f>
      </c>
      <c r="CM19" s="3347">
        <f t="shared" si="49"/>
      </c>
      <c r="CN19" s="3347">
        <f t="shared" si="49"/>
      </c>
      <c r="CO19" s="3341">
        <f t="shared" si="49"/>
      </c>
      <c r="CP19" s="3347">
        <f t="shared" si="49"/>
      </c>
      <c r="CQ19" s="3347">
        <f t="shared" si="49"/>
      </c>
      <c r="CR19" s="3347">
        <f t="shared" si="49"/>
      </c>
      <c r="CS19" s="3341">
        <f t="shared" si="49"/>
      </c>
      <c r="CT19" s="3347">
        <f t="shared" si="49"/>
      </c>
      <c r="CU19" s="3347">
        <f t="shared" si="49"/>
      </c>
      <c r="CV19" s="3347">
        <f t="shared" si="49"/>
      </c>
      <c r="CW19" s="3341">
        <f t="shared" si="49"/>
      </c>
      <c r="CX19" s="3354">
        <f t="shared" si="49"/>
      </c>
      <c r="CY19" s="3347">
        <f t="shared" si="49"/>
      </c>
      <c r="CZ19" s="3347">
        <f t="shared" si="49"/>
      </c>
      <c r="DA19" s="3341">
        <f t="shared" si="49"/>
      </c>
      <c r="DB19" s="3354">
        <f t="shared" si="49"/>
      </c>
      <c r="DC19" s="3347">
        <f t="shared" si="49"/>
      </c>
      <c r="DD19" s="3347">
        <f t="shared" si="49"/>
      </c>
      <c r="DE19" s="3341">
        <f t="shared" si="49"/>
      </c>
      <c r="DF19" s="3354">
        <f t="shared" si="49"/>
      </c>
      <c r="DG19" s="3347">
        <f t="shared" si="49"/>
      </c>
      <c r="DH19" s="3347">
        <f t="shared" si="49"/>
      </c>
      <c r="DI19" s="3341">
        <f t="shared" si="49"/>
      </c>
      <c r="DJ19" s="3354">
        <f t="shared" si="49"/>
      </c>
      <c r="DK19" s="3347">
        <f t="shared" si="49"/>
      </c>
      <c r="DL19" s="3347">
        <f t="shared" si="49"/>
      </c>
      <c r="DM19" s="3341">
        <f t="shared" si="49"/>
      </c>
      <c r="DN19" s="3354">
        <f t="shared" si="49"/>
      </c>
      <c r="DO19" s="3347">
        <f t="shared" si="49"/>
      </c>
      <c r="DP19" s="3347">
        <f t="shared" si="49"/>
      </c>
      <c r="DQ19" s="3341">
        <f t="shared" si="49"/>
      </c>
      <c r="EE19" s="673">
        <f t="shared" ref="EE19:EN19" si="50">EE9-EE18</f>
      </c>
      <c r="EF19" s="673">
        <f t="shared" si="50"/>
      </c>
      <c r="EG19" s="673">
        <f t="shared" si="50"/>
      </c>
      <c r="EH19" s="673">
        <f t="shared" si="50"/>
      </c>
      <c r="EI19" s="673">
        <f t="shared" si="50"/>
      </c>
      <c r="EJ19" s="673">
        <f t="shared" si="50"/>
      </c>
      <c r="EK19" s="673">
        <f t="shared" si="50"/>
      </c>
      <c r="EL19" s="673">
        <f t="shared" si="50"/>
      </c>
      <c r="EM19" s="673">
        <f t="shared" si="50"/>
      </c>
      <c r="EN19" s="673">
        <f t="shared" si="50"/>
      </c>
      <c r="EO19" s="673">
        <f>EO9-EO18</f>
      </c>
      <c r="EP19" s="673">
        <f>EP9-EP18</f>
      </c>
      <c r="EQ19" s="673">
        <f t="shared" ref="EQ19:EV19" si="51">EQ9-EQ18</f>
      </c>
      <c r="ER19" s="673">
        <f t="shared" si="51"/>
      </c>
      <c r="ES19" s="673">
        <f t="shared" si="51"/>
      </c>
      <c r="ET19" s="673">
        <f t="shared" si="51"/>
      </c>
      <c r="EU19" s="673">
        <f t="shared" si="51"/>
      </c>
      <c r="EV19" s="673">
        <f t="shared" si="51"/>
      </c>
    </row>
    <row r="20" spans="1:166" s="673" customFormat="1" ht="12" customHeight="1">
      <c r="A20" s="3346"/>
      <c r="AK20" s="2329"/>
      <c r="AS20" s="2329"/>
      <c r="BA20" s="2329"/>
      <c r="BI20" s="2329"/>
      <c r="BL20" s="905"/>
      <c r="BM20" s="905"/>
      <c r="BN20" s="905"/>
      <c r="BO20" s="905"/>
      <c r="BP20" s="905"/>
      <c r="BQ20" s="2378"/>
      <c r="BR20" s="905"/>
      <c r="BS20" s="905"/>
      <c r="BT20" s="905"/>
      <c r="BU20" s="2378"/>
      <c r="BV20" s="905"/>
      <c r="BW20" s="905"/>
      <c r="BX20" s="905"/>
      <c r="BY20" s="2260"/>
      <c r="BZ20" s="905"/>
      <c r="CA20" s="905"/>
      <c r="CB20" s="905"/>
      <c r="CC20" s="2260"/>
      <c r="CD20" s="905"/>
      <c r="CE20" s="905"/>
      <c r="CF20" s="905"/>
      <c r="CG20" s="2260"/>
      <c r="CH20" s="905"/>
      <c r="CI20" s="905"/>
      <c r="CJ20" s="905"/>
      <c r="CK20" s="2329"/>
      <c r="CL20" s="905"/>
      <c r="CM20" s="905"/>
      <c r="CN20" s="905"/>
      <c r="CO20" s="2329"/>
      <c r="CP20" s="905"/>
      <c r="CQ20" s="905"/>
      <c r="CR20" s="905"/>
      <c r="CS20" s="2329"/>
      <c r="CT20" s="905"/>
      <c r="CU20" s="905"/>
      <c r="CV20" s="905"/>
      <c r="CW20" s="2329"/>
      <c r="CX20" s="905"/>
      <c r="CY20" s="905"/>
      <c r="CZ20" s="905"/>
      <c r="DA20" s="2329"/>
      <c r="DB20" s="905"/>
      <c r="DC20" s="905"/>
      <c r="DD20" s="905"/>
      <c r="DE20" s="2329"/>
      <c r="DF20" s="905"/>
      <c r="DG20" s="905"/>
      <c r="DH20" s="905"/>
      <c r="DI20" s="2329"/>
      <c r="DJ20" s="905"/>
      <c r="DK20" s="905"/>
      <c r="DL20" s="905"/>
      <c r="DM20" s="2329"/>
      <c r="DN20" s="905"/>
      <c r="DO20" s="905"/>
      <c r="DP20" s="905"/>
      <c r="DQ20" s="2329"/>
      <c r="EP20" s="58"/>
    </row>
    <row r="21" spans="1:166" s="673" customFormat="1" ht="12" customHeight="1">
      <c r="A21" s="3348" t="s">
        <v>1404</v>
      </c>
      <c r="B21" s="1165"/>
      <c r="C21" s="1165"/>
      <c r="D21" s="1165"/>
      <c r="E21" s="3349"/>
      <c r="F21" s="1165"/>
      <c r="G21" s="1165"/>
      <c r="H21" s="1165"/>
      <c r="I21" s="1165"/>
      <c r="J21" s="3350"/>
      <c r="K21" s="1165"/>
      <c r="L21" s="1165"/>
      <c r="M21" s="3349"/>
      <c r="N21" s="1165"/>
      <c r="O21" s="1165"/>
      <c r="P21" s="1165"/>
      <c r="Q21" s="1165"/>
      <c r="R21" s="3350"/>
      <c r="S21" s="1165"/>
      <c r="T21" s="1165"/>
      <c r="U21" s="3349"/>
      <c r="V21" s="1165"/>
      <c r="W21" s="1165"/>
      <c r="X21" s="1165"/>
      <c r="Y21" s="1165"/>
      <c r="Z21" s="3350"/>
      <c r="AA21" s="1165"/>
      <c r="AB21" s="1165"/>
      <c r="AC21" s="3349"/>
      <c r="AD21" s="1165"/>
      <c r="AE21" s="1165"/>
      <c r="AF21" s="1165"/>
      <c r="AG21" s="1165"/>
      <c r="AH21" s="3350"/>
      <c r="AI21" s="1165"/>
      <c r="AJ21" s="1165"/>
      <c r="AK21" s="3349"/>
      <c r="AL21" s="1165"/>
      <c r="AM21" s="1165"/>
      <c r="AN21" s="1165"/>
      <c r="AO21" s="1165"/>
      <c r="AP21" s="3350"/>
      <c r="AQ21" s="1165"/>
      <c r="AR21" s="1165"/>
      <c r="AS21" s="3349"/>
      <c r="AT21" s="1165"/>
      <c r="AU21" s="1165"/>
      <c r="AV21" s="1165"/>
      <c r="AW21" s="1165"/>
      <c r="AX21" s="3350"/>
      <c r="AY21" s="1165"/>
      <c r="AZ21" s="1165"/>
      <c r="BA21" s="3349"/>
      <c r="BB21" s="1165"/>
      <c r="BC21" s="1165"/>
      <c r="BD21" s="1165"/>
      <c r="BE21" s="1165"/>
      <c r="BF21" s="3350"/>
      <c r="BG21" s="1165"/>
      <c r="BH21" s="1165"/>
      <c r="BI21" s="3349"/>
      <c r="BJ21" s="1165"/>
      <c r="BK21" s="1165"/>
      <c r="BL21" s="1165"/>
      <c r="BM21" s="1165"/>
      <c r="BN21" s="3350"/>
      <c r="BO21" s="1165"/>
      <c r="BP21" s="1165"/>
      <c r="BQ21" s="3349"/>
      <c r="BR21" s="3350"/>
      <c r="BS21" s="1165"/>
      <c r="BT21" s="1165"/>
      <c r="BU21" s="3349"/>
      <c r="BV21" s="3350"/>
      <c r="BW21" s="1165"/>
      <c r="BX21" s="1165"/>
      <c r="BY21" s="3349"/>
      <c r="BZ21" s="3350"/>
      <c r="CA21" s="1165"/>
      <c r="CB21" s="1165"/>
      <c r="CC21" s="3349"/>
      <c r="CD21" s="3350"/>
      <c r="CE21" s="1165"/>
      <c r="CF21" s="1165"/>
      <c r="CG21" s="3349"/>
      <c r="CH21" s="1165"/>
      <c r="CI21" s="1165"/>
      <c r="CJ21" s="1165"/>
      <c r="CK21" s="2329"/>
      <c r="CL21" s="1165"/>
      <c r="CM21" s="1165"/>
      <c r="CN21" s="1165"/>
      <c r="CO21" s="2329"/>
      <c r="CP21" s="1165"/>
      <c r="CQ21" s="1165"/>
      <c r="CR21" s="1165"/>
      <c r="CS21" s="2329"/>
      <c r="CT21" s="1165"/>
      <c r="CU21" s="1165"/>
      <c r="CV21" s="1165"/>
      <c r="CW21" s="2329"/>
      <c r="CX21" s="1165"/>
      <c r="CY21" s="1165"/>
      <c r="CZ21" s="1165"/>
      <c r="DA21" s="2329"/>
      <c r="DB21" s="1165"/>
      <c r="DC21" s="1165"/>
      <c r="DD21" s="1165"/>
      <c r="DE21" s="2329"/>
      <c r="DF21" s="1165"/>
      <c r="DG21" s="1165"/>
      <c r="DH21" s="1165"/>
      <c r="DI21" s="2329"/>
      <c r="DJ21" s="1165"/>
      <c r="DK21" s="1165"/>
      <c r="DL21" s="1165"/>
      <c r="DM21" s="2329"/>
      <c r="DN21" s="1165"/>
      <c r="DO21" s="1165"/>
      <c r="DP21" s="1165"/>
      <c r="DQ21" s="2329"/>
      <c r="ED21" s="1165"/>
      <c r="EE21" s="3351">
        <f>78767-1070</f>
      </c>
      <c r="EF21" s="3351">
        <f>83248-1215</f>
      </c>
      <c r="EG21" s="3351">
        <v>93268</v>
      </c>
      <c r="EH21" s="3351">
        <v>91480</v>
      </c>
      <c r="EI21" s="3351">
        <v>100131</v>
      </c>
      <c r="EJ21" s="3351">
        <v>115592</v>
      </c>
      <c r="EK21" s="3351">
        <v>114230</v>
      </c>
      <c r="EL21" s="3351">
        <v>125010</v>
      </c>
      <c r="EM21" s="3351">
        <v>163648</v>
      </c>
      <c r="EN21" s="3351">
        <v>172269</v>
      </c>
      <c r="EO21" s="3352">
        <v>172153</v>
      </c>
      <c r="EP21" s="3352">
        <f>181887</f>
      </c>
      <c r="EQ21" s="3353">
        <f t="shared" ref="EQ21:EV21" si="52">EQ16-EQ18-EQ11</f>
      </c>
      <c r="ER21" s="3353">
        <f t="shared" si="52"/>
      </c>
      <c r="ES21" s="3353">
        <f t="shared" si="52"/>
      </c>
      <c r="ET21" s="3353">
        <f t="shared" si="52"/>
      </c>
      <c r="EU21" s="3353">
        <f t="shared" si="52"/>
      </c>
      <c r="EV21" s="3353">
        <f t="shared" si="52"/>
      </c>
      <c r="EW21" s="3351"/>
    </row>
    <row r="22" spans="1:166" ht="12" customHeight="1">
      <c r="A22" s="15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54"/>
      <c r="AL22" s="23"/>
      <c r="AM22" s="23"/>
      <c r="AN22" s="23"/>
      <c r="AO22" s="23"/>
      <c r="AP22" s="23"/>
      <c r="AQ22" s="23"/>
      <c r="AR22" s="23"/>
      <c r="AS22" s="54"/>
      <c r="AT22" s="23"/>
      <c r="AU22" s="23"/>
      <c r="AV22" s="23"/>
      <c r="AW22" s="23"/>
      <c r="AX22" s="23"/>
      <c r="AY22" s="23"/>
      <c r="AZ22" s="23"/>
      <c r="BA22" s="54"/>
      <c r="BB22" s="23"/>
      <c r="BC22" s="23"/>
      <c r="BD22" s="23"/>
      <c r="BE22" s="23"/>
      <c r="BF22" s="23"/>
      <c r="BG22" s="23"/>
      <c r="BH22" s="23"/>
      <c r="BI22" s="54"/>
      <c r="BJ22" s="23"/>
      <c r="BK22" s="23"/>
      <c r="BL22" s="23"/>
      <c r="BM22" s="23"/>
      <c r="BN22" s="23"/>
      <c r="BO22" s="23"/>
      <c r="BP22" s="23"/>
      <c r="BQ22" s="54"/>
      <c r="BR22" s="23"/>
      <c r="BS22" s="23"/>
      <c r="BT22" s="23"/>
      <c r="BU22" s="54"/>
      <c r="BV22" s="23"/>
      <c r="BW22" s="23"/>
      <c r="BX22" s="23"/>
      <c r="BY22" s="54"/>
      <c r="BZ22" s="23"/>
      <c r="CA22" s="23"/>
      <c r="CB22" s="23"/>
      <c r="CC22" s="23"/>
      <c r="CD22" s="1487"/>
      <c r="CE22" s="23"/>
      <c r="CF22" s="23"/>
      <c r="CG22" s="54"/>
      <c r="CH22" s="23"/>
      <c r="CI22" s="23"/>
      <c r="CJ22" s="23"/>
      <c r="CK22" s="53"/>
      <c r="CL22" s="23"/>
      <c r="CM22" s="23"/>
      <c r="CN22" s="23"/>
      <c r="CO22" s="53"/>
      <c r="CP22" s="23"/>
      <c r="CQ22" s="23"/>
      <c r="CR22" s="23"/>
      <c r="CS22" s="53"/>
      <c r="CT22" s="23"/>
      <c r="CU22" s="23"/>
      <c r="CV22" s="23"/>
      <c r="CW22" s="53"/>
      <c r="CX22" s="23"/>
      <c r="CY22" s="23"/>
      <c r="CZ22" s="23"/>
      <c r="DA22" s="53"/>
      <c r="DB22" s="23"/>
      <c r="DC22" s="23"/>
      <c r="DD22" s="23"/>
      <c r="DE22" s="53"/>
      <c r="DF22" s="23"/>
      <c r="DG22" s="23"/>
      <c r="DH22" s="23"/>
      <c r="DI22" s="53"/>
      <c r="DJ22" s="23"/>
      <c r="DK22" s="23"/>
      <c r="DL22" s="23"/>
      <c r="DM22" s="53"/>
      <c r="DN22" s="23"/>
      <c r="DO22" s="23"/>
      <c r="DP22" s="23"/>
      <c r="DQ22" s="53"/>
      <c r="ED22" s="23"/>
      <c r="EE22" s="282"/>
      <c r="EF22" s="282"/>
      <c r="EG22" s="282"/>
      <c r="EH22" s="282"/>
      <c r="EI22" s="282"/>
      <c r="EJ22" s="282"/>
      <c r="EK22" s="282"/>
      <c r="EL22" s="282"/>
      <c r="EM22" s="282"/>
      <c r="EN22" s="282"/>
      <c r="EO22" s="282"/>
      <c r="EP22" s="282"/>
      <c r="EQ22" s="282"/>
      <c r="ER22" s="282"/>
      <c r="ES22" s="282"/>
      <c r="ET22" s="282"/>
      <c r="EU22" s="282"/>
      <c r="EV22" s="282"/>
      <c r="EW22" s="282"/>
    </row>
    <row r="23" spans="1:166" ht="12" customHeight="1">
      <c r="A23" s="1521" t="s">
        <v>1035</v>
      </c>
      <c r="B23" s="10"/>
      <c r="C23" s="10"/>
      <c r="D23" s="10"/>
      <c r="E23" s="10"/>
      <c r="F23" s="1484"/>
      <c r="G23" s="10"/>
      <c r="H23" s="10"/>
      <c r="I23" s="55"/>
      <c r="J23" s="10"/>
      <c r="K23" s="10"/>
      <c r="L23" s="10"/>
      <c r="M23" s="10"/>
      <c r="N23" s="1484"/>
      <c r="O23" s="10"/>
      <c r="P23" s="10"/>
      <c r="Q23" s="55"/>
      <c r="R23" s="10"/>
      <c r="S23" s="10"/>
      <c r="T23" s="10"/>
      <c r="U23" s="10"/>
      <c r="V23" s="1484"/>
      <c r="W23" s="10"/>
      <c r="X23" s="10"/>
      <c r="Y23" s="55"/>
      <c r="Z23" s="10"/>
      <c r="AA23" s="10"/>
      <c r="AB23" s="10"/>
      <c r="AC23" s="10"/>
      <c r="AD23" s="1484"/>
      <c r="AE23" s="10"/>
      <c r="AF23" s="10"/>
      <c r="AG23" s="55"/>
      <c r="AH23" s="10"/>
      <c r="AI23" s="10"/>
      <c r="AJ23" s="10"/>
      <c r="AK23" s="55"/>
      <c r="AL23" s="10"/>
      <c r="AM23" s="10"/>
      <c r="AN23" s="10"/>
      <c r="AO23" s="55"/>
      <c r="AP23" s="10">
        <f t="shared" ref="AP23:CK23" si="53">AP11*AP40</f>
      </c>
      <c r="AQ23" s="10">
        <f t="shared" si="53"/>
      </c>
      <c r="AR23" s="10">
        <f t="shared" si="53"/>
      </c>
      <c r="AS23" s="55">
        <f t="shared" si="53"/>
      </c>
      <c r="AT23" s="10">
        <f t="shared" si="53"/>
      </c>
      <c r="AU23" s="10">
        <f t="shared" si="53"/>
      </c>
      <c r="AV23" s="10">
        <f t="shared" si="53"/>
      </c>
      <c r="AW23" s="55">
        <f t="shared" si="53"/>
      </c>
      <c r="AX23" s="10">
        <f t="shared" si="53"/>
      </c>
      <c r="AY23" s="10">
        <f t="shared" si="53"/>
      </c>
      <c r="AZ23" s="10">
        <f t="shared" si="53"/>
      </c>
      <c r="BA23" s="55">
        <f t="shared" si="53"/>
      </c>
      <c r="BB23" s="10">
        <f t="shared" si="53"/>
      </c>
      <c r="BC23" s="10">
        <f t="shared" si="53"/>
      </c>
      <c r="BD23" s="10">
        <f t="shared" si="53"/>
      </c>
      <c r="BE23" s="55">
        <f t="shared" si="53"/>
      </c>
      <c r="BF23" s="10">
        <f t="shared" si="53"/>
      </c>
      <c r="BG23" s="10">
        <f t="shared" si="53"/>
      </c>
      <c r="BH23" s="10">
        <f t="shared" si="53"/>
      </c>
      <c r="BI23" s="55">
        <f t="shared" si="53"/>
      </c>
      <c r="BJ23" s="10">
        <f t="shared" si="53"/>
      </c>
      <c r="BK23" s="10">
        <f t="shared" si="53"/>
      </c>
      <c r="BL23" s="10">
        <f t="shared" si="53"/>
      </c>
      <c r="BM23" s="55">
        <f t="shared" si="53"/>
      </c>
      <c r="BN23" s="10">
        <f t="shared" si="53"/>
      </c>
      <c r="BO23" s="10">
        <f t="shared" si="53"/>
      </c>
      <c r="BP23" s="10">
        <f t="shared" si="53"/>
      </c>
      <c r="BQ23" s="55">
        <f t="shared" si="53"/>
      </c>
      <c r="BR23" s="10">
        <f t="shared" si="53"/>
      </c>
      <c r="BS23" s="10">
        <f t="shared" si="53"/>
      </c>
      <c r="BT23" s="10">
        <f t="shared" si="53"/>
      </c>
      <c r="BU23" s="55">
        <f t="shared" si="53"/>
      </c>
      <c r="BV23" s="10">
        <f t="shared" si="53"/>
      </c>
      <c r="BW23" s="10">
        <f t="shared" si="53"/>
      </c>
      <c r="BX23" s="10">
        <f t="shared" si="53"/>
      </c>
      <c r="BY23" s="55">
        <f t="shared" si="53"/>
      </c>
      <c r="BZ23" s="10">
        <f t="shared" si="53"/>
      </c>
      <c r="CA23" s="10">
        <f t="shared" si="53"/>
      </c>
      <c r="CB23" s="10">
        <f t="shared" si="53"/>
      </c>
      <c r="CC23" s="10">
        <f t="shared" si="53"/>
      </c>
      <c r="CD23" s="1484">
        <f t="shared" si="53"/>
      </c>
      <c r="CE23" s="10">
        <f t="shared" si="53"/>
      </c>
      <c r="CF23" s="10">
        <f t="shared" si="53"/>
      </c>
      <c r="CG23" s="55">
        <f t="shared" si="53"/>
      </c>
      <c r="CH23" s="10">
        <f t="shared" si="53"/>
      </c>
      <c r="CI23" s="10">
        <f t="shared" si="53"/>
      </c>
      <c r="CJ23" s="10">
        <f t="shared" si="53"/>
      </c>
      <c r="CK23" s="55">
        <f t="shared" si="53"/>
      </c>
      <c r="CL23" s="10">
        <f t="shared" ref="CL23:CM23" si="54">CL11*CL40</f>
      </c>
      <c r="CM23" s="10">
        <f t="shared" si="54"/>
      </c>
      <c r="CN23" s="10">
        <f t="shared" ref="CN23:CQ23" si="55">CN11*CN40</f>
      </c>
      <c r="CO23" s="55">
        <f t="shared" si="55"/>
      </c>
      <c r="CP23" s="10">
        <f t="shared" si="55"/>
      </c>
      <c r="CQ23" s="10">
        <f t="shared" si="55"/>
      </c>
      <c r="CR23" s="10"/>
      <c r="CS23" s="53"/>
      <c r="CT23" s="10"/>
      <c r="CU23" s="10"/>
      <c r="CV23" s="10"/>
      <c r="CW23" s="53"/>
      <c r="CX23" s="10"/>
      <c r="CY23" s="10"/>
      <c r="CZ23" s="10"/>
      <c r="DA23" s="53"/>
      <c r="DB23" s="10"/>
      <c r="DC23" s="10"/>
      <c r="DD23" s="10"/>
      <c r="DE23" s="53"/>
      <c r="DF23" s="10"/>
      <c r="DG23" s="10"/>
      <c r="DH23" s="10"/>
      <c r="DI23" s="53"/>
      <c r="DJ23" s="10"/>
      <c r="DK23" s="10"/>
      <c r="DL23" s="10"/>
      <c r="DM23" s="53"/>
      <c r="DN23" s="10"/>
      <c r="DO23" s="10"/>
      <c r="DP23" s="10"/>
      <c r="DQ23" s="53"/>
      <c r="DS23" s="21"/>
      <c r="DT23" s="21"/>
      <c r="DU23" s="21"/>
      <c r="DV23" s="21"/>
      <c r="DW23" s="21"/>
      <c r="DX23" s="21"/>
      <c r="DY23" s="21"/>
      <c r="DZ23" s="21"/>
      <c r="EA23" s="21"/>
      <c r="EB23" s="21"/>
      <c r="EC23" s="21"/>
      <c r="ED23" s="15">
        <f>SUM(AT23:AW23)</f>
      </c>
      <c r="EE23" s="15">
        <f>SUM(AX23:BA23)</f>
      </c>
      <c r="EF23" s="15">
        <f>SUM(BB23:BE23)</f>
      </c>
      <c r="EG23" s="15">
        <f>SUM(BF23:BI23)</f>
      </c>
      <c r="EH23" s="15">
        <f>SUM(BJ23:BM23)</f>
      </c>
      <c r="EI23" s="15">
        <f>SUM(BN23:BQ23)</f>
      </c>
      <c r="EJ23" s="15">
        <f>SUM(BR23:BU23)</f>
      </c>
      <c r="EK23" s="15">
        <f>SUM(BS23:BV23)</f>
      </c>
      <c r="EL23" s="15">
        <f>SUM(CA23:CD23)</f>
      </c>
      <c r="EM23" s="15">
        <f>SUM(CE23:CH23)</f>
      </c>
      <c r="EN23" s="15">
        <f t="shared" ref="EN23:EV26" si="56">SUM(CI23:CL23)</f>
      </c>
      <c r="EO23" s="15">
        <f t="shared" si="56"/>
      </c>
      <c r="EP23" s="15">
        <f t="shared" si="56"/>
      </c>
      <c r="EQ23" s="15">
        <f t="shared" si="56"/>
      </c>
      <c r="ER23" s="15">
        <f t="shared" si="56"/>
      </c>
      <c r="ES23" s="15">
        <f t="shared" si="56"/>
      </c>
      <c r="ET23" s="15">
        <f t="shared" si="56"/>
      </c>
      <c r="EU23" s="15">
        <f t="shared" si="56"/>
      </c>
      <c r="EV23" s="15">
        <f t="shared" si="56"/>
      </c>
      <c r="EW23" s="15"/>
      <c r="EX23" s="21"/>
      <c r="EY23" s="15">
        <f>SUM(BC23:BF23)</f>
      </c>
      <c r="EZ23" s="15">
        <f>SUM(BG23:BJ23)</f>
      </c>
      <c r="FA23" s="15">
        <f>SUM(BK23:BN23)</f>
      </c>
      <c r="FB23" s="15">
        <f>SUM(BO23:BR23)</f>
      </c>
      <c r="FC23" s="15">
        <f>SUM(BS23:BV23)</f>
      </c>
      <c r="FD23" s="15">
        <f>SUM(BW23:BZ23)</f>
      </c>
      <c r="FE23" s="15">
        <f>SUM(CA23:CD23)</f>
      </c>
      <c r="FF23" s="15">
        <f>SUM(CE23:CH23)</f>
      </c>
    </row>
    <row r="24" spans="1:166" ht="12" customHeight="1">
      <c r="A24" s="1522" t="s">
        <v>1036</v>
      </c>
      <c r="B24" s="81"/>
      <c r="C24" s="81"/>
      <c r="D24" s="81"/>
      <c r="E24" s="81"/>
      <c r="F24" s="1485"/>
      <c r="G24" s="81"/>
      <c r="H24" s="81"/>
      <c r="I24" s="336"/>
      <c r="J24" s="81"/>
      <c r="K24" s="81"/>
      <c r="L24" s="81"/>
      <c r="M24" s="81"/>
      <c r="N24" s="1485"/>
      <c r="O24" s="81"/>
      <c r="P24" s="81"/>
      <c r="Q24" s="336"/>
      <c r="R24" s="81"/>
      <c r="S24" s="81"/>
      <c r="T24" s="81"/>
      <c r="U24" s="81"/>
      <c r="V24" s="1485"/>
      <c r="W24" s="81"/>
      <c r="X24" s="81"/>
      <c r="Y24" s="336"/>
      <c r="Z24" s="81"/>
      <c r="AA24" s="81"/>
      <c r="AB24" s="81"/>
      <c r="AC24" s="81"/>
      <c r="AD24" s="1485"/>
      <c r="AE24" s="81"/>
      <c r="AF24" s="81"/>
      <c r="AG24" s="336"/>
      <c r="AH24" s="81"/>
      <c r="AI24" s="81"/>
      <c r="AJ24" s="81"/>
      <c r="AK24" s="336"/>
      <c r="AL24" s="377"/>
      <c r="AM24" s="377"/>
      <c r="AN24" s="377"/>
      <c r="AO24" s="337"/>
      <c r="AP24" s="377"/>
      <c r="AQ24" s="377"/>
      <c r="AR24" s="377"/>
      <c r="AS24" s="337"/>
      <c r="AT24" s="377">
        <f t="shared" ref="AT24:CO24" si="57">AT23*(1/AT40-1/AP40)</f>
      </c>
      <c r="AU24" s="377">
        <f t="shared" si="57"/>
      </c>
      <c r="AV24" s="377">
        <f t="shared" si="57"/>
      </c>
      <c r="AW24" s="337">
        <f t="shared" si="57"/>
      </c>
      <c r="AX24" s="377">
        <f t="shared" si="57"/>
      </c>
      <c r="AY24" s="377">
        <f t="shared" si="57"/>
      </c>
      <c r="AZ24" s="377">
        <f t="shared" si="57"/>
      </c>
      <c r="BA24" s="337">
        <f t="shared" si="57"/>
      </c>
      <c r="BB24" s="377">
        <f t="shared" si="57"/>
      </c>
      <c r="BC24" s="377">
        <f t="shared" si="57"/>
      </c>
      <c r="BD24" s="377">
        <f t="shared" si="57"/>
      </c>
      <c r="BE24" s="337">
        <f t="shared" si="57"/>
      </c>
      <c r="BF24" s="377">
        <f t="shared" si="57"/>
      </c>
      <c r="BG24" s="377">
        <f t="shared" si="57"/>
      </c>
      <c r="BH24" s="377">
        <f t="shared" si="57"/>
      </c>
      <c r="BI24" s="337">
        <f t="shared" si="57"/>
      </c>
      <c r="BJ24" s="377">
        <f t="shared" si="57"/>
      </c>
      <c r="BK24" s="377">
        <f t="shared" si="57"/>
      </c>
      <c r="BL24" s="377">
        <f t="shared" si="57"/>
      </c>
      <c r="BM24" s="337">
        <f t="shared" si="57"/>
      </c>
      <c r="BN24" s="377">
        <f t="shared" si="57"/>
      </c>
      <c r="BO24" s="377">
        <f t="shared" si="57"/>
      </c>
      <c r="BP24" s="377">
        <f t="shared" si="57"/>
      </c>
      <c r="BQ24" s="337">
        <f t="shared" si="57"/>
      </c>
      <c r="BR24" s="377">
        <f t="shared" si="57"/>
      </c>
      <c r="BS24" s="377">
        <f t="shared" si="57"/>
      </c>
      <c r="BT24" s="377">
        <f t="shared" si="57"/>
      </c>
      <c r="BU24" s="337">
        <f t="shared" si="57"/>
      </c>
      <c r="BV24" s="377">
        <f t="shared" si="57"/>
      </c>
      <c r="BW24" s="377">
        <f t="shared" si="57"/>
      </c>
      <c r="BX24" s="377">
        <f t="shared" si="57"/>
      </c>
      <c r="BY24" s="337">
        <f t="shared" si="57"/>
      </c>
      <c r="BZ24" s="377">
        <f t="shared" si="57"/>
      </c>
      <c r="CA24" s="377">
        <f t="shared" si="57"/>
      </c>
      <c r="CB24" s="377">
        <f t="shared" si="57"/>
      </c>
      <c r="CC24" s="377">
        <f t="shared" si="57"/>
      </c>
      <c r="CD24" s="1515">
        <f t="shared" si="57"/>
      </c>
      <c r="CE24" s="377">
        <f t="shared" si="57"/>
      </c>
      <c r="CF24" s="377">
        <f t="shared" si="57"/>
      </c>
      <c r="CG24" s="337">
        <f t="shared" si="57"/>
      </c>
      <c r="CH24" s="377">
        <f t="shared" si="57"/>
      </c>
      <c r="CI24" s="377">
        <f t="shared" si="57"/>
      </c>
      <c r="CJ24" s="377">
        <f t="shared" si="57"/>
      </c>
      <c r="CK24" s="337">
        <f t="shared" si="57"/>
      </c>
      <c r="CL24" s="377">
        <f t="shared" si="57"/>
      </c>
      <c r="CM24" s="377">
        <f t="shared" si="57"/>
      </c>
      <c r="CN24" s="377">
        <f t="shared" si="57"/>
      </c>
      <c r="CO24" s="337">
        <f t="shared" si="57"/>
      </c>
      <c r="CP24" s="377">
        <f t="shared" ref="CP24" si="58">CP23*(1/CP40-1/CL40)</f>
      </c>
      <c r="CQ24" s="377">
        <f t="shared" ref="CQ24" si="59">CQ23*(1/CQ40-1/CM40)</f>
      </c>
      <c r="CR24" s="377"/>
      <c r="CS24" s="1505"/>
      <c r="CT24" s="377"/>
      <c r="CU24" s="377"/>
      <c r="CV24" s="377"/>
      <c r="CW24" s="1505"/>
      <c r="CX24" s="377"/>
      <c r="CY24" s="377"/>
      <c r="CZ24" s="377"/>
      <c r="DA24" s="1505"/>
      <c r="DB24" s="377"/>
      <c r="DC24" s="377"/>
      <c r="DD24" s="377"/>
      <c r="DE24" s="1505"/>
      <c r="DF24" s="377"/>
      <c r="DG24" s="377"/>
      <c r="DH24" s="377"/>
      <c r="DI24" s="1505"/>
      <c r="DJ24" s="377"/>
      <c r="DK24" s="377"/>
      <c r="DL24" s="377"/>
      <c r="DM24" s="1505"/>
      <c r="DN24" s="377"/>
      <c r="DO24" s="377"/>
      <c r="DP24" s="377"/>
      <c r="DQ24" s="1505"/>
      <c r="DR24" s="82"/>
      <c r="DS24" s="81"/>
      <c r="DT24" s="81"/>
      <c r="DU24" s="81"/>
      <c r="DV24" s="81"/>
      <c r="DW24" s="81"/>
      <c r="DX24" s="81"/>
      <c r="DY24" s="81"/>
      <c r="DZ24" s="81"/>
      <c r="EA24" s="81"/>
      <c r="EB24" s="81"/>
      <c r="EC24" s="81"/>
      <c r="ED24" s="128"/>
      <c r="EE24" s="377"/>
      <c r="EF24" s="377"/>
      <c r="EG24" s="377">
        <f>EG23*(1/EG40-1/EF40)</f>
      </c>
      <c r="EH24" s="377">
        <f>EH23*(1/EH40-1/EG40)</f>
      </c>
      <c r="EI24" s="377">
        <f>EI23*(1/EI40-1/EH40)</f>
      </c>
      <c r="EJ24" s="377">
        <f>EJ23*(1/EJ40-1/EI40)</f>
      </c>
      <c r="EK24" s="377">
        <f>EK23*(1/EK40-1/EJ40)</f>
      </c>
      <c r="EL24" s="15">
        <f>SUM(CA24:CD24)</f>
      </c>
      <c r="EM24" s="15">
        <f>SUM(CE24:CH24)</f>
      </c>
      <c r="EN24" s="15">
        <f t="shared" si="56"/>
      </c>
      <c r="EO24" s="15">
        <f t="shared" si="56"/>
      </c>
      <c r="EP24" s="15">
        <f t="shared" si="56"/>
      </c>
      <c r="EQ24" s="15">
        <f t="shared" si="56"/>
      </c>
      <c r="ER24" s="15">
        <f t="shared" si="56"/>
      </c>
      <c r="ES24" s="15">
        <f t="shared" si="56"/>
      </c>
      <c r="ET24" s="15">
        <f t="shared" si="56"/>
      </c>
      <c r="EU24" s="15">
        <f t="shared" si="56"/>
      </c>
      <c r="EV24" s="15">
        <f t="shared" si="56"/>
      </c>
      <c r="EW24" s="15"/>
      <c r="EX24" s="21"/>
      <c r="EY24" s="15">
        <f>SUM(BC24:BF24)</f>
      </c>
      <c r="EZ24" s="15">
        <f>SUM(BG24:BJ24)</f>
      </c>
      <c r="FA24" s="15">
        <f>SUM(BK24:BN24)</f>
      </c>
      <c r="FB24" s="15">
        <f>SUM(BO24:BR24)</f>
      </c>
      <c r="FC24" s="15">
        <f>SUM(BS24:BV24)</f>
      </c>
      <c r="FD24" s="15">
        <f>SUM(BW24:BZ24)</f>
      </c>
      <c r="FE24" s="15">
        <f>SUM(CA24:CD24)</f>
      </c>
      <c r="FF24" s="15">
        <f>SUM(CE24:CH24)</f>
      </c>
    </row>
    <row r="25" spans="1:166" ht="12" customHeight="1">
      <c r="A25" s="1521" t="s">
        <v>1033</v>
      </c>
      <c r="B25" s="10">
        <f t="shared" ref="B25:AG25" si="60">B12*B41/10^3</f>
      </c>
      <c r="C25" s="10">
        <f t="shared" si="60"/>
      </c>
      <c r="D25" s="10">
        <f t="shared" si="60"/>
      </c>
      <c r="E25" s="10">
        <f t="shared" si="60"/>
      </c>
      <c r="F25" s="1484">
        <f t="shared" si="60"/>
      </c>
      <c r="G25" s="10">
        <f t="shared" si="60"/>
      </c>
      <c r="H25" s="10">
        <f t="shared" si="60"/>
      </c>
      <c r="I25" s="55">
        <f t="shared" si="60"/>
      </c>
      <c r="J25" s="10">
        <f t="shared" si="60"/>
      </c>
      <c r="K25" s="10">
        <f t="shared" si="60"/>
      </c>
      <c r="L25" s="10">
        <f t="shared" si="60"/>
      </c>
      <c r="M25" s="10">
        <f t="shared" si="60"/>
      </c>
      <c r="N25" s="1484">
        <f t="shared" si="60"/>
      </c>
      <c r="O25" s="10">
        <f t="shared" si="60"/>
      </c>
      <c r="P25" s="10">
        <f t="shared" si="60"/>
      </c>
      <c r="Q25" s="55">
        <f t="shared" si="60"/>
      </c>
      <c r="R25" s="10">
        <f t="shared" si="60"/>
      </c>
      <c r="S25" s="10">
        <f t="shared" si="60"/>
      </c>
      <c r="T25" s="10">
        <f t="shared" si="60"/>
      </c>
      <c r="U25" s="10">
        <f t="shared" si="60"/>
      </c>
      <c r="V25" s="1484">
        <f t="shared" si="60"/>
      </c>
      <c r="W25" s="10">
        <f t="shared" si="60"/>
      </c>
      <c r="X25" s="10">
        <f t="shared" si="60"/>
      </c>
      <c r="Y25" s="55">
        <f t="shared" si="60"/>
      </c>
      <c r="Z25" s="10">
        <f t="shared" si="60"/>
      </c>
      <c r="AA25" s="10">
        <f t="shared" si="60"/>
      </c>
      <c r="AB25" s="10">
        <f t="shared" si="60"/>
      </c>
      <c r="AC25" s="10">
        <f t="shared" si="60"/>
      </c>
      <c r="AD25" s="1484">
        <f t="shared" si="60"/>
      </c>
      <c r="AE25" s="10">
        <f t="shared" si="60"/>
      </c>
      <c r="AF25" s="10">
        <f t="shared" si="60"/>
      </c>
      <c r="AG25" s="55">
        <f t="shared" si="60"/>
      </c>
      <c r="AH25" s="10">
        <f t="shared" ref="AH25:BM25" si="61">AH12*AH41/10^3</f>
      </c>
      <c r="AI25" s="10">
        <f t="shared" si="61"/>
      </c>
      <c r="AJ25" s="10">
        <f t="shared" si="61"/>
      </c>
      <c r="AK25" s="55">
        <f t="shared" si="61"/>
      </c>
      <c r="AL25" s="10">
        <f t="shared" si="61"/>
      </c>
      <c r="AM25" s="10">
        <f t="shared" si="61"/>
      </c>
      <c r="AN25" s="10">
        <f t="shared" si="61"/>
      </c>
      <c r="AO25" s="55">
        <f t="shared" si="61"/>
      </c>
      <c r="AP25" s="10">
        <f t="shared" si="61"/>
      </c>
      <c r="AQ25" s="10">
        <f t="shared" si="61"/>
      </c>
      <c r="AR25" s="10">
        <f t="shared" si="61"/>
      </c>
      <c r="AS25" s="55">
        <f t="shared" si="61"/>
      </c>
      <c r="AT25" s="10">
        <f t="shared" si="61"/>
      </c>
      <c r="AU25" s="10">
        <f t="shared" si="61"/>
      </c>
      <c r="AV25" s="10">
        <f t="shared" si="61"/>
      </c>
      <c r="AW25" s="55">
        <f t="shared" si="61"/>
      </c>
      <c r="AX25" s="10">
        <f t="shared" si="61"/>
      </c>
      <c r="AY25" s="10">
        <f t="shared" si="61"/>
      </c>
      <c r="AZ25" s="10">
        <f t="shared" si="61"/>
      </c>
      <c r="BA25" s="55">
        <f t="shared" si="61"/>
      </c>
      <c r="BB25" s="10">
        <f t="shared" si="61"/>
      </c>
      <c r="BC25" s="10">
        <f t="shared" si="61"/>
      </c>
      <c r="BD25" s="10">
        <f t="shared" si="61"/>
      </c>
      <c r="BE25" s="55">
        <f t="shared" si="61"/>
      </c>
      <c r="BF25" s="10">
        <f t="shared" si="61"/>
      </c>
      <c r="BG25" s="10">
        <f t="shared" si="61"/>
      </c>
      <c r="BH25" s="10">
        <f t="shared" si="61"/>
      </c>
      <c r="BI25" s="55">
        <f t="shared" si="61"/>
      </c>
      <c r="BJ25" s="10">
        <f t="shared" si="61"/>
      </c>
      <c r="BK25" s="10">
        <f t="shared" si="61"/>
      </c>
      <c r="BL25" s="10">
        <f t="shared" si="61"/>
      </c>
      <c r="BM25" s="55">
        <f t="shared" si="61"/>
      </c>
      <c r="BN25" s="10">
        <f t="shared" ref="BN25:CK25" si="62">BN12*BN41/10^3</f>
      </c>
      <c r="BO25" s="10">
        <f t="shared" si="62"/>
      </c>
      <c r="BP25" s="10">
        <f t="shared" si="62"/>
      </c>
      <c r="BQ25" s="55">
        <f t="shared" si="62"/>
      </c>
      <c r="BR25" s="10">
        <f t="shared" si="62"/>
      </c>
      <c r="BS25" s="10">
        <f t="shared" si="62"/>
      </c>
      <c r="BT25" s="10">
        <f t="shared" si="62"/>
      </c>
      <c r="BU25" s="55">
        <f t="shared" si="62"/>
      </c>
      <c r="BV25" s="10">
        <f t="shared" si="62"/>
      </c>
      <c r="BW25" s="10">
        <f t="shared" si="62"/>
      </c>
      <c r="BX25" s="10">
        <f t="shared" si="62"/>
      </c>
      <c r="BY25" s="55">
        <f t="shared" si="62"/>
      </c>
      <c r="BZ25" s="10">
        <f t="shared" si="62"/>
      </c>
      <c r="CA25" s="10">
        <f t="shared" si="62"/>
      </c>
      <c r="CB25" s="10">
        <f t="shared" si="62"/>
      </c>
      <c r="CC25" s="10">
        <f t="shared" si="62"/>
      </c>
      <c r="CD25" s="1484">
        <f t="shared" si="62"/>
      </c>
      <c r="CE25" s="10">
        <f t="shared" si="62"/>
      </c>
      <c r="CF25" s="10">
        <f t="shared" si="62"/>
      </c>
      <c r="CG25" s="55">
        <f t="shared" si="62"/>
      </c>
      <c r="CH25" s="10">
        <f t="shared" si="62"/>
      </c>
      <c r="CI25" s="10">
        <f t="shared" si="62"/>
      </c>
      <c r="CJ25" s="10">
        <f t="shared" si="62"/>
      </c>
      <c r="CK25" s="55">
        <f t="shared" si="62"/>
      </c>
      <c r="CL25" s="10">
        <f t="shared" ref="CL25:CM25" si="63">CL12*CL41/10^3</f>
      </c>
      <c r="CM25" s="10">
        <f t="shared" si="63"/>
      </c>
      <c r="CN25" s="10">
        <f t="shared" ref="CN25:CQ25" si="64">CN12*CN41/10^3</f>
      </c>
      <c r="CO25" s="55">
        <f t="shared" si="64"/>
      </c>
      <c r="CP25" s="10">
        <f t="shared" si="64"/>
      </c>
      <c r="CQ25" s="10">
        <f t="shared" si="64"/>
      </c>
      <c r="CR25" s="10"/>
      <c r="CS25" s="53"/>
      <c r="CT25" s="10"/>
      <c r="CU25" s="10"/>
      <c r="CV25" s="10"/>
      <c r="CW25" s="53"/>
      <c r="CX25" s="10"/>
      <c r="CY25" s="10"/>
      <c r="CZ25" s="10"/>
      <c r="DA25" s="53"/>
      <c r="DB25" s="10"/>
      <c r="DC25" s="10"/>
      <c r="DD25" s="10"/>
      <c r="DE25" s="53"/>
      <c r="DF25" s="10"/>
      <c r="DG25" s="10"/>
      <c r="DH25" s="10"/>
      <c r="DI25" s="53"/>
      <c r="DJ25" s="10"/>
      <c r="DK25" s="10"/>
      <c r="DL25" s="10"/>
      <c r="DM25" s="53"/>
      <c r="DN25" s="10"/>
      <c r="DO25" s="10"/>
      <c r="DP25" s="10"/>
      <c r="DQ25" s="53"/>
      <c r="DS25" s="21"/>
      <c r="DT25" s="21"/>
      <c r="DU25" s="21"/>
      <c r="DV25" s="21"/>
      <c r="DW25" s="21"/>
      <c r="DX25" s="21"/>
      <c r="DY25" s="21"/>
      <c r="DZ25" s="21"/>
      <c r="EA25" s="21"/>
      <c r="EB25" s="21"/>
      <c r="EC25" s="21"/>
      <c r="ED25" s="15">
        <f>SUM(AT25:AW25)</f>
      </c>
      <c r="EE25" s="15">
        <f>SUM(AX25:BA25)</f>
      </c>
      <c r="EF25" s="15">
        <f>SUM(BB25:BE25)</f>
      </c>
      <c r="EG25" s="15">
        <f>SUM(BF25:BI25)</f>
      </c>
      <c r="EH25" s="15">
        <f>SUM(BJ25:BM25)</f>
      </c>
      <c r="EI25" s="15">
        <f>SUM(BN25:BQ25)</f>
      </c>
      <c r="EJ25" s="15">
        <f>SUM(BR25:BU25)</f>
      </c>
      <c r="EK25" s="15">
        <f>SUM(BS25:BV25)</f>
      </c>
      <c r="EL25" s="15">
        <f>SUM(CA25:CD25)</f>
      </c>
      <c r="EM25" s="15">
        <f>SUM(CE25:CH25)</f>
      </c>
      <c r="EN25" s="15">
        <f t="shared" si="56"/>
      </c>
      <c r="EO25" s="15">
        <f t="shared" si="56"/>
      </c>
      <c r="EP25" s="15">
        <f t="shared" si="56"/>
      </c>
      <c r="EQ25" s="15">
        <f t="shared" si="56"/>
      </c>
      <c r="ER25" s="15">
        <f t="shared" si="56"/>
      </c>
      <c r="ES25" s="15">
        <f t="shared" si="56"/>
      </c>
      <c r="ET25" s="15">
        <f t="shared" si="56"/>
      </c>
      <c r="EU25" s="15">
        <f t="shared" si="56"/>
      </c>
      <c r="EV25" s="15">
        <f t="shared" si="56"/>
      </c>
      <c r="EW25" s="15"/>
      <c r="EX25" s="21"/>
      <c r="EY25" s="15">
        <f t="shared" ref="EY25:FB26" si="65">SUM(BO25:BR25)</f>
      </c>
      <c r="EZ25" s="15">
        <f t="shared" si="65"/>
      </c>
      <c r="FA25" s="15">
        <f t="shared" si="65"/>
      </c>
      <c r="FB25" s="15">
        <f t="shared" si="65"/>
      </c>
      <c r="FC25" s="15">
        <f>SUM(BS25:BV25)</f>
      </c>
      <c r="FD25" s="15">
        <f>SUM(BW25:BZ25)</f>
      </c>
      <c r="FE25" s="15">
        <f>SUM(CA25:CD25)</f>
      </c>
      <c r="FF25" s="15">
        <f>SUM(CE25:CH25)</f>
      </c>
    </row>
    <row r="26" spans="1:166" ht="12" customHeight="1">
      <c r="A26" s="1522" t="s">
        <v>1034</v>
      </c>
      <c r="B26" s="81"/>
      <c r="C26" s="81"/>
      <c r="D26" s="81"/>
      <c r="E26" s="81"/>
      <c r="F26" s="1485"/>
      <c r="G26" s="81"/>
      <c r="H26" s="81"/>
      <c r="I26" s="336"/>
      <c r="J26" s="81"/>
      <c r="K26" s="81"/>
      <c r="L26" s="81"/>
      <c r="M26" s="81"/>
      <c r="N26" s="1485"/>
      <c r="O26" s="81"/>
      <c r="P26" s="81"/>
      <c r="Q26" s="336"/>
      <c r="R26" s="81"/>
      <c r="S26" s="81"/>
      <c r="T26" s="81"/>
      <c r="U26" s="81"/>
      <c r="V26" s="1485"/>
      <c r="W26" s="81"/>
      <c r="X26" s="81"/>
      <c r="Y26" s="336"/>
      <c r="Z26" s="81"/>
      <c r="AA26" s="81"/>
      <c r="AB26" s="81"/>
      <c r="AC26" s="81"/>
      <c r="AD26" s="1485"/>
      <c r="AE26" s="81"/>
      <c r="AF26" s="81"/>
      <c r="AG26" s="336"/>
      <c r="AH26" s="81"/>
      <c r="AI26" s="81"/>
      <c r="AJ26" s="81"/>
      <c r="AK26" s="336"/>
      <c r="AL26" s="377">
        <f t="shared" ref="AL26:BQ26" si="66">AL25*(1/AL41-1/AH41)*10^3</f>
      </c>
      <c r="AM26" s="377">
        <f t="shared" si="66"/>
      </c>
      <c r="AN26" s="377">
        <f t="shared" si="66"/>
      </c>
      <c r="AO26" s="337">
        <f t="shared" si="66"/>
      </c>
      <c r="AP26" s="377">
        <f t="shared" si="66"/>
      </c>
      <c r="AQ26" s="377">
        <f t="shared" si="66"/>
      </c>
      <c r="AR26" s="377">
        <f t="shared" si="66"/>
      </c>
      <c r="AS26" s="337">
        <f t="shared" si="66"/>
      </c>
      <c r="AT26" s="377">
        <f t="shared" si="66"/>
      </c>
      <c r="AU26" s="377">
        <f t="shared" si="66"/>
      </c>
      <c r="AV26" s="377">
        <f t="shared" si="66"/>
      </c>
      <c r="AW26" s="337">
        <f t="shared" si="66"/>
      </c>
      <c r="AX26" s="377">
        <f t="shared" si="66"/>
      </c>
      <c r="AY26" s="377">
        <f t="shared" si="66"/>
      </c>
      <c r="AZ26" s="377">
        <f t="shared" si="66"/>
      </c>
      <c r="BA26" s="337">
        <f t="shared" si="66"/>
      </c>
      <c r="BB26" s="377">
        <f t="shared" si="66"/>
      </c>
      <c r="BC26" s="377">
        <f t="shared" si="66"/>
      </c>
      <c r="BD26" s="377">
        <f t="shared" si="66"/>
      </c>
      <c r="BE26" s="337">
        <f t="shared" si="66"/>
      </c>
      <c r="BF26" s="377">
        <f t="shared" si="66"/>
      </c>
      <c r="BG26" s="377">
        <f t="shared" si="66"/>
      </c>
      <c r="BH26" s="377">
        <f t="shared" si="66"/>
      </c>
      <c r="BI26" s="337">
        <f t="shared" si="66"/>
      </c>
      <c r="BJ26" s="377">
        <f t="shared" si="66"/>
      </c>
      <c r="BK26" s="377">
        <f t="shared" si="66"/>
      </c>
      <c r="BL26" s="377">
        <f t="shared" si="66"/>
      </c>
      <c r="BM26" s="337">
        <f t="shared" si="66"/>
      </c>
      <c r="BN26" s="377">
        <f t="shared" si="66"/>
      </c>
      <c r="BO26" s="377">
        <f t="shared" si="66"/>
      </c>
      <c r="BP26" s="377">
        <f t="shared" si="66"/>
      </c>
      <c r="BQ26" s="337">
        <f t="shared" si="66"/>
      </c>
      <c r="BR26" s="377">
        <f t="shared" ref="BR26:CO26" si="67">BR25*(1/BR41-1/BN41)*10^3</f>
      </c>
      <c r="BS26" s="377">
        <f t="shared" si="67"/>
      </c>
      <c r="BT26" s="377">
        <f t="shared" si="67"/>
      </c>
      <c r="BU26" s="337">
        <f t="shared" si="67"/>
      </c>
      <c r="BV26" s="377">
        <f t="shared" si="67"/>
      </c>
      <c r="BW26" s="377">
        <f t="shared" si="67"/>
      </c>
      <c r="BX26" s="377">
        <f t="shared" si="67"/>
      </c>
      <c r="BY26" s="337">
        <f t="shared" si="67"/>
      </c>
      <c r="BZ26" s="377">
        <f t="shared" si="67"/>
      </c>
      <c r="CA26" s="377">
        <f t="shared" si="67"/>
      </c>
      <c r="CB26" s="377">
        <f t="shared" si="67"/>
      </c>
      <c r="CC26" s="377">
        <f t="shared" si="67"/>
      </c>
      <c r="CD26" s="1515">
        <f t="shared" si="67"/>
      </c>
      <c r="CE26" s="377">
        <f t="shared" si="67"/>
      </c>
      <c r="CF26" s="377">
        <f t="shared" si="67"/>
      </c>
      <c r="CG26" s="337">
        <f t="shared" si="67"/>
      </c>
      <c r="CH26" s="377">
        <f t="shared" si="67"/>
      </c>
      <c r="CI26" s="377">
        <f t="shared" si="67"/>
      </c>
      <c r="CJ26" s="377">
        <f t="shared" si="67"/>
      </c>
      <c r="CK26" s="337">
        <f t="shared" si="67"/>
      </c>
      <c r="CL26" s="377">
        <f t="shared" si="67"/>
      </c>
      <c r="CM26" s="377">
        <f t="shared" si="67"/>
      </c>
      <c r="CN26" s="377">
        <f t="shared" si="67"/>
      </c>
      <c r="CO26" s="337">
        <f t="shared" si="67"/>
      </c>
      <c r="CP26" s="377">
        <f t="shared" ref="CP26" si="68">CP25*(1/CP41-1/CL41)*10^3</f>
      </c>
      <c r="CQ26" s="377">
        <f t="shared" ref="CQ26" si="69">CQ25*(1/CQ41-1/CM41)*10^3</f>
      </c>
      <c r="CR26" s="377"/>
      <c r="CS26" s="1505"/>
      <c r="CT26" s="377"/>
      <c r="CU26" s="377"/>
      <c r="CV26" s="377"/>
      <c r="CW26" s="1505"/>
      <c r="CX26" s="377"/>
      <c r="CY26" s="377"/>
      <c r="CZ26" s="377"/>
      <c r="DA26" s="1505"/>
      <c r="DB26" s="377"/>
      <c r="DC26" s="377"/>
      <c r="DD26" s="377"/>
      <c r="DE26" s="1505"/>
      <c r="DF26" s="377"/>
      <c r="DG26" s="377"/>
      <c r="DH26" s="377"/>
      <c r="DI26" s="1505"/>
      <c r="DJ26" s="377"/>
      <c r="DK26" s="377"/>
      <c r="DL26" s="377"/>
      <c r="DM26" s="1505"/>
      <c r="DN26" s="377"/>
      <c r="DO26" s="377"/>
      <c r="DP26" s="377"/>
      <c r="DQ26" s="1505"/>
      <c r="DR26" s="82"/>
      <c r="DS26" s="81"/>
      <c r="DT26" s="81"/>
      <c r="DU26" s="81"/>
      <c r="DV26" s="81"/>
      <c r="DW26" s="81"/>
      <c r="DX26" s="81"/>
      <c r="DY26" s="81"/>
      <c r="DZ26" s="81"/>
      <c r="EA26" s="81"/>
      <c r="EB26" s="81"/>
      <c r="EC26" s="81"/>
      <c r="ED26" s="128"/>
      <c r="EE26" s="377">
        <f t="shared" ref="EE26:EK26" si="70">EE25*(1/EE41-1/ED41)*10^3</f>
      </c>
      <c r="EF26" s="377">
        <f t="shared" si="70"/>
      </c>
      <c r="EG26" s="377">
        <f t="shared" si="70"/>
      </c>
      <c r="EH26" s="377">
        <f t="shared" si="70"/>
      </c>
      <c r="EI26" s="377">
        <f t="shared" si="70"/>
      </c>
      <c r="EJ26" s="377">
        <f t="shared" si="70"/>
      </c>
      <c r="EK26" s="377">
        <f t="shared" si="70"/>
      </c>
      <c r="EL26" s="15">
        <f>SUM(CA26:CD26)</f>
      </c>
      <c r="EM26" s="15">
        <f>SUM(CE26:CH26)</f>
      </c>
      <c r="EN26" s="15">
        <f t="shared" si="56"/>
      </c>
      <c r="EO26" s="15">
        <f t="shared" si="56"/>
      </c>
      <c r="EP26" s="15">
        <f t="shared" si="56"/>
      </c>
      <c r="EQ26" s="15">
        <f t="shared" si="56"/>
      </c>
      <c r="ER26" s="15">
        <f t="shared" si="56"/>
      </c>
      <c r="ES26" s="15">
        <f t="shared" si="56"/>
      </c>
      <c r="ET26" s="15">
        <f t="shared" si="56"/>
      </c>
      <c r="EU26" s="15">
        <f t="shared" si="56"/>
      </c>
      <c r="EV26" s="15">
        <f t="shared" si="56"/>
      </c>
      <c r="EW26" s="15"/>
      <c r="EX26" s="21"/>
      <c r="EY26" s="15">
        <f t="shared" si="65"/>
      </c>
      <c r="EZ26" s="15">
        <f t="shared" si="65"/>
      </c>
      <c r="FA26" s="15">
        <f t="shared" si="65"/>
      </c>
      <c r="FB26" s="15">
        <f t="shared" si="65"/>
      </c>
      <c r="FC26" s="15">
        <f>SUM(BS26:BV26)</f>
      </c>
      <c r="FD26" s="15">
        <f>SUM(BW26:BZ26)</f>
      </c>
      <c r="FE26" s="15">
        <f>SUM(CA26:CD26)</f>
      </c>
      <c r="FF26" s="15">
        <f>SUM(CE26:CH26)</f>
      </c>
    </row>
    <row r="27" spans="1:166" ht="12" customHeight="1">
      <c r="A27" s="1525"/>
      <c r="F27" s="506"/>
      <c r="I27" s="53"/>
      <c r="N27" s="506"/>
      <c r="Q27" s="53"/>
      <c r="V27" s="506"/>
      <c r="Y27" s="53"/>
      <c r="AD27" s="506"/>
      <c r="AG27" s="53"/>
      <c r="AK27" s="53"/>
      <c r="AO27" s="53"/>
      <c r="AS27" s="53"/>
      <c r="AW27" s="53"/>
      <c r="BA27" s="53"/>
      <c r="BE27" s="53"/>
      <c r="BI27" s="53"/>
      <c r="BM27" s="53"/>
      <c r="BQ27" s="53"/>
      <c r="BU27" s="53"/>
      <c r="BY27" s="53"/>
      <c r="CC27" s="53"/>
      <c r="CG27" s="53"/>
      <c r="CK27" s="53"/>
      <c r="CO27" s="53"/>
      <c r="CS27" s="53"/>
      <c r="CW27" s="53"/>
      <c r="DA27" s="53"/>
      <c r="DE27" s="53"/>
      <c r="DI27" s="53"/>
      <c r="DM27" s="53"/>
      <c r="DQ27" s="53"/>
      <c r="ED27" s="15"/>
      <c r="EJ27" s="283"/>
    </row>
    <row r="28" spans="1:166" ht="12" customHeight="1">
      <c r="A28" s="1526" t="s">
        <v>666</v>
      </c>
      <c r="B28" s="1476"/>
      <c r="C28" s="1476"/>
      <c r="D28" s="1476"/>
      <c r="E28" s="1476"/>
      <c r="F28" s="1488"/>
      <c r="G28" s="1476"/>
      <c r="H28" s="1476"/>
      <c r="I28" s="1477"/>
      <c r="J28" s="1476"/>
      <c r="K28" s="1476"/>
      <c r="L28" s="1476"/>
      <c r="M28" s="1476"/>
      <c r="N28" s="1488"/>
      <c r="O28" s="1476"/>
      <c r="P28" s="1476"/>
      <c r="Q28" s="1477"/>
      <c r="R28" s="1476"/>
      <c r="S28" s="1476"/>
      <c r="T28" s="1476"/>
      <c r="U28" s="1476"/>
      <c r="V28" s="1488"/>
      <c r="W28" s="1476"/>
      <c r="X28" s="1476"/>
      <c r="Y28" s="1477"/>
      <c r="Z28" s="1476"/>
      <c r="AA28" s="1476"/>
      <c r="AB28" s="1476"/>
      <c r="AC28" s="1476"/>
      <c r="AD28" s="1488"/>
      <c r="AE28" s="1476"/>
      <c r="AF28" s="1476"/>
      <c r="AG28" s="1477"/>
      <c r="AH28" s="1476"/>
      <c r="AI28" s="1476"/>
      <c r="AJ28" s="1476"/>
      <c r="AK28" s="1477"/>
      <c r="AL28" s="1476"/>
      <c r="AM28" s="1476"/>
      <c r="AN28" s="1476"/>
      <c r="AO28" s="1477"/>
      <c r="AP28" s="1476"/>
      <c r="AQ28" s="1476"/>
      <c r="AR28" s="1476"/>
      <c r="AS28" s="1477"/>
      <c r="AT28" s="1476"/>
      <c r="AU28" s="1476"/>
      <c r="AV28" s="1476"/>
      <c r="AW28" s="1477"/>
      <c r="AX28" s="1476"/>
      <c r="AY28" s="1476"/>
      <c r="AZ28" s="1476"/>
      <c r="BA28" s="1477"/>
      <c r="BB28" s="1476"/>
      <c r="BC28" s="1476"/>
      <c r="BD28" s="1476"/>
      <c r="BE28" s="1477"/>
      <c r="BF28" s="1476"/>
      <c r="BG28" s="1476"/>
      <c r="BH28" s="1476"/>
      <c r="BI28" s="1477"/>
      <c r="BJ28" s="1476"/>
      <c r="BK28" s="1476"/>
      <c r="BL28" s="1476"/>
      <c r="BM28" s="1477"/>
      <c r="BN28" s="1476"/>
      <c r="BO28" s="1476"/>
      <c r="BP28" s="1476"/>
      <c r="BQ28" s="1477"/>
      <c r="BR28" s="1476"/>
      <c r="BS28" s="1476"/>
      <c r="BT28" s="1476"/>
      <c r="BU28" s="1477"/>
      <c r="BV28" s="1476"/>
      <c r="BW28" s="1476"/>
      <c r="BX28" s="1476"/>
      <c r="BY28" s="1477"/>
      <c r="BZ28" s="1476"/>
      <c r="CA28" s="1476"/>
      <c r="CB28" s="1476"/>
      <c r="CC28" s="1477"/>
      <c r="CD28" s="1476"/>
      <c r="CE28" s="1476"/>
      <c r="CF28" s="1476"/>
      <c r="CG28" s="1477"/>
      <c r="CH28" s="1476"/>
      <c r="CI28" s="1476"/>
      <c r="CJ28" s="1476"/>
      <c r="CK28" s="1477"/>
      <c r="CL28" s="1476"/>
      <c r="CM28" s="1476"/>
      <c r="CN28" s="1476"/>
      <c r="CO28" s="1477"/>
      <c r="CP28" s="1476"/>
      <c r="CQ28" s="1476"/>
      <c r="CR28" s="1476"/>
      <c r="CS28" s="1477"/>
      <c r="CT28" s="1476"/>
      <c r="CU28" s="1476"/>
      <c r="CV28" s="1476"/>
      <c r="CW28" s="1477"/>
      <c r="CX28" s="1476"/>
      <c r="CY28" s="1476"/>
      <c r="CZ28" s="1476"/>
      <c r="DA28" s="1477"/>
      <c r="DB28" s="1476"/>
      <c r="DC28" s="1476"/>
      <c r="DD28" s="1476"/>
      <c r="DE28" s="1477"/>
      <c r="DF28" s="1476"/>
      <c r="DG28" s="1476"/>
      <c r="DH28" s="1476"/>
      <c r="DI28" s="1477"/>
      <c r="DJ28" s="1476"/>
      <c r="DK28" s="1476"/>
      <c r="DL28" s="1476"/>
      <c r="DM28" s="1477"/>
      <c r="DN28" s="1476"/>
      <c r="DO28" s="1476"/>
      <c r="DP28" s="1476"/>
      <c r="DQ28" s="1477"/>
      <c r="DR28" s="1476"/>
      <c r="DS28" s="1476"/>
      <c r="DT28" s="1476"/>
      <c r="DU28" s="1476"/>
      <c r="DV28" s="1476"/>
      <c r="DW28" s="1476"/>
      <c r="DX28" s="1476"/>
      <c r="DY28" s="1476"/>
      <c r="DZ28" s="1476"/>
      <c r="EA28" s="1476"/>
      <c r="EB28" s="1476"/>
      <c r="EC28" s="1476"/>
      <c r="ED28" s="1476"/>
      <c r="EE28" s="1476"/>
      <c r="EF28" s="1476"/>
      <c r="EG28" s="1476"/>
      <c r="EH28" s="1476"/>
      <c r="EI28" s="1478"/>
      <c r="EJ28" s="1478"/>
      <c r="EK28" s="1478"/>
      <c r="EL28" s="1478"/>
      <c r="EM28" s="1478"/>
      <c r="EN28" s="1478"/>
      <c r="EO28" s="1478"/>
      <c r="EP28" s="1478"/>
      <c r="EQ28" s="1478"/>
      <c r="ER28" s="1478"/>
      <c r="ES28" s="1478"/>
      <c r="ET28" s="1478"/>
      <c r="EU28" s="1478"/>
      <c r="EV28" s="1478"/>
      <c r="EW28" s="1478"/>
      <c r="EX28" s="1476"/>
      <c r="EY28" s="1476"/>
      <c r="EZ28" s="1476"/>
      <c r="FA28" s="1476"/>
      <c r="FB28" s="1476"/>
      <c r="FC28" s="1476"/>
      <c r="FD28" s="1476"/>
      <c r="FE28" s="1476"/>
      <c r="FF28" s="1476"/>
      <c r="FG28" s="1476"/>
      <c r="FH28" s="1476"/>
      <c r="FI28" s="1476"/>
      <c r="FJ28" s="1476"/>
    </row>
    <row r="29" spans="1:166" s="673" customFormat="1" ht="12" customHeight="1">
      <c r="A29" s="2325" t="s">
        <v>168</v>
      </c>
      <c r="B29" s="2315">
        <v>-93</v>
      </c>
      <c r="C29" s="2315">
        <v>71</v>
      </c>
      <c r="D29" s="2315">
        <v>82</v>
      </c>
      <c r="E29" s="2315">
        <v>73</v>
      </c>
      <c r="F29" s="2316">
        <v>41</v>
      </c>
      <c r="G29" s="2315">
        <v>68</v>
      </c>
      <c r="H29" s="2315">
        <v>76</v>
      </c>
      <c r="I29" s="2317">
        <v>93</v>
      </c>
      <c r="J29" s="2315">
        <v>41</v>
      </c>
      <c r="K29" s="2315">
        <v>49</v>
      </c>
      <c r="L29" s="2315">
        <v>98</v>
      </c>
      <c r="M29" s="2315">
        <v>135</v>
      </c>
      <c r="N29" s="2316">
        <v>114</v>
      </c>
      <c r="O29" s="2315">
        <v>91</v>
      </c>
      <c r="P29" s="2315">
        <v>121</v>
      </c>
      <c r="Q29" s="2317">
        <v>139</v>
      </c>
      <c r="R29" s="2315">
        <v>202</v>
      </c>
      <c r="S29" s="2315">
        <v>185</v>
      </c>
      <c r="T29" s="2315">
        <v>198</v>
      </c>
      <c r="U29" s="2315">
        <v>213</v>
      </c>
      <c r="V29" s="2316">
        <v>436</v>
      </c>
      <c r="W29" s="2315">
        <v>390</v>
      </c>
      <c r="X29" s="2315">
        <v>486</v>
      </c>
      <c r="Y29" s="2317">
        <v>402</v>
      </c>
      <c r="Z29" s="2315">
        <v>928</v>
      </c>
      <c r="AA29" s="2315">
        <v>635</v>
      </c>
      <c r="AB29" s="2315">
        <v>711</v>
      </c>
      <c r="AC29" s="2315">
        <v>675</v>
      </c>
      <c r="AD29" s="2316">
        <v>1173</v>
      </c>
      <c r="AE29" s="2315">
        <v>918</v>
      </c>
      <c r="AF29" s="2315">
        <v>962</v>
      </c>
      <c r="AG29" s="2317">
        <v>998</v>
      </c>
      <c r="AH29" s="2315">
        <v>1766</v>
      </c>
      <c r="AI29" s="2315">
        <v>1407</v>
      </c>
      <c r="AJ29" s="2315">
        <v>1610</v>
      </c>
      <c r="AK29" s="2317">
        <v>1775</v>
      </c>
      <c r="AL29" s="2315">
        <v>1811</v>
      </c>
      <c r="AM29" s="2315">
        <v>1674</v>
      </c>
      <c r="AN29" s="2315">
        <v>1997</v>
      </c>
      <c r="AO29" s="2317">
        <v>2108</v>
      </c>
      <c r="AP29" s="2315">
        <v>2899</v>
      </c>
      <c r="AQ29" s="2315">
        <v>3755</v>
      </c>
      <c r="AR29" s="2315">
        <v>3596</v>
      </c>
      <c r="AS29" s="2317">
        <v>3288</v>
      </c>
      <c r="AT29" s="2315">
        <v>8390</v>
      </c>
      <c r="AU29" s="2315">
        <v>6451</v>
      </c>
      <c r="AV29" s="2315">
        <v>5643</v>
      </c>
      <c r="AW29" s="2317">
        <v>5760</v>
      </c>
      <c r="AX29" s="2315">
        <v>8205</v>
      </c>
      <c r="AY29" s="2315">
        <v>5725</v>
      </c>
      <c r="AZ29" s="2315">
        <v>5425</v>
      </c>
      <c r="BA29" s="2317">
        <v>5474</v>
      </c>
      <c r="BB29" s="2315">
        <v>8069</v>
      </c>
      <c r="BC29" s="2315">
        <v>6029</v>
      </c>
      <c r="BD29" s="2315">
        <v>5932</v>
      </c>
      <c r="BE29" s="2317">
        <v>6128</v>
      </c>
      <c r="BF29" s="2315">
        <v>10701</v>
      </c>
      <c r="BG29" s="2315">
        <v>7186</v>
      </c>
      <c r="BH29" s="2315">
        <v>6177</v>
      </c>
      <c r="BI29" s="2317">
        <f>31186-SUM(BF29:BH29)</f>
      </c>
      <c r="BJ29" s="2315">
        <v>10018</v>
      </c>
      <c r="BK29" s="2315">
        <v>6116</v>
      </c>
      <c r="BL29" s="2315">
        <v>5453</v>
      </c>
      <c r="BM29" s="2317">
        <f>28172-SUM(BJ29:BL29)</f>
      </c>
      <c r="BN29" s="2315">
        <v>10494</v>
      </c>
      <c r="BO29" s="2315">
        <v>6668</v>
      </c>
      <c r="BP29" s="2315">
        <v>6420</v>
      </c>
      <c r="BQ29" s="2317">
        <f>30684-SUM(BN29:BP29)</f>
      </c>
      <c r="BR29" s="2315">
        <v>11316</v>
      </c>
      <c r="BS29" s="2315">
        <v>7768</v>
      </c>
      <c r="BT29" s="2315">
        <v>7496</v>
      </c>
      <c r="BU29" s="2317">
        <f>34864-SUM(BR29:BT29)</f>
      </c>
      <c r="BV29" s="2315">
        <v>11200</v>
      </c>
      <c r="BW29" s="2315">
        <v>7687</v>
      </c>
      <c r="BX29" s="2315">
        <v>7442</v>
      </c>
      <c r="BY29" s="2317">
        <f>EK29-SUM(BV29:BX29)</f>
      </c>
      <c r="BZ29" s="2315">
        <v>13092</v>
      </c>
      <c r="CA29" s="2315">
        <v>7261</v>
      </c>
      <c r="CB29" s="2315">
        <v>7797</v>
      </c>
      <c r="CC29" s="2317">
        <f>EL29-SUM(BZ29:CB29)</f>
      </c>
      <c r="CD29" s="2315">
        <v>15785</v>
      </c>
      <c r="CE29" s="2315">
        <v>12050</v>
      </c>
      <c r="CF29" s="2315">
        <v>12916</v>
      </c>
      <c r="CG29" s="2326">
        <f>EM29-SUM(CD29:CF29)</f>
      </c>
      <c r="CH29" s="2315">
        <v>19585</v>
      </c>
      <c r="CI29" s="2315">
        <v>15279</v>
      </c>
      <c r="CJ29" s="2315">
        <v>13914</v>
      </c>
      <c r="CK29" s="2326">
        <f>EN29-SUM(CH29:CJ29)</f>
      </c>
      <c r="CL29" s="2315">
        <v>17864</v>
      </c>
      <c r="CM29" s="2315">
        <v>13927</v>
      </c>
      <c r="CN29" s="2315">
        <v>13117</v>
      </c>
      <c r="CO29" s="2326">
        <f>EO29-SUM(CL29:CN29)</f>
      </c>
      <c r="CP29" s="2315">
        <v>20357</v>
      </c>
      <c r="CQ29" s="2315">
        <v>15074</v>
      </c>
      <c r="CR29" s="2315">
        <v>15209</v>
      </c>
      <c r="CS29" s="2326">
        <f>EP29-SUM(CP29:CR29)</f>
      </c>
      <c r="CT29" s="2315">
        <v>21509</v>
      </c>
      <c r="CU29" s="2315">
        <v>16774</v>
      </c>
      <c r="CV29" s="1250">
        <f t="shared" ref="CV29:DQ29" si="71">CV9*CV87</f>
      </c>
      <c r="CW29" s="2326">
        <f t="shared" si="71"/>
      </c>
      <c r="CX29" s="1250">
        <f t="shared" si="71"/>
      </c>
      <c r="CY29" s="1250">
        <f t="shared" si="71"/>
      </c>
      <c r="CZ29" s="1250">
        <f t="shared" si="71"/>
      </c>
      <c r="DA29" s="2326">
        <f t="shared" si="71"/>
      </c>
      <c r="DB29" s="1250">
        <f t="shared" si="71"/>
      </c>
      <c r="DC29" s="1250">
        <f t="shared" si="71"/>
      </c>
      <c r="DD29" s="1250">
        <f t="shared" si="71"/>
      </c>
      <c r="DE29" s="2326">
        <f t="shared" si="71"/>
      </c>
      <c r="DF29" s="1250">
        <f t="shared" si="71"/>
      </c>
      <c r="DG29" s="1250">
        <f t="shared" si="71"/>
      </c>
      <c r="DH29" s="1250">
        <f t="shared" si="71"/>
      </c>
      <c r="DI29" s="2326">
        <f t="shared" si="71"/>
      </c>
      <c r="DJ29" s="1250">
        <f t="shared" si="71"/>
      </c>
      <c r="DK29" s="1250">
        <f t="shared" si="71"/>
      </c>
      <c r="DL29" s="1250">
        <f t="shared" si="71"/>
      </c>
      <c r="DM29" s="2326">
        <f t="shared" si="71"/>
      </c>
      <c r="DN29" s="1250">
        <f t="shared" si="71"/>
      </c>
      <c r="DO29" s="1250">
        <f t="shared" si="71"/>
      </c>
      <c r="DP29" s="1250">
        <f t="shared" si="71"/>
      </c>
      <c r="DQ29" s="2326">
        <f t="shared" si="71"/>
      </c>
      <c r="DR29" s="2320"/>
      <c r="DS29" s="2320">
        <f>SUM(B29:E29)</f>
      </c>
      <c r="DT29" s="2320">
        <f>SUM(F29:I29)</f>
      </c>
      <c r="DU29" s="2320">
        <f>SUM(J29:M29)</f>
      </c>
      <c r="DV29" s="2320">
        <f>SUM(N29:Q29)</f>
      </c>
      <c r="DW29" s="2320">
        <f>SUM(R29:U29)</f>
      </c>
      <c r="DX29" s="2320">
        <f>SUM(V29:Y29)</f>
      </c>
      <c r="DY29" s="2320">
        <f>SUM(Z29:AC29)</f>
      </c>
      <c r="DZ29" s="2320">
        <f>SUM(AD29:AG29)</f>
      </c>
      <c r="EA29" s="2320">
        <f>SUM(AH29:AK29)</f>
      </c>
      <c r="EB29" s="2320">
        <f>SUM(AL29:AO29)</f>
      </c>
      <c r="EC29" s="2320">
        <f>SUM(AP29:AS29)</f>
      </c>
      <c r="ED29" s="2320">
        <f>SUM(AT29:AW29)</f>
      </c>
      <c r="EE29" s="2320">
        <f>SUM(AX29:BA29)</f>
      </c>
      <c r="EF29" s="2320">
        <f>SUM(BB29:BE29)</f>
      </c>
      <c r="EG29" s="2320">
        <f>SUM(BF29:BI29)</f>
      </c>
      <c r="EH29" s="2320">
        <f>SUM(BJ29:BM29)</f>
      </c>
      <c r="EI29" s="2320">
        <f>SUM(BN29:BQ29)</f>
      </c>
      <c r="EJ29" s="2320">
        <f>SUM(BR29:BU29)</f>
      </c>
      <c r="EK29" s="2315">
        <v>35099</v>
      </c>
      <c r="EL29" s="2315">
        <v>37722</v>
      </c>
      <c r="EM29" s="2315">
        <v>53382</v>
      </c>
      <c r="EN29" s="2315">
        <v>62683</v>
      </c>
      <c r="EO29" s="2315">
        <v>60508</v>
      </c>
      <c r="EP29" s="2315">
        <v>67656</v>
      </c>
      <c r="EQ29" s="1250">
        <f>SUM(CT29:CW29)</f>
      </c>
      <c r="ER29" s="1250">
        <f>SUM(CX29:DA29)</f>
      </c>
      <c r="ES29" s="1250">
        <f>SUM(DB29:DE29)</f>
      </c>
      <c r="ET29" s="1250">
        <f>SUM(DF29:DI29)</f>
      </c>
      <c r="EU29" s="1250">
        <f>SUM(DJ29:DM29)</f>
      </c>
      <c r="EV29" s="1250">
        <f>SUM(DN29:DQ29)</f>
      </c>
      <c r="EW29" s="2315"/>
      <c r="EX29" s="2320"/>
      <c r="EY29" s="2320">
        <f>SUM(BC29:BF29)</f>
      </c>
      <c r="EZ29" s="2320">
        <f>SUM(BG29:BJ29)</f>
      </c>
      <c r="FA29" s="2320">
        <f>SUM(BK29:BN29)</f>
      </c>
      <c r="FB29" s="2320">
        <f>SUM(BO29:BR29)</f>
      </c>
      <c r="FC29" s="2320">
        <f>SUM(BS29:BV29)</f>
      </c>
      <c r="FD29" s="2320">
        <f>SUM(BW29:BZ29)</f>
      </c>
      <c r="FE29" s="2320">
        <f>SUM(CA29:CD29)</f>
      </c>
      <c r="FF29" s="2320">
        <f>SUM(CE29:CH29)</f>
      </c>
      <c r="FG29" s="2320"/>
      <c r="FH29" s="2320"/>
      <c r="FI29" s="2320"/>
      <c r="FJ29" s="2320"/>
    </row>
    <row r="30" spans="1:166" s="673" customFormat="1" ht="12" customHeight="1">
      <c r="A30" s="2327" t="s">
        <v>663</v>
      </c>
      <c r="B30" s="674">
        <v>-10</v>
      </c>
      <c r="C30" s="674">
        <v>33</v>
      </c>
      <c r="D30" s="674">
        <v>23</v>
      </c>
      <c r="E30" s="674">
        <v>22</v>
      </c>
      <c r="F30" s="2322">
        <v>43</v>
      </c>
      <c r="G30" s="674">
        <v>48</v>
      </c>
      <c r="H30" s="674">
        <v>23</v>
      </c>
      <c r="I30" s="2323">
        <v>8</v>
      </c>
      <c r="J30" s="674">
        <v>26</v>
      </c>
      <c r="K30" s="674">
        <v>43</v>
      </c>
      <c r="L30" s="674">
        <v>39</v>
      </c>
      <c r="M30" s="674">
        <v>22</v>
      </c>
      <c r="N30" s="2322">
        <v>97</v>
      </c>
      <c r="O30" s="674">
        <v>72</v>
      </c>
      <c r="P30" s="674">
        <v>58</v>
      </c>
      <c r="Q30" s="2323">
        <v>53</v>
      </c>
      <c r="R30" s="674">
        <v>133</v>
      </c>
      <c r="S30" s="674">
        <v>100</v>
      </c>
      <c r="T30" s="674">
        <v>106</v>
      </c>
      <c r="U30" s="674">
        <v>115</v>
      </c>
      <c r="V30" s="2322">
        <v>174</v>
      </c>
      <c r="W30" s="674">
        <v>126</v>
      </c>
      <c r="X30" s="674">
        <v>162</v>
      </c>
      <c r="Y30" s="2323">
        <v>149</v>
      </c>
      <c r="Z30" s="674">
        <v>390</v>
      </c>
      <c r="AA30" s="674">
        <v>298</v>
      </c>
      <c r="AB30" s="674">
        <v>308</v>
      </c>
      <c r="AC30" s="674">
        <v>352</v>
      </c>
      <c r="AD30" s="2322">
        <v>760</v>
      </c>
      <c r="AE30" s="674">
        <v>485</v>
      </c>
      <c r="AF30" s="674">
        <v>549</v>
      </c>
      <c r="AG30" s="2323">
        <v>529</v>
      </c>
      <c r="AH30" s="674">
        <v>1224</v>
      </c>
      <c r="AI30" s="674">
        <v>821</v>
      </c>
      <c r="AJ30" s="674">
        <v>926</v>
      </c>
      <c r="AK30" s="2323">
        <v>1325</v>
      </c>
      <c r="AL30" s="674">
        <v>2165</v>
      </c>
      <c r="AM30" s="674">
        <v>1661</v>
      </c>
      <c r="AN30" s="674">
        <v>1631</v>
      </c>
      <c r="AO30" s="2323">
        <v>2067</v>
      </c>
      <c r="AP30" s="674">
        <v>2756</v>
      </c>
      <c r="AQ30" s="674">
        <v>2551</v>
      </c>
      <c r="AR30" s="674">
        <v>3107</v>
      </c>
      <c r="AS30" s="2323">
        <v>3114</v>
      </c>
      <c r="AT30" s="674">
        <v>4883</v>
      </c>
      <c r="AU30" s="674">
        <v>4023</v>
      </c>
      <c r="AV30" s="674">
        <v>3218</v>
      </c>
      <c r="AW30" s="2323">
        <v>3005</v>
      </c>
      <c r="AX30" s="674">
        <v>4523</v>
      </c>
      <c r="AY30" s="674">
        <v>3402</v>
      </c>
      <c r="AZ30" s="674">
        <v>2317</v>
      </c>
      <c r="BA30" s="2323">
        <v>2525</v>
      </c>
      <c r="BB30" s="674">
        <v>4623</v>
      </c>
      <c r="BC30" s="674">
        <v>3605</v>
      </c>
      <c r="BD30" s="674">
        <v>2855</v>
      </c>
      <c r="BE30" s="2323">
        <v>3351</v>
      </c>
      <c r="BF30" s="674">
        <v>5882</v>
      </c>
      <c r="BG30" s="674">
        <v>4112</v>
      </c>
      <c r="BH30" s="674">
        <v>3275</v>
      </c>
      <c r="BI30" s="2323">
        <f>16527-SUM(BF30:BH30)</f>
      </c>
      <c r="BJ30" s="674">
        <v>5779</v>
      </c>
      <c r="BK30" s="674">
        <v>3602</v>
      </c>
      <c r="BL30" s="674">
        <v>2666</v>
      </c>
      <c r="BM30" s="2323">
        <f>15348-SUM(BJ30:BL30)</f>
      </c>
      <c r="BN30" s="674">
        <v>5736</v>
      </c>
      <c r="BO30" s="674">
        <v>3851</v>
      </c>
      <c r="BP30" s="674">
        <v>2984</v>
      </c>
      <c r="BQ30" s="2323">
        <f>16514-SUM(BN30:BP30)</f>
      </c>
      <c r="BR30" s="674">
        <v>6893</v>
      </c>
      <c r="BS30" s="674">
        <v>4259</v>
      </c>
      <c r="BT30" s="674">
        <v>3892</v>
      </c>
      <c r="BU30" s="2323">
        <f>19955-SUM(BR30:BT30)</f>
      </c>
      <c r="BV30" s="674">
        <v>6658</v>
      </c>
      <c r="BW30" s="674">
        <v>4026</v>
      </c>
      <c r="BX30" s="674">
        <v>3687</v>
      </c>
      <c r="BY30" s="2323">
        <f>EK30-SUM(BV30:BX30)</f>
      </c>
      <c r="BZ30" s="674">
        <v>7719</v>
      </c>
      <c r="CA30" s="674">
        <v>4528</v>
      </c>
      <c r="CB30" s="674">
        <v>4420</v>
      </c>
      <c r="CC30" s="2323">
        <f>EL30-SUM(BZ30:CB30)</f>
      </c>
      <c r="CD30" s="674">
        <v>9589</v>
      </c>
      <c r="CE30" s="674">
        <v>8265</v>
      </c>
      <c r="CF30" s="674">
        <v>7085</v>
      </c>
      <c r="CG30" s="2328">
        <f>EM30-SUM(CD30:CF30)</f>
      </c>
      <c r="CH30" s="674">
        <v>11545</v>
      </c>
      <c r="CI30" s="674">
        <v>8505</v>
      </c>
      <c r="CJ30" s="674">
        <v>7124</v>
      </c>
      <c r="CK30" s="2328">
        <f>EN30-SUM(CH30:CJ30)</f>
      </c>
      <c r="CL30" s="674">
        <v>10017</v>
      </c>
      <c r="CM30" s="674">
        <v>9368</v>
      </c>
      <c r="CN30" s="674">
        <v>7995</v>
      </c>
      <c r="CO30" s="2328">
        <f t="shared" ref="CO30:CO33" si="72">EO30-SUM(CL30:CN30)</f>
      </c>
      <c r="CP30" s="674">
        <v>12711</v>
      </c>
      <c r="CQ30" s="674">
        <v>9991</v>
      </c>
      <c r="CR30" s="674">
        <v>9170</v>
      </c>
      <c r="CS30" s="2328">
        <f t="shared" ref="CS30:CS33" si="73">EP30-SUM(CP30:CR30)</f>
      </c>
      <c r="CT30" s="674">
        <v>14607</v>
      </c>
      <c r="CU30" s="674">
        <v>10316</v>
      </c>
      <c r="CV30" s="2363">
        <f t="shared" ref="CV30:DQ30" si="74">CV10*CV88</f>
      </c>
      <c r="CW30" s="2328">
        <f t="shared" si="74"/>
      </c>
      <c r="CX30" s="2363">
        <f t="shared" si="74"/>
      </c>
      <c r="CY30" s="2363">
        <f t="shared" si="74"/>
      </c>
      <c r="CZ30" s="2363">
        <f t="shared" si="74"/>
      </c>
      <c r="DA30" s="2328">
        <f t="shared" si="74"/>
      </c>
      <c r="DB30" s="2363">
        <f t="shared" si="74"/>
      </c>
      <c r="DC30" s="2363">
        <f t="shared" si="74"/>
      </c>
      <c r="DD30" s="2363">
        <f t="shared" si="74"/>
      </c>
      <c r="DE30" s="2328">
        <f t="shared" si="74"/>
      </c>
      <c r="DF30" s="2363">
        <f t="shared" si="74"/>
      </c>
      <c r="DG30" s="2363">
        <f t="shared" si="74"/>
      </c>
      <c r="DH30" s="2363">
        <f t="shared" si="74"/>
      </c>
      <c r="DI30" s="2328">
        <f t="shared" si="74"/>
      </c>
      <c r="DJ30" s="2363">
        <f t="shared" si="74"/>
      </c>
      <c r="DK30" s="2363">
        <f t="shared" si="74"/>
      </c>
      <c r="DL30" s="2363">
        <f t="shared" si="74"/>
      </c>
      <c r="DM30" s="2328">
        <f t="shared" si="74"/>
      </c>
      <c r="DN30" s="2363">
        <f t="shared" si="74"/>
      </c>
      <c r="DO30" s="2363">
        <f t="shared" si="74"/>
      </c>
      <c r="DP30" s="2363">
        <f t="shared" si="74"/>
      </c>
      <c r="DQ30" s="2328">
        <f t="shared" si="74"/>
      </c>
      <c r="DS30" s="673">
        <f>SUM(B30:E30)</f>
      </c>
      <c r="DT30" s="673">
        <f>SUM(F30:I30)</f>
      </c>
      <c r="DU30" s="673">
        <f>SUM(J30:M30)</f>
      </c>
      <c r="DV30" s="673">
        <f>SUM(N30:Q30)</f>
      </c>
      <c r="DW30" s="673">
        <f>SUM(R30:U30)</f>
      </c>
      <c r="DX30" s="673">
        <f>SUM(V30:Y30)</f>
      </c>
      <c r="DY30" s="673">
        <f>SUM(Z30:AC30)</f>
      </c>
      <c r="DZ30" s="673">
        <f>SUM(AD30:AG30)</f>
      </c>
      <c r="EA30" s="673">
        <f>SUM(AH30:AK30)</f>
      </c>
      <c r="EB30" s="673">
        <f>SUM(AL30:AO30)</f>
      </c>
      <c r="EC30" s="673">
        <f>SUM(AP30:AS30)</f>
      </c>
      <c r="ED30" s="673">
        <f>SUM(AT30:AW30)</f>
      </c>
      <c r="EE30" s="673">
        <f>SUM(AX30:BA30)</f>
      </c>
      <c r="EF30" s="673">
        <f>SUM(BB30:BE30)</f>
      </c>
      <c r="EG30" s="673">
        <f>SUM(BF30:BI30)</f>
      </c>
      <c r="EH30" s="673">
        <f>SUM(BJ30:BM30)</f>
      </c>
      <c r="EI30" s="673">
        <f>SUM(BN30:BQ30)</f>
      </c>
      <c r="EJ30" s="673">
        <f>SUM(BR30:BU30)</f>
      </c>
      <c r="EK30" s="674">
        <v>19195</v>
      </c>
      <c r="EL30" s="674">
        <v>22170</v>
      </c>
      <c r="EM30" s="674">
        <v>32505</v>
      </c>
      <c r="EN30" s="674">
        <v>35233</v>
      </c>
      <c r="EO30" s="674">
        <v>36098</v>
      </c>
      <c r="EP30" s="674">
        <v>41790</v>
      </c>
      <c r="EQ30" s="2363">
        <f>SUM(CT30:CW30)</f>
      </c>
      <c r="ER30" s="2363">
        <f>SUM(CX30:DA30)</f>
      </c>
      <c r="ES30" s="2363">
        <f>SUM(DB30:DE30)</f>
      </c>
      <c r="ET30" s="2363">
        <f>SUM(DF30:DI30)</f>
      </c>
      <c r="EU30" s="2363">
        <f>SUM(DJ30:DM30)</f>
      </c>
      <c r="EV30" s="2363">
        <f>SUM(DN30:DQ30)</f>
      </c>
      <c r="EW30" s="674"/>
      <c r="EY30" s="673">
        <f>SUM(BC30:BF30)</f>
      </c>
      <c r="EZ30" s="673">
        <f>SUM(BG30:BJ30)</f>
      </c>
      <c r="FA30" s="673">
        <f>SUM(BK30:BN30)</f>
      </c>
      <c r="FB30" s="673">
        <f>SUM(BO30:BR30)</f>
      </c>
      <c r="FC30" s="673">
        <f>SUM(BS30:BV30)</f>
      </c>
      <c r="FD30" s="673">
        <f>SUM(BW30:BZ30)</f>
      </c>
      <c r="FE30" s="673">
        <f>SUM(CA30:CD30)</f>
      </c>
      <c r="FF30" s="673">
        <f>SUM(CE30:CH30)</f>
      </c>
    </row>
    <row r="31" spans="1:166" s="673" customFormat="1" ht="12" customHeight="1">
      <c r="A31" s="2330" t="s">
        <v>171</v>
      </c>
      <c r="B31" s="674"/>
      <c r="C31" s="674"/>
      <c r="D31" s="674"/>
      <c r="E31" s="674"/>
      <c r="F31" s="2322"/>
      <c r="G31" s="674"/>
      <c r="H31" s="674"/>
      <c r="I31" s="2323"/>
      <c r="J31" s="674"/>
      <c r="K31" s="674"/>
      <c r="L31" s="674"/>
      <c r="M31" s="674"/>
      <c r="N31" s="2322"/>
      <c r="O31" s="674"/>
      <c r="P31" s="674"/>
      <c r="Q31" s="2323"/>
      <c r="R31" s="674"/>
      <c r="S31" s="674"/>
      <c r="T31" s="674"/>
      <c r="U31" s="674"/>
      <c r="V31" s="2322"/>
      <c r="W31" s="674"/>
      <c r="X31" s="674"/>
      <c r="Y31" s="2323"/>
      <c r="Z31" s="674"/>
      <c r="AA31" s="674"/>
      <c r="AB31" s="674"/>
      <c r="AC31" s="674"/>
      <c r="AD31" s="2322"/>
      <c r="AE31" s="674"/>
      <c r="AF31" s="674"/>
      <c r="AG31" s="2323"/>
      <c r="AH31" s="674"/>
      <c r="AI31" s="674"/>
      <c r="AJ31" s="674"/>
      <c r="AK31" s="2323"/>
      <c r="AL31" s="674"/>
      <c r="AM31" s="674"/>
      <c r="AN31" s="674"/>
      <c r="AO31" s="2323"/>
      <c r="AP31" s="674"/>
      <c r="AQ31" s="674"/>
      <c r="AR31" s="674"/>
      <c r="AS31" s="2323"/>
      <c r="AT31" s="674">
        <v>1826</v>
      </c>
      <c r="AU31" s="674">
        <v>3791</v>
      </c>
      <c r="AV31" s="674">
        <v>2480</v>
      </c>
      <c r="AW31" s="2323">
        <v>1881</v>
      </c>
      <c r="AX31" s="674">
        <v>2593</v>
      </c>
      <c r="AY31" s="674">
        <v>2806</v>
      </c>
      <c r="AZ31" s="674">
        <v>1378</v>
      </c>
      <c r="BA31" s="2323">
        <v>1722</v>
      </c>
      <c r="BB31" s="674">
        <v>3247</v>
      </c>
      <c r="BC31" s="674">
        <v>3541</v>
      </c>
      <c r="BD31" s="674">
        <v>2081</v>
      </c>
      <c r="BE31" s="2323">
        <v>2170</v>
      </c>
      <c r="BF31" s="674">
        <v>6366</v>
      </c>
      <c r="BG31" s="674">
        <v>6714</v>
      </c>
      <c r="BH31" s="674">
        <v>5147</v>
      </c>
      <c r="BI31" s="2323">
        <f>23002-SUM(BF31:BH31)</f>
      </c>
      <c r="BJ31" s="674">
        <v>7576</v>
      </c>
      <c r="BK31" s="674">
        <v>4818</v>
      </c>
      <c r="BL31" s="674">
        <v>3415</v>
      </c>
      <c r="BM31" s="2323">
        <f>18835-SUM(BJ31:BL31)</f>
      </c>
      <c r="BN31" s="674">
        <v>6176</v>
      </c>
      <c r="BO31" s="674">
        <v>4224</v>
      </c>
      <c r="BP31" s="674">
        <v>3002</v>
      </c>
      <c r="BQ31" s="2323">
        <f>17032-SUM(BN31:BP31)</f>
      </c>
      <c r="BR31" s="674">
        <v>6908</v>
      </c>
      <c r="BS31" s="674">
        <v>4963</v>
      </c>
      <c r="BT31" s="674">
        <v>3414</v>
      </c>
      <c r="BU31" s="2323">
        <f>19742-SUM(BR31:BT31)</f>
      </c>
      <c r="BV31" s="674">
        <v>5314</v>
      </c>
      <c r="BW31" s="674">
        <v>3607</v>
      </c>
      <c r="BX31" s="674">
        <v>3221</v>
      </c>
      <c r="BY31" s="2323">
        <f>EK31-SUM(BV31:BX31)</f>
      </c>
      <c r="BZ31" s="674">
        <v>5363</v>
      </c>
      <c r="CA31" s="674">
        <v>3758</v>
      </c>
      <c r="CB31" s="674">
        <v>3414</v>
      </c>
      <c r="CC31" s="2323">
        <f>EL31-SUM(BZ31:CB31)</f>
      </c>
      <c r="CD31" s="674">
        <v>8530</v>
      </c>
      <c r="CE31" s="674">
        <v>7758</v>
      </c>
      <c r="CF31" s="674">
        <v>6303</v>
      </c>
      <c r="CG31" s="2328">
        <f>EM31-SUM(CD31:CF31)</f>
      </c>
      <c r="CH31" s="674">
        <v>11183</v>
      </c>
      <c r="CI31" s="674">
        <v>8112</v>
      </c>
      <c r="CJ31" s="674">
        <v>5780</v>
      </c>
      <c r="CK31" s="2328">
        <f>EN31-SUM(CH31:CJ31)</f>
      </c>
      <c r="CL31" s="674">
        <v>10437</v>
      </c>
      <c r="CM31" s="674">
        <v>7531</v>
      </c>
      <c r="CN31" s="674">
        <v>6207</v>
      </c>
      <c r="CO31" s="2328">
        <f t="shared" si="72"/>
      </c>
      <c r="CP31" s="674">
        <v>8622</v>
      </c>
      <c r="CQ31" s="674">
        <v>6700</v>
      </c>
      <c r="CR31" s="674">
        <v>5562</v>
      </c>
      <c r="CS31" s="2328">
        <f t="shared" si="73"/>
      </c>
      <c r="CT31" s="674">
        <v>8160</v>
      </c>
      <c r="CU31" s="674">
        <v>6626</v>
      </c>
      <c r="CV31" s="2363">
        <f t="shared" ref="CV31:DQ31" si="75">CV11*CV89</f>
      </c>
      <c r="CW31" s="2328">
        <f t="shared" si="75"/>
      </c>
      <c r="CX31" s="2363">
        <f t="shared" si="75"/>
      </c>
      <c r="CY31" s="2363">
        <f t="shared" si="75"/>
      </c>
      <c r="CZ31" s="2363">
        <f t="shared" si="75"/>
      </c>
      <c r="DA31" s="2328">
        <f t="shared" si="75"/>
      </c>
      <c r="DB31" s="2363">
        <f t="shared" si="75"/>
      </c>
      <c r="DC31" s="2363">
        <f t="shared" si="75"/>
      </c>
      <c r="DD31" s="2363">
        <f t="shared" si="75"/>
      </c>
      <c r="DE31" s="2328">
        <f t="shared" si="75"/>
      </c>
      <c r="DF31" s="2363">
        <f t="shared" si="75"/>
      </c>
      <c r="DG31" s="2363">
        <f t="shared" si="75"/>
      </c>
      <c r="DH31" s="2363">
        <f t="shared" si="75"/>
      </c>
      <c r="DI31" s="2328">
        <f t="shared" si="75"/>
      </c>
      <c r="DJ31" s="2363">
        <f t="shared" si="75"/>
      </c>
      <c r="DK31" s="2363">
        <f t="shared" si="75"/>
      </c>
      <c r="DL31" s="2363">
        <f t="shared" si="75"/>
      </c>
      <c r="DM31" s="2328">
        <f t="shared" si="75"/>
      </c>
      <c r="DN31" s="2363">
        <f t="shared" si="75"/>
      </c>
      <c r="DO31" s="2363">
        <f t="shared" si="75"/>
      </c>
      <c r="DP31" s="2363">
        <f t="shared" si="75"/>
      </c>
      <c r="DQ31" s="2328">
        <f t="shared" si="75"/>
      </c>
      <c r="DS31" s="673">
        <f>SUM(B31:E31)</f>
      </c>
      <c r="DT31" s="673">
        <f>SUM(F31:I31)</f>
      </c>
      <c r="DU31" s="673">
        <f>SUM(J31:M31)</f>
      </c>
      <c r="DV31" s="673">
        <f>SUM(N31:Q31)</f>
      </c>
      <c r="DW31" s="673">
        <f>SUM(R31:U31)</f>
      </c>
      <c r="DX31" s="673">
        <f>SUM(V31:Y31)</f>
      </c>
      <c r="DY31" s="673">
        <f>SUM(Z31:AC31)</f>
      </c>
      <c r="DZ31" s="673">
        <f>SUM(AD31:AG31)</f>
      </c>
      <c r="EA31" s="673">
        <f>SUM(AH31:AK31)</f>
      </c>
      <c r="EB31" s="673">
        <f>SUM(AL31:AO31)</f>
      </c>
      <c r="EC31" s="673">
        <f>SUM(AP31:AS31)</f>
      </c>
      <c r="ED31" s="673">
        <f>SUM(AT31:AW31)</f>
      </c>
      <c r="EE31" s="673">
        <f>SUM(AX31:BA31)</f>
      </c>
      <c r="EF31" s="673">
        <f>SUM(BB31:BE31)</f>
      </c>
      <c r="EG31" s="673">
        <f>SUM(BF31:BI31)</f>
      </c>
      <c r="EH31" s="673">
        <f>SUM(BJ31:BM31)</f>
      </c>
      <c r="EI31" s="673">
        <f>SUM(BN31:BQ31)</f>
      </c>
      <c r="EJ31" s="673">
        <f>SUM(BR31:BU31)</f>
      </c>
      <c r="EK31" s="674">
        <v>16232</v>
      </c>
      <c r="EL31" s="674">
        <v>15261</v>
      </c>
      <c r="EM31" s="674">
        <v>28504</v>
      </c>
      <c r="EN31" s="674">
        <v>31153</v>
      </c>
      <c r="EO31" s="674">
        <v>30328</v>
      </c>
      <c r="EP31" s="674">
        <v>27082</v>
      </c>
      <c r="EQ31" s="2363">
        <f>SUM(CT31:CW31)</f>
      </c>
      <c r="ER31" s="2363">
        <f>SUM(CX31:DA31)</f>
      </c>
      <c r="ES31" s="2363">
        <f>SUM(DB31:DE31)</f>
      </c>
      <c r="ET31" s="2363">
        <f>SUM(DF31:DI31)</f>
      </c>
      <c r="EU31" s="2363">
        <f>SUM(DJ31:DM31)</f>
      </c>
      <c r="EV31" s="2363">
        <f>SUM(DN31:DQ31)</f>
      </c>
      <c r="EW31" s="674"/>
      <c r="EY31" s="673">
        <f>SUM(BC31:BF31)</f>
      </c>
      <c r="EZ31" s="673">
        <f>SUM(BG31:BJ31)</f>
      </c>
      <c r="FA31" s="673">
        <f>SUM(BK31:BN31)</f>
      </c>
      <c r="FB31" s="673">
        <f>SUM(BO31:BR31)</f>
      </c>
      <c r="FC31" s="673">
        <f>SUM(BS31:BV31)</f>
      </c>
      <c r="FD31" s="673">
        <f>SUM(BW31:BZ31)</f>
      </c>
      <c r="FE31" s="673">
        <f>SUM(CA31:CD31)</f>
      </c>
      <c r="FF31" s="673">
        <f>SUM(CE31:CH31)</f>
      </c>
    </row>
    <row r="32" spans="1:166" s="673" customFormat="1" ht="12" customHeight="1">
      <c r="A32" s="2327" t="s">
        <v>169</v>
      </c>
      <c r="B32" s="674">
        <v>-29</v>
      </c>
      <c r="C32" s="674">
        <v>38</v>
      </c>
      <c r="D32" s="674">
        <v>53</v>
      </c>
      <c r="E32" s="674">
        <v>36</v>
      </c>
      <c r="F32" s="2322">
        <v>30</v>
      </c>
      <c r="G32" s="674">
        <v>55</v>
      </c>
      <c r="H32" s="674">
        <v>35</v>
      </c>
      <c r="I32" s="2323">
        <v>20</v>
      </c>
      <c r="J32" s="674">
        <v>13</v>
      </c>
      <c r="K32" s="674">
        <v>45</v>
      </c>
      <c r="L32" s="674">
        <v>33</v>
      </c>
      <c r="M32" s="674">
        <v>30</v>
      </c>
      <c r="N32" s="2322">
        <v>21</v>
      </c>
      <c r="O32" s="674">
        <v>27</v>
      </c>
      <c r="P32" s="674">
        <v>36</v>
      </c>
      <c r="Q32" s="2323">
        <v>31</v>
      </c>
      <c r="R32" s="674">
        <v>21</v>
      </c>
      <c r="S32" s="674">
        <v>45</v>
      </c>
      <c r="T32" s="674">
        <v>42</v>
      </c>
      <c r="U32" s="674">
        <v>32</v>
      </c>
      <c r="V32" s="2322">
        <v>53</v>
      </c>
      <c r="W32" s="674">
        <v>57</v>
      </c>
      <c r="X32" s="674">
        <v>47</v>
      </c>
      <c r="Y32" s="2323">
        <v>46</v>
      </c>
      <c r="Z32" s="674">
        <v>55</v>
      </c>
      <c r="AA32" s="674">
        <v>55</v>
      </c>
      <c r="AB32" s="674">
        <v>59</v>
      </c>
      <c r="AC32" s="674">
        <v>63</v>
      </c>
      <c r="AD32" s="2322">
        <v>108</v>
      </c>
      <c r="AE32" s="674">
        <v>125</v>
      </c>
      <c r="AF32" s="674">
        <v>127</v>
      </c>
      <c r="AG32" s="2323">
        <v>80</v>
      </c>
      <c r="AH32" s="674">
        <v>140</v>
      </c>
      <c r="AI32" s="674">
        <v>245</v>
      </c>
      <c r="AJ32" s="674">
        <v>273</v>
      </c>
      <c r="AK32" s="2323">
        <v>303</v>
      </c>
      <c r="AL32" s="674">
        <v>354</v>
      </c>
      <c r="AM32" s="674">
        <v>441</v>
      </c>
      <c r="AN32" s="674">
        <v>390</v>
      </c>
      <c r="AO32" s="2323">
        <v>661</v>
      </c>
      <c r="AP32" s="674">
        <v>572</v>
      </c>
      <c r="AQ32" s="674">
        <v>689</v>
      </c>
      <c r="AR32" s="674">
        <v>735</v>
      </c>
      <c r="AS32" s="2323">
        <v>485</v>
      </c>
      <c r="AT32" s="674">
        <v>1993</v>
      </c>
      <c r="AU32" s="674">
        <v>1539</v>
      </c>
      <c r="AV32" s="674">
        <v>1056</v>
      </c>
      <c r="AW32" s="2323">
        <v>1238</v>
      </c>
      <c r="AX32" s="674">
        <v>2241</v>
      </c>
      <c r="AY32" s="674">
        <v>1525</v>
      </c>
      <c r="AZ32" s="674">
        <v>1301</v>
      </c>
      <c r="BA32" s="2323">
        <v>1601</v>
      </c>
      <c r="BB32" s="674">
        <v>2330</v>
      </c>
      <c r="BC32" s="674">
        <v>1832</v>
      </c>
      <c r="BD32" s="674">
        <v>1214</v>
      </c>
      <c r="BE32" s="2323">
        <v>1528</v>
      </c>
      <c r="BF32" s="674">
        <v>2488</v>
      </c>
      <c r="BG32" s="674">
        <v>1699</v>
      </c>
      <c r="BH32" s="674">
        <v>1447</v>
      </c>
      <c r="BI32" s="2323">
        <f>7617-SUM(BF32:BH32)</f>
      </c>
      <c r="BJ32" s="674">
        <v>2240</v>
      </c>
      <c r="BK32" s="674">
        <v>1930</v>
      </c>
      <c r="BL32" s="674">
        <v>1435</v>
      </c>
      <c r="BM32" s="2323">
        <f>7165-SUM(BJ32:BL32)</f>
      </c>
      <c r="BN32" s="674">
        <v>2673</v>
      </c>
      <c r="BO32" s="674">
        <v>2037</v>
      </c>
      <c r="BP32" s="674">
        <v>1624</v>
      </c>
      <c r="BQ32" s="2323">
        <f>8097-SUM(BN32:BP32)</f>
      </c>
      <c r="BR32" s="674">
        <v>3082</v>
      </c>
      <c r="BS32" s="674">
        <v>2346</v>
      </c>
      <c r="BT32" s="674">
        <v>1765</v>
      </c>
      <c r="BU32" s="2323">
        <f>9500-SUM(BR32:BT32)</f>
      </c>
      <c r="BV32" s="674">
        <v>3014</v>
      </c>
      <c r="BW32" s="674">
        <v>2390</v>
      </c>
      <c r="BX32" s="674">
        <v>1795</v>
      </c>
      <c r="BY32" s="2323">
        <f>EK32-SUM(BV32:BX32)</f>
      </c>
      <c r="BZ32" s="674">
        <v>2778</v>
      </c>
      <c r="CA32" s="674">
        <v>2236</v>
      </c>
      <c r="CB32" s="674">
        <v>2114</v>
      </c>
      <c r="CC32" s="2323">
        <f>EL32-SUM(BZ32:CB32)</f>
      </c>
      <c r="CD32" s="674">
        <v>3503</v>
      </c>
      <c r="CE32" s="674">
        <v>3428</v>
      </c>
      <c r="CF32" s="674">
        <v>3031</v>
      </c>
      <c r="CG32" s="2328">
        <f>EM32-SUM(CD32:CF32)</f>
      </c>
      <c r="CH32" s="674">
        <v>3349</v>
      </c>
      <c r="CI32" s="674">
        <v>3496</v>
      </c>
      <c r="CJ32" s="674">
        <v>2418</v>
      </c>
      <c r="CK32" s="2328">
        <f>EN32-SUM(CH32:CJ32)</f>
      </c>
      <c r="CL32" s="674">
        <v>3236</v>
      </c>
      <c r="CM32" s="674">
        <v>3394</v>
      </c>
      <c r="CN32" s="674">
        <v>2443</v>
      </c>
      <c r="CO32" s="2328">
        <f t="shared" si="72"/>
      </c>
      <c r="CP32" s="674">
        <v>3819</v>
      </c>
      <c r="CQ32" s="674">
        <v>3135</v>
      </c>
      <c r="CR32" s="674">
        <v>2544</v>
      </c>
      <c r="CS32" s="2328">
        <f t="shared" si="73"/>
      </c>
      <c r="CT32" s="674">
        <v>4314</v>
      </c>
      <c r="CU32" s="674">
        <v>3434</v>
      </c>
      <c r="CV32" s="2363">
        <f t="shared" ref="CV32:DQ32" si="76">CV12*CV90</f>
      </c>
      <c r="CW32" s="2328">
        <f t="shared" si="76"/>
      </c>
      <c r="CX32" s="2363">
        <f t="shared" si="76"/>
      </c>
      <c r="CY32" s="2363">
        <f t="shared" si="76"/>
      </c>
      <c r="CZ32" s="2363">
        <f t="shared" si="76"/>
      </c>
      <c r="DA32" s="2328">
        <f t="shared" si="76"/>
      </c>
      <c r="DB32" s="2363">
        <f t="shared" si="76"/>
      </c>
      <c r="DC32" s="2363">
        <f t="shared" si="76"/>
      </c>
      <c r="DD32" s="2363">
        <f t="shared" si="76"/>
      </c>
      <c r="DE32" s="2328">
        <f t="shared" si="76"/>
      </c>
      <c r="DF32" s="2363">
        <f t="shared" si="76"/>
      </c>
      <c r="DG32" s="2363">
        <f t="shared" si="76"/>
      </c>
      <c r="DH32" s="2363">
        <f t="shared" si="76"/>
      </c>
      <c r="DI32" s="2328">
        <f t="shared" si="76"/>
      </c>
      <c r="DJ32" s="2363">
        <f t="shared" si="76"/>
      </c>
      <c r="DK32" s="2363">
        <f t="shared" si="76"/>
      </c>
      <c r="DL32" s="2363">
        <f t="shared" si="76"/>
      </c>
      <c r="DM32" s="2328">
        <f t="shared" si="76"/>
      </c>
      <c r="DN32" s="2363">
        <f t="shared" si="76"/>
      </c>
      <c r="DO32" s="2363">
        <f t="shared" si="76"/>
      </c>
      <c r="DP32" s="2363">
        <f t="shared" si="76"/>
      </c>
      <c r="DQ32" s="2328">
        <f t="shared" si="76"/>
      </c>
      <c r="DS32" s="673">
        <f>SUM(B32:E32)</f>
      </c>
      <c r="DT32" s="673">
        <f>SUM(F32:I32)</f>
      </c>
      <c r="DU32" s="673">
        <f>SUM(J32:M32)</f>
      </c>
      <c r="DV32" s="673">
        <f>SUM(N32:Q32)</f>
      </c>
      <c r="DW32" s="673">
        <f>SUM(R32:U32)</f>
      </c>
      <c r="DX32" s="673">
        <f>SUM(V32:Y32)</f>
      </c>
      <c r="DY32" s="673">
        <f>SUM(Z32:AC32)</f>
      </c>
      <c r="DZ32" s="673">
        <f>SUM(AD32:AG32)</f>
      </c>
      <c r="EA32" s="673">
        <f>SUM(AH32:AK32)</f>
      </c>
      <c r="EB32" s="673">
        <f>SUM(AL32:AO32)</f>
      </c>
      <c r="EC32" s="673">
        <f>SUM(AP32:AS32)</f>
      </c>
      <c r="ED32" s="673">
        <f>SUM(AT32:AW32)</f>
      </c>
      <c r="EE32" s="673">
        <f>SUM(AX32:BA32)</f>
      </c>
      <c r="EF32" s="673">
        <f>SUM(BB32:BE32)</f>
      </c>
      <c r="EG32" s="673">
        <f>SUM(BF32:BI32)</f>
      </c>
      <c r="EH32" s="673">
        <f>SUM(BJ32:BM32)</f>
      </c>
      <c r="EI32" s="673">
        <f>SUM(BN32:BQ32)</f>
      </c>
      <c r="EJ32" s="673">
        <f>SUM(BR32:BU32)</f>
      </c>
      <c r="EK32" s="674">
        <v>9369</v>
      </c>
      <c r="EL32" s="674">
        <v>9279</v>
      </c>
      <c r="EM32" s="674">
        <v>12798</v>
      </c>
      <c r="EN32" s="674">
        <v>12257</v>
      </c>
      <c r="EO32" s="674">
        <v>11888</v>
      </c>
      <c r="EP32" s="674">
        <v>12454</v>
      </c>
      <c r="EQ32" s="2363">
        <f>SUM(CT32:CW32)</f>
      </c>
      <c r="ER32" s="2363">
        <f>SUM(CX32:DA32)</f>
      </c>
      <c r="ES32" s="2363">
        <f>SUM(DB32:DE32)</f>
      </c>
      <c r="ET32" s="2363">
        <f>SUM(DF32:DI32)</f>
      </c>
      <c r="EU32" s="2363">
        <f>SUM(DJ32:DM32)</f>
      </c>
      <c r="EV32" s="2363">
        <f>SUM(DN32:DQ32)</f>
      </c>
      <c r="EW32" s="674"/>
      <c r="EY32" s="673">
        <f>SUM(BC32:BF32)</f>
      </c>
      <c r="EZ32" s="673">
        <f>SUM(BG32:BJ32)</f>
      </c>
      <c r="FA32" s="673">
        <f>SUM(BK32:BN32)</f>
      </c>
      <c r="FB32" s="673">
        <f>SUM(BO32:BR32)</f>
      </c>
      <c r="FC32" s="673">
        <f>SUM(BS32:BV32)</f>
      </c>
      <c r="FD32" s="673">
        <f>SUM(BW32:BZ32)</f>
      </c>
      <c r="FE32" s="673">
        <f>SUM(CA32:CD32)</f>
      </c>
      <c r="FF32" s="673">
        <f>SUM(CE32:CH32)</f>
      </c>
    </row>
    <row r="33" spans="1:166" s="673" customFormat="1" ht="12" customHeight="1">
      <c r="A33" s="2330" t="s">
        <v>172</v>
      </c>
      <c r="B33" s="674">
        <v>11</v>
      </c>
      <c r="C33" s="674">
        <v>15</v>
      </c>
      <c r="D33" s="674">
        <v>20</v>
      </c>
      <c r="E33" s="674">
        <v>17</v>
      </c>
      <c r="F33" s="2322">
        <v>6</v>
      </c>
      <c r="G33" s="674">
        <v>13</v>
      </c>
      <c r="H33" s="674">
        <v>15</v>
      </c>
      <c r="I33" s="2323">
        <v>22</v>
      </c>
      <c r="J33" s="674">
        <v>13</v>
      </c>
      <c r="K33" s="674">
        <v>14</v>
      </c>
      <c r="L33" s="674">
        <v>13</v>
      </c>
      <c r="M33" s="674">
        <v>11</v>
      </c>
      <c r="N33" s="2322">
        <v>18</v>
      </c>
      <c r="O33" s="674">
        <v>24</v>
      </c>
      <c r="P33" s="674">
        <v>22</v>
      </c>
      <c r="Q33" s="2323">
        <v>26</v>
      </c>
      <c r="R33" s="674">
        <v>37</v>
      </c>
      <c r="S33" s="674">
        <v>25</v>
      </c>
      <c r="T33" s="674">
        <v>30</v>
      </c>
      <c r="U33" s="674">
        <v>26</v>
      </c>
      <c r="V33" s="2322">
        <v>66</v>
      </c>
      <c r="W33" s="674">
        <v>61</v>
      </c>
      <c r="X33" s="674">
        <v>62</v>
      </c>
      <c r="Y33" s="2323">
        <v>46</v>
      </c>
      <c r="Z33" s="674">
        <v>99</v>
      </c>
      <c r="AA33" s="674">
        <v>93</v>
      </c>
      <c r="AB33" s="674">
        <v>94</v>
      </c>
      <c r="AC33" s="674">
        <v>102</v>
      </c>
      <c r="AD33" s="2322">
        <v>199</v>
      </c>
      <c r="AE33" s="674">
        <v>143</v>
      </c>
      <c r="AF33" s="674">
        <v>154</v>
      </c>
      <c r="AG33" s="2323">
        <v>119</v>
      </c>
      <c r="AH33" s="674">
        <v>228</v>
      </c>
      <c r="AI33" s="674">
        <v>212</v>
      </c>
      <c r="AJ33" s="674">
        <v>235</v>
      </c>
      <c r="AK33" s="2323">
        <v>425</v>
      </c>
      <c r="AL33" s="674">
        <v>820</v>
      </c>
      <c r="AM33" s="674">
        <v>892</v>
      </c>
      <c r="AN33" s="674">
        <v>841</v>
      </c>
      <c r="AO33" s="2323">
        <v>1094</v>
      </c>
      <c r="AP33" s="674">
        <v>2042</v>
      </c>
      <c r="AQ33" s="674">
        <v>2045</v>
      </c>
      <c r="AR33" s="674">
        <v>2782</v>
      </c>
      <c r="AS33" s="2323">
        <v>2718</v>
      </c>
      <c r="AT33" s="674">
        <v>1631</v>
      </c>
      <c r="AU33" s="674">
        <v>1100</v>
      </c>
      <c r="AV33" s="674">
        <v>874</v>
      </c>
      <c r="AW33" s="2323">
        <v>716</v>
      </c>
      <c r="AX33" s="674">
        <v>1374</v>
      </c>
      <c r="AY33" s="674">
        <v>1037</v>
      </c>
      <c r="AZ33" s="674">
        <v>728</v>
      </c>
      <c r="BA33" s="2323">
        <v>623</v>
      </c>
      <c r="BB33" s="674">
        <v>1368</v>
      </c>
      <c r="BC33" s="674">
        <v>904</v>
      </c>
      <c r="BD33" s="674">
        <v>706</v>
      </c>
      <c r="BE33" s="2323">
        <v>696</v>
      </c>
      <c r="BF33" s="674">
        <v>1849</v>
      </c>
      <c r="BG33" s="674">
        <v>1600</v>
      </c>
      <c r="BH33" s="674">
        <v>1154</v>
      </c>
      <c r="BI33" s="2323">
        <f>5518-SUM(BF33:BH33)</f>
      </c>
      <c r="BJ33" s="674">
        <v>2032</v>
      </c>
      <c r="BK33" s="674">
        <v>1095</v>
      </c>
      <c r="BL33" s="674">
        <v>753</v>
      </c>
      <c r="BM33" s="2323">
        <f>4781-SUM(BJ33:BL33)</f>
      </c>
      <c r="BN33" s="674">
        <v>2229</v>
      </c>
      <c r="BO33" s="674">
        <v>1389</v>
      </c>
      <c r="BP33" s="674">
        <v>892</v>
      </c>
      <c r="BQ33" s="2323">
        <f>5304-SUM(BN33:BP33)</f>
      </c>
      <c r="BR33" s="674">
        <v>2575</v>
      </c>
      <c r="BS33" s="674">
        <v>1278</v>
      </c>
      <c r="BT33" s="674">
        <v>1127</v>
      </c>
      <c r="BU33" s="2323">
        <f>6181-SUM(BR33:BT33)</f>
      </c>
      <c r="BV33" s="674">
        <v>2560</v>
      </c>
      <c r="BW33" s="674">
        <v>1096</v>
      </c>
      <c r="BX33" s="674">
        <v>1155</v>
      </c>
      <c r="BY33" s="2323">
        <f>EK33-SUM(BV33:BX33)</f>
      </c>
      <c r="BZ33" s="674">
        <v>2731</v>
      </c>
      <c r="CA33" s="674">
        <v>1290</v>
      </c>
      <c r="CB33" s="674">
        <v>1374</v>
      </c>
      <c r="CC33" s="2323">
        <f>EL33-SUM(BZ33:CB33)</f>
      </c>
      <c r="CD33" s="674">
        <v>2953</v>
      </c>
      <c r="CE33" s="674">
        <v>2736</v>
      </c>
      <c r="CF33" s="674">
        <v>2116</v>
      </c>
      <c r="CG33" s="2328">
        <f>EM33-SUM(CD33:CF33)</f>
      </c>
      <c r="CH33" s="674">
        <v>3995</v>
      </c>
      <c r="CI33" s="674">
        <v>2823</v>
      </c>
      <c r="CJ33" s="674">
        <v>2367</v>
      </c>
      <c r="CK33" s="2328">
        <f>EN33-SUM(CH33:CJ33)</f>
      </c>
      <c r="CL33" s="674">
        <v>3851</v>
      </c>
      <c r="CM33" s="674">
        <v>3268</v>
      </c>
      <c r="CN33" s="674">
        <v>2328</v>
      </c>
      <c r="CO33" s="2328">
        <f t="shared" si="72"/>
      </c>
      <c r="CP33" s="674">
        <v>4579</v>
      </c>
      <c r="CQ33" s="674">
        <v>2806</v>
      </c>
      <c r="CR33" s="674">
        <v>2610</v>
      </c>
      <c r="CS33" s="2328">
        <f t="shared" si="73"/>
      </c>
      <c r="CT33" s="674">
        <v>4584</v>
      </c>
      <c r="CU33" s="674">
        <v>2986</v>
      </c>
      <c r="CV33" s="2363">
        <f t="shared" ref="CV33:DQ33" si="77">CV13*CV91</f>
      </c>
      <c r="CW33" s="2328">
        <f t="shared" si="77"/>
      </c>
      <c r="CX33" s="2363">
        <f t="shared" si="77"/>
      </c>
      <c r="CY33" s="2363">
        <f t="shared" si="77"/>
      </c>
      <c r="CZ33" s="2363">
        <f t="shared" si="77"/>
      </c>
      <c r="DA33" s="2328">
        <f t="shared" si="77"/>
      </c>
      <c r="DB33" s="2363">
        <f t="shared" si="77"/>
      </c>
      <c r="DC33" s="2363">
        <f t="shared" si="77"/>
      </c>
      <c r="DD33" s="2363">
        <f t="shared" si="77"/>
      </c>
      <c r="DE33" s="2328">
        <f t="shared" si="77"/>
      </c>
      <c r="DF33" s="2363">
        <f t="shared" si="77"/>
      </c>
      <c r="DG33" s="2363">
        <f t="shared" si="77"/>
      </c>
      <c r="DH33" s="2363">
        <f t="shared" si="77"/>
      </c>
      <c r="DI33" s="2328">
        <f t="shared" si="77"/>
      </c>
      <c r="DJ33" s="2363">
        <f t="shared" si="77"/>
      </c>
      <c r="DK33" s="2363">
        <f t="shared" si="77"/>
      </c>
      <c r="DL33" s="2363">
        <f t="shared" si="77"/>
      </c>
      <c r="DM33" s="2328">
        <f t="shared" si="77"/>
      </c>
      <c r="DN33" s="2363">
        <f t="shared" si="77"/>
      </c>
      <c r="DO33" s="2363">
        <f t="shared" si="77"/>
      </c>
      <c r="DP33" s="2363">
        <f t="shared" si="77"/>
      </c>
      <c r="DQ33" s="2328">
        <f t="shared" si="77"/>
      </c>
      <c r="DS33" s="673">
        <f>SUM(B33:E33)</f>
      </c>
      <c r="DT33" s="673">
        <f>SUM(F33:I33)</f>
      </c>
      <c r="DU33" s="673">
        <f>SUM(J33:M33)</f>
      </c>
      <c r="DV33" s="673">
        <f>SUM(N33:Q33)</f>
      </c>
      <c r="DW33" s="673">
        <f>SUM(R33:U33)</f>
      </c>
      <c r="DX33" s="673">
        <f>SUM(V33:Y33)</f>
      </c>
      <c r="DY33" s="673">
        <f>SUM(Z33:AC33)</f>
      </c>
      <c r="DZ33" s="673">
        <f>SUM(AD33:AG33)</f>
      </c>
      <c r="EA33" s="673">
        <f>SUM(AH33:AK33)</f>
      </c>
      <c r="EB33" s="673">
        <f>SUM(AL33:AO33)</f>
      </c>
      <c r="EC33" s="673">
        <f>SUM(AP33:AS33)</f>
      </c>
      <c r="ED33" s="673">
        <f>SUM(AT33:AW33)</f>
      </c>
      <c r="EE33" s="673">
        <f>SUM(AX33:BA33)</f>
      </c>
      <c r="EF33" s="673">
        <f>SUM(BB33:BE33)</f>
      </c>
      <c r="EG33" s="673">
        <f>SUM(BF33:BI33)</f>
      </c>
      <c r="EH33" s="673">
        <f>SUM(BJ33:BM33)</f>
      </c>
      <c r="EI33" s="673">
        <f>SUM(BN33:BQ33)</f>
      </c>
      <c r="EJ33" s="673">
        <f>SUM(BR33:BU33)</f>
      </c>
      <c r="EK33" s="674">
        <v>6055</v>
      </c>
      <c r="EL33" s="674">
        <v>6808</v>
      </c>
      <c r="EM33" s="674">
        <v>9817</v>
      </c>
      <c r="EN33" s="674">
        <v>11569</v>
      </c>
      <c r="EO33" s="674">
        <v>12066</v>
      </c>
      <c r="EP33" s="674">
        <v>13062</v>
      </c>
      <c r="EQ33" s="2363">
        <f>SUM(CT33:CW33)</f>
      </c>
      <c r="ER33" s="2363">
        <f>SUM(CX33:DA33)</f>
      </c>
      <c r="ES33" s="2363">
        <f>SUM(DB33:DE33)</f>
      </c>
      <c r="ET33" s="2363">
        <f>SUM(DF33:DI33)</f>
      </c>
      <c r="EU33" s="2363">
        <f>SUM(DJ33:DM33)</f>
      </c>
      <c r="EV33" s="2363">
        <f>SUM(DN33:DQ33)</f>
      </c>
      <c r="EW33" s="674"/>
      <c r="EY33" s="673">
        <f>SUM(BC33:BF33)</f>
      </c>
      <c r="EZ33" s="673">
        <f>SUM(BG33:BJ33)</f>
      </c>
      <c r="FA33" s="673">
        <f>SUM(BK33:BN33)</f>
      </c>
      <c r="FB33" s="673">
        <f>SUM(BO33:BR33)</f>
      </c>
      <c r="FC33" s="673">
        <f>SUM(BS33:BV33)</f>
      </c>
      <c r="FD33" s="673">
        <f>SUM(BW33:BZ33)</f>
      </c>
      <c r="FE33" s="673">
        <f>SUM(CA33:CD33)</f>
      </c>
      <c r="FF33" s="673">
        <f>SUM(CE33:CH33)</f>
      </c>
    </row>
    <row r="34" spans="1:166" s="673" customFormat="1" ht="12" customHeight="1">
      <c r="A34" s="2330" t="s">
        <v>1421</v>
      </c>
      <c r="B34" s="674"/>
      <c r="C34" s="674"/>
      <c r="D34" s="674"/>
      <c r="E34" s="674"/>
      <c r="F34" s="2322"/>
      <c r="G34" s="674"/>
      <c r="H34" s="674"/>
      <c r="I34" s="2323"/>
      <c r="J34" s="674"/>
      <c r="K34" s="674"/>
      <c r="L34" s="674"/>
      <c r="M34" s="674"/>
      <c r="N34" s="2322"/>
      <c r="O34" s="674"/>
      <c r="P34" s="674"/>
      <c r="Q34" s="2323"/>
      <c r="R34" s="674"/>
      <c r="S34" s="674"/>
      <c r="T34" s="674"/>
      <c r="U34" s="674"/>
      <c r="V34" s="2322"/>
      <c r="W34" s="674"/>
      <c r="X34" s="674"/>
      <c r="Y34" s="2323"/>
      <c r="Z34" s="674"/>
      <c r="AA34" s="674"/>
      <c r="AB34" s="674"/>
      <c r="AC34" s="674"/>
      <c r="AD34" s="2322"/>
      <c r="AE34" s="674"/>
      <c r="AF34" s="674"/>
      <c r="AG34" s="2323"/>
      <c r="AH34" s="674">
        <v>409</v>
      </c>
      <c r="AI34" s="674">
        <v>317</v>
      </c>
      <c r="AJ34" s="674">
        <v>387</v>
      </c>
      <c r="AK34" s="2323">
        <f>1677-SUM(AH34:AJ34)</f>
      </c>
      <c r="AL34" s="674">
        <v>481</v>
      </c>
      <c r="AM34" s="674">
        <v>373</v>
      </c>
      <c r="AN34" s="674">
        <v>593</v>
      </c>
      <c r="AO34" s="2323">
        <f>2364-SUM(AL34:AN34)</f>
      </c>
      <c r="AP34" s="674">
        <v>1030</v>
      </c>
      <c r="AQ34" s="674">
        <v>807</v>
      </c>
      <c r="AR34" s="674">
        <v>828</v>
      </c>
      <c r="AS34" s="2323">
        <f>3344-SUM(AP34:AR34)</f>
      </c>
      <c r="AT34" s="674"/>
      <c r="AU34" s="674"/>
      <c r="AV34" s="674"/>
      <c r="AW34" s="2323"/>
      <c r="AX34" s="674"/>
      <c r="AY34" s="674"/>
      <c r="AZ34" s="674"/>
      <c r="BA34" s="2323"/>
      <c r="BB34" s="674"/>
      <c r="BC34" s="674"/>
      <c r="BD34" s="674"/>
      <c r="BE34" s="2323"/>
      <c r="BF34" s="674"/>
      <c r="BG34" s="674"/>
      <c r="BH34" s="674"/>
      <c r="BI34" s="2323"/>
      <c r="BJ34" s="674"/>
      <c r="BK34" s="674"/>
      <c r="BL34" s="674"/>
      <c r="BM34" s="2323"/>
      <c r="BN34" s="674"/>
      <c r="BO34" s="674"/>
      <c r="BP34" s="674"/>
      <c r="BQ34" s="2323"/>
      <c r="BR34" s="674"/>
      <c r="BS34" s="674"/>
      <c r="BT34" s="674"/>
      <c r="BU34" s="2323"/>
      <c r="BV34" s="674"/>
      <c r="BW34" s="674"/>
      <c r="BX34" s="674"/>
      <c r="BY34" s="2323"/>
      <c r="BZ34" s="674"/>
      <c r="CA34" s="674"/>
      <c r="CB34" s="674"/>
      <c r="CC34" s="2323"/>
      <c r="CD34" s="674"/>
      <c r="CE34" s="674"/>
      <c r="CF34" s="674"/>
      <c r="CG34" s="2323"/>
      <c r="CH34" s="674"/>
      <c r="CI34" s="674"/>
      <c r="CK34" s="2329"/>
      <c r="CL34" s="674"/>
      <c r="CM34" s="674"/>
      <c r="CO34" s="2329"/>
      <c r="CP34" s="674"/>
      <c r="CQ34" s="674"/>
      <c r="CS34" s="2329"/>
      <c r="CT34" s="674"/>
      <c r="CU34" s="674"/>
      <c r="CW34" s="2329"/>
      <c r="CX34" s="674"/>
      <c r="CY34" s="674"/>
      <c r="DA34" s="2329"/>
      <c r="DB34" s="674"/>
      <c r="DC34" s="674"/>
      <c r="DE34" s="2329"/>
      <c r="DF34" s="674"/>
      <c r="DG34" s="674"/>
      <c r="DI34" s="2329"/>
      <c r="DJ34" s="674"/>
      <c r="DK34" s="674"/>
      <c r="DM34" s="2329"/>
      <c r="DN34" s="674"/>
      <c r="DO34" s="674"/>
      <c r="DQ34" s="2329"/>
      <c r="EK34" s="674"/>
      <c r="EL34" s="674"/>
      <c r="EM34" s="674"/>
      <c r="EN34" s="674"/>
      <c r="EO34" s="674"/>
      <c r="EP34" s="674"/>
      <c r="EQ34" s="674"/>
      <c r="ER34" s="674"/>
      <c r="ES34" s="674"/>
      <c r="ET34" s="674"/>
      <c r="EU34" s="674"/>
      <c r="EV34" s="674"/>
      <c r="EW34" s="674"/>
    </row>
    <row r="35" spans="1:166" s="673" customFormat="1" ht="12" customHeight="1">
      <c r="A35" s="2331" t="s">
        <v>664</v>
      </c>
      <c r="B35" s="2332">
        <f t="shared" ref="B35" si="78">B29+B30+B31+B32+B33+B34</f>
      </c>
      <c r="C35" s="2332">
        <f t="shared" ref="C35" si="79">C29+C30+C31+C32+C33+C34</f>
      </c>
      <c r="D35" s="2332">
        <f>D29+D30+D31+D32+D33+D34</f>
      </c>
      <c r="E35" s="2332">
        <f>E29+E30+E31+E32+E33+E34</f>
      </c>
      <c r="F35" s="2333">
        <f t="shared" ref="F35" si="80">F29+F30+F31+F32+F33+F34</f>
      </c>
      <c r="G35" s="2332">
        <f t="shared" ref="G35" si="81">G29+G30+G31+G32+G33+G34</f>
      </c>
      <c r="H35" s="2332">
        <f>H29+H30+H31+H32+H33+H34</f>
      </c>
      <c r="I35" s="2334">
        <f>I29+I30+I31+I32+I33+I34</f>
      </c>
      <c r="J35" s="2332">
        <f t="shared" ref="J35" si="82">J29+J30+J31+J32+J33+J34</f>
      </c>
      <c r="K35" s="2332">
        <f t="shared" ref="K35" si="83">K29+K30+K31+K32+K33+K34</f>
      </c>
      <c r="L35" s="2332">
        <f>L29+L30+L31+L32+L33+L34</f>
      </c>
      <c r="M35" s="2332">
        <f>M29+M30+M31+M32+M33+M34</f>
      </c>
      <c r="N35" s="2333">
        <f t="shared" ref="N35" si="84">N29+N30+N31+N32+N33+N34</f>
      </c>
      <c r="O35" s="2332">
        <f t="shared" ref="O35" si="85">O29+O30+O31+O32+O33+O34</f>
      </c>
      <c r="P35" s="2332">
        <f>P29+P30+P31+P32+P33+P34</f>
      </c>
      <c r="Q35" s="2334">
        <f>Q29+Q30+Q31+Q32+Q33+Q34</f>
      </c>
      <c r="R35" s="2332">
        <f t="shared" ref="R35" si="86">R29+R30+R31+R32+R33+R34</f>
      </c>
      <c r="S35" s="2332">
        <f t="shared" ref="S35" si="87">S29+S30+S31+S32+S33+S34</f>
      </c>
      <c r="T35" s="2332">
        <f>T29+T30+T31+T32+T33+T34</f>
      </c>
      <c r="U35" s="2332">
        <f>U29+U30+U31+U32+U33+U34</f>
      </c>
      <c r="V35" s="2333">
        <f t="shared" ref="V35" si="88">V29+V30+V31+V32+V33+V34</f>
      </c>
      <c r="W35" s="2332">
        <f t="shared" ref="W35" si="89">W29+W30+W31+W32+W33+W34</f>
      </c>
      <c r="X35" s="2332">
        <f>X29+X30+X31+X32+X33+X34</f>
      </c>
      <c r="Y35" s="2334">
        <f>Y29+Y30+Y31+Y32+Y33+Y34</f>
      </c>
      <c r="Z35" s="2332">
        <f t="shared" ref="Z35" si="90">Z29+Z30+Z31+Z32+Z33+Z34</f>
      </c>
      <c r="AA35" s="2332">
        <f t="shared" ref="AA35" si="91">AA29+AA30+AA31+AA32+AA33+AA34</f>
      </c>
      <c r="AB35" s="2332">
        <f>AB29+AB30+AB31+AB32+AB33+AB34</f>
      </c>
      <c r="AC35" s="2332">
        <f>AC29+AC30+AC31+AC32+AC33+AC34</f>
      </c>
      <c r="AD35" s="2333">
        <f t="shared" ref="AD35" si="92">AD29+AD30+AD31+AD32+AD33+AD34</f>
      </c>
      <c r="AE35" s="2332">
        <f t="shared" ref="AE35" si="93">AE29+AE30+AE31+AE32+AE33+AE34</f>
      </c>
      <c r="AF35" s="2332">
        <f>AF29+AF30+AF31+AF32+AF33+AF34</f>
      </c>
      <c r="AG35" s="2334">
        <f>AG29+AG30+AG31+AG32+AG33+AG34</f>
      </c>
      <c r="AH35" s="2332">
        <f t="shared" ref="AH35" si="94">AH29+AH30+AH31+AH32+AH33+AH34</f>
      </c>
      <c r="AI35" s="2332">
        <f t="shared" ref="AI35" si="95">AI29+AI30+AI31+AI32+AI33+AI34</f>
      </c>
      <c r="AJ35" s="2332">
        <f>AJ29+AJ30+AJ31+AJ32+AJ33+AJ34</f>
      </c>
      <c r="AK35" s="2332">
        <f>AK29+AK30+AK31+AK32+AK33+AK34</f>
      </c>
      <c r="AL35" s="2333">
        <f t="shared" ref="AL35" si="96">AL29+AL30+AL31+AL32+AL33+AL34</f>
      </c>
      <c r="AM35" s="2332">
        <f t="shared" ref="AM35" si="97">AM29+AM30+AM31+AM32+AM33+AM34</f>
      </c>
      <c r="AN35" s="2332">
        <f>AN29+AN30+AN31+AN32+AN33+AN34</f>
      </c>
      <c r="AO35" s="2334">
        <f>AO29+AO30+AO31+AO32+AO33+AO34</f>
      </c>
      <c r="AP35" s="2332">
        <f t="shared" ref="AP35:AQ35" si="98">AP29+AP30+AP31+AP32+AP33+AP34</f>
      </c>
      <c r="AQ35" s="2332">
        <f t="shared" si="98"/>
      </c>
      <c r="AR35" s="2332">
        <f>AR29+AR30+AR31+AR32+AR33+AR34</f>
      </c>
      <c r="AS35" s="2332">
        <f>AS29+AS30+AS31+AS32+AS33+AS34</f>
      </c>
      <c r="AT35" s="2332">
        <f t="shared" ref="AT35:DE35" si="99">AT29+AT30+AT31+AT32+AT33</f>
      </c>
      <c r="AU35" s="2332">
        <f t="shared" si="99"/>
      </c>
      <c r="AV35" s="2332">
        <f t="shared" si="99"/>
      </c>
      <c r="AW35" s="2334">
        <f t="shared" si="99"/>
      </c>
      <c r="AX35" s="2332">
        <f t="shared" si="99"/>
      </c>
      <c r="AY35" s="2332">
        <f t="shared" si="99"/>
      </c>
      <c r="AZ35" s="2332">
        <f t="shared" si="99"/>
      </c>
      <c r="BA35" s="2334">
        <f t="shared" si="99"/>
      </c>
      <c r="BB35" s="2332">
        <f t="shared" si="99"/>
      </c>
      <c r="BC35" s="2332">
        <f t="shared" si="99"/>
      </c>
      <c r="BD35" s="2332">
        <f t="shared" si="99"/>
      </c>
      <c r="BE35" s="2334">
        <f t="shared" si="99"/>
      </c>
      <c r="BF35" s="2332">
        <f t="shared" si="99"/>
      </c>
      <c r="BG35" s="2332">
        <f t="shared" si="99"/>
      </c>
      <c r="BH35" s="2332">
        <f t="shared" si="99"/>
      </c>
      <c r="BI35" s="2334">
        <f t="shared" si="99"/>
      </c>
      <c r="BJ35" s="2332">
        <f t="shared" si="99"/>
      </c>
      <c r="BK35" s="2332">
        <f t="shared" si="99"/>
      </c>
      <c r="BL35" s="2332">
        <f t="shared" si="99"/>
      </c>
      <c r="BM35" s="2334">
        <f t="shared" si="99"/>
      </c>
      <c r="BN35" s="2332">
        <f t="shared" si="99"/>
      </c>
      <c r="BO35" s="2332">
        <f t="shared" si="99"/>
      </c>
      <c r="BP35" s="2332">
        <f t="shared" si="99"/>
      </c>
      <c r="BQ35" s="2334">
        <f t="shared" si="99"/>
      </c>
      <c r="BR35" s="2332">
        <f t="shared" si="99"/>
      </c>
      <c r="BS35" s="2332">
        <f t="shared" si="99"/>
      </c>
      <c r="BT35" s="2332">
        <f t="shared" si="99"/>
      </c>
      <c r="BU35" s="2334">
        <f t="shared" si="99"/>
      </c>
      <c r="BV35" s="2332">
        <f t="shared" si="99"/>
      </c>
      <c r="BW35" s="2332">
        <f t="shared" si="99"/>
      </c>
      <c r="BX35" s="2332">
        <f t="shared" si="99"/>
      </c>
      <c r="BY35" s="2334">
        <f t="shared" si="99"/>
      </c>
      <c r="BZ35" s="2332">
        <f t="shared" si="99"/>
      </c>
      <c r="CA35" s="2332">
        <f t="shared" si="99"/>
      </c>
      <c r="CB35" s="2332">
        <f t="shared" si="99"/>
      </c>
      <c r="CC35" s="2334">
        <f t="shared" si="99"/>
      </c>
      <c r="CD35" s="2332">
        <f t="shared" si="99"/>
      </c>
      <c r="CE35" s="2332">
        <f t="shared" si="99"/>
      </c>
      <c r="CF35" s="2332">
        <f t="shared" si="99"/>
      </c>
      <c r="CG35" s="2334">
        <f t="shared" si="99"/>
      </c>
      <c r="CH35" s="2337">
        <f t="shared" si="99"/>
      </c>
      <c r="CI35" s="2337">
        <f t="shared" si="99"/>
      </c>
      <c r="CJ35" s="2337">
        <f t="shared" si="99"/>
      </c>
      <c r="CK35" s="2338">
        <f t="shared" si="99"/>
      </c>
      <c r="CL35" s="2332">
        <f t="shared" si="99"/>
      </c>
      <c r="CM35" s="2332">
        <f t="shared" si="99"/>
      </c>
      <c r="CN35" s="2332">
        <f t="shared" si="99"/>
      </c>
      <c r="CO35" s="2334">
        <f t="shared" si="99"/>
      </c>
      <c r="CP35" s="2332">
        <f t="shared" si="99"/>
      </c>
      <c r="CQ35" s="2332">
        <f t="shared" si="99"/>
      </c>
      <c r="CR35" s="2332">
        <f t="shared" si="99"/>
      </c>
      <c r="CS35" s="2334">
        <f t="shared" si="99"/>
      </c>
      <c r="CT35" s="2332">
        <f t="shared" si="99"/>
      </c>
      <c r="CU35" s="2332">
        <f t="shared" si="99"/>
      </c>
      <c r="CV35" s="2332">
        <f t="shared" si="99"/>
      </c>
      <c r="CW35" s="2334">
        <f t="shared" si="99"/>
      </c>
      <c r="CX35" s="2332">
        <f t="shared" si="99"/>
      </c>
      <c r="CY35" s="2332">
        <f t="shared" si="99"/>
      </c>
      <c r="CZ35" s="2332">
        <f t="shared" si="99"/>
      </c>
      <c r="DA35" s="2334">
        <f t="shared" si="99"/>
      </c>
      <c r="DB35" s="2332">
        <f t="shared" si="99"/>
      </c>
      <c r="DC35" s="2332">
        <f t="shared" si="99"/>
      </c>
      <c r="DD35" s="2332">
        <f t="shared" si="99"/>
      </c>
      <c r="DE35" s="2334">
        <f t="shared" si="99"/>
      </c>
      <c r="DF35" s="2332">
        <f t="shared" ref="DF35:DQ35" si="100">DF29+DF30+DF31+DF32+DF33</f>
      </c>
      <c r="DG35" s="2332">
        <f t="shared" si="100"/>
      </c>
      <c r="DH35" s="2332">
        <f t="shared" si="100"/>
      </c>
      <c r="DI35" s="2334">
        <f t="shared" si="100"/>
      </c>
      <c r="DJ35" s="2332">
        <f t="shared" si="100"/>
      </c>
      <c r="DK35" s="2332">
        <f t="shared" si="100"/>
      </c>
      <c r="DL35" s="2332">
        <f t="shared" si="100"/>
      </c>
      <c r="DM35" s="2334">
        <f t="shared" si="100"/>
      </c>
      <c r="DN35" s="2332">
        <f t="shared" si="100"/>
      </c>
      <c r="DO35" s="2332">
        <f t="shared" si="100"/>
      </c>
      <c r="DP35" s="2332">
        <f t="shared" si="100"/>
      </c>
      <c r="DQ35" s="2334">
        <f t="shared" si="100"/>
      </c>
      <c r="DR35" s="2332"/>
      <c r="DS35" s="2332">
        <f t="shared" ref="DS35:EM35" si="101">DS29+DS30+DS31+DS32+DS33</f>
      </c>
      <c r="DT35" s="2332">
        <f t="shared" si="101"/>
      </c>
      <c r="DU35" s="2332">
        <f t="shared" si="101"/>
      </c>
      <c r="DV35" s="2332">
        <f t="shared" si="101"/>
      </c>
      <c r="DW35" s="2332">
        <f t="shared" si="101"/>
      </c>
      <c r="DX35" s="2332">
        <f t="shared" si="101"/>
      </c>
      <c r="DY35" s="2332">
        <f t="shared" si="101"/>
      </c>
      <c r="DZ35" s="2332">
        <f t="shared" si="101"/>
      </c>
      <c r="EA35" s="2332">
        <f t="shared" si="101"/>
      </c>
      <c r="EB35" s="2332">
        <f t="shared" si="101"/>
      </c>
      <c r="EC35" s="2332">
        <f t="shared" si="101"/>
      </c>
      <c r="ED35" s="2332">
        <f t="shared" si="101"/>
      </c>
      <c r="EE35" s="2332">
        <f t="shared" si="101"/>
      </c>
      <c r="EF35" s="2332">
        <f t="shared" si="101"/>
      </c>
      <c r="EG35" s="2332">
        <f t="shared" si="101"/>
      </c>
      <c r="EH35" s="2332">
        <f t="shared" si="101"/>
      </c>
      <c r="EI35" s="2332">
        <f t="shared" si="101"/>
      </c>
      <c r="EJ35" s="2332">
        <f t="shared" si="101"/>
      </c>
      <c r="EK35" s="2332">
        <f t="shared" si="101"/>
      </c>
      <c r="EL35" s="2332">
        <f t="shared" si="101"/>
      </c>
      <c r="EM35" s="2332">
        <f t="shared" si="101"/>
      </c>
      <c r="EN35" s="2332">
        <f t="shared" ref="EN35" si="102">EN29+EN30+EN31+EN32+EN33</f>
      </c>
      <c r="EO35" s="2332">
        <f t="shared" ref="EO35:EV35" si="103">EO29+EO30+EO31+EO32+EO33</f>
      </c>
      <c r="EP35" s="2332">
        <f t="shared" si="103"/>
      </c>
      <c r="EQ35" s="2332">
        <f t="shared" si="103"/>
      </c>
      <c r="ER35" s="2332">
        <f t="shared" si="103"/>
      </c>
      <c r="ES35" s="2332">
        <f t="shared" si="103"/>
      </c>
      <c r="ET35" s="2332">
        <f t="shared" si="103"/>
      </c>
      <c r="EU35" s="2332">
        <f t="shared" si="103"/>
      </c>
      <c r="EV35" s="2332">
        <f t="shared" si="103"/>
      </c>
      <c r="EW35" s="2332"/>
      <c r="EX35" s="2332"/>
      <c r="EY35" s="2332">
        <f t="shared" ref="EY35:FF35" si="104">SUM(EY29,EY30,EY31,EY32,EY33)</f>
      </c>
      <c r="EZ35" s="2332">
        <f t="shared" si="104"/>
      </c>
      <c r="FA35" s="2332">
        <f t="shared" si="104"/>
      </c>
      <c r="FB35" s="2332">
        <f t="shared" si="104"/>
      </c>
      <c r="FC35" s="2332">
        <f t="shared" si="104"/>
      </c>
      <c r="FD35" s="2332">
        <f t="shared" si="104"/>
      </c>
      <c r="FE35" s="2332">
        <f t="shared" si="104"/>
      </c>
      <c r="FF35" s="2332">
        <f t="shared" si="104"/>
      </c>
      <c r="FG35" s="2332"/>
      <c r="FH35" s="2332"/>
      <c r="FI35" s="2332"/>
      <c r="FJ35" s="2332"/>
    </row>
    <row r="36" spans="1:166" s="673" customFormat="1" ht="12" customHeight="1">
      <c r="A36" s="2335" t="s">
        <v>690</v>
      </c>
      <c r="B36" s="673">
        <f>-'Income Statement'!V12</f>
      </c>
      <c r="C36" s="673">
        <f>-'Income Statement'!W12</f>
      </c>
      <c r="D36" s="673">
        <f>-'Income Statement'!X12</f>
      </c>
      <c r="E36" s="673">
        <f>-'Income Statement'!Y12</f>
      </c>
      <c r="F36" s="2336">
        <f>-'Income Statement'!Z12</f>
      </c>
      <c r="G36" s="673">
        <f>-'Income Statement'!AA12</f>
      </c>
      <c r="H36" s="673">
        <f>-'Income Statement'!AB12</f>
      </c>
      <c r="I36" s="2329">
        <f>-'Income Statement'!AC12</f>
      </c>
      <c r="J36" s="673">
        <f>-'Income Statement'!AD12</f>
      </c>
      <c r="K36" s="673">
        <f>-'Income Statement'!AE12</f>
      </c>
      <c r="L36" s="673">
        <f>-'Income Statement'!AF12</f>
      </c>
      <c r="M36" s="673">
        <f>-'Income Statement'!AG12</f>
      </c>
      <c r="N36" s="2336">
        <f>-'Income Statement'!AH12</f>
      </c>
      <c r="O36" s="673">
        <f>-'Income Statement'!AI12</f>
      </c>
      <c r="P36" s="673">
        <f>-'Income Statement'!AJ12</f>
      </c>
      <c r="Q36" s="2329">
        <f>-'Income Statement'!AK12</f>
      </c>
      <c r="R36" s="673">
        <f>-'Income Statement'!AL12</f>
      </c>
      <c r="S36" s="673">
        <f>-'Income Statement'!AM12</f>
      </c>
      <c r="T36" s="673">
        <f>-'Income Statement'!AN12</f>
      </c>
      <c r="U36" s="673">
        <f>-'Income Statement'!AO12</f>
      </c>
      <c r="V36" s="2336">
        <f>-'Income Statement'!AP12</f>
      </c>
      <c r="W36" s="673">
        <f>-'Income Statement'!AQ12</f>
      </c>
      <c r="X36" s="673">
        <f>-'Income Statement'!AR12</f>
      </c>
      <c r="Y36" s="2329">
        <f>-'Income Statement'!AS12</f>
      </c>
      <c r="Z36" s="673">
        <f>-'Income Statement'!AT12</f>
      </c>
      <c r="AA36" s="673">
        <f>-'Income Statement'!AU12</f>
      </c>
      <c r="AB36" s="673">
        <f>-'Income Statement'!AV12</f>
      </c>
      <c r="AC36" s="673">
        <f>-'Income Statement'!AW12</f>
      </c>
      <c r="AD36" s="2336">
        <f>-'Income Statement'!AX12</f>
      </c>
      <c r="AE36" s="673">
        <f>-'Income Statement'!AY12</f>
      </c>
      <c r="AF36" s="673">
        <f>-'Income Statement'!AZ12</f>
      </c>
      <c r="AG36" s="2329">
        <f>-'Income Statement'!BA12</f>
      </c>
      <c r="AH36" s="673">
        <f>-'Income Statement'!BB12</f>
      </c>
      <c r="AI36" s="673">
        <f>-'Income Statement'!BC12</f>
      </c>
      <c r="AJ36" s="673">
        <f>-'Income Statement'!BD12</f>
      </c>
      <c r="AK36" s="2329">
        <f>-'Income Statement'!BE12</f>
      </c>
      <c r="AL36" s="673">
        <f>-'Income Statement'!BF12</f>
      </c>
      <c r="AM36" s="673">
        <f>-'Income Statement'!BG12</f>
      </c>
      <c r="AN36" s="673">
        <f>-'Income Statement'!BH12</f>
      </c>
      <c r="AO36" s="2329">
        <f>-'Income Statement'!BI12</f>
      </c>
      <c r="AP36" s="673">
        <f>-'Income Statement'!BJ12</f>
      </c>
      <c r="AQ36" s="673">
        <f>-'Income Statement'!BK12</f>
      </c>
      <c r="AR36" s="673">
        <f>-'Income Statement'!BL12</f>
      </c>
      <c r="AS36" s="2329">
        <f>-'Income Statement'!BM12</f>
      </c>
      <c r="AT36" s="673">
        <f>-'Income Statement'!BN12</f>
      </c>
      <c r="AU36" s="673">
        <f>-'Income Statement'!BO12</f>
      </c>
      <c r="AV36" s="673">
        <f>-'Income Statement'!BP12</f>
      </c>
      <c r="AW36" s="2329">
        <f>-'Income Statement'!BQ12</f>
      </c>
      <c r="AX36" s="673">
        <f>-'Income Statement'!BR12</f>
      </c>
      <c r="AY36" s="673">
        <f>-'Income Statement'!BS12</f>
      </c>
      <c r="AZ36" s="673">
        <f>-'Income Statement'!BT12</f>
      </c>
      <c r="BA36" s="2329">
        <f>-'Income Statement'!BU12</f>
      </c>
      <c r="BB36" s="673">
        <f>-'Income Statement'!BV12</f>
      </c>
      <c r="BC36" s="673">
        <f>-'Income Statement'!BW12</f>
      </c>
      <c r="BD36" s="673">
        <f>-'Income Statement'!BX12</f>
      </c>
      <c r="BE36" s="2329">
        <f>-'Income Statement'!BY12</f>
      </c>
      <c r="BF36" s="673">
        <f>-'Income Statement'!BZ12</f>
      </c>
      <c r="BG36" s="673">
        <f>-'Income Statement'!CA12</f>
      </c>
      <c r="BH36" s="673">
        <f>-'Income Statement'!CB12</f>
      </c>
      <c r="BI36" s="2329">
        <f>-'Income Statement'!CC12</f>
      </c>
      <c r="BJ36" s="673">
        <f>-'Income Statement'!CD12</f>
      </c>
      <c r="BK36" s="673">
        <f>-'Income Statement'!CE12</f>
      </c>
      <c r="BL36" s="673">
        <f>-'Income Statement'!CF12</f>
      </c>
      <c r="BM36" s="2329">
        <f>-'Income Statement'!CG12</f>
      </c>
      <c r="BN36" s="673">
        <f>-'Income Statement'!CH12</f>
      </c>
      <c r="BO36" s="673">
        <f>-'Income Statement'!CI12</f>
      </c>
      <c r="BP36" s="673">
        <f>-'Income Statement'!CJ12</f>
      </c>
      <c r="BQ36" s="2329">
        <f>-'Income Statement'!CK12</f>
      </c>
      <c r="BR36" s="673">
        <f>-'Income Statement'!CL12</f>
      </c>
      <c r="BS36" s="673">
        <f>-'Income Statement'!CM12</f>
      </c>
      <c r="BT36" s="673">
        <f>-'Income Statement'!CN12</f>
      </c>
      <c r="BU36" s="2329">
        <f>-'Income Statement'!CO12</f>
      </c>
      <c r="BV36" s="673">
        <f>-'Income Statement'!CP12</f>
      </c>
      <c r="BW36" s="673">
        <f>-'Income Statement'!CQ12</f>
      </c>
      <c r="BX36" s="673">
        <f>-'Income Statement'!CR12</f>
      </c>
      <c r="BY36" s="2329">
        <f>-'Income Statement'!CS12</f>
      </c>
      <c r="BZ36" s="673">
        <f>-'Income Statement'!CT12</f>
      </c>
      <c r="CA36" s="673">
        <f>-'Income Statement'!CU12</f>
      </c>
      <c r="CB36" s="673">
        <f>-'Income Statement'!CV12</f>
      </c>
      <c r="CC36" s="673">
        <f>-'Income Statement'!CW12</f>
      </c>
      <c r="CD36" s="2336">
        <f>-'Income Statement'!CX12</f>
      </c>
      <c r="CE36" s="673">
        <f>-'Income Statement'!CY12</f>
      </c>
      <c r="CF36" s="673">
        <f>-'Income Statement'!CZ12</f>
      </c>
      <c r="CG36" s="2329">
        <f>-'Income Statement'!DA12</f>
      </c>
      <c r="CH36" s="2336">
        <f>-'Income Statement'!DB12</f>
      </c>
      <c r="CI36" s="673">
        <f>-'Income Statement'!DC12</f>
      </c>
      <c r="CJ36" s="673">
        <f>-'Income Statement'!DD12</f>
      </c>
      <c r="CK36" s="2328">
        <f>EN36-SUM(CH36:CJ36)</f>
      </c>
      <c r="CL36" s="673">
        <f>-'Income Statement'!DF12</f>
      </c>
      <c r="CM36" s="673">
        <f>-'Income Statement'!DG12</f>
      </c>
      <c r="CN36" s="673">
        <f>-'Income Statement'!DH12</f>
      </c>
      <c r="CO36" s="2329">
        <f>-'Income Statement'!DI12</f>
      </c>
      <c r="CP36" s="2336">
        <f>-'Income Statement'!DJ12</f>
      </c>
      <c r="CQ36" s="673">
        <f>-'Income Statement'!DK12</f>
      </c>
      <c r="CR36" s="673">
        <f>-'Income Statement'!DL12</f>
      </c>
      <c r="CS36" s="2329">
        <f>-'Income Statement'!DM12</f>
      </c>
      <c r="CT36" s="2336">
        <f>-'Income Statement'!DN12</f>
      </c>
      <c r="CU36" s="673">
        <f>-'Income Statement'!DO12</f>
      </c>
      <c r="CV36" s="673">
        <f>-'Income Statement'!DP12</f>
      </c>
      <c r="CW36" s="2329">
        <f>-'Income Statement'!DQ12</f>
      </c>
      <c r="CX36" s="2336">
        <f>-'Income Statement'!DR12</f>
      </c>
      <c r="CY36" s="673">
        <f>-'Income Statement'!DS12</f>
      </c>
      <c r="CZ36" s="673">
        <f>-'Income Statement'!DT12</f>
      </c>
      <c r="DA36" s="2329">
        <f>-'Income Statement'!DU12</f>
      </c>
      <c r="DB36" s="2336">
        <f>-'Income Statement'!DV12</f>
      </c>
      <c r="DC36" s="673">
        <f>-'Income Statement'!DW12</f>
      </c>
      <c r="DD36" s="673">
        <f>-'Income Statement'!DX12</f>
      </c>
      <c r="DE36" s="2329">
        <f>-'Income Statement'!DY12</f>
      </c>
      <c r="DF36" s="2336">
        <f>-'Income Statement'!DZ12</f>
      </c>
      <c r="DG36" s="673">
        <f>-'Income Statement'!EA12</f>
      </c>
      <c r="DH36" s="673">
        <f>-'Income Statement'!EB12</f>
      </c>
      <c r="DI36" s="2329">
        <f>-'Income Statement'!EC12</f>
      </c>
      <c r="DJ36" s="2336">
        <f>-'Income Statement'!ED12</f>
      </c>
      <c r="DK36" s="673">
        <f>-'Income Statement'!EE12</f>
      </c>
      <c r="DL36" s="673">
        <f>-'Income Statement'!EF12</f>
      </c>
      <c r="DM36" s="2329">
        <f>-'Income Statement'!EG12</f>
      </c>
      <c r="DN36" s="2336">
        <f>-'Income Statement'!EH12</f>
      </c>
      <c r="DO36" s="673">
        <f>-'Income Statement'!EI12</f>
      </c>
      <c r="DP36" s="673">
        <f>-'Income Statement'!EJ12</f>
      </c>
      <c r="DQ36" s="2329">
        <f>-'Income Statement'!EK12</f>
      </c>
      <c r="ED36" s="673">
        <f>SUM(AT36:AW36)</f>
      </c>
      <c r="EE36" s="673">
        <f>SUM(AX36:BA36)</f>
      </c>
      <c r="EF36" s="673">
        <f>SUM(BB36:BE36)</f>
      </c>
      <c r="EG36" s="673">
        <f>SUM(BF36:BI36)</f>
      </c>
      <c r="EH36" s="673">
        <f>SUM(BJ36:BM36)</f>
      </c>
      <c r="EI36" s="673">
        <f>SUM(BN36:BQ36)</f>
      </c>
      <c r="EJ36" s="673">
        <f>SUM(BR36:BU36)</f>
      </c>
      <c r="EK36" s="674">
        <v>-16217</v>
      </c>
      <c r="EL36" s="674">
        <v>-18752</v>
      </c>
      <c r="EM36" s="674">
        <v>-21914</v>
      </c>
      <c r="EN36" s="674">
        <v>-26251</v>
      </c>
      <c r="EO36" s="674">
        <v>-29915</v>
      </c>
      <c r="EP36" s="674">
        <v>-31370</v>
      </c>
      <c r="EQ36" s="2363">
        <f>SUM(CT36:CW36)</f>
      </c>
      <c r="ER36" s="2363">
        <f>SUM(CX36:DA36)</f>
      </c>
      <c r="ES36" s="2363">
        <f>SUM(DB36:DE36)</f>
      </c>
      <c r="ET36" s="2363">
        <f>SUM(DF36:DI36)</f>
      </c>
      <c r="EU36" s="2363">
        <f>SUM(DJ36:DM36)</f>
      </c>
      <c r="EV36" s="2363">
        <f>SUM(DN36:DQ36)</f>
      </c>
      <c r="EW36" s="674"/>
      <c r="EY36" s="2320">
        <f>SUM(BC36:BF36)</f>
      </c>
      <c r="EZ36" s="2320">
        <f>SUM(BG36:BJ36)</f>
      </c>
      <c r="FA36" s="673">
        <f>SUM(BK36:BN36)</f>
      </c>
      <c r="FB36" s="673">
        <f>SUM(BO36:BR36)</f>
      </c>
      <c r="FC36" s="673">
        <f>SUM(BS36:BV36)</f>
      </c>
      <c r="FD36" s="673">
        <f>SUM(BW36:BZ36)</f>
      </c>
      <c r="FE36" s="673">
        <f>SUM(CA36:CD36)</f>
      </c>
      <c r="FF36" s="673">
        <f>SUM(CE36:CH36)</f>
      </c>
    </row>
    <row r="37" spans="1:166" s="673" customFormat="1" ht="12" customHeight="1">
      <c r="A37" s="2335" t="s">
        <v>691</v>
      </c>
      <c r="B37" s="673">
        <f t="shared" ref="B37:AG37" si="105">B38-B35-B36</f>
      </c>
      <c r="C37" s="673">
        <f t="shared" si="105"/>
      </c>
      <c r="D37" s="673">
        <f t="shared" si="105"/>
      </c>
      <c r="E37" s="673">
        <f t="shared" si="105"/>
      </c>
      <c r="F37" s="2336">
        <f t="shared" si="105"/>
      </c>
      <c r="G37" s="673">
        <f t="shared" si="105"/>
      </c>
      <c r="H37" s="673">
        <f t="shared" si="105"/>
      </c>
      <c r="I37" s="2329">
        <f t="shared" si="105"/>
      </c>
      <c r="J37" s="673">
        <f t="shared" si="105"/>
      </c>
      <c r="K37" s="673">
        <f t="shared" si="105"/>
      </c>
      <c r="L37" s="673">
        <f t="shared" si="105"/>
      </c>
      <c r="M37" s="673">
        <f t="shared" si="105"/>
      </c>
      <c r="N37" s="2336">
        <f t="shared" si="105"/>
      </c>
      <c r="O37" s="673">
        <f t="shared" si="105"/>
      </c>
      <c r="P37" s="673">
        <f t="shared" si="105"/>
      </c>
      <c r="Q37" s="2329">
        <f t="shared" si="105"/>
      </c>
      <c r="R37" s="673">
        <f t="shared" si="105"/>
      </c>
      <c r="S37" s="673">
        <f t="shared" si="105"/>
      </c>
      <c r="T37" s="673">
        <f t="shared" si="105"/>
      </c>
      <c r="U37" s="673">
        <f t="shared" si="105"/>
      </c>
      <c r="V37" s="2336">
        <f t="shared" si="105"/>
      </c>
      <c r="W37" s="673">
        <f t="shared" si="105"/>
      </c>
      <c r="X37" s="673">
        <f t="shared" si="105"/>
      </c>
      <c r="Y37" s="2329">
        <f t="shared" si="105"/>
      </c>
      <c r="Z37" s="673">
        <f t="shared" si="105"/>
      </c>
      <c r="AA37" s="673">
        <f t="shared" si="105"/>
      </c>
      <c r="AB37" s="673">
        <f t="shared" si="105"/>
      </c>
      <c r="AC37" s="673">
        <f t="shared" si="105"/>
      </c>
      <c r="AD37" s="2336">
        <f t="shared" si="105"/>
      </c>
      <c r="AE37" s="673">
        <f t="shared" si="105"/>
      </c>
      <c r="AF37" s="673">
        <f t="shared" si="105"/>
      </c>
      <c r="AG37" s="2329">
        <f t="shared" si="105"/>
      </c>
      <c r="AH37" s="673">
        <f t="shared" ref="AH37:BM37" si="106">AH38-AH35-AH36</f>
      </c>
      <c r="AI37" s="673">
        <f t="shared" si="106"/>
      </c>
      <c r="AJ37" s="673">
        <f t="shared" si="106"/>
      </c>
      <c r="AK37" s="2329">
        <f t="shared" si="106"/>
      </c>
      <c r="AL37" s="673">
        <f t="shared" si="106"/>
      </c>
      <c r="AM37" s="673">
        <f t="shared" si="106"/>
      </c>
      <c r="AN37" s="673">
        <f t="shared" si="106"/>
      </c>
      <c r="AO37" s="2329">
        <f t="shared" si="106"/>
      </c>
      <c r="AP37" s="673">
        <f t="shared" si="106"/>
      </c>
      <c r="AQ37" s="673">
        <f t="shared" si="106"/>
      </c>
      <c r="AR37" s="673">
        <f t="shared" si="106"/>
      </c>
      <c r="AS37" s="2329">
        <f t="shared" si="106"/>
      </c>
      <c r="AT37" s="673">
        <f t="shared" si="106"/>
      </c>
      <c r="AU37" s="673">
        <f t="shared" si="106"/>
      </c>
      <c r="AV37" s="673">
        <f t="shared" si="106"/>
      </c>
      <c r="AW37" s="2329">
        <f t="shared" si="106"/>
      </c>
      <c r="AX37" s="673">
        <f t="shared" si="106"/>
      </c>
      <c r="AY37" s="673">
        <f t="shared" si="106"/>
      </c>
      <c r="AZ37" s="673">
        <f t="shared" si="106"/>
      </c>
      <c r="BA37" s="2329">
        <f t="shared" si="106"/>
      </c>
      <c r="BB37" s="673">
        <f t="shared" si="106"/>
      </c>
      <c r="BC37" s="673">
        <f t="shared" si="106"/>
      </c>
      <c r="BD37" s="673">
        <f t="shared" si="106"/>
      </c>
      <c r="BE37" s="2329">
        <f t="shared" si="106"/>
      </c>
      <c r="BF37" s="673">
        <f t="shared" si="106"/>
      </c>
      <c r="BG37" s="673">
        <f t="shared" si="106"/>
      </c>
      <c r="BH37" s="673">
        <f t="shared" si="106"/>
      </c>
      <c r="BI37" s="2329">
        <f t="shared" si="106"/>
      </c>
      <c r="BJ37" s="673">
        <f t="shared" si="106"/>
      </c>
      <c r="BK37" s="673">
        <f t="shared" si="106"/>
      </c>
      <c r="BL37" s="673">
        <f t="shared" si="106"/>
      </c>
      <c r="BM37" s="2329">
        <f t="shared" si="106"/>
      </c>
      <c r="BN37" s="673">
        <f t="shared" ref="BN37:CG37" si="107">BN38-BN35-BN36</f>
      </c>
      <c r="BO37" s="673">
        <f t="shared" si="107"/>
      </c>
      <c r="BP37" s="673">
        <f t="shared" si="107"/>
      </c>
      <c r="BQ37" s="2329">
        <f t="shared" si="107"/>
      </c>
      <c r="BR37" s="673">
        <f t="shared" si="107"/>
      </c>
      <c r="BS37" s="673">
        <f t="shared" si="107"/>
      </c>
      <c r="BT37" s="673">
        <f t="shared" si="107"/>
      </c>
      <c r="BU37" s="2329">
        <f t="shared" si="107"/>
      </c>
      <c r="BV37" s="673">
        <f t="shared" si="107"/>
      </c>
      <c r="BW37" s="673">
        <f t="shared" si="107"/>
      </c>
      <c r="BX37" s="673">
        <f t="shared" si="107"/>
      </c>
      <c r="BY37" s="2329">
        <f t="shared" si="107"/>
      </c>
      <c r="BZ37" s="673">
        <f t="shared" si="107"/>
      </c>
      <c r="CA37" s="673">
        <f t="shared" si="107"/>
      </c>
      <c r="CB37" s="673">
        <f t="shared" si="107"/>
      </c>
      <c r="CC37" s="673">
        <f t="shared" si="107"/>
      </c>
      <c r="CD37" s="2336">
        <f t="shared" si="107"/>
      </c>
      <c r="CE37" s="673">
        <f t="shared" si="107"/>
      </c>
      <c r="CF37" s="673">
        <f t="shared" si="107"/>
      </c>
      <c r="CG37" s="2329">
        <f t="shared" si="107"/>
      </c>
      <c r="CH37" s="2336">
        <f t="shared" ref="CH37:CJ37" si="108">CH38-CH35-CH36</f>
      </c>
      <c r="CI37" s="673">
        <f t="shared" si="108"/>
      </c>
      <c r="CJ37" s="673">
        <f t="shared" si="108"/>
      </c>
      <c r="CK37" s="2328">
        <f>EN37-SUM(CH37:CJ37)</f>
      </c>
      <c r="CL37" s="673">
        <f t="shared" ref="CL37:DQ37" si="109">CL38-CL35-CL36</f>
      </c>
      <c r="CM37" s="673">
        <f t="shared" si="109"/>
      </c>
      <c r="CN37" s="673">
        <f t="shared" si="109"/>
      </c>
      <c r="CO37" s="2329">
        <f t="shared" si="109"/>
      </c>
      <c r="CP37" s="2336">
        <f t="shared" si="109"/>
      </c>
      <c r="CQ37" s="673">
        <f t="shared" si="109"/>
      </c>
      <c r="CR37" s="673">
        <f t="shared" si="109"/>
      </c>
      <c r="CS37" s="2329">
        <f t="shared" si="109"/>
      </c>
      <c r="CT37" s="2336">
        <f t="shared" si="109"/>
      </c>
      <c r="CU37" s="673">
        <f t="shared" si="109"/>
      </c>
      <c r="CV37" s="673">
        <f t="shared" si="109"/>
      </c>
      <c r="CW37" s="2329">
        <f t="shared" si="109"/>
      </c>
      <c r="CX37" s="2336">
        <f t="shared" si="109"/>
      </c>
      <c r="CY37" s="673">
        <f t="shared" si="109"/>
      </c>
      <c r="CZ37" s="673">
        <f t="shared" si="109"/>
      </c>
      <c r="DA37" s="2329">
        <f t="shared" si="109"/>
      </c>
      <c r="DB37" s="2336">
        <f t="shared" si="109"/>
      </c>
      <c r="DC37" s="673">
        <f t="shared" si="109"/>
      </c>
      <c r="DD37" s="673">
        <f t="shared" si="109"/>
      </c>
      <c r="DE37" s="2329">
        <f t="shared" si="109"/>
      </c>
      <c r="DF37" s="2336">
        <f t="shared" si="109"/>
      </c>
      <c r="DG37" s="673">
        <f t="shared" si="109"/>
      </c>
      <c r="DH37" s="673">
        <f t="shared" si="109"/>
      </c>
      <c r="DI37" s="2329">
        <f t="shared" si="109"/>
      </c>
      <c r="DJ37" s="2336">
        <f t="shared" si="109"/>
      </c>
      <c r="DK37" s="673">
        <f t="shared" si="109"/>
      </c>
      <c r="DL37" s="673">
        <f t="shared" si="109"/>
      </c>
      <c r="DM37" s="2329">
        <f t="shared" si="109"/>
      </c>
      <c r="DN37" s="2336">
        <f t="shared" si="109"/>
      </c>
      <c r="DO37" s="673">
        <f t="shared" si="109"/>
      </c>
      <c r="DP37" s="673">
        <f t="shared" si="109"/>
      </c>
      <c r="DQ37" s="2329">
        <f t="shared" si="109"/>
      </c>
      <c r="DS37" s="673">
        <f t="shared" ref="DS37:EC37" si="110">DS38-DS35</f>
      </c>
      <c r="DT37" s="673">
        <f t="shared" si="110"/>
      </c>
      <c r="DU37" s="673">
        <f t="shared" si="110"/>
      </c>
      <c r="DV37" s="673">
        <f t="shared" si="110"/>
      </c>
      <c r="DW37" s="673">
        <f t="shared" si="110"/>
      </c>
      <c r="DX37" s="673">
        <f t="shared" si="110"/>
      </c>
      <c r="DY37" s="673">
        <f t="shared" si="110"/>
      </c>
      <c r="DZ37" s="673">
        <f t="shared" si="110"/>
      </c>
      <c r="EA37" s="673">
        <f t="shared" si="110"/>
      </c>
      <c r="EB37" s="673">
        <f t="shared" si="110"/>
      </c>
      <c r="EC37" s="673">
        <f t="shared" si="110"/>
      </c>
      <c r="ED37" s="673">
        <f t="shared" ref="ED37:EI37" si="111">ED38-ED35-ED36</f>
      </c>
      <c r="EE37" s="673">
        <f t="shared" si="111"/>
      </c>
      <c r="EF37" s="673">
        <f t="shared" si="111"/>
      </c>
      <c r="EG37" s="673">
        <f t="shared" si="111"/>
      </c>
      <c r="EH37" s="673">
        <f t="shared" si="111"/>
      </c>
      <c r="EI37" s="673">
        <f t="shared" si="111"/>
      </c>
      <c r="EJ37" s="673">
        <f>SUM(BR37:BU37)</f>
      </c>
      <c r="EK37" s="674">
        <v>-5803</v>
      </c>
      <c r="EL37" s="674">
        <v>-6200</v>
      </c>
      <c r="EM37" s="674">
        <v>-6143</v>
      </c>
      <c r="EN37" s="674">
        <v>-7207</v>
      </c>
      <c r="EO37" s="674">
        <v>-6672</v>
      </c>
      <c r="EP37" s="674">
        <v>-7458</v>
      </c>
      <c r="EQ37" s="2363">
        <f>SUM(CT37:CW37)</f>
      </c>
      <c r="ER37" s="2363">
        <f>SUM(CX37:DA37)</f>
      </c>
      <c r="ES37" s="2363">
        <f>SUM(DB37:DE37)</f>
      </c>
      <c r="ET37" s="2363">
        <f>SUM(DF37:DI37)</f>
      </c>
      <c r="EU37" s="2363">
        <f>SUM(DJ37:DM37)</f>
      </c>
      <c r="EV37" s="2363">
        <f>SUM(DN37:DQ37)</f>
      </c>
      <c r="EW37" s="674"/>
      <c r="EY37" s="673">
        <f>SUM(BC37:BF37)</f>
      </c>
      <c r="EZ37" s="673">
        <f>SUM(BG37:BJ37)</f>
      </c>
      <c r="FA37" s="673">
        <f>SUM(BK37:BN37)</f>
      </c>
      <c r="FB37" s="673">
        <f>SUM(BO37:BR37)</f>
      </c>
      <c r="FC37" s="673">
        <f>SUM(BS37:BV37)</f>
      </c>
      <c r="FD37" s="673">
        <f>SUM(BW37:BZ37)</f>
      </c>
      <c r="FE37" s="673">
        <f>SUM(CA37:CD37)</f>
      </c>
      <c r="FF37" s="673">
        <f>SUM(CE37:CH37)</f>
      </c>
    </row>
    <row r="38" spans="1:166" s="673" customFormat="1" ht="12" customHeight="1">
      <c r="A38" s="2331" t="s">
        <v>665</v>
      </c>
      <c r="B38" s="2332">
        <f>'Income Statement'!V15</f>
      </c>
      <c r="C38" s="2332">
        <f>'Income Statement'!W15</f>
      </c>
      <c r="D38" s="2332">
        <f>'Income Statement'!X15</f>
      </c>
      <c r="E38" s="2332">
        <f>'Income Statement'!Y15</f>
      </c>
      <c r="F38" s="2333">
        <f>'Income Statement'!Z15</f>
      </c>
      <c r="G38" s="2332">
        <f>'Income Statement'!AA15</f>
      </c>
      <c r="H38" s="2332">
        <f>'Income Statement'!AB15</f>
      </c>
      <c r="I38" s="2334">
        <f>'Income Statement'!AC15</f>
      </c>
      <c r="J38" s="2332">
        <f>'Income Statement'!AD15</f>
      </c>
      <c r="K38" s="2332">
        <f>'Income Statement'!AE15</f>
      </c>
      <c r="L38" s="2332">
        <f>'Income Statement'!AF15</f>
      </c>
      <c r="M38" s="2332">
        <f>'Income Statement'!AG15</f>
      </c>
      <c r="N38" s="2333">
        <f>'Income Statement'!AH15</f>
      </c>
      <c r="O38" s="2332">
        <f>'Income Statement'!AI15</f>
      </c>
      <c r="P38" s="2332">
        <f>'Income Statement'!AJ15</f>
      </c>
      <c r="Q38" s="2334">
        <f>'Income Statement'!AK15</f>
      </c>
      <c r="R38" s="2332">
        <f>'Income Statement'!AL15</f>
      </c>
      <c r="S38" s="2332">
        <f>'Income Statement'!AM15</f>
      </c>
      <c r="T38" s="2332">
        <f>'Income Statement'!AN15</f>
      </c>
      <c r="U38" s="2332">
        <f>'Income Statement'!AO15</f>
      </c>
      <c r="V38" s="2333">
        <f>'Income Statement'!AP15</f>
      </c>
      <c r="W38" s="2332">
        <f>'Income Statement'!AQ15</f>
      </c>
      <c r="X38" s="2332">
        <f>'Income Statement'!AR15</f>
      </c>
      <c r="Y38" s="2334">
        <f>'Income Statement'!AS15</f>
      </c>
      <c r="Z38" s="2332">
        <f>'Income Statement'!AT15</f>
      </c>
      <c r="AA38" s="2332">
        <f>'Income Statement'!AU15</f>
      </c>
      <c r="AB38" s="2332">
        <f>'Income Statement'!AV15</f>
      </c>
      <c r="AC38" s="2332">
        <f>'Income Statement'!AW15</f>
      </c>
      <c r="AD38" s="2333">
        <f>'Income Statement'!AX15</f>
      </c>
      <c r="AE38" s="2332">
        <f>'Income Statement'!AY15</f>
      </c>
      <c r="AF38" s="2332">
        <f>'Income Statement'!AZ15</f>
      </c>
      <c r="AG38" s="2334">
        <f>'Income Statement'!BA15</f>
      </c>
      <c r="AH38" s="2332">
        <f>'Income Statement'!BB15</f>
      </c>
      <c r="AI38" s="2332">
        <f>'Income Statement'!BC15</f>
      </c>
      <c r="AJ38" s="2332">
        <f>'Income Statement'!BD15</f>
      </c>
      <c r="AK38" s="2334">
        <f>'Income Statement'!BE15</f>
      </c>
      <c r="AL38" s="2332">
        <f>'Income Statement'!BF15</f>
      </c>
      <c r="AM38" s="2332">
        <f>'Income Statement'!BG15</f>
      </c>
      <c r="AN38" s="2332">
        <f>'Income Statement'!BH15</f>
      </c>
      <c r="AO38" s="2334">
        <f>'Income Statement'!BI15</f>
      </c>
      <c r="AP38" s="2332">
        <f>'Income Statement'!BJ15</f>
      </c>
      <c r="AQ38" s="2332">
        <f>'Income Statement'!BK15</f>
      </c>
      <c r="AR38" s="2332">
        <f>'Income Statement'!BL15</f>
      </c>
      <c r="AS38" s="2334">
        <f>'Income Statement'!BM15</f>
      </c>
      <c r="AT38" s="2332">
        <f>'Income Statement'!BN15</f>
      </c>
      <c r="AU38" s="2332">
        <f>'Income Statement'!BO15</f>
      </c>
      <c r="AV38" s="2332">
        <f>'Income Statement'!BP15</f>
      </c>
      <c r="AW38" s="2334">
        <f>'Income Statement'!BQ15</f>
      </c>
      <c r="AX38" s="2332">
        <f>'Income Statement'!BR15</f>
      </c>
      <c r="AY38" s="2332">
        <f>'Income Statement'!BS15</f>
      </c>
      <c r="AZ38" s="2332">
        <f>'Income Statement'!BT15</f>
      </c>
      <c r="BA38" s="2334">
        <f>'Income Statement'!BU15</f>
      </c>
      <c r="BB38" s="2332">
        <f>'Income Statement'!BV15</f>
      </c>
      <c r="BC38" s="2332">
        <f>'Income Statement'!BW15</f>
      </c>
      <c r="BD38" s="2332">
        <f>'Income Statement'!BX15</f>
      </c>
      <c r="BE38" s="2334">
        <f>'Income Statement'!BY15</f>
      </c>
      <c r="BF38" s="2332">
        <f>'Income Statement'!BZ15</f>
      </c>
      <c r="BG38" s="2332">
        <f>'Income Statement'!CA15</f>
      </c>
      <c r="BH38" s="2332">
        <f>'Income Statement'!CB15</f>
      </c>
      <c r="BI38" s="2334">
        <f>'Income Statement'!CC15</f>
      </c>
      <c r="BJ38" s="2332">
        <f>'Income Statement'!CD15</f>
      </c>
      <c r="BK38" s="2332">
        <f>'Income Statement'!CE15</f>
      </c>
      <c r="BL38" s="2332">
        <f>'Income Statement'!CF15</f>
      </c>
      <c r="BM38" s="2334">
        <f>'Income Statement'!CG15</f>
      </c>
      <c r="BN38" s="2332">
        <f>'Income Statement'!CH15</f>
      </c>
      <c r="BO38" s="2332">
        <f>'Income Statement'!CI15</f>
      </c>
      <c r="BP38" s="2332">
        <f>'Income Statement'!CJ15</f>
      </c>
      <c r="BQ38" s="2334">
        <f>'Income Statement'!CK15</f>
      </c>
      <c r="BR38" s="2332">
        <f>'Income Statement'!CL15</f>
      </c>
      <c r="BS38" s="2332">
        <f>'Income Statement'!CM15</f>
      </c>
      <c r="BT38" s="2332">
        <f>'Income Statement'!CN15</f>
      </c>
      <c r="BU38" s="2334">
        <f>'Income Statement'!CO15</f>
      </c>
      <c r="BV38" s="2332">
        <f>'Income Statement'!CP15</f>
      </c>
      <c r="BW38" s="2332">
        <f>'Income Statement'!CQ15</f>
      </c>
      <c r="BX38" s="2332">
        <f>'Income Statement'!CR15</f>
      </c>
      <c r="BY38" s="2334">
        <f>'Income Statement'!CS15</f>
      </c>
      <c r="BZ38" s="2332">
        <f>'Income Statement'!CT15</f>
      </c>
      <c r="CA38" s="2332">
        <f>'Income Statement'!CU15</f>
      </c>
      <c r="CB38" s="2332">
        <f>'Income Statement'!CV15</f>
      </c>
      <c r="CC38" s="2332">
        <f>'Income Statement'!CW15</f>
      </c>
      <c r="CD38" s="2333">
        <f>'Income Statement'!CX15</f>
      </c>
      <c r="CE38" s="2332">
        <f>'Income Statement'!CY15</f>
      </c>
      <c r="CF38" s="2332">
        <f>'Income Statement'!CZ15</f>
      </c>
      <c r="CG38" s="2334">
        <f>'Income Statement'!DA15</f>
      </c>
      <c r="CH38" s="2333">
        <f>'Income Statement'!DB15</f>
      </c>
      <c r="CI38" s="2332">
        <f>'Income Statement'!DC15</f>
      </c>
      <c r="CJ38" s="2332">
        <f>'Income Statement'!DD15</f>
      </c>
      <c r="CK38" s="2334">
        <f>'Income Statement'!DE15</f>
      </c>
      <c r="CL38" s="2332">
        <f>'Income Statement'!DF15</f>
      </c>
      <c r="CM38" s="2332">
        <f>'Income Statement'!DG15</f>
      </c>
      <c r="CN38" s="2332">
        <f>'Income Statement'!DH15</f>
      </c>
      <c r="CO38" s="2334">
        <f>'Income Statement'!DI15</f>
      </c>
      <c r="CP38" s="2333">
        <f>'Income Statement'!DJ15</f>
      </c>
      <c r="CQ38" s="2332">
        <f>'Income Statement'!DK15</f>
      </c>
      <c r="CR38" s="2332">
        <f>'Income Statement'!DL15</f>
      </c>
      <c r="CS38" s="2334">
        <f>'Income Statement'!DM15</f>
      </c>
      <c r="CT38" s="2333">
        <f>'Income Statement'!DN15</f>
      </c>
      <c r="CU38" s="2332">
        <f>'Income Statement'!DO15</f>
      </c>
      <c r="CV38" s="2332">
        <f>'Income Statement'!DP15</f>
      </c>
      <c r="CW38" s="2334">
        <f>'Income Statement'!DQ15</f>
      </c>
      <c r="CX38" s="2333">
        <f>'Income Statement'!DR15</f>
      </c>
      <c r="CY38" s="2332">
        <f>'Income Statement'!DS15</f>
      </c>
      <c r="CZ38" s="2332">
        <f>'Income Statement'!DT15</f>
      </c>
      <c r="DA38" s="2334">
        <f>'Income Statement'!DU15</f>
      </c>
      <c r="DB38" s="2333">
        <f>'Income Statement'!DV15</f>
      </c>
      <c r="DC38" s="2332">
        <f>'Income Statement'!DW15</f>
      </c>
      <c r="DD38" s="2332">
        <f>'Income Statement'!DX15</f>
      </c>
      <c r="DE38" s="2334">
        <f>'Income Statement'!DY15</f>
      </c>
      <c r="DF38" s="2333">
        <f>'Income Statement'!DZ15</f>
      </c>
      <c r="DG38" s="2332">
        <f>'Income Statement'!EA15</f>
      </c>
      <c r="DH38" s="2332">
        <f>'Income Statement'!EB15</f>
      </c>
      <c r="DI38" s="2334">
        <f>'Income Statement'!EC15</f>
      </c>
      <c r="DJ38" s="2333">
        <f>'Income Statement'!ED15</f>
      </c>
      <c r="DK38" s="2332">
        <f>'Income Statement'!EE15</f>
      </c>
      <c r="DL38" s="2332">
        <f>'Income Statement'!EF15</f>
      </c>
      <c r="DM38" s="2334">
        <f>'Income Statement'!EG15</f>
      </c>
      <c r="DN38" s="2333">
        <f>'Income Statement'!EH15</f>
      </c>
      <c r="DO38" s="2332">
        <f>'Income Statement'!EI15</f>
      </c>
      <c r="DP38" s="2332">
        <f>'Income Statement'!EJ15</f>
      </c>
      <c r="DQ38" s="2334">
        <f>'Income Statement'!EK15</f>
      </c>
      <c r="DR38" s="2332"/>
      <c r="DS38" s="2332">
        <f>'Income Statement'!ER15</f>
      </c>
      <c r="DT38" s="2332">
        <f>'Income Statement'!ES15</f>
      </c>
      <c r="DU38" s="2332">
        <f>'Income Statement'!ET15</f>
      </c>
      <c r="DV38" s="2332">
        <f>'Income Statement'!EU15</f>
      </c>
      <c r="DW38" s="2332">
        <f>'Income Statement'!EV15</f>
      </c>
      <c r="DX38" s="2332">
        <f>'Income Statement'!EW15</f>
      </c>
      <c r="DY38" s="2332">
        <f>'Income Statement'!EX15</f>
      </c>
      <c r="DZ38" s="2332">
        <f>'Income Statement'!EY15</f>
      </c>
      <c r="EA38" s="2332">
        <f>'Income Statement'!EZ15</f>
      </c>
      <c r="EB38" s="2332">
        <f>'Income Statement'!FA15</f>
      </c>
      <c r="EC38" s="2332">
        <f>'Income Statement'!FB15</f>
      </c>
      <c r="ED38" s="2332">
        <f>'Income Statement'!FC15</f>
      </c>
      <c r="EE38" s="2332">
        <f>'Income Statement'!FD15</f>
      </c>
      <c r="EF38" s="2332">
        <f>'Income Statement'!FE15</f>
      </c>
      <c r="EG38" s="2332">
        <f>'Income Statement'!FF15</f>
      </c>
      <c r="EH38" s="2332">
        <f>'Income Statement'!FG15</f>
      </c>
      <c r="EI38" s="2332">
        <f>'Income Statement'!FH15</f>
      </c>
      <c r="EJ38" s="2332">
        <f>'Income Statement'!FI15</f>
      </c>
      <c r="EK38" s="2332">
        <f>'Income Statement'!FJ15</f>
      </c>
      <c r="EL38" s="2332">
        <f>'Income Statement'!FK15</f>
      </c>
      <c r="EM38" s="2332">
        <f>'Income Statement'!FL15</f>
      </c>
      <c r="EN38" s="2332">
        <f>'Income Statement'!FM15</f>
      </c>
      <c r="EO38" s="2332">
        <f>'Income Statement'!FN15</f>
      </c>
      <c r="EP38" s="2332">
        <f>'Income Statement'!FO15</f>
      </c>
      <c r="EQ38" s="2332">
        <f>'Income Statement'!FP15</f>
      </c>
      <c r="ER38" s="2332">
        <f>'Income Statement'!FQ15</f>
      </c>
      <c r="ES38" s="2332">
        <f>'Income Statement'!FR15</f>
      </c>
      <c r="ET38" s="2332">
        <f>'Income Statement'!FS15</f>
      </c>
      <c r="EU38" s="2332">
        <f>'Income Statement'!FT15</f>
      </c>
      <c r="EV38" s="2332">
        <f>'Income Statement'!FU15</f>
      </c>
      <c r="EW38" s="2332"/>
      <c r="EX38" s="2332"/>
      <c r="EY38" s="2332">
        <f>SUM(BI38:BL38)</f>
      </c>
      <c r="EZ38" s="2332">
        <f>SUM(BJ38:BM38)</f>
      </c>
      <c r="FA38" s="2332">
        <f>SUM(BK38:BN38)</f>
      </c>
      <c r="FB38" s="2332">
        <f>SUM(BO38:BR38)</f>
      </c>
      <c r="FC38" s="2332">
        <f>SUM(BS38:BV38)</f>
      </c>
      <c r="FD38" s="2332">
        <f>SUM(BW38:BZ38)</f>
      </c>
      <c r="FE38" s="2332">
        <f>SUM(CA38:CD38)</f>
      </c>
      <c r="FF38" s="2332">
        <f>SUM(CE38:CH38)</f>
      </c>
      <c r="FG38" s="2332"/>
      <c r="FH38" s="2332"/>
      <c r="FI38" s="2332"/>
      <c r="FJ38" s="2332"/>
    </row>
    <row r="39" spans="1:166" s="2375" customFormat="1" ht="12" customHeight="1">
      <c r="A39" s="2371"/>
      <c r="B39" s="2372"/>
      <c r="C39" s="2372"/>
      <c r="D39" s="2372"/>
      <c r="E39" s="2372"/>
      <c r="F39" s="2373"/>
      <c r="G39" s="2372"/>
      <c r="H39" s="2372"/>
      <c r="I39" s="2374"/>
      <c r="J39" s="2372"/>
      <c r="K39" s="2372"/>
      <c r="L39" s="2372"/>
      <c r="M39" s="2372"/>
      <c r="N39" s="2373"/>
      <c r="O39" s="2372"/>
      <c r="P39" s="2372"/>
      <c r="Q39" s="2374"/>
      <c r="R39" s="2372"/>
      <c r="S39" s="2372"/>
      <c r="T39" s="2372"/>
      <c r="U39" s="2372"/>
      <c r="V39" s="2373"/>
      <c r="W39" s="2372"/>
      <c r="X39" s="2372"/>
      <c r="Y39" s="2374"/>
      <c r="Z39" s="2372"/>
      <c r="AA39" s="2372"/>
      <c r="AB39" s="2372"/>
      <c r="AC39" s="2372"/>
      <c r="AD39" s="2373"/>
      <c r="AE39" s="2372"/>
      <c r="AF39" s="2372"/>
      <c r="AG39" s="2374"/>
      <c r="AH39" s="2372"/>
      <c r="AI39" s="2372"/>
      <c r="AJ39" s="2372"/>
      <c r="AK39" s="2374"/>
      <c r="AL39" s="2372"/>
      <c r="AM39" s="2372"/>
      <c r="AN39" s="2372"/>
      <c r="AO39" s="2372"/>
      <c r="AP39" s="2373"/>
      <c r="AQ39" s="2372"/>
      <c r="AR39" s="2372"/>
      <c r="AS39" s="2374"/>
      <c r="AT39" s="2372"/>
      <c r="AU39" s="2372"/>
      <c r="AV39" s="2372"/>
      <c r="AW39" s="2372"/>
      <c r="AX39" s="2373"/>
      <c r="AY39" s="2372"/>
      <c r="AZ39" s="2372"/>
      <c r="BA39" s="2374"/>
      <c r="BB39" s="2372"/>
      <c r="BC39" s="2372"/>
      <c r="BD39" s="2372"/>
      <c r="BE39" s="2372"/>
      <c r="BF39" s="2373"/>
      <c r="BG39" s="2372"/>
      <c r="BH39" s="2372"/>
      <c r="BI39" s="2374"/>
      <c r="BJ39" s="2372"/>
      <c r="BK39" s="2372"/>
      <c r="BL39" s="2372"/>
      <c r="BM39" s="2372"/>
      <c r="BN39" s="2373"/>
      <c r="BO39" s="2372"/>
      <c r="BP39" s="2372"/>
      <c r="BQ39" s="2374"/>
      <c r="BR39" s="2372"/>
      <c r="BS39" s="2372"/>
      <c r="BT39" s="2372"/>
      <c r="BU39" s="2372"/>
      <c r="BV39" s="2373">
        <f t="shared" ref="BV39:CG39" si="112">BV35+BV36+BV37-BV38</f>
      </c>
      <c r="BW39" s="2372">
        <f t="shared" si="112"/>
      </c>
      <c r="BX39" s="2372">
        <f t="shared" si="112"/>
      </c>
      <c r="BY39" s="2374">
        <f t="shared" si="112"/>
      </c>
      <c r="BZ39" s="2372">
        <f t="shared" si="112"/>
      </c>
      <c r="CA39" s="2372">
        <f t="shared" si="112"/>
      </c>
      <c r="CB39" s="2372">
        <f t="shared" si="112"/>
      </c>
      <c r="CC39" s="2372">
        <f t="shared" si="112"/>
      </c>
      <c r="CD39" s="2373">
        <f t="shared" si="112"/>
      </c>
      <c r="CE39" s="2372">
        <f t="shared" si="112"/>
      </c>
      <c r="CF39" s="2372">
        <f t="shared" si="112"/>
      </c>
      <c r="CG39" s="2374">
        <f t="shared" si="112"/>
      </c>
      <c r="CH39" s="2369">
        <f t="shared" ref="CH39:CW39" si="113">CH35+CH36+CH37-CH38</f>
      </c>
      <c r="CI39" s="2369">
        <f t="shared" si="113"/>
      </c>
      <c r="CJ39" s="2369">
        <f t="shared" si="113"/>
      </c>
      <c r="CK39" s="2370">
        <f t="shared" si="113"/>
      </c>
      <c r="CL39" s="2372">
        <f t="shared" si="113"/>
      </c>
      <c r="CM39" s="2372">
        <f t="shared" si="113"/>
      </c>
      <c r="CN39" s="2372">
        <f t="shared" si="113"/>
      </c>
      <c r="CO39" s="2374">
        <f t="shared" si="113"/>
      </c>
      <c r="CP39" s="2372">
        <f t="shared" si="113"/>
      </c>
      <c r="CQ39" s="2372">
        <f t="shared" si="113"/>
      </c>
      <c r="CR39" s="2372">
        <f t="shared" si="113"/>
      </c>
      <c r="CS39" s="2374">
        <f t="shared" si="113"/>
      </c>
      <c r="CT39" s="2372">
        <f t="shared" si="113"/>
      </c>
      <c r="CU39" s="2372">
        <f t="shared" si="113"/>
      </c>
      <c r="CV39" s="2372">
        <f t="shared" si="113"/>
      </c>
      <c r="CW39" s="2374">
        <f t="shared" si="113"/>
      </c>
      <c r="CX39" s="2372"/>
      <c r="CY39" s="2372"/>
      <c r="CZ39" s="2372"/>
      <c r="DA39" s="2374"/>
      <c r="DB39" s="2372"/>
      <c r="DC39" s="2372"/>
      <c r="DD39" s="2372"/>
      <c r="DE39" s="2374"/>
      <c r="DF39" s="2372"/>
      <c r="DG39" s="2372"/>
      <c r="DH39" s="2372"/>
      <c r="DI39" s="2374"/>
      <c r="DJ39" s="2372"/>
      <c r="DK39" s="2372"/>
      <c r="DL39" s="2372"/>
      <c r="DM39" s="2374"/>
      <c r="DN39" s="2372"/>
      <c r="DO39" s="2372"/>
      <c r="DP39" s="2372"/>
      <c r="DQ39" s="2374"/>
      <c r="DR39" s="2372"/>
      <c r="DS39" s="2372"/>
      <c r="DT39" s="2372"/>
      <c r="DU39" s="2372"/>
      <c r="DV39" s="2372"/>
      <c r="DW39" s="2372"/>
      <c r="DX39" s="2372"/>
      <c r="DY39" s="2372"/>
      <c r="DZ39" s="2372"/>
      <c r="EA39" s="2372"/>
      <c r="EB39" s="2372"/>
      <c r="EC39" s="2372"/>
      <c r="ED39" s="2369">
        <f t="shared" ref="ED39:EM39" si="114">ED35+ED36+ED37-ED38</f>
      </c>
      <c r="EE39" s="2369">
        <f t="shared" si="114"/>
      </c>
      <c r="EF39" s="2369">
        <f t="shared" si="114"/>
      </c>
      <c r="EG39" s="2369">
        <f t="shared" si="114"/>
      </c>
      <c r="EH39" s="2369">
        <f t="shared" si="114"/>
      </c>
      <c r="EI39" s="2369">
        <f t="shared" si="114"/>
      </c>
      <c r="EJ39" s="2369">
        <f t="shared" si="114"/>
      </c>
      <c r="EK39" s="2369">
        <f t="shared" si="114"/>
      </c>
      <c r="EL39" s="2369">
        <f t="shared" si="114"/>
      </c>
      <c r="EM39" s="2369">
        <f t="shared" si="114"/>
      </c>
      <c r="EN39" s="2369">
        <f>EN35+EN36+EN37-EN38</f>
      </c>
      <c r="EO39" s="2369">
        <f t="shared" ref="EO39:EV39" si="115">EO35+EO36+EO37-EO38</f>
      </c>
      <c r="EP39" s="2369">
        <f t="shared" si="115"/>
      </c>
      <c r="EQ39" s="2369">
        <f t="shared" si="115"/>
      </c>
      <c r="ER39" s="2369">
        <f t="shared" si="115"/>
      </c>
      <c r="ES39" s="2369">
        <f t="shared" si="115"/>
      </c>
      <c r="ET39" s="2369">
        <f t="shared" si="115"/>
      </c>
      <c r="EU39" s="2369">
        <f t="shared" si="115"/>
      </c>
      <c r="EV39" s="2369">
        <f t="shared" si="115"/>
      </c>
      <c r="EW39" s="2372"/>
      <c r="EX39" s="2372"/>
      <c r="EY39" s="2372"/>
      <c r="EZ39" s="2372"/>
      <c r="FA39" s="2372"/>
      <c r="FB39" s="2372"/>
      <c r="FC39" s="2372"/>
      <c r="FD39" s="2372"/>
      <c r="FE39" s="2372"/>
      <c r="FF39" s="2372"/>
      <c r="FG39" s="2372"/>
      <c r="FH39" s="2372"/>
      <c r="FI39" s="2372"/>
      <c r="FJ39" s="2372"/>
    </row>
    <row r="40" spans="1:166">
      <c r="A40" s="1527" t="s">
        <v>718</v>
      </c>
      <c r="B40" s="400">
        <v>8.2776830769230756</v>
      </c>
      <c r="C40" s="400">
        <v>8.2773890625000028</v>
      </c>
      <c r="D40" s="400">
        <v>8.2771276923076922</v>
      </c>
      <c r="E40" s="400">
        <v>8.2768969230769187</v>
      </c>
      <c r="F40" s="399">
        <v>8.2768437499999994</v>
      </c>
      <c r="G40" s="400">
        <v>8.2768079365079341</v>
      </c>
      <c r="H40" s="400">
        <v>8.2770765624999996</v>
      </c>
      <c r="I40" s="1508">
        <v>8.2768203124999964</v>
      </c>
      <c r="J40" s="400">
        <v>8.2771140624999955</v>
      </c>
      <c r="K40" s="400">
        <v>8.2771193548387068</v>
      </c>
      <c r="L40" s="400">
        <v>8.2770333333333248</v>
      </c>
      <c r="M40" s="400">
        <v>8.2771359374999953</v>
      </c>
      <c r="N40" s="399">
        <v>8.2768953125000007</v>
      </c>
      <c r="O40" s="400">
        <v>8.277038095238094</v>
      </c>
      <c r="P40" s="400">
        <v>8.2768809523809512</v>
      </c>
      <c r="Q40" s="1508">
        <v>8.2767312499999974</v>
      </c>
      <c r="R40" s="400">
        <v>8.2765109375000012</v>
      </c>
      <c r="S40" s="400">
        <v>8.2765000000000022</v>
      </c>
      <c r="T40" s="400">
        <v>8.2765000000000022</v>
      </c>
      <c r="U40" s="400">
        <v>8.1300593750000001</v>
      </c>
      <c r="V40" s="399">
        <v>8.0748584615384633</v>
      </c>
      <c r="W40" s="400">
        <v>8.0491312500000021</v>
      </c>
      <c r="X40" s="1509">
        <v>8.0114680000000007</v>
      </c>
      <c r="Y40" s="1510">
        <v>7.9660726000000004</v>
      </c>
      <c r="Z40" s="1509">
        <v>7.8635925999999996</v>
      </c>
      <c r="AA40" s="1509">
        <v>7.7605060000000003</v>
      </c>
      <c r="AB40" s="1509">
        <v>7.6783299999999999</v>
      </c>
      <c r="AC40" s="1509">
        <v>7.559094</v>
      </c>
      <c r="AD40" s="1511">
        <v>7.4337850000000003</v>
      </c>
      <c r="AE40" s="1509">
        <v>7.1651696999999999</v>
      </c>
      <c r="AF40" s="1509">
        <v>6.9585394999999997</v>
      </c>
      <c r="AG40" s="1510">
        <v>6.8420133999999999</v>
      </c>
      <c r="AH40" s="1511">
        <v>6.8407689999999999</v>
      </c>
      <c r="AI40" s="1509">
        <v>6.8359646999999999</v>
      </c>
      <c r="AJ40" s="1509">
        <v>6.8301619999999996</v>
      </c>
      <c r="AK40" s="1510">
        <v>6.8308780000000002</v>
      </c>
      <c r="AL40" s="1509">
        <v>6.8273897000000003</v>
      </c>
      <c r="AM40" s="1509">
        <v>6.8274403000000001</v>
      </c>
      <c r="AN40" s="1509">
        <v>6.8241180000000004</v>
      </c>
      <c r="AO40" s="1509">
        <v>6.7693763000000002</v>
      </c>
      <c r="AP40" s="1511">
        <v>6.6561102999999999</v>
      </c>
      <c r="AQ40" s="1509">
        <v>6.5830507000000003</v>
      </c>
      <c r="AR40" s="1509">
        <v>6.5003960000000003</v>
      </c>
      <c r="AS40" s="1510">
        <v>6.4172359999999999</v>
      </c>
      <c r="AT40" s="1509">
        <v>6.3593299999999999</v>
      </c>
      <c r="AU40" s="1509">
        <v>6.3104180000000003</v>
      </c>
      <c r="AV40" s="1509">
        <v>6.3312564</v>
      </c>
      <c r="AW40" s="1509">
        <v>6.3517469999999996</v>
      </c>
      <c r="AX40" s="1511">
        <v>6.2450720000000004</v>
      </c>
      <c r="AY40" s="1509">
        <v>6.2235480000000001</v>
      </c>
      <c r="AZ40" s="1509">
        <v>6.1553250000000004</v>
      </c>
      <c r="BA40" s="1510">
        <v>6.1258416000000002</v>
      </c>
      <c r="BB40" s="1509">
        <v>6.0911759999999999</v>
      </c>
      <c r="BC40" s="1509">
        <v>6.0999125999999997</v>
      </c>
      <c r="BD40" s="1509">
        <v>6.2314059999999998</v>
      </c>
      <c r="BE40" s="1509">
        <v>6.1656219999999999</v>
      </c>
      <c r="BF40" s="1511">
        <v>6.1486660000000004</v>
      </c>
      <c r="BG40" s="1509">
        <v>6.2356920000000002</v>
      </c>
      <c r="BH40" s="1509">
        <v>6.2038926999999999</v>
      </c>
      <c r="BI40" s="1510">
        <v>6.3019132999999998</v>
      </c>
      <c r="BJ40" s="1509">
        <v>6.392652</v>
      </c>
      <c r="BK40" s="1509">
        <v>6.5401030000000002</v>
      </c>
      <c r="BL40" s="1509">
        <v>6.5335349999999996</v>
      </c>
      <c r="BM40" s="1509">
        <v>6.6658863999999998</v>
      </c>
      <c r="BN40" s="1511">
        <v>6.8302509999999996</v>
      </c>
      <c r="BO40" s="1509">
        <v>6.89025</v>
      </c>
      <c r="BP40" s="1509">
        <v>6.8618880000000004</v>
      </c>
      <c r="BQ40" s="1510">
        <v>6.6724360000000003</v>
      </c>
      <c r="BR40" s="1509">
        <v>6.6137347000000002</v>
      </c>
      <c r="BS40" s="1509">
        <v>6.3625727000000003</v>
      </c>
      <c r="BT40" s="1509">
        <v>6.3771409999999999</v>
      </c>
      <c r="BU40" s="1509">
        <v>6.8027410000000001</v>
      </c>
      <c r="BV40" s="1511">
        <v>6.9163629999999996</v>
      </c>
      <c r="BW40" s="1509">
        <v>6.7494290000000001</v>
      </c>
      <c r="BX40" s="1509">
        <v>6.8209876999999999</v>
      </c>
      <c r="BY40" s="1510">
        <v>7.0137729999999996</v>
      </c>
      <c r="BZ40" s="1509">
        <v>7.0461549999999997</v>
      </c>
      <c r="CA40" s="1509">
        <v>6.9785094000000001</v>
      </c>
      <c r="CB40" s="1509">
        <v>7.0879836000000003</v>
      </c>
      <c r="CC40" s="1509">
        <v>6.9208683999999998</v>
      </c>
      <c r="CD40" s="1511">
        <v>6.6282220000000001</v>
      </c>
      <c r="CE40" s="1509">
        <v>6.4811569999999996</v>
      </c>
      <c r="CF40" s="1509">
        <v>6.460572</v>
      </c>
      <c r="CG40" s="1510">
        <v>6.4688639999999999</v>
      </c>
      <c r="CH40" s="1509">
        <v>6.3944488000000002</v>
      </c>
      <c r="CI40" s="1509">
        <v>6.3490529999999996</v>
      </c>
      <c r="CJ40" s="1509">
        <v>6.6022660000000002</v>
      </c>
      <c r="CK40" s="1510">
        <v>6.8508950000000004</v>
      </c>
      <c r="CL40" s="2694">
        <v>7.1139910000000004</v>
      </c>
      <c r="CM40" s="2694">
        <v>6.8453480000000004</v>
      </c>
      <c r="CN40" s="2694">
        <v>6.9448432999999996</v>
      </c>
      <c r="CO40" s="2695">
        <v>7.2470929999999996</v>
      </c>
      <c r="CP40" s="2694">
        <v>7.2284063999999999</v>
      </c>
      <c r="CQ40" s="2694">
        <v>7.1859270000000004</v>
      </c>
      <c r="CR40" s="2694">
        <v>7.2421090000000001</v>
      </c>
      <c r="CS40" s="2392">
        <f t="shared" ref="CS40:DQ40" si="116">CR40</f>
      </c>
      <c r="CT40" s="2393">
        <f t="shared" si="116"/>
      </c>
      <c r="CU40" s="2393">
        <f t="shared" si="116"/>
      </c>
      <c r="CV40" s="2393">
        <f t="shared" si="116"/>
      </c>
      <c r="CW40" s="2392">
        <f t="shared" si="116"/>
      </c>
      <c r="CX40" s="2393">
        <f t="shared" si="116"/>
      </c>
      <c r="CY40" s="2393">
        <f t="shared" si="116"/>
      </c>
      <c r="CZ40" s="2393">
        <f t="shared" si="116"/>
      </c>
      <c r="DA40" s="2392">
        <f t="shared" si="116"/>
      </c>
      <c r="DB40" s="2393">
        <f t="shared" si="116"/>
      </c>
      <c r="DC40" s="2393">
        <f t="shared" si="116"/>
      </c>
      <c r="DD40" s="2393">
        <f t="shared" si="116"/>
      </c>
      <c r="DE40" s="2392">
        <f t="shared" si="116"/>
      </c>
      <c r="DF40" s="2393">
        <f t="shared" si="116"/>
      </c>
      <c r="DG40" s="2393">
        <f t="shared" si="116"/>
      </c>
      <c r="DH40" s="2393">
        <f t="shared" si="116"/>
      </c>
      <c r="DI40" s="2392">
        <f t="shared" si="116"/>
      </c>
      <c r="DJ40" s="2393">
        <f t="shared" si="116"/>
      </c>
      <c r="DK40" s="2393">
        <f t="shared" si="116"/>
      </c>
      <c r="DL40" s="2393">
        <f t="shared" si="116"/>
      </c>
      <c r="DM40" s="2392">
        <f t="shared" si="116"/>
      </c>
      <c r="DN40" s="2393">
        <f t="shared" si="116"/>
      </c>
      <c r="DO40" s="2393">
        <f t="shared" si="116"/>
      </c>
      <c r="DP40" s="2393">
        <f t="shared" si="116"/>
      </c>
      <c r="DQ40" s="2392">
        <f t="shared" si="116"/>
      </c>
      <c r="DR40" s="39"/>
      <c r="DS40" s="39"/>
      <c r="DT40" s="39"/>
      <c r="DU40" s="39"/>
      <c r="DV40" s="39"/>
      <c r="DW40" s="39"/>
      <c r="DX40" s="39"/>
      <c r="DY40" s="39"/>
      <c r="DZ40" s="39"/>
      <c r="EA40" s="39"/>
      <c r="EB40" s="39"/>
      <c r="EC40" s="39"/>
      <c r="ED40" s="1512">
        <f>AVERAGE(AT40:AW40)</f>
      </c>
      <c r="EE40" s="1512">
        <f>AVERAGE(AX40:BA40)</f>
      </c>
      <c r="EF40" s="1512">
        <f>AVERAGE(BB40:BE40)</f>
      </c>
      <c r="EG40" s="1512">
        <f>AVERAGE(BF40:BI40)</f>
      </c>
      <c r="EH40" s="1512">
        <f>AVERAGE(BJ40:BM40)</f>
      </c>
      <c r="EI40" s="1512">
        <f>AVERAGE(BN40:BQ40)</f>
      </c>
      <c r="EJ40" s="1512">
        <f>AVERAGE(BR40:BU40)</f>
      </c>
      <c r="EK40" s="1512">
        <f>AVERAGE(BS40:BV40)</f>
      </c>
      <c r="EL40" s="1512">
        <f>AVERAGE(BW40:BZ40)</f>
      </c>
      <c r="EM40" s="1512">
        <f>AVERAGE(CE40:CH40)</f>
      </c>
      <c r="EN40" s="1512">
        <f t="shared" ref="EN40:EV41" si="117">AVERAGE(CI40:CL40)</f>
      </c>
      <c r="EO40" s="1512">
        <f t="shared" si="117"/>
      </c>
      <c r="EP40" s="1512">
        <f t="shared" si="117"/>
      </c>
      <c r="EQ40" s="1512">
        <f t="shared" si="117"/>
      </c>
      <c r="ER40" s="1512">
        <f t="shared" si="117"/>
      </c>
      <c r="ES40" s="1512">
        <f t="shared" si="117"/>
      </c>
      <c r="ET40" s="1512">
        <f t="shared" si="117"/>
      </c>
      <c r="EU40" s="1512">
        <f t="shared" si="117"/>
      </c>
      <c r="EV40" s="1512">
        <f t="shared" si="117"/>
      </c>
      <c r="EW40" s="1512"/>
      <c r="EX40" s="39"/>
      <c r="EY40" s="39"/>
      <c r="EZ40" s="39"/>
      <c r="FA40" s="39"/>
      <c r="FB40" s="39"/>
      <c r="FC40" s="1513">
        <f>AVERAGE(BS40:BV40)</f>
      </c>
      <c r="FD40" s="1513">
        <f>AVERAGE(BW40:BZ40)</f>
      </c>
      <c r="FE40" s="1513">
        <f>AVERAGE(CA40:CD40)</f>
      </c>
      <c r="FF40" s="1513">
        <f>AVERAGE(CE40:CH40)</f>
      </c>
      <c r="FG40" s="39"/>
      <c r="FH40" s="39"/>
      <c r="FI40" s="39"/>
      <c r="FJ40" s="39"/>
    </row>
    <row r="41" spans="1:166">
      <c r="A41" s="1528" t="s">
        <v>717</v>
      </c>
      <c r="B41" s="1494">
        <v>109.79153846153851</v>
      </c>
      <c r="C41" s="1494">
        <v>118.20437499999996</v>
      </c>
      <c r="D41" s="1494">
        <v>122.52784615384616</v>
      </c>
      <c r="E41" s="1494">
        <v>121.53999999999998</v>
      </c>
      <c r="F41" s="1495">
        <v>123.61125000000003</v>
      </c>
      <c r="G41" s="1494">
        <v>132.42111111111106</v>
      </c>
      <c r="H41" s="1494">
        <v>126.75359375000002</v>
      </c>
      <c r="I41" s="1496">
        <v>119.17921874999998</v>
      </c>
      <c r="J41" s="1494">
        <v>122.47468749999999</v>
      </c>
      <c r="K41" s="1494">
        <v>118.94354838709675</v>
      </c>
      <c r="L41" s="1494">
        <v>118.4719047619048</v>
      </c>
      <c r="M41" s="1494">
        <v>117.43828125000005</v>
      </c>
      <c r="N41" s="1495">
        <v>108.73124999999999</v>
      </c>
      <c r="O41" s="1494">
        <v>107.27079365079366</v>
      </c>
      <c r="P41" s="1494">
        <v>109.72857142857143</v>
      </c>
      <c r="Q41" s="1496">
        <v>109.92687499999998</v>
      </c>
      <c r="R41" s="1494">
        <v>105.63453125000001</v>
      </c>
      <c r="S41" s="1494">
        <v>104.48777777777779</v>
      </c>
      <c r="T41" s="1494">
        <v>107.47285714285712</v>
      </c>
      <c r="U41" s="1494">
        <v>111.16156249999997</v>
      </c>
      <c r="V41" s="1495">
        <v>117.23646153846155</v>
      </c>
      <c r="W41" s="1494">
        <v>116.85749999999997</v>
      </c>
      <c r="X41" s="1497">
        <v>114.35698155662037</v>
      </c>
      <c r="Y41" s="1498">
        <v>116.18853728042836</v>
      </c>
      <c r="Z41" s="1497">
        <v>117.76575284760536</v>
      </c>
      <c r="AA41" s="1497">
        <v>119.33931843883168</v>
      </c>
      <c r="AB41" s="1497">
        <v>120.71853604148468</v>
      </c>
      <c r="AC41" s="1497">
        <v>117.80917811251553</v>
      </c>
      <c r="AD41" s="1499">
        <v>113.13569959665992</v>
      </c>
      <c r="AE41" s="1497">
        <v>105.29054451952715</v>
      </c>
      <c r="AF41" s="1497">
        <v>104.48548889857354</v>
      </c>
      <c r="AG41" s="1498">
        <v>107.5219391796775</v>
      </c>
      <c r="AH41" s="1499">
        <v>95.9578798643808</v>
      </c>
      <c r="AI41" s="1497">
        <v>93.482293004729357</v>
      </c>
      <c r="AJ41" s="1497">
        <v>97.403353227318874</v>
      </c>
      <c r="AK41" s="1498">
        <v>93.578529042845119</v>
      </c>
      <c r="AL41" s="1497">
        <v>89.825541731105261</v>
      </c>
      <c r="AM41" s="1497">
        <v>90.747972009695516</v>
      </c>
      <c r="AN41" s="1497">
        <v>92.08608501903052</v>
      </c>
      <c r="AO41" s="1497">
        <v>85.761572194863319</v>
      </c>
      <c r="AP41" s="1499">
        <v>82.550043487362913</v>
      </c>
      <c r="AQ41" s="1497">
        <v>82.252078355797408</v>
      </c>
      <c r="AR41" s="1497">
        <v>81.548435163000235</v>
      </c>
      <c r="AS41" s="1498">
        <v>77.687564388424462</v>
      </c>
      <c r="AT41" s="1497">
        <v>77.321765790979626</v>
      </c>
      <c r="AU41" s="1497">
        <v>79.196052361895539</v>
      </c>
      <c r="AV41" s="1497">
        <v>80.100978497533134</v>
      </c>
      <c r="AW41" s="1497">
        <v>78.629305637575754</v>
      </c>
      <c r="AX41" s="1499">
        <v>81.092865847017819</v>
      </c>
      <c r="AY41" s="1497">
        <v>91.967739924060396</v>
      </c>
      <c r="AZ41" s="1497">
        <v>98.607465373988546</v>
      </c>
      <c r="BA41" s="1498">
        <v>98.892121452578905</v>
      </c>
      <c r="BB41" s="1497">
        <v>100.34567076665697</v>
      </c>
      <c r="BC41" s="1497">
        <v>102.82043654884026</v>
      </c>
      <c r="BD41" s="1497">
        <v>102.11186743102165</v>
      </c>
      <c r="BE41" s="1497">
        <v>103.86999880237892</v>
      </c>
      <c r="BF41" s="1499">
        <v>114.23243627743449</v>
      </c>
      <c r="BG41" s="1497">
        <v>119.17703963756833</v>
      </c>
      <c r="BH41" s="1497">
        <v>121.33751802165486</v>
      </c>
      <c r="BI41" s="1498">
        <v>122.14358075632771</v>
      </c>
      <c r="BJ41" s="1497">
        <v>121.37961772824573</v>
      </c>
      <c r="BK41" s="1497">
        <v>115.21450117363251</v>
      </c>
      <c r="BL41" s="1497">
        <v>107.92185249154865</v>
      </c>
      <c r="BM41" s="1497">
        <v>102.32687214175463</v>
      </c>
      <c r="BN41" s="1499">
        <v>109.21351416761391</v>
      </c>
      <c r="BO41" s="1497">
        <v>113.63050779144507</v>
      </c>
      <c r="BP41" s="1497">
        <v>111.09761892250197</v>
      </c>
      <c r="BQ41" s="1498">
        <v>110.96084546838125</v>
      </c>
      <c r="BR41" s="1497">
        <v>112.88835003516473</v>
      </c>
      <c r="BS41" s="1497">
        <v>108.34780860056237</v>
      </c>
      <c r="BT41" s="1497">
        <v>109.10187878890369</v>
      </c>
      <c r="BU41" s="1497">
        <v>111.45841553391479</v>
      </c>
      <c r="BV41" s="1499">
        <v>112.74230435123287</v>
      </c>
      <c r="BW41" s="1497">
        <v>110.12386291605345</v>
      </c>
      <c r="BX41" s="1497">
        <v>109.9430275231375</v>
      </c>
      <c r="BY41" s="1498">
        <v>107.33492532494576</v>
      </c>
      <c r="BZ41" s="1497">
        <v>108.7052702271701</v>
      </c>
      <c r="CA41" s="1497">
        <v>108.93682884019752</v>
      </c>
      <c r="CB41" s="1497">
        <v>107.54240020441659</v>
      </c>
      <c r="CC41" s="1497">
        <v>106.1600651737872</v>
      </c>
      <c r="CD41" s="1499">
        <v>104.48314174956184</v>
      </c>
      <c r="CE41" s="1497">
        <v>105.96604180434525</v>
      </c>
      <c r="CF41" s="1497">
        <v>109.42762784976901</v>
      </c>
      <c r="CG41" s="1498">
        <v>110.09534697429363</v>
      </c>
      <c r="CH41" s="1497">
        <v>113.68352938247448</v>
      </c>
      <c r="CI41" s="1497">
        <v>116.24589913529324</v>
      </c>
      <c r="CJ41" s="1497">
        <v>129.33530319622454</v>
      </c>
      <c r="CK41" s="1498">
        <v>138.18814066613041</v>
      </c>
      <c r="CL41" s="2696">
        <v>141.11320538787152</v>
      </c>
      <c r="CM41" s="2697">
        <v>132.33907865798116</v>
      </c>
      <c r="CN41" s="2697">
        <v>137.28063858120791</v>
      </c>
      <c r="CO41" s="2698">
        <v>144.49440900558514</v>
      </c>
      <c r="CP41" s="2697">
        <v>147.77187279732169</v>
      </c>
      <c r="CQ41" s="2697">
        <v>148.24702342214022</v>
      </c>
      <c r="CR41" s="2697">
        <v>155.72523030593621</v>
      </c>
      <c r="CS41" s="991">
        <f t="shared" ref="CS41" si="118">CR41</f>
      </c>
      <c r="CT41" s="2394">
        <f t="shared" ref="CT41" si="119">CS41</f>
      </c>
      <c r="CU41" s="2394">
        <f t="shared" ref="CU41" si="120">CT41</f>
      </c>
      <c r="CV41" s="2394">
        <f t="shared" ref="CV41" si="121">CU41</f>
      </c>
      <c r="CW41" s="991">
        <f t="shared" ref="CW41" si="122">CV41</f>
      </c>
      <c r="CX41" s="2394">
        <f t="shared" ref="CX41" si="123">CW41</f>
      </c>
      <c r="CY41" s="2394">
        <f t="shared" ref="CY41" si="124">CX41</f>
      </c>
      <c r="CZ41" s="2394">
        <f t="shared" ref="CZ41" si="125">CY41</f>
      </c>
      <c r="DA41" s="991">
        <f t="shared" ref="DA41" si="126">CZ41</f>
      </c>
      <c r="DB41" s="2394">
        <f t="shared" ref="DB41" si="127">DA41</f>
      </c>
      <c r="DC41" s="2394">
        <f t="shared" ref="DC41" si="128">DB41</f>
      </c>
      <c r="DD41" s="2394">
        <f t="shared" ref="DD41" si="129">DC41</f>
      </c>
      <c r="DE41" s="991">
        <f t="shared" ref="DE41" si="130">DD41</f>
      </c>
      <c r="DF41" s="2394">
        <f t="shared" ref="DF41" si="131">DE41</f>
      </c>
      <c r="DG41" s="2394">
        <f t="shared" ref="DG41" si="132">DF41</f>
      </c>
      <c r="DH41" s="2394">
        <f t="shared" ref="DH41" si="133">DG41</f>
      </c>
      <c r="DI41" s="991">
        <f t="shared" ref="DI41" si="134">DH41</f>
      </c>
      <c r="DJ41" s="2394">
        <f t="shared" ref="DJ41" si="135">DI41</f>
      </c>
      <c r="DK41" s="2394">
        <f t="shared" ref="DK41" si="136">DJ41</f>
      </c>
      <c r="DL41" s="2394">
        <f t="shared" ref="DL41" si="137">DK41</f>
      </c>
      <c r="DM41" s="991">
        <f t="shared" ref="DM41" si="138">DL41</f>
      </c>
      <c r="DN41" s="2394">
        <f t="shared" ref="DN41" si="139">DM41</f>
      </c>
      <c r="DO41" s="2394">
        <f t="shared" ref="DO41" si="140">DN41</f>
      </c>
      <c r="DP41" s="2394">
        <f t="shared" ref="DP41" si="141">DO41</f>
      </c>
      <c r="DQ41" s="991">
        <f t="shared" ref="DQ41" si="142">DP41</f>
      </c>
      <c r="DR41" s="134"/>
      <c r="DS41" s="134"/>
      <c r="DT41" s="134"/>
      <c r="DU41" s="134"/>
      <c r="DV41" s="134"/>
      <c r="DW41" s="134"/>
      <c r="DX41" s="134"/>
      <c r="DY41" s="134"/>
      <c r="DZ41" s="134"/>
      <c r="EA41" s="134"/>
      <c r="EB41" s="134"/>
      <c r="EC41" s="134"/>
      <c r="ED41" s="1500">
        <f>AVERAGE(AT41:AW41)</f>
      </c>
      <c r="EE41" s="1500">
        <f>AVERAGE(AX41:BA41)</f>
      </c>
      <c r="EF41" s="1500">
        <f>AVERAGE(BB41:BE41)</f>
      </c>
      <c r="EG41" s="1500">
        <f>AVERAGE(BF41:BI41)</f>
      </c>
      <c r="EH41" s="1500">
        <f>AVERAGE(BJ41:BM41)</f>
      </c>
      <c r="EI41" s="1500">
        <f>AVERAGE(BN41:BQ41)</f>
      </c>
      <c r="EJ41" s="1500">
        <f>AVERAGE(BR41:BU41)</f>
      </c>
      <c r="EK41" s="1500">
        <f>AVERAGE(BS41:BV41)</f>
      </c>
      <c r="EL41" s="1500">
        <f>AVERAGE(BW41:BZ41)</f>
      </c>
      <c r="EM41" s="1500">
        <f>AVERAGE(CE41:CH41)</f>
      </c>
      <c r="EN41" s="1500">
        <f t="shared" si="117"/>
      </c>
      <c r="EO41" s="1500">
        <f t="shared" si="117"/>
      </c>
      <c r="EP41" s="1500">
        <f t="shared" si="117"/>
      </c>
      <c r="EQ41" s="1500">
        <f t="shared" si="117"/>
      </c>
      <c r="ER41" s="1500">
        <f t="shared" si="117"/>
      </c>
      <c r="ES41" s="1500">
        <f t="shared" si="117"/>
      </c>
      <c r="ET41" s="1500">
        <f t="shared" si="117"/>
      </c>
      <c r="EU41" s="1500">
        <f t="shared" si="117"/>
      </c>
      <c r="EV41" s="1500">
        <f t="shared" si="117"/>
      </c>
      <c r="EW41" s="1500"/>
      <c r="EX41" s="134"/>
      <c r="EY41" s="134"/>
      <c r="EZ41" s="134"/>
      <c r="FA41" s="134"/>
      <c r="FB41" s="134"/>
      <c r="FC41" s="1506">
        <f>AVERAGE(BS41:BV41)</f>
      </c>
      <c r="FD41" s="1506">
        <f>AVERAGE(BW41:BZ41)</f>
      </c>
      <c r="FE41" s="1506">
        <f>AVERAGE(CA41:CD41)</f>
      </c>
      <c r="FF41" s="1506">
        <f>AVERAGE(CE41:CH41)</f>
      </c>
      <c r="FG41" s="134"/>
      <c r="FH41" s="134"/>
      <c r="FI41" s="134"/>
      <c r="FJ41" s="134"/>
    </row>
    <row r="43" spans="1:166">
      <c r="A43" s="1526" t="s">
        <v>1405</v>
      </c>
      <c r="B43" s="1476"/>
      <c r="C43" s="1476"/>
      <c r="D43" s="1476"/>
      <c r="E43" s="1476"/>
      <c r="F43" s="1488"/>
      <c r="G43" s="1476"/>
      <c r="H43" s="1476"/>
      <c r="I43" s="1477"/>
      <c r="J43" s="1476"/>
      <c r="K43" s="1476"/>
      <c r="L43" s="1476"/>
      <c r="M43" s="1476"/>
      <c r="N43" s="1488"/>
      <c r="O43" s="1476"/>
      <c r="P43" s="1476"/>
      <c r="Q43" s="1477"/>
      <c r="R43" s="1476"/>
      <c r="S43" s="1476"/>
      <c r="T43" s="1476"/>
      <c r="U43" s="1476"/>
      <c r="V43" s="1488"/>
      <c r="W43" s="1476"/>
      <c r="X43" s="1476"/>
      <c r="Y43" s="1477"/>
      <c r="Z43" s="1476"/>
      <c r="AA43" s="1476"/>
      <c r="AB43" s="1476"/>
      <c r="AC43" s="1476"/>
      <c r="AD43" s="1488"/>
      <c r="AE43" s="1476"/>
      <c r="AF43" s="1476"/>
      <c r="AG43" s="1477"/>
      <c r="AH43" s="1476"/>
      <c r="AI43" s="1476"/>
      <c r="AJ43" s="1476"/>
      <c r="AK43" s="1477"/>
      <c r="AL43" s="1476"/>
      <c r="AM43" s="1476"/>
      <c r="AN43" s="1476"/>
      <c r="AO43" s="1477"/>
      <c r="AP43" s="1476"/>
      <c r="AQ43" s="1476"/>
      <c r="AR43" s="1476"/>
      <c r="AS43" s="1477"/>
      <c r="AT43" s="1476"/>
      <c r="AU43" s="1476"/>
      <c r="AV43" s="1476"/>
      <c r="AW43" s="1477"/>
      <c r="AX43" s="1476"/>
      <c r="AY43" s="1476"/>
      <c r="AZ43" s="1476"/>
      <c r="BA43" s="1477"/>
      <c r="BB43" s="1476"/>
      <c r="BC43" s="1476"/>
      <c r="BD43" s="1476"/>
      <c r="BE43" s="1477"/>
      <c r="BF43" s="1476"/>
      <c r="BG43" s="1476"/>
      <c r="BH43" s="1476"/>
      <c r="BI43" s="1477"/>
      <c r="BJ43" s="1476"/>
      <c r="BK43" s="1476"/>
      <c r="BL43" s="1476"/>
      <c r="BM43" s="1477"/>
      <c r="BN43" s="1476"/>
      <c r="BO43" s="1476"/>
      <c r="BP43" s="1476"/>
      <c r="BQ43" s="1477"/>
      <c r="BR43" s="1476"/>
      <c r="BS43" s="1476"/>
      <c r="BT43" s="1476"/>
      <c r="BU43" s="1477"/>
      <c r="BV43" s="1476"/>
      <c r="BW43" s="1476"/>
      <c r="BX43" s="1476"/>
      <c r="BY43" s="1477"/>
      <c r="BZ43" s="1476"/>
      <c r="CA43" s="1476"/>
      <c r="CB43" s="1476"/>
      <c r="CC43" s="1477"/>
      <c r="CD43" s="1476"/>
      <c r="CE43" s="1476"/>
      <c r="CF43" s="1476"/>
      <c r="CG43" s="1477"/>
      <c r="CH43" s="1476"/>
      <c r="CI43" s="1476"/>
      <c r="CJ43" s="1476"/>
      <c r="CK43" s="1477"/>
      <c r="CL43" s="1476"/>
      <c r="CM43" s="1476"/>
      <c r="CN43" s="1476"/>
      <c r="CO43" s="1477"/>
      <c r="CP43" s="1476"/>
      <c r="CQ43" s="1476"/>
      <c r="CR43" s="1476"/>
      <c r="CS43" s="1477"/>
      <c r="CT43" s="1476"/>
      <c r="CU43" s="1476"/>
      <c r="CV43" s="1476"/>
      <c r="CW43" s="1477"/>
      <c r="CX43" s="1476"/>
      <c r="CY43" s="1476"/>
      <c r="CZ43" s="1476"/>
      <c r="DA43" s="1477"/>
      <c r="DB43" s="1476"/>
      <c r="DC43" s="1476"/>
      <c r="DD43" s="1476"/>
      <c r="DE43" s="1477"/>
      <c r="DF43" s="1476"/>
      <c r="DG43" s="1476"/>
      <c r="DH43" s="1476"/>
      <c r="DI43" s="1477"/>
      <c r="DJ43" s="1476"/>
      <c r="DK43" s="1476"/>
      <c r="DL43" s="1476"/>
      <c r="DM43" s="1477"/>
      <c r="DN43" s="1476"/>
      <c r="DO43" s="1476"/>
      <c r="DP43" s="1476"/>
      <c r="DQ43" s="1477"/>
      <c r="DR43" s="1476"/>
      <c r="DS43" s="1476"/>
      <c r="DT43" s="1476"/>
      <c r="DU43" s="1476"/>
      <c r="DV43" s="1476"/>
      <c r="DW43" s="1476"/>
      <c r="DX43" s="1476"/>
      <c r="DY43" s="1476"/>
      <c r="DZ43" s="1476"/>
      <c r="EA43" s="1476"/>
      <c r="EB43" s="1476"/>
      <c r="EC43" s="1476"/>
      <c r="ED43" s="1476"/>
      <c r="EE43" s="1476"/>
      <c r="EF43" s="1476"/>
      <c r="EG43" s="1476"/>
      <c r="EH43" s="1476"/>
      <c r="EI43" s="1478"/>
      <c r="EJ43" s="1478"/>
      <c r="EK43" s="1478"/>
      <c r="EL43" s="1478"/>
      <c r="EM43" s="1478"/>
      <c r="EN43" s="1478"/>
      <c r="EO43" s="1478"/>
      <c r="EP43" s="1478"/>
      <c r="EQ43" s="1478"/>
      <c r="ER43" s="1478"/>
      <c r="ES43" s="1478"/>
      <c r="ET43" s="1478"/>
      <c r="EU43" s="1478"/>
      <c r="EV43" s="1478"/>
      <c r="EW43" s="1478"/>
      <c r="EX43" s="1476"/>
      <c r="EY43" s="1476"/>
      <c r="EZ43" s="1476"/>
      <c r="FA43" s="1476"/>
      <c r="FB43" s="1476"/>
      <c r="FC43" s="1476"/>
      <c r="FD43" s="1476"/>
      <c r="FE43" s="1476"/>
      <c r="FF43" s="1476"/>
      <c r="FG43" s="1476"/>
      <c r="FH43" s="1476"/>
      <c r="FI43" s="1476"/>
      <c r="FJ43" s="1476"/>
    </row>
    <row r="44" spans="1:166" s="17" customFormat="1" ht="12" customHeight="1">
      <c r="A44" s="1646" t="s">
        <v>168</v>
      </c>
      <c r="F44" s="505">
        <f t="shared" ref="F44:O45" si="143">+F9/B9-1</f>
      </c>
      <c r="G44" s="17">
        <f t="shared" si="143"/>
      </c>
      <c r="H44" s="17">
        <f t="shared" si="143"/>
      </c>
      <c r="I44" s="1647">
        <f t="shared" si="143"/>
      </c>
      <c r="J44" s="17">
        <f t="shared" si="143"/>
      </c>
      <c r="K44" s="17">
        <f t="shared" si="143"/>
      </c>
      <c r="L44" s="17">
        <f t="shared" si="143"/>
      </c>
      <c r="M44" s="17">
        <f t="shared" si="143"/>
      </c>
      <c r="N44" s="505">
        <f t="shared" si="143"/>
      </c>
      <c r="O44" s="17">
        <f t="shared" si="143"/>
      </c>
      <c r="P44" s="17">
        <f t="shared" ref="P44:Y45" si="144">+P9/L9-1</f>
      </c>
      <c r="Q44" s="1647">
        <f t="shared" si="144"/>
      </c>
      <c r="R44" s="17">
        <f t="shared" si="144"/>
      </c>
      <c r="S44" s="17">
        <f t="shared" si="144"/>
      </c>
      <c r="T44" s="17">
        <f t="shared" si="144"/>
      </c>
      <c r="U44" s="17">
        <f t="shared" si="144"/>
      </c>
      <c r="V44" s="505">
        <f t="shared" si="144"/>
      </c>
      <c r="W44" s="17">
        <f t="shared" si="144"/>
      </c>
      <c r="X44" s="17">
        <f t="shared" si="144"/>
      </c>
      <c r="Y44" s="1647">
        <f t="shared" si="144"/>
      </c>
      <c r="Z44" s="17">
        <f t="shared" ref="Z44:AI45" si="145">+Z9/V9-1</f>
      </c>
      <c r="AA44" s="17">
        <f t="shared" si="145"/>
      </c>
      <c r="AB44" s="17">
        <f t="shared" si="145"/>
      </c>
      <c r="AC44" s="17">
        <f t="shared" si="145"/>
      </c>
      <c r="AD44" s="505">
        <f t="shared" si="145"/>
      </c>
      <c r="AE44" s="17">
        <f t="shared" si="145"/>
      </c>
      <c r="AF44" s="17">
        <f t="shared" si="145"/>
      </c>
      <c r="AG44" s="1647">
        <f t="shared" si="145"/>
      </c>
      <c r="AH44" s="17">
        <f t="shared" si="145"/>
      </c>
      <c r="AI44" s="17">
        <f t="shared" si="145"/>
      </c>
      <c r="AJ44" s="17">
        <f t="shared" ref="AJ44:AS45" si="146">+AJ9/AF9-1</f>
      </c>
      <c r="AK44" s="1647">
        <f t="shared" si="146"/>
      </c>
      <c r="AL44" s="17">
        <f t="shared" si="146"/>
      </c>
      <c r="AM44" s="17">
        <f t="shared" si="146"/>
      </c>
      <c r="AN44" s="17">
        <f t="shared" si="146"/>
      </c>
      <c r="AO44" s="1647">
        <f t="shared" si="146"/>
      </c>
      <c r="AP44" s="17">
        <f t="shared" si="146"/>
      </c>
      <c r="AQ44" s="17">
        <f t="shared" si="146"/>
      </c>
      <c r="AR44" s="17">
        <f t="shared" si="146"/>
      </c>
      <c r="AS44" s="1647">
        <f t="shared" si="146"/>
      </c>
      <c r="AT44" s="17">
        <f t="shared" ref="AT44:BC45" si="147">+AT9/AP9-1</f>
      </c>
      <c r="AU44" s="17">
        <f t="shared" si="147"/>
      </c>
      <c r="AV44" s="17">
        <f t="shared" si="147"/>
      </c>
      <c r="AW44" s="1647">
        <f t="shared" si="147"/>
      </c>
      <c r="AX44" s="17">
        <f t="shared" si="147"/>
      </c>
      <c r="AY44" s="17">
        <f t="shared" si="147"/>
      </c>
      <c r="AZ44" s="17">
        <f t="shared" si="147"/>
      </c>
      <c r="BA44" s="1647">
        <f t="shared" si="147"/>
      </c>
      <c r="BB44" s="17">
        <f t="shared" si="147"/>
      </c>
      <c r="BC44" s="17">
        <f t="shared" si="147"/>
      </c>
      <c r="BD44" s="17">
        <f t="shared" ref="BD44:BM45" si="148">+BD9/AZ9-1</f>
      </c>
      <c r="BE44" s="1647">
        <f t="shared" si="148"/>
      </c>
      <c r="BF44" s="17">
        <f t="shared" si="148"/>
      </c>
      <c r="BG44" s="17">
        <f t="shared" si="148"/>
      </c>
      <c r="BH44" s="17">
        <f t="shared" si="148"/>
      </c>
      <c r="BI44" s="1647">
        <f t="shared" si="148"/>
      </c>
      <c r="BJ44" s="17">
        <f t="shared" si="148"/>
      </c>
      <c r="BK44" s="17">
        <f t="shared" si="148"/>
      </c>
      <c r="BL44" s="141">
        <f t="shared" si="148"/>
      </c>
      <c r="BM44" s="1126">
        <f t="shared" si="148"/>
      </c>
      <c r="BN44" s="141">
        <f t="shared" ref="BN44:BW45" si="149">+BN9/BJ9-1</f>
      </c>
      <c r="BO44" s="141">
        <f t="shared" si="149"/>
      </c>
      <c r="BP44" s="141">
        <f t="shared" si="149"/>
      </c>
      <c r="BQ44" s="1126">
        <f t="shared" si="149"/>
      </c>
      <c r="BR44" s="141">
        <f t="shared" si="149"/>
      </c>
      <c r="BS44" s="141">
        <f t="shared" si="149"/>
      </c>
      <c r="BT44" s="141">
        <f t="shared" si="149"/>
      </c>
      <c r="BU44" s="1126">
        <f t="shared" si="149"/>
      </c>
      <c r="BV44" s="141">
        <f t="shared" si="149"/>
      </c>
      <c r="BW44" s="141">
        <f t="shared" si="149"/>
      </c>
      <c r="BX44" s="141">
        <f t="shared" ref="BX44:CG45" si="150">+BX9/BT9-1</f>
      </c>
      <c r="BY44" s="1126">
        <f t="shared" si="150"/>
      </c>
      <c r="BZ44" s="141">
        <f t="shared" si="150"/>
      </c>
      <c r="CA44" s="141">
        <f t="shared" si="150"/>
      </c>
      <c r="CB44" s="141">
        <f t="shared" si="150"/>
      </c>
      <c r="CC44" s="1126">
        <f t="shared" si="150"/>
      </c>
      <c r="CD44" s="141">
        <f t="shared" si="150"/>
      </c>
      <c r="CE44" s="141">
        <f t="shared" si="150"/>
      </c>
      <c r="CF44" s="141">
        <f t="shared" si="150"/>
      </c>
      <c r="CG44" s="1126">
        <f t="shared" si="150"/>
      </c>
      <c r="CH44" s="141">
        <f t="shared" ref="CH44:CV45" si="151">+CH9/CD9-1</f>
      </c>
      <c r="CI44" s="141">
        <f t="shared" si="151"/>
      </c>
      <c r="CJ44" s="141">
        <f t="shared" si="151"/>
      </c>
      <c r="CK44" s="1648">
        <f t="shared" si="151"/>
      </c>
      <c r="CL44" s="141">
        <f t="shared" si="151"/>
      </c>
      <c r="CM44" s="141">
        <f t="shared" si="151"/>
      </c>
      <c r="CN44" s="141">
        <f t="shared" si="151"/>
      </c>
      <c r="CO44" s="1648">
        <f t="shared" si="151"/>
      </c>
      <c r="CP44" s="141">
        <f t="shared" si="151"/>
      </c>
      <c r="CQ44" s="141">
        <f t="shared" si="151"/>
      </c>
      <c r="CR44" s="141">
        <f t="shared" si="151"/>
      </c>
      <c r="CS44" s="1648">
        <f t="shared" si="151"/>
      </c>
      <c r="CT44" s="141">
        <f t="shared" si="151"/>
      </c>
      <c r="CU44" s="141">
        <f t="shared" si="151"/>
      </c>
      <c r="CV44" s="141">
        <f t="shared" si="151"/>
      </c>
      <c r="CW44" s="928">
        <f t="shared" ref="CW44:CW45" si="152">CW$49+1%</f>
      </c>
      <c r="CX44" s="812">
        <f t="shared" ref="CW44:DQ47" si="153">CX$49</f>
      </c>
      <c r="CY44" s="812">
        <f t="shared" si="153"/>
      </c>
      <c r="CZ44" s="812">
        <f t="shared" si="153"/>
      </c>
      <c r="DA44" s="928">
        <f t="shared" si="153"/>
      </c>
      <c r="DB44" s="812">
        <f t="shared" si="153"/>
      </c>
      <c r="DC44" s="812">
        <f t="shared" si="153"/>
      </c>
      <c r="DD44" s="812">
        <f t="shared" si="153"/>
      </c>
      <c r="DE44" s="928">
        <f t="shared" si="153"/>
      </c>
      <c r="DF44" s="812">
        <f t="shared" si="153"/>
      </c>
      <c r="DG44" s="812">
        <f t="shared" si="153"/>
      </c>
      <c r="DH44" s="812">
        <f t="shared" si="153"/>
      </c>
      <c r="DI44" s="928">
        <f t="shared" si="153"/>
      </c>
      <c r="DJ44" s="812">
        <f t="shared" si="153"/>
      </c>
      <c r="DK44" s="812">
        <f t="shared" si="153"/>
      </c>
      <c r="DL44" s="812">
        <f t="shared" si="153"/>
      </c>
      <c r="DM44" s="928">
        <f t="shared" si="153"/>
      </c>
      <c r="DN44" s="812">
        <f t="shared" si="153"/>
      </c>
      <c r="DO44" s="812">
        <f t="shared" si="153"/>
      </c>
      <c r="DP44" s="812">
        <f t="shared" si="153"/>
      </c>
      <c r="DQ44" s="928">
        <f t="shared" si="153"/>
      </c>
      <c r="DT44" s="17">
        <f t="shared" ref="DT44:EN44" si="154">DT9/DS9-1</f>
      </c>
      <c r="DU44" s="17">
        <f t="shared" si="154"/>
      </c>
      <c r="DV44" s="17">
        <f t="shared" si="154"/>
      </c>
      <c r="DW44" s="17">
        <f t="shared" si="154"/>
      </c>
      <c r="DX44" s="17">
        <f t="shared" si="154"/>
      </c>
      <c r="DY44" s="17">
        <f t="shared" si="154"/>
      </c>
      <c r="DZ44" s="17">
        <f t="shared" si="154"/>
      </c>
      <c r="EA44" s="17">
        <f t="shared" si="154"/>
      </c>
      <c r="EB44" s="17">
        <f t="shared" si="154"/>
      </c>
      <c r="EC44" s="17">
        <f t="shared" si="154"/>
      </c>
      <c r="ED44" s="17">
        <f t="shared" si="154"/>
      </c>
      <c r="EE44" s="17">
        <f t="shared" si="154"/>
      </c>
      <c r="EF44" s="17">
        <f t="shared" si="154"/>
      </c>
      <c r="EG44" s="17">
        <f t="shared" si="154"/>
      </c>
      <c r="EH44" s="17">
        <f t="shared" si="154"/>
      </c>
      <c r="EI44" s="17">
        <f t="shared" si="154"/>
      </c>
      <c r="EJ44" s="17">
        <f t="shared" si="154"/>
      </c>
      <c r="EK44" s="17">
        <f t="shared" si="154"/>
      </c>
      <c r="EL44" s="17">
        <f t="shared" si="154"/>
      </c>
      <c r="EM44" s="17">
        <f t="shared" si="154"/>
      </c>
      <c r="EN44" s="17">
        <f t="shared" si="154"/>
      </c>
      <c r="EO44" s="17">
        <f t="shared" ref="EO44:EO48" si="155">EO9/EN9-1</f>
      </c>
      <c r="EP44" s="17">
        <f t="shared" ref="EP44:EP48" si="156">EP9/EO9-1</f>
      </c>
      <c r="EQ44" s="17">
        <f t="shared" ref="EQ44:EQ48" si="157">EQ9/EP9-1</f>
      </c>
      <c r="ER44" s="17">
        <f t="shared" ref="ER44:ER48" si="158">ER9/EQ9-1</f>
      </c>
      <c r="ES44" s="17">
        <f t="shared" ref="ES44:ES48" si="159">ES9/ER9-1</f>
      </c>
      <c r="ET44" s="17">
        <f t="shared" ref="ET44:ET48" si="160">ET9/ES9-1</f>
      </c>
      <c r="EU44" s="17">
        <f t="shared" ref="EU44:EU48" si="161">EU9/ET9-1</f>
      </c>
      <c r="EV44" s="17">
        <f t="shared" ref="EV44:EV48" si="162">EV9/EU9-1</f>
      </c>
      <c r="EZ44" s="17">
        <f t="shared" ref="EZ44:FF48" si="163">EZ9/EY9-1</f>
      </c>
      <c r="FA44" s="17">
        <f t="shared" si="163"/>
      </c>
      <c r="FB44" s="17">
        <f t="shared" si="163"/>
      </c>
      <c r="FC44" s="17">
        <f t="shared" si="163"/>
      </c>
      <c r="FD44" s="17">
        <f t="shared" si="163"/>
      </c>
      <c r="FE44" s="17">
        <f t="shared" si="163"/>
      </c>
      <c r="FF44" s="17">
        <f t="shared" si="163"/>
      </c>
    </row>
    <row r="45" spans="1:166" s="17" customFormat="1" ht="12" customHeight="1">
      <c r="A45" s="1646" t="s">
        <v>663</v>
      </c>
      <c r="F45" s="505">
        <f t="shared" si="143"/>
      </c>
      <c r="G45" s="17">
        <f t="shared" si="143"/>
      </c>
      <c r="H45" s="17">
        <f t="shared" si="143"/>
      </c>
      <c r="I45" s="1647">
        <f t="shared" si="143"/>
      </c>
      <c r="J45" s="17">
        <f t="shared" si="143"/>
      </c>
      <c r="K45" s="17">
        <f t="shared" si="143"/>
      </c>
      <c r="L45" s="17">
        <f t="shared" si="143"/>
      </c>
      <c r="M45" s="17">
        <f t="shared" si="143"/>
      </c>
      <c r="N45" s="505">
        <f t="shared" si="143"/>
      </c>
      <c r="O45" s="17">
        <f t="shared" si="143"/>
      </c>
      <c r="P45" s="17">
        <f t="shared" si="144"/>
      </c>
      <c r="Q45" s="1647">
        <f t="shared" si="144"/>
      </c>
      <c r="R45" s="17">
        <f t="shared" si="144"/>
      </c>
      <c r="S45" s="17">
        <f t="shared" si="144"/>
      </c>
      <c r="T45" s="17">
        <f t="shared" si="144"/>
      </c>
      <c r="U45" s="17">
        <f t="shared" si="144"/>
      </c>
      <c r="V45" s="505">
        <f t="shared" si="144"/>
      </c>
      <c r="W45" s="17">
        <f t="shared" si="144"/>
      </c>
      <c r="X45" s="17">
        <f t="shared" si="144"/>
      </c>
      <c r="Y45" s="1647">
        <f t="shared" si="144"/>
      </c>
      <c r="Z45" s="17">
        <f t="shared" si="145"/>
      </c>
      <c r="AA45" s="17">
        <f t="shared" si="145"/>
      </c>
      <c r="AB45" s="17">
        <f t="shared" si="145"/>
      </c>
      <c r="AC45" s="17">
        <f t="shared" si="145"/>
      </c>
      <c r="AD45" s="505">
        <f t="shared" si="145"/>
      </c>
      <c r="AE45" s="17">
        <f t="shared" si="145"/>
      </c>
      <c r="AF45" s="17">
        <f t="shared" si="145"/>
      </c>
      <c r="AG45" s="1647">
        <f t="shared" si="145"/>
      </c>
      <c r="AH45" s="17">
        <f t="shared" si="145"/>
      </c>
      <c r="AI45" s="17">
        <f t="shared" si="145"/>
      </c>
      <c r="AJ45" s="17">
        <f t="shared" si="146"/>
      </c>
      <c r="AK45" s="1647">
        <f t="shared" si="146"/>
      </c>
      <c r="AL45" s="17">
        <f t="shared" si="146"/>
      </c>
      <c r="AM45" s="17">
        <f t="shared" si="146"/>
      </c>
      <c r="AN45" s="17">
        <f t="shared" si="146"/>
      </c>
      <c r="AO45" s="1647">
        <f t="shared" si="146"/>
      </c>
      <c r="AP45" s="17">
        <f t="shared" si="146"/>
      </c>
      <c r="AQ45" s="17">
        <f t="shared" si="146"/>
      </c>
      <c r="AR45" s="17">
        <f t="shared" si="146"/>
      </c>
      <c r="AS45" s="1647">
        <f t="shared" si="146"/>
      </c>
      <c r="AT45" s="17">
        <f t="shared" si="147"/>
      </c>
      <c r="AU45" s="17">
        <f t="shared" si="147"/>
      </c>
      <c r="AV45" s="17">
        <f t="shared" si="147"/>
      </c>
      <c r="AW45" s="1647">
        <f t="shared" si="147"/>
      </c>
      <c r="AX45" s="17">
        <f t="shared" si="147"/>
      </c>
      <c r="AY45" s="17">
        <f t="shared" si="147"/>
      </c>
      <c r="AZ45" s="17">
        <f t="shared" si="147"/>
      </c>
      <c r="BA45" s="1647">
        <f t="shared" si="147"/>
      </c>
      <c r="BB45" s="17">
        <f t="shared" si="147"/>
      </c>
      <c r="BC45" s="17">
        <f t="shared" si="147"/>
      </c>
      <c r="BD45" s="17">
        <f t="shared" si="148"/>
      </c>
      <c r="BE45" s="1647">
        <f t="shared" si="148"/>
      </c>
      <c r="BF45" s="17">
        <f t="shared" si="148"/>
      </c>
      <c r="BG45" s="17">
        <f t="shared" si="148"/>
      </c>
      <c r="BH45" s="17">
        <f t="shared" si="148"/>
      </c>
      <c r="BI45" s="1647">
        <f t="shared" si="148"/>
      </c>
      <c r="BJ45" s="17">
        <f t="shared" si="148"/>
      </c>
      <c r="BK45" s="17">
        <f t="shared" si="148"/>
      </c>
      <c r="BL45" s="141">
        <f t="shared" si="148"/>
      </c>
      <c r="BM45" s="1126">
        <f t="shared" si="148"/>
      </c>
      <c r="BN45" s="141">
        <f t="shared" si="149"/>
      </c>
      <c r="BO45" s="141">
        <f t="shared" si="149"/>
      </c>
      <c r="BP45" s="141">
        <f t="shared" si="149"/>
      </c>
      <c r="BQ45" s="1126">
        <f t="shared" si="149"/>
      </c>
      <c r="BR45" s="141">
        <f t="shared" si="149"/>
      </c>
      <c r="BS45" s="141">
        <f t="shared" si="149"/>
      </c>
      <c r="BT45" s="141">
        <f t="shared" si="149"/>
      </c>
      <c r="BU45" s="1126">
        <f t="shared" si="149"/>
      </c>
      <c r="BV45" s="141">
        <f t="shared" si="149"/>
      </c>
      <c r="BW45" s="141">
        <f t="shared" si="149"/>
      </c>
      <c r="BX45" s="141">
        <f t="shared" si="150"/>
      </c>
      <c r="BY45" s="1126">
        <f t="shared" si="150"/>
      </c>
      <c r="BZ45" s="141">
        <f t="shared" si="150"/>
      </c>
      <c r="CA45" s="141">
        <f t="shared" si="150"/>
      </c>
      <c r="CB45" s="141">
        <f t="shared" si="150"/>
      </c>
      <c r="CC45" s="1126">
        <f t="shared" si="150"/>
      </c>
      <c r="CD45" s="141">
        <f t="shared" si="150"/>
      </c>
      <c r="CE45" s="141">
        <f t="shared" si="150"/>
      </c>
      <c r="CF45" s="141">
        <f t="shared" si="150"/>
      </c>
      <c r="CG45" s="1126">
        <f t="shared" si="150"/>
      </c>
      <c r="CH45" s="141">
        <f t="shared" si="151"/>
      </c>
      <c r="CI45" s="141">
        <f t="shared" si="151"/>
      </c>
      <c r="CJ45" s="141">
        <f t="shared" si="151"/>
      </c>
      <c r="CK45" s="1126">
        <f t="shared" si="151"/>
      </c>
      <c r="CL45" s="141">
        <f t="shared" si="151"/>
      </c>
      <c r="CM45" s="141">
        <f t="shared" si="151"/>
      </c>
      <c r="CN45" s="141">
        <f t="shared" si="151"/>
      </c>
      <c r="CO45" s="1126">
        <f t="shared" si="151"/>
      </c>
      <c r="CP45" s="141">
        <f t="shared" si="151"/>
      </c>
      <c r="CQ45" s="141">
        <f t="shared" si="151"/>
      </c>
      <c r="CR45" s="141">
        <f t="shared" si="151"/>
      </c>
      <c r="CS45" s="1126">
        <f t="shared" si="151"/>
      </c>
      <c r="CT45" s="141">
        <f t="shared" si="151"/>
      </c>
      <c r="CU45" s="141">
        <f t="shared" si="151"/>
      </c>
      <c r="CV45" s="141">
        <f t="shared" si="151"/>
      </c>
      <c r="CW45" s="928">
        <f t="shared" si="152"/>
      </c>
      <c r="CX45" s="812">
        <f t="shared" ref="CX45:DA45" si="164">CX$49</f>
      </c>
      <c r="CY45" s="812">
        <f t="shared" si="164"/>
      </c>
      <c r="CZ45" s="812">
        <f t="shared" si="164"/>
      </c>
      <c r="DA45" s="928">
        <f t="shared" si="164"/>
      </c>
      <c r="DB45" s="812">
        <f t="shared" si="153"/>
      </c>
      <c r="DC45" s="812">
        <f t="shared" si="153"/>
      </c>
      <c r="DD45" s="812">
        <f t="shared" si="153"/>
      </c>
      <c r="DE45" s="928">
        <f t="shared" si="153"/>
      </c>
      <c r="DF45" s="812">
        <f t="shared" si="153"/>
      </c>
      <c r="DG45" s="812">
        <f t="shared" si="153"/>
      </c>
      <c r="DH45" s="812">
        <f t="shared" si="153"/>
      </c>
      <c r="DI45" s="928">
        <f t="shared" si="153"/>
      </c>
      <c r="DJ45" s="812">
        <f t="shared" si="153"/>
      </c>
      <c r="DK45" s="812">
        <f t="shared" si="153"/>
      </c>
      <c r="DL45" s="812">
        <f t="shared" si="153"/>
      </c>
      <c r="DM45" s="928">
        <f t="shared" si="153"/>
      </c>
      <c r="DN45" s="812">
        <f t="shared" si="153"/>
      </c>
      <c r="DO45" s="812">
        <f t="shared" si="153"/>
      </c>
      <c r="DP45" s="812">
        <f t="shared" si="153"/>
      </c>
      <c r="DQ45" s="928">
        <f t="shared" si="153"/>
      </c>
      <c r="DT45" s="17">
        <f t="shared" ref="DT45:EN45" si="165">DT10/DS10-1</f>
      </c>
      <c r="DU45" s="17">
        <f t="shared" si="165"/>
      </c>
      <c r="DV45" s="17">
        <f t="shared" si="165"/>
      </c>
      <c r="DW45" s="17">
        <f t="shared" si="165"/>
      </c>
      <c r="DX45" s="17">
        <f t="shared" si="165"/>
      </c>
      <c r="DY45" s="17">
        <f t="shared" si="165"/>
      </c>
      <c r="DZ45" s="17">
        <f t="shared" si="165"/>
      </c>
      <c r="EA45" s="17">
        <f t="shared" si="165"/>
      </c>
      <c r="EB45" s="17">
        <f t="shared" si="165"/>
      </c>
      <c r="EC45" s="17">
        <f t="shared" si="165"/>
      </c>
      <c r="ED45" s="17">
        <f t="shared" si="165"/>
      </c>
      <c r="EE45" s="17">
        <f t="shared" si="165"/>
      </c>
      <c r="EF45" s="17">
        <f t="shared" si="165"/>
      </c>
      <c r="EG45" s="17">
        <f t="shared" si="165"/>
      </c>
      <c r="EH45" s="17">
        <f t="shared" si="165"/>
      </c>
      <c r="EI45" s="17">
        <f t="shared" si="165"/>
      </c>
      <c r="EJ45" s="17">
        <f t="shared" si="165"/>
      </c>
      <c r="EK45" s="17">
        <f t="shared" si="165"/>
      </c>
      <c r="EL45" s="17">
        <f t="shared" si="165"/>
      </c>
      <c r="EM45" s="17">
        <f t="shared" si="165"/>
      </c>
      <c r="EN45" s="17">
        <f t="shared" si="165"/>
      </c>
      <c r="EO45" s="17">
        <f t="shared" si="155"/>
      </c>
      <c r="EP45" s="17">
        <f t="shared" si="156"/>
      </c>
      <c r="EQ45" s="17">
        <f t="shared" si="157"/>
      </c>
      <c r="ER45" s="17">
        <f t="shared" si="158"/>
      </c>
      <c r="ES45" s="17">
        <f t="shared" si="159"/>
      </c>
      <c r="ET45" s="17">
        <f t="shared" si="160"/>
      </c>
      <c r="EU45" s="17">
        <f t="shared" si="161"/>
      </c>
      <c r="EV45" s="17">
        <f t="shared" si="162"/>
      </c>
      <c r="EZ45" s="17">
        <f t="shared" si="163"/>
      </c>
      <c r="FA45" s="17">
        <f t="shared" si="163"/>
      </c>
      <c r="FB45" s="17">
        <f t="shared" si="163"/>
      </c>
      <c r="FC45" s="17">
        <f t="shared" si="163"/>
      </c>
      <c r="FD45" s="17">
        <f t="shared" si="163"/>
      </c>
      <c r="FE45" s="17">
        <f t="shared" si="163"/>
      </c>
      <c r="FF45" s="17">
        <f t="shared" si="163"/>
      </c>
    </row>
    <row r="46" spans="1:166" s="17" customFormat="1" ht="12" customHeight="1">
      <c r="A46" s="1646" t="s">
        <v>171</v>
      </c>
      <c r="F46" s="505"/>
      <c r="I46" s="1647"/>
      <c r="N46" s="505"/>
      <c r="Q46" s="1647"/>
      <c r="V46" s="505"/>
      <c r="Y46" s="1647"/>
      <c r="AD46" s="505"/>
      <c r="AG46" s="1647"/>
      <c r="AK46" s="1647"/>
      <c r="AO46" s="1647"/>
      <c r="AS46" s="1647"/>
      <c r="AW46" s="1647"/>
      <c r="AX46" s="17">
        <f t="shared" ref="AX46:BG48" si="166">+AX11/AT11-1</f>
      </c>
      <c r="AY46" s="17">
        <f t="shared" si="166"/>
      </c>
      <c r="AZ46" s="17">
        <f t="shared" si="166"/>
      </c>
      <c r="BA46" s="1647">
        <f t="shared" si="166"/>
      </c>
      <c r="BB46" s="17">
        <f t="shared" si="166"/>
      </c>
      <c r="BC46" s="17">
        <f t="shared" si="166"/>
      </c>
      <c r="BD46" s="17">
        <f t="shared" si="166"/>
      </c>
      <c r="BE46" s="1647">
        <f t="shared" si="166"/>
      </c>
      <c r="BF46" s="17">
        <f t="shared" si="166"/>
      </c>
      <c r="BG46" s="17">
        <f t="shared" si="166"/>
      </c>
      <c r="BH46" s="17">
        <f t="shared" ref="BH46:BQ48" si="167">+BH11/BD11-1</f>
      </c>
      <c r="BI46" s="1647">
        <f t="shared" si="167"/>
      </c>
      <c r="BJ46" s="17">
        <f t="shared" si="167"/>
      </c>
      <c r="BK46" s="17">
        <f t="shared" si="167"/>
      </c>
      <c r="BL46" s="141">
        <f t="shared" si="167"/>
      </c>
      <c r="BM46" s="1126">
        <f t="shared" si="167"/>
      </c>
      <c r="BN46" s="141">
        <f t="shared" si="167"/>
      </c>
      <c r="BO46" s="141">
        <f t="shared" si="167"/>
      </c>
      <c r="BP46" s="141">
        <f t="shared" si="167"/>
      </c>
      <c r="BQ46" s="1126">
        <f t="shared" si="167"/>
      </c>
      <c r="BR46" s="141">
        <f t="shared" ref="BR46:CA48" si="168">+BR11/BN11-1</f>
      </c>
      <c r="BS46" s="141">
        <f t="shared" si="168"/>
      </c>
      <c r="BT46" s="141">
        <f t="shared" si="168"/>
      </c>
      <c r="BU46" s="1126">
        <f t="shared" si="168"/>
      </c>
      <c r="BV46" s="141">
        <f t="shared" si="168"/>
      </c>
      <c r="BW46" s="141">
        <f t="shared" si="168"/>
      </c>
      <c r="BX46" s="141">
        <f t="shared" si="168"/>
      </c>
      <c r="BY46" s="1126">
        <f t="shared" si="168"/>
      </c>
      <c r="BZ46" s="141">
        <f t="shared" si="168"/>
      </c>
      <c r="CA46" s="141">
        <f t="shared" si="168"/>
      </c>
      <c r="CB46" s="141">
        <f t="shared" ref="CB46:CV48" si="169">+CB11/BX11-1</f>
      </c>
      <c r="CC46" s="1126">
        <f t="shared" si="169"/>
      </c>
      <c r="CD46" s="141">
        <f t="shared" si="169"/>
      </c>
      <c r="CE46" s="141">
        <f t="shared" si="169"/>
      </c>
      <c r="CF46" s="141">
        <f t="shared" si="169"/>
      </c>
      <c r="CG46" s="1126">
        <f t="shared" si="169"/>
      </c>
      <c r="CH46" s="141">
        <f t="shared" si="169"/>
      </c>
      <c r="CI46" s="141">
        <f t="shared" si="169"/>
      </c>
      <c r="CJ46" s="141">
        <f t="shared" si="169"/>
      </c>
      <c r="CK46" s="1126">
        <f t="shared" si="169"/>
      </c>
      <c r="CL46" s="141">
        <f t="shared" si="169"/>
      </c>
      <c r="CM46" s="141">
        <f t="shared" si="169"/>
      </c>
      <c r="CN46" s="141">
        <f t="shared" si="169"/>
      </c>
      <c r="CO46" s="1126">
        <f t="shared" si="169"/>
      </c>
      <c r="CP46" s="141">
        <f t="shared" si="169"/>
      </c>
      <c r="CQ46" s="141">
        <f t="shared" si="169"/>
      </c>
      <c r="CR46" s="141">
        <f t="shared" si="169"/>
      </c>
      <c r="CS46" s="1126">
        <f t="shared" si="169"/>
      </c>
      <c r="CT46" s="141">
        <f t="shared" si="169"/>
      </c>
      <c r="CU46" s="141">
        <f t="shared" si="169"/>
      </c>
      <c r="CV46" s="141">
        <f t="shared" si="169"/>
      </c>
      <c r="CW46" s="928">
        <v>0.05</v>
      </c>
      <c r="CX46" s="812">
        <f t="shared" si="153"/>
      </c>
      <c r="CY46" s="812">
        <f t="shared" si="153"/>
      </c>
      <c r="CZ46" s="812">
        <f t="shared" si="153"/>
      </c>
      <c r="DA46" s="928">
        <f t="shared" si="153"/>
      </c>
      <c r="DB46" s="812">
        <f t="shared" si="153"/>
      </c>
      <c r="DC46" s="812">
        <f t="shared" si="153"/>
      </c>
      <c r="DD46" s="812">
        <f t="shared" si="153"/>
      </c>
      <c r="DE46" s="928">
        <f t="shared" si="153"/>
      </c>
      <c r="DF46" s="812">
        <f t="shared" si="153"/>
      </c>
      <c r="DG46" s="812">
        <f t="shared" si="153"/>
      </c>
      <c r="DH46" s="812">
        <f t="shared" si="153"/>
      </c>
      <c r="DI46" s="928">
        <f t="shared" si="153"/>
      </c>
      <c r="DJ46" s="812">
        <f t="shared" si="153"/>
      </c>
      <c r="DK46" s="812">
        <f t="shared" si="153"/>
      </c>
      <c r="DL46" s="812">
        <f t="shared" si="153"/>
      </c>
      <c r="DM46" s="928">
        <f t="shared" si="153"/>
      </c>
      <c r="DN46" s="812">
        <f t="shared" si="153"/>
      </c>
      <c r="DO46" s="812">
        <f t="shared" si="153"/>
      </c>
      <c r="DP46" s="812">
        <f t="shared" si="153"/>
      </c>
      <c r="DQ46" s="928">
        <f t="shared" si="153"/>
      </c>
      <c r="ED46" s="17">
        <f t="shared" ref="ED46:EN46" si="170">ED11/EC11-1</f>
      </c>
      <c r="EE46" s="17">
        <f t="shared" si="170"/>
      </c>
      <c r="EF46" s="17">
        <f t="shared" si="170"/>
      </c>
      <c r="EG46" s="17">
        <f t="shared" si="170"/>
      </c>
      <c r="EH46" s="17">
        <f t="shared" si="170"/>
      </c>
      <c r="EI46" s="17">
        <f t="shared" si="170"/>
      </c>
      <c r="EJ46" s="17">
        <f t="shared" si="170"/>
      </c>
      <c r="EK46" s="17">
        <f t="shared" si="170"/>
      </c>
      <c r="EL46" s="17">
        <f t="shared" si="170"/>
      </c>
      <c r="EM46" s="17">
        <f t="shared" si="170"/>
      </c>
      <c r="EN46" s="17">
        <f t="shared" si="170"/>
      </c>
      <c r="EO46" s="17">
        <f t="shared" si="155"/>
      </c>
      <c r="EP46" s="17">
        <f t="shared" si="156"/>
      </c>
      <c r="EQ46" s="17">
        <f t="shared" si="157"/>
      </c>
      <c r="ER46" s="17">
        <f t="shared" si="158"/>
      </c>
      <c r="ES46" s="17">
        <f t="shared" si="159"/>
      </c>
      <c r="ET46" s="17">
        <f t="shared" si="160"/>
      </c>
      <c r="EU46" s="17">
        <f t="shared" si="161"/>
      </c>
      <c r="EV46" s="17">
        <f t="shared" si="162"/>
      </c>
      <c r="EZ46" s="17">
        <f t="shared" si="163"/>
      </c>
      <c r="FA46" s="17">
        <f t="shared" si="163"/>
      </c>
      <c r="FB46" s="17">
        <f t="shared" si="163"/>
      </c>
      <c r="FC46" s="17">
        <f t="shared" si="163"/>
      </c>
      <c r="FD46" s="17">
        <f t="shared" si="163"/>
      </c>
      <c r="FE46" s="17">
        <f t="shared" si="163"/>
      </c>
      <c r="FF46" s="17">
        <f t="shared" si="163"/>
      </c>
    </row>
    <row r="47" spans="1:166" s="17" customFormat="1" ht="12" customHeight="1">
      <c r="A47" s="1646" t="s">
        <v>169</v>
      </c>
      <c r="F47" s="505">
        <f t="shared" ref="F47:O48" si="171">+F12/B12-1</f>
      </c>
      <c r="G47" s="17">
        <f t="shared" si="171"/>
      </c>
      <c r="H47" s="17">
        <f t="shared" si="171"/>
      </c>
      <c r="I47" s="1647">
        <f t="shared" si="171"/>
      </c>
      <c r="J47" s="17">
        <f t="shared" si="171"/>
      </c>
      <c r="K47" s="17">
        <f t="shared" si="171"/>
      </c>
      <c r="L47" s="17">
        <f t="shared" si="171"/>
      </c>
      <c r="M47" s="17">
        <f t="shared" si="171"/>
      </c>
      <c r="N47" s="505">
        <f t="shared" si="171"/>
      </c>
      <c r="O47" s="17">
        <f t="shared" si="171"/>
      </c>
      <c r="P47" s="17">
        <f t="shared" ref="P47:Y48" si="172">+P12/L12-1</f>
      </c>
      <c r="Q47" s="1647">
        <f t="shared" si="172"/>
      </c>
      <c r="R47" s="17">
        <f t="shared" si="172"/>
      </c>
      <c r="S47" s="17">
        <f t="shared" si="172"/>
      </c>
      <c r="T47" s="17">
        <f t="shared" si="172"/>
      </c>
      <c r="U47" s="17">
        <f t="shared" si="172"/>
      </c>
      <c r="V47" s="505">
        <f t="shared" si="172"/>
      </c>
      <c r="W47" s="17">
        <f t="shared" si="172"/>
      </c>
      <c r="X47" s="17">
        <f t="shared" si="172"/>
      </c>
      <c r="Y47" s="1647">
        <f t="shared" si="172"/>
      </c>
      <c r="Z47" s="17">
        <f t="shared" ref="Z47:AI48" si="173">+Z12/V12-1</f>
      </c>
      <c r="AA47" s="17">
        <f t="shared" si="173"/>
      </c>
      <c r="AB47" s="17">
        <f t="shared" si="173"/>
      </c>
      <c r="AC47" s="17">
        <f t="shared" si="173"/>
      </c>
      <c r="AD47" s="505">
        <f t="shared" si="173"/>
      </c>
      <c r="AE47" s="17">
        <f t="shared" si="173"/>
      </c>
      <c r="AF47" s="17">
        <f t="shared" si="173"/>
      </c>
      <c r="AG47" s="1647">
        <f t="shared" si="173"/>
      </c>
      <c r="AH47" s="17">
        <f t="shared" si="173"/>
      </c>
      <c r="AI47" s="17">
        <f t="shared" si="173"/>
      </c>
      <c r="AJ47" s="17">
        <f t="shared" ref="AJ47:AS48" si="174">+AJ12/AF12-1</f>
      </c>
      <c r="AK47" s="1647">
        <f t="shared" si="174"/>
      </c>
      <c r="AL47" s="17">
        <f t="shared" si="174"/>
      </c>
      <c r="AM47" s="17">
        <f t="shared" si="174"/>
      </c>
      <c r="AN47" s="17">
        <f t="shared" si="174"/>
      </c>
      <c r="AO47" s="1647">
        <f t="shared" si="174"/>
      </c>
      <c r="AP47" s="17">
        <f t="shared" si="174"/>
      </c>
      <c r="AQ47" s="17">
        <f t="shared" si="174"/>
      </c>
      <c r="AR47" s="17">
        <f t="shared" si="174"/>
      </c>
      <c r="AS47" s="1647">
        <f t="shared" si="174"/>
      </c>
      <c r="AT47" s="17">
        <f t="shared" ref="AT47:AW48" si="175">+AT12/AP12-1</f>
      </c>
      <c r="AU47" s="17">
        <f t="shared" si="175"/>
      </c>
      <c r="AV47" s="17">
        <f t="shared" si="175"/>
      </c>
      <c r="AW47" s="1647">
        <f t="shared" si="175"/>
      </c>
      <c r="AX47" s="17">
        <f t="shared" si="166"/>
      </c>
      <c r="AY47" s="17">
        <f t="shared" si="166"/>
      </c>
      <c r="AZ47" s="17">
        <f t="shared" si="166"/>
      </c>
      <c r="BA47" s="1647">
        <f t="shared" si="166"/>
      </c>
      <c r="BB47" s="17">
        <f t="shared" si="166"/>
      </c>
      <c r="BC47" s="17">
        <f t="shared" si="166"/>
      </c>
      <c r="BD47" s="17">
        <f t="shared" si="166"/>
      </c>
      <c r="BE47" s="1647">
        <f t="shared" si="166"/>
      </c>
      <c r="BF47" s="17">
        <f t="shared" si="166"/>
      </c>
      <c r="BG47" s="17">
        <f t="shared" si="166"/>
      </c>
      <c r="BH47" s="17">
        <f t="shared" si="167"/>
      </c>
      <c r="BI47" s="1647">
        <f t="shared" si="167"/>
      </c>
      <c r="BJ47" s="17">
        <f t="shared" si="167"/>
      </c>
      <c r="BK47" s="17">
        <f t="shared" si="167"/>
      </c>
      <c r="BL47" s="141">
        <f t="shared" si="167"/>
      </c>
      <c r="BM47" s="1126">
        <f t="shared" si="167"/>
      </c>
      <c r="BN47" s="141">
        <f t="shared" si="167"/>
      </c>
      <c r="BO47" s="141">
        <f t="shared" si="167"/>
      </c>
      <c r="BP47" s="141">
        <f t="shared" si="167"/>
      </c>
      <c r="BQ47" s="1126">
        <f t="shared" si="167"/>
      </c>
      <c r="BR47" s="141">
        <f t="shared" si="168"/>
      </c>
      <c r="BS47" s="141">
        <f t="shared" si="168"/>
      </c>
      <c r="BT47" s="141">
        <f t="shared" si="168"/>
      </c>
      <c r="BU47" s="1126">
        <f t="shared" si="168"/>
      </c>
      <c r="BV47" s="141">
        <f t="shared" si="168"/>
      </c>
      <c r="BW47" s="141">
        <f t="shared" si="168"/>
      </c>
      <c r="BX47" s="141">
        <f t="shared" si="168"/>
      </c>
      <c r="BY47" s="1126">
        <f t="shared" si="168"/>
      </c>
      <c r="BZ47" s="141">
        <f t="shared" si="168"/>
      </c>
      <c r="CA47" s="141">
        <f t="shared" si="168"/>
      </c>
      <c r="CB47" s="141">
        <f t="shared" si="169"/>
      </c>
      <c r="CC47" s="1126">
        <f t="shared" si="169"/>
      </c>
      <c r="CD47" s="141">
        <f t="shared" si="169"/>
      </c>
      <c r="CE47" s="141">
        <f t="shared" si="169"/>
      </c>
      <c r="CF47" s="141">
        <f t="shared" si="169"/>
      </c>
      <c r="CG47" s="1126">
        <f t="shared" si="169"/>
      </c>
      <c r="CH47" s="141">
        <f t="shared" si="169"/>
      </c>
      <c r="CI47" s="141">
        <f t="shared" si="169"/>
      </c>
      <c r="CJ47" s="141">
        <f t="shared" si="169"/>
      </c>
      <c r="CK47" s="1126">
        <f t="shared" si="169"/>
      </c>
      <c r="CL47" s="141">
        <f t="shared" si="169"/>
      </c>
      <c r="CM47" s="141">
        <f t="shared" si="169"/>
      </c>
      <c r="CN47" s="141">
        <f t="shared" si="169"/>
      </c>
      <c r="CO47" s="1126">
        <f t="shared" si="169"/>
      </c>
      <c r="CP47" s="141">
        <f t="shared" si="169"/>
      </c>
      <c r="CQ47" s="141">
        <f t="shared" si="169"/>
      </c>
      <c r="CR47" s="141">
        <f t="shared" si="169"/>
      </c>
      <c r="CS47" s="1126">
        <f t="shared" si="169"/>
      </c>
      <c r="CT47" s="141">
        <f t="shared" si="169"/>
      </c>
      <c r="CU47" s="141">
        <f t="shared" si="169"/>
      </c>
      <c r="CV47" s="141">
        <f t="shared" si="169"/>
      </c>
      <c r="CW47" s="928">
        <f t="shared" si="153"/>
      </c>
      <c r="CX47" s="812">
        <f t="shared" si="153"/>
      </c>
      <c r="CY47" s="812">
        <f t="shared" si="153"/>
      </c>
      <c r="CZ47" s="812">
        <f t="shared" si="153"/>
      </c>
      <c r="DA47" s="928">
        <f t="shared" si="153"/>
      </c>
      <c r="DB47" s="812">
        <f t="shared" si="153"/>
      </c>
      <c r="DC47" s="812">
        <f t="shared" si="153"/>
      </c>
      <c r="DD47" s="812">
        <f t="shared" si="153"/>
      </c>
      <c r="DE47" s="928">
        <f t="shared" si="153"/>
      </c>
      <c r="DF47" s="812">
        <f t="shared" si="153"/>
      </c>
      <c r="DG47" s="812">
        <f t="shared" si="153"/>
      </c>
      <c r="DH47" s="812">
        <f t="shared" si="153"/>
      </c>
      <c r="DI47" s="928">
        <f t="shared" si="153"/>
      </c>
      <c r="DJ47" s="812">
        <f t="shared" si="153"/>
      </c>
      <c r="DK47" s="812">
        <f t="shared" si="153"/>
      </c>
      <c r="DL47" s="812">
        <f t="shared" si="153"/>
      </c>
      <c r="DM47" s="928">
        <f t="shared" si="153"/>
      </c>
      <c r="DN47" s="812">
        <f t="shared" si="153"/>
      </c>
      <c r="DO47" s="812">
        <f t="shared" si="153"/>
      </c>
      <c r="DP47" s="812">
        <f t="shared" si="153"/>
      </c>
      <c r="DQ47" s="928">
        <f t="shared" si="153"/>
      </c>
      <c r="DT47" s="17">
        <f t="shared" ref="DT47:EC47" si="176">DT12/DS12-1</f>
      </c>
      <c r="DU47" s="17">
        <f t="shared" si="176"/>
      </c>
      <c r="DV47" s="17">
        <f t="shared" si="176"/>
      </c>
      <c r="DW47" s="17">
        <f t="shared" si="176"/>
      </c>
      <c r="DX47" s="17">
        <f t="shared" si="176"/>
      </c>
      <c r="DY47" s="17">
        <f t="shared" si="176"/>
      </c>
      <c r="DZ47" s="17">
        <f t="shared" si="176"/>
      </c>
      <c r="EA47" s="17">
        <f t="shared" si="176"/>
      </c>
      <c r="EB47" s="17">
        <f t="shared" si="176"/>
      </c>
      <c r="EC47" s="17">
        <f t="shared" si="176"/>
      </c>
      <c r="ED47" s="17">
        <f t="shared" ref="ED47:EN47" si="177">ED12/EC12-1</f>
      </c>
      <c r="EE47" s="17">
        <f t="shared" si="177"/>
      </c>
      <c r="EF47" s="17">
        <f t="shared" si="177"/>
      </c>
      <c r="EG47" s="17">
        <f t="shared" si="177"/>
      </c>
      <c r="EH47" s="17">
        <f t="shared" si="177"/>
      </c>
      <c r="EI47" s="17">
        <f t="shared" si="177"/>
      </c>
      <c r="EJ47" s="17">
        <f t="shared" si="177"/>
      </c>
      <c r="EK47" s="17">
        <f t="shared" si="177"/>
      </c>
      <c r="EL47" s="17">
        <f t="shared" si="177"/>
      </c>
      <c r="EM47" s="17">
        <f t="shared" si="177"/>
      </c>
      <c r="EN47" s="17">
        <f t="shared" si="177"/>
      </c>
      <c r="EO47" s="17">
        <f t="shared" si="155"/>
      </c>
      <c r="EP47" s="17">
        <f t="shared" si="156"/>
      </c>
      <c r="EQ47" s="17">
        <f t="shared" si="157"/>
      </c>
      <c r="ER47" s="17">
        <f t="shared" si="158"/>
      </c>
      <c r="ES47" s="17">
        <f t="shared" si="159"/>
      </c>
      <c r="ET47" s="17">
        <f t="shared" si="160"/>
      </c>
      <c r="EU47" s="17">
        <f t="shared" si="161"/>
      </c>
      <c r="EV47" s="17">
        <f t="shared" si="162"/>
      </c>
      <c r="EZ47" s="17">
        <f t="shared" si="163"/>
      </c>
      <c r="FA47" s="17">
        <f t="shared" si="163"/>
      </c>
      <c r="FB47" s="17">
        <f t="shared" si="163"/>
      </c>
      <c r="FC47" s="17">
        <f t="shared" si="163"/>
      </c>
      <c r="FD47" s="17">
        <f t="shared" si="163"/>
      </c>
      <c r="FE47" s="17">
        <f t="shared" si="163"/>
      </c>
      <c r="FF47" s="17">
        <f t="shared" si="163"/>
      </c>
    </row>
    <row r="48" spans="1:166" s="17" customFormat="1" ht="12" customHeight="1">
      <c r="A48" s="1646" t="s">
        <v>1409</v>
      </c>
      <c r="F48" s="505">
        <f t="shared" si="171"/>
      </c>
      <c r="G48" s="17">
        <f t="shared" si="171"/>
      </c>
      <c r="H48" s="17">
        <f t="shared" si="171"/>
      </c>
      <c r="I48" s="1647">
        <f t="shared" si="171"/>
      </c>
      <c r="J48" s="17">
        <f t="shared" si="171"/>
      </c>
      <c r="K48" s="17">
        <f t="shared" si="171"/>
      </c>
      <c r="L48" s="17">
        <f t="shared" si="171"/>
      </c>
      <c r="M48" s="17">
        <f t="shared" si="171"/>
      </c>
      <c r="N48" s="505">
        <f t="shared" si="171"/>
      </c>
      <c r="O48" s="17">
        <f t="shared" si="171"/>
      </c>
      <c r="P48" s="17">
        <f t="shared" si="172"/>
      </c>
      <c r="Q48" s="1647">
        <f t="shared" si="172"/>
      </c>
      <c r="R48" s="17">
        <f t="shared" si="172"/>
      </c>
      <c r="S48" s="17">
        <f t="shared" si="172"/>
      </c>
      <c r="T48" s="17">
        <f t="shared" si="172"/>
      </c>
      <c r="U48" s="17">
        <f t="shared" si="172"/>
      </c>
      <c r="V48" s="505">
        <f t="shared" si="172"/>
      </c>
      <c r="W48" s="17">
        <f t="shared" si="172"/>
      </c>
      <c r="X48" s="17">
        <f t="shared" si="172"/>
      </c>
      <c r="Y48" s="1647">
        <f t="shared" si="172"/>
      </c>
      <c r="Z48" s="17">
        <f t="shared" si="173"/>
      </c>
      <c r="AA48" s="17">
        <f t="shared" si="173"/>
      </c>
      <c r="AB48" s="17">
        <f t="shared" si="173"/>
      </c>
      <c r="AC48" s="17">
        <f t="shared" si="173"/>
      </c>
      <c r="AD48" s="505">
        <f t="shared" si="173"/>
      </c>
      <c r="AE48" s="17">
        <f t="shared" si="173"/>
      </c>
      <c r="AF48" s="17">
        <f t="shared" si="173"/>
      </c>
      <c r="AG48" s="1647">
        <f t="shared" si="173"/>
      </c>
      <c r="AH48" s="17">
        <f t="shared" si="173"/>
      </c>
      <c r="AI48" s="17">
        <f t="shared" si="173"/>
      </c>
      <c r="AJ48" s="17">
        <f t="shared" si="174"/>
      </c>
      <c r="AK48" s="1647">
        <f t="shared" si="174"/>
      </c>
      <c r="AL48" s="17">
        <f t="shared" si="174"/>
      </c>
      <c r="AM48" s="17">
        <f t="shared" si="174"/>
      </c>
      <c r="AN48" s="17">
        <f t="shared" si="174"/>
      </c>
      <c r="AO48" s="1647">
        <f t="shared" si="174"/>
      </c>
      <c r="AP48" s="17">
        <f t="shared" si="174"/>
      </c>
      <c r="AQ48" s="17">
        <f t="shared" si="174"/>
      </c>
      <c r="AR48" s="17">
        <f t="shared" si="174"/>
      </c>
      <c r="AS48" s="1647">
        <f t="shared" si="174"/>
      </c>
      <c r="AT48" s="17">
        <f t="shared" si="175"/>
      </c>
      <c r="AU48" s="17">
        <f t="shared" si="175"/>
      </c>
      <c r="AV48" s="17">
        <f t="shared" si="175"/>
      </c>
      <c r="AW48" s="1647">
        <f t="shared" si="175"/>
      </c>
      <c r="AX48" s="17">
        <f t="shared" si="166"/>
      </c>
      <c r="AY48" s="17">
        <f t="shared" si="166"/>
      </c>
      <c r="AZ48" s="17">
        <f t="shared" si="166"/>
      </c>
      <c r="BA48" s="1647">
        <f t="shared" si="166"/>
      </c>
      <c r="BB48" s="17">
        <f t="shared" si="166"/>
      </c>
      <c r="BC48" s="17">
        <f t="shared" si="166"/>
      </c>
      <c r="BD48" s="17">
        <f t="shared" si="166"/>
      </c>
      <c r="BE48" s="1647">
        <f t="shared" si="166"/>
      </c>
      <c r="BF48" s="17">
        <f t="shared" si="166"/>
      </c>
      <c r="BG48" s="17">
        <f t="shared" si="166"/>
      </c>
      <c r="BH48" s="17">
        <f t="shared" si="167"/>
      </c>
      <c r="BI48" s="1647">
        <f t="shared" si="167"/>
      </c>
      <c r="BJ48" s="17">
        <f t="shared" si="167"/>
      </c>
      <c r="BK48" s="17">
        <f t="shared" si="167"/>
      </c>
      <c r="BL48" s="141">
        <f t="shared" si="167"/>
      </c>
      <c r="BM48" s="1126">
        <f t="shared" si="167"/>
      </c>
      <c r="BN48" s="141">
        <f t="shared" si="167"/>
      </c>
      <c r="BO48" s="141">
        <f t="shared" si="167"/>
      </c>
      <c r="BP48" s="141">
        <f t="shared" si="167"/>
      </c>
      <c r="BQ48" s="1126">
        <f t="shared" si="167"/>
      </c>
      <c r="BR48" s="141">
        <f t="shared" si="168"/>
      </c>
      <c r="BS48" s="141">
        <f t="shared" si="168"/>
      </c>
      <c r="BT48" s="141">
        <f t="shared" si="168"/>
      </c>
      <c r="BU48" s="1126">
        <f t="shared" si="168"/>
      </c>
      <c r="BV48" s="141">
        <f t="shared" si="168"/>
      </c>
      <c r="BW48" s="141">
        <f t="shared" si="168"/>
      </c>
      <c r="BX48" s="141">
        <f t="shared" si="168"/>
      </c>
      <c r="BY48" s="1126">
        <f t="shared" si="168"/>
      </c>
      <c r="BZ48" s="141">
        <f t="shared" si="168"/>
      </c>
      <c r="CA48" s="141">
        <f t="shared" si="168"/>
      </c>
      <c r="CB48" s="141">
        <f t="shared" si="169"/>
      </c>
      <c r="CC48" s="1126">
        <f t="shared" si="169"/>
      </c>
      <c r="CD48" s="141">
        <f t="shared" si="169"/>
      </c>
      <c r="CE48" s="141">
        <f t="shared" si="169"/>
      </c>
      <c r="CF48" s="141">
        <f t="shared" si="169"/>
      </c>
      <c r="CG48" s="1126">
        <f t="shared" si="169"/>
      </c>
      <c r="CH48" s="141">
        <f t="shared" si="169"/>
      </c>
      <c r="CI48" s="141">
        <f t="shared" si="169"/>
      </c>
      <c r="CJ48" s="141">
        <f t="shared" si="169"/>
      </c>
      <c r="CK48" s="1126">
        <f t="shared" si="169"/>
      </c>
      <c r="CL48" s="141">
        <f t="shared" si="169"/>
      </c>
      <c r="CM48" s="141">
        <f t="shared" si="169"/>
      </c>
      <c r="CN48" s="141">
        <f t="shared" ref="CN48" si="178">+CN13/CJ13-1</f>
      </c>
      <c r="CO48" s="1126">
        <f t="shared" si="169"/>
      </c>
      <c r="CP48" s="141">
        <f t="shared" si="169"/>
      </c>
      <c r="CQ48" s="141">
        <f t="shared" si="169"/>
      </c>
      <c r="CR48" s="141">
        <f t="shared" si="169"/>
      </c>
      <c r="CS48" s="1126">
        <f t="shared" si="169"/>
      </c>
      <c r="CT48" s="141">
        <f t="shared" si="169"/>
      </c>
      <c r="CU48" s="141">
        <f t="shared" ref="CU48" si="179">+CU13/CQ13-1</f>
      </c>
      <c r="CV48" s="141">
        <f t="shared" si="169"/>
      </c>
      <c r="CW48" s="1647">
        <f t="shared" ref="CW48" si="180">+CW13/CS13-1</f>
      </c>
      <c r="CX48" s="141">
        <f t="shared" ref="CX48" si="181">+CX13/CT13-1</f>
      </c>
      <c r="CY48" s="141">
        <f t="shared" ref="CY48" si="182">+CY13/CU13-1</f>
      </c>
      <c r="CZ48" s="141">
        <f t="shared" ref="CZ48" si="183">+CZ13/CV13-1</f>
      </c>
      <c r="DA48" s="1647">
        <f t="shared" ref="DA48" si="184">+DA13/CW13-1</f>
      </c>
      <c r="DB48" s="141">
        <f t="shared" ref="DB48" si="185">+DB13/CX13-1</f>
      </c>
      <c r="DC48" s="141">
        <f t="shared" ref="DC48" si="186">+DC13/CY13-1</f>
      </c>
      <c r="DD48" s="141">
        <f t="shared" ref="DD48" si="187">+DD13/CZ13-1</f>
      </c>
      <c r="DE48" s="1647">
        <f t="shared" ref="DE48" si="188">+DE13/DA13-1</f>
      </c>
      <c r="DF48" s="141">
        <f t="shared" ref="DF48" si="189">+DF13/DB13-1</f>
      </c>
      <c r="DG48" s="141">
        <f t="shared" ref="DG48" si="190">+DG13/DC13-1</f>
      </c>
      <c r="DH48" s="141">
        <f t="shared" ref="DH48" si="191">+DH13/DD13-1</f>
      </c>
      <c r="DI48" s="1647">
        <f t="shared" ref="DI48" si="192">+DI13/DE13-1</f>
      </c>
      <c r="DJ48" s="141">
        <f t="shared" ref="DJ48" si="193">+DJ13/DF13-1</f>
      </c>
      <c r="DK48" s="141">
        <f t="shared" ref="DK48" si="194">+DK13/DG13-1</f>
      </c>
      <c r="DL48" s="141">
        <f t="shared" ref="DL48" si="195">+DL13/DH13-1</f>
      </c>
      <c r="DM48" s="1647">
        <f t="shared" ref="DM48" si="196">+DM13/DI13-1</f>
      </c>
      <c r="DN48" s="141">
        <f t="shared" ref="DN48" si="197">+DN13/DJ13-1</f>
      </c>
      <c r="DO48" s="141">
        <f t="shared" ref="DO48" si="198">+DO13/DK13-1</f>
      </c>
      <c r="DP48" s="141">
        <f t="shared" ref="DP48" si="199">+DP13/DL13-1</f>
      </c>
      <c r="DQ48" s="1647">
        <f t="shared" ref="DQ48" si="200">+DQ13/DM13-1</f>
      </c>
      <c r="DT48" s="17">
        <f t="shared" ref="DT48:EC48" si="201">DT13/DS13-1</f>
      </c>
      <c r="DU48" s="17">
        <f t="shared" si="201"/>
      </c>
      <c r="DV48" s="17">
        <f t="shared" si="201"/>
      </c>
      <c r="DW48" s="17">
        <f t="shared" si="201"/>
      </c>
      <c r="DX48" s="17">
        <f t="shared" si="201"/>
      </c>
      <c r="DY48" s="17">
        <f t="shared" si="201"/>
      </c>
      <c r="DZ48" s="17">
        <f t="shared" si="201"/>
      </c>
      <c r="EA48" s="17">
        <f t="shared" si="201"/>
      </c>
      <c r="EB48" s="17">
        <f t="shared" si="201"/>
      </c>
      <c r="EC48" s="17">
        <f t="shared" si="201"/>
      </c>
      <c r="ED48" s="17">
        <f t="shared" ref="ED48:EN48" si="202">ED13/EC13-1</f>
      </c>
      <c r="EE48" s="17">
        <f t="shared" si="202"/>
      </c>
      <c r="EF48" s="17">
        <f t="shared" si="202"/>
      </c>
      <c r="EG48" s="17">
        <f t="shared" si="202"/>
      </c>
      <c r="EH48" s="17">
        <f t="shared" si="202"/>
      </c>
      <c r="EI48" s="17">
        <f t="shared" si="202"/>
      </c>
      <c r="EJ48" s="17">
        <f t="shared" si="202"/>
      </c>
      <c r="EK48" s="17">
        <f t="shared" si="202"/>
      </c>
      <c r="EL48" s="17">
        <f t="shared" si="202"/>
      </c>
      <c r="EM48" s="17">
        <f t="shared" si="202"/>
      </c>
      <c r="EN48" s="17">
        <f t="shared" si="202"/>
      </c>
      <c r="EO48" s="17">
        <f t="shared" si="155"/>
      </c>
      <c r="EP48" s="17">
        <f t="shared" si="156"/>
      </c>
      <c r="EQ48" s="17">
        <f t="shared" si="157"/>
      </c>
      <c r="ER48" s="17">
        <f t="shared" si="158"/>
      </c>
      <c r="ES48" s="17">
        <f t="shared" si="159"/>
      </c>
      <c r="ET48" s="17">
        <f t="shared" si="160"/>
      </c>
      <c r="EU48" s="17">
        <f t="shared" si="161"/>
      </c>
      <c r="EV48" s="17">
        <f t="shared" si="162"/>
      </c>
      <c r="EZ48" s="17">
        <f t="shared" si="163"/>
      </c>
      <c r="FA48" s="17">
        <f t="shared" si="163"/>
      </c>
      <c r="FB48" s="17">
        <f t="shared" si="163"/>
      </c>
      <c r="FC48" s="17">
        <f t="shared" si="163"/>
      </c>
      <c r="FD48" s="17">
        <f t="shared" si="163"/>
      </c>
      <c r="FE48" s="17">
        <f t="shared" si="163"/>
      </c>
      <c r="FF48" s="17">
        <f t="shared" si="163"/>
      </c>
    </row>
    <row r="49" spans="1:166" s="50" customFormat="1" ht="12" customHeight="1">
      <c r="A49" s="1649" t="s">
        <v>170</v>
      </c>
      <c r="B49" s="1650"/>
      <c r="C49" s="1650"/>
      <c r="D49" s="1650"/>
      <c r="E49" s="1650"/>
      <c r="F49" s="1651">
        <f t="shared" ref="F49:AK49" si="203">+F16/B16-1</f>
      </c>
      <c r="G49" s="1650">
        <f t="shared" si="203"/>
      </c>
      <c r="H49" s="1650">
        <f t="shared" si="203"/>
      </c>
      <c r="I49" s="1652">
        <f t="shared" si="203"/>
      </c>
      <c r="J49" s="1650">
        <f t="shared" si="203"/>
      </c>
      <c r="K49" s="1650">
        <f t="shared" si="203"/>
      </c>
      <c r="L49" s="1650">
        <f t="shared" si="203"/>
      </c>
      <c r="M49" s="1650">
        <f t="shared" si="203"/>
      </c>
      <c r="N49" s="1651">
        <f t="shared" si="203"/>
      </c>
      <c r="O49" s="1650">
        <f t="shared" si="203"/>
      </c>
      <c r="P49" s="1650">
        <f t="shared" si="203"/>
      </c>
      <c r="Q49" s="1652">
        <f t="shared" si="203"/>
      </c>
      <c r="R49" s="1650">
        <f t="shared" si="203"/>
      </c>
      <c r="S49" s="1650">
        <f t="shared" si="203"/>
      </c>
      <c r="T49" s="1650">
        <f t="shared" si="203"/>
      </c>
      <c r="U49" s="1650">
        <f t="shared" si="203"/>
      </c>
      <c r="V49" s="1651">
        <f t="shared" si="203"/>
      </c>
      <c r="W49" s="1650">
        <f t="shared" si="203"/>
      </c>
      <c r="X49" s="1650">
        <f t="shared" si="203"/>
      </c>
      <c r="Y49" s="1652">
        <f t="shared" si="203"/>
      </c>
      <c r="Z49" s="1650">
        <f t="shared" si="203"/>
      </c>
      <c r="AA49" s="1650">
        <f t="shared" si="203"/>
      </c>
      <c r="AB49" s="1650">
        <f t="shared" si="203"/>
      </c>
      <c r="AC49" s="1650">
        <f t="shared" si="203"/>
      </c>
      <c r="AD49" s="1651">
        <f t="shared" si="203"/>
      </c>
      <c r="AE49" s="1650">
        <f t="shared" si="203"/>
      </c>
      <c r="AF49" s="1650">
        <f t="shared" si="203"/>
      </c>
      <c r="AG49" s="1652">
        <f t="shared" si="203"/>
      </c>
      <c r="AH49" s="1650">
        <f t="shared" si="203"/>
      </c>
      <c r="AI49" s="1650">
        <f t="shared" si="203"/>
      </c>
      <c r="AJ49" s="1650">
        <f t="shared" si="203"/>
      </c>
      <c r="AK49" s="1652">
        <f t="shared" si="203"/>
      </c>
      <c r="AL49" s="1650">
        <f t="shared" ref="AL49:BQ49" si="204">+AL16/AH16-1</f>
      </c>
      <c r="AM49" s="1650">
        <f t="shared" si="204"/>
      </c>
      <c r="AN49" s="1650">
        <f t="shared" si="204"/>
      </c>
      <c r="AO49" s="1652">
        <f t="shared" si="204"/>
      </c>
      <c r="AP49" s="1650">
        <f t="shared" si="204"/>
      </c>
      <c r="AQ49" s="1650">
        <f t="shared" si="204"/>
      </c>
      <c r="AR49" s="1650">
        <f t="shared" si="204"/>
      </c>
      <c r="AS49" s="1652">
        <f t="shared" si="204"/>
      </c>
      <c r="AT49" s="1650">
        <f t="shared" si="204"/>
      </c>
      <c r="AU49" s="1650">
        <f t="shared" si="204"/>
      </c>
      <c r="AV49" s="1650">
        <f t="shared" si="204"/>
      </c>
      <c r="AW49" s="1652">
        <f t="shared" si="204"/>
      </c>
      <c r="AX49" s="1650">
        <f t="shared" si="204"/>
      </c>
      <c r="AY49" s="1650">
        <f t="shared" si="204"/>
      </c>
      <c r="AZ49" s="1650">
        <f t="shared" si="204"/>
      </c>
      <c r="BA49" s="1652">
        <f t="shared" si="204"/>
      </c>
      <c r="BB49" s="1650">
        <f t="shared" si="204"/>
      </c>
      <c r="BC49" s="1650">
        <f t="shared" si="204"/>
      </c>
      <c r="BD49" s="1650">
        <f t="shared" si="204"/>
      </c>
      <c r="BE49" s="1652">
        <f t="shared" si="204"/>
      </c>
      <c r="BF49" s="1650">
        <f t="shared" si="204"/>
      </c>
      <c r="BG49" s="1650">
        <f t="shared" si="204"/>
      </c>
      <c r="BH49" s="1650">
        <f t="shared" si="204"/>
      </c>
      <c r="BI49" s="1652">
        <f t="shared" si="204"/>
      </c>
      <c r="BJ49" s="1650">
        <f t="shared" si="204"/>
      </c>
      <c r="BK49" s="1650">
        <f t="shared" si="204"/>
      </c>
      <c r="BL49" s="1653">
        <f t="shared" si="204"/>
      </c>
      <c r="BM49" s="1654">
        <f t="shared" si="204"/>
      </c>
      <c r="BN49" s="1653">
        <f t="shared" si="204"/>
      </c>
      <c r="BO49" s="1653">
        <f t="shared" si="204"/>
      </c>
      <c r="BP49" s="1653">
        <f t="shared" si="204"/>
      </c>
      <c r="BQ49" s="1654">
        <f t="shared" si="204"/>
      </c>
      <c r="BR49" s="1653">
        <f t="shared" ref="BR49:CJ49" si="205">+BR16/BN16-1</f>
      </c>
      <c r="BS49" s="1653">
        <f t="shared" si="205"/>
      </c>
      <c r="BT49" s="1653">
        <f t="shared" si="205"/>
      </c>
      <c r="BU49" s="1654">
        <f t="shared" si="205"/>
      </c>
      <c r="BV49" s="1653">
        <f t="shared" si="205"/>
      </c>
      <c r="BW49" s="1653">
        <f t="shared" si="205"/>
      </c>
      <c r="BX49" s="1653">
        <f t="shared" si="205"/>
      </c>
      <c r="BY49" s="1654">
        <f t="shared" si="205"/>
      </c>
      <c r="BZ49" s="1653">
        <f t="shared" si="205"/>
      </c>
      <c r="CA49" s="1653">
        <f t="shared" si="205"/>
      </c>
      <c r="CB49" s="1653">
        <f t="shared" si="205"/>
      </c>
      <c r="CC49" s="1654">
        <f t="shared" si="205"/>
      </c>
      <c r="CD49" s="1653">
        <f t="shared" si="205"/>
      </c>
      <c r="CE49" s="1653">
        <f t="shared" si="205"/>
      </c>
      <c r="CF49" s="1653">
        <f t="shared" si="205"/>
      </c>
      <c r="CG49" s="1654">
        <f t="shared" si="205"/>
      </c>
      <c r="CH49" s="1653">
        <f t="shared" si="205"/>
      </c>
      <c r="CI49" s="1653">
        <f t="shared" si="205"/>
      </c>
      <c r="CJ49" s="1653">
        <f t="shared" si="205"/>
      </c>
      <c r="CK49" s="1652">
        <f t="shared" ref="CK49" si="206">+CK16/CG16-1</f>
      </c>
      <c r="CL49" s="1653">
        <f t="shared" ref="CL49" si="207">+CL16/CH16-1</f>
      </c>
      <c r="CM49" s="1653">
        <f t="shared" ref="CM49" si="208">+CM16/CI16-1</f>
      </c>
      <c r="CN49" s="1653">
        <f t="shared" ref="CN49:CS49" si="209">+CN16/CJ16-1</f>
      </c>
      <c r="CO49" s="1652">
        <f t="shared" si="209"/>
      </c>
      <c r="CP49" s="1653">
        <f t="shared" si="209"/>
      </c>
      <c r="CQ49" s="1653">
        <f t="shared" si="209"/>
      </c>
      <c r="CR49" s="1653">
        <f t="shared" si="209"/>
      </c>
      <c r="CS49" s="1652">
        <f t="shared" si="209"/>
      </c>
      <c r="CT49" s="1653">
        <f t="shared" ref="CT49" si="210">+CT16/CP16-1</f>
      </c>
      <c r="CU49" s="1653">
        <f t="shared" ref="CU49:CV49" si="211">+CU16/CQ16-1</f>
      </c>
      <c r="CV49" s="1653">
        <f t="shared" si="211"/>
      </c>
      <c r="CW49" s="1652">
        <f t="shared" ref="CW49" si="212">+CW16/CS16-1</f>
      </c>
      <c r="CX49" s="1653">
        <f t="shared" ref="CX49" si="213">+CX16/CT16-1</f>
      </c>
      <c r="CY49" s="1653">
        <f t="shared" ref="CY49" si="214">+CY16/CU16-1</f>
      </c>
      <c r="CZ49" s="1653">
        <f t="shared" ref="CZ49" si="215">+CZ16/CV16-1</f>
      </c>
      <c r="DA49" s="1652">
        <f t="shared" ref="DA49" si="216">+DA16/CW16-1</f>
      </c>
      <c r="DB49" s="1653">
        <f t="shared" ref="DB49" si="217">+DB16/CX16-1</f>
      </c>
      <c r="DC49" s="1653">
        <f t="shared" ref="DC49" si="218">+DC16/CY16-1</f>
      </c>
      <c r="DD49" s="1653">
        <f t="shared" ref="DD49" si="219">+DD16/CZ16-1</f>
      </c>
      <c r="DE49" s="1652">
        <f t="shared" ref="DE49" si="220">+DE16/DA16-1</f>
      </c>
      <c r="DF49" s="1653">
        <f t="shared" ref="DF49" si="221">+DF16/DB16-1</f>
      </c>
      <c r="DG49" s="1653">
        <f t="shared" ref="DG49" si="222">+DG16/DC16-1</f>
      </c>
      <c r="DH49" s="1653">
        <f t="shared" ref="DH49" si="223">+DH16/DD16-1</f>
      </c>
      <c r="DI49" s="1652">
        <f t="shared" ref="DI49" si="224">+DI16/DE16-1</f>
      </c>
      <c r="DJ49" s="1653">
        <f t="shared" ref="DJ49" si="225">+DJ16/DF16-1</f>
      </c>
      <c r="DK49" s="1653">
        <f t="shared" ref="DK49" si="226">+DK16/DG16-1</f>
      </c>
      <c r="DL49" s="1653">
        <f t="shared" ref="DL49" si="227">+DL16/DH16-1</f>
      </c>
      <c r="DM49" s="1652">
        <f t="shared" ref="DM49" si="228">+DM16/DI16-1</f>
      </c>
      <c r="DN49" s="1653">
        <f t="shared" ref="DN49" si="229">+DN16/DJ16-1</f>
      </c>
      <c r="DO49" s="1653">
        <f t="shared" ref="DO49" si="230">+DO16/DK16-1</f>
      </c>
      <c r="DP49" s="1653">
        <f t="shared" ref="DP49" si="231">+DP16/DL16-1</f>
      </c>
      <c r="DQ49" s="1652">
        <f t="shared" ref="DQ49" si="232">+DQ16/DM16-1</f>
      </c>
      <c r="DR49" s="1650"/>
      <c r="DS49" s="1650"/>
      <c r="DT49" s="1650">
        <f t="shared" ref="DT49:EN49" si="233">DT16/DS16-1</f>
      </c>
      <c r="DU49" s="1650">
        <f t="shared" si="233"/>
      </c>
      <c r="DV49" s="1650">
        <f t="shared" si="233"/>
      </c>
      <c r="DW49" s="1650">
        <f t="shared" si="233"/>
      </c>
      <c r="DX49" s="1650">
        <f t="shared" si="233"/>
      </c>
      <c r="DY49" s="1650">
        <f t="shared" si="233"/>
      </c>
      <c r="DZ49" s="1650">
        <f t="shared" si="233"/>
      </c>
      <c r="EA49" s="1650">
        <f t="shared" si="233"/>
      </c>
      <c r="EB49" s="1650">
        <f t="shared" si="233"/>
      </c>
      <c r="EC49" s="1650">
        <f t="shared" si="233"/>
      </c>
      <c r="ED49" s="1650">
        <f t="shared" si="233"/>
      </c>
      <c r="EE49" s="1650">
        <f t="shared" si="233"/>
      </c>
      <c r="EF49" s="1650">
        <f t="shared" si="233"/>
      </c>
      <c r="EG49" s="1650">
        <f t="shared" si="233"/>
      </c>
      <c r="EH49" s="1650">
        <f t="shared" si="233"/>
      </c>
      <c r="EI49" s="1650">
        <f t="shared" si="233"/>
      </c>
      <c r="EJ49" s="1650">
        <f t="shared" si="233"/>
      </c>
      <c r="EK49" s="1650">
        <f t="shared" si="233"/>
      </c>
      <c r="EL49" s="1650">
        <f t="shared" si="233"/>
      </c>
      <c r="EM49" s="1650">
        <f t="shared" si="233"/>
      </c>
      <c r="EN49" s="1650">
        <f t="shared" si="233"/>
      </c>
      <c r="EO49" s="1650">
        <f t="shared" ref="EO49" si="234">EO16/EN16-1</f>
      </c>
      <c r="EP49" s="1650">
        <f t="shared" ref="EP49" si="235">EP16/EO16-1</f>
      </c>
      <c r="EQ49" s="1650">
        <f t="shared" ref="EQ49" si="236">EQ16/EP16-1</f>
      </c>
      <c r="ER49" s="1650">
        <f t="shared" ref="ER49" si="237">ER16/EQ16-1</f>
      </c>
      <c r="ES49" s="1650">
        <f t="shared" ref="ES49" si="238">ES16/ER16-1</f>
      </c>
      <c r="ET49" s="1650">
        <f t="shared" ref="ET49" si="239">ET16/ES16-1</f>
      </c>
      <c r="EU49" s="1650">
        <f t="shared" ref="EU49" si="240">EU16/ET16-1</f>
      </c>
      <c r="EV49" s="1650">
        <f t="shared" ref="EV49" si="241">EV16/EU16-1</f>
      </c>
      <c r="EW49" s="1650"/>
      <c r="EX49" s="1650"/>
      <c r="EY49" s="1650"/>
      <c r="EZ49" s="1650">
        <f t="shared" ref="EZ49:FF49" si="242">EZ16/EY16-1</f>
      </c>
      <c r="FA49" s="1650">
        <f t="shared" si="242"/>
      </c>
      <c r="FB49" s="1650">
        <f t="shared" si="242"/>
      </c>
      <c r="FC49" s="1650">
        <f t="shared" si="242"/>
      </c>
      <c r="FD49" s="1650">
        <f t="shared" si="242"/>
      </c>
      <c r="FE49" s="1650">
        <f t="shared" si="242"/>
      </c>
      <c r="FF49" s="1650">
        <f t="shared" si="242"/>
      </c>
      <c r="FG49" s="1650"/>
      <c r="FH49" s="1650"/>
      <c r="FI49" s="1650"/>
      <c r="FJ49" s="1650"/>
    </row>
    <row r="50" spans="1:166" s="17" customFormat="1" ht="12" customHeight="1">
      <c r="A50" s="1646" t="s">
        <v>1410</v>
      </c>
      <c r="F50" s="505">
        <f t="shared" ref="F50:O51" si="243">+F29/B29-1</f>
      </c>
      <c r="G50" s="17">
        <f t="shared" si="243"/>
      </c>
      <c r="H50" s="17">
        <f t="shared" si="243"/>
      </c>
      <c r="I50" s="1647">
        <f t="shared" si="243"/>
      </c>
      <c r="J50" s="17">
        <f t="shared" si="243"/>
      </c>
      <c r="K50" s="17">
        <f t="shared" si="243"/>
      </c>
      <c r="L50" s="17">
        <f t="shared" si="243"/>
      </c>
      <c r="M50" s="17">
        <f t="shared" si="243"/>
      </c>
      <c r="N50" s="505">
        <f t="shared" si="243"/>
      </c>
      <c r="O50" s="17">
        <f t="shared" si="243"/>
      </c>
      <c r="P50" s="17">
        <f t="shared" ref="P50:Y51" si="244">+P29/L29-1</f>
      </c>
      <c r="Q50" s="1647">
        <f t="shared" si="244"/>
      </c>
      <c r="R50" s="17">
        <f t="shared" si="244"/>
      </c>
      <c r="S50" s="17">
        <f t="shared" si="244"/>
      </c>
      <c r="T50" s="17">
        <f t="shared" si="244"/>
      </c>
      <c r="U50" s="17">
        <f t="shared" si="244"/>
      </c>
      <c r="V50" s="505">
        <f t="shared" si="244"/>
      </c>
      <c r="W50" s="17">
        <f t="shared" si="244"/>
      </c>
      <c r="X50" s="17">
        <f t="shared" si="244"/>
      </c>
      <c r="Y50" s="1647">
        <f t="shared" si="244"/>
      </c>
      <c r="Z50" s="17">
        <f t="shared" ref="Z50:AI51" si="245">+Z29/V29-1</f>
      </c>
      <c r="AA50" s="17">
        <f t="shared" si="245"/>
      </c>
      <c r="AB50" s="17">
        <f t="shared" si="245"/>
      </c>
      <c r="AC50" s="17">
        <f t="shared" si="245"/>
      </c>
      <c r="AD50" s="505">
        <f t="shared" si="245"/>
      </c>
      <c r="AE50" s="17">
        <f t="shared" si="245"/>
      </c>
      <c r="AF50" s="17">
        <f t="shared" si="245"/>
      </c>
      <c r="AG50" s="1647">
        <f t="shared" si="245"/>
      </c>
      <c r="AH50" s="17">
        <f t="shared" si="245"/>
      </c>
      <c r="AI50" s="17">
        <f t="shared" si="245"/>
      </c>
      <c r="AJ50" s="17">
        <f t="shared" ref="AJ50:AS51" si="246">+AJ29/AF29-1</f>
      </c>
      <c r="AK50" s="1647">
        <f t="shared" si="246"/>
      </c>
      <c r="AL50" s="17">
        <f t="shared" si="246"/>
      </c>
      <c r="AM50" s="17">
        <f t="shared" si="246"/>
      </c>
      <c r="AN50" s="17">
        <f t="shared" si="246"/>
      </c>
      <c r="AO50" s="1647">
        <f t="shared" si="246"/>
      </c>
      <c r="AP50" s="17">
        <f t="shared" si="246"/>
      </c>
      <c r="AQ50" s="17">
        <f t="shared" si="246"/>
      </c>
      <c r="AR50" s="17">
        <f t="shared" si="246"/>
      </c>
      <c r="AS50" s="1647">
        <f t="shared" si="246"/>
      </c>
      <c r="AT50" s="17">
        <f t="shared" ref="AT50:BC51" si="247">+AT29/AP29-1</f>
      </c>
      <c r="AU50" s="17">
        <f t="shared" si="247"/>
      </c>
      <c r="AV50" s="17">
        <f t="shared" si="247"/>
      </c>
      <c r="AW50" s="1647">
        <f t="shared" si="247"/>
      </c>
      <c r="AX50" s="17">
        <f t="shared" si="247"/>
      </c>
      <c r="AY50" s="17">
        <f t="shared" si="247"/>
      </c>
      <c r="AZ50" s="17">
        <f t="shared" si="247"/>
      </c>
      <c r="BA50" s="1647">
        <f t="shared" si="247"/>
      </c>
      <c r="BB50" s="17">
        <f t="shared" si="247"/>
      </c>
      <c r="BC50" s="17">
        <f t="shared" si="247"/>
      </c>
      <c r="BD50" s="17">
        <f t="shared" ref="BD50:BM51" si="248">+BD29/AZ29-1</f>
      </c>
      <c r="BE50" s="1647">
        <f t="shared" si="248"/>
      </c>
      <c r="BF50" s="17">
        <f t="shared" si="248"/>
      </c>
      <c r="BG50" s="17">
        <f t="shared" si="248"/>
      </c>
      <c r="BH50" s="17">
        <f t="shared" si="248"/>
      </c>
      <c r="BI50" s="1647">
        <f t="shared" si="248"/>
      </c>
      <c r="BJ50" s="17">
        <f t="shared" si="248"/>
      </c>
      <c r="BK50" s="17">
        <f t="shared" si="248"/>
      </c>
      <c r="BL50" s="17">
        <f t="shared" si="248"/>
      </c>
      <c r="BM50" s="1647">
        <f t="shared" si="248"/>
      </c>
      <c r="BN50" s="17">
        <f t="shared" ref="BN50:BW51" si="249">+BN29/BJ29-1</f>
      </c>
      <c r="BO50" s="17">
        <f t="shared" si="249"/>
      </c>
      <c r="BP50" s="17">
        <f t="shared" si="249"/>
      </c>
      <c r="BQ50" s="1647">
        <f t="shared" si="249"/>
      </c>
      <c r="BR50" s="17">
        <f t="shared" si="249"/>
      </c>
      <c r="BS50" s="17">
        <f t="shared" si="249"/>
      </c>
      <c r="BT50" s="17">
        <f t="shared" si="249"/>
      </c>
      <c r="BU50" s="1647">
        <f t="shared" si="249"/>
      </c>
      <c r="BV50" s="17">
        <f t="shared" si="249"/>
      </c>
      <c r="BW50" s="17">
        <f t="shared" si="249"/>
      </c>
      <c r="BX50" s="17">
        <f t="shared" ref="BX50:CG51" si="250">+BX29/BT29-1</f>
      </c>
      <c r="BY50" s="1647">
        <f t="shared" si="250"/>
      </c>
      <c r="BZ50" s="17">
        <f t="shared" si="250"/>
      </c>
      <c r="CA50" s="17">
        <f t="shared" si="250"/>
      </c>
      <c r="CB50" s="17">
        <f t="shared" si="250"/>
      </c>
      <c r="CC50" s="1647">
        <f t="shared" si="250"/>
      </c>
      <c r="CD50" s="17">
        <f t="shared" si="250"/>
      </c>
      <c r="CE50" s="17">
        <f t="shared" si="250"/>
      </c>
      <c r="CF50" s="17">
        <f t="shared" si="250"/>
      </c>
      <c r="CG50" s="1647">
        <f t="shared" si="250"/>
      </c>
      <c r="CH50" s="17">
        <f t="shared" ref="CH50:CH54" si="251">+CH29/CD29-1</f>
      </c>
      <c r="CI50" s="17">
        <f t="shared" ref="CI50:CI54" si="252">+CI29/CE29-1</f>
      </c>
      <c r="CJ50" s="17">
        <f t="shared" ref="CJ50:CK54" si="253">+CJ29/CF29-1</f>
      </c>
      <c r="CK50" s="1687">
        <f t="shared" si="253"/>
      </c>
      <c r="CL50" s="17">
        <f t="shared" ref="CL50:CL54" si="254">+CL29/CH29-1</f>
      </c>
      <c r="CM50" s="17">
        <f t="shared" ref="CM50:CM54" si="255">+CM29/CI29-1</f>
      </c>
      <c r="CN50" s="17">
        <f t="shared" ref="CN50:CO54" si="256">+CN29/CJ29-1</f>
      </c>
      <c r="CO50" s="1687">
        <f t="shared" si="256"/>
      </c>
      <c r="CP50" s="17">
        <f t="shared" ref="CP50:CR54" si="257">+CP29/CL29-1</f>
      </c>
      <c r="CQ50" s="17">
        <f t="shared" si="257"/>
      </c>
      <c r="CR50" s="17">
        <f t="shared" si="257"/>
      </c>
      <c r="CS50" s="1647">
        <f t="shared" ref="CS50:CS54" si="258">+CS29/CO29-1</f>
      </c>
      <c r="CT50" s="17">
        <f t="shared" ref="CT50:CT54" si="259">+CT29/CP29-1</f>
      </c>
      <c r="CU50" s="17">
        <f t="shared" ref="CU50:CU54" si="260">+CU29/CQ29-1</f>
      </c>
      <c r="CV50" s="17">
        <f t="shared" ref="CV50:CV54" si="261">+CV29/CR29-1</f>
      </c>
      <c r="CW50" s="1647">
        <f t="shared" ref="CW50:CW54" si="262">+CW29/CS29-1</f>
      </c>
      <c r="CX50" s="17">
        <f t="shared" ref="CX50:CX54" si="263">+CX29/CT29-1</f>
      </c>
      <c r="CY50" s="17">
        <f t="shared" ref="CY50:CY54" si="264">+CY29/CU29-1</f>
      </c>
      <c r="CZ50" s="17">
        <f t="shared" ref="CZ50:CZ54" si="265">+CZ29/CV29-1</f>
      </c>
      <c r="DA50" s="1647">
        <f t="shared" ref="DA50:DA54" si="266">+DA29/CW29-1</f>
      </c>
      <c r="DB50" s="17">
        <f t="shared" ref="DB50:DB54" si="267">+DB29/CX29-1</f>
      </c>
      <c r="DC50" s="17">
        <f t="shared" ref="DC50:DC54" si="268">+DC29/CY29-1</f>
      </c>
      <c r="DD50" s="17">
        <f t="shared" ref="DD50:DD54" si="269">+DD29/CZ29-1</f>
      </c>
      <c r="DE50" s="1647">
        <f t="shared" ref="DE50:DE54" si="270">+DE29/DA29-1</f>
      </c>
      <c r="DF50" s="17">
        <f t="shared" ref="DF50:DF54" si="271">+DF29/DB29-1</f>
      </c>
      <c r="DG50" s="17">
        <f t="shared" ref="DG50:DG54" si="272">+DG29/DC29-1</f>
      </c>
      <c r="DH50" s="17">
        <f t="shared" ref="DH50:DH54" si="273">+DH29/DD29-1</f>
      </c>
      <c r="DI50" s="1647">
        <f t="shared" ref="DI50:DI54" si="274">+DI29/DE29-1</f>
      </c>
      <c r="DJ50" s="17">
        <f t="shared" ref="DJ50:DJ54" si="275">+DJ29/DF29-1</f>
      </c>
      <c r="DK50" s="17">
        <f t="shared" ref="DK50:DK54" si="276">+DK29/DG29-1</f>
      </c>
      <c r="DL50" s="17">
        <f t="shared" ref="DL50:DL54" si="277">+DL29/DH29-1</f>
      </c>
      <c r="DM50" s="1647">
        <f t="shared" ref="DM50:DM54" si="278">+DM29/DI29-1</f>
      </c>
      <c r="DN50" s="17">
        <f t="shared" ref="DN50:DN54" si="279">+DN29/DJ29-1</f>
      </c>
      <c r="DO50" s="17">
        <f t="shared" ref="DO50:DO54" si="280">+DO29/DK29-1</f>
      </c>
      <c r="DP50" s="17">
        <f t="shared" ref="DP50:DP54" si="281">+DP29/DL29-1</f>
      </c>
      <c r="DQ50" s="1647">
        <f t="shared" ref="DQ50:DQ54" si="282">+DQ29/DM29-1</f>
      </c>
      <c r="DT50" s="17">
        <f t="shared" ref="DT50:EN50" si="283">DT29/DS29-1</f>
      </c>
      <c r="DU50" s="17">
        <f t="shared" si="283"/>
      </c>
      <c r="DV50" s="17">
        <f t="shared" si="283"/>
      </c>
      <c r="DW50" s="17">
        <f t="shared" si="283"/>
      </c>
      <c r="DX50" s="17">
        <f t="shared" si="283"/>
      </c>
      <c r="DY50" s="17">
        <f t="shared" si="283"/>
      </c>
      <c r="DZ50" s="17">
        <f t="shared" si="283"/>
      </c>
      <c r="EA50" s="17">
        <f t="shared" si="283"/>
      </c>
      <c r="EB50" s="17">
        <f t="shared" si="283"/>
      </c>
      <c r="EC50" s="17">
        <f t="shared" si="283"/>
      </c>
      <c r="ED50" s="17">
        <f t="shared" si="283"/>
      </c>
      <c r="EE50" s="17">
        <f t="shared" si="283"/>
      </c>
      <c r="EF50" s="17">
        <f t="shared" si="283"/>
      </c>
      <c r="EG50" s="17">
        <f t="shared" si="283"/>
      </c>
      <c r="EH50" s="17">
        <f t="shared" si="283"/>
      </c>
      <c r="EI50" s="17">
        <f t="shared" si="283"/>
      </c>
      <c r="EJ50" s="17">
        <f t="shared" si="283"/>
      </c>
      <c r="EK50" s="17">
        <f t="shared" si="283"/>
      </c>
      <c r="EL50" s="17">
        <f t="shared" si="283"/>
      </c>
      <c r="EM50" s="17">
        <f t="shared" si="283"/>
      </c>
      <c r="EN50" s="17">
        <f t="shared" si="283"/>
      </c>
      <c r="EO50" s="17">
        <f t="shared" ref="EO50:EO54" si="284">EO29/EN29-1</f>
      </c>
      <c r="EP50" s="17">
        <f t="shared" ref="EP50:EP54" si="285">EP29/EO29-1</f>
      </c>
      <c r="EQ50" s="17">
        <f t="shared" ref="EQ50:EQ54" si="286">EQ29/EP29-1</f>
      </c>
      <c r="ER50" s="17">
        <f t="shared" ref="ER50:ER54" si="287">ER29/EQ29-1</f>
      </c>
      <c r="ES50" s="17">
        <f t="shared" ref="ES50:ES54" si="288">ES29/ER29-1</f>
      </c>
      <c r="ET50" s="17">
        <f t="shared" ref="ET50:ET54" si="289">ET29/ES29-1</f>
      </c>
      <c r="EU50" s="17">
        <f t="shared" ref="EU50:EU54" si="290">EU29/ET29-1</f>
      </c>
      <c r="EV50" s="17">
        <f t="shared" ref="EV50:EV54" si="291">EV29/EU29-1</f>
      </c>
      <c r="EZ50" s="17">
        <f t="shared" ref="EZ50:FF54" si="292">EZ29/EY29-1</f>
      </c>
      <c r="FA50" s="17">
        <f t="shared" si="292"/>
      </c>
      <c r="FB50" s="17">
        <f t="shared" si="292"/>
      </c>
      <c r="FC50" s="17">
        <f t="shared" si="292"/>
      </c>
      <c r="FD50" s="17">
        <f t="shared" si="292"/>
      </c>
      <c r="FE50" s="17">
        <f t="shared" si="292"/>
      </c>
      <c r="FF50" s="17">
        <f t="shared" si="292"/>
      </c>
    </row>
    <row r="51" spans="1:166" s="17" customFormat="1" ht="12" customHeight="1">
      <c r="A51" s="1646" t="s">
        <v>1411</v>
      </c>
      <c r="F51" s="505">
        <f t="shared" si="243"/>
      </c>
      <c r="G51" s="17">
        <f t="shared" si="243"/>
      </c>
      <c r="H51" s="17">
        <f t="shared" si="243"/>
      </c>
      <c r="I51" s="1647">
        <f t="shared" si="243"/>
      </c>
      <c r="J51" s="17">
        <f t="shared" si="243"/>
      </c>
      <c r="K51" s="17">
        <f t="shared" si="243"/>
      </c>
      <c r="L51" s="17">
        <f t="shared" si="243"/>
      </c>
      <c r="M51" s="17">
        <f t="shared" si="243"/>
      </c>
      <c r="N51" s="505">
        <f t="shared" si="243"/>
      </c>
      <c r="O51" s="17">
        <f t="shared" si="243"/>
      </c>
      <c r="P51" s="17">
        <f t="shared" si="244"/>
      </c>
      <c r="Q51" s="1647">
        <f t="shared" si="244"/>
      </c>
      <c r="R51" s="17">
        <f t="shared" si="244"/>
      </c>
      <c r="S51" s="17">
        <f t="shared" si="244"/>
      </c>
      <c r="T51" s="17">
        <f t="shared" si="244"/>
      </c>
      <c r="U51" s="17">
        <f t="shared" si="244"/>
      </c>
      <c r="V51" s="505">
        <f t="shared" si="244"/>
      </c>
      <c r="W51" s="17">
        <f t="shared" si="244"/>
      </c>
      <c r="X51" s="17">
        <f t="shared" si="244"/>
      </c>
      <c r="Y51" s="1647">
        <f t="shared" si="244"/>
      </c>
      <c r="Z51" s="17">
        <f t="shared" si="245"/>
      </c>
      <c r="AA51" s="17">
        <f t="shared" si="245"/>
      </c>
      <c r="AB51" s="17">
        <f t="shared" si="245"/>
      </c>
      <c r="AC51" s="17">
        <f t="shared" si="245"/>
      </c>
      <c r="AD51" s="505">
        <f t="shared" si="245"/>
      </c>
      <c r="AE51" s="17">
        <f t="shared" si="245"/>
      </c>
      <c r="AF51" s="17">
        <f t="shared" si="245"/>
      </c>
      <c r="AG51" s="1647">
        <f t="shared" si="245"/>
      </c>
      <c r="AH51" s="17">
        <f t="shared" si="245"/>
      </c>
      <c r="AI51" s="17">
        <f t="shared" si="245"/>
      </c>
      <c r="AJ51" s="17">
        <f t="shared" si="246"/>
      </c>
      <c r="AK51" s="1647">
        <f t="shared" si="246"/>
      </c>
      <c r="AL51" s="17">
        <f t="shared" si="246"/>
      </c>
      <c r="AM51" s="17">
        <f t="shared" si="246"/>
      </c>
      <c r="AN51" s="17">
        <f t="shared" si="246"/>
      </c>
      <c r="AO51" s="1647">
        <f t="shared" si="246"/>
      </c>
      <c r="AP51" s="17">
        <f t="shared" si="246"/>
      </c>
      <c r="AQ51" s="17">
        <f t="shared" si="246"/>
      </c>
      <c r="AR51" s="17">
        <f t="shared" si="246"/>
      </c>
      <c r="AS51" s="1647">
        <f t="shared" si="246"/>
      </c>
      <c r="AT51" s="17">
        <f t="shared" si="247"/>
      </c>
      <c r="AU51" s="17">
        <f t="shared" si="247"/>
      </c>
      <c r="AV51" s="17">
        <f t="shared" si="247"/>
      </c>
      <c r="AW51" s="1647">
        <f t="shared" si="247"/>
      </c>
      <c r="AX51" s="17">
        <f t="shared" si="247"/>
      </c>
      <c r="AY51" s="17">
        <f t="shared" si="247"/>
      </c>
      <c r="AZ51" s="17">
        <f t="shared" si="247"/>
      </c>
      <c r="BA51" s="1647">
        <f t="shared" si="247"/>
      </c>
      <c r="BB51" s="17">
        <f t="shared" si="247"/>
      </c>
      <c r="BC51" s="17">
        <f t="shared" si="247"/>
      </c>
      <c r="BD51" s="17">
        <f t="shared" si="248"/>
      </c>
      <c r="BE51" s="1647">
        <f t="shared" si="248"/>
      </c>
      <c r="BF51" s="17">
        <f t="shared" si="248"/>
      </c>
      <c r="BG51" s="17">
        <f t="shared" si="248"/>
      </c>
      <c r="BH51" s="17">
        <f t="shared" si="248"/>
      </c>
      <c r="BI51" s="1647">
        <f t="shared" si="248"/>
      </c>
      <c r="BJ51" s="17">
        <f t="shared" si="248"/>
      </c>
      <c r="BK51" s="17">
        <f t="shared" si="248"/>
      </c>
      <c r="BL51" s="17">
        <f t="shared" si="248"/>
      </c>
      <c r="BM51" s="1647">
        <f t="shared" si="248"/>
      </c>
      <c r="BN51" s="17">
        <f t="shared" si="249"/>
      </c>
      <c r="BO51" s="17">
        <f t="shared" si="249"/>
      </c>
      <c r="BP51" s="17">
        <f t="shared" si="249"/>
      </c>
      <c r="BQ51" s="1647">
        <f t="shared" si="249"/>
      </c>
      <c r="BR51" s="17">
        <f t="shared" si="249"/>
      </c>
      <c r="BS51" s="17">
        <f t="shared" si="249"/>
      </c>
      <c r="BT51" s="17">
        <f t="shared" si="249"/>
      </c>
      <c r="BU51" s="1647">
        <f t="shared" si="249"/>
      </c>
      <c r="BV51" s="17">
        <f t="shared" si="249"/>
      </c>
      <c r="BW51" s="17">
        <f t="shared" si="249"/>
      </c>
      <c r="BX51" s="17">
        <f t="shared" si="250"/>
      </c>
      <c r="BY51" s="1647">
        <f t="shared" si="250"/>
      </c>
      <c r="BZ51" s="17">
        <f t="shared" si="250"/>
      </c>
      <c r="CA51" s="17">
        <f t="shared" si="250"/>
      </c>
      <c r="CB51" s="17">
        <f t="shared" si="250"/>
      </c>
      <c r="CC51" s="1647">
        <f t="shared" si="250"/>
      </c>
      <c r="CD51" s="17">
        <f t="shared" si="250"/>
      </c>
      <c r="CE51" s="17">
        <f t="shared" si="250"/>
      </c>
      <c r="CF51" s="17">
        <f t="shared" si="250"/>
      </c>
      <c r="CG51" s="1647">
        <f t="shared" si="250"/>
      </c>
      <c r="CH51" s="17">
        <f t="shared" si="251"/>
      </c>
      <c r="CI51" s="17">
        <f t="shared" si="252"/>
      </c>
      <c r="CJ51" s="17">
        <f t="shared" si="253"/>
      </c>
      <c r="CK51" s="1647">
        <f t="shared" si="253"/>
      </c>
      <c r="CL51" s="17">
        <f t="shared" si="254"/>
      </c>
      <c r="CM51" s="17">
        <f t="shared" si="255"/>
      </c>
      <c r="CN51" s="17">
        <f t="shared" si="256"/>
      </c>
      <c r="CO51" s="1647">
        <f t="shared" si="256"/>
      </c>
      <c r="CP51" s="17">
        <f t="shared" si="257"/>
      </c>
      <c r="CQ51" s="17">
        <f t="shared" si="257"/>
      </c>
      <c r="CR51" s="17">
        <f t="shared" si="257"/>
      </c>
      <c r="CS51" s="1647">
        <f t="shared" si="258"/>
      </c>
      <c r="CT51" s="17">
        <f t="shared" si="259"/>
      </c>
      <c r="CU51" s="17">
        <f t="shared" si="260"/>
      </c>
      <c r="CV51" s="17">
        <f t="shared" si="261"/>
      </c>
      <c r="CW51" s="1647">
        <f t="shared" si="262"/>
      </c>
      <c r="CX51" s="17">
        <f t="shared" si="263"/>
      </c>
      <c r="CY51" s="17">
        <f t="shared" si="264"/>
      </c>
      <c r="CZ51" s="17">
        <f t="shared" si="265"/>
      </c>
      <c r="DA51" s="1647">
        <f t="shared" si="266"/>
      </c>
      <c r="DB51" s="17">
        <f t="shared" si="267"/>
      </c>
      <c r="DC51" s="17">
        <f t="shared" si="268"/>
      </c>
      <c r="DD51" s="17">
        <f t="shared" si="269"/>
      </c>
      <c r="DE51" s="1647">
        <f t="shared" si="270"/>
      </c>
      <c r="DF51" s="17">
        <f t="shared" si="271"/>
      </c>
      <c r="DG51" s="17">
        <f t="shared" si="272"/>
      </c>
      <c r="DH51" s="17">
        <f t="shared" si="273"/>
      </c>
      <c r="DI51" s="1647">
        <f t="shared" si="274"/>
      </c>
      <c r="DJ51" s="17">
        <f t="shared" si="275"/>
      </c>
      <c r="DK51" s="17">
        <f t="shared" si="276"/>
      </c>
      <c r="DL51" s="17">
        <f t="shared" si="277"/>
      </c>
      <c r="DM51" s="1647">
        <f t="shared" si="278"/>
      </c>
      <c r="DN51" s="17">
        <f t="shared" si="279"/>
      </c>
      <c r="DO51" s="17">
        <f t="shared" si="280"/>
      </c>
      <c r="DP51" s="17">
        <f t="shared" si="281"/>
      </c>
      <c r="DQ51" s="1647">
        <f t="shared" si="282"/>
      </c>
      <c r="DT51" s="17">
        <f t="shared" ref="DT51:EN51" si="293">DT30/DS30-1</f>
      </c>
      <c r="DU51" s="17">
        <f t="shared" si="293"/>
      </c>
      <c r="DV51" s="17">
        <f t="shared" si="293"/>
      </c>
      <c r="DW51" s="17">
        <f t="shared" si="293"/>
      </c>
      <c r="DX51" s="17">
        <f t="shared" si="293"/>
      </c>
      <c r="DY51" s="17">
        <f t="shared" si="293"/>
      </c>
      <c r="DZ51" s="17">
        <f t="shared" si="293"/>
      </c>
      <c r="EA51" s="17">
        <f t="shared" si="293"/>
      </c>
      <c r="EB51" s="17">
        <f t="shared" si="293"/>
      </c>
      <c r="EC51" s="17">
        <f t="shared" si="293"/>
      </c>
      <c r="ED51" s="17">
        <f t="shared" si="293"/>
      </c>
      <c r="EE51" s="17">
        <f t="shared" si="293"/>
      </c>
      <c r="EF51" s="17">
        <f t="shared" si="293"/>
      </c>
      <c r="EG51" s="17">
        <f t="shared" si="293"/>
      </c>
      <c r="EH51" s="17">
        <f t="shared" si="293"/>
      </c>
      <c r="EI51" s="17">
        <f t="shared" si="293"/>
      </c>
      <c r="EJ51" s="17">
        <f t="shared" si="293"/>
      </c>
      <c r="EK51" s="17">
        <f t="shared" si="293"/>
      </c>
      <c r="EL51" s="17">
        <f t="shared" si="293"/>
      </c>
      <c r="EM51" s="17">
        <f t="shared" si="293"/>
      </c>
      <c r="EN51" s="17">
        <f t="shared" si="293"/>
      </c>
      <c r="EO51" s="17">
        <f t="shared" si="284"/>
      </c>
      <c r="EP51" s="17">
        <f t="shared" si="285"/>
      </c>
      <c r="EQ51" s="17">
        <f t="shared" si="286"/>
      </c>
      <c r="ER51" s="17">
        <f t="shared" si="287"/>
      </c>
      <c r="ES51" s="17">
        <f t="shared" si="288"/>
      </c>
      <c r="ET51" s="17">
        <f t="shared" si="289"/>
      </c>
      <c r="EU51" s="17">
        <f t="shared" si="290"/>
      </c>
      <c r="EV51" s="17">
        <f t="shared" si="291"/>
      </c>
      <c r="EZ51" s="17">
        <f t="shared" si="292"/>
      </c>
      <c r="FA51" s="17">
        <f t="shared" si="292"/>
      </c>
      <c r="FB51" s="17">
        <f t="shared" si="292"/>
      </c>
      <c r="FC51" s="17">
        <f t="shared" si="292"/>
      </c>
      <c r="FD51" s="17">
        <f t="shared" si="292"/>
      </c>
      <c r="FE51" s="17">
        <f t="shared" si="292"/>
      </c>
      <c r="FF51" s="17">
        <f t="shared" si="292"/>
      </c>
    </row>
    <row r="52" spans="1:166" s="17" customFormat="1" ht="12" customHeight="1">
      <c r="A52" s="1646" t="s">
        <v>1412</v>
      </c>
      <c r="F52" s="505"/>
      <c r="I52" s="1647"/>
      <c r="N52" s="505"/>
      <c r="Q52" s="1647"/>
      <c r="V52" s="505"/>
      <c r="Y52" s="1647"/>
      <c r="AD52" s="505"/>
      <c r="AG52" s="1647"/>
      <c r="AK52" s="1647"/>
      <c r="AO52" s="1647"/>
      <c r="AS52" s="1647"/>
      <c r="AW52" s="1647"/>
      <c r="AX52" s="17">
        <f t="shared" ref="AX52:BG54" si="294">+AX31/AT31-1</f>
      </c>
      <c r="AY52" s="17">
        <f t="shared" si="294"/>
      </c>
      <c r="AZ52" s="17">
        <f t="shared" si="294"/>
      </c>
      <c r="BA52" s="1647">
        <f t="shared" si="294"/>
      </c>
      <c r="BB52" s="17">
        <f t="shared" si="294"/>
      </c>
      <c r="BC52" s="17">
        <f t="shared" si="294"/>
      </c>
      <c r="BD52" s="17">
        <f t="shared" si="294"/>
      </c>
      <c r="BE52" s="1647">
        <f t="shared" si="294"/>
      </c>
      <c r="BF52" s="17">
        <f t="shared" si="294"/>
      </c>
      <c r="BG52" s="17">
        <f t="shared" si="294"/>
      </c>
      <c r="BH52" s="17">
        <f t="shared" ref="BH52:BQ54" si="295">+BH31/BD31-1</f>
      </c>
      <c r="BI52" s="1647">
        <f t="shared" si="295"/>
      </c>
      <c r="BJ52" s="17">
        <f t="shared" si="295"/>
      </c>
      <c r="BK52" s="17">
        <f t="shared" si="295"/>
      </c>
      <c r="BL52" s="17">
        <f t="shared" si="295"/>
      </c>
      <c r="BM52" s="1647">
        <f t="shared" si="295"/>
      </c>
      <c r="BN52" s="17">
        <f t="shared" si="295"/>
      </c>
      <c r="BO52" s="17">
        <f t="shared" si="295"/>
      </c>
      <c r="BP52" s="17">
        <f t="shared" si="295"/>
      </c>
      <c r="BQ52" s="1647">
        <f t="shared" si="295"/>
      </c>
      <c r="BR52" s="17">
        <f t="shared" ref="BR52:CA54" si="296">+BR31/BN31-1</f>
      </c>
      <c r="BS52" s="17">
        <f t="shared" si="296"/>
      </c>
      <c r="BT52" s="17">
        <f t="shared" si="296"/>
      </c>
      <c r="BU52" s="1647">
        <f t="shared" si="296"/>
      </c>
      <c r="BV52" s="17">
        <f t="shared" si="296"/>
      </c>
      <c r="BW52" s="17">
        <f t="shared" si="296"/>
      </c>
      <c r="BX52" s="17">
        <f t="shared" si="296"/>
      </c>
      <c r="BY52" s="1647">
        <f t="shared" si="296"/>
      </c>
      <c r="BZ52" s="17">
        <f t="shared" si="296"/>
      </c>
      <c r="CA52" s="17">
        <f t="shared" si="296"/>
      </c>
      <c r="CB52" s="17">
        <f t="shared" ref="CB52:CG54" si="297">+CB31/BX31-1</f>
      </c>
      <c r="CC52" s="1647">
        <f t="shared" si="297"/>
      </c>
      <c r="CD52" s="17">
        <f t="shared" si="297"/>
      </c>
      <c r="CE52" s="17">
        <f t="shared" si="297"/>
      </c>
      <c r="CF52" s="17">
        <f t="shared" si="297"/>
      </c>
      <c r="CG52" s="1647">
        <f t="shared" si="297"/>
      </c>
      <c r="CH52" s="17">
        <f t="shared" si="251"/>
      </c>
      <c r="CI52" s="17">
        <f t="shared" si="252"/>
      </c>
      <c r="CJ52" s="17">
        <f t="shared" si="253"/>
      </c>
      <c r="CK52" s="1647">
        <f t="shared" si="253"/>
      </c>
      <c r="CL52" s="17">
        <f t="shared" si="254"/>
      </c>
      <c r="CM52" s="17">
        <f t="shared" si="255"/>
      </c>
      <c r="CN52" s="17">
        <f t="shared" si="256"/>
      </c>
      <c r="CO52" s="1647">
        <f t="shared" si="256"/>
      </c>
      <c r="CP52" s="17">
        <f t="shared" si="257"/>
      </c>
      <c r="CQ52" s="17">
        <f t="shared" si="257"/>
      </c>
      <c r="CR52" s="17">
        <f t="shared" si="257"/>
      </c>
      <c r="CS52" s="1647">
        <f t="shared" si="258"/>
      </c>
      <c r="CT52" s="17">
        <f t="shared" si="259"/>
      </c>
      <c r="CU52" s="17">
        <f t="shared" si="260"/>
      </c>
      <c r="CV52" s="17">
        <f t="shared" si="261"/>
      </c>
      <c r="CW52" s="1647">
        <f t="shared" si="262"/>
      </c>
      <c r="CX52" s="17">
        <f t="shared" si="263"/>
      </c>
      <c r="CY52" s="17">
        <f t="shared" si="264"/>
      </c>
      <c r="CZ52" s="17">
        <f t="shared" si="265"/>
      </c>
      <c r="DA52" s="1647">
        <f t="shared" si="266"/>
      </c>
      <c r="DB52" s="17">
        <f t="shared" si="267"/>
      </c>
      <c r="DC52" s="17">
        <f t="shared" si="268"/>
      </c>
      <c r="DD52" s="17">
        <f t="shared" si="269"/>
      </c>
      <c r="DE52" s="1647">
        <f t="shared" si="270"/>
      </c>
      <c r="DF52" s="17">
        <f t="shared" si="271"/>
      </c>
      <c r="DG52" s="17">
        <f t="shared" si="272"/>
      </c>
      <c r="DH52" s="17">
        <f t="shared" si="273"/>
      </c>
      <c r="DI52" s="1647">
        <f t="shared" si="274"/>
      </c>
      <c r="DJ52" s="17">
        <f t="shared" si="275"/>
      </c>
      <c r="DK52" s="17">
        <f t="shared" si="276"/>
      </c>
      <c r="DL52" s="17">
        <f t="shared" si="277"/>
      </c>
      <c r="DM52" s="1647">
        <f t="shared" si="278"/>
      </c>
      <c r="DN52" s="17">
        <f t="shared" si="279"/>
      </c>
      <c r="DO52" s="17">
        <f t="shared" si="280"/>
      </c>
      <c r="DP52" s="17">
        <f t="shared" si="281"/>
      </c>
      <c r="DQ52" s="1647">
        <f t="shared" si="282"/>
      </c>
      <c r="EE52" s="17">
        <f t="shared" ref="EE52:EN52" si="298">EE31/ED31-1</f>
      </c>
      <c r="EF52" s="17">
        <f t="shared" si="298"/>
      </c>
      <c r="EG52" s="17">
        <f t="shared" si="298"/>
      </c>
      <c r="EH52" s="17">
        <f t="shared" si="298"/>
      </c>
      <c r="EI52" s="17">
        <f t="shared" si="298"/>
      </c>
      <c r="EJ52" s="17">
        <f t="shared" si="298"/>
      </c>
      <c r="EK52" s="17">
        <f t="shared" si="298"/>
      </c>
      <c r="EL52" s="17">
        <f t="shared" si="298"/>
      </c>
      <c r="EM52" s="17">
        <f t="shared" si="298"/>
      </c>
      <c r="EN52" s="17">
        <f t="shared" si="298"/>
      </c>
      <c r="EO52" s="17">
        <f t="shared" si="284"/>
      </c>
      <c r="EP52" s="17">
        <f t="shared" si="285"/>
      </c>
      <c r="EQ52" s="17">
        <f t="shared" si="286"/>
      </c>
      <c r="ER52" s="17">
        <f t="shared" si="287"/>
      </c>
      <c r="ES52" s="17">
        <f t="shared" si="288"/>
      </c>
      <c r="ET52" s="17">
        <f t="shared" si="289"/>
      </c>
      <c r="EU52" s="17">
        <f t="shared" si="290"/>
      </c>
      <c r="EV52" s="17">
        <f t="shared" si="291"/>
      </c>
      <c r="EZ52" s="17">
        <f t="shared" si="292"/>
      </c>
      <c r="FA52" s="17">
        <f t="shared" si="292"/>
      </c>
      <c r="FB52" s="17">
        <f t="shared" si="292"/>
      </c>
      <c r="FC52" s="17">
        <f t="shared" si="292"/>
      </c>
      <c r="FD52" s="17">
        <f t="shared" si="292"/>
      </c>
      <c r="FE52" s="17">
        <f t="shared" si="292"/>
      </c>
      <c r="FF52" s="17">
        <f t="shared" si="292"/>
      </c>
    </row>
    <row r="53" spans="1:166" s="17" customFormat="1" ht="12" customHeight="1">
      <c r="A53" s="1646" t="s">
        <v>1413</v>
      </c>
      <c r="F53" s="505">
        <f t="shared" ref="F53:O54" si="299">+F32/B32-1</f>
      </c>
      <c r="G53" s="17">
        <f t="shared" si="299"/>
      </c>
      <c r="H53" s="17">
        <f t="shared" si="299"/>
      </c>
      <c r="I53" s="1647">
        <f t="shared" si="299"/>
      </c>
      <c r="J53" s="17">
        <f t="shared" si="299"/>
      </c>
      <c r="K53" s="17">
        <f t="shared" si="299"/>
      </c>
      <c r="L53" s="17">
        <f t="shared" si="299"/>
      </c>
      <c r="M53" s="17">
        <f t="shared" si="299"/>
      </c>
      <c r="N53" s="505">
        <f t="shared" si="299"/>
      </c>
      <c r="O53" s="17">
        <f t="shared" si="299"/>
      </c>
      <c r="P53" s="17">
        <f t="shared" ref="P53:Y54" si="300">+P32/L32-1</f>
      </c>
      <c r="Q53" s="1647">
        <f t="shared" si="300"/>
      </c>
      <c r="R53" s="17">
        <f t="shared" si="300"/>
      </c>
      <c r="S53" s="17">
        <f t="shared" si="300"/>
      </c>
      <c r="T53" s="17">
        <f t="shared" si="300"/>
      </c>
      <c r="U53" s="17">
        <f t="shared" si="300"/>
      </c>
      <c r="V53" s="505">
        <f t="shared" si="300"/>
      </c>
      <c r="W53" s="17">
        <f t="shared" si="300"/>
      </c>
      <c r="X53" s="17">
        <f t="shared" si="300"/>
      </c>
      <c r="Y53" s="1647">
        <f t="shared" si="300"/>
      </c>
      <c r="Z53" s="17">
        <f t="shared" ref="Z53:AI54" si="301">+Z32/V32-1</f>
      </c>
      <c r="AA53" s="17">
        <f t="shared" si="301"/>
      </c>
      <c r="AB53" s="17">
        <f t="shared" si="301"/>
      </c>
      <c r="AC53" s="17">
        <f t="shared" si="301"/>
      </c>
      <c r="AD53" s="505">
        <f t="shared" si="301"/>
      </c>
      <c r="AE53" s="17">
        <f t="shared" si="301"/>
      </c>
      <c r="AF53" s="17">
        <f t="shared" si="301"/>
      </c>
      <c r="AG53" s="1647">
        <f t="shared" si="301"/>
      </c>
      <c r="AH53" s="17">
        <f t="shared" si="301"/>
      </c>
      <c r="AI53" s="17">
        <f t="shared" si="301"/>
      </c>
      <c r="AJ53" s="17">
        <f t="shared" ref="AJ53:AS54" si="302">+AJ32/AF32-1</f>
      </c>
      <c r="AK53" s="1647">
        <f t="shared" si="302"/>
      </c>
      <c r="AL53" s="17">
        <f t="shared" si="302"/>
      </c>
      <c r="AM53" s="17">
        <f t="shared" si="302"/>
      </c>
      <c r="AN53" s="17">
        <f t="shared" si="302"/>
      </c>
      <c r="AO53" s="1647">
        <f t="shared" si="302"/>
      </c>
      <c r="AP53" s="17">
        <f t="shared" si="302"/>
      </c>
      <c r="AQ53" s="17">
        <f t="shared" si="302"/>
      </c>
      <c r="AR53" s="17">
        <f t="shared" si="302"/>
      </c>
      <c r="AS53" s="1647">
        <f t="shared" si="302"/>
      </c>
      <c r="AT53" s="17">
        <f t="shared" ref="AT53:AW54" si="303">+AT32/AP32-1</f>
      </c>
      <c r="AU53" s="17">
        <f t="shared" si="303"/>
      </c>
      <c r="AV53" s="17">
        <f t="shared" si="303"/>
      </c>
      <c r="AW53" s="1647">
        <f t="shared" si="303"/>
      </c>
      <c r="AX53" s="17">
        <f t="shared" si="294"/>
      </c>
      <c r="AY53" s="17">
        <f t="shared" si="294"/>
      </c>
      <c r="AZ53" s="17">
        <f t="shared" si="294"/>
      </c>
      <c r="BA53" s="1647">
        <f t="shared" si="294"/>
      </c>
      <c r="BB53" s="17">
        <f t="shared" si="294"/>
      </c>
      <c r="BC53" s="17">
        <f t="shared" si="294"/>
      </c>
      <c r="BD53" s="17">
        <f t="shared" si="294"/>
      </c>
      <c r="BE53" s="1647">
        <f t="shared" si="294"/>
      </c>
      <c r="BF53" s="17">
        <f t="shared" si="294"/>
      </c>
      <c r="BG53" s="17">
        <f t="shared" si="294"/>
      </c>
      <c r="BH53" s="17">
        <f t="shared" si="295"/>
      </c>
      <c r="BI53" s="1647">
        <f t="shared" si="295"/>
      </c>
      <c r="BJ53" s="17">
        <f t="shared" si="295"/>
      </c>
      <c r="BK53" s="17">
        <f t="shared" si="295"/>
      </c>
      <c r="BL53" s="17">
        <f t="shared" si="295"/>
      </c>
      <c r="BM53" s="1647">
        <f t="shared" si="295"/>
      </c>
      <c r="BN53" s="17">
        <f t="shared" si="295"/>
      </c>
      <c r="BO53" s="17">
        <f t="shared" si="295"/>
      </c>
      <c r="BP53" s="17">
        <f t="shared" si="295"/>
      </c>
      <c r="BQ53" s="1647">
        <f t="shared" si="295"/>
      </c>
      <c r="BR53" s="17">
        <f t="shared" si="296"/>
      </c>
      <c r="BS53" s="17">
        <f t="shared" si="296"/>
      </c>
      <c r="BT53" s="17">
        <f t="shared" si="296"/>
      </c>
      <c r="BU53" s="1647">
        <f t="shared" si="296"/>
      </c>
      <c r="BV53" s="17">
        <f t="shared" si="296"/>
      </c>
      <c r="BW53" s="17">
        <f t="shared" si="296"/>
      </c>
      <c r="BX53" s="17">
        <f t="shared" si="296"/>
      </c>
      <c r="BY53" s="1647">
        <f t="shared" si="296"/>
      </c>
      <c r="BZ53" s="17">
        <f t="shared" si="296"/>
      </c>
      <c r="CA53" s="17">
        <f t="shared" si="296"/>
      </c>
      <c r="CB53" s="17">
        <f t="shared" si="297"/>
      </c>
      <c r="CC53" s="1647">
        <f t="shared" si="297"/>
      </c>
      <c r="CD53" s="17">
        <f t="shared" si="297"/>
      </c>
      <c r="CE53" s="17">
        <f t="shared" si="297"/>
      </c>
      <c r="CF53" s="17">
        <f t="shared" si="297"/>
      </c>
      <c r="CG53" s="1647">
        <f t="shared" si="297"/>
      </c>
      <c r="CH53" s="17">
        <f t="shared" si="251"/>
      </c>
      <c r="CI53" s="17">
        <f t="shared" si="252"/>
      </c>
      <c r="CJ53" s="17">
        <f t="shared" si="253"/>
      </c>
      <c r="CK53" s="1647">
        <f t="shared" si="253"/>
      </c>
      <c r="CL53" s="17">
        <f t="shared" si="254"/>
      </c>
      <c r="CM53" s="17">
        <f t="shared" si="255"/>
      </c>
      <c r="CN53" s="17">
        <f t="shared" si="256"/>
      </c>
      <c r="CO53" s="1647">
        <f t="shared" si="256"/>
      </c>
      <c r="CP53" s="17">
        <f t="shared" si="257"/>
      </c>
      <c r="CQ53" s="17">
        <f t="shared" si="257"/>
      </c>
      <c r="CR53" s="17">
        <f t="shared" si="257"/>
      </c>
      <c r="CS53" s="1647">
        <f t="shared" si="258"/>
      </c>
      <c r="CT53" s="17">
        <f t="shared" si="259"/>
      </c>
      <c r="CU53" s="17">
        <f t="shared" si="260"/>
      </c>
      <c r="CV53" s="17">
        <f t="shared" si="261"/>
      </c>
      <c r="CW53" s="1647">
        <f t="shared" si="262"/>
      </c>
      <c r="CX53" s="17">
        <f t="shared" si="263"/>
      </c>
      <c r="CY53" s="17">
        <f t="shared" si="264"/>
      </c>
      <c r="CZ53" s="17">
        <f t="shared" si="265"/>
      </c>
      <c r="DA53" s="1647">
        <f t="shared" si="266"/>
      </c>
      <c r="DB53" s="17">
        <f t="shared" si="267"/>
      </c>
      <c r="DC53" s="17">
        <f t="shared" si="268"/>
      </c>
      <c r="DD53" s="17">
        <f t="shared" si="269"/>
      </c>
      <c r="DE53" s="1647">
        <f t="shared" si="270"/>
      </c>
      <c r="DF53" s="17">
        <f t="shared" si="271"/>
      </c>
      <c r="DG53" s="17">
        <f t="shared" si="272"/>
      </c>
      <c r="DH53" s="17">
        <f t="shared" si="273"/>
      </c>
      <c r="DI53" s="1647">
        <f t="shared" si="274"/>
      </c>
      <c r="DJ53" s="17">
        <f t="shared" si="275"/>
      </c>
      <c r="DK53" s="17">
        <f t="shared" si="276"/>
      </c>
      <c r="DL53" s="17">
        <f t="shared" si="277"/>
      </c>
      <c r="DM53" s="1647">
        <f t="shared" si="278"/>
      </c>
      <c r="DN53" s="17">
        <f t="shared" si="279"/>
      </c>
      <c r="DO53" s="17">
        <f t="shared" si="280"/>
      </c>
      <c r="DP53" s="17">
        <f t="shared" si="281"/>
      </c>
      <c r="DQ53" s="1647">
        <f t="shared" si="282"/>
      </c>
      <c r="DT53" s="17">
        <f t="shared" ref="DT53:ED53" si="304">DT32/DS32-1</f>
      </c>
      <c r="DU53" s="17">
        <f t="shared" si="304"/>
      </c>
      <c r="DV53" s="17">
        <f t="shared" si="304"/>
      </c>
      <c r="DW53" s="17">
        <f t="shared" si="304"/>
      </c>
      <c r="DX53" s="17">
        <f t="shared" si="304"/>
      </c>
      <c r="DY53" s="17">
        <f t="shared" si="304"/>
      </c>
      <c r="DZ53" s="17">
        <f t="shared" si="304"/>
      </c>
      <c r="EA53" s="17">
        <f t="shared" si="304"/>
      </c>
      <c r="EB53" s="17">
        <f t="shared" si="304"/>
      </c>
      <c r="EC53" s="17">
        <f t="shared" si="304"/>
      </c>
      <c r="ED53" s="17">
        <f t="shared" si="304"/>
      </c>
      <c r="EE53" s="17">
        <f t="shared" ref="EE53:EN53" si="305">EE32/ED32-1</f>
      </c>
      <c r="EF53" s="17">
        <f t="shared" si="305"/>
      </c>
      <c r="EG53" s="17">
        <f t="shared" si="305"/>
      </c>
      <c r="EH53" s="17">
        <f t="shared" si="305"/>
      </c>
      <c r="EI53" s="17">
        <f t="shared" si="305"/>
      </c>
      <c r="EJ53" s="17">
        <f t="shared" si="305"/>
      </c>
      <c r="EK53" s="17">
        <f t="shared" si="305"/>
      </c>
      <c r="EL53" s="17">
        <f t="shared" si="305"/>
      </c>
      <c r="EM53" s="17">
        <f t="shared" si="305"/>
      </c>
      <c r="EN53" s="17">
        <f t="shared" si="305"/>
      </c>
      <c r="EO53" s="17">
        <f t="shared" si="284"/>
      </c>
      <c r="EP53" s="17">
        <f t="shared" si="285"/>
      </c>
      <c r="EQ53" s="17">
        <f t="shared" si="286"/>
      </c>
      <c r="ER53" s="17">
        <f t="shared" si="287"/>
      </c>
      <c r="ES53" s="17">
        <f t="shared" si="288"/>
      </c>
      <c r="ET53" s="17">
        <f t="shared" si="289"/>
      </c>
      <c r="EU53" s="17">
        <f t="shared" si="290"/>
      </c>
      <c r="EV53" s="17">
        <f t="shared" si="291"/>
      </c>
      <c r="EZ53" s="17">
        <f t="shared" si="292"/>
      </c>
      <c r="FA53" s="17">
        <f t="shared" si="292"/>
      </c>
      <c r="FB53" s="17">
        <f t="shared" si="292"/>
      </c>
      <c r="FC53" s="17">
        <f t="shared" si="292"/>
      </c>
      <c r="FD53" s="17">
        <f t="shared" si="292"/>
      </c>
      <c r="FE53" s="17">
        <f t="shared" si="292"/>
      </c>
      <c r="FF53" s="17">
        <f t="shared" si="292"/>
      </c>
    </row>
    <row r="54" spans="1:166" s="17" customFormat="1" ht="12" customHeight="1">
      <c r="A54" s="1646" t="s">
        <v>1414</v>
      </c>
      <c r="F54" s="505">
        <f t="shared" si="299"/>
      </c>
      <c r="G54" s="17">
        <f t="shared" si="299"/>
      </c>
      <c r="H54" s="17">
        <f t="shared" si="299"/>
      </c>
      <c r="I54" s="1647">
        <f t="shared" si="299"/>
      </c>
      <c r="J54" s="17">
        <f t="shared" si="299"/>
      </c>
      <c r="K54" s="17">
        <f t="shared" si="299"/>
      </c>
      <c r="L54" s="17">
        <f t="shared" si="299"/>
      </c>
      <c r="M54" s="17">
        <f t="shared" si="299"/>
      </c>
      <c r="N54" s="505">
        <f t="shared" si="299"/>
      </c>
      <c r="O54" s="17">
        <f t="shared" si="299"/>
      </c>
      <c r="P54" s="17">
        <f t="shared" si="300"/>
      </c>
      <c r="Q54" s="1647">
        <f t="shared" si="300"/>
      </c>
      <c r="R54" s="17">
        <f t="shared" si="300"/>
      </c>
      <c r="S54" s="17">
        <f t="shared" si="300"/>
      </c>
      <c r="T54" s="17">
        <f t="shared" si="300"/>
      </c>
      <c r="U54" s="17">
        <f t="shared" si="300"/>
      </c>
      <c r="V54" s="505">
        <f t="shared" si="300"/>
      </c>
      <c r="W54" s="17">
        <f t="shared" si="300"/>
      </c>
      <c r="X54" s="17">
        <f t="shared" si="300"/>
      </c>
      <c r="Y54" s="1647">
        <f t="shared" si="300"/>
      </c>
      <c r="Z54" s="17">
        <f t="shared" si="301"/>
      </c>
      <c r="AA54" s="17">
        <f t="shared" si="301"/>
      </c>
      <c r="AB54" s="17">
        <f t="shared" si="301"/>
      </c>
      <c r="AC54" s="17">
        <f t="shared" si="301"/>
      </c>
      <c r="AD54" s="505">
        <f t="shared" si="301"/>
      </c>
      <c r="AE54" s="17">
        <f t="shared" si="301"/>
      </c>
      <c r="AF54" s="17">
        <f t="shared" si="301"/>
      </c>
      <c r="AG54" s="1647">
        <f t="shared" si="301"/>
      </c>
      <c r="AH54" s="17">
        <f t="shared" si="301"/>
      </c>
      <c r="AI54" s="17">
        <f t="shared" si="301"/>
      </c>
      <c r="AJ54" s="17">
        <f t="shared" si="302"/>
      </c>
      <c r="AK54" s="1647">
        <f t="shared" si="302"/>
      </c>
      <c r="AL54" s="17">
        <f t="shared" si="302"/>
      </c>
      <c r="AM54" s="17">
        <f t="shared" si="302"/>
      </c>
      <c r="AN54" s="17">
        <f t="shared" si="302"/>
      </c>
      <c r="AO54" s="1647">
        <f t="shared" si="302"/>
      </c>
      <c r="AP54" s="17">
        <f t="shared" si="302"/>
      </c>
      <c r="AQ54" s="17">
        <f t="shared" si="302"/>
      </c>
      <c r="AR54" s="17">
        <f t="shared" si="302"/>
      </c>
      <c r="AS54" s="1647">
        <f t="shared" si="302"/>
      </c>
      <c r="AT54" s="17">
        <f t="shared" si="303"/>
      </c>
      <c r="AU54" s="17">
        <f t="shared" si="303"/>
      </c>
      <c r="AV54" s="17">
        <f t="shared" si="303"/>
      </c>
      <c r="AW54" s="1647">
        <f t="shared" si="303"/>
      </c>
      <c r="AX54" s="17">
        <f t="shared" si="294"/>
      </c>
      <c r="AY54" s="17">
        <f t="shared" si="294"/>
      </c>
      <c r="AZ54" s="17">
        <f t="shared" si="294"/>
      </c>
      <c r="BA54" s="1647">
        <f t="shared" si="294"/>
      </c>
      <c r="BB54" s="17">
        <f t="shared" si="294"/>
      </c>
      <c r="BC54" s="17">
        <f t="shared" si="294"/>
      </c>
      <c r="BD54" s="17">
        <f t="shared" si="294"/>
      </c>
      <c r="BE54" s="1647">
        <f t="shared" si="294"/>
      </c>
      <c r="BF54" s="17">
        <f t="shared" si="294"/>
      </c>
      <c r="BG54" s="17">
        <f t="shared" si="294"/>
      </c>
      <c r="BH54" s="17">
        <f t="shared" si="295"/>
      </c>
      <c r="BI54" s="1647">
        <f t="shared" si="295"/>
      </c>
      <c r="BJ54" s="17">
        <f t="shared" si="295"/>
      </c>
      <c r="BK54" s="17">
        <f t="shared" si="295"/>
      </c>
      <c r="BL54" s="17">
        <f t="shared" si="295"/>
      </c>
      <c r="BM54" s="1647">
        <f t="shared" si="295"/>
      </c>
      <c r="BN54" s="17">
        <f t="shared" si="295"/>
      </c>
      <c r="BO54" s="17">
        <f t="shared" si="295"/>
      </c>
      <c r="BP54" s="17">
        <f t="shared" si="295"/>
      </c>
      <c r="BQ54" s="1647">
        <f t="shared" si="295"/>
      </c>
      <c r="BR54" s="17">
        <f t="shared" si="296"/>
      </c>
      <c r="BS54" s="17">
        <f t="shared" si="296"/>
      </c>
      <c r="BT54" s="17">
        <f t="shared" si="296"/>
      </c>
      <c r="BU54" s="1647">
        <f t="shared" si="296"/>
      </c>
      <c r="BV54" s="17">
        <f t="shared" si="296"/>
      </c>
      <c r="BW54" s="17">
        <f t="shared" si="296"/>
      </c>
      <c r="BX54" s="17">
        <f t="shared" si="296"/>
      </c>
      <c r="BY54" s="1647">
        <f t="shared" si="296"/>
      </c>
      <c r="BZ54" s="17">
        <f t="shared" si="296"/>
      </c>
      <c r="CA54" s="17">
        <f t="shared" si="296"/>
      </c>
      <c r="CB54" s="17">
        <f t="shared" si="297"/>
      </c>
      <c r="CC54" s="1647">
        <f t="shared" si="297"/>
      </c>
      <c r="CD54" s="17">
        <f t="shared" si="297"/>
      </c>
      <c r="CE54" s="17">
        <f t="shared" si="297"/>
      </c>
      <c r="CF54" s="17">
        <f t="shared" si="297"/>
      </c>
      <c r="CG54" s="1647">
        <f t="shared" si="297"/>
      </c>
      <c r="CH54" s="17">
        <f t="shared" si="251"/>
      </c>
      <c r="CI54" s="17">
        <f t="shared" si="252"/>
      </c>
      <c r="CJ54" s="17">
        <f t="shared" si="253"/>
      </c>
      <c r="CK54" s="1647">
        <f t="shared" si="253"/>
      </c>
      <c r="CL54" s="17">
        <f t="shared" si="254"/>
      </c>
      <c r="CM54" s="17">
        <f t="shared" si="255"/>
      </c>
      <c r="CN54" s="17">
        <f t="shared" si="256"/>
      </c>
      <c r="CO54" s="1647">
        <f t="shared" si="256"/>
      </c>
      <c r="CP54" s="17">
        <f t="shared" si="257"/>
      </c>
      <c r="CQ54" s="17">
        <f t="shared" si="257"/>
      </c>
      <c r="CR54" s="17">
        <f t="shared" si="257"/>
      </c>
      <c r="CS54" s="1647">
        <f t="shared" si="258"/>
      </c>
      <c r="CT54" s="17">
        <f t="shared" si="259"/>
      </c>
      <c r="CU54" s="17">
        <f t="shared" si="260"/>
      </c>
      <c r="CV54" s="17">
        <f t="shared" si="261"/>
      </c>
      <c r="CW54" s="1647">
        <f t="shared" si="262"/>
      </c>
      <c r="CX54" s="17">
        <f t="shared" si="263"/>
      </c>
      <c r="CY54" s="17">
        <f t="shared" si="264"/>
      </c>
      <c r="CZ54" s="17">
        <f t="shared" si="265"/>
      </c>
      <c r="DA54" s="1647">
        <f t="shared" si="266"/>
      </c>
      <c r="DB54" s="17">
        <f t="shared" si="267"/>
      </c>
      <c r="DC54" s="17">
        <f t="shared" si="268"/>
      </c>
      <c r="DD54" s="17">
        <f t="shared" si="269"/>
      </c>
      <c r="DE54" s="1647">
        <f t="shared" si="270"/>
      </c>
      <c r="DF54" s="17">
        <f t="shared" si="271"/>
      </c>
      <c r="DG54" s="17">
        <f t="shared" si="272"/>
      </c>
      <c r="DH54" s="17">
        <f t="shared" si="273"/>
      </c>
      <c r="DI54" s="1647">
        <f t="shared" si="274"/>
      </c>
      <c r="DJ54" s="17">
        <f t="shared" si="275"/>
      </c>
      <c r="DK54" s="17">
        <f t="shared" si="276"/>
      </c>
      <c r="DL54" s="17">
        <f t="shared" si="277"/>
      </c>
      <c r="DM54" s="1647">
        <f t="shared" si="278"/>
      </c>
      <c r="DN54" s="17">
        <f t="shared" si="279"/>
      </c>
      <c r="DO54" s="17">
        <f t="shared" si="280"/>
      </c>
      <c r="DP54" s="17">
        <f t="shared" si="281"/>
      </c>
      <c r="DQ54" s="1647">
        <f t="shared" si="282"/>
      </c>
      <c r="DT54" s="17">
        <f t="shared" ref="DT54:ED54" si="306">DT33/DS33-1</f>
      </c>
      <c r="DU54" s="17">
        <f t="shared" si="306"/>
      </c>
      <c r="DV54" s="17">
        <f t="shared" si="306"/>
      </c>
      <c r="DW54" s="17">
        <f t="shared" si="306"/>
      </c>
      <c r="DX54" s="17">
        <f t="shared" si="306"/>
      </c>
      <c r="DY54" s="17">
        <f t="shared" si="306"/>
      </c>
      <c r="DZ54" s="17">
        <f t="shared" si="306"/>
      </c>
      <c r="EA54" s="17">
        <f t="shared" si="306"/>
      </c>
      <c r="EB54" s="17">
        <f t="shared" si="306"/>
      </c>
      <c r="EC54" s="17">
        <f t="shared" si="306"/>
      </c>
      <c r="ED54" s="17">
        <f t="shared" si="306"/>
      </c>
      <c r="EE54" s="17">
        <f t="shared" ref="EE54:EN54" si="307">EE33/ED33-1</f>
      </c>
      <c r="EF54" s="17">
        <f t="shared" si="307"/>
      </c>
      <c r="EG54" s="17">
        <f t="shared" si="307"/>
      </c>
      <c r="EH54" s="17">
        <f t="shared" si="307"/>
      </c>
      <c r="EI54" s="17">
        <f t="shared" si="307"/>
      </c>
      <c r="EJ54" s="17">
        <f t="shared" si="307"/>
      </c>
      <c r="EK54" s="17">
        <f t="shared" si="307"/>
      </c>
      <c r="EL54" s="17">
        <f t="shared" si="307"/>
      </c>
      <c r="EM54" s="17">
        <f t="shared" si="307"/>
      </c>
      <c r="EN54" s="17">
        <f t="shared" si="307"/>
      </c>
      <c r="EO54" s="17">
        <f t="shared" si="284"/>
      </c>
      <c r="EP54" s="17">
        <f t="shared" si="285"/>
      </c>
      <c r="EQ54" s="17">
        <f t="shared" si="286"/>
      </c>
      <c r="ER54" s="17">
        <f t="shared" si="287"/>
      </c>
      <c r="ES54" s="17">
        <f t="shared" si="288"/>
      </c>
      <c r="ET54" s="17">
        <f t="shared" si="289"/>
      </c>
      <c r="EU54" s="17">
        <f t="shared" si="290"/>
      </c>
      <c r="EV54" s="17">
        <f t="shared" si="291"/>
      </c>
      <c r="EZ54" s="17">
        <f t="shared" si="292"/>
      </c>
      <c r="FA54" s="17">
        <f t="shared" si="292"/>
      </c>
      <c r="FB54" s="17">
        <f t="shared" si="292"/>
      </c>
      <c r="FC54" s="17">
        <f t="shared" si="292"/>
      </c>
      <c r="FD54" s="17">
        <f t="shared" si="292"/>
      </c>
      <c r="FE54" s="17">
        <f t="shared" si="292"/>
      </c>
      <c r="FF54" s="17">
        <f t="shared" si="292"/>
      </c>
    </row>
    <row r="55" spans="1:166" s="17" customFormat="1" ht="12" customHeight="1">
      <c r="A55" s="1646" t="s">
        <v>1423</v>
      </c>
      <c r="F55" s="505"/>
      <c r="I55" s="1647"/>
      <c r="N55" s="505"/>
      <c r="Q55" s="1647"/>
      <c r="V55" s="505"/>
      <c r="Y55" s="1647"/>
      <c r="AD55" s="505"/>
      <c r="AG55" s="1647"/>
      <c r="AK55" s="1647"/>
      <c r="AL55" s="17">
        <f t="shared" ref="AL55:AS55" si="308">+AL34/AH34-1</f>
      </c>
      <c r="AM55" s="17">
        <f t="shared" si="308"/>
      </c>
      <c r="AN55" s="17">
        <f t="shared" si="308"/>
      </c>
      <c r="AO55" s="1647">
        <f t="shared" si="308"/>
      </c>
      <c r="AP55" s="17">
        <f t="shared" si="308"/>
      </c>
      <c r="AQ55" s="17">
        <f t="shared" si="308"/>
      </c>
      <c r="AR55" s="17">
        <f t="shared" si="308"/>
      </c>
      <c r="AS55" s="17">
        <f t="shared" si="308"/>
      </c>
      <c r="AT55" s="505"/>
      <c r="AW55" s="1647"/>
      <c r="BB55" s="505"/>
      <c r="BE55" s="1647"/>
      <c r="BJ55" s="505"/>
      <c r="BM55" s="1647"/>
      <c r="BR55" s="505"/>
      <c r="BU55" s="1647"/>
      <c r="BZ55" s="505"/>
      <c r="CC55" s="1647"/>
      <c r="CH55" s="505"/>
      <c r="CK55" s="1688"/>
      <c r="CO55" s="1647"/>
      <c r="CP55" s="505"/>
      <c r="CS55" s="1647"/>
      <c r="CT55" s="505"/>
      <c r="CW55" s="1647"/>
      <c r="CX55" s="505"/>
      <c r="DA55" s="1647"/>
      <c r="DB55" s="505"/>
      <c r="DE55" s="1647"/>
      <c r="DF55" s="505"/>
      <c r="DI55" s="1647"/>
      <c r="DJ55" s="505"/>
      <c r="DM55" s="1647"/>
      <c r="DN55" s="505"/>
      <c r="DQ55" s="1647"/>
    </row>
    <row r="56" spans="1:166" s="1659" customFormat="1" ht="12" customHeight="1">
      <c r="A56" s="1655" t="s">
        <v>664</v>
      </c>
      <c r="B56" s="2365"/>
      <c r="C56" s="2365"/>
      <c r="D56" s="2365"/>
      <c r="E56" s="2365"/>
      <c r="F56" s="2366">
        <f>F38/B38-1</f>
      </c>
      <c r="G56" s="2365">
        <f t="shared" ref="G56:BR56" si="309">G38/C38-1</f>
      </c>
      <c r="H56" s="2365">
        <f t="shared" si="309"/>
      </c>
      <c r="I56" s="2367">
        <f t="shared" si="309"/>
      </c>
      <c r="J56" s="2365">
        <f t="shared" si="309"/>
      </c>
      <c r="K56" s="2365">
        <f t="shared" si="309"/>
      </c>
      <c r="L56" s="2365">
        <f t="shared" si="309"/>
      </c>
      <c r="M56" s="2365">
        <f t="shared" si="309"/>
      </c>
      <c r="N56" s="2366">
        <f t="shared" si="309"/>
      </c>
      <c r="O56" s="2365">
        <f t="shared" si="309"/>
      </c>
      <c r="P56" s="2365">
        <f t="shared" si="309"/>
      </c>
      <c r="Q56" s="2367">
        <f t="shared" si="309"/>
      </c>
      <c r="R56" s="2365">
        <f t="shared" si="309"/>
      </c>
      <c r="S56" s="2365">
        <f t="shared" si="309"/>
      </c>
      <c r="T56" s="2365">
        <f t="shared" si="309"/>
      </c>
      <c r="U56" s="2365">
        <f t="shared" si="309"/>
      </c>
      <c r="V56" s="2366">
        <f t="shared" si="309"/>
      </c>
      <c r="W56" s="2365">
        <f t="shared" si="309"/>
      </c>
      <c r="X56" s="2365">
        <f t="shared" si="309"/>
      </c>
      <c r="Y56" s="2367">
        <f t="shared" si="309"/>
      </c>
      <c r="Z56" s="2365">
        <f t="shared" si="309"/>
      </c>
      <c r="AA56" s="2365">
        <f t="shared" si="309"/>
      </c>
      <c r="AB56" s="2365">
        <f t="shared" si="309"/>
      </c>
      <c r="AC56" s="2365">
        <f t="shared" si="309"/>
      </c>
      <c r="AD56" s="2366">
        <f t="shared" si="309"/>
      </c>
      <c r="AE56" s="2365">
        <f t="shared" si="309"/>
      </c>
      <c r="AF56" s="2365">
        <f t="shared" si="309"/>
      </c>
      <c r="AG56" s="2367">
        <f t="shared" si="309"/>
      </c>
      <c r="AH56" s="2365">
        <f t="shared" si="309"/>
      </c>
      <c r="AI56" s="2365">
        <f t="shared" si="309"/>
      </c>
      <c r="AJ56" s="2365">
        <f t="shared" si="309"/>
      </c>
      <c r="AK56" s="2365">
        <f t="shared" si="309"/>
      </c>
      <c r="AL56" s="2366">
        <f t="shared" si="309"/>
      </c>
      <c r="AM56" s="2365">
        <f t="shared" si="309"/>
      </c>
      <c r="AN56" s="2365">
        <f t="shared" si="309"/>
      </c>
      <c r="AO56" s="2367">
        <f t="shared" si="309"/>
      </c>
      <c r="AP56" s="2365">
        <f t="shared" si="309"/>
      </c>
      <c r="AQ56" s="2365">
        <f t="shared" si="309"/>
      </c>
      <c r="AR56" s="2365">
        <f t="shared" si="309"/>
      </c>
      <c r="AS56" s="2365">
        <f t="shared" si="309"/>
      </c>
      <c r="AT56" s="2366">
        <f t="shared" si="309"/>
      </c>
      <c r="AU56" s="2365">
        <f t="shared" si="309"/>
      </c>
      <c r="AV56" s="2365">
        <f t="shared" si="309"/>
      </c>
      <c r="AW56" s="2367">
        <f t="shared" si="309"/>
      </c>
      <c r="AX56" s="2365">
        <f t="shared" si="309"/>
      </c>
      <c r="AY56" s="2365">
        <f t="shared" si="309"/>
      </c>
      <c r="AZ56" s="2365">
        <f t="shared" si="309"/>
      </c>
      <c r="BA56" s="2365">
        <f t="shared" si="309"/>
      </c>
      <c r="BB56" s="2366">
        <f t="shared" si="309"/>
      </c>
      <c r="BC56" s="2365">
        <f t="shared" si="309"/>
      </c>
      <c r="BD56" s="2365">
        <f t="shared" si="309"/>
      </c>
      <c r="BE56" s="2367">
        <f t="shared" si="309"/>
      </c>
      <c r="BF56" s="2365">
        <f t="shared" si="309"/>
      </c>
      <c r="BG56" s="2365">
        <f t="shared" si="309"/>
      </c>
      <c r="BH56" s="2365">
        <f t="shared" si="309"/>
      </c>
      <c r="BI56" s="2365">
        <f t="shared" si="309"/>
      </c>
      <c r="BJ56" s="2366">
        <f t="shared" si="309"/>
      </c>
      <c r="BK56" s="2365">
        <f t="shared" si="309"/>
      </c>
      <c r="BL56" s="2365">
        <f t="shared" si="309"/>
      </c>
      <c r="BM56" s="2367">
        <f t="shared" si="309"/>
      </c>
      <c r="BN56" s="2365">
        <f t="shared" si="309"/>
      </c>
      <c r="BO56" s="2365">
        <f t="shared" si="309"/>
      </c>
      <c r="BP56" s="2365">
        <f t="shared" si="309"/>
      </c>
      <c r="BQ56" s="2365">
        <f t="shared" si="309"/>
      </c>
      <c r="BR56" s="2366">
        <f t="shared" si="309"/>
      </c>
      <c r="BS56" s="2365">
        <f t="shared" ref="BS56:CG56" si="310">BS38/BO38-1</f>
      </c>
      <c r="BT56" s="2365">
        <f t="shared" si="310"/>
      </c>
      <c r="BU56" s="2367">
        <f t="shared" si="310"/>
      </c>
      <c r="BV56" s="2365">
        <f t="shared" si="310"/>
      </c>
      <c r="BW56" s="2365">
        <f t="shared" si="310"/>
      </c>
      <c r="BX56" s="2365">
        <f t="shared" si="310"/>
      </c>
      <c r="BY56" s="2365">
        <f t="shared" si="310"/>
      </c>
      <c r="BZ56" s="2366">
        <f t="shared" si="310"/>
      </c>
      <c r="CA56" s="2365">
        <f t="shared" si="310"/>
      </c>
      <c r="CB56" s="2365">
        <f t="shared" si="310"/>
      </c>
      <c r="CC56" s="2367">
        <f t="shared" si="310"/>
      </c>
      <c r="CD56" s="2365">
        <f t="shared" si="310"/>
      </c>
      <c r="CE56" s="2365">
        <f t="shared" si="310"/>
      </c>
      <c r="CF56" s="2365">
        <f t="shared" si="310"/>
      </c>
      <c r="CG56" s="2365">
        <f t="shared" si="310"/>
      </c>
      <c r="CH56" s="2366">
        <f t="shared" ref="CH56" si="311">CH38/CD38-1</f>
      </c>
      <c r="CI56" s="2365">
        <f t="shared" ref="CI56" si="312">CI38/CE38-1</f>
      </c>
      <c r="CJ56" s="2365">
        <f t="shared" ref="CJ56:CK56" si="313">CJ38/CF38-1</f>
      </c>
      <c r="CK56" s="2365">
        <f t="shared" si="313"/>
      </c>
      <c r="CL56" s="2366">
        <f t="shared" ref="CL56" si="314">CL38/CH38-1</f>
      </c>
      <c r="CM56" s="2365">
        <f t="shared" ref="CM56" si="315">CM38/CI38-1</f>
      </c>
      <c r="CN56" s="2365">
        <f t="shared" ref="CN56" si="316">CN38/CJ38-1</f>
      </c>
      <c r="CO56" s="1656">
        <f t="shared" ref="CO56" si="317">CO38/CK38-1</f>
      </c>
      <c r="CP56" s="2366">
        <f t="shared" ref="CP56:CQ56" si="318">CP38/CL38-1</f>
      </c>
      <c r="CQ56" s="2365">
        <f t="shared" si="318"/>
      </c>
      <c r="CR56" s="2365">
        <f t="shared" ref="CR56" si="319">CR38/CN38-1</f>
      </c>
      <c r="CS56" s="1656">
        <f t="shared" ref="CS56" si="320">CS38/CO38-1</f>
      </c>
      <c r="CT56" s="2366">
        <f t="shared" ref="CT56" si="321">CT38/CP38-1</f>
      </c>
      <c r="CU56" s="2365">
        <f t="shared" ref="CU56" si="322">CU38/CQ38-1</f>
      </c>
      <c r="CV56" s="2365">
        <f t="shared" ref="CV56" si="323">CV38/CR38-1</f>
      </c>
      <c r="CW56" s="1656">
        <f t="shared" ref="CW56" si="324">CW38/CS38-1</f>
      </c>
      <c r="CX56" s="2366">
        <f t="shared" ref="CX56" si="325">CX38/CT38-1</f>
      </c>
      <c r="CY56" s="2365">
        <f t="shared" ref="CY56" si="326">CY38/CU38-1</f>
      </c>
      <c r="CZ56" s="2365">
        <f t="shared" ref="CZ56" si="327">CZ38/CV38-1</f>
      </c>
      <c r="DA56" s="1656">
        <f t="shared" ref="DA56" si="328">DA38/CW38-1</f>
      </c>
      <c r="DB56" s="2366">
        <f t="shared" ref="DB56" si="329">DB38/CX38-1</f>
      </c>
      <c r="DC56" s="2365">
        <f t="shared" ref="DC56" si="330">DC38/CY38-1</f>
      </c>
      <c r="DD56" s="2365">
        <f t="shared" ref="DD56" si="331">DD38/CZ38-1</f>
      </c>
      <c r="DE56" s="1656">
        <f t="shared" ref="DE56" si="332">DE38/DA38-1</f>
      </c>
      <c r="DF56" s="2366">
        <f t="shared" ref="DF56" si="333">DF38/DB38-1</f>
      </c>
      <c r="DG56" s="2365">
        <f t="shared" ref="DG56" si="334">DG38/DC38-1</f>
      </c>
      <c r="DH56" s="2365">
        <f t="shared" ref="DH56" si="335">DH38/DD38-1</f>
      </c>
      <c r="DI56" s="1656">
        <f t="shared" ref="DI56" si="336">DI38/DE38-1</f>
      </c>
      <c r="DJ56" s="2366">
        <f t="shared" ref="DJ56" si="337">DJ38/DF38-1</f>
      </c>
      <c r="DK56" s="2365">
        <f t="shared" ref="DK56" si="338">DK38/DG38-1</f>
      </c>
      <c r="DL56" s="2365">
        <f t="shared" ref="DL56" si="339">DL38/DH38-1</f>
      </c>
      <c r="DM56" s="1656">
        <f t="shared" ref="DM56" si="340">DM38/DI38-1</f>
      </c>
      <c r="DN56" s="2366">
        <f t="shared" ref="DN56" si="341">DN38/DJ38-1</f>
      </c>
      <c r="DO56" s="2365">
        <f t="shared" ref="DO56" si="342">DO38/DK38-1</f>
      </c>
      <c r="DP56" s="2365">
        <f t="shared" ref="DP56" si="343">DP38/DL38-1</f>
      </c>
      <c r="DQ56" s="1656">
        <f t="shared" ref="DQ56" si="344">DQ38/DM38-1</f>
      </c>
      <c r="DR56" s="1657"/>
      <c r="DS56" s="1657"/>
      <c r="DT56" s="1658">
        <f>DT35/DS35-1</f>
      </c>
      <c r="DU56" s="1658">
        <f t="shared" ref="DU56:EN56" si="345">DU35/DT35-1</f>
      </c>
      <c r="DV56" s="1658">
        <f t="shared" si="345"/>
      </c>
      <c r="DW56" s="1658">
        <f t="shared" si="345"/>
      </c>
      <c r="DX56" s="1658">
        <f t="shared" si="345"/>
      </c>
      <c r="DY56" s="1658">
        <f t="shared" si="345"/>
      </c>
      <c r="DZ56" s="1658">
        <f t="shared" si="345"/>
      </c>
      <c r="EA56" s="1658">
        <f t="shared" si="345"/>
      </c>
      <c r="EB56" s="1658">
        <f t="shared" si="345"/>
      </c>
      <c r="EC56" s="1658">
        <f t="shared" si="345"/>
      </c>
      <c r="ED56" s="1658">
        <f t="shared" si="345"/>
      </c>
      <c r="EE56" s="1658">
        <f t="shared" si="345"/>
      </c>
      <c r="EF56" s="1658">
        <f t="shared" si="345"/>
      </c>
      <c r="EG56" s="1658">
        <f t="shared" si="345"/>
      </c>
      <c r="EH56" s="1658">
        <f t="shared" si="345"/>
      </c>
      <c r="EI56" s="1658">
        <f t="shared" si="345"/>
      </c>
      <c r="EJ56" s="1658">
        <f t="shared" si="345"/>
      </c>
      <c r="EK56" s="1658">
        <f t="shared" si="345"/>
      </c>
      <c r="EL56" s="1658">
        <f t="shared" si="345"/>
      </c>
      <c r="EM56" s="1658">
        <f t="shared" si="345"/>
      </c>
      <c r="EN56" s="1658">
        <f t="shared" si="345"/>
      </c>
      <c r="EO56" s="1658">
        <f t="shared" ref="EO56" si="346">EO35/EN35-1</f>
      </c>
      <c r="EP56" s="1658">
        <f t="shared" ref="EP56" si="347">EP35/EO35-1</f>
      </c>
      <c r="EQ56" s="1658">
        <f t="shared" ref="EQ56" si="348">EQ35/EP35-1</f>
      </c>
      <c r="ER56" s="1658">
        <f t="shared" ref="ER56" si="349">ER35/EQ35-1</f>
      </c>
      <c r="ES56" s="1658">
        <f t="shared" ref="ES56" si="350">ES35/ER35-1</f>
      </c>
      <c r="ET56" s="1658">
        <f t="shared" ref="ET56" si="351">ET35/ES35-1</f>
      </c>
      <c r="EU56" s="1658">
        <f t="shared" ref="EU56" si="352">EU35/ET35-1</f>
      </c>
      <c r="EV56" s="1658">
        <f t="shared" ref="EV56" si="353">EV35/EU35-1</f>
      </c>
      <c r="EW56" s="1658"/>
      <c r="EX56" s="1657"/>
      <c r="EY56" s="1657"/>
      <c r="EZ56" s="1658">
        <f t="shared" ref="EZ56:FF56" si="354">EZ35/EY35-1</f>
      </c>
      <c r="FA56" s="1658">
        <f t="shared" si="354"/>
      </c>
      <c r="FB56" s="1658">
        <f t="shared" si="354"/>
      </c>
      <c r="FC56" s="1658">
        <f t="shared" si="354"/>
      </c>
      <c r="FD56" s="1658">
        <f t="shared" si="354"/>
      </c>
      <c r="FE56" s="1658">
        <f t="shared" si="354"/>
      </c>
      <c r="FF56" s="1658">
        <f t="shared" si="354"/>
      </c>
      <c r="FG56" s="1657"/>
      <c r="FH56" s="1657"/>
      <c r="FI56" s="1657"/>
      <c r="FJ56" s="1657"/>
    </row>
    <row r="57" spans="1:166" s="1665" customFormat="1" ht="12" customHeight="1">
      <c r="A57" s="1660" t="s">
        <v>690</v>
      </c>
      <c r="B57" s="333"/>
      <c r="C57" s="333"/>
      <c r="D57" s="333"/>
      <c r="E57" s="333"/>
      <c r="F57" s="1661">
        <f>F36/B36-1</f>
      </c>
      <c r="G57" s="333">
        <f t="shared" ref="G57:BR59" si="355">G36/C36-1</f>
      </c>
      <c r="H57" s="333">
        <f t="shared" si="355"/>
      </c>
      <c r="I57" s="1662">
        <f t="shared" si="355"/>
      </c>
      <c r="J57" s="333">
        <f t="shared" si="355"/>
      </c>
      <c r="K57" s="333">
        <f t="shared" si="355"/>
      </c>
      <c r="L57" s="333">
        <f t="shared" si="355"/>
      </c>
      <c r="M57" s="333">
        <f t="shared" si="355"/>
      </c>
      <c r="N57" s="1661">
        <f t="shared" si="355"/>
      </c>
      <c r="O57" s="333">
        <f t="shared" si="355"/>
      </c>
      <c r="P57" s="333">
        <f t="shared" si="355"/>
      </c>
      <c r="Q57" s="1662">
        <f t="shared" si="355"/>
      </c>
      <c r="R57" s="333">
        <f t="shared" si="355"/>
      </c>
      <c r="S57" s="333">
        <f t="shared" si="355"/>
      </c>
      <c r="T57" s="333">
        <f t="shared" si="355"/>
      </c>
      <c r="U57" s="333">
        <f t="shared" si="355"/>
      </c>
      <c r="V57" s="1661">
        <f t="shared" si="355"/>
      </c>
      <c r="W57" s="333">
        <f t="shared" si="355"/>
      </c>
      <c r="X57" s="333">
        <f t="shared" si="355"/>
      </c>
      <c r="Y57" s="1662">
        <f t="shared" si="355"/>
      </c>
      <c r="Z57" s="333">
        <f t="shared" si="355"/>
      </c>
      <c r="AA57" s="333">
        <f t="shared" si="355"/>
      </c>
      <c r="AB57" s="333">
        <f t="shared" si="355"/>
      </c>
      <c r="AC57" s="333">
        <f t="shared" si="355"/>
      </c>
      <c r="AD57" s="1661">
        <f t="shared" si="355"/>
      </c>
      <c r="AE57" s="333">
        <f t="shared" si="355"/>
      </c>
      <c r="AF57" s="333">
        <f t="shared" si="355"/>
      </c>
      <c r="AG57" s="1662">
        <f t="shared" si="355"/>
      </c>
      <c r="AH57" s="333">
        <f t="shared" si="355"/>
      </c>
      <c r="AI57" s="333">
        <f t="shared" si="355"/>
      </c>
      <c r="AJ57" s="333">
        <f t="shared" si="355"/>
      </c>
      <c r="AK57" s="333">
        <f t="shared" si="355"/>
      </c>
      <c r="AL57" s="1661">
        <f t="shared" si="355"/>
      </c>
      <c r="AM57" s="333">
        <f t="shared" si="355"/>
      </c>
      <c r="AN57" s="333">
        <f t="shared" si="355"/>
      </c>
      <c r="AO57" s="1662">
        <f t="shared" si="355"/>
      </c>
      <c r="AP57" s="333">
        <f t="shared" si="355"/>
      </c>
      <c r="AQ57" s="333">
        <f t="shared" si="355"/>
      </c>
      <c r="AR57" s="333">
        <f t="shared" si="355"/>
      </c>
      <c r="AS57" s="333">
        <f t="shared" si="355"/>
      </c>
      <c r="AT57" s="1661">
        <f t="shared" si="355"/>
      </c>
      <c r="AU57" s="333">
        <f t="shared" si="355"/>
      </c>
      <c r="AV57" s="333">
        <f t="shared" si="355"/>
      </c>
      <c r="AW57" s="1662">
        <f t="shared" si="355"/>
      </c>
      <c r="AX57" s="333">
        <f t="shared" si="355"/>
      </c>
      <c r="AY57" s="333">
        <f t="shared" si="355"/>
      </c>
      <c r="AZ57" s="333">
        <f t="shared" si="355"/>
      </c>
      <c r="BA57" s="333">
        <f t="shared" si="355"/>
      </c>
      <c r="BB57" s="1661">
        <f t="shared" si="355"/>
      </c>
      <c r="BC57" s="333">
        <f t="shared" si="355"/>
      </c>
      <c r="BD57" s="333">
        <f t="shared" si="355"/>
      </c>
      <c r="BE57" s="1662">
        <f t="shared" si="355"/>
      </c>
      <c r="BF57" s="333">
        <f t="shared" si="355"/>
      </c>
      <c r="BG57" s="333">
        <f t="shared" si="355"/>
      </c>
      <c r="BH57" s="333">
        <f t="shared" si="355"/>
      </c>
      <c r="BI57" s="333">
        <f t="shared" si="355"/>
      </c>
      <c r="BJ57" s="1661">
        <f t="shared" si="355"/>
      </c>
      <c r="BK57" s="333">
        <f t="shared" si="355"/>
      </c>
      <c r="BL57" s="333">
        <f t="shared" si="355"/>
      </c>
      <c r="BM57" s="1662">
        <f t="shared" si="355"/>
      </c>
      <c r="BN57" s="333">
        <f t="shared" si="355"/>
      </c>
      <c r="BO57" s="333">
        <f t="shared" si="355"/>
      </c>
      <c r="BP57" s="333">
        <f t="shared" si="355"/>
      </c>
      <c r="BQ57" s="333">
        <f t="shared" si="355"/>
      </c>
      <c r="BR57" s="1661">
        <f t="shared" si="355"/>
      </c>
      <c r="BS57" s="333">
        <f t="shared" ref="BS57:CG59" si="356">BS36/BO36-1</f>
      </c>
      <c r="BT57" s="333">
        <f t="shared" si="356"/>
      </c>
      <c r="BU57" s="1662">
        <f t="shared" si="356"/>
      </c>
      <c r="BV57" s="333">
        <f t="shared" si="356"/>
      </c>
      <c r="BW57" s="333">
        <f t="shared" si="356"/>
      </c>
      <c r="BX57" s="333">
        <f t="shared" si="356"/>
      </c>
      <c r="BY57" s="333">
        <f t="shared" si="356"/>
      </c>
      <c r="BZ57" s="1661">
        <f t="shared" si="356"/>
      </c>
      <c r="CA57" s="333">
        <f t="shared" si="356"/>
      </c>
      <c r="CB57" s="333">
        <f t="shared" si="356"/>
      </c>
      <c r="CC57" s="1662">
        <f t="shared" si="356"/>
      </c>
      <c r="CD57" s="333">
        <f t="shared" si="356"/>
      </c>
      <c r="CE57" s="333">
        <f t="shared" si="356"/>
      </c>
      <c r="CF57" s="333">
        <f t="shared" si="356"/>
      </c>
      <c r="CG57" s="333">
        <f t="shared" si="356"/>
      </c>
      <c r="CH57" s="1661">
        <f t="shared" ref="CH57:CH58" si="357">CH36/CD36-1</f>
      </c>
      <c r="CI57" s="333">
        <f t="shared" ref="CI57:CI58" si="358">CI36/CE36-1</f>
      </c>
      <c r="CJ57" s="333">
        <f t="shared" ref="CJ57:CK58" si="359">CJ36/CF36-1</f>
      </c>
      <c r="CK57" s="333">
        <f t="shared" si="359"/>
      </c>
      <c r="CL57" s="1661">
        <f t="shared" ref="CL57:CL59" si="360">CL36/CH36-1</f>
      </c>
      <c r="CM57" s="333">
        <f t="shared" ref="CM57:CM59" si="361">CM36/CI36-1</f>
      </c>
      <c r="CN57" s="333">
        <f t="shared" ref="CN57:CN59" si="362">CN36/CJ36-1</f>
      </c>
      <c r="CO57" s="2364">
        <f t="shared" ref="CO57:CO59" si="363">CO36/CK36-1</f>
      </c>
      <c r="CP57" s="1661">
        <f t="shared" ref="CP57:CQ59" si="364">CP36/CL36-1</f>
      </c>
      <c r="CQ57" s="333">
        <f t="shared" si="364"/>
      </c>
      <c r="CR57" s="333">
        <f t="shared" ref="CR57:CR59" si="365">CR36/CN36-1</f>
      </c>
      <c r="CS57" s="2364">
        <f t="shared" ref="CS57:CS59" si="366">CS36/CO36-1</f>
      </c>
      <c r="CT57" s="1661">
        <f t="shared" ref="CT57:CT59" si="367">CT36/CP36-1</f>
      </c>
      <c r="CU57" s="333">
        <f t="shared" ref="CU57:CU59" si="368">CU36/CQ36-1</f>
      </c>
      <c r="CV57" s="333">
        <f t="shared" ref="CV57:CV59" si="369">CV36/CR36-1</f>
      </c>
      <c r="CW57" s="2364">
        <f t="shared" ref="CW57:CW59" si="370">CW36/CS36-1</f>
      </c>
      <c r="CX57" s="1661">
        <f t="shared" ref="CX57:CX59" si="371">CX36/CT36-1</f>
      </c>
      <c r="CY57" s="333">
        <f t="shared" ref="CY57:CY59" si="372">CY36/CU36-1</f>
      </c>
      <c r="CZ57" s="333">
        <f t="shared" ref="CZ57:CZ59" si="373">CZ36/CV36-1</f>
      </c>
      <c r="DA57" s="2364">
        <f t="shared" ref="DA57:DA59" si="374">DA36/CW36-1</f>
      </c>
      <c r="DB57" s="1661">
        <f t="shared" ref="DB57:DB59" si="375">DB36/CX36-1</f>
      </c>
      <c r="DC57" s="333">
        <f t="shared" ref="DC57:DC59" si="376">DC36/CY36-1</f>
      </c>
      <c r="DD57" s="333">
        <f t="shared" ref="DD57:DD59" si="377">DD36/CZ36-1</f>
      </c>
      <c r="DE57" s="2364">
        <f t="shared" ref="DE57:DE59" si="378">DE36/DA36-1</f>
      </c>
      <c r="DF57" s="1661">
        <f t="shared" ref="DF57:DF59" si="379">DF36/DB36-1</f>
      </c>
      <c r="DG57" s="333">
        <f t="shared" ref="DG57:DG59" si="380">DG36/DC36-1</f>
      </c>
      <c r="DH57" s="333">
        <f t="shared" ref="DH57:DH59" si="381">DH36/DD36-1</f>
      </c>
      <c r="DI57" s="2364">
        <f t="shared" ref="DI57:DI59" si="382">DI36/DE36-1</f>
      </c>
      <c r="DJ57" s="1661">
        <f t="shared" ref="DJ57:DJ59" si="383">DJ36/DF36-1</f>
      </c>
      <c r="DK57" s="333">
        <f t="shared" ref="DK57:DK59" si="384">DK36/DG36-1</f>
      </c>
      <c r="DL57" s="333">
        <f t="shared" ref="DL57:DL59" si="385">DL36/DH36-1</f>
      </c>
      <c r="DM57" s="2364">
        <f t="shared" ref="DM57:DM59" si="386">DM36/DI36-1</f>
      </c>
      <c r="DN57" s="1661">
        <f t="shared" ref="DN57:DN59" si="387">DN36/DJ36-1</f>
      </c>
      <c r="DO57" s="333">
        <f t="shared" ref="DO57:DO59" si="388">DO36/DK36-1</f>
      </c>
      <c r="DP57" s="333">
        <f t="shared" ref="DP57:DP59" si="389">DP36/DL36-1</f>
      </c>
      <c r="DQ57" s="2364">
        <f t="shared" ref="DQ57:DQ59" si="390">DQ36/DM36-1</f>
      </c>
      <c r="DT57" s="1664"/>
      <c r="DU57" s="1664"/>
      <c r="DV57" s="1664"/>
      <c r="DW57" s="1664"/>
      <c r="DX57" s="1664"/>
      <c r="DY57" s="1664"/>
      <c r="DZ57" s="1664"/>
      <c r="EA57" s="1664"/>
      <c r="EB57" s="1664"/>
      <c r="EC57" s="1664"/>
      <c r="ED57" s="1664"/>
      <c r="EE57" s="1664">
        <f t="shared" ref="DU57:EN58" si="391">(-EE36/-ED36)-1</f>
      </c>
      <c r="EF57" s="1664">
        <f t="shared" si="391"/>
      </c>
      <c r="EG57" s="1664">
        <f t="shared" si="391"/>
      </c>
      <c r="EH57" s="1664">
        <f t="shared" si="391"/>
      </c>
      <c r="EI57" s="1664">
        <f t="shared" si="391"/>
      </c>
      <c r="EJ57" s="1664">
        <f t="shared" si="391"/>
      </c>
      <c r="EK57" s="1664">
        <f t="shared" si="391"/>
      </c>
      <c r="EL57" s="1664">
        <f t="shared" si="391"/>
      </c>
      <c r="EM57" s="1664">
        <f t="shared" si="391"/>
      </c>
      <c r="EN57" s="1664">
        <f t="shared" si="391"/>
      </c>
      <c r="EO57" s="1664">
        <f t="shared" ref="EO57:EO58" si="392">(-EO36/-EN36)-1</f>
      </c>
      <c r="EP57" s="1664">
        <f t="shared" ref="EP57:EP58" si="393">(-EP36/-EO36)-1</f>
      </c>
      <c r="EQ57" s="1664">
        <f t="shared" ref="EQ57:EQ58" si="394">(-EQ36/-EP36)-1</f>
      </c>
      <c r="ER57" s="1664">
        <f t="shared" ref="ER57:ER58" si="395">(-ER36/-EQ36)-1</f>
      </c>
      <c r="ES57" s="1664">
        <f t="shared" ref="ES57:ES58" si="396">(-ES36/-ER36)-1</f>
      </c>
      <c r="ET57" s="1664">
        <f t="shared" ref="ET57:ET58" si="397">(-ET36/-ES36)-1</f>
      </c>
      <c r="EU57" s="1664">
        <f t="shared" ref="EU57:EU58" si="398">(-EU36/-ET36)-1</f>
      </c>
      <c r="EV57" s="1664">
        <f t="shared" ref="EV57:EV58" si="399">(-EV36/-EU36)-1</f>
      </c>
      <c r="EW57" s="1664"/>
      <c r="EZ57" s="1666">
        <f t="shared" ref="EZ57:FA57" si="400">EZ36/EY36-1</f>
      </c>
      <c r="FA57" s="1666">
        <f t="shared" si="400"/>
      </c>
      <c r="FB57" s="1666">
        <f t="shared" ref="FB57:FF57" si="401">FB36/FA36-1</f>
      </c>
      <c r="FC57" s="1666">
        <f t="shared" si="401"/>
      </c>
      <c r="FD57" s="1666">
        <f t="shared" si="401"/>
      </c>
      <c r="FE57" s="1666">
        <f t="shared" si="401"/>
      </c>
      <c r="FF57" s="1666">
        <f t="shared" si="401"/>
      </c>
    </row>
    <row r="58" spans="1:166" s="1665" customFormat="1" ht="12" customHeight="1">
      <c r="A58" s="1660" t="s">
        <v>691</v>
      </c>
      <c r="B58" s="333"/>
      <c r="C58" s="333"/>
      <c r="D58" s="333"/>
      <c r="E58" s="333"/>
      <c r="F58" s="1661">
        <f t="shared" ref="F58:F59" si="402">F37/B37-1</f>
      </c>
      <c r="G58" s="333">
        <f t="shared" si="355"/>
      </c>
      <c r="H58" s="333">
        <f t="shared" si="355"/>
      </c>
      <c r="I58" s="1662">
        <f t="shared" si="355"/>
      </c>
      <c r="J58" s="333">
        <f t="shared" si="355"/>
      </c>
      <c r="K58" s="333">
        <f t="shared" si="355"/>
      </c>
      <c r="L58" s="333">
        <f t="shared" si="355"/>
      </c>
      <c r="M58" s="333">
        <f t="shared" si="355"/>
      </c>
      <c r="N58" s="1661">
        <f t="shared" si="355"/>
      </c>
      <c r="O58" s="333">
        <f t="shared" si="355"/>
      </c>
      <c r="P58" s="333">
        <f t="shared" si="355"/>
      </c>
      <c r="Q58" s="1662">
        <f t="shared" si="355"/>
      </c>
      <c r="R58" s="333">
        <f t="shared" si="355"/>
      </c>
      <c r="S58" s="333">
        <f t="shared" si="355"/>
      </c>
      <c r="T58" s="333">
        <f t="shared" si="355"/>
      </c>
      <c r="U58" s="333">
        <f t="shared" si="355"/>
      </c>
      <c r="V58" s="1661">
        <f t="shared" si="355"/>
      </c>
      <c r="W58" s="333">
        <f t="shared" si="355"/>
      </c>
      <c r="X58" s="333">
        <f t="shared" si="355"/>
      </c>
      <c r="Y58" s="1662">
        <f t="shared" si="355"/>
      </c>
      <c r="Z58" s="333">
        <f t="shared" si="355"/>
      </c>
      <c r="AA58" s="333">
        <f t="shared" si="355"/>
      </c>
      <c r="AB58" s="333">
        <f t="shared" si="355"/>
      </c>
      <c r="AC58" s="333">
        <f t="shared" si="355"/>
      </c>
      <c r="AD58" s="1661">
        <f t="shared" si="355"/>
      </c>
      <c r="AE58" s="333">
        <f t="shared" si="355"/>
      </c>
      <c r="AF58" s="333">
        <f t="shared" si="355"/>
      </c>
      <c r="AG58" s="1662">
        <f t="shared" si="355"/>
      </c>
      <c r="AH58" s="333">
        <f t="shared" si="355"/>
      </c>
      <c r="AI58" s="333">
        <f t="shared" si="355"/>
      </c>
      <c r="AJ58" s="333">
        <f t="shared" si="355"/>
      </c>
      <c r="AK58" s="333">
        <f t="shared" si="355"/>
      </c>
      <c r="AL58" s="1661">
        <f t="shared" si="355"/>
      </c>
      <c r="AM58" s="333">
        <f t="shared" si="355"/>
      </c>
      <c r="AN58" s="333">
        <f t="shared" si="355"/>
      </c>
      <c r="AO58" s="1662">
        <f t="shared" si="355"/>
      </c>
      <c r="AP58" s="333">
        <f t="shared" si="355"/>
      </c>
      <c r="AQ58" s="333">
        <f t="shared" si="355"/>
      </c>
      <c r="AR58" s="333">
        <f t="shared" si="355"/>
      </c>
      <c r="AS58" s="333">
        <f t="shared" si="355"/>
      </c>
      <c r="AT58" s="1661">
        <f t="shared" si="355"/>
      </c>
      <c r="AU58" s="333">
        <f t="shared" si="355"/>
      </c>
      <c r="AV58" s="333">
        <f t="shared" si="355"/>
      </c>
      <c r="AW58" s="1662">
        <f t="shared" si="355"/>
      </c>
      <c r="AX58" s="333">
        <f t="shared" si="355"/>
      </c>
      <c r="AY58" s="333">
        <f t="shared" si="355"/>
      </c>
      <c r="AZ58" s="333">
        <f t="shared" si="355"/>
      </c>
      <c r="BA58" s="333">
        <f t="shared" si="355"/>
      </c>
      <c r="BB58" s="1661">
        <f t="shared" si="355"/>
      </c>
      <c r="BC58" s="333">
        <f t="shared" si="355"/>
      </c>
      <c r="BD58" s="333">
        <f t="shared" si="355"/>
      </c>
      <c r="BE58" s="1662">
        <f t="shared" si="355"/>
      </c>
      <c r="BF58" s="333">
        <f t="shared" si="355"/>
      </c>
      <c r="BG58" s="333">
        <f t="shared" si="355"/>
      </c>
      <c r="BH58" s="333">
        <f t="shared" si="355"/>
      </c>
      <c r="BI58" s="333">
        <f t="shared" si="355"/>
      </c>
      <c r="BJ58" s="1661">
        <f t="shared" si="355"/>
      </c>
      <c r="BK58" s="333">
        <f t="shared" si="355"/>
      </c>
      <c r="BL58" s="333">
        <f t="shared" si="355"/>
      </c>
      <c r="BM58" s="1662">
        <f t="shared" si="355"/>
      </c>
      <c r="BN58" s="333">
        <f t="shared" si="355"/>
      </c>
      <c r="BO58" s="333">
        <f t="shared" si="355"/>
      </c>
      <c r="BP58" s="333">
        <f t="shared" si="355"/>
      </c>
      <c r="BQ58" s="333">
        <f t="shared" si="355"/>
      </c>
      <c r="BR58" s="1661">
        <f t="shared" si="355"/>
      </c>
      <c r="BS58" s="333">
        <f t="shared" si="356"/>
      </c>
      <c r="BT58" s="333">
        <f t="shared" si="356"/>
      </c>
      <c r="BU58" s="1662">
        <f t="shared" si="356"/>
      </c>
      <c r="BV58" s="333">
        <f t="shared" si="356"/>
      </c>
      <c r="BW58" s="333">
        <f t="shared" si="356"/>
      </c>
      <c r="BX58" s="333">
        <f t="shared" si="356"/>
      </c>
      <c r="BY58" s="333">
        <f t="shared" si="356"/>
      </c>
      <c r="BZ58" s="1661">
        <f t="shared" si="356"/>
      </c>
      <c r="CA58" s="333">
        <f t="shared" si="356"/>
      </c>
      <c r="CB58" s="333">
        <f t="shared" si="356"/>
      </c>
      <c r="CC58" s="1662">
        <f t="shared" si="356"/>
      </c>
      <c r="CD58" s="333">
        <f t="shared" si="356"/>
      </c>
      <c r="CE58" s="333">
        <f t="shared" si="356"/>
      </c>
      <c r="CF58" s="333">
        <f t="shared" si="356"/>
      </c>
      <c r="CG58" s="333">
        <f t="shared" si="356"/>
      </c>
      <c r="CH58" s="1667">
        <f t="shared" si="357"/>
      </c>
      <c r="CI58" s="1668">
        <f t="shared" si="358"/>
      </c>
      <c r="CJ58" s="1668">
        <f t="shared" si="359"/>
      </c>
      <c r="CK58" s="1668">
        <f t="shared" si="359"/>
      </c>
      <c r="CL58" s="1667">
        <f t="shared" si="360"/>
      </c>
      <c r="CM58" s="1668">
        <f t="shared" si="361"/>
      </c>
      <c r="CN58" s="1668">
        <f t="shared" si="362"/>
      </c>
      <c r="CO58" s="2368">
        <f t="shared" si="363"/>
      </c>
      <c r="CP58" s="1667">
        <f t="shared" si="364"/>
      </c>
      <c r="CQ58" s="1668">
        <f t="shared" si="364"/>
      </c>
      <c r="CR58" s="1668">
        <f t="shared" si="365"/>
      </c>
      <c r="CS58" s="2368">
        <f t="shared" si="366"/>
      </c>
      <c r="CT58" s="1667">
        <f t="shared" si="367"/>
      </c>
      <c r="CU58" s="1668">
        <f t="shared" si="368"/>
      </c>
      <c r="CV58" s="1668">
        <f t="shared" si="369"/>
      </c>
      <c r="CW58" s="2368">
        <f t="shared" si="370"/>
      </c>
      <c r="CX58" s="1667">
        <f t="shared" si="371"/>
      </c>
      <c r="CY58" s="1668">
        <f t="shared" si="372"/>
      </c>
      <c r="CZ58" s="1668">
        <f t="shared" si="373"/>
      </c>
      <c r="DA58" s="2368">
        <f t="shared" si="374"/>
      </c>
      <c r="DB58" s="1667">
        <f t="shared" si="375"/>
      </c>
      <c r="DC58" s="1668">
        <f t="shared" si="376"/>
      </c>
      <c r="DD58" s="1668">
        <f t="shared" si="377"/>
      </c>
      <c r="DE58" s="2368">
        <f t="shared" si="378"/>
      </c>
      <c r="DF58" s="1667">
        <f t="shared" si="379"/>
      </c>
      <c r="DG58" s="1668">
        <f t="shared" si="380"/>
      </c>
      <c r="DH58" s="1668">
        <f t="shared" si="381"/>
      </c>
      <c r="DI58" s="2368">
        <f t="shared" si="382"/>
      </c>
      <c r="DJ58" s="1667">
        <f t="shared" si="383"/>
      </c>
      <c r="DK58" s="1668">
        <f t="shared" si="384"/>
      </c>
      <c r="DL58" s="1668">
        <f t="shared" si="385"/>
      </c>
      <c r="DM58" s="2368">
        <f t="shared" si="386"/>
      </c>
      <c r="DN58" s="1667">
        <f t="shared" si="387"/>
      </c>
      <c r="DO58" s="1668">
        <f t="shared" si="388"/>
      </c>
      <c r="DP58" s="1668">
        <f t="shared" si="389"/>
      </c>
      <c r="DQ58" s="2368">
        <f t="shared" si="390"/>
      </c>
      <c r="DT58" s="1664">
        <f>(-DT37/-DS37)-1</f>
      </c>
      <c r="DU58" s="1664">
        <f t="shared" si="391"/>
      </c>
      <c r="DV58" s="1664">
        <f t="shared" si="391"/>
      </c>
      <c r="DW58" s="1664">
        <f t="shared" si="391"/>
      </c>
      <c r="DX58" s="1664">
        <f t="shared" si="391"/>
      </c>
      <c r="DY58" s="1664">
        <f t="shared" si="391"/>
      </c>
      <c r="DZ58" s="1664">
        <f t="shared" si="391"/>
      </c>
      <c r="EA58" s="1664">
        <f t="shared" si="391"/>
      </c>
      <c r="EB58" s="1664">
        <f t="shared" si="391"/>
      </c>
      <c r="EC58" s="1664">
        <f t="shared" si="391"/>
      </c>
      <c r="ED58" s="1664">
        <f t="shared" si="391"/>
      </c>
      <c r="EE58" s="1664">
        <f t="shared" si="391"/>
      </c>
      <c r="EF58" s="1664">
        <f t="shared" si="391"/>
      </c>
      <c r="EG58" s="1664">
        <f t="shared" si="391"/>
      </c>
      <c r="EH58" s="1664">
        <f t="shared" si="391"/>
      </c>
      <c r="EI58" s="1664">
        <f t="shared" si="391"/>
      </c>
      <c r="EJ58" s="1664">
        <f t="shared" si="391"/>
      </c>
      <c r="EK58" s="1664">
        <f t="shared" si="391"/>
      </c>
      <c r="EL58" s="1664">
        <f t="shared" si="391"/>
      </c>
      <c r="EM58" s="1664">
        <f t="shared" si="391"/>
      </c>
      <c r="EN58" s="1664">
        <f t="shared" si="391"/>
      </c>
      <c r="EO58" s="1664">
        <f t="shared" si="392"/>
      </c>
      <c r="EP58" s="1664">
        <f t="shared" si="393"/>
      </c>
      <c r="EQ58" s="1664">
        <f t="shared" si="394"/>
      </c>
      <c r="ER58" s="1664">
        <f t="shared" si="395"/>
      </c>
      <c r="ES58" s="1664">
        <f t="shared" si="396"/>
      </c>
      <c r="ET58" s="1664">
        <f t="shared" si="397"/>
      </c>
      <c r="EU58" s="1664">
        <f t="shared" si="398"/>
      </c>
      <c r="EV58" s="1664">
        <f t="shared" si="399"/>
      </c>
      <c r="EW58" s="1664"/>
      <c r="EZ58" s="1669">
        <f t="shared" ref="EZ58:FA58" si="403">EZ37/EY37-1</f>
      </c>
      <c r="FA58" s="1669">
        <f t="shared" si="403"/>
      </c>
      <c r="FB58" s="1669">
        <f t="shared" ref="FB58:FF58" si="404">FB37/FA37-1</f>
      </c>
      <c r="FC58" s="1669">
        <f t="shared" si="404"/>
      </c>
      <c r="FD58" s="1669">
        <f t="shared" si="404"/>
      </c>
      <c r="FE58" s="1669">
        <f t="shared" si="404"/>
      </c>
      <c r="FF58" s="1669">
        <f t="shared" si="404"/>
      </c>
    </row>
    <row r="59" spans="1:166" s="1659" customFormat="1" ht="12" customHeight="1">
      <c r="A59" s="1655" t="s">
        <v>665</v>
      </c>
      <c r="B59" s="2365"/>
      <c r="C59" s="2365"/>
      <c r="D59" s="2365"/>
      <c r="E59" s="2365"/>
      <c r="F59" s="2366">
        <f t="shared" si="402"/>
      </c>
      <c r="G59" s="2365">
        <f t="shared" si="355"/>
      </c>
      <c r="H59" s="2365">
        <f t="shared" si="355"/>
      </c>
      <c r="I59" s="2367">
        <f t="shared" si="355"/>
      </c>
      <c r="J59" s="2365">
        <f t="shared" si="355"/>
      </c>
      <c r="K59" s="2365">
        <f t="shared" si="355"/>
      </c>
      <c r="L59" s="2365">
        <f t="shared" si="355"/>
      </c>
      <c r="M59" s="2365">
        <f t="shared" si="355"/>
      </c>
      <c r="N59" s="2366">
        <f t="shared" si="355"/>
      </c>
      <c r="O59" s="2365">
        <f t="shared" si="355"/>
      </c>
      <c r="P59" s="2365">
        <f t="shared" si="355"/>
      </c>
      <c r="Q59" s="2367">
        <f t="shared" si="355"/>
      </c>
      <c r="R59" s="2365">
        <f t="shared" si="355"/>
      </c>
      <c r="S59" s="2365">
        <f t="shared" si="355"/>
      </c>
      <c r="T59" s="2365">
        <f t="shared" si="355"/>
      </c>
      <c r="U59" s="2365">
        <f t="shared" si="355"/>
      </c>
      <c r="V59" s="2366">
        <f t="shared" si="355"/>
      </c>
      <c r="W59" s="2365">
        <f t="shared" si="355"/>
      </c>
      <c r="X59" s="2365">
        <f t="shared" si="355"/>
      </c>
      <c r="Y59" s="2367">
        <f t="shared" si="355"/>
      </c>
      <c r="Z59" s="2365">
        <f t="shared" si="355"/>
      </c>
      <c r="AA59" s="2365">
        <f t="shared" si="355"/>
      </c>
      <c r="AB59" s="2365">
        <f t="shared" si="355"/>
      </c>
      <c r="AC59" s="2365">
        <f t="shared" si="355"/>
      </c>
      <c r="AD59" s="2366">
        <f t="shared" si="355"/>
      </c>
      <c r="AE59" s="2365">
        <f t="shared" si="355"/>
      </c>
      <c r="AF59" s="2365">
        <f t="shared" si="355"/>
      </c>
      <c r="AG59" s="2367">
        <f t="shared" si="355"/>
      </c>
      <c r="AH59" s="2365">
        <f t="shared" si="355"/>
      </c>
      <c r="AI59" s="2365">
        <f t="shared" si="355"/>
      </c>
      <c r="AJ59" s="2365">
        <f t="shared" si="355"/>
      </c>
      <c r="AK59" s="2365">
        <f t="shared" si="355"/>
      </c>
      <c r="AL59" s="2366">
        <f t="shared" si="355"/>
      </c>
      <c r="AM59" s="2365">
        <f t="shared" si="355"/>
      </c>
      <c r="AN59" s="2365">
        <f t="shared" si="355"/>
      </c>
      <c r="AO59" s="2367">
        <f t="shared" si="355"/>
      </c>
      <c r="AP59" s="2365">
        <f t="shared" si="355"/>
      </c>
      <c r="AQ59" s="2365">
        <f t="shared" si="355"/>
      </c>
      <c r="AR59" s="2365">
        <f t="shared" si="355"/>
      </c>
      <c r="AS59" s="2365">
        <f t="shared" si="355"/>
      </c>
      <c r="AT59" s="2366">
        <f t="shared" si="355"/>
      </c>
      <c r="AU59" s="2365">
        <f t="shared" si="355"/>
      </c>
      <c r="AV59" s="2365">
        <f t="shared" si="355"/>
      </c>
      <c r="AW59" s="2367">
        <f t="shared" si="355"/>
      </c>
      <c r="AX59" s="2365">
        <f t="shared" si="355"/>
      </c>
      <c r="AY59" s="2365">
        <f t="shared" si="355"/>
      </c>
      <c r="AZ59" s="2365">
        <f t="shared" si="355"/>
      </c>
      <c r="BA59" s="2365">
        <f t="shared" si="355"/>
      </c>
      <c r="BB59" s="2366">
        <f t="shared" si="355"/>
      </c>
      <c r="BC59" s="2365">
        <f t="shared" si="355"/>
      </c>
      <c r="BD59" s="2365">
        <f t="shared" si="355"/>
      </c>
      <c r="BE59" s="2367">
        <f t="shared" si="355"/>
      </c>
      <c r="BF59" s="2365">
        <f t="shared" si="355"/>
      </c>
      <c r="BG59" s="2365">
        <f t="shared" si="355"/>
      </c>
      <c r="BH59" s="2365">
        <f t="shared" si="355"/>
      </c>
      <c r="BI59" s="2365">
        <f t="shared" si="355"/>
      </c>
      <c r="BJ59" s="2366">
        <f t="shared" si="355"/>
      </c>
      <c r="BK59" s="2365">
        <f t="shared" si="355"/>
      </c>
      <c r="BL59" s="2365">
        <f t="shared" si="355"/>
      </c>
      <c r="BM59" s="2367">
        <f t="shared" si="355"/>
      </c>
      <c r="BN59" s="2365">
        <f t="shared" si="355"/>
      </c>
      <c r="BO59" s="2365">
        <f t="shared" si="355"/>
      </c>
      <c r="BP59" s="2365">
        <f t="shared" si="355"/>
      </c>
      <c r="BQ59" s="2365">
        <f t="shared" si="355"/>
      </c>
      <c r="BR59" s="2366">
        <f t="shared" si="355"/>
      </c>
      <c r="BS59" s="2365">
        <f t="shared" si="356"/>
      </c>
      <c r="BT59" s="2365">
        <f t="shared" si="356"/>
      </c>
      <c r="BU59" s="2367">
        <f t="shared" si="356"/>
      </c>
      <c r="BV59" s="2365">
        <f t="shared" si="356"/>
      </c>
      <c r="BW59" s="2365">
        <f t="shared" si="356"/>
      </c>
      <c r="BX59" s="2365">
        <f t="shared" si="356"/>
      </c>
      <c r="BY59" s="2365">
        <f t="shared" si="356"/>
      </c>
      <c r="BZ59" s="2366">
        <f t="shared" si="356"/>
      </c>
      <c r="CA59" s="2365">
        <f t="shared" si="356"/>
      </c>
      <c r="CB59" s="2365">
        <f t="shared" si="356"/>
      </c>
      <c r="CC59" s="2367">
        <f t="shared" si="356"/>
      </c>
      <c r="CD59" s="2365">
        <f t="shared" si="356"/>
      </c>
      <c r="CE59" s="2365">
        <f t="shared" si="356"/>
      </c>
      <c r="CF59" s="2365">
        <f t="shared" si="356"/>
      </c>
      <c r="CG59" s="2365">
        <f t="shared" si="356"/>
      </c>
      <c r="CH59" s="2366">
        <f t="shared" ref="CH59" si="405">CH38/CD38-1</f>
      </c>
      <c r="CI59" s="2365">
        <f t="shared" ref="CI59" si="406">CI38/CE38-1</f>
      </c>
      <c r="CJ59" s="2365">
        <f t="shared" ref="CJ59:CK59" si="407">CJ38/CF38-1</f>
      </c>
      <c r="CK59" s="2365">
        <f t="shared" si="407"/>
      </c>
      <c r="CL59" s="2366">
        <f t="shared" si="360"/>
      </c>
      <c r="CM59" s="2365">
        <f t="shared" si="361"/>
      </c>
      <c r="CN59" s="2365">
        <f t="shared" si="362"/>
      </c>
      <c r="CO59" s="1656">
        <f t="shared" si="363"/>
      </c>
      <c r="CP59" s="2366">
        <f t="shared" si="364"/>
      </c>
      <c r="CQ59" s="2365">
        <f t="shared" si="364"/>
      </c>
      <c r="CR59" s="2365">
        <f t="shared" si="365"/>
      </c>
      <c r="CS59" s="1656">
        <f t="shared" si="366"/>
      </c>
      <c r="CT59" s="2366">
        <f t="shared" si="367"/>
      </c>
      <c r="CU59" s="2365">
        <f t="shared" si="368"/>
      </c>
      <c r="CV59" s="2365">
        <f t="shared" si="369"/>
      </c>
      <c r="CW59" s="1656">
        <f t="shared" si="370"/>
      </c>
      <c r="CX59" s="2366">
        <f t="shared" si="371"/>
      </c>
      <c r="CY59" s="2365">
        <f t="shared" si="372"/>
      </c>
      <c r="CZ59" s="2365">
        <f t="shared" si="373"/>
      </c>
      <c r="DA59" s="1656">
        <f t="shared" si="374"/>
      </c>
      <c r="DB59" s="2366">
        <f t="shared" si="375"/>
      </c>
      <c r="DC59" s="2365">
        <f t="shared" si="376"/>
      </c>
      <c r="DD59" s="2365">
        <f t="shared" si="377"/>
      </c>
      <c r="DE59" s="1656">
        <f t="shared" si="378"/>
      </c>
      <c r="DF59" s="2366">
        <f t="shared" si="379"/>
      </c>
      <c r="DG59" s="2365">
        <f t="shared" si="380"/>
      </c>
      <c r="DH59" s="2365">
        <f t="shared" si="381"/>
      </c>
      <c r="DI59" s="1656">
        <f t="shared" si="382"/>
      </c>
      <c r="DJ59" s="2366">
        <f t="shared" si="383"/>
      </c>
      <c r="DK59" s="2365">
        <f t="shared" si="384"/>
      </c>
      <c r="DL59" s="2365">
        <f t="shared" si="385"/>
      </c>
      <c r="DM59" s="1656">
        <f t="shared" si="386"/>
      </c>
      <c r="DN59" s="2366">
        <f t="shared" si="387"/>
      </c>
      <c r="DO59" s="2365">
        <f t="shared" si="388"/>
      </c>
      <c r="DP59" s="2365">
        <f t="shared" si="389"/>
      </c>
      <c r="DQ59" s="1656">
        <f t="shared" si="390"/>
      </c>
      <c r="DR59" s="1657"/>
      <c r="DS59" s="1657"/>
      <c r="DT59" s="1658">
        <f>DT38/DS38-1</f>
      </c>
      <c r="DU59" s="1658">
        <f t="shared" ref="DU59:EN59" si="408">DU38/DT38-1</f>
      </c>
      <c r="DV59" s="1658">
        <f t="shared" si="408"/>
      </c>
      <c r="DW59" s="1658">
        <f t="shared" si="408"/>
      </c>
      <c r="DX59" s="1658">
        <f t="shared" si="408"/>
      </c>
      <c r="DY59" s="1658">
        <f t="shared" si="408"/>
      </c>
      <c r="DZ59" s="1658">
        <f t="shared" si="408"/>
      </c>
      <c r="EA59" s="1658">
        <f t="shared" si="408"/>
      </c>
      <c r="EB59" s="1658">
        <f t="shared" si="408"/>
      </c>
      <c r="EC59" s="1658">
        <f t="shared" si="408"/>
      </c>
      <c r="ED59" s="1658">
        <f t="shared" si="408"/>
      </c>
      <c r="EE59" s="1658">
        <f t="shared" si="408"/>
      </c>
      <c r="EF59" s="1658">
        <f t="shared" si="408"/>
      </c>
      <c r="EG59" s="1658">
        <f t="shared" si="408"/>
      </c>
      <c r="EH59" s="1658">
        <f t="shared" si="408"/>
      </c>
      <c r="EI59" s="1658">
        <f t="shared" si="408"/>
      </c>
      <c r="EJ59" s="1658">
        <f t="shared" si="408"/>
      </c>
      <c r="EK59" s="1658">
        <f t="shared" si="408"/>
      </c>
      <c r="EL59" s="1658">
        <f t="shared" si="408"/>
      </c>
      <c r="EM59" s="1658">
        <f t="shared" si="408"/>
      </c>
      <c r="EN59" s="1658">
        <f t="shared" si="408"/>
      </c>
      <c r="EO59" s="1658">
        <f t="shared" ref="EO59" si="409">EO38/EN38-1</f>
      </c>
      <c r="EP59" s="1658">
        <f t="shared" ref="EP59" si="410">EP38/EO38-1</f>
      </c>
      <c r="EQ59" s="1658">
        <f t="shared" ref="EQ59" si="411">EQ38/EP38-1</f>
      </c>
      <c r="ER59" s="1658">
        <f t="shared" ref="ER59" si="412">ER38/EQ38-1</f>
      </c>
      <c r="ES59" s="1658">
        <f t="shared" ref="ES59" si="413">ES38/ER38-1</f>
      </c>
      <c r="ET59" s="1658">
        <f t="shared" ref="ET59" si="414">ET38/ES38-1</f>
      </c>
      <c r="EU59" s="1658">
        <f t="shared" ref="EU59" si="415">EU38/ET38-1</f>
      </c>
      <c r="EV59" s="1658">
        <f t="shared" ref="EV59" si="416">EV38/EU38-1</f>
      </c>
      <c r="EW59" s="1658"/>
      <c r="EX59" s="1657"/>
      <c r="EY59" s="1657"/>
      <c r="EZ59" s="1658">
        <f t="shared" ref="EZ59:FF59" si="417">EZ38/EY38-1</f>
      </c>
      <c r="FA59" s="1658">
        <f t="shared" si="417"/>
      </c>
      <c r="FB59" s="1658">
        <f t="shared" si="417"/>
      </c>
      <c r="FC59" s="1658">
        <f t="shared" si="417"/>
      </c>
      <c r="FD59" s="1658">
        <f t="shared" si="417"/>
      </c>
      <c r="FE59" s="1658">
        <f t="shared" si="417"/>
      </c>
      <c r="FF59" s="1658">
        <f t="shared" si="417"/>
      </c>
      <c r="FG59" s="1657"/>
      <c r="FH59" s="1657"/>
      <c r="FI59" s="1657"/>
      <c r="FJ59" s="1657"/>
    </row>
    <row r="61" spans="1:166">
      <c r="A61" s="1526" t="s">
        <v>1406</v>
      </c>
      <c r="B61" s="1476"/>
      <c r="C61" s="1476"/>
      <c r="D61" s="1476"/>
      <c r="E61" s="1476"/>
      <c r="F61" s="1488"/>
      <c r="G61" s="1476"/>
      <c r="H61" s="1476"/>
      <c r="I61" s="1477"/>
      <c r="J61" s="1476"/>
      <c r="K61" s="1476"/>
      <c r="L61" s="1476"/>
      <c r="M61" s="1476"/>
      <c r="N61" s="1488"/>
      <c r="O61" s="1476"/>
      <c r="P61" s="1476"/>
      <c r="Q61" s="1477"/>
      <c r="R61" s="1476"/>
      <c r="S61" s="1476"/>
      <c r="T61" s="1476"/>
      <c r="U61" s="1476"/>
      <c r="V61" s="1488"/>
      <c r="W61" s="1476"/>
      <c r="X61" s="1476"/>
      <c r="Y61" s="1477"/>
      <c r="Z61" s="1476"/>
      <c r="AA61" s="1476"/>
      <c r="AB61" s="1476"/>
      <c r="AC61" s="1476"/>
      <c r="AD61" s="1488"/>
      <c r="AE61" s="1476"/>
      <c r="AF61" s="1476"/>
      <c r="AG61" s="1477"/>
      <c r="AH61" s="1476"/>
      <c r="AI61" s="1476"/>
      <c r="AJ61" s="1476"/>
      <c r="AK61" s="1477"/>
      <c r="AL61" s="1476"/>
      <c r="AM61" s="1476"/>
      <c r="AN61" s="1476"/>
      <c r="AO61" s="1477"/>
      <c r="AP61" s="1476"/>
      <c r="AQ61" s="1476"/>
      <c r="AR61" s="1476"/>
      <c r="AS61" s="1477"/>
      <c r="AT61" s="1476"/>
      <c r="AU61" s="1476"/>
      <c r="AV61" s="1476"/>
      <c r="AW61" s="1477"/>
      <c r="AX61" s="1476"/>
      <c r="AY61" s="1476"/>
      <c r="AZ61" s="1476"/>
      <c r="BA61" s="1477"/>
      <c r="BB61" s="1476"/>
      <c r="BC61" s="1476"/>
      <c r="BD61" s="1476"/>
      <c r="BE61" s="1477"/>
      <c r="BF61" s="1476"/>
      <c r="BG61" s="1476"/>
      <c r="BH61" s="1476"/>
      <c r="BI61" s="1477"/>
      <c r="BJ61" s="1476"/>
      <c r="BK61" s="1476"/>
      <c r="BL61" s="1476"/>
      <c r="BM61" s="1477"/>
      <c r="BN61" s="1476"/>
      <c r="BO61" s="1476"/>
      <c r="BP61" s="1476"/>
      <c r="BQ61" s="1477"/>
      <c r="BR61" s="1476"/>
      <c r="BS61" s="1476"/>
      <c r="BT61" s="1476"/>
      <c r="BU61" s="1477"/>
      <c r="BV61" s="1476"/>
      <c r="BW61" s="1476"/>
      <c r="BX61" s="1476"/>
      <c r="BY61" s="1477"/>
      <c r="BZ61" s="1476"/>
      <c r="CA61" s="1476"/>
      <c r="CB61" s="1476"/>
      <c r="CC61" s="1477"/>
      <c r="CD61" s="1476"/>
      <c r="CE61" s="1476"/>
      <c r="CF61" s="1476"/>
      <c r="CG61" s="1477"/>
      <c r="CH61" s="1476"/>
      <c r="CI61" s="1476"/>
      <c r="CJ61" s="1476"/>
      <c r="CK61" s="1477"/>
      <c r="CL61" s="1476"/>
      <c r="CM61" s="1476"/>
      <c r="CN61" s="1476"/>
      <c r="CO61" s="1477"/>
      <c r="CP61" s="1476"/>
      <c r="CQ61" s="1476"/>
      <c r="CR61" s="1476"/>
      <c r="CS61" s="1477"/>
      <c r="CT61" s="1476"/>
      <c r="CU61" s="1476"/>
      <c r="CV61" s="1476"/>
      <c r="CW61" s="1477"/>
      <c r="CX61" s="1476"/>
      <c r="CY61" s="1476"/>
      <c r="CZ61" s="1476"/>
      <c r="DA61" s="1477"/>
      <c r="DB61" s="1476"/>
      <c r="DC61" s="1476"/>
      <c r="DD61" s="1476"/>
      <c r="DE61" s="1477"/>
      <c r="DF61" s="1476"/>
      <c r="DG61" s="1476"/>
      <c r="DH61" s="1476"/>
      <c r="DI61" s="1477"/>
      <c r="DJ61" s="1476"/>
      <c r="DK61" s="1476"/>
      <c r="DL61" s="1476"/>
      <c r="DM61" s="1477"/>
      <c r="DN61" s="1476"/>
      <c r="DO61" s="1476"/>
      <c r="DP61" s="1476"/>
      <c r="DQ61" s="1477"/>
      <c r="DR61" s="1476"/>
      <c r="DS61" s="1476"/>
      <c r="DT61" s="1476"/>
      <c r="DU61" s="1476"/>
      <c r="DV61" s="1476"/>
      <c r="DW61" s="1476"/>
      <c r="DX61" s="1476"/>
      <c r="DY61" s="1476"/>
      <c r="DZ61" s="1476"/>
      <c r="EA61" s="1476"/>
      <c r="EB61" s="1476"/>
      <c r="EC61" s="1476"/>
      <c r="ED61" s="1476"/>
      <c r="EE61" s="1476"/>
      <c r="EF61" s="1476"/>
      <c r="EG61" s="1476"/>
      <c r="EH61" s="1476"/>
      <c r="EI61" s="1507"/>
      <c r="EJ61" s="1507"/>
      <c r="EK61" s="1507"/>
      <c r="EL61" s="1507"/>
      <c r="EM61" s="1507"/>
      <c r="EN61" s="1507"/>
      <c r="EO61" s="1507"/>
      <c r="EP61" s="1507"/>
      <c r="EQ61" s="1507"/>
      <c r="ER61" s="1507"/>
      <c r="ES61" s="1507"/>
      <c r="ET61" s="1507"/>
      <c r="EU61" s="1507"/>
      <c r="EV61" s="1507"/>
      <c r="EW61" s="1507"/>
      <c r="EX61" s="1476"/>
      <c r="EY61" s="1476"/>
      <c r="EZ61" s="1476"/>
      <c r="FA61" s="1476"/>
      <c r="FB61" s="1476"/>
      <c r="FC61" s="1476"/>
      <c r="FD61" s="1476"/>
      <c r="FE61" s="1476"/>
      <c r="FF61" s="1476"/>
      <c r="FG61" s="1476"/>
      <c r="FH61" s="1476"/>
      <c r="FI61" s="1476"/>
      <c r="FJ61" s="1476"/>
    </row>
    <row r="62" spans="1:166" s="17" customFormat="1" ht="12" customHeight="1">
      <c r="A62" s="1646" t="s">
        <v>168</v>
      </c>
      <c r="C62" s="17">
        <f t="shared" ref="C62:AH62" si="418">+C9/B9-1</f>
      </c>
      <c r="D62" s="17">
        <f t="shared" si="418"/>
      </c>
      <c r="E62" s="17">
        <f t="shared" si="418"/>
      </c>
      <c r="F62" s="505">
        <f t="shared" si="418"/>
      </c>
      <c r="G62" s="17">
        <f t="shared" si="418"/>
      </c>
      <c r="H62" s="17">
        <f t="shared" si="418"/>
      </c>
      <c r="I62" s="1647">
        <f t="shared" si="418"/>
      </c>
      <c r="J62" s="17">
        <f t="shared" si="418"/>
      </c>
      <c r="K62" s="17">
        <f t="shared" si="418"/>
      </c>
      <c r="L62" s="17">
        <f t="shared" si="418"/>
      </c>
      <c r="M62" s="17">
        <f t="shared" si="418"/>
      </c>
      <c r="N62" s="505">
        <f t="shared" si="418"/>
      </c>
      <c r="O62" s="17">
        <f t="shared" si="418"/>
      </c>
      <c r="P62" s="17">
        <f t="shared" si="418"/>
      </c>
      <c r="Q62" s="1647">
        <f t="shared" si="418"/>
      </c>
      <c r="R62" s="17">
        <f t="shared" si="418"/>
      </c>
      <c r="S62" s="17">
        <f t="shared" si="418"/>
      </c>
      <c r="T62" s="17">
        <f t="shared" si="418"/>
      </c>
      <c r="U62" s="17">
        <f t="shared" si="418"/>
      </c>
      <c r="V62" s="505">
        <f t="shared" si="418"/>
      </c>
      <c r="W62" s="17">
        <f t="shared" si="418"/>
      </c>
      <c r="X62" s="17">
        <f t="shared" si="418"/>
      </c>
      <c r="Y62" s="1647">
        <f t="shared" si="418"/>
      </c>
      <c r="Z62" s="17">
        <f t="shared" si="418"/>
      </c>
      <c r="AA62" s="17">
        <f t="shared" si="418"/>
      </c>
      <c r="AB62" s="17">
        <f t="shared" si="418"/>
      </c>
      <c r="AC62" s="17">
        <f t="shared" si="418"/>
      </c>
      <c r="AD62" s="505">
        <f t="shared" si="418"/>
      </c>
      <c r="AE62" s="17">
        <f t="shared" si="418"/>
      </c>
      <c r="AF62" s="17">
        <f t="shared" si="418"/>
      </c>
      <c r="AG62" s="1647">
        <f t="shared" si="418"/>
      </c>
      <c r="AH62" s="17">
        <f t="shared" si="418"/>
      </c>
      <c r="AI62" s="17">
        <f t="shared" ref="AI62:BN62" si="419">+AI9/AH9-1</f>
      </c>
      <c r="AJ62" s="17">
        <f t="shared" si="419"/>
      </c>
      <c r="AK62" s="1647">
        <f t="shared" si="419"/>
      </c>
      <c r="AL62" s="17">
        <f t="shared" si="419"/>
      </c>
      <c r="AM62" s="17">
        <f t="shared" si="419"/>
      </c>
      <c r="AN62" s="17">
        <f t="shared" si="419"/>
      </c>
      <c r="AO62" s="1647">
        <f t="shared" si="419"/>
      </c>
      <c r="AP62" s="17">
        <f t="shared" si="419"/>
      </c>
      <c r="AQ62" s="17">
        <f t="shared" si="419"/>
      </c>
      <c r="AR62" s="17">
        <f t="shared" si="419"/>
      </c>
      <c r="AS62" s="1647">
        <f t="shared" si="419"/>
      </c>
      <c r="AT62" s="17">
        <f t="shared" si="419"/>
      </c>
      <c r="AU62" s="17">
        <f t="shared" si="419"/>
      </c>
      <c r="AV62" s="17">
        <f t="shared" si="419"/>
      </c>
      <c r="AW62" s="1647">
        <f t="shared" si="419"/>
      </c>
      <c r="AX62" s="17">
        <f t="shared" si="419"/>
      </c>
      <c r="AY62" s="17">
        <f t="shared" si="419"/>
      </c>
      <c r="AZ62" s="17">
        <f t="shared" si="419"/>
      </c>
      <c r="BA62" s="1647">
        <f t="shared" si="419"/>
      </c>
      <c r="BB62" s="17">
        <f t="shared" si="419"/>
      </c>
      <c r="BC62" s="17">
        <f t="shared" si="419"/>
      </c>
      <c r="BD62" s="17">
        <f t="shared" si="419"/>
      </c>
      <c r="BE62" s="1647">
        <f t="shared" si="419"/>
      </c>
      <c r="BF62" s="17">
        <f t="shared" si="419"/>
      </c>
      <c r="BG62" s="17">
        <f t="shared" si="419"/>
      </c>
      <c r="BH62" s="17">
        <f t="shared" si="419"/>
      </c>
      <c r="BI62" s="1647">
        <f t="shared" si="419"/>
      </c>
      <c r="BJ62" s="17">
        <f t="shared" si="419"/>
      </c>
      <c r="BK62" s="17">
        <f t="shared" si="419"/>
      </c>
      <c r="BL62" s="141">
        <f t="shared" si="419"/>
      </c>
      <c r="BM62" s="1126">
        <f t="shared" si="419"/>
      </c>
      <c r="BN62" s="141">
        <f t="shared" si="419"/>
      </c>
      <c r="BO62" s="141">
        <f t="shared" ref="BO62:CK62" si="420">+BO9/BN9-1</f>
      </c>
      <c r="BP62" s="141">
        <f t="shared" si="420"/>
      </c>
      <c r="BQ62" s="1126">
        <f t="shared" si="420"/>
      </c>
      <c r="BR62" s="141">
        <f t="shared" si="420"/>
      </c>
      <c r="BS62" s="141">
        <f t="shared" si="420"/>
      </c>
      <c r="BT62" s="141">
        <f t="shared" si="420"/>
      </c>
      <c r="BU62" s="1126">
        <f t="shared" si="420"/>
      </c>
      <c r="BV62" s="141">
        <f t="shared" si="420"/>
      </c>
      <c r="BW62" s="141">
        <f t="shared" si="420"/>
      </c>
      <c r="BX62" s="141">
        <f t="shared" si="420"/>
      </c>
      <c r="BY62" s="1126">
        <f t="shared" si="420"/>
      </c>
      <c r="BZ62" s="141">
        <f t="shared" si="420"/>
      </c>
      <c r="CA62" s="141">
        <f t="shared" si="420"/>
      </c>
      <c r="CB62" s="141">
        <f t="shared" si="420"/>
      </c>
      <c r="CC62" s="1126">
        <f t="shared" si="420"/>
      </c>
      <c r="CD62" s="141">
        <f t="shared" si="420"/>
      </c>
      <c r="CE62" s="141">
        <f t="shared" si="420"/>
      </c>
      <c r="CF62" s="141">
        <f t="shared" si="420"/>
      </c>
      <c r="CG62" s="1126">
        <f t="shared" si="420"/>
      </c>
      <c r="CH62" s="141">
        <f t="shared" si="420"/>
      </c>
      <c r="CI62" s="141">
        <f t="shared" si="420"/>
      </c>
      <c r="CJ62" s="141">
        <f t="shared" si="420"/>
      </c>
      <c r="CK62" s="1648">
        <f t="shared" si="420"/>
      </c>
      <c r="CL62" s="141">
        <f t="shared" ref="CL62:CL66" si="421">+CL9/CK9-1</f>
      </c>
      <c r="CM62" s="141">
        <f t="shared" ref="CM62:CM66" si="422">+CM9/CL9-1</f>
      </c>
      <c r="CN62" s="141">
        <f t="shared" ref="CN62:CN66" si="423">+CN9/CM9-1</f>
      </c>
      <c r="CO62" s="1647">
        <f t="shared" ref="CO62:CO66" si="424">+CO9/CN9-1</f>
      </c>
      <c r="CP62" s="141">
        <f t="shared" ref="CP62:CP66" si="425">+CP9/CO9-1</f>
      </c>
      <c r="CQ62" s="141">
        <f t="shared" ref="CQ62:CQ66" si="426">+CQ9/CP9-1</f>
      </c>
      <c r="CR62" s="141">
        <f t="shared" ref="CR62:CR66" si="427">+CR9/CQ9-1</f>
      </c>
      <c r="CS62" s="1647">
        <f t="shared" ref="CS62:CS66" si="428">+CS9/CR9-1</f>
      </c>
      <c r="CT62" s="141">
        <f t="shared" ref="CT62:CT66" si="429">+CT9/CS9-1</f>
      </c>
      <c r="CU62" s="141">
        <f t="shared" ref="CU62:CU66" si="430">+CU9/CT9-1</f>
      </c>
      <c r="CV62" s="141">
        <f t="shared" ref="CV62:CV66" si="431">+CV9/CU9-1</f>
      </c>
      <c r="CW62" s="1647">
        <f t="shared" ref="CW62:CW66" si="432">+CW9/CV9-1</f>
      </c>
      <c r="CX62" s="141">
        <f t="shared" ref="CX62:CX66" si="433">+CX9/CW9-1</f>
      </c>
      <c r="CY62" s="141">
        <f t="shared" ref="CY62:CY66" si="434">+CY9/CX9-1</f>
      </c>
      <c r="CZ62" s="141">
        <f t="shared" ref="CZ62:CZ66" si="435">+CZ9/CY9-1</f>
      </c>
      <c r="DA62" s="1647">
        <f t="shared" ref="DA62:DA66" si="436">+DA9/CZ9-1</f>
      </c>
      <c r="DB62" s="141">
        <f t="shared" ref="DB62:DB66" si="437">+DB9/DA9-1</f>
      </c>
      <c r="DC62" s="141">
        <f t="shared" ref="DC62:DC66" si="438">+DC9/DB9-1</f>
      </c>
      <c r="DD62" s="141">
        <f t="shared" ref="DD62:DD66" si="439">+DD9/DC9-1</f>
      </c>
      <c r="DE62" s="1647">
        <f t="shared" ref="DE62:DE66" si="440">+DE9/DD9-1</f>
      </c>
      <c r="DF62" s="141">
        <f t="shared" ref="DF62:DF66" si="441">+DF9/DE9-1</f>
      </c>
      <c r="DG62" s="141">
        <f t="shared" ref="DG62:DG66" si="442">+DG9/DF9-1</f>
      </c>
      <c r="DH62" s="141">
        <f t="shared" ref="DH62:DH66" si="443">+DH9/DG9-1</f>
      </c>
      <c r="DI62" s="1647">
        <f t="shared" ref="DI62:DI66" si="444">+DI9/DH9-1</f>
      </c>
      <c r="DJ62" s="141">
        <f t="shared" ref="DJ62:DJ66" si="445">+DJ9/DI9-1</f>
      </c>
      <c r="DK62" s="141">
        <f t="shared" ref="DK62:DK66" si="446">+DK9/DJ9-1</f>
      </c>
      <c r="DL62" s="141">
        <f t="shared" ref="DL62:DL66" si="447">+DL9/DK9-1</f>
      </c>
      <c r="DM62" s="1647">
        <f t="shared" ref="DM62:DM66" si="448">+DM9/DL9-1</f>
      </c>
      <c r="DN62" s="141">
        <f t="shared" ref="DN62:DN66" si="449">+DN9/DM9-1</f>
      </c>
      <c r="DO62" s="141">
        <f t="shared" ref="DO62:DO66" si="450">+DO9/DN9-1</f>
      </c>
      <c r="DP62" s="141">
        <f t="shared" ref="DP62:DP66" si="451">+DP9/DO9-1</f>
      </c>
      <c r="DQ62" s="1647">
        <f t="shared" ref="DQ62:DQ66" si="452">+DQ9/DP9-1</f>
      </c>
    </row>
    <row r="63" spans="1:166" s="17" customFormat="1" ht="12" customHeight="1">
      <c r="A63" s="1646" t="s">
        <v>663</v>
      </c>
      <c r="C63" s="17">
        <f t="shared" ref="C63:AH63" si="453">+C10/B10-1</f>
      </c>
      <c r="D63" s="17">
        <f t="shared" si="453"/>
      </c>
      <c r="E63" s="17">
        <f t="shared" si="453"/>
      </c>
      <c r="F63" s="505">
        <f t="shared" si="453"/>
      </c>
      <c r="G63" s="17">
        <f t="shared" si="453"/>
      </c>
      <c r="H63" s="17">
        <f t="shared" si="453"/>
      </c>
      <c r="I63" s="1647">
        <f t="shared" si="453"/>
      </c>
      <c r="J63" s="17">
        <f t="shared" si="453"/>
      </c>
      <c r="K63" s="17">
        <f t="shared" si="453"/>
      </c>
      <c r="L63" s="17">
        <f t="shared" si="453"/>
      </c>
      <c r="M63" s="17">
        <f t="shared" si="453"/>
      </c>
      <c r="N63" s="505">
        <f t="shared" si="453"/>
      </c>
      <c r="O63" s="17">
        <f t="shared" si="453"/>
      </c>
      <c r="P63" s="17">
        <f t="shared" si="453"/>
      </c>
      <c r="Q63" s="1647">
        <f t="shared" si="453"/>
      </c>
      <c r="R63" s="17">
        <f t="shared" si="453"/>
      </c>
      <c r="S63" s="17">
        <f t="shared" si="453"/>
      </c>
      <c r="T63" s="17">
        <f t="shared" si="453"/>
      </c>
      <c r="U63" s="17">
        <f t="shared" si="453"/>
      </c>
      <c r="V63" s="505">
        <f t="shared" si="453"/>
      </c>
      <c r="W63" s="17">
        <f t="shared" si="453"/>
      </c>
      <c r="X63" s="17">
        <f t="shared" si="453"/>
      </c>
      <c r="Y63" s="1647">
        <f t="shared" si="453"/>
      </c>
      <c r="Z63" s="17">
        <f t="shared" si="453"/>
      </c>
      <c r="AA63" s="17">
        <f t="shared" si="453"/>
      </c>
      <c r="AB63" s="17">
        <f t="shared" si="453"/>
      </c>
      <c r="AC63" s="17">
        <f t="shared" si="453"/>
      </c>
      <c r="AD63" s="505">
        <f t="shared" si="453"/>
      </c>
      <c r="AE63" s="17">
        <f t="shared" si="453"/>
      </c>
      <c r="AF63" s="17">
        <f t="shared" si="453"/>
      </c>
      <c r="AG63" s="1647">
        <f t="shared" si="453"/>
      </c>
      <c r="AH63" s="17">
        <f t="shared" si="453"/>
      </c>
      <c r="AI63" s="17">
        <f t="shared" ref="AI63:BN63" si="454">+AI10/AH10-1</f>
      </c>
      <c r="AJ63" s="17">
        <f t="shared" si="454"/>
      </c>
      <c r="AK63" s="1647">
        <f t="shared" si="454"/>
      </c>
      <c r="AL63" s="17">
        <f t="shared" si="454"/>
      </c>
      <c r="AM63" s="17">
        <f t="shared" si="454"/>
      </c>
      <c r="AN63" s="17">
        <f t="shared" si="454"/>
      </c>
      <c r="AO63" s="1647">
        <f t="shared" si="454"/>
      </c>
      <c r="AP63" s="17">
        <f t="shared" si="454"/>
      </c>
      <c r="AQ63" s="17">
        <f t="shared" si="454"/>
      </c>
      <c r="AR63" s="17">
        <f t="shared" si="454"/>
      </c>
      <c r="AS63" s="1647">
        <f t="shared" si="454"/>
      </c>
      <c r="AT63" s="17">
        <f t="shared" si="454"/>
      </c>
      <c r="AU63" s="17">
        <f t="shared" si="454"/>
      </c>
      <c r="AV63" s="17">
        <f t="shared" si="454"/>
      </c>
      <c r="AW63" s="1647">
        <f t="shared" si="454"/>
      </c>
      <c r="AX63" s="17">
        <f t="shared" si="454"/>
      </c>
      <c r="AY63" s="17">
        <f t="shared" si="454"/>
      </c>
      <c r="AZ63" s="17">
        <f t="shared" si="454"/>
      </c>
      <c r="BA63" s="1647">
        <f t="shared" si="454"/>
      </c>
      <c r="BB63" s="17">
        <f t="shared" si="454"/>
      </c>
      <c r="BC63" s="17">
        <f t="shared" si="454"/>
      </c>
      <c r="BD63" s="17">
        <f t="shared" si="454"/>
      </c>
      <c r="BE63" s="1647">
        <f t="shared" si="454"/>
      </c>
      <c r="BF63" s="17">
        <f t="shared" si="454"/>
      </c>
      <c r="BG63" s="17">
        <f t="shared" si="454"/>
      </c>
      <c r="BH63" s="17">
        <f t="shared" si="454"/>
      </c>
      <c r="BI63" s="1647">
        <f t="shared" si="454"/>
      </c>
      <c r="BJ63" s="17">
        <f t="shared" si="454"/>
      </c>
      <c r="BK63" s="17">
        <f t="shared" si="454"/>
      </c>
      <c r="BL63" s="141">
        <f t="shared" si="454"/>
      </c>
      <c r="BM63" s="1126">
        <f t="shared" si="454"/>
      </c>
      <c r="BN63" s="141">
        <f t="shared" si="454"/>
      </c>
      <c r="BO63" s="141">
        <f t="shared" ref="BO63:CK63" si="455">+BO10/BN10-1</f>
      </c>
      <c r="BP63" s="141">
        <f t="shared" si="455"/>
      </c>
      <c r="BQ63" s="1126">
        <f t="shared" si="455"/>
      </c>
      <c r="BR63" s="141">
        <f t="shared" si="455"/>
      </c>
      <c r="BS63" s="141">
        <f t="shared" si="455"/>
      </c>
      <c r="BT63" s="141">
        <f t="shared" si="455"/>
      </c>
      <c r="BU63" s="1126">
        <f t="shared" si="455"/>
      </c>
      <c r="BV63" s="141">
        <f t="shared" si="455"/>
      </c>
      <c r="BW63" s="141">
        <f t="shared" si="455"/>
      </c>
      <c r="BX63" s="141">
        <f t="shared" si="455"/>
      </c>
      <c r="BY63" s="1126">
        <f t="shared" si="455"/>
      </c>
      <c r="BZ63" s="141">
        <f t="shared" si="455"/>
      </c>
      <c r="CA63" s="141">
        <f t="shared" si="455"/>
      </c>
      <c r="CB63" s="141">
        <f t="shared" si="455"/>
      </c>
      <c r="CC63" s="1126">
        <f t="shared" si="455"/>
      </c>
      <c r="CD63" s="141">
        <f t="shared" si="455"/>
      </c>
      <c r="CE63" s="141">
        <f t="shared" si="455"/>
      </c>
      <c r="CF63" s="141">
        <f t="shared" si="455"/>
      </c>
      <c r="CG63" s="1126">
        <f t="shared" si="455"/>
      </c>
      <c r="CH63" s="141">
        <f t="shared" si="455"/>
      </c>
      <c r="CI63" s="141">
        <f t="shared" si="455"/>
      </c>
      <c r="CJ63" s="141">
        <f t="shared" si="455"/>
      </c>
      <c r="CK63" s="1126">
        <f t="shared" si="455"/>
      </c>
      <c r="CL63" s="141">
        <f t="shared" si="421"/>
      </c>
      <c r="CM63" s="141">
        <f t="shared" si="422"/>
      </c>
      <c r="CN63" s="141">
        <f t="shared" si="423"/>
      </c>
      <c r="CO63" s="1647">
        <f t="shared" si="424"/>
      </c>
      <c r="CP63" s="141">
        <f t="shared" si="425"/>
      </c>
      <c r="CQ63" s="141">
        <f t="shared" si="426"/>
      </c>
      <c r="CR63" s="141">
        <f t="shared" si="427"/>
      </c>
      <c r="CS63" s="1647">
        <f t="shared" si="428"/>
      </c>
      <c r="CT63" s="141">
        <f t="shared" si="429"/>
      </c>
      <c r="CU63" s="141">
        <f t="shared" si="430"/>
      </c>
      <c r="CV63" s="141">
        <f t="shared" si="431"/>
      </c>
      <c r="CW63" s="1647">
        <f t="shared" si="432"/>
      </c>
      <c r="CX63" s="141">
        <f t="shared" si="433"/>
      </c>
      <c r="CY63" s="141">
        <f t="shared" si="434"/>
      </c>
      <c r="CZ63" s="141">
        <f t="shared" si="435"/>
      </c>
      <c r="DA63" s="1647">
        <f t="shared" si="436"/>
      </c>
      <c r="DB63" s="141">
        <f t="shared" si="437"/>
      </c>
      <c r="DC63" s="141">
        <f t="shared" si="438"/>
      </c>
      <c r="DD63" s="141">
        <f t="shared" si="439"/>
      </c>
      <c r="DE63" s="1647">
        <f t="shared" si="440"/>
      </c>
      <c r="DF63" s="141">
        <f t="shared" si="441"/>
      </c>
      <c r="DG63" s="141">
        <f t="shared" si="442"/>
      </c>
      <c r="DH63" s="141">
        <f t="shared" si="443"/>
      </c>
      <c r="DI63" s="1647">
        <f t="shared" si="444"/>
      </c>
      <c r="DJ63" s="141">
        <f t="shared" si="445"/>
      </c>
      <c r="DK63" s="141">
        <f t="shared" si="446"/>
      </c>
      <c r="DL63" s="141">
        <f t="shared" si="447"/>
      </c>
      <c r="DM63" s="1647">
        <f t="shared" si="448"/>
      </c>
      <c r="DN63" s="141">
        <f t="shared" si="449"/>
      </c>
      <c r="DO63" s="141">
        <f t="shared" si="450"/>
      </c>
      <c r="DP63" s="141">
        <f t="shared" si="451"/>
      </c>
      <c r="DQ63" s="1647">
        <f t="shared" si="452"/>
      </c>
    </row>
    <row r="64" spans="1:166" s="17" customFormat="1" ht="12" customHeight="1">
      <c r="A64" s="1646" t="s">
        <v>171</v>
      </c>
      <c r="F64" s="505"/>
      <c r="I64" s="1647"/>
      <c r="N64" s="505"/>
      <c r="Q64" s="1647"/>
      <c r="V64" s="505"/>
      <c r="Y64" s="1647"/>
      <c r="AD64" s="505"/>
      <c r="AG64" s="1647"/>
      <c r="AK64" s="1647"/>
      <c r="AO64" s="1647"/>
      <c r="AQ64" s="17">
        <f t="shared" ref="AQ64:AS66" si="456">+AQ11/AP11-1</f>
      </c>
      <c r="AR64" s="17">
        <f t="shared" si="456"/>
      </c>
      <c r="AS64" s="1647">
        <f t="shared" si="456"/>
      </c>
      <c r="AU64" s="17">
        <f t="shared" ref="AU64:CK64" si="457">+AU11/AT11-1</f>
      </c>
      <c r="AV64" s="17">
        <f t="shared" si="457"/>
      </c>
      <c r="AW64" s="1647">
        <f t="shared" si="457"/>
      </c>
      <c r="AX64" s="17">
        <f t="shared" si="457"/>
      </c>
      <c r="AY64" s="17">
        <f t="shared" si="457"/>
      </c>
      <c r="AZ64" s="17">
        <f t="shared" si="457"/>
      </c>
      <c r="BA64" s="1647">
        <f t="shared" si="457"/>
      </c>
      <c r="BB64" s="17">
        <f t="shared" si="457"/>
      </c>
      <c r="BC64" s="17">
        <f t="shared" si="457"/>
      </c>
      <c r="BD64" s="17">
        <f t="shared" si="457"/>
      </c>
      <c r="BE64" s="1647">
        <f t="shared" si="457"/>
      </c>
      <c r="BF64" s="17">
        <f t="shared" si="457"/>
      </c>
      <c r="BG64" s="17">
        <f t="shared" si="457"/>
      </c>
      <c r="BH64" s="17">
        <f t="shared" si="457"/>
      </c>
      <c r="BI64" s="1647">
        <f t="shared" si="457"/>
      </c>
      <c r="BJ64" s="17">
        <f t="shared" si="457"/>
      </c>
      <c r="BK64" s="17">
        <f t="shared" si="457"/>
      </c>
      <c r="BL64" s="141">
        <f t="shared" si="457"/>
      </c>
      <c r="BM64" s="1126">
        <f t="shared" si="457"/>
      </c>
      <c r="BN64" s="141">
        <f t="shared" si="457"/>
      </c>
      <c r="BO64" s="141">
        <f t="shared" si="457"/>
      </c>
      <c r="BP64" s="141">
        <f t="shared" si="457"/>
      </c>
      <c r="BQ64" s="1126">
        <f t="shared" si="457"/>
      </c>
      <c r="BR64" s="141">
        <f t="shared" si="457"/>
      </c>
      <c r="BS64" s="141">
        <f t="shared" si="457"/>
      </c>
      <c r="BT64" s="141">
        <f t="shared" si="457"/>
      </c>
      <c r="BU64" s="1126">
        <f t="shared" si="457"/>
      </c>
      <c r="BV64" s="141">
        <f t="shared" si="457"/>
      </c>
      <c r="BW64" s="141">
        <f t="shared" si="457"/>
      </c>
      <c r="BX64" s="141">
        <f t="shared" si="457"/>
      </c>
      <c r="BY64" s="1126">
        <f t="shared" si="457"/>
      </c>
      <c r="BZ64" s="141">
        <f t="shared" si="457"/>
      </c>
      <c r="CA64" s="141">
        <f t="shared" si="457"/>
      </c>
      <c r="CB64" s="141">
        <f t="shared" si="457"/>
      </c>
      <c r="CC64" s="1126">
        <f t="shared" si="457"/>
      </c>
      <c r="CD64" s="141">
        <f t="shared" si="457"/>
      </c>
      <c r="CE64" s="141">
        <f t="shared" si="457"/>
      </c>
      <c r="CF64" s="141">
        <f t="shared" si="457"/>
      </c>
      <c r="CG64" s="1126">
        <f t="shared" si="457"/>
      </c>
      <c r="CH64" s="141">
        <f t="shared" si="457"/>
      </c>
      <c r="CI64" s="141">
        <f t="shared" si="457"/>
      </c>
      <c r="CJ64" s="141">
        <f t="shared" si="457"/>
      </c>
      <c r="CK64" s="1126">
        <f t="shared" si="457"/>
      </c>
      <c r="CL64" s="141">
        <f t="shared" si="421"/>
      </c>
      <c r="CM64" s="141">
        <f t="shared" si="422"/>
      </c>
      <c r="CN64" s="141">
        <f t="shared" si="423"/>
      </c>
      <c r="CO64" s="1647">
        <f t="shared" si="424"/>
      </c>
      <c r="CP64" s="141">
        <f t="shared" si="425"/>
      </c>
      <c r="CQ64" s="141">
        <f t="shared" si="426"/>
      </c>
      <c r="CR64" s="141">
        <f t="shared" si="427"/>
      </c>
      <c r="CS64" s="1647">
        <f t="shared" si="428"/>
      </c>
      <c r="CT64" s="141">
        <f t="shared" si="429"/>
      </c>
      <c r="CU64" s="141">
        <f t="shared" si="430"/>
      </c>
      <c r="CV64" s="141">
        <f t="shared" si="431"/>
      </c>
      <c r="CW64" s="1647">
        <f t="shared" si="432"/>
      </c>
      <c r="CX64" s="141">
        <f t="shared" si="433"/>
      </c>
      <c r="CY64" s="141">
        <f t="shared" si="434"/>
      </c>
      <c r="CZ64" s="141">
        <f t="shared" si="435"/>
      </c>
      <c r="DA64" s="1647">
        <f t="shared" si="436"/>
      </c>
      <c r="DB64" s="141">
        <f t="shared" si="437"/>
      </c>
      <c r="DC64" s="141">
        <f t="shared" si="438"/>
      </c>
      <c r="DD64" s="141">
        <f t="shared" si="439"/>
      </c>
      <c r="DE64" s="1647">
        <f t="shared" si="440"/>
      </c>
      <c r="DF64" s="141">
        <f t="shared" si="441"/>
      </c>
      <c r="DG64" s="141">
        <f t="shared" si="442"/>
      </c>
      <c r="DH64" s="141">
        <f t="shared" si="443"/>
      </c>
      <c r="DI64" s="1647">
        <f t="shared" si="444"/>
      </c>
      <c r="DJ64" s="141">
        <f t="shared" si="445"/>
      </c>
      <c r="DK64" s="141">
        <f t="shared" si="446"/>
      </c>
      <c r="DL64" s="141">
        <f t="shared" si="447"/>
      </c>
      <c r="DM64" s="1647">
        <f t="shared" si="448"/>
      </c>
      <c r="DN64" s="141">
        <f t="shared" si="449"/>
      </c>
      <c r="DO64" s="141">
        <f t="shared" si="450"/>
      </c>
      <c r="DP64" s="141">
        <f t="shared" si="451"/>
      </c>
      <c r="DQ64" s="1647">
        <f t="shared" si="452"/>
      </c>
    </row>
    <row r="65" spans="1:166" s="17" customFormat="1" ht="12" customHeight="1">
      <c r="A65" s="1646" t="s">
        <v>169</v>
      </c>
      <c r="C65" s="17">
        <f t="shared" ref="C65:AP65" si="458">+C12/B12-1</f>
      </c>
      <c r="D65" s="17">
        <f t="shared" si="458"/>
      </c>
      <c r="E65" s="17">
        <f t="shared" si="458"/>
      </c>
      <c r="F65" s="505">
        <f t="shared" si="458"/>
      </c>
      <c r="G65" s="17">
        <f t="shared" si="458"/>
      </c>
      <c r="H65" s="17">
        <f t="shared" si="458"/>
      </c>
      <c r="I65" s="1647">
        <f t="shared" si="458"/>
      </c>
      <c r="J65" s="17">
        <f t="shared" si="458"/>
      </c>
      <c r="K65" s="17">
        <f t="shared" si="458"/>
      </c>
      <c r="L65" s="17">
        <f t="shared" si="458"/>
      </c>
      <c r="M65" s="17">
        <f t="shared" si="458"/>
      </c>
      <c r="N65" s="505">
        <f t="shared" si="458"/>
      </c>
      <c r="O65" s="17">
        <f t="shared" si="458"/>
      </c>
      <c r="P65" s="17">
        <f t="shared" si="458"/>
      </c>
      <c r="Q65" s="1647">
        <f t="shared" si="458"/>
      </c>
      <c r="R65" s="17">
        <f t="shared" si="458"/>
      </c>
      <c r="S65" s="17">
        <f t="shared" si="458"/>
      </c>
      <c r="T65" s="17">
        <f t="shared" si="458"/>
      </c>
      <c r="U65" s="17">
        <f t="shared" si="458"/>
      </c>
      <c r="V65" s="505">
        <f t="shared" si="458"/>
      </c>
      <c r="W65" s="17">
        <f t="shared" si="458"/>
      </c>
      <c r="X65" s="17">
        <f t="shared" si="458"/>
      </c>
      <c r="Y65" s="1647">
        <f t="shared" si="458"/>
      </c>
      <c r="Z65" s="17">
        <f t="shared" si="458"/>
      </c>
      <c r="AA65" s="17">
        <f t="shared" si="458"/>
      </c>
      <c r="AB65" s="17">
        <f t="shared" si="458"/>
      </c>
      <c r="AC65" s="17">
        <f t="shared" si="458"/>
      </c>
      <c r="AD65" s="505">
        <f t="shared" si="458"/>
      </c>
      <c r="AE65" s="17">
        <f t="shared" si="458"/>
      </c>
      <c r="AF65" s="17">
        <f t="shared" si="458"/>
      </c>
      <c r="AG65" s="1647">
        <f t="shared" si="458"/>
      </c>
      <c r="AH65" s="17">
        <f t="shared" si="458"/>
      </c>
      <c r="AI65" s="17">
        <f t="shared" si="458"/>
      </c>
      <c r="AJ65" s="17">
        <f t="shared" si="458"/>
      </c>
      <c r="AK65" s="1647">
        <f t="shared" si="458"/>
      </c>
      <c r="AL65" s="17">
        <f t="shared" si="458"/>
      </c>
      <c r="AM65" s="17">
        <f t="shared" si="458"/>
      </c>
      <c r="AN65" s="17">
        <f t="shared" si="458"/>
      </c>
      <c r="AO65" s="1647">
        <f t="shared" si="458"/>
      </c>
      <c r="AP65" s="17">
        <f t="shared" si="458"/>
      </c>
      <c r="AQ65" s="17">
        <f t="shared" si="456"/>
      </c>
      <c r="AR65" s="17">
        <f t="shared" si="456"/>
      </c>
      <c r="AS65" s="1647">
        <f t="shared" si="456"/>
      </c>
      <c r="AT65" s="17">
        <f>+AT12/AS12-1</f>
      </c>
      <c r="AU65" s="17">
        <f t="shared" ref="AU65:CK65" si="459">+AU12/AT12-1</f>
      </c>
      <c r="AV65" s="17">
        <f t="shared" si="459"/>
      </c>
      <c r="AW65" s="1647">
        <f t="shared" si="459"/>
      </c>
      <c r="AX65" s="17">
        <f t="shared" si="459"/>
      </c>
      <c r="AY65" s="17">
        <f t="shared" si="459"/>
      </c>
      <c r="AZ65" s="17">
        <f t="shared" si="459"/>
      </c>
      <c r="BA65" s="1647">
        <f t="shared" si="459"/>
      </c>
      <c r="BB65" s="17">
        <f t="shared" si="459"/>
      </c>
      <c r="BC65" s="17">
        <f t="shared" si="459"/>
      </c>
      <c r="BD65" s="17">
        <f t="shared" si="459"/>
      </c>
      <c r="BE65" s="1647">
        <f t="shared" si="459"/>
      </c>
      <c r="BF65" s="17">
        <f t="shared" si="459"/>
      </c>
      <c r="BG65" s="17">
        <f t="shared" si="459"/>
      </c>
      <c r="BH65" s="17">
        <f t="shared" si="459"/>
      </c>
      <c r="BI65" s="1647">
        <f t="shared" si="459"/>
      </c>
      <c r="BJ65" s="17">
        <f t="shared" si="459"/>
      </c>
      <c r="BK65" s="17">
        <f t="shared" si="459"/>
      </c>
      <c r="BL65" s="141">
        <f t="shared" si="459"/>
      </c>
      <c r="BM65" s="1126">
        <f t="shared" si="459"/>
      </c>
      <c r="BN65" s="141">
        <f t="shared" si="459"/>
      </c>
      <c r="BO65" s="141">
        <f t="shared" si="459"/>
      </c>
      <c r="BP65" s="141">
        <f t="shared" si="459"/>
      </c>
      <c r="BQ65" s="1126">
        <f t="shared" si="459"/>
      </c>
      <c r="BR65" s="141">
        <f t="shared" si="459"/>
      </c>
      <c r="BS65" s="141">
        <f t="shared" si="459"/>
      </c>
      <c r="BT65" s="141">
        <f t="shared" si="459"/>
      </c>
      <c r="BU65" s="1126">
        <f t="shared" si="459"/>
      </c>
      <c r="BV65" s="141">
        <f t="shared" si="459"/>
      </c>
      <c r="BW65" s="141">
        <f t="shared" si="459"/>
      </c>
      <c r="BX65" s="141">
        <f t="shared" si="459"/>
      </c>
      <c r="BY65" s="1126">
        <f t="shared" si="459"/>
      </c>
      <c r="BZ65" s="141">
        <f t="shared" si="459"/>
      </c>
      <c r="CA65" s="141">
        <f t="shared" si="459"/>
      </c>
      <c r="CB65" s="141">
        <f t="shared" si="459"/>
      </c>
      <c r="CC65" s="1126">
        <f t="shared" si="459"/>
      </c>
      <c r="CD65" s="141">
        <f t="shared" si="459"/>
      </c>
      <c r="CE65" s="141">
        <f t="shared" si="459"/>
      </c>
      <c r="CF65" s="141">
        <f t="shared" si="459"/>
      </c>
      <c r="CG65" s="1126">
        <f t="shared" si="459"/>
      </c>
      <c r="CH65" s="141">
        <f t="shared" si="459"/>
      </c>
      <c r="CI65" s="141">
        <f t="shared" si="459"/>
      </c>
      <c r="CJ65" s="141">
        <f t="shared" si="459"/>
      </c>
      <c r="CK65" s="1126">
        <f t="shared" si="459"/>
      </c>
      <c r="CL65" s="141">
        <f t="shared" si="421"/>
      </c>
      <c r="CM65" s="141">
        <f t="shared" si="422"/>
      </c>
      <c r="CN65" s="141">
        <f t="shared" si="423"/>
      </c>
      <c r="CO65" s="1647">
        <f t="shared" si="424"/>
      </c>
      <c r="CP65" s="141">
        <f t="shared" si="425"/>
      </c>
      <c r="CQ65" s="141">
        <f t="shared" si="426"/>
      </c>
      <c r="CR65" s="141">
        <f t="shared" si="427"/>
      </c>
      <c r="CS65" s="1647">
        <f t="shared" si="428"/>
      </c>
      <c r="CT65" s="141">
        <f t="shared" si="429"/>
      </c>
      <c r="CU65" s="141">
        <f t="shared" si="430"/>
      </c>
      <c r="CV65" s="141">
        <f t="shared" si="431"/>
      </c>
      <c r="CW65" s="1647">
        <f t="shared" si="432"/>
      </c>
      <c r="CX65" s="141">
        <f t="shared" si="433"/>
      </c>
      <c r="CY65" s="141">
        <f t="shared" si="434"/>
      </c>
      <c r="CZ65" s="141">
        <f t="shared" si="435"/>
      </c>
      <c r="DA65" s="1647">
        <f t="shared" si="436"/>
      </c>
      <c r="DB65" s="141">
        <f t="shared" si="437"/>
      </c>
      <c r="DC65" s="141">
        <f t="shared" si="438"/>
      </c>
      <c r="DD65" s="141">
        <f t="shared" si="439"/>
      </c>
      <c r="DE65" s="1647">
        <f t="shared" si="440"/>
      </c>
      <c r="DF65" s="141">
        <f t="shared" si="441"/>
      </c>
      <c r="DG65" s="141">
        <f t="shared" si="442"/>
      </c>
      <c r="DH65" s="141">
        <f t="shared" si="443"/>
      </c>
      <c r="DI65" s="1647">
        <f t="shared" si="444"/>
      </c>
      <c r="DJ65" s="141">
        <f t="shared" si="445"/>
      </c>
      <c r="DK65" s="141">
        <f t="shared" si="446"/>
      </c>
      <c r="DL65" s="141">
        <f t="shared" si="447"/>
      </c>
      <c r="DM65" s="1647">
        <f t="shared" si="448"/>
      </c>
      <c r="DN65" s="141">
        <f t="shared" si="449"/>
      </c>
      <c r="DO65" s="141">
        <f t="shared" si="450"/>
      </c>
      <c r="DP65" s="141">
        <f t="shared" si="451"/>
      </c>
      <c r="DQ65" s="1647">
        <f t="shared" si="452"/>
      </c>
    </row>
    <row r="66" spans="1:166" s="17" customFormat="1" ht="12" customHeight="1">
      <c r="A66" s="1681" t="s">
        <v>1409</v>
      </c>
      <c r="C66" s="17">
        <f t="shared" ref="C66:AP66" si="460">+C13/B13-1</f>
      </c>
      <c r="D66" s="17">
        <f t="shared" si="460"/>
      </c>
      <c r="E66" s="17">
        <f t="shared" si="460"/>
      </c>
      <c r="F66" s="505">
        <f t="shared" si="460"/>
      </c>
      <c r="G66" s="17">
        <f t="shared" si="460"/>
      </c>
      <c r="H66" s="17">
        <f t="shared" si="460"/>
      </c>
      <c r="I66" s="1647">
        <f t="shared" si="460"/>
      </c>
      <c r="J66" s="17">
        <f t="shared" si="460"/>
      </c>
      <c r="K66" s="17">
        <f t="shared" si="460"/>
      </c>
      <c r="L66" s="17">
        <f t="shared" si="460"/>
      </c>
      <c r="M66" s="17">
        <f t="shared" si="460"/>
      </c>
      <c r="N66" s="505">
        <f t="shared" si="460"/>
      </c>
      <c r="O66" s="17">
        <f t="shared" si="460"/>
      </c>
      <c r="P66" s="17">
        <f t="shared" si="460"/>
      </c>
      <c r="Q66" s="1647">
        <f t="shared" si="460"/>
      </c>
      <c r="R66" s="17">
        <f t="shared" si="460"/>
      </c>
      <c r="S66" s="17">
        <f t="shared" si="460"/>
      </c>
      <c r="T66" s="17">
        <f t="shared" si="460"/>
      </c>
      <c r="U66" s="17">
        <f t="shared" si="460"/>
      </c>
      <c r="V66" s="505">
        <f t="shared" si="460"/>
      </c>
      <c r="W66" s="17">
        <f t="shared" si="460"/>
      </c>
      <c r="X66" s="17">
        <f t="shared" si="460"/>
      </c>
      <c r="Y66" s="1647">
        <f t="shared" si="460"/>
      </c>
      <c r="Z66" s="17">
        <f t="shared" si="460"/>
      </c>
      <c r="AA66" s="17">
        <f t="shared" si="460"/>
      </c>
      <c r="AB66" s="17">
        <f t="shared" si="460"/>
      </c>
      <c r="AC66" s="17">
        <f t="shared" si="460"/>
      </c>
      <c r="AD66" s="505">
        <f t="shared" si="460"/>
      </c>
      <c r="AE66" s="17">
        <f t="shared" si="460"/>
      </c>
      <c r="AF66" s="17">
        <f t="shared" si="460"/>
      </c>
      <c r="AG66" s="1647">
        <f t="shared" si="460"/>
      </c>
      <c r="AH66" s="17">
        <f t="shared" si="460"/>
      </c>
      <c r="AI66" s="17">
        <f t="shared" si="460"/>
      </c>
      <c r="AJ66" s="17">
        <f t="shared" si="460"/>
      </c>
      <c r="AK66" s="1647">
        <f t="shared" si="460"/>
      </c>
      <c r="AL66" s="17">
        <f t="shared" si="460"/>
      </c>
      <c r="AM66" s="17">
        <f t="shared" si="460"/>
      </c>
      <c r="AN66" s="17">
        <f t="shared" si="460"/>
      </c>
      <c r="AO66" s="1647">
        <f t="shared" si="460"/>
      </c>
      <c r="AP66" s="17">
        <f t="shared" si="460"/>
      </c>
      <c r="AQ66" s="17">
        <f t="shared" si="456"/>
      </c>
      <c r="AR66" s="17">
        <f t="shared" si="456"/>
      </c>
      <c r="AS66" s="1647">
        <f t="shared" si="456"/>
      </c>
      <c r="AT66" s="17">
        <f>+AT13/AS13-1</f>
      </c>
      <c r="AU66" s="17">
        <f t="shared" ref="AU66:CK66" si="461">+AU13/AT13-1</f>
      </c>
      <c r="AV66" s="17">
        <f t="shared" si="461"/>
      </c>
      <c r="AW66" s="1647">
        <f t="shared" si="461"/>
      </c>
      <c r="AX66" s="17">
        <f t="shared" si="461"/>
      </c>
      <c r="AY66" s="17">
        <f t="shared" si="461"/>
      </c>
      <c r="AZ66" s="17">
        <f t="shared" si="461"/>
      </c>
      <c r="BA66" s="1647">
        <f t="shared" si="461"/>
      </c>
      <c r="BB66" s="17">
        <f t="shared" si="461"/>
      </c>
      <c r="BC66" s="17">
        <f t="shared" si="461"/>
      </c>
      <c r="BD66" s="17">
        <f t="shared" si="461"/>
      </c>
      <c r="BE66" s="1647">
        <f t="shared" si="461"/>
      </c>
      <c r="BF66" s="17">
        <f t="shared" si="461"/>
      </c>
      <c r="BG66" s="17">
        <f t="shared" si="461"/>
      </c>
      <c r="BH66" s="17">
        <f t="shared" si="461"/>
      </c>
      <c r="BI66" s="1647">
        <f t="shared" si="461"/>
      </c>
      <c r="BJ66" s="17">
        <f t="shared" si="461"/>
      </c>
      <c r="BK66" s="17">
        <f t="shared" si="461"/>
      </c>
      <c r="BL66" s="141">
        <f t="shared" si="461"/>
      </c>
      <c r="BM66" s="1126">
        <f t="shared" si="461"/>
      </c>
      <c r="BN66" s="141">
        <f t="shared" si="461"/>
      </c>
      <c r="BO66" s="141">
        <f t="shared" si="461"/>
      </c>
      <c r="BP66" s="141">
        <f t="shared" si="461"/>
      </c>
      <c r="BQ66" s="1126">
        <f t="shared" si="461"/>
      </c>
      <c r="BR66" s="141">
        <f t="shared" si="461"/>
      </c>
      <c r="BS66" s="141">
        <f t="shared" si="461"/>
      </c>
      <c r="BT66" s="141">
        <f t="shared" si="461"/>
      </c>
      <c r="BU66" s="1126">
        <f t="shared" si="461"/>
      </c>
      <c r="BV66" s="141">
        <f t="shared" si="461"/>
      </c>
      <c r="BW66" s="141">
        <f t="shared" si="461"/>
      </c>
      <c r="BX66" s="141">
        <f t="shared" si="461"/>
      </c>
      <c r="BY66" s="1126">
        <f t="shared" si="461"/>
      </c>
      <c r="BZ66" s="141">
        <f t="shared" si="461"/>
      </c>
      <c r="CA66" s="141">
        <f t="shared" si="461"/>
      </c>
      <c r="CB66" s="141">
        <f t="shared" si="461"/>
      </c>
      <c r="CC66" s="1126">
        <f t="shared" si="461"/>
      </c>
      <c r="CD66" s="141">
        <f t="shared" si="461"/>
      </c>
      <c r="CE66" s="141">
        <f t="shared" si="461"/>
      </c>
      <c r="CF66" s="141">
        <f t="shared" si="461"/>
      </c>
      <c r="CG66" s="1126">
        <f t="shared" si="461"/>
      </c>
      <c r="CH66" s="141">
        <f t="shared" si="461"/>
      </c>
      <c r="CI66" s="141">
        <f t="shared" si="461"/>
      </c>
      <c r="CJ66" s="141">
        <f t="shared" si="461"/>
      </c>
      <c r="CK66" s="1126">
        <f t="shared" si="461"/>
      </c>
      <c r="CL66" s="141">
        <f t="shared" si="421"/>
      </c>
      <c r="CM66" s="141">
        <f t="shared" si="422"/>
      </c>
      <c r="CN66" s="141">
        <f t="shared" si="423"/>
      </c>
      <c r="CO66" s="1647">
        <f t="shared" si="424"/>
      </c>
      <c r="CP66" s="141">
        <f t="shared" si="425"/>
      </c>
      <c r="CQ66" s="141">
        <f t="shared" si="426"/>
      </c>
      <c r="CR66" s="141">
        <f t="shared" si="427"/>
      </c>
      <c r="CS66" s="1647">
        <f t="shared" si="428"/>
      </c>
      <c r="CT66" s="141">
        <f t="shared" si="429"/>
      </c>
      <c r="CU66" s="141">
        <f t="shared" si="430"/>
      </c>
      <c r="CV66" s="141">
        <f t="shared" si="431"/>
      </c>
      <c r="CW66" s="1647">
        <f t="shared" si="432"/>
      </c>
      <c r="CX66" s="141">
        <f t="shared" si="433"/>
      </c>
      <c r="CY66" s="141">
        <f t="shared" si="434"/>
      </c>
      <c r="CZ66" s="141">
        <f t="shared" si="435"/>
      </c>
      <c r="DA66" s="1647">
        <f t="shared" si="436"/>
      </c>
      <c r="DB66" s="141">
        <f t="shared" si="437"/>
      </c>
      <c r="DC66" s="141">
        <f t="shared" si="438"/>
      </c>
      <c r="DD66" s="141">
        <f t="shared" si="439"/>
      </c>
      <c r="DE66" s="1647">
        <f t="shared" si="440"/>
      </c>
      <c r="DF66" s="141">
        <f t="shared" si="441"/>
      </c>
      <c r="DG66" s="141">
        <f t="shared" si="442"/>
      </c>
      <c r="DH66" s="141">
        <f t="shared" si="443"/>
      </c>
      <c r="DI66" s="1647">
        <f t="shared" si="444"/>
      </c>
      <c r="DJ66" s="141">
        <f t="shared" si="445"/>
      </c>
      <c r="DK66" s="141">
        <f t="shared" si="446"/>
      </c>
      <c r="DL66" s="141">
        <f t="shared" si="447"/>
      </c>
      <c r="DM66" s="1647">
        <f t="shared" si="448"/>
      </c>
      <c r="DN66" s="141">
        <f t="shared" si="449"/>
      </c>
      <c r="DO66" s="141">
        <f t="shared" si="450"/>
      </c>
      <c r="DP66" s="141">
        <f t="shared" si="451"/>
      </c>
      <c r="DQ66" s="1647">
        <f t="shared" si="452"/>
      </c>
    </row>
    <row r="67" spans="1:166" s="50" customFormat="1" ht="12" customHeight="1">
      <c r="A67" s="1682" t="s">
        <v>170</v>
      </c>
      <c r="B67" s="1650"/>
      <c r="C67" s="1650">
        <f t="shared" ref="C67:AH67" si="462">+C16/B16-1</f>
      </c>
      <c r="D67" s="1650">
        <f t="shared" si="462"/>
      </c>
      <c r="E67" s="1650">
        <f t="shared" si="462"/>
      </c>
      <c r="F67" s="1651">
        <f t="shared" si="462"/>
      </c>
      <c r="G67" s="1650">
        <f t="shared" si="462"/>
      </c>
      <c r="H67" s="1650">
        <f t="shared" si="462"/>
      </c>
      <c r="I67" s="1652">
        <f t="shared" si="462"/>
      </c>
      <c r="J67" s="1650">
        <f t="shared" si="462"/>
      </c>
      <c r="K67" s="1650">
        <f t="shared" si="462"/>
      </c>
      <c r="L67" s="1650">
        <f t="shared" si="462"/>
      </c>
      <c r="M67" s="1650">
        <f t="shared" si="462"/>
      </c>
      <c r="N67" s="1651">
        <f t="shared" si="462"/>
      </c>
      <c r="O67" s="1650">
        <f t="shared" si="462"/>
      </c>
      <c r="P67" s="1650">
        <f t="shared" si="462"/>
      </c>
      <c r="Q67" s="1652">
        <f t="shared" si="462"/>
      </c>
      <c r="R67" s="1650">
        <f t="shared" si="462"/>
      </c>
      <c r="S67" s="1650">
        <f t="shared" si="462"/>
      </c>
      <c r="T67" s="1650">
        <f t="shared" si="462"/>
      </c>
      <c r="U67" s="1650">
        <f t="shared" si="462"/>
      </c>
      <c r="V67" s="1651">
        <f t="shared" si="462"/>
      </c>
      <c r="W67" s="1650">
        <f t="shared" si="462"/>
      </c>
      <c r="X67" s="1650">
        <f t="shared" si="462"/>
      </c>
      <c r="Y67" s="1652">
        <f t="shared" si="462"/>
      </c>
      <c r="Z67" s="1650">
        <f t="shared" si="462"/>
      </c>
      <c r="AA67" s="1650">
        <f t="shared" si="462"/>
      </c>
      <c r="AB67" s="1650">
        <f t="shared" si="462"/>
      </c>
      <c r="AC67" s="1650">
        <f t="shared" si="462"/>
      </c>
      <c r="AD67" s="1651">
        <f t="shared" si="462"/>
      </c>
      <c r="AE67" s="1650">
        <f t="shared" si="462"/>
      </c>
      <c r="AF67" s="1650">
        <f t="shared" si="462"/>
      </c>
      <c r="AG67" s="1652">
        <f t="shared" si="462"/>
      </c>
      <c r="AH67" s="1650">
        <f t="shared" si="462"/>
      </c>
      <c r="AI67" s="1650">
        <f t="shared" ref="AI67:BN67" si="463">+AI16/AH16-1</f>
      </c>
      <c r="AJ67" s="1650">
        <f t="shared" si="463"/>
      </c>
      <c r="AK67" s="1652">
        <f t="shared" si="463"/>
      </c>
      <c r="AL67" s="1650">
        <f t="shared" si="463"/>
      </c>
      <c r="AM67" s="1650">
        <f t="shared" si="463"/>
      </c>
      <c r="AN67" s="1650">
        <f t="shared" si="463"/>
      </c>
      <c r="AO67" s="1652">
        <f t="shared" si="463"/>
      </c>
      <c r="AP67" s="1650">
        <f t="shared" si="463"/>
      </c>
      <c r="AQ67" s="1650">
        <f t="shared" si="463"/>
      </c>
      <c r="AR67" s="1650">
        <f t="shared" si="463"/>
      </c>
      <c r="AS67" s="1652">
        <f t="shared" si="463"/>
      </c>
      <c r="AT67" s="1650">
        <f t="shared" si="463"/>
      </c>
      <c r="AU67" s="1650">
        <f t="shared" si="463"/>
      </c>
      <c r="AV67" s="1650">
        <f t="shared" si="463"/>
      </c>
      <c r="AW67" s="1652">
        <f t="shared" si="463"/>
      </c>
      <c r="AX67" s="1650">
        <f t="shared" si="463"/>
      </c>
      <c r="AY67" s="1650">
        <f t="shared" si="463"/>
      </c>
      <c r="AZ67" s="1650">
        <f t="shared" si="463"/>
      </c>
      <c r="BA67" s="1652">
        <f t="shared" si="463"/>
      </c>
      <c r="BB67" s="1650">
        <f t="shared" si="463"/>
      </c>
      <c r="BC67" s="1650">
        <f t="shared" si="463"/>
      </c>
      <c r="BD67" s="1650">
        <f t="shared" si="463"/>
      </c>
      <c r="BE67" s="1652">
        <f t="shared" si="463"/>
      </c>
      <c r="BF67" s="1650">
        <f t="shared" si="463"/>
      </c>
      <c r="BG67" s="1650">
        <f t="shared" si="463"/>
      </c>
      <c r="BH67" s="1650">
        <f t="shared" si="463"/>
      </c>
      <c r="BI67" s="1652">
        <f t="shared" si="463"/>
      </c>
      <c r="BJ67" s="1650">
        <f t="shared" si="463"/>
      </c>
      <c r="BK67" s="1650">
        <f t="shared" si="463"/>
      </c>
      <c r="BL67" s="1653">
        <f t="shared" si="463"/>
      </c>
      <c r="BM67" s="1654">
        <f t="shared" si="463"/>
      </c>
      <c r="BN67" s="1653">
        <f t="shared" si="463"/>
      </c>
      <c r="BO67" s="1653">
        <f t="shared" ref="BO67:CK67" si="464">+BO16/BN16-1</f>
      </c>
      <c r="BP67" s="1653">
        <f t="shared" si="464"/>
      </c>
      <c r="BQ67" s="1654">
        <f t="shared" si="464"/>
      </c>
      <c r="BR67" s="1653">
        <f t="shared" si="464"/>
      </c>
      <c r="BS67" s="1653">
        <f t="shared" si="464"/>
      </c>
      <c r="BT67" s="1653">
        <f t="shared" si="464"/>
      </c>
      <c r="BU67" s="1654">
        <f t="shared" si="464"/>
      </c>
      <c r="BV67" s="1653">
        <f t="shared" si="464"/>
      </c>
      <c r="BW67" s="1653">
        <f t="shared" si="464"/>
      </c>
      <c r="BX67" s="1653">
        <f t="shared" si="464"/>
      </c>
      <c r="BY67" s="1654">
        <f t="shared" si="464"/>
      </c>
      <c r="BZ67" s="1653">
        <f t="shared" si="464"/>
      </c>
      <c r="CA67" s="1653">
        <f t="shared" si="464"/>
      </c>
      <c r="CB67" s="1653">
        <f t="shared" si="464"/>
      </c>
      <c r="CC67" s="1654">
        <f t="shared" si="464"/>
      </c>
      <c r="CD67" s="1653">
        <f t="shared" si="464"/>
      </c>
      <c r="CE67" s="1653">
        <f t="shared" si="464"/>
      </c>
      <c r="CF67" s="1653">
        <f t="shared" si="464"/>
      </c>
      <c r="CG67" s="1654">
        <f t="shared" si="464"/>
      </c>
      <c r="CH67" s="1653">
        <f t="shared" si="464"/>
      </c>
      <c r="CI67" s="1653">
        <f t="shared" si="464"/>
      </c>
      <c r="CJ67" s="1653">
        <f t="shared" si="464"/>
      </c>
      <c r="CK67" s="1654">
        <f t="shared" si="464"/>
      </c>
      <c r="CL67" s="1653">
        <f t="shared" ref="CL67" si="465">+CL16/CK16-1</f>
      </c>
      <c r="CM67" s="1653">
        <f t="shared" ref="CM67" si="466">+CM16/CL16-1</f>
      </c>
      <c r="CN67" s="1653">
        <f t="shared" ref="CN67" si="467">+CN16/CM16-1</f>
      </c>
      <c r="CO67" s="1652">
        <f t="shared" ref="CO67" si="468">+CO16/CN16-1</f>
      </c>
      <c r="CP67" s="1653">
        <f t="shared" ref="CP67" si="469">+CP16/CO16-1</f>
      </c>
      <c r="CQ67" s="1653">
        <f t="shared" ref="CQ67" si="470">+CQ16/CP16-1</f>
      </c>
      <c r="CR67" s="1653">
        <f t="shared" ref="CR67" si="471">+CR16/CQ16-1</f>
      </c>
      <c r="CS67" s="1652">
        <f t="shared" ref="CS67" si="472">+CS16/CR16-1</f>
      </c>
      <c r="CT67" s="1653">
        <f t="shared" ref="CT67" si="473">+CT16/CS16-1</f>
      </c>
      <c r="CU67" s="1653">
        <f t="shared" ref="CU67" si="474">+CU16/CT16-1</f>
      </c>
      <c r="CV67" s="1653">
        <f t="shared" ref="CV67" si="475">+CV16/CU16-1</f>
      </c>
      <c r="CW67" s="1652">
        <f t="shared" ref="CW67" si="476">+CW16/CV16-1</f>
      </c>
      <c r="CX67" s="1653">
        <f t="shared" ref="CX67" si="477">+CX16/CW16-1</f>
      </c>
      <c r="CY67" s="1653">
        <f t="shared" ref="CY67" si="478">+CY16/CX16-1</f>
      </c>
      <c r="CZ67" s="1653">
        <f t="shared" ref="CZ67" si="479">+CZ16/CY16-1</f>
      </c>
      <c r="DA67" s="1652">
        <f t="shared" ref="DA67" si="480">+DA16/CZ16-1</f>
      </c>
      <c r="DB67" s="1653">
        <f t="shared" ref="DB67" si="481">+DB16/DA16-1</f>
      </c>
      <c r="DC67" s="1653">
        <f t="shared" ref="DC67" si="482">+DC16/DB16-1</f>
      </c>
      <c r="DD67" s="1653">
        <f t="shared" ref="DD67" si="483">+DD16/DC16-1</f>
      </c>
      <c r="DE67" s="1652">
        <f t="shared" ref="DE67" si="484">+DE16/DD16-1</f>
      </c>
      <c r="DF67" s="1653">
        <f t="shared" ref="DF67" si="485">+DF16/DE16-1</f>
      </c>
      <c r="DG67" s="1653">
        <f t="shared" ref="DG67" si="486">+DG16/DF16-1</f>
      </c>
      <c r="DH67" s="1653">
        <f t="shared" ref="DH67" si="487">+DH16/DG16-1</f>
      </c>
      <c r="DI67" s="1652">
        <f t="shared" ref="DI67" si="488">+DI16/DH16-1</f>
      </c>
      <c r="DJ67" s="1653">
        <f t="shared" ref="DJ67" si="489">+DJ16/DI16-1</f>
      </c>
      <c r="DK67" s="1653">
        <f t="shared" ref="DK67" si="490">+DK16/DJ16-1</f>
      </c>
      <c r="DL67" s="1653">
        <f t="shared" ref="DL67" si="491">+DL16/DK16-1</f>
      </c>
      <c r="DM67" s="1652">
        <f t="shared" ref="DM67" si="492">+DM16/DL16-1</f>
      </c>
      <c r="DN67" s="1653">
        <f t="shared" ref="DN67" si="493">+DN16/DM16-1</f>
      </c>
      <c r="DO67" s="1653">
        <f t="shared" ref="DO67" si="494">+DO16/DN16-1</f>
      </c>
      <c r="DP67" s="1653">
        <f t="shared" ref="DP67" si="495">+DP16/DO16-1</f>
      </c>
      <c r="DQ67" s="1652">
        <f t="shared" ref="DQ67" si="496">+DQ16/DP16-1</f>
      </c>
      <c r="DR67" s="1650"/>
      <c r="DS67" s="1650"/>
      <c r="DT67" s="1650"/>
      <c r="DU67" s="1650"/>
      <c r="DV67" s="1650"/>
      <c r="DW67" s="1650"/>
      <c r="DX67" s="1650"/>
      <c r="DY67" s="1650"/>
      <c r="DZ67" s="1650"/>
      <c r="EA67" s="1650"/>
      <c r="EB67" s="1650"/>
      <c r="EC67" s="1650"/>
      <c r="ED67" s="1650"/>
      <c r="EE67" s="1650"/>
      <c r="EF67" s="1650"/>
      <c r="EG67" s="1650"/>
      <c r="EH67" s="1650"/>
      <c r="EI67" s="1650"/>
      <c r="EJ67" s="1650"/>
      <c r="EK67" s="1650"/>
      <c r="EL67" s="1650"/>
      <c r="EM67" s="1650"/>
      <c r="EN67" s="1650"/>
      <c r="EO67" s="1650"/>
      <c r="EP67" s="1650"/>
      <c r="EQ67" s="1650"/>
      <c r="ER67" s="1650"/>
      <c r="ES67" s="1650"/>
      <c r="ET67" s="1650"/>
      <c r="EU67" s="1650"/>
      <c r="EV67" s="1650"/>
      <c r="EW67" s="1650"/>
      <c r="EX67" s="1650"/>
      <c r="EY67" s="1650"/>
      <c r="EZ67" s="1650"/>
      <c r="FA67" s="1650"/>
      <c r="FB67" s="1650"/>
      <c r="FC67" s="1650"/>
      <c r="FD67" s="1650"/>
      <c r="FE67" s="1650"/>
      <c r="FF67" s="1650"/>
      <c r="FG67" s="1650"/>
      <c r="FH67" s="1650"/>
      <c r="FI67" s="1650"/>
      <c r="FJ67" s="1650"/>
    </row>
    <row r="68" spans="1:166" s="17" customFormat="1" ht="12" customHeight="1">
      <c r="A68" s="1646" t="s">
        <v>1410</v>
      </c>
      <c r="C68" s="17">
        <f t="shared" ref="C68:AH68" si="497">+C29/B29-1</f>
      </c>
      <c r="D68" s="17">
        <f t="shared" si="497"/>
      </c>
      <c r="E68" s="17">
        <f t="shared" si="497"/>
      </c>
      <c r="F68" s="505">
        <f t="shared" si="497"/>
      </c>
      <c r="G68" s="17">
        <f t="shared" si="497"/>
      </c>
      <c r="H68" s="17">
        <f t="shared" si="497"/>
      </c>
      <c r="I68" s="1647">
        <f t="shared" si="497"/>
      </c>
      <c r="J68" s="17">
        <f t="shared" si="497"/>
      </c>
      <c r="K68" s="17">
        <f t="shared" si="497"/>
      </c>
      <c r="L68" s="17">
        <f t="shared" si="497"/>
      </c>
      <c r="M68" s="17">
        <f t="shared" si="497"/>
      </c>
      <c r="N68" s="505">
        <f t="shared" si="497"/>
      </c>
      <c r="O68" s="17">
        <f t="shared" si="497"/>
      </c>
      <c r="P68" s="17">
        <f t="shared" si="497"/>
      </c>
      <c r="Q68" s="1647">
        <f t="shared" si="497"/>
      </c>
      <c r="R68" s="17">
        <f t="shared" si="497"/>
      </c>
      <c r="S68" s="17">
        <f t="shared" si="497"/>
      </c>
      <c r="T68" s="17">
        <f t="shared" si="497"/>
      </c>
      <c r="U68" s="17">
        <f t="shared" si="497"/>
      </c>
      <c r="V68" s="505">
        <f t="shared" si="497"/>
      </c>
      <c r="W68" s="17">
        <f t="shared" si="497"/>
      </c>
      <c r="X68" s="17">
        <f t="shared" si="497"/>
      </c>
      <c r="Y68" s="1647">
        <f t="shared" si="497"/>
      </c>
      <c r="Z68" s="17">
        <f t="shared" si="497"/>
      </c>
      <c r="AA68" s="17">
        <f t="shared" si="497"/>
      </c>
      <c r="AB68" s="17">
        <f t="shared" si="497"/>
      </c>
      <c r="AC68" s="17">
        <f t="shared" si="497"/>
      </c>
      <c r="AD68" s="505">
        <f t="shared" si="497"/>
      </c>
      <c r="AE68" s="17">
        <f t="shared" si="497"/>
      </c>
      <c r="AF68" s="17">
        <f t="shared" si="497"/>
      </c>
      <c r="AG68" s="1647">
        <f t="shared" si="497"/>
      </c>
      <c r="AH68" s="17">
        <f t="shared" si="497"/>
      </c>
      <c r="AI68" s="17">
        <f t="shared" ref="AI68:BN68" si="498">+AI29/AH29-1</f>
      </c>
      <c r="AJ68" s="17">
        <f t="shared" si="498"/>
      </c>
      <c r="AK68" s="1647">
        <f t="shared" si="498"/>
      </c>
      <c r="AL68" s="17">
        <f t="shared" si="498"/>
      </c>
      <c r="AM68" s="17">
        <f t="shared" si="498"/>
      </c>
      <c r="AN68" s="17">
        <f t="shared" si="498"/>
      </c>
      <c r="AO68" s="1647">
        <f t="shared" si="498"/>
      </c>
      <c r="AP68" s="17">
        <f t="shared" si="498"/>
      </c>
      <c r="AQ68" s="17">
        <f t="shared" si="498"/>
      </c>
      <c r="AR68" s="17">
        <f t="shared" si="498"/>
      </c>
      <c r="AS68" s="1647">
        <f t="shared" si="498"/>
      </c>
      <c r="AT68" s="17">
        <f t="shared" si="498"/>
      </c>
      <c r="AU68" s="17">
        <f t="shared" si="498"/>
      </c>
      <c r="AV68" s="17">
        <f t="shared" si="498"/>
      </c>
      <c r="AW68" s="1647">
        <f t="shared" si="498"/>
      </c>
      <c r="AX68" s="17">
        <f t="shared" si="498"/>
      </c>
      <c r="AY68" s="17">
        <f t="shared" si="498"/>
      </c>
      <c r="AZ68" s="17">
        <f t="shared" si="498"/>
      </c>
      <c r="BA68" s="1647">
        <f t="shared" si="498"/>
      </c>
      <c r="BB68" s="17">
        <f t="shared" si="498"/>
      </c>
      <c r="BC68" s="17">
        <f t="shared" si="498"/>
      </c>
      <c r="BD68" s="17">
        <f t="shared" si="498"/>
      </c>
      <c r="BE68" s="1647">
        <f t="shared" si="498"/>
      </c>
      <c r="BF68" s="17">
        <f t="shared" si="498"/>
      </c>
      <c r="BG68" s="17">
        <f t="shared" si="498"/>
      </c>
      <c r="BH68" s="17">
        <f t="shared" si="498"/>
      </c>
      <c r="BI68" s="1647">
        <f t="shared" si="498"/>
      </c>
      <c r="BJ68" s="17">
        <f t="shared" si="498"/>
      </c>
      <c r="BK68" s="17">
        <f t="shared" si="498"/>
      </c>
      <c r="BL68" s="17">
        <f t="shared" si="498"/>
      </c>
      <c r="BM68" s="1647">
        <f t="shared" si="498"/>
      </c>
      <c r="BN68" s="17">
        <f t="shared" si="498"/>
      </c>
      <c r="BO68" s="17">
        <f t="shared" ref="BO68:CH68" si="499">+BO29/BN29-1</f>
      </c>
      <c r="BP68" s="17">
        <f t="shared" si="499"/>
      </c>
      <c r="BQ68" s="1647">
        <f t="shared" si="499"/>
      </c>
      <c r="BR68" s="17">
        <f t="shared" si="499"/>
      </c>
      <c r="BS68" s="17">
        <f t="shared" si="499"/>
      </c>
      <c r="BT68" s="17">
        <f t="shared" si="499"/>
      </c>
      <c r="BU68" s="1647">
        <f t="shared" si="499"/>
      </c>
      <c r="BV68" s="17">
        <f t="shared" si="499"/>
      </c>
      <c r="BW68" s="17">
        <f t="shared" si="499"/>
      </c>
      <c r="BX68" s="17">
        <f t="shared" si="499"/>
      </c>
      <c r="BY68" s="1647">
        <f t="shared" si="499"/>
      </c>
      <c r="BZ68" s="17">
        <f t="shared" si="499"/>
      </c>
      <c r="CA68" s="17">
        <f t="shared" si="499"/>
      </c>
      <c r="CB68" s="17">
        <f t="shared" si="499"/>
      </c>
      <c r="CC68" s="1647">
        <f t="shared" si="499"/>
      </c>
      <c r="CD68" s="17">
        <f t="shared" si="499"/>
      </c>
      <c r="CE68" s="17">
        <f t="shared" si="499"/>
      </c>
      <c r="CF68" s="17">
        <f t="shared" si="499"/>
      </c>
      <c r="CG68" s="1647">
        <f t="shared" si="499"/>
      </c>
      <c r="CH68" s="17">
        <f t="shared" si="499"/>
      </c>
      <c r="CI68" s="17">
        <f t="shared" ref="CI68:CI72" si="500">+CI29/CH29-1</f>
      </c>
      <c r="CJ68" s="17">
        <f t="shared" ref="CJ68:CK72" si="501">+CJ29/CI29-1</f>
      </c>
      <c r="CK68" s="1647">
        <f t="shared" si="501"/>
      </c>
      <c r="CL68" s="17">
        <f t="shared" ref="CL68:CL72" si="502">+CL29/CK29-1</f>
      </c>
      <c r="CM68" s="17">
        <f t="shared" ref="CM68:CM72" si="503">+CM29/CL29-1</f>
      </c>
      <c r="CN68" s="17">
        <f t="shared" ref="CN68:CN72" si="504">+CN29/CM29-1</f>
      </c>
      <c r="CO68" s="1647">
        <f t="shared" ref="CO68:CO72" si="505">+CO29/CN29-1</f>
      </c>
      <c r="CP68" s="17">
        <f t="shared" ref="CP68:CP72" si="506">+CP29/CO29-1</f>
      </c>
      <c r="CQ68" s="17">
        <f t="shared" ref="CQ68:CQ72" si="507">+CQ29/CP29-1</f>
      </c>
      <c r="CR68" s="17">
        <f t="shared" ref="CR68:CR72" si="508">+CR29/CQ29-1</f>
      </c>
      <c r="CS68" s="1647">
        <f t="shared" ref="CS68:CS72" si="509">+CS29/CR29-1</f>
      </c>
      <c r="CT68" s="17">
        <f t="shared" ref="CT68:CT72" si="510">+CT29/CS29-1</f>
      </c>
      <c r="CU68" s="17">
        <f t="shared" ref="CU68:CU72" si="511">+CU29/CT29-1</f>
      </c>
      <c r="CV68" s="17">
        <f t="shared" ref="CV68:CV72" si="512">+CV29/CU29-1</f>
      </c>
      <c r="CW68" s="1647">
        <f t="shared" ref="CW68:CW72" si="513">+CW29/CV29-1</f>
      </c>
      <c r="CX68" s="17">
        <f t="shared" ref="CX68:CX72" si="514">+CX29/CW29-1</f>
      </c>
      <c r="CY68" s="17">
        <f t="shared" ref="CY68:CY72" si="515">+CY29/CX29-1</f>
      </c>
      <c r="CZ68" s="17">
        <f t="shared" ref="CZ68:CZ72" si="516">+CZ29/CY29-1</f>
      </c>
      <c r="DA68" s="1647">
        <f t="shared" ref="DA68:DA72" si="517">+DA29/CZ29-1</f>
      </c>
      <c r="DB68" s="17">
        <f t="shared" ref="DB68:DB72" si="518">+DB29/DA29-1</f>
      </c>
      <c r="DC68" s="17">
        <f t="shared" ref="DC68:DC72" si="519">+DC29/DB29-1</f>
      </c>
      <c r="DD68" s="17">
        <f t="shared" ref="DD68:DD72" si="520">+DD29/DC29-1</f>
      </c>
      <c r="DE68" s="1647">
        <f t="shared" ref="DE68:DE72" si="521">+DE29/DD29-1</f>
      </c>
      <c r="DF68" s="17">
        <f t="shared" ref="DF68:DF72" si="522">+DF29/DE29-1</f>
      </c>
      <c r="DG68" s="17">
        <f t="shared" ref="DG68:DG72" si="523">+DG29/DF29-1</f>
      </c>
      <c r="DH68" s="17">
        <f t="shared" ref="DH68:DH72" si="524">+DH29/DG29-1</f>
      </c>
      <c r="DI68" s="1647">
        <f t="shared" ref="DI68:DI72" si="525">+DI29/DH29-1</f>
      </c>
      <c r="DJ68" s="17">
        <f t="shared" ref="DJ68:DJ72" si="526">+DJ29/DI29-1</f>
      </c>
      <c r="DK68" s="17">
        <f t="shared" ref="DK68:DK72" si="527">+DK29/DJ29-1</f>
      </c>
      <c r="DL68" s="17">
        <f t="shared" ref="DL68:DL72" si="528">+DL29/DK29-1</f>
      </c>
      <c r="DM68" s="1647">
        <f t="shared" ref="DM68:DM72" si="529">+DM29/DL29-1</f>
      </c>
      <c r="DN68" s="17">
        <f t="shared" ref="DN68:DN72" si="530">+DN29/DM29-1</f>
      </c>
      <c r="DO68" s="17">
        <f t="shared" ref="DO68:DO72" si="531">+DO29/DN29-1</f>
      </c>
      <c r="DP68" s="17">
        <f t="shared" ref="DP68:DP72" si="532">+DP29/DO29-1</f>
      </c>
      <c r="DQ68" s="1647">
        <f t="shared" ref="DQ68:DQ72" si="533">+DQ29/DP29-1</f>
      </c>
    </row>
    <row r="69" spans="1:166" s="17" customFormat="1" ht="12" customHeight="1">
      <c r="A69" s="1646" t="s">
        <v>1411</v>
      </c>
      <c r="C69" s="17">
        <f t="shared" ref="C69:AH69" si="534">+C30/B30-1</f>
      </c>
      <c r="D69" s="17">
        <f t="shared" si="534"/>
      </c>
      <c r="E69" s="17">
        <f t="shared" si="534"/>
      </c>
      <c r="F69" s="505">
        <f t="shared" si="534"/>
      </c>
      <c r="G69" s="17">
        <f t="shared" si="534"/>
      </c>
      <c r="H69" s="17">
        <f t="shared" si="534"/>
      </c>
      <c r="I69" s="1647">
        <f t="shared" si="534"/>
      </c>
      <c r="J69" s="17">
        <f t="shared" si="534"/>
      </c>
      <c r="K69" s="17">
        <f t="shared" si="534"/>
      </c>
      <c r="L69" s="17">
        <f t="shared" si="534"/>
      </c>
      <c r="M69" s="17">
        <f t="shared" si="534"/>
      </c>
      <c r="N69" s="505">
        <f t="shared" si="534"/>
      </c>
      <c r="O69" s="17">
        <f t="shared" si="534"/>
      </c>
      <c r="P69" s="17">
        <f t="shared" si="534"/>
      </c>
      <c r="Q69" s="1647">
        <f t="shared" si="534"/>
      </c>
      <c r="R69" s="17">
        <f t="shared" si="534"/>
      </c>
      <c r="S69" s="17">
        <f t="shared" si="534"/>
      </c>
      <c r="T69" s="17">
        <f t="shared" si="534"/>
      </c>
      <c r="U69" s="17">
        <f t="shared" si="534"/>
      </c>
      <c r="V69" s="505">
        <f t="shared" si="534"/>
      </c>
      <c r="W69" s="17">
        <f t="shared" si="534"/>
      </c>
      <c r="X69" s="17">
        <f t="shared" si="534"/>
      </c>
      <c r="Y69" s="1647">
        <f t="shared" si="534"/>
      </c>
      <c r="Z69" s="17">
        <f t="shared" si="534"/>
      </c>
      <c r="AA69" s="17">
        <f t="shared" si="534"/>
      </c>
      <c r="AB69" s="17">
        <f t="shared" si="534"/>
      </c>
      <c r="AC69" s="17">
        <f t="shared" si="534"/>
      </c>
      <c r="AD69" s="505">
        <f t="shared" si="534"/>
      </c>
      <c r="AE69" s="17">
        <f t="shared" si="534"/>
      </c>
      <c r="AF69" s="17">
        <f t="shared" si="534"/>
      </c>
      <c r="AG69" s="1647">
        <f t="shared" si="534"/>
      </c>
      <c r="AH69" s="17">
        <f t="shared" si="534"/>
      </c>
      <c r="AI69" s="17">
        <f t="shared" ref="AI69:BN69" si="535">+AI30/AH30-1</f>
      </c>
      <c r="AJ69" s="17">
        <f t="shared" si="535"/>
      </c>
      <c r="AK69" s="1647">
        <f t="shared" si="535"/>
      </c>
      <c r="AL69" s="17">
        <f t="shared" si="535"/>
      </c>
      <c r="AM69" s="17">
        <f t="shared" si="535"/>
      </c>
      <c r="AN69" s="17">
        <f t="shared" si="535"/>
      </c>
      <c r="AO69" s="1647">
        <f t="shared" si="535"/>
      </c>
      <c r="AP69" s="17">
        <f t="shared" si="535"/>
      </c>
      <c r="AQ69" s="17">
        <f t="shared" si="535"/>
      </c>
      <c r="AR69" s="17">
        <f t="shared" si="535"/>
      </c>
      <c r="AS69" s="1647">
        <f t="shared" si="535"/>
      </c>
      <c r="AT69" s="17">
        <f t="shared" si="535"/>
      </c>
      <c r="AU69" s="17">
        <f t="shared" si="535"/>
      </c>
      <c r="AV69" s="17">
        <f t="shared" si="535"/>
      </c>
      <c r="AW69" s="1647">
        <f t="shared" si="535"/>
      </c>
      <c r="AX69" s="17">
        <f t="shared" si="535"/>
      </c>
      <c r="AY69" s="17">
        <f t="shared" si="535"/>
      </c>
      <c r="AZ69" s="17">
        <f t="shared" si="535"/>
      </c>
      <c r="BA69" s="1647">
        <f t="shared" si="535"/>
      </c>
      <c r="BB69" s="17">
        <f t="shared" si="535"/>
      </c>
      <c r="BC69" s="17">
        <f t="shared" si="535"/>
      </c>
      <c r="BD69" s="17">
        <f t="shared" si="535"/>
      </c>
      <c r="BE69" s="1647">
        <f t="shared" si="535"/>
      </c>
      <c r="BF69" s="17">
        <f t="shared" si="535"/>
      </c>
      <c r="BG69" s="17">
        <f t="shared" si="535"/>
      </c>
      <c r="BH69" s="17">
        <f t="shared" si="535"/>
      </c>
      <c r="BI69" s="1647">
        <f t="shared" si="535"/>
      </c>
      <c r="BJ69" s="17">
        <f t="shared" si="535"/>
      </c>
      <c r="BK69" s="17">
        <f t="shared" si="535"/>
      </c>
      <c r="BL69" s="17">
        <f t="shared" si="535"/>
      </c>
      <c r="BM69" s="1647">
        <f t="shared" si="535"/>
      </c>
      <c r="BN69" s="17">
        <f t="shared" si="535"/>
      </c>
      <c r="BO69" s="17">
        <f t="shared" ref="BO69:CG69" si="536">+BO30/BN30-1</f>
      </c>
      <c r="BP69" s="17">
        <f t="shared" si="536"/>
      </c>
      <c r="BQ69" s="1647">
        <f t="shared" si="536"/>
      </c>
      <c r="BR69" s="17">
        <f t="shared" si="536"/>
      </c>
      <c r="BS69" s="17">
        <f t="shared" si="536"/>
      </c>
      <c r="BT69" s="17">
        <f t="shared" si="536"/>
      </c>
      <c r="BU69" s="1647">
        <f t="shared" si="536"/>
      </c>
      <c r="BV69" s="17">
        <f t="shared" si="536"/>
      </c>
      <c r="BW69" s="17">
        <f t="shared" si="536"/>
      </c>
      <c r="BX69" s="17">
        <f t="shared" si="536"/>
      </c>
      <c r="BY69" s="1647">
        <f t="shared" si="536"/>
      </c>
      <c r="BZ69" s="17">
        <f t="shared" si="536"/>
      </c>
      <c r="CA69" s="17">
        <f t="shared" si="536"/>
      </c>
      <c r="CB69" s="17">
        <f t="shared" si="536"/>
      </c>
      <c r="CC69" s="1647">
        <f t="shared" si="536"/>
      </c>
      <c r="CD69" s="17">
        <f t="shared" si="536"/>
      </c>
      <c r="CE69" s="17">
        <f t="shared" si="536"/>
      </c>
      <c r="CF69" s="17">
        <f t="shared" si="536"/>
      </c>
      <c r="CG69" s="1647">
        <f t="shared" si="536"/>
      </c>
      <c r="CH69" s="17">
        <f t="shared" ref="CH69:CH72" si="537">+CH30/CG30-1</f>
      </c>
      <c r="CI69" s="17">
        <f t="shared" si="500"/>
      </c>
      <c r="CJ69" s="17">
        <f t="shared" si="501"/>
      </c>
      <c r="CK69" s="1647">
        <f t="shared" si="501"/>
      </c>
      <c r="CL69" s="17">
        <f t="shared" si="502"/>
      </c>
      <c r="CM69" s="17">
        <f t="shared" si="503"/>
      </c>
      <c r="CN69" s="17">
        <f t="shared" si="504"/>
      </c>
      <c r="CO69" s="1647">
        <f t="shared" si="505"/>
      </c>
      <c r="CP69" s="17">
        <f t="shared" si="506"/>
      </c>
      <c r="CQ69" s="17">
        <f t="shared" si="507"/>
      </c>
      <c r="CR69" s="17">
        <f t="shared" si="508"/>
      </c>
      <c r="CS69" s="1647">
        <f t="shared" si="509"/>
      </c>
      <c r="CT69" s="17">
        <f t="shared" si="510"/>
      </c>
      <c r="CU69" s="17">
        <f t="shared" si="511"/>
      </c>
      <c r="CV69" s="17">
        <f t="shared" si="512"/>
      </c>
      <c r="CW69" s="1647">
        <f t="shared" si="513"/>
      </c>
      <c r="CX69" s="17">
        <f t="shared" si="514"/>
      </c>
      <c r="CY69" s="17">
        <f t="shared" si="515"/>
      </c>
      <c r="CZ69" s="17">
        <f t="shared" si="516"/>
      </c>
      <c r="DA69" s="1647">
        <f t="shared" si="517"/>
      </c>
      <c r="DB69" s="17">
        <f t="shared" si="518"/>
      </c>
      <c r="DC69" s="17">
        <f t="shared" si="519"/>
      </c>
      <c r="DD69" s="17">
        <f t="shared" si="520"/>
      </c>
      <c r="DE69" s="1647">
        <f t="shared" si="521"/>
      </c>
      <c r="DF69" s="17">
        <f t="shared" si="522"/>
      </c>
      <c r="DG69" s="17">
        <f t="shared" si="523"/>
      </c>
      <c r="DH69" s="17">
        <f t="shared" si="524"/>
      </c>
      <c r="DI69" s="1647">
        <f t="shared" si="525"/>
      </c>
      <c r="DJ69" s="17">
        <f t="shared" si="526"/>
      </c>
      <c r="DK69" s="17">
        <f t="shared" si="527"/>
      </c>
      <c r="DL69" s="17">
        <f t="shared" si="528"/>
      </c>
      <c r="DM69" s="1647">
        <f t="shared" si="529"/>
      </c>
      <c r="DN69" s="17">
        <f t="shared" si="530"/>
      </c>
      <c r="DO69" s="17">
        <f t="shared" si="531"/>
      </c>
      <c r="DP69" s="17">
        <f t="shared" si="532"/>
      </c>
      <c r="DQ69" s="1647">
        <f t="shared" si="533"/>
      </c>
    </row>
    <row r="70" spans="1:166" s="17" customFormat="1" ht="12" customHeight="1">
      <c r="A70" s="1646" t="s">
        <v>1412</v>
      </c>
      <c r="F70" s="505"/>
      <c r="I70" s="1647"/>
      <c r="N70" s="505"/>
      <c r="Q70" s="1647"/>
      <c r="V70" s="505"/>
      <c r="Y70" s="1647"/>
      <c r="AD70" s="505"/>
      <c r="AG70" s="1647"/>
      <c r="AK70" s="1647"/>
      <c r="AO70" s="1647"/>
      <c r="AS70" s="1647"/>
      <c r="AU70" s="17">
        <f t="shared" ref="AU70:CG70" si="538">+AU31/AT31-1</f>
      </c>
      <c r="AV70" s="17">
        <f t="shared" si="538"/>
      </c>
      <c r="AW70" s="1647">
        <f t="shared" si="538"/>
      </c>
      <c r="AX70" s="17">
        <f t="shared" si="538"/>
      </c>
      <c r="AY70" s="17">
        <f t="shared" si="538"/>
      </c>
      <c r="AZ70" s="17">
        <f t="shared" si="538"/>
      </c>
      <c r="BA70" s="1647">
        <f t="shared" si="538"/>
      </c>
      <c r="BB70" s="17">
        <f t="shared" si="538"/>
      </c>
      <c r="BC70" s="17">
        <f t="shared" si="538"/>
      </c>
      <c r="BD70" s="17">
        <f t="shared" si="538"/>
      </c>
      <c r="BE70" s="1647">
        <f t="shared" si="538"/>
      </c>
      <c r="BF70" s="17">
        <f t="shared" si="538"/>
      </c>
      <c r="BG70" s="17">
        <f t="shared" si="538"/>
      </c>
      <c r="BH70" s="17">
        <f t="shared" si="538"/>
      </c>
      <c r="BI70" s="1647">
        <f t="shared" si="538"/>
      </c>
      <c r="BJ70" s="17">
        <f t="shared" si="538"/>
      </c>
      <c r="BK70" s="17">
        <f t="shared" si="538"/>
      </c>
      <c r="BL70" s="17">
        <f t="shared" si="538"/>
      </c>
      <c r="BM70" s="1647">
        <f t="shared" si="538"/>
      </c>
      <c r="BN70" s="17">
        <f t="shared" si="538"/>
      </c>
      <c r="BO70" s="17">
        <f t="shared" si="538"/>
      </c>
      <c r="BP70" s="17">
        <f t="shared" si="538"/>
      </c>
      <c r="BQ70" s="1647">
        <f t="shared" si="538"/>
      </c>
      <c r="BR70" s="17">
        <f t="shared" si="538"/>
      </c>
      <c r="BS70" s="17">
        <f t="shared" si="538"/>
      </c>
      <c r="BT70" s="17">
        <f t="shared" si="538"/>
      </c>
      <c r="BU70" s="1647">
        <f t="shared" si="538"/>
      </c>
      <c r="BV70" s="17">
        <f t="shared" si="538"/>
      </c>
      <c r="BW70" s="17">
        <f t="shared" si="538"/>
      </c>
      <c r="BX70" s="17">
        <f t="shared" si="538"/>
      </c>
      <c r="BY70" s="1647">
        <f t="shared" si="538"/>
      </c>
      <c r="BZ70" s="17">
        <f t="shared" si="538"/>
      </c>
      <c r="CA70" s="17">
        <f t="shared" si="538"/>
      </c>
      <c r="CB70" s="17">
        <f t="shared" si="538"/>
      </c>
      <c r="CC70" s="1647">
        <f t="shared" si="538"/>
      </c>
      <c r="CD70" s="17">
        <f t="shared" si="538"/>
      </c>
      <c r="CE70" s="17">
        <f t="shared" si="538"/>
      </c>
      <c r="CF70" s="17">
        <f t="shared" si="538"/>
      </c>
      <c r="CG70" s="1647">
        <f t="shared" si="538"/>
      </c>
      <c r="CH70" s="17">
        <f t="shared" si="537"/>
      </c>
      <c r="CI70" s="17">
        <f t="shared" si="500"/>
      </c>
      <c r="CJ70" s="17">
        <f t="shared" si="501"/>
      </c>
      <c r="CK70" s="1647">
        <f t="shared" si="501"/>
      </c>
      <c r="CL70" s="17">
        <f t="shared" si="502"/>
      </c>
      <c r="CM70" s="17">
        <f t="shared" si="503"/>
      </c>
      <c r="CN70" s="17">
        <f t="shared" si="504"/>
      </c>
      <c r="CO70" s="1647">
        <f t="shared" si="505"/>
      </c>
      <c r="CP70" s="17">
        <f t="shared" si="506"/>
      </c>
      <c r="CQ70" s="17">
        <f t="shared" si="507"/>
      </c>
      <c r="CR70" s="17">
        <f t="shared" si="508"/>
      </c>
      <c r="CS70" s="1647">
        <f t="shared" si="509"/>
      </c>
      <c r="CT70" s="17">
        <f t="shared" si="510"/>
      </c>
      <c r="CU70" s="17">
        <f t="shared" si="511"/>
      </c>
      <c r="CV70" s="17">
        <f t="shared" si="512"/>
      </c>
      <c r="CW70" s="1647">
        <f t="shared" si="513"/>
      </c>
      <c r="CX70" s="17">
        <f t="shared" si="514"/>
      </c>
      <c r="CY70" s="17">
        <f t="shared" si="515"/>
      </c>
      <c r="CZ70" s="17">
        <f t="shared" si="516"/>
      </c>
      <c r="DA70" s="1647">
        <f t="shared" si="517"/>
      </c>
      <c r="DB70" s="17">
        <f t="shared" si="518"/>
      </c>
      <c r="DC70" s="17">
        <f t="shared" si="519"/>
      </c>
      <c r="DD70" s="17">
        <f t="shared" si="520"/>
      </c>
      <c r="DE70" s="1647">
        <f t="shared" si="521"/>
      </c>
      <c r="DF70" s="17">
        <f t="shared" si="522"/>
      </c>
      <c r="DG70" s="17">
        <f t="shared" si="523"/>
      </c>
      <c r="DH70" s="17">
        <f t="shared" si="524"/>
      </c>
      <c r="DI70" s="1647">
        <f t="shared" si="525"/>
      </c>
      <c r="DJ70" s="17">
        <f t="shared" si="526"/>
      </c>
      <c r="DK70" s="17">
        <f t="shared" si="527"/>
      </c>
      <c r="DL70" s="17">
        <f t="shared" si="528"/>
      </c>
      <c r="DM70" s="1647">
        <f t="shared" si="529"/>
      </c>
      <c r="DN70" s="17">
        <f t="shared" si="530"/>
      </c>
      <c r="DO70" s="17">
        <f t="shared" si="531"/>
      </c>
      <c r="DP70" s="17">
        <f t="shared" si="532"/>
      </c>
      <c r="DQ70" s="1647">
        <f t="shared" si="533"/>
      </c>
    </row>
    <row r="71" spans="1:166" s="17" customFormat="1" ht="12" customHeight="1">
      <c r="A71" s="1646" t="s">
        <v>1413</v>
      </c>
      <c r="C71" s="17">
        <f t="shared" ref="C71:AT71" si="539">+C32/B32-1</f>
      </c>
      <c r="D71" s="17">
        <f t="shared" si="539"/>
      </c>
      <c r="E71" s="17">
        <f t="shared" si="539"/>
      </c>
      <c r="F71" s="505">
        <f t="shared" si="539"/>
      </c>
      <c r="G71" s="17">
        <f t="shared" si="539"/>
      </c>
      <c r="H71" s="17">
        <f t="shared" si="539"/>
      </c>
      <c r="I71" s="1647">
        <f t="shared" si="539"/>
      </c>
      <c r="J71" s="17">
        <f t="shared" si="539"/>
      </c>
      <c r="K71" s="17">
        <f t="shared" si="539"/>
      </c>
      <c r="L71" s="17">
        <f t="shared" si="539"/>
      </c>
      <c r="M71" s="17">
        <f t="shared" si="539"/>
      </c>
      <c r="N71" s="505">
        <f t="shared" si="539"/>
      </c>
      <c r="O71" s="17">
        <f t="shared" si="539"/>
      </c>
      <c r="P71" s="17">
        <f t="shared" si="539"/>
      </c>
      <c r="Q71" s="1647">
        <f t="shared" si="539"/>
      </c>
      <c r="R71" s="17">
        <f t="shared" si="539"/>
      </c>
      <c r="S71" s="17">
        <f t="shared" si="539"/>
      </c>
      <c r="T71" s="17">
        <f t="shared" si="539"/>
      </c>
      <c r="U71" s="17">
        <f t="shared" si="539"/>
      </c>
      <c r="V71" s="505">
        <f t="shared" si="539"/>
      </c>
      <c r="W71" s="17">
        <f t="shared" si="539"/>
      </c>
      <c r="X71" s="17">
        <f t="shared" si="539"/>
      </c>
      <c r="Y71" s="1647">
        <f t="shared" si="539"/>
      </c>
      <c r="Z71" s="17">
        <f t="shared" si="539"/>
      </c>
      <c r="AA71" s="17">
        <f t="shared" si="539"/>
      </c>
      <c r="AB71" s="17">
        <f t="shared" si="539"/>
      </c>
      <c r="AC71" s="17">
        <f t="shared" si="539"/>
      </c>
      <c r="AD71" s="505">
        <f t="shared" si="539"/>
      </c>
      <c r="AE71" s="17">
        <f t="shared" si="539"/>
      </c>
      <c r="AF71" s="17">
        <f t="shared" si="539"/>
      </c>
      <c r="AG71" s="1647">
        <f t="shared" si="539"/>
      </c>
      <c r="AH71" s="17">
        <f t="shared" si="539"/>
      </c>
      <c r="AI71" s="17">
        <f t="shared" si="539"/>
      </c>
      <c r="AJ71" s="17">
        <f t="shared" si="539"/>
      </c>
      <c r="AK71" s="1647">
        <f t="shared" si="539"/>
      </c>
      <c r="AL71" s="17">
        <f t="shared" si="539"/>
      </c>
      <c r="AM71" s="17">
        <f t="shared" si="539"/>
      </c>
      <c r="AN71" s="17">
        <f t="shared" si="539"/>
      </c>
      <c r="AO71" s="1647">
        <f t="shared" si="539"/>
      </c>
      <c r="AP71" s="17">
        <f t="shared" si="539"/>
      </c>
      <c r="AQ71" s="17">
        <f t="shared" si="539"/>
      </c>
      <c r="AR71" s="17">
        <f t="shared" si="539"/>
      </c>
      <c r="AS71" s="1647">
        <f t="shared" si="539"/>
      </c>
      <c r="AT71" s="17">
        <f t="shared" si="539"/>
      </c>
      <c r="AU71" s="17">
        <f t="shared" ref="AU71:CG71" si="540">+AU32/AT32-1</f>
      </c>
      <c r="AV71" s="17">
        <f t="shared" si="540"/>
      </c>
      <c r="AW71" s="1647">
        <f t="shared" si="540"/>
      </c>
      <c r="AX71" s="17">
        <f t="shared" si="540"/>
      </c>
      <c r="AY71" s="17">
        <f t="shared" si="540"/>
      </c>
      <c r="AZ71" s="17">
        <f t="shared" si="540"/>
      </c>
      <c r="BA71" s="1647">
        <f t="shared" si="540"/>
      </c>
      <c r="BB71" s="17">
        <f t="shared" si="540"/>
      </c>
      <c r="BC71" s="17">
        <f t="shared" si="540"/>
      </c>
      <c r="BD71" s="17">
        <f t="shared" si="540"/>
      </c>
      <c r="BE71" s="1647">
        <f t="shared" si="540"/>
      </c>
      <c r="BF71" s="17">
        <f t="shared" si="540"/>
      </c>
      <c r="BG71" s="17">
        <f t="shared" si="540"/>
      </c>
      <c r="BH71" s="17">
        <f t="shared" si="540"/>
      </c>
      <c r="BI71" s="1647">
        <f t="shared" si="540"/>
      </c>
      <c r="BJ71" s="17">
        <f t="shared" si="540"/>
      </c>
      <c r="BK71" s="17">
        <f t="shared" si="540"/>
      </c>
      <c r="BL71" s="17">
        <f t="shared" si="540"/>
      </c>
      <c r="BM71" s="1647">
        <f t="shared" si="540"/>
      </c>
      <c r="BN71" s="17">
        <f t="shared" si="540"/>
      </c>
      <c r="BO71" s="17">
        <f t="shared" si="540"/>
      </c>
      <c r="BP71" s="17">
        <f t="shared" si="540"/>
      </c>
      <c r="BQ71" s="1647">
        <f t="shared" si="540"/>
      </c>
      <c r="BR71" s="17">
        <f t="shared" si="540"/>
      </c>
      <c r="BS71" s="17">
        <f t="shared" si="540"/>
      </c>
      <c r="BT71" s="17">
        <f t="shared" si="540"/>
      </c>
      <c r="BU71" s="1647">
        <f t="shared" si="540"/>
      </c>
      <c r="BV71" s="17">
        <f t="shared" si="540"/>
      </c>
      <c r="BW71" s="17">
        <f t="shared" si="540"/>
      </c>
      <c r="BX71" s="17">
        <f t="shared" si="540"/>
      </c>
      <c r="BY71" s="1647">
        <f t="shared" si="540"/>
      </c>
      <c r="BZ71" s="17">
        <f t="shared" si="540"/>
      </c>
      <c r="CA71" s="17">
        <f t="shared" si="540"/>
      </c>
      <c r="CB71" s="17">
        <f t="shared" si="540"/>
      </c>
      <c r="CC71" s="1647">
        <f t="shared" si="540"/>
      </c>
      <c r="CD71" s="17">
        <f t="shared" si="540"/>
      </c>
      <c r="CE71" s="17">
        <f t="shared" si="540"/>
      </c>
      <c r="CF71" s="17">
        <f t="shared" si="540"/>
      </c>
      <c r="CG71" s="1647">
        <f t="shared" si="540"/>
      </c>
      <c r="CH71" s="17">
        <f t="shared" si="537"/>
      </c>
      <c r="CI71" s="17">
        <f t="shared" si="500"/>
      </c>
      <c r="CJ71" s="17">
        <f t="shared" si="501"/>
      </c>
      <c r="CK71" s="1647">
        <f t="shared" si="501"/>
      </c>
      <c r="CL71" s="17">
        <f t="shared" si="502"/>
      </c>
      <c r="CM71" s="17">
        <f t="shared" si="503"/>
      </c>
      <c r="CN71" s="17">
        <f t="shared" si="504"/>
      </c>
      <c r="CO71" s="1647">
        <f t="shared" si="505"/>
      </c>
      <c r="CP71" s="17">
        <f t="shared" si="506"/>
      </c>
      <c r="CQ71" s="17">
        <f t="shared" si="507"/>
      </c>
      <c r="CR71" s="17">
        <f t="shared" si="508"/>
      </c>
      <c r="CS71" s="1647">
        <f t="shared" si="509"/>
      </c>
      <c r="CT71" s="17">
        <f t="shared" si="510"/>
      </c>
      <c r="CU71" s="17">
        <f t="shared" si="511"/>
      </c>
      <c r="CV71" s="17">
        <f t="shared" si="512"/>
      </c>
      <c r="CW71" s="1647">
        <f t="shared" si="513"/>
      </c>
      <c r="CX71" s="17">
        <f t="shared" si="514"/>
      </c>
      <c r="CY71" s="17">
        <f t="shared" si="515"/>
      </c>
      <c r="CZ71" s="17">
        <f t="shared" si="516"/>
      </c>
      <c r="DA71" s="1647">
        <f t="shared" si="517"/>
      </c>
      <c r="DB71" s="17">
        <f t="shared" si="518"/>
      </c>
      <c r="DC71" s="17">
        <f t="shared" si="519"/>
      </c>
      <c r="DD71" s="17">
        <f t="shared" si="520"/>
      </c>
      <c r="DE71" s="1647">
        <f t="shared" si="521"/>
      </c>
      <c r="DF71" s="17">
        <f t="shared" si="522"/>
      </c>
      <c r="DG71" s="17">
        <f t="shared" si="523"/>
      </c>
      <c r="DH71" s="17">
        <f t="shared" si="524"/>
      </c>
      <c r="DI71" s="1647">
        <f t="shared" si="525"/>
      </c>
      <c r="DJ71" s="17">
        <f t="shared" si="526"/>
      </c>
      <c r="DK71" s="17">
        <f t="shared" si="527"/>
      </c>
      <c r="DL71" s="17">
        <f t="shared" si="528"/>
      </c>
      <c r="DM71" s="1647">
        <f t="shared" si="529"/>
      </c>
      <c r="DN71" s="17">
        <f t="shared" si="530"/>
      </c>
      <c r="DO71" s="17">
        <f t="shared" si="531"/>
      </c>
      <c r="DP71" s="17">
        <f t="shared" si="532"/>
      </c>
      <c r="DQ71" s="1647">
        <f t="shared" si="533"/>
      </c>
    </row>
    <row r="72" spans="1:166" s="17" customFormat="1" ht="12" customHeight="1">
      <c r="A72" s="1646" t="s">
        <v>1414</v>
      </c>
      <c r="C72" s="17">
        <f t="shared" ref="C72:AT72" si="541">+C33/B33-1</f>
      </c>
      <c r="D72" s="17">
        <f t="shared" si="541"/>
      </c>
      <c r="E72" s="17">
        <f t="shared" si="541"/>
      </c>
      <c r="F72" s="505">
        <f t="shared" si="541"/>
      </c>
      <c r="G72" s="17">
        <f t="shared" si="541"/>
      </c>
      <c r="H72" s="17">
        <f t="shared" si="541"/>
      </c>
      <c r="I72" s="1647">
        <f t="shared" si="541"/>
      </c>
      <c r="J72" s="17">
        <f t="shared" si="541"/>
      </c>
      <c r="K72" s="17">
        <f t="shared" si="541"/>
      </c>
      <c r="L72" s="17">
        <f t="shared" si="541"/>
      </c>
      <c r="M72" s="17">
        <f t="shared" si="541"/>
      </c>
      <c r="N72" s="505">
        <f t="shared" si="541"/>
      </c>
      <c r="O72" s="17">
        <f t="shared" si="541"/>
      </c>
      <c r="P72" s="17">
        <f t="shared" si="541"/>
      </c>
      <c r="Q72" s="1647">
        <f t="shared" si="541"/>
      </c>
      <c r="R72" s="17">
        <f t="shared" si="541"/>
      </c>
      <c r="S72" s="17">
        <f t="shared" si="541"/>
      </c>
      <c r="T72" s="17">
        <f t="shared" si="541"/>
      </c>
      <c r="U72" s="17">
        <f t="shared" si="541"/>
      </c>
      <c r="V72" s="505">
        <f t="shared" si="541"/>
      </c>
      <c r="W72" s="17">
        <f t="shared" si="541"/>
      </c>
      <c r="X72" s="17">
        <f t="shared" si="541"/>
      </c>
      <c r="Y72" s="1647">
        <f t="shared" si="541"/>
      </c>
      <c r="Z72" s="17">
        <f t="shared" si="541"/>
      </c>
      <c r="AA72" s="17">
        <f t="shared" si="541"/>
      </c>
      <c r="AB72" s="17">
        <f t="shared" si="541"/>
      </c>
      <c r="AC72" s="17">
        <f t="shared" si="541"/>
      </c>
      <c r="AD72" s="505">
        <f t="shared" si="541"/>
      </c>
      <c r="AE72" s="17">
        <f t="shared" si="541"/>
      </c>
      <c r="AF72" s="17">
        <f t="shared" si="541"/>
      </c>
      <c r="AG72" s="1647">
        <f t="shared" si="541"/>
      </c>
      <c r="AH72" s="17">
        <f t="shared" si="541"/>
      </c>
      <c r="AI72" s="17">
        <f t="shared" si="541"/>
      </c>
      <c r="AJ72" s="17">
        <f t="shared" si="541"/>
      </c>
      <c r="AK72" s="1647">
        <f t="shared" si="541"/>
      </c>
      <c r="AL72" s="17">
        <f t="shared" si="541"/>
      </c>
      <c r="AM72" s="17">
        <f t="shared" si="541"/>
      </c>
      <c r="AN72" s="17">
        <f t="shared" si="541"/>
      </c>
      <c r="AO72" s="1647">
        <f t="shared" si="541"/>
      </c>
      <c r="AP72" s="17">
        <f t="shared" si="541"/>
      </c>
      <c r="AQ72" s="17">
        <f t="shared" si="541"/>
      </c>
      <c r="AR72" s="17">
        <f t="shared" si="541"/>
      </c>
      <c r="AS72" s="1647">
        <f t="shared" si="541"/>
      </c>
      <c r="AT72" s="17">
        <f t="shared" si="541"/>
      </c>
      <c r="AU72" s="17">
        <f t="shared" ref="AU72:CG72" si="542">+AU33/AT33-1</f>
      </c>
      <c r="AV72" s="17">
        <f t="shared" si="542"/>
      </c>
      <c r="AW72" s="1647">
        <f t="shared" si="542"/>
      </c>
      <c r="AX72" s="17">
        <f t="shared" si="542"/>
      </c>
      <c r="AY72" s="17">
        <f t="shared" si="542"/>
      </c>
      <c r="AZ72" s="17">
        <f t="shared" si="542"/>
      </c>
      <c r="BA72" s="1647">
        <f t="shared" si="542"/>
      </c>
      <c r="BB72" s="17">
        <f t="shared" si="542"/>
      </c>
      <c r="BC72" s="17">
        <f t="shared" si="542"/>
      </c>
      <c r="BD72" s="17">
        <f t="shared" si="542"/>
      </c>
      <c r="BE72" s="1647">
        <f t="shared" si="542"/>
      </c>
      <c r="BF72" s="17">
        <f t="shared" si="542"/>
      </c>
      <c r="BG72" s="17">
        <f t="shared" si="542"/>
      </c>
      <c r="BH72" s="17">
        <f t="shared" si="542"/>
      </c>
      <c r="BI72" s="1647">
        <f t="shared" si="542"/>
      </c>
      <c r="BJ72" s="17">
        <f t="shared" si="542"/>
      </c>
      <c r="BK72" s="17">
        <f t="shared" si="542"/>
      </c>
      <c r="BL72" s="17">
        <f t="shared" si="542"/>
      </c>
      <c r="BM72" s="1647">
        <f t="shared" si="542"/>
      </c>
      <c r="BN72" s="17">
        <f t="shared" si="542"/>
      </c>
      <c r="BO72" s="17">
        <f t="shared" si="542"/>
      </c>
      <c r="BP72" s="17">
        <f t="shared" si="542"/>
      </c>
      <c r="BQ72" s="1647">
        <f t="shared" si="542"/>
      </c>
      <c r="BR72" s="17">
        <f t="shared" si="542"/>
      </c>
      <c r="BS72" s="17">
        <f t="shared" si="542"/>
      </c>
      <c r="BT72" s="17">
        <f t="shared" si="542"/>
      </c>
      <c r="BU72" s="1647">
        <f t="shared" si="542"/>
      </c>
      <c r="BV72" s="17">
        <f t="shared" si="542"/>
      </c>
      <c r="BW72" s="17">
        <f t="shared" si="542"/>
      </c>
      <c r="BX72" s="17">
        <f t="shared" si="542"/>
      </c>
      <c r="BY72" s="1647">
        <f t="shared" si="542"/>
      </c>
      <c r="BZ72" s="17">
        <f t="shared" si="542"/>
      </c>
      <c r="CA72" s="17">
        <f t="shared" si="542"/>
      </c>
      <c r="CB72" s="17">
        <f t="shared" si="542"/>
      </c>
      <c r="CC72" s="1647">
        <f t="shared" si="542"/>
      </c>
      <c r="CD72" s="17">
        <f t="shared" si="542"/>
      </c>
      <c r="CE72" s="17">
        <f t="shared" si="542"/>
      </c>
      <c r="CF72" s="17">
        <f t="shared" si="542"/>
      </c>
      <c r="CG72" s="1647">
        <f t="shared" si="542"/>
      </c>
      <c r="CH72" s="17">
        <f t="shared" si="537"/>
      </c>
      <c r="CI72" s="17">
        <f t="shared" si="500"/>
      </c>
      <c r="CJ72" s="17">
        <f t="shared" si="501"/>
      </c>
      <c r="CK72" s="1647">
        <f t="shared" si="501"/>
      </c>
      <c r="CL72" s="17">
        <f t="shared" si="502"/>
      </c>
      <c r="CM72" s="17">
        <f t="shared" si="503"/>
      </c>
      <c r="CN72" s="17">
        <f t="shared" si="504"/>
      </c>
      <c r="CO72" s="1647">
        <f t="shared" si="505"/>
      </c>
      <c r="CP72" s="17">
        <f t="shared" si="506"/>
      </c>
      <c r="CQ72" s="17">
        <f t="shared" si="507"/>
      </c>
      <c r="CR72" s="17">
        <f t="shared" si="508"/>
      </c>
      <c r="CS72" s="1647">
        <f t="shared" si="509"/>
      </c>
      <c r="CT72" s="17">
        <f t="shared" si="510"/>
      </c>
      <c r="CU72" s="17">
        <f t="shared" si="511"/>
      </c>
      <c r="CV72" s="17">
        <f t="shared" si="512"/>
      </c>
      <c r="CW72" s="1647">
        <f t="shared" si="513"/>
      </c>
      <c r="CX72" s="17">
        <f t="shared" si="514"/>
      </c>
      <c r="CY72" s="17">
        <f t="shared" si="515"/>
      </c>
      <c r="CZ72" s="17">
        <f t="shared" si="516"/>
      </c>
      <c r="DA72" s="1647">
        <f t="shared" si="517"/>
      </c>
      <c r="DB72" s="17">
        <f t="shared" si="518"/>
      </c>
      <c r="DC72" s="17">
        <f t="shared" si="519"/>
      </c>
      <c r="DD72" s="17">
        <f t="shared" si="520"/>
      </c>
      <c r="DE72" s="1647">
        <f t="shared" si="521"/>
      </c>
      <c r="DF72" s="17">
        <f t="shared" si="522"/>
      </c>
      <c r="DG72" s="17">
        <f t="shared" si="523"/>
      </c>
      <c r="DH72" s="17">
        <f t="shared" si="524"/>
      </c>
      <c r="DI72" s="1647">
        <f t="shared" si="525"/>
      </c>
      <c r="DJ72" s="17">
        <f t="shared" si="526"/>
      </c>
      <c r="DK72" s="17">
        <f t="shared" si="527"/>
      </c>
      <c r="DL72" s="17">
        <f t="shared" si="528"/>
      </c>
      <c r="DM72" s="1647">
        <f t="shared" si="529"/>
      </c>
      <c r="DN72" s="17">
        <f t="shared" si="530"/>
      </c>
      <c r="DO72" s="17">
        <f t="shared" si="531"/>
      </c>
      <c r="DP72" s="17">
        <f t="shared" si="532"/>
      </c>
      <c r="DQ72" s="1647">
        <f t="shared" si="533"/>
      </c>
    </row>
    <row r="73" spans="1:166" s="17" customFormat="1" ht="12" customHeight="1">
      <c r="A73" s="1646" t="s">
        <v>1423</v>
      </c>
      <c r="F73" s="505"/>
      <c r="I73" s="1647"/>
      <c r="N73" s="505"/>
      <c r="Q73" s="1647"/>
      <c r="V73" s="505"/>
      <c r="Y73" s="1647"/>
      <c r="AD73" s="505"/>
      <c r="AG73" s="1647"/>
      <c r="AI73" s="17">
        <f t="shared" ref="AI73:AS73" si="543">+AI34/AH34-1</f>
      </c>
      <c r="AJ73" s="17">
        <f t="shared" si="543"/>
      </c>
      <c r="AK73" s="1647">
        <f t="shared" si="543"/>
      </c>
      <c r="AL73" s="17">
        <f t="shared" si="543"/>
      </c>
      <c r="AM73" s="17">
        <f t="shared" si="543"/>
      </c>
      <c r="AN73" s="17">
        <f t="shared" si="543"/>
      </c>
      <c r="AO73" s="1647">
        <f t="shared" si="543"/>
      </c>
      <c r="AP73" s="17">
        <f t="shared" si="543"/>
      </c>
      <c r="AQ73" s="17">
        <f t="shared" si="543"/>
      </c>
      <c r="AR73" s="17">
        <f t="shared" si="543"/>
      </c>
      <c r="AS73" s="17">
        <f t="shared" si="543"/>
      </c>
      <c r="AT73" s="505"/>
      <c r="AW73" s="1647"/>
      <c r="BB73" s="505"/>
      <c r="BE73" s="1647"/>
      <c r="BJ73" s="505"/>
      <c r="BM73" s="1647"/>
      <c r="BR73" s="505"/>
      <c r="BU73" s="1647"/>
      <c r="BZ73" s="505"/>
      <c r="CC73" s="1647"/>
      <c r="CH73" s="505"/>
      <c r="CK73" s="1647"/>
      <c r="CO73" s="1647"/>
      <c r="CP73" s="505"/>
      <c r="CS73" s="1647"/>
      <c r="CT73" s="505"/>
      <c r="CW73" s="1647"/>
      <c r="CX73" s="505"/>
      <c r="DA73" s="1647"/>
      <c r="DB73" s="505"/>
      <c r="DE73" s="1647"/>
      <c r="DF73" s="505"/>
      <c r="DI73" s="1647"/>
      <c r="DJ73" s="505"/>
      <c r="DM73" s="1647"/>
      <c r="DN73" s="505"/>
      <c r="DQ73" s="1647"/>
    </row>
    <row r="74" spans="1:166" s="1659" customFormat="1" ht="12" customHeight="1">
      <c r="A74" s="1655" t="s">
        <v>664</v>
      </c>
      <c r="B74" s="2365"/>
      <c r="C74" s="2365">
        <f>C35/B35-1</f>
      </c>
      <c r="D74" s="2365">
        <f t="shared" ref="D74:BO74" si="544">D35/C35-1</f>
      </c>
      <c r="E74" s="2365">
        <f t="shared" si="544"/>
      </c>
      <c r="F74" s="2366">
        <f t="shared" si="544"/>
      </c>
      <c r="G74" s="2365">
        <f t="shared" si="544"/>
      </c>
      <c r="H74" s="2365">
        <f t="shared" si="544"/>
      </c>
      <c r="I74" s="2367">
        <f t="shared" si="544"/>
      </c>
      <c r="J74" s="2365">
        <f t="shared" si="544"/>
      </c>
      <c r="K74" s="2365">
        <f t="shared" si="544"/>
      </c>
      <c r="L74" s="2365">
        <f t="shared" si="544"/>
      </c>
      <c r="M74" s="2365">
        <f t="shared" si="544"/>
      </c>
      <c r="N74" s="2366">
        <f t="shared" si="544"/>
      </c>
      <c r="O74" s="2365">
        <f t="shared" si="544"/>
      </c>
      <c r="P74" s="2365">
        <f t="shared" si="544"/>
      </c>
      <c r="Q74" s="2367">
        <f t="shared" si="544"/>
      </c>
      <c r="R74" s="2365">
        <f t="shared" si="544"/>
      </c>
      <c r="S74" s="2365">
        <f t="shared" si="544"/>
      </c>
      <c r="T74" s="2365">
        <f t="shared" si="544"/>
      </c>
      <c r="U74" s="2365">
        <f t="shared" si="544"/>
      </c>
      <c r="V74" s="2366">
        <f t="shared" si="544"/>
      </c>
      <c r="W74" s="2365">
        <f t="shared" si="544"/>
      </c>
      <c r="X74" s="2365">
        <f t="shared" si="544"/>
      </c>
      <c r="Y74" s="2367">
        <f t="shared" si="544"/>
      </c>
      <c r="Z74" s="2365">
        <f t="shared" si="544"/>
      </c>
      <c r="AA74" s="2365">
        <f t="shared" si="544"/>
      </c>
      <c r="AB74" s="2365">
        <f t="shared" si="544"/>
      </c>
      <c r="AC74" s="2365">
        <f t="shared" si="544"/>
      </c>
      <c r="AD74" s="2366">
        <f t="shared" si="544"/>
      </c>
      <c r="AE74" s="2365">
        <f t="shared" si="544"/>
      </c>
      <c r="AF74" s="2365">
        <f t="shared" si="544"/>
      </c>
      <c r="AG74" s="2367">
        <f t="shared" si="544"/>
      </c>
      <c r="AH74" s="2365">
        <f t="shared" si="544"/>
      </c>
      <c r="AI74" s="2365">
        <f t="shared" si="544"/>
      </c>
      <c r="AJ74" s="2365">
        <f t="shared" si="544"/>
      </c>
      <c r="AK74" s="2365">
        <f t="shared" si="544"/>
      </c>
      <c r="AL74" s="2365">
        <f t="shared" si="544"/>
      </c>
      <c r="AM74" s="2365">
        <f t="shared" si="544"/>
      </c>
      <c r="AN74" s="2365">
        <f t="shared" si="544"/>
      </c>
      <c r="AO74" s="2365">
        <f t="shared" si="544"/>
      </c>
      <c r="AP74" s="2366">
        <f t="shared" si="544"/>
      </c>
      <c r="AQ74" s="2365">
        <f t="shared" si="544"/>
      </c>
      <c r="AR74" s="2365">
        <f t="shared" si="544"/>
      </c>
      <c r="AS74" s="2365">
        <f t="shared" si="544"/>
      </c>
      <c r="AT74" s="2366">
        <f t="shared" si="544"/>
      </c>
      <c r="AU74" s="2365">
        <f t="shared" si="544"/>
      </c>
      <c r="AV74" s="2365">
        <f t="shared" si="544"/>
      </c>
      <c r="AW74" s="2367">
        <f t="shared" si="544"/>
      </c>
      <c r="AX74" s="2365">
        <f t="shared" si="544"/>
      </c>
      <c r="AY74" s="2365">
        <f t="shared" si="544"/>
      </c>
      <c r="AZ74" s="2365">
        <f t="shared" si="544"/>
      </c>
      <c r="BA74" s="2365">
        <f t="shared" si="544"/>
      </c>
      <c r="BB74" s="2366">
        <f t="shared" si="544"/>
      </c>
      <c r="BC74" s="2365">
        <f t="shared" si="544"/>
      </c>
      <c r="BD74" s="2365">
        <f t="shared" si="544"/>
      </c>
      <c r="BE74" s="2367">
        <f t="shared" si="544"/>
      </c>
      <c r="BF74" s="2365">
        <f t="shared" si="544"/>
      </c>
      <c r="BG74" s="2365">
        <f t="shared" si="544"/>
      </c>
      <c r="BH74" s="2365">
        <f t="shared" si="544"/>
      </c>
      <c r="BI74" s="2365">
        <f t="shared" si="544"/>
      </c>
      <c r="BJ74" s="2366">
        <f t="shared" si="544"/>
      </c>
      <c r="BK74" s="2365">
        <f t="shared" si="544"/>
      </c>
      <c r="BL74" s="2365">
        <f t="shared" si="544"/>
      </c>
      <c r="BM74" s="2367">
        <f t="shared" si="544"/>
      </c>
      <c r="BN74" s="2365">
        <f t="shared" si="544"/>
      </c>
      <c r="BO74" s="2365">
        <f t="shared" si="544"/>
      </c>
      <c r="BP74" s="2365">
        <f t="shared" ref="BP74:CG74" si="545">BP35/BO35-1</f>
      </c>
      <c r="BQ74" s="2365">
        <f t="shared" si="545"/>
      </c>
      <c r="BR74" s="2366">
        <f t="shared" si="545"/>
      </c>
      <c r="BS74" s="2365">
        <f t="shared" si="545"/>
      </c>
      <c r="BT74" s="2365">
        <f t="shared" si="545"/>
      </c>
      <c r="BU74" s="2367">
        <f t="shared" si="545"/>
      </c>
      <c r="BV74" s="2365">
        <f t="shared" si="545"/>
      </c>
      <c r="BW74" s="2365">
        <f t="shared" si="545"/>
      </c>
      <c r="BX74" s="2365">
        <f t="shared" si="545"/>
      </c>
      <c r="BY74" s="2365">
        <f t="shared" si="545"/>
      </c>
      <c r="BZ74" s="2366">
        <f t="shared" si="545"/>
      </c>
      <c r="CA74" s="2365">
        <f t="shared" si="545"/>
      </c>
      <c r="CB74" s="2365">
        <f t="shared" si="545"/>
      </c>
      <c r="CC74" s="2367">
        <f t="shared" si="545"/>
      </c>
      <c r="CD74" s="2365">
        <f t="shared" si="545"/>
      </c>
      <c r="CE74" s="2365">
        <f t="shared" si="545"/>
      </c>
      <c r="CF74" s="2365">
        <f t="shared" si="545"/>
      </c>
      <c r="CG74" s="2367">
        <f t="shared" si="545"/>
      </c>
      <c r="CH74" s="2365">
        <f t="shared" ref="CH74:CH76" si="546">CH35/CG35-1</f>
      </c>
      <c r="CI74" s="2365">
        <f t="shared" ref="CI74:CI76" si="547">CI35/CH35-1</f>
      </c>
      <c r="CJ74" s="2365">
        <f t="shared" ref="CJ74:CK76" si="548">CJ35/CI35-1</f>
      </c>
      <c r="CK74" s="2367">
        <f t="shared" si="548"/>
      </c>
      <c r="CL74" s="2365">
        <f t="shared" ref="CL74:CL77" si="549">CL35/CK35-1</f>
      </c>
      <c r="CM74" s="2365">
        <f t="shared" ref="CM74:CM77" si="550">CM35/CL35-1</f>
      </c>
      <c r="CN74" s="2365">
        <f t="shared" ref="CN74:CO77" si="551">CN35/CM35-1</f>
      </c>
      <c r="CO74" s="2367">
        <f t="shared" si="551"/>
      </c>
      <c r="CP74" s="2365">
        <f t="shared" ref="CP74:CP77" si="552">CP35/CO35-1</f>
      </c>
      <c r="CQ74" s="2365">
        <f t="shared" ref="CQ74:CQ77" si="553">CQ35/CP35-1</f>
      </c>
      <c r="CR74" s="2365">
        <f t="shared" ref="CR74:CS77" si="554">CR35/CQ35-1</f>
      </c>
      <c r="CS74" s="2367">
        <f t="shared" si="554"/>
      </c>
      <c r="CT74" s="2365">
        <f t="shared" ref="CT74:CT77" si="555">CT35/CS35-1</f>
      </c>
      <c r="CU74" s="2365">
        <f t="shared" ref="CU74:CU77" si="556">CU35/CT35-1</f>
      </c>
      <c r="CV74" s="2365">
        <f t="shared" ref="CV74:CV77" si="557">CV35/CU35-1</f>
      </c>
      <c r="CW74" s="1656">
        <f t="shared" ref="CW74:CW77" si="558">CW35/CV35-1</f>
      </c>
      <c r="CX74" s="2365">
        <f t="shared" ref="CX74:CX77" si="559">CX35/CW35-1</f>
      </c>
      <c r="CY74" s="2365">
        <f t="shared" ref="CY74:CY77" si="560">CY35/CX35-1</f>
      </c>
      <c r="CZ74" s="2365">
        <f t="shared" ref="CZ74:CZ77" si="561">CZ35/CY35-1</f>
      </c>
      <c r="DA74" s="1656">
        <f t="shared" ref="DA74:DA77" si="562">DA35/CZ35-1</f>
      </c>
      <c r="DB74" s="2365">
        <f t="shared" ref="DB74:DB77" si="563">DB35/DA35-1</f>
      </c>
      <c r="DC74" s="2365">
        <f t="shared" ref="DC74:DC77" si="564">DC35/DB35-1</f>
      </c>
      <c r="DD74" s="2365">
        <f t="shared" ref="DD74:DD77" si="565">DD35/DC35-1</f>
      </c>
      <c r="DE74" s="1656">
        <f t="shared" ref="DE74:DE77" si="566">DE35/DD35-1</f>
      </c>
      <c r="DF74" s="2365">
        <f t="shared" ref="DF74:DF77" si="567">DF35/DE35-1</f>
      </c>
      <c r="DG74" s="2365">
        <f t="shared" ref="DG74:DG77" si="568">DG35/DF35-1</f>
      </c>
      <c r="DH74" s="2365">
        <f t="shared" ref="DH74:DH77" si="569">DH35/DG35-1</f>
      </c>
      <c r="DI74" s="1656">
        <f t="shared" ref="DI74:DI77" si="570">DI35/DH35-1</f>
      </c>
      <c r="DJ74" s="2365">
        <f t="shared" ref="DJ74:DJ77" si="571">DJ35/DI35-1</f>
      </c>
      <c r="DK74" s="2365">
        <f t="shared" ref="DK74:DK77" si="572">DK35/DJ35-1</f>
      </c>
      <c r="DL74" s="2365">
        <f t="shared" ref="DL74:DL77" si="573">DL35/DK35-1</f>
      </c>
      <c r="DM74" s="1656">
        <f t="shared" ref="DM74:DM77" si="574">DM35/DL35-1</f>
      </c>
      <c r="DN74" s="2365">
        <f t="shared" ref="DN74:DN77" si="575">DN35/DM35-1</f>
      </c>
      <c r="DO74" s="2365">
        <f t="shared" ref="DO74:DO77" si="576">DO35/DN35-1</f>
      </c>
      <c r="DP74" s="2365">
        <f t="shared" ref="DP74:DP77" si="577">DP35/DO35-1</f>
      </c>
      <c r="DQ74" s="1656">
        <f t="shared" ref="DQ74:DQ77" si="578">DQ35/DP35-1</f>
      </c>
      <c r="DR74" s="1657"/>
      <c r="DS74" s="1657"/>
      <c r="DT74" s="1657"/>
      <c r="DU74" s="1657"/>
      <c r="DV74" s="1657"/>
      <c r="DW74" s="1657"/>
      <c r="DX74" s="1657"/>
      <c r="DY74" s="1657"/>
      <c r="DZ74" s="1657"/>
      <c r="EA74" s="1657"/>
      <c r="EB74" s="1657"/>
      <c r="EC74" s="1657"/>
      <c r="ED74" s="1657"/>
      <c r="EE74" s="1657"/>
      <c r="EF74" s="1657"/>
      <c r="EG74" s="1657"/>
      <c r="EH74" s="1657"/>
      <c r="EI74" s="1657"/>
      <c r="EJ74" s="1657"/>
      <c r="EK74" s="1657"/>
      <c r="EL74" s="1657"/>
      <c r="EM74" s="1657"/>
      <c r="EN74" s="1657"/>
      <c r="EO74" s="1657"/>
      <c r="EP74" s="1657"/>
      <c r="EQ74" s="1657"/>
      <c r="ER74" s="1657"/>
      <c r="ES74" s="1657"/>
      <c r="ET74" s="1657"/>
      <c r="EU74" s="1657"/>
      <c r="EV74" s="1657"/>
      <c r="EW74" s="1657"/>
      <c r="EX74" s="1657"/>
      <c r="EY74" s="1657"/>
      <c r="EZ74" s="1657"/>
      <c r="FA74" s="1657"/>
      <c r="FB74" s="1657"/>
      <c r="FC74" s="1657"/>
      <c r="FD74" s="1657"/>
      <c r="FE74" s="1657"/>
      <c r="FF74" s="1657"/>
      <c r="FG74" s="1657"/>
      <c r="FH74" s="1657"/>
      <c r="FI74" s="1657"/>
      <c r="FJ74" s="1657"/>
    </row>
    <row r="75" spans="1:166" s="1659" customFormat="1" ht="12" customHeight="1">
      <c r="A75" s="1660" t="s">
        <v>690</v>
      </c>
      <c r="B75" s="333"/>
      <c r="C75" s="1683">
        <f t="shared" ref="C75:BN75" si="579">C36/B36-1</f>
      </c>
      <c r="D75" s="1683">
        <f t="shared" si="579"/>
      </c>
      <c r="E75" s="1683">
        <f t="shared" si="579"/>
      </c>
      <c r="F75" s="1684">
        <f t="shared" si="579"/>
      </c>
      <c r="G75" s="1683">
        <f t="shared" si="579"/>
      </c>
      <c r="H75" s="1683">
        <f t="shared" si="579"/>
      </c>
      <c r="I75" s="1685">
        <f t="shared" si="579"/>
      </c>
      <c r="J75" s="1683">
        <f t="shared" si="579"/>
      </c>
      <c r="K75" s="1683">
        <f t="shared" si="579"/>
      </c>
      <c r="L75" s="1683">
        <f t="shared" si="579"/>
      </c>
      <c r="M75" s="1683">
        <f t="shared" si="579"/>
      </c>
      <c r="N75" s="1684">
        <f t="shared" si="579"/>
      </c>
      <c r="O75" s="1683">
        <f t="shared" si="579"/>
      </c>
      <c r="P75" s="1683">
        <f t="shared" si="579"/>
      </c>
      <c r="Q75" s="1685">
        <f t="shared" si="579"/>
      </c>
      <c r="R75" s="1683">
        <f t="shared" si="579"/>
      </c>
      <c r="S75" s="1683">
        <f t="shared" si="579"/>
      </c>
      <c r="T75" s="1683">
        <f t="shared" si="579"/>
      </c>
      <c r="U75" s="1683">
        <f t="shared" si="579"/>
      </c>
      <c r="V75" s="1684">
        <f t="shared" si="579"/>
      </c>
      <c r="W75" s="1683">
        <f t="shared" si="579"/>
      </c>
      <c r="X75" s="1683">
        <f t="shared" si="579"/>
      </c>
      <c r="Y75" s="1685">
        <f t="shared" si="579"/>
      </c>
      <c r="Z75" s="1683">
        <f t="shared" si="579"/>
      </c>
      <c r="AA75" s="1683">
        <f t="shared" si="579"/>
      </c>
      <c r="AB75" s="1683">
        <f t="shared" si="579"/>
      </c>
      <c r="AC75" s="1683">
        <f t="shared" si="579"/>
      </c>
      <c r="AD75" s="1684">
        <f t="shared" si="579"/>
      </c>
      <c r="AE75" s="1683">
        <f t="shared" si="579"/>
      </c>
      <c r="AF75" s="1683">
        <f t="shared" si="579"/>
      </c>
      <c r="AG75" s="1685">
        <f t="shared" si="579"/>
      </c>
      <c r="AH75" s="1683">
        <f t="shared" si="579"/>
      </c>
      <c r="AI75" s="1683">
        <f t="shared" si="579"/>
      </c>
      <c r="AJ75" s="1683">
        <f t="shared" si="579"/>
      </c>
      <c r="AK75" s="1683">
        <f t="shared" si="579"/>
      </c>
      <c r="AL75" s="1683">
        <f t="shared" si="579"/>
      </c>
      <c r="AM75" s="1683">
        <f t="shared" si="579"/>
      </c>
      <c r="AN75" s="1683">
        <f t="shared" si="579"/>
      </c>
      <c r="AO75" s="1683">
        <f t="shared" si="579"/>
      </c>
      <c r="AP75" s="1684">
        <f t="shared" si="579"/>
      </c>
      <c r="AQ75" s="1683">
        <f t="shared" si="579"/>
      </c>
      <c r="AR75" s="1683">
        <f t="shared" si="579"/>
      </c>
      <c r="AS75" s="1683">
        <f t="shared" si="579"/>
      </c>
      <c r="AT75" s="1684">
        <f t="shared" si="579"/>
      </c>
      <c r="AU75" s="1683">
        <f t="shared" si="579"/>
      </c>
      <c r="AV75" s="1683">
        <f t="shared" si="579"/>
      </c>
      <c r="AW75" s="1685">
        <f t="shared" si="579"/>
      </c>
      <c r="AX75" s="1683">
        <f t="shared" si="579"/>
      </c>
      <c r="AY75" s="1683">
        <f t="shared" si="579"/>
      </c>
      <c r="AZ75" s="1683">
        <f t="shared" si="579"/>
      </c>
      <c r="BA75" s="1683">
        <f t="shared" si="579"/>
      </c>
      <c r="BB75" s="1684">
        <f t="shared" si="579"/>
      </c>
      <c r="BC75" s="1683">
        <f t="shared" si="579"/>
      </c>
      <c r="BD75" s="1683">
        <f t="shared" si="579"/>
      </c>
      <c r="BE75" s="1685">
        <f t="shared" si="579"/>
      </c>
      <c r="BF75" s="1683">
        <f t="shared" si="579"/>
      </c>
      <c r="BG75" s="1683">
        <f t="shared" si="579"/>
      </c>
      <c r="BH75" s="1683">
        <f t="shared" si="579"/>
      </c>
      <c r="BI75" s="1683">
        <f t="shared" si="579"/>
      </c>
      <c r="BJ75" s="1684">
        <f t="shared" si="579"/>
      </c>
      <c r="BK75" s="1683">
        <f t="shared" si="579"/>
      </c>
      <c r="BL75" s="1683">
        <f t="shared" si="579"/>
      </c>
      <c r="BM75" s="1685">
        <f t="shared" si="579"/>
      </c>
      <c r="BN75" s="1683">
        <f t="shared" si="579"/>
      </c>
      <c r="BO75" s="1683">
        <f t="shared" ref="BO75:CG75" si="580">BO36/BN36-1</f>
      </c>
      <c r="BP75" s="1683">
        <f t="shared" si="580"/>
      </c>
      <c r="BQ75" s="1683">
        <f t="shared" si="580"/>
      </c>
      <c r="BR75" s="1684">
        <f t="shared" si="580"/>
      </c>
      <c r="BS75" s="1683">
        <f t="shared" si="580"/>
      </c>
      <c r="BT75" s="1683">
        <f t="shared" si="580"/>
      </c>
      <c r="BU75" s="1685">
        <f t="shared" si="580"/>
      </c>
      <c r="BV75" s="1683">
        <f t="shared" si="580"/>
      </c>
      <c r="BW75" s="1683">
        <f t="shared" si="580"/>
      </c>
      <c r="BX75" s="1683">
        <f t="shared" si="580"/>
      </c>
      <c r="BY75" s="1683">
        <f t="shared" si="580"/>
      </c>
      <c r="BZ75" s="1684">
        <f t="shared" si="580"/>
      </c>
      <c r="CA75" s="1683">
        <f t="shared" si="580"/>
      </c>
      <c r="CB75" s="1683">
        <f t="shared" si="580"/>
      </c>
      <c r="CC75" s="1685">
        <f t="shared" si="580"/>
      </c>
      <c r="CD75" s="1683">
        <f t="shared" si="580"/>
      </c>
      <c r="CE75" s="1683">
        <f t="shared" si="580"/>
      </c>
      <c r="CF75" s="1683">
        <f t="shared" si="580"/>
      </c>
      <c r="CG75" s="1685">
        <f t="shared" si="580"/>
      </c>
      <c r="CH75" s="1683">
        <f t="shared" si="546"/>
      </c>
      <c r="CI75" s="1683">
        <f t="shared" si="547"/>
      </c>
      <c r="CJ75" s="1683">
        <f t="shared" si="548"/>
      </c>
      <c r="CK75" s="1685">
        <f t="shared" si="548"/>
      </c>
      <c r="CL75" s="1683">
        <f t="shared" si="549"/>
      </c>
      <c r="CM75" s="1683">
        <f t="shared" si="550"/>
      </c>
      <c r="CN75" s="1683">
        <f t="shared" si="551"/>
      </c>
      <c r="CO75" s="1685">
        <f t="shared" si="551"/>
      </c>
      <c r="CP75" s="1683">
        <f t="shared" si="552"/>
      </c>
      <c r="CQ75" s="1683">
        <f t="shared" si="553"/>
      </c>
      <c r="CR75" s="1683">
        <f t="shared" si="554"/>
      </c>
      <c r="CS75" s="1685">
        <f t="shared" si="554"/>
      </c>
      <c r="CT75" s="1683">
        <f t="shared" si="555"/>
      </c>
      <c r="CU75" s="1683">
        <f t="shared" si="556"/>
      </c>
      <c r="CV75" s="1683">
        <f t="shared" si="557"/>
      </c>
      <c r="CW75" s="2364">
        <f t="shared" si="558"/>
      </c>
      <c r="CX75" s="1683">
        <f t="shared" si="559"/>
      </c>
      <c r="CY75" s="1683">
        <f t="shared" si="560"/>
      </c>
      <c r="CZ75" s="1683">
        <f t="shared" si="561"/>
      </c>
      <c r="DA75" s="1663">
        <f t="shared" si="562"/>
      </c>
      <c r="DB75" s="1683">
        <f t="shared" si="563"/>
      </c>
      <c r="DC75" s="1683">
        <f t="shared" si="564"/>
      </c>
      <c r="DD75" s="1683">
        <f t="shared" si="565"/>
      </c>
      <c r="DE75" s="1663">
        <f t="shared" si="566"/>
      </c>
      <c r="DF75" s="1683">
        <f t="shared" si="567"/>
      </c>
      <c r="DG75" s="1683">
        <f t="shared" si="568"/>
      </c>
      <c r="DH75" s="1683">
        <f t="shared" si="569"/>
      </c>
      <c r="DI75" s="1663">
        <f t="shared" si="570"/>
      </c>
      <c r="DJ75" s="1683">
        <f t="shared" si="571"/>
      </c>
      <c r="DK75" s="1683">
        <f t="shared" si="572"/>
      </c>
      <c r="DL75" s="1683">
        <f t="shared" si="573"/>
      </c>
      <c r="DM75" s="1663">
        <f t="shared" si="574"/>
      </c>
      <c r="DN75" s="1683">
        <f t="shared" si="575"/>
      </c>
      <c r="DO75" s="1683">
        <f t="shared" si="576"/>
      </c>
      <c r="DP75" s="1683">
        <f t="shared" si="577"/>
      </c>
      <c r="DQ75" s="1663">
        <f t="shared" si="578"/>
      </c>
      <c r="EH75" s="1665"/>
      <c r="EI75" s="1665"/>
      <c r="EJ75" s="1665"/>
      <c r="EK75" s="1665"/>
      <c r="EL75" s="1665"/>
      <c r="EM75" s="1665"/>
      <c r="EN75" s="1665"/>
      <c r="EO75" s="1665"/>
      <c r="EP75" s="1665"/>
      <c r="EQ75" s="1665"/>
      <c r="ER75" s="1665"/>
      <c r="ES75" s="1665"/>
      <c r="ET75" s="1665"/>
      <c r="EU75" s="1665"/>
      <c r="EV75" s="1665"/>
      <c r="EW75" s="1665"/>
      <c r="EY75" s="1665"/>
      <c r="EZ75" s="1665"/>
      <c r="FA75" s="1665"/>
      <c r="FB75" s="1665"/>
      <c r="FC75" s="1665"/>
      <c r="FD75" s="1665"/>
      <c r="FE75" s="1665"/>
      <c r="FF75" s="1665"/>
      <c r="FJ75" s="1686"/>
    </row>
    <row r="76" spans="1:166" s="1659" customFormat="1" ht="12" customHeight="1">
      <c r="A76" s="1660" t="s">
        <v>691</v>
      </c>
      <c r="B76" s="333"/>
      <c r="C76" s="333">
        <f t="shared" ref="C76:BN76" si="581">C37/B37-1</f>
      </c>
      <c r="D76" s="333">
        <f t="shared" si="581"/>
      </c>
      <c r="E76" s="333">
        <f t="shared" si="581"/>
      </c>
      <c r="F76" s="1661">
        <f t="shared" si="581"/>
      </c>
      <c r="G76" s="333">
        <f t="shared" si="581"/>
      </c>
      <c r="H76" s="333">
        <f t="shared" si="581"/>
      </c>
      <c r="I76" s="1662">
        <f t="shared" si="581"/>
      </c>
      <c r="J76" s="333">
        <f t="shared" si="581"/>
      </c>
      <c r="K76" s="333">
        <f t="shared" si="581"/>
      </c>
      <c r="L76" s="333">
        <f t="shared" si="581"/>
      </c>
      <c r="M76" s="333">
        <f t="shared" si="581"/>
      </c>
      <c r="N76" s="1661">
        <f t="shared" si="581"/>
      </c>
      <c r="O76" s="333">
        <f t="shared" si="581"/>
      </c>
      <c r="P76" s="333">
        <f t="shared" si="581"/>
      </c>
      <c r="Q76" s="1662">
        <f t="shared" si="581"/>
      </c>
      <c r="R76" s="333">
        <f t="shared" si="581"/>
      </c>
      <c r="S76" s="333">
        <f t="shared" si="581"/>
      </c>
      <c r="T76" s="333">
        <f t="shared" si="581"/>
      </c>
      <c r="U76" s="333">
        <f t="shared" si="581"/>
      </c>
      <c r="V76" s="1661">
        <f t="shared" si="581"/>
      </c>
      <c r="W76" s="333">
        <f t="shared" si="581"/>
      </c>
      <c r="X76" s="333">
        <f t="shared" si="581"/>
      </c>
      <c r="Y76" s="1662">
        <f t="shared" si="581"/>
      </c>
      <c r="Z76" s="333">
        <f t="shared" si="581"/>
      </c>
      <c r="AA76" s="333">
        <f t="shared" si="581"/>
      </c>
      <c r="AB76" s="333">
        <f t="shared" si="581"/>
      </c>
      <c r="AC76" s="333">
        <f t="shared" si="581"/>
      </c>
      <c r="AD76" s="1661">
        <f t="shared" si="581"/>
      </c>
      <c r="AE76" s="333">
        <f t="shared" si="581"/>
      </c>
      <c r="AF76" s="333">
        <f t="shared" si="581"/>
      </c>
      <c r="AG76" s="1662">
        <f t="shared" si="581"/>
      </c>
      <c r="AH76" s="333">
        <f t="shared" si="581"/>
      </c>
      <c r="AI76" s="333">
        <f t="shared" si="581"/>
      </c>
      <c r="AJ76" s="333">
        <f t="shared" si="581"/>
      </c>
      <c r="AK76" s="333">
        <f t="shared" si="581"/>
      </c>
      <c r="AL76" s="333">
        <f t="shared" si="581"/>
      </c>
      <c r="AM76" s="333">
        <f t="shared" si="581"/>
      </c>
      <c r="AN76" s="333">
        <f t="shared" si="581"/>
      </c>
      <c r="AO76" s="333">
        <f t="shared" si="581"/>
      </c>
      <c r="AP76" s="1661">
        <f t="shared" si="581"/>
      </c>
      <c r="AQ76" s="333">
        <f t="shared" si="581"/>
      </c>
      <c r="AR76" s="333">
        <f t="shared" si="581"/>
      </c>
      <c r="AS76" s="333">
        <f t="shared" si="581"/>
      </c>
      <c r="AT76" s="1661">
        <f t="shared" si="581"/>
      </c>
      <c r="AU76" s="333">
        <f t="shared" si="581"/>
      </c>
      <c r="AV76" s="333">
        <f t="shared" si="581"/>
      </c>
      <c r="AW76" s="1662">
        <f t="shared" si="581"/>
      </c>
      <c r="AX76" s="333">
        <f t="shared" si="581"/>
      </c>
      <c r="AY76" s="333">
        <f t="shared" si="581"/>
      </c>
      <c r="AZ76" s="333">
        <f t="shared" si="581"/>
      </c>
      <c r="BA76" s="333">
        <f t="shared" si="581"/>
      </c>
      <c r="BB76" s="1661">
        <f t="shared" si="581"/>
      </c>
      <c r="BC76" s="333">
        <f t="shared" si="581"/>
      </c>
      <c r="BD76" s="333">
        <f t="shared" si="581"/>
      </c>
      <c r="BE76" s="1662">
        <f t="shared" si="581"/>
      </c>
      <c r="BF76" s="333">
        <f t="shared" si="581"/>
      </c>
      <c r="BG76" s="333">
        <f t="shared" si="581"/>
      </c>
      <c r="BH76" s="333">
        <f t="shared" si="581"/>
      </c>
      <c r="BI76" s="333">
        <f t="shared" si="581"/>
      </c>
      <c r="BJ76" s="1661">
        <f t="shared" si="581"/>
      </c>
      <c r="BK76" s="333">
        <f t="shared" si="581"/>
      </c>
      <c r="BL76" s="333">
        <f t="shared" si="581"/>
      </c>
      <c r="BM76" s="1662">
        <f t="shared" si="581"/>
      </c>
      <c r="BN76" s="333">
        <f t="shared" si="581"/>
      </c>
      <c r="BO76" s="333">
        <f t="shared" ref="BO76:CG76" si="582">BO37/BN37-1</f>
      </c>
      <c r="BP76" s="333">
        <f t="shared" si="582"/>
      </c>
      <c r="BQ76" s="333">
        <f t="shared" si="582"/>
      </c>
      <c r="BR76" s="1661">
        <f t="shared" si="582"/>
      </c>
      <c r="BS76" s="333">
        <f t="shared" si="582"/>
      </c>
      <c r="BT76" s="333">
        <f t="shared" si="582"/>
      </c>
      <c r="BU76" s="1662">
        <f t="shared" si="582"/>
      </c>
      <c r="BV76" s="333">
        <f t="shared" si="582"/>
      </c>
      <c r="BW76" s="333">
        <f t="shared" si="582"/>
      </c>
      <c r="BX76" s="333">
        <f t="shared" si="582"/>
      </c>
      <c r="BY76" s="333">
        <f t="shared" si="582"/>
      </c>
      <c r="BZ76" s="1661">
        <f t="shared" si="582"/>
      </c>
      <c r="CA76" s="333">
        <f t="shared" si="582"/>
      </c>
      <c r="CB76" s="333">
        <f t="shared" si="582"/>
      </c>
      <c r="CC76" s="1662">
        <f t="shared" si="582"/>
      </c>
      <c r="CD76" s="333">
        <f t="shared" si="582"/>
      </c>
      <c r="CE76" s="333">
        <f t="shared" si="582"/>
      </c>
      <c r="CF76" s="333">
        <f t="shared" si="582"/>
      </c>
      <c r="CG76" s="1662">
        <f t="shared" si="582"/>
      </c>
      <c r="CH76" s="333">
        <f t="shared" si="546"/>
      </c>
      <c r="CI76" s="333">
        <f t="shared" si="547"/>
      </c>
      <c r="CJ76" s="333">
        <f t="shared" si="548"/>
      </c>
      <c r="CK76" s="1662">
        <f t="shared" si="548"/>
      </c>
      <c r="CL76" s="333">
        <f t="shared" si="549"/>
      </c>
      <c r="CM76" s="333">
        <f t="shared" si="550"/>
      </c>
      <c r="CN76" s="333">
        <f t="shared" si="551"/>
      </c>
      <c r="CO76" s="1662">
        <f t="shared" si="551"/>
      </c>
      <c r="CP76" s="333">
        <f t="shared" si="552"/>
      </c>
      <c r="CQ76" s="333">
        <f t="shared" si="553"/>
      </c>
      <c r="CR76" s="333">
        <f t="shared" si="554"/>
      </c>
      <c r="CS76" s="1662">
        <f t="shared" si="554"/>
      </c>
      <c r="CT76" s="333">
        <f t="shared" si="555"/>
      </c>
      <c r="CU76" s="333">
        <f t="shared" si="556"/>
      </c>
      <c r="CV76" s="333">
        <f t="shared" si="557"/>
      </c>
      <c r="CW76" s="2364">
        <f t="shared" si="558"/>
      </c>
      <c r="CX76" s="333">
        <f t="shared" si="559"/>
      </c>
      <c r="CY76" s="333">
        <f t="shared" si="560"/>
      </c>
      <c r="CZ76" s="333">
        <f t="shared" si="561"/>
      </c>
      <c r="DA76" s="1663">
        <f t="shared" si="562"/>
      </c>
      <c r="DB76" s="333">
        <f t="shared" si="563"/>
      </c>
      <c r="DC76" s="333">
        <f t="shared" si="564"/>
      </c>
      <c r="DD76" s="333">
        <f t="shared" si="565"/>
      </c>
      <c r="DE76" s="1663">
        <f t="shared" si="566"/>
      </c>
      <c r="DF76" s="333">
        <f t="shared" si="567"/>
      </c>
      <c r="DG76" s="333">
        <f t="shared" si="568"/>
      </c>
      <c r="DH76" s="333">
        <f t="shared" si="569"/>
      </c>
      <c r="DI76" s="1663">
        <f t="shared" si="570"/>
      </c>
      <c r="DJ76" s="333">
        <f t="shared" si="571"/>
      </c>
      <c r="DK76" s="333">
        <f t="shared" si="572"/>
      </c>
      <c r="DL76" s="333">
        <f t="shared" si="573"/>
      </c>
      <c r="DM76" s="1663">
        <f t="shared" si="574"/>
      </c>
      <c r="DN76" s="333">
        <f t="shared" si="575"/>
      </c>
      <c r="DO76" s="333">
        <f t="shared" si="576"/>
      </c>
      <c r="DP76" s="333">
        <f t="shared" si="577"/>
      </c>
      <c r="DQ76" s="1663">
        <f t="shared" si="578"/>
      </c>
      <c r="EH76" s="1665"/>
      <c r="EI76" s="1665"/>
      <c r="EJ76" s="1665"/>
      <c r="EK76" s="1665"/>
      <c r="EL76" s="1665"/>
      <c r="EM76" s="1665"/>
      <c r="EN76" s="1665"/>
      <c r="EO76" s="1665"/>
      <c r="EP76" s="1665"/>
      <c r="EQ76" s="1665"/>
      <c r="ER76" s="1665"/>
      <c r="ES76" s="1665"/>
      <c r="ET76" s="1665"/>
      <c r="EU76" s="1665"/>
      <c r="EV76" s="1665"/>
      <c r="EW76" s="1665"/>
      <c r="EY76" s="1665"/>
      <c r="EZ76" s="1665"/>
      <c r="FA76" s="1665"/>
      <c r="FB76" s="1665"/>
      <c r="FC76" s="1665"/>
      <c r="FD76" s="1665"/>
      <c r="FE76" s="1665"/>
      <c r="FF76" s="1665"/>
    </row>
    <row r="77" spans="1:166" s="50" customFormat="1">
      <c r="A77" s="1655" t="s">
        <v>665</v>
      </c>
      <c r="B77" s="1650"/>
      <c r="C77" s="2365">
        <f t="shared" ref="C77:BN77" si="583">C38/B38-1</f>
      </c>
      <c r="D77" s="2365">
        <f t="shared" si="583"/>
      </c>
      <c r="E77" s="2365">
        <f t="shared" si="583"/>
      </c>
      <c r="F77" s="2366">
        <f t="shared" si="583"/>
      </c>
      <c r="G77" s="2365">
        <f t="shared" si="583"/>
      </c>
      <c r="H77" s="2365">
        <f t="shared" si="583"/>
      </c>
      <c r="I77" s="2367">
        <f t="shared" si="583"/>
      </c>
      <c r="J77" s="2365">
        <f t="shared" si="583"/>
      </c>
      <c r="K77" s="2365">
        <f t="shared" si="583"/>
      </c>
      <c r="L77" s="2365">
        <f t="shared" si="583"/>
      </c>
      <c r="M77" s="2365">
        <f t="shared" si="583"/>
      </c>
      <c r="N77" s="2366">
        <f t="shared" si="583"/>
      </c>
      <c r="O77" s="2365">
        <f t="shared" si="583"/>
      </c>
      <c r="P77" s="2365">
        <f t="shared" si="583"/>
      </c>
      <c r="Q77" s="2367">
        <f t="shared" si="583"/>
      </c>
      <c r="R77" s="2365">
        <f t="shared" si="583"/>
      </c>
      <c r="S77" s="2365">
        <f t="shared" si="583"/>
      </c>
      <c r="T77" s="2365">
        <f t="shared" si="583"/>
      </c>
      <c r="U77" s="2365">
        <f t="shared" si="583"/>
      </c>
      <c r="V77" s="2366">
        <f t="shared" si="583"/>
      </c>
      <c r="W77" s="2365">
        <f t="shared" si="583"/>
      </c>
      <c r="X77" s="2365">
        <f t="shared" si="583"/>
      </c>
      <c r="Y77" s="2367">
        <f t="shared" si="583"/>
      </c>
      <c r="Z77" s="2365">
        <f t="shared" si="583"/>
      </c>
      <c r="AA77" s="2365">
        <f t="shared" si="583"/>
      </c>
      <c r="AB77" s="2365">
        <f t="shared" si="583"/>
      </c>
      <c r="AC77" s="2365">
        <f t="shared" si="583"/>
      </c>
      <c r="AD77" s="2366">
        <f t="shared" si="583"/>
      </c>
      <c r="AE77" s="2365">
        <f t="shared" si="583"/>
      </c>
      <c r="AF77" s="2365">
        <f t="shared" si="583"/>
      </c>
      <c r="AG77" s="2367">
        <f t="shared" si="583"/>
      </c>
      <c r="AH77" s="2365">
        <f t="shared" si="583"/>
      </c>
      <c r="AI77" s="2365">
        <f t="shared" si="583"/>
      </c>
      <c r="AJ77" s="2365">
        <f t="shared" si="583"/>
      </c>
      <c r="AK77" s="2365">
        <f t="shared" si="583"/>
      </c>
      <c r="AL77" s="2365">
        <f t="shared" si="583"/>
      </c>
      <c r="AM77" s="2365">
        <f t="shared" si="583"/>
      </c>
      <c r="AN77" s="2365">
        <f t="shared" si="583"/>
      </c>
      <c r="AO77" s="2365">
        <f t="shared" si="583"/>
      </c>
      <c r="AP77" s="2366">
        <f t="shared" si="583"/>
      </c>
      <c r="AQ77" s="2365">
        <f t="shared" si="583"/>
      </c>
      <c r="AR77" s="2365">
        <f t="shared" si="583"/>
      </c>
      <c r="AS77" s="2365">
        <f t="shared" si="583"/>
      </c>
      <c r="AT77" s="2366">
        <f t="shared" si="583"/>
      </c>
      <c r="AU77" s="2365">
        <f t="shared" si="583"/>
      </c>
      <c r="AV77" s="2365">
        <f t="shared" si="583"/>
      </c>
      <c r="AW77" s="2367">
        <f t="shared" si="583"/>
      </c>
      <c r="AX77" s="2365">
        <f t="shared" si="583"/>
      </c>
      <c r="AY77" s="2365">
        <f t="shared" si="583"/>
      </c>
      <c r="AZ77" s="2365">
        <f t="shared" si="583"/>
      </c>
      <c r="BA77" s="2365">
        <f t="shared" si="583"/>
      </c>
      <c r="BB77" s="2366">
        <f t="shared" si="583"/>
      </c>
      <c r="BC77" s="2365">
        <f t="shared" si="583"/>
      </c>
      <c r="BD77" s="2365">
        <f t="shared" si="583"/>
      </c>
      <c r="BE77" s="2367">
        <f t="shared" si="583"/>
      </c>
      <c r="BF77" s="2365">
        <f t="shared" si="583"/>
      </c>
      <c r="BG77" s="2365">
        <f t="shared" si="583"/>
      </c>
      <c r="BH77" s="2365">
        <f t="shared" si="583"/>
      </c>
      <c r="BI77" s="2365">
        <f t="shared" si="583"/>
      </c>
      <c r="BJ77" s="2366">
        <f t="shared" si="583"/>
      </c>
      <c r="BK77" s="2365">
        <f t="shared" si="583"/>
      </c>
      <c r="BL77" s="2365">
        <f t="shared" si="583"/>
      </c>
      <c r="BM77" s="2367">
        <f t="shared" si="583"/>
      </c>
      <c r="BN77" s="2365">
        <f t="shared" si="583"/>
      </c>
      <c r="BO77" s="2365">
        <f t="shared" ref="BO77:CK77" si="584">BO38/BN38-1</f>
      </c>
      <c r="BP77" s="2365">
        <f t="shared" si="584"/>
      </c>
      <c r="BQ77" s="2365">
        <f t="shared" si="584"/>
      </c>
      <c r="BR77" s="2366">
        <f t="shared" si="584"/>
      </c>
      <c r="BS77" s="2365">
        <f t="shared" si="584"/>
      </c>
      <c r="BT77" s="2365">
        <f t="shared" si="584"/>
      </c>
      <c r="BU77" s="2367">
        <f t="shared" si="584"/>
      </c>
      <c r="BV77" s="2365">
        <f t="shared" si="584"/>
      </c>
      <c r="BW77" s="2365">
        <f t="shared" si="584"/>
      </c>
      <c r="BX77" s="2365">
        <f t="shared" si="584"/>
      </c>
      <c r="BY77" s="2365">
        <f t="shared" si="584"/>
      </c>
      <c r="BZ77" s="2366">
        <f t="shared" si="584"/>
      </c>
      <c r="CA77" s="2365">
        <f t="shared" si="584"/>
      </c>
      <c r="CB77" s="2365">
        <f t="shared" si="584"/>
      </c>
      <c r="CC77" s="2367">
        <f t="shared" si="584"/>
      </c>
      <c r="CD77" s="2365">
        <f t="shared" si="584"/>
      </c>
      <c r="CE77" s="2365">
        <f t="shared" si="584"/>
      </c>
      <c r="CF77" s="2365">
        <f t="shared" si="584"/>
      </c>
      <c r="CG77" s="2367">
        <f t="shared" si="584"/>
      </c>
      <c r="CH77" s="2365">
        <f t="shared" si="584"/>
      </c>
      <c r="CI77" s="2365">
        <f t="shared" si="584"/>
      </c>
      <c r="CJ77" s="2365">
        <f t="shared" si="584"/>
      </c>
      <c r="CK77" s="2367">
        <f t="shared" si="584"/>
      </c>
      <c r="CL77" s="2365">
        <f t="shared" si="549"/>
      </c>
      <c r="CM77" s="2365">
        <f t="shared" si="550"/>
      </c>
      <c r="CN77" s="2365">
        <f t="shared" si="551"/>
      </c>
      <c r="CO77" s="2367">
        <f t="shared" si="551"/>
      </c>
      <c r="CP77" s="2366">
        <f t="shared" si="552"/>
      </c>
      <c r="CQ77" s="2365">
        <f t="shared" si="553"/>
      </c>
      <c r="CR77" s="2365">
        <f t="shared" si="554"/>
      </c>
      <c r="CS77" s="2367">
        <f t="shared" si="554"/>
      </c>
      <c r="CT77" s="2366">
        <f t="shared" si="555"/>
      </c>
      <c r="CU77" s="2365">
        <f t="shared" si="556"/>
      </c>
      <c r="CV77" s="2365">
        <f t="shared" si="557"/>
      </c>
      <c r="CW77" s="1652">
        <f t="shared" si="558"/>
      </c>
      <c r="CX77" s="2366">
        <f t="shared" si="559"/>
      </c>
      <c r="CY77" s="2365">
        <f t="shared" si="560"/>
      </c>
      <c r="CZ77" s="2365">
        <f t="shared" si="561"/>
      </c>
      <c r="DA77" s="1652">
        <f t="shared" si="562"/>
      </c>
      <c r="DB77" s="2366">
        <f t="shared" si="563"/>
      </c>
      <c r="DC77" s="2365">
        <f t="shared" si="564"/>
      </c>
      <c r="DD77" s="2365">
        <f t="shared" si="565"/>
      </c>
      <c r="DE77" s="1652">
        <f t="shared" si="566"/>
      </c>
      <c r="DF77" s="2366">
        <f t="shared" si="567"/>
      </c>
      <c r="DG77" s="2365">
        <f t="shared" si="568"/>
      </c>
      <c r="DH77" s="2365">
        <f t="shared" si="569"/>
      </c>
      <c r="DI77" s="1652">
        <f t="shared" si="570"/>
      </c>
      <c r="DJ77" s="2366">
        <f t="shared" si="571"/>
      </c>
      <c r="DK77" s="2365">
        <f t="shared" si="572"/>
      </c>
      <c r="DL77" s="2365">
        <f t="shared" si="573"/>
      </c>
      <c r="DM77" s="1652">
        <f t="shared" si="574"/>
      </c>
      <c r="DN77" s="2366">
        <f t="shared" si="575"/>
      </c>
      <c r="DO77" s="2365">
        <f t="shared" si="576"/>
      </c>
      <c r="DP77" s="2365">
        <f t="shared" si="577"/>
      </c>
      <c r="DQ77" s="1652">
        <f t="shared" si="578"/>
      </c>
      <c r="DR77" s="1650"/>
      <c r="DS77" s="1650"/>
      <c r="DT77" s="1650"/>
      <c r="DU77" s="1650"/>
      <c r="DV77" s="1650"/>
      <c r="DW77" s="1650"/>
      <c r="DX77" s="1650"/>
      <c r="DY77" s="1650"/>
      <c r="DZ77" s="1650"/>
      <c r="EA77" s="1650"/>
      <c r="EB77" s="1650"/>
      <c r="EC77" s="1650"/>
      <c r="ED77" s="1650"/>
      <c r="EE77" s="1650"/>
      <c r="EF77" s="1650"/>
      <c r="EG77" s="1650"/>
      <c r="EH77" s="1650"/>
      <c r="EI77" s="1650"/>
      <c r="EJ77" s="1650"/>
      <c r="EK77" s="1650"/>
      <c r="EL77" s="1650"/>
      <c r="EM77" s="1650"/>
      <c r="EN77" s="1650"/>
      <c r="EO77" s="1650"/>
      <c r="EP77" s="1650"/>
      <c r="EQ77" s="1650"/>
      <c r="ER77" s="1650"/>
      <c r="ES77" s="1650"/>
      <c r="ET77" s="1650"/>
      <c r="EU77" s="1650"/>
      <c r="EV77" s="1650"/>
      <c r="EW77" s="1650"/>
      <c r="EX77" s="1650"/>
      <c r="EY77" s="1650"/>
      <c r="EZ77" s="1650"/>
      <c r="FA77" s="1650"/>
      <c r="FB77" s="1650"/>
      <c r="FC77" s="1650"/>
      <c r="FD77" s="1650"/>
      <c r="FE77" s="1650"/>
      <c r="FF77" s="1650"/>
      <c r="FG77" s="1650"/>
      <c r="FH77" s="1650"/>
      <c r="FI77" s="1650"/>
      <c r="FJ77" s="1650"/>
    </row>
    <row r="78" spans="1:166">
      <c r="A78" s="1514"/>
    </row>
    <row r="79" spans="1:166">
      <c r="A79" s="1526" t="s">
        <v>1407</v>
      </c>
      <c r="B79" s="1476"/>
      <c r="C79" s="1476"/>
      <c r="D79" s="1476"/>
      <c r="E79" s="1476"/>
      <c r="F79" s="1488"/>
      <c r="G79" s="1476"/>
      <c r="H79" s="1476"/>
      <c r="I79" s="1477"/>
      <c r="J79" s="1476"/>
      <c r="K79" s="1476"/>
      <c r="L79" s="1476"/>
      <c r="M79" s="1476"/>
      <c r="N79" s="1488"/>
      <c r="O79" s="1476"/>
      <c r="P79" s="1476"/>
      <c r="Q79" s="1477"/>
      <c r="R79" s="1476"/>
      <c r="S79" s="1476"/>
      <c r="T79" s="1476"/>
      <c r="U79" s="1476"/>
      <c r="V79" s="1488"/>
      <c r="W79" s="1476"/>
      <c r="X79" s="1476"/>
      <c r="Y79" s="1477"/>
      <c r="Z79" s="1476"/>
      <c r="AA79" s="1476"/>
      <c r="AB79" s="1476"/>
      <c r="AC79" s="1476"/>
      <c r="AD79" s="1488"/>
      <c r="AE79" s="1476"/>
      <c r="AF79" s="1476"/>
      <c r="AG79" s="1477"/>
      <c r="AH79" s="1476"/>
      <c r="AI79" s="1476"/>
      <c r="AJ79" s="1476"/>
      <c r="AK79" s="1476"/>
      <c r="AL79" s="1488"/>
      <c r="AM79" s="1476"/>
      <c r="AN79" s="1476"/>
      <c r="AO79" s="1477"/>
      <c r="AP79" s="1476"/>
      <c r="AQ79" s="1476"/>
      <c r="AR79" s="1476"/>
      <c r="AS79" s="1476"/>
      <c r="AT79" s="1488"/>
      <c r="AU79" s="1476"/>
      <c r="AV79" s="1476"/>
      <c r="AW79" s="1477"/>
      <c r="AX79" s="1476"/>
      <c r="AY79" s="1476"/>
      <c r="AZ79" s="1476"/>
      <c r="BA79" s="1476"/>
      <c r="BB79" s="1488"/>
      <c r="BC79" s="1476"/>
      <c r="BD79" s="1476"/>
      <c r="BE79" s="1477"/>
      <c r="BF79" s="1476"/>
      <c r="BG79" s="1476"/>
      <c r="BH79" s="1476"/>
      <c r="BI79" s="1476"/>
      <c r="BJ79" s="1488"/>
      <c r="BK79" s="1476"/>
      <c r="BL79" s="1476"/>
      <c r="BM79" s="1477"/>
      <c r="BN79" s="1476"/>
      <c r="BO79" s="1476"/>
      <c r="BP79" s="1476"/>
      <c r="BQ79" s="1476"/>
      <c r="BR79" s="1488"/>
      <c r="BS79" s="1476"/>
      <c r="BT79" s="1476"/>
      <c r="BU79" s="1477"/>
      <c r="BV79" s="1476"/>
      <c r="BW79" s="1476"/>
      <c r="BX79" s="1476"/>
      <c r="BY79" s="1476"/>
      <c r="BZ79" s="1488"/>
      <c r="CA79" s="1476"/>
      <c r="CB79" s="1476"/>
      <c r="CC79" s="1477"/>
      <c r="CD79" s="1476"/>
      <c r="CE79" s="1476"/>
      <c r="CF79" s="1476"/>
      <c r="CG79" s="1476"/>
      <c r="CH79" s="1488"/>
      <c r="CI79" s="1476"/>
      <c r="CJ79" s="1476"/>
      <c r="CK79" s="1477"/>
      <c r="CL79" s="1488"/>
      <c r="CM79" s="1476"/>
      <c r="CN79" s="1476"/>
      <c r="CO79" s="1477"/>
      <c r="CP79" s="1488"/>
      <c r="CQ79" s="1476"/>
      <c r="CR79" s="1476"/>
      <c r="CS79" s="1477"/>
      <c r="CT79" s="1488"/>
      <c r="CU79" s="1476"/>
      <c r="CV79" s="1476"/>
      <c r="CW79" s="1477"/>
      <c r="CX79" s="1488"/>
      <c r="CY79" s="1476"/>
      <c r="CZ79" s="1476"/>
      <c r="DA79" s="1477"/>
      <c r="DB79" s="1488"/>
      <c r="DC79" s="1476"/>
      <c r="DD79" s="1476"/>
      <c r="DE79" s="1477"/>
      <c r="DF79" s="1488"/>
      <c r="DG79" s="1476"/>
      <c r="DH79" s="1476"/>
      <c r="DI79" s="1477"/>
      <c r="DJ79" s="1488"/>
      <c r="DK79" s="1476"/>
      <c r="DL79" s="1476"/>
      <c r="DM79" s="1477"/>
      <c r="DN79" s="1488"/>
      <c r="DO79" s="1476"/>
      <c r="DP79" s="1476"/>
      <c r="DQ79" s="1477"/>
      <c r="DR79" s="1476"/>
      <c r="DS79" s="1476"/>
      <c r="DT79" s="1476"/>
      <c r="DU79" s="1476"/>
      <c r="DV79" s="1476"/>
      <c r="DW79" s="1476"/>
      <c r="DX79" s="1476"/>
      <c r="DY79" s="1476"/>
      <c r="DZ79" s="1476"/>
      <c r="EA79" s="1476"/>
      <c r="EB79" s="1476"/>
      <c r="EC79" s="1476"/>
      <c r="ED79" s="1476"/>
      <c r="EE79" s="1476"/>
      <c r="EF79" s="1476"/>
      <c r="EG79" s="1476"/>
      <c r="EH79" s="1476"/>
      <c r="EI79" s="1507"/>
      <c r="EJ79" s="1507"/>
      <c r="EK79" s="1507"/>
      <c r="EL79" s="1507"/>
      <c r="EM79" s="1507"/>
      <c r="EN79" s="1507"/>
      <c r="EO79" s="1507"/>
      <c r="EP79" s="1507"/>
      <c r="EQ79" s="1507"/>
      <c r="ER79" s="1507"/>
      <c r="ES79" s="1507"/>
      <c r="ET79" s="1507"/>
      <c r="EU79" s="1507"/>
      <c r="EV79" s="1507"/>
      <c r="EW79" s="1507"/>
      <c r="EX79" s="1476"/>
      <c r="EY79" s="1476"/>
      <c r="EZ79" s="1476"/>
      <c r="FA79" s="1476"/>
      <c r="FB79" s="1476"/>
      <c r="FC79" s="1476"/>
      <c r="FD79" s="1476"/>
      <c r="FE79" s="1476"/>
      <c r="FF79" s="1476"/>
      <c r="FG79" s="1476"/>
      <c r="FH79" s="1476"/>
      <c r="FI79" s="1476"/>
      <c r="FJ79" s="1476"/>
    </row>
    <row r="80" spans="1:166" s="2301" customFormat="1" ht="12" customHeight="1">
      <c r="A80" s="2298" t="s">
        <v>168</v>
      </c>
      <c r="B80" s="1463">
        <f t="shared" ref="B80:AG80" si="585">B9/B$16</f>
      </c>
      <c r="C80" s="1463">
        <f t="shared" si="585"/>
      </c>
      <c r="D80" s="1463">
        <f t="shared" si="585"/>
      </c>
      <c r="E80" s="1463">
        <f t="shared" si="585"/>
      </c>
      <c r="F80" s="2299">
        <f t="shared" si="585"/>
      </c>
      <c r="G80" s="1463">
        <f t="shared" si="585"/>
      </c>
      <c r="H80" s="1463">
        <f t="shared" si="585"/>
      </c>
      <c r="I80" s="2300">
        <f t="shared" si="585"/>
      </c>
      <c r="J80" s="1463">
        <f t="shared" si="585"/>
      </c>
      <c r="K80" s="1463">
        <f t="shared" si="585"/>
      </c>
      <c r="L80" s="1463">
        <f t="shared" si="585"/>
      </c>
      <c r="M80" s="1463">
        <f t="shared" si="585"/>
      </c>
      <c r="N80" s="2299">
        <f t="shared" si="585"/>
      </c>
      <c r="O80" s="1463">
        <f t="shared" si="585"/>
      </c>
      <c r="P80" s="1463">
        <f t="shared" si="585"/>
      </c>
      <c r="Q80" s="2300">
        <f t="shared" si="585"/>
      </c>
      <c r="R80" s="1463">
        <f t="shared" si="585"/>
      </c>
      <c r="S80" s="1463">
        <f t="shared" si="585"/>
      </c>
      <c r="T80" s="1463">
        <f t="shared" si="585"/>
      </c>
      <c r="U80" s="1463">
        <f t="shared" si="585"/>
      </c>
      <c r="V80" s="2299">
        <f t="shared" si="585"/>
      </c>
      <c r="W80" s="1463">
        <f t="shared" si="585"/>
      </c>
      <c r="X80" s="1463">
        <f t="shared" si="585"/>
      </c>
      <c r="Y80" s="2300">
        <f t="shared" si="585"/>
      </c>
      <c r="Z80" s="1463">
        <f t="shared" si="585"/>
      </c>
      <c r="AA80" s="1463">
        <f t="shared" si="585"/>
      </c>
      <c r="AB80" s="1463">
        <f t="shared" si="585"/>
      </c>
      <c r="AC80" s="1463">
        <f t="shared" si="585"/>
      </c>
      <c r="AD80" s="2299">
        <f t="shared" si="585"/>
      </c>
      <c r="AE80" s="1463">
        <f t="shared" si="585"/>
      </c>
      <c r="AF80" s="1463">
        <f t="shared" si="585"/>
      </c>
      <c r="AG80" s="2300">
        <f t="shared" si="585"/>
      </c>
      <c r="AH80" s="1463">
        <f t="shared" ref="AH80:BM80" si="586">AH9/AH$16</f>
      </c>
      <c r="AI80" s="1463">
        <f t="shared" si="586"/>
      </c>
      <c r="AJ80" s="1463">
        <f t="shared" si="586"/>
      </c>
      <c r="AK80" s="1463">
        <f t="shared" si="586"/>
      </c>
      <c r="AL80" s="2299">
        <f t="shared" si="586"/>
      </c>
      <c r="AM80" s="1463">
        <f t="shared" si="586"/>
      </c>
      <c r="AN80" s="1463">
        <f t="shared" si="586"/>
      </c>
      <c r="AO80" s="2300">
        <f t="shared" si="586"/>
      </c>
      <c r="AP80" s="1463">
        <f t="shared" si="586"/>
      </c>
      <c r="AQ80" s="1463">
        <f t="shared" si="586"/>
      </c>
      <c r="AR80" s="1463">
        <f t="shared" si="586"/>
      </c>
      <c r="AS80" s="1463">
        <f t="shared" si="586"/>
      </c>
      <c r="AT80" s="2299">
        <f t="shared" si="586"/>
      </c>
      <c r="AU80" s="1463">
        <f t="shared" si="586"/>
      </c>
      <c r="AV80" s="1463">
        <f t="shared" si="586"/>
      </c>
      <c r="AW80" s="2300">
        <f t="shared" si="586"/>
      </c>
      <c r="AX80" s="1463">
        <f t="shared" si="586"/>
      </c>
      <c r="AY80" s="1463">
        <f t="shared" si="586"/>
      </c>
      <c r="AZ80" s="1463">
        <f t="shared" si="586"/>
      </c>
      <c r="BA80" s="1463">
        <f t="shared" si="586"/>
      </c>
      <c r="BB80" s="2299">
        <f t="shared" si="586"/>
      </c>
      <c r="BC80" s="1463">
        <f t="shared" si="586"/>
      </c>
      <c r="BD80" s="1463">
        <f t="shared" si="586"/>
      </c>
      <c r="BE80" s="2300">
        <f t="shared" si="586"/>
      </c>
      <c r="BF80" s="1463">
        <f t="shared" si="586"/>
      </c>
      <c r="BG80" s="1463">
        <f t="shared" si="586"/>
      </c>
      <c r="BH80" s="1463">
        <f t="shared" si="586"/>
      </c>
      <c r="BI80" s="1463">
        <f t="shared" si="586"/>
      </c>
      <c r="BJ80" s="2299">
        <f t="shared" si="586"/>
      </c>
      <c r="BK80" s="1463">
        <f t="shared" si="586"/>
      </c>
      <c r="BL80" s="1463">
        <f t="shared" si="586"/>
      </c>
      <c r="BM80" s="2300">
        <f t="shared" si="586"/>
      </c>
      <c r="BN80" s="1463">
        <f t="shared" ref="BN80:CJ80" si="587">BN9/BN$16</f>
      </c>
      <c r="BO80" s="1463">
        <f t="shared" si="587"/>
      </c>
      <c r="BP80" s="1463">
        <f t="shared" si="587"/>
      </c>
      <c r="BQ80" s="1463">
        <f t="shared" si="587"/>
      </c>
      <c r="BR80" s="2299">
        <f t="shared" si="587"/>
      </c>
      <c r="BS80" s="1463">
        <f t="shared" si="587"/>
      </c>
      <c r="BT80" s="1463">
        <f t="shared" si="587"/>
      </c>
      <c r="BU80" s="2300">
        <f t="shared" si="587"/>
      </c>
      <c r="BV80" s="1463">
        <f t="shared" si="587"/>
      </c>
      <c r="BW80" s="1463">
        <f t="shared" si="587"/>
      </c>
      <c r="BX80" s="1463">
        <f t="shared" si="587"/>
      </c>
      <c r="BY80" s="1463">
        <f t="shared" si="587"/>
      </c>
      <c r="BZ80" s="2299">
        <f t="shared" si="587"/>
      </c>
      <c r="CA80" s="1463">
        <f t="shared" si="587"/>
      </c>
      <c r="CB80" s="1463">
        <f t="shared" si="587"/>
      </c>
      <c r="CC80" s="2300">
        <f t="shared" si="587"/>
      </c>
      <c r="CD80" s="1463">
        <f t="shared" si="587"/>
      </c>
      <c r="CE80" s="1463">
        <f t="shared" si="587"/>
      </c>
      <c r="CF80" s="1463">
        <f t="shared" si="587"/>
      </c>
      <c r="CG80" s="1463">
        <f t="shared" si="587"/>
      </c>
      <c r="CH80" s="2299">
        <f t="shared" si="587"/>
      </c>
      <c r="CI80" s="1463">
        <f t="shared" si="587"/>
      </c>
      <c r="CJ80" s="1463">
        <f t="shared" si="587"/>
      </c>
      <c r="CK80" s="1463">
        <f>CK9/CK$16</f>
      </c>
      <c r="CL80" s="2299">
        <f t="shared" ref="CL80:DQ80" si="588">CL9/CL$16</f>
      </c>
      <c r="CM80" s="1463">
        <f t="shared" si="588"/>
      </c>
      <c r="CN80" s="1463">
        <f t="shared" si="588"/>
      </c>
      <c r="CO80" s="2300">
        <f t="shared" si="588"/>
      </c>
      <c r="CP80" s="2299">
        <f t="shared" si="588"/>
      </c>
      <c r="CQ80" s="1463">
        <f t="shared" si="588"/>
      </c>
      <c r="CR80" s="1463">
        <f t="shared" si="588"/>
      </c>
      <c r="CS80" s="2300">
        <f t="shared" si="588"/>
      </c>
      <c r="CT80" s="2299">
        <f t="shared" si="588"/>
      </c>
      <c r="CU80" s="1463">
        <f t="shared" si="588"/>
      </c>
      <c r="CV80" s="1463">
        <f t="shared" si="588"/>
      </c>
      <c r="CW80" s="2300">
        <f t="shared" si="588"/>
      </c>
      <c r="CX80" s="2299">
        <f t="shared" si="588"/>
      </c>
      <c r="CY80" s="1463">
        <f t="shared" si="588"/>
      </c>
      <c r="CZ80" s="1463">
        <f t="shared" si="588"/>
      </c>
      <c r="DA80" s="2300">
        <f t="shared" si="588"/>
      </c>
      <c r="DB80" s="2299">
        <f t="shared" si="588"/>
      </c>
      <c r="DC80" s="1463">
        <f t="shared" si="588"/>
      </c>
      <c r="DD80" s="1463">
        <f t="shared" si="588"/>
      </c>
      <c r="DE80" s="2300">
        <f t="shared" si="588"/>
      </c>
      <c r="DF80" s="2299">
        <f t="shared" si="588"/>
      </c>
      <c r="DG80" s="1463">
        <f t="shared" si="588"/>
      </c>
      <c r="DH80" s="1463">
        <f t="shared" si="588"/>
      </c>
      <c r="DI80" s="2300">
        <f t="shared" si="588"/>
      </c>
      <c r="DJ80" s="2299">
        <f t="shared" si="588"/>
      </c>
      <c r="DK80" s="1463">
        <f t="shared" si="588"/>
      </c>
      <c r="DL80" s="1463">
        <f t="shared" si="588"/>
      </c>
      <c r="DM80" s="2300">
        <f t="shared" si="588"/>
      </c>
      <c r="DN80" s="2299">
        <f t="shared" si="588"/>
      </c>
      <c r="DO80" s="1463">
        <f t="shared" si="588"/>
      </c>
      <c r="DP80" s="1463">
        <f t="shared" si="588"/>
      </c>
      <c r="DQ80" s="2300">
        <f t="shared" si="588"/>
      </c>
      <c r="DR80" s="1463"/>
      <c r="DS80" s="1463">
        <f>DS9/'Income Statement'!ER$9</f>
      </c>
      <c r="DT80" s="1463">
        <f>DT9/'Income Statement'!ES$9</f>
      </c>
      <c r="DU80" s="1463">
        <f>DU9/'Income Statement'!ET$9</f>
      </c>
      <c r="DV80" s="1463">
        <f>DV9/'Income Statement'!EU$9</f>
      </c>
      <c r="DW80" s="1463">
        <f>DW9/'Income Statement'!EV$9</f>
      </c>
      <c r="DX80" s="1463">
        <f>DX9/'Income Statement'!EW$9</f>
      </c>
      <c r="DY80" s="1463">
        <f>DY9/'Income Statement'!EX$9</f>
      </c>
      <c r="DZ80" s="1463">
        <f>DZ9/'Income Statement'!EY$9</f>
      </c>
      <c r="EA80" s="1463">
        <f>EA9/'Income Statement'!EZ$9</f>
      </c>
      <c r="EB80" s="1463">
        <f>EB9/'Income Statement'!FA$9</f>
      </c>
      <c r="EC80" s="1463">
        <f>EC9/'Income Statement'!FB$9</f>
      </c>
      <c r="ED80" s="1463">
        <f>ED9/'Income Statement'!FC$9</f>
      </c>
      <c r="EE80" s="1463">
        <f>EE9/'Income Statement'!FD$9</f>
      </c>
      <c r="EF80" s="1463">
        <f>EF9/'Income Statement'!FE$9</f>
      </c>
      <c r="EG80" s="1463">
        <f t="shared" ref="EG80:EN85" si="589">EG9/EG$16</f>
      </c>
      <c r="EH80" s="1463">
        <f t="shared" si="589"/>
      </c>
      <c r="EI80" s="1463">
        <f t="shared" si="589"/>
      </c>
      <c r="EJ80" s="1463">
        <f t="shared" si="589"/>
      </c>
      <c r="EK80" s="1463">
        <f t="shared" si="589"/>
      </c>
      <c r="EL80" s="1463">
        <f t="shared" si="589"/>
      </c>
      <c r="EM80" s="1463">
        <f t="shared" si="589"/>
      </c>
      <c r="EN80" s="1463">
        <f t="shared" si="589"/>
      </c>
      <c r="EO80" s="1463">
        <f t="shared" ref="EO80:EV80" si="590">EO9/EO$16</f>
      </c>
      <c r="EP80" s="1463">
        <f t="shared" si="590"/>
      </c>
      <c r="EQ80" s="1463">
        <f t="shared" si="590"/>
      </c>
      <c r="ER80" s="1463">
        <f t="shared" si="590"/>
      </c>
      <c r="ES80" s="1463">
        <f t="shared" si="590"/>
      </c>
      <c r="ET80" s="1463">
        <f t="shared" si="590"/>
      </c>
      <c r="EU80" s="1463">
        <f t="shared" si="590"/>
      </c>
      <c r="EV80" s="1463">
        <f t="shared" si="590"/>
      </c>
      <c r="EW80" s="1463"/>
      <c r="EX80" s="1463"/>
      <c r="EY80" s="1463">
        <f t="shared" ref="EY80:FF84" si="591">EY9/EY$16</f>
      </c>
      <c r="EZ80" s="1463">
        <f t="shared" si="591"/>
      </c>
      <c r="FA80" s="1463">
        <f t="shared" si="591"/>
      </c>
      <c r="FB80" s="1463">
        <f t="shared" si="591"/>
      </c>
      <c r="FC80" s="1463">
        <f t="shared" si="591"/>
      </c>
      <c r="FD80" s="1463">
        <f t="shared" si="591"/>
      </c>
      <c r="FE80" s="1463">
        <f t="shared" si="591"/>
      </c>
      <c r="FF80" s="1463">
        <f t="shared" si="591"/>
      </c>
      <c r="FG80" s="1463"/>
      <c r="FH80" s="1463"/>
      <c r="FI80" s="1463"/>
      <c r="FJ80" s="1463"/>
    </row>
    <row r="81" spans="1:166" s="2301" customFormat="1" ht="12" customHeight="1">
      <c r="A81" s="2298" t="s">
        <v>663</v>
      </c>
      <c r="B81" s="1463">
        <f t="shared" ref="B81:AG81" si="592">B10/B$16</f>
      </c>
      <c r="C81" s="1463">
        <f t="shared" si="592"/>
      </c>
      <c r="D81" s="1463">
        <f t="shared" si="592"/>
      </c>
      <c r="E81" s="1463">
        <f t="shared" si="592"/>
      </c>
      <c r="F81" s="2299">
        <f t="shared" si="592"/>
      </c>
      <c r="G81" s="1463">
        <f t="shared" si="592"/>
      </c>
      <c r="H81" s="1463">
        <f t="shared" si="592"/>
      </c>
      <c r="I81" s="2300">
        <f t="shared" si="592"/>
      </c>
      <c r="J81" s="1463">
        <f t="shared" si="592"/>
      </c>
      <c r="K81" s="1463">
        <f t="shared" si="592"/>
      </c>
      <c r="L81" s="1463">
        <f t="shared" si="592"/>
      </c>
      <c r="M81" s="1463">
        <f t="shared" si="592"/>
      </c>
      <c r="N81" s="2299">
        <f t="shared" si="592"/>
      </c>
      <c r="O81" s="1463">
        <f t="shared" si="592"/>
      </c>
      <c r="P81" s="1463">
        <f t="shared" si="592"/>
      </c>
      <c r="Q81" s="2300">
        <f t="shared" si="592"/>
      </c>
      <c r="R81" s="1463">
        <f t="shared" si="592"/>
      </c>
      <c r="S81" s="1463">
        <f t="shared" si="592"/>
      </c>
      <c r="T81" s="1463">
        <f t="shared" si="592"/>
      </c>
      <c r="U81" s="1463">
        <f t="shared" si="592"/>
      </c>
      <c r="V81" s="2299">
        <f t="shared" si="592"/>
      </c>
      <c r="W81" s="1463">
        <f t="shared" si="592"/>
      </c>
      <c r="X81" s="1463">
        <f t="shared" si="592"/>
      </c>
      <c r="Y81" s="2300">
        <f t="shared" si="592"/>
      </c>
      <c r="Z81" s="1463">
        <f t="shared" si="592"/>
      </c>
      <c r="AA81" s="1463">
        <f t="shared" si="592"/>
      </c>
      <c r="AB81" s="1463">
        <f t="shared" si="592"/>
      </c>
      <c r="AC81" s="1463">
        <f t="shared" si="592"/>
      </c>
      <c r="AD81" s="2299">
        <f t="shared" si="592"/>
      </c>
      <c r="AE81" s="1463">
        <f t="shared" si="592"/>
      </c>
      <c r="AF81" s="1463">
        <f t="shared" si="592"/>
      </c>
      <c r="AG81" s="2300">
        <f t="shared" si="592"/>
      </c>
      <c r="AH81" s="1463">
        <f t="shared" ref="AH81:BM81" si="593">AH10/AH$16</f>
      </c>
      <c r="AI81" s="1463">
        <f t="shared" si="593"/>
      </c>
      <c r="AJ81" s="1463">
        <f t="shared" si="593"/>
      </c>
      <c r="AK81" s="1463">
        <f t="shared" si="593"/>
      </c>
      <c r="AL81" s="2299">
        <f t="shared" si="593"/>
      </c>
      <c r="AM81" s="1463">
        <f t="shared" si="593"/>
      </c>
      <c r="AN81" s="1463">
        <f t="shared" si="593"/>
      </c>
      <c r="AO81" s="2300">
        <f t="shared" si="593"/>
      </c>
      <c r="AP81" s="1463">
        <f t="shared" si="593"/>
      </c>
      <c r="AQ81" s="1463">
        <f t="shared" si="593"/>
      </c>
      <c r="AR81" s="1463">
        <f t="shared" si="593"/>
      </c>
      <c r="AS81" s="1463">
        <f t="shared" si="593"/>
      </c>
      <c r="AT81" s="2299">
        <f t="shared" si="593"/>
      </c>
      <c r="AU81" s="1463">
        <f t="shared" si="593"/>
      </c>
      <c r="AV81" s="1463">
        <f t="shared" si="593"/>
      </c>
      <c r="AW81" s="2300">
        <f t="shared" si="593"/>
      </c>
      <c r="AX81" s="1463">
        <f t="shared" si="593"/>
      </c>
      <c r="AY81" s="1463">
        <f t="shared" si="593"/>
      </c>
      <c r="AZ81" s="1463">
        <f t="shared" si="593"/>
      </c>
      <c r="BA81" s="1463">
        <f t="shared" si="593"/>
      </c>
      <c r="BB81" s="2299">
        <f t="shared" si="593"/>
      </c>
      <c r="BC81" s="1463">
        <f t="shared" si="593"/>
      </c>
      <c r="BD81" s="1463">
        <f t="shared" si="593"/>
      </c>
      <c r="BE81" s="2300">
        <f t="shared" si="593"/>
      </c>
      <c r="BF81" s="1463">
        <f t="shared" si="593"/>
      </c>
      <c r="BG81" s="1463">
        <f t="shared" si="593"/>
      </c>
      <c r="BH81" s="1463">
        <f t="shared" si="593"/>
      </c>
      <c r="BI81" s="1463">
        <f t="shared" si="593"/>
      </c>
      <c r="BJ81" s="2299">
        <f t="shared" si="593"/>
      </c>
      <c r="BK81" s="1463">
        <f t="shared" si="593"/>
      </c>
      <c r="BL81" s="1463">
        <f t="shared" si="593"/>
      </c>
      <c r="BM81" s="2300">
        <f t="shared" si="593"/>
      </c>
      <c r="BN81" s="1463">
        <f t="shared" ref="BN81:CK81" si="594">BN10/BN$16</f>
      </c>
      <c r="BO81" s="1463">
        <f t="shared" si="594"/>
      </c>
      <c r="BP81" s="1463">
        <f t="shared" si="594"/>
      </c>
      <c r="BQ81" s="1463">
        <f t="shared" si="594"/>
      </c>
      <c r="BR81" s="2299">
        <f t="shared" si="594"/>
      </c>
      <c r="BS81" s="1463">
        <f t="shared" si="594"/>
      </c>
      <c r="BT81" s="1463">
        <f t="shared" si="594"/>
      </c>
      <c r="BU81" s="2300">
        <f t="shared" si="594"/>
      </c>
      <c r="BV81" s="1463">
        <f t="shared" si="594"/>
      </c>
      <c r="BW81" s="1463">
        <f t="shared" si="594"/>
      </c>
      <c r="BX81" s="1463">
        <f t="shared" si="594"/>
      </c>
      <c r="BY81" s="1463">
        <f t="shared" si="594"/>
      </c>
      <c r="BZ81" s="2299">
        <f t="shared" si="594"/>
      </c>
      <c r="CA81" s="1463">
        <f t="shared" si="594"/>
      </c>
      <c r="CB81" s="1463">
        <f t="shared" si="594"/>
      </c>
      <c r="CC81" s="2300">
        <f t="shared" si="594"/>
      </c>
      <c r="CD81" s="1463">
        <f t="shared" si="594"/>
      </c>
      <c r="CE81" s="1463">
        <f t="shared" si="594"/>
      </c>
      <c r="CF81" s="1463">
        <f t="shared" si="594"/>
      </c>
      <c r="CG81" s="1463">
        <f t="shared" si="594"/>
      </c>
      <c r="CH81" s="2299">
        <f t="shared" si="594"/>
      </c>
      <c r="CI81" s="1463">
        <f t="shared" si="594"/>
      </c>
      <c r="CJ81" s="1463">
        <f t="shared" si="594"/>
      </c>
      <c r="CK81" s="1463">
        <f t="shared" si="594"/>
      </c>
      <c r="CL81" s="2299">
        <f t="shared" ref="CL81:DQ81" si="595">CL10/CL$16</f>
      </c>
      <c r="CM81" s="1463">
        <f t="shared" si="595"/>
      </c>
      <c r="CN81" s="1463">
        <f t="shared" si="595"/>
      </c>
      <c r="CO81" s="2300">
        <f t="shared" si="595"/>
      </c>
      <c r="CP81" s="2299">
        <f t="shared" si="595"/>
      </c>
      <c r="CQ81" s="1463">
        <f t="shared" si="595"/>
      </c>
      <c r="CR81" s="1463">
        <f t="shared" si="595"/>
      </c>
      <c r="CS81" s="2300">
        <f t="shared" si="595"/>
      </c>
      <c r="CT81" s="2299">
        <f t="shared" si="595"/>
      </c>
      <c r="CU81" s="1463">
        <f t="shared" si="595"/>
      </c>
      <c r="CV81" s="1463">
        <f t="shared" si="595"/>
      </c>
      <c r="CW81" s="2300">
        <f t="shared" si="595"/>
      </c>
      <c r="CX81" s="2299">
        <f t="shared" si="595"/>
      </c>
      <c r="CY81" s="1463">
        <f t="shared" si="595"/>
      </c>
      <c r="CZ81" s="1463">
        <f t="shared" si="595"/>
      </c>
      <c r="DA81" s="2300">
        <f t="shared" si="595"/>
      </c>
      <c r="DB81" s="2299">
        <f t="shared" si="595"/>
      </c>
      <c r="DC81" s="1463">
        <f t="shared" si="595"/>
      </c>
      <c r="DD81" s="1463">
        <f t="shared" si="595"/>
      </c>
      <c r="DE81" s="2300">
        <f t="shared" si="595"/>
      </c>
      <c r="DF81" s="2299">
        <f t="shared" si="595"/>
      </c>
      <c r="DG81" s="1463">
        <f t="shared" si="595"/>
      </c>
      <c r="DH81" s="1463">
        <f t="shared" si="595"/>
      </c>
      <c r="DI81" s="2300">
        <f t="shared" si="595"/>
      </c>
      <c r="DJ81" s="2299">
        <f t="shared" si="595"/>
      </c>
      <c r="DK81" s="1463">
        <f t="shared" si="595"/>
      </c>
      <c r="DL81" s="1463">
        <f t="shared" si="595"/>
      </c>
      <c r="DM81" s="2300">
        <f t="shared" si="595"/>
      </c>
      <c r="DN81" s="2299">
        <f t="shared" si="595"/>
      </c>
      <c r="DO81" s="1463">
        <f t="shared" si="595"/>
      </c>
      <c r="DP81" s="1463">
        <f t="shared" si="595"/>
      </c>
      <c r="DQ81" s="2300">
        <f t="shared" si="595"/>
      </c>
      <c r="DR81" s="1463"/>
      <c r="DS81" s="1463">
        <f>DS10/'Income Statement'!ER$9</f>
      </c>
      <c r="DT81" s="1463">
        <f>DT10/'Income Statement'!ES$9</f>
      </c>
      <c r="DU81" s="1463">
        <f>DU10/'Income Statement'!ET$9</f>
      </c>
      <c r="DV81" s="1463">
        <f>DV10/'Income Statement'!EU$9</f>
      </c>
      <c r="DW81" s="1463">
        <f>DW10/'Income Statement'!EV$9</f>
      </c>
      <c r="DX81" s="1463">
        <f>DX10/'Income Statement'!EW$9</f>
      </c>
      <c r="DY81" s="1463">
        <f>DY10/'Income Statement'!EX$9</f>
      </c>
      <c r="DZ81" s="1463">
        <f>DZ10/'Income Statement'!EY$9</f>
      </c>
      <c r="EA81" s="1463">
        <f>EA10/'Income Statement'!EZ$9</f>
      </c>
      <c r="EB81" s="1463">
        <f>EB10/'Income Statement'!FA$9</f>
      </c>
      <c r="EC81" s="1463">
        <f>EC10/'Income Statement'!FB$9</f>
      </c>
      <c r="ED81" s="1463">
        <f>ED10/'Income Statement'!FC$9</f>
      </c>
      <c r="EE81" s="1463">
        <f>EE10/'Income Statement'!FD$9</f>
      </c>
      <c r="EF81" s="1463">
        <f>EF10/'Income Statement'!FE$9</f>
      </c>
      <c r="EG81" s="1463">
        <f t="shared" si="589"/>
      </c>
      <c r="EH81" s="1463">
        <f t="shared" si="589"/>
      </c>
      <c r="EI81" s="1463">
        <f t="shared" si="589"/>
      </c>
      <c r="EJ81" s="1463">
        <f t="shared" si="589"/>
      </c>
      <c r="EK81" s="1463">
        <f t="shared" si="589"/>
      </c>
      <c r="EL81" s="1463">
        <f t="shared" si="589"/>
      </c>
      <c r="EM81" s="1463">
        <f t="shared" si="589"/>
      </c>
      <c r="EN81" s="1463">
        <f t="shared" si="589"/>
      </c>
      <c r="EO81" s="1463">
        <f t="shared" ref="EO81:EV81" si="596">EO10/EO$16</f>
      </c>
      <c r="EP81" s="1463">
        <f t="shared" si="596"/>
      </c>
      <c r="EQ81" s="1463">
        <f t="shared" si="596"/>
      </c>
      <c r="ER81" s="1463">
        <f t="shared" si="596"/>
      </c>
      <c r="ES81" s="1463">
        <f t="shared" si="596"/>
      </c>
      <c r="ET81" s="1463">
        <f t="shared" si="596"/>
      </c>
      <c r="EU81" s="1463">
        <f t="shared" si="596"/>
      </c>
      <c r="EV81" s="1463">
        <f t="shared" si="596"/>
      </c>
      <c r="EW81" s="1463"/>
      <c r="EX81" s="1463"/>
      <c r="EY81" s="1463">
        <f t="shared" si="591"/>
      </c>
      <c r="EZ81" s="1463">
        <f t="shared" si="591"/>
      </c>
      <c r="FA81" s="1463">
        <f t="shared" si="591"/>
      </c>
      <c r="FB81" s="1463">
        <f t="shared" si="591"/>
      </c>
      <c r="FC81" s="1463">
        <f t="shared" si="591"/>
      </c>
      <c r="FD81" s="1463">
        <f t="shared" si="591"/>
      </c>
      <c r="FE81" s="1463">
        <f t="shared" si="591"/>
      </c>
      <c r="FF81" s="1463">
        <f t="shared" si="591"/>
      </c>
      <c r="FG81" s="1463"/>
      <c r="FH81" s="1463"/>
      <c r="FI81" s="1463"/>
      <c r="FJ81" s="1463"/>
    </row>
    <row r="82" spans="1:166" s="2301" customFormat="1" ht="12" customHeight="1">
      <c r="A82" s="2298" t="s">
        <v>171</v>
      </c>
      <c r="B82" s="1463"/>
      <c r="C82" s="1463"/>
      <c r="D82" s="1463"/>
      <c r="E82" s="1463"/>
      <c r="F82" s="2299"/>
      <c r="G82" s="1463"/>
      <c r="H82" s="1463"/>
      <c r="I82" s="2300"/>
      <c r="J82" s="1463"/>
      <c r="K82" s="1463"/>
      <c r="L82" s="1463"/>
      <c r="M82" s="1463"/>
      <c r="N82" s="2299"/>
      <c r="O82" s="1463"/>
      <c r="P82" s="1463"/>
      <c r="Q82" s="2300"/>
      <c r="R82" s="1463"/>
      <c r="S82" s="1463"/>
      <c r="T82" s="1463"/>
      <c r="U82" s="1463"/>
      <c r="V82" s="2299"/>
      <c r="W82" s="1463"/>
      <c r="X82" s="1463"/>
      <c r="Y82" s="2300"/>
      <c r="Z82" s="1463"/>
      <c r="AA82" s="1463"/>
      <c r="AB82" s="1463"/>
      <c r="AC82" s="1463"/>
      <c r="AD82" s="2299"/>
      <c r="AE82" s="1463"/>
      <c r="AF82" s="1463"/>
      <c r="AG82" s="2300"/>
      <c r="AH82" s="1463"/>
      <c r="AI82" s="1463"/>
      <c r="AJ82" s="1463"/>
      <c r="AK82" s="1463"/>
      <c r="AL82" s="2299"/>
      <c r="AM82" s="1463"/>
      <c r="AN82" s="1463"/>
      <c r="AO82" s="2300"/>
      <c r="AP82" s="1463">
        <f t="shared" ref="AP82:CK82" si="597">AP11/AP$16</f>
      </c>
      <c r="AQ82" s="1463">
        <f t="shared" si="597"/>
      </c>
      <c r="AR82" s="1463">
        <f t="shared" si="597"/>
      </c>
      <c r="AS82" s="1463">
        <f t="shared" si="597"/>
      </c>
      <c r="AT82" s="2299">
        <f t="shared" si="597"/>
      </c>
      <c r="AU82" s="1463">
        <f t="shared" si="597"/>
      </c>
      <c r="AV82" s="1463">
        <f t="shared" si="597"/>
      </c>
      <c r="AW82" s="2300">
        <f t="shared" si="597"/>
      </c>
      <c r="AX82" s="1463">
        <f t="shared" si="597"/>
      </c>
      <c r="AY82" s="1463">
        <f t="shared" si="597"/>
      </c>
      <c r="AZ82" s="1463">
        <f t="shared" si="597"/>
      </c>
      <c r="BA82" s="1463">
        <f t="shared" si="597"/>
      </c>
      <c r="BB82" s="2299">
        <f t="shared" si="597"/>
      </c>
      <c r="BC82" s="1463">
        <f t="shared" si="597"/>
      </c>
      <c r="BD82" s="1463">
        <f t="shared" si="597"/>
      </c>
      <c r="BE82" s="2300">
        <f t="shared" si="597"/>
      </c>
      <c r="BF82" s="1463">
        <f t="shared" si="597"/>
      </c>
      <c r="BG82" s="1463">
        <f t="shared" si="597"/>
      </c>
      <c r="BH82" s="1463">
        <f t="shared" si="597"/>
      </c>
      <c r="BI82" s="1463">
        <f t="shared" si="597"/>
      </c>
      <c r="BJ82" s="2299">
        <f t="shared" si="597"/>
      </c>
      <c r="BK82" s="1463">
        <f t="shared" si="597"/>
      </c>
      <c r="BL82" s="1463">
        <f t="shared" si="597"/>
      </c>
      <c r="BM82" s="2300">
        <f t="shared" si="597"/>
      </c>
      <c r="BN82" s="1463">
        <f t="shared" si="597"/>
      </c>
      <c r="BO82" s="1463">
        <f t="shared" si="597"/>
      </c>
      <c r="BP82" s="1463">
        <f t="shared" si="597"/>
      </c>
      <c r="BQ82" s="1463">
        <f t="shared" si="597"/>
      </c>
      <c r="BR82" s="2299">
        <f t="shared" si="597"/>
      </c>
      <c r="BS82" s="1463">
        <f t="shared" si="597"/>
      </c>
      <c r="BT82" s="1463">
        <f t="shared" si="597"/>
      </c>
      <c r="BU82" s="2300">
        <f t="shared" si="597"/>
      </c>
      <c r="BV82" s="1463">
        <f t="shared" si="597"/>
      </c>
      <c r="BW82" s="1463">
        <f t="shared" si="597"/>
      </c>
      <c r="BX82" s="1463">
        <f t="shared" si="597"/>
      </c>
      <c r="BY82" s="1463">
        <f t="shared" si="597"/>
      </c>
      <c r="BZ82" s="2299">
        <f t="shared" si="597"/>
      </c>
      <c r="CA82" s="1463">
        <f t="shared" si="597"/>
      </c>
      <c r="CB82" s="1463">
        <f t="shared" si="597"/>
      </c>
      <c r="CC82" s="2300">
        <f t="shared" si="597"/>
      </c>
      <c r="CD82" s="1463">
        <f t="shared" si="597"/>
      </c>
      <c r="CE82" s="1463">
        <f t="shared" si="597"/>
      </c>
      <c r="CF82" s="1463">
        <f t="shared" si="597"/>
      </c>
      <c r="CG82" s="1463">
        <f t="shared" si="597"/>
      </c>
      <c r="CH82" s="2299">
        <f t="shared" si="597"/>
      </c>
      <c r="CI82" s="1463">
        <f t="shared" si="597"/>
      </c>
      <c r="CJ82" s="1463">
        <f t="shared" si="597"/>
      </c>
      <c r="CK82" s="1463">
        <f t="shared" si="597"/>
      </c>
      <c r="CL82" s="2299">
        <f t="shared" ref="CL82:DQ82" si="598">CL11/CL$16</f>
      </c>
      <c r="CM82" s="1463">
        <f t="shared" si="598"/>
      </c>
      <c r="CN82" s="1463">
        <f t="shared" si="598"/>
      </c>
      <c r="CO82" s="2300">
        <f t="shared" si="598"/>
      </c>
      <c r="CP82" s="2299">
        <f t="shared" si="598"/>
      </c>
      <c r="CQ82" s="1463">
        <f t="shared" si="598"/>
      </c>
      <c r="CR82" s="1463">
        <f t="shared" si="598"/>
      </c>
      <c r="CS82" s="2300">
        <f t="shared" si="598"/>
      </c>
      <c r="CT82" s="2299">
        <f t="shared" si="598"/>
      </c>
      <c r="CU82" s="1463">
        <f t="shared" si="598"/>
      </c>
      <c r="CV82" s="1463">
        <f t="shared" si="598"/>
      </c>
      <c r="CW82" s="2300">
        <f t="shared" si="598"/>
      </c>
      <c r="CX82" s="2299">
        <f t="shared" si="598"/>
      </c>
      <c r="CY82" s="1463">
        <f t="shared" si="598"/>
      </c>
      <c r="CZ82" s="1463">
        <f t="shared" si="598"/>
      </c>
      <c r="DA82" s="2300">
        <f t="shared" si="598"/>
      </c>
      <c r="DB82" s="2299">
        <f t="shared" si="598"/>
      </c>
      <c r="DC82" s="1463">
        <f t="shared" si="598"/>
      </c>
      <c r="DD82" s="1463">
        <f t="shared" si="598"/>
      </c>
      <c r="DE82" s="2300">
        <f t="shared" si="598"/>
      </c>
      <c r="DF82" s="2299">
        <f t="shared" si="598"/>
      </c>
      <c r="DG82" s="1463">
        <f t="shared" si="598"/>
      </c>
      <c r="DH82" s="1463">
        <f t="shared" si="598"/>
      </c>
      <c r="DI82" s="2300">
        <f t="shared" si="598"/>
      </c>
      <c r="DJ82" s="2299">
        <f t="shared" si="598"/>
      </c>
      <c r="DK82" s="1463">
        <f t="shared" si="598"/>
      </c>
      <c r="DL82" s="1463">
        <f t="shared" si="598"/>
      </c>
      <c r="DM82" s="2300">
        <f t="shared" si="598"/>
      </c>
      <c r="DN82" s="2299">
        <f t="shared" si="598"/>
      </c>
      <c r="DO82" s="1463">
        <f t="shared" si="598"/>
      </c>
      <c r="DP82" s="1463">
        <f t="shared" si="598"/>
      </c>
      <c r="DQ82" s="2300">
        <f t="shared" si="598"/>
      </c>
      <c r="DR82" s="1463"/>
      <c r="DS82" s="1463"/>
      <c r="DT82" s="1463"/>
      <c r="DU82" s="1463"/>
      <c r="DV82" s="1463"/>
      <c r="DW82" s="1463"/>
      <c r="DX82" s="1463"/>
      <c r="DY82" s="1463"/>
      <c r="DZ82" s="1463"/>
      <c r="EA82" s="1463"/>
      <c r="EB82" s="1463"/>
      <c r="EC82" s="1463">
        <f>EC11/'Income Statement'!FB$9</f>
      </c>
      <c r="ED82" s="1463">
        <f>ED11/'Income Statement'!FC$9</f>
      </c>
      <c r="EE82" s="1463">
        <f>EE11/'Income Statement'!FD$9</f>
      </c>
      <c r="EF82" s="1463">
        <f>EF11/'Income Statement'!FE$9</f>
      </c>
      <c r="EG82" s="1463">
        <f t="shared" si="589"/>
      </c>
      <c r="EH82" s="1463">
        <f t="shared" si="589"/>
      </c>
      <c r="EI82" s="1463">
        <f t="shared" si="589"/>
      </c>
      <c r="EJ82" s="1463">
        <f t="shared" si="589"/>
      </c>
      <c r="EK82" s="1463">
        <f t="shared" si="589"/>
      </c>
      <c r="EL82" s="1463">
        <f t="shared" si="589"/>
      </c>
      <c r="EM82" s="1463">
        <f t="shared" si="589"/>
      </c>
      <c r="EN82" s="1463">
        <f>EN11/EN$16</f>
      </c>
      <c r="EO82" s="1463">
        <f t="shared" ref="EO82:EV82" si="599">EO11/EO$16</f>
      </c>
      <c r="EP82" s="1463">
        <f t="shared" si="599"/>
      </c>
      <c r="EQ82" s="1463">
        <f t="shared" si="599"/>
      </c>
      <c r="ER82" s="1463">
        <f t="shared" si="599"/>
      </c>
      <c r="ES82" s="1463">
        <f t="shared" si="599"/>
      </c>
      <c r="ET82" s="1463">
        <f t="shared" si="599"/>
      </c>
      <c r="EU82" s="1463">
        <f t="shared" si="599"/>
      </c>
      <c r="EV82" s="1463">
        <f t="shared" si="599"/>
      </c>
      <c r="EW82" s="1463"/>
      <c r="EX82" s="1463"/>
      <c r="EY82" s="1463">
        <f t="shared" si="591"/>
      </c>
      <c r="EZ82" s="1463">
        <f t="shared" si="591"/>
      </c>
      <c r="FA82" s="1463">
        <f t="shared" si="591"/>
      </c>
      <c r="FB82" s="1463">
        <f t="shared" si="591"/>
      </c>
      <c r="FC82" s="1463">
        <f t="shared" si="591"/>
      </c>
      <c r="FD82" s="1463">
        <f t="shared" si="591"/>
      </c>
      <c r="FE82" s="1463">
        <f t="shared" si="591"/>
      </c>
      <c r="FF82" s="1463">
        <f t="shared" si="591"/>
      </c>
      <c r="FG82" s="1463"/>
      <c r="FH82" s="1463"/>
      <c r="FI82" s="1463"/>
      <c r="FJ82" s="1463"/>
    </row>
    <row r="83" spans="1:166" s="2301" customFormat="1" ht="12" customHeight="1">
      <c r="A83" s="2302" t="s">
        <v>169</v>
      </c>
      <c r="B83" s="1463">
        <f t="shared" ref="B83:AO83" si="600">B12/B$16</f>
      </c>
      <c r="C83" s="1463">
        <f t="shared" si="600"/>
      </c>
      <c r="D83" s="1463">
        <f t="shared" si="600"/>
      </c>
      <c r="E83" s="1463">
        <f t="shared" si="600"/>
      </c>
      <c r="F83" s="2299">
        <f t="shared" si="600"/>
      </c>
      <c r="G83" s="1463">
        <f t="shared" si="600"/>
      </c>
      <c r="H83" s="1463">
        <f t="shared" si="600"/>
      </c>
      <c r="I83" s="2300">
        <f t="shared" si="600"/>
      </c>
      <c r="J83" s="1463">
        <f t="shared" si="600"/>
      </c>
      <c r="K83" s="1463">
        <f t="shared" si="600"/>
      </c>
      <c r="L83" s="1463">
        <f t="shared" si="600"/>
      </c>
      <c r="M83" s="1463">
        <f t="shared" si="600"/>
      </c>
      <c r="N83" s="2299">
        <f t="shared" si="600"/>
      </c>
      <c r="O83" s="1463">
        <f t="shared" si="600"/>
      </c>
      <c r="P83" s="1463">
        <f t="shared" si="600"/>
      </c>
      <c r="Q83" s="2300">
        <f t="shared" si="600"/>
      </c>
      <c r="R83" s="1463">
        <f t="shared" si="600"/>
      </c>
      <c r="S83" s="1463">
        <f t="shared" si="600"/>
      </c>
      <c r="T83" s="1463">
        <f t="shared" si="600"/>
      </c>
      <c r="U83" s="1463">
        <f t="shared" si="600"/>
      </c>
      <c r="V83" s="2299">
        <f t="shared" si="600"/>
      </c>
      <c r="W83" s="1463">
        <f t="shared" si="600"/>
      </c>
      <c r="X83" s="1463">
        <f t="shared" si="600"/>
      </c>
      <c r="Y83" s="2300">
        <f t="shared" si="600"/>
      </c>
      <c r="Z83" s="1463">
        <f t="shared" si="600"/>
      </c>
      <c r="AA83" s="1463">
        <f t="shared" si="600"/>
      </c>
      <c r="AB83" s="1463">
        <f t="shared" si="600"/>
      </c>
      <c r="AC83" s="1463">
        <f t="shared" si="600"/>
      </c>
      <c r="AD83" s="2299">
        <f t="shared" si="600"/>
      </c>
      <c r="AE83" s="1463">
        <f t="shared" si="600"/>
      </c>
      <c r="AF83" s="1463">
        <f t="shared" si="600"/>
      </c>
      <c r="AG83" s="2300">
        <f t="shared" si="600"/>
      </c>
      <c r="AH83" s="1463">
        <f t="shared" si="600"/>
      </c>
      <c r="AI83" s="1463">
        <f t="shared" si="600"/>
      </c>
      <c r="AJ83" s="1463">
        <f t="shared" si="600"/>
      </c>
      <c r="AK83" s="1463">
        <f t="shared" si="600"/>
      </c>
      <c r="AL83" s="2299">
        <f t="shared" si="600"/>
      </c>
      <c r="AM83" s="1463">
        <f t="shared" si="600"/>
      </c>
      <c r="AN83" s="1463">
        <f t="shared" si="600"/>
      </c>
      <c r="AO83" s="2300">
        <f t="shared" si="600"/>
      </c>
      <c r="AP83" s="1463">
        <f t="shared" ref="AP83:CK83" si="601">AP12/AP$16</f>
      </c>
      <c r="AQ83" s="1463">
        <f t="shared" si="601"/>
      </c>
      <c r="AR83" s="1463">
        <f t="shared" si="601"/>
      </c>
      <c r="AS83" s="1463">
        <f t="shared" si="601"/>
      </c>
      <c r="AT83" s="2299">
        <f t="shared" si="601"/>
      </c>
      <c r="AU83" s="1463">
        <f t="shared" si="601"/>
      </c>
      <c r="AV83" s="1463">
        <f t="shared" si="601"/>
      </c>
      <c r="AW83" s="2300">
        <f t="shared" si="601"/>
      </c>
      <c r="AX83" s="1463">
        <f t="shared" si="601"/>
      </c>
      <c r="AY83" s="1463">
        <f t="shared" si="601"/>
      </c>
      <c r="AZ83" s="1463">
        <f t="shared" si="601"/>
      </c>
      <c r="BA83" s="1463">
        <f t="shared" si="601"/>
      </c>
      <c r="BB83" s="2299">
        <f t="shared" si="601"/>
      </c>
      <c r="BC83" s="1463">
        <f t="shared" si="601"/>
      </c>
      <c r="BD83" s="1463">
        <f t="shared" si="601"/>
      </c>
      <c r="BE83" s="2300">
        <f t="shared" si="601"/>
      </c>
      <c r="BF83" s="1463">
        <f t="shared" si="601"/>
      </c>
      <c r="BG83" s="1463">
        <f t="shared" si="601"/>
      </c>
      <c r="BH83" s="1463">
        <f t="shared" si="601"/>
      </c>
      <c r="BI83" s="1463">
        <f t="shared" si="601"/>
      </c>
      <c r="BJ83" s="2299">
        <f t="shared" si="601"/>
      </c>
      <c r="BK83" s="1463">
        <f t="shared" si="601"/>
      </c>
      <c r="BL83" s="1463">
        <f t="shared" si="601"/>
      </c>
      <c r="BM83" s="2300">
        <f t="shared" si="601"/>
      </c>
      <c r="BN83" s="1463">
        <f t="shared" si="601"/>
      </c>
      <c r="BO83" s="1463">
        <f t="shared" si="601"/>
      </c>
      <c r="BP83" s="1463">
        <f t="shared" si="601"/>
      </c>
      <c r="BQ83" s="1463">
        <f t="shared" si="601"/>
      </c>
      <c r="BR83" s="2299">
        <f t="shared" si="601"/>
      </c>
      <c r="BS83" s="1463">
        <f t="shared" si="601"/>
      </c>
      <c r="BT83" s="1463">
        <f t="shared" si="601"/>
      </c>
      <c r="BU83" s="2300">
        <f t="shared" si="601"/>
      </c>
      <c r="BV83" s="1463">
        <f t="shared" si="601"/>
      </c>
      <c r="BW83" s="1463">
        <f t="shared" si="601"/>
      </c>
      <c r="BX83" s="1463">
        <f t="shared" si="601"/>
      </c>
      <c r="BY83" s="1463">
        <f t="shared" si="601"/>
      </c>
      <c r="BZ83" s="2299">
        <f t="shared" si="601"/>
      </c>
      <c r="CA83" s="1463">
        <f t="shared" si="601"/>
      </c>
      <c r="CB83" s="1463">
        <f t="shared" si="601"/>
      </c>
      <c r="CC83" s="2300">
        <f t="shared" si="601"/>
      </c>
      <c r="CD83" s="1463">
        <f t="shared" si="601"/>
      </c>
      <c r="CE83" s="1463">
        <f t="shared" si="601"/>
      </c>
      <c r="CF83" s="1463">
        <f t="shared" si="601"/>
      </c>
      <c r="CG83" s="1463">
        <f t="shared" si="601"/>
      </c>
      <c r="CH83" s="2299">
        <f t="shared" si="601"/>
      </c>
      <c r="CI83" s="1463">
        <f t="shared" si="601"/>
      </c>
      <c r="CJ83" s="1463">
        <f t="shared" si="601"/>
      </c>
      <c r="CK83" s="1463">
        <f t="shared" si="601"/>
      </c>
      <c r="CL83" s="2299">
        <f t="shared" ref="CL83:DQ83" si="602">CL12/CL$16</f>
      </c>
      <c r="CM83" s="1463">
        <f t="shared" si="602"/>
      </c>
      <c r="CN83" s="1463">
        <f t="shared" si="602"/>
      </c>
      <c r="CO83" s="2300">
        <f t="shared" si="602"/>
      </c>
      <c r="CP83" s="2299">
        <f t="shared" si="602"/>
      </c>
      <c r="CQ83" s="1463">
        <f t="shared" si="602"/>
      </c>
      <c r="CR83" s="1463">
        <f t="shared" si="602"/>
      </c>
      <c r="CS83" s="2300">
        <f t="shared" si="602"/>
      </c>
      <c r="CT83" s="2299">
        <f t="shared" si="602"/>
      </c>
      <c r="CU83" s="1463">
        <f t="shared" si="602"/>
      </c>
      <c r="CV83" s="1463">
        <f t="shared" si="602"/>
      </c>
      <c r="CW83" s="2300">
        <f t="shared" si="602"/>
      </c>
      <c r="CX83" s="2299">
        <f t="shared" si="602"/>
      </c>
      <c r="CY83" s="1463">
        <f t="shared" si="602"/>
      </c>
      <c r="CZ83" s="1463">
        <f t="shared" si="602"/>
      </c>
      <c r="DA83" s="2300">
        <f t="shared" si="602"/>
      </c>
      <c r="DB83" s="2299">
        <f t="shared" si="602"/>
      </c>
      <c r="DC83" s="1463">
        <f t="shared" si="602"/>
      </c>
      <c r="DD83" s="1463">
        <f t="shared" si="602"/>
      </c>
      <c r="DE83" s="2300">
        <f t="shared" si="602"/>
      </c>
      <c r="DF83" s="2299">
        <f t="shared" si="602"/>
      </c>
      <c r="DG83" s="1463">
        <f t="shared" si="602"/>
      </c>
      <c r="DH83" s="1463">
        <f t="shared" si="602"/>
      </c>
      <c r="DI83" s="2300">
        <f t="shared" si="602"/>
      </c>
      <c r="DJ83" s="2299">
        <f t="shared" si="602"/>
      </c>
      <c r="DK83" s="1463">
        <f t="shared" si="602"/>
      </c>
      <c r="DL83" s="1463">
        <f t="shared" si="602"/>
      </c>
      <c r="DM83" s="2300">
        <f t="shared" si="602"/>
      </c>
      <c r="DN83" s="2299">
        <f t="shared" si="602"/>
      </c>
      <c r="DO83" s="1463">
        <f t="shared" si="602"/>
      </c>
      <c r="DP83" s="1463">
        <f t="shared" si="602"/>
      </c>
      <c r="DQ83" s="2300">
        <f t="shared" si="602"/>
      </c>
      <c r="DR83" s="1463"/>
      <c r="DS83" s="1463">
        <f>DS12/'Income Statement'!ER$9</f>
      </c>
      <c r="DT83" s="1463">
        <f>DT12/'Income Statement'!ES$9</f>
      </c>
      <c r="DU83" s="1463">
        <f>DU12/'Income Statement'!ET$9</f>
      </c>
      <c r="DV83" s="1463">
        <f>DV12/'Income Statement'!EU$9</f>
      </c>
      <c r="DW83" s="1463">
        <f>DW12/'Income Statement'!EV$9</f>
      </c>
      <c r="DX83" s="1463">
        <f>DX12/'Income Statement'!EW$9</f>
      </c>
      <c r="DY83" s="1463">
        <f>DY12/'Income Statement'!EX$9</f>
      </c>
      <c r="DZ83" s="1463">
        <f>DZ12/'Income Statement'!EY$9</f>
      </c>
      <c r="EA83" s="1463">
        <f>EA12/'Income Statement'!EZ$9</f>
      </c>
      <c r="EB83" s="1463">
        <f>EB12/'Income Statement'!FA$9</f>
      </c>
      <c r="EC83" s="1463">
        <f>EC12/'Income Statement'!FB$9</f>
      </c>
      <c r="ED83" s="1463">
        <f>ED12/'Income Statement'!FC$9</f>
      </c>
      <c r="EE83" s="1463">
        <f>EE12/'Income Statement'!FD$9</f>
      </c>
      <c r="EF83" s="1463">
        <f>EF12/'Income Statement'!FE$9</f>
      </c>
      <c r="EG83" s="1463">
        <f t="shared" si="589"/>
      </c>
      <c r="EH83" s="1463">
        <f t="shared" si="589"/>
      </c>
      <c r="EI83" s="1463">
        <f t="shared" si="589"/>
      </c>
      <c r="EJ83" s="1463">
        <f t="shared" si="589"/>
      </c>
      <c r="EK83" s="1463">
        <f t="shared" si="589"/>
      </c>
      <c r="EL83" s="1463">
        <f t="shared" si="589"/>
      </c>
      <c r="EM83" s="1463">
        <f t="shared" si="589"/>
      </c>
      <c r="EN83" s="1463">
        <f t="shared" si="589"/>
      </c>
      <c r="EO83" s="1463">
        <f t="shared" ref="EO83:EV83" si="603">EO12/EO$16</f>
      </c>
      <c r="EP83" s="1463">
        <f t="shared" si="603"/>
      </c>
      <c r="EQ83" s="1463">
        <f t="shared" si="603"/>
      </c>
      <c r="ER83" s="1463">
        <f t="shared" si="603"/>
      </c>
      <c r="ES83" s="1463">
        <f t="shared" si="603"/>
      </c>
      <c r="ET83" s="1463">
        <f t="shared" si="603"/>
      </c>
      <c r="EU83" s="1463">
        <f t="shared" si="603"/>
      </c>
      <c r="EV83" s="1463">
        <f t="shared" si="603"/>
      </c>
      <c r="EW83" s="1463"/>
      <c r="EX83" s="1463"/>
      <c r="EY83" s="1463">
        <f t="shared" si="591"/>
      </c>
      <c r="EZ83" s="1463">
        <f t="shared" si="591"/>
      </c>
      <c r="FA83" s="1463">
        <f t="shared" si="591"/>
      </c>
      <c r="FB83" s="1463">
        <f t="shared" si="591"/>
      </c>
      <c r="FC83" s="1463">
        <f t="shared" si="591"/>
      </c>
      <c r="FD83" s="1463">
        <f t="shared" si="591"/>
      </c>
      <c r="FE83" s="1463">
        <f t="shared" si="591"/>
      </c>
      <c r="FF83" s="1463">
        <f t="shared" si="591"/>
      </c>
      <c r="FG83" s="1463"/>
      <c r="FH83" s="1463"/>
      <c r="FI83" s="1463"/>
      <c r="FJ83" s="1463"/>
    </row>
    <row r="84" spans="1:166" s="2301" customFormat="1" ht="12" customHeight="1">
      <c r="A84" s="2302" t="s">
        <v>1409</v>
      </c>
      <c r="B84" s="1463">
        <f t="shared" ref="B84:AO85" si="604">B13/B$16</f>
      </c>
      <c r="C84" s="1463">
        <f t="shared" si="604"/>
      </c>
      <c r="D84" s="1463">
        <f t="shared" si="604"/>
      </c>
      <c r="E84" s="1463">
        <f t="shared" si="604"/>
      </c>
      <c r="F84" s="2299">
        <f t="shared" si="604"/>
      </c>
      <c r="G84" s="1463">
        <f t="shared" si="604"/>
      </c>
      <c r="H84" s="1463">
        <f t="shared" si="604"/>
      </c>
      <c r="I84" s="2300">
        <f t="shared" si="604"/>
      </c>
      <c r="J84" s="1463">
        <f t="shared" si="604"/>
      </c>
      <c r="K84" s="1463">
        <f t="shared" si="604"/>
      </c>
      <c r="L84" s="1463">
        <f t="shared" si="604"/>
      </c>
      <c r="M84" s="1463">
        <f t="shared" si="604"/>
      </c>
      <c r="N84" s="2299">
        <f t="shared" si="604"/>
      </c>
      <c r="O84" s="1463">
        <f t="shared" si="604"/>
      </c>
      <c r="P84" s="1463">
        <f t="shared" si="604"/>
      </c>
      <c r="Q84" s="2300">
        <f t="shared" si="604"/>
      </c>
      <c r="R84" s="1463">
        <f t="shared" si="604"/>
      </c>
      <c r="S84" s="1463">
        <f t="shared" si="604"/>
      </c>
      <c r="T84" s="1463">
        <f t="shared" si="604"/>
      </c>
      <c r="U84" s="1463">
        <f t="shared" si="604"/>
      </c>
      <c r="V84" s="2299">
        <f t="shared" si="604"/>
      </c>
      <c r="W84" s="1463">
        <f t="shared" si="604"/>
      </c>
      <c r="X84" s="1463">
        <f t="shared" si="604"/>
      </c>
      <c r="Y84" s="2300">
        <f t="shared" si="604"/>
      </c>
      <c r="Z84" s="1463">
        <f t="shared" si="604"/>
      </c>
      <c r="AA84" s="1463">
        <f t="shared" si="604"/>
      </c>
      <c r="AB84" s="1463">
        <f t="shared" si="604"/>
      </c>
      <c r="AC84" s="1463">
        <f t="shared" si="604"/>
      </c>
      <c r="AD84" s="2299">
        <f t="shared" si="604"/>
      </c>
      <c r="AE84" s="1463">
        <f t="shared" si="604"/>
      </c>
      <c r="AF84" s="1463">
        <f t="shared" si="604"/>
      </c>
      <c r="AG84" s="2300">
        <f t="shared" si="604"/>
      </c>
      <c r="AH84" s="1463">
        <f t="shared" si="604"/>
      </c>
      <c r="AI84" s="1463">
        <f t="shared" si="604"/>
      </c>
      <c r="AJ84" s="1463">
        <f t="shared" si="604"/>
      </c>
      <c r="AK84" s="1463">
        <f t="shared" si="604"/>
      </c>
      <c r="AL84" s="2299">
        <f t="shared" si="604"/>
      </c>
      <c r="AM84" s="1463">
        <f t="shared" si="604"/>
      </c>
      <c r="AN84" s="1463">
        <f t="shared" si="604"/>
      </c>
      <c r="AO84" s="2300">
        <f t="shared" si="604"/>
      </c>
      <c r="AP84" s="1463">
        <f t="shared" ref="AP84:CK85" si="605">AP13/AP$16</f>
      </c>
      <c r="AQ84" s="1463">
        <f t="shared" si="605"/>
      </c>
      <c r="AR84" s="1463">
        <f t="shared" si="605"/>
      </c>
      <c r="AS84" s="1463">
        <f t="shared" si="605"/>
      </c>
      <c r="AT84" s="2299">
        <f t="shared" si="605"/>
      </c>
      <c r="AU84" s="1463">
        <f t="shared" si="605"/>
      </c>
      <c r="AV84" s="1463">
        <f t="shared" si="605"/>
      </c>
      <c r="AW84" s="2300">
        <f t="shared" si="605"/>
      </c>
      <c r="AX84" s="1463">
        <f t="shared" si="605"/>
      </c>
      <c r="AY84" s="1463">
        <f t="shared" si="605"/>
      </c>
      <c r="AZ84" s="1463">
        <f t="shared" si="605"/>
      </c>
      <c r="BA84" s="1463">
        <f t="shared" si="605"/>
      </c>
      <c r="BB84" s="2299">
        <f t="shared" si="605"/>
      </c>
      <c r="BC84" s="1463">
        <f t="shared" si="605"/>
      </c>
      <c r="BD84" s="1463">
        <f t="shared" si="605"/>
      </c>
      <c r="BE84" s="2300">
        <f t="shared" si="605"/>
      </c>
      <c r="BF84" s="1463">
        <f t="shared" si="605"/>
      </c>
      <c r="BG84" s="1463">
        <f t="shared" si="605"/>
      </c>
      <c r="BH84" s="1463">
        <f t="shared" si="605"/>
      </c>
      <c r="BI84" s="1463">
        <f t="shared" si="605"/>
      </c>
      <c r="BJ84" s="2299">
        <f t="shared" si="605"/>
      </c>
      <c r="BK84" s="1463">
        <f t="shared" si="605"/>
      </c>
      <c r="BL84" s="1463">
        <f t="shared" si="605"/>
      </c>
      <c r="BM84" s="2300">
        <f t="shared" si="605"/>
      </c>
      <c r="BN84" s="1463">
        <f t="shared" si="605"/>
      </c>
      <c r="BO84" s="1463">
        <f t="shared" si="605"/>
      </c>
      <c r="BP84" s="1463">
        <f t="shared" si="605"/>
      </c>
      <c r="BQ84" s="1463">
        <f t="shared" si="605"/>
      </c>
      <c r="BR84" s="2299">
        <f t="shared" si="605"/>
      </c>
      <c r="BS84" s="1463">
        <f t="shared" si="605"/>
      </c>
      <c r="BT84" s="1463">
        <f t="shared" si="605"/>
      </c>
      <c r="BU84" s="2300">
        <f t="shared" si="605"/>
      </c>
      <c r="BV84" s="1463">
        <f t="shared" si="605"/>
      </c>
      <c r="BW84" s="1463">
        <f t="shared" si="605"/>
      </c>
      <c r="BX84" s="1463">
        <f t="shared" si="605"/>
      </c>
      <c r="BY84" s="1463">
        <f t="shared" si="605"/>
      </c>
      <c r="BZ84" s="2299">
        <f t="shared" si="605"/>
      </c>
      <c r="CA84" s="1463">
        <f t="shared" si="605"/>
      </c>
      <c r="CB84" s="1463">
        <f t="shared" si="605"/>
      </c>
      <c r="CC84" s="2300">
        <f t="shared" si="605"/>
      </c>
      <c r="CD84" s="1463">
        <f t="shared" si="605"/>
      </c>
      <c r="CE84" s="1463">
        <f t="shared" si="605"/>
      </c>
      <c r="CF84" s="1463">
        <f t="shared" si="605"/>
      </c>
      <c r="CG84" s="1463">
        <f t="shared" si="605"/>
      </c>
      <c r="CH84" s="2299">
        <f t="shared" si="605"/>
      </c>
      <c r="CI84" s="1463">
        <f t="shared" si="605"/>
      </c>
      <c r="CJ84" s="1463">
        <f t="shared" si="605"/>
      </c>
      <c r="CK84" s="1463">
        <f t="shared" si="605"/>
      </c>
      <c r="CL84" s="2299">
        <f t="shared" ref="CL84:DQ85" si="606">CL13/CL$16</f>
      </c>
      <c r="CM84" s="1463">
        <f t="shared" si="606"/>
      </c>
      <c r="CN84" s="1463">
        <f t="shared" si="606"/>
      </c>
      <c r="CO84" s="2300">
        <f t="shared" si="606"/>
      </c>
      <c r="CP84" s="2299">
        <f t="shared" si="606"/>
      </c>
      <c r="CQ84" s="1463">
        <f t="shared" si="606"/>
      </c>
      <c r="CR84" s="1463">
        <f t="shared" si="606"/>
      </c>
      <c r="CS84" s="2300">
        <f t="shared" si="606"/>
      </c>
      <c r="CT84" s="2299">
        <f t="shared" si="606"/>
      </c>
      <c r="CU84" s="1463">
        <f t="shared" si="606"/>
      </c>
      <c r="CV84" s="1463">
        <f t="shared" si="606"/>
      </c>
      <c r="CW84" s="2300">
        <f t="shared" si="606"/>
      </c>
      <c r="CX84" s="2299">
        <f t="shared" si="606"/>
      </c>
      <c r="CY84" s="1463">
        <f t="shared" si="606"/>
      </c>
      <c r="CZ84" s="1463">
        <f t="shared" si="606"/>
      </c>
      <c r="DA84" s="2300">
        <f t="shared" si="606"/>
      </c>
      <c r="DB84" s="2299">
        <f t="shared" si="606"/>
      </c>
      <c r="DC84" s="1463">
        <f t="shared" si="606"/>
      </c>
      <c r="DD84" s="1463">
        <f t="shared" si="606"/>
      </c>
      <c r="DE84" s="2300">
        <f t="shared" si="606"/>
      </c>
      <c r="DF84" s="2299">
        <f t="shared" si="606"/>
      </c>
      <c r="DG84" s="1463">
        <f t="shared" si="606"/>
      </c>
      <c r="DH84" s="1463">
        <f t="shared" si="606"/>
      </c>
      <c r="DI84" s="2300">
        <f t="shared" si="606"/>
      </c>
      <c r="DJ84" s="2299">
        <f t="shared" si="606"/>
      </c>
      <c r="DK84" s="1463">
        <f t="shared" si="606"/>
      </c>
      <c r="DL84" s="1463">
        <f t="shared" si="606"/>
      </c>
      <c r="DM84" s="2300">
        <f t="shared" si="606"/>
      </c>
      <c r="DN84" s="2299">
        <f t="shared" si="606"/>
      </c>
      <c r="DO84" s="1463">
        <f t="shared" si="606"/>
      </c>
      <c r="DP84" s="1463">
        <f t="shared" si="606"/>
      </c>
      <c r="DQ84" s="2300">
        <f t="shared" si="606"/>
      </c>
      <c r="DR84" s="1463"/>
      <c r="DS84" s="1463">
        <f>DS13/'Income Statement'!ER$9</f>
      </c>
      <c r="DT84" s="1463">
        <f>DT13/'Income Statement'!ES$9</f>
      </c>
      <c r="DU84" s="1463">
        <f>DU13/'Income Statement'!ET$9</f>
      </c>
      <c r="DV84" s="1463">
        <f>DV13/'Income Statement'!EU$9</f>
      </c>
      <c r="DW84" s="1463">
        <f>DW13/'Income Statement'!EV$9</f>
      </c>
      <c r="DX84" s="1463">
        <f>DX13/'Income Statement'!EW$9</f>
      </c>
      <c r="DY84" s="1463">
        <f>DY13/'Income Statement'!EX$9</f>
      </c>
      <c r="DZ84" s="1463">
        <f>DZ13/'Income Statement'!EY$9</f>
      </c>
      <c r="EA84" s="1463">
        <f>EA13/'Income Statement'!EZ$9</f>
      </c>
      <c r="EB84" s="1463">
        <f>EB13/'Income Statement'!FA$9</f>
      </c>
      <c r="EC84" s="1463">
        <f>EC13/'Income Statement'!FB$9</f>
      </c>
      <c r="ED84" s="1463">
        <f>ED13/'Income Statement'!FC$9</f>
      </c>
      <c r="EE84" s="1463">
        <f>EE13/'Income Statement'!FD$9</f>
      </c>
      <c r="EF84" s="1463">
        <f>EF13/'Income Statement'!FE$9</f>
      </c>
      <c r="EG84" s="1463">
        <f t="shared" si="589"/>
      </c>
      <c r="EH84" s="1463">
        <f t="shared" si="589"/>
      </c>
      <c r="EI84" s="1463">
        <f t="shared" si="589"/>
      </c>
      <c r="EJ84" s="1463">
        <f t="shared" si="589"/>
      </c>
      <c r="EK84" s="1463">
        <f t="shared" si="589"/>
      </c>
      <c r="EL84" s="1463">
        <f t="shared" si="589"/>
      </c>
      <c r="EM84" s="1463">
        <f t="shared" si="589"/>
      </c>
      <c r="EN84" s="1463">
        <f t="shared" si="589"/>
      </c>
      <c r="EO84" s="1463">
        <f t="shared" ref="EO84:EV85" si="607">EO13/EO$16</f>
      </c>
      <c r="EP84" s="1463">
        <f t="shared" si="607"/>
      </c>
      <c r="EQ84" s="1463">
        <f t="shared" si="607"/>
      </c>
      <c r="ER84" s="1463">
        <f t="shared" si="607"/>
      </c>
      <c r="ES84" s="1463">
        <f t="shared" si="607"/>
      </c>
      <c r="ET84" s="1463">
        <f t="shared" si="607"/>
      </c>
      <c r="EU84" s="1463">
        <f t="shared" si="607"/>
      </c>
      <c r="EV84" s="1463">
        <f t="shared" si="607"/>
      </c>
      <c r="EW84" s="1463"/>
      <c r="EX84" s="1463"/>
      <c r="EY84" s="1463">
        <f t="shared" si="591"/>
      </c>
      <c r="EZ84" s="1463">
        <f t="shared" si="591"/>
      </c>
      <c r="FA84" s="1463">
        <f t="shared" si="591"/>
      </c>
      <c r="FB84" s="1463">
        <f t="shared" si="591"/>
      </c>
      <c r="FC84" s="1463">
        <f t="shared" si="591"/>
      </c>
      <c r="FD84" s="1463">
        <f t="shared" si="591"/>
      </c>
      <c r="FE84" s="1463">
        <f t="shared" si="591"/>
      </c>
      <c r="FF84" s="1463">
        <f t="shared" si="591"/>
      </c>
      <c r="FG84" s="1463"/>
      <c r="FH84" s="1463"/>
      <c r="FI84" s="1463"/>
      <c r="FJ84" s="1463"/>
    </row>
    <row r="85" spans="1:166" s="2301" customFormat="1" ht="12" customHeight="1">
      <c r="A85" s="2377" t="s">
        <v>1420</v>
      </c>
      <c r="B85" s="1463">
        <f t="shared" si="604"/>
      </c>
      <c r="C85" s="1463">
        <f t="shared" si="604"/>
      </c>
      <c r="D85" s="1463">
        <f t="shared" si="604"/>
      </c>
      <c r="E85" s="1463">
        <f t="shared" si="604"/>
      </c>
      <c r="F85" s="2299">
        <f t="shared" si="604"/>
      </c>
      <c r="G85" s="1463">
        <f t="shared" si="604"/>
      </c>
      <c r="H85" s="1463">
        <f t="shared" si="604"/>
      </c>
      <c r="I85" s="2300">
        <f t="shared" si="604"/>
      </c>
      <c r="J85" s="1463">
        <f t="shared" si="604"/>
      </c>
      <c r="K85" s="1463">
        <f t="shared" si="604"/>
      </c>
      <c r="L85" s="1463">
        <f t="shared" si="604"/>
      </c>
      <c r="M85" s="1463">
        <f t="shared" si="604"/>
      </c>
      <c r="N85" s="2299">
        <f t="shared" si="604"/>
      </c>
      <c r="O85" s="1463">
        <f t="shared" si="604"/>
      </c>
      <c r="P85" s="1463">
        <f t="shared" si="604"/>
      </c>
      <c r="Q85" s="2300">
        <f t="shared" si="604"/>
      </c>
      <c r="R85" s="1463">
        <f t="shared" si="604"/>
      </c>
      <c r="S85" s="1463">
        <f t="shared" si="604"/>
      </c>
      <c r="T85" s="1463">
        <f t="shared" si="604"/>
      </c>
      <c r="U85" s="1463">
        <f t="shared" si="604"/>
      </c>
      <c r="V85" s="2299">
        <f t="shared" si="604"/>
      </c>
      <c r="W85" s="1463">
        <f t="shared" si="604"/>
      </c>
      <c r="X85" s="1463">
        <f t="shared" si="604"/>
      </c>
      <c r="Y85" s="2300">
        <f t="shared" si="604"/>
      </c>
      <c r="Z85" s="1463">
        <f t="shared" si="604"/>
      </c>
      <c r="AA85" s="1463">
        <f t="shared" si="604"/>
      </c>
      <c r="AB85" s="1463">
        <f t="shared" si="604"/>
      </c>
      <c r="AC85" s="1463">
        <f t="shared" si="604"/>
      </c>
      <c r="AD85" s="2299">
        <f t="shared" si="604"/>
      </c>
      <c r="AE85" s="1463">
        <f t="shared" si="604"/>
      </c>
      <c r="AF85" s="1463">
        <f t="shared" si="604"/>
      </c>
      <c r="AG85" s="2300">
        <f t="shared" si="604"/>
      </c>
      <c r="AH85" s="1463">
        <f t="shared" si="604"/>
      </c>
      <c r="AI85" s="1463">
        <f t="shared" si="604"/>
      </c>
      <c r="AJ85" s="1463">
        <f t="shared" si="604"/>
      </c>
      <c r="AK85" s="1463">
        <f t="shared" si="604"/>
      </c>
      <c r="AL85" s="2299">
        <f t="shared" si="604"/>
      </c>
      <c r="AM85" s="1463">
        <f t="shared" si="604"/>
      </c>
      <c r="AN85" s="1463">
        <f t="shared" si="604"/>
      </c>
      <c r="AO85" s="2300">
        <f t="shared" si="604"/>
      </c>
      <c r="AP85" s="1463">
        <f t="shared" si="605"/>
      </c>
      <c r="AQ85" s="1463">
        <f t="shared" si="605"/>
      </c>
      <c r="AR85" s="1463">
        <f t="shared" si="605"/>
      </c>
      <c r="AS85" s="1463">
        <f t="shared" si="605"/>
      </c>
      <c r="AT85" s="2299">
        <f t="shared" si="605"/>
      </c>
      <c r="AU85" s="1463">
        <f t="shared" si="605"/>
      </c>
      <c r="AV85" s="1463">
        <f t="shared" si="605"/>
      </c>
      <c r="AW85" s="2300">
        <f t="shared" si="605"/>
      </c>
      <c r="AX85" s="1463">
        <f t="shared" si="605"/>
      </c>
      <c r="AY85" s="1463">
        <f t="shared" si="605"/>
      </c>
      <c r="AZ85" s="1463">
        <f t="shared" si="605"/>
      </c>
      <c r="BA85" s="1463">
        <f t="shared" si="605"/>
      </c>
      <c r="BB85" s="2299">
        <f t="shared" si="605"/>
      </c>
      <c r="BC85" s="1463">
        <f t="shared" si="605"/>
      </c>
      <c r="BD85" s="1463">
        <f t="shared" si="605"/>
      </c>
      <c r="BE85" s="2300">
        <f t="shared" si="605"/>
      </c>
      <c r="BF85" s="1463">
        <f t="shared" si="605"/>
      </c>
      <c r="BG85" s="1463">
        <f t="shared" si="605"/>
      </c>
      <c r="BH85" s="1463">
        <f t="shared" si="605"/>
      </c>
      <c r="BI85" s="1463">
        <f t="shared" si="605"/>
      </c>
      <c r="BJ85" s="2299">
        <f t="shared" si="605"/>
      </c>
      <c r="BK85" s="1463">
        <f t="shared" si="605"/>
      </c>
      <c r="BL85" s="1463">
        <f t="shared" si="605"/>
      </c>
      <c r="BM85" s="2300">
        <f t="shared" si="605"/>
      </c>
      <c r="BN85" s="1463">
        <f t="shared" si="605"/>
      </c>
      <c r="BO85" s="1463">
        <f t="shared" si="605"/>
      </c>
      <c r="BP85" s="1463">
        <f t="shared" si="605"/>
      </c>
      <c r="BQ85" s="1463">
        <f t="shared" si="605"/>
      </c>
      <c r="BR85" s="2299">
        <f t="shared" si="605"/>
      </c>
      <c r="BS85" s="1463">
        <f t="shared" si="605"/>
      </c>
      <c r="BT85" s="1463">
        <f t="shared" si="605"/>
      </c>
      <c r="BU85" s="2300">
        <f t="shared" si="605"/>
      </c>
      <c r="BV85" s="1463">
        <f t="shared" si="605"/>
      </c>
      <c r="BW85" s="1463">
        <f t="shared" si="605"/>
      </c>
      <c r="BX85" s="1463">
        <f t="shared" si="605"/>
      </c>
      <c r="BY85" s="1463">
        <f t="shared" si="605"/>
      </c>
      <c r="BZ85" s="2299">
        <f t="shared" si="605"/>
      </c>
      <c r="CA85" s="1463">
        <f t="shared" si="605"/>
      </c>
      <c r="CB85" s="1463">
        <f t="shared" si="605"/>
      </c>
      <c r="CC85" s="2300">
        <f t="shared" si="605"/>
      </c>
      <c r="CD85" s="1463">
        <f t="shared" si="605"/>
      </c>
      <c r="CE85" s="1463">
        <f t="shared" si="605"/>
      </c>
      <c r="CF85" s="1463">
        <f t="shared" si="605"/>
      </c>
      <c r="CG85" s="1463">
        <f t="shared" si="605"/>
      </c>
      <c r="CH85" s="2299">
        <f t="shared" si="605"/>
      </c>
      <c r="CI85" s="1463">
        <f t="shared" si="605"/>
      </c>
      <c r="CJ85" s="1463">
        <f t="shared" si="605"/>
      </c>
      <c r="CK85" s="1463">
        <f t="shared" si="605"/>
      </c>
      <c r="CL85" s="2299">
        <f t="shared" si="606"/>
      </c>
      <c r="CM85" s="1463">
        <f t="shared" si="606"/>
      </c>
      <c r="CN85" s="1463">
        <f t="shared" si="606"/>
      </c>
      <c r="CO85" s="2300">
        <f t="shared" si="606"/>
      </c>
      <c r="CP85" s="2299">
        <f t="shared" si="606"/>
      </c>
      <c r="CQ85" s="1463">
        <f t="shared" si="606"/>
      </c>
      <c r="CR85" s="1463">
        <f t="shared" si="606"/>
      </c>
      <c r="CS85" s="2300">
        <f t="shared" si="606"/>
      </c>
      <c r="CT85" s="2299">
        <f t="shared" si="606"/>
      </c>
      <c r="CU85" s="1463">
        <f t="shared" si="606"/>
      </c>
      <c r="CV85" s="1463">
        <f t="shared" si="606"/>
      </c>
      <c r="CW85" s="2300">
        <f t="shared" si="606"/>
      </c>
      <c r="CX85" s="2299"/>
      <c r="CY85" s="1463"/>
      <c r="CZ85" s="1463"/>
      <c r="DA85" s="2300"/>
      <c r="DB85" s="2299"/>
      <c r="DC85" s="1463"/>
      <c r="DD85" s="1463"/>
      <c r="DE85" s="2300"/>
      <c r="DF85" s="2299"/>
      <c r="DG85" s="1463"/>
      <c r="DH85" s="1463"/>
      <c r="DI85" s="2300"/>
      <c r="DJ85" s="2299"/>
      <c r="DK85" s="1463"/>
      <c r="DL85" s="1463"/>
      <c r="DM85" s="2300"/>
      <c r="DN85" s="2299"/>
      <c r="DO85" s="1463"/>
      <c r="DP85" s="1463"/>
      <c r="DQ85" s="2300"/>
      <c r="DR85" s="1463"/>
      <c r="DS85" s="1463">
        <f>DS14/'Income Statement'!ER$9</f>
      </c>
      <c r="DT85" s="1463">
        <f>DT14/'Income Statement'!ES$9</f>
      </c>
      <c r="DU85" s="1463">
        <f>DU14/'Income Statement'!ET$9</f>
      </c>
      <c r="DV85" s="1463">
        <f>DV14/'Income Statement'!EU$9</f>
      </c>
      <c r="DW85" s="1463">
        <f>DW14/'Income Statement'!EV$9</f>
      </c>
      <c r="DX85" s="1463">
        <f>DX14/'Income Statement'!EW$9</f>
      </c>
      <c r="DY85" s="1463">
        <f>DY14/'Income Statement'!EX$9</f>
      </c>
      <c r="DZ85" s="1463">
        <f>DZ14/'Income Statement'!EY$9</f>
      </c>
      <c r="EA85" s="1463">
        <f>EA14/'Income Statement'!EZ$9</f>
      </c>
      <c r="EB85" s="1463">
        <f>EB14/'Income Statement'!FA$9</f>
      </c>
      <c r="EC85" s="1463">
        <f>EC14/'Income Statement'!FB$9</f>
      </c>
      <c r="ED85" s="1463">
        <f>ED14/'Income Statement'!FC$9</f>
      </c>
      <c r="EE85" s="1463">
        <f>EE14/'Income Statement'!FD$9</f>
      </c>
      <c r="EF85" s="1463">
        <f>EF14/'Income Statement'!FE$9</f>
      </c>
      <c r="EG85" s="1463">
        <f t="shared" si="589"/>
      </c>
      <c r="EH85" s="1463">
        <f t="shared" si="589"/>
      </c>
      <c r="EI85" s="1463">
        <f t="shared" si="589"/>
      </c>
      <c r="EJ85" s="1463">
        <f t="shared" si="589"/>
      </c>
      <c r="EK85" s="1463">
        <f t="shared" si="589"/>
      </c>
      <c r="EL85" s="1463">
        <f t="shared" si="589"/>
      </c>
      <c r="EM85" s="1463">
        <f t="shared" si="589"/>
      </c>
      <c r="EN85" s="1463">
        <f t="shared" si="589"/>
      </c>
      <c r="EO85" s="1463">
        <f t="shared" si="607"/>
      </c>
      <c r="EP85" s="1463">
        <f t="shared" si="607"/>
      </c>
      <c r="EQ85" s="1463">
        <f t="shared" si="607"/>
      </c>
      <c r="ER85" s="1463">
        <f t="shared" si="607"/>
      </c>
      <c r="ES85" s="1463">
        <f t="shared" si="607"/>
      </c>
      <c r="ET85" s="1463">
        <f t="shared" si="607"/>
      </c>
      <c r="EU85" s="1463">
        <f t="shared" si="607"/>
      </c>
      <c r="EV85" s="1463">
        <f t="shared" si="607"/>
      </c>
      <c r="EW85" s="1463"/>
      <c r="EX85" s="1463"/>
      <c r="EY85" s="1463"/>
      <c r="EZ85" s="1463"/>
      <c r="FA85" s="1463"/>
      <c r="FB85" s="1463"/>
      <c r="FC85" s="1463"/>
      <c r="FD85" s="1463"/>
      <c r="FE85" s="1463"/>
      <c r="FF85" s="1463"/>
      <c r="FG85" s="1463"/>
      <c r="FH85" s="1463"/>
      <c r="FI85" s="1463"/>
      <c r="FJ85" s="1463"/>
    </row>
    <row r="86" spans="1:166" s="2312" customFormat="1">
      <c r="A86" s="2303" t="s">
        <v>170</v>
      </c>
      <c r="B86" s="2304">
        <f>B16/'Income Statement'!V$9</f>
      </c>
      <c r="C86" s="2304">
        <f>C16/'Income Statement'!W$9</f>
      </c>
      <c r="D86" s="2304">
        <f>D16/'Income Statement'!X$9</f>
      </c>
      <c r="E86" s="2304">
        <f>E16/'Income Statement'!Y$9</f>
      </c>
      <c r="F86" s="2305">
        <f>F16/'Income Statement'!Z$9</f>
      </c>
      <c r="G86" s="2304">
        <f>G16/'Income Statement'!AA$9</f>
      </c>
      <c r="H86" s="2304">
        <f>H16/'Income Statement'!AB$9</f>
      </c>
      <c r="I86" s="2306">
        <f>I16/'Income Statement'!AC$9</f>
      </c>
      <c r="J86" s="2304">
        <f>J16/'Income Statement'!AD$9</f>
      </c>
      <c r="K86" s="2304">
        <f>K16/'Income Statement'!AE$9</f>
      </c>
      <c r="L86" s="2304">
        <f>L16/'Income Statement'!AF$9</f>
      </c>
      <c r="M86" s="2304">
        <f>M16/'Income Statement'!AG$9</f>
      </c>
      <c r="N86" s="2305">
        <f>N16/'Income Statement'!AH$9</f>
      </c>
      <c r="O86" s="2304">
        <f>O16/'Income Statement'!AI$9</f>
      </c>
      <c r="P86" s="2304">
        <f>P16/'Income Statement'!AJ$9</f>
      </c>
      <c r="Q86" s="2306">
        <f>Q16/'Income Statement'!AK$9</f>
      </c>
      <c r="R86" s="2304">
        <f>R16/'Income Statement'!AL$9</f>
      </c>
      <c r="S86" s="2304">
        <f>S16/'Income Statement'!AM$9</f>
      </c>
      <c r="T86" s="2304">
        <f>T16/'Income Statement'!AN$9</f>
      </c>
      <c r="U86" s="2304">
        <f>U16/'Income Statement'!AO$9</f>
      </c>
      <c r="V86" s="2305">
        <f>V16/'Income Statement'!AP$9</f>
      </c>
      <c r="W86" s="2304">
        <f>W16/'Income Statement'!AQ$9</f>
      </c>
      <c r="X86" s="2304">
        <f>X16/'Income Statement'!AR$9</f>
      </c>
      <c r="Y86" s="2306">
        <f>Y16/'Income Statement'!AS$9</f>
      </c>
      <c r="Z86" s="2304">
        <f>Z16/'Income Statement'!AT$9</f>
      </c>
      <c r="AA86" s="2304">
        <f>AA16/'Income Statement'!AU$9</f>
      </c>
      <c r="AB86" s="2304">
        <f>AB16/'Income Statement'!AV$9</f>
      </c>
      <c r="AC86" s="2304">
        <f>AC16/'Income Statement'!AW$9</f>
      </c>
      <c r="AD86" s="2305">
        <f>AD16/'Income Statement'!AX$9</f>
      </c>
      <c r="AE86" s="2304">
        <f>AE16/'Income Statement'!AY$9</f>
      </c>
      <c r="AF86" s="2304">
        <f>AF16/'Income Statement'!AZ$9</f>
      </c>
      <c r="AG86" s="2306">
        <f>AG16/'Income Statement'!BA$9</f>
      </c>
      <c r="AH86" s="2304">
        <f>AH16/'Income Statement'!BB$9</f>
      </c>
      <c r="AI86" s="2304">
        <f>AI16/'Income Statement'!BC$9</f>
      </c>
      <c r="AJ86" s="2304">
        <f>AJ16/'Income Statement'!BD$9</f>
      </c>
      <c r="AK86" s="2304">
        <f>AK16/'Income Statement'!BE$9</f>
      </c>
      <c r="AL86" s="2305">
        <f>AL16/'Income Statement'!BF$9</f>
      </c>
      <c r="AM86" s="2304">
        <f>AM16/'Income Statement'!BG$9</f>
      </c>
      <c r="AN86" s="2304">
        <f>AN16/'Income Statement'!BH$9</f>
      </c>
      <c r="AO86" s="2306">
        <f>AO16/'Income Statement'!BI$9</f>
      </c>
      <c r="AP86" s="2304">
        <f>AP16/'Income Statement'!BJ$9</f>
      </c>
      <c r="AQ86" s="2304">
        <f>AQ16/'Income Statement'!BK$9</f>
      </c>
      <c r="AR86" s="2304">
        <f>AR16/'Income Statement'!BL$9</f>
      </c>
      <c r="AS86" s="2304">
        <f>AS16/'Income Statement'!BM$9</f>
      </c>
      <c r="AT86" s="2305">
        <f>AT16/'Income Statement'!BN$9</f>
      </c>
      <c r="AU86" s="2304">
        <f>AU16/'Income Statement'!BO$9</f>
      </c>
      <c r="AV86" s="2304">
        <f>AV16/'Income Statement'!BP$9</f>
      </c>
      <c r="AW86" s="2306">
        <f>AW16/'Income Statement'!BQ$9</f>
      </c>
      <c r="AX86" s="2304">
        <f>AX16/'Income Statement'!BR$9</f>
      </c>
      <c r="AY86" s="2304">
        <f>AY16/'Income Statement'!BS$9</f>
      </c>
      <c r="AZ86" s="2304">
        <f>AZ16/'Income Statement'!BT$9</f>
      </c>
      <c r="BA86" s="2304">
        <f>BA16/'Income Statement'!BU$9</f>
      </c>
      <c r="BB86" s="2305">
        <f>BB16/'Income Statement'!BV$9</f>
      </c>
      <c r="BC86" s="2304">
        <f>BC16/'Income Statement'!BW$9</f>
      </c>
      <c r="BD86" s="2304">
        <f>BD16/'Income Statement'!BX$9</f>
      </c>
      <c r="BE86" s="2306">
        <f>BE16/'Income Statement'!BY$9</f>
      </c>
      <c r="BF86" s="2304">
        <f>BF16/'Income Statement'!BZ$9</f>
      </c>
      <c r="BG86" s="2304">
        <f>BG16/'Income Statement'!CA$9</f>
      </c>
      <c r="BH86" s="2304">
        <f>BH16/'Income Statement'!CB$9</f>
      </c>
      <c r="BI86" s="2304">
        <f>BI16/'Income Statement'!CC$9</f>
      </c>
      <c r="BJ86" s="2305">
        <f>BJ16/'Income Statement'!CD$9</f>
      </c>
      <c r="BK86" s="2304">
        <f>BK16/'Income Statement'!CE$9</f>
      </c>
      <c r="BL86" s="2304">
        <f>BL16/'Income Statement'!CF$9</f>
      </c>
      <c r="BM86" s="2306">
        <f>BM16/'Income Statement'!CG$9</f>
      </c>
      <c r="BN86" s="2304">
        <f>BN16/'Income Statement'!CH$9</f>
      </c>
      <c r="BO86" s="2304">
        <f>BO16/'Income Statement'!CI$9</f>
      </c>
      <c r="BP86" s="2304">
        <f>BP16/'Income Statement'!CJ$9</f>
      </c>
      <c r="BQ86" s="2304">
        <f>BQ16/'Income Statement'!CK$9</f>
      </c>
      <c r="BR86" s="2305">
        <f>BR16/'Income Statement'!CL$9</f>
      </c>
      <c r="BS86" s="2304">
        <f>BS16/'Income Statement'!CM$9</f>
      </c>
      <c r="BT86" s="2304">
        <f>BT16/'Income Statement'!CN$9</f>
      </c>
      <c r="BU86" s="2306">
        <f>BU16/'Income Statement'!CO$9</f>
      </c>
      <c r="BV86" s="2304">
        <f>BV16/'Income Statement'!CP$9</f>
      </c>
      <c r="BW86" s="2304">
        <f>BW16/'Income Statement'!CQ$9</f>
      </c>
      <c r="BX86" s="2304">
        <f>BX16/'Income Statement'!CR$9</f>
      </c>
      <c r="BY86" s="2304">
        <f>BY16/'Income Statement'!CS$9</f>
      </c>
      <c r="BZ86" s="2305">
        <f>BZ16/'Income Statement'!CT$9</f>
      </c>
      <c r="CA86" s="2304">
        <f>CA16/'Income Statement'!CU$9</f>
      </c>
      <c r="CB86" s="2304">
        <f>CB16/'Income Statement'!CV$9</f>
      </c>
      <c r="CC86" s="2306">
        <f>CC16/'Income Statement'!CW$9</f>
      </c>
      <c r="CD86" s="2304">
        <f>CD16/'Income Statement'!CX$9</f>
      </c>
      <c r="CE86" s="2304">
        <f>CE16/'Income Statement'!CY$9</f>
      </c>
      <c r="CF86" s="2304">
        <f>CF16/'Income Statement'!CZ$9</f>
      </c>
      <c r="CG86" s="2304">
        <f>CG16/'Income Statement'!DA$9</f>
      </c>
      <c r="CH86" s="2305">
        <f>CH16/'Income Statement'!DB$9</f>
      </c>
      <c r="CI86" s="2304">
        <f>CI16/'Income Statement'!DC$9</f>
      </c>
      <c r="CJ86" s="2304">
        <f>CJ16/'Income Statement'!DD$9</f>
      </c>
      <c r="CK86" s="2304">
        <f>CK16/'Income Statement'!DE$9</f>
      </c>
      <c r="CL86" s="2305">
        <f>CL16/'Income Statement'!DF$9</f>
      </c>
      <c r="CM86" s="2304">
        <f>CM16/'Income Statement'!DG$9</f>
      </c>
      <c r="CN86" s="2304">
        <f>CN16/'Income Statement'!DH$9</f>
      </c>
      <c r="CO86" s="2307">
        <f>CO16/'Income Statement'!DI$9</f>
      </c>
      <c r="CP86" s="2305">
        <f>CP16/'Income Statement'!DJ$9</f>
      </c>
      <c r="CQ86" s="2304">
        <f>CQ16/'Income Statement'!DK$9</f>
      </c>
      <c r="CR86" s="2304">
        <f>CR16/'Income Statement'!DL$9</f>
      </c>
      <c r="CS86" s="2307">
        <f>CS16/'Income Statement'!DM$9</f>
      </c>
      <c r="CT86" s="2305">
        <f>CT16/'Income Statement'!DN$9</f>
      </c>
      <c r="CU86" s="2304">
        <f>CU16/'Income Statement'!DO$9</f>
      </c>
      <c r="CV86" s="2304">
        <f>CV16/'Income Statement'!DP$9</f>
      </c>
      <c r="CW86" s="2307">
        <f>CW16/'Income Statement'!DQ$9</f>
      </c>
      <c r="CX86" s="2305">
        <f>CX16/'Income Statement'!DR$9</f>
      </c>
      <c r="CY86" s="2304">
        <f>CY16/'Income Statement'!DS$9</f>
      </c>
      <c r="CZ86" s="2304">
        <f>CZ16/'Income Statement'!DT$9</f>
      </c>
      <c r="DA86" s="2307">
        <f>DA16/'Income Statement'!DU$9</f>
      </c>
      <c r="DB86" s="2305">
        <f>DB16/'Income Statement'!DV$9</f>
      </c>
      <c r="DC86" s="2304">
        <f>DC16/'Income Statement'!DW$9</f>
      </c>
      <c r="DD86" s="2304">
        <f>DD16/'Income Statement'!DX$9</f>
      </c>
      <c r="DE86" s="2307">
        <f>DE16/'Income Statement'!DY$9</f>
      </c>
      <c r="DF86" s="2305">
        <f>DF16/'Income Statement'!DZ$9</f>
      </c>
      <c r="DG86" s="2304">
        <f>DG16/'Income Statement'!EA$9</f>
      </c>
      <c r="DH86" s="2304">
        <f>DH16/'Income Statement'!EB$9</f>
      </c>
      <c r="DI86" s="2307">
        <f>DI16/'Income Statement'!EC$9</f>
      </c>
      <c r="DJ86" s="2305">
        <f>DJ16/'Income Statement'!ED$9</f>
      </c>
      <c r="DK86" s="2304">
        <f>DK16/'Income Statement'!EE$9</f>
      </c>
      <c r="DL86" s="2304">
        <f>DL16/'Income Statement'!EF$9</f>
      </c>
      <c r="DM86" s="2307">
        <f>DM16/'Income Statement'!EG$9</f>
      </c>
      <c r="DN86" s="2305">
        <f>DN16/'Income Statement'!EH$9</f>
      </c>
      <c r="DO86" s="2304">
        <f>DO16/'Income Statement'!EI$9</f>
      </c>
      <c r="DP86" s="2304">
        <f>DP16/'Income Statement'!EJ$9</f>
      </c>
      <c r="DQ86" s="2307">
        <f>DQ16/'Income Statement'!EK$9</f>
      </c>
      <c r="DR86" s="2308"/>
      <c r="DS86" s="2309">
        <f t="shared" ref="DS86:EI86" si="608">DS16/DS$16</f>
      </c>
      <c r="DT86" s="2309">
        <f t="shared" si="608"/>
      </c>
      <c r="DU86" s="2309">
        <f t="shared" si="608"/>
      </c>
      <c r="DV86" s="2309">
        <f t="shared" si="608"/>
      </c>
      <c r="DW86" s="2309">
        <f t="shared" si="608"/>
      </c>
      <c r="DX86" s="2309">
        <f t="shared" si="608"/>
      </c>
      <c r="DY86" s="2309">
        <f t="shared" si="608"/>
      </c>
      <c r="DZ86" s="2309">
        <f t="shared" si="608"/>
      </c>
      <c r="EA86" s="2309">
        <f t="shared" si="608"/>
      </c>
      <c r="EB86" s="2309">
        <f t="shared" si="608"/>
      </c>
      <c r="EC86" s="2309">
        <f t="shared" si="608"/>
      </c>
      <c r="ED86" s="2309">
        <f t="shared" si="608"/>
      </c>
      <c r="EE86" s="2309">
        <f t="shared" si="608"/>
      </c>
      <c r="EF86" s="2309">
        <f t="shared" si="608"/>
      </c>
      <c r="EG86" s="2309">
        <f t="shared" si="608"/>
      </c>
      <c r="EH86" s="2309">
        <f t="shared" si="608"/>
      </c>
      <c r="EI86" s="2309">
        <f t="shared" si="608"/>
      </c>
      <c r="EJ86" s="2309">
        <f>EJ16/EJ$16</f>
      </c>
      <c r="EK86" s="2309">
        <f t="shared" ref="EK86:EV86" si="609">EK16/EK$16</f>
      </c>
      <c r="EL86" s="2309">
        <f t="shared" si="609"/>
      </c>
      <c r="EM86" s="2309">
        <f t="shared" si="609"/>
      </c>
      <c r="EN86" s="2309">
        <f t="shared" si="609"/>
      </c>
      <c r="EO86" s="2309">
        <f t="shared" si="609"/>
      </c>
      <c r="EP86" s="2309">
        <f t="shared" si="609"/>
      </c>
      <c r="EQ86" s="2309">
        <f t="shared" si="609"/>
      </c>
      <c r="ER86" s="2309">
        <f t="shared" si="609"/>
      </c>
      <c r="ES86" s="2309">
        <f t="shared" si="609"/>
      </c>
      <c r="ET86" s="2309">
        <f t="shared" si="609"/>
      </c>
      <c r="EU86" s="2309">
        <f t="shared" si="609"/>
      </c>
      <c r="EV86" s="2309">
        <f t="shared" si="609"/>
      </c>
      <c r="EW86" s="2309"/>
      <c r="EX86" s="2310"/>
      <c r="EY86" s="2310">
        <f t="shared" ref="EY86:FF86" si="610">EY16/EY$16</f>
      </c>
      <c r="EZ86" s="2310">
        <f t="shared" si="610"/>
      </c>
      <c r="FA86" s="2310">
        <f t="shared" si="610"/>
      </c>
      <c r="FB86" s="2310">
        <f t="shared" si="610"/>
      </c>
      <c r="FC86" s="2310">
        <f t="shared" si="610"/>
      </c>
      <c r="FD86" s="2310">
        <f t="shared" si="610"/>
      </c>
      <c r="FE86" s="2310">
        <f t="shared" si="610"/>
      </c>
      <c r="FF86" s="2310">
        <f t="shared" si="610"/>
      </c>
      <c r="FG86" s="2311"/>
      <c r="FH86" s="2311"/>
      <c r="FI86" s="2311"/>
      <c r="FJ86" s="2311"/>
    </row>
    <row r="87" spans="1:166" ht="12" customHeight="1">
      <c r="A87" s="1529" t="s">
        <v>1415</v>
      </c>
      <c r="B87" s="21">
        <f t="shared" ref="B87:AG87" si="611">B29/B9</f>
      </c>
      <c r="C87" s="21">
        <f t="shared" si="611"/>
      </c>
      <c r="D87" s="21">
        <f t="shared" si="611"/>
      </c>
      <c r="E87" s="21">
        <f t="shared" si="611"/>
      </c>
      <c r="F87" s="1483">
        <f t="shared" si="611"/>
      </c>
      <c r="G87" s="21">
        <f t="shared" si="611"/>
      </c>
      <c r="H87" s="21">
        <f t="shared" si="611"/>
      </c>
      <c r="I87" s="52">
        <f t="shared" si="611"/>
      </c>
      <c r="J87" s="21">
        <f t="shared" si="611"/>
      </c>
      <c r="K87" s="21">
        <f t="shared" si="611"/>
      </c>
      <c r="L87" s="21">
        <f t="shared" si="611"/>
      </c>
      <c r="M87" s="21">
        <f t="shared" si="611"/>
      </c>
      <c r="N87" s="1483">
        <f t="shared" si="611"/>
      </c>
      <c r="O87" s="21">
        <f t="shared" si="611"/>
      </c>
      <c r="P87" s="21">
        <f t="shared" si="611"/>
      </c>
      <c r="Q87" s="52">
        <f t="shared" si="611"/>
      </c>
      <c r="R87" s="21">
        <f t="shared" si="611"/>
      </c>
      <c r="S87" s="21">
        <f t="shared" si="611"/>
      </c>
      <c r="T87" s="21">
        <f t="shared" si="611"/>
      </c>
      <c r="U87" s="21">
        <f t="shared" si="611"/>
      </c>
      <c r="V87" s="1530">
        <f t="shared" si="611"/>
      </c>
      <c r="W87" s="722">
        <f t="shared" si="611"/>
      </c>
      <c r="X87" s="722">
        <f t="shared" si="611"/>
      </c>
      <c r="Y87" s="1531">
        <f t="shared" si="611"/>
      </c>
      <c r="Z87" s="21">
        <f t="shared" si="611"/>
      </c>
      <c r="AA87" s="21">
        <f t="shared" si="611"/>
      </c>
      <c r="AB87" s="21">
        <f t="shared" si="611"/>
      </c>
      <c r="AC87" s="21">
        <f t="shared" si="611"/>
      </c>
      <c r="AD87" s="1530">
        <f t="shared" si="611"/>
      </c>
      <c r="AE87" s="722">
        <f t="shared" si="611"/>
      </c>
      <c r="AF87" s="722">
        <f t="shared" si="611"/>
      </c>
      <c r="AG87" s="1531">
        <f t="shared" si="611"/>
      </c>
      <c r="AH87" s="21">
        <f t="shared" ref="AH87:BM87" si="612">AH29/AH9</f>
      </c>
      <c r="AI87" s="21">
        <f t="shared" si="612"/>
      </c>
      <c r="AJ87" s="21">
        <f t="shared" si="612"/>
      </c>
      <c r="AK87" s="21">
        <f t="shared" si="612"/>
      </c>
      <c r="AL87" s="1483">
        <f t="shared" si="612"/>
      </c>
      <c r="AM87" s="21">
        <f t="shared" si="612"/>
      </c>
      <c r="AN87" s="21">
        <f t="shared" si="612"/>
      </c>
      <c r="AO87" s="52">
        <f t="shared" si="612"/>
      </c>
      <c r="AP87" s="21">
        <f t="shared" si="612"/>
      </c>
      <c r="AQ87" s="21">
        <f t="shared" si="612"/>
      </c>
      <c r="AR87" s="21">
        <f t="shared" si="612"/>
      </c>
      <c r="AS87" s="21">
        <f t="shared" si="612"/>
      </c>
      <c r="AT87" s="1483">
        <f t="shared" si="612"/>
      </c>
      <c r="AU87" s="21">
        <f t="shared" si="612"/>
      </c>
      <c r="AV87" s="21">
        <f t="shared" si="612"/>
      </c>
      <c r="AW87" s="52">
        <f t="shared" si="612"/>
      </c>
      <c r="AX87" s="21">
        <f t="shared" si="612"/>
      </c>
      <c r="AY87" s="21">
        <f t="shared" si="612"/>
      </c>
      <c r="AZ87" s="21">
        <f t="shared" si="612"/>
      </c>
      <c r="BA87" s="21">
        <f t="shared" si="612"/>
      </c>
      <c r="BB87" s="1483">
        <f t="shared" si="612"/>
      </c>
      <c r="BC87" s="21">
        <f t="shared" si="612"/>
      </c>
      <c r="BD87" s="21">
        <f t="shared" si="612"/>
      </c>
      <c r="BE87" s="52">
        <f t="shared" si="612"/>
      </c>
      <c r="BF87" s="21">
        <f t="shared" si="612"/>
      </c>
      <c r="BG87" s="21">
        <f t="shared" si="612"/>
      </c>
      <c r="BH87" s="21">
        <f t="shared" si="612"/>
      </c>
      <c r="BI87" s="21">
        <f t="shared" si="612"/>
      </c>
      <c r="BJ87" s="1483">
        <f t="shared" si="612"/>
      </c>
      <c r="BK87" s="21">
        <f t="shared" si="612"/>
      </c>
      <c r="BL87" s="21">
        <f t="shared" si="612"/>
      </c>
      <c r="BM87" s="52">
        <f t="shared" si="612"/>
      </c>
      <c r="BN87" s="21">
        <f t="shared" ref="BN87:CK87" si="613">BN29/BN9</f>
      </c>
      <c r="BO87" s="21">
        <f t="shared" si="613"/>
      </c>
      <c r="BP87" s="21">
        <f t="shared" si="613"/>
      </c>
      <c r="BQ87" s="21">
        <f t="shared" si="613"/>
      </c>
      <c r="BR87" s="1483">
        <f t="shared" si="613"/>
      </c>
      <c r="BS87" s="21">
        <f t="shared" si="613"/>
      </c>
      <c r="BT87" s="21">
        <f t="shared" si="613"/>
      </c>
      <c r="BU87" s="52">
        <f t="shared" si="613"/>
      </c>
      <c r="BV87" s="21">
        <f t="shared" si="613"/>
      </c>
      <c r="BW87" s="21">
        <f t="shared" si="613"/>
      </c>
      <c r="BX87" s="21">
        <f t="shared" si="613"/>
      </c>
      <c r="BY87" s="21">
        <f t="shared" si="613"/>
      </c>
      <c r="BZ87" s="1483">
        <f t="shared" si="613"/>
      </c>
      <c r="CA87" s="21">
        <f t="shared" si="613"/>
      </c>
      <c r="CB87" s="21">
        <f t="shared" si="613"/>
      </c>
      <c r="CC87" s="52">
        <f t="shared" si="613"/>
      </c>
      <c r="CD87" s="21">
        <f t="shared" si="613"/>
      </c>
      <c r="CE87" s="21">
        <f t="shared" si="613"/>
      </c>
      <c r="CF87" s="21">
        <f t="shared" si="613"/>
      </c>
      <c r="CG87" s="21">
        <f t="shared" si="613"/>
      </c>
      <c r="CH87" s="1483">
        <f t="shared" si="613"/>
      </c>
      <c r="CI87" s="21">
        <f t="shared" si="613"/>
      </c>
      <c r="CJ87" s="21">
        <f t="shared" si="613"/>
      </c>
      <c r="CK87" s="21">
        <f t="shared" si="613"/>
      </c>
      <c r="CL87" s="1483">
        <f t="shared" ref="CL87:CM87" si="614">CL29/CL9</f>
      </c>
      <c r="CM87" s="21">
        <f t="shared" si="614"/>
      </c>
      <c r="CN87" s="21">
        <f t="shared" ref="CN87:CQ87" si="615">CN29/CN9</f>
      </c>
      <c r="CO87" s="21">
        <f t="shared" si="615"/>
      </c>
      <c r="CP87" s="1483">
        <f t="shared" si="615"/>
      </c>
      <c r="CQ87" s="21">
        <f t="shared" si="615"/>
      </c>
      <c r="CR87" s="21">
        <f t="shared" ref="CR87:CU87" si="616">CR29/CR9</f>
      </c>
      <c r="CS87" s="21">
        <f t="shared" si="616"/>
      </c>
      <c r="CT87" s="1483">
        <f t="shared" si="616"/>
      </c>
      <c r="CU87" s="21">
        <f t="shared" si="616"/>
      </c>
      <c r="CV87" s="775">
        <f t="shared" ref="CV87:CV91" si="617">CR87</f>
      </c>
      <c r="CW87" s="2340">
        <f t="shared" ref="CW87:CW91" si="618">CS87</f>
      </c>
      <c r="CX87" s="2339">
        <f t="shared" ref="CX87:CX91" si="619">CT87</f>
      </c>
      <c r="CY87" s="775">
        <f t="shared" ref="CY87:CY91" si="620">CU87</f>
      </c>
      <c r="CZ87" s="775">
        <f t="shared" ref="CZ87:CZ91" si="621">CV87</f>
      </c>
      <c r="DA87" s="2340">
        <f t="shared" ref="DA87:DA91" si="622">CW87</f>
      </c>
      <c r="DB87" s="2339">
        <f t="shared" ref="DB87:DB91" si="623">CX87</f>
      </c>
      <c r="DC87" s="775">
        <f t="shared" ref="DC87:DC91" si="624">CY87</f>
      </c>
      <c r="DD87" s="775">
        <f t="shared" ref="DD87:DD91" si="625">CZ87</f>
      </c>
      <c r="DE87" s="2340">
        <f t="shared" ref="DE87:DE91" si="626">DA87</f>
      </c>
      <c r="DF87" s="2339">
        <f t="shared" ref="DF87:DF91" si="627">DB87</f>
      </c>
      <c r="DG87" s="775">
        <f t="shared" ref="DG87:DG91" si="628">DC87</f>
      </c>
      <c r="DH87" s="775">
        <f t="shared" ref="DH87:DH91" si="629">DD87</f>
      </c>
      <c r="DI87" s="2340">
        <f t="shared" ref="DI87:DI91" si="630">DE87</f>
      </c>
      <c r="DJ87" s="2339">
        <f t="shared" ref="DJ87:DJ91" si="631">DF87</f>
      </c>
      <c r="DK87" s="775">
        <f t="shared" ref="DK87:DK91" si="632">DG87</f>
      </c>
      <c r="DL87" s="775">
        <f t="shared" ref="DL87:DL91" si="633">DH87</f>
      </c>
      <c r="DM87" s="2340">
        <f t="shared" ref="DM87:DM91" si="634">DI87</f>
      </c>
      <c r="DN87" s="2339">
        <f t="shared" ref="DN87:DN91" si="635">DJ87</f>
      </c>
      <c r="DO87" s="775">
        <f t="shared" ref="DO87:DO91" si="636">DK87</f>
      </c>
      <c r="DP87" s="775">
        <f t="shared" ref="DP87:DP91" si="637">DL87</f>
      </c>
      <c r="DQ87" s="2340">
        <f t="shared" ref="DQ87:DQ91" si="638">DM87</f>
      </c>
      <c r="DR87" s="21"/>
      <c r="DS87" s="21">
        <f t="shared" ref="DS87:EN87" si="639">DS29/DS9</f>
      </c>
      <c r="DT87" s="21">
        <f t="shared" si="639"/>
      </c>
      <c r="DU87" s="21">
        <f t="shared" si="639"/>
      </c>
      <c r="DV87" s="21">
        <f t="shared" si="639"/>
      </c>
      <c r="DW87" s="21">
        <f t="shared" si="639"/>
      </c>
      <c r="DX87" s="21">
        <f t="shared" si="639"/>
      </c>
      <c r="DY87" s="21">
        <f t="shared" si="639"/>
      </c>
      <c r="DZ87" s="21">
        <f t="shared" si="639"/>
      </c>
      <c r="EA87" s="21">
        <f t="shared" si="639"/>
      </c>
      <c r="EB87" s="21">
        <f t="shared" si="639"/>
      </c>
      <c r="EC87" s="21">
        <f t="shared" si="639"/>
      </c>
      <c r="ED87" s="21">
        <f t="shared" si="639"/>
      </c>
      <c r="EE87" s="21">
        <f t="shared" si="639"/>
      </c>
      <c r="EF87" s="21">
        <f t="shared" si="639"/>
      </c>
      <c r="EG87" s="21">
        <f t="shared" si="639"/>
      </c>
      <c r="EH87" s="21">
        <f t="shared" si="639"/>
      </c>
      <c r="EI87" s="21">
        <f t="shared" si="639"/>
      </c>
      <c r="EJ87" s="21">
        <f t="shared" si="639"/>
      </c>
      <c r="EK87" s="21">
        <f t="shared" si="639"/>
      </c>
      <c r="EL87" s="21">
        <f t="shared" si="639"/>
      </c>
      <c r="EM87" s="21">
        <f t="shared" si="639"/>
      </c>
      <c r="EN87" s="21">
        <f t="shared" si="639"/>
      </c>
      <c r="EO87" s="21">
        <f t="shared" ref="EO87:EV87" si="640">EO29/EO9</f>
      </c>
      <c r="EP87" s="21">
        <f t="shared" si="640"/>
      </c>
      <c r="EQ87" s="21">
        <f t="shared" si="640"/>
      </c>
      <c r="ER87" s="21">
        <f t="shared" si="640"/>
      </c>
      <c r="ES87" s="21">
        <f t="shared" si="640"/>
      </c>
      <c r="ET87" s="21">
        <f t="shared" si="640"/>
      </c>
      <c r="EU87" s="21">
        <f t="shared" si="640"/>
      </c>
      <c r="EV87" s="21">
        <f t="shared" si="640"/>
      </c>
      <c r="EW87" s="21"/>
      <c r="EY87" s="21">
        <f t="shared" ref="EY87:FF91" si="641">EY29/EY9</f>
      </c>
      <c r="EZ87" s="21">
        <f t="shared" si="641"/>
      </c>
      <c r="FA87" s="21">
        <f t="shared" si="641"/>
      </c>
      <c r="FB87" s="21">
        <f t="shared" si="641"/>
      </c>
      <c r="FC87" s="21">
        <f t="shared" si="641"/>
      </c>
      <c r="FD87" s="21">
        <f t="shared" si="641"/>
      </c>
      <c r="FE87" s="21">
        <f t="shared" si="641"/>
      </c>
      <c r="FF87" s="21">
        <f t="shared" si="641"/>
      </c>
    </row>
    <row r="88" spans="1:166" ht="12" customHeight="1">
      <c r="A88" s="1529" t="s">
        <v>1416</v>
      </c>
      <c r="B88" s="21">
        <f t="shared" ref="B88:AG88" si="642">B30/B10</f>
      </c>
      <c r="C88" s="21">
        <f t="shared" si="642"/>
      </c>
      <c r="D88" s="21">
        <f t="shared" si="642"/>
      </c>
      <c r="E88" s="21">
        <f t="shared" si="642"/>
      </c>
      <c r="F88" s="1483">
        <f t="shared" si="642"/>
      </c>
      <c r="G88" s="21">
        <f t="shared" si="642"/>
      </c>
      <c r="H88" s="21">
        <f t="shared" si="642"/>
      </c>
      <c r="I88" s="52">
        <f t="shared" si="642"/>
      </c>
      <c r="J88" s="21">
        <f t="shared" si="642"/>
      </c>
      <c r="K88" s="21">
        <f t="shared" si="642"/>
      </c>
      <c r="L88" s="21">
        <f t="shared" si="642"/>
      </c>
      <c r="M88" s="21">
        <f t="shared" si="642"/>
      </c>
      <c r="N88" s="1483">
        <f t="shared" si="642"/>
      </c>
      <c r="O88" s="21">
        <f t="shared" si="642"/>
      </c>
      <c r="P88" s="21">
        <f t="shared" si="642"/>
      </c>
      <c r="Q88" s="52">
        <f t="shared" si="642"/>
      </c>
      <c r="R88" s="21">
        <f t="shared" si="642"/>
      </c>
      <c r="S88" s="21">
        <f t="shared" si="642"/>
      </c>
      <c r="T88" s="21">
        <f t="shared" si="642"/>
      </c>
      <c r="U88" s="21">
        <f t="shared" si="642"/>
      </c>
      <c r="V88" s="1483">
        <f t="shared" si="642"/>
      </c>
      <c r="W88" s="21">
        <f t="shared" si="642"/>
      </c>
      <c r="X88" s="21">
        <f t="shared" si="642"/>
      </c>
      <c r="Y88" s="52">
        <f t="shared" si="642"/>
      </c>
      <c r="Z88" s="21">
        <f t="shared" si="642"/>
      </c>
      <c r="AA88" s="21">
        <f t="shared" si="642"/>
      </c>
      <c r="AB88" s="21">
        <f t="shared" si="642"/>
      </c>
      <c r="AC88" s="21">
        <f t="shared" si="642"/>
      </c>
      <c r="AD88" s="1483">
        <f t="shared" si="642"/>
      </c>
      <c r="AE88" s="21">
        <f t="shared" si="642"/>
      </c>
      <c r="AF88" s="21">
        <f t="shared" si="642"/>
      </c>
      <c r="AG88" s="52">
        <f t="shared" si="642"/>
      </c>
      <c r="AH88" s="21">
        <f t="shared" ref="AH88:BM88" si="643">AH30/AH10</f>
      </c>
      <c r="AI88" s="21">
        <f t="shared" si="643"/>
      </c>
      <c r="AJ88" s="21">
        <f t="shared" si="643"/>
      </c>
      <c r="AK88" s="21">
        <f t="shared" si="643"/>
      </c>
      <c r="AL88" s="1483">
        <f t="shared" si="643"/>
      </c>
      <c r="AM88" s="21">
        <f t="shared" si="643"/>
      </c>
      <c r="AN88" s="21">
        <f t="shared" si="643"/>
      </c>
      <c r="AO88" s="52">
        <f t="shared" si="643"/>
      </c>
      <c r="AP88" s="21">
        <f t="shared" si="643"/>
      </c>
      <c r="AQ88" s="21">
        <f t="shared" si="643"/>
      </c>
      <c r="AR88" s="21">
        <f t="shared" si="643"/>
      </c>
      <c r="AS88" s="21">
        <f t="shared" si="643"/>
      </c>
      <c r="AT88" s="1483">
        <f t="shared" si="643"/>
      </c>
      <c r="AU88" s="21">
        <f t="shared" si="643"/>
      </c>
      <c r="AV88" s="21">
        <f t="shared" si="643"/>
      </c>
      <c r="AW88" s="52">
        <f t="shared" si="643"/>
      </c>
      <c r="AX88" s="21">
        <f t="shared" si="643"/>
      </c>
      <c r="AY88" s="21">
        <f t="shared" si="643"/>
      </c>
      <c r="AZ88" s="21">
        <f t="shared" si="643"/>
      </c>
      <c r="BA88" s="21">
        <f t="shared" si="643"/>
      </c>
      <c r="BB88" s="1483">
        <f t="shared" si="643"/>
      </c>
      <c r="BC88" s="21">
        <f t="shared" si="643"/>
      </c>
      <c r="BD88" s="21">
        <f t="shared" si="643"/>
      </c>
      <c r="BE88" s="52">
        <f t="shared" si="643"/>
      </c>
      <c r="BF88" s="21">
        <f t="shared" si="643"/>
      </c>
      <c r="BG88" s="21">
        <f t="shared" si="643"/>
      </c>
      <c r="BH88" s="21">
        <f t="shared" si="643"/>
      </c>
      <c r="BI88" s="21">
        <f t="shared" si="643"/>
      </c>
      <c r="BJ88" s="1483">
        <f t="shared" si="643"/>
      </c>
      <c r="BK88" s="21">
        <f t="shared" si="643"/>
      </c>
      <c r="BL88" s="21">
        <f t="shared" si="643"/>
      </c>
      <c r="BM88" s="52">
        <f t="shared" si="643"/>
      </c>
      <c r="BN88" s="21">
        <f t="shared" ref="BN88:CK88" si="644">BN30/BN10</f>
      </c>
      <c r="BO88" s="21">
        <f t="shared" si="644"/>
      </c>
      <c r="BP88" s="21">
        <f t="shared" si="644"/>
      </c>
      <c r="BQ88" s="21">
        <f t="shared" si="644"/>
      </c>
      <c r="BR88" s="1483">
        <f t="shared" si="644"/>
      </c>
      <c r="BS88" s="21">
        <f t="shared" si="644"/>
      </c>
      <c r="BT88" s="21">
        <f t="shared" si="644"/>
      </c>
      <c r="BU88" s="52">
        <f t="shared" si="644"/>
      </c>
      <c r="BV88" s="21">
        <f t="shared" si="644"/>
      </c>
      <c r="BW88" s="21">
        <f t="shared" si="644"/>
      </c>
      <c r="BX88" s="21">
        <f t="shared" si="644"/>
      </c>
      <c r="BY88" s="21">
        <f t="shared" si="644"/>
      </c>
      <c r="BZ88" s="1483">
        <f t="shared" si="644"/>
      </c>
      <c r="CA88" s="21">
        <f t="shared" si="644"/>
      </c>
      <c r="CB88" s="21">
        <f t="shared" si="644"/>
      </c>
      <c r="CC88" s="52">
        <f t="shared" si="644"/>
      </c>
      <c r="CD88" s="21">
        <f t="shared" si="644"/>
      </c>
      <c r="CE88" s="21">
        <f t="shared" si="644"/>
      </c>
      <c r="CF88" s="21">
        <f t="shared" si="644"/>
      </c>
      <c r="CG88" s="21">
        <f t="shared" si="644"/>
      </c>
      <c r="CH88" s="1483">
        <f t="shared" si="644"/>
      </c>
      <c r="CI88" s="21">
        <f t="shared" si="644"/>
      </c>
      <c r="CJ88" s="21">
        <f t="shared" si="644"/>
      </c>
      <c r="CK88" s="21">
        <f t="shared" si="644"/>
      </c>
      <c r="CL88" s="1483">
        <f t="shared" ref="CL88:CM88" si="645">CL30/CL10</f>
      </c>
      <c r="CM88" s="21">
        <f t="shared" si="645"/>
      </c>
      <c r="CN88" s="21">
        <f t="shared" ref="CN88:CQ88" si="646">CN30/CN10</f>
      </c>
      <c r="CO88" s="21">
        <f t="shared" si="646"/>
      </c>
      <c r="CP88" s="1483">
        <f t="shared" si="646"/>
      </c>
      <c r="CQ88" s="21">
        <f t="shared" si="646"/>
      </c>
      <c r="CR88" s="21">
        <f t="shared" ref="CR88:CU88" si="647">CR30/CR10</f>
      </c>
      <c r="CS88" s="21">
        <f t="shared" si="647"/>
      </c>
      <c r="CT88" s="1483">
        <f t="shared" si="647"/>
      </c>
      <c r="CU88" s="21">
        <f t="shared" si="647"/>
      </c>
      <c r="CV88" s="775">
        <f t="shared" si="617"/>
      </c>
      <c r="CW88" s="2340">
        <f t="shared" si="618"/>
      </c>
      <c r="CX88" s="2339">
        <f t="shared" si="619"/>
      </c>
      <c r="CY88" s="775">
        <f t="shared" si="620"/>
      </c>
      <c r="CZ88" s="775">
        <f t="shared" si="621"/>
      </c>
      <c r="DA88" s="2340">
        <f t="shared" si="622"/>
      </c>
      <c r="DB88" s="2339">
        <f t="shared" si="623"/>
      </c>
      <c r="DC88" s="775">
        <f t="shared" si="624"/>
      </c>
      <c r="DD88" s="775">
        <f t="shared" si="625"/>
      </c>
      <c r="DE88" s="2340">
        <f t="shared" si="626"/>
      </c>
      <c r="DF88" s="2339">
        <f t="shared" si="627"/>
      </c>
      <c r="DG88" s="775">
        <f t="shared" si="628"/>
      </c>
      <c r="DH88" s="775">
        <f t="shared" si="629"/>
      </c>
      <c r="DI88" s="2340">
        <f t="shared" si="630"/>
      </c>
      <c r="DJ88" s="2339">
        <f t="shared" si="631"/>
      </c>
      <c r="DK88" s="775">
        <f t="shared" si="632"/>
      </c>
      <c r="DL88" s="775">
        <f t="shared" si="633"/>
      </c>
      <c r="DM88" s="2340">
        <f t="shared" si="634"/>
      </c>
      <c r="DN88" s="2339">
        <f t="shared" si="635"/>
      </c>
      <c r="DO88" s="775">
        <f t="shared" si="636"/>
      </c>
      <c r="DP88" s="775">
        <f t="shared" si="637"/>
      </c>
      <c r="DQ88" s="2340">
        <f t="shared" si="638"/>
      </c>
      <c r="DR88" s="21"/>
      <c r="DS88" s="21">
        <f t="shared" ref="DS88:EN88" si="648">DS30/DS10</f>
      </c>
      <c r="DT88" s="21">
        <f t="shared" si="648"/>
      </c>
      <c r="DU88" s="21">
        <f t="shared" si="648"/>
      </c>
      <c r="DV88" s="21">
        <f t="shared" si="648"/>
      </c>
      <c r="DW88" s="21">
        <f t="shared" si="648"/>
      </c>
      <c r="DX88" s="21">
        <f t="shared" si="648"/>
      </c>
      <c r="DY88" s="21">
        <f t="shared" si="648"/>
      </c>
      <c r="DZ88" s="21">
        <f t="shared" si="648"/>
      </c>
      <c r="EA88" s="21">
        <f t="shared" si="648"/>
      </c>
      <c r="EB88" s="21">
        <f t="shared" si="648"/>
      </c>
      <c r="EC88" s="21">
        <f t="shared" si="648"/>
      </c>
      <c r="ED88" s="21">
        <f t="shared" si="648"/>
      </c>
      <c r="EE88" s="21">
        <f t="shared" si="648"/>
      </c>
      <c r="EF88" s="21">
        <f t="shared" si="648"/>
      </c>
      <c r="EG88" s="21">
        <f t="shared" si="648"/>
      </c>
      <c r="EH88" s="21">
        <f t="shared" si="648"/>
      </c>
      <c r="EI88" s="21">
        <f t="shared" si="648"/>
      </c>
      <c r="EJ88" s="21">
        <f t="shared" si="648"/>
      </c>
      <c r="EK88" s="21">
        <f t="shared" si="648"/>
      </c>
      <c r="EL88" s="21">
        <f t="shared" si="648"/>
      </c>
      <c r="EM88" s="21">
        <f t="shared" si="648"/>
      </c>
      <c r="EN88" s="21">
        <f t="shared" si="648"/>
      </c>
      <c r="EO88" s="21">
        <f t="shared" ref="EO88:EV88" si="649">EO30/EO10</f>
      </c>
      <c r="EP88" s="21">
        <f t="shared" si="649"/>
      </c>
      <c r="EQ88" s="21">
        <f t="shared" si="649"/>
      </c>
      <c r="ER88" s="21">
        <f t="shared" si="649"/>
      </c>
      <c r="ES88" s="21">
        <f t="shared" si="649"/>
      </c>
      <c r="ET88" s="21">
        <f t="shared" si="649"/>
      </c>
      <c r="EU88" s="21">
        <f t="shared" si="649"/>
      </c>
      <c r="EV88" s="21">
        <f t="shared" si="649"/>
      </c>
      <c r="EW88" s="21"/>
      <c r="EY88" s="21">
        <f t="shared" si="641"/>
      </c>
      <c r="EZ88" s="21">
        <f t="shared" si="641"/>
      </c>
      <c r="FA88" s="21">
        <f t="shared" si="641"/>
      </c>
      <c r="FB88" s="21">
        <f t="shared" si="641"/>
      </c>
      <c r="FC88" s="21">
        <f t="shared" si="641"/>
      </c>
      <c r="FD88" s="21">
        <f t="shared" si="641"/>
      </c>
      <c r="FE88" s="21">
        <f t="shared" si="641"/>
      </c>
      <c r="FF88" s="21">
        <f t="shared" si="641"/>
      </c>
    </row>
    <row r="89" spans="1:166" ht="12" customHeight="1">
      <c r="A89" s="1529" t="s">
        <v>1417</v>
      </c>
      <c r="B89" s="21"/>
      <c r="C89" s="21"/>
      <c r="D89" s="21"/>
      <c r="E89" s="21"/>
      <c r="F89" s="1483"/>
      <c r="G89" s="21"/>
      <c r="H89" s="21"/>
      <c r="I89" s="52"/>
      <c r="J89" s="21"/>
      <c r="K89" s="21"/>
      <c r="L89" s="21"/>
      <c r="M89" s="21"/>
      <c r="N89" s="1483"/>
      <c r="O89" s="21"/>
      <c r="P89" s="21"/>
      <c r="Q89" s="52"/>
      <c r="R89" s="21"/>
      <c r="S89" s="21"/>
      <c r="T89" s="21"/>
      <c r="U89" s="21"/>
      <c r="V89" s="1483"/>
      <c r="W89" s="21"/>
      <c r="X89" s="21"/>
      <c r="Y89" s="52"/>
      <c r="Z89" s="21"/>
      <c r="AA89" s="21"/>
      <c r="AB89" s="21"/>
      <c r="AC89" s="21"/>
      <c r="AD89" s="1483"/>
      <c r="AE89" s="21"/>
      <c r="AF89" s="21"/>
      <c r="AG89" s="52"/>
      <c r="AH89" s="21"/>
      <c r="AI89" s="21"/>
      <c r="AJ89" s="21"/>
      <c r="AK89" s="21"/>
      <c r="AL89" s="1483"/>
      <c r="AM89" s="21"/>
      <c r="AN89" s="21"/>
      <c r="AO89" s="52"/>
      <c r="AP89" s="21"/>
      <c r="AQ89" s="21"/>
      <c r="AR89" s="21"/>
      <c r="AS89" s="21"/>
      <c r="AT89" s="1483">
        <f t="shared" ref="AT89:CK89" si="650">AT31/AT11</f>
      </c>
      <c r="AU89" s="21">
        <f t="shared" si="650"/>
      </c>
      <c r="AV89" s="21">
        <f t="shared" si="650"/>
      </c>
      <c r="AW89" s="52">
        <f t="shared" si="650"/>
      </c>
      <c r="AX89" s="21">
        <f t="shared" si="650"/>
      </c>
      <c r="AY89" s="21">
        <f t="shared" si="650"/>
      </c>
      <c r="AZ89" s="21">
        <f t="shared" si="650"/>
      </c>
      <c r="BA89" s="21">
        <f t="shared" si="650"/>
      </c>
      <c r="BB89" s="1483">
        <f t="shared" si="650"/>
      </c>
      <c r="BC89" s="21">
        <f t="shared" si="650"/>
      </c>
      <c r="BD89" s="21">
        <f t="shared" si="650"/>
      </c>
      <c r="BE89" s="52">
        <f t="shared" si="650"/>
      </c>
      <c r="BF89" s="21">
        <f t="shared" si="650"/>
      </c>
      <c r="BG89" s="21">
        <f t="shared" si="650"/>
      </c>
      <c r="BH89" s="21">
        <f t="shared" si="650"/>
      </c>
      <c r="BI89" s="21">
        <f t="shared" si="650"/>
      </c>
      <c r="BJ89" s="1483">
        <f t="shared" si="650"/>
      </c>
      <c r="BK89" s="21">
        <f t="shared" si="650"/>
      </c>
      <c r="BL89" s="21">
        <f t="shared" si="650"/>
      </c>
      <c r="BM89" s="52">
        <f t="shared" si="650"/>
      </c>
      <c r="BN89" s="21">
        <f t="shared" si="650"/>
      </c>
      <c r="BO89" s="21">
        <f t="shared" si="650"/>
      </c>
      <c r="BP89" s="21">
        <f t="shared" si="650"/>
      </c>
      <c r="BQ89" s="21">
        <f t="shared" si="650"/>
      </c>
      <c r="BR89" s="1483">
        <f t="shared" si="650"/>
      </c>
      <c r="BS89" s="21">
        <f t="shared" si="650"/>
      </c>
      <c r="BT89" s="21">
        <f t="shared" si="650"/>
      </c>
      <c r="BU89" s="52">
        <f t="shared" si="650"/>
      </c>
      <c r="BV89" s="21">
        <f t="shared" si="650"/>
      </c>
      <c r="BW89" s="21">
        <f t="shared" si="650"/>
      </c>
      <c r="BX89" s="21">
        <f t="shared" si="650"/>
      </c>
      <c r="BY89" s="21">
        <f t="shared" si="650"/>
      </c>
      <c r="BZ89" s="1483">
        <f t="shared" si="650"/>
      </c>
      <c r="CA89" s="21">
        <f t="shared" si="650"/>
      </c>
      <c r="CB89" s="21">
        <f t="shared" si="650"/>
      </c>
      <c r="CC89" s="52">
        <f t="shared" si="650"/>
      </c>
      <c r="CD89" s="21">
        <f t="shared" si="650"/>
      </c>
      <c r="CE89" s="21">
        <f t="shared" si="650"/>
      </c>
      <c r="CF89" s="21">
        <f t="shared" si="650"/>
      </c>
      <c r="CG89" s="21">
        <f t="shared" si="650"/>
      </c>
      <c r="CH89" s="1483">
        <f t="shared" si="650"/>
      </c>
      <c r="CI89" s="21">
        <f t="shared" si="650"/>
      </c>
      <c r="CJ89" s="21">
        <f t="shared" si="650"/>
      </c>
      <c r="CK89" s="21">
        <f t="shared" si="650"/>
      </c>
      <c r="CL89" s="1483">
        <f t="shared" ref="CL89:CM89" si="651">CL31/CL11</f>
      </c>
      <c r="CM89" s="21">
        <f t="shared" si="651"/>
      </c>
      <c r="CN89" s="21">
        <f t="shared" ref="CN89:CQ89" si="652">CN31/CN11</f>
      </c>
      <c r="CO89" s="21">
        <f t="shared" si="652"/>
      </c>
      <c r="CP89" s="1483">
        <f t="shared" si="652"/>
      </c>
      <c r="CQ89" s="21">
        <f t="shared" si="652"/>
      </c>
      <c r="CR89" s="21">
        <f t="shared" ref="CR89:CU89" si="653">CR31/CR11</f>
      </c>
      <c r="CS89" s="21">
        <f t="shared" si="653"/>
      </c>
      <c r="CT89" s="1483">
        <f t="shared" si="653"/>
      </c>
      <c r="CU89" s="21">
        <f t="shared" si="653"/>
      </c>
      <c r="CV89" s="775">
        <f t="shared" si="617"/>
      </c>
      <c r="CW89" s="2340">
        <f t="shared" si="618"/>
      </c>
      <c r="CX89" s="2339">
        <f t="shared" si="619"/>
      </c>
      <c r="CY89" s="775">
        <f t="shared" si="620"/>
      </c>
      <c r="CZ89" s="775">
        <f t="shared" si="621"/>
      </c>
      <c r="DA89" s="2340">
        <f t="shared" si="622"/>
      </c>
      <c r="DB89" s="2339">
        <f t="shared" si="623"/>
      </c>
      <c r="DC89" s="775">
        <f t="shared" si="624"/>
      </c>
      <c r="DD89" s="775">
        <f t="shared" si="625"/>
      </c>
      <c r="DE89" s="2340">
        <f t="shared" si="626"/>
      </c>
      <c r="DF89" s="2339">
        <f t="shared" si="627"/>
      </c>
      <c r="DG89" s="775">
        <f t="shared" si="628"/>
      </c>
      <c r="DH89" s="775">
        <f t="shared" si="629"/>
      </c>
      <c r="DI89" s="2340">
        <f t="shared" si="630"/>
      </c>
      <c r="DJ89" s="2339">
        <f t="shared" si="631"/>
      </c>
      <c r="DK89" s="775">
        <f t="shared" si="632"/>
      </c>
      <c r="DL89" s="775">
        <f t="shared" si="633"/>
      </c>
      <c r="DM89" s="2340">
        <f t="shared" si="634"/>
      </c>
      <c r="DN89" s="2339">
        <f t="shared" si="635"/>
      </c>
      <c r="DO89" s="775">
        <f t="shared" si="636"/>
      </c>
      <c r="DP89" s="775">
        <f t="shared" si="637"/>
      </c>
      <c r="DQ89" s="2340">
        <f t="shared" si="638"/>
      </c>
      <c r="DR89" s="21"/>
      <c r="DS89" s="21"/>
      <c r="DT89" s="21"/>
      <c r="DU89" s="21"/>
      <c r="DV89" s="21"/>
      <c r="DW89" s="21"/>
      <c r="DX89" s="21"/>
      <c r="DY89" s="21"/>
      <c r="DZ89" s="21"/>
      <c r="EA89" s="21"/>
      <c r="EB89" s="21"/>
      <c r="EC89" s="21"/>
      <c r="ED89" s="21">
        <f t="shared" ref="ED89:EN89" si="654">ED31/ED11</f>
      </c>
      <c r="EE89" s="21">
        <f t="shared" si="654"/>
      </c>
      <c r="EF89" s="21">
        <f t="shared" si="654"/>
      </c>
      <c r="EG89" s="21">
        <f t="shared" si="654"/>
      </c>
      <c r="EH89" s="21">
        <f t="shared" si="654"/>
      </c>
      <c r="EI89" s="21">
        <f t="shared" si="654"/>
      </c>
      <c r="EJ89" s="21">
        <f t="shared" si="654"/>
      </c>
      <c r="EK89" s="21">
        <f t="shared" si="654"/>
      </c>
      <c r="EL89" s="21">
        <f t="shared" si="654"/>
      </c>
      <c r="EM89" s="21">
        <f t="shared" si="654"/>
      </c>
      <c r="EN89" s="21">
        <f t="shared" si="654"/>
      </c>
      <c r="EO89" s="21">
        <f t="shared" ref="EO89:EV89" si="655">EO31/EO11</f>
      </c>
      <c r="EP89" s="21">
        <f t="shared" si="655"/>
      </c>
      <c r="EQ89" s="21">
        <f t="shared" si="655"/>
      </c>
      <c r="ER89" s="21">
        <f t="shared" si="655"/>
      </c>
      <c r="ES89" s="21">
        <f t="shared" si="655"/>
      </c>
      <c r="ET89" s="21">
        <f t="shared" si="655"/>
      </c>
      <c r="EU89" s="21">
        <f t="shared" si="655"/>
      </c>
      <c r="EV89" s="21">
        <f t="shared" si="655"/>
      </c>
      <c r="EW89" s="21"/>
      <c r="EY89" s="21">
        <f t="shared" si="641"/>
      </c>
      <c r="EZ89" s="21">
        <f t="shared" si="641"/>
      </c>
      <c r="FA89" s="21">
        <f t="shared" si="641"/>
      </c>
      <c r="FB89" s="21">
        <f t="shared" si="641"/>
      </c>
      <c r="FC89" s="21">
        <f t="shared" si="641"/>
      </c>
      <c r="FD89" s="21">
        <f t="shared" si="641"/>
      </c>
      <c r="FE89" s="21">
        <f t="shared" si="641"/>
      </c>
      <c r="FF89" s="21">
        <f t="shared" si="641"/>
      </c>
    </row>
    <row r="90" spans="1:166" ht="12" customHeight="1">
      <c r="A90" s="1529" t="s">
        <v>1418</v>
      </c>
      <c r="B90" s="21">
        <f t="shared" ref="B90:AS90" si="656">B32/B12</f>
      </c>
      <c r="C90" s="21">
        <f t="shared" si="656"/>
      </c>
      <c r="D90" s="21">
        <f t="shared" si="656"/>
      </c>
      <c r="E90" s="21">
        <f t="shared" si="656"/>
      </c>
      <c r="F90" s="1483">
        <f t="shared" si="656"/>
      </c>
      <c r="G90" s="21">
        <f t="shared" si="656"/>
      </c>
      <c r="H90" s="21">
        <f t="shared" si="656"/>
      </c>
      <c r="I90" s="52">
        <f t="shared" si="656"/>
      </c>
      <c r="J90" s="21">
        <f t="shared" si="656"/>
      </c>
      <c r="K90" s="21">
        <f t="shared" si="656"/>
      </c>
      <c r="L90" s="21">
        <f t="shared" si="656"/>
      </c>
      <c r="M90" s="21">
        <f t="shared" si="656"/>
      </c>
      <c r="N90" s="1483">
        <f t="shared" si="656"/>
      </c>
      <c r="O90" s="21">
        <f t="shared" si="656"/>
      </c>
      <c r="P90" s="21">
        <f t="shared" si="656"/>
      </c>
      <c r="Q90" s="52">
        <f t="shared" si="656"/>
      </c>
      <c r="R90" s="21">
        <f t="shared" si="656"/>
      </c>
      <c r="S90" s="21">
        <f t="shared" si="656"/>
      </c>
      <c r="T90" s="21">
        <f t="shared" si="656"/>
      </c>
      <c r="U90" s="21">
        <f t="shared" si="656"/>
      </c>
      <c r="V90" s="1483">
        <f t="shared" si="656"/>
      </c>
      <c r="W90" s="21">
        <f t="shared" si="656"/>
      </c>
      <c r="X90" s="21">
        <f t="shared" si="656"/>
      </c>
      <c r="Y90" s="52">
        <f t="shared" si="656"/>
      </c>
      <c r="Z90" s="21">
        <f t="shared" si="656"/>
      </c>
      <c r="AA90" s="21">
        <f t="shared" si="656"/>
      </c>
      <c r="AB90" s="21">
        <f t="shared" si="656"/>
      </c>
      <c r="AC90" s="21">
        <f t="shared" si="656"/>
      </c>
      <c r="AD90" s="1483">
        <f t="shared" si="656"/>
      </c>
      <c r="AE90" s="21">
        <f t="shared" si="656"/>
      </c>
      <c r="AF90" s="21">
        <f t="shared" si="656"/>
      </c>
      <c r="AG90" s="52">
        <f t="shared" si="656"/>
      </c>
      <c r="AH90" s="21">
        <f t="shared" si="656"/>
      </c>
      <c r="AI90" s="21">
        <f t="shared" si="656"/>
      </c>
      <c r="AJ90" s="21">
        <f t="shared" si="656"/>
      </c>
      <c r="AK90" s="21">
        <f t="shared" si="656"/>
      </c>
      <c r="AL90" s="1483">
        <f t="shared" si="656"/>
      </c>
      <c r="AM90" s="21">
        <f t="shared" si="656"/>
      </c>
      <c r="AN90" s="21">
        <f t="shared" si="656"/>
      </c>
      <c r="AO90" s="52">
        <f t="shared" si="656"/>
      </c>
      <c r="AP90" s="21">
        <f t="shared" si="656"/>
      </c>
      <c r="AQ90" s="21">
        <f t="shared" si="656"/>
      </c>
      <c r="AR90" s="21">
        <f t="shared" si="656"/>
      </c>
      <c r="AS90" s="21">
        <f t="shared" si="656"/>
      </c>
      <c r="AT90" s="1483">
        <f t="shared" ref="AT90:CK90" si="657">AT32/AT12</f>
      </c>
      <c r="AU90" s="21">
        <f t="shared" si="657"/>
      </c>
      <c r="AV90" s="21">
        <f t="shared" si="657"/>
      </c>
      <c r="AW90" s="52">
        <f t="shared" si="657"/>
      </c>
      <c r="AX90" s="21">
        <f t="shared" si="657"/>
      </c>
      <c r="AY90" s="21">
        <f t="shared" si="657"/>
      </c>
      <c r="AZ90" s="21">
        <f t="shared" si="657"/>
      </c>
      <c r="BA90" s="21">
        <f t="shared" si="657"/>
      </c>
      <c r="BB90" s="1483">
        <f t="shared" si="657"/>
      </c>
      <c r="BC90" s="21">
        <f t="shared" si="657"/>
      </c>
      <c r="BD90" s="21">
        <f t="shared" si="657"/>
      </c>
      <c r="BE90" s="52">
        <f t="shared" si="657"/>
      </c>
      <c r="BF90" s="21">
        <f t="shared" si="657"/>
      </c>
      <c r="BG90" s="21">
        <f t="shared" si="657"/>
      </c>
      <c r="BH90" s="21">
        <f t="shared" si="657"/>
      </c>
      <c r="BI90" s="21">
        <f t="shared" si="657"/>
      </c>
      <c r="BJ90" s="1483">
        <f t="shared" si="657"/>
      </c>
      <c r="BK90" s="21">
        <f t="shared" si="657"/>
      </c>
      <c r="BL90" s="21">
        <f t="shared" si="657"/>
      </c>
      <c r="BM90" s="52">
        <f t="shared" si="657"/>
      </c>
      <c r="BN90" s="21">
        <f t="shared" si="657"/>
      </c>
      <c r="BO90" s="21">
        <f t="shared" si="657"/>
      </c>
      <c r="BP90" s="21">
        <f t="shared" si="657"/>
      </c>
      <c r="BQ90" s="21">
        <f t="shared" si="657"/>
      </c>
      <c r="BR90" s="1483">
        <f t="shared" si="657"/>
      </c>
      <c r="BS90" s="21">
        <f t="shared" si="657"/>
      </c>
      <c r="BT90" s="21">
        <f t="shared" si="657"/>
      </c>
      <c r="BU90" s="52">
        <f t="shared" si="657"/>
      </c>
      <c r="BV90" s="21">
        <f t="shared" si="657"/>
      </c>
      <c r="BW90" s="21">
        <f t="shared" si="657"/>
      </c>
      <c r="BX90" s="21">
        <f t="shared" si="657"/>
      </c>
      <c r="BY90" s="21">
        <f t="shared" si="657"/>
      </c>
      <c r="BZ90" s="1483">
        <f t="shared" si="657"/>
      </c>
      <c r="CA90" s="21">
        <f t="shared" si="657"/>
      </c>
      <c r="CB90" s="21">
        <f t="shared" si="657"/>
      </c>
      <c r="CC90" s="52">
        <f t="shared" si="657"/>
      </c>
      <c r="CD90" s="21">
        <f t="shared" si="657"/>
      </c>
      <c r="CE90" s="21">
        <f t="shared" si="657"/>
      </c>
      <c r="CF90" s="21">
        <f t="shared" si="657"/>
      </c>
      <c r="CG90" s="21">
        <f t="shared" si="657"/>
      </c>
      <c r="CH90" s="1483">
        <f t="shared" si="657"/>
      </c>
      <c r="CI90" s="21">
        <f t="shared" si="657"/>
      </c>
      <c r="CJ90" s="21">
        <f t="shared" si="657"/>
      </c>
      <c r="CK90" s="21">
        <f t="shared" si="657"/>
      </c>
      <c r="CL90" s="1483">
        <f t="shared" ref="CL90:CM90" si="658">CL32/CL12</f>
      </c>
      <c r="CM90" s="21">
        <f t="shared" si="658"/>
      </c>
      <c r="CN90" s="21">
        <f t="shared" ref="CN90:CQ90" si="659">CN32/CN12</f>
      </c>
      <c r="CO90" s="21">
        <f t="shared" si="659"/>
      </c>
      <c r="CP90" s="1483">
        <f t="shared" si="659"/>
      </c>
      <c r="CQ90" s="21">
        <f t="shared" si="659"/>
      </c>
      <c r="CR90" s="21">
        <f t="shared" ref="CR90:CU90" si="660">CR32/CR12</f>
      </c>
      <c r="CS90" s="21">
        <f t="shared" si="660"/>
      </c>
      <c r="CT90" s="1483">
        <f t="shared" si="660"/>
      </c>
      <c r="CU90" s="21">
        <f t="shared" si="660"/>
      </c>
      <c r="CV90" s="775">
        <f t="shared" si="617"/>
      </c>
      <c r="CW90" s="2340">
        <f t="shared" si="618"/>
      </c>
      <c r="CX90" s="2339">
        <f t="shared" si="619"/>
      </c>
      <c r="CY90" s="775">
        <f t="shared" si="620"/>
      </c>
      <c r="CZ90" s="775">
        <f t="shared" si="621"/>
      </c>
      <c r="DA90" s="2340">
        <f t="shared" si="622"/>
      </c>
      <c r="DB90" s="2339">
        <f t="shared" si="623"/>
      </c>
      <c r="DC90" s="775">
        <f t="shared" si="624"/>
      </c>
      <c r="DD90" s="775">
        <f t="shared" si="625"/>
      </c>
      <c r="DE90" s="2340">
        <f t="shared" si="626"/>
      </c>
      <c r="DF90" s="2339">
        <f t="shared" si="627"/>
      </c>
      <c r="DG90" s="775">
        <f t="shared" si="628"/>
      </c>
      <c r="DH90" s="775">
        <f t="shared" si="629"/>
      </c>
      <c r="DI90" s="2340">
        <f t="shared" si="630"/>
      </c>
      <c r="DJ90" s="2339">
        <f t="shared" si="631"/>
      </c>
      <c r="DK90" s="775">
        <f t="shared" si="632"/>
      </c>
      <c r="DL90" s="775">
        <f t="shared" si="633"/>
      </c>
      <c r="DM90" s="2340">
        <f t="shared" si="634"/>
      </c>
      <c r="DN90" s="2339">
        <f t="shared" si="635"/>
      </c>
      <c r="DO90" s="775">
        <f t="shared" si="636"/>
      </c>
      <c r="DP90" s="775">
        <f t="shared" si="637"/>
      </c>
      <c r="DQ90" s="2340">
        <f t="shared" si="638"/>
      </c>
      <c r="DR90" s="21"/>
      <c r="DS90" s="21">
        <f t="shared" ref="DS90:EC90" si="661">DS32/DS12</f>
      </c>
      <c r="DT90" s="21">
        <f t="shared" si="661"/>
      </c>
      <c r="DU90" s="21">
        <f t="shared" si="661"/>
      </c>
      <c r="DV90" s="21">
        <f t="shared" si="661"/>
      </c>
      <c r="DW90" s="21">
        <f t="shared" si="661"/>
      </c>
      <c r="DX90" s="21">
        <f t="shared" si="661"/>
      </c>
      <c r="DY90" s="21">
        <f t="shared" si="661"/>
      </c>
      <c r="DZ90" s="21">
        <f t="shared" si="661"/>
      </c>
      <c r="EA90" s="21">
        <f t="shared" si="661"/>
      </c>
      <c r="EB90" s="21">
        <f t="shared" si="661"/>
      </c>
      <c r="EC90" s="21">
        <f t="shared" si="661"/>
      </c>
      <c r="ED90" s="21">
        <f t="shared" ref="ED90:EN90" si="662">ED32/ED12</f>
      </c>
      <c r="EE90" s="21">
        <f t="shared" si="662"/>
      </c>
      <c r="EF90" s="21">
        <f t="shared" si="662"/>
      </c>
      <c r="EG90" s="21">
        <f t="shared" si="662"/>
      </c>
      <c r="EH90" s="21">
        <f t="shared" si="662"/>
      </c>
      <c r="EI90" s="21">
        <f t="shared" si="662"/>
      </c>
      <c r="EJ90" s="21">
        <f t="shared" si="662"/>
      </c>
      <c r="EK90" s="21">
        <f t="shared" si="662"/>
      </c>
      <c r="EL90" s="21">
        <f t="shared" si="662"/>
      </c>
      <c r="EM90" s="21">
        <f t="shared" si="662"/>
      </c>
      <c r="EN90" s="21">
        <f t="shared" si="662"/>
      </c>
      <c r="EO90" s="21">
        <f t="shared" ref="EO90:EV90" si="663">EO32/EO12</f>
      </c>
      <c r="EP90" s="21">
        <f t="shared" si="663"/>
      </c>
      <c r="EQ90" s="21">
        <f t="shared" si="663"/>
      </c>
      <c r="ER90" s="21">
        <f t="shared" si="663"/>
      </c>
      <c r="ES90" s="21">
        <f t="shared" si="663"/>
      </c>
      <c r="ET90" s="21">
        <f t="shared" si="663"/>
      </c>
      <c r="EU90" s="21">
        <f t="shared" si="663"/>
      </c>
      <c r="EV90" s="21">
        <f t="shared" si="663"/>
      </c>
      <c r="EW90" s="21"/>
      <c r="EY90" s="21">
        <f t="shared" si="641"/>
      </c>
      <c r="EZ90" s="21">
        <f t="shared" si="641"/>
      </c>
      <c r="FA90" s="21">
        <f t="shared" si="641"/>
      </c>
      <c r="FB90" s="21">
        <f t="shared" si="641"/>
      </c>
      <c r="FC90" s="21">
        <f t="shared" si="641"/>
      </c>
      <c r="FD90" s="21">
        <f t="shared" si="641"/>
      </c>
      <c r="FE90" s="21">
        <f t="shared" si="641"/>
      </c>
      <c r="FF90" s="21">
        <f t="shared" si="641"/>
      </c>
    </row>
    <row r="91" spans="1:166" ht="12" customHeight="1">
      <c r="A91" s="1529" t="s">
        <v>1419</v>
      </c>
      <c r="B91" s="21">
        <f t="shared" ref="B91:AS91" si="664">B33/B13</f>
      </c>
      <c r="C91" s="21">
        <f t="shared" si="664"/>
      </c>
      <c r="D91" s="21">
        <f t="shared" si="664"/>
      </c>
      <c r="E91" s="21">
        <f t="shared" si="664"/>
      </c>
      <c r="F91" s="1483">
        <f t="shared" si="664"/>
      </c>
      <c r="G91" s="21">
        <f t="shared" si="664"/>
      </c>
      <c r="H91" s="21">
        <f t="shared" si="664"/>
      </c>
      <c r="I91" s="52">
        <f t="shared" si="664"/>
      </c>
      <c r="J91" s="21">
        <f t="shared" si="664"/>
      </c>
      <c r="K91" s="21">
        <f t="shared" si="664"/>
      </c>
      <c r="L91" s="21">
        <f t="shared" si="664"/>
      </c>
      <c r="M91" s="21">
        <f t="shared" si="664"/>
      </c>
      <c r="N91" s="1483">
        <f t="shared" si="664"/>
      </c>
      <c r="O91" s="21">
        <f t="shared" si="664"/>
      </c>
      <c r="P91" s="21">
        <f t="shared" si="664"/>
      </c>
      <c r="Q91" s="52">
        <f t="shared" si="664"/>
      </c>
      <c r="R91" s="21">
        <f t="shared" si="664"/>
      </c>
      <c r="S91" s="21">
        <f t="shared" si="664"/>
      </c>
      <c r="T91" s="21">
        <f t="shared" si="664"/>
      </c>
      <c r="U91" s="21">
        <f t="shared" si="664"/>
      </c>
      <c r="V91" s="1483">
        <f t="shared" si="664"/>
      </c>
      <c r="W91" s="21">
        <f t="shared" si="664"/>
      </c>
      <c r="X91" s="21">
        <f t="shared" si="664"/>
      </c>
      <c r="Y91" s="52">
        <f t="shared" si="664"/>
      </c>
      <c r="Z91" s="21">
        <f t="shared" si="664"/>
      </c>
      <c r="AA91" s="21">
        <f t="shared" si="664"/>
      </c>
      <c r="AB91" s="21">
        <f t="shared" si="664"/>
      </c>
      <c r="AC91" s="21">
        <f t="shared" si="664"/>
      </c>
      <c r="AD91" s="1483">
        <f t="shared" si="664"/>
      </c>
      <c r="AE91" s="21">
        <f t="shared" si="664"/>
      </c>
      <c r="AF91" s="21">
        <f t="shared" si="664"/>
      </c>
      <c r="AG91" s="52">
        <f t="shared" si="664"/>
      </c>
      <c r="AH91" s="21">
        <f t="shared" si="664"/>
      </c>
      <c r="AI91" s="21">
        <f t="shared" si="664"/>
      </c>
      <c r="AJ91" s="21">
        <f t="shared" si="664"/>
      </c>
      <c r="AK91" s="21">
        <f t="shared" si="664"/>
      </c>
      <c r="AL91" s="1483">
        <f t="shared" si="664"/>
      </c>
      <c r="AM91" s="21">
        <f t="shared" si="664"/>
      </c>
      <c r="AN91" s="21">
        <f t="shared" si="664"/>
      </c>
      <c r="AO91" s="52">
        <f t="shared" si="664"/>
      </c>
      <c r="AP91" s="21">
        <f t="shared" si="664"/>
      </c>
      <c r="AQ91" s="21">
        <f t="shared" si="664"/>
      </c>
      <c r="AR91" s="21">
        <f t="shared" si="664"/>
      </c>
      <c r="AS91" s="21">
        <f t="shared" si="664"/>
      </c>
      <c r="AT91" s="1483">
        <f t="shared" ref="AT91:CK91" si="665">AT33/AT13</f>
      </c>
      <c r="AU91" s="21">
        <f t="shared" si="665"/>
      </c>
      <c r="AV91" s="21">
        <f t="shared" si="665"/>
      </c>
      <c r="AW91" s="52">
        <f t="shared" si="665"/>
      </c>
      <c r="AX91" s="21">
        <f t="shared" si="665"/>
      </c>
      <c r="AY91" s="21">
        <f t="shared" si="665"/>
      </c>
      <c r="AZ91" s="21">
        <f t="shared" si="665"/>
      </c>
      <c r="BA91" s="21">
        <f t="shared" si="665"/>
      </c>
      <c r="BB91" s="1483">
        <f t="shared" si="665"/>
      </c>
      <c r="BC91" s="21">
        <f t="shared" si="665"/>
      </c>
      <c r="BD91" s="21">
        <f t="shared" si="665"/>
      </c>
      <c r="BE91" s="52">
        <f t="shared" si="665"/>
      </c>
      <c r="BF91" s="21">
        <f t="shared" si="665"/>
      </c>
      <c r="BG91" s="21">
        <f t="shared" si="665"/>
      </c>
      <c r="BH91" s="21">
        <f t="shared" si="665"/>
      </c>
      <c r="BI91" s="21">
        <f t="shared" si="665"/>
      </c>
      <c r="BJ91" s="1483">
        <f t="shared" si="665"/>
      </c>
      <c r="BK91" s="21">
        <f t="shared" si="665"/>
      </c>
      <c r="BL91" s="21">
        <f t="shared" si="665"/>
      </c>
      <c r="BM91" s="52">
        <f t="shared" si="665"/>
      </c>
      <c r="BN91" s="21">
        <f t="shared" si="665"/>
      </c>
      <c r="BO91" s="21">
        <f t="shared" si="665"/>
      </c>
      <c r="BP91" s="21">
        <f t="shared" si="665"/>
      </c>
      <c r="BQ91" s="21">
        <f t="shared" si="665"/>
      </c>
      <c r="BR91" s="1483">
        <f t="shared" si="665"/>
      </c>
      <c r="BS91" s="21">
        <f t="shared" si="665"/>
      </c>
      <c r="BT91" s="21">
        <f t="shared" si="665"/>
      </c>
      <c r="BU91" s="52">
        <f t="shared" si="665"/>
      </c>
      <c r="BV91" s="21">
        <f t="shared" si="665"/>
      </c>
      <c r="BW91" s="21">
        <f t="shared" si="665"/>
      </c>
      <c r="BX91" s="21">
        <f t="shared" si="665"/>
      </c>
      <c r="BY91" s="21">
        <f t="shared" si="665"/>
      </c>
      <c r="BZ91" s="1483">
        <f t="shared" si="665"/>
      </c>
      <c r="CA91" s="21">
        <f t="shared" si="665"/>
      </c>
      <c r="CB91" s="21">
        <f t="shared" si="665"/>
      </c>
      <c r="CC91" s="52">
        <f t="shared" si="665"/>
      </c>
      <c r="CD91" s="21">
        <f t="shared" si="665"/>
      </c>
      <c r="CE91" s="21">
        <f t="shared" si="665"/>
      </c>
      <c r="CF91" s="21">
        <f t="shared" si="665"/>
      </c>
      <c r="CG91" s="21">
        <f t="shared" si="665"/>
      </c>
      <c r="CH91" s="1483">
        <f t="shared" si="665"/>
      </c>
      <c r="CI91" s="21">
        <f t="shared" si="665"/>
      </c>
      <c r="CJ91" s="21">
        <f t="shared" si="665"/>
      </c>
      <c r="CK91" s="21">
        <f t="shared" si="665"/>
      </c>
      <c r="CL91" s="1483">
        <f t="shared" ref="CL91:CM91" si="666">CL33/CL13</f>
      </c>
      <c r="CM91" s="21">
        <f t="shared" si="666"/>
      </c>
      <c r="CN91" s="21">
        <f t="shared" ref="CN91:CQ91" si="667">CN33/CN13</f>
      </c>
      <c r="CO91" s="21">
        <f t="shared" si="667"/>
      </c>
      <c r="CP91" s="1483">
        <f t="shared" si="667"/>
      </c>
      <c r="CQ91" s="21">
        <f t="shared" si="667"/>
      </c>
      <c r="CR91" s="21">
        <f t="shared" ref="CR91:CU91" si="668">CR33/CR13</f>
      </c>
      <c r="CS91" s="21">
        <f t="shared" si="668"/>
      </c>
      <c r="CT91" s="1483">
        <f t="shared" si="668"/>
      </c>
      <c r="CU91" s="21">
        <f t="shared" si="668"/>
      </c>
      <c r="CV91" s="775">
        <f t="shared" si="617"/>
      </c>
      <c r="CW91" s="2340">
        <f t="shared" si="618"/>
      </c>
      <c r="CX91" s="2339">
        <f t="shared" si="619"/>
      </c>
      <c r="CY91" s="775">
        <f t="shared" si="620"/>
      </c>
      <c r="CZ91" s="775">
        <f t="shared" si="621"/>
      </c>
      <c r="DA91" s="2340">
        <f t="shared" si="622"/>
      </c>
      <c r="DB91" s="2339">
        <f t="shared" si="623"/>
      </c>
      <c r="DC91" s="775">
        <f t="shared" si="624"/>
      </c>
      <c r="DD91" s="775">
        <f t="shared" si="625"/>
      </c>
      <c r="DE91" s="2340">
        <f t="shared" si="626"/>
      </c>
      <c r="DF91" s="2339">
        <f t="shared" si="627"/>
      </c>
      <c r="DG91" s="775">
        <f t="shared" si="628"/>
      </c>
      <c r="DH91" s="775">
        <f t="shared" si="629"/>
      </c>
      <c r="DI91" s="2340">
        <f t="shared" si="630"/>
      </c>
      <c r="DJ91" s="2339">
        <f t="shared" si="631"/>
      </c>
      <c r="DK91" s="775">
        <f t="shared" si="632"/>
      </c>
      <c r="DL91" s="775">
        <f t="shared" si="633"/>
      </c>
      <c r="DM91" s="2340">
        <f t="shared" si="634"/>
      </c>
      <c r="DN91" s="2339">
        <f t="shared" si="635"/>
      </c>
      <c r="DO91" s="775">
        <f t="shared" si="636"/>
      </c>
      <c r="DP91" s="775">
        <f t="shared" si="637"/>
      </c>
      <c r="DQ91" s="2340">
        <f t="shared" si="638"/>
      </c>
      <c r="DR91" s="21"/>
      <c r="DS91" s="21">
        <f t="shared" ref="DS91:EC91" si="669">DS33/DS13</f>
      </c>
      <c r="DT91" s="21">
        <f t="shared" si="669"/>
      </c>
      <c r="DU91" s="21">
        <f t="shared" si="669"/>
      </c>
      <c r="DV91" s="21">
        <f t="shared" si="669"/>
      </c>
      <c r="DW91" s="21">
        <f t="shared" si="669"/>
      </c>
      <c r="DX91" s="21">
        <f t="shared" si="669"/>
      </c>
      <c r="DY91" s="21">
        <f t="shared" si="669"/>
      </c>
      <c r="DZ91" s="21">
        <f t="shared" si="669"/>
      </c>
      <c r="EA91" s="21">
        <f t="shared" si="669"/>
      </c>
      <c r="EB91" s="21">
        <f t="shared" si="669"/>
      </c>
      <c r="EC91" s="21">
        <f t="shared" si="669"/>
      </c>
      <c r="ED91" s="21">
        <f t="shared" ref="ED91:EN91" si="670">ED33/ED13</f>
      </c>
      <c r="EE91" s="21">
        <f t="shared" si="670"/>
      </c>
      <c r="EF91" s="21">
        <f t="shared" si="670"/>
      </c>
      <c r="EG91" s="21">
        <f t="shared" si="670"/>
      </c>
      <c r="EH91" s="21">
        <f t="shared" si="670"/>
      </c>
      <c r="EI91" s="21">
        <f t="shared" si="670"/>
      </c>
      <c r="EJ91" s="21">
        <f t="shared" si="670"/>
      </c>
      <c r="EK91" s="21">
        <f t="shared" si="670"/>
      </c>
      <c r="EL91" s="21">
        <f t="shared" si="670"/>
      </c>
      <c r="EM91" s="21">
        <f t="shared" si="670"/>
      </c>
      <c r="EN91" s="21">
        <f t="shared" si="670"/>
      </c>
      <c r="EO91" s="21">
        <f t="shared" ref="EO91:EV91" si="671">EO33/EO13</f>
      </c>
      <c r="EP91" s="21">
        <f t="shared" si="671"/>
      </c>
      <c r="EQ91" s="21">
        <f t="shared" si="671"/>
      </c>
      <c r="ER91" s="21">
        <f t="shared" si="671"/>
      </c>
      <c r="ES91" s="21">
        <f t="shared" si="671"/>
      </c>
      <c r="ET91" s="21">
        <f t="shared" si="671"/>
      </c>
      <c r="EU91" s="21">
        <f t="shared" si="671"/>
      </c>
      <c r="EV91" s="21">
        <f t="shared" si="671"/>
      </c>
      <c r="EW91" s="21"/>
      <c r="EY91" s="21">
        <f t="shared" si="641"/>
      </c>
      <c r="EZ91" s="21">
        <f t="shared" si="641"/>
      </c>
      <c r="FA91" s="21">
        <f t="shared" si="641"/>
      </c>
      <c r="FB91" s="21">
        <f t="shared" si="641"/>
      </c>
      <c r="FC91" s="21">
        <f t="shared" si="641"/>
      </c>
      <c r="FD91" s="21">
        <f t="shared" si="641"/>
      </c>
      <c r="FE91" s="21">
        <f t="shared" si="641"/>
      </c>
      <c r="FF91" s="21">
        <f t="shared" si="641"/>
      </c>
    </row>
    <row r="92" spans="1:166" ht="12" customHeight="1">
      <c r="A92" s="1529" t="s">
        <v>1422</v>
      </c>
      <c r="B92" s="21"/>
      <c r="C92" s="21"/>
      <c r="D92" s="21"/>
      <c r="E92" s="21"/>
      <c r="F92" s="1483"/>
      <c r="G92" s="21"/>
      <c r="H92" s="21"/>
      <c r="I92" s="52"/>
      <c r="J92" s="21"/>
      <c r="K92" s="21"/>
      <c r="L92" s="21"/>
      <c r="M92" s="21"/>
      <c r="N92" s="1483"/>
      <c r="O92" s="21"/>
      <c r="P92" s="21"/>
      <c r="Q92" s="52"/>
      <c r="R92" s="21"/>
      <c r="S92" s="21"/>
      <c r="T92" s="21"/>
      <c r="U92" s="21"/>
      <c r="V92" s="1483"/>
      <c r="W92" s="21"/>
      <c r="X92" s="21"/>
      <c r="Y92" s="52"/>
      <c r="Z92" s="21"/>
      <c r="AA92" s="21"/>
      <c r="AB92" s="21"/>
      <c r="AC92" s="21"/>
      <c r="AD92" s="1483"/>
      <c r="AE92" s="21"/>
      <c r="AF92" s="21"/>
      <c r="AG92" s="52"/>
      <c r="AH92" s="21">
        <f t="shared" ref="AH92:AS92" si="672">AH34/AH14</f>
      </c>
      <c r="AI92" s="21">
        <f t="shared" si="672"/>
      </c>
      <c r="AJ92" s="21">
        <f t="shared" si="672"/>
      </c>
      <c r="AK92" s="21">
        <f t="shared" si="672"/>
      </c>
      <c r="AL92" s="1483">
        <f t="shared" si="672"/>
      </c>
      <c r="AM92" s="21">
        <f t="shared" si="672"/>
      </c>
      <c r="AN92" s="21">
        <f t="shared" si="672"/>
      </c>
      <c r="AO92" s="52">
        <f t="shared" si="672"/>
      </c>
      <c r="AP92" s="21">
        <f t="shared" si="672"/>
      </c>
      <c r="AQ92" s="21">
        <f t="shared" si="672"/>
      </c>
      <c r="AR92" s="21">
        <f t="shared" si="672"/>
      </c>
      <c r="AS92" s="21">
        <f t="shared" si="672"/>
      </c>
      <c r="AT92" s="1483"/>
      <c r="AU92" s="21"/>
      <c r="AV92" s="21"/>
      <c r="AW92" s="52"/>
      <c r="AX92" s="21"/>
      <c r="AY92" s="21"/>
      <c r="AZ92" s="21"/>
      <c r="BA92" s="21"/>
      <c r="BB92" s="1483"/>
      <c r="BC92" s="21"/>
      <c r="BD92" s="21"/>
      <c r="BE92" s="52"/>
      <c r="BF92" s="21"/>
      <c r="BG92" s="21"/>
      <c r="BH92" s="21"/>
      <c r="BI92" s="21"/>
      <c r="BJ92" s="1483"/>
      <c r="BK92" s="21"/>
      <c r="BL92" s="21"/>
      <c r="BM92" s="52"/>
      <c r="BN92" s="21"/>
      <c r="BO92" s="21"/>
      <c r="BP92" s="21"/>
      <c r="BQ92" s="21"/>
      <c r="BR92" s="1483"/>
      <c r="BS92" s="21"/>
      <c r="BT92" s="21"/>
      <c r="BU92" s="52"/>
      <c r="BV92" s="21"/>
      <c r="BW92" s="21"/>
      <c r="BX92" s="21"/>
      <c r="BY92" s="21"/>
      <c r="BZ92" s="1483"/>
      <c r="CA92" s="21"/>
      <c r="CB92" s="21"/>
      <c r="CC92" s="52"/>
      <c r="CD92" s="21"/>
      <c r="CE92" s="21"/>
      <c r="CF92" s="21"/>
      <c r="CG92" s="21"/>
      <c r="CH92" s="1483"/>
      <c r="CI92" s="21"/>
      <c r="CJ92" s="21"/>
      <c r="CK92" s="21"/>
      <c r="CL92" s="1483"/>
      <c r="CM92" s="21"/>
      <c r="CN92" s="21"/>
      <c r="CO92" s="52"/>
      <c r="CP92" s="1483"/>
      <c r="CQ92" s="21"/>
      <c r="CR92" s="21"/>
      <c r="CS92" s="52"/>
      <c r="CT92" s="1483"/>
      <c r="CU92" s="21"/>
      <c r="CV92" s="21"/>
      <c r="CW92" s="52"/>
      <c r="CX92" s="1483"/>
      <c r="CY92" s="21"/>
      <c r="CZ92" s="21"/>
      <c r="DA92" s="52"/>
      <c r="DB92" s="1483"/>
      <c r="DC92" s="21"/>
      <c r="DD92" s="21"/>
      <c r="DE92" s="52"/>
      <c r="DF92" s="1483"/>
      <c r="DG92" s="21"/>
      <c r="DH92" s="21"/>
      <c r="DI92" s="52"/>
      <c r="DJ92" s="1483"/>
      <c r="DK92" s="21"/>
      <c r="DL92" s="21"/>
      <c r="DM92" s="52"/>
      <c r="DN92" s="1483"/>
      <c r="DO92" s="21"/>
      <c r="DP92" s="21"/>
      <c r="DQ92" s="52"/>
      <c r="DR92" s="21"/>
      <c r="DS92" s="21"/>
      <c r="DT92" s="21"/>
      <c r="DU92" s="21"/>
      <c r="DV92" s="21"/>
      <c r="DW92" s="21"/>
      <c r="DX92" s="21"/>
      <c r="DY92" s="21"/>
      <c r="DZ92" s="21"/>
      <c r="EA92" s="21"/>
      <c r="EB92" s="21"/>
      <c r="EC92" s="21"/>
      <c r="ED92" s="21"/>
      <c r="EE92" s="21"/>
      <c r="EF92" s="21"/>
      <c r="EG92" s="21"/>
      <c r="EH92" s="21"/>
      <c r="EI92" s="21"/>
      <c r="EJ92" s="21"/>
      <c r="EK92" s="21"/>
      <c r="EL92" s="21"/>
      <c r="EM92" s="21"/>
      <c r="EN92" s="21"/>
      <c r="EO92" s="21"/>
      <c r="EP92" s="21"/>
      <c r="EQ92" s="21"/>
      <c r="ER92" s="21"/>
      <c r="ES92" s="21"/>
      <c r="ET92" s="21"/>
      <c r="EU92" s="21"/>
      <c r="EV92" s="21"/>
      <c r="EW92" s="21"/>
      <c r="EY92" s="21"/>
      <c r="EZ92" s="21"/>
      <c r="FA92" s="21"/>
      <c r="FB92" s="21"/>
      <c r="FC92" s="21"/>
      <c r="FD92" s="21"/>
      <c r="FE92" s="21"/>
      <c r="FF92" s="21"/>
    </row>
    <row r="93" spans="1:166" s="2297" customFormat="1" ht="12" customHeight="1">
      <c r="A93" s="2341" t="s">
        <v>664</v>
      </c>
      <c r="B93" s="2360">
        <f>B35/B$16</f>
      </c>
      <c r="C93" s="2360">
        <f t="shared" ref="C93:BN93" si="673">C35/C$16</f>
      </c>
      <c r="D93" s="2360">
        <f t="shared" si="673"/>
      </c>
      <c r="E93" s="2360">
        <f t="shared" si="673"/>
      </c>
      <c r="F93" s="2361">
        <f t="shared" si="673"/>
      </c>
      <c r="G93" s="2360">
        <f t="shared" si="673"/>
      </c>
      <c r="H93" s="2360">
        <f t="shared" si="673"/>
      </c>
      <c r="I93" s="2362">
        <f t="shared" si="673"/>
      </c>
      <c r="J93" s="2360">
        <f t="shared" si="673"/>
      </c>
      <c r="K93" s="2360">
        <f t="shared" si="673"/>
      </c>
      <c r="L93" s="2360">
        <f t="shared" si="673"/>
      </c>
      <c r="M93" s="2360">
        <f t="shared" si="673"/>
      </c>
      <c r="N93" s="2361">
        <f t="shared" si="673"/>
      </c>
      <c r="O93" s="2360">
        <f t="shared" si="673"/>
      </c>
      <c r="P93" s="2360">
        <f t="shared" si="673"/>
      </c>
      <c r="Q93" s="2362">
        <f t="shared" si="673"/>
      </c>
      <c r="R93" s="2360">
        <f t="shared" si="673"/>
      </c>
      <c r="S93" s="2360">
        <f t="shared" si="673"/>
      </c>
      <c r="T93" s="2360">
        <f t="shared" si="673"/>
      </c>
      <c r="U93" s="2360">
        <f t="shared" si="673"/>
      </c>
      <c r="V93" s="2361">
        <f t="shared" si="673"/>
      </c>
      <c r="W93" s="2360">
        <f t="shared" si="673"/>
      </c>
      <c r="X93" s="2360">
        <f t="shared" si="673"/>
      </c>
      <c r="Y93" s="2362">
        <f t="shared" si="673"/>
      </c>
      <c r="Z93" s="2360">
        <f t="shared" si="673"/>
      </c>
      <c r="AA93" s="2360">
        <f t="shared" si="673"/>
      </c>
      <c r="AB93" s="2360">
        <f t="shared" si="673"/>
      </c>
      <c r="AC93" s="2360">
        <f t="shared" si="673"/>
      </c>
      <c r="AD93" s="2361">
        <f t="shared" si="673"/>
      </c>
      <c r="AE93" s="2360">
        <f t="shared" si="673"/>
      </c>
      <c r="AF93" s="2360">
        <f t="shared" si="673"/>
      </c>
      <c r="AG93" s="2362">
        <f t="shared" si="673"/>
      </c>
      <c r="AH93" s="2360">
        <f t="shared" si="673"/>
      </c>
      <c r="AI93" s="2360">
        <f t="shared" si="673"/>
      </c>
      <c r="AJ93" s="2360">
        <f t="shared" si="673"/>
      </c>
      <c r="AK93" s="2360">
        <f t="shared" si="673"/>
      </c>
      <c r="AL93" s="2361">
        <f t="shared" si="673"/>
      </c>
      <c r="AM93" s="2360">
        <f t="shared" si="673"/>
      </c>
      <c r="AN93" s="2360">
        <f t="shared" si="673"/>
      </c>
      <c r="AO93" s="2362">
        <f t="shared" si="673"/>
      </c>
      <c r="AP93" s="2360">
        <f t="shared" si="673"/>
      </c>
      <c r="AQ93" s="2360">
        <f t="shared" si="673"/>
      </c>
      <c r="AR93" s="2360">
        <f t="shared" si="673"/>
      </c>
      <c r="AS93" s="2360">
        <f t="shared" si="673"/>
      </c>
      <c r="AT93" s="2361">
        <f t="shared" si="673"/>
      </c>
      <c r="AU93" s="2360">
        <f t="shared" si="673"/>
      </c>
      <c r="AV93" s="2360">
        <f t="shared" si="673"/>
      </c>
      <c r="AW93" s="2362">
        <f t="shared" si="673"/>
      </c>
      <c r="AX93" s="2360">
        <f t="shared" si="673"/>
      </c>
      <c r="AY93" s="2360">
        <f t="shared" si="673"/>
      </c>
      <c r="AZ93" s="2360">
        <f t="shared" si="673"/>
      </c>
      <c r="BA93" s="2360">
        <f t="shared" si="673"/>
      </c>
      <c r="BB93" s="2361">
        <f t="shared" si="673"/>
      </c>
      <c r="BC93" s="2360">
        <f t="shared" si="673"/>
      </c>
      <c r="BD93" s="2360">
        <f t="shared" si="673"/>
      </c>
      <c r="BE93" s="2362">
        <f t="shared" si="673"/>
      </c>
      <c r="BF93" s="2360">
        <f t="shared" si="673"/>
      </c>
      <c r="BG93" s="2360">
        <f t="shared" si="673"/>
      </c>
      <c r="BH93" s="2360">
        <f t="shared" si="673"/>
      </c>
      <c r="BI93" s="2360">
        <f t="shared" si="673"/>
      </c>
      <c r="BJ93" s="2361">
        <f t="shared" si="673"/>
      </c>
      <c r="BK93" s="2360">
        <f t="shared" si="673"/>
      </c>
      <c r="BL93" s="2360">
        <f t="shared" si="673"/>
      </c>
      <c r="BM93" s="2362">
        <f t="shared" si="673"/>
      </c>
      <c r="BN93" s="2360">
        <f t="shared" si="673"/>
      </c>
      <c r="BO93" s="2360">
        <f t="shared" ref="BO93:CG93" si="674">BO35/BO$16</f>
      </c>
      <c r="BP93" s="2360">
        <f t="shared" si="674"/>
      </c>
      <c r="BQ93" s="2360">
        <f t="shared" si="674"/>
      </c>
      <c r="BR93" s="2361">
        <f t="shared" si="674"/>
      </c>
      <c r="BS93" s="2360">
        <f t="shared" si="674"/>
      </c>
      <c r="BT93" s="2360">
        <f t="shared" si="674"/>
      </c>
      <c r="BU93" s="2362">
        <f t="shared" si="674"/>
      </c>
      <c r="BV93" s="2360">
        <f t="shared" si="674"/>
      </c>
      <c r="BW93" s="2360">
        <f t="shared" si="674"/>
      </c>
      <c r="BX93" s="2360">
        <f t="shared" si="674"/>
      </c>
      <c r="BY93" s="2360">
        <f t="shared" si="674"/>
      </c>
      <c r="BZ93" s="2361">
        <f t="shared" si="674"/>
      </c>
      <c r="CA93" s="2360">
        <f t="shared" si="674"/>
      </c>
      <c r="CB93" s="2360">
        <f t="shared" si="674"/>
      </c>
      <c r="CC93" s="2362">
        <f t="shared" si="674"/>
      </c>
      <c r="CD93" s="2360">
        <f t="shared" si="674"/>
      </c>
      <c r="CE93" s="2360">
        <f t="shared" si="674"/>
      </c>
      <c r="CF93" s="2360">
        <f t="shared" si="674"/>
      </c>
      <c r="CG93" s="2360">
        <f t="shared" si="674"/>
      </c>
      <c r="CH93" s="2361">
        <f t="shared" ref="CH93:CJ93" si="675">CH35/CH$16</f>
      </c>
      <c r="CI93" s="2360">
        <f t="shared" si="675"/>
      </c>
      <c r="CJ93" s="2360">
        <f t="shared" si="675"/>
      </c>
      <c r="CK93" s="2360">
        <f>CK35/CK$16</f>
      </c>
      <c r="CL93" s="2361">
        <f t="shared" ref="CL93:DQ93" si="676">CL35/CL$16</f>
      </c>
      <c r="CM93" s="2360">
        <f t="shared" si="676"/>
      </c>
      <c r="CN93" s="2360">
        <f t="shared" si="676"/>
      </c>
      <c r="CO93" s="2358">
        <f t="shared" si="676"/>
      </c>
      <c r="CP93" s="2361">
        <f t="shared" si="676"/>
      </c>
      <c r="CQ93" s="2360">
        <f t="shared" si="676"/>
      </c>
      <c r="CR93" s="2360">
        <f t="shared" si="676"/>
      </c>
      <c r="CS93" s="2358">
        <f t="shared" si="676"/>
      </c>
      <c r="CT93" s="2361">
        <f t="shared" si="676"/>
      </c>
      <c r="CU93" s="2360">
        <f t="shared" si="676"/>
      </c>
      <c r="CV93" s="2360">
        <f t="shared" si="676"/>
      </c>
      <c r="CW93" s="2358">
        <f t="shared" si="676"/>
      </c>
      <c r="CX93" s="2361">
        <f t="shared" si="676"/>
      </c>
      <c r="CY93" s="2360">
        <f t="shared" si="676"/>
      </c>
      <c r="CZ93" s="2360">
        <f t="shared" si="676"/>
      </c>
      <c r="DA93" s="2358">
        <f t="shared" si="676"/>
      </c>
      <c r="DB93" s="2361">
        <f t="shared" si="676"/>
      </c>
      <c r="DC93" s="2360">
        <f t="shared" si="676"/>
      </c>
      <c r="DD93" s="2360">
        <f t="shared" si="676"/>
      </c>
      <c r="DE93" s="2358">
        <f t="shared" si="676"/>
      </c>
      <c r="DF93" s="2361">
        <f t="shared" si="676"/>
      </c>
      <c r="DG93" s="2360">
        <f t="shared" si="676"/>
      </c>
      <c r="DH93" s="2360">
        <f t="shared" si="676"/>
      </c>
      <c r="DI93" s="2358">
        <f t="shared" si="676"/>
      </c>
      <c r="DJ93" s="2361">
        <f t="shared" si="676"/>
      </c>
      <c r="DK93" s="2360">
        <f t="shared" si="676"/>
      </c>
      <c r="DL93" s="2360">
        <f t="shared" si="676"/>
      </c>
      <c r="DM93" s="2358">
        <f t="shared" si="676"/>
      </c>
      <c r="DN93" s="2361">
        <f t="shared" si="676"/>
      </c>
      <c r="DO93" s="2360">
        <f t="shared" si="676"/>
      </c>
      <c r="DP93" s="2360">
        <f t="shared" si="676"/>
      </c>
      <c r="DQ93" s="2358">
        <f t="shared" si="676"/>
      </c>
      <c r="DR93" s="2359"/>
      <c r="DS93" s="2296">
        <f>DS35/'Income Statement'!ER$9</f>
      </c>
      <c r="DT93" s="2296">
        <f>DT35/'Income Statement'!ES$9</f>
      </c>
      <c r="DU93" s="2296">
        <f>DU35/'Income Statement'!ET$9</f>
      </c>
      <c r="DV93" s="2296">
        <f>DV35/'Income Statement'!EU$9</f>
      </c>
      <c r="DW93" s="2296">
        <f>DW35/'Income Statement'!EV$9</f>
      </c>
      <c r="DX93" s="2296">
        <f>DX35/'Income Statement'!EW$9</f>
      </c>
      <c r="DY93" s="2296">
        <f>DY35/'Income Statement'!EX$9</f>
      </c>
      <c r="DZ93" s="2296">
        <f>DZ35/'Income Statement'!EY$9</f>
      </c>
      <c r="EA93" s="2296">
        <f>EA35/'Income Statement'!EZ$9</f>
      </c>
      <c r="EB93" s="2296">
        <f>EB35/'Income Statement'!FA$9</f>
      </c>
      <c r="EC93" s="2296">
        <f>EC35/'Income Statement'!FB$9</f>
      </c>
      <c r="ED93" s="2296">
        <f>ED35/'Income Statement'!FC$9</f>
      </c>
      <c r="EE93" s="2296">
        <f>EE35/'Income Statement'!FD$9</f>
      </c>
      <c r="EF93" s="2296">
        <f>EF35/'Income Statement'!FE$9</f>
      </c>
      <c r="EG93" s="2296">
        <f>EG35/'Income Statement'!FF$9</f>
      </c>
      <c r="EH93" s="2296">
        <f>EH35/'Income Statement'!FG$9</f>
      </c>
      <c r="EI93" s="2296">
        <f>EI35/'Income Statement'!FH$9</f>
      </c>
      <c r="EJ93" s="2296">
        <f t="shared" ref="EJ93:EU93" si="677">EJ35/EJ$16</f>
      </c>
      <c r="EK93" s="2296">
        <f t="shared" si="677"/>
      </c>
      <c r="EL93" s="2296">
        <f t="shared" si="677"/>
      </c>
      <c r="EM93" s="2296">
        <f t="shared" si="677"/>
      </c>
      <c r="EN93" s="2296">
        <f t="shared" si="677"/>
      </c>
      <c r="EO93" s="2296">
        <f t="shared" si="677"/>
      </c>
      <c r="EP93" s="2296">
        <f t="shared" si="677"/>
      </c>
      <c r="EQ93" s="2296">
        <f t="shared" si="677"/>
      </c>
      <c r="ER93" s="2296">
        <f t="shared" si="677"/>
      </c>
      <c r="ES93" s="2296">
        <f t="shared" si="677"/>
      </c>
      <c r="ET93" s="2296">
        <f t="shared" si="677"/>
      </c>
      <c r="EU93" s="2296">
        <f t="shared" si="677"/>
      </c>
      <c r="EV93" s="2296">
        <f>EV35/EV$16</f>
      </c>
      <c r="EW93" s="2296"/>
      <c r="EX93" s="2359"/>
      <c r="EY93" s="2359">
        <f t="shared" ref="EY93:FF93" si="678">EY35/EY$16</f>
      </c>
      <c r="EZ93" s="2359">
        <f t="shared" si="678"/>
      </c>
      <c r="FA93" s="2359">
        <f t="shared" si="678"/>
      </c>
      <c r="FB93" s="2359">
        <f t="shared" si="678"/>
      </c>
      <c r="FC93" s="2359">
        <f t="shared" si="678"/>
      </c>
      <c r="FD93" s="2359">
        <f t="shared" si="678"/>
      </c>
      <c r="FE93" s="2359">
        <f t="shared" si="678"/>
      </c>
      <c r="FF93" s="2359">
        <f t="shared" si="678"/>
      </c>
      <c r="FG93" s="2359"/>
      <c r="FH93" s="2359"/>
      <c r="FI93" s="2359"/>
      <c r="FJ93" s="2359"/>
    </row>
    <row r="94" spans="1:166" s="58" customFormat="1">
      <c r="A94" s="2343" t="s">
        <v>690</v>
      </c>
      <c r="B94" s="2344">
        <f t="shared" ref="B94:BM94" si="679">B36/B$16</f>
      </c>
      <c r="C94" s="2345">
        <f t="shared" si="679"/>
      </c>
      <c r="D94" s="2345">
        <f t="shared" si="679"/>
      </c>
      <c r="E94" s="2345">
        <f t="shared" si="679"/>
      </c>
      <c r="F94" s="2344">
        <f t="shared" si="679"/>
      </c>
      <c r="G94" s="2345">
        <f t="shared" si="679"/>
      </c>
      <c r="H94" s="2345">
        <f t="shared" si="679"/>
      </c>
      <c r="I94" s="2346">
        <f t="shared" si="679"/>
      </c>
      <c r="J94" s="2345">
        <f t="shared" si="679"/>
      </c>
      <c r="K94" s="2345">
        <f t="shared" si="679"/>
      </c>
      <c r="L94" s="2345">
        <f t="shared" si="679"/>
      </c>
      <c r="M94" s="2345">
        <f t="shared" si="679"/>
      </c>
      <c r="N94" s="2344">
        <f t="shared" si="679"/>
      </c>
      <c r="O94" s="2345">
        <f t="shared" si="679"/>
      </c>
      <c r="P94" s="2345">
        <f t="shared" si="679"/>
      </c>
      <c r="Q94" s="2346">
        <f t="shared" si="679"/>
      </c>
      <c r="R94" s="2345">
        <f t="shared" si="679"/>
      </c>
      <c r="S94" s="2345">
        <f t="shared" si="679"/>
      </c>
      <c r="T94" s="2345">
        <f t="shared" si="679"/>
      </c>
      <c r="U94" s="2345">
        <f t="shared" si="679"/>
      </c>
      <c r="V94" s="2344">
        <f t="shared" si="679"/>
      </c>
      <c r="W94" s="2345">
        <f t="shared" si="679"/>
      </c>
      <c r="X94" s="2345">
        <f t="shared" si="679"/>
      </c>
      <c r="Y94" s="2346">
        <f t="shared" si="679"/>
      </c>
      <c r="Z94" s="2345">
        <f t="shared" si="679"/>
      </c>
      <c r="AA94" s="2345">
        <f t="shared" si="679"/>
      </c>
      <c r="AB94" s="2345">
        <f t="shared" si="679"/>
      </c>
      <c r="AC94" s="2345">
        <f t="shared" si="679"/>
      </c>
      <c r="AD94" s="2344">
        <f t="shared" si="679"/>
      </c>
      <c r="AE94" s="2345">
        <f t="shared" si="679"/>
      </c>
      <c r="AF94" s="2345">
        <f t="shared" si="679"/>
      </c>
      <c r="AG94" s="2346">
        <f t="shared" si="679"/>
      </c>
      <c r="AH94" s="2345">
        <f t="shared" si="679"/>
      </c>
      <c r="AI94" s="2345">
        <f t="shared" si="679"/>
      </c>
      <c r="AJ94" s="2345">
        <f t="shared" si="679"/>
      </c>
      <c r="AK94" s="2345">
        <f t="shared" si="679"/>
      </c>
      <c r="AL94" s="2344">
        <f t="shared" si="679"/>
      </c>
      <c r="AM94" s="2345">
        <f t="shared" si="679"/>
      </c>
      <c r="AN94" s="2345">
        <f t="shared" si="679"/>
      </c>
      <c r="AO94" s="2346">
        <f t="shared" si="679"/>
      </c>
      <c r="AP94" s="2345">
        <f t="shared" si="679"/>
      </c>
      <c r="AQ94" s="2345">
        <f t="shared" si="679"/>
      </c>
      <c r="AR94" s="2345">
        <f t="shared" si="679"/>
      </c>
      <c r="AS94" s="2345">
        <f t="shared" si="679"/>
      </c>
      <c r="AT94" s="2344">
        <f t="shared" si="679"/>
      </c>
      <c r="AU94" s="2345">
        <f t="shared" si="679"/>
      </c>
      <c r="AV94" s="2345">
        <f t="shared" si="679"/>
      </c>
      <c r="AW94" s="2346">
        <f t="shared" si="679"/>
      </c>
      <c r="AX94" s="2345">
        <f t="shared" si="679"/>
      </c>
      <c r="AY94" s="2345">
        <f t="shared" si="679"/>
      </c>
      <c r="AZ94" s="2345">
        <f t="shared" si="679"/>
      </c>
      <c r="BA94" s="2345">
        <f t="shared" si="679"/>
      </c>
      <c r="BB94" s="2344">
        <f t="shared" si="679"/>
      </c>
      <c r="BC94" s="2345">
        <f t="shared" si="679"/>
      </c>
      <c r="BD94" s="2345">
        <f t="shared" si="679"/>
      </c>
      <c r="BE94" s="2346">
        <f t="shared" si="679"/>
      </c>
      <c r="BF94" s="2345">
        <f t="shared" si="679"/>
      </c>
      <c r="BG94" s="2345">
        <f t="shared" si="679"/>
      </c>
      <c r="BH94" s="2345">
        <f t="shared" si="679"/>
      </c>
      <c r="BI94" s="2345">
        <f t="shared" si="679"/>
      </c>
      <c r="BJ94" s="2344">
        <f t="shared" si="679"/>
      </c>
      <c r="BK94" s="2345">
        <f t="shared" si="679"/>
      </c>
      <c r="BL94" s="2345">
        <f t="shared" si="679"/>
      </c>
      <c r="BM94" s="2346">
        <f t="shared" si="679"/>
      </c>
      <c r="BN94" s="2345">
        <f t="shared" ref="BN94:CG94" si="680">BN36/BN$16</f>
      </c>
      <c r="BO94" s="2345">
        <f t="shared" si="680"/>
      </c>
      <c r="BP94" s="2345">
        <f t="shared" si="680"/>
      </c>
      <c r="BQ94" s="2345">
        <f t="shared" si="680"/>
      </c>
      <c r="BR94" s="2344">
        <f t="shared" si="680"/>
      </c>
      <c r="BS94" s="2345">
        <f t="shared" si="680"/>
      </c>
      <c r="BT94" s="2345">
        <f t="shared" si="680"/>
      </c>
      <c r="BU94" s="2346">
        <f t="shared" si="680"/>
      </c>
      <c r="BV94" s="2345">
        <f t="shared" si="680"/>
      </c>
      <c r="BW94" s="2345">
        <f t="shared" si="680"/>
      </c>
      <c r="BX94" s="2345">
        <f t="shared" si="680"/>
      </c>
      <c r="BY94" s="2345">
        <f t="shared" si="680"/>
      </c>
      <c r="BZ94" s="2344">
        <f t="shared" si="680"/>
      </c>
      <c r="CA94" s="2345">
        <f t="shared" si="680"/>
      </c>
      <c r="CB94" s="2345">
        <f t="shared" si="680"/>
      </c>
      <c r="CC94" s="2346">
        <f t="shared" si="680"/>
      </c>
      <c r="CD94" s="2345">
        <f t="shared" si="680"/>
      </c>
      <c r="CE94" s="2345">
        <f t="shared" si="680"/>
      </c>
      <c r="CF94" s="2345">
        <f t="shared" si="680"/>
      </c>
      <c r="CG94" s="2345">
        <f t="shared" si="680"/>
      </c>
      <c r="CH94" s="2344">
        <f t="shared" ref="CH94:CJ94" si="681">CH36/CH$16</f>
      </c>
      <c r="CI94" s="2345">
        <f t="shared" si="681"/>
      </c>
      <c r="CJ94" s="2345">
        <f t="shared" si="681"/>
      </c>
      <c r="CK94" s="2345">
        <f t="shared" ref="CK94:DQ94" si="682">CK36/CK$16</f>
      </c>
      <c r="CL94" s="2344">
        <f t="shared" si="682"/>
      </c>
      <c r="CM94" s="2345">
        <f t="shared" si="682"/>
      </c>
      <c r="CN94" s="2345">
        <f t="shared" si="682"/>
      </c>
      <c r="CO94" s="2347">
        <f t="shared" si="682"/>
      </c>
      <c r="CP94" s="2344">
        <f t="shared" si="682"/>
      </c>
      <c r="CQ94" s="2345">
        <f t="shared" si="682"/>
      </c>
      <c r="CR94" s="2345">
        <f t="shared" si="682"/>
      </c>
      <c r="CS94" s="2347">
        <f t="shared" si="682"/>
      </c>
      <c r="CT94" s="2344">
        <f t="shared" si="682"/>
      </c>
      <c r="CU94" s="2345">
        <f t="shared" si="682"/>
      </c>
      <c r="CV94" s="2345">
        <f t="shared" si="682"/>
      </c>
      <c r="CW94" s="2347">
        <f t="shared" si="682"/>
      </c>
      <c r="CX94" s="2344">
        <f t="shared" si="682"/>
      </c>
      <c r="CY94" s="2345">
        <f t="shared" si="682"/>
      </c>
      <c r="CZ94" s="2345">
        <f t="shared" si="682"/>
      </c>
      <c r="DA94" s="2347">
        <f t="shared" si="682"/>
      </c>
      <c r="DB94" s="2344">
        <f t="shared" si="682"/>
      </c>
      <c r="DC94" s="2345">
        <f t="shared" si="682"/>
      </c>
      <c r="DD94" s="2345">
        <f t="shared" si="682"/>
      </c>
      <c r="DE94" s="2347">
        <f t="shared" si="682"/>
      </c>
      <c r="DF94" s="2344">
        <f t="shared" si="682"/>
      </c>
      <c r="DG94" s="2345">
        <f t="shared" si="682"/>
      </c>
      <c r="DH94" s="2345">
        <f t="shared" si="682"/>
      </c>
      <c r="DI94" s="2347">
        <f t="shared" si="682"/>
      </c>
      <c r="DJ94" s="2344">
        <f t="shared" si="682"/>
      </c>
      <c r="DK94" s="2345">
        <f t="shared" si="682"/>
      </c>
      <c r="DL94" s="2345">
        <f t="shared" si="682"/>
      </c>
      <c r="DM94" s="2347">
        <f t="shared" si="682"/>
      </c>
      <c r="DN94" s="2344">
        <f t="shared" si="682"/>
      </c>
      <c r="DO94" s="2345">
        <f t="shared" si="682"/>
      </c>
      <c r="DP94" s="2345">
        <f t="shared" si="682"/>
      </c>
      <c r="DQ94" s="2347">
        <f t="shared" si="682"/>
      </c>
      <c r="DR94" s="2348"/>
      <c r="DS94" s="2349">
        <f>DS36/'Income Statement'!ER$9</f>
      </c>
      <c r="DT94" s="2349">
        <f>DT36/'Income Statement'!ES$9</f>
      </c>
      <c r="DU94" s="2349">
        <f>DU36/'Income Statement'!ET$9</f>
      </c>
      <c r="DV94" s="2349">
        <f>DV36/'Income Statement'!EU$9</f>
      </c>
      <c r="DW94" s="2349">
        <f>DW36/'Income Statement'!EV$9</f>
      </c>
      <c r="DX94" s="2349">
        <f>DX36/'Income Statement'!EW$9</f>
      </c>
      <c r="DY94" s="2349">
        <f>DY36/'Income Statement'!EX$9</f>
      </c>
      <c r="DZ94" s="2349">
        <f>DZ36/'Income Statement'!EY$9</f>
      </c>
      <c r="EA94" s="2349">
        <f>EA36/'Income Statement'!EZ$9</f>
      </c>
      <c r="EB94" s="2349">
        <f>EB36/'Income Statement'!FA$9</f>
      </c>
      <c r="EC94" s="2349">
        <f>EC36/'Income Statement'!FB$9</f>
      </c>
      <c r="ED94" s="2349">
        <f>ED36/'Income Statement'!FC$9</f>
      </c>
      <c r="EE94" s="2349">
        <f>EE36/'Income Statement'!FD$9</f>
      </c>
      <c r="EF94" s="2349">
        <f>EF36/'Income Statement'!FE$9</f>
      </c>
      <c r="EG94" s="2349">
        <f>EG36/'Income Statement'!FF$9</f>
      </c>
      <c r="EH94" s="2349">
        <f>EH36/'Income Statement'!FG$9</f>
      </c>
      <c r="EI94" s="2349">
        <f>EI36/'Income Statement'!FH$9</f>
      </c>
      <c r="EJ94" s="2349">
        <f t="shared" ref="EJ94:EV94" si="683">EJ36/EJ$16</f>
      </c>
      <c r="EK94" s="2349">
        <f t="shared" si="683"/>
      </c>
      <c r="EL94" s="2349">
        <f t="shared" si="683"/>
      </c>
      <c r="EM94" s="2349">
        <f t="shared" si="683"/>
      </c>
      <c r="EN94" s="2349">
        <f t="shared" si="683"/>
      </c>
      <c r="EO94" s="2349">
        <f t="shared" si="683"/>
      </c>
      <c r="EP94" s="2349">
        <f t="shared" si="683"/>
      </c>
      <c r="EQ94" s="2349">
        <f t="shared" si="683"/>
      </c>
      <c r="ER94" s="2349">
        <f t="shared" si="683"/>
      </c>
      <c r="ES94" s="2349">
        <f t="shared" si="683"/>
      </c>
      <c r="ET94" s="2349">
        <f t="shared" si="683"/>
      </c>
      <c r="EU94" s="2349">
        <f t="shared" si="683"/>
      </c>
      <c r="EV94" s="2349">
        <f t="shared" si="683"/>
      </c>
      <c r="EW94" s="2349"/>
      <c r="EX94" s="2348"/>
      <c r="EY94" s="2350">
        <f t="shared" ref="EY94:EZ94" si="684">EY36/EY$16</f>
      </c>
      <c r="EZ94" s="2350">
        <f t="shared" si="684"/>
      </c>
      <c r="FA94" s="2350">
        <f t="shared" ref="FA94:FF94" si="685">FA36/FA$16</f>
      </c>
      <c r="FB94" s="2350">
        <f t="shared" si="685"/>
      </c>
      <c r="FC94" s="2350">
        <f t="shared" si="685"/>
      </c>
      <c r="FD94" s="2350">
        <f t="shared" si="685"/>
      </c>
      <c r="FE94" s="2350">
        <f t="shared" si="685"/>
      </c>
      <c r="FF94" s="2350">
        <f t="shared" si="685"/>
      </c>
      <c r="FG94" s="2348"/>
      <c r="FH94" s="2348"/>
      <c r="FI94" s="2348"/>
      <c r="FJ94" s="2348"/>
    </row>
    <row r="95" spans="1:166" s="58" customFormat="1">
      <c r="A95" s="2351" t="s">
        <v>691</v>
      </c>
      <c r="B95" s="2352">
        <f t="shared" ref="B95:BM95" si="686">B37/B$16</f>
      </c>
      <c r="C95" s="2352">
        <f t="shared" si="686"/>
      </c>
      <c r="D95" s="2352">
        <f t="shared" si="686"/>
      </c>
      <c r="E95" s="2352">
        <f t="shared" si="686"/>
      </c>
      <c r="F95" s="2353">
        <f t="shared" si="686"/>
      </c>
      <c r="G95" s="2352">
        <f t="shared" si="686"/>
      </c>
      <c r="H95" s="2352">
        <f t="shared" si="686"/>
      </c>
      <c r="I95" s="2354">
        <f t="shared" si="686"/>
      </c>
      <c r="J95" s="2352">
        <f t="shared" si="686"/>
      </c>
      <c r="K95" s="2352">
        <f t="shared" si="686"/>
      </c>
      <c r="L95" s="2352">
        <f t="shared" si="686"/>
      </c>
      <c r="M95" s="2352">
        <f t="shared" si="686"/>
      </c>
      <c r="N95" s="2353">
        <f t="shared" si="686"/>
      </c>
      <c r="O95" s="2352">
        <f t="shared" si="686"/>
      </c>
      <c r="P95" s="2352">
        <f t="shared" si="686"/>
      </c>
      <c r="Q95" s="2354">
        <f t="shared" si="686"/>
      </c>
      <c r="R95" s="2352">
        <f t="shared" si="686"/>
      </c>
      <c r="S95" s="2352">
        <f t="shared" si="686"/>
      </c>
      <c r="T95" s="2352">
        <f t="shared" si="686"/>
      </c>
      <c r="U95" s="2352">
        <f t="shared" si="686"/>
      </c>
      <c r="V95" s="2353">
        <f t="shared" si="686"/>
      </c>
      <c r="W95" s="2352">
        <f t="shared" si="686"/>
      </c>
      <c r="X95" s="2352">
        <f t="shared" si="686"/>
      </c>
      <c r="Y95" s="2354">
        <f t="shared" si="686"/>
      </c>
      <c r="Z95" s="2352">
        <f t="shared" si="686"/>
      </c>
      <c r="AA95" s="2352">
        <f t="shared" si="686"/>
      </c>
      <c r="AB95" s="2352">
        <f t="shared" si="686"/>
      </c>
      <c r="AC95" s="2352">
        <f t="shared" si="686"/>
      </c>
      <c r="AD95" s="2353">
        <f t="shared" si="686"/>
      </c>
      <c r="AE95" s="2352">
        <f t="shared" si="686"/>
      </c>
      <c r="AF95" s="2352">
        <f t="shared" si="686"/>
      </c>
      <c r="AG95" s="2354">
        <f t="shared" si="686"/>
      </c>
      <c r="AH95" s="2352">
        <f t="shared" si="686"/>
      </c>
      <c r="AI95" s="2352">
        <f t="shared" si="686"/>
      </c>
      <c r="AJ95" s="2352">
        <f t="shared" si="686"/>
      </c>
      <c r="AK95" s="2352">
        <f t="shared" si="686"/>
      </c>
      <c r="AL95" s="2353">
        <f t="shared" si="686"/>
      </c>
      <c r="AM95" s="2352">
        <f t="shared" si="686"/>
      </c>
      <c r="AN95" s="2352">
        <f t="shared" si="686"/>
      </c>
      <c r="AO95" s="2354">
        <f t="shared" si="686"/>
      </c>
      <c r="AP95" s="2352">
        <f t="shared" si="686"/>
      </c>
      <c r="AQ95" s="2352">
        <f t="shared" si="686"/>
      </c>
      <c r="AR95" s="2352">
        <f t="shared" si="686"/>
      </c>
      <c r="AS95" s="2352">
        <f t="shared" si="686"/>
      </c>
      <c r="AT95" s="2353">
        <f t="shared" si="686"/>
      </c>
      <c r="AU95" s="2352">
        <f t="shared" si="686"/>
      </c>
      <c r="AV95" s="2352">
        <f t="shared" si="686"/>
      </c>
      <c r="AW95" s="2354">
        <f t="shared" si="686"/>
      </c>
      <c r="AX95" s="2352">
        <f t="shared" si="686"/>
      </c>
      <c r="AY95" s="2352">
        <f t="shared" si="686"/>
      </c>
      <c r="AZ95" s="2352">
        <f t="shared" si="686"/>
      </c>
      <c r="BA95" s="2352">
        <f t="shared" si="686"/>
      </c>
      <c r="BB95" s="2353">
        <f t="shared" si="686"/>
      </c>
      <c r="BC95" s="2352">
        <f t="shared" si="686"/>
      </c>
      <c r="BD95" s="2352">
        <f t="shared" si="686"/>
      </c>
      <c r="BE95" s="2354">
        <f t="shared" si="686"/>
      </c>
      <c r="BF95" s="2352">
        <f t="shared" si="686"/>
      </c>
      <c r="BG95" s="2352">
        <f t="shared" si="686"/>
      </c>
      <c r="BH95" s="2352">
        <f t="shared" si="686"/>
      </c>
      <c r="BI95" s="2352">
        <f t="shared" si="686"/>
      </c>
      <c r="BJ95" s="2353">
        <f t="shared" si="686"/>
      </c>
      <c r="BK95" s="2352">
        <f t="shared" si="686"/>
      </c>
      <c r="BL95" s="2352">
        <f t="shared" si="686"/>
      </c>
      <c r="BM95" s="2354">
        <f t="shared" si="686"/>
      </c>
      <c r="BN95" s="2352">
        <f t="shared" ref="BN95:CG95" si="687">BN37/BN$16</f>
      </c>
      <c r="BO95" s="2352">
        <f t="shared" si="687"/>
      </c>
      <c r="BP95" s="2352">
        <f t="shared" si="687"/>
      </c>
      <c r="BQ95" s="2352">
        <f t="shared" si="687"/>
      </c>
      <c r="BR95" s="2353">
        <f t="shared" si="687"/>
      </c>
      <c r="BS95" s="2352">
        <f t="shared" si="687"/>
      </c>
      <c r="BT95" s="2352">
        <f t="shared" si="687"/>
      </c>
      <c r="BU95" s="2354">
        <f t="shared" si="687"/>
      </c>
      <c r="BV95" s="2352">
        <f t="shared" si="687"/>
      </c>
      <c r="BW95" s="2352">
        <f t="shared" si="687"/>
      </c>
      <c r="BX95" s="2352">
        <f t="shared" si="687"/>
      </c>
      <c r="BY95" s="2352">
        <f t="shared" si="687"/>
      </c>
      <c r="BZ95" s="2353">
        <f t="shared" si="687"/>
      </c>
      <c r="CA95" s="2352">
        <f t="shared" si="687"/>
      </c>
      <c r="CB95" s="2352">
        <f t="shared" si="687"/>
      </c>
      <c r="CC95" s="2354">
        <f t="shared" si="687"/>
      </c>
      <c r="CD95" s="2352">
        <f t="shared" si="687"/>
      </c>
      <c r="CE95" s="2352">
        <f t="shared" si="687"/>
      </c>
      <c r="CF95" s="2352">
        <f t="shared" si="687"/>
      </c>
      <c r="CG95" s="2352">
        <f t="shared" si="687"/>
      </c>
      <c r="CH95" s="2353">
        <f t="shared" ref="CH95:CJ95" si="688">CH37/CH$16</f>
      </c>
      <c r="CI95" s="2352">
        <f t="shared" si="688"/>
      </c>
      <c r="CJ95" s="2352">
        <f t="shared" si="688"/>
      </c>
      <c r="CK95" s="2352">
        <f t="shared" ref="CK95:DQ95" si="689">CK37/CK$16</f>
      </c>
      <c r="CL95" s="2353">
        <f t="shared" si="689"/>
      </c>
      <c r="CM95" s="2352">
        <f t="shared" si="689"/>
      </c>
      <c r="CN95" s="2352">
        <f t="shared" si="689"/>
      </c>
      <c r="CO95" s="2355">
        <f t="shared" si="689"/>
      </c>
      <c r="CP95" s="2353">
        <f t="shared" si="689"/>
      </c>
      <c r="CQ95" s="2352">
        <f t="shared" si="689"/>
      </c>
      <c r="CR95" s="2352">
        <f t="shared" si="689"/>
      </c>
      <c r="CS95" s="2355">
        <f t="shared" si="689"/>
      </c>
      <c r="CT95" s="2353">
        <f t="shared" si="689"/>
      </c>
      <c r="CU95" s="2352">
        <f t="shared" si="689"/>
      </c>
      <c r="CV95" s="2352">
        <f t="shared" si="689"/>
      </c>
      <c r="CW95" s="2355">
        <f t="shared" si="689"/>
      </c>
      <c r="CX95" s="2353">
        <f t="shared" si="689"/>
      </c>
      <c r="CY95" s="2352">
        <f t="shared" si="689"/>
      </c>
      <c r="CZ95" s="2352">
        <f t="shared" si="689"/>
      </c>
      <c r="DA95" s="2355">
        <f t="shared" si="689"/>
      </c>
      <c r="DB95" s="2353">
        <f t="shared" si="689"/>
      </c>
      <c r="DC95" s="2352">
        <f t="shared" si="689"/>
      </c>
      <c r="DD95" s="2352">
        <f t="shared" si="689"/>
      </c>
      <c r="DE95" s="2355">
        <f t="shared" si="689"/>
      </c>
      <c r="DF95" s="2353">
        <f t="shared" si="689"/>
      </c>
      <c r="DG95" s="2352">
        <f t="shared" si="689"/>
      </c>
      <c r="DH95" s="2352">
        <f t="shared" si="689"/>
      </c>
      <c r="DI95" s="2355">
        <f t="shared" si="689"/>
      </c>
      <c r="DJ95" s="2353">
        <f t="shared" si="689"/>
      </c>
      <c r="DK95" s="2352">
        <f t="shared" si="689"/>
      </c>
      <c r="DL95" s="2352">
        <f t="shared" si="689"/>
      </c>
      <c r="DM95" s="2355">
        <f t="shared" si="689"/>
      </c>
      <c r="DN95" s="2353">
        <f t="shared" si="689"/>
      </c>
      <c r="DO95" s="2352">
        <f t="shared" si="689"/>
      </c>
      <c r="DP95" s="2352">
        <f t="shared" si="689"/>
      </c>
      <c r="DQ95" s="2355">
        <f t="shared" si="689"/>
      </c>
      <c r="DS95" s="2356">
        <f>DS37/'Income Statement'!ER$9</f>
      </c>
      <c r="DT95" s="2356">
        <f>DT37/'Income Statement'!ES$9</f>
      </c>
      <c r="DU95" s="2356">
        <f>DU37/'Income Statement'!ET$9</f>
      </c>
      <c r="DV95" s="2356">
        <f>DV37/'Income Statement'!EU$9</f>
      </c>
      <c r="DW95" s="2356">
        <f>DW37/'Income Statement'!EV$9</f>
      </c>
      <c r="DX95" s="2356">
        <f>DX37/'Income Statement'!EW$9</f>
      </c>
      <c r="DY95" s="2356">
        <f>DY37/'Income Statement'!EX$9</f>
      </c>
      <c r="DZ95" s="2356">
        <f>DZ37/'Income Statement'!EY$9</f>
      </c>
      <c r="EA95" s="2356">
        <f>EA37/'Income Statement'!EZ$9</f>
      </c>
      <c r="EB95" s="2356">
        <f>EB37/'Income Statement'!FA$9</f>
      </c>
      <c r="EC95" s="2356">
        <f>EC37/'Income Statement'!FB$9</f>
      </c>
      <c r="ED95" s="2356">
        <f>ED37/'Income Statement'!FC$9</f>
      </c>
      <c r="EE95" s="2356">
        <f>EE37/'Income Statement'!FD$9</f>
      </c>
      <c r="EF95" s="2356">
        <f>EF37/'Income Statement'!FE$9</f>
      </c>
      <c r="EG95" s="2356">
        <f>EG37/'Income Statement'!FF$9</f>
      </c>
      <c r="EH95" s="2356">
        <f>EH37/'Income Statement'!FG$9</f>
      </c>
      <c r="EI95" s="2356">
        <f>EI37/'Income Statement'!FH$9</f>
      </c>
      <c r="EJ95" s="2356">
        <f t="shared" ref="EJ95:EV95" si="690">EJ37/EJ$16</f>
      </c>
      <c r="EK95" s="2356">
        <f t="shared" si="690"/>
      </c>
      <c r="EL95" s="2356">
        <f t="shared" si="690"/>
      </c>
      <c r="EM95" s="2356">
        <f t="shared" si="690"/>
      </c>
      <c r="EN95" s="2356">
        <f t="shared" si="690"/>
      </c>
      <c r="EO95" s="2356">
        <f t="shared" si="690"/>
      </c>
      <c r="EP95" s="2356">
        <f t="shared" si="690"/>
      </c>
      <c r="EQ95" s="2356">
        <f t="shared" si="690"/>
      </c>
      <c r="ER95" s="2356">
        <f t="shared" si="690"/>
      </c>
      <c r="ES95" s="2356">
        <f t="shared" si="690"/>
      </c>
      <c r="ET95" s="2356">
        <f t="shared" si="690"/>
      </c>
      <c r="EU95" s="2356">
        <f t="shared" si="690"/>
      </c>
      <c r="EV95" s="2356">
        <f t="shared" si="690"/>
      </c>
      <c r="EW95" s="57"/>
      <c r="EY95" s="2357">
        <f t="shared" ref="EY95:EZ95" si="691">EY37/EY$16</f>
      </c>
      <c r="EZ95" s="2357">
        <f t="shared" si="691"/>
      </c>
      <c r="FA95" s="2357">
        <f t="shared" ref="FA95:FF95" si="692">FA37/FA$16</f>
      </c>
      <c r="FB95" s="2357">
        <f t="shared" si="692"/>
      </c>
      <c r="FC95" s="2357">
        <f t="shared" si="692"/>
      </c>
      <c r="FD95" s="2357">
        <f t="shared" si="692"/>
      </c>
      <c r="FE95" s="2357">
        <f t="shared" si="692"/>
      </c>
      <c r="FF95" s="2357">
        <f t="shared" si="692"/>
      </c>
    </row>
    <row r="96" spans="1:166" s="2297" customFormat="1">
      <c r="A96" s="2341" t="s">
        <v>665</v>
      </c>
      <c r="B96" s="2360">
        <f t="shared" ref="B96:BM96" si="693">B38/B$16</f>
      </c>
      <c r="C96" s="2360">
        <f t="shared" si="693"/>
      </c>
      <c r="D96" s="2360">
        <f t="shared" si="693"/>
      </c>
      <c r="E96" s="2360">
        <f t="shared" si="693"/>
      </c>
      <c r="F96" s="2361">
        <f t="shared" si="693"/>
      </c>
      <c r="G96" s="2360">
        <f t="shared" si="693"/>
      </c>
      <c r="H96" s="2360">
        <f t="shared" si="693"/>
      </c>
      <c r="I96" s="2362">
        <f t="shared" si="693"/>
      </c>
      <c r="J96" s="2360">
        <f t="shared" si="693"/>
      </c>
      <c r="K96" s="2360">
        <f t="shared" si="693"/>
      </c>
      <c r="L96" s="2360">
        <f t="shared" si="693"/>
      </c>
      <c r="M96" s="2360">
        <f t="shared" si="693"/>
      </c>
      <c r="N96" s="2361">
        <f t="shared" si="693"/>
      </c>
      <c r="O96" s="2360">
        <f t="shared" si="693"/>
      </c>
      <c r="P96" s="2360">
        <f t="shared" si="693"/>
      </c>
      <c r="Q96" s="2362">
        <f t="shared" si="693"/>
      </c>
      <c r="R96" s="2360">
        <f t="shared" si="693"/>
      </c>
      <c r="S96" s="2360">
        <f t="shared" si="693"/>
      </c>
      <c r="T96" s="2360">
        <f t="shared" si="693"/>
      </c>
      <c r="U96" s="2360">
        <f t="shared" si="693"/>
      </c>
      <c r="V96" s="2361">
        <f t="shared" si="693"/>
      </c>
      <c r="W96" s="2360">
        <f t="shared" si="693"/>
      </c>
      <c r="X96" s="2360">
        <f t="shared" si="693"/>
      </c>
      <c r="Y96" s="2362">
        <f t="shared" si="693"/>
      </c>
      <c r="Z96" s="2360">
        <f t="shared" si="693"/>
      </c>
      <c r="AA96" s="2360">
        <f t="shared" si="693"/>
      </c>
      <c r="AB96" s="2360">
        <f t="shared" si="693"/>
      </c>
      <c r="AC96" s="2360">
        <f t="shared" si="693"/>
      </c>
      <c r="AD96" s="2361">
        <f t="shared" si="693"/>
      </c>
      <c r="AE96" s="2360">
        <f t="shared" si="693"/>
      </c>
      <c r="AF96" s="2360">
        <f t="shared" si="693"/>
      </c>
      <c r="AG96" s="2362">
        <f t="shared" si="693"/>
      </c>
      <c r="AH96" s="2360">
        <f t="shared" si="693"/>
      </c>
      <c r="AI96" s="2360">
        <f t="shared" si="693"/>
      </c>
      <c r="AJ96" s="2360">
        <f t="shared" si="693"/>
      </c>
      <c r="AK96" s="2360">
        <f t="shared" si="693"/>
      </c>
      <c r="AL96" s="2361">
        <f t="shared" si="693"/>
      </c>
      <c r="AM96" s="2360">
        <f t="shared" si="693"/>
      </c>
      <c r="AN96" s="2360">
        <f t="shared" si="693"/>
      </c>
      <c r="AO96" s="2362">
        <f t="shared" si="693"/>
      </c>
      <c r="AP96" s="2360">
        <f t="shared" si="693"/>
      </c>
      <c r="AQ96" s="2360">
        <f t="shared" si="693"/>
      </c>
      <c r="AR96" s="2360">
        <f t="shared" si="693"/>
      </c>
      <c r="AS96" s="2360">
        <f t="shared" si="693"/>
      </c>
      <c r="AT96" s="2361">
        <f t="shared" si="693"/>
      </c>
      <c r="AU96" s="2360">
        <f t="shared" si="693"/>
      </c>
      <c r="AV96" s="2360">
        <f t="shared" si="693"/>
      </c>
      <c r="AW96" s="2362">
        <f t="shared" si="693"/>
      </c>
      <c r="AX96" s="2360">
        <f t="shared" si="693"/>
      </c>
      <c r="AY96" s="2360">
        <f t="shared" si="693"/>
      </c>
      <c r="AZ96" s="2360">
        <f t="shared" si="693"/>
      </c>
      <c r="BA96" s="2360">
        <f t="shared" si="693"/>
      </c>
      <c r="BB96" s="2361">
        <f t="shared" si="693"/>
      </c>
      <c r="BC96" s="2360">
        <f t="shared" si="693"/>
      </c>
      <c r="BD96" s="2360">
        <f t="shared" si="693"/>
      </c>
      <c r="BE96" s="2362">
        <f t="shared" si="693"/>
      </c>
      <c r="BF96" s="2360">
        <f t="shared" si="693"/>
      </c>
      <c r="BG96" s="2360">
        <f t="shared" si="693"/>
      </c>
      <c r="BH96" s="2360">
        <f t="shared" si="693"/>
      </c>
      <c r="BI96" s="2360">
        <f t="shared" si="693"/>
      </c>
      <c r="BJ96" s="2361">
        <f t="shared" si="693"/>
      </c>
      <c r="BK96" s="2360">
        <f t="shared" si="693"/>
      </c>
      <c r="BL96" s="2360">
        <f t="shared" si="693"/>
      </c>
      <c r="BM96" s="2362">
        <f t="shared" si="693"/>
      </c>
      <c r="BN96" s="2360">
        <f t="shared" ref="BN96:CG96" si="694">BN38/BN$16</f>
      </c>
      <c r="BO96" s="2360">
        <f t="shared" si="694"/>
      </c>
      <c r="BP96" s="2360">
        <f t="shared" si="694"/>
      </c>
      <c r="BQ96" s="2360">
        <f t="shared" si="694"/>
      </c>
      <c r="BR96" s="2361">
        <f t="shared" si="694"/>
      </c>
      <c r="BS96" s="2360">
        <f t="shared" si="694"/>
      </c>
      <c r="BT96" s="2360">
        <f t="shared" si="694"/>
      </c>
      <c r="BU96" s="2362">
        <f t="shared" si="694"/>
      </c>
      <c r="BV96" s="2360">
        <f t="shared" si="694"/>
      </c>
      <c r="BW96" s="2360">
        <f t="shared" si="694"/>
      </c>
      <c r="BX96" s="2360">
        <f t="shared" si="694"/>
      </c>
      <c r="BY96" s="2360">
        <f t="shared" si="694"/>
      </c>
      <c r="BZ96" s="2361">
        <f t="shared" si="694"/>
      </c>
      <c r="CA96" s="2360">
        <f t="shared" si="694"/>
      </c>
      <c r="CB96" s="2360">
        <f t="shared" si="694"/>
      </c>
      <c r="CC96" s="2362">
        <f t="shared" si="694"/>
      </c>
      <c r="CD96" s="2360">
        <f t="shared" si="694"/>
      </c>
      <c r="CE96" s="2360">
        <f t="shared" si="694"/>
      </c>
      <c r="CF96" s="2360">
        <f t="shared" si="694"/>
      </c>
      <c r="CG96" s="2360">
        <f t="shared" si="694"/>
      </c>
      <c r="CH96" s="2361">
        <f t="shared" ref="CH96:CJ96" si="695">CH38/CH$16</f>
      </c>
      <c r="CI96" s="2360">
        <f t="shared" si="695"/>
      </c>
      <c r="CJ96" s="2360">
        <f t="shared" si="695"/>
      </c>
      <c r="CK96" s="2360">
        <f t="shared" ref="CK96:DQ96" si="696">CK38/CK$16</f>
      </c>
      <c r="CL96" s="2361">
        <f t="shared" si="696"/>
      </c>
      <c r="CM96" s="2360">
        <f t="shared" si="696"/>
      </c>
      <c r="CN96" s="2360">
        <f t="shared" si="696"/>
      </c>
      <c r="CO96" s="2358">
        <f t="shared" si="696"/>
      </c>
      <c r="CP96" s="2361">
        <f t="shared" si="696"/>
      </c>
      <c r="CQ96" s="2360">
        <f t="shared" si="696"/>
      </c>
      <c r="CR96" s="2360">
        <f t="shared" si="696"/>
      </c>
      <c r="CS96" s="2358">
        <f t="shared" si="696"/>
      </c>
      <c r="CT96" s="2361">
        <f t="shared" si="696"/>
      </c>
      <c r="CU96" s="2360">
        <f t="shared" si="696"/>
      </c>
      <c r="CV96" s="2360">
        <f t="shared" si="696"/>
      </c>
      <c r="CW96" s="2358">
        <f t="shared" si="696"/>
      </c>
      <c r="CX96" s="2361">
        <f t="shared" si="696"/>
      </c>
      <c r="CY96" s="2360">
        <f t="shared" si="696"/>
      </c>
      <c r="CZ96" s="2360">
        <f t="shared" si="696"/>
      </c>
      <c r="DA96" s="2358">
        <f t="shared" si="696"/>
      </c>
      <c r="DB96" s="2361">
        <f t="shared" si="696"/>
      </c>
      <c r="DC96" s="2360">
        <f t="shared" si="696"/>
      </c>
      <c r="DD96" s="2360">
        <f t="shared" si="696"/>
      </c>
      <c r="DE96" s="2358">
        <f t="shared" si="696"/>
      </c>
      <c r="DF96" s="2361">
        <f t="shared" si="696"/>
      </c>
      <c r="DG96" s="2360">
        <f t="shared" si="696"/>
      </c>
      <c r="DH96" s="2360">
        <f t="shared" si="696"/>
      </c>
      <c r="DI96" s="2358">
        <f t="shared" si="696"/>
      </c>
      <c r="DJ96" s="2361">
        <f t="shared" si="696"/>
      </c>
      <c r="DK96" s="2360">
        <f t="shared" si="696"/>
      </c>
      <c r="DL96" s="2360">
        <f t="shared" si="696"/>
      </c>
      <c r="DM96" s="2358">
        <f t="shared" si="696"/>
      </c>
      <c r="DN96" s="2361">
        <f t="shared" si="696"/>
      </c>
      <c r="DO96" s="2360">
        <f t="shared" si="696"/>
      </c>
      <c r="DP96" s="2360">
        <f t="shared" si="696"/>
      </c>
      <c r="DQ96" s="2358">
        <f t="shared" si="696"/>
      </c>
      <c r="DR96" s="2359"/>
      <c r="DS96" s="2296">
        <f>DS38/'Income Statement'!ER$9</f>
      </c>
      <c r="DT96" s="2296">
        <f>DT38/'Income Statement'!ES$9</f>
      </c>
      <c r="DU96" s="2296">
        <f>DU38/'Income Statement'!ET$9</f>
      </c>
      <c r="DV96" s="2296">
        <f>DV38/'Income Statement'!EU$9</f>
      </c>
      <c r="DW96" s="2296">
        <f>DW38/'Income Statement'!EV$9</f>
      </c>
      <c r="DX96" s="2296">
        <f>DX38/'Income Statement'!EW$9</f>
      </c>
      <c r="DY96" s="2296">
        <f>DY38/'Income Statement'!EX$9</f>
      </c>
      <c r="DZ96" s="2296">
        <f>DZ38/'Income Statement'!EY$9</f>
      </c>
      <c r="EA96" s="2296">
        <f>EA38/'Income Statement'!EZ$9</f>
      </c>
      <c r="EB96" s="2296">
        <f>EB38/'Income Statement'!FA$9</f>
      </c>
      <c r="EC96" s="2296">
        <f>EC38/'Income Statement'!FB$9</f>
      </c>
      <c r="ED96" s="2296">
        <f>ED38/'Income Statement'!FC$9</f>
      </c>
      <c r="EE96" s="2296">
        <f>EE38/'Income Statement'!FD$9</f>
      </c>
      <c r="EF96" s="2296">
        <f>EF38/'Income Statement'!FE$9</f>
      </c>
      <c r="EG96" s="2296">
        <f>EG38/'Income Statement'!FF$9</f>
      </c>
      <c r="EH96" s="2296">
        <f>EH38/'Income Statement'!FG$9</f>
      </c>
      <c r="EI96" s="2296">
        <f>EI38/'Income Statement'!FH$9</f>
      </c>
      <c r="EJ96" s="2296">
        <f t="shared" ref="EJ96:EV96" si="697">EJ38/EJ$16</f>
      </c>
      <c r="EK96" s="2296">
        <f t="shared" si="697"/>
      </c>
      <c r="EL96" s="2296">
        <f t="shared" si="697"/>
      </c>
      <c r="EM96" s="2296">
        <f t="shared" si="697"/>
      </c>
      <c r="EN96" s="2296">
        <f t="shared" si="697"/>
      </c>
      <c r="EO96" s="2296">
        <f t="shared" si="697"/>
      </c>
      <c r="EP96" s="2296">
        <f t="shared" si="697"/>
      </c>
      <c r="EQ96" s="2296">
        <f t="shared" si="697"/>
      </c>
      <c r="ER96" s="2296">
        <f t="shared" si="697"/>
      </c>
      <c r="ES96" s="2296">
        <f t="shared" si="697"/>
      </c>
      <c r="ET96" s="2296">
        <f t="shared" si="697"/>
      </c>
      <c r="EU96" s="2296">
        <f t="shared" si="697"/>
      </c>
      <c r="EV96" s="2296">
        <f t="shared" si="697"/>
      </c>
      <c r="EW96" s="2296"/>
      <c r="EX96" s="2359"/>
      <c r="EY96" s="2342">
        <f t="shared" ref="EY96:FF96" si="698">EY38/EY$16</f>
      </c>
      <c r="EZ96" s="2342">
        <f t="shared" si="698"/>
      </c>
      <c r="FA96" s="2342">
        <f t="shared" si="698"/>
      </c>
      <c r="FB96" s="2342">
        <f t="shared" si="698"/>
      </c>
      <c r="FC96" s="2342">
        <f t="shared" si="698"/>
      </c>
      <c r="FD96" s="2342">
        <f t="shared" si="698"/>
      </c>
      <c r="FE96" s="2342">
        <f t="shared" si="698"/>
      </c>
      <c r="FF96" s="2342">
        <f t="shared" si="698"/>
      </c>
      <c r="FG96" s="2359"/>
      <c r="FH96" s="2359"/>
      <c r="FI96" s="2359"/>
      <c r="FJ96" s="2359"/>
    </row>
    <row r="99" spans="95:98">
      <c r="CQ99" s="1463"/>
      <c r="CR99" s="1463"/>
      <c r="CS99" s="1463"/>
      <c r="CT99" s="1463"/>
    </row>
  </sheetData>
  <dataValidations count="1">
    <dataValidation type="custom" allowBlank="1" showInputMessage="1" showErrorMessage="1" sqref="AP11:CJ11 A74:A78 B9:CJ10 A56:A59 A93:A96 A29:A38 B21:CJ22 B12:CJ15 CL9:CL13" xr:uid="{00000000-0002-0000-0D00-000000000000}">
      <formula1>-1</formula1>
    </dataValidation>
  </dataValidations>
  <pageMargins left="0.7" right="0.7" top="0.75" bottom="0.75" header="0.3" footer="0.3"/>
  <pageSetup scale="44" fitToWidth="0" fitToHeight="0" orientation="landscape" r:id="rId1"/>
  <headerFooter>
    <oddFooter>&amp;L&amp;P/&amp;N&amp;R&amp;F
&amp;A
&amp;D</oddFooter>
  </headerFooter>
  <colBreaks count="1" manualBreakCount="1">
    <brk id="149" max="95" man="1"/>
  </colBreaks>
  <customProperties>
    <customPr name="Qube.Worksheet.Visibility" r:id="rId2"/>
    <customPr name="QXL_SHEET_ID" r:id="rId3"/>
  </customProperties>
  <drawing r:id="rId4"/>
  <legacyDrawing r:id="rId5"/>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63"/>
  <dimension ref="A3:EM211"/>
  <sheetViews>
    <sheetView showGridLines="0" zoomScale="130" zoomScaleNormal="130" zoomScaleSheetLayoutView="85" workbookViewId="0">
      <pane xSplit="4" ySplit="10" topLeftCell="E11" activePane="bottomRight" state="frozen"/>
      <selection pane="topRight"/>
      <selection pane="bottomLeft"/>
      <selection pane="bottomRight"/>
    </sheetView>
  </sheetViews>
  <sheetFormatPr defaultColWidth="9" defaultRowHeight="10.199999999999999" outlineLevelRow="1" outlineLevelCol="1"/>
  <cols>
    <col min="1" max="1" width="40.8984375" style="11" customWidth="1"/>
    <col min="2" max="4" width="9" style="11" customWidth="1"/>
    <col min="5" max="7" width="9" style="11" hidden="1" customWidth="1" outlineLevel="1" collapsed="1"/>
    <col min="8" max="8" width="9" style="170" hidden="1" customWidth="1" outlineLevel="1" collapsed="1"/>
    <col min="9" max="11" width="9" style="11" hidden="1" customWidth="1" outlineLevel="1" collapsed="1"/>
    <col min="12" max="12" width="9" style="170" hidden="1" customWidth="1" outlineLevel="1" collapsed="1"/>
    <col min="13" max="15" width="9" style="11" hidden="1" customWidth="1" outlineLevel="1" collapsed="1"/>
    <col min="16" max="16" width="9" style="170" hidden="1" customWidth="1" outlineLevel="1" collapsed="1"/>
    <col min="17" max="19" width="9" style="11" hidden="1" customWidth="1" outlineLevel="1" collapsed="1"/>
    <col min="20" max="20" width="9" style="170" hidden="1" customWidth="1" outlineLevel="1" collapsed="1"/>
    <col min="21" max="23" width="9" style="11" hidden="1" customWidth="1" outlineLevel="1" collapsed="1"/>
    <col min="24" max="24" width="9" style="170" hidden="1" customWidth="1" outlineLevel="1" collapsed="1"/>
    <col min="25" max="27" width="9" style="11" hidden="1" customWidth="1" outlineLevel="1" collapsed="1"/>
    <col min="28" max="28" width="9" style="170" hidden="1" customWidth="1" outlineLevel="1" collapsed="1"/>
    <col min="29" max="31" width="9" style="11" hidden="1" customWidth="1" outlineLevel="1" collapsed="1"/>
    <col min="32" max="32" width="9" style="170" hidden="1" customWidth="1" outlineLevel="1" collapsed="1"/>
    <col min="33" max="35" width="9" style="11" hidden="1" customWidth="1" outlineLevel="1" collapsed="1"/>
    <col min="36" max="36" width="9" style="170" hidden="1" customWidth="1" outlineLevel="1" collapsed="1"/>
    <col min="37" max="39" width="9" style="11" hidden="1" customWidth="1" outlineLevel="1" collapsed="1"/>
    <col min="40" max="40" width="9" style="170" hidden="1" customWidth="1" outlineLevel="1" collapsed="1"/>
    <col min="41" max="43" width="9" style="11" hidden="1" customWidth="1" outlineLevel="1" collapsed="1"/>
    <col min="44" max="44" width="9" style="170" hidden="1" customWidth="1" outlineLevel="1" collapsed="1"/>
    <col min="45" max="47" width="9" style="11" hidden="1" customWidth="1" outlineLevel="1" collapsed="1"/>
    <col min="48" max="48" width="9" style="170" hidden="1" customWidth="1" outlineLevel="1" collapsed="1"/>
    <col min="49" max="51" width="9" style="11" hidden="1" customWidth="1" outlineLevel="1" collapsed="1"/>
    <col min="52" max="52" width="9" style="170" hidden="1" customWidth="1" outlineLevel="1" collapsed="1"/>
    <col min="53" max="55" width="9" style="11" hidden="1" customWidth="1" outlineLevel="1" collapsed="1"/>
    <col min="56" max="56" width="9" style="170" hidden="1" customWidth="1" outlineLevel="1" collapsed="1"/>
    <col min="57" max="57" width="9" style="11" hidden="1" customWidth="1" outlineLevel="1" collapsed="1"/>
    <col min="58" max="59" width="9" style="11" hidden="1" customWidth="1" outlineLevel="1"/>
    <col min="60" max="60" width="9" style="170" hidden="1" customWidth="1" outlineLevel="1"/>
    <col min="61" max="63" width="9" style="11" hidden="1" customWidth="1" outlineLevel="1"/>
    <col min="64" max="64" width="9" style="170" hidden="1" customWidth="1" outlineLevel="1"/>
    <col min="65" max="67" width="9" style="11" hidden="1" customWidth="1" outlineLevel="1"/>
    <col min="68" max="68" width="9" style="170" hidden="1" customWidth="1" outlineLevel="1"/>
    <col min="69" max="71" width="9" style="11" hidden="1" customWidth="1" outlineLevel="1"/>
    <col min="72" max="72" width="9" style="170" hidden="1" customWidth="1" outlineLevel="1"/>
    <col min="73" max="75" width="9" style="11" hidden="1" customWidth="1" outlineLevel="1"/>
    <col min="76" max="76" width="9" style="170" hidden="1" customWidth="1" outlineLevel="1"/>
    <col min="77" max="77" width="9" style="11" hidden="1" customWidth="1" outlineLevel="1" collapsed="1"/>
    <col min="78" max="79" width="9" style="11" hidden="1" customWidth="1" outlineLevel="1"/>
    <col min="80" max="80" width="9" style="170" hidden="1" customWidth="1" outlineLevel="1"/>
    <col min="81" max="81" width="9" style="11" hidden="1" customWidth="1" outlineLevel="1" collapsed="1"/>
    <col min="82" max="83" width="9" style="11" hidden="1" customWidth="1" outlineLevel="1"/>
    <col min="84" max="84" width="9" style="170" hidden="1" customWidth="1" outlineLevel="1"/>
    <col min="85" max="85" width="9" style="11" hidden="1" customWidth="1" outlineLevel="1" collapsed="1"/>
    <col min="86" max="87" width="9" style="11" hidden="1" customWidth="1" outlineLevel="1"/>
    <col min="88" max="89" width="9" style="170" hidden="1" customWidth="1" outlineLevel="1"/>
    <col min="90" max="90" width="9" style="11" hidden="1" customWidth="1" outlineLevel="1" collapsed="1"/>
    <col min="91" max="92" width="9" style="11" hidden="1" customWidth="1" outlineLevel="1"/>
    <col min="93" max="93" width="9" style="170" hidden="1" customWidth="1" outlineLevel="1"/>
    <col min="94" max="94" width="9" style="11" hidden="1" customWidth="1" outlineLevel="1" collapsed="1"/>
    <col min="95" max="96" width="9" style="11" hidden="1" customWidth="1" outlineLevel="1"/>
    <col min="97" max="97" width="9" style="170" hidden="1" customWidth="1" outlineLevel="1"/>
    <col min="98" max="100" width="9" style="11" hidden="1" customWidth="1" outlineLevel="1"/>
    <col min="101" max="101" width="9" style="170" hidden="1" customWidth="1" outlineLevel="1"/>
    <col min="102" max="102" width="9" style="11" hidden="1" customWidth="1" outlineLevel="1" collapsed="1"/>
    <col min="103" max="104" width="9" style="11" hidden="1" customWidth="1" outlineLevel="1"/>
    <col min="105" max="105" width="9" style="170" hidden="1" customWidth="1" outlineLevel="1"/>
    <col min="106" max="106" width="9" style="11" hidden="1" customWidth="1" outlineLevel="1" collapsed="1"/>
    <col min="107" max="108" width="9" style="11" hidden="1" customWidth="1" outlineLevel="1"/>
    <col min="109" max="109" width="9" style="170" hidden="1" customWidth="1" outlineLevel="1"/>
    <col min="110" max="110" width="9" style="11" customWidth="1" collapsed="1"/>
    <col min="111" max="125" width="9" style="11" customWidth="1"/>
    <col min="126" max="141" width="9" style="11" hidden="1" customWidth="1" outlineLevel="1"/>
    <col min="142" max="142" width="9" style="11" customWidth="1" collapsed="1"/>
    <col min="143" max="143" width="5.8984375" style="11" customWidth="1"/>
    <col min="144" max="16384" width="9" style="11"/>
  </cols>
  <sheetData>
    <row r="3" spans="1:143" ht="22.8">
      <c r="E3" s="4"/>
      <c r="F3" s="4"/>
      <c r="G3" s="4"/>
      <c r="H3" s="250"/>
      <c r="I3" s="4"/>
      <c r="J3" s="4"/>
      <c r="K3" s="4"/>
      <c r="L3" s="250"/>
      <c r="M3" s="4"/>
      <c r="N3" s="4"/>
      <c r="O3" s="4"/>
      <c r="P3" s="250"/>
      <c r="Q3" s="4"/>
      <c r="R3" s="4"/>
      <c r="S3" s="4"/>
      <c r="T3" s="250"/>
      <c r="U3" s="4"/>
      <c r="V3" s="4"/>
      <c r="W3" s="4"/>
      <c r="X3" s="250"/>
      <c r="Y3" s="4"/>
      <c r="Z3" s="4"/>
      <c r="AA3" s="4"/>
      <c r="AB3" s="250"/>
      <c r="AC3" s="4"/>
      <c r="AD3" s="4"/>
      <c r="AE3" s="4"/>
      <c r="AF3" s="250"/>
      <c r="AG3" s="4"/>
      <c r="AH3" s="4"/>
      <c r="AI3" s="4"/>
      <c r="AJ3" s="250"/>
      <c r="AK3" s="4"/>
      <c r="AL3" s="4"/>
      <c r="AM3" s="4"/>
      <c r="AN3" s="250"/>
      <c r="AO3" s="4"/>
      <c r="AP3" s="4"/>
      <c r="AQ3" s="4"/>
      <c r="AR3" s="250"/>
      <c r="AS3" s="4"/>
      <c r="AT3" s="4"/>
      <c r="AU3" s="4"/>
      <c r="AV3" s="250"/>
      <c r="AW3" s="4"/>
      <c r="AX3" s="4"/>
      <c r="AY3" s="4"/>
      <c r="AZ3" s="250"/>
      <c r="BA3" s="4"/>
      <c r="BB3" s="4"/>
      <c r="BC3" s="4"/>
      <c r="BD3" s="250"/>
      <c r="BE3" s="4"/>
      <c r="BY3" s="4"/>
      <c r="CC3" s="4"/>
      <c r="CF3" s="174"/>
      <c r="CG3" s="4" t="s">
        <v>0</v>
      </c>
      <c r="CJ3" s="174"/>
      <c r="CK3" s="174"/>
      <c r="CO3" s="174"/>
    </row>
    <row r="4" spans="1:143" ht="13.8">
      <c r="E4" s="38"/>
      <c r="F4" s="38"/>
      <c r="G4" s="38"/>
      <c r="H4" s="251"/>
      <c r="I4" s="38"/>
      <c r="J4" s="38"/>
      <c r="K4" s="38"/>
      <c r="L4" s="251"/>
      <c r="M4" s="38"/>
      <c r="N4" s="38"/>
      <c r="O4" s="38"/>
      <c r="P4" s="251"/>
      <c r="Q4" s="38"/>
      <c r="R4" s="38"/>
      <c r="S4" s="38"/>
      <c r="T4" s="251"/>
      <c r="U4" s="38"/>
      <c r="V4" s="38"/>
      <c r="W4" s="38"/>
      <c r="X4" s="251"/>
      <c r="Y4" s="38"/>
      <c r="Z4" s="38"/>
      <c r="AA4" s="38"/>
      <c r="AB4" s="251"/>
      <c r="AC4" s="38"/>
      <c r="AD4" s="38"/>
      <c r="AE4" s="38"/>
      <c r="AF4" s="251"/>
      <c r="AG4" s="38"/>
      <c r="AH4" s="38"/>
      <c r="AI4" s="38"/>
      <c r="AJ4" s="251"/>
      <c r="AK4" s="38"/>
      <c r="AL4" s="38"/>
      <c r="AM4" s="38"/>
      <c r="AN4" s="251"/>
      <c r="AO4" s="38"/>
      <c r="AP4" s="38"/>
      <c r="AQ4" s="38"/>
      <c r="AR4" s="251"/>
      <c r="AS4" s="38"/>
      <c r="AT4" s="38"/>
      <c r="AU4" s="38"/>
      <c r="AV4" s="251"/>
      <c r="AW4" s="38"/>
      <c r="AX4" s="38"/>
      <c r="AY4" s="38"/>
      <c r="AZ4" s="251"/>
      <c r="BA4" s="38"/>
      <c r="BB4" s="38"/>
      <c r="BC4" s="38"/>
      <c r="BD4" s="251"/>
      <c r="BE4" s="38"/>
      <c r="BY4" s="38"/>
      <c r="CC4" s="38"/>
      <c r="CG4" s="296" t="s">
        <v>164</v>
      </c>
    </row>
    <row r="5" spans="1:143" s="39" customFormat="1" ht="13.8" hidden="1" outlineLevel="1">
      <c r="E5" s="42"/>
      <c r="F5" s="42"/>
      <c r="G5" s="42"/>
      <c r="H5" s="386"/>
      <c r="I5" s="42"/>
      <c r="J5" s="42"/>
      <c r="K5" s="42"/>
      <c r="L5" s="386"/>
      <c r="M5" s="42"/>
      <c r="N5" s="42"/>
      <c r="O5" s="42"/>
      <c r="P5" s="386"/>
      <c r="Q5" s="42"/>
      <c r="R5" s="42"/>
      <c r="S5" s="42"/>
      <c r="T5" s="386"/>
      <c r="U5" s="42"/>
      <c r="V5" s="42"/>
      <c r="W5" s="42"/>
      <c r="X5" s="386"/>
      <c r="Y5" s="42"/>
      <c r="Z5" s="42"/>
      <c r="AA5" s="42"/>
      <c r="AB5" s="386"/>
      <c r="AC5" s="42"/>
      <c r="AD5" s="42"/>
      <c r="AE5" s="42"/>
      <c r="AF5" s="386"/>
      <c r="AG5" s="42"/>
      <c r="AH5" s="42"/>
      <c r="AI5" s="42"/>
      <c r="AJ5" s="386"/>
      <c r="AK5" s="42"/>
      <c r="AL5" s="42"/>
      <c r="AM5" s="42"/>
      <c r="AN5" s="386"/>
      <c r="AO5" s="42"/>
      <c r="AP5" s="42"/>
      <c r="AQ5" s="42"/>
      <c r="AR5" s="386"/>
      <c r="AS5" s="42"/>
      <c r="AT5" s="42"/>
      <c r="AU5" s="42"/>
      <c r="AV5" s="386"/>
      <c r="AW5" s="42"/>
      <c r="AX5" s="42"/>
      <c r="AY5" s="42"/>
      <c r="AZ5" s="386"/>
      <c r="BA5" s="42"/>
      <c r="BB5" s="42"/>
      <c r="BC5" s="42"/>
      <c r="BD5" s="386"/>
      <c r="BE5" s="42"/>
      <c r="BH5" s="387"/>
      <c r="BL5" s="387"/>
      <c r="BP5" s="387"/>
      <c r="BT5" s="387"/>
      <c r="BX5" s="387"/>
      <c r="CB5" s="387"/>
      <c r="CF5" s="387"/>
      <c r="CJ5" s="387"/>
      <c r="CK5" s="387"/>
      <c r="CO5" s="387"/>
      <c r="CS5" s="387"/>
      <c r="CW5" s="387"/>
      <c r="DA5" s="387"/>
      <c r="DE5" s="387"/>
    </row>
    <row r="6" spans="1:143" ht="13.8" hidden="1" outlineLevel="1">
      <c r="E6" s="38"/>
      <c r="F6" s="38"/>
      <c r="G6" s="38"/>
      <c r="H6" s="251"/>
      <c r="I6" s="38"/>
      <c r="J6" s="38"/>
      <c r="K6" s="38"/>
      <c r="L6" s="251"/>
      <c r="M6" s="38"/>
      <c r="N6" s="38"/>
      <c r="O6" s="38"/>
      <c r="P6" s="251"/>
      <c r="Q6" s="38"/>
      <c r="R6" s="38"/>
      <c r="S6" s="38"/>
      <c r="T6" s="251"/>
      <c r="U6" s="38"/>
      <c r="V6" s="38"/>
      <c r="W6" s="38"/>
      <c r="X6" s="251"/>
      <c r="Y6" s="38"/>
      <c r="Z6" s="38"/>
      <c r="AA6" s="38"/>
      <c r="AB6" s="251"/>
      <c r="AC6" s="38"/>
      <c r="AD6" s="38"/>
      <c r="AE6" s="38"/>
      <c r="AF6" s="251"/>
      <c r="AG6" s="38"/>
      <c r="AH6" s="38"/>
      <c r="AI6" s="38"/>
      <c r="AJ6" s="251"/>
      <c r="AK6" s="38"/>
      <c r="AL6" s="38"/>
      <c r="AM6" s="38"/>
      <c r="AN6" s="251"/>
      <c r="AO6" s="38"/>
      <c r="AP6" s="38"/>
      <c r="AQ6" s="38"/>
      <c r="AR6" s="251"/>
      <c r="AS6" s="38"/>
      <c r="AT6" s="38"/>
      <c r="AU6" s="38"/>
      <c r="AV6" s="251"/>
      <c r="AW6" s="38"/>
      <c r="AX6" s="38"/>
      <c r="AY6" s="38"/>
      <c r="AZ6" s="251"/>
      <c r="BA6" s="38"/>
      <c r="BB6" s="38"/>
      <c r="BC6" s="38"/>
      <c r="BD6" s="251"/>
      <c r="BE6" s="38"/>
    </row>
    <row r="7" spans="1:143" ht="13.8" hidden="1" outlineLevel="1">
      <c r="E7" s="38"/>
      <c r="F7" s="38"/>
      <c r="G7" s="38"/>
      <c r="H7" s="251"/>
      <c r="I7" s="38"/>
      <c r="J7" s="38"/>
      <c r="K7" s="38"/>
      <c r="L7" s="251"/>
      <c r="M7" s="38"/>
      <c r="N7" s="38"/>
      <c r="O7" s="38"/>
      <c r="P7" s="251"/>
      <c r="Q7" s="38"/>
      <c r="R7" s="38"/>
      <c r="S7" s="38"/>
      <c r="T7" s="251"/>
      <c r="U7" s="38"/>
      <c r="V7" s="38"/>
      <c r="W7" s="38"/>
      <c r="X7" s="251"/>
      <c r="Y7" s="38"/>
      <c r="Z7" s="38"/>
      <c r="AA7" s="38"/>
      <c r="AB7" s="251"/>
      <c r="AC7" s="38"/>
      <c r="AD7" s="38"/>
      <c r="AE7" s="38"/>
      <c r="AF7" s="251"/>
      <c r="AG7" s="38"/>
      <c r="AH7" s="38"/>
      <c r="AI7" s="38"/>
      <c r="AJ7" s="251"/>
      <c r="AK7" s="38"/>
      <c r="AL7" s="38"/>
      <c r="AM7" s="38"/>
      <c r="AN7" s="251"/>
      <c r="AO7" s="38"/>
      <c r="AP7" s="38"/>
      <c r="AQ7" s="38"/>
      <c r="AR7" s="251"/>
      <c r="AS7" s="38"/>
      <c r="AT7" s="38"/>
      <c r="AU7" s="38"/>
      <c r="AV7" s="251"/>
      <c r="AW7" s="38"/>
      <c r="AX7" s="38"/>
      <c r="AY7" s="38"/>
      <c r="AZ7" s="251"/>
      <c r="BA7" s="38"/>
      <c r="BB7" s="38"/>
      <c r="BC7" s="38"/>
      <c r="BD7" s="251"/>
      <c r="BE7" s="38"/>
    </row>
    <row r="8" spans="1:143" ht="13.8" hidden="1" outlineLevel="1">
      <c r="E8" s="38"/>
      <c r="F8" s="38"/>
      <c r="G8" s="38"/>
      <c r="H8" s="251"/>
      <c r="I8" s="38"/>
      <c r="J8" s="38"/>
      <c r="K8" s="38"/>
      <c r="L8" s="251"/>
      <c r="M8" s="38"/>
      <c r="N8" s="38"/>
      <c r="O8" s="38"/>
      <c r="P8" s="251"/>
      <c r="Q8" s="38"/>
      <c r="R8" s="38"/>
      <c r="S8" s="38"/>
      <c r="T8" s="251"/>
      <c r="U8" s="38"/>
      <c r="V8" s="38"/>
      <c r="W8" s="38"/>
      <c r="X8" s="251"/>
      <c r="Y8" s="38"/>
      <c r="Z8" s="38"/>
      <c r="AA8" s="38"/>
      <c r="AB8" s="251"/>
      <c r="AC8" s="38"/>
      <c r="AD8" s="38"/>
      <c r="AE8" s="38"/>
      <c r="AF8" s="251"/>
      <c r="AG8" s="38"/>
      <c r="AH8" s="38"/>
      <c r="AI8" s="38"/>
      <c r="AJ8" s="251"/>
      <c r="AK8" s="38"/>
      <c r="AL8" s="38"/>
      <c r="AM8" s="38"/>
      <c r="AN8" s="251"/>
      <c r="AO8" s="38"/>
      <c r="AP8" s="38"/>
      <c r="AQ8" s="38"/>
      <c r="AR8" s="251"/>
      <c r="AS8" s="38"/>
      <c r="AT8" s="38"/>
      <c r="AU8" s="38"/>
      <c r="AV8" s="251"/>
      <c r="AW8" s="38"/>
      <c r="AX8" s="38"/>
      <c r="AY8" s="38"/>
      <c r="AZ8" s="251"/>
      <c r="BA8" s="38"/>
      <c r="BB8" s="38"/>
      <c r="BC8" s="38"/>
      <c r="BD8" s="251"/>
      <c r="BE8" s="38"/>
    </row>
    <row r="9" spans="1:143" collapsed="1">
      <c r="A9" s="579"/>
      <c r="B9" s="543"/>
      <c r="C9" s="543"/>
      <c r="D9" s="543"/>
      <c r="E9" s="543"/>
      <c r="F9" s="543"/>
      <c r="G9" s="543"/>
      <c r="H9" s="547"/>
      <c r="I9" s="543"/>
      <c r="J9" s="543"/>
      <c r="K9" s="543"/>
      <c r="L9" s="547"/>
      <c r="M9" s="543"/>
      <c r="N9" s="543"/>
      <c r="O9" s="543"/>
      <c r="P9" s="547"/>
      <c r="Q9" s="543"/>
      <c r="R9" s="543"/>
      <c r="S9" s="543"/>
      <c r="T9" s="547"/>
      <c r="U9" s="543"/>
      <c r="V9" s="543"/>
      <c r="W9" s="543"/>
      <c r="X9" s="547"/>
      <c r="Y9" s="543"/>
      <c r="Z9" s="543"/>
      <c r="AA9" s="543"/>
      <c r="AB9" s="547"/>
      <c r="AC9" s="543"/>
      <c r="AD9" s="543"/>
      <c r="AE9" s="543"/>
      <c r="AF9" s="547"/>
      <c r="AG9" s="543"/>
      <c r="AH9" s="543"/>
      <c r="AI9" s="543"/>
      <c r="AJ9" s="547"/>
      <c r="AK9" s="543"/>
      <c r="AL9" s="543"/>
      <c r="AM9" s="543"/>
      <c r="AN9" s="547"/>
      <c r="AO9" s="543"/>
      <c r="AP9" s="543"/>
      <c r="AQ9" s="543"/>
      <c r="AR9" s="547"/>
      <c r="AS9" s="543"/>
      <c r="AT9" s="543"/>
      <c r="AU9" s="543"/>
      <c r="AV9" s="547"/>
      <c r="AW9" s="543"/>
      <c r="AX9" s="543"/>
      <c r="AY9" s="543"/>
      <c r="AZ9" s="547"/>
      <c r="BA9" s="543"/>
      <c r="BB9" s="543"/>
      <c r="BC9" s="543"/>
      <c r="BD9" s="547"/>
      <c r="BE9" s="543"/>
      <c r="BF9" s="543"/>
      <c r="BG9" s="543"/>
      <c r="BH9" s="547"/>
      <c r="BI9" s="543"/>
      <c r="BJ9" s="543"/>
      <c r="BK9" s="543"/>
      <c r="BL9" s="547"/>
      <c r="BM9" s="543"/>
      <c r="BN9" s="543"/>
      <c r="BO9" s="543"/>
      <c r="BP9" s="547"/>
      <c r="BQ9" s="543"/>
      <c r="BR9" s="543"/>
      <c r="BS9" s="543"/>
      <c r="BT9" s="547"/>
      <c r="BU9" s="543"/>
      <c r="BV9" s="543"/>
      <c r="BW9" s="543"/>
      <c r="BX9" s="547"/>
      <c r="BY9" s="543"/>
      <c r="BZ9" s="543"/>
      <c r="CA9" s="543"/>
      <c r="CB9" s="547"/>
      <c r="CC9" s="543"/>
      <c r="CD9" s="543"/>
      <c r="CE9" s="543"/>
      <c r="CF9" s="547"/>
      <c r="CG9" s="543"/>
      <c r="CH9" s="543"/>
      <c r="CI9" s="543"/>
      <c r="CJ9" s="547"/>
      <c r="CK9" s="547"/>
      <c r="CL9" s="543" t="str">
        <f>'Income Statement'!CL7</f>
      </c>
      <c r="CM9" s="543" t="str">
        <f>'Income Statement'!CM7</f>
      </c>
      <c r="CN9" s="543" t="str">
        <f>'Income Statement'!CN7</f>
      </c>
      <c r="CO9" s="547" t="str">
        <f>'Income Statement'!CO7</f>
      </c>
      <c r="CP9" s="543" t="str">
        <f>'Income Statement'!CP7</f>
      </c>
      <c r="CQ9" s="543" t="str">
        <f>'Income Statement'!CQ7</f>
      </c>
      <c r="CR9" s="543" t="str">
        <f>'Income Statement'!CR7</f>
      </c>
      <c r="CS9" s="547" t="str">
        <f>'Income Statement'!CS7</f>
      </c>
      <c r="CT9" s="543" t="str">
        <f>'Income Statement'!CT7</f>
      </c>
      <c r="CU9" s="543" t="str">
        <f>'Income Statement'!CU7</f>
      </c>
      <c r="CV9" s="543" t="str">
        <f>'Income Statement'!CV7</f>
      </c>
      <c r="CW9" s="547" t="str">
        <f>'Income Statement'!CW7</f>
      </c>
      <c r="CX9" s="543" t="str">
        <f>'Income Statement'!CX7</f>
      </c>
      <c r="CY9" s="543" t="str">
        <f>'Income Statement'!CY7</f>
      </c>
      <c r="CZ9" s="543" t="str">
        <f>'Income Statement'!CZ7</f>
      </c>
      <c r="DA9" s="547" t="str">
        <f>'Income Statement'!DA7</f>
      </c>
      <c r="DB9" s="543" t="str">
        <f>'Income Statement'!DB7</f>
      </c>
      <c r="DC9" s="543" t="str">
        <f>'Income Statement'!DC7</f>
      </c>
      <c r="DD9" s="543" t="str">
        <f>'Income Statement'!DD7</f>
      </c>
      <c r="DE9" s="547" t="str">
        <f>'Income Statement'!DE7</f>
      </c>
      <c r="DF9" s="543" t="str">
        <f>'Income Statement'!DF7</f>
      </c>
      <c r="DG9" s="543" t="str">
        <f>'Income Statement'!DG7</f>
      </c>
      <c r="DH9" s="543" t="str">
        <f>'Income Statement'!DH7</f>
      </c>
      <c r="DI9" s="547" t="str">
        <f>'Income Statement'!DI7</f>
      </c>
      <c r="DJ9" s="543" t="str">
        <f>'Income Statement'!DJ7</f>
      </c>
      <c r="DK9" s="543" t="str">
        <f>'Income Statement'!DK7</f>
      </c>
      <c r="DL9" s="543" t="str">
        <f>'Income Statement'!DL7</f>
      </c>
      <c r="DM9" s="547" t="str">
        <f>'Income Statement'!DM7</f>
      </c>
      <c r="DN9" s="543" t="str">
        <f>'Income Statement'!DN7</f>
      </c>
      <c r="DO9" s="543" t="str">
        <f>'Income Statement'!DO7</f>
      </c>
      <c r="DP9" s="543" t="str">
        <f>'Income Statement'!DP7</f>
      </c>
      <c r="DQ9" s="547" t="str">
        <f>'Income Statement'!DQ7</f>
      </c>
      <c r="DR9" s="543" t="str">
        <f>'Income Statement'!DR7</f>
      </c>
      <c r="DS9" s="543" t="str">
        <f>'Income Statement'!DS7</f>
      </c>
      <c r="DT9" s="543" t="str">
        <f>'Income Statement'!DT7</f>
      </c>
      <c r="DU9" s="547" t="str">
        <f>'Income Statement'!DU7</f>
      </c>
      <c r="DV9" s="543" t="str">
        <f>'Income Statement'!DV7</f>
      </c>
      <c r="DW9" s="543" t="str">
        <f>'Income Statement'!DW7</f>
      </c>
      <c r="DX9" s="543" t="str">
        <f>'Income Statement'!DX7</f>
      </c>
      <c r="DY9" s="547" t="str">
        <f>'Income Statement'!DY7</f>
      </c>
      <c r="DZ9" s="543" t="str">
        <f>'Income Statement'!DZ7</f>
      </c>
      <c r="EA9" s="543" t="str">
        <f>'Income Statement'!EA7</f>
      </c>
      <c r="EB9" s="543" t="str">
        <f>'Income Statement'!EB7</f>
      </c>
      <c r="EC9" s="547" t="str">
        <f>'Income Statement'!EC7</f>
      </c>
      <c r="ED9" s="543" t="str">
        <f>'Income Statement'!ED7</f>
      </c>
      <c r="EE9" s="543" t="str">
        <f>'Income Statement'!EE7</f>
      </c>
      <c r="EF9" s="543" t="str">
        <f>'Income Statement'!EF7</f>
      </c>
      <c r="EG9" s="547" t="str">
        <f>'Income Statement'!EG7</f>
      </c>
      <c r="EH9" s="543" t="str">
        <f>'Income Statement'!EH7</f>
      </c>
      <c r="EI9" s="543" t="str">
        <f>'Income Statement'!EI7</f>
      </c>
      <c r="EJ9" s="543" t="str">
        <f>'Income Statement'!EJ7</f>
      </c>
      <c r="EK9" s="547" t="str">
        <f>'Income Statement'!EK7</f>
      </c>
      <c r="EL9" s="546"/>
      <c r="EM9" s="546"/>
    </row>
    <row r="10" spans="1:143">
      <c r="A10" s="548" t="s">
        <v>148</v>
      </c>
      <c r="B10" s="59" t="s">
        <v>693</v>
      </c>
      <c r="C10" s="78" t="s">
        <v>738</v>
      </c>
      <c r="D10" s="78" t="s">
        <v>930</v>
      </c>
      <c r="E10" s="549"/>
      <c r="F10" s="549"/>
      <c r="G10" s="549"/>
      <c r="H10" s="550"/>
      <c r="I10" s="549"/>
      <c r="J10" s="549"/>
      <c r="K10" s="549"/>
      <c r="L10" s="550"/>
      <c r="M10" s="549"/>
      <c r="N10" s="549"/>
      <c r="O10" s="549"/>
      <c r="P10" s="550"/>
      <c r="Q10" s="549"/>
      <c r="R10" s="549"/>
      <c r="S10" s="549"/>
      <c r="T10" s="550"/>
      <c r="U10" s="549"/>
      <c r="V10" s="549"/>
      <c r="W10" s="549"/>
      <c r="X10" s="550"/>
      <c r="Y10" s="549"/>
      <c r="Z10" s="549"/>
      <c r="AA10" s="549"/>
      <c r="AB10" s="550"/>
      <c r="AC10" s="549"/>
      <c r="AD10" s="549"/>
      <c r="AE10" s="549"/>
      <c r="AF10" s="550"/>
      <c r="AG10" s="549"/>
      <c r="AH10" s="549"/>
      <c r="AI10" s="549"/>
      <c r="AJ10" s="550"/>
      <c r="AK10" s="549"/>
      <c r="AL10" s="549"/>
      <c r="AM10" s="549"/>
      <c r="AN10" s="550"/>
      <c r="AO10" s="549"/>
      <c r="AP10" s="549"/>
      <c r="AQ10" s="549"/>
      <c r="AR10" s="550"/>
      <c r="AS10" s="549"/>
      <c r="AT10" s="549"/>
      <c r="AU10" s="549"/>
      <c r="AV10" s="550"/>
      <c r="AW10" s="549"/>
      <c r="AX10" s="549"/>
      <c r="AY10" s="549"/>
      <c r="AZ10" s="550"/>
      <c r="BA10" s="549"/>
      <c r="BB10" s="549"/>
      <c r="BC10" s="549"/>
      <c r="BD10" s="550"/>
      <c r="BE10" s="549"/>
      <c r="BF10" s="549"/>
      <c r="BG10" s="549"/>
      <c r="BH10" s="550"/>
      <c r="BI10" s="549"/>
      <c r="BJ10" s="549"/>
      <c r="BK10" s="549"/>
      <c r="BL10" s="550"/>
      <c r="BM10" s="549"/>
      <c r="BN10" s="549"/>
      <c r="BO10" s="549"/>
      <c r="BP10" s="550"/>
      <c r="BQ10" s="549"/>
      <c r="BR10" s="549"/>
      <c r="BS10" s="549"/>
      <c r="BT10" s="550"/>
      <c r="BU10" s="549"/>
      <c r="BV10" s="549"/>
      <c r="BW10" s="549"/>
      <c r="BX10" s="550"/>
      <c r="BY10" s="549"/>
      <c r="BZ10" s="549"/>
      <c r="CA10" s="549"/>
      <c r="CB10" s="550"/>
      <c r="CC10" s="549"/>
      <c r="CD10" s="549"/>
      <c r="CE10" s="549"/>
      <c r="CF10" s="550"/>
      <c r="CG10" s="549"/>
      <c r="CH10" s="549"/>
      <c r="CI10" s="549"/>
      <c r="CJ10" s="550"/>
      <c r="CK10" s="550"/>
      <c r="CL10" s="549">
        <f>'Income Statement'!CL8</f>
      </c>
      <c r="CM10" s="549">
        <f>'Income Statement'!CM8</f>
      </c>
      <c r="CN10" s="549">
        <f>'Income Statement'!CN8</f>
      </c>
      <c r="CO10" s="550">
        <f>'Income Statement'!CO8</f>
      </c>
      <c r="CP10" s="549">
        <f>'Income Statement'!CP8</f>
      </c>
      <c r="CQ10" s="549">
        <f>'Income Statement'!CQ8</f>
      </c>
      <c r="CR10" s="549">
        <f>'Income Statement'!CR8</f>
      </c>
      <c r="CS10" s="550">
        <f>'Income Statement'!CS8</f>
      </c>
      <c r="CT10" s="549">
        <f>'Income Statement'!CT8</f>
      </c>
      <c r="CU10" s="549">
        <f>'Income Statement'!CU8</f>
      </c>
      <c r="CV10" s="549">
        <f>'Income Statement'!CV8</f>
      </c>
      <c r="CW10" s="550">
        <f>'Income Statement'!CW8</f>
      </c>
      <c r="CX10" s="549">
        <f>'Income Statement'!CX8</f>
      </c>
      <c r="CY10" s="549">
        <f>'Income Statement'!CY8</f>
      </c>
      <c r="CZ10" s="549">
        <f>'Income Statement'!CZ8</f>
      </c>
      <c r="DA10" s="550">
        <f>'Income Statement'!DA8</f>
      </c>
      <c r="DB10" s="549">
        <f>'Income Statement'!DB8</f>
      </c>
      <c r="DC10" s="549">
        <f>'Income Statement'!DC8</f>
      </c>
      <c r="DD10" s="549">
        <f>'Income Statement'!DD8</f>
      </c>
      <c r="DE10" s="550">
        <f>'Income Statement'!DE8</f>
      </c>
      <c r="DF10" s="549">
        <f>'Income Statement'!DF8</f>
      </c>
      <c r="DG10" s="549">
        <f>'Income Statement'!DG8</f>
      </c>
      <c r="DH10" s="549">
        <f>'Income Statement'!DH8</f>
      </c>
      <c r="DI10" s="550">
        <f>'Income Statement'!DI8</f>
      </c>
      <c r="DJ10" s="549">
        <f>'Income Statement'!DJ8</f>
      </c>
      <c r="DK10" s="549">
        <f>'Income Statement'!DK8</f>
      </c>
      <c r="DL10" s="549">
        <f>'Income Statement'!DL8</f>
      </c>
      <c r="DM10" s="550">
        <f>'Income Statement'!DM8</f>
      </c>
      <c r="DN10" s="549">
        <f>'Income Statement'!DN8</f>
      </c>
      <c r="DO10" s="549">
        <f>'Income Statement'!DO8</f>
      </c>
      <c r="DP10" s="549">
        <f>'Income Statement'!DP8</f>
      </c>
      <c r="DQ10" s="550">
        <f>'Income Statement'!DQ8</f>
      </c>
      <c r="DR10" s="549">
        <f>'Income Statement'!DR8</f>
      </c>
      <c r="DS10" s="549">
        <f>'Income Statement'!DS8</f>
      </c>
      <c r="DT10" s="549">
        <f>'Income Statement'!DT8</f>
      </c>
      <c r="DU10" s="550">
        <f>'Income Statement'!DU8</f>
      </c>
      <c r="DV10" s="549">
        <f>'Income Statement'!DV8</f>
      </c>
      <c r="DW10" s="549">
        <f>'Income Statement'!DW8</f>
      </c>
      <c r="DX10" s="549">
        <f>'Income Statement'!DX8</f>
      </c>
      <c r="DY10" s="550">
        <f>'Income Statement'!DY8</f>
      </c>
      <c r="DZ10" s="549">
        <f>'Income Statement'!DZ8</f>
      </c>
      <c r="EA10" s="549">
        <f>'Income Statement'!EA8</f>
      </c>
      <c r="EB10" s="549">
        <f>'Income Statement'!EB8</f>
      </c>
      <c r="EC10" s="550">
        <f>'Income Statement'!EC8</f>
      </c>
      <c r="ED10" s="549">
        <f>'Income Statement'!ED8</f>
      </c>
      <c r="EE10" s="549">
        <f>'Income Statement'!EE8</f>
      </c>
      <c r="EF10" s="549">
        <f>'Income Statement'!EF8</f>
      </c>
      <c r="EG10" s="550">
        <f>'Income Statement'!EG8</f>
      </c>
      <c r="EH10" s="549">
        <f>'Income Statement'!EH8</f>
      </c>
      <c r="EI10" s="549">
        <f>'Income Statement'!EI8</f>
      </c>
      <c r="EJ10" s="549">
        <f>'Income Statement'!EJ8</f>
      </c>
      <c r="EK10" s="550">
        <f>'Income Statement'!EK8</f>
      </c>
      <c r="EL10" s="705"/>
      <c r="EM10" s="705"/>
    </row>
    <row r="11" spans="1:143">
      <c r="A11" s="11" t="s">
        <v>707</v>
      </c>
      <c r="B11" s="312">
        <v>43223</v>
      </c>
      <c r="D11" s="313">
        <v>41395</v>
      </c>
      <c r="CL11" s="34">
        <v>2000</v>
      </c>
      <c r="CM11" s="15">
        <f>CL11</f>
      </c>
      <c r="CN11" s="34">
        <v>0</v>
      </c>
      <c r="CO11" s="174">
        <f t="shared" ref="CO11:DU11" si="0">CN11</f>
      </c>
      <c r="CP11" s="15">
        <f t="shared" si="0"/>
      </c>
      <c r="CQ11" s="10">
        <f t="shared" si="0"/>
      </c>
      <c r="CR11" s="10">
        <f t="shared" si="0"/>
      </c>
      <c r="CS11" s="238">
        <f t="shared" si="0"/>
      </c>
      <c r="CT11" s="10">
        <f t="shared" si="0"/>
      </c>
      <c r="CU11" s="10">
        <f t="shared" si="0"/>
      </c>
      <c r="CV11" s="10">
        <f t="shared" si="0"/>
      </c>
      <c r="CW11" s="238">
        <f t="shared" si="0"/>
      </c>
      <c r="CX11" s="10">
        <f t="shared" si="0"/>
      </c>
      <c r="CY11" s="10">
        <f t="shared" si="0"/>
      </c>
      <c r="CZ11" s="10">
        <f t="shared" si="0"/>
      </c>
      <c r="DA11" s="238">
        <f t="shared" si="0"/>
      </c>
      <c r="DB11" s="10">
        <f t="shared" si="0"/>
      </c>
      <c r="DC11" s="10">
        <f t="shared" si="0"/>
      </c>
      <c r="DD11" s="10">
        <f t="shared" si="0"/>
      </c>
      <c r="DE11" s="238">
        <f t="shared" si="0"/>
      </c>
      <c r="DF11" s="10">
        <f t="shared" si="0"/>
      </c>
      <c r="DG11" s="10">
        <f t="shared" si="0"/>
      </c>
      <c r="DH11" s="10">
        <f t="shared" si="0"/>
      </c>
      <c r="DI11" s="238">
        <f t="shared" si="0"/>
      </c>
      <c r="DJ11" s="10">
        <f t="shared" si="0"/>
      </c>
      <c r="DK11" s="10">
        <f t="shared" si="0"/>
      </c>
      <c r="DL11" s="10">
        <f t="shared" si="0"/>
      </c>
      <c r="DM11" s="238">
        <f t="shared" si="0"/>
      </c>
      <c r="DN11" s="10">
        <f t="shared" si="0"/>
      </c>
      <c r="DO11" s="10">
        <f t="shared" si="0"/>
      </c>
      <c r="DP11" s="10">
        <f t="shared" si="0"/>
      </c>
      <c r="DQ11" s="238">
        <f t="shared" si="0"/>
      </c>
      <c r="DR11" s="10">
        <f t="shared" si="0"/>
      </c>
      <c r="DS11" s="10">
        <f t="shared" si="0"/>
      </c>
      <c r="DT11" s="10">
        <f t="shared" si="0"/>
      </c>
      <c r="DU11" s="238">
        <f t="shared" si="0"/>
      </c>
      <c r="DV11" s="10">
        <f t="shared" ref="DV11" si="1">DU11</f>
      </c>
      <c r="DW11" s="10">
        <f t="shared" ref="DW11" si="2">DV11</f>
      </c>
      <c r="DX11" s="10">
        <f t="shared" ref="DX11" si="3">DW11</f>
      </c>
      <c r="DY11" s="238">
        <f t="shared" ref="DY11" si="4">DX11</f>
      </c>
      <c r="DZ11" s="10">
        <f t="shared" ref="DZ11" si="5">DY11</f>
      </c>
      <c r="EA11" s="10">
        <f t="shared" ref="EA11" si="6">DZ11</f>
      </c>
      <c r="EB11" s="10">
        <f t="shared" ref="EB11" si="7">EA11</f>
      </c>
      <c r="EC11" s="238">
        <f t="shared" ref="EC11" si="8">EB11</f>
      </c>
      <c r="ED11" s="10">
        <f t="shared" ref="ED11" si="9">EC11</f>
      </c>
      <c r="EE11" s="10">
        <f t="shared" ref="EE11" si="10">ED11</f>
      </c>
      <c r="EF11" s="10">
        <f t="shared" ref="EF11" si="11">EE11</f>
      </c>
      <c r="EG11" s="238">
        <f t="shared" ref="EG11" si="12">EF11</f>
      </c>
      <c r="EH11" s="10">
        <f t="shared" ref="EH11" si="13">EG11</f>
      </c>
      <c r="EI11" s="10">
        <f t="shared" ref="EI11" si="14">EH11</f>
      </c>
      <c r="EJ11" s="10">
        <f t="shared" ref="EJ11" si="15">EI11</f>
      </c>
      <c r="EK11" s="238">
        <f t="shared" ref="EK11" si="16">EJ11</f>
      </c>
    </row>
    <row r="12" spans="1:143">
      <c r="A12" s="11" t="s">
        <v>708</v>
      </c>
      <c r="B12" s="312">
        <v>43223</v>
      </c>
      <c r="D12" s="313">
        <v>41395</v>
      </c>
      <c r="CL12" s="34">
        <v>4000</v>
      </c>
      <c r="CM12" s="15">
        <f>CL12</f>
      </c>
      <c r="CN12" s="34">
        <v>0</v>
      </c>
      <c r="CO12" s="173">
        <v>0</v>
      </c>
      <c r="CP12" s="34">
        <v>0</v>
      </c>
      <c r="CQ12" s="10">
        <v>0</v>
      </c>
      <c r="CR12" s="10">
        <v>0</v>
      </c>
      <c r="CS12" s="238">
        <v>0</v>
      </c>
      <c r="CT12" s="381">
        <v>0</v>
      </c>
      <c r="CU12" s="10">
        <v>0</v>
      </c>
      <c r="CV12" s="10">
        <v>0</v>
      </c>
      <c r="CW12" s="238">
        <v>0</v>
      </c>
      <c r="CX12" s="381">
        <v>0</v>
      </c>
      <c r="CY12" s="10">
        <v>0</v>
      </c>
      <c r="CZ12" s="10">
        <v>0</v>
      </c>
      <c r="DA12" s="238">
        <v>0</v>
      </c>
      <c r="DB12" s="381"/>
      <c r="DC12" s="10"/>
      <c r="DD12" s="10"/>
      <c r="DE12" s="238"/>
      <c r="DF12" s="381"/>
      <c r="DG12" s="10"/>
      <c r="DH12" s="10"/>
      <c r="DI12" s="238"/>
      <c r="DJ12" s="381"/>
      <c r="DK12" s="10"/>
      <c r="DL12" s="10"/>
      <c r="DM12" s="238"/>
      <c r="DN12" s="381"/>
      <c r="DO12" s="10"/>
      <c r="DP12" s="10"/>
      <c r="DQ12" s="238"/>
      <c r="DR12" s="381"/>
      <c r="DS12" s="10"/>
      <c r="DT12" s="10"/>
      <c r="DU12" s="238"/>
      <c r="DV12" s="381"/>
      <c r="DW12" s="10"/>
      <c r="DX12" s="10"/>
      <c r="DY12" s="238"/>
      <c r="DZ12" s="381"/>
      <c r="EA12" s="10"/>
      <c r="EB12" s="10"/>
      <c r="EC12" s="238"/>
      <c r="ED12" s="381"/>
      <c r="EE12" s="10"/>
      <c r="EF12" s="10"/>
      <c r="EG12" s="238"/>
      <c r="EH12" s="381"/>
      <c r="EI12" s="10"/>
      <c r="EJ12" s="10"/>
      <c r="EK12" s="238"/>
      <c r="EL12" s="10"/>
    </row>
    <row r="13" spans="1:143">
      <c r="A13" s="11" t="s">
        <v>967</v>
      </c>
      <c r="B13" s="312">
        <v>43678</v>
      </c>
      <c r="CL13" s="34">
        <v>350</v>
      </c>
      <c r="CM13" s="34">
        <v>0</v>
      </c>
      <c r="CN13" s="10">
        <f t="shared" ref="CN13:CS15" si="17">CM13</f>
      </c>
      <c r="CO13" s="238">
        <f t="shared" si="17"/>
      </c>
      <c r="CP13" s="10">
        <f t="shared" si="17"/>
      </c>
      <c r="CQ13" s="10">
        <f t="shared" si="17"/>
      </c>
      <c r="CR13" s="10">
        <f t="shared" si="17"/>
      </c>
      <c r="CS13" s="238">
        <f t="shared" si="17"/>
      </c>
      <c r="CT13" s="381">
        <v>0</v>
      </c>
      <c r="CU13" s="10">
        <v>0</v>
      </c>
      <c r="CV13" s="10">
        <v>0</v>
      </c>
      <c r="CW13" s="238">
        <v>0</v>
      </c>
      <c r="CX13" s="381">
        <v>0</v>
      </c>
      <c r="CY13" s="10">
        <v>0</v>
      </c>
      <c r="CZ13" s="10">
        <v>0</v>
      </c>
      <c r="DA13" s="238">
        <v>0</v>
      </c>
      <c r="DB13" s="381"/>
      <c r="DC13" s="10"/>
      <c r="DD13" s="10"/>
      <c r="DE13" s="238"/>
      <c r="DF13" s="381"/>
      <c r="DG13" s="10"/>
      <c r="DH13" s="10"/>
      <c r="DI13" s="238"/>
      <c r="DJ13" s="381"/>
      <c r="DK13" s="10"/>
      <c r="DL13" s="10"/>
      <c r="DM13" s="238"/>
      <c r="DN13" s="381"/>
      <c r="DO13" s="10"/>
      <c r="DP13" s="10"/>
      <c r="DQ13" s="238"/>
      <c r="DR13" s="381"/>
      <c r="DS13" s="10"/>
      <c r="DT13" s="10"/>
      <c r="DU13" s="238"/>
      <c r="DV13" s="381"/>
      <c r="DW13" s="10"/>
      <c r="DX13" s="10"/>
      <c r="DY13" s="238"/>
      <c r="DZ13" s="381"/>
      <c r="EA13" s="10"/>
      <c r="EB13" s="10"/>
      <c r="EC13" s="238"/>
      <c r="ED13" s="381"/>
      <c r="EE13" s="10"/>
      <c r="EF13" s="10"/>
      <c r="EG13" s="238"/>
      <c r="EH13" s="381"/>
      <c r="EI13" s="10"/>
      <c r="EJ13" s="10"/>
      <c r="EK13" s="238"/>
      <c r="EL13" s="10"/>
    </row>
    <row r="14" spans="1:143">
      <c r="A14" s="11" t="s">
        <v>711</v>
      </c>
      <c r="B14" s="312">
        <v>45049</v>
      </c>
      <c r="D14" s="313">
        <v>41395</v>
      </c>
      <c r="CL14" s="34">
        <v>5500</v>
      </c>
      <c r="CM14" s="15">
        <f t="shared" ref="CM14:CM22" si="18">CL14</f>
      </c>
      <c r="CN14" s="15">
        <f t="shared" si="17"/>
      </c>
      <c r="CO14" s="174">
        <f t="shared" si="17"/>
      </c>
      <c r="CP14" s="15">
        <f t="shared" si="17"/>
      </c>
      <c r="CQ14" s="34">
        <f t="shared" si="17"/>
      </c>
      <c r="CR14" s="10">
        <f t="shared" si="17"/>
      </c>
      <c r="CS14" s="238">
        <f t="shared" si="17"/>
      </c>
      <c r="CT14" s="381">
        <f t="shared" ref="CT14:DF14" si="19">CS14</f>
      </c>
      <c r="CU14" s="10">
        <f t="shared" si="19"/>
      </c>
      <c r="CV14" s="10">
        <f t="shared" si="19"/>
      </c>
      <c r="CW14" s="238">
        <f t="shared" si="19"/>
      </c>
      <c r="CX14" s="381">
        <f t="shared" si="19"/>
      </c>
      <c r="CY14" s="10">
        <f t="shared" si="19"/>
      </c>
      <c r="CZ14" s="10">
        <f t="shared" si="19"/>
      </c>
      <c r="DA14" s="238">
        <f t="shared" si="19"/>
      </c>
      <c r="DB14" s="381">
        <f t="shared" si="19"/>
      </c>
      <c r="DC14" s="10">
        <f t="shared" si="19"/>
      </c>
      <c r="DD14" s="10">
        <f t="shared" si="19"/>
      </c>
      <c r="DE14" s="238">
        <f t="shared" si="19"/>
      </c>
      <c r="DF14" s="381">
        <f t="shared" si="19"/>
      </c>
      <c r="DG14" s="10">
        <v>0</v>
      </c>
      <c r="DH14" s="10">
        <v>0</v>
      </c>
      <c r="DI14" s="238">
        <f t="shared" ref="DI14:DU14" si="20">DH14</f>
      </c>
      <c r="DJ14" s="381">
        <f t="shared" si="20"/>
      </c>
      <c r="DK14" s="10">
        <f t="shared" si="20"/>
      </c>
      <c r="DL14" s="10">
        <f t="shared" si="20"/>
      </c>
      <c r="DM14" s="238">
        <f t="shared" si="20"/>
      </c>
      <c r="DN14" s="381">
        <f t="shared" si="20"/>
      </c>
      <c r="DO14" s="10">
        <f t="shared" si="20"/>
      </c>
      <c r="DP14" s="10">
        <f t="shared" si="20"/>
      </c>
      <c r="DQ14" s="238">
        <f t="shared" si="20"/>
      </c>
      <c r="DR14" s="381">
        <f t="shared" si="20"/>
      </c>
      <c r="DS14" s="10">
        <f t="shared" si="20"/>
      </c>
      <c r="DT14" s="10">
        <f t="shared" si="20"/>
      </c>
      <c r="DU14" s="238">
        <f t="shared" si="20"/>
      </c>
      <c r="DV14" s="381">
        <f t="shared" ref="DV14:DV16" si="21">DU14</f>
      </c>
      <c r="DW14" s="10">
        <f t="shared" ref="DW14:DW16" si="22">DV14</f>
      </c>
      <c r="DX14" s="10">
        <f t="shared" ref="DX14:DX16" si="23">DW14</f>
      </c>
      <c r="DY14" s="238">
        <f t="shared" ref="DY14:DY16" si="24">DX14</f>
      </c>
      <c r="DZ14" s="381">
        <f t="shared" ref="DZ14:DZ16" si="25">DY14</f>
      </c>
      <c r="EA14" s="10">
        <f t="shared" ref="EA14:EA16" si="26">DZ14</f>
      </c>
      <c r="EB14" s="10">
        <f t="shared" ref="EB14:EB16" si="27">EA14</f>
      </c>
      <c r="EC14" s="238">
        <f t="shared" ref="EC14:EC16" si="28">EB14</f>
      </c>
      <c r="ED14" s="381">
        <f t="shared" ref="ED14:ED16" si="29">EC14</f>
      </c>
      <c r="EE14" s="10">
        <f t="shared" ref="EE14:EE16" si="30">ED14</f>
      </c>
      <c r="EF14" s="10">
        <f t="shared" ref="EF14:EF16" si="31">EE14</f>
      </c>
      <c r="EG14" s="238">
        <f t="shared" ref="EG14:EG16" si="32">EF14</f>
      </c>
      <c r="EH14" s="381">
        <f t="shared" ref="EH14:EH16" si="33">EG14</f>
      </c>
      <c r="EI14" s="10">
        <f t="shared" ref="EI14:EI16" si="34">EH14</f>
      </c>
      <c r="EJ14" s="10">
        <f t="shared" ref="EJ14:EJ16" si="35">EI14</f>
      </c>
      <c r="EK14" s="238">
        <f t="shared" ref="EK14:EK16" si="36">EJ14</f>
      </c>
      <c r="EL14" s="10"/>
    </row>
    <row r="15" spans="1:143">
      <c r="A15" s="11" t="s">
        <v>713</v>
      </c>
      <c r="B15" s="312">
        <v>52355</v>
      </c>
      <c r="D15" s="313">
        <v>41395</v>
      </c>
      <c r="CL15" s="34">
        <v>3000</v>
      </c>
      <c r="CM15" s="15">
        <f t="shared" si="18"/>
      </c>
      <c r="CN15" s="15">
        <f t="shared" si="17"/>
      </c>
      <c r="CO15" s="174">
        <f t="shared" si="17"/>
      </c>
      <c r="CP15" s="15">
        <f t="shared" si="17"/>
      </c>
      <c r="CQ15" s="34">
        <f t="shared" si="17"/>
      </c>
      <c r="CR15" s="10">
        <f t="shared" si="17"/>
      </c>
      <c r="CS15" s="238">
        <f t="shared" si="17"/>
      </c>
      <c r="CT15" s="381">
        <f t="shared" ref="CT15:DG15" si="37">CS15</f>
      </c>
      <c r="CU15" s="10">
        <f t="shared" si="37"/>
      </c>
      <c r="CV15" s="10">
        <f t="shared" si="37"/>
      </c>
      <c r="CW15" s="238">
        <f t="shared" si="37"/>
      </c>
      <c r="CX15" s="381">
        <f t="shared" si="37"/>
      </c>
      <c r="CY15" s="10">
        <f t="shared" si="37"/>
      </c>
      <c r="CZ15" s="10">
        <f t="shared" si="37"/>
      </c>
      <c r="DA15" s="238">
        <f t="shared" si="37"/>
      </c>
      <c r="DB15" s="381">
        <f t="shared" si="37"/>
      </c>
      <c r="DC15" s="10">
        <f t="shared" si="37"/>
      </c>
      <c r="DD15" s="10">
        <f t="shared" si="37"/>
      </c>
      <c r="DE15" s="238">
        <f t="shared" si="37"/>
      </c>
      <c r="DF15" s="381">
        <f t="shared" si="37"/>
      </c>
      <c r="DG15" s="10">
        <f t="shared" si="37"/>
      </c>
      <c r="DH15" s="10">
        <f>DG15</f>
      </c>
      <c r="DI15" s="238">
        <f t="shared" ref="DI15:DU15" si="38">DH15</f>
      </c>
      <c r="DJ15" s="381">
        <f t="shared" si="38"/>
      </c>
      <c r="DK15" s="10">
        <f t="shared" si="38"/>
      </c>
      <c r="DL15" s="10">
        <f t="shared" si="38"/>
      </c>
      <c r="DM15" s="238">
        <f t="shared" si="38"/>
      </c>
      <c r="DN15" s="381">
        <f t="shared" si="38"/>
      </c>
      <c r="DO15" s="10">
        <f t="shared" si="38"/>
      </c>
      <c r="DP15" s="10">
        <f t="shared" si="38"/>
      </c>
      <c r="DQ15" s="238">
        <f t="shared" si="38"/>
      </c>
      <c r="DR15" s="381">
        <f t="shared" si="38"/>
      </c>
      <c r="DS15" s="10">
        <f t="shared" si="38"/>
      </c>
      <c r="DT15" s="10">
        <f t="shared" si="38"/>
      </c>
      <c r="DU15" s="238">
        <f t="shared" si="38"/>
      </c>
      <c r="DV15" s="381">
        <f t="shared" si="21"/>
      </c>
      <c r="DW15" s="10">
        <f t="shared" si="22"/>
      </c>
      <c r="DX15" s="10">
        <f t="shared" si="23"/>
      </c>
      <c r="DY15" s="238">
        <f t="shared" si="24"/>
      </c>
      <c r="DZ15" s="381">
        <f t="shared" si="25"/>
      </c>
      <c r="EA15" s="10">
        <f t="shared" si="26"/>
      </c>
      <c r="EB15" s="10">
        <f t="shared" si="27"/>
      </c>
      <c r="EC15" s="238">
        <f t="shared" si="28"/>
      </c>
      <c r="ED15" s="381">
        <f t="shared" si="29"/>
      </c>
      <c r="EE15" s="10">
        <f t="shared" si="30"/>
      </c>
      <c r="EF15" s="10">
        <f t="shared" si="31"/>
      </c>
      <c r="EG15" s="238">
        <f t="shared" si="32"/>
      </c>
      <c r="EH15" s="381">
        <f t="shared" si="33"/>
      </c>
      <c r="EI15" s="10">
        <f t="shared" si="34"/>
      </c>
      <c r="EJ15" s="10">
        <f t="shared" si="35"/>
      </c>
      <c r="EK15" s="238">
        <f t="shared" si="36"/>
      </c>
      <c r="EL15" s="10"/>
    </row>
    <row r="16" spans="1:143">
      <c r="A16" s="11" t="s">
        <v>694</v>
      </c>
      <c r="B16" s="312">
        <v>43591</v>
      </c>
      <c r="D16" s="313">
        <v>41760</v>
      </c>
      <c r="CL16" s="34">
        <v>1000</v>
      </c>
      <c r="CM16" s="15">
        <f t="shared" si="18"/>
      </c>
      <c r="CN16" s="15">
        <f t="shared" ref="CN16:CQ22" si="39">CM16</f>
      </c>
      <c r="CO16" s="174">
        <f t="shared" si="39"/>
      </c>
      <c r="CP16" s="15">
        <f t="shared" si="39"/>
      </c>
      <c r="CQ16" s="34">
        <f t="shared" si="39"/>
      </c>
      <c r="CR16" s="34">
        <v>0</v>
      </c>
      <c r="CS16" s="238">
        <f t="shared" ref="CS16:CS22" si="40">CR16</f>
      </c>
      <c r="CT16" s="381">
        <f t="shared" ref="CT16:DG16" si="41">CS16</f>
      </c>
      <c r="CU16" s="10">
        <f t="shared" si="41"/>
      </c>
      <c r="CV16" s="10">
        <f t="shared" si="41"/>
      </c>
      <c r="CW16" s="238">
        <f t="shared" si="41"/>
      </c>
      <c r="CX16" s="381">
        <f t="shared" si="41"/>
      </c>
      <c r="CY16" s="10">
        <f t="shared" si="41"/>
      </c>
      <c r="CZ16" s="10">
        <f t="shared" si="41"/>
      </c>
      <c r="DA16" s="238">
        <f t="shared" si="41"/>
      </c>
      <c r="DB16" s="381">
        <f t="shared" si="41"/>
      </c>
      <c r="DC16" s="10">
        <f t="shared" si="41"/>
      </c>
      <c r="DD16" s="10">
        <f t="shared" si="41"/>
      </c>
      <c r="DE16" s="238">
        <f t="shared" si="41"/>
      </c>
      <c r="DF16" s="381">
        <f t="shared" si="41"/>
      </c>
      <c r="DG16" s="10">
        <f t="shared" si="41"/>
      </c>
      <c r="DH16" s="10">
        <f>DG16</f>
      </c>
      <c r="DI16" s="238">
        <f t="shared" ref="DI16:DU16" si="42">DH16</f>
      </c>
      <c r="DJ16" s="381">
        <f t="shared" si="42"/>
      </c>
      <c r="DK16" s="10">
        <f t="shared" si="42"/>
      </c>
      <c r="DL16" s="10">
        <f t="shared" si="42"/>
      </c>
      <c r="DM16" s="238">
        <f t="shared" si="42"/>
      </c>
      <c r="DN16" s="381">
        <f t="shared" si="42"/>
      </c>
      <c r="DO16" s="10">
        <f t="shared" si="42"/>
      </c>
      <c r="DP16" s="10">
        <f t="shared" si="42"/>
      </c>
      <c r="DQ16" s="238">
        <f t="shared" si="42"/>
      </c>
      <c r="DR16" s="381">
        <f t="shared" si="42"/>
      </c>
      <c r="DS16" s="10">
        <f t="shared" si="42"/>
      </c>
      <c r="DT16" s="10">
        <f t="shared" si="42"/>
      </c>
      <c r="DU16" s="238">
        <f t="shared" si="42"/>
      </c>
      <c r="DV16" s="381">
        <f t="shared" si="21"/>
      </c>
      <c r="DW16" s="10">
        <f t="shared" si="22"/>
      </c>
      <c r="DX16" s="10">
        <f t="shared" si="23"/>
      </c>
      <c r="DY16" s="238">
        <f t="shared" si="24"/>
      </c>
      <c r="DZ16" s="381">
        <f t="shared" si="25"/>
      </c>
      <c r="EA16" s="10">
        <f t="shared" si="26"/>
      </c>
      <c r="EB16" s="10">
        <f t="shared" si="27"/>
      </c>
      <c r="EC16" s="238">
        <f t="shared" si="28"/>
      </c>
      <c r="ED16" s="381">
        <f t="shared" si="29"/>
      </c>
      <c r="EE16" s="10">
        <f t="shared" si="30"/>
      </c>
      <c r="EF16" s="10">
        <f t="shared" si="31"/>
      </c>
      <c r="EG16" s="238">
        <f t="shared" si="32"/>
      </c>
      <c r="EH16" s="381">
        <f t="shared" si="33"/>
      </c>
      <c r="EI16" s="10">
        <f t="shared" si="34"/>
      </c>
      <c r="EJ16" s="10">
        <f t="shared" si="35"/>
      </c>
      <c r="EK16" s="238">
        <f t="shared" si="36"/>
      </c>
      <c r="EL16" s="10"/>
    </row>
    <row r="17" spans="1:142">
      <c r="A17" s="11" t="s">
        <v>709</v>
      </c>
      <c r="B17" s="312">
        <v>43591</v>
      </c>
      <c r="D17" s="313">
        <v>41760</v>
      </c>
      <c r="CL17" s="34">
        <v>2000</v>
      </c>
      <c r="CM17" s="15">
        <f t="shared" si="18"/>
      </c>
      <c r="CN17" s="15">
        <f t="shared" si="39"/>
      </c>
      <c r="CO17" s="174">
        <f t="shared" si="39"/>
      </c>
      <c r="CP17" s="15">
        <f t="shared" si="39"/>
      </c>
      <c r="CQ17" s="34">
        <f t="shared" si="39"/>
      </c>
      <c r="CR17" s="34">
        <v>0</v>
      </c>
      <c r="CS17" s="238">
        <f t="shared" si="40"/>
      </c>
      <c r="CT17" s="381">
        <v>0</v>
      </c>
      <c r="CU17" s="10">
        <v>0</v>
      </c>
      <c r="CV17" s="10">
        <v>0</v>
      </c>
      <c r="CW17" s="238">
        <v>0</v>
      </c>
      <c r="CX17" s="381">
        <v>0</v>
      </c>
      <c r="CY17" s="10">
        <v>0</v>
      </c>
      <c r="CZ17" s="10">
        <v>0</v>
      </c>
      <c r="DA17" s="238">
        <v>0</v>
      </c>
      <c r="DB17" s="381"/>
      <c r="DC17" s="10"/>
      <c r="DD17" s="10"/>
      <c r="DE17" s="238"/>
      <c r="DF17" s="381"/>
      <c r="DG17" s="10"/>
      <c r="DH17" s="10"/>
      <c r="DI17" s="238"/>
      <c r="DJ17" s="381"/>
      <c r="DK17" s="10"/>
      <c r="DL17" s="10"/>
      <c r="DM17" s="238"/>
      <c r="DN17" s="381"/>
      <c r="DO17" s="10"/>
      <c r="DP17" s="10"/>
      <c r="DQ17" s="238"/>
      <c r="DR17" s="381"/>
      <c r="DS17" s="10"/>
      <c r="DT17" s="10"/>
      <c r="DU17" s="238"/>
      <c r="DV17" s="381"/>
      <c r="DW17" s="10"/>
      <c r="DX17" s="10"/>
      <c r="DY17" s="238"/>
      <c r="DZ17" s="381"/>
      <c r="EA17" s="10"/>
      <c r="EB17" s="10"/>
      <c r="EC17" s="238"/>
      <c r="ED17" s="381"/>
      <c r="EE17" s="10"/>
      <c r="EF17" s="10"/>
      <c r="EG17" s="238"/>
      <c r="EH17" s="381"/>
      <c r="EI17" s="10"/>
      <c r="EJ17" s="10"/>
      <c r="EK17" s="238"/>
      <c r="EL17" s="10"/>
    </row>
    <row r="18" spans="1:142">
      <c r="A18" s="11" t="s">
        <v>710</v>
      </c>
      <c r="B18" s="312">
        <v>44322</v>
      </c>
      <c r="D18" s="313">
        <v>41760</v>
      </c>
      <c r="CL18" s="34">
        <v>3000</v>
      </c>
      <c r="CM18" s="15">
        <f t="shared" si="18"/>
      </c>
      <c r="CN18" s="15">
        <f t="shared" si="39"/>
      </c>
      <c r="CO18" s="174">
        <f t="shared" si="39"/>
      </c>
      <c r="CP18" s="15">
        <f t="shared" si="39"/>
      </c>
      <c r="CQ18" s="34">
        <f t="shared" si="39"/>
      </c>
      <c r="CR18" s="10">
        <f>CQ18</f>
      </c>
      <c r="CS18" s="238">
        <f t="shared" si="40"/>
      </c>
      <c r="CT18" s="381">
        <f t="shared" ref="CT18:CY20" si="43">CS18</f>
      </c>
      <c r="CU18" s="10">
        <f t="shared" si="43"/>
      </c>
      <c r="CV18" s="10">
        <f t="shared" si="43"/>
      </c>
      <c r="CW18" s="238">
        <f t="shared" si="43"/>
      </c>
      <c r="CX18" s="381">
        <f t="shared" si="43"/>
      </c>
      <c r="CY18" s="10">
        <f t="shared" si="43"/>
      </c>
      <c r="CZ18" s="10">
        <v>0</v>
      </c>
      <c r="DA18" s="238">
        <v>0</v>
      </c>
      <c r="DB18" s="381"/>
      <c r="DC18" s="10"/>
      <c r="DD18" s="34"/>
      <c r="DE18" s="238"/>
      <c r="DF18" s="381"/>
      <c r="DG18" s="10"/>
      <c r="DH18" s="34"/>
      <c r="DI18" s="238"/>
      <c r="DJ18" s="381"/>
      <c r="DK18" s="10"/>
      <c r="DL18" s="34"/>
      <c r="DM18" s="238"/>
      <c r="DN18" s="381"/>
      <c r="DO18" s="10"/>
      <c r="DP18" s="34"/>
      <c r="DQ18" s="238"/>
      <c r="DR18" s="381"/>
      <c r="DS18" s="10"/>
      <c r="DT18" s="34"/>
      <c r="DU18" s="238"/>
      <c r="DV18" s="381"/>
      <c r="DW18" s="10"/>
      <c r="DX18" s="34"/>
      <c r="DY18" s="238"/>
      <c r="DZ18" s="381"/>
      <c r="EA18" s="10"/>
      <c r="EB18" s="34"/>
      <c r="EC18" s="238"/>
      <c r="ED18" s="381"/>
      <c r="EE18" s="10"/>
      <c r="EF18" s="34"/>
      <c r="EG18" s="238"/>
      <c r="EH18" s="381"/>
      <c r="EI18" s="10"/>
      <c r="EJ18" s="34"/>
      <c r="EK18" s="238"/>
      <c r="EL18" s="10"/>
    </row>
    <row r="19" spans="1:142">
      <c r="A19" s="11" t="s">
        <v>712</v>
      </c>
      <c r="B19" s="312">
        <v>45418</v>
      </c>
      <c r="D19" s="313">
        <v>41760</v>
      </c>
      <c r="CL19" s="34">
        <v>2500</v>
      </c>
      <c r="CM19" s="15">
        <f t="shared" si="18"/>
      </c>
      <c r="CN19" s="15">
        <f t="shared" si="39"/>
      </c>
      <c r="CO19" s="174">
        <f t="shared" si="39"/>
      </c>
      <c r="CP19" s="15">
        <f t="shared" si="39"/>
      </c>
      <c r="CQ19" s="34">
        <f t="shared" si="39"/>
      </c>
      <c r="CR19" s="10">
        <f>CQ19</f>
      </c>
      <c r="CS19" s="238">
        <f t="shared" si="40"/>
      </c>
      <c r="CT19" s="381">
        <f t="shared" si="43"/>
      </c>
      <c r="CU19" s="10">
        <f t="shared" si="43"/>
      </c>
      <c r="CV19" s="10">
        <f t="shared" si="43"/>
      </c>
      <c r="CW19" s="238">
        <f t="shared" si="43"/>
      </c>
      <c r="CX19" s="381">
        <f t="shared" si="43"/>
      </c>
      <c r="CY19" s="10">
        <f t="shared" si="43"/>
      </c>
      <c r="CZ19" s="10">
        <f t="shared" ref="CZ19:DU19" si="44">CY19</f>
      </c>
      <c r="DA19" s="238">
        <f t="shared" si="44"/>
      </c>
      <c r="DB19" s="381">
        <f t="shared" si="44"/>
      </c>
      <c r="DC19" s="10">
        <f t="shared" si="44"/>
      </c>
      <c r="DD19" s="10">
        <f t="shared" si="44"/>
      </c>
      <c r="DE19" s="238">
        <f t="shared" si="44"/>
      </c>
      <c r="DF19" s="381">
        <f t="shared" si="44"/>
      </c>
      <c r="DG19" s="10">
        <f t="shared" si="44"/>
      </c>
      <c r="DH19" s="10">
        <f t="shared" si="44"/>
      </c>
      <c r="DI19" s="238">
        <f t="shared" si="44"/>
      </c>
      <c r="DJ19" s="381">
        <f t="shared" si="44"/>
      </c>
      <c r="DK19" s="10">
        <f t="shared" si="44"/>
      </c>
      <c r="DL19" s="10">
        <f t="shared" si="44"/>
      </c>
      <c r="DM19" s="238">
        <f t="shared" si="44"/>
      </c>
      <c r="DN19" s="381">
        <f t="shared" si="44"/>
      </c>
      <c r="DO19" s="10">
        <f t="shared" si="44"/>
      </c>
      <c r="DP19" s="10">
        <f t="shared" si="44"/>
      </c>
      <c r="DQ19" s="238">
        <f t="shared" si="44"/>
      </c>
      <c r="DR19" s="381">
        <f t="shared" si="44"/>
      </c>
      <c r="DS19" s="10">
        <f t="shared" si="44"/>
      </c>
      <c r="DT19" s="10">
        <f t="shared" si="44"/>
      </c>
      <c r="DU19" s="238">
        <f t="shared" si="44"/>
      </c>
      <c r="DV19" s="381">
        <f t="shared" ref="DV19:DV24" si="45">DU19</f>
      </c>
      <c r="DW19" s="10">
        <f t="shared" ref="DW19:DW24" si="46">DV19</f>
      </c>
      <c r="DX19" s="10">
        <f t="shared" ref="DX19:DX24" si="47">DW19</f>
      </c>
      <c r="DY19" s="238">
        <f t="shared" ref="DY19:DY24" si="48">DX19</f>
      </c>
      <c r="DZ19" s="381">
        <f t="shared" ref="DZ19:DZ24" si="49">DY19</f>
      </c>
      <c r="EA19" s="10">
        <f t="shared" ref="EA19:EA24" si="50">DZ19</f>
      </c>
      <c r="EB19" s="10">
        <f t="shared" ref="EB19:EB24" si="51">EA19</f>
      </c>
      <c r="EC19" s="238">
        <f t="shared" ref="EC19:EC24" si="52">EB19</f>
      </c>
      <c r="ED19" s="381">
        <f t="shared" ref="ED19:ED24" si="53">EC19</f>
      </c>
      <c r="EE19" s="10">
        <f t="shared" ref="EE19:EE24" si="54">ED19</f>
      </c>
      <c r="EF19" s="10">
        <f t="shared" ref="EF19:EF24" si="55">EE19</f>
      </c>
      <c r="EG19" s="238">
        <f t="shared" ref="EG19:EG24" si="56">EF19</f>
      </c>
      <c r="EH19" s="381">
        <f t="shared" ref="EH19:EH24" si="57">EG19</f>
      </c>
      <c r="EI19" s="10">
        <f t="shared" ref="EI19:EI24" si="58">EH19</f>
      </c>
      <c r="EJ19" s="10">
        <f t="shared" ref="EJ19:EJ24" si="59">EI19</f>
      </c>
      <c r="EK19" s="238">
        <f t="shared" ref="EK19:EK24" si="60">EJ19</f>
      </c>
      <c r="EL19" s="10"/>
    </row>
    <row r="20" spans="1:142">
      <c r="A20" s="11" t="s">
        <v>714</v>
      </c>
      <c r="B20" s="312">
        <v>52723</v>
      </c>
      <c r="D20" s="313">
        <v>41760</v>
      </c>
      <c r="CL20" s="34">
        <v>1000</v>
      </c>
      <c r="CM20" s="15">
        <f t="shared" si="18"/>
      </c>
      <c r="CN20" s="15">
        <f t="shared" si="39"/>
      </c>
      <c r="CO20" s="174">
        <f t="shared" si="39"/>
      </c>
      <c r="CP20" s="15">
        <f t="shared" si="39"/>
      </c>
      <c r="CQ20" s="34">
        <f t="shared" si="39"/>
      </c>
      <c r="CR20" s="10">
        <f>CQ20</f>
      </c>
      <c r="CS20" s="238">
        <f t="shared" si="40"/>
      </c>
      <c r="CT20" s="381">
        <f t="shared" si="43"/>
      </c>
      <c r="CU20" s="10">
        <f t="shared" si="43"/>
      </c>
      <c r="CV20" s="10">
        <f t="shared" si="43"/>
      </c>
      <c r="CW20" s="238">
        <f t="shared" si="43"/>
      </c>
      <c r="CX20" s="381">
        <f t="shared" si="43"/>
      </c>
      <c r="CY20" s="10">
        <f t="shared" si="43"/>
      </c>
      <c r="CZ20" s="10">
        <f t="shared" ref="CZ20:DU20" si="61">CY20</f>
      </c>
      <c r="DA20" s="238">
        <f t="shared" si="61"/>
      </c>
      <c r="DB20" s="381">
        <f t="shared" si="61"/>
      </c>
      <c r="DC20" s="10">
        <f t="shared" si="61"/>
      </c>
      <c r="DD20" s="10">
        <f t="shared" si="61"/>
      </c>
      <c r="DE20" s="238">
        <f t="shared" si="61"/>
      </c>
      <c r="DF20" s="381">
        <f t="shared" si="61"/>
      </c>
      <c r="DG20" s="10">
        <f t="shared" si="61"/>
      </c>
      <c r="DH20" s="10">
        <f t="shared" si="61"/>
      </c>
      <c r="DI20" s="238">
        <f t="shared" si="61"/>
      </c>
      <c r="DJ20" s="381">
        <f t="shared" si="61"/>
      </c>
      <c r="DK20" s="10">
        <f t="shared" si="61"/>
      </c>
      <c r="DL20" s="10">
        <f t="shared" si="61"/>
      </c>
      <c r="DM20" s="238">
        <f t="shared" si="61"/>
      </c>
      <c r="DN20" s="381">
        <f t="shared" si="61"/>
      </c>
      <c r="DO20" s="10">
        <f t="shared" si="61"/>
      </c>
      <c r="DP20" s="10">
        <f t="shared" si="61"/>
      </c>
      <c r="DQ20" s="238">
        <f t="shared" si="61"/>
      </c>
      <c r="DR20" s="381">
        <f t="shared" si="61"/>
      </c>
      <c r="DS20" s="10">
        <f t="shared" si="61"/>
      </c>
      <c r="DT20" s="10">
        <f t="shared" si="61"/>
      </c>
      <c r="DU20" s="238">
        <f t="shared" si="61"/>
      </c>
      <c r="DV20" s="381">
        <f t="shared" si="45"/>
      </c>
      <c r="DW20" s="10">
        <f t="shared" si="46"/>
      </c>
      <c r="DX20" s="10">
        <f t="shared" si="47"/>
      </c>
      <c r="DY20" s="238">
        <f t="shared" si="48"/>
      </c>
      <c r="DZ20" s="381">
        <f t="shared" si="49"/>
      </c>
      <c r="EA20" s="10">
        <f t="shared" si="50"/>
      </c>
      <c r="EB20" s="10">
        <f t="shared" si="51"/>
      </c>
      <c r="EC20" s="238">
        <f t="shared" si="52"/>
      </c>
      <c r="ED20" s="381">
        <f t="shared" si="53"/>
      </c>
      <c r="EE20" s="10">
        <f t="shared" si="54"/>
      </c>
      <c r="EF20" s="10">
        <f t="shared" si="55"/>
      </c>
      <c r="EG20" s="238">
        <f t="shared" si="56"/>
      </c>
      <c r="EH20" s="381">
        <f t="shared" si="57"/>
      </c>
      <c r="EI20" s="10">
        <f t="shared" si="58"/>
      </c>
      <c r="EJ20" s="10">
        <f t="shared" si="59"/>
      </c>
      <c r="EK20" s="238">
        <f t="shared" si="60"/>
      </c>
      <c r="EL20" s="10"/>
    </row>
    <row r="21" spans="1:142">
      <c r="A21" s="310" t="s">
        <v>1058</v>
      </c>
      <c r="B21" s="312">
        <v>43868</v>
      </c>
      <c r="D21" s="313">
        <v>42037</v>
      </c>
      <c r="CL21" s="34">
        <v>500</v>
      </c>
      <c r="CM21" s="15">
        <f t="shared" si="18"/>
      </c>
      <c r="CN21" s="15">
        <f t="shared" si="39"/>
      </c>
      <c r="CO21" s="174">
        <f t="shared" si="39"/>
      </c>
      <c r="CP21" s="15">
        <f t="shared" si="39"/>
      </c>
      <c r="CQ21" s="10">
        <f t="shared" si="39"/>
      </c>
      <c r="CR21" s="10">
        <f>CQ21</f>
      </c>
      <c r="CS21" s="238">
        <f t="shared" si="40"/>
      </c>
      <c r="CT21" s="381">
        <f>CS21</f>
      </c>
      <c r="CU21" s="34">
        <v>0</v>
      </c>
      <c r="CV21" s="10">
        <f>CU21</f>
      </c>
      <c r="CW21" s="238">
        <f>CV21</f>
      </c>
      <c r="CX21" s="381">
        <f>CW21</f>
      </c>
      <c r="CY21" s="10">
        <f>CX21</f>
      </c>
      <c r="CZ21" s="10">
        <f t="shared" ref="CZ21:DU21" si="62">CY21</f>
      </c>
      <c r="DA21" s="238">
        <f t="shared" si="62"/>
      </c>
      <c r="DB21" s="381">
        <f t="shared" si="62"/>
      </c>
      <c r="DC21" s="10">
        <f t="shared" si="62"/>
      </c>
      <c r="DD21" s="10">
        <f t="shared" si="62"/>
      </c>
      <c r="DE21" s="238">
        <f t="shared" si="62"/>
      </c>
      <c r="DF21" s="381">
        <f t="shared" si="62"/>
      </c>
      <c r="DG21" s="10">
        <f t="shared" si="62"/>
      </c>
      <c r="DH21" s="10">
        <f t="shared" si="62"/>
      </c>
      <c r="DI21" s="238">
        <f t="shared" si="62"/>
      </c>
      <c r="DJ21" s="381">
        <f t="shared" si="62"/>
      </c>
      <c r="DK21" s="10">
        <f t="shared" si="62"/>
      </c>
      <c r="DL21" s="10">
        <f t="shared" si="62"/>
      </c>
      <c r="DM21" s="238">
        <f t="shared" si="62"/>
      </c>
      <c r="DN21" s="381">
        <f t="shared" si="62"/>
      </c>
      <c r="DO21" s="10">
        <f t="shared" si="62"/>
      </c>
      <c r="DP21" s="10">
        <f t="shared" si="62"/>
      </c>
      <c r="DQ21" s="238">
        <f t="shared" si="62"/>
      </c>
      <c r="DR21" s="381">
        <f t="shared" si="62"/>
      </c>
      <c r="DS21" s="10">
        <f t="shared" si="62"/>
      </c>
      <c r="DT21" s="10">
        <f t="shared" si="62"/>
      </c>
      <c r="DU21" s="238">
        <f t="shared" si="62"/>
      </c>
      <c r="DV21" s="381">
        <f t="shared" si="45"/>
      </c>
      <c r="DW21" s="10">
        <f t="shared" si="46"/>
      </c>
      <c r="DX21" s="10">
        <f t="shared" si="47"/>
      </c>
      <c r="DY21" s="238">
        <f t="shared" si="48"/>
      </c>
      <c r="DZ21" s="381">
        <f t="shared" si="49"/>
      </c>
      <c r="EA21" s="10">
        <f t="shared" si="50"/>
      </c>
      <c r="EB21" s="10">
        <f t="shared" si="51"/>
      </c>
      <c r="EC21" s="238">
        <f t="shared" si="52"/>
      </c>
      <c r="ED21" s="381">
        <f t="shared" si="53"/>
      </c>
      <c r="EE21" s="10">
        <f t="shared" si="54"/>
      </c>
      <c r="EF21" s="10">
        <f t="shared" si="55"/>
      </c>
      <c r="EG21" s="238">
        <f t="shared" si="56"/>
      </c>
      <c r="EH21" s="381">
        <f t="shared" si="57"/>
      </c>
      <c r="EI21" s="10">
        <f t="shared" si="58"/>
      </c>
      <c r="EJ21" s="10">
        <f t="shared" si="59"/>
      </c>
      <c r="EK21" s="238">
        <f t="shared" si="60"/>
      </c>
      <c r="EL21" s="10"/>
    </row>
    <row r="22" spans="1:142">
      <c r="A22" s="310" t="s">
        <v>1059</v>
      </c>
      <c r="B22" s="312">
        <v>43957</v>
      </c>
      <c r="D22" s="313">
        <v>42125</v>
      </c>
      <c r="CL22" s="34">
        <v>500</v>
      </c>
      <c r="CM22" s="15">
        <f t="shared" si="18"/>
      </c>
      <c r="CN22" s="15">
        <f t="shared" si="39"/>
      </c>
      <c r="CO22" s="174">
        <f t="shared" si="39"/>
      </c>
      <c r="CP22" s="15">
        <f t="shared" si="39"/>
      </c>
      <c r="CQ22" s="10">
        <f t="shared" si="39"/>
      </c>
      <c r="CR22" s="10">
        <f>CQ22</f>
      </c>
      <c r="CS22" s="238">
        <f t="shared" si="40"/>
      </c>
      <c r="CT22" s="381">
        <f>CS22</f>
      </c>
      <c r="CU22" s="10">
        <f>CT22</f>
      </c>
      <c r="CV22" s="34">
        <v>0</v>
      </c>
      <c r="CW22" s="238">
        <f t="shared" ref="CW22:CY23" si="63">CV22</f>
      </c>
      <c r="CX22" s="381">
        <f t="shared" si="63"/>
      </c>
      <c r="CY22" s="10">
        <f t="shared" si="63"/>
      </c>
      <c r="CZ22" s="10">
        <f t="shared" ref="CZ22:DU22" si="64">CY22</f>
      </c>
      <c r="DA22" s="238">
        <f t="shared" si="64"/>
      </c>
      <c r="DB22" s="381">
        <f t="shared" si="64"/>
      </c>
      <c r="DC22" s="10">
        <f t="shared" si="64"/>
      </c>
      <c r="DD22" s="10">
        <f t="shared" si="64"/>
      </c>
      <c r="DE22" s="238">
        <f t="shared" si="64"/>
      </c>
      <c r="DF22" s="381">
        <f t="shared" si="64"/>
      </c>
      <c r="DG22" s="10">
        <f t="shared" si="64"/>
      </c>
      <c r="DH22" s="10">
        <f t="shared" si="64"/>
      </c>
      <c r="DI22" s="238">
        <f t="shared" si="64"/>
      </c>
      <c r="DJ22" s="381">
        <f t="shared" si="64"/>
      </c>
      <c r="DK22" s="10">
        <f t="shared" si="64"/>
      </c>
      <c r="DL22" s="10">
        <f t="shared" si="64"/>
      </c>
      <c r="DM22" s="238">
        <f t="shared" si="64"/>
      </c>
      <c r="DN22" s="381">
        <f t="shared" si="64"/>
      </c>
      <c r="DO22" s="10">
        <f t="shared" si="64"/>
      </c>
      <c r="DP22" s="10">
        <f t="shared" si="64"/>
      </c>
      <c r="DQ22" s="238">
        <f t="shared" si="64"/>
      </c>
      <c r="DR22" s="381">
        <f t="shared" si="64"/>
      </c>
      <c r="DS22" s="10">
        <f t="shared" si="64"/>
      </c>
      <c r="DT22" s="10">
        <f t="shared" si="64"/>
      </c>
      <c r="DU22" s="238">
        <f t="shared" si="64"/>
      </c>
      <c r="DV22" s="381">
        <f t="shared" si="45"/>
      </c>
      <c r="DW22" s="10">
        <f t="shared" si="46"/>
      </c>
      <c r="DX22" s="10">
        <f t="shared" si="47"/>
      </c>
      <c r="DY22" s="238">
        <f t="shared" si="48"/>
      </c>
      <c r="DZ22" s="381">
        <f t="shared" si="49"/>
      </c>
      <c r="EA22" s="10">
        <f t="shared" si="50"/>
      </c>
      <c r="EB22" s="10">
        <f t="shared" si="51"/>
      </c>
      <c r="EC22" s="238">
        <f t="shared" si="52"/>
      </c>
      <c r="ED22" s="381">
        <f t="shared" si="53"/>
      </c>
      <c r="EE22" s="10">
        <f t="shared" si="54"/>
      </c>
      <c r="EF22" s="10">
        <f t="shared" si="55"/>
      </c>
      <c r="EG22" s="238">
        <f t="shared" si="56"/>
      </c>
      <c r="EH22" s="381">
        <f t="shared" si="57"/>
      </c>
      <c r="EI22" s="10">
        <f t="shared" si="58"/>
      </c>
      <c r="EJ22" s="10">
        <f t="shared" si="59"/>
      </c>
      <c r="EK22" s="238">
        <f t="shared" si="60"/>
      </c>
      <c r="EL22" s="10"/>
    </row>
    <row r="23" spans="1:142">
      <c r="A23" s="11" t="s">
        <v>1057</v>
      </c>
      <c r="B23" s="312">
        <v>43679</v>
      </c>
      <c r="C23" s="11" t="s">
        <v>1047</v>
      </c>
      <c r="D23" s="314">
        <v>42220</v>
      </c>
      <c r="CL23" s="34">
        <v>531</v>
      </c>
      <c r="CM23" s="34">
        <v>536.9</v>
      </c>
      <c r="CN23" s="34">
        <v>517</v>
      </c>
      <c r="CO23" s="173">
        <v>506.5</v>
      </c>
      <c r="CP23" s="34">
        <v>492.6</v>
      </c>
      <c r="CQ23" s="124">
        <f>CQ108-CQ22-CQ21</f>
      </c>
      <c r="CR23" s="124">
        <f>CR108-CR22-CR21</f>
      </c>
      <c r="CS23" s="173">
        <v>0</v>
      </c>
      <c r="CT23" s="381">
        <f>CS23</f>
      </c>
      <c r="CU23" s="10">
        <f>CT23</f>
      </c>
      <c r="CV23" s="10">
        <f>CU23</f>
      </c>
      <c r="CW23" s="238">
        <f t="shared" si="63"/>
      </c>
      <c r="CX23" s="381">
        <f t="shared" si="63"/>
      </c>
      <c r="CY23" s="10">
        <f t="shared" si="63"/>
      </c>
      <c r="CZ23" s="10">
        <f t="shared" ref="CZ23:DU23" si="65">CY23</f>
      </c>
      <c r="DA23" s="238">
        <f t="shared" si="65"/>
      </c>
      <c r="DB23" s="381">
        <f t="shared" si="65"/>
      </c>
      <c r="DC23" s="10">
        <f t="shared" si="65"/>
      </c>
      <c r="DD23" s="10">
        <f t="shared" si="65"/>
      </c>
      <c r="DE23" s="238">
        <f t="shared" si="65"/>
      </c>
      <c r="DF23" s="381">
        <f t="shared" si="65"/>
      </c>
      <c r="DG23" s="10">
        <f t="shared" si="65"/>
      </c>
      <c r="DH23" s="10">
        <f t="shared" si="65"/>
      </c>
      <c r="DI23" s="238">
        <f t="shared" si="65"/>
      </c>
      <c r="DJ23" s="381">
        <f t="shared" si="65"/>
      </c>
      <c r="DK23" s="10">
        <f t="shared" si="65"/>
      </c>
      <c r="DL23" s="10">
        <f t="shared" si="65"/>
      </c>
      <c r="DM23" s="238">
        <f t="shared" si="65"/>
      </c>
      <c r="DN23" s="381">
        <f t="shared" si="65"/>
      </c>
      <c r="DO23" s="10">
        <f t="shared" si="65"/>
      </c>
      <c r="DP23" s="10">
        <f t="shared" si="65"/>
      </c>
      <c r="DQ23" s="238">
        <f t="shared" si="65"/>
      </c>
      <c r="DR23" s="381">
        <f t="shared" si="65"/>
      </c>
      <c r="DS23" s="10">
        <f t="shared" si="65"/>
      </c>
      <c r="DT23" s="10">
        <f t="shared" si="65"/>
      </c>
      <c r="DU23" s="238">
        <f t="shared" si="65"/>
      </c>
      <c r="DV23" s="381">
        <f t="shared" si="45"/>
      </c>
      <c r="DW23" s="10">
        <f t="shared" si="46"/>
      </c>
      <c r="DX23" s="10">
        <f t="shared" si="47"/>
      </c>
      <c r="DY23" s="238">
        <f t="shared" si="48"/>
      </c>
      <c r="DZ23" s="381">
        <f t="shared" si="49"/>
      </c>
      <c r="EA23" s="10">
        <f t="shared" si="50"/>
      </c>
      <c r="EB23" s="10">
        <f t="shared" si="51"/>
      </c>
      <c r="EC23" s="238">
        <f t="shared" si="52"/>
      </c>
      <c r="ED23" s="381">
        <f t="shared" si="53"/>
      </c>
      <c r="EE23" s="10">
        <f t="shared" si="54"/>
      </c>
      <c r="EF23" s="10">
        <f t="shared" si="55"/>
      </c>
      <c r="EG23" s="238">
        <f t="shared" si="56"/>
      </c>
      <c r="EH23" s="381">
        <f t="shared" si="57"/>
      </c>
      <c r="EI23" s="10">
        <f t="shared" si="58"/>
      </c>
      <c r="EJ23" s="10">
        <f t="shared" si="59"/>
      </c>
      <c r="EK23" s="238">
        <f t="shared" si="60"/>
      </c>
      <c r="EL23" s="10"/>
    </row>
    <row r="24" spans="1:142" s="89" customFormat="1">
      <c r="A24" s="2914" t="s">
        <v>699</v>
      </c>
      <c r="B24" s="1246">
        <v>44875</v>
      </c>
      <c r="C24" s="89" t="s">
        <v>937</v>
      </c>
      <c r="D24" s="2915" t="s">
        <v>1266</v>
      </c>
      <c r="H24" s="260"/>
      <c r="L24" s="260"/>
      <c r="P24" s="260"/>
      <c r="T24" s="260"/>
      <c r="X24" s="260"/>
      <c r="AB24" s="260"/>
      <c r="AF24" s="260"/>
      <c r="AJ24" s="260"/>
      <c r="AN24" s="260"/>
      <c r="AR24" s="260"/>
      <c r="AV24" s="260"/>
      <c r="AZ24" s="260"/>
      <c r="BD24" s="260"/>
      <c r="BH24" s="260"/>
      <c r="BL24" s="260"/>
      <c r="BP24" s="260"/>
      <c r="BT24" s="260"/>
      <c r="BX24" s="260"/>
      <c r="CB24" s="260"/>
      <c r="CF24" s="260"/>
      <c r="CJ24" s="260"/>
      <c r="CK24" s="260"/>
      <c r="CL24" s="77">
        <v>1562</v>
      </c>
      <c r="CM24" s="77">
        <v>1721.8</v>
      </c>
      <c r="CN24" s="77">
        <v>1634.6</v>
      </c>
      <c r="CO24" s="317">
        <f>24410-SUM(CO25:CO42)</f>
      </c>
      <c r="CP24" s="77">
        <v>1600.8</v>
      </c>
      <c r="CQ24" s="316">
        <f>CQ109-SUM(CQ25:CQ42)</f>
      </c>
      <c r="CR24" s="316">
        <f>CR109-SUM(CR25:CR42)</f>
      </c>
      <c r="CS24" s="316">
        <f>CS109-SUM(CS25:CS42)</f>
      </c>
      <c r="CT24" s="2707">
        <f>CT109-SUM(CT25:CT42)</f>
      </c>
      <c r="CU24" s="316">
        <f>CU109-SUM(CU25:CU42)</f>
      </c>
      <c r="CV24" s="85">
        <f>CU24</f>
      </c>
      <c r="CW24" s="176">
        <f t="shared" ref="CW24:DU24" si="66">CV24</f>
      </c>
      <c r="CX24" s="475">
        <f t="shared" si="66"/>
      </c>
      <c r="CY24" s="85">
        <f t="shared" si="66"/>
      </c>
      <c r="CZ24" s="85">
        <f t="shared" si="66"/>
      </c>
      <c r="DA24" s="176">
        <f t="shared" si="66"/>
      </c>
      <c r="DB24" s="475">
        <f t="shared" si="66"/>
      </c>
      <c r="DC24" s="85">
        <f t="shared" si="66"/>
      </c>
      <c r="DD24" s="85">
        <f t="shared" si="66"/>
      </c>
      <c r="DE24" s="176">
        <f t="shared" si="66"/>
      </c>
      <c r="DF24" s="475">
        <f t="shared" si="66"/>
      </c>
      <c r="DG24" s="85">
        <f t="shared" si="66"/>
      </c>
      <c r="DH24" s="85">
        <f t="shared" si="66"/>
      </c>
      <c r="DI24" s="176">
        <f t="shared" si="66"/>
      </c>
      <c r="DJ24" s="475">
        <f t="shared" si="66"/>
      </c>
      <c r="DK24" s="85">
        <f t="shared" si="66"/>
      </c>
      <c r="DL24" s="85">
        <f t="shared" si="66"/>
      </c>
      <c r="DM24" s="176">
        <f t="shared" si="66"/>
      </c>
      <c r="DN24" s="475">
        <f t="shared" si="66"/>
      </c>
      <c r="DO24" s="85">
        <f t="shared" si="66"/>
      </c>
      <c r="DP24" s="85">
        <f t="shared" si="66"/>
      </c>
      <c r="DQ24" s="176">
        <f t="shared" si="66"/>
      </c>
      <c r="DR24" s="475">
        <f t="shared" si="66"/>
      </c>
      <c r="DS24" s="85">
        <f t="shared" si="66"/>
      </c>
      <c r="DT24" s="85">
        <f t="shared" si="66"/>
      </c>
      <c r="DU24" s="176">
        <f t="shared" si="66"/>
      </c>
      <c r="DV24" s="475">
        <f t="shared" si="45"/>
      </c>
      <c r="DW24" s="85">
        <f t="shared" si="46"/>
      </c>
      <c r="DX24" s="85">
        <f t="shared" si="47"/>
      </c>
      <c r="DY24" s="176">
        <f t="shared" si="48"/>
      </c>
      <c r="DZ24" s="475">
        <f t="shared" si="49"/>
      </c>
      <c r="EA24" s="85">
        <f t="shared" si="50"/>
      </c>
      <c r="EB24" s="85">
        <f t="shared" si="51"/>
      </c>
      <c r="EC24" s="176">
        <f t="shared" si="52"/>
      </c>
      <c r="ED24" s="475">
        <f t="shared" si="53"/>
      </c>
      <c r="EE24" s="85">
        <f t="shared" si="54"/>
      </c>
      <c r="EF24" s="85">
        <f t="shared" si="55"/>
      </c>
      <c r="EG24" s="176">
        <f t="shared" si="56"/>
      </c>
      <c r="EH24" s="475">
        <f t="shared" si="57"/>
      </c>
      <c r="EI24" s="85">
        <f t="shared" si="58"/>
      </c>
      <c r="EJ24" s="85">
        <f t="shared" si="59"/>
      </c>
      <c r="EK24" s="176">
        <f t="shared" si="60"/>
      </c>
      <c r="EL24" s="152"/>
    </row>
    <row r="25" spans="1:142" s="89" customFormat="1">
      <c r="A25" s="2914" t="s">
        <v>938</v>
      </c>
      <c r="B25" s="1246">
        <v>46336</v>
      </c>
      <c r="C25" s="89" t="s">
        <v>939</v>
      </c>
      <c r="D25" s="2915" t="s">
        <v>1266</v>
      </c>
      <c r="H25" s="260"/>
      <c r="L25" s="260"/>
      <c r="P25" s="260"/>
      <c r="T25" s="260"/>
      <c r="X25" s="260"/>
      <c r="AB25" s="260"/>
      <c r="AF25" s="260"/>
      <c r="AJ25" s="260"/>
      <c r="AN25" s="260"/>
      <c r="AR25" s="260"/>
      <c r="AV25" s="260"/>
      <c r="AZ25" s="260"/>
      <c r="BD25" s="260"/>
      <c r="BH25" s="260"/>
      <c r="BL25" s="260"/>
      <c r="BP25" s="260"/>
      <c r="BT25" s="260"/>
      <c r="BX25" s="260"/>
      <c r="CB25" s="260"/>
      <c r="CF25" s="260"/>
      <c r="CJ25" s="260"/>
      <c r="CK25" s="260"/>
      <c r="CL25" s="77">
        <v>1562</v>
      </c>
      <c r="CM25" s="77">
        <v>1721.8</v>
      </c>
      <c r="CN25" s="77">
        <v>1634.6</v>
      </c>
      <c r="CO25" s="192">
        <v>1626.1</v>
      </c>
      <c r="CP25" s="77">
        <v>1600.8</v>
      </c>
      <c r="CQ25" s="85">
        <v>1600.8</v>
      </c>
      <c r="CR25" s="85">
        <v>1600.8</v>
      </c>
      <c r="CS25" s="176">
        <v>1600.8</v>
      </c>
      <c r="CT25" s="475">
        <v>1600.8</v>
      </c>
      <c r="CU25" s="85">
        <v>1600.8</v>
      </c>
      <c r="CV25" s="85">
        <v>1600.8</v>
      </c>
      <c r="CW25" s="176">
        <v>1600.8</v>
      </c>
      <c r="CX25" s="475">
        <v>1600.8</v>
      </c>
      <c r="CY25" s="85">
        <v>1600.8</v>
      </c>
      <c r="CZ25" s="85">
        <v>1600.8</v>
      </c>
      <c r="DA25" s="176">
        <v>1600.8</v>
      </c>
      <c r="DB25" s="475">
        <v>1600.8</v>
      </c>
      <c r="DC25" s="85">
        <v>1600.8</v>
      </c>
      <c r="DD25" s="85">
        <v>1600.8</v>
      </c>
      <c r="DE25" s="176">
        <v>1600.8</v>
      </c>
      <c r="DF25" s="475">
        <v>1600.8</v>
      </c>
      <c r="DG25" s="85">
        <v>1600.8</v>
      </c>
      <c r="DH25" s="85">
        <v>1600.8</v>
      </c>
      <c r="DI25" s="176">
        <v>1600.8</v>
      </c>
      <c r="DJ25" s="475">
        <v>1600.8</v>
      </c>
      <c r="DK25" s="85">
        <v>1600.8</v>
      </c>
      <c r="DL25" s="85">
        <v>1600.8</v>
      </c>
      <c r="DM25" s="176">
        <v>1600.8</v>
      </c>
      <c r="DN25" s="475">
        <v>1600.8</v>
      </c>
      <c r="DO25" s="85">
        <v>1600.8</v>
      </c>
      <c r="DP25" s="85">
        <v>1600.8</v>
      </c>
      <c r="DQ25" s="176">
        <v>1600.8</v>
      </c>
      <c r="DR25" s="475">
        <v>1600.8</v>
      </c>
      <c r="DS25" s="85">
        <v>1600.8</v>
      </c>
      <c r="DT25" s="85">
        <v>1600.8</v>
      </c>
      <c r="DU25" s="176">
        <v>1600.8</v>
      </c>
      <c r="DV25" s="475">
        <v>1600.8</v>
      </c>
      <c r="DW25" s="85">
        <v>1600.8</v>
      </c>
      <c r="DX25" s="85">
        <v>1600.8</v>
      </c>
      <c r="DY25" s="176">
        <v>1600.8</v>
      </c>
      <c r="DZ25" s="475">
        <v>1600.8</v>
      </c>
      <c r="EA25" s="85">
        <v>1600.8</v>
      </c>
      <c r="EB25" s="85">
        <v>1600.8</v>
      </c>
      <c r="EC25" s="176">
        <v>1600.8</v>
      </c>
      <c r="ED25" s="475">
        <v>1600.8</v>
      </c>
      <c r="EE25" s="85">
        <v>1600.8</v>
      </c>
      <c r="EF25" s="85">
        <v>1600.8</v>
      </c>
      <c r="EG25" s="176">
        <v>1600.8</v>
      </c>
      <c r="EH25" s="475">
        <v>1600.8</v>
      </c>
      <c r="EI25" s="85">
        <v>1600.8</v>
      </c>
      <c r="EJ25" s="85">
        <v>1600.8</v>
      </c>
      <c r="EK25" s="176">
        <v>1600.8</v>
      </c>
      <c r="EL25" s="85"/>
    </row>
    <row r="26" spans="1:142" s="89" customFormat="1">
      <c r="A26" s="2914" t="s">
        <v>702</v>
      </c>
      <c r="B26" s="1246">
        <v>45597</v>
      </c>
      <c r="C26" s="89" t="s">
        <v>1049</v>
      </c>
      <c r="D26" s="2916">
        <v>42036</v>
      </c>
      <c r="H26" s="260"/>
      <c r="L26" s="260"/>
      <c r="P26" s="260"/>
      <c r="T26" s="260"/>
      <c r="X26" s="260"/>
      <c r="AB26" s="260"/>
      <c r="AF26" s="260"/>
      <c r="AJ26" s="260"/>
      <c r="AN26" s="260"/>
      <c r="AR26" s="260"/>
      <c r="AV26" s="260"/>
      <c r="AZ26" s="260"/>
      <c r="BD26" s="260"/>
      <c r="BH26" s="260"/>
      <c r="BL26" s="260"/>
      <c r="BP26" s="260"/>
      <c r="BT26" s="260"/>
      <c r="BX26" s="260"/>
      <c r="CB26" s="260"/>
      <c r="CF26" s="260"/>
      <c r="CJ26" s="260"/>
      <c r="CK26" s="260"/>
      <c r="CL26" s="77">
        <v>896</v>
      </c>
      <c r="CM26" s="77">
        <v>913.7</v>
      </c>
      <c r="CN26" s="77">
        <v>881.2</v>
      </c>
      <c r="CO26" s="192">
        <v>895.8</v>
      </c>
      <c r="CP26" s="77">
        <v>888.9</v>
      </c>
      <c r="CQ26" s="85">
        <v>888.9</v>
      </c>
      <c r="CR26" s="85">
        <f t="shared" ref="CR26:CT35" si="67">CQ26</f>
      </c>
      <c r="CS26" s="176">
        <f t="shared" si="67"/>
      </c>
      <c r="CT26" s="475">
        <f t="shared" si="67"/>
      </c>
      <c r="CU26" s="85">
        <f>CT26-171</f>
      </c>
      <c r="CV26" s="316">
        <f>CV109-SUM(CV24:CV25,CV27:CV42)</f>
      </c>
      <c r="CW26" s="317">
        <f>CW109-SUM(CW24:CW25,CW27:CW42)</f>
      </c>
      <c r="CX26" s="2707">
        <f>CX109-SUM(CX24:CX25,CX27:CX42)</f>
      </c>
      <c r="CY26" s="316">
        <f>CY109-SUM(CY24:CY25,CY27:CY42)</f>
      </c>
      <c r="CZ26" s="85">
        <f t="shared" ref="CZ26:DU26" si="68">CY26</f>
      </c>
      <c r="DA26" s="176">
        <f t="shared" si="68"/>
      </c>
      <c r="DB26" s="475">
        <f t="shared" si="68"/>
      </c>
      <c r="DC26" s="85">
        <f t="shared" si="68"/>
      </c>
      <c r="DD26" s="85">
        <f t="shared" si="68"/>
      </c>
      <c r="DE26" s="176">
        <f t="shared" si="68"/>
      </c>
      <c r="DF26" s="475">
        <f t="shared" si="68"/>
      </c>
      <c r="DG26" s="85">
        <f t="shared" si="68"/>
      </c>
      <c r="DH26" s="85">
        <f t="shared" si="68"/>
      </c>
      <c r="DI26" s="176">
        <f t="shared" si="68"/>
      </c>
      <c r="DJ26" s="475">
        <f t="shared" si="68"/>
      </c>
      <c r="DK26" s="85">
        <f t="shared" si="68"/>
      </c>
      <c r="DL26" s="85">
        <f t="shared" si="68"/>
      </c>
      <c r="DM26" s="176">
        <f t="shared" si="68"/>
      </c>
      <c r="DN26" s="475">
        <f t="shared" si="68"/>
      </c>
      <c r="DO26" s="85">
        <f t="shared" si="68"/>
      </c>
      <c r="DP26" s="85">
        <f t="shared" si="68"/>
      </c>
      <c r="DQ26" s="176">
        <f t="shared" si="68"/>
      </c>
      <c r="DR26" s="475">
        <f t="shared" si="68"/>
      </c>
      <c r="DS26" s="85">
        <f t="shared" si="68"/>
      </c>
      <c r="DT26" s="85">
        <f t="shared" si="68"/>
      </c>
      <c r="DU26" s="176">
        <f t="shared" si="68"/>
      </c>
      <c r="DV26" s="475">
        <f t="shared" ref="DV26:DV27" si="69">DU26</f>
      </c>
      <c r="DW26" s="85">
        <f t="shared" ref="DW26:DW27" si="70">DV26</f>
      </c>
      <c r="DX26" s="85">
        <f t="shared" ref="DX26:DX27" si="71">DW26</f>
      </c>
      <c r="DY26" s="176">
        <f t="shared" ref="DY26:DY27" si="72">DX26</f>
      </c>
      <c r="DZ26" s="475">
        <f t="shared" ref="DZ26:DZ27" si="73">DY26</f>
      </c>
      <c r="EA26" s="85">
        <f t="shared" ref="EA26:EA27" si="74">DZ26</f>
      </c>
      <c r="EB26" s="85">
        <f t="shared" ref="EB26:EB27" si="75">EA26</f>
      </c>
      <c r="EC26" s="176">
        <f t="shared" ref="EC26:EC27" si="76">EB26</f>
      </c>
      <c r="ED26" s="475">
        <f t="shared" ref="ED26:ED27" si="77">EC26</f>
      </c>
      <c r="EE26" s="85">
        <f t="shared" ref="EE26:EE27" si="78">ED26</f>
      </c>
      <c r="EF26" s="85">
        <f t="shared" ref="EF26:EF27" si="79">EE26</f>
      </c>
      <c r="EG26" s="176">
        <f t="shared" ref="EG26:EG27" si="80">EF26</f>
      </c>
      <c r="EH26" s="475">
        <f t="shared" ref="EH26:EH27" si="81">EG26</f>
      </c>
      <c r="EI26" s="85">
        <f t="shared" ref="EI26:EI27" si="82">EH26</f>
      </c>
      <c r="EJ26" s="85">
        <f t="shared" ref="EJ26:EJ27" si="83">EI26</f>
      </c>
      <c r="EK26" s="176">
        <f t="shared" ref="EK26:EK27" si="84">EJ26</f>
      </c>
      <c r="EL26" s="85"/>
    </row>
    <row r="27" spans="1:142" s="89" customFormat="1">
      <c r="A27" s="2914" t="s">
        <v>703</v>
      </c>
      <c r="B27" s="1246">
        <v>47756</v>
      </c>
      <c r="C27" s="89" t="s">
        <v>971</v>
      </c>
      <c r="D27" s="2916">
        <v>42036</v>
      </c>
      <c r="H27" s="260"/>
      <c r="L27" s="260"/>
      <c r="P27" s="260"/>
      <c r="T27" s="260"/>
      <c r="X27" s="260"/>
      <c r="AB27" s="260"/>
      <c r="AF27" s="260"/>
      <c r="AJ27" s="260"/>
      <c r="AN27" s="260"/>
      <c r="AR27" s="260"/>
      <c r="AV27" s="260"/>
      <c r="AZ27" s="260"/>
      <c r="BD27" s="260"/>
      <c r="BH27" s="260"/>
      <c r="BL27" s="260"/>
      <c r="BP27" s="260"/>
      <c r="BT27" s="260"/>
      <c r="BX27" s="260"/>
      <c r="CB27" s="260"/>
      <c r="CF27" s="260"/>
      <c r="CJ27" s="260"/>
      <c r="CK27" s="260"/>
      <c r="CL27" s="77">
        <v>384</v>
      </c>
      <c r="CM27" s="77">
        <v>391.6</v>
      </c>
      <c r="CN27" s="77">
        <v>377.7</v>
      </c>
      <c r="CO27" s="192">
        <v>383.9</v>
      </c>
      <c r="CP27" s="77">
        <v>381</v>
      </c>
      <c r="CQ27" s="85">
        <v>381</v>
      </c>
      <c r="CR27" s="85">
        <f t="shared" si="67"/>
      </c>
      <c r="CS27" s="176">
        <f t="shared" si="67"/>
      </c>
      <c r="CT27" s="475">
        <f t="shared" si="67"/>
      </c>
      <c r="CU27" s="85">
        <f>CT27</f>
      </c>
      <c r="CV27" s="85">
        <f>CU27</f>
      </c>
      <c r="CW27" s="176">
        <f>CV27</f>
      </c>
      <c r="CX27" s="475">
        <f>CW27</f>
      </c>
      <c r="CY27" s="85">
        <f>CX27</f>
      </c>
      <c r="CZ27" s="85">
        <f t="shared" ref="CZ27:DU27" si="85">CY27</f>
      </c>
      <c r="DA27" s="176">
        <f t="shared" si="85"/>
      </c>
      <c r="DB27" s="475">
        <f t="shared" si="85"/>
      </c>
      <c r="DC27" s="85">
        <f t="shared" si="85"/>
      </c>
      <c r="DD27" s="85">
        <f t="shared" si="85"/>
      </c>
      <c r="DE27" s="176">
        <f t="shared" si="85"/>
      </c>
      <c r="DF27" s="475">
        <f t="shared" si="85"/>
      </c>
      <c r="DG27" s="85">
        <f t="shared" si="85"/>
      </c>
      <c r="DH27" s="85">
        <f t="shared" si="85"/>
      </c>
      <c r="DI27" s="176">
        <f t="shared" si="85"/>
      </c>
      <c r="DJ27" s="475">
        <f t="shared" si="85"/>
      </c>
      <c r="DK27" s="85">
        <f t="shared" si="85"/>
      </c>
      <c r="DL27" s="85">
        <f t="shared" si="85"/>
      </c>
      <c r="DM27" s="176">
        <f t="shared" si="85"/>
      </c>
      <c r="DN27" s="475">
        <f t="shared" si="85"/>
      </c>
      <c r="DO27" s="85">
        <f t="shared" si="85"/>
      </c>
      <c r="DP27" s="85">
        <f t="shared" si="85"/>
      </c>
      <c r="DQ27" s="176">
        <f t="shared" si="85"/>
      </c>
      <c r="DR27" s="475">
        <f t="shared" si="85"/>
      </c>
      <c r="DS27" s="85">
        <f t="shared" si="85"/>
      </c>
      <c r="DT27" s="85">
        <f t="shared" si="85"/>
      </c>
      <c r="DU27" s="176">
        <f t="shared" si="85"/>
      </c>
      <c r="DV27" s="475">
        <f t="shared" si="69"/>
      </c>
      <c r="DW27" s="85">
        <f t="shared" si="70"/>
      </c>
      <c r="DX27" s="85">
        <f t="shared" si="71"/>
      </c>
      <c r="DY27" s="176">
        <f t="shared" si="72"/>
      </c>
      <c r="DZ27" s="475">
        <f t="shared" si="73"/>
      </c>
      <c r="EA27" s="85">
        <f t="shared" si="74"/>
      </c>
      <c r="EB27" s="85">
        <f t="shared" si="75"/>
      </c>
      <c r="EC27" s="176">
        <f t="shared" si="76"/>
      </c>
      <c r="ED27" s="475">
        <f t="shared" si="77"/>
      </c>
      <c r="EE27" s="85">
        <f t="shared" si="78"/>
      </c>
      <c r="EF27" s="85">
        <f t="shared" si="79"/>
      </c>
      <c r="EG27" s="176">
        <f t="shared" si="80"/>
      </c>
      <c r="EH27" s="475">
        <f t="shared" si="81"/>
      </c>
      <c r="EI27" s="85">
        <f t="shared" si="82"/>
      </c>
      <c r="EJ27" s="85">
        <f t="shared" si="83"/>
      </c>
      <c r="EK27" s="176">
        <f t="shared" si="84"/>
      </c>
      <c r="EL27" s="85"/>
    </row>
    <row r="28" spans="1:142" s="89" customFormat="1">
      <c r="A28" s="2914" t="s">
        <v>695</v>
      </c>
      <c r="B28" s="1246">
        <v>43868</v>
      </c>
      <c r="D28" s="2916">
        <v>42037</v>
      </c>
      <c r="H28" s="260"/>
      <c r="L28" s="260"/>
      <c r="P28" s="260"/>
      <c r="T28" s="260"/>
      <c r="X28" s="260"/>
      <c r="AB28" s="260"/>
      <c r="AF28" s="260"/>
      <c r="AJ28" s="260"/>
      <c r="AN28" s="260"/>
      <c r="AR28" s="260"/>
      <c r="AV28" s="260"/>
      <c r="AZ28" s="260"/>
      <c r="BD28" s="260"/>
      <c r="BH28" s="260"/>
      <c r="BL28" s="260"/>
      <c r="BP28" s="260"/>
      <c r="BT28" s="260"/>
      <c r="BX28" s="260"/>
      <c r="CB28" s="260"/>
      <c r="CF28" s="260"/>
      <c r="CJ28" s="260"/>
      <c r="CK28" s="260"/>
      <c r="CL28" s="77">
        <v>1250</v>
      </c>
      <c r="CM28" s="62">
        <f t="shared" ref="CM28:CQ35" si="86">CL28</f>
      </c>
      <c r="CN28" s="62">
        <f t="shared" si="86"/>
      </c>
      <c r="CO28" s="226">
        <f t="shared" si="86"/>
      </c>
      <c r="CP28" s="62">
        <f t="shared" si="86"/>
      </c>
      <c r="CQ28" s="85">
        <f t="shared" si="86"/>
      </c>
      <c r="CR28" s="85">
        <f t="shared" si="67"/>
      </c>
      <c r="CS28" s="176">
        <f t="shared" si="67"/>
      </c>
      <c r="CT28" s="475">
        <f t="shared" si="67"/>
      </c>
      <c r="CU28" s="77">
        <v>0</v>
      </c>
      <c r="CV28" s="85">
        <v>0</v>
      </c>
      <c r="CW28" s="176">
        <v>0</v>
      </c>
      <c r="CX28" s="475">
        <v>0</v>
      </c>
      <c r="CY28" s="85">
        <v>0</v>
      </c>
      <c r="CZ28" s="85">
        <v>0</v>
      </c>
      <c r="DA28" s="176">
        <v>0</v>
      </c>
      <c r="DB28" s="475"/>
      <c r="DC28" s="85"/>
      <c r="DD28" s="85"/>
      <c r="DE28" s="176"/>
      <c r="DF28" s="475"/>
      <c r="DG28" s="85"/>
      <c r="DH28" s="85"/>
      <c r="DI28" s="176"/>
      <c r="DJ28" s="475"/>
      <c r="DK28" s="85"/>
      <c r="DL28" s="85"/>
      <c r="DM28" s="176"/>
      <c r="DN28" s="475"/>
      <c r="DO28" s="85"/>
      <c r="DP28" s="85"/>
      <c r="DQ28" s="176"/>
      <c r="DR28" s="475"/>
      <c r="DS28" s="85"/>
      <c r="DT28" s="85"/>
      <c r="DU28" s="176"/>
      <c r="DV28" s="475"/>
      <c r="DW28" s="85"/>
      <c r="DX28" s="85"/>
      <c r="DY28" s="176"/>
      <c r="DZ28" s="475"/>
      <c r="EA28" s="85"/>
      <c r="EB28" s="85"/>
      <c r="EC28" s="176"/>
      <c r="ED28" s="475"/>
      <c r="EE28" s="85"/>
      <c r="EF28" s="85"/>
      <c r="EG28" s="176"/>
      <c r="EH28" s="475"/>
      <c r="EI28" s="85"/>
      <c r="EJ28" s="85"/>
      <c r="EK28" s="176"/>
      <c r="EL28" s="85"/>
    </row>
    <row r="29" spans="1:142" s="89" customFormat="1">
      <c r="A29" s="2914" t="s">
        <v>696</v>
      </c>
      <c r="B29" s="1246">
        <v>44599</v>
      </c>
      <c r="D29" s="2916">
        <v>42037</v>
      </c>
      <c r="H29" s="260"/>
      <c r="L29" s="260"/>
      <c r="P29" s="260"/>
      <c r="T29" s="260"/>
      <c r="X29" s="260"/>
      <c r="AB29" s="260"/>
      <c r="AF29" s="260"/>
      <c r="AJ29" s="260"/>
      <c r="AN29" s="260"/>
      <c r="AR29" s="260"/>
      <c r="AV29" s="260"/>
      <c r="AZ29" s="260"/>
      <c r="BD29" s="260"/>
      <c r="BH29" s="260"/>
      <c r="BL29" s="260"/>
      <c r="BP29" s="260"/>
      <c r="BT29" s="260"/>
      <c r="BX29" s="260"/>
      <c r="CB29" s="260"/>
      <c r="CF29" s="260"/>
      <c r="CJ29" s="260"/>
      <c r="CK29" s="260"/>
      <c r="CL29" s="77">
        <v>1250</v>
      </c>
      <c r="CM29" s="62">
        <f t="shared" si="86"/>
      </c>
      <c r="CN29" s="62">
        <f t="shared" si="86"/>
      </c>
      <c r="CO29" s="226">
        <f t="shared" si="86"/>
      </c>
      <c r="CP29" s="62">
        <f t="shared" si="86"/>
      </c>
      <c r="CQ29" s="85">
        <f t="shared" si="86"/>
      </c>
      <c r="CR29" s="85">
        <f t="shared" si="67"/>
      </c>
      <c r="CS29" s="176">
        <f t="shared" si="67"/>
      </c>
      <c r="CT29" s="475">
        <f t="shared" si="67"/>
      </c>
      <c r="CU29" s="85">
        <f t="shared" ref="CU29:DB31" si="87">CT29</f>
      </c>
      <c r="CV29" s="85">
        <f t="shared" si="87"/>
      </c>
      <c r="CW29" s="176">
        <f t="shared" si="87"/>
      </c>
      <c r="CX29" s="475">
        <f t="shared" si="87"/>
      </c>
      <c r="CY29" s="85">
        <f t="shared" si="87"/>
      </c>
      <c r="CZ29" s="85">
        <f t="shared" si="87"/>
      </c>
      <c r="DA29" s="176">
        <f t="shared" si="87"/>
      </c>
      <c r="DB29" s="475">
        <f t="shared" si="87"/>
      </c>
      <c r="DC29" s="85"/>
      <c r="DD29" s="85"/>
      <c r="DE29" s="176"/>
      <c r="DF29" s="475">
        <f>DE29</f>
      </c>
      <c r="DG29" s="85"/>
      <c r="DH29" s="85"/>
      <c r="DI29" s="176"/>
      <c r="DJ29" s="475">
        <f>DI29</f>
      </c>
      <c r="DK29" s="85"/>
      <c r="DL29" s="85"/>
      <c r="DM29" s="176"/>
      <c r="DN29" s="475">
        <f>DM29</f>
      </c>
      <c r="DO29" s="85"/>
      <c r="DP29" s="85"/>
      <c r="DQ29" s="176"/>
      <c r="DR29" s="475">
        <f>DQ29</f>
      </c>
      <c r="DS29" s="85"/>
      <c r="DT29" s="85"/>
      <c r="DU29" s="176"/>
      <c r="DV29" s="475">
        <f>DU29</f>
      </c>
      <c r="DW29" s="85"/>
      <c r="DX29" s="85"/>
      <c r="DY29" s="176"/>
      <c r="DZ29" s="475">
        <f>DY29</f>
      </c>
      <c r="EA29" s="85"/>
      <c r="EB29" s="85"/>
      <c r="EC29" s="176"/>
      <c r="ED29" s="475">
        <f>EC29</f>
      </c>
      <c r="EE29" s="85"/>
      <c r="EF29" s="85"/>
      <c r="EG29" s="176"/>
      <c r="EH29" s="475">
        <f>EG29</f>
      </c>
      <c r="EI29" s="85"/>
      <c r="EJ29" s="85"/>
      <c r="EK29" s="176"/>
      <c r="EL29" s="152"/>
    </row>
    <row r="30" spans="1:142" s="89" customFormat="1">
      <c r="A30" s="2914" t="s">
        <v>700</v>
      </c>
      <c r="B30" s="1246">
        <v>45695</v>
      </c>
      <c r="D30" s="2916">
        <v>42037</v>
      </c>
      <c r="H30" s="260"/>
      <c r="L30" s="260"/>
      <c r="P30" s="260"/>
      <c r="T30" s="260"/>
      <c r="X30" s="260"/>
      <c r="AB30" s="260"/>
      <c r="AF30" s="260"/>
      <c r="AJ30" s="260"/>
      <c r="AN30" s="260"/>
      <c r="AR30" s="260"/>
      <c r="AV30" s="260"/>
      <c r="AZ30" s="260"/>
      <c r="BD30" s="260"/>
      <c r="BH30" s="260"/>
      <c r="BL30" s="260"/>
      <c r="BP30" s="260"/>
      <c r="BT30" s="260"/>
      <c r="BX30" s="260"/>
      <c r="CB30" s="260"/>
      <c r="CF30" s="260"/>
      <c r="CJ30" s="260"/>
      <c r="CK30" s="260"/>
      <c r="CL30" s="77">
        <v>1500</v>
      </c>
      <c r="CM30" s="62">
        <f t="shared" si="86"/>
      </c>
      <c r="CN30" s="62">
        <f t="shared" si="86"/>
      </c>
      <c r="CO30" s="226">
        <f t="shared" si="86"/>
      </c>
      <c r="CP30" s="62">
        <f t="shared" si="86"/>
      </c>
      <c r="CQ30" s="85">
        <f t="shared" si="86"/>
      </c>
      <c r="CR30" s="85">
        <f t="shared" si="67"/>
      </c>
      <c r="CS30" s="176">
        <f t="shared" si="67"/>
      </c>
      <c r="CT30" s="475">
        <f t="shared" si="67"/>
      </c>
      <c r="CU30" s="85">
        <f t="shared" si="87"/>
      </c>
      <c r="CV30" s="85">
        <f t="shared" si="87"/>
      </c>
      <c r="CW30" s="176">
        <f t="shared" si="87"/>
      </c>
      <c r="CX30" s="475">
        <f t="shared" si="87"/>
      </c>
      <c r="CY30" s="85">
        <f t="shared" si="87"/>
      </c>
      <c r="CZ30" s="85">
        <f t="shared" si="87"/>
      </c>
      <c r="DA30" s="176">
        <f t="shared" si="87"/>
      </c>
      <c r="DB30" s="475">
        <f t="shared" si="87"/>
      </c>
      <c r="DC30" s="85">
        <f t="shared" ref="DC30:DE31" si="88">DB30</f>
      </c>
      <c r="DD30" s="85">
        <f t="shared" si="88"/>
      </c>
      <c r="DE30" s="176">
        <f t="shared" si="88"/>
      </c>
      <c r="DF30" s="475">
        <f>DE30</f>
      </c>
      <c r="DG30" s="85">
        <f t="shared" ref="DG30:DI31" si="89">DF30</f>
      </c>
      <c r="DH30" s="85">
        <f t="shared" si="89"/>
      </c>
      <c r="DI30" s="176">
        <f t="shared" si="89"/>
      </c>
      <c r="DJ30" s="475">
        <f>DI30</f>
      </c>
      <c r="DK30" s="85">
        <f t="shared" ref="DK30:DM31" si="90">DJ30</f>
      </c>
      <c r="DL30" s="85">
        <f t="shared" si="90"/>
      </c>
      <c r="DM30" s="176">
        <f t="shared" si="90"/>
      </c>
      <c r="DN30" s="475">
        <f>DM30</f>
      </c>
      <c r="DO30" s="85">
        <f t="shared" ref="DO30:DQ31" si="91">DN30</f>
      </c>
      <c r="DP30" s="85">
        <f t="shared" si="91"/>
      </c>
      <c r="DQ30" s="176">
        <f t="shared" si="91"/>
      </c>
      <c r="DR30" s="475">
        <f>DQ30</f>
      </c>
      <c r="DS30" s="85">
        <f t="shared" ref="DS30:DU31" si="92">DR30</f>
      </c>
      <c r="DT30" s="85">
        <f t="shared" si="92"/>
      </c>
      <c r="DU30" s="176">
        <f t="shared" si="92"/>
      </c>
      <c r="DV30" s="475">
        <f>DU30</f>
      </c>
      <c r="DW30" s="85">
        <f t="shared" ref="DW30:DW31" si="93">DV30</f>
      </c>
      <c r="DX30" s="85">
        <f t="shared" ref="DX30:DX31" si="94">DW30</f>
      </c>
      <c r="DY30" s="176">
        <f t="shared" ref="DY30:DY31" si="95">DX30</f>
      </c>
      <c r="DZ30" s="475">
        <f>DY30</f>
      </c>
      <c r="EA30" s="85">
        <f t="shared" ref="EA30:EA31" si="96">DZ30</f>
      </c>
      <c r="EB30" s="85">
        <f t="shared" ref="EB30:EB31" si="97">EA30</f>
      </c>
      <c r="EC30" s="176">
        <f t="shared" ref="EC30:EC31" si="98">EB30</f>
      </c>
      <c r="ED30" s="475">
        <f>EC30</f>
      </c>
      <c r="EE30" s="85">
        <f t="shared" ref="EE30:EE31" si="99">ED30</f>
      </c>
      <c r="EF30" s="85">
        <f t="shared" ref="EF30:EF31" si="100">EE30</f>
      </c>
      <c r="EG30" s="176">
        <f t="shared" ref="EG30:EG31" si="101">EF30</f>
      </c>
      <c r="EH30" s="475">
        <f>EG30</f>
      </c>
      <c r="EI30" s="85">
        <f t="shared" ref="EI30:EI31" si="102">EH30</f>
      </c>
      <c r="EJ30" s="85">
        <f t="shared" ref="EJ30:EJ31" si="103">EI30</f>
      </c>
      <c r="EK30" s="176">
        <f t="shared" ref="EK30:EK31" si="104">EJ30</f>
      </c>
      <c r="EL30" s="85"/>
    </row>
    <row r="31" spans="1:142" s="89" customFormat="1">
      <c r="A31" s="2914" t="s">
        <v>701</v>
      </c>
      <c r="B31" s="1246">
        <v>53000</v>
      </c>
      <c r="D31" s="2916">
        <v>42037</v>
      </c>
      <c r="H31" s="260"/>
      <c r="L31" s="260"/>
      <c r="P31" s="260"/>
      <c r="T31" s="260"/>
      <c r="X31" s="260"/>
      <c r="AB31" s="260"/>
      <c r="AF31" s="260"/>
      <c r="AJ31" s="260"/>
      <c r="AN31" s="260"/>
      <c r="AR31" s="260"/>
      <c r="AV31" s="260"/>
      <c r="AZ31" s="260"/>
      <c r="BD31" s="260"/>
      <c r="BH31" s="260"/>
      <c r="BL31" s="260"/>
      <c r="BP31" s="260"/>
      <c r="BT31" s="260"/>
      <c r="BX31" s="260"/>
      <c r="CB31" s="260"/>
      <c r="CF31" s="260"/>
      <c r="CJ31" s="260"/>
      <c r="CK31" s="260"/>
      <c r="CL31" s="77">
        <v>2000</v>
      </c>
      <c r="CM31" s="62">
        <f t="shared" si="86"/>
      </c>
      <c r="CN31" s="62">
        <f t="shared" si="86"/>
      </c>
      <c r="CO31" s="226">
        <f t="shared" si="86"/>
      </c>
      <c r="CP31" s="62">
        <f t="shared" si="86"/>
      </c>
      <c r="CQ31" s="85">
        <f t="shared" si="86"/>
      </c>
      <c r="CR31" s="85">
        <f t="shared" si="67"/>
      </c>
      <c r="CS31" s="176">
        <f t="shared" si="67"/>
      </c>
      <c r="CT31" s="475">
        <f t="shared" si="67"/>
      </c>
      <c r="CU31" s="85">
        <f t="shared" si="87"/>
      </c>
      <c r="CV31" s="85">
        <f t="shared" si="87"/>
      </c>
      <c r="CW31" s="176">
        <f t="shared" si="87"/>
      </c>
      <c r="CX31" s="475">
        <f t="shared" si="87"/>
      </c>
      <c r="CY31" s="85">
        <f t="shared" si="87"/>
      </c>
      <c r="CZ31" s="85">
        <f t="shared" si="87"/>
      </c>
      <c r="DA31" s="176">
        <f t="shared" si="87"/>
      </c>
      <c r="DB31" s="475">
        <f t="shared" si="87"/>
      </c>
      <c r="DC31" s="85">
        <f t="shared" si="88"/>
      </c>
      <c r="DD31" s="85">
        <f t="shared" si="88"/>
      </c>
      <c r="DE31" s="176">
        <f t="shared" si="88"/>
      </c>
      <c r="DF31" s="475">
        <f>DE31</f>
      </c>
      <c r="DG31" s="85">
        <f t="shared" si="89"/>
      </c>
      <c r="DH31" s="85">
        <f t="shared" si="89"/>
      </c>
      <c r="DI31" s="176">
        <f t="shared" si="89"/>
      </c>
      <c r="DJ31" s="475">
        <f>DI31</f>
      </c>
      <c r="DK31" s="85">
        <f t="shared" si="90"/>
      </c>
      <c r="DL31" s="85">
        <f t="shared" si="90"/>
      </c>
      <c r="DM31" s="176">
        <f t="shared" si="90"/>
      </c>
      <c r="DN31" s="475">
        <f>DM31</f>
      </c>
      <c r="DO31" s="85">
        <f t="shared" si="91"/>
      </c>
      <c r="DP31" s="85">
        <f t="shared" si="91"/>
      </c>
      <c r="DQ31" s="176">
        <f t="shared" si="91"/>
      </c>
      <c r="DR31" s="475">
        <f>DQ31</f>
      </c>
      <c r="DS31" s="85">
        <f t="shared" si="92"/>
      </c>
      <c r="DT31" s="85">
        <f t="shared" si="92"/>
      </c>
      <c r="DU31" s="176">
        <f t="shared" si="92"/>
      </c>
      <c r="DV31" s="475">
        <f>DU31</f>
      </c>
      <c r="DW31" s="85">
        <f t="shared" si="93"/>
      </c>
      <c r="DX31" s="85">
        <f t="shared" si="94"/>
      </c>
      <c r="DY31" s="176">
        <f t="shared" si="95"/>
      </c>
      <c r="DZ31" s="475">
        <f>DY31</f>
      </c>
      <c r="EA31" s="85">
        <f t="shared" si="96"/>
      </c>
      <c r="EB31" s="85">
        <f t="shared" si="97"/>
      </c>
      <c r="EC31" s="176">
        <f t="shared" si="98"/>
      </c>
      <c r="ED31" s="475">
        <f>EC31</f>
      </c>
      <c r="EE31" s="85">
        <f t="shared" si="99"/>
      </c>
      <c r="EF31" s="85">
        <f t="shared" si="100"/>
      </c>
      <c r="EG31" s="176">
        <f t="shared" si="101"/>
      </c>
      <c r="EH31" s="475">
        <f>EG31</f>
      </c>
      <c r="EI31" s="85">
        <f t="shared" si="102"/>
      </c>
      <c r="EJ31" s="85">
        <f t="shared" si="103"/>
      </c>
      <c r="EK31" s="176">
        <f t="shared" si="104"/>
      </c>
      <c r="EL31" s="152"/>
    </row>
    <row r="32" spans="1:142" s="89" customFormat="1">
      <c r="A32" s="2914" t="s">
        <v>704</v>
      </c>
      <c r="B32" s="1246">
        <v>43957</v>
      </c>
      <c r="D32" s="2916">
        <v>42125</v>
      </c>
      <c r="H32" s="260"/>
      <c r="L32" s="260"/>
      <c r="P32" s="260"/>
      <c r="T32" s="260"/>
      <c r="X32" s="260"/>
      <c r="AB32" s="260"/>
      <c r="AF32" s="260"/>
      <c r="AJ32" s="260"/>
      <c r="AN32" s="260"/>
      <c r="AR32" s="260"/>
      <c r="AV32" s="260"/>
      <c r="AZ32" s="260"/>
      <c r="BD32" s="260"/>
      <c r="BH32" s="260"/>
      <c r="BL32" s="260"/>
      <c r="BP32" s="260"/>
      <c r="BT32" s="260"/>
      <c r="BX32" s="260"/>
      <c r="CB32" s="260"/>
      <c r="CF32" s="260"/>
      <c r="CJ32" s="260"/>
      <c r="CK32" s="260"/>
      <c r="CL32" s="77">
        <v>1250</v>
      </c>
      <c r="CM32" s="62">
        <f t="shared" si="86"/>
      </c>
      <c r="CN32" s="62">
        <f t="shared" si="86"/>
      </c>
      <c r="CO32" s="226">
        <f t="shared" si="86"/>
      </c>
      <c r="CP32" s="62">
        <f t="shared" si="86"/>
      </c>
      <c r="CQ32" s="85">
        <f t="shared" si="86"/>
      </c>
      <c r="CR32" s="85">
        <f t="shared" si="67"/>
      </c>
      <c r="CS32" s="176">
        <f t="shared" si="67"/>
      </c>
      <c r="CT32" s="475">
        <f t="shared" si="67"/>
      </c>
      <c r="CU32" s="85">
        <f>CT32</f>
      </c>
      <c r="CV32" s="77">
        <v>0</v>
      </c>
      <c r="CW32" s="176">
        <v>0</v>
      </c>
      <c r="CX32" s="475">
        <v>0</v>
      </c>
      <c r="CY32" s="85">
        <v>0</v>
      </c>
      <c r="CZ32" s="85">
        <v>0</v>
      </c>
      <c r="DA32" s="176">
        <v>0</v>
      </c>
      <c r="DB32" s="475"/>
      <c r="DC32" s="85"/>
      <c r="DD32" s="85"/>
      <c r="DE32" s="176"/>
      <c r="DF32" s="475"/>
      <c r="DG32" s="85"/>
      <c r="DH32" s="85"/>
      <c r="DI32" s="176"/>
      <c r="DJ32" s="475"/>
      <c r="DK32" s="85"/>
      <c r="DL32" s="85"/>
      <c r="DM32" s="176"/>
      <c r="DN32" s="475"/>
      <c r="DO32" s="85"/>
      <c r="DP32" s="85"/>
      <c r="DQ32" s="176"/>
      <c r="DR32" s="475"/>
      <c r="DS32" s="85"/>
      <c r="DT32" s="85"/>
      <c r="DU32" s="176"/>
      <c r="DV32" s="475"/>
      <c r="DW32" s="85"/>
      <c r="DX32" s="85"/>
      <c r="DY32" s="176"/>
      <c r="DZ32" s="475"/>
      <c r="EA32" s="85"/>
      <c r="EB32" s="85"/>
      <c r="EC32" s="176"/>
      <c r="ED32" s="475"/>
      <c r="EE32" s="85"/>
      <c r="EF32" s="85"/>
      <c r="EG32" s="176"/>
      <c r="EH32" s="475"/>
      <c r="EI32" s="85"/>
      <c r="EJ32" s="85"/>
      <c r="EK32" s="176"/>
      <c r="EL32" s="85"/>
    </row>
    <row r="33" spans="1:142" s="89" customFormat="1">
      <c r="A33" s="2914" t="s">
        <v>705</v>
      </c>
      <c r="B33" s="1246">
        <v>44687</v>
      </c>
      <c r="D33" s="2916">
        <v>42125</v>
      </c>
      <c r="H33" s="260"/>
      <c r="L33" s="260"/>
      <c r="P33" s="260"/>
      <c r="T33" s="260"/>
      <c r="X33" s="260"/>
      <c r="AB33" s="260"/>
      <c r="AF33" s="260"/>
      <c r="AJ33" s="260"/>
      <c r="AN33" s="260"/>
      <c r="AR33" s="260"/>
      <c r="AV33" s="260"/>
      <c r="AZ33" s="260"/>
      <c r="BD33" s="260"/>
      <c r="BH33" s="260"/>
      <c r="BL33" s="260"/>
      <c r="BP33" s="260"/>
      <c r="BT33" s="260"/>
      <c r="BX33" s="260"/>
      <c r="CB33" s="260"/>
      <c r="CF33" s="260"/>
      <c r="CJ33" s="260"/>
      <c r="CK33" s="260"/>
      <c r="CL33" s="77">
        <v>1250</v>
      </c>
      <c r="CM33" s="62">
        <f t="shared" si="86"/>
      </c>
      <c r="CN33" s="62">
        <f t="shared" si="86"/>
      </c>
      <c r="CO33" s="226">
        <f t="shared" si="86"/>
      </c>
      <c r="CP33" s="62">
        <f t="shared" si="86"/>
      </c>
      <c r="CQ33" s="85">
        <f t="shared" si="86"/>
      </c>
      <c r="CR33" s="85">
        <f t="shared" si="67"/>
      </c>
      <c r="CS33" s="176">
        <f t="shared" si="67"/>
      </c>
      <c r="CT33" s="475">
        <f t="shared" si="67"/>
      </c>
      <c r="CU33" s="85">
        <f>CT33</f>
      </c>
      <c r="CV33" s="85">
        <f t="shared" ref="CV33:DC35" si="105">CU33</f>
      </c>
      <c r="CW33" s="176">
        <f t="shared" si="105"/>
      </c>
      <c r="CX33" s="475">
        <f t="shared" si="105"/>
      </c>
      <c r="CY33" s="85">
        <f t="shared" si="105"/>
      </c>
      <c r="CZ33" s="85">
        <f t="shared" si="105"/>
      </c>
      <c r="DA33" s="176">
        <f t="shared" si="105"/>
      </c>
      <c r="DB33" s="475">
        <f t="shared" si="105"/>
      </c>
      <c r="DC33" s="85">
        <f t="shared" si="105"/>
      </c>
      <c r="DD33" s="85"/>
      <c r="DE33" s="176"/>
      <c r="DF33" s="475">
        <f t="shared" ref="DF33:DG35" si="106">DE33</f>
      </c>
      <c r="DG33" s="85">
        <f t="shared" si="106"/>
      </c>
      <c r="DH33" s="85"/>
      <c r="DI33" s="176"/>
      <c r="DJ33" s="475">
        <f t="shared" ref="DJ33:DK35" si="107">DI33</f>
      </c>
      <c r="DK33" s="85">
        <f t="shared" si="107"/>
      </c>
      <c r="DL33" s="85"/>
      <c r="DM33" s="176"/>
      <c r="DN33" s="475">
        <f t="shared" ref="DN33:DO35" si="108">DM33</f>
      </c>
      <c r="DO33" s="85">
        <f t="shared" si="108"/>
      </c>
      <c r="DP33" s="85"/>
      <c r="DQ33" s="176"/>
      <c r="DR33" s="475">
        <f t="shared" ref="DR33:DS35" si="109">DQ33</f>
      </c>
      <c r="DS33" s="85">
        <f t="shared" si="109"/>
      </c>
      <c r="DT33" s="85"/>
      <c r="DU33" s="176"/>
      <c r="DV33" s="475">
        <f t="shared" ref="DV33:DV35" si="110">DU33</f>
      </c>
      <c r="DW33" s="85">
        <f t="shared" ref="DW33:DW35" si="111">DV33</f>
      </c>
      <c r="DX33" s="85"/>
      <c r="DY33" s="176"/>
      <c r="DZ33" s="475">
        <f t="shared" ref="DZ33:DZ35" si="112">DY33</f>
      </c>
      <c r="EA33" s="85">
        <f t="shared" ref="EA33:EA35" si="113">DZ33</f>
      </c>
      <c r="EB33" s="85"/>
      <c r="EC33" s="176"/>
      <c r="ED33" s="475">
        <f t="shared" ref="ED33:ED35" si="114">EC33</f>
      </c>
      <c r="EE33" s="85">
        <f t="shared" ref="EE33:EE35" si="115">ED33</f>
      </c>
      <c r="EF33" s="85"/>
      <c r="EG33" s="176"/>
      <c r="EH33" s="475">
        <f t="shared" ref="EH33:EH35" si="116">EG33</f>
      </c>
      <c r="EI33" s="85">
        <f t="shared" ref="EI33:EI35" si="117">EH33</f>
      </c>
      <c r="EJ33" s="85"/>
      <c r="EK33" s="176"/>
      <c r="EL33" s="85"/>
    </row>
    <row r="34" spans="1:142" s="89" customFormat="1">
      <c r="A34" s="2914" t="s">
        <v>706</v>
      </c>
      <c r="B34" s="1246">
        <v>45783</v>
      </c>
      <c r="D34" s="2916">
        <v>42125</v>
      </c>
      <c r="H34" s="260"/>
      <c r="L34" s="260"/>
      <c r="P34" s="260"/>
      <c r="T34" s="260"/>
      <c r="X34" s="260"/>
      <c r="AB34" s="260"/>
      <c r="AF34" s="260"/>
      <c r="AJ34" s="260"/>
      <c r="AN34" s="260"/>
      <c r="AR34" s="260"/>
      <c r="AV34" s="260"/>
      <c r="AZ34" s="260"/>
      <c r="BD34" s="260"/>
      <c r="BH34" s="260"/>
      <c r="BL34" s="260"/>
      <c r="BP34" s="260"/>
      <c r="BT34" s="260"/>
      <c r="BX34" s="260"/>
      <c r="CB34" s="260"/>
      <c r="CF34" s="260"/>
      <c r="CJ34" s="260"/>
      <c r="CK34" s="260"/>
      <c r="CL34" s="77">
        <v>2000</v>
      </c>
      <c r="CM34" s="62">
        <f t="shared" si="86"/>
      </c>
      <c r="CN34" s="62">
        <f t="shared" si="86"/>
      </c>
      <c r="CO34" s="226">
        <f t="shared" si="86"/>
      </c>
      <c r="CP34" s="62">
        <f t="shared" si="86"/>
      </c>
      <c r="CQ34" s="85">
        <f t="shared" si="86"/>
      </c>
      <c r="CR34" s="85">
        <f t="shared" si="67"/>
      </c>
      <c r="CS34" s="176">
        <f t="shared" si="67"/>
      </c>
      <c r="CT34" s="475">
        <f t="shared" si="67"/>
      </c>
      <c r="CU34" s="85">
        <f>CT34</f>
      </c>
      <c r="CV34" s="85">
        <f t="shared" si="105"/>
      </c>
      <c r="CW34" s="176">
        <f t="shared" si="105"/>
      </c>
      <c r="CX34" s="475">
        <f t="shared" si="105"/>
      </c>
      <c r="CY34" s="85">
        <f t="shared" si="105"/>
      </c>
      <c r="CZ34" s="85">
        <f t="shared" si="105"/>
      </c>
      <c r="DA34" s="176">
        <f t="shared" si="105"/>
      </c>
      <c r="DB34" s="475">
        <f t="shared" si="105"/>
      </c>
      <c r="DC34" s="85">
        <f t="shared" si="105"/>
      </c>
      <c r="DD34" s="85">
        <f>DC34</f>
      </c>
      <c r="DE34" s="176">
        <f>DD34</f>
      </c>
      <c r="DF34" s="475">
        <f t="shared" si="106"/>
      </c>
      <c r="DG34" s="85">
        <f t="shared" si="106"/>
      </c>
      <c r="DH34" s="85">
        <f>DG34</f>
      </c>
      <c r="DI34" s="176">
        <f>DH34</f>
      </c>
      <c r="DJ34" s="475">
        <f t="shared" si="107"/>
      </c>
      <c r="DK34" s="85">
        <f t="shared" si="107"/>
      </c>
      <c r="DL34" s="85">
        <f>DK34</f>
      </c>
      <c r="DM34" s="176">
        <f>DL34</f>
      </c>
      <c r="DN34" s="475">
        <f t="shared" si="108"/>
      </c>
      <c r="DO34" s="85">
        <f t="shared" si="108"/>
      </c>
      <c r="DP34" s="85">
        <f>DO34</f>
      </c>
      <c r="DQ34" s="176">
        <f>DP34</f>
      </c>
      <c r="DR34" s="475">
        <f t="shared" si="109"/>
      </c>
      <c r="DS34" s="85">
        <f t="shared" si="109"/>
      </c>
      <c r="DT34" s="85">
        <f>DS34</f>
      </c>
      <c r="DU34" s="176">
        <f>DT34</f>
      </c>
      <c r="DV34" s="475">
        <f t="shared" si="110"/>
      </c>
      <c r="DW34" s="85">
        <f t="shared" si="111"/>
      </c>
      <c r="DX34" s="85">
        <f>DW34</f>
      </c>
      <c r="DY34" s="176">
        <f>DX34</f>
      </c>
      <c r="DZ34" s="475">
        <f t="shared" si="112"/>
      </c>
      <c r="EA34" s="85">
        <f t="shared" si="113"/>
      </c>
      <c r="EB34" s="85">
        <f>EA34</f>
      </c>
      <c r="EC34" s="176">
        <f>EB34</f>
      </c>
      <c r="ED34" s="475">
        <f t="shared" si="114"/>
      </c>
      <c r="EE34" s="85">
        <f t="shared" si="115"/>
      </c>
      <c r="EF34" s="85">
        <f>EE34</f>
      </c>
      <c r="EG34" s="176">
        <f>EF34</f>
      </c>
      <c r="EH34" s="475">
        <f t="shared" si="116"/>
      </c>
      <c r="EI34" s="85">
        <f t="shared" si="117"/>
      </c>
      <c r="EJ34" s="85">
        <f>EI34</f>
      </c>
      <c r="EK34" s="176">
        <f>EJ34</f>
      </c>
      <c r="EL34" s="85"/>
    </row>
    <row r="35" spans="1:142" s="89" customFormat="1">
      <c r="A35" s="2914" t="s">
        <v>697</v>
      </c>
      <c r="B35" s="1246">
        <v>53088</v>
      </c>
      <c r="D35" s="2916">
        <v>42125</v>
      </c>
      <c r="H35" s="260"/>
      <c r="L35" s="260"/>
      <c r="P35" s="260"/>
      <c r="T35" s="260"/>
      <c r="X35" s="260"/>
      <c r="AB35" s="260"/>
      <c r="AF35" s="260"/>
      <c r="AJ35" s="260"/>
      <c r="AN35" s="260"/>
      <c r="AR35" s="260"/>
      <c r="AV35" s="260"/>
      <c r="AZ35" s="260"/>
      <c r="BD35" s="260"/>
      <c r="BH35" s="260"/>
      <c r="BL35" s="260"/>
      <c r="BP35" s="260"/>
      <c r="BT35" s="260"/>
      <c r="BX35" s="260"/>
      <c r="CB35" s="260"/>
      <c r="CF35" s="260"/>
      <c r="CJ35" s="260"/>
      <c r="CK35" s="260"/>
      <c r="CL35" s="77">
        <v>2000</v>
      </c>
      <c r="CM35" s="62">
        <f t="shared" si="86"/>
      </c>
      <c r="CN35" s="62">
        <f t="shared" si="86"/>
      </c>
      <c r="CO35" s="226">
        <f t="shared" si="86"/>
      </c>
      <c r="CP35" s="62">
        <f t="shared" si="86"/>
      </c>
      <c r="CQ35" s="85">
        <f t="shared" si="86"/>
      </c>
      <c r="CR35" s="85">
        <f t="shared" si="67"/>
      </c>
      <c r="CS35" s="176">
        <f t="shared" si="67"/>
      </c>
      <c r="CT35" s="475">
        <f t="shared" si="67"/>
      </c>
      <c r="CU35" s="85">
        <f>CT35</f>
      </c>
      <c r="CV35" s="85">
        <f t="shared" si="105"/>
      </c>
      <c r="CW35" s="176">
        <f t="shared" si="105"/>
      </c>
      <c r="CX35" s="475">
        <f t="shared" si="105"/>
      </c>
      <c r="CY35" s="85">
        <f t="shared" si="105"/>
      </c>
      <c r="CZ35" s="85">
        <f t="shared" si="105"/>
      </c>
      <c r="DA35" s="176">
        <f t="shared" si="105"/>
      </c>
      <c r="DB35" s="475">
        <f t="shared" si="105"/>
      </c>
      <c r="DC35" s="85">
        <f t="shared" si="105"/>
      </c>
      <c r="DD35" s="85">
        <f>DC35</f>
      </c>
      <c r="DE35" s="176">
        <f>DD35</f>
      </c>
      <c r="DF35" s="475">
        <f t="shared" si="106"/>
      </c>
      <c r="DG35" s="85">
        <f t="shared" si="106"/>
      </c>
      <c r="DH35" s="85">
        <f>DG35</f>
      </c>
      <c r="DI35" s="176">
        <f>DH35</f>
      </c>
      <c r="DJ35" s="475">
        <f t="shared" si="107"/>
      </c>
      <c r="DK35" s="85">
        <f t="shared" si="107"/>
      </c>
      <c r="DL35" s="85">
        <f>DK35</f>
      </c>
      <c r="DM35" s="176">
        <f>DL35</f>
      </c>
      <c r="DN35" s="475">
        <f t="shared" si="108"/>
      </c>
      <c r="DO35" s="85">
        <f t="shared" si="108"/>
      </c>
      <c r="DP35" s="85">
        <f>DO35</f>
      </c>
      <c r="DQ35" s="176">
        <f>DP35</f>
      </c>
      <c r="DR35" s="475">
        <f t="shared" si="109"/>
      </c>
      <c r="DS35" s="85">
        <f t="shared" si="109"/>
      </c>
      <c r="DT35" s="85">
        <f>DS35</f>
      </c>
      <c r="DU35" s="176">
        <f>DT35</f>
      </c>
      <c r="DV35" s="475">
        <f t="shared" si="110"/>
      </c>
      <c r="DW35" s="85">
        <f t="shared" si="111"/>
      </c>
      <c r="DX35" s="85">
        <f>DW35</f>
      </c>
      <c r="DY35" s="176">
        <f>DX35</f>
      </c>
      <c r="DZ35" s="475">
        <f t="shared" si="112"/>
      </c>
      <c r="EA35" s="85">
        <f t="shared" si="113"/>
      </c>
      <c r="EB35" s="85">
        <f>EA35</f>
      </c>
      <c r="EC35" s="176">
        <f>EB35</f>
      </c>
      <c r="ED35" s="475">
        <f t="shared" si="114"/>
      </c>
      <c r="EE35" s="85">
        <f t="shared" si="115"/>
      </c>
      <c r="EF35" s="85">
        <f>EE35</f>
      </c>
      <c r="EG35" s="176">
        <f>EF35</f>
      </c>
      <c r="EH35" s="475">
        <f t="shared" si="116"/>
      </c>
      <c r="EI35" s="85">
        <f t="shared" si="117"/>
      </c>
      <c r="EJ35" s="85">
        <f>EI35</f>
      </c>
      <c r="EK35" s="176">
        <f>EJ35</f>
      </c>
      <c r="EL35" s="85"/>
    </row>
    <row r="36" spans="1:142" s="89" customFormat="1">
      <c r="A36" s="2914" t="s">
        <v>698</v>
      </c>
      <c r="B36" s="1246">
        <v>43992</v>
      </c>
      <c r="C36" s="89" t="s">
        <v>931</v>
      </c>
      <c r="D36" s="2916">
        <v>42158</v>
      </c>
      <c r="H36" s="260"/>
      <c r="L36" s="260"/>
      <c r="P36" s="260"/>
      <c r="T36" s="260"/>
      <c r="X36" s="260"/>
      <c r="AB36" s="260"/>
      <c r="AF36" s="260"/>
      <c r="AJ36" s="260"/>
      <c r="AN36" s="260"/>
      <c r="AR36" s="260"/>
      <c r="AV36" s="260"/>
      <c r="AZ36" s="260"/>
      <c r="BD36" s="260"/>
      <c r="BH36" s="260"/>
      <c r="BL36" s="260"/>
      <c r="BP36" s="260"/>
      <c r="BT36" s="260"/>
      <c r="BX36" s="260"/>
      <c r="CB36" s="260"/>
      <c r="CF36" s="260"/>
      <c r="CJ36" s="260"/>
      <c r="CK36" s="260"/>
      <c r="CL36" s="77">
        <v>2258</v>
      </c>
      <c r="CM36" s="77">
        <v>2350.6999999999998</v>
      </c>
      <c r="CN36" s="77">
        <v>2257</v>
      </c>
      <c r="CO36" s="192">
        <v>2201</v>
      </c>
      <c r="CP36" s="77">
        <v>2264.1</v>
      </c>
      <c r="CQ36" s="85">
        <v>2264.1</v>
      </c>
      <c r="CR36" s="85">
        <v>2264.1</v>
      </c>
      <c r="CS36" s="176">
        <v>2264.1</v>
      </c>
      <c r="CT36" s="475">
        <v>2264.1</v>
      </c>
      <c r="CU36" s="85">
        <v>2000</v>
      </c>
      <c r="CV36" s="77">
        <v>0</v>
      </c>
      <c r="CW36" s="176">
        <v>0</v>
      </c>
      <c r="CX36" s="475">
        <v>0</v>
      </c>
      <c r="CY36" s="85">
        <v>0</v>
      </c>
      <c r="CZ36" s="85">
        <v>0</v>
      </c>
      <c r="DA36" s="176">
        <v>0</v>
      </c>
      <c r="DB36" s="475"/>
      <c r="DC36" s="85"/>
      <c r="DD36" s="85"/>
      <c r="DE36" s="176"/>
      <c r="DF36" s="475"/>
      <c r="DG36" s="85"/>
      <c r="DH36" s="85"/>
      <c r="DI36" s="176"/>
      <c r="DJ36" s="475"/>
      <c r="DK36" s="85"/>
      <c r="DL36" s="85"/>
      <c r="DM36" s="176"/>
      <c r="DN36" s="475"/>
      <c r="DO36" s="85"/>
      <c r="DP36" s="85"/>
      <c r="DQ36" s="176"/>
      <c r="DR36" s="475"/>
      <c r="DS36" s="85"/>
      <c r="DT36" s="85"/>
      <c r="DU36" s="176"/>
      <c r="DV36" s="475"/>
      <c r="DW36" s="85"/>
      <c r="DX36" s="85"/>
      <c r="DY36" s="176"/>
      <c r="DZ36" s="475"/>
      <c r="EA36" s="85"/>
      <c r="EB36" s="85"/>
      <c r="EC36" s="176"/>
      <c r="ED36" s="475"/>
      <c r="EE36" s="85"/>
      <c r="EF36" s="85"/>
      <c r="EG36" s="176"/>
      <c r="EH36" s="475"/>
      <c r="EI36" s="85"/>
      <c r="EJ36" s="85"/>
      <c r="EK36" s="176"/>
      <c r="EL36" s="85"/>
    </row>
    <row r="37" spans="1:142" s="89" customFormat="1">
      <c r="A37" s="89" t="s">
        <v>728</v>
      </c>
      <c r="B37" s="1246">
        <v>47330</v>
      </c>
      <c r="C37" s="89" t="s">
        <v>932</v>
      </c>
      <c r="D37" s="1247">
        <v>42209</v>
      </c>
      <c r="H37" s="260"/>
      <c r="L37" s="260"/>
      <c r="P37" s="260"/>
      <c r="T37" s="260"/>
      <c r="X37" s="260"/>
      <c r="AB37" s="260"/>
      <c r="AF37" s="260"/>
      <c r="AJ37" s="260"/>
      <c r="AN37" s="260"/>
      <c r="AR37" s="260"/>
      <c r="AV37" s="260"/>
      <c r="AZ37" s="260"/>
      <c r="BD37" s="260"/>
      <c r="BH37" s="260"/>
      <c r="BL37" s="260"/>
      <c r="BP37" s="260"/>
      <c r="BT37" s="260"/>
      <c r="BX37" s="260"/>
      <c r="CB37" s="260"/>
      <c r="CF37" s="260"/>
      <c r="CJ37" s="260"/>
      <c r="CK37" s="260"/>
      <c r="CL37" s="77">
        <v>1148</v>
      </c>
      <c r="CM37" s="77">
        <v>1052.0999999999999</v>
      </c>
      <c r="CN37" s="77">
        <v>990.2</v>
      </c>
      <c r="CO37" s="192">
        <v>978</v>
      </c>
      <c r="CP37" s="77">
        <v>951.3</v>
      </c>
      <c r="CQ37" s="85">
        <v>951.3</v>
      </c>
      <c r="CR37" s="85">
        <v>951.3</v>
      </c>
      <c r="CS37" s="176">
        <v>951.3</v>
      </c>
      <c r="CT37" s="475">
        <v>951.3</v>
      </c>
      <c r="CU37" s="85">
        <v>951.3</v>
      </c>
      <c r="CV37" s="85">
        <v>951.3</v>
      </c>
      <c r="CW37" s="176">
        <v>951.3</v>
      </c>
      <c r="CX37" s="475">
        <v>951.3</v>
      </c>
      <c r="CY37" s="85">
        <v>951.3</v>
      </c>
      <c r="CZ37" s="85">
        <v>951.3</v>
      </c>
      <c r="DA37" s="176">
        <v>951.3</v>
      </c>
      <c r="DB37" s="475">
        <v>951.3</v>
      </c>
      <c r="DC37" s="85">
        <v>951.3</v>
      </c>
      <c r="DD37" s="85">
        <v>951.3</v>
      </c>
      <c r="DE37" s="176">
        <v>951.3</v>
      </c>
      <c r="DF37" s="475">
        <v>951.3</v>
      </c>
      <c r="DG37" s="85">
        <v>951.3</v>
      </c>
      <c r="DH37" s="85">
        <v>951.3</v>
      </c>
      <c r="DI37" s="176">
        <v>951.3</v>
      </c>
      <c r="DJ37" s="475">
        <v>951.3</v>
      </c>
      <c r="DK37" s="85">
        <v>951.3</v>
      </c>
      <c r="DL37" s="85">
        <v>951.3</v>
      </c>
      <c r="DM37" s="176">
        <v>951.3</v>
      </c>
      <c r="DN37" s="475">
        <v>951.3</v>
      </c>
      <c r="DO37" s="85">
        <v>951.3</v>
      </c>
      <c r="DP37" s="85">
        <v>951.3</v>
      </c>
      <c r="DQ37" s="176">
        <v>951.3</v>
      </c>
      <c r="DR37" s="475">
        <v>951.3</v>
      </c>
      <c r="DS37" s="85">
        <v>951.3</v>
      </c>
      <c r="DT37" s="85">
        <v>951.3</v>
      </c>
      <c r="DU37" s="176">
        <v>951.3</v>
      </c>
      <c r="DV37" s="475">
        <v>951.3</v>
      </c>
      <c r="DW37" s="85">
        <v>951.3</v>
      </c>
      <c r="DX37" s="85">
        <v>951.3</v>
      </c>
      <c r="DY37" s="176">
        <v>951.3</v>
      </c>
      <c r="DZ37" s="475">
        <v>951.3</v>
      </c>
      <c r="EA37" s="85">
        <v>951.3</v>
      </c>
      <c r="EB37" s="85">
        <v>951.3</v>
      </c>
      <c r="EC37" s="176">
        <v>951.3</v>
      </c>
      <c r="ED37" s="475">
        <v>951.3</v>
      </c>
      <c r="EE37" s="85">
        <v>951.3</v>
      </c>
      <c r="EF37" s="85">
        <v>951.3</v>
      </c>
      <c r="EG37" s="176">
        <v>951.3</v>
      </c>
      <c r="EH37" s="475">
        <v>951.3</v>
      </c>
      <c r="EI37" s="85">
        <v>951.3</v>
      </c>
      <c r="EJ37" s="85">
        <v>951.3</v>
      </c>
      <c r="EK37" s="176">
        <v>951.3</v>
      </c>
      <c r="EL37" s="85"/>
    </row>
    <row r="38" spans="1:142" s="89" customFormat="1">
      <c r="A38" s="89" t="s">
        <v>727</v>
      </c>
      <c r="B38" s="1246">
        <v>52078</v>
      </c>
      <c r="C38" s="89" t="s">
        <v>933</v>
      </c>
      <c r="D38" s="1247">
        <v>42209</v>
      </c>
      <c r="H38" s="260"/>
      <c r="L38" s="260"/>
      <c r="P38" s="260"/>
      <c r="T38" s="260"/>
      <c r="X38" s="260"/>
      <c r="AB38" s="260"/>
      <c r="AF38" s="260"/>
      <c r="AJ38" s="260"/>
      <c r="AN38" s="260"/>
      <c r="AR38" s="260"/>
      <c r="AV38" s="260"/>
      <c r="AZ38" s="260"/>
      <c r="BD38" s="260"/>
      <c r="BH38" s="260"/>
      <c r="BL38" s="260"/>
      <c r="BP38" s="260"/>
      <c r="BT38" s="260"/>
      <c r="BX38" s="260"/>
      <c r="CB38" s="260"/>
      <c r="CF38" s="260"/>
      <c r="CJ38" s="260"/>
      <c r="CK38" s="260"/>
      <c r="CL38" s="77">
        <v>766</v>
      </c>
      <c r="CM38" s="77">
        <v>701.4</v>
      </c>
      <c r="CN38" s="77">
        <v>660.1</v>
      </c>
      <c r="CO38" s="192">
        <v>652</v>
      </c>
      <c r="CP38" s="77">
        <v>634.20000000000005</v>
      </c>
      <c r="CQ38" s="85">
        <v>634.20000000000005</v>
      </c>
      <c r="CR38" s="85">
        <v>634.20000000000005</v>
      </c>
      <c r="CS38" s="176">
        <v>634.20000000000005</v>
      </c>
      <c r="CT38" s="475">
        <v>634.20000000000005</v>
      </c>
      <c r="CU38" s="85">
        <v>634.20000000000005</v>
      </c>
      <c r="CV38" s="85">
        <v>634.20000000000005</v>
      </c>
      <c r="CW38" s="176">
        <v>634.20000000000005</v>
      </c>
      <c r="CX38" s="475">
        <v>634.20000000000005</v>
      </c>
      <c r="CY38" s="85">
        <v>634.20000000000005</v>
      </c>
      <c r="CZ38" s="85">
        <v>634.20000000000005</v>
      </c>
      <c r="DA38" s="176">
        <v>634.20000000000005</v>
      </c>
      <c r="DB38" s="475">
        <v>634.20000000000005</v>
      </c>
      <c r="DC38" s="85">
        <v>634.20000000000005</v>
      </c>
      <c r="DD38" s="85">
        <v>634.20000000000005</v>
      </c>
      <c r="DE38" s="176">
        <v>634.20000000000005</v>
      </c>
      <c r="DF38" s="475">
        <v>634.20000000000005</v>
      </c>
      <c r="DG38" s="85">
        <v>634.20000000000005</v>
      </c>
      <c r="DH38" s="85">
        <v>634.20000000000005</v>
      </c>
      <c r="DI38" s="176">
        <v>634.20000000000005</v>
      </c>
      <c r="DJ38" s="475">
        <v>634.20000000000005</v>
      </c>
      <c r="DK38" s="85">
        <v>634.20000000000005</v>
      </c>
      <c r="DL38" s="85">
        <v>634.20000000000005</v>
      </c>
      <c r="DM38" s="176">
        <v>634.20000000000005</v>
      </c>
      <c r="DN38" s="475">
        <v>634.20000000000005</v>
      </c>
      <c r="DO38" s="85">
        <v>634.20000000000005</v>
      </c>
      <c r="DP38" s="85">
        <v>634.20000000000005</v>
      </c>
      <c r="DQ38" s="176">
        <v>634.20000000000005</v>
      </c>
      <c r="DR38" s="475">
        <v>634.20000000000005</v>
      </c>
      <c r="DS38" s="85">
        <v>634.20000000000005</v>
      </c>
      <c r="DT38" s="85">
        <v>634.20000000000005</v>
      </c>
      <c r="DU38" s="176">
        <v>634.20000000000005</v>
      </c>
      <c r="DV38" s="475">
        <v>634.20000000000005</v>
      </c>
      <c r="DW38" s="85">
        <v>634.20000000000005</v>
      </c>
      <c r="DX38" s="85">
        <v>634.20000000000005</v>
      </c>
      <c r="DY38" s="176">
        <v>634.20000000000005</v>
      </c>
      <c r="DZ38" s="475">
        <v>634.20000000000005</v>
      </c>
      <c r="EA38" s="85">
        <v>634.20000000000005</v>
      </c>
      <c r="EB38" s="85">
        <v>634.20000000000005</v>
      </c>
      <c r="EC38" s="176">
        <v>634.20000000000005</v>
      </c>
      <c r="ED38" s="475">
        <v>634.20000000000005</v>
      </c>
      <c r="EE38" s="85">
        <v>634.20000000000005</v>
      </c>
      <c r="EF38" s="85">
        <v>634.20000000000005</v>
      </c>
      <c r="EG38" s="176">
        <v>634.20000000000005</v>
      </c>
      <c r="EH38" s="475">
        <v>634.20000000000005</v>
      </c>
      <c r="EI38" s="85">
        <v>634.20000000000005</v>
      </c>
      <c r="EJ38" s="85">
        <v>634.20000000000005</v>
      </c>
      <c r="EK38" s="176">
        <v>634.20000000000005</v>
      </c>
      <c r="EL38" s="85"/>
    </row>
    <row r="39" spans="1:142" s="89" customFormat="1">
      <c r="A39" s="89" t="s">
        <v>966</v>
      </c>
      <c r="B39" s="1246">
        <v>43678</v>
      </c>
      <c r="D39" s="2916">
        <v>42217</v>
      </c>
      <c r="H39" s="260"/>
      <c r="L39" s="260"/>
      <c r="P39" s="260"/>
      <c r="T39" s="260"/>
      <c r="X39" s="260"/>
      <c r="AB39" s="260"/>
      <c r="AF39" s="260"/>
      <c r="AJ39" s="260"/>
      <c r="AN39" s="260"/>
      <c r="AR39" s="260"/>
      <c r="AV39" s="260"/>
      <c r="AZ39" s="260"/>
      <c r="BD39" s="260"/>
      <c r="BH39" s="260"/>
      <c r="BL39" s="260"/>
      <c r="BP39" s="260"/>
      <c r="BT39" s="260"/>
      <c r="BX39" s="260"/>
      <c r="CB39" s="260"/>
      <c r="CF39" s="260"/>
      <c r="CJ39" s="260"/>
      <c r="CK39" s="260"/>
      <c r="CL39" s="77">
        <v>282</v>
      </c>
      <c r="CM39" s="77">
        <v>306.8</v>
      </c>
      <c r="CN39" s="77">
        <v>295.5</v>
      </c>
      <c r="CO39" s="192">
        <v>289.39999999999998</v>
      </c>
      <c r="CP39" s="77">
        <v>281.5</v>
      </c>
      <c r="CQ39" s="85">
        <v>281.5</v>
      </c>
      <c r="CR39" s="85">
        <v>281.5</v>
      </c>
      <c r="CS39" s="192">
        <v>0</v>
      </c>
      <c r="CT39" s="475">
        <v>0</v>
      </c>
      <c r="CU39" s="85">
        <v>0</v>
      </c>
      <c r="CV39" s="85">
        <v>0</v>
      </c>
      <c r="CW39" s="176">
        <v>0</v>
      </c>
      <c r="CX39" s="475">
        <v>0</v>
      </c>
      <c r="CY39" s="85">
        <v>0</v>
      </c>
      <c r="CZ39" s="85">
        <v>0</v>
      </c>
      <c r="DA39" s="176">
        <v>0</v>
      </c>
      <c r="DB39" s="475"/>
      <c r="DC39" s="85"/>
      <c r="DD39" s="85"/>
      <c r="DE39" s="176"/>
      <c r="DF39" s="475"/>
      <c r="DG39" s="85"/>
      <c r="DH39" s="85"/>
      <c r="DI39" s="176"/>
      <c r="DJ39" s="475"/>
      <c r="DK39" s="85"/>
      <c r="DL39" s="85"/>
      <c r="DM39" s="176"/>
      <c r="DN39" s="475"/>
      <c r="DO39" s="85"/>
      <c r="DP39" s="85"/>
      <c r="DQ39" s="176"/>
      <c r="DR39" s="475"/>
      <c r="DS39" s="85"/>
      <c r="DT39" s="85"/>
      <c r="DU39" s="176"/>
      <c r="DV39" s="475"/>
      <c r="DW39" s="85"/>
      <c r="DX39" s="85"/>
      <c r="DY39" s="176"/>
      <c r="DZ39" s="475"/>
      <c r="EA39" s="85"/>
      <c r="EB39" s="85"/>
      <c r="EC39" s="176"/>
      <c r="ED39" s="475"/>
      <c r="EE39" s="85"/>
      <c r="EF39" s="85"/>
      <c r="EG39" s="176"/>
      <c r="EH39" s="475"/>
      <c r="EI39" s="85"/>
      <c r="EJ39" s="85"/>
      <c r="EK39" s="176"/>
      <c r="EL39" s="85"/>
    </row>
    <row r="40" spans="1:142" s="89" customFormat="1">
      <c r="A40" s="89" t="s">
        <v>729</v>
      </c>
      <c r="B40" s="1246">
        <v>44774</v>
      </c>
      <c r="C40" s="89" t="s">
        <v>1048</v>
      </c>
      <c r="D40" s="2916">
        <v>42217</v>
      </c>
      <c r="H40" s="260"/>
      <c r="L40" s="260"/>
      <c r="P40" s="260"/>
      <c r="T40" s="260"/>
      <c r="X40" s="260"/>
      <c r="AB40" s="260"/>
      <c r="AF40" s="260"/>
      <c r="AJ40" s="260"/>
      <c r="AN40" s="260"/>
      <c r="AR40" s="260"/>
      <c r="AV40" s="260"/>
      <c r="AZ40" s="260"/>
      <c r="BD40" s="260"/>
      <c r="BH40" s="260"/>
      <c r="BL40" s="260"/>
      <c r="BP40" s="260"/>
      <c r="BT40" s="260"/>
      <c r="BX40" s="260"/>
      <c r="CB40" s="260"/>
      <c r="CF40" s="260"/>
      <c r="CJ40" s="260"/>
      <c r="CK40" s="260"/>
      <c r="CL40" s="77">
        <v>810</v>
      </c>
      <c r="CM40" s="77">
        <v>882.1</v>
      </c>
      <c r="CN40" s="77">
        <v>849.7</v>
      </c>
      <c r="CO40" s="192">
        <v>832.1</v>
      </c>
      <c r="CP40" s="77">
        <v>809.2</v>
      </c>
      <c r="CQ40" s="85">
        <v>809.2</v>
      </c>
      <c r="CR40" s="85">
        <v>809.2</v>
      </c>
      <c r="CS40" s="176">
        <v>809.2</v>
      </c>
      <c r="CT40" s="475">
        <v>809.2</v>
      </c>
      <c r="CU40" s="85">
        <v>809.2</v>
      </c>
      <c r="CV40" s="85">
        <v>809.2</v>
      </c>
      <c r="CW40" s="176">
        <v>809.2</v>
      </c>
      <c r="CX40" s="475">
        <v>809.2</v>
      </c>
      <c r="CY40" s="85">
        <v>809.2</v>
      </c>
      <c r="CZ40" s="85">
        <v>809.2</v>
      </c>
      <c r="DA40" s="176">
        <v>809.2</v>
      </c>
      <c r="DB40" s="475">
        <v>809.2</v>
      </c>
      <c r="DC40" s="85">
        <v>809.2</v>
      </c>
      <c r="DD40" s="85">
        <v>809.2</v>
      </c>
      <c r="DE40" s="176"/>
      <c r="DF40" s="475">
        <v>0</v>
      </c>
      <c r="DG40" s="85">
        <v>0</v>
      </c>
      <c r="DH40" s="85">
        <v>0</v>
      </c>
      <c r="DI40" s="176">
        <v>0</v>
      </c>
      <c r="DJ40" s="475">
        <v>0</v>
      </c>
      <c r="DK40" s="85">
        <v>0</v>
      </c>
      <c r="DL40" s="85">
        <v>0</v>
      </c>
      <c r="DM40" s="176">
        <v>0</v>
      </c>
      <c r="DN40" s="475">
        <v>0</v>
      </c>
      <c r="DO40" s="85">
        <v>0</v>
      </c>
      <c r="DP40" s="85">
        <v>0</v>
      </c>
      <c r="DQ40" s="176">
        <v>0</v>
      </c>
      <c r="DR40" s="475">
        <v>0</v>
      </c>
      <c r="DS40" s="85">
        <v>0</v>
      </c>
      <c r="DT40" s="85">
        <v>0</v>
      </c>
      <c r="DU40" s="176"/>
      <c r="DV40" s="475">
        <v>0</v>
      </c>
      <c r="DW40" s="85">
        <v>0</v>
      </c>
      <c r="DX40" s="85">
        <v>0</v>
      </c>
      <c r="DY40" s="176"/>
      <c r="DZ40" s="475">
        <v>0</v>
      </c>
      <c r="EA40" s="85">
        <v>0</v>
      </c>
      <c r="EB40" s="85">
        <v>0</v>
      </c>
      <c r="EC40" s="176"/>
      <c r="ED40" s="475">
        <v>0</v>
      </c>
      <c r="EE40" s="85">
        <v>0</v>
      </c>
      <c r="EF40" s="85">
        <v>0</v>
      </c>
      <c r="EG40" s="176"/>
      <c r="EH40" s="475">
        <v>0</v>
      </c>
      <c r="EI40" s="85">
        <v>0</v>
      </c>
      <c r="EJ40" s="85">
        <v>0</v>
      </c>
      <c r="EK40" s="176"/>
      <c r="EL40" s="85"/>
    </row>
    <row r="41" spans="1:142" s="89" customFormat="1">
      <c r="A41" s="89" t="s">
        <v>730</v>
      </c>
      <c r="B41" s="1246">
        <v>45308</v>
      </c>
      <c r="C41" s="89" t="s">
        <v>934</v>
      </c>
      <c r="D41" s="1247">
        <v>42257</v>
      </c>
      <c r="H41" s="260"/>
      <c r="L41" s="260"/>
      <c r="P41" s="260"/>
      <c r="T41" s="260"/>
      <c r="X41" s="260"/>
      <c r="AB41" s="260"/>
      <c r="AF41" s="260"/>
      <c r="AJ41" s="260"/>
      <c r="AN41" s="260"/>
      <c r="AR41" s="260"/>
      <c r="AV41" s="260"/>
      <c r="AZ41" s="260"/>
      <c r="BD41" s="260"/>
      <c r="BH41" s="260"/>
      <c r="BL41" s="260"/>
      <c r="BP41" s="260"/>
      <c r="BT41" s="260"/>
      <c r="BX41" s="260"/>
      <c r="CB41" s="260"/>
      <c r="CF41" s="260"/>
      <c r="CJ41" s="260"/>
      <c r="CK41" s="260"/>
      <c r="CL41" s="77">
        <v>1113</v>
      </c>
      <c r="CM41" s="77">
        <v>1229.9000000000001</v>
      </c>
      <c r="CN41" s="77">
        <v>1167.5999999999999</v>
      </c>
      <c r="CO41" s="192">
        <v>1161.5</v>
      </c>
      <c r="CP41" s="77">
        <v>1143.5</v>
      </c>
      <c r="CQ41" s="85">
        <v>1143.5</v>
      </c>
      <c r="CR41" s="85">
        <v>1143.5</v>
      </c>
      <c r="CS41" s="176">
        <v>1143.5</v>
      </c>
      <c r="CT41" s="475">
        <v>1143.5</v>
      </c>
      <c r="CU41" s="85">
        <v>1143.5</v>
      </c>
      <c r="CV41" s="85">
        <v>1143.5</v>
      </c>
      <c r="CW41" s="176">
        <v>1143.5</v>
      </c>
      <c r="CX41" s="475">
        <v>1143.5</v>
      </c>
      <c r="CY41" s="85">
        <v>1143.5</v>
      </c>
      <c r="CZ41" s="85">
        <v>1143.5</v>
      </c>
      <c r="DA41" s="176">
        <v>1143.5</v>
      </c>
      <c r="DB41" s="475">
        <v>1143.5</v>
      </c>
      <c r="DC41" s="85">
        <v>1143.5</v>
      </c>
      <c r="DD41" s="85">
        <v>1143.5</v>
      </c>
      <c r="DE41" s="176">
        <v>1143.5</v>
      </c>
      <c r="DF41" s="475">
        <v>1143.5</v>
      </c>
      <c r="DG41" s="85">
        <v>1143.5</v>
      </c>
      <c r="DH41" s="85">
        <v>1143.5</v>
      </c>
      <c r="DI41" s="176">
        <v>1143.5</v>
      </c>
      <c r="DJ41" s="475">
        <v>1143.5</v>
      </c>
      <c r="DK41" s="85">
        <v>1143.5</v>
      </c>
      <c r="DL41" s="85">
        <v>1143.5</v>
      </c>
      <c r="DM41" s="176">
        <v>1143.5</v>
      </c>
      <c r="DN41" s="475">
        <v>1143.5</v>
      </c>
      <c r="DO41" s="85">
        <v>1143.5</v>
      </c>
      <c r="DP41" s="85">
        <v>1143.5</v>
      </c>
      <c r="DQ41" s="176">
        <v>1143.5</v>
      </c>
      <c r="DR41" s="475">
        <v>1143.5</v>
      </c>
      <c r="DS41" s="85">
        <v>1143.5</v>
      </c>
      <c r="DT41" s="85">
        <v>1143.5</v>
      </c>
      <c r="DU41" s="176">
        <v>1143.5</v>
      </c>
      <c r="DV41" s="475">
        <v>1143.5</v>
      </c>
      <c r="DW41" s="85">
        <v>1143.5</v>
      </c>
      <c r="DX41" s="85">
        <v>1143.5</v>
      </c>
      <c r="DY41" s="176">
        <v>1143.5</v>
      </c>
      <c r="DZ41" s="475">
        <v>1143.5</v>
      </c>
      <c r="EA41" s="85">
        <v>1143.5</v>
      </c>
      <c r="EB41" s="85">
        <v>1143.5</v>
      </c>
      <c r="EC41" s="176">
        <v>1143.5</v>
      </c>
      <c r="ED41" s="475">
        <v>1143.5</v>
      </c>
      <c r="EE41" s="85">
        <v>1143.5</v>
      </c>
      <c r="EF41" s="85">
        <v>1143.5</v>
      </c>
      <c r="EG41" s="176">
        <v>1143.5</v>
      </c>
      <c r="EH41" s="475">
        <v>1143.5</v>
      </c>
      <c r="EI41" s="85">
        <v>1143.5</v>
      </c>
      <c r="EJ41" s="85">
        <v>1143.5</v>
      </c>
      <c r="EK41" s="176">
        <v>1143.5</v>
      </c>
      <c r="EL41" s="85"/>
    </row>
    <row r="42" spans="1:142" s="89" customFormat="1">
      <c r="A42" s="89" t="s">
        <v>731</v>
      </c>
      <c r="B42" s="1246">
        <v>46647</v>
      </c>
      <c r="C42" s="89" t="s">
        <v>935</v>
      </c>
      <c r="D42" s="1247">
        <v>42257</v>
      </c>
      <c r="H42" s="260"/>
      <c r="L42" s="260"/>
      <c r="P42" s="260"/>
      <c r="T42" s="260"/>
      <c r="X42" s="260"/>
      <c r="AB42" s="260"/>
      <c r="AF42" s="260"/>
      <c r="AJ42" s="260"/>
      <c r="AN42" s="260"/>
      <c r="AR42" s="260"/>
      <c r="AV42" s="260"/>
      <c r="AZ42" s="260"/>
      <c r="BD42" s="260"/>
      <c r="BH42" s="260"/>
      <c r="BL42" s="260"/>
      <c r="BP42" s="260"/>
      <c r="BT42" s="260"/>
      <c r="BX42" s="260"/>
      <c r="CB42" s="260"/>
      <c r="CF42" s="260"/>
      <c r="CJ42" s="260"/>
      <c r="CK42" s="260"/>
      <c r="CL42" s="77">
        <v>1113</v>
      </c>
      <c r="CM42" s="77">
        <v>1229.9000000000001</v>
      </c>
      <c r="CN42" s="77">
        <v>1167.5999999999999</v>
      </c>
      <c r="CO42" s="192">
        <v>1161.5</v>
      </c>
      <c r="CP42" s="77">
        <v>1143.5</v>
      </c>
      <c r="CQ42" s="85">
        <v>1143.5</v>
      </c>
      <c r="CR42" s="85">
        <v>1143.5</v>
      </c>
      <c r="CS42" s="176">
        <v>1143.5</v>
      </c>
      <c r="CT42" s="475">
        <v>1143.5</v>
      </c>
      <c r="CU42" s="85">
        <v>1143.5</v>
      </c>
      <c r="CV42" s="85">
        <v>1143.5</v>
      </c>
      <c r="CW42" s="176">
        <v>1143.5</v>
      </c>
      <c r="CX42" s="475">
        <v>1143.5</v>
      </c>
      <c r="CY42" s="85">
        <v>1143.5</v>
      </c>
      <c r="CZ42" s="85">
        <v>1143.5</v>
      </c>
      <c r="DA42" s="176">
        <v>1143.5</v>
      </c>
      <c r="DB42" s="475">
        <v>1143.5</v>
      </c>
      <c r="DC42" s="85">
        <v>1143.5</v>
      </c>
      <c r="DD42" s="85">
        <v>1143.5</v>
      </c>
      <c r="DE42" s="176">
        <v>1143.5</v>
      </c>
      <c r="DF42" s="475">
        <v>1143.5</v>
      </c>
      <c r="DG42" s="85">
        <v>1143.5</v>
      </c>
      <c r="DH42" s="85">
        <v>1143.5</v>
      </c>
      <c r="DI42" s="176">
        <v>1143.5</v>
      </c>
      <c r="DJ42" s="475">
        <v>1143.5</v>
      </c>
      <c r="DK42" s="85">
        <v>1143.5</v>
      </c>
      <c r="DL42" s="85">
        <v>1143.5</v>
      </c>
      <c r="DM42" s="176">
        <v>1143.5</v>
      </c>
      <c r="DN42" s="475">
        <v>1143.5</v>
      </c>
      <c r="DO42" s="85">
        <v>1143.5</v>
      </c>
      <c r="DP42" s="85">
        <v>1143.5</v>
      </c>
      <c r="DQ42" s="176">
        <v>1143.5</v>
      </c>
      <c r="DR42" s="475">
        <v>1143.5</v>
      </c>
      <c r="DS42" s="85">
        <v>1143.5</v>
      </c>
      <c r="DT42" s="85">
        <v>1143.5</v>
      </c>
      <c r="DU42" s="176">
        <v>1143.5</v>
      </c>
      <c r="DV42" s="475">
        <v>1143.5</v>
      </c>
      <c r="DW42" s="85">
        <v>1143.5</v>
      </c>
      <c r="DX42" s="85">
        <v>1143.5</v>
      </c>
      <c r="DY42" s="176">
        <v>1143.5</v>
      </c>
      <c r="DZ42" s="475">
        <v>1143.5</v>
      </c>
      <c r="EA42" s="85">
        <v>1143.5</v>
      </c>
      <c r="EB42" s="85">
        <v>1143.5</v>
      </c>
      <c r="EC42" s="176">
        <v>1143.5</v>
      </c>
      <c r="ED42" s="475">
        <v>1143.5</v>
      </c>
      <c r="EE42" s="85">
        <v>1143.5</v>
      </c>
      <c r="EF42" s="85">
        <v>1143.5</v>
      </c>
      <c r="EG42" s="176">
        <v>1143.5</v>
      </c>
      <c r="EH42" s="475">
        <v>1143.5</v>
      </c>
      <c r="EI42" s="85">
        <v>1143.5</v>
      </c>
      <c r="EJ42" s="85">
        <v>1143.5</v>
      </c>
      <c r="EK42" s="176">
        <v>1143.5</v>
      </c>
      <c r="EL42" s="85"/>
    </row>
    <row r="43" spans="1:142" s="89" customFormat="1">
      <c r="A43" s="89" t="s">
        <v>1056</v>
      </c>
      <c r="B43" s="1246">
        <v>43518</v>
      </c>
      <c r="D43" s="2916">
        <v>42416</v>
      </c>
      <c r="H43" s="260"/>
      <c r="L43" s="260"/>
      <c r="P43" s="260"/>
      <c r="T43" s="260"/>
      <c r="X43" s="260"/>
      <c r="AB43" s="260"/>
      <c r="AF43" s="260"/>
      <c r="AJ43" s="260"/>
      <c r="AN43" s="260"/>
      <c r="AR43" s="260"/>
      <c r="AV43" s="260"/>
      <c r="AZ43" s="260"/>
      <c r="BD43" s="260"/>
      <c r="BH43" s="260"/>
      <c r="BL43" s="260"/>
      <c r="BP43" s="260"/>
      <c r="BT43" s="260"/>
      <c r="BX43" s="260"/>
      <c r="CB43" s="260"/>
      <c r="CF43" s="260"/>
      <c r="CJ43" s="260"/>
      <c r="CK43" s="260"/>
      <c r="CL43" s="77">
        <v>500</v>
      </c>
      <c r="CM43" s="62">
        <f t="shared" ref="CM43:CP44" si="118">CL43</f>
      </c>
      <c r="CN43" s="62">
        <f t="shared" si="118"/>
      </c>
      <c r="CO43" s="226">
        <f t="shared" si="118"/>
      </c>
      <c r="CP43" s="62">
        <f t="shared" si="118"/>
      </c>
      <c r="CQ43" s="77">
        <v>0</v>
      </c>
      <c r="CR43" s="85">
        <f t="shared" ref="CR43:DU43" si="119">CQ43</f>
      </c>
      <c r="CS43" s="176">
        <f t="shared" si="119"/>
      </c>
      <c r="CT43" s="475">
        <f t="shared" si="119"/>
      </c>
      <c r="CU43" s="85">
        <f t="shared" si="119"/>
      </c>
      <c r="CV43" s="85">
        <f t="shared" si="119"/>
      </c>
      <c r="CW43" s="176">
        <f t="shared" si="119"/>
      </c>
      <c r="CX43" s="475">
        <f t="shared" si="119"/>
      </c>
      <c r="CY43" s="85">
        <f t="shared" si="119"/>
      </c>
      <c r="CZ43" s="85">
        <f t="shared" si="119"/>
      </c>
      <c r="DA43" s="176">
        <f t="shared" si="119"/>
      </c>
      <c r="DB43" s="475">
        <f t="shared" si="119"/>
      </c>
      <c r="DC43" s="85">
        <f t="shared" si="119"/>
      </c>
      <c r="DD43" s="85">
        <f t="shared" si="119"/>
      </c>
      <c r="DE43" s="176">
        <f t="shared" si="119"/>
      </c>
      <c r="DF43" s="475">
        <f t="shared" si="119"/>
      </c>
      <c r="DG43" s="85">
        <f t="shared" si="119"/>
      </c>
      <c r="DH43" s="85">
        <f t="shared" si="119"/>
      </c>
      <c r="DI43" s="176">
        <f t="shared" si="119"/>
      </c>
      <c r="DJ43" s="475">
        <f t="shared" si="119"/>
      </c>
      <c r="DK43" s="85">
        <f t="shared" si="119"/>
      </c>
      <c r="DL43" s="85">
        <f t="shared" si="119"/>
      </c>
      <c r="DM43" s="176">
        <f t="shared" si="119"/>
      </c>
      <c r="DN43" s="475">
        <f t="shared" si="119"/>
      </c>
      <c r="DO43" s="85">
        <f t="shared" si="119"/>
      </c>
      <c r="DP43" s="85">
        <f t="shared" si="119"/>
      </c>
      <c r="DQ43" s="176">
        <f t="shared" si="119"/>
      </c>
      <c r="DR43" s="475">
        <f t="shared" si="119"/>
      </c>
      <c r="DS43" s="85">
        <f t="shared" si="119"/>
      </c>
      <c r="DT43" s="85">
        <f t="shared" si="119"/>
      </c>
      <c r="DU43" s="176">
        <f t="shared" si="119"/>
      </c>
      <c r="DV43" s="475">
        <f t="shared" ref="DV43:DV45" si="120">DU43</f>
      </c>
      <c r="DW43" s="85">
        <f t="shared" ref="DW43" si="121">DV43</f>
      </c>
      <c r="DX43" s="85">
        <f t="shared" ref="DX43" si="122">DW43</f>
      </c>
      <c r="DY43" s="176">
        <f t="shared" ref="DY43" si="123">DX43</f>
      </c>
      <c r="DZ43" s="475">
        <f t="shared" ref="DZ43:DZ45" si="124">DY43</f>
      </c>
      <c r="EA43" s="85">
        <f t="shared" ref="EA43" si="125">DZ43</f>
      </c>
      <c r="EB43" s="85">
        <f t="shared" ref="EB43" si="126">EA43</f>
      </c>
      <c r="EC43" s="176">
        <f t="shared" ref="EC43" si="127">EB43</f>
      </c>
      <c r="ED43" s="475">
        <f t="shared" ref="ED43:ED45" si="128">EC43</f>
      </c>
      <c r="EE43" s="85">
        <f t="shared" ref="EE43" si="129">ED43</f>
      </c>
      <c r="EF43" s="85">
        <f t="shared" ref="EF43" si="130">EE43</f>
      </c>
      <c r="EG43" s="176">
        <f t="shared" ref="EG43" si="131">EF43</f>
      </c>
      <c r="EH43" s="475">
        <f t="shared" ref="EH43:EH45" si="132">EG43</f>
      </c>
      <c r="EI43" s="85">
        <f t="shared" ref="EI43" si="133">EH43</f>
      </c>
      <c r="EJ43" s="85">
        <f t="shared" ref="EJ43" si="134">EI43</f>
      </c>
      <c r="EK43" s="176">
        <f t="shared" ref="EK43" si="135">EJ43</f>
      </c>
      <c r="EL43" s="85"/>
    </row>
    <row r="44" spans="1:142" s="89" customFormat="1">
      <c r="A44" s="2914" t="s">
        <v>1062</v>
      </c>
      <c r="B44" s="1246">
        <v>44250</v>
      </c>
      <c r="D44" s="2916">
        <v>42416</v>
      </c>
      <c r="H44" s="260"/>
      <c r="L44" s="260"/>
      <c r="P44" s="260"/>
      <c r="T44" s="260"/>
      <c r="X44" s="260"/>
      <c r="AB44" s="260"/>
      <c r="AF44" s="260"/>
      <c r="AJ44" s="260"/>
      <c r="AN44" s="260"/>
      <c r="AR44" s="260"/>
      <c r="AV44" s="260"/>
      <c r="AZ44" s="260"/>
      <c r="BD44" s="260"/>
      <c r="BH44" s="260"/>
      <c r="BL44" s="260"/>
      <c r="BP44" s="260"/>
      <c r="BT44" s="260"/>
      <c r="BX44" s="260"/>
      <c r="CB44" s="260"/>
      <c r="CF44" s="260"/>
      <c r="CJ44" s="260"/>
      <c r="CK44" s="260"/>
      <c r="CL44" s="77">
        <v>500</v>
      </c>
      <c r="CM44" s="62">
        <f t="shared" si="118"/>
      </c>
      <c r="CN44" s="62">
        <f t="shared" si="118"/>
      </c>
      <c r="CO44" s="226">
        <f t="shared" si="118"/>
      </c>
      <c r="CP44" s="62">
        <f t="shared" si="118"/>
      </c>
      <c r="CQ44" s="85">
        <f t="shared" ref="CQ44:CX44" si="136">CP44</f>
      </c>
      <c r="CR44" s="85">
        <f t="shared" si="136"/>
      </c>
      <c r="CS44" s="176">
        <f t="shared" si="136"/>
      </c>
      <c r="CT44" s="475">
        <f t="shared" si="136"/>
      </c>
      <c r="CU44" s="85">
        <f t="shared" si="136"/>
      </c>
      <c r="CV44" s="85">
        <f t="shared" si="136"/>
      </c>
      <c r="CW44" s="176">
        <f t="shared" si="136"/>
      </c>
      <c r="CX44" s="475">
        <f t="shared" si="136"/>
      </c>
      <c r="CY44" s="77">
        <v>0</v>
      </c>
      <c r="CZ44" s="85">
        <f t="shared" ref="CZ44:DB45" si="137">CY44</f>
      </c>
      <c r="DA44" s="176">
        <f t="shared" si="137"/>
      </c>
      <c r="DB44" s="475">
        <f t="shared" si="137"/>
      </c>
      <c r="DC44" s="77">
        <v>0</v>
      </c>
      <c r="DD44" s="85">
        <f t="shared" ref="DD44:DF45" si="138">DC44</f>
      </c>
      <c r="DE44" s="176">
        <f t="shared" si="138"/>
      </c>
      <c r="DF44" s="475">
        <f t="shared" si="138"/>
      </c>
      <c r="DG44" s="77">
        <v>0</v>
      </c>
      <c r="DH44" s="85">
        <f t="shared" ref="DH44:DJ45" si="139">DG44</f>
      </c>
      <c r="DI44" s="176">
        <f t="shared" si="139"/>
      </c>
      <c r="DJ44" s="475">
        <f t="shared" si="139"/>
      </c>
      <c r="DK44" s="77">
        <v>0</v>
      </c>
      <c r="DL44" s="85">
        <f t="shared" ref="DL44:DN45" si="140">DK44</f>
      </c>
      <c r="DM44" s="176">
        <f t="shared" si="140"/>
      </c>
      <c r="DN44" s="475">
        <f t="shared" si="140"/>
      </c>
      <c r="DO44" s="77">
        <v>0</v>
      </c>
      <c r="DP44" s="85">
        <f t="shared" ref="DP44:DR45" si="141">DO44</f>
      </c>
      <c r="DQ44" s="176">
        <f t="shared" si="141"/>
      </c>
      <c r="DR44" s="475">
        <f t="shared" si="141"/>
      </c>
      <c r="DS44" s="77">
        <v>0</v>
      </c>
      <c r="DT44" s="85">
        <f>DS44</f>
      </c>
      <c r="DU44" s="176">
        <f>DT44</f>
      </c>
      <c r="DV44" s="475">
        <f t="shared" si="120"/>
      </c>
      <c r="DW44" s="77">
        <v>0</v>
      </c>
      <c r="DX44" s="85">
        <f>DW44</f>
      </c>
      <c r="DY44" s="176">
        <f>DX44</f>
      </c>
      <c r="DZ44" s="475">
        <f t="shared" si="124"/>
      </c>
      <c r="EA44" s="77">
        <v>0</v>
      </c>
      <c r="EB44" s="85">
        <f>EA44</f>
      </c>
      <c r="EC44" s="176">
        <f>EB44</f>
      </c>
      <c r="ED44" s="475">
        <f t="shared" si="128"/>
      </c>
      <c r="EE44" s="77">
        <v>0</v>
      </c>
      <c r="EF44" s="85">
        <f>EE44</f>
      </c>
      <c r="EG44" s="176">
        <f>EF44</f>
      </c>
      <c r="EH44" s="475">
        <f t="shared" si="132"/>
      </c>
      <c r="EI44" s="77">
        <v>0</v>
      </c>
      <c r="EJ44" s="85">
        <f>EI44</f>
      </c>
      <c r="EK44" s="176">
        <f>EJ44</f>
      </c>
      <c r="EL44" s="85"/>
    </row>
    <row r="45" spans="1:142" s="89" customFormat="1">
      <c r="A45" s="89" t="s">
        <v>1054</v>
      </c>
      <c r="B45" s="1246">
        <v>43678</v>
      </c>
      <c r="D45" s="2916">
        <v>42583</v>
      </c>
      <c r="H45" s="260"/>
      <c r="L45" s="260"/>
      <c r="P45" s="260"/>
      <c r="T45" s="260"/>
      <c r="X45" s="260"/>
      <c r="AB45" s="260"/>
      <c r="AF45" s="260"/>
      <c r="AJ45" s="260"/>
      <c r="AN45" s="260"/>
      <c r="AR45" s="260"/>
      <c r="AV45" s="260"/>
      <c r="AZ45" s="260"/>
      <c r="BD45" s="260"/>
      <c r="BH45" s="260"/>
      <c r="BL45" s="260"/>
      <c r="BP45" s="260"/>
      <c r="BT45" s="260"/>
      <c r="BX45" s="260"/>
      <c r="CB45" s="260"/>
      <c r="CF45" s="260"/>
      <c r="CJ45" s="260"/>
      <c r="CK45" s="260"/>
      <c r="CL45" s="77"/>
      <c r="CM45" s="137">
        <v>350</v>
      </c>
      <c r="CN45" s="137">
        <v>350</v>
      </c>
      <c r="CO45" s="275">
        <f t="shared" ref="CO45:CR46" si="142">CN45</f>
      </c>
      <c r="CP45" s="62">
        <f t="shared" si="142"/>
      </c>
      <c r="CQ45" s="85">
        <f t="shared" si="142"/>
      </c>
      <c r="CR45" s="85">
        <f t="shared" si="142"/>
      </c>
      <c r="CS45" s="192">
        <v>0</v>
      </c>
      <c r="CT45" s="475">
        <f t="shared" ref="CT45:CY45" si="143">CS45</f>
      </c>
      <c r="CU45" s="85">
        <f t="shared" si="143"/>
      </c>
      <c r="CV45" s="85">
        <f t="shared" si="143"/>
      </c>
      <c r="CW45" s="176">
        <f t="shared" si="143"/>
      </c>
      <c r="CX45" s="475">
        <f t="shared" si="143"/>
      </c>
      <c r="CY45" s="85">
        <f t="shared" si="143"/>
      </c>
      <c r="CZ45" s="85">
        <f t="shared" si="137"/>
      </c>
      <c r="DA45" s="176">
        <f t="shared" si="137"/>
      </c>
      <c r="DB45" s="475">
        <f t="shared" si="137"/>
      </c>
      <c r="DC45" s="85">
        <f>DB45</f>
      </c>
      <c r="DD45" s="85">
        <f t="shared" si="138"/>
      </c>
      <c r="DE45" s="176">
        <f t="shared" si="138"/>
      </c>
      <c r="DF45" s="475">
        <f t="shared" si="138"/>
      </c>
      <c r="DG45" s="85">
        <f>DF45</f>
      </c>
      <c r="DH45" s="85">
        <f t="shared" si="139"/>
      </c>
      <c r="DI45" s="176">
        <f t="shared" si="139"/>
      </c>
      <c r="DJ45" s="475">
        <f t="shared" si="139"/>
      </c>
      <c r="DK45" s="85">
        <f>DJ45</f>
      </c>
      <c r="DL45" s="85">
        <f t="shared" si="140"/>
      </c>
      <c r="DM45" s="176">
        <f t="shared" si="140"/>
      </c>
      <c r="DN45" s="475">
        <f t="shared" si="140"/>
      </c>
      <c r="DO45" s="85">
        <f>DN45</f>
      </c>
      <c r="DP45" s="85">
        <f t="shared" si="141"/>
      </c>
      <c r="DQ45" s="176">
        <f t="shared" si="141"/>
      </c>
      <c r="DR45" s="475">
        <f t="shared" si="141"/>
      </c>
      <c r="DS45" s="85">
        <f>DR45</f>
      </c>
      <c r="DT45" s="85">
        <f>DS45</f>
      </c>
      <c r="DU45" s="176">
        <f>DT45</f>
      </c>
      <c r="DV45" s="475">
        <f t="shared" si="120"/>
      </c>
      <c r="DW45" s="85">
        <f>DV45</f>
      </c>
      <c r="DX45" s="85">
        <f>DW45</f>
      </c>
      <c r="DY45" s="176">
        <f>DX45</f>
      </c>
      <c r="DZ45" s="475">
        <f t="shared" si="124"/>
      </c>
      <c r="EA45" s="85">
        <f>DZ45</f>
      </c>
      <c r="EB45" s="85">
        <f>EA45</f>
      </c>
      <c r="EC45" s="176">
        <f>EB45</f>
      </c>
      <c r="ED45" s="475">
        <f t="shared" si="128"/>
      </c>
      <c r="EE45" s="85">
        <f>ED45</f>
      </c>
      <c r="EF45" s="85">
        <f>EE45</f>
      </c>
      <c r="EG45" s="176">
        <f>EF45</f>
      </c>
      <c r="EH45" s="475">
        <f t="shared" si="132"/>
      </c>
      <c r="EI45" s="85">
        <f>EH45</f>
      </c>
      <c r="EJ45" s="85">
        <f>EI45</f>
      </c>
      <c r="EK45" s="176">
        <f>EJ45</f>
      </c>
      <c r="EL45" s="85"/>
    </row>
    <row r="46" spans="1:142" s="89" customFormat="1">
      <c r="A46" s="89" t="s">
        <v>732</v>
      </c>
      <c r="B46" s="1246">
        <v>43154</v>
      </c>
      <c r="D46" s="2916">
        <v>42416</v>
      </c>
      <c r="H46" s="260"/>
      <c r="L46" s="260"/>
      <c r="P46" s="260"/>
      <c r="T46" s="260"/>
      <c r="X46" s="260"/>
      <c r="AB46" s="260"/>
      <c r="AF46" s="260"/>
      <c r="AJ46" s="260"/>
      <c r="AN46" s="260"/>
      <c r="AR46" s="260"/>
      <c r="AV46" s="260"/>
      <c r="AZ46" s="260"/>
      <c r="BD46" s="260"/>
      <c r="BH46" s="260"/>
      <c r="BL46" s="260"/>
      <c r="BP46" s="260"/>
      <c r="BT46" s="260"/>
      <c r="BX46" s="260"/>
      <c r="CB46" s="260"/>
      <c r="CF46" s="260"/>
      <c r="CJ46" s="260"/>
      <c r="CK46" s="260"/>
      <c r="CL46" s="77">
        <v>500</v>
      </c>
      <c r="CM46" s="77">
        <v>0</v>
      </c>
      <c r="CN46" s="62">
        <f t="shared" ref="CN46:CN52" si="144">CM46</f>
      </c>
      <c r="CO46" s="226">
        <f t="shared" si="142"/>
      </c>
      <c r="CP46" s="62">
        <f t="shared" si="142"/>
      </c>
      <c r="CQ46" s="85">
        <f t="shared" si="142"/>
      </c>
      <c r="CR46" s="85">
        <f t="shared" si="142"/>
      </c>
      <c r="CS46" s="176">
        <f t="shared" ref="CS46:CS52" si="145">CR46</f>
      </c>
      <c r="CT46" s="475">
        <v>0</v>
      </c>
      <c r="CU46" s="85">
        <v>0</v>
      </c>
      <c r="CV46" s="85">
        <v>0</v>
      </c>
      <c r="CW46" s="176">
        <v>0</v>
      </c>
      <c r="CX46" s="475">
        <v>0</v>
      </c>
      <c r="CY46" s="85">
        <v>0</v>
      </c>
      <c r="CZ46" s="85">
        <v>0</v>
      </c>
      <c r="DA46" s="176">
        <v>0</v>
      </c>
      <c r="DB46" s="475"/>
      <c r="DC46" s="85"/>
      <c r="DD46" s="85"/>
      <c r="DE46" s="176"/>
      <c r="DF46" s="475"/>
      <c r="DG46" s="85"/>
      <c r="DH46" s="85"/>
      <c r="DI46" s="176"/>
      <c r="DJ46" s="475"/>
      <c r="DK46" s="85"/>
      <c r="DL46" s="85"/>
      <c r="DM46" s="176"/>
      <c r="DN46" s="475"/>
      <c r="DO46" s="85"/>
      <c r="DP46" s="85"/>
      <c r="DQ46" s="176"/>
      <c r="DR46" s="475"/>
      <c r="DS46" s="85"/>
      <c r="DT46" s="85"/>
      <c r="DU46" s="176"/>
      <c r="DV46" s="475"/>
      <c r="DW46" s="85"/>
      <c r="DX46" s="85"/>
      <c r="DY46" s="176"/>
      <c r="DZ46" s="475"/>
      <c r="EA46" s="85"/>
      <c r="EB46" s="85"/>
      <c r="EC46" s="176"/>
      <c r="ED46" s="475"/>
      <c r="EE46" s="85"/>
      <c r="EF46" s="85"/>
      <c r="EG46" s="176"/>
      <c r="EH46" s="475"/>
      <c r="EI46" s="85"/>
      <c r="EJ46" s="85"/>
      <c r="EK46" s="176"/>
      <c r="EL46" s="85"/>
    </row>
    <row r="47" spans="1:142" s="89" customFormat="1">
      <c r="A47" s="89" t="s">
        <v>936</v>
      </c>
      <c r="B47" s="1246">
        <v>43518</v>
      </c>
      <c r="D47" s="2916">
        <v>42416</v>
      </c>
      <c r="H47" s="260"/>
      <c r="L47" s="260"/>
      <c r="P47" s="260"/>
      <c r="T47" s="260"/>
      <c r="X47" s="260"/>
      <c r="AB47" s="260"/>
      <c r="AF47" s="260"/>
      <c r="AJ47" s="260"/>
      <c r="AN47" s="260"/>
      <c r="AR47" s="260"/>
      <c r="AV47" s="260"/>
      <c r="AZ47" s="260"/>
      <c r="BD47" s="260"/>
      <c r="BH47" s="260"/>
      <c r="BL47" s="260"/>
      <c r="BP47" s="260"/>
      <c r="BT47" s="260"/>
      <c r="BX47" s="260"/>
      <c r="CB47" s="260"/>
      <c r="CF47" s="260"/>
      <c r="CJ47" s="260"/>
      <c r="CK47" s="260"/>
      <c r="CL47" s="77">
        <v>1000</v>
      </c>
      <c r="CM47" s="62">
        <f t="shared" ref="CM47:CM52" si="146">CL47</f>
      </c>
      <c r="CN47" s="62">
        <f t="shared" si="144"/>
      </c>
      <c r="CO47" s="226">
        <f t="shared" ref="CO47:CP52" si="147">CN47</f>
      </c>
      <c r="CP47" s="62">
        <f t="shared" si="147"/>
      </c>
      <c r="CQ47" s="85">
        <v>0</v>
      </c>
      <c r="CR47" s="85">
        <f t="shared" ref="CR47:CR52" si="148">CQ47</f>
      </c>
      <c r="CS47" s="176">
        <f t="shared" si="145"/>
      </c>
      <c r="CT47" s="475">
        <v>0</v>
      </c>
      <c r="CU47" s="85">
        <v>0</v>
      </c>
      <c r="CV47" s="85">
        <v>0</v>
      </c>
      <c r="CW47" s="176">
        <v>0</v>
      </c>
      <c r="CX47" s="475">
        <v>0</v>
      </c>
      <c r="CY47" s="85">
        <v>0</v>
      </c>
      <c r="CZ47" s="85">
        <v>0</v>
      </c>
      <c r="DA47" s="176">
        <v>0</v>
      </c>
      <c r="DB47" s="475"/>
      <c r="DC47" s="85"/>
      <c r="DD47" s="85"/>
      <c r="DE47" s="176"/>
      <c r="DF47" s="475"/>
      <c r="DG47" s="85"/>
      <c r="DH47" s="85"/>
      <c r="DI47" s="176"/>
      <c r="DJ47" s="475"/>
      <c r="DK47" s="85"/>
      <c r="DL47" s="85"/>
      <c r="DM47" s="176"/>
      <c r="DN47" s="475"/>
      <c r="DO47" s="85"/>
      <c r="DP47" s="85"/>
      <c r="DQ47" s="176"/>
      <c r="DR47" s="475"/>
      <c r="DS47" s="85"/>
      <c r="DT47" s="85"/>
      <c r="DU47" s="176"/>
      <c r="DV47" s="475"/>
      <c r="DW47" s="85"/>
      <c r="DX47" s="85"/>
      <c r="DY47" s="176"/>
      <c r="DZ47" s="475"/>
      <c r="EA47" s="85"/>
      <c r="EB47" s="85"/>
      <c r="EC47" s="176"/>
      <c r="ED47" s="475"/>
      <c r="EE47" s="85"/>
      <c r="EF47" s="85"/>
      <c r="EG47" s="176"/>
      <c r="EH47" s="475"/>
      <c r="EI47" s="85"/>
      <c r="EJ47" s="85"/>
      <c r="EK47" s="176"/>
      <c r="EL47" s="85"/>
    </row>
    <row r="48" spans="1:142" s="89" customFormat="1">
      <c r="A48" s="89" t="s">
        <v>733</v>
      </c>
      <c r="B48" s="1246">
        <v>44250</v>
      </c>
      <c r="D48" s="2916">
        <v>42416</v>
      </c>
      <c r="H48" s="260"/>
      <c r="L48" s="260"/>
      <c r="P48" s="260"/>
      <c r="T48" s="260"/>
      <c r="X48" s="260"/>
      <c r="AB48" s="260"/>
      <c r="AF48" s="260"/>
      <c r="AJ48" s="260"/>
      <c r="AN48" s="260"/>
      <c r="AR48" s="260"/>
      <c r="AV48" s="260"/>
      <c r="AZ48" s="260"/>
      <c r="BD48" s="260"/>
      <c r="BH48" s="260"/>
      <c r="BL48" s="260"/>
      <c r="BP48" s="260"/>
      <c r="BT48" s="260"/>
      <c r="BX48" s="260"/>
      <c r="CB48" s="260"/>
      <c r="CF48" s="260"/>
      <c r="CJ48" s="260"/>
      <c r="CK48" s="260"/>
      <c r="CL48" s="77">
        <v>3000</v>
      </c>
      <c r="CM48" s="62">
        <f t="shared" si="146"/>
      </c>
      <c r="CN48" s="62">
        <f t="shared" si="144"/>
      </c>
      <c r="CO48" s="226">
        <f t="shared" si="147"/>
      </c>
      <c r="CP48" s="62">
        <f t="shared" si="147"/>
      </c>
      <c r="CQ48" s="85">
        <f>CP48</f>
      </c>
      <c r="CR48" s="85">
        <f t="shared" si="148"/>
      </c>
      <c r="CS48" s="176">
        <f t="shared" si="145"/>
      </c>
      <c r="CT48" s="475">
        <f t="shared" ref="CT48:CX52" si="149">CS48</f>
      </c>
      <c r="CU48" s="85">
        <f t="shared" si="149"/>
      </c>
      <c r="CV48" s="85">
        <f t="shared" si="149"/>
      </c>
      <c r="CW48" s="176">
        <f t="shared" si="149"/>
      </c>
      <c r="CX48" s="475">
        <f t="shared" si="149"/>
      </c>
      <c r="CY48" s="77">
        <v>0</v>
      </c>
      <c r="CZ48" s="85">
        <v>0</v>
      </c>
      <c r="DA48" s="176">
        <v>0</v>
      </c>
      <c r="DB48" s="475"/>
      <c r="DC48" s="77"/>
      <c r="DD48" s="85"/>
      <c r="DE48" s="176"/>
      <c r="DF48" s="475"/>
      <c r="DG48" s="77"/>
      <c r="DH48" s="85"/>
      <c r="DI48" s="176"/>
      <c r="DJ48" s="475"/>
      <c r="DK48" s="77"/>
      <c r="DL48" s="85"/>
      <c r="DM48" s="176"/>
      <c r="DN48" s="475"/>
      <c r="DO48" s="77"/>
      <c r="DP48" s="85"/>
      <c r="DQ48" s="176"/>
      <c r="DR48" s="475"/>
      <c r="DS48" s="77"/>
      <c r="DT48" s="85"/>
      <c r="DU48" s="176"/>
      <c r="DV48" s="475"/>
      <c r="DW48" s="77"/>
      <c r="DX48" s="85"/>
      <c r="DY48" s="176"/>
      <c r="DZ48" s="475"/>
      <c r="EA48" s="77"/>
      <c r="EB48" s="85"/>
      <c r="EC48" s="176"/>
      <c r="ED48" s="475"/>
      <c r="EE48" s="77"/>
      <c r="EF48" s="85"/>
      <c r="EG48" s="176"/>
      <c r="EH48" s="475"/>
      <c r="EI48" s="77"/>
      <c r="EJ48" s="85"/>
      <c r="EK48" s="176"/>
      <c r="EL48" s="85"/>
    </row>
    <row r="49" spans="1:142" s="89" customFormat="1">
      <c r="A49" s="89" t="s">
        <v>737</v>
      </c>
      <c r="B49" s="1246">
        <v>44980</v>
      </c>
      <c r="D49" s="2916">
        <v>42416</v>
      </c>
      <c r="H49" s="260"/>
      <c r="L49" s="260"/>
      <c r="P49" s="260"/>
      <c r="T49" s="260"/>
      <c r="X49" s="260"/>
      <c r="AB49" s="260"/>
      <c r="AF49" s="260"/>
      <c r="AJ49" s="260"/>
      <c r="AN49" s="260"/>
      <c r="AR49" s="260"/>
      <c r="AV49" s="260"/>
      <c r="AZ49" s="260"/>
      <c r="BD49" s="260"/>
      <c r="BH49" s="260"/>
      <c r="BL49" s="260"/>
      <c r="BP49" s="260"/>
      <c r="BT49" s="260"/>
      <c r="BX49" s="260"/>
      <c r="CB49" s="260"/>
      <c r="CF49" s="260"/>
      <c r="CJ49" s="260"/>
      <c r="CK49" s="260"/>
      <c r="CL49" s="77">
        <v>1500</v>
      </c>
      <c r="CM49" s="62">
        <f t="shared" si="146"/>
      </c>
      <c r="CN49" s="62">
        <f t="shared" si="144"/>
      </c>
      <c r="CO49" s="226">
        <f t="shared" si="147"/>
      </c>
      <c r="CP49" s="62">
        <f t="shared" si="147"/>
      </c>
      <c r="CQ49" s="85">
        <f>CP49</f>
      </c>
      <c r="CR49" s="85">
        <f t="shared" si="148"/>
      </c>
      <c r="CS49" s="176">
        <f t="shared" si="145"/>
      </c>
      <c r="CT49" s="475">
        <f t="shared" si="149"/>
      </c>
      <c r="CU49" s="85">
        <f t="shared" si="149"/>
      </c>
      <c r="CV49" s="85">
        <f t="shared" si="149"/>
      </c>
      <c r="CW49" s="176">
        <f t="shared" si="149"/>
      </c>
      <c r="CX49" s="475">
        <f t="shared" si="149"/>
      </c>
      <c r="CY49" s="85">
        <f t="shared" ref="CY49:DU49" si="150">CX49</f>
      </c>
      <c r="CZ49" s="85">
        <f t="shared" si="150"/>
      </c>
      <c r="DA49" s="176">
        <f t="shared" si="150"/>
      </c>
      <c r="DB49" s="475">
        <f t="shared" si="150"/>
      </c>
      <c r="DC49" s="85">
        <f t="shared" si="150"/>
      </c>
      <c r="DD49" s="85">
        <f t="shared" si="150"/>
      </c>
      <c r="DE49" s="176">
        <f t="shared" si="150"/>
      </c>
      <c r="DF49" s="475">
        <f t="shared" si="150"/>
      </c>
      <c r="DG49" s="85">
        <f t="shared" si="150"/>
      </c>
      <c r="DH49" s="85">
        <f t="shared" si="150"/>
      </c>
      <c r="DI49" s="176">
        <f t="shared" si="150"/>
      </c>
      <c r="DJ49" s="475">
        <f t="shared" si="150"/>
      </c>
      <c r="DK49" s="85">
        <f t="shared" si="150"/>
      </c>
      <c r="DL49" s="85">
        <f t="shared" si="150"/>
      </c>
      <c r="DM49" s="176">
        <f t="shared" si="150"/>
      </c>
      <c r="DN49" s="475">
        <f t="shared" si="150"/>
      </c>
      <c r="DO49" s="85">
        <f t="shared" si="150"/>
      </c>
      <c r="DP49" s="85">
        <f t="shared" si="150"/>
      </c>
      <c r="DQ49" s="176">
        <f t="shared" si="150"/>
      </c>
      <c r="DR49" s="475">
        <f t="shared" si="150"/>
      </c>
      <c r="DS49" s="85">
        <f t="shared" si="150"/>
      </c>
      <c r="DT49" s="85">
        <f t="shared" si="150"/>
      </c>
      <c r="DU49" s="176">
        <f t="shared" si="150"/>
      </c>
      <c r="DV49" s="475">
        <f t="shared" ref="DV49:DV52" si="151">DU49</f>
      </c>
      <c r="DW49" s="85">
        <f t="shared" ref="DW49:DW52" si="152">DV49</f>
      </c>
      <c r="DX49" s="85">
        <f t="shared" ref="DX49:DX52" si="153">DW49</f>
      </c>
      <c r="DY49" s="176">
        <f t="shared" ref="DY49:DY52" si="154">DX49</f>
      </c>
      <c r="DZ49" s="475">
        <f t="shared" ref="DZ49:DZ52" si="155">DY49</f>
      </c>
      <c r="EA49" s="85">
        <f t="shared" ref="EA49:EA52" si="156">DZ49</f>
      </c>
      <c r="EB49" s="85">
        <f t="shared" ref="EB49:EB52" si="157">EA49</f>
      </c>
      <c r="EC49" s="176">
        <f t="shared" ref="EC49:EC52" si="158">EB49</f>
      </c>
      <c r="ED49" s="475">
        <f t="shared" ref="ED49:ED52" si="159">EC49</f>
      </c>
      <c r="EE49" s="85">
        <f t="shared" ref="EE49:EE52" si="160">ED49</f>
      </c>
      <c r="EF49" s="85">
        <f t="shared" ref="EF49:EF52" si="161">EE49</f>
      </c>
      <c r="EG49" s="176">
        <f t="shared" ref="EG49:EG52" si="162">EF49</f>
      </c>
      <c r="EH49" s="475">
        <f t="shared" ref="EH49:EH52" si="163">EG49</f>
      </c>
      <c r="EI49" s="85">
        <f t="shared" ref="EI49:EI52" si="164">EH49</f>
      </c>
      <c r="EJ49" s="85">
        <f t="shared" ref="EJ49:EJ52" si="165">EI49</f>
      </c>
      <c r="EK49" s="176">
        <f t="shared" ref="EK49:EK52" si="166">EJ49</f>
      </c>
      <c r="EL49" s="85"/>
    </row>
    <row r="50" spans="1:142" s="89" customFormat="1">
      <c r="A50" s="2914" t="s">
        <v>734</v>
      </c>
      <c r="B50" s="1246">
        <v>46076</v>
      </c>
      <c r="D50" s="1247">
        <v>42416</v>
      </c>
      <c r="H50" s="260"/>
      <c r="L50" s="260"/>
      <c r="P50" s="260"/>
      <c r="T50" s="260"/>
      <c r="X50" s="260"/>
      <c r="AB50" s="260"/>
      <c r="AF50" s="260"/>
      <c r="AJ50" s="260"/>
      <c r="AN50" s="260"/>
      <c r="AR50" s="260"/>
      <c r="AV50" s="260"/>
      <c r="AZ50" s="260"/>
      <c r="BD50" s="260"/>
      <c r="BH50" s="260"/>
      <c r="BL50" s="260"/>
      <c r="BP50" s="260"/>
      <c r="BT50" s="260"/>
      <c r="BX50" s="260"/>
      <c r="CB50" s="260"/>
      <c r="CF50" s="260"/>
      <c r="CJ50" s="260"/>
      <c r="CK50" s="260"/>
      <c r="CL50" s="77">
        <v>3250</v>
      </c>
      <c r="CM50" s="62">
        <f t="shared" si="146"/>
      </c>
      <c r="CN50" s="62">
        <f t="shared" si="144"/>
      </c>
      <c r="CO50" s="226">
        <f t="shared" si="147"/>
      </c>
      <c r="CP50" s="62">
        <f t="shared" si="147"/>
      </c>
      <c r="CQ50" s="85">
        <f>CP50</f>
      </c>
      <c r="CR50" s="85">
        <f t="shared" si="148"/>
      </c>
      <c r="CS50" s="176">
        <f t="shared" si="145"/>
      </c>
      <c r="CT50" s="475">
        <f t="shared" si="149"/>
      </c>
      <c r="CU50" s="85">
        <f t="shared" si="149"/>
      </c>
      <c r="CV50" s="85">
        <f t="shared" si="149"/>
      </c>
      <c r="CW50" s="176">
        <f t="shared" si="149"/>
      </c>
      <c r="CX50" s="475">
        <f t="shared" si="149"/>
      </c>
      <c r="CY50" s="85">
        <f t="shared" ref="CY50:DU50" si="167">CX50</f>
      </c>
      <c r="CZ50" s="85">
        <f t="shared" si="167"/>
      </c>
      <c r="DA50" s="176">
        <f t="shared" si="167"/>
      </c>
      <c r="DB50" s="475">
        <f t="shared" si="167"/>
      </c>
      <c r="DC50" s="85">
        <f t="shared" si="167"/>
      </c>
      <c r="DD50" s="85">
        <f t="shared" si="167"/>
      </c>
      <c r="DE50" s="176">
        <f t="shared" si="167"/>
      </c>
      <c r="DF50" s="475">
        <f t="shared" si="167"/>
      </c>
      <c r="DG50" s="85">
        <f t="shared" si="167"/>
      </c>
      <c r="DH50" s="85">
        <f t="shared" si="167"/>
      </c>
      <c r="DI50" s="176">
        <f t="shared" si="167"/>
      </c>
      <c r="DJ50" s="475">
        <f t="shared" si="167"/>
      </c>
      <c r="DK50" s="85">
        <f t="shared" si="167"/>
      </c>
      <c r="DL50" s="85">
        <f t="shared" si="167"/>
      </c>
      <c r="DM50" s="176">
        <f t="shared" si="167"/>
      </c>
      <c r="DN50" s="475">
        <f t="shared" si="167"/>
      </c>
      <c r="DO50" s="85">
        <f t="shared" si="167"/>
      </c>
      <c r="DP50" s="85">
        <f t="shared" si="167"/>
      </c>
      <c r="DQ50" s="176">
        <f t="shared" si="167"/>
      </c>
      <c r="DR50" s="475">
        <f t="shared" si="167"/>
      </c>
      <c r="DS50" s="85">
        <f t="shared" si="167"/>
      </c>
      <c r="DT50" s="85">
        <f t="shared" si="167"/>
      </c>
      <c r="DU50" s="176">
        <f t="shared" si="167"/>
      </c>
      <c r="DV50" s="475">
        <f t="shared" si="151"/>
      </c>
      <c r="DW50" s="85">
        <f t="shared" si="152"/>
      </c>
      <c r="DX50" s="85">
        <f t="shared" si="153"/>
      </c>
      <c r="DY50" s="176">
        <f t="shared" si="154"/>
      </c>
      <c r="DZ50" s="475">
        <f t="shared" si="155"/>
      </c>
      <c r="EA50" s="85">
        <f t="shared" si="156"/>
      </c>
      <c r="EB50" s="85">
        <f t="shared" si="157"/>
      </c>
      <c r="EC50" s="176">
        <f t="shared" si="158"/>
      </c>
      <c r="ED50" s="475">
        <f t="shared" si="159"/>
      </c>
      <c r="EE50" s="85">
        <f t="shared" si="160"/>
      </c>
      <c r="EF50" s="85">
        <f t="shared" si="161"/>
      </c>
      <c r="EG50" s="176">
        <f t="shared" si="162"/>
      </c>
      <c r="EH50" s="475">
        <f t="shared" si="163"/>
      </c>
      <c r="EI50" s="85">
        <f t="shared" si="164"/>
      </c>
      <c r="EJ50" s="85">
        <f t="shared" si="165"/>
      </c>
      <c r="EK50" s="176">
        <f t="shared" si="166"/>
      </c>
      <c r="EL50" s="77"/>
    </row>
    <row r="51" spans="1:142" s="89" customFormat="1">
      <c r="A51" s="2914" t="s">
        <v>735</v>
      </c>
      <c r="B51" s="1246">
        <v>49728</v>
      </c>
      <c r="D51" s="1247">
        <v>42416</v>
      </c>
      <c r="H51" s="260"/>
      <c r="L51" s="260"/>
      <c r="P51" s="260"/>
      <c r="T51" s="260"/>
      <c r="X51" s="260"/>
      <c r="AB51" s="260"/>
      <c r="AF51" s="260"/>
      <c r="AJ51" s="260"/>
      <c r="AN51" s="260"/>
      <c r="AR51" s="260"/>
      <c r="AV51" s="260"/>
      <c r="AZ51" s="260"/>
      <c r="BD51" s="260"/>
      <c r="BH51" s="260"/>
      <c r="BL51" s="260"/>
      <c r="BP51" s="260"/>
      <c r="BT51" s="260"/>
      <c r="BX51" s="260"/>
      <c r="CB51" s="260"/>
      <c r="CF51" s="260"/>
      <c r="CJ51" s="260"/>
      <c r="CK51" s="260"/>
      <c r="CL51" s="77">
        <v>1250</v>
      </c>
      <c r="CM51" s="62">
        <f t="shared" si="146"/>
      </c>
      <c r="CN51" s="62">
        <f t="shared" si="144"/>
      </c>
      <c r="CO51" s="226">
        <f t="shared" si="147"/>
      </c>
      <c r="CP51" s="62">
        <f t="shared" si="147"/>
      </c>
      <c r="CQ51" s="85">
        <f>CP51</f>
      </c>
      <c r="CR51" s="85">
        <f t="shared" si="148"/>
      </c>
      <c r="CS51" s="176">
        <f t="shared" si="145"/>
      </c>
      <c r="CT51" s="475">
        <f t="shared" si="149"/>
      </c>
      <c r="CU51" s="85">
        <f t="shared" si="149"/>
      </c>
      <c r="CV51" s="85">
        <f t="shared" si="149"/>
      </c>
      <c r="CW51" s="176">
        <f t="shared" si="149"/>
      </c>
      <c r="CX51" s="475">
        <f t="shared" si="149"/>
      </c>
      <c r="CY51" s="85">
        <f t="shared" ref="CY51:DU51" si="168">CX51</f>
      </c>
      <c r="CZ51" s="85">
        <f t="shared" si="168"/>
      </c>
      <c r="DA51" s="176">
        <f t="shared" si="168"/>
      </c>
      <c r="DB51" s="475">
        <f t="shared" si="168"/>
      </c>
      <c r="DC51" s="85">
        <f t="shared" si="168"/>
      </c>
      <c r="DD51" s="85">
        <f t="shared" si="168"/>
      </c>
      <c r="DE51" s="176">
        <f t="shared" si="168"/>
      </c>
      <c r="DF51" s="475">
        <f t="shared" si="168"/>
      </c>
      <c r="DG51" s="85">
        <f t="shared" si="168"/>
      </c>
      <c r="DH51" s="85">
        <f t="shared" si="168"/>
      </c>
      <c r="DI51" s="176">
        <f t="shared" si="168"/>
      </c>
      <c r="DJ51" s="475">
        <f t="shared" si="168"/>
      </c>
      <c r="DK51" s="85">
        <f t="shared" si="168"/>
      </c>
      <c r="DL51" s="85">
        <f t="shared" si="168"/>
      </c>
      <c r="DM51" s="176">
        <f t="shared" si="168"/>
      </c>
      <c r="DN51" s="475">
        <f t="shared" si="168"/>
      </c>
      <c r="DO51" s="85">
        <f t="shared" si="168"/>
      </c>
      <c r="DP51" s="85">
        <f t="shared" si="168"/>
      </c>
      <c r="DQ51" s="176">
        <f t="shared" si="168"/>
      </c>
      <c r="DR51" s="475">
        <f t="shared" si="168"/>
      </c>
      <c r="DS51" s="85">
        <f t="shared" si="168"/>
      </c>
      <c r="DT51" s="85">
        <f t="shared" si="168"/>
      </c>
      <c r="DU51" s="176">
        <f t="shared" si="168"/>
      </c>
      <c r="DV51" s="475">
        <f t="shared" si="151"/>
      </c>
      <c r="DW51" s="85">
        <f t="shared" si="152"/>
      </c>
      <c r="DX51" s="85">
        <f t="shared" si="153"/>
      </c>
      <c r="DY51" s="176">
        <f t="shared" si="154"/>
      </c>
      <c r="DZ51" s="475">
        <f t="shared" si="155"/>
      </c>
      <c r="EA51" s="85">
        <f t="shared" si="156"/>
      </c>
      <c r="EB51" s="85">
        <f t="shared" si="157"/>
      </c>
      <c r="EC51" s="176">
        <f t="shared" si="158"/>
      </c>
      <c r="ED51" s="475">
        <f t="shared" si="159"/>
      </c>
      <c r="EE51" s="85">
        <f t="shared" si="160"/>
      </c>
      <c r="EF51" s="85">
        <f t="shared" si="161"/>
      </c>
      <c r="EG51" s="176">
        <f t="shared" si="162"/>
      </c>
      <c r="EH51" s="475">
        <f t="shared" si="163"/>
      </c>
      <c r="EI51" s="85">
        <f t="shared" si="164"/>
      </c>
      <c r="EJ51" s="85">
        <f t="shared" si="165"/>
      </c>
      <c r="EK51" s="176">
        <f t="shared" si="166"/>
      </c>
      <c r="EL51" s="85"/>
    </row>
    <row r="52" spans="1:142" s="89" customFormat="1">
      <c r="A52" s="2914" t="s">
        <v>736</v>
      </c>
      <c r="B52" s="1246">
        <v>53381</v>
      </c>
      <c r="D52" s="1247">
        <v>42416</v>
      </c>
      <c r="H52" s="260"/>
      <c r="L52" s="260"/>
      <c r="P52" s="260"/>
      <c r="T52" s="260"/>
      <c r="X52" s="260"/>
      <c r="AB52" s="260"/>
      <c r="AF52" s="260"/>
      <c r="AJ52" s="260"/>
      <c r="AN52" s="260"/>
      <c r="AR52" s="260"/>
      <c r="AV52" s="260"/>
      <c r="AZ52" s="260"/>
      <c r="BD52" s="260"/>
      <c r="BH52" s="260"/>
      <c r="BL52" s="260"/>
      <c r="BP52" s="260"/>
      <c r="BT52" s="260"/>
      <c r="BX52" s="260"/>
      <c r="CB52" s="260"/>
      <c r="CF52" s="260"/>
      <c r="CJ52" s="260"/>
      <c r="CK52" s="260"/>
      <c r="CL52" s="77">
        <v>4000</v>
      </c>
      <c r="CM52" s="62">
        <f t="shared" si="146"/>
      </c>
      <c r="CN52" s="62">
        <f t="shared" si="144"/>
      </c>
      <c r="CO52" s="226">
        <f t="shared" si="147"/>
      </c>
      <c r="CP52" s="62">
        <f t="shared" si="147"/>
      </c>
      <c r="CQ52" s="85">
        <f>CP52</f>
      </c>
      <c r="CR52" s="85">
        <f t="shared" si="148"/>
      </c>
      <c r="CS52" s="176">
        <f t="shared" si="145"/>
      </c>
      <c r="CT52" s="475">
        <f t="shared" si="149"/>
      </c>
      <c r="CU52" s="85">
        <f t="shared" si="149"/>
      </c>
      <c r="CV52" s="85">
        <f t="shared" si="149"/>
      </c>
      <c r="CW52" s="176">
        <f t="shared" si="149"/>
      </c>
      <c r="CX52" s="475">
        <f t="shared" si="149"/>
      </c>
      <c r="CY52" s="85">
        <f t="shared" ref="CY52:DU52" si="169">CX52</f>
      </c>
      <c r="CZ52" s="85">
        <f t="shared" si="169"/>
      </c>
      <c r="DA52" s="176">
        <f t="shared" si="169"/>
      </c>
      <c r="DB52" s="475">
        <f t="shared" si="169"/>
      </c>
      <c r="DC52" s="85">
        <f t="shared" si="169"/>
      </c>
      <c r="DD52" s="85">
        <f t="shared" si="169"/>
      </c>
      <c r="DE52" s="176">
        <f t="shared" si="169"/>
      </c>
      <c r="DF52" s="475">
        <f t="shared" si="169"/>
      </c>
      <c r="DG52" s="85">
        <f t="shared" si="169"/>
      </c>
      <c r="DH52" s="85">
        <f t="shared" si="169"/>
      </c>
      <c r="DI52" s="176">
        <f t="shared" si="169"/>
      </c>
      <c r="DJ52" s="475">
        <f t="shared" si="169"/>
      </c>
      <c r="DK52" s="85">
        <f t="shared" si="169"/>
      </c>
      <c r="DL52" s="85">
        <f t="shared" si="169"/>
      </c>
      <c r="DM52" s="176">
        <f t="shared" si="169"/>
      </c>
      <c r="DN52" s="475">
        <f t="shared" si="169"/>
      </c>
      <c r="DO52" s="85">
        <f t="shared" si="169"/>
      </c>
      <c r="DP52" s="85">
        <f t="shared" si="169"/>
      </c>
      <c r="DQ52" s="176">
        <f t="shared" si="169"/>
      </c>
      <c r="DR52" s="475">
        <f t="shared" si="169"/>
      </c>
      <c r="DS52" s="85">
        <f t="shared" si="169"/>
      </c>
      <c r="DT52" s="85">
        <f t="shared" si="169"/>
      </c>
      <c r="DU52" s="176">
        <f t="shared" si="169"/>
      </c>
      <c r="DV52" s="475">
        <f t="shared" si="151"/>
      </c>
      <c r="DW52" s="85">
        <f t="shared" si="152"/>
      </c>
      <c r="DX52" s="85">
        <f t="shared" si="153"/>
      </c>
      <c r="DY52" s="176">
        <f t="shared" si="154"/>
      </c>
      <c r="DZ52" s="475">
        <f t="shared" si="155"/>
      </c>
      <c r="EA52" s="85">
        <f t="shared" si="156"/>
      </c>
      <c r="EB52" s="85">
        <f t="shared" si="157"/>
      </c>
      <c r="EC52" s="176">
        <f t="shared" si="158"/>
      </c>
      <c r="ED52" s="475">
        <f t="shared" si="159"/>
      </c>
      <c r="EE52" s="85">
        <f t="shared" si="160"/>
      </c>
      <c r="EF52" s="85">
        <f t="shared" si="161"/>
      </c>
      <c r="EG52" s="176">
        <f t="shared" si="162"/>
      </c>
      <c r="EH52" s="475">
        <f t="shared" si="163"/>
      </c>
      <c r="EI52" s="85">
        <f t="shared" si="164"/>
      </c>
      <c r="EJ52" s="85">
        <f t="shared" si="165"/>
      </c>
      <c r="EK52" s="176">
        <f t="shared" si="166"/>
      </c>
      <c r="EL52" s="85"/>
    </row>
    <row r="53" spans="1:142" s="89" customFormat="1">
      <c r="A53" s="2914" t="s">
        <v>833</v>
      </c>
      <c r="B53" s="1246">
        <v>43983</v>
      </c>
      <c r="C53" s="89" t="s">
        <v>968</v>
      </c>
      <c r="D53" s="2916">
        <v>42522</v>
      </c>
      <c r="H53" s="260"/>
      <c r="L53" s="260"/>
      <c r="P53" s="260"/>
      <c r="T53" s="260"/>
      <c r="X53" s="260"/>
      <c r="AB53" s="260"/>
      <c r="AF53" s="260"/>
      <c r="AJ53" s="260"/>
      <c r="AN53" s="260"/>
      <c r="AR53" s="260"/>
      <c r="AV53" s="260"/>
      <c r="AZ53" s="260"/>
      <c r="BD53" s="260"/>
      <c r="BH53" s="260"/>
      <c r="BL53" s="260"/>
      <c r="BP53" s="260"/>
      <c r="BT53" s="260"/>
      <c r="BX53" s="260"/>
      <c r="CB53" s="260"/>
      <c r="CF53" s="260"/>
      <c r="CJ53" s="260"/>
      <c r="CK53" s="260"/>
      <c r="CL53" s="77">
        <v>493</v>
      </c>
      <c r="CM53" s="77">
        <v>498.6</v>
      </c>
      <c r="CN53" s="77">
        <v>480.3</v>
      </c>
      <c r="CO53" s="192">
        <v>470.3</v>
      </c>
      <c r="CP53" s="77">
        <v>457.4</v>
      </c>
      <c r="CQ53" s="316">
        <f>CQ111-SUM(CQ46:CQ52,CQ54:CQ60)</f>
      </c>
      <c r="CR53" s="316">
        <f>CR111-SUM(CR46:CR52,CR54:CR60)</f>
      </c>
      <c r="CS53" s="176">
        <f t="shared" ref="CQ53:DU54" si="170">CR53</f>
      </c>
      <c r="CT53" s="475">
        <f t="shared" si="170"/>
      </c>
      <c r="CU53" s="85">
        <f t="shared" si="170"/>
      </c>
      <c r="CV53" s="77">
        <v>0</v>
      </c>
      <c r="CW53" s="176">
        <v>0</v>
      </c>
      <c r="CX53" s="475">
        <v>0</v>
      </c>
      <c r="CY53" s="85">
        <v>0</v>
      </c>
      <c r="CZ53" s="85">
        <v>0</v>
      </c>
      <c r="DA53" s="176">
        <v>0</v>
      </c>
      <c r="DB53" s="475"/>
      <c r="DC53" s="85"/>
      <c r="DD53" s="85"/>
      <c r="DE53" s="176"/>
      <c r="DF53" s="475"/>
      <c r="DG53" s="85"/>
      <c r="DH53" s="85"/>
      <c r="DI53" s="176"/>
      <c r="DJ53" s="475"/>
      <c r="DK53" s="85"/>
      <c r="DL53" s="85"/>
      <c r="DM53" s="176"/>
      <c r="DN53" s="475"/>
      <c r="DO53" s="85"/>
      <c r="DP53" s="85"/>
      <c r="DQ53" s="176"/>
      <c r="DR53" s="475"/>
      <c r="DS53" s="85"/>
      <c r="DT53" s="85"/>
      <c r="DU53" s="176"/>
      <c r="DV53" s="475"/>
      <c r="DW53" s="85"/>
      <c r="DX53" s="85"/>
      <c r="DY53" s="176"/>
      <c r="DZ53" s="475"/>
      <c r="EA53" s="85"/>
      <c r="EB53" s="85"/>
      <c r="EC53" s="176"/>
      <c r="ED53" s="475"/>
      <c r="EE53" s="85"/>
      <c r="EF53" s="85"/>
      <c r="EG53" s="176"/>
      <c r="EH53" s="475"/>
      <c r="EI53" s="85"/>
      <c r="EJ53" s="85"/>
      <c r="EK53" s="176"/>
      <c r="EL53" s="85"/>
    </row>
    <row r="54" spans="1:142" s="89" customFormat="1">
      <c r="A54" s="89" t="s">
        <v>834</v>
      </c>
      <c r="B54" s="1246">
        <v>45322</v>
      </c>
      <c r="C54" s="89" t="s">
        <v>969</v>
      </c>
      <c r="D54" s="2916">
        <v>42522</v>
      </c>
      <c r="H54" s="260"/>
      <c r="L54" s="260"/>
      <c r="P54" s="260"/>
      <c r="T54" s="260"/>
      <c r="X54" s="260"/>
      <c r="AB54" s="260"/>
      <c r="AF54" s="260"/>
      <c r="AJ54" s="260"/>
      <c r="AN54" s="260"/>
      <c r="AR54" s="260"/>
      <c r="AV54" s="260"/>
      <c r="AZ54" s="260"/>
      <c r="BD54" s="260"/>
      <c r="BH54" s="260"/>
      <c r="BL54" s="260"/>
      <c r="BP54" s="260"/>
      <c r="BT54" s="260"/>
      <c r="BX54" s="260"/>
      <c r="CB54" s="260"/>
      <c r="CF54" s="260"/>
      <c r="CJ54" s="260"/>
      <c r="CK54" s="260"/>
      <c r="CL54" s="77">
        <v>342</v>
      </c>
      <c r="CM54" s="77">
        <v>345.2</v>
      </c>
      <c r="CN54" s="77">
        <v>332.5</v>
      </c>
      <c r="CO54" s="192">
        <v>325.60000000000002</v>
      </c>
      <c r="CP54" s="77">
        <v>316.60000000000002</v>
      </c>
      <c r="CQ54" s="85">
        <f t="shared" si="170"/>
      </c>
      <c r="CR54" s="85">
        <f t="shared" si="170"/>
      </c>
      <c r="CS54" s="176">
        <f t="shared" si="170"/>
      </c>
      <c r="CT54" s="475">
        <f t="shared" si="170"/>
      </c>
      <c r="CU54" s="85">
        <f t="shared" si="170"/>
      </c>
      <c r="CV54" s="85">
        <f t="shared" si="170"/>
      </c>
      <c r="CW54" s="176">
        <f t="shared" si="170"/>
      </c>
      <c r="CX54" s="475">
        <f t="shared" si="170"/>
      </c>
      <c r="CY54" s="85">
        <f t="shared" si="170"/>
      </c>
      <c r="CZ54" s="85">
        <f t="shared" si="170"/>
      </c>
      <c r="DA54" s="176">
        <f t="shared" si="170"/>
      </c>
      <c r="DB54" s="475">
        <f t="shared" si="170"/>
      </c>
      <c r="DC54" s="85">
        <f t="shared" si="170"/>
      </c>
      <c r="DD54" s="85">
        <f t="shared" si="170"/>
      </c>
      <c r="DE54" s="176">
        <f t="shared" si="170"/>
      </c>
      <c r="DF54" s="475">
        <f t="shared" si="170"/>
      </c>
      <c r="DG54" s="85">
        <f t="shared" si="170"/>
      </c>
      <c r="DH54" s="85">
        <f t="shared" si="170"/>
      </c>
      <c r="DI54" s="176">
        <f t="shared" si="170"/>
      </c>
      <c r="DJ54" s="475">
        <f t="shared" si="170"/>
      </c>
      <c r="DK54" s="85">
        <f t="shared" si="170"/>
      </c>
      <c r="DL54" s="85">
        <f t="shared" si="170"/>
      </c>
      <c r="DM54" s="176">
        <f t="shared" si="170"/>
      </c>
      <c r="DN54" s="475">
        <f t="shared" si="170"/>
      </c>
      <c r="DO54" s="85">
        <f t="shared" si="170"/>
      </c>
      <c r="DP54" s="85">
        <f t="shared" si="170"/>
      </c>
      <c r="DQ54" s="176">
        <f t="shared" si="170"/>
      </c>
      <c r="DR54" s="475">
        <f t="shared" si="170"/>
      </c>
      <c r="DS54" s="85">
        <f t="shared" si="170"/>
      </c>
      <c r="DT54" s="85">
        <f t="shared" si="170"/>
      </c>
      <c r="DU54" s="176">
        <f t="shared" si="170"/>
      </c>
      <c r="DV54" s="475">
        <f t="shared" ref="DV54:DV56" si="171">DU54</f>
      </c>
      <c r="DW54" s="85">
        <f t="shared" ref="DW54:DW56" si="172">DV54</f>
      </c>
      <c r="DX54" s="85">
        <f t="shared" ref="DX54:DX56" si="173">DW54</f>
      </c>
      <c r="DY54" s="176">
        <f t="shared" ref="DY54:DY56" si="174">DX54</f>
      </c>
      <c r="DZ54" s="475">
        <f t="shared" ref="DZ54:DZ56" si="175">DY54</f>
      </c>
      <c r="EA54" s="85">
        <f t="shared" ref="EA54:EA56" si="176">DZ54</f>
      </c>
      <c r="EB54" s="85">
        <f t="shared" ref="EB54:EB56" si="177">EA54</f>
      </c>
      <c r="EC54" s="176">
        <f t="shared" ref="EC54:EC56" si="178">EB54</f>
      </c>
      <c r="ED54" s="475">
        <f t="shared" ref="ED54:ED56" si="179">EC54</f>
      </c>
      <c r="EE54" s="85">
        <f t="shared" ref="EE54:EE56" si="180">ED54</f>
      </c>
      <c r="EF54" s="85">
        <f t="shared" ref="EF54:EF56" si="181">EE54</f>
      </c>
      <c r="EG54" s="176">
        <f t="shared" ref="EG54:EG56" si="182">EF54</f>
      </c>
      <c r="EH54" s="475">
        <f t="shared" ref="EH54:EH56" si="183">EG54</f>
      </c>
      <c r="EI54" s="85">
        <f t="shared" ref="EI54:EI56" si="184">EH54</f>
      </c>
      <c r="EJ54" s="85">
        <f t="shared" ref="EJ54:EJ56" si="185">EI54</f>
      </c>
      <c r="EK54" s="176">
        <f t="shared" ref="EK54:EK56" si="186">EJ54</f>
      </c>
      <c r="EL54" s="85"/>
    </row>
    <row r="55" spans="1:142" s="89" customFormat="1">
      <c r="A55" s="2914" t="s">
        <v>835</v>
      </c>
      <c r="B55" s="1246">
        <v>46203</v>
      </c>
      <c r="C55" s="89" t="s">
        <v>970</v>
      </c>
      <c r="D55" s="2916">
        <v>42522</v>
      </c>
      <c r="H55" s="260"/>
      <c r="L55" s="260"/>
      <c r="P55" s="260"/>
      <c r="T55" s="260"/>
      <c r="X55" s="260"/>
      <c r="AB55" s="260"/>
      <c r="AF55" s="260"/>
      <c r="AJ55" s="260"/>
      <c r="AN55" s="260"/>
      <c r="AR55" s="260"/>
      <c r="AV55" s="260"/>
      <c r="AZ55" s="260"/>
      <c r="BD55" s="260"/>
      <c r="BH55" s="260"/>
      <c r="BL55" s="260"/>
      <c r="BP55" s="260"/>
      <c r="BT55" s="260"/>
      <c r="BX55" s="260"/>
      <c r="CB55" s="260"/>
      <c r="CF55" s="260"/>
      <c r="CJ55" s="260"/>
      <c r="CK55" s="260"/>
      <c r="CL55" s="77">
        <v>247</v>
      </c>
      <c r="CM55" s="77">
        <v>249.3</v>
      </c>
      <c r="CN55" s="77">
        <v>240.1</v>
      </c>
      <c r="CO55" s="192">
        <v>236</v>
      </c>
      <c r="CP55" s="77">
        <v>228.7</v>
      </c>
      <c r="CQ55" s="85">
        <f t="shared" ref="CQ55:DU55" si="187">CP55</f>
      </c>
      <c r="CR55" s="85">
        <f t="shared" si="187"/>
      </c>
      <c r="CS55" s="176">
        <f t="shared" si="187"/>
      </c>
      <c r="CT55" s="475">
        <f t="shared" si="187"/>
      </c>
      <c r="CU55" s="85">
        <f t="shared" si="187"/>
      </c>
      <c r="CV55" s="85">
        <f t="shared" si="187"/>
      </c>
      <c r="CW55" s="176">
        <f t="shared" si="187"/>
      </c>
      <c r="CX55" s="475">
        <f t="shared" si="187"/>
      </c>
      <c r="CY55" s="85">
        <f t="shared" si="187"/>
      </c>
      <c r="CZ55" s="85">
        <f t="shared" si="187"/>
      </c>
      <c r="DA55" s="176">
        <f t="shared" si="187"/>
      </c>
      <c r="DB55" s="475">
        <f t="shared" si="187"/>
      </c>
      <c r="DC55" s="85">
        <f t="shared" si="187"/>
      </c>
      <c r="DD55" s="85">
        <f t="shared" si="187"/>
      </c>
      <c r="DE55" s="176">
        <f t="shared" si="187"/>
      </c>
      <c r="DF55" s="475">
        <f t="shared" si="187"/>
      </c>
      <c r="DG55" s="85">
        <f t="shared" si="187"/>
      </c>
      <c r="DH55" s="85">
        <f t="shared" si="187"/>
      </c>
      <c r="DI55" s="176">
        <f t="shared" si="187"/>
      </c>
      <c r="DJ55" s="475">
        <f t="shared" si="187"/>
      </c>
      <c r="DK55" s="85">
        <f t="shared" si="187"/>
      </c>
      <c r="DL55" s="85">
        <f t="shared" si="187"/>
      </c>
      <c r="DM55" s="176">
        <f t="shared" si="187"/>
      </c>
      <c r="DN55" s="475">
        <f t="shared" si="187"/>
      </c>
      <c r="DO55" s="85">
        <f t="shared" si="187"/>
      </c>
      <c r="DP55" s="85">
        <f t="shared" si="187"/>
      </c>
      <c r="DQ55" s="176">
        <f t="shared" si="187"/>
      </c>
      <c r="DR55" s="475">
        <f t="shared" si="187"/>
      </c>
      <c r="DS55" s="85">
        <f t="shared" si="187"/>
      </c>
      <c r="DT55" s="85">
        <f t="shared" si="187"/>
      </c>
      <c r="DU55" s="176">
        <f t="shared" si="187"/>
      </c>
      <c r="DV55" s="475">
        <f t="shared" si="171"/>
      </c>
      <c r="DW55" s="85">
        <f t="shared" si="172"/>
      </c>
      <c r="DX55" s="85">
        <f t="shared" si="173"/>
      </c>
      <c r="DY55" s="176">
        <f t="shared" si="174"/>
      </c>
      <c r="DZ55" s="475">
        <f t="shared" si="175"/>
      </c>
      <c r="EA55" s="85">
        <f t="shared" si="176"/>
      </c>
      <c r="EB55" s="85">
        <f t="shared" si="177"/>
      </c>
      <c r="EC55" s="176">
        <f t="shared" si="178"/>
      </c>
      <c r="ED55" s="475">
        <f t="shared" si="179"/>
      </c>
      <c r="EE55" s="85">
        <f t="shared" si="180"/>
      </c>
      <c r="EF55" s="85">
        <f t="shared" si="181"/>
      </c>
      <c r="EG55" s="176">
        <f t="shared" si="182"/>
      </c>
      <c r="EH55" s="475">
        <f t="shared" si="183"/>
      </c>
      <c r="EI55" s="85">
        <f t="shared" si="184"/>
      </c>
      <c r="EJ55" s="85">
        <f t="shared" si="185"/>
      </c>
      <c r="EK55" s="176">
        <f t="shared" si="186"/>
      </c>
      <c r="EL55" s="85"/>
    </row>
    <row r="56" spans="1:142" s="89" customFormat="1">
      <c r="A56" s="2914" t="s">
        <v>836</v>
      </c>
      <c r="B56" s="1246">
        <v>53500</v>
      </c>
      <c r="D56" s="1247">
        <v>42543</v>
      </c>
      <c r="H56" s="260"/>
      <c r="L56" s="260"/>
      <c r="P56" s="260"/>
      <c r="T56" s="260"/>
      <c r="X56" s="260"/>
      <c r="AB56" s="260"/>
      <c r="AF56" s="260"/>
      <c r="AJ56" s="260"/>
      <c r="AN56" s="260"/>
      <c r="AR56" s="260"/>
      <c r="AV56" s="260"/>
      <c r="AZ56" s="260"/>
      <c r="BD56" s="260"/>
      <c r="BH56" s="260"/>
      <c r="BL56" s="260"/>
      <c r="BP56" s="260"/>
      <c r="BT56" s="260"/>
      <c r="BX56" s="260"/>
      <c r="CB56" s="260"/>
      <c r="CF56" s="260"/>
      <c r="CJ56" s="260"/>
      <c r="CK56" s="260"/>
      <c r="CL56" s="77">
        <v>1377</v>
      </c>
      <c r="CM56" s="62">
        <f t="shared" ref="CM56:DU56" si="188">CL56</f>
      </c>
      <c r="CN56" s="62">
        <f t="shared" si="188"/>
      </c>
      <c r="CO56" s="226">
        <f t="shared" si="188"/>
      </c>
      <c r="CP56" s="62">
        <f t="shared" si="188"/>
      </c>
      <c r="CQ56" s="85">
        <f t="shared" si="188"/>
      </c>
      <c r="CR56" s="85">
        <f t="shared" si="188"/>
      </c>
      <c r="CS56" s="176">
        <f t="shared" si="188"/>
      </c>
      <c r="CT56" s="475">
        <f t="shared" si="188"/>
      </c>
      <c r="CU56" s="85">
        <f t="shared" si="188"/>
      </c>
      <c r="CV56" s="85">
        <f t="shared" si="188"/>
      </c>
      <c r="CW56" s="176">
        <f t="shared" si="188"/>
      </c>
      <c r="CX56" s="475">
        <f t="shared" si="188"/>
      </c>
      <c r="CY56" s="85">
        <f t="shared" si="188"/>
      </c>
      <c r="CZ56" s="85">
        <f t="shared" si="188"/>
      </c>
      <c r="DA56" s="176">
        <f t="shared" si="188"/>
      </c>
      <c r="DB56" s="475">
        <f t="shared" si="188"/>
      </c>
      <c r="DC56" s="85">
        <f t="shared" si="188"/>
      </c>
      <c r="DD56" s="85">
        <f t="shared" si="188"/>
      </c>
      <c r="DE56" s="176">
        <f t="shared" si="188"/>
      </c>
      <c r="DF56" s="475">
        <f t="shared" si="188"/>
      </c>
      <c r="DG56" s="85">
        <f t="shared" si="188"/>
      </c>
      <c r="DH56" s="85">
        <f t="shared" si="188"/>
      </c>
      <c r="DI56" s="176">
        <f t="shared" si="188"/>
      </c>
      <c r="DJ56" s="475">
        <f t="shared" si="188"/>
      </c>
      <c r="DK56" s="85">
        <f t="shared" si="188"/>
      </c>
      <c r="DL56" s="85">
        <f t="shared" si="188"/>
      </c>
      <c r="DM56" s="176">
        <f t="shared" si="188"/>
      </c>
      <c r="DN56" s="475">
        <f t="shared" si="188"/>
      </c>
      <c r="DO56" s="85">
        <f t="shared" si="188"/>
      </c>
      <c r="DP56" s="85">
        <f t="shared" si="188"/>
      </c>
      <c r="DQ56" s="176">
        <f t="shared" si="188"/>
      </c>
      <c r="DR56" s="475">
        <f t="shared" si="188"/>
      </c>
      <c r="DS56" s="85">
        <f t="shared" si="188"/>
      </c>
      <c r="DT56" s="85">
        <f t="shared" si="188"/>
      </c>
      <c r="DU56" s="176">
        <f t="shared" si="188"/>
      </c>
      <c r="DV56" s="475">
        <f t="shared" si="171"/>
      </c>
      <c r="DW56" s="85">
        <f t="shared" si="172"/>
      </c>
      <c r="DX56" s="85">
        <f t="shared" si="173"/>
      </c>
      <c r="DY56" s="176">
        <f t="shared" si="174"/>
      </c>
      <c r="DZ56" s="475">
        <f t="shared" si="175"/>
      </c>
      <c r="EA56" s="85">
        <f t="shared" si="176"/>
      </c>
      <c r="EB56" s="85">
        <f t="shared" si="177"/>
      </c>
      <c r="EC56" s="176">
        <f t="shared" si="178"/>
      </c>
      <c r="ED56" s="475">
        <f t="shared" si="179"/>
      </c>
      <c r="EE56" s="85">
        <f t="shared" si="180"/>
      </c>
      <c r="EF56" s="85">
        <f t="shared" si="181"/>
      </c>
      <c r="EG56" s="176">
        <f t="shared" si="182"/>
      </c>
      <c r="EH56" s="475">
        <f t="shared" si="183"/>
      </c>
      <c r="EI56" s="85">
        <f t="shared" si="184"/>
      </c>
      <c r="EJ56" s="85">
        <f t="shared" si="185"/>
      </c>
      <c r="EK56" s="176">
        <f t="shared" si="186"/>
      </c>
      <c r="EL56" s="85"/>
    </row>
    <row r="57" spans="1:142" s="89" customFormat="1">
      <c r="A57" s="89" t="s">
        <v>839</v>
      </c>
      <c r="B57" s="1246">
        <v>43679</v>
      </c>
      <c r="D57" s="1247">
        <v>42586</v>
      </c>
      <c r="H57" s="260"/>
      <c r="L57" s="260"/>
      <c r="P57" s="260"/>
      <c r="T57" s="260"/>
      <c r="X57" s="260"/>
      <c r="AB57" s="260"/>
      <c r="AF57" s="260"/>
      <c r="AJ57" s="260"/>
      <c r="AN57" s="260"/>
      <c r="AR57" s="260"/>
      <c r="AV57" s="260"/>
      <c r="AZ57" s="260"/>
      <c r="BD57" s="260"/>
      <c r="BH57" s="260"/>
      <c r="BL57" s="260"/>
      <c r="BP57" s="260"/>
      <c r="BT57" s="260"/>
      <c r="BX57" s="260"/>
      <c r="CB57" s="260"/>
      <c r="CF57" s="260"/>
      <c r="CJ57" s="260"/>
      <c r="CK57" s="260"/>
      <c r="CL57" s="77">
        <v>1150</v>
      </c>
      <c r="CM57" s="62">
        <f t="shared" ref="CM57:CR60" si="189">CL57</f>
      </c>
      <c r="CN57" s="62">
        <f t="shared" si="189"/>
      </c>
      <c r="CO57" s="226">
        <f t="shared" si="189"/>
      </c>
      <c r="CP57" s="62">
        <f t="shared" si="189"/>
      </c>
      <c r="CQ57" s="85">
        <f t="shared" si="189"/>
      </c>
      <c r="CR57" s="85">
        <f t="shared" si="189"/>
      </c>
      <c r="CS57" s="192">
        <v>0</v>
      </c>
      <c r="CT57" s="475">
        <v>0</v>
      </c>
      <c r="CU57" s="85">
        <v>0</v>
      </c>
      <c r="CV57" s="85">
        <v>0</v>
      </c>
      <c r="CW57" s="176">
        <v>0</v>
      </c>
      <c r="CX57" s="475">
        <v>0</v>
      </c>
      <c r="CY57" s="85">
        <v>0</v>
      </c>
      <c r="CZ57" s="85">
        <v>0</v>
      </c>
      <c r="DA57" s="176">
        <v>0</v>
      </c>
      <c r="DB57" s="475"/>
      <c r="DC57" s="85"/>
      <c r="DD57" s="85"/>
      <c r="DE57" s="176"/>
      <c r="DF57" s="475"/>
      <c r="DG57" s="85"/>
      <c r="DH57" s="85"/>
      <c r="DI57" s="176"/>
      <c r="DJ57" s="475"/>
      <c r="DK57" s="85"/>
      <c r="DL57" s="85"/>
      <c r="DM57" s="176"/>
      <c r="DN57" s="475"/>
      <c r="DO57" s="85"/>
      <c r="DP57" s="85"/>
      <c r="DQ57" s="176"/>
      <c r="DR57" s="475"/>
      <c r="DS57" s="85"/>
      <c r="DT57" s="85"/>
      <c r="DU57" s="176"/>
      <c r="DV57" s="475"/>
      <c r="DW57" s="85"/>
      <c r="DX57" s="85"/>
      <c r="DY57" s="176"/>
      <c r="DZ57" s="475"/>
      <c r="EA57" s="85"/>
      <c r="EB57" s="85"/>
      <c r="EC57" s="176"/>
      <c r="ED57" s="475"/>
      <c r="EE57" s="85"/>
      <c r="EF57" s="85"/>
      <c r="EG57" s="176"/>
      <c r="EH57" s="475"/>
      <c r="EI57" s="85"/>
      <c r="EJ57" s="85"/>
      <c r="EK57" s="176"/>
      <c r="EL57" s="85"/>
    </row>
    <row r="58" spans="1:142" s="89" customFormat="1">
      <c r="A58" s="89" t="s">
        <v>840</v>
      </c>
      <c r="B58" s="1246">
        <v>44410</v>
      </c>
      <c r="D58" s="1247">
        <v>42586</v>
      </c>
      <c r="H58" s="260"/>
      <c r="L58" s="260"/>
      <c r="P58" s="260"/>
      <c r="T58" s="260"/>
      <c r="X58" s="260"/>
      <c r="AB58" s="260"/>
      <c r="AF58" s="260"/>
      <c r="AJ58" s="260"/>
      <c r="AN58" s="260"/>
      <c r="AR58" s="260"/>
      <c r="AV58" s="260"/>
      <c r="AZ58" s="260"/>
      <c r="BD58" s="260"/>
      <c r="BH58" s="260"/>
      <c r="BL58" s="260"/>
      <c r="BP58" s="260"/>
      <c r="BT58" s="260"/>
      <c r="BX58" s="260"/>
      <c r="CB58" s="260"/>
      <c r="CF58" s="260"/>
      <c r="CJ58" s="260"/>
      <c r="CK58" s="260"/>
      <c r="CL58" s="77">
        <v>1250</v>
      </c>
      <c r="CM58" s="62">
        <f t="shared" si="189"/>
      </c>
      <c r="CN58" s="62">
        <f t="shared" si="189"/>
      </c>
      <c r="CO58" s="226">
        <f t="shared" si="189"/>
      </c>
      <c r="CP58" s="62">
        <f t="shared" si="189"/>
      </c>
      <c r="CQ58" s="85">
        <f t="shared" si="189"/>
      </c>
      <c r="CR58" s="85">
        <f t="shared" si="189"/>
      </c>
      <c r="CS58" s="176">
        <f t="shared" ref="CS58:CZ61" si="190">CR58</f>
      </c>
      <c r="CT58" s="475">
        <f t="shared" si="190"/>
      </c>
      <c r="CU58" s="85">
        <f t="shared" si="190"/>
      </c>
      <c r="CV58" s="85">
        <f t="shared" si="190"/>
      </c>
      <c r="CW58" s="176">
        <f t="shared" si="190"/>
      </c>
      <c r="CX58" s="475">
        <f t="shared" si="190"/>
      </c>
      <c r="CY58" s="85">
        <f t="shared" si="190"/>
      </c>
      <c r="CZ58" s="85">
        <f t="shared" si="190"/>
      </c>
      <c r="DA58" s="192">
        <v>0</v>
      </c>
      <c r="DB58" s="475"/>
      <c r="DC58" s="85"/>
      <c r="DD58" s="85"/>
      <c r="DE58" s="192"/>
      <c r="DF58" s="475"/>
      <c r="DG58" s="85"/>
      <c r="DH58" s="85"/>
      <c r="DI58" s="192"/>
      <c r="DJ58" s="475"/>
      <c r="DK58" s="85"/>
      <c r="DL58" s="85"/>
      <c r="DM58" s="192"/>
      <c r="DN58" s="475"/>
      <c r="DO58" s="85"/>
      <c r="DP58" s="85"/>
      <c r="DQ58" s="192"/>
      <c r="DR58" s="475"/>
      <c r="DS58" s="85"/>
      <c r="DT58" s="85"/>
      <c r="DU58" s="192"/>
      <c r="DV58" s="475"/>
      <c r="DW58" s="85"/>
      <c r="DX58" s="85"/>
      <c r="DY58" s="192"/>
      <c r="DZ58" s="475"/>
      <c r="EA58" s="85"/>
      <c r="EB58" s="85"/>
      <c r="EC58" s="192"/>
      <c r="ED58" s="475"/>
      <c r="EE58" s="85"/>
      <c r="EF58" s="85"/>
      <c r="EG58" s="192"/>
      <c r="EH58" s="475"/>
      <c r="EI58" s="85"/>
      <c r="EJ58" s="85"/>
      <c r="EK58" s="192"/>
      <c r="EL58" s="85"/>
    </row>
    <row r="59" spans="1:142" s="89" customFormat="1">
      <c r="A59" s="2914" t="s">
        <v>841</v>
      </c>
      <c r="B59" s="1246">
        <v>46236</v>
      </c>
      <c r="D59" s="1247">
        <v>42586</v>
      </c>
      <c r="H59" s="260"/>
      <c r="L59" s="260"/>
      <c r="P59" s="260"/>
      <c r="T59" s="260"/>
      <c r="X59" s="260"/>
      <c r="AB59" s="260"/>
      <c r="AF59" s="260"/>
      <c r="AJ59" s="260"/>
      <c r="AN59" s="260"/>
      <c r="AR59" s="260"/>
      <c r="AV59" s="260"/>
      <c r="AZ59" s="260"/>
      <c r="BD59" s="260"/>
      <c r="BH59" s="260"/>
      <c r="BL59" s="260"/>
      <c r="BP59" s="260"/>
      <c r="BT59" s="260"/>
      <c r="BX59" s="260"/>
      <c r="CB59" s="260"/>
      <c r="CF59" s="260"/>
      <c r="CJ59" s="260"/>
      <c r="CK59" s="260"/>
      <c r="CL59" s="77">
        <v>2250</v>
      </c>
      <c r="CM59" s="62">
        <f t="shared" si="189"/>
      </c>
      <c r="CN59" s="62">
        <f t="shared" si="189"/>
      </c>
      <c r="CO59" s="226">
        <f t="shared" si="189"/>
      </c>
      <c r="CP59" s="62">
        <f t="shared" si="189"/>
      </c>
      <c r="CQ59" s="85">
        <f t="shared" si="189"/>
      </c>
      <c r="CR59" s="85">
        <f t="shared" si="189"/>
      </c>
      <c r="CS59" s="176">
        <f t="shared" si="190"/>
      </c>
      <c r="CT59" s="475">
        <f t="shared" si="190"/>
      </c>
      <c r="CU59" s="85">
        <f t="shared" si="190"/>
      </c>
      <c r="CV59" s="85">
        <f t="shared" si="190"/>
      </c>
      <c r="CW59" s="176">
        <f t="shared" si="190"/>
      </c>
      <c r="CX59" s="475">
        <f t="shared" si="190"/>
      </c>
      <c r="CY59" s="85">
        <f t="shared" si="190"/>
      </c>
      <c r="CZ59" s="85">
        <f t="shared" si="190"/>
      </c>
      <c r="DA59" s="176">
        <f t="shared" ref="DA59:DU59" si="191">CZ59</f>
      </c>
      <c r="DB59" s="475">
        <f t="shared" si="191"/>
      </c>
      <c r="DC59" s="85">
        <f t="shared" si="191"/>
      </c>
      <c r="DD59" s="85">
        <f t="shared" si="191"/>
      </c>
      <c r="DE59" s="176">
        <f t="shared" si="191"/>
      </c>
      <c r="DF59" s="475">
        <f t="shared" si="191"/>
      </c>
      <c r="DG59" s="85">
        <f t="shared" si="191"/>
      </c>
      <c r="DH59" s="85">
        <f t="shared" si="191"/>
      </c>
      <c r="DI59" s="176">
        <f t="shared" si="191"/>
      </c>
      <c r="DJ59" s="475">
        <f t="shared" si="191"/>
      </c>
      <c r="DK59" s="85">
        <f t="shared" si="191"/>
      </c>
      <c r="DL59" s="85">
        <f t="shared" si="191"/>
      </c>
      <c r="DM59" s="176">
        <f t="shared" si="191"/>
      </c>
      <c r="DN59" s="475">
        <f t="shared" si="191"/>
      </c>
      <c r="DO59" s="85">
        <f t="shared" si="191"/>
      </c>
      <c r="DP59" s="85">
        <f t="shared" si="191"/>
      </c>
      <c r="DQ59" s="176">
        <f t="shared" si="191"/>
      </c>
      <c r="DR59" s="475">
        <f t="shared" si="191"/>
      </c>
      <c r="DS59" s="85">
        <f t="shared" si="191"/>
      </c>
      <c r="DT59" s="85">
        <f t="shared" si="191"/>
      </c>
      <c r="DU59" s="176">
        <f t="shared" si="191"/>
      </c>
      <c r="DV59" s="475">
        <f t="shared" ref="DV59:DV65" si="192">DU59</f>
      </c>
      <c r="DW59" s="85">
        <f t="shared" ref="DW59:DW65" si="193">DV59</f>
      </c>
      <c r="DX59" s="85">
        <f t="shared" ref="DX59:DX65" si="194">DW59</f>
      </c>
      <c r="DY59" s="176">
        <f t="shared" ref="DY59:DY65" si="195">DX59</f>
      </c>
      <c r="DZ59" s="475">
        <f t="shared" ref="DZ59:DZ65" si="196">DY59</f>
      </c>
      <c r="EA59" s="85">
        <f t="shared" ref="EA59:EA65" si="197">DZ59</f>
      </c>
      <c r="EB59" s="85">
        <f t="shared" ref="EB59:EB65" si="198">EA59</f>
      </c>
      <c r="EC59" s="176">
        <f t="shared" ref="EC59:EC65" si="199">EB59</f>
      </c>
      <c r="ED59" s="475">
        <f t="shared" ref="ED59:ED65" si="200">EC59</f>
      </c>
      <c r="EE59" s="85">
        <f t="shared" ref="EE59:EE65" si="201">ED59</f>
      </c>
      <c r="EF59" s="85">
        <f t="shared" ref="EF59:EF65" si="202">EE59</f>
      </c>
      <c r="EG59" s="176">
        <f t="shared" ref="EG59:EG65" si="203">EF59</f>
      </c>
      <c r="EH59" s="475">
        <f t="shared" ref="EH59:EH65" si="204">EG59</f>
      </c>
      <c r="EI59" s="85">
        <f t="shared" ref="EI59:EI65" si="205">EH59</f>
      </c>
      <c r="EJ59" s="85">
        <f t="shared" ref="EJ59:EJ65" si="206">EI59</f>
      </c>
      <c r="EK59" s="176">
        <f t="shared" ref="EK59:EK65" si="207">EJ59</f>
      </c>
      <c r="EL59" s="85"/>
    </row>
    <row r="60" spans="1:142" s="89" customFormat="1">
      <c r="A60" s="2914" t="s">
        <v>842</v>
      </c>
      <c r="B60" s="1246">
        <v>53543</v>
      </c>
      <c r="D60" s="1247">
        <v>42586</v>
      </c>
      <c r="H60" s="260"/>
      <c r="L60" s="260"/>
      <c r="P60" s="260"/>
      <c r="T60" s="260"/>
      <c r="X60" s="260"/>
      <c r="AB60" s="260"/>
      <c r="AF60" s="260"/>
      <c r="AJ60" s="260"/>
      <c r="AN60" s="260"/>
      <c r="AR60" s="260"/>
      <c r="AV60" s="260"/>
      <c r="AZ60" s="260"/>
      <c r="BD60" s="260"/>
      <c r="BH60" s="260"/>
      <c r="BL60" s="260"/>
      <c r="BP60" s="260"/>
      <c r="BT60" s="260"/>
      <c r="BX60" s="260"/>
      <c r="CB60" s="260"/>
      <c r="CF60" s="260"/>
      <c r="CJ60" s="260"/>
      <c r="CK60" s="260"/>
      <c r="CL60" s="77">
        <v>2000</v>
      </c>
      <c r="CM60" s="62">
        <f t="shared" si="189"/>
      </c>
      <c r="CN60" s="62">
        <f t="shared" si="189"/>
      </c>
      <c r="CO60" s="226">
        <f t="shared" si="189"/>
      </c>
      <c r="CP60" s="62">
        <f t="shared" si="189"/>
      </c>
      <c r="CQ60" s="85">
        <f t="shared" si="189"/>
      </c>
      <c r="CR60" s="85">
        <f t="shared" si="189"/>
      </c>
      <c r="CS60" s="176">
        <f t="shared" si="190"/>
      </c>
      <c r="CT60" s="475">
        <f t="shared" si="190"/>
      </c>
      <c r="CU60" s="85">
        <f t="shared" si="190"/>
      </c>
      <c r="CV60" s="85">
        <f t="shared" si="190"/>
      </c>
      <c r="CW60" s="176">
        <f t="shared" si="190"/>
      </c>
      <c r="CX60" s="475">
        <f t="shared" si="190"/>
      </c>
      <c r="CY60" s="85">
        <f t="shared" si="190"/>
      </c>
      <c r="CZ60" s="85">
        <f t="shared" si="190"/>
      </c>
      <c r="DA60" s="176">
        <f t="shared" ref="DA60:DU60" si="208">CZ60</f>
      </c>
      <c r="DB60" s="475">
        <f t="shared" si="208"/>
      </c>
      <c r="DC60" s="85">
        <f t="shared" si="208"/>
      </c>
      <c r="DD60" s="85">
        <f t="shared" si="208"/>
      </c>
      <c r="DE60" s="176">
        <f t="shared" si="208"/>
      </c>
      <c r="DF60" s="475">
        <f t="shared" si="208"/>
      </c>
      <c r="DG60" s="85">
        <f t="shared" si="208"/>
      </c>
      <c r="DH60" s="85">
        <f t="shared" si="208"/>
      </c>
      <c r="DI60" s="176">
        <f t="shared" si="208"/>
      </c>
      <c r="DJ60" s="475">
        <f t="shared" si="208"/>
      </c>
      <c r="DK60" s="85">
        <f t="shared" si="208"/>
      </c>
      <c r="DL60" s="85">
        <f t="shared" si="208"/>
      </c>
      <c r="DM60" s="176">
        <f t="shared" si="208"/>
      </c>
      <c r="DN60" s="475">
        <f t="shared" si="208"/>
      </c>
      <c r="DO60" s="85">
        <f t="shared" si="208"/>
      </c>
      <c r="DP60" s="85">
        <f t="shared" si="208"/>
      </c>
      <c r="DQ60" s="176">
        <f t="shared" si="208"/>
      </c>
      <c r="DR60" s="475">
        <f t="shared" si="208"/>
      </c>
      <c r="DS60" s="85">
        <f t="shared" si="208"/>
      </c>
      <c r="DT60" s="85">
        <f t="shared" si="208"/>
      </c>
      <c r="DU60" s="176">
        <f t="shared" si="208"/>
      </c>
      <c r="DV60" s="475">
        <f t="shared" si="192"/>
      </c>
      <c r="DW60" s="85">
        <f t="shared" si="193"/>
      </c>
      <c r="DX60" s="85">
        <f t="shared" si="194"/>
      </c>
      <c r="DY60" s="176">
        <f t="shared" si="195"/>
      </c>
      <c r="DZ60" s="475">
        <f t="shared" si="196"/>
      </c>
      <c r="EA60" s="85">
        <f t="shared" si="197"/>
      </c>
      <c r="EB60" s="85">
        <f t="shared" si="198"/>
      </c>
      <c r="EC60" s="176">
        <f t="shared" si="199"/>
      </c>
      <c r="ED60" s="475">
        <f t="shared" si="200"/>
      </c>
      <c r="EE60" s="85">
        <f t="shared" si="201"/>
      </c>
      <c r="EF60" s="85">
        <f t="shared" si="202"/>
      </c>
      <c r="EG60" s="176">
        <f t="shared" si="203"/>
      </c>
      <c r="EH60" s="475">
        <f t="shared" si="204"/>
      </c>
      <c r="EI60" s="85">
        <f t="shared" si="205"/>
      </c>
      <c r="EJ60" s="85">
        <f t="shared" si="206"/>
      </c>
      <c r="EK60" s="176">
        <f t="shared" si="207"/>
      </c>
      <c r="EL60" s="85"/>
    </row>
    <row r="61" spans="1:142" s="89" customFormat="1">
      <c r="A61" s="89" t="s">
        <v>1055</v>
      </c>
      <c r="B61" s="1246">
        <v>43504</v>
      </c>
      <c r="D61" s="1247">
        <v>42768</v>
      </c>
      <c r="H61" s="260"/>
      <c r="L61" s="260"/>
      <c r="P61" s="260"/>
      <c r="T61" s="260"/>
      <c r="X61" s="260"/>
      <c r="AB61" s="260"/>
      <c r="AF61" s="260"/>
      <c r="AJ61" s="260"/>
      <c r="AN61" s="260"/>
      <c r="AR61" s="260"/>
      <c r="AV61" s="260"/>
      <c r="AZ61" s="260"/>
      <c r="BD61" s="260"/>
      <c r="BH61" s="260"/>
      <c r="BL61" s="260"/>
      <c r="BP61" s="260"/>
      <c r="BT61" s="260"/>
      <c r="BX61" s="260"/>
      <c r="CB61" s="260"/>
      <c r="CF61" s="260"/>
      <c r="CJ61" s="260"/>
      <c r="CK61" s="260"/>
      <c r="CL61" s="77">
        <v>500</v>
      </c>
      <c r="CM61" s="62">
        <f t="shared" ref="CM61:CP76" si="209">CL61</f>
      </c>
      <c r="CN61" s="62">
        <f t="shared" si="209"/>
      </c>
      <c r="CO61" s="226">
        <f t="shared" si="209"/>
      </c>
      <c r="CP61" s="62">
        <f t="shared" si="209"/>
      </c>
      <c r="CQ61" s="77">
        <v>0</v>
      </c>
      <c r="CR61" s="85">
        <f t="shared" ref="CR61:CR76" si="210">CQ61</f>
      </c>
      <c r="CS61" s="176">
        <f t="shared" si="190"/>
      </c>
      <c r="CT61" s="475">
        <f t="shared" si="190"/>
      </c>
      <c r="CU61" s="85">
        <f t="shared" si="190"/>
      </c>
      <c r="CV61" s="85">
        <f t="shared" si="190"/>
      </c>
      <c r="CW61" s="176">
        <f t="shared" si="190"/>
      </c>
      <c r="CX61" s="475">
        <f t="shared" si="190"/>
      </c>
      <c r="CY61" s="85">
        <f t="shared" si="190"/>
      </c>
      <c r="CZ61" s="85">
        <f t="shared" si="190"/>
      </c>
      <c r="DA61" s="176">
        <f t="shared" ref="DA61:DU61" si="211">CZ61</f>
      </c>
      <c r="DB61" s="475">
        <f t="shared" si="211"/>
      </c>
      <c r="DC61" s="85">
        <f t="shared" si="211"/>
      </c>
      <c r="DD61" s="85">
        <f t="shared" si="211"/>
      </c>
      <c r="DE61" s="176">
        <f t="shared" si="211"/>
      </c>
      <c r="DF61" s="475">
        <f t="shared" si="211"/>
      </c>
      <c r="DG61" s="85">
        <f t="shared" si="211"/>
      </c>
      <c r="DH61" s="85">
        <f t="shared" si="211"/>
      </c>
      <c r="DI61" s="176">
        <f t="shared" si="211"/>
      </c>
      <c r="DJ61" s="475">
        <f t="shared" si="211"/>
      </c>
      <c r="DK61" s="85">
        <f t="shared" si="211"/>
      </c>
      <c r="DL61" s="85">
        <f t="shared" si="211"/>
      </c>
      <c r="DM61" s="176">
        <f t="shared" si="211"/>
      </c>
      <c r="DN61" s="475">
        <f t="shared" si="211"/>
      </c>
      <c r="DO61" s="85">
        <f t="shared" si="211"/>
      </c>
      <c r="DP61" s="85">
        <f t="shared" si="211"/>
      </c>
      <c r="DQ61" s="176">
        <f t="shared" si="211"/>
      </c>
      <c r="DR61" s="475">
        <f t="shared" si="211"/>
      </c>
      <c r="DS61" s="85">
        <f t="shared" si="211"/>
      </c>
      <c r="DT61" s="85">
        <f t="shared" si="211"/>
      </c>
      <c r="DU61" s="176">
        <f t="shared" si="211"/>
      </c>
      <c r="DV61" s="475">
        <f t="shared" si="192"/>
      </c>
      <c r="DW61" s="85">
        <f t="shared" si="193"/>
      </c>
      <c r="DX61" s="85">
        <f t="shared" si="194"/>
      </c>
      <c r="DY61" s="176">
        <f t="shared" si="195"/>
      </c>
      <c r="DZ61" s="475">
        <f t="shared" si="196"/>
      </c>
      <c r="EA61" s="85">
        <f t="shared" si="197"/>
      </c>
      <c r="EB61" s="85">
        <f t="shared" si="198"/>
      </c>
      <c r="EC61" s="176">
        <f t="shared" si="199"/>
      </c>
      <c r="ED61" s="475">
        <f t="shared" si="200"/>
      </c>
      <c r="EE61" s="85">
        <f t="shared" si="201"/>
      </c>
      <c r="EF61" s="85">
        <f t="shared" si="202"/>
      </c>
      <c r="EG61" s="176">
        <f t="shared" si="203"/>
      </c>
      <c r="EH61" s="475">
        <f t="shared" si="204"/>
      </c>
      <c r="EI61" s="85">
        <f t="shared" si="205"/>
      </c>
      <c r="EJ61" s="85">
        <f t="shared" si="206"/>
      </c>
      <c r="EK61" s="176">
        <f t="shared" si="207"/>
      </c>
      <c r="EL61" s="85"/>
    </row>
    <row r="62" spans="1:142" s="89" customFormat="1">
      <c r="A62" s="2914" t="s">
        <v>1060</v>
      </c>
      <c r="B62" s="1246">
        <v>43869</v>
      </c>
      <c r="D62" s="1247">
        <v>42768</v>
      </c>
      <c r="H62" s="260"/>
      <c r="L62" s="260"/>
      <c r="P62" s="260"/>
      <c r="T62" s="260"/>
      <c r="X62" s="260"/>
      <c r="AB62" s="260"/>
      <c r="AF62" s="260"/>
      <c r="AJ62" s="260"/>
      <c r="AN62" s="260"/>
      <c r="AR62" s="260"/>
      <c r="AV62" s="260"/>
      <c r="AZ62" s="260"/>
      <c r="BD62" s="260"/>
      <c r="BH62" s="260"/>
      <c r="BL62" s="260"/>
      <c r="BP62" s="260"/>
      <c r="BT62" s="260"/>
      <c r="BX62" s="260"/>
      <c r="CB62" s="260"/>
      <c r="CF62" s="260"/>
      <c r="CJ62" s="260"/>
      <c r="CK62" s="260"/>
      <c r="CL62" s="77">
        <v>500</v>
      </c>
      <c r="CM62" s="62">
        <f t="shared" si="209"/>
      </c>
      <c r="CN62" s="62">
        <f t="shared" si="209"/>
      </c>
      <c r="CO62" s="226">
        <f t="shared" si="209"/>
      </c>
      <c r="CP62" s="62">
        <f t="shared" si="209"/>
      </c>
      <c r="CQ62" s="85">
        <f>CP62</f>
      </c>
      <c r="CR62" s="85">
        <f t="shared" si="210"/>
      </c>
      <c r="CS62" s="176">
        <f t="shared" ref="CS62:CT65" si="212">CR62</f>
      </c>
      <c r="CT62" s="475">
        <f t="shared" si="212"/>
      </c>
      <c r="CU62" s="77">
        <v>0</v>
      </c>
      <c r="CV62" s="85">
        <v>0</v>
      </c>
      <c r="CW62" s="176">
        <f t="shared" ref="CW62:CZ63" si="213">CV62</f>
      </c>
      <c r="CX62" s="475">
        <f t="shared" si="213"/>
      </c>
      <c r="CY62" s="85">
        <f t="shared" si="213"/>
      </c>
      <c r="CZ62" s="85">
        <f t="shared" si="213"/>
      </c>
      <c r="DA62" s="176">
        <f t="shared" ref="DA62:DU62" si="214">CZ62</f>
      </c>
      <c r="DB62" s="475">
        <f t="shared" si="214"/>
      </c>
      <c r="DC62" s="85">
        <f t="shared" si="214"/>
      </c>
      <c r="DD62" s="85">
        <f t="shared" si="214"/>
      </c>
      <c r="DE62" s="176">
        <f t="shared" si="214"/>
      </c>
      <c r="DF62" s="475">
        <f t="shared" si="214"/>
      </c>
      <c r="DG62" s="85">
        <f t="shared" si="214"/>
      </c>
      <c r="DH62" s="85">
        <f t="shared" si="214"/>
      </c>
      <c r="DI62" s="176">
        <f t="shared" si="214"/>
      </c>
      <c r="DJ62" s="475">
        <f t="shared" si="214"/>
      </c>
      <c r="DK62" s="85">
        <f t="shared" si="214"/>
      </c>
      <c r="DL62" s="85">
        <f t="shared" si="214"/>
      </c>
      <c r="DM62" s="176">
        <f t="shared" si="214"/>
      </c>
      <c r="DN62" s="475">
        <f t="shared" si="214"/>
      </c>
      <c r="DO62" s="85">
        <f t="shared" si="214"/>
      </c>
      <c r="DP62" s="85">
        <f t="shared" si="214"/>
      </c>
      <c r="DQ62" s="176">
        <f t="shared" si="214"/>
      </c>
      <c r="DR62" s="475">
        <f t="shared" si="214"/>
      </c>
      <c r="DS62" s="85">
        <f t="shared" si="214"/>
      </c>
      <c r="DT62" s="85">
        <f t="shared" si="214"/>
      </c>
      <c r="DU62" s="176">
        <f t="shared" si="214"/>
      </c>
      <c r="DV62" s="475">
        <f t="shared" si="192"/>
      </c>
      <c r="DW62" s="85">
        <f t="shared" si="193"/>
      </c>
      <c r="DX62" s="85">
        <f t="shared" si="194"/>
      </c>
      <c r="DY62" s="176">
        <f t="shared" si="195"/>
      </c>
      <c r="DZ62" s="475">
        <f t="shared" si="196"/>
      </c>
      <c r="EA62" s="85">
        <f t="shared" si="197"/>
      </c>
      <c r="EB62" s="85">
        <f t="shared" si="198"/>
      </c>
      <c r="EC62" s="176">
        <f t="shared" si="199"/>
      </c>
      <c r="ED62" s="475">
        <f t="shared" si="200"/>
      </c>
      <c r="EE62" s="85">
        <f t="shared" si="201"/>
      </c>
      <c r="EF62" s="85">
        <f t="shared" si="202"/>
      </c>
      <c r="EG62" s="176">
        <f t="shared" si="203"/>
      </c>
      <c r="EH62" s="475">
        <f t="shared" si="204"/>
      </c>
      <c r="EI62" s="85">
        <f t="shared" si="205"/>
      </c>
      <c r="EJ62" s="85">
        <f t="shared" si="206"/>
      </c>
      <c r="EK62" s="176">
        <f t="shared" si="207"/>
      </c>
      <c r="EL62" s="85"/>
    </row>
    <row r="63" spans="1:142" s="89" customFormat="1">
      <c r="A63" s="2914" t="s">
        <v>1063</v>
      </c>
      <c r="B63" s="1246">
        <v>44600</v>
      </c>
      <c r="D63" s="1247">
        <v>42768</v>
      </c>
      <c r="H63" s="260"/>
      <c r="L63" s="260"/>
      <c r="P63" s="260"/>
      <c r="T63" s="260"/>
      <c r="X63" s="260"/>
      <c r="AB63" s="260"/>
      <c r="AF63" s="260"/>
      <c r="AJ63" s="260"/>
      <c r="AN63" s="260"/>
      <c r="AR63" s="260"/>
      <c r="AV63" s="260"/>
      <c r="AZ63" s="260"/>
      <c r="BD63" s="260"/>
      <c r="BH63" s="260"/>
      <c r="BL63" s="260"/>
      <c r="BP63" s="260"/>
      <c r="BT63" s="260"/>
      <c r="BX63" s="260"/>
      <c r="CB63" s="260"/>
      <c r="CF63" s="260"/>
      <c r="CJ63" s="260"/>
      <c r="CK63" s="260"/>
      <c r="CL63" s="77">
        <v>1000</v>
      </c>
      <c r="CM63" s="62">
        <f t="shared" si="209"/>
      </c>
      <c r="CN63" s="62">
        <f t="shared" si="209"/>
      </c>
      <c r="CO63" s="226">
        <f t="shared" si="209"/>
      </c>
      <c r="CP63" s="62">
        <f t="shared" si="209"/>
      </c>
      <c r="CQ63" s="85">
        <f>CP63</f>
      </c>
      <c r="CR63" s="85">
        <f t="shared" si="210"/>
      </c>
      <c r="CS63" s="176">
        <f t="shared" si="212"/>
      </c>
      <c r="CT63" s="475">
        <f t="shared" si="212"/>
      </c>
      <c r="CU63" s="85">
        <f>CT63</f>
      </c>
      <c r="CV63" s="85">
        <f>CU63</f>
      </c>
      <c r="CW63" s="176">
        <f t="shared" si="213"/>
      </c>
      <c r="CX63" s="475">
        <f t="shared" si="213"/>
      </c>
      <c r="CY63" s="85">
        <f t="shared" si="213"/>
      </c>
      <c r="CZ63" s="85">
        <f t="shared" si="213"/>
      </c>
      <c r="DA63" s="176">
        <f t="shared" ref="DA63:DB65" si="215">CZ63</f>
      </c>
      <c r="DB63" s="475">
        <f t="shared" si="215"/>
      </c>
      <c r="DC63" s="85">
        <v>0</v>
      </c>
      <c r="DD63" s="85">
        <f t="shared" ref="DD63:DU63" si="216">DC63</f>
      </c>
      <c r="DE63" s="176">
        <f t="shared" si="216"/>
      </c>
      <c r="DF63" s="475">
        <f t="shared" si="216"/>
      </c>
      <c r="DG63" s="85">
        <f t="shared" si="216"/>
      </c>
      <c r="DH63" s="85">
        <f t="shared" si="216"/>
      </c>
      <c r="DI63" s="176">
        <f t="shared" si="216"/>
      </c>
      <c r="DJ63" s="475">
        <f t="shared" si="216"/>
      </c>
      <c r="DK63" s="85">
        <f t="shared" si="216"/>
      </c>
      <c r="DL63" s="85">
        <f t="shared" si="216"/>
      </c>
      <c r="DM63" s="176">
        <f t="shared" si="216"/>
      </c>
      <c r="DN63" s="475">
        <f t="shared" si="216"/>
      </c>
      <c r="DO63" s="85">
        <f t="shared" si="216"/>
      </c>
      <c r="DP63" s="85">
        <f t="shared" si="216"/>
      </c>
      <c r="DQ63" s="176">
        <f t="shared" si="216"/>
      </c>
      <c r="DR63" s="475">
        <f t="shared" si="216"/>
      </c>
      <c r="DS63" s="85">
        <f t="shared" si="216"/>
      </c>
      <c r="DT63" s="85">
        <f t="shared" si="216"/>
      </c>
      <c r="DU63" s="176">
        <f t="shared" si="216"/>
      </c>
      <c r="DV63" s="475">
        <f t="shared" si="192"/>
      </c>
      <c r="DW63" s="85">
        <f t="shared" si="193"/>
      </c>
      <c r="DX63" s="85">
        <f t="shared" si="194"/>
      </c>
      <c r="DY63" s="176">
        <f t="shared" si="195"/>
      </c>
      <c r="DZ63" s="475">
        <f t="shared" si="196"/>
      </c>
      <c r="EA63" s="85">
        <f t="shared" si="197"/>
      </c>
      <c r="EB63" s="85">
        <f t="shared" si="198"/>
      </c>
      <c r="EC63" s="176">
        <f t="shared" si="199"/>
      </c>
      <c r="ED63" s="475">
        <f t="shared" si="200"/>
      </c>
      <c r="EE63" s="85">
        <f t="shared" si="201"/>
      </c>
      <c r="EF63" s="85">
        <f t="shared" si="202"/>
      </c>
      <c r="EG63" s="176">
        <f t="shared" si="203"/>
      </c>
      <c r="EH63" s="475">
        <f t="shared" si="204"/>
      </c>
      <c r="EI63" s="85">
        <f t="shared" si="205"/>
      </c>
      <c r="EJ63" s="85">
        <f t="shared" si="206"/>
      </c>
      <c r="EK63" s="176">
        <f t="shared" si="207"/>
      </c>
      <c r="EL63" s="85"/>
    </row>
    <row r="64" spans="1:142" s="89" customFormat="1">
      <c r="A64" s="2914" t="s">
        <v>1061</v>
      </c>
      <c r="B64" s="1246">
        <v>43962</v>
      </c>
      <c r="D64" s="1247">
        <v>42866</v>
      </c>
      <c r="H64" s="260"/>
      <c r="L64" s="260"/>
      <c r="P64" s="260"/>
      <c r="T64" s="260"/>
      <c r="X64" s="260"/>
      <c r="AB64" s="260"/>
      <c r="AF64" s="260"/>
      <c r="AJ64" s="260"/>
      <c r="AN64" s="260"/>
      <c r="AR64" s="260"/>
      <c r="AV64" s="260"/>
      <c r="AZ64" s="260"/>
      <c r="BD64" s="260"/>
      <c r="BH64" s="260"/>
      <c r="BL64" s="260"/>
      <c r="BP64" s="260"/>
      <c r="BT64" s="260"/>
      <c r="BX64" s="260"/>
      <c r="CB64" s="260"/>
      <c r="CF64" s="260"/>
      <c r="CJ64" s="260"/>
      <c r="CK64" s="260"/>
      <c r="CL64" s="77">
        <v>500</v>
      </c>
      <c r="CM64" s="62">
        <f t="shared" si="209"/>
      </c>
      <c r="CN64" s="62">
        <f t="shared" si="209"/>
      </c>
      <c r="CO64" s="226">
        <f t="shared" si="209"/>
      </c>
      <c r="CP64" s="62">
        <f t="shared" si="209"/>
      </c>
      <c r="CQ64" s="85">
        <f>CP64</f>
      </c>
      <c r="CR64" s="85">
        <f t="shared" si="210"/>
      </c>
      <c r="CS64" s="176">
        <f t="shared" si="212"/>
      </c>
      <c r="CT64" s="475">
        <f t="shared" si="212"/>
      </c>
      <c r="CU64" s="85">
        <f>CT64</f>
      </c>
      <c r="CV64" s="85">
        <v>500</v>
      </c>
      <c r="CW64" s="176">
        <f t="shared" ref="CW64:CY65" si="217">CV64</f>
      </c>
      <c r="CX64" s="475">
        <f t="shared" si="217"/>
      </c>
      <c r="CY64" s="85">
        <f t="shared" si="217"/>
      </c>
      <c r="CZ64" s="85">
        <v>0</v>
      </c>
      <c r="DA64" s="176">
        <f t="shared" si="215"/>
      </c>
      <c r="DB64" s="475">
        <f t="shared" si="215"/>
      </c>
      <c r="DC64" s="85">
        <f>DB64</f>
      </c>
      <c r="DD64" s="85">
        <f t="shared" ref="DD64:DU64" si="218">DC64</f>
      </c>
      <c r="DE64" s="176">
        <f t="shared" si="218"/>
      </c>
      <c r="DF64" s="475">
        <f t="shared" si="218"/>
      </c>
      <c r="DG64" s="85">
        <f t="shared" si="218"/>
      </c>
      <c r="DH64" s="85">
        <f t="shared" si="218"/>
      </c>
      <c r="DI64" s="176">
        <f t="shared" si="218"/>
      </c>
      <c r="DJ64" s="475">
        <f t="shared" si="218"/>
      </c>
      <c r="DK64" s="85">
        <f t="shared" si="218"/>
      </c>
      <c r="DL64" s="85">
        <f t="shared" si="218"/>
      </c>
      <c r="DM64" s="176">
        <f t="shared" si="218"/>
      </c>
      <c r="DN64" s="475">
        <f t="shared" si="218"/>
      </c>
      <c r="DO64" s="85">
        <f t="shared" si="218"/>
      </c>
      <c r="DP64" s="85">
        <f t="shared" si="218"/>
      </c>
      <c r="DQ64" s="176">
        <f t="shared" si="218"/>
      </c>
      <c r="DR64" s="475">
        <f t="shared" si="218"/>
      </c>
      <c r="DS64" s="85">
        <f t="shared" si="218"/>
      </c>
      <c r="DT64" s="85">
        <f t="shared" si="218"/>
      </c>
      <c r="DU64" s="176">
        <f t="shared" si="218"/>
      </c>
      <c r="DV64" s="475">
        <f t="shared" si="192"/>
      </c>
      <c r="DW64" s="85">
        <f t="shared" si="193"/>
      </c>
      <c r="DX64" s="85">
        <f t="shared" si="194"/>
      </c>
      <c r="DY64" s="176">
        <f t="shared" si="195"/>
      </c>
      <c r="DZ64" s="475">
        <f t="shared" si="196"/>
      </c>
      <c r="EA64" s="85">
        <f t="shared" si="197"/>
      </c>
      <c r="EB64" s="85">
        <f t="shared" si="198"/>
      </c>
      <c r="EC64" s="176">
        <f t="shared" si="199"/>
      </c>
      <c r="ED64" s="475">
        <f t="shared" si="200"/>
      </c>
      <c r="EE64" s="85">
        <f t="shared" si="201"/>
      </c>
      <c r="EF64" s="85">
        <f t="shared" si="202"/>
      </c>
      <c r="EG64" s="176">
        <f t="shared" si="203"/>
      </c>
      <c r="EH64" s="475">
        <f t="shared" si="204"/>
      </c>
      <c r="EI64" s="85">
        <f t="shared" si="205"/>
      </c>
      <c r="EJ64" s="85">
        <f t="shared" si="206"/>
      </c>
      <c r="EK64" s="176">
        <f t="shared" si="207"/>
      </c>
      <c r="EL64" s="85"/>
    </row>
    <row r="65" spans="1:142" s="89" customFormat="1">
      <c r="A65" s="2914" t="s">
        <v>1064</v>
      </c>
      <c r="B65" s="1246">
        <v>44692</v>
      </c>
      <c r="D65" s="1247">
        <v>42866</v>
      </c>
      <c r="H65" s="260"/>
      <c r="L65" s="260"/>
      <c r="P65" s="260"/>
      <c r="T65" s="260"/>
      <c r="X65" s="260"/>
      <c r="AB65" s="260"/>
      <c r="AF65" s="260"/>
      <c r="AJ65" s="260"/>
      <c r="AN65" s="260"/>
      <c r="AR65" s="260"/>
      <c r="AV65" s="260"/>
      <c r="AZ65" s="260"/>
      <c r="BD65" s="260"/>
      <c r="BH65" s="260"/>
      <c r="BL65" s="260"/>
      <c r="BP65" s="260"/>
      <c r="BT65" s="260"/>
      <c r="BX65" s="260"/>
      <c r="CB65" s="260"/>
      <c r="CF65" s="260"/>
      <c r="CJ65" s="260"/>
      <c r="CK65" s="260"/>
      <c r="CL65" s="77">
        <v>750</v>
      </c>
      <c r="CM65" s="62">
        <f t="shared" si="209"/>
      </c>
      <c r="CN65" s="62">
        <f t="shared" si="209"/>
      </c>
      <c r="CO65" s="226">
        <f t="shared" si="209"/>
      </c>
      <c r="CP65" s="62">
        <f t="shared" si="209"/>
      </c>
      <c r="CQ65" s="85">
        <f>CP65</f>
      </c>
      <c r="CR65" s="85">
        <f t="shared" si="210"/>
      </c>
      <c r="CS65" s="176">
        <f t="shared" si="212"/>
      </c>
      <c r="CT65" s="475">
        <f t="shared" si="212"/>
      </c>
      <c r="CU65" s="85">
        <f>CT65</f>
      </c>
      <c r="CV65" s="85">
        <f>CU65</f>
      </c>
      <c r="CW65" s="176">
        <f t="shared" si="217"/>
      </c>
      <c r="CX65" s="475">
        <f t="shared" si="217"/>
      </c>
      <c r="CY65" s="85">
        <f t="shared" si="217"/>
      </c>
      <c r="CZ65" s="85">
        <f>CY65</f>
      </c>
      <c r="DA65" s="176">
        <f t="shared" si="215"/>
      </c>
      <c r="DB65" s="475">
        <f t="shared" si="215"/>
      </c>
      <c r="DC65" s="85">
        <f>DB65</f>
      </c>
      <c r="DD65" s="85">
        <f t="shared" ref="DD65:DU65" si="219">DC65</f>
      </c>
      <c r="DE65" s="176">
        <f t="shared" si="219"/>
      </c>
      <c r="DF65" s="475">
        <f t="shared" si="219"/>
      </c>
      <c r="DG65" s="85">
        <f t="shared" si="219"/>
      </c>
      <c r="DH65" s="85">
        <f t="shared" si="219"/>
      </c>
      <c r="DI65" s="176">
        <f t="shared" si="219"/>
      </c>
      <c r="DJ65" s="475">
        <f t="shared" si="219"/>
      </c>
      <c r="DK65" s="85">
        <f t="shared" si="219"/>
      </c>
      <c r="DL65" s="85">
        <f t="shared" si="219"/>
      </c>
      <c r="DM65" s="176">
        <f t="shared" si="219"/>
      </c>
      <c r="DN65" s="475">
        <f t="shared" si="219"/>
      </c>
      <c r="DO65" s="85">
        <f t="shared" si="219"/>
      </c>
      <c r="DP65" s="85">
        <f t="shared" si="219"/>
      </c>
      <c r="DQ65" s="176">
        <f t="shared" si="219"/>
      </c>
      <c r="DR65" s="475">
        <f t="shared" si="219"/>
      </c>
      <c r="DS65" s="85">
        <f t="shared" si="219"/>
      </c>
      <c r="DT65" s="85">
        <f t="shared" si="219"/>
      </c>
      <c r="DU65" s="176">
        <f t="shared" si="219"/>
      </c>
      <c r="DV65" s="475">
        <f t="shared" si="192"/>
      </c>
      <c r="DW65" s="85">
        <f t="shared" si="193"/>
      </c>
      <c r="DX65" s="85">
        <f t="shared" si="194"/>
      </c>
      <c r="DY65" s="176">
        <f t="shared" si="195"/>
      </c>
      <c r="DZ65" s="475">
        <f t="shared" si="196"/>
      </c>
      <c r="EA65" s="85">
        <f t="shared" si="197"/>
      </c>
      <c r="EB65" s="85">
        <f t="shared" si="198"/>
      </c>
      <c r="EC65" s="176">
        <f t="shared" si="199"/>
      </c>
      <c r="ED65" s="475">
        <f t="shared" si="200"/>
      </c>
      <c r="EE65" s="85">
        <f t="shared" si="201"/>
      </c>
      <c r="EF65" s="85">
        <f t="shared" si="202"/>
      </c>
      <c r="EG65" s="176">
        <f t="shared" si="203"/>
      </c>
      <c r="EH65" s="475">
        <f t="shared" si="204"/>
      </c>
      <c r="EI65" s="85">
        <f t="shared" si="205"/>
      </c>
      <c r="EJ65" s="85">
        <f t="shared" si="206"/>
      </c>
      <c r="EK65" s="176">
        <f t="shared" si="207"/>
      </c>
      <c r="EL65" s="85"/>
    </row>
    <row r="66" spans="1:142" s="89" customFormat="1">
      <c r="A66" s="89" t="s">
        <v>944</v>
      </c>
      <c r="B66" s="1246">
        <v>43504</v>
      </c>
      <c r="D66" s="1247">
        <v>42768</v>
      </c>
      <c r="H66" s="260"/>
      <c r="L66" s="260"/>
      <c r="P66" s="260"/>
      <c r="T66" s="260"/>
      <c r="X66" s="260"/>
      <c r="AB66" s="260"/>
      <c r="AF66" s="260"/>
      <c r="AJ66" s="260"/>
      <c r="AN66" s="260"/>
      <c r="AR66" s="260"/>
      <c r="AV66" s="260"/>
      <c r="AZ66" s="260"/>
      <c r="BD66" s="260"/>
      <c r="BH66" s="260"/>
      <c r="BL66" s="260"/>
      <c r="BP66" s="260"/>
      <c r="BT66" s="260"/>
      <c r="BX66" s="260"/>
      <c r="CB66" s="260"/>
      <c r="CF66" s="260"/>
      <c r="CJ66" s="260"/>
      <c r="CK66" s="260"/>
      <c r="CL66" s="77">
        <v>500</v>
      </c>
      <c r="CM66" s="62">
        <f t="shared" si="209"/>
      </c>
      <c r="CN66" s="62">
        <f t="shared" si="209"/>
      </c>
      <c r="CO66" s="226">
        <f t="shared" si="209"/>
      </c>
      <c r="CP66" s="62">
        <f t="shared" si="209"/>
      </c>
      <c r="CQ66" s="77">
        <v>0</v>
      </c>
      <c r="CR66" s="85">
        <f t="shared" si="210"/>
      </c>
      <c r="CS66" s="176">
        <f t="shared" ref="CS66:CS76" si="220">CR66</f>
      </c>
      <c r="CT66" s="475">
        <v>0</v>
      </c>
      <c r="CU66" s="85">
        <v>0</v>
      </c>
      <c r="CV66" s="85">
        <v>0</v>
      </c>
      <c r="CW66" s="176">
        <v>0</v>
      </c>
      <c r="CX66" s="475">
        <v>0</v>
      </c>
      <c r="CY66" s="85">
        <v>0</v>
      </c>
      <c r="CZ66" s="85">
        <v>0</v>
      </c>
      <c r="DA66" s="176">
        <v>0</v>
      </c>
      <c r="DB66" s="475"/>
      <c r="DC66" s="85"/>
      <c r="DD66" s="85"/>
      <c r="DE66" s="176"/>
      <c r="DF66" s="475"/>
      <c r="DG66" s="85"/>
      <c r="DH66" s="85"/>
      <c r="DI66" s="176"/>
      <c r="DJ66" s="475"/>
      <c r="DK66" s="85"/>
      <c r="DL66" s="85"/>
      <c r="DM66" s="176"/>
      <c r="DN66" s="475"/>
      <c r="DO66" s="85"/>
      <c r="DP66" s="85"/>
      <c r="DQ66" s="176"/>
      <c r="DR66" s="475"/>
      <c r="DS66" s="85"/>
      <c r="DT66" s="85"/>
      <c r="DU66" s="176"/>
      <c r="DV66" s="475"/>
      <c r="DW66" s="85"/>
      <c r="DX66" s="85"/>
      <c r="DY66" s="176"/>
      <c r="DZ66" s="475"/>
      <c r="EA66" s="85"/>
      <c r="EB66" s="85"/>
      <c r="EC66" s="176"/>
      <c r="ED66" s="475"/>
      <c r="EE66" s="85"/>
      <c r="EF66" s="85"/>
      <c r="EG66" s="176"/>
      <c r="EH66" s="475"/>
      <c r="EI66" s="85"/>
      <c r="EJ66" s="85"/>
      <c r="EK66" s="176"/>
      <c r="EL66" s="85"/>
    </row>
    <row r="67" spans="1:142" s="89" customFormat="1">
      <c r="A67" s="89" t="s">
        <v>945</v>
      </c>
      <c r="B67" s="1246">
        <v>43869</v>
      </c>
      <c r="D67" s="1247">
        <v>42768</v>
      </c>
      <c r="H67" s="260"/>
      <c r="L67" s="260"/>
      <c r="P67" s="260"/>
      <c r="T67" s="260"/>
      <c r="X67" s="260"/>
      <c r="AB67" s="260"/>
      <c r="AF67" s="260"/>
      <c r="AJ67" s="260"/>
      <c r="AN67" s="260"/>
      <c r="AR67" s="260"/>
      <c r="AV67" s="260"/>
      <c r="AZ67" s="260"/>
      <c r="BD67" s="260"/>
      <c r="BH67" s="260"/>
      <c r="BL67" s="260"/>
      <c r="BP67" s="260"/>
      <c r="BT67" s="260"/>
      <c r="BX67" s="260"/>
      <c r="CB67" s="260"/>
      <c r="CF67" s="260"/>
      <c r="CJ67" s="260"/>
      <c r="CK67" s="260"/>
      <c r="CL67" s="77">
        <v>1000</v>
      </c>
      <c r="CM67" s="62">
        <f t="shared" si="209"/>
      </c>
      <c r="CN67" s="62">
        <f t="shared" si="209"/>
      </c>
      <c r="CO67" s="226">
        <f t="shared" si="209"/>
      </c>
      <c r="CP67" s="62">
        <f t="shared" si="209"/>
      </c>
      <c r="CQ67" s="85">
        <f t="shared" ref="CQ67:CQ76" si="221">CP67</f>
      </c>
      <c r="CR67" s="85">
        <f t="shared" si="210"/>
      </c>
      <c r="CS67" s="176">
        <f t="shared" si="220"/>
      </c>
      <c r="CT67" s="475">
        <f t="shared" ref="CT67:CT76" si="222">CS67</f>
      </c>
      <c r="CU67" s="77">
        <v>0</v>
      </c>
      <c r="CV67" s="85">
        <v>0</v>
      </c>
      <c r="CW67" s="176">
        <v>0</v>
      </c>
      <c r="CX67" s="475">
        <v>0</v>
      </c>
      <c r="CY67" s="85">
        <v>0</v>
      </c>
      <c r="CZ67" s="85">
        <v>0</v>
      </c>
      <c r="DA67" s="176">
        <v>0</v>
      </c>
      <c r="DB67" s="475"/>
      <c r="DC67" s="85"/>
      <c r="DD67" s="85"/>
      <c r="DE67" s="176"/>
      <c r="DF67" s="475"/>
      <c r="DG67" s="85"/>
      <c r="DH67" s="85"/>
      <c r="DI67" s="176"/>
      <c r="DJ67" s="475"/>
      <c r="DK67" s="85"/>
      <c r="DL67" s="85"/>
      <c r="DM67" s="176"/>
      <c r="DN67" s="475"/>
      <c r="DO67" s="85"/>
      <c r="DP67" s="85"/>
      <c r="DQ67" s="176"/>
      <c r="DR67" s="475"/>
      <c r="DS67" s="85"/>
      <c r="DT67" s="85"/>
      <c r="DU67" s="176"/>
      <c r="DV67" s="475"/>
      <c r="DW67" s="85"/>
      <c r="DX67" s="85"/>
      <c r="DY67" s="176"/>
      <c r="DZ67" s="475"/>
      <c r="EA67" s="85"/>
      <c r="EB67" s="85"/>
      <c r="EC67" s="176"/>
      <c r="ED67" s="475"/>
      <c r="EE67" s="85"/>
      <c r="EF67" s="85"/>
      <c r="EG67" s="176"/>
      <c r="EH67" s="475"/>
      <c r="EI67" s="85"/>
      <c r="EJ67" s="85"/>
      <c r="EK67" s="176"/>
      <c r="EL67" s="85"/>
    </row>
    <row r="68" spans="1:142" s="89" customFormat="1">
      <c r="A68" s="89" t="s">
        <v>946</v>
      </c>
      <c r="B68" s="1246">
        <v>44600</v>
      </c>
      <c r="D68" s="1247">
        <v>42768</v>
      </c>
      <c r="H68" s="260"/>
      <c r="L68" s="260"/>
      <c r="P68" s="260"/>
      <c r="T68" s="260"/>
      <c r="X68" s="260"/>
      <c r="AB68" s="260"/>
      <c r="AF68" s="260"/>
      <c r="AJ68" s="260"/>
      <c r="AN68" s="260"/>
      <c r="AR68" s="260"/>
      <c r="AV68" s="260"/>
      <c r="AZ68" s="260"/>
      <c r="BD68" s="260"/>
      <c r="BH68" s="260"/>
      <c r="BL68" s="260"/>
      <c r="BP68" s="260"/>
      <c r="BT68" s="260"/>
      <c r="BX68" s="260"/>
      <c r="CB68" s="260"/>
      <c r="CF68" s="260"/>
      <c r="CJ68" s="260"/>
      <c r="CK68" s="260"/>
      <c r="CL68" s="77">
        <v>1500</v>
      </c>
      <c r="CM68" s="62">
        <f t="shared" si="209"/>
      </c>
      <c r="CN68" s="62">
        <f t="shared" si="209"/>
      </c>
      <c r="CO68" s="226">
        <f t="shared" si="209"/>
      </c>
      <c r="CP68" s="62">
        <f t="shared" si="209"/>
      </c>
      <c r="CQ68" s="85">
        <f t="shared" si="221"/>
      </c>
      <c r="CR68" s="85">
        <f t="shared" si="210"/>
      </c>
      <c r="CS68" s="176">
        <f t="shared" si="220"/>
      </c>
      <c r="CT68" s="475">
        <f t="shared" si="222"/>
      </c>
      <c r="CU68" s="85">
        <f t="shared" ref="CU68:DB72" si="223">CT68</f>
      </c>
      <c r="CV68" s="85">
        <f t="shared" si="223"/>
      </c>
      <c r="CW68" s="176">
        <f t="shared" si="223"/>
      </c>
      <c r="CX68" s="475">
        <f t="shared" si="223"/>
      </c>
      <c r="CY68" s="85">
        <f t="shared" si="223"/>
      </c>
      <c r="CZ68" s="85">
        <f t="shared" si="223"/>
      </c>
      <c r="DA68" s="176">
        <f t="shared" si="223"/>
      </c>
      <c r="DB68" s="475">
        <f t="shared" si="223"/>
      </c>
      <c r="DC68" s="85"/>
      <c r="DD68" s="85"/>
      <c r="DE68" s="176"/>
      <c r="DF68" s="475">
        <f>DE68</f>
      </c>
      <c r="DG68" s="85"/>
      <c r="DH68" s="85"/>
      <c r="DI68" s="176"/>
      <c r="DJ68" s="475">
        <f>DI68</f>
      </c>
      <c r="DK68" s="85"/>
      <c r="DL68" s="85"/>
      <c r="DM68" s="176"/>
      <c r="DN68" s="475">
        <f>DM68</f>
      </c>
      <c r="DO68" s="85"/>
      <c r="DP68" s="85"/>
      <c r="DQ68" s="176"/>
      <c r="DR68" s="475">
        <f>DQ68</f>
      </c>
      <c r="DS68" s="85"/>
      <c r="DT68" s="85"/>
      <c r="DU68" s="176"/>
      <c r="DV68" s="475">
        <f>DU68</f>
      </c>
      <c r="DW68" s="85"/>
      <c r="DX68" s="85"/>
      <c r="DY68" s="176"/>
      <c r="DZ68" s="475">
        <f>DY68</f>
      </c>
      <c r="EA68" s="85"/>
      <c r="EB68" s="85"/>
      <c r="EC68" s="176"/>
      <c r="ED68" s="475">
        <f>EC68</f>
      </c>
      <c r="EE68" s="85"/>
      <c r="EF68" s="85"/>
      <c r="EG68" s="176"/>
      <c r="EH68" s="475">
        <f>EG68</f>
      </c>
      <c r="EI68" s="85"/>
      <c r="EJ68" s="85"/>
      <c r="EK68" s="176"/>
      <c r="EL68" s="85"/>
    </row>
    <row r="69" spans="1:142" s="89" customFormat="1">
      <c r="A69" s="89" t="s">
        <v>947</v>
      </c>
      <c r="B69" s="1246">
        <v>45330</v>
      </c>
      <c r="D69" s="1247">
        <v>42768</v>
      </c>
      <c r="H69" s="260"/>
      <c r="L69" s="260"/>
      <c r="P69" s="260"/>
      <c r="T69" s="260"/>
      <c r="X69" s="260"/>
      <c r="AB69" s="260"/>
      <c r="AF69" s="260"/>
      <c r="AJ69" s="260"/>
      <c r="AN69" s="260"/>
      <c r="AR69" s="260"/>
      <c r="AV69" s="260"/>
      <c r="AZ69" s="260"/>
      <c r="BD69" s="260"/>
      <c r="BH69" s="260"/>
      <c r="BL69" s="260"/>
      <c r="BP69" s="260"/>
      <c r="BT69" s="260"/>
      <c r="BX69" s="260"/>
      <c r="CB69" s="260"/>
      <c r="CF69" s="260"/>
      <c r="CJ69" s="260"/>
      <c r="CK69" s="260"/>
      <c r="CL69" s="77">
        <v>1750</v>
      </c>
      <c r="CM69" s="62">
        <f t="shared" si="209"/>
      </c>
      <c r="CN69" s="62">
        <f t="shared" si="209"/>
      </c>
      <c r="CO69" s="226">
        <f t="shared" si="209"/>
      </c>
      <c r="CP69" s="62">
        <f t="shared" si="209"/>
      </c>
      <c r="CQ69" s="85">
        <f t="shared" si="221"/>
      </c>
      <c r="CR69" s="85">
        <f t="shared" si="210"/>
      </c>
      <c r="CS69" s="176">
        <f t="shared" si="220"/>
      </c>
      <c r="CT69" s="475">
        <f t="shared" si="222"/>
      </c>
      <c r="CU69" s="85">
        <f t="shared" si="223"/>
      </c>
      <c r="CV69" s="85">
        <f t="shared" si="223"/>
      </c>
      <c r="CW69" s="176">
        <f t="shared" si="223"/>
      </c>
      <c r="CX69" s="475">
        <f t="shared" si="223"/>
      </c>
      <c r="CY69" s="85">
        <f t="shared" si="223"/>
      </c>
      <c r="CZ69" s="85">
        <f t="shared" si="223"/>
      </c>
      <c r="DA69" s="176">
        <f t="shared" si="223"/>
      </c>
      <c r="DB69" s="475">
        <f t="shared" si="223"/>
      </c>
      <c r="DC69" s="85">
        <f t="shared" ref="DC69:DE72" si="224">DB69</f>
      </c>
      <c r="DD69" s="85">
        <f t="shared" si="224"/>
      </c>
      <c r="DE69" s="176">
        <f t="shared" si="224"/>
      </c>
      <c r="DF69" s="475">
        <f>DE69</f>
      </c>
      <c r="DG69" s="85">
        <f t="shared" ref="DG69:DI72" si="225">DF69</f>
      </c>
      <c r="DH69" s="85">
        <f t="shared" si="225"/>
      </c>
      <c r="DI69" s="176">
        <f t="shared" si="225"/>
      </c>
      <c r="DJ69" s="475">
        <f>DI69</f>
      </c>
      <c r="DK69" s="85">
        <f t="shared" ref="DK69:DM72" si="226">DJ69</f>
      </c>
      <c r="DL69" s="85">
        <f t="shared" si="226"/>
      </c>
      <c r="DM69" s="176">
        <f t="shared" si="226"/>
      </c>
      <c r="DN69" s="475">
        <f>DM69</f>
      </c>
      <c r="DO69" s="85">
        <f t="shared" ref="DO69:DQ72" si="227">DN69</f>
      </c>
      <c r="DP69" s="85">
        <f t="shared" si="227"/>
      </c>
      <c r="DQ69" s="176">
        <f t="shared" si="227"/>
      </c>
      <c r="DR69" s="475">
        <f>DQ69</f>
      </c>
      <c r="DS69" s="85">
        <f t="shared" ref="DS69:DU72" si="228">DR69</f>
      </c>
      <c r="DT69" s="85">
        <f t="shared" si="228"/>
      </c>
      <c r="DU69" s="176">
        <f t="shared" si="228"/>
      </c>
      <c r="DV69" s="475">
        <f>DU69</f>
      </c>
      <c r="DW69" s="85">
        <f t="shared" ref="DW69:DW72" si="229">DV69</f>
      </c>
      <c r="DX69" s="85">
        <f t="shared" ref="DX69:DX72" si="230">DW69</f>
      </c>
      <c r="DY69" s="176">
        <f t="shared" ref="DY69:DY72" si="231">DX69</f>
      </c>
      <c r="DZ69" s="475">
        <f>DY69</f>
      </c>
      <c r="EA69" s="85">
        <f t="shared" ref="EA69:EA72" si="232">DZ69</f>
      </c>
      <c r="EB69" s="85">
        <f t="shared" ref="EB69:EB72" si="233">EA69</f>
      </c>
      <c r="EC69" s="176">
        <f t="shared" ref="EC69:EC72" si="234">EB69</f>
      </c>
      <c r="ED69" s="475">
        <f>EC69</f>
      </c>
      <c r="EE69" s="85">
        <f t="shared" ref="EE69:EE72" si="235">ED69</f>
      </c>
      <c r="EF69" s="85">
        <f t="shared" ref="EF69:EF72" si="236">EE69</f>
      </c>
      <c r="EG69" s="176">
        <f t="shared" ref="EG69:EG72" si="237">EF69</f>
      </c>
      <c r="EH69" s="475">
        <f>EG69</f>
      </c>
      <c r="EI69" s="85">
        <f t="shared" ref="EI69:EI72" si="238">EH69</f>
      </c>
      <c r="EJ69" s="85">
        <f t="shared" ref="EJ69:EJ72" si="239">EI69</f>
      </c>
      <c r="EK69" s="176">
        <f t="shared" ref="EK69:EK72" si="240">EJ69</f>
      </c>
      <c r="EL69" s="85"/>
    </row>
    <row r="70" spans="1:142" s="89" customFormat="1">
      <c r="A70" s="89" t="s">
        <v>948</v>
      </c>
      <c r="B70" s="1246">
        <v>46426</v>
      </c>
      <c r="D70" s="1247">
        <v>42768</v>
      </c>
      <c r="H70" s="260"/>
      <c r="L70" s="260"/>
      <c r="P70" s="260"/>
      <c r="T70" s="260"/>
      <c r="X70" s="260"/>
      <c r="AB70" s="260"/>
      <c r="AF70" s="260"/>
      <c r="AJ70" s="260"/>
      <c r="AN70" s="260"/>
      <c r="AR70" s="260"/>
      <c r="AV70" s="260"/>
      <c r="AZ70" s="260"/>
      <c r="BD70" s="260"/>
      <c r="BH70" s="260"/>
      <c r="BL70" s="260"/>
      <c r="BP70" s="260"/>
      <c r="BT70" s="260"/>
      <c r="BX70" s="260"/>
      <c r="CB70" s="260"/>
      <c r="CF70" s="260"/>
      <c r="CJ70" s="260"/>
      <c r="CK70" s="260"/>
      <c r="CL70" s="77">
        <v>2250</v>
      </c>
      <c r="CM70" s="62">
        <f t="shared" si="209"/>
      </c>
      <c r="CN70" s="62">
        <f t="shared" si="209"/>
      </c>
      <c r="CO70" s="226">
        <f t="shared" si="209"/>
      </c>
      <c r="CP70" s="62">
        <f t="shared" si="209"/>
      </c>
      <c r="CQ70" s="85">
        <f t="shared" si="221"/>
      </c>
      <c r="CR70" s="85">
        <f t="shared" si="210"/>
      </c>
      <c r="CS70" s="176">
        <f t="shared" si="220"/>
      </c>
      <c r="CT70" s="475">
        <f t="shared" si="222"/>
      </c>
      <c r="CU70" s="85">
        <f t="shared" si="223"/>
      </c>
      <c r="CV70" s="85">
        <f t="shared" si="223"/>
      </c>
      <c r="CW70" s="176">
        <f t="shared" si="223"/>
      </c>
      <c r="CX70" s="475">
        <f t="shared" si="223"/>
      </c>
      <c r="CY70" s="85">
        <f t="shared" si="223"/>
      </c>
      <c r="CZ70" s="85">
        <f t="shared" si="223"/>
      </c>
      <c r="DA70" s="176">
        <f t="shared" si="223"/>
      </c>
      <c r="DB70" s="475">
        <f t="shared" si="223"/>
      </c>
      <c r="DC70" s="85">
        <f t="shared" si="224"/>
      </c>
      <c r="DD70" s="85">
        <f t="shared" si="224"/>
      </c>
      <c r="DE70" s="176">
        <f t="shared" si="224"/>
      </c>
      <c r="DF70" s="475">
        <f>DE70</f>
      </c>
      <c r="DG70" s="85">
        <f t="shared" si="225"/>
      </c>
      <c r="DH70" s="85">
        <f t="shared" si="225"/>
      </c>
      <c r="DI70" s="176">
        <f t="shared" si="225"/>
      </c>
      <c r="DJ70" s="475">
        <f>DI70</f>
      </c>
      <c r="DK70" s="85">
        <f t="shared" si="226"/>
      </c>
      <c r="DL70" s="85">
        <f t="shared" si="226"/>
      </c>
      <c r="DM70" s="176">
        <f t="shared" si="226"/>
      </c>
      <c r="DN70" s="475">
        <f>DM70</f>
      </c>
      <c r="DO70" s="85">
        <f t="shared" si="227"/>
      </c>
      <c r="DP70" s="85">
        <f t="shared" si="227"/>
      </c>
      <c r="DQ70" s="176">
        <f t="shared" si="227"/>
      </c>
      <c r="DR70" s="475">
        <f>DQ70</f>
      </c>
      <c r="DS70" s="85">
        <f t="shared" si="228"/>
      </c>
      <c r="DT70" s="85">
        <f t="shared" si="228"/>
      </c>
      <c r="DU70" s="176">
        <f t="shared" si="228"/>
      </c>
      <c r="DV70" s="475">
        <f>DU70</f>
      </c>
      <c r="DW70" s="85">
        <f t="shared" si="229"/>
      </c>
      <c r="DX70" s="85">
        <f t="shared" si="230"/>
      </c>
      <c r="DY70" s="176">
        <f t="shared" si="231"/>
      </c>
      <c r="DZ70" s="475">
        <f>DY70</f>
      </c>
      <c r="EA70" s="85">
        <f t="shared" si="232"/>
      </c>
      <c r="EB70" s="85">
        <f t="shared" si="233"/>
      </c>
      <c r="EC70" s="176">
        <f t="shared" si="234"/>
      </c>
      <c r="ED70" s="475">
        <f>EC70</f>
      </c>
      <c r="EE70" s="85">
        <f t="shared" si="235"/>
      </c>
      <c r="EF70" s="85">
        <f t="shared" si="236"/>
      </c>
      <c r="EG70" s="176">
        <f t="shared" si="237"/>
      </c>
      <c r="EH70" s="475">
        <f>EG70</f>
      </c>
      <c r="EI70" s="85">
        <f t="shared" si="238"/>
      </c>
      <c r="EJ70" s="85">
        <f t="shared" si="239"/>
      </c>
      <c r="EK70" s="176">
        <f t="shared" si="240"/>
      </c>
      <c r="EL70" s="85"/>
    </row>
    <row r="71" spans="1:142" s="89" customFormat="1">
      <c r="A71" s="89" t="s">
        <v>949</v>
      </c>
      <c r="B71" s="1246">
        <v>53731</v>
      </c>
      <c r="D71" s="1247">
        <v>42768</v>
      </c>
      <c r="H71" s="260"/>
      <c r="L71" s="260"/>
      <c r="P71" s="260"/>
      <c r="T71" s="260"/>
      <c r="X71" s="260"/>
      <c r="AB71" s="260"/>
      <c r="AF71" s="260"/>
      <c r="AJ71" s="260"/>
      <c r="AN71" s="260"/>
      <c r="AR71" s="260"/>
      <c r="AV71" s="260"/>
      <c r="AZ71" s="260"/>
      <c r="BD71" s="260"/>
      <c r="BH71" s="260"/>
      <c r="BL71" s="260"/>
      <c r="BP71" s="260"/>
      <c r="BT71" s="260"/>
      <c r="BX71" s="260"/>
      <c r="CB71" s="260"/>
      <c r="CF71" s="260"/>
      <c r="CJ71" s="260"/>
      <c r="CK71" s="260"/>
      <c r="CL71" s="77">
        <v>1000</v>
      </c>
      <c r="CM71" s="62">
        <f t="shared" si="209"/>
      </c>
      <c r="CN71" s="62">
        <f t="shared" si="209"/>
      </c>
      <c r="CO71" s="226">
        <f t="shared" si="209"/>
      </c>
      <c r="CP71" s="62">
        <f t="shared" si="209"/>
      </c>
      <c r="CQ71" s="85">
        <f t="shared" si="221"/>
      </c>
      <c r="CR71" s="85">
        <f t="shared" si="210"/>
      </c>
      <c r="CS71" s="176">
        <f t="shared" si="220"/>
      </c>
      <c r="CT71" s="475">
        <f t="shared" si="222"/>
      </c>
      <c r="CU71" s="85">
        <f t="shared" si="223"/>
      </c>
      <c r="CV71" s="85">
        <f t="shared" si="223"/>
      </c>
      <c r="CW71" s="176">
        <f t="shared" si="223"/>
      </c>
      <c r="CX71" s="475">
        <f t="shared" si="223"/>
      </c>
      <c r="CY71" s="85">
        <f t="shared" si="223"/>
      </c>
      <c r="CZ71" s="85">
        <f t="shared" si="223"/>
      </c>
      <c r="DA71" s="176">
        <f t="shared" si="223"/>
      </c>
      <c r="DB71" s="475">
        <f t="shared" si="223"/>
      </c>
      <c r="DC71" s="85">
        <f t="shared" si="224"/>
      </c>
      <c r="DD71" s="85">
        <f t="shared" si="224"/>
      </c>
      <c r="DE71" s="176">
        <f t="shared" si="224"/>
      </c>
      <c r="DF71" s="475">
        <f>DE71</f>
      </c>
      <c r="DG71" s="85">
        <f t="shared" si="225"/>
      </c>
      <c r="DH71" s="85">
        <f t="shared" si="225"/>
      </c>
      <c r="DI71" s="176">
        <f t="shared" si="225"/>
      </c>
      <c r="DJ71" s="475">
        <f>DI71</f>
      </c>
      <c r="DK71" s="85">
        <f t="shared" si="226"/>
      </c>
      <c r="DL71" s="85">
        <f t="shared" si="226"/>
      </c>
      <c r="DM71" s="176">
        <f t="shared" si="226"/>
      </c>
      <c r="DN71" s="475">
        <f>DM71</f>
      </c>
      <c r="DO71" s="85">
        <f t="shared" si="227"/>
      </c>
      <c r="DP71" s="85">
        <f t="shared" si="227"/>
      </c>
      <c r="DQ71" s="176">
        <f t="shared" si="227"/>
      </c>
      <c r="DR71" s="475">
        <f>DQ71</f>
      </c>
      <c r="DS71" s="85">
        <f t="shared" si="228"/>
      </c>
      <c r="DT71" s="85">
        <f t="shared" si="228"/>
      </c>
      <c r="DU71" s="176">
        <f t="shared" si="228"/>
      </c>
      <c r="DV71" s="475">
        <f>DU71</f>
      </c>
      <c r="DW71" s="85">
        <f t="shared" si="229"/>
      </c>
      <c r="DX71" s="85">
        <f t="shared" si="230"/>
      </c>
      <c r="DY71" s="176">
        <f t="shared" si="231"/>
      </c>
      <c r="DZ71" s="475">
        <f>DY71</f>
      </c>
      <c r="EA71" s="85">
        <f t="shared" si="232"/>
      </c>
      <c r="EB71" s="85">
        <f t="shared" si="233"/>
      </c>
      <c r="EC71" s="176">
        <f t="shared" si="234"/>
      </c>
      <c r="ED71" s="475">
        <f>EC71</f>
      </c>
      <c r="EE71" s="85">
        <f t="shared" si="235"/>
      </c>
      <c r="EF71" s="85">
        <f t="shared" si="236"/>
      </c>
      <c r="EG71" s="176">
        <f t="shared" si="237"/>
      </c>
      <c r="EH71" s="475">
        <f>EG71</f>
      </c>
      <c r="EI71" s="85">
        <f t="shared" si="238"/>
      </c>
      <c r="EJ71" s="85">
        <f t="shared" si="239"/>
      </c>
      <c r="EK71" s="176">
        <f t="shared" si="240"/>
      </c>
      <c r="EL71" s="85"/>
    </row>
    <row r="72" spans="1:142" s="89" customFormat="1">
      <c r="A72" s="89" t="s">
        <v>950</v>
      </c>
      <c r="B72" s="1246">
        <v>53754</v>
      </c>
      <c r="D72" s="1247">
        <v>42797</v>
      </c>
      <c r="H72" s="260"/>
      <c r="L72" s="260"/>
      <c r="P72" s="260"/>
      <c r="T72" s="260"/>
      <c r="X72" s="260"/>
      <c r="AB72" s="260"/>
      <c r="AF72" s="260"/>
      <c r="AJ72" s="260"/>
      <c r="AN72" s="260"/>
      <c r="AR72" s="260"/>
      <c r="AV72" s="260"/>
      <c r="AZ72" s="260"/>
      <c r="BD72" s="260"/>
      <c r="BH72" s="260"/>
      <c r="BL72" s="260"/>
      <c r="BP72" s="260"/>
      <c r="BT72" s="260"/>
      <c r="BX72" s="260"/>
      <c r="CB72" s="260"/>
      <c r="CF72" s="260"/>
      <c r="CJ72" s="260"/>
      <c r="CK72" s="260"/>
      <c r="CL72" s="77">
        <v>1000</v>
      </c>
      <c r="CM72" s="62">
        <f t="shared" si="209"/>
      </c>
      <c r="CN72" s="62">
        <f t="shared" si="209"/>
      </c>
      <c r="CO72" s="226">
        <f t="shared" si="209"/>
      </c>
      <c r="CP72" s="62">
        <f t="shared" si="209"/>
      </c>
      <c r="CQ72" s="85">
        <f t="shared" si="221"/>
      </c>
      <c r="CR72" s="85">
        <f t="shared" si="210"/>
      </c>
      <c r="CS72" s="176">
        <f t="shared" si="220"/>
      </c>
      <c r="CT72" s="475">
        <f t="shared" si="222"/>
      </c>
      <c r="CU72" s="85">
        <f t="shared" si="223"/>
      </c>
      <c r="CV72" s="85">
        <f t="shared" si="223"/>
      </c>
      <c r="CW72" s="176">
        <f t="shared" si="223"/>
      </c>
      <c r="CX72" s="475">
        <f t="shared" si="223"/>
      </c>
      <c r="CY72" s="85">
        <f t="shared" si="223"/>
      </c>
      <c r="CZ72" s="85">
        <f t="shared" si="223"/>
      </c>
      <c r="DA72" s="176">
        <f t="shared" si="223"/>
      </c>
      <c r="DB72" s="475">
        <f t="shared" si="223"/>
      </c>
      <c r="DC72" s="85">
        <f t="shared" si="224"/>
      </c>
      <c r="DD72" s="85">
        <f t="shared" si="224"/>
      </c>
      <c r="DE72" s="176">
        <f t="shared" si="224"/>
      </c>
      <c r="DF72" s="475">
        <f>DE72</f>
      </c>
      <c r="DG72" s="85">
        <f t="shared" si="225"/>
      </c>
      <c r="DH72" s="85">
        <f t="shared" si="225"/>
      </c>
      <c r="DI72" s="176">
        <f t="shared" si="225"/>
      </c>
      <c r="DJ72" s="475">
        <f>DI72</f>
      </c>
      <c r="DK72" s="85">
        <f t="shared" si="226"/>
      </c>
      <c r="DL72" s="85">
        <f t="shared" si="226"/>
      </c>
      <c r="DM72" s="176">
        <f t="shared" si="226"/>
      </c>
      <c r="DN72" s="475">
        <f>DM72</f>
      </c>
      <c r="DO72" s="85">
        <f t="shared" si="227"/>
      </c>
      <c r="DP72" s="85">
        <f t="shared" si="227"/>
      </c>
      <c r="DQ72" s="176">
        <f t="shared" si="227"/>
      </c>
      <c r="DR72" s="475">
        <f>DQ72</f>
      </c>
      <c r="DS72" s="85">
        <f t="shared" si="228"/>
      </c>
      <c r="DT72" s="85">
        <f t="shared" si="228"/>
      </c>
      <c r="DU72" s="176">
        <f t="shared" si="228"/>
      </c>
      <c r="DV72" s="475">
        <f>DU72</f>
      </c>
      <c r="DW72" s="85">
        <f t="shared" si="229"/>
      </c>
      <c r="DX72" s="85">
        <f t="shared" si="230"/>
      </c>
      <c r="DY72" s="176">
        <f t="shared" si="231"/>
      </c>
      <c r="DZ72" s="475">
        <f>DY72</f>
      </c>
      <c r="EA72" s="85">
        <f t="shared" si="232"/>
      </c>
      <c r="EB72" s="85">
        <f t="shared" si="233"/>
      </c>
      <c r="EC72" s="176">
        <f t="shared" si="234"/>
      </c>
      <c r="ED72" s="475">
        <f>EC72</f>
      </c>
      <c r="EE72" s="85">
        <f t="shared" si="235"/>
      </c>
      <c r="EF72" s="85">
        <f t="shared" si="236"/>
      </c>
      <c r="EG72" s="176">
        <f t="shared" si="237"/>
      </c>
      <c r="EH72" s="475">
        <f>EG72</f>
      </c>
      <c r="EI72" s="85">
        <f t="shared" si="238"/>
      </c>
      <c r="EJ72" s="85">
        <f t="shared" si="239"/>
      </c>
      <c r="EK72" s="176">
        <f t="shared" si="240"/>
      </c>
      <c r="EL72" s="85"/>
    </row>
    <row r="73" spans="1:142" s="89" customFormat="1">
      <c r="A73" s="89" t="s">
        <v>951</v>
      </c>
      <c r="B73" s="1246">
        <v>43962</v>
      </c>
      <c r="D73" s="1247">
        <v>42866</v>
      </c>
      <c r="H73" s="260"/>
      <c r="L73" s="260"/>
      <c r="P73" s="260"/>
      <c r="T73" s="260"/>
      <c r="X73" s="260"/>
      <c r="AB73" s="260"/>
      <c r="AF73" s="260"/>
      <c r="AJ73" s="260"/>
      <c r="AN73" s="260"/>
      <c r="AR73" s="260"/>
      <c r="AV73" s="260"/>
      <c r="AZ73" s="260"/>
      <c r="BD73" s="260"/>
      <c r="BH73" s="260"/>
      <c r="BL73" s="260"/>
      <c r="BP73" s="260"/>
      <c r="BT73" s="260"/>
      <c r="BX73" s="260"/>
      <c r="CB73" s="260"/>
      <c r="CF73" s="260"/>
      <c r="CJ73" s="260"/>
      <c r="CK73" s="260"/>
      <c r="CL73" s="77">
        <v>1000</v>
      </c>
      <c r="CM73" s="62">
        <f t="shared" si="209"/>
      </c>
      <c r="CN73" s="62">
        <f t="shared" si="209"/>
      </c>
      <c r="CO73" s="226">
        <f t="shared" si="209"/>
      </c>
      <c r="CP73" s="62">
        <f t="shared" si="209"/>
      </c>
      <c r="CQ73" s="85">
        <f t="shared" si="221"/>
      </c>
      <c r="CR73" s="85">
        <f t="shared" si="210"/>
      </c>
      <c r="CS73" s="176">
        <f t="shared" si="220"/>
      </c>
      <c r="CT73" s="475">
        <f t="shared" si="222"/>
      </c>
      <c r="CU73" s="85">
        <f>CT73</f>
      </c>
      <c r="CV73" s="77">
        <v>0</v>
      </c>
      <c r="CW73" s="176">
        <v>0</v>
      </c>
      <c r="CX73" s="475">
        <v>0</v>
      </c>
      <c r="CY73" s="85">
        <v>0</v>
      </c>
      <c r="CZ73" s="85">
        <v>0</v>
      </c>
      <c r="DA73" s="176">
        <v>0</v>
      </c>
      <c r="DB73" s="475"/>
      <c r="DC73" s="85"/>
      <c r="DD73" s="85"/>
      <c r="DE73" s="176"/>
      <c r="DF73" s="475"/>
      <c r="DG73" s="85"/>
      <c r="DH73" s="85"/>
      <c r="DI73" s="176"/>
      <c r="DJ73" s="475"/>
      <c r="DK73" s="85"/>
      <c r="DL73" s="85"/>
      <c r="DM73" s="176"/>
      <c r="DN73" s="475"/>
      <c r="DO73" s="85"/>
      <c r="DP73" s="85"/>
      <c r="DQ73" s="176"/>
      <c r="DR73" s="475"/>
      <c r="DS73" s="85"/>
      <c r="DT73" s="85"/>
      <c r="DU73" s="176"/>
      <c r="DV73" s="475"/>
      <c r="DW73" s="85"/>
      <c r="DX73" s="85"/>
      <c r="DY73" s="176"/>
      <c r="DZ73" s="475"/>
      <c r="EA73" s="85"/>
      <c r="EB73" s="85"/>
      <c r="EC73" s="176"/>
      <c r="ED73" s="475"/>
      <c r="EE73" s="85"/>
      <c r="EF73" s="85"/>
      <c r="EG73" s="176"/>
      <c r="EH73" s="475"/>
      <c r="EI73" s="85"/>
      <c r="EJ73" s="85"/>
      <c r="EK73" s="176"/>
      <c r="EL73" s="85"/>
    </row>
    <row r="74" spans="1:142" s="89" customFormat="1">
      <c r="A74" s="89" t="s">
        <v>962</v>
      </c>
      <c r="B74" s="1246">
        <v>44692</v>
      </c>
      <c r="D74" s="1247">
        <v>42866</v>
      </c>
      <c r="H74" s="260"/>
      <c r="L74" s="260"/>
      <c r="P74" s="260"/>
      <c r="T74" s="260"/>
      <c r="X74" s="260"/>
      <c r="AB74" s="260"/>
      <c r="AF74" s="260"/>
      <c r="AJ74" s="260"/>
      <c r="AN74" s="260"/>
      <c r="AR74" s="260"/>
      <c r="AV74" s="260"/>
      <c r="AZ74" s="260"/>
      <c r="BD74" s="260"/>
      <c r="BH74" s="260"/>
      <c r="BL74" s="260"/>
      <c r="BP74" s="260"/>
      <c r="BT74" s="260"/>
      <c r="BX74" s="260"/>
      <c r="CB74" s="260"/>
      <c r="CF74" s="260"/>
      <c r="CJ74" s="260"/>
      <c r="CK74" s="260"/>
      <c r="CL74" s="77">
        <v>1000</v>
      </c>
      <c r="CM74" s="62">
        <f t="shared" si="209"/>
      </c>
      <c r="CN74" s="62">
        <f t="shared" si="209"/>
      </c>
      <c r="CO74" s="226">
        <f t="shared" si="209"/>
      </c>
      <c r="CP74" s="62">
        <f t="shared" si="209"/>
      </c>
      <c r="CQ74" s="85">
        <f t="shared" si="221"/>
      </c>
      <c r="CR74" s="85">
        <f t="shared" si="210"/>
      </c>
      <c r="CS74" s="176">
        <f t="shared" si="220"/>
      </c>
      <c r="CT74" s="475">
        <f t="shared" si="222"/>
      </c>
      <c r="CU74" s="85">
        <f>CT74</f>
      </c>
      <c r="CV74" s="85">
        <f t="shared" ref="CV74:DC76" si="241">CU74</f>
      </c>
      <c r="CW74" s="176">
        <f t="shared" si="241"/>
      </c>
      <c r="CX74" s="475">
        <f t="shared" si="241"/>
      </c>
      <c r="CY74" s="85">
        <f t="shared" si="241"/>
      </c>
      <c r="CZ74" s="85">
        <f t="shared" si="241"/>
      </c>
      <c r="DA74" s="176">
        <f t="shared" si="241"/>
      </c>
      <c r="DB74" s="475">
        <f t="shared" si="241"/>
      </c>
      <c r="DC74" s="85">
        <f t="shared" si="241"/>
      </c>
      <c r="DD74" s="85"/>
      <c r="DE74" s="176"/>
      <c r="DF74" s="475">
        <f t="shared" ref="DF74:DG76" si="242">DE74</f>
      </c>
      <c r="DG74" s="85">
        <f t="shared" si="242"/>
      </c>
      <c r="DH74" s="85"/>
      <c r="DI74" s="176"/>
      <c r="DJ74" s="475">
        <f t="shared" ref="DJ74:DK76" si="243">DI74</f>
      </c>
      <c r="DK74" s="85">
        <f t="shared" si="243"/>
      </c>
      <c r="DL74" s="85"/>
      <c r="DM74" s="176"/>
      <c r="DN74" s="475">
        <f t="shared" ref="DN74:DO76" si="244">DM74</f>
      </c>
      <c r="DO74" s="85">
        <f t="shared" si="244"/>
      </c>
      <c r="DP74" s="85"/>
      <c r="DQ74" s="176"/>
      <c r="DR74" s="475">
        <f t="shared" ref="DR74:DS76" si="245">DQ74</f>
      </c>
      <c r="DS74" s="85">
        <f t="shared" si="245"/>
      </c>
      <c r="DT74" s="85"/>
      <c r="DU74" s="176"/>
      <c r="DV74" s="475">
        <f t="shared" ref="DV74:DV76" si="246">DU74</f>
      </c>
      <c r="DW74" s="85">
        <f t="shared" ref="DW74:DW76" si="247">DV74</f>
      </c>
      <c r="DX74" s="85"/>
      <c r="DY74" s="176"/>
      <c r="DZ74" s="475">
        <f t="shared" ref="DZ74:DZ76" si="248">DY74</f>
      </c>
      <c r="EA74" s="85">
        <f t="shared" ref="EA74:EA76" si="249">DZ74</f>
      </c>
      <c r="EB74" s="85"/>
      <c r="EC74" s="176"/>
      <c r="ED74" s="475">
        <f t="shared" ref="ED74:ED76" si="250">EC74</f>
      </c>
      <c r="EE74" s="85">
        <f t="shared" ref="EE74:EE76" si="251">ED74</f>
      </c>
      <c r="EF74" s="85"/>
      <c r="EG74" s="176"/>
      <c r="EH74" s="475">
        <f t="shared" ref="EH74:EH76" si="252">EG74</f>
      </c>
      <c r="EI74" s="85">
        <f t="shared" ref="EI74:EI76" si="253">EH74</f>
      </c>
      <c r="EJ74" s="85"/>
      <c r="EK74" s="176"/>
      <c r="EL74" s="85"/>
    </row>
    <row r="75" spans="1:142" s="89" customFormat="1">
      <c r="A75" s="89" t="s">
        <v>952</v>
      </c>
      <c r="B75" s="1246">
        <v>45423</v>
      </c>
      <c r="D75" s="1247">
        <v>42866</v>
      </c>
      <c r="H75" s="260"/>
      <c r="L75" s="260"/>
      <c r="P75" s="260"/>
      <c r="T75" s="260"/>
      <c r="X75" s="260"/>
      <c r="AB75" s="260"/>
      <c r="AF75" s="260"/>
      <c r="AJ75" s="260"/>
      <c r="AN75" s="260"/>
      <c r="AR75" s="260"/>
      <c r="AV75" s="260"/>
      <c r="AZ75" s="260"/>
      <c r="BD75" s="260"/>
      <c r="BH75" s="260"/>
      <c r="BL75" s="260"/>
      <c r="BP75" s="260"/>
      <c r="BT75" s="260"/>
      <c r="BX75" s="260"/>
      <c r="CB75" s="260"/>
      <c r="CF75" s="260"/>
      <c r="CJ75" s="260"/>
      <c r="CK75" s="260"/>
      <c r="CL75" s="77">
        <v>1750</v>
      </c>
      <c r="CM75" s="62">
        <f t="shared" si="209"/>
      </c>
      <c r="CN75" s="62">
        <f t="shared" si="209"/>
      </c>
      <c r="CO75" s="226">
        <f t="shared" si="209"/>
      </c>
      <c r="CP75" s="62">
        <f t="shared" si="209"/>
      </c>
      <c r="CQ75" s="85">
        <f t="shared" si="221"/>
      </c>
      <c r="CR75" s="85">
        <f t="shared" si="210"/>
      </c>
      <c r="CS75" s="176">
        <f t="shared" si="220"/>
      </c>
      <c r="CT75" s="475">
        <f t="shared" si="222"/>
      </c>
      <c r="CU75" s="85">
        <f>CT75</f>
      </c>
      <c r="CV75" s="85">
        <f t="shared" si="241"/>
      </c>
      <c r="CW75" s="176">
        <f t="shared" si="241"/>
      </c>
      <c r="CX75" s="475">
        <f t="shared" si="241"/>
      </c>
      <c r="CY75" s="85">
        <f t="shared" si="241"/>
      </c>
      <c r="CZ75" s="85">
        <f t="shared" si="241"/>
      </c>
      <c r="DA75" s="176">
        <f t="shared" si="241"/>
      </c>
      <c r="DB75" s="475">
        <f t="shared" si="241"/>
      </c>
      <c r="DC75" s="85">
        <f t="shared" si="241"/>
      </c>
      <c r="DD75" s="85">
        <f>DC75</f>
      </c>
      <c r="DE75" s="176">
        <f>DD75</f>
      </c>
      <c r="DF75" s="475">
        <f t="shared" si="242"/>
      </c>
      <c r="DG75" s="85">
        <f t="shared" si="242"/>
      </c>
      <c r="DH75" s="85">
        <f>DG75</f>
      </c>
      <c r="DI75" s="176">
        <f>DH75</f>
      </c>
      <c r="DJ75" s="475">
        <f t="shared" si="243"/>
      </c>
      <c r="DK75" s="85">
        <f t="shared" si="243"/>
      </c>
      <c r="DL75" s="85">
        <f>DK75</f>
      </c>
      <c r="DM75" s="176">
        <f>DL75</f>
      </c>
      <c r="DN75" s="475">
        <f t="shared" si="244"/>
      </c>
      <c r="DO75" s="85">
        <f t="shared" si="244"/>
      </c>
      <c r="DP75" s="85">
        <f>DO75</f>
      </c>
      <c r="DQ75" s="176">
        <f>DP75</f>
      </c>
      <c r="DR75" s="475">
        <f t="shared" si="245"/>
      </c>
      <c r="DS75" s="85">
        <f t="shared" si="245"/>
      </c>
      <c r="DT75" s="85">
        <f>DS75</f>
      </c>
      <c r="DU75" s="176">
        <f>DT75</f>
      </c>
      <c r="DV75" s="475">
        <f t="shared" si="246"/>
      </c>
      <c r="DW75" s="85">
        <f t="shared" si="247"/>
      </c>
      <c r="DX75" s="85">
        <f>DW75</f>
      </c>
      <c r="DY75" s="176">
        <f>DX75</f>
      </c>
      <c r="DZ75" s="475">
        <f t="shared" si="248"/>
      </c>
      <c r="EA75" s="85">
        <f t="shared" si="249"/>
      </c>
      <c r="EB75" s="85">
        <f>EA75</f>
      </c>
      <c r="EC75" s="176">
        <f>EB75</f>
      </c>
      <c r="ED75" s="475">
        <f t="shared" si="250"/>
      </c>
      <c r="EE75" s="85">
        <f t="shared" si="251"/>
      </c>
      <c r="EF75" s="85">
        <f>EE75</f>
      </c>
      <c r="EG75" s="176">
        <f>EF75</f>
      </c>
      <c r="EH75" s="475">
        <f t="shared" si="252"/>
      </c>
      <c r="EI75" s="85">
        <f t="shared" si="253"/>
      </c>
      <c r="EJ75" s="85">
        <f>EI75</f>
      </c>
      <c r="EK75" s="176">
        <f>EJ75</f>
      </c>
      <c r="EL75" s="85"/>
    </row>
    <row r="76" spans="1:142" s="89" customFormat="1">
      <c r="A76" s="89" t="s">
        <v>953</v>
      </c>
      <c r="B76" s="1246">
        <v>46518</v>
      </c>
      <c r="D76" s="1247">
        <v>42866</v>
      </c>
      <c r="H76" s="260"/>
      <c r="L76" s="260"/>
      <c r="P76" s="260"/>
      <c r="T76" s="260"/>
      <c r="X76" s="260"/>
      <c r="AB76" s="260"/>
      <c r="AF76" s="260"/>
      <c r="AJ76" s="260"/>
      <c r="AN76" s="260"/>
      <c r="AR76" s="260"/>
      <c r="AV76" s="260"/>
      <c r="AZ76" s="260"/>
      <c r="BD76" s="260"/>
      <c r="BH76" s="260"/>
      <c r="BL76" s="260"/>
      <c r="BP76" s="260"/>
      <c r="BT76" s="260"/>
      <c r="BX76" s="260"/>
      <c r="CB76" s="260"/>
      <c r="CF76" s="260"/>
      <c r="CJ76" s="260"/>
      <c r="CK76" s="260"/>
      <c r="CL76" s="77">
        <v>2000</v>
      </c>
      <c r="CM76" s="62">
        <f t="shared" si="209"/>
      </c>
      <c r="CN76" s="62">
        <f t="shared" si="209"/>
      </c>
      <c r="CO76" s="226">
        <f t="shared" si="209"/>
      </c>
      <c r="CP76" s="62">
        <f t="shared" si="209"/>
      </c>
      <c r="CQ76" s="85">
        <f t="shared" si="221"/>
      </c>
      <c r="CR76" s="85">
        <f t="shared" si="210"/>
      </c>
      <c r="CS76" s="176">
        <f t="shared" si="220"/>
      </c>
      <c r="CT76" s="475">
        <f t="shared" si="222"/>
      </c>
      <c r="CU76" s="85">
        <f>CT76</f>
      </c>
      <c r="CV76" s="85">
        <f t="shared" si="241"/>
      </c>
      <c r="CW76" s="176">
        <f t="shared" si="241"/>
      </c>
      <c r="CX76" s="475">
        <f t="shared" si="241"/>
      </c>
      <c r="CY76" s="85">
        <f t="shared" si="241"/>
      </c>
      <c r="CZ76" s="85">
        <f t="shared" si="241"/>
      </c>
      <c r="DA76" s="176">
        <f t="shared" si="241"/>
      </c>
      <c r="DB76" s="475">
        <f t="shared" si="241"/>
      </c>
      <c r="DC76" s="85">
        <f t="shared" si="241"/>
      </c>
      <c r="DD76" s="85">
        <f>DC76</f>
      </c>
      <c r="DE76" s="176">
        <f>DD76</f>
      </c>
      <c r="DF76" s="475">
        <f t="shared" si="242"/>
      </c>
      <c r="DG76" s="85">
        <f t="shared" si="242"/>
      </c>
      <c r="DH76" s="85">
        <f>DG76</f>
      </c>
      <c r="DI76" s="176">
        <f>DH76</f>
      </c>
      <c r="DJ76" s="475">
        <f t="shared" si="243"/>
      </c>
      <c r="DK76" s="85">
        <f t="shared" si="243"/>
      </c>
      <c r="DL76" s="85">
        <f>DK76</f>
      </c>
      <c r="DM76" s="176">
        <f>DL76</f>
      </c>
      <c r="DN76" s="475">
        <f t="shared" si="244"/>
      </c>
      <c r="DO76" s="85">
        <f t="shared" si="244"/>
      </c>
      <c r="DP76" s="85">
        <f>DO76</f>
      </c>
      <c r="DQ76" s="176">
        <f>DP76</f>
      </c>
      <c r="DR76" s="475">
        <f t="shared" si="245"/>
      </c>
      <c r="DS76" s="85">
        <f t="shared" si="245"/>
      </c>
      <c r="DT76" s="85">
        <f>DS76</f>
      </c>
      <c r="DU76" s="176">
        <f>DT76</f>
      </c>
      <c r="DV76" s="475">
        <f t="shared" si="246"/>
      </c>
      <c r="DW76" s="85">
        <f t="shared" si="247"/>
      </c>
      <c r="DX76" s="85">
        <f>DW76</f>
      </c>
      <c r="DY76" s="176">
        <f>DX76</f>
      </c>
      <c r="DZ76" s="475">
        <f t="shared" si="248"/>
      </c>
      <c r="EA76" s="85">
        <f t="shared" si="249"/>
      </c>
      <c r="EB76" s="85">
        <f>EA76</f>
      </c>
      <c r="EC76" s="176">
        <f>EB76</f>
      </c>
      <c r="ED76" s="475">
        <f t="shared" si="250"/>
      </c>
      <c r="EE76" s="85">
        <f t="shared" si="251"/>
      </c>
      <c r="EF76" s="85">
        <f>EE76</f>
      </c>
      <c r="EG76" s="176">
        <f>EF76</f>
      </c>
      <c r="EH76" s="475">
        <f t="shared" si="252"/>
      </c>
      <c r="EI76" s="85">
        <f t="shared" si="253"/>
      </c>
      <c r="EJ76" s="85">
        <f>EI76</f>
      </c>
      <c r="EK76" s="176">
        <f>EJ76</f>
      </c>
      <c r="EL76" s="85"/>
    </row>
    <row r="77" spans="1:142" s="89" customFormat="1">
      <c r="A77" s="89" t="s">
        <v>955</v>
      </c>
      <c r="B77" s="1246">
        <v>45801</v>
      </c>
      <c r="C77" s="89" t="s">
        <v>954</v>
      </c>
      <c r="D77" s="1247">
        <v>42879</v>
      </c>
      <c r="H77" s="260"/>
      <c r="L77" s="260"/>
      <c r="P77" s="260"/>
      <c r="T77" s="260"/>
      <c r="X77" s="260"/>
      <c r="AB77" s="260"/>
      <c r="AF77" s="260"/>
      <c r="AJ77" s="260"/>
      <c r="AN77" s="260"/>
      <c r="AR77" s="260"/>
      <c r="AV77" s="260"/>
      <c r="AZ77" s="260"/>
      <c r="BD77" s="260"/>
      <c r="BH77" s="260"/>
      <c r="BL77" s="260"/>
      <c r="BP77" s="260"/>
      <c r="BT77" s="260"/>
      <c r="BX77" s="260"/>
      <c r="CB77" s="260"/>
      <c r="CF77" s="260"/>
      <c r="CJ77" s="260"/>
      <c r="CK77" s="260"/>
      <c r="CL77" s="77">
        <v>1469</v>
      </c>
      <c r="CM77" s="77">
        <v>1537.3</v>
      </c>
      <c r="CN77" s="77">
        <v>1459.4</v>
      </c>
      <c r="CO77" s="192">
        <v>1451.9</v>
      </c>
      <c r="CP77" s="77">
        <v>1429.3</v>
      </c>
      <c r="CQ77" s="85">
        <v>1429.3</v>
      </c>
      <c r="CR77" s="85">
        <v>1429.3</v>
      </c>
      <c r="CS77" s="176">
        <v>1429.3</v>
      </c>
      <c r="CT77" s="475">
        <v>1429.3</v>
      </c>
      <c r="CU77" s="85">
        <v>1429.3</v>
      </c>
      <c r="CV77" s="85">
        <v>1429.3</v>
      </c>
      <c r="CW77" s="176">
        <v>1429.3</v>
      </c>
      <c r="CX77" s="475">
        <v>1429.3</v>
      </c>
      <c r="CY77" s="85">
        <v>1429.3</v>
      </c>
      <c r="CZ77" s="85">
        <v>1429.3</v>
      </c>
      <c r="DA77" s="176">
        <v>1429.3</v>
      </c>
      <c r="DB77" s="475">
        <v>1429.3</v>
      </c>
      <c r="DC77" s="85">
        <v>1429.3</v>
      </c>
      <c r="DD77" s="85">
        <v>1429.3</v>
      </c>
      <c r="DE77" s="176">
        <v>1429.3</v>
      </c>
      <c r="DF77" s="475">
        <v>1429.3</v>
      </c>
      <c r="DG77" s="85">
        <v>1429.3</v>
      </c>
      <c r="DH77" s="85">
        <v>1429.3</v>
      </c>
      <c r="DI77" s="176">
        <v>1429.3</v>
      </c>
      <c r="DJ77" s="475">
        <v>1429.3</v>
      </c>
      <c r="DK77" s="85">
        <v>1429.3</v>
      </c>
      <c r="DL77" s="85">
        <v>1429.3</v>
      </c>
      <c r="DM77" s="176">
        <v>1429.3</v>
      </c>
      <c r="DN77" s="475">
        <v>1429.3</v>
      </c>
      <c r="DO77" s="85">
        <v>1429.3</v>
      </c>
      <c r="DP77" s="85">
        <v>1429.3</v>
      </c>
      <c r="DQ77" s="176">
        <v>1429.3</v>
      </c>
      <c r="DR77" s="475">
        <v>1429.3</v>
      </c>
      <c r="DS77" s="85">
        <v>1429.3</v>
      </c>
      <c r="DT77" s="85">
        <v>1429.3</v>
      </c>
      <c r="DU77" s="176">
        <v>1429.3</v>
      </c>
      <c r="DV77" s="475">
        <v>1429.3</v>
      </c>
      <c r="DW77" s="85">
        <v>1429.3</v>
      </c>
      <c r="DX77" s="85">
        <v>1429.3</v>
      </c>
      <c r="DY77" s="176">
        <v>1429.3</v>
      </c>
      <c r="DZ77" s="475">
        <v>1429.3</v>
      </c>
      <c r="EA77" s="85">
        <v>1429.3</v>
      </c>
      <c r="EB77" s="85">
        <v>1429.3</v>
      </c>
      <c r="EC77" s="176">
        <v>1429.3</v>
      </c>
      <c r="ED77" s="475">
        <v>1429.3</v>
      </c>
      <c r="EE77" s="85">
        <v>1429.3</v>
      </c>
      <c r="EF77" s="85">
        <v>1429.3</v>
      </c>
      <c r="EG77" s="176">
        <v>1429.3</v>
      </c>
      <c r="EH77" s="475">
        <v>1429.3</v>
      </c>
      <c r="EI77" s="85">
        <v>1429.3</v>
      </c>
      <c r="EJ77" s="85">
        <v>1429.3</v>
      </c>
      <c r="EK77" s="176">
        <v>1429.3</v>
      </c>
      <c r="EL77" s="85"/>
    </row>
    <row r="78" spans="1:142" s="89" customFormat="1">
      <c r="A78" s="89" t="s">
        <v>956</v>
      </c>
      <c r="B78" s="1246">
        <v>47262</v>
      </c>
      <c r="C78" s="89" t="s">
        <v>957</v>
      </c>
      <c r="D78" s="1247">
        <v>42879</v>
      </c>
      <c r="H78" s="260"/>
      <c r="L78" s="260"/>
      <c r="P78" s="260"/>
      <c r="T78" s="260"/>
      <c r="X78" s="260"/>
      <c r="AB78" s="260"/>
      <c r="AF78" s="260"/>
      <c r="AJ78" s="260"/>
      <c r="AN78" s="260"/>
      <c r="AR78" s="260"/>
      <c r="AV78" s="260"/>
      <c r="AZ78" s="260"/>
      <c r="BD78" s="260"/>
      <c r="BH78" s="260"/>
      <c r="BL78" s="260"/>
      <c r="BP78" s="260"/>
      <c r="BT78" s="260"/>
      <c r="BX78" s="260"/>
      <c r="CB78" s="260"/>
      <c r="CF78" s="260"/>
      <c r="CJ78" s="260"/>
      <c r="CK78" s="260"/>
      <c r="CL78" s="77">
        <v>1469</v>
      </c>
      <c r="CM78" s="77">
        <v>1537.3</v>
      </c>
      <c r="CN78" s="77">
        <v>1459.4</v>
      </c>
      <c r="CO78" s="192">
        <v>1451.9</v>
      </c>
      <c r="CP78" s="77">
        <v>1429.3</v>
      </c>
      <c r="CQ78" s="85">
        <v>1429.3</v>
      </c>
      <c r="CR78" s="85">
        <v>1429.3</v>
      </c>
      <c r="CS78" s="176">
        <v>1429.3</v>
      </c>
      <c r="CT78" s="475">
        <v>1429.3</v>
      </c>
      <c r="CU78" s="85">
        <v>1429.3</v>
      </c>
      <c r="CV78" s="85">
        <v>1429.3</v>
      </c>
      <c r="CW78" s="176">
        <v>1429.3</v>
      </c>
      <c r="CX78" s="475">
        <v>1429.3</v>
      </c>
      <c r="CY78" s="85">
        <v>1429.3</v>
      </c>
      <c r="CZ78" s="85">
        <v>1429.3</v>
      </c>
      <c r="DA78" s="176">
        <v>1429.3</v>
      </c>
      <c r="DB78" s="475">
        <v>1429.3</v>
      </c>
      <c r="DC78" s="85">
        <v>1429.3</v>
      </c>
      <c r="DD78" s="85">
        <v>1429.3</v>
      </c>
      <c r="DE78" s="176">
        <v>1429.3</v>
      </c>
      <c r="DF78" s="475">
        <v>1429.3</v>
      </c>
      <c r="DG78" s="85">
        <v>1429.3</v>
      </c>
      <c r="DH78" s="85">
        <v>1429.3</v>
      </c>
      <c r="DI78" s="176">
        <v>1429.3</v>
      </c>
      <c r="DJ78" s="475">
        <v>1429.3</v>
      </c>
      <c r="DK78" s="85">
        <v>1429.3</v>
      </c>
      <c r="DL78" s="85">
        <v>1429.3</v>
      </c>
      <c r="DM78" s="176">
        <v>1429.3</v>
      </c>
      <c r="DN78" s="475">
        <v>1429.3</v>
      </c>
      <c r="DO78" s="85">
        <v>1429.3</v>
      </c>
      <c r="DP78" s="85">
        <v>1429.3</v>
      </c>
      <c r="DQ78" s="176">
        <v>1429.3</v>
      </c>
      <c r="DR78" s="475">
        <v>1429.3</v>
      </c>
      <c r="DS78" s="85">
        <v>1429.3</v>
      </c>
      <c r="DT78" s="85">
        <v>1429.3</v>
      </c>
      <c r="DU78" s="176">
        <v>1429.3</v>
      </c>
      <c r="DV78" s="475">
        <v>1429.3</v>
      </c>
      <c r="DW78" s="85">
        <v>1429.3</v>
      </c>
      <c r="DX78" s="85">
        <v>1429.3</v>
      </c>
      <c r="DY78" s="176">
        <v>1429.3</v>
      </c>
      <c r="DZ78" s="475">
        <v>1429.3</v>
      </c>
      <c r="EA78" s="85">
        <v>1429.3</v>
      </c>
      <c r="EB78" s="85">
        <v>1429.3</v>
      </c>
      <c r="EC78" s="176">
        <v>1429.3</v>
      </c>
      <c r="ED78" s="475">
        <v>1429.3</v>
      </c>
      <c r="EE78" s="85">
        <v>1429.3</v>
      </c>
      <c r="EF78" s="85">
        <v>1429.3</v>
      </c>
      <c r="EG78" s="176">
        <v>1429.3</v>
      </c>
      <c r="EH78" s="475">
        <v>1429.3</v>
      </c>
      <c r="EI78" s="85">
        <v>1429.3</v>
      </c>
      <c r="EJ78" s="85">
        <v>1429.3</v>
      </c>
      <c r="EK78" s="176">
        <v>1429.3</v>
      </c>
      <c r="EL78" s="85"/>
    </row>
    <row r="79" spans="1:142" s="89" customFormat="1">
      <c r="A79" s="89" t="s">
        <v>958</v>
      </c>
      <c r="B79" s="1246">
        <v>46558</v>
      </c>
      <c r="D79" s="1247">
        <v>42906</v>
      </c>
      <c r="H79" s="260"/>
      <c r="L79" s="260"/>
      <c r="P79" s="260"/>
      <c r="T79" s="260"/>
      <c r="X79" s="260"/>
      <c r="AB79" s="260"/>
      <c r="AF79" s="260"/>
      <c r="AJ79" s="260"/>
      <c r="AN79" s="260"/>
      <c r="AR79" s="260"/>
      <c r="AV79" s="260"/>
      <c r="AZ79" s="260"/>
      <c r="BD79" s="260"/>
      <c r="BH79" s="260"/>
      <c r="BL79" s="260"/>
      <c r="BP79" s="260"/>
      <c r="BT79" s="260"/>
      <c r="BX79" s="260"/>
      <c r="CB79" s="260"/>
      <c r="CF79" s="260"/>
      <c r="CJ79" s="260"/>
      <c r="CK79" s="260"/>
      <c r="CL79" s="77">
        <v>1000</v>
      </c>
      <c r="CM79" s="62">
        <f t="shared" ref="CM79:DU79" si="254">CL79</f>
      </c>
      <c r="CN79" s="62">
        <f t="shared" si="254"/>
      </c>
      <c r="CO79" s="226">
        <f t="shared" si="254"/>
      </c>
      <c r="CP79" s="62">
        <f t="shared" si="254"/>
      </c>
      <c r="CQ79" s="85">
        <f t="shared" si="254"/>
      </c>
      <c r="CR79" s="85">
        <f t="shared" si="254"/>
      </c>
      <c r="CS79" s="176">
        <f t="shared" si="254"/>
      </c>
      <c r="CT79" s="475">
        <f t="shared" si="254"/>
      </c>
      <c r="CU79" s="85">
        <f t="shared" si="254"/>
      </c>
      <c r="CV79" s="85">
        <f t="shared" si="254"/>
      </c>
      <c r="CW79" s="176">
        <f t="shared" si="254"/>
      </c>
      <c r="CX79" s="475">
        <f t="shared" si="254"/>
      </c>
      <c r="CY79" s="85">
        <f t="shared" si="254"/>
      </c>
      <c r="CZ79" s="85">
        <f t="shared" si="254"/>
      </c>
      <c r="DA79" s="176">
        <f t="shared" si="254"/>
      </c>
      <c r="DB79" s="475">
        <f t="shared" si="254"/>
      </c>
      <c r="DC79" s="85">
        <f t="shared" si="254"/>
      </c>
      <c r="DD79" s="85">
        <f t="shared" si="254"/>
      </c>
      <c r="DE79" s="176">
        <f t="shared" si="254"/>
      </c>
      <c r="DF79" s="475">
        <f t="shared" si="254"/>
      </c>
      <c r="DG79" s="85">
        <f t="shared" si="254"/>
      </c>
      <c r="DH79" s="85">
        <f t="shared" si="254"/>
      </c>
      <c r="DI79" s="176">
        <f t="shared" si="254"/>
      </c>
      <c r="DJ79" s="475">
        <f t="shared" si="254"/>
      </c>
      <c r="DK79" s="85">
        <f t="shared" si="254"/>
      </c>
      <c r="DL79" s="85">
        <f t="shared" si="254"/>
      </c>
      <c r="DM79" s="176">
        <f t="shared" si="254"/>
      </c>
      <c r="DN79" s="475">
        <f t="shared" si="254"/>
      </c>
      <c r="DO79" s="85">
        <f t="shared" si="254"/>
      </c>
      <c r="DP79" s="85">
        <f t="shared" si="254"/>
      </c>
      <c r="DQ79" s="176">
        <f t="shared" si="254"/>
      </c>
      <c r="DR79" s="475">
        <f t="shared" si="254"/>
      </c>
      <c r="DS79" s="85">
        <f t="shared" si="254"/>
      </c>
      <c r="DT79" s="85">
        <f t="shared" si="254"/>
      </c>
      <c r="DU79" s="176">
        <f t="shared" si="254"/>
      </c>
      <c r="DV79" s="475">
        <f t="shared" ref="DV79:DV80" si="255">DU79</f>
      </c>
      <c r="DW79" s="85">
        <f t="shared" ref="DW79:DW80" si="256">DV79</f>
      </c>
      <c r="DX79" s="85">
        <f t="shared" ref="DX79:DX80" si="257">DW79</f>
      </c>
      <c r="DY79" s="176">
        <f t="shared" ref="DY79:DY80" si="258">DX79</f>
      </c>
      <c r="DZ79" s="475">
        <f t="shared" ref="DZ79:DZ80" si="259">DY79</f>
      </c>
      <c r="EA79" s="85">
        <f t="shared" ref="EA79:EA80" si="260">DZ79</f>
      </c>
      <c r="EB79" s="85">
        <f t="shared" ref="EB79:EB80" si="261">EA79</f>
      </c>
      <c r="EC79" s="176">
        <f t="shared" ref="EC79:EC80" si="262">EB79</f>
      </c>
      <c r="ED79" s="475">
        <f t="shared" ref="ED79:ED80" si="263">EC79</f>
      </c>
      <c r="EE79" s="85">
        <f t="shared" ref="EE79:EE80" si="264">ED79</f>
      </c>
      <c r="EF79" s="85">
        <f t="shared" ref="EF79:EF80" si="265">EE79</f>
      </c>
      <c r="EG79" s="176">
        <f t="shared" ref="EG79:EG80" si="266">EF79</f>
      </c>
      <c r="EH79" s="475">
        <f t="shared" ref="EH79:EH80" si="267">EG79</f>
      </c>
      <c r="EI79" s="85">
        <f t="shared" ref="EI79:EI80" si="268">EH79</f>
      </c>
      <c r="EJ79" s="85">
        <f t="shared" ref="EJ79:EJ80" si="269">EI79</f>
      </c>
      <c r="EK79" s="176">
        <f t="shared" ref="EK79:EK80" si="270">EJ79</f>
      </c>
      <c r="EL79" s="85"/>
    </row>
    <row r="80" spans="1:142" s="89" customFormat="1">
      <c r="A80" s="89" t="s">
        <v>959</v>
      </c>
      <c r="B80" s="1246">
        <v>45523</v>
      </c>
      <c r="C80" s="89" t="s">
        <v>960</v>
      </c>
      <c r="D80" s="1247">
        <v>42965</v>
      </c>
      <c r="H80" s="260"/>
      <c r="L80" s="260"/>
      <c r="P80" s="260"/>
      <c r="T80" s="260"/>
      <c r="X80" s="260"/>
      <c r="AB80" s="260"/>
      <c r="AF80" s="260"/>
      <c r="AJ80" s="260"/>
      <c r="AN80" s="260"/>
      <c r="AR80" s="260"/>
      <c r="AV80" s="260"/>
      <c r="AZ80" s="260"/>
      <c r="BD80" s="260"/>
      <c r="BH80" s="260"/>
      <c r="BL80" s="260"/>
      <c r="BP80" s="260"/>
      <c r="BT80" s="260"/>
      <c r="BX80" s="260"/>
      <c r="CB80" s="260"/>
      <c r="CF80" s="260"/>
      <c r="CJ80" s="260"/>
      <c r="CK80" s="260"/>
      <c r="CL80" s="77">
        <v>2017</v>
      </c>
      <c r="CM80" s="77">
        <v>1939.1</v>
      </c>
      <c r="CN80" s="77">
        <v>1900.5</v>
      </c>
      <c r="CO80" s="192">
        <f>25617-SUM(CO81:CO84,CO66:CO79)</f>
      </c>
      <c r="CP80" s="77">
        <v>1833.5</v>
      </c>
      <c r="CQ80" s="316">
        <f>CQ113-SUM(CQ81:CQ84,CQ66:CQ79)</f>
      </c>
      <c r="CR80" s="316">
        <f>CR113-SUM(CR81:CR84,CR66:CR79)</f>
      </c>
      <c r="CS80" s="176">
        <f t="shared" ref="CS80:DU80" si="271">CR80</f>
      </c>
      <c r="CT80" s="475">
        <f t="shared" si="271"/>
      </c>
      <c r="CU80" s="85">
        <f t="shared" si="271"/>
      </c>
      <c r="CV80" s="85">
        <f t="shared" si="271"/>
      </c>
      <c r="CW80" s="176">
        <f t="shared" si="271"/>
      </c>
      <c r="CX80" s="475">
        <f t="shared" si="271"/>
      </c>
      <c r="CY80" s="85">
        <f t="shared" si="271"/>
      </c>
      <c r="CZ80" s="85">
        <f t="shared" si="271"/>
      </c>
      <c r="DA80" s="176">
        <f t="shared" si="271"/>
      </c>
      <c r="DB80" s="475">
        <f t="shared" si="271"/>
      </c>
      <c r="DC80" s="85">
        <f t="shared" si="271"/>
      </c>
      <c r="DD80" s="85">
        <f t="shared" si="271"/>
      </c>
      <c r="DE80" s="176">
        <f t="shared" si="271"/>
      </c>
      <c r="DF80" s="475">
        <f t="shared" si="271"/>
      </c>
      <c r="DG80" s="85">
        <f t="shared" si="271"/>
      </c>
      <c r="DH80" s="85">
        <f t="shared" si="271"/>
      </c>
      <c r="DI80" s="176">
        <f t="shared" si="271"/>
      </c>
      <c r="DJ80" s="475">
        <f t="shared" si="271"/>
      </c>
      <c r="DK80" s="85">
        <f t="shared" si="271"/>
      </c>
      <c r="DL80" s="85">
        <f t="shared" si="271"/>
      </c>
      <c r="DM80" s="176">
        <f t="shared" si="271"/>
      </c>
      <c r="DN80" s="475">
        <f t="shared" si="271"/>
      </c>
      <c r="DO80" s="85">
        <f t="shared" si="271"/>
      </c>
      <c r="DP80" s="85">
        <f t="shared" si="271"/>
      </c>
      <c r="DQ80" s="176">
        <f t="shared" si="271"/>
      </c>
      <c r="DR80" s="475">
        <f t="shared" si="271"/>
      </c>
      <c r="DS80" s="85">
        <f t="shared" si="271"/>
      </c>
      <c r="DT80" s="85">
        <f t="shared" si="271"/>
      </c>
      <c r="DU80" s="176">
        <f t="shared" si="271"/>
      </c>
      <c r="DV80" s="475">
        <f t="shared" si="255"/>
      </c>
      <c r="DW80" s="85">
        <f t="shared" si="256"/>
      </c>
      <c r="DX80" s="85">
        <f t="shared" si="257"/>
      </c>
      <c r="DY80" s="176">
        <f t="shared" si="258"/>
      </c>
      <c r="DZ80" s="475">
        <f t="shared" si="259"/>
      </c>
      <c r="EA80" s="85">
        <f t="shared" si="260"/>
      </c>
      <c r="EB80" s="85">
        <f t="shared" si="261"/>
      </c>
      <c r="EC80" s="176">
        <f t="shared" si="262"/>
      </c>
      <c r="ED80" s="475">
        <f t="shared" si="263"/>
      </c>
      <c r="EE80" s="85">
        <f t="shared" si="264"/>
      </c>
      <c r="EF80" s="85">
        <f t="shared" si="265"/>
      </c>
      <c r="EG80" s="176">
        <f t="shared" si="266"/>
      </c>
      <c r="EH80" s="475">
        <f t="shared" si="267"/>
      </c>
      <c r="EI80" s="85">
        <f t="shared" si="268"/>
      </c>
      <c r="EJ80" s="85">
        <f t="shared" si="269"/>
      </c>
      <c r="EK80" s="176">
        <f t="shared" si="270"/>
      </c>
      <c r="EL80" s="85"/>
    </row>
    <row r="81" spans="1:142" s="89" customFormat="1">
      <c r="A81" s="89" t="s">
        <v>961</v>
      </c>
      <c r="B81" s="1246">
        <v>43720</v>
      </c>
      <c r="D81" s="1247">
        <v>42990</v>
      </c>
      <c r="H81" s="260"/>
      <c r="L81" s="260"/>
      <c r="P81" s="260"/>
      <c r="T81" s="260"/>
      <c r="X81" s="260"/>
      <c r="AB81" s="260"/>
      <c r="AF81" s="260"/>
      <c r="AJ81" s="260"/>
      <c r="AN81" s="260"/>
      <c r="AR81" s="260"/>
      <c r="AV81" s="260"/>
      <c r="AZ81" s="260"/>
      <c r="BD81" s="260"/>
      <c r="BH81" s="260"/>
      <c r="BL81" s="260"/>
      <c r="BP81" s="260"/>
      <c r="BT81" s="260"/>
      <c r="BX81" s="260"/>
      <c r="CB81" s="260"/>
      <c r="CF81" s="260"/>
      <c r="CJ81" s="260"/>
      <c r="CK81" s="260"/>
      <c r="CL81" s="77">
        <v>1000</v>
      </c>
      <c r="CM81" s="62">
        <f t="shared" ref="CM81:CR90" si="272">CL81</f>
      </c>
      <c r="CN81" s="62">
        <f t="shared" si="272"/>
      </c>
      <c r="CO81" s="226">
        <f t="shared" si="272"/>
      </c>
      <c r="CP81" s="62">
        <f t="shared" si="272"/>
      </c>
      <c r="CQ81" s="85">
        <f t="shared" si="272"/>
      </c>
      <c r="CR81" s="85">
        <f t="shared" si="272"/>
      </c>
      <c r="CS81" s="192">
        <v>0</v>
      </c>
      <c r="CT81" s="475">
        <v>0</v>
      </c>
      <c r="CU81" s="85">
        <v>0</v>
      </c>
      <c r="CV81" s="85">
        <v>0</v>
      </c>
      <c r="CW81" s="176">
        <v>0</v>
      </c>
      <c r="CX81" s="475">
        <v>0</v>
      </c>
      <c r="CY81" s="85">
        <v>0</v>
      </c>
      <c r="CZ81" s="85">
        <v>0</v>
      </c>
      <c r="DA81" s="176">
        <v>0</v>
      </c>
      <c r="DB81" s="475"/>
      <c r="DC81" s="85"/>
      <c r="DD81" s="85"/>
      <c r="DE81" s="176"/>
      <c r="DF81" s="475"/>
      <c r="DG81" s="85"/>
      <c r="DH81" s="85"/>
      <c r="DI81" s="176"/>
      <c r="DJ81" s="475"/>
      <c r="DK81" s="85"/>
      <c r="DL81" s="85"/>
      <c r="DM81" s="176"/>
      <c r="DN81" s="475"/>
      <c r="DO81" s="85"/>
      <c r="DP81" s="85"/>
      <c r="DQ81" s="176"/>
      <c r="DR81" s="475"/>
      <c r="DS81" s="85"/>
      <c r="DT81" s="85"/>
      <c r="DU81" s="176"/>
      <c r="DV81" s="475"/>
      <c r="DW81" s="85"/>
      <c r="DX81" s="85"/>
      <c r="DY81" s="176"/>
      <c r="DZ81" s="475"/>
      <c r="EA81" s="85"/>
      <c r="EB81" s="85"/>
      <c r="EC81" s="176"/>
      <c r="ED81" s="475"/>
      <c r="EE81" s="85"/>
      <c r="EF81" s="85"/>
      <c r="EG81" s="176"/>
      <c r="EH81" s="475"/>
      <c r="EI81" s="85"/>
      <c r="EJ81" s="85"/>
      <c r="EK81" s="176"/>
      <c r="EL81" s="85"/>
    </row>
    <row r="82" spans="1:142" s="89" customFormat="1">
      <c r="A82" s="89" t="s">
        <v>963</v>
      </c>
      <c r="B82" s="1246">
        <v>44816</v>
      </c>
      <c r="D82" s="1247">
        <v>42990</v>
      </c>
      <c r="H82" s="260"/>
      <c r="L82" s="260"/>
      <c r="P82" s="260"/>
      <c r="T82" s="260"/>
      <c r="X82" s="260"/>
      <c r="AB82" s="260"/>
      <c r="AF82" s="260"/>
      <c r="AJ82" s="260"/>
      <c r="AN82" s="260"/>
      <c r="AR82" s="260"/>
      <c r="AV82" s="260"/>
      <c r="AZ82" s="260"/>
      <c r="BD82" s="260"/>
      <c r="BH82" s="260"/>
      <c r="BL82" s="260"/>
      <c r="BP82" s="260"/>
      <c r="BT82" s="260"/>
      <c r="BX82" s="260"/>
      <c r="CB82" s="260"/>
      <c r="CF82" s="260"/>
      <c r="CJ82" s="260"/>
      <c r="CK82" s="260"/>
      <c r="CL82" s="77">
        <v>1000</v>
      </c>
      <c r="CM82" s="62">
        <f t="shared" si="272"/>
      </c>
      <c r="CN82" s="62">
        <f t="shared" si="272"/>
      </c>
      <c r="CO82" s="226">
        <f t="shared" si="272"/>
      </c>
      <c r="CP82" s="62">
        <f t="shared" si="272"/>
      </c>
      <c r="CQ82" s="85">
        <f t="shared" si="272"/>
      </c>
      <c r="CR82" s="85">
        <f t="shared" si="272"/>
      </c>
      <c r="CS82" s="176">
        <f t="shared" ref="CS82:DD82" si="273">CR82</f>
      </c>
      <c r="CT82" s="475">
        <f t="shared" si="273"/>
      </c>
      <c r="CU82" s="85">
        <f t="shared" si="273"/>
      </c>
      <c r="CV82" s="85">
        <f t="shared" si="273"/>
      </c>
      <c r="CW82" s="176">
        <f t="shared" si="273"/>
      </c>
      <c r="CX82" s="475">
        <f t="shared" si="273"/>
      </c>
      <c r="CY82" s="85">
        <f t="shared" si="273"/>
      </c>
      <c r="CZ82" s="85">
        <f t="shared" si="273"/>
      </c>
      <c r="DA82" s="176">
        <f t="shared" si="273"/>
      </c>
      <c r="DB82" s="475">
        <f t="shared" si="273"/>
      </c>
      <c r="DC82" s="85">
        <f t="shared" si="273"/>
      </c>
      <c r="DD82" s="85">
        <f t="shared" si="273"/>
      </c>
      <c r="DE82" s="176"/>
      <c r="DF82" s="475">
        <f t="shared" ref="DF82:DH84" si="274">DE82</f>
      </c>
      <c r="DG82" s="85">
        <f t="shared" si="274"/>
      </c>
      <c r="DH82" s="85">
        <f t="shared" si="274"/>
      </c>
      <c r="DI82" s="176"/>
      <c r="DJ82" s="475">
        <f t="shared" ref="DJ82:DL84" si="275">DI82</f>
      </c>
      <c r="DK82" s="85">
        <f t="shared" si="275"/>
      </c>
      <c r="DL82" s="85">
        <f t="shared" si="275"/>
      </c>
      <c r="DM82" s="176"/>
      <c r="DN82" s="475">
        <f t="shared" ref="DN82:DP84" si="276">DM82</f>
      </c>
      <c r="DO82" s="85">
        <f t="shared" si="276"/>
      </c>
      <c r="DP82" s="85">
        <f t="shared" si="276"/>
      </c>
      <c r="DQ82" s="176"/>
      <c r="DR82" s="475">
        <f t="shared" ref="DR82:DT84" si="277">DQ82</f>
      </c>
      <c r="DS82" s="85">
        <f t="shared" si="277"/>
      </c>
      <c r="DT82" s="85">
        <f t="shared" si="277"/>
      </c>
      <c r="DU82" s="176"/>
      <c r="DV82" s="475">
        <f t="shared" ref="DV82:DV84" si="278">DU82</f>
      </c>
      <c r="DW82" s="85">
        <f t="shared" ref="DW82:DW84" si="279">DV82</f>
      </c>
      <c r="DX82" s="85">
        <f t="shared" ref="DX82:DX84" si="280">DW82</f>
      </c>
      <c r="DY82" s="176"/>
      <c r="DZ82" s="475">
        <f t="shared" ref="DZ82:DZ84" si="281">DY82</f>
      </c>
      <c r="EA82" s="85">
        <f t="shared" ref="EA82:EA84" si="282">DZ82</f>
      </c>
      <c r="EB82" s="85">
        <f t="shared" ref="EB82:EB84" si="283">EA82</f>
      </c>
      <c r="EC82" s="176"/>
      <c r="ED82" s="475">
        <f t="shared" ref="ED82:ED84" si="284">EC82</f>
      </c>
      <c r="EE82" s="85">
        <f t="shared" ref="EE82:EE84" si="285">ED82</f>
      </c>
      <c r="EF82" s="85">
        <f t="shared" ref="EF82:EF84" si="286">EE82</f>
      </c>
      <c r="EG82" s="176"/>
      <c r="EH82" s="475">
        <f t="shared" ref="EH82:EH84" si="287">EG82</f>
      </c>
      <c r="EI82" s="85">
        <f t="shared" ref="EI82:EI84" si="288">EH82</f>
      </c>
      <c r="EJ82" s="85">
        <f t="shared" ref="EJ82:EJ84" si="289">EI82</f>
      </c>
      <c r="EK82" s="176"/>
      <c r="EL82" s="85"/>
    </row>
    <row r="83" spans="1:142" s="89" customFormat="1">
      <c r="A83" s="89" t="s">
        <v>964</v>
      </c>
      <c r="B83" s="1246">
        <v>46642</v>
      </c>
      <c r="D83" s="1247">
        <v>42990</v>
      </c>
      <c r="H83" s="260"/>
      <c r="L83" s="260"/>
      <c r="P83" s="260"/>
      <c r="T83" s="260"/>
      <c r="X83" s="260"/>
      <c r="AB83" s="260"/>
      <c r="AF83" s="260"/>
      <c r="AJ83" s="260"/>
      <c r="AN83" s="260"/>
      <c r="AR83" s="260"/>
      <c r="AV83" s="260"/>
      <c r="AZ83" s="260"/>
      <c r="BD83" s="260"/>
      <c r="BH83" s="260"/>
      <c r="BL83" s="260"/>
      <c r="BP83" s="260"/>
      <c r="BT83" s="260"/>
      <c r="BX83" s="260"/>
      <c r="CB83" s="260"/>
      <c r="CF83" s="260"/>
      <c r="CJ83" s="260"/>
      <c r="CK83" s="260"/>
      <c r="CL83" s="77">
        <v>2000</v>
      </c>
      <c r="CM83" s="62">
        <f t="shared" si="272"/>
      </c>
      <c r="CN83" s="62">
        <f t="shared" si="272"/>
      </c>
      <c r="CO83" s="226">
        <f t="shared" si="272"/>
      </c>
      <c r="CP83" s="62">
        <f t="shared" si="272"/>
      </c>
      <c r="CQ83" s="85">
        <f t="shared" si="272"/>
      </c>
      <c r="CR83" s="85">
        <f t="shared" si="272"/>
      </c>
      <c r="CS83" s="176">
        <f t="shared" ref="CS83:DD83" si="290">CR83</f>
      </c>
      <c r="CT83" s="475">
        <f t="shared" si="290"/>
      </c>
      <c r="CU83" s="85">
        <f t="shared" si="290"/>
      </c>
      <c r="CV83" s="85">
        <f t="shared" si="290"/>
      </c>
      <c r="CW83" s="176">
        <f t="shared" si="290"/>
      </c>
      <c r="CX83" s="475">
        <f t="shared" si="290"/>
      </c>
      <c r="CY83" s="85">
        <f t="shared" si="290"/>
      </c>
      <c r="CZ83" s="85">
        <f t="shared" si="290"/>
      </c>
      <c r="DA83" s="176">
        <f t="shared" si="290"/>
      </c>
      <c r="DB83" s="475">
        <f t="shared" si="290"/>
      </c>
      <c r="DC83" s="85">
        <f t="shared" si="290"/>
      </c>
      <c r="DD83" s="85">
        <f t="shared" si="290"/>
      </c>
      <c r="DE83" s="176">
        <f>DD83</f>
      </c>
      <c r="DF83" s="475">
        <f t="shared" si="274"/>
      </c>
      <c r="DG83" s="85">
        <f t="shared" si="274"/>
      </c>
      <c r="DH83" s="85">
        <f t="shared" si="274"/>
      </c>
      <c r="DI83" s="176">
        <f>DH83</f>
      </c>
      <c r="DJ83" s="475">
        <f t="shared" si="275"/>
      </c>
      <c r="DK83" s="85">
        <f t="shared" si="275"/>
      </c>
      <c r="DL83" s="85">
        <f t="shared" si="275"/>
      </c>
      <c r="DM83" s="176">
        <f>DL83</f>
      </c>
      <c r="DN83" s="475">
        <f t="shared" si="276"/>
      </c>
      <c r="DO83" s="85">
        <f t="shared" si="276"/>
      </c>
      <c r="DP83" s="85">
        <f t="shared" si="276"/>
      </c>
      <c r="DQ83" s="176">
        <f>DP83</f>
      </c>
      <c r="DR83" s="475">
        <f t="shared" si="277"/>
      </c>
      <c r="DS83" s="85">
        <f t="shared" si="277"/>
      </c>
      <c r="DT83" s="85">
        <f t="shared" si="277"/>
      </c>
      <c r="DU83" s="176">
        <f>DT83</f>
      </c>
      <c r="DV83" s="475">
        <f t="shared" si="278"/>
      </c>
      <c r="DW83" s="85">
        <f t="shared" si="279"/>
      </c>
      <c r="DX83" s="85">
        <f t="shared" si="280"/>
      </c>
      <c r="DY83" s="176">
        <f>DX83</f>
      </c>
      <c r="DZ83" s="475">
        <f t="shared" si="281"/>
      </c>
      <c r="EA83" s="85">
        <f t="shared" si="282"/>
      </c>
      <c r="EB83" s="85">
        <f t="shared" si="283"/>
      </c>
      <c r="EC83" s="176">
        <f>EB83</f>
      </c>
      <c r="ED83" s="475">
        <f t="shared" si="284"/>
      </c>
      <c r="EE83" s="85">
        <f t="shared" si="285"/>
      </c>
      <c r="EF83" s="85">
        <f t="shared" si="286"/>
      </c>
      <c r="EG83" s="176">
        <f>EF83</f>
      </c>
      <c r="EH83" s="475">
        <f t="shared" si="287"/>
      </c>
      <c r="EI83" s="85">
        <f t="shared" si="288"/>
      </c>
      <c r="EJ83" s="85">
        <f t="shared" si="289"/>
      </c>
      <c r="EK83" s="176">
        <f>EJ83</f>
      </c>
      <c r="EL83" s="85"/>
    </row>
    <row r="84" spans="1:142">
      <c r="A84" s="11" t="s">
        <v>965</v>
      </c>
      <c r="B84" s="312">
        <v>53947</v>
      </c>
      <c r="D84" s="314">
        <v>42990</v>
      </c>
      <c r="CL84" s="34">
        <v>1000</v>
      </c>
      <c r="CM84" s="15">
        <f t="shared" si="272"/>
      </c>
      <c r="CN84" s="15">
        <f t="shared" si="272"/>
      </c>
      <c r="CO84" s="174">
        <f t="shared" si="272"/>
      </c>
      <c r="CP84" s="15">
        <f t="shared" si="272"/>
      </c>
      <c r="CQ84" s="10">
        <f t="shared" si="272"/>
      </c>
      <c r="CR84" s="10">
        <f t="shared" si="272"/>
      </c>
      <c r="CS84" s="238">
        <f t="shared" ref="CS84:DD84" si="291">CR84</f>
      </c>
      <c r="CT84" s="381">
        <f t="shared" si="291"/>
      </c>
      <c r="CU84" s="10">
        <f t="shared" si="291"/>
      </c>
      <c r="CV84" s="10">
        <f t="shared" si="291"/>
      </c>
      <c r="CW84" s="238">
        <f t="shared" si="291"/>
      </c>
      <c r="CX84" s="381">
        <f t="shared" si="291"/>
      </c>
      <c r="CY84" s="10">
        <f t="shared" si="291"/>
      </c>
      <c r="CZ84" s="10">
        <f t="shared" si="291"/>
      </c>
      <c r="DA84" s="238">
        <f t="shared" si="291"/>
      </c>
      <c r="DB84" s="381">
        <f t="shared" si="291"/>
      </c>
      <c r="DC84" s="10">
        <f t="shared" si="291"/>
      </c>
      <c r="DD84" s="10">
        <f t="shared" si="291"/>
      </c>
      <c r="DE84" s="238">
        <f>DD84</f>
      </c>
      <c r="DF84" s="381">
        <f t="shared" si="274"/>
      </c>
      <c r="DG84" s="10">
        <f t="shared" si="274"/>
      </c>
      <c r="DH84" s="10">
        <f t="shared" si="274"/>
      </c>
      <c r="DI84" s="238">
        <f>DH84</f>
      </c>
      <c r="DJ84" s="381">
        <f t="shared" si="275"/>
      </c>
      <c r="DK84" s="10">
        <f t="shared" si="275"/>
      </c>
      <c r="DL84" s="10">
        <f t="shared" si="275"/>
      </c>
      <c r="DM84" s="238">
        <f>DL84</f>
      </c>
      <c r="DN84" s="381">
        <f t="shared" si="276"/>
      </c>
      <c r="DO84" s="10">
        <f t="shared" si="276"/>
      </c>
      <c r="DP84" s="10">
        <f t="shared" si="276"/>
      </c>
      <c r="DQ84" s="238">
        <f>DP84</f>
      </c>
      <c r="DR84" s="381">
        <f t="shared" si="277"/>
      </c>
      <c r="DS84" s="10">
        <f t="shared" si="277"/>
      </c>
      <c r="DT84" s="10">
        <f t="shared" si="277"/>
      </c>
      <c r="DU84" s="238">
        <f>DT84</f>
      </c>
      <c r="DV84" s="381">
        <f t="shared" si="278"/>
      </c>
      <c r="DW84" s="10">
        <f t="shared" si="279"/>
      </c>
      <c r="DX84" s="10">
        <f t="shared" si="280"/>
      </c>
      <c r="DY84" s="238">
        <f>DX84</f>
      </c>
      <c r="DZ84" s="381">
        <f t="shared" si="281"/>
      </c>
      <c r="EA84" s="10">
        <f t="shared" si="282"/>
      </c>
      <c r="EB84" s="10">
        <f t="shared" si="283"/>
      </c>
      <c r="EC84" s="238">
        <f>EB84</f>
      </c>
      <c r="ED84" s="381">
        <f t="shared" si="284"/>
      </c>
      <c r="EE84" s="10">
        <f t="shared" si="285"/>
      </c>
      <c r="EF84" s="10">
        <f t="shared" si="286"/>
      </c>
      <c r="EG84" s="238">
        <f>EF84</f>
      </c>
      <c r="EH84" s="381">
        <f t="shared" si="287"/>
      </c>
      <c r="EI84" s="10">
        <f t="shared" si="288"/>
      </c>
      <c r="EJ84" s="10">
        <f t="shared" si="289"/>
      </c>
      <c r="EK84" s="238">
        <f>EJ84</f>
      </c>
      <c r="EL84" s="10"/>
    </row>
    <row r="85" spans="1:142">
      <c r="A85" s="11" t="s">
        <v>978</v>
      </c>
      <c r="B85" s="312">
        <v>43782</v>
      </c>
      <c r="D85" s="3388" t="s">
        <v>721</v>
      </c>
      <c r="CL85" s="34">
        <v>1000</v>
      </c>
      <c r="CM85" s="15">
        <f t="shared" si="272"/>
      </c>
      <c r="CN85" s="15">
        <f t="shared" si="272"/>
      </c>
      <c r="CO85" s="174">
        <f t="shared" si="272"/>
      </c>
      <c r="CP85" s="15">
        <f t="shared" si="272"/>
      </c>
      <c r="CQ85" s="10">
        <f t="shared" si="272"/>
      </c>
      <c r="CR85" s="10">
        <f t="shared" si="272"/>
      </c>
      <c r="CS85" s="238">
        <f t="shared" ref="CS85:CS90" si="292">CR85</f>
      </c>
      <c r="CT85" s="382">
        <v>0</v>
      </c>
      <c r="CU85" s="10">
        <v>0</v>
      </c>
      <c r="CV85" s="10">
        <v>0</v>
      </c>
      <c r="CW85" s="238">
        <v>0</v>
      </c>
      <c r="CX85" s="381">
        <v>0</v>
      </c>
      <c r="CY85" s="10">
        <v>0</v>
      </c>
      <c r="CZ85" s="10">
        <v>0</v>
      </c>
      <c r="DA85" s="238">
        <v>0</v>
      </c>
      <c r="DB85" s="381"/>
      <c r="DC85" s="10"/>
      <c r="DD85" s="10"/>
      <c r="DE85" s="238"/>
      <c r="DF85" s="381"/>
      <c r="DG85" s="10"/>
      <c r="DH85" s="10"/>
      <c r="DI85" s="238"/>
      <c r="DJ85" s="381"/>
      <c r="DK85" s="10"/>
      <c r="DL85" s="10"/>
      <c r="DM85" s="238"/>
      <c r="DN85" s="381"/>
      <c r="DO85" s="10"/>
      <c r="DP85" s="10"/>
      <c r="DQ85" s="238"/>
      <c r="DR85" s="381"/>
      <c r="DS85" s="10"/>
      <c r="DT85" s="10"/>
      <c r="DU85" s="238"/>
      <c r="DV85" s="381"/>
      <c r="DW85" s="10"/>
      <c r="DX85" s="10"/>
      <c r="DY85" s="238"/>
      <c r="DZ85" s="381"/>
      <c r="EA85" s="10"/>
      <c r="EB85" s="10"/>
      <c r="EC85" s="238"/>
      <c r="ED85" s="381"/>
      <c r="EE85" s="10"/>
      <c r="EF85" s="10"/>
      <c r="EG85" s="238"/>
      <c r="EH85" s="381"/>
      <c r="EI85" s="10"/>
      <c r="EJ85" s="10"/>
      <c r="EK85" s="238"/>
      <c r="EL85" s="10"/>
    </row>
    <row r="86" spans="1:142">
      <c r="A86" s="11" t="s">
        <v>979</v>
      </c>
      <c r="B86" s="312">
        <v>44148</v>
      </c>
      <c r="D86" s="3388" t="s">
        <v>721</v>
      </c>
      <c r="CL86" s="34">
        <v>1000</v>
      </c>
      <c r="CM86" s="15">
        <f t="shared" si="272"/>
      </c>
      <c r="CN86" s="15">
        <f t="shared" si="272"/>
      </c>
      <c r="CO86" s="174">
        <f t="shared" si="272"/>
      </c>
      <c r="CP86" s="15">
        <f t="shared" si="272"/>
      </c>
      <c r="CQ86" s="10">
        <f t="shared" si="272"/>
      </c>
      <c r="CR86" s="10">
        <f t="shared" si="272"/>
      </c>
      <c r="CS86" s="238">
        <f t="shared" si="292"/>
      </c>
      <c r="CT86" s="381">
        <f t="shared" ref="CT86:CW90" si="293">CS86</f>
      </c>
      <c r="CU86" s="10">
        <f t="shared" si="293"/>
      </c>
      <c r="CV86" s="10">
        <f t="shared" si="293"/>
      </c>
      <c r="CW86" s="238">
        <f t="shared" si="293"/>
      </c>
      <c r="CX86" s="382">
        <v>0</v>
      </c>
      <c r="CY86" s="10">
        <v>0</v>
      </c>
      <c r="CZ86" s="10">
        <v>0</v>
      </c>
      <c r="DA86" s="238">
        <v>0</v>
      </c>
      <c r="DB86" s="382"/>
      <c r="DC86" s="10"/>
      <c r="DD86" s="10"/>
      <c r="DE86" s="238"/>
      <c r="DF86" s="382"/>
      <c r="DG86" s="10"/>
      <c r="DH86" s="10"/>
      <c r="DI86" s="238"/>
      <c r="DJ86" s="382"/>
      <c r="DK86" s="10"/>
      <c r="DL86" s="10"/>
      <c r="DM86" s="238"/>
      <c r="DN86" s="382"/>
      <c r="DO86" s="10"/>
      <c r="DP86" s="10"/>
      <c r="DQ86" s="238"/>
      <c r="DR86" s="382"/>
      <c r="DS86" s="10"/>
      <c r="DT86" s="10"/>
      <c r="DU86" s="238"/>
      <c r="DV86" s="382"/>
      <c r="DW86" s="10"/>
      <c r="DX86" s="10"/>
      <c r="DY86" s="238"/>
      <c r="DZ86" s="382"/>
      <c r="EA86" s="10"/>
      <c r="EB86" s="10"/>
      <c r="EC86" s="238"/>
      <c r="ED86" s="382"/>
      <c r="EE86" s="10"/>
      <c r="EF86" s="10"/>
      <c r="EG86" s="238"/>
      <c r="EH86" s="382"/>
      <c r="EI86" s="10"/>
      <c r="EJ86" s="10"/>
      <c r="EK86" s="238"/>
      <c r="EL86" s="10"/>
    </row>
    <row r="87" spans="1:142">
      <c r="A87" s="11" t="s">
        <v>980</v>
      </c>
      <c r="B87" s="312">
        <v>45243</v>
      </c>
      <c r="D87" s="3388" t="s">
        <v>721</v>
      </c>
      <c r="CL87" s="34">
        <v>750</v>
      </c>
      <c r="CM87" s="15">
        <f t="shared" si="272"/>
      </c>
      <c r="CN87" s="15">
        <f t="shared" si="272"/>
      </c>
      <c r="CO87" s="174">
        <f t="shared" si="272"/>
      </c>
      <c r="CP87" s="15">
        <f t="shared" si="272"/>
      </c>
      <c r="CQ87" s="10">
        <f t="shared" si="272"/>
      </c>
      <c r="CR87" s="10">
        <f t="shared" si="272"/>
      </c>
      <c r="CS87" s="238">
        <f t="shared" si="292"/>
      </c>
      <c r="CT87" s="381">
        <f t="shared" si="293"/>
      </c>
      <c r="CU87" s="10">
        <f t="shared" si="293"/>
      </c>
      <c r="CV87" s="10">
        <f t="shared" si="293"/>
      </c>
      <c r="CW87" s="238">
        <f t="shared" si="293"/>
      </c>
      <c r="CX87" s="381">
        <f t="shared" ref="CX87:DU87" si="294">CW87</f>
      </c>
      <c r="CY87" s="10">
        <f t="shared" si="294"/>
      </c>
      <c r="CZ87" s="10">
        <f t="shared" si="294"/>
      </c>
      <c r="DA87" s="238">
        <f t="shared" si="294"/>
      </c>
      <c r="DB87" s="381">
        <f t="shared" si="294"/>
      </c>
      <c r="DC87" s="10">
        <f t="shared" si="294"/>
      </c>
      <c r="DD87" s="10">
        <f t="shared" si="294"/>
      </c>
      <c r="DE87" s="238">
        <f t="shared" si="294"/>
      </c>
      <c r="DF87" s="381">
        <f t="shared" si="294"/>
      </c>
      <c r="DG87" s="10">
        <f t="shared" si="294"/>
      </c>
      <c r="DH87" s="10">
        <f t="shared" si="294"/>
      </c>
      <c r="DI87" s="238">
        <f t="shared" si="294"/>
      </c>
      <c r="DJ87" s="381">
        <f t="shared" si="294"/>
      </c>
      <c r="DK87" s="10">
        <f t="shared" si="294"/>
      </c>
      <c r="DL87" s="10">
        <f t="shared" si="294"/>
      </c>
      <c r="DM87" s="238">
        <f t="shared" si="294"/>
      </c>
      <c r="DN87" s="381">
        <f t="shared" si="294"/>
      </c>
      <c r="DO87" s="10">
        <f t="shared" si="294"/>
      </c>
      <c r="DP87" s="10">
        <f t="shared" si="294"/>
      </c>
      <c r="DQ87" s="238">
        <f t="shared" si="294"/>
      </c>
      <c r="DR87" s="381">
        <f t="shared" si="294"/>
      </c>
      <c r="DS87" s="10">
        <f t="shared" si="294"/>
      </c>
      <c r="DT87" s="10">
        <f t="shared" si="294"/>
      </c>
      <c r="DU87" s="238">
        <f t="shared" si="294"/>
      </c>
      <c r="DV87" s="381">
        <f t="shared" ref="DV87:DV90" si="295">DU87</f>
      </c>
      <c r="DW87" s="10">
        <f t="shared" ref="DW87:DW90" si="296">DV87</f>
      </c>
      <c r="DX87" s="10">
        <f t="shared" ref="DX87:DX90" si="297">DW87</f>
      </c>
      <c r="DY87" s="238">
        <f t="shared" ref="DY87:DY90" si="298">DX87</f>
      </c>
      <c r="DZ87" s="381">
        <f t="shared" ref="DZ87:DZ90" si="299">DY87</f>
      </c>
      <c r="EA87" s="10">
        <f t="shared" ref="EA87:EA90" si="300">DZ87</f>
      </c>
      <c r="EB87" s="10">
        <f t="shared" ref="EB87:EB90" si="301">EA87</f>
      </c>
      <c r="EC87" s="238">
        <f t="shared" ref="EC87:EC90" si="302">EB87</f>
      </c>
      <c r="ED87" s="381">
        <f t="shared" ref="ED87:ED90" si="303">EC87</f>
      </c>
      <c r="EE87" s="10">
        <f t="shared" ref="EE87:EE90" si="304">ED87</f>
      </c>
      <c r="EF87" s="10">
        <f t="shared" ref="EF87:EF90" si="305">EE87</f>
      </c>
      <c r="EG87" s="238">
        <f t="shared" ref="EG87:EG90" si="306">EF87</f>
      </c>
      <c r="EH87" s="381">
        <f t="shared" ref="EH87:EH90" si="307">EG87</f>
      </c>
      <c r="EI87" s="10">
        <f t="shared" ref="EI87:EI90" si="308">EH87</f>
      </c>
      <c r="EJ87" s="10">
        <f t="shared" ref="EJ87:EJ90" si="309">EI87</f>
      </c>
      <c r="EK87" s="238">
        <f t="shared" ref="EK87:EK90" si="310">EJ87</f>
      </c>
      <c r="EL87" s="10"/>
    </row>
    <row r="88" spans="1:142">
      <c r="A88" s="11" t="s">
        <v>981</v>
      </c>
      <c r="B88" s="312">
        <v>45974</v>
      </c>
      <c r="D88" s="3388" t="s">
        <v>721</v>
      </c>
      <c r="CL88" s="34">
        <v>1500</v>
      </c>
      <c r="CM88" s="15">
        <f t="shared" si="272"/>
      </c>
      <c r="CN88" s="15">
        <f t="shared" si="272"/>
      </c>
      <c r="CO88" s="174">
        <f t="shared" si="272"/>
      </c>
      <c r="CP88" s="15">
        <f t="shared" si="272"/>
      </c>
      <c r="CQ88" s="10">
        <f t="shared" si="272"/>
      </c>
      <c r="CR88" s="10">
        <f t="shared" si="272"/>
      </c>
      <c r="CS88" s="238">
        <f t="shared" si="292"/>
      </c>
      <c r="CT88" s="381">
        <f t="shared" si="293"/>
      </c>
      <c r="CU88" s="10">
        <f t="shared" si="293"/>
      </c>
      <c r="CV88" s="10">
        <f t="shared" si="293"/>
      </c>
      <c r="CW88" s="238">
        <f t="shared" si="293"/>
      </c>
      <c r="CX88" s="381">
        <f t="shared" ref="CX88:DU88" si="311">CW88</f>
      </c>
      <c r="CY88" s="10">
        <f t="shared" si="311"/>
      </c>
      <c r="CZ88" s="10">
        <f t="shared" si="311"/>
      </c>
      <c r="DA88" s="238">
        <f t="shared" si="311"/>
      </c>
      <c r="DB88" s="381">
        <f t="shared" si="311"/>
      </c>
      <c r="DC88" s="10">
        <f t="shared" si="311"/>
      </c>
      <c r="DD88" s="10">
        <f t="shared" si="311"/>
      </c>
      <c r="DE88" s="238">
        <f t="shared" si="311"/>
      </c>
      <c r="DF88" s="381">
        <f t="shared" si="311"/>
      </c>
      <c r="DG88" s="10">
        <f t="shared" si="311"/>
      </c>
      <c r="DH88" s="10">
        <f t="shared" si="311"/>
      </c>
      <c r="DI88" s="238">
        <f t="shared" si="311"/>
      </c>
      <c r="DJ88" s="381">
        <f t="shared" si="311"/>
      </c>
      <c r="DK88" s="10">
        <f t="shared" si="311"/>
      </c>
      <c r="DL88" s="10">
        <f t="shared" si="311"/>
      </c>
      <c r="DM88" s="238">
        <f t="shared" si="311"/>
      </c>
      <c r="DN88" s="381">
        <f t="shared" si="311"/>
      </c>
      <c r="DO88" s="10">
        <f t="shared" si="311"/>
      </c>
      <c r="DP88" s="10">
        <f t="shared" si="311"/>
      </c>
      <c r="DQ88" s="238">
        <f t="shared" si="311"/>
      </c>
      <c r="DR88" s="381">
        <f t="shared" si="311"/>
      </c>
      <c r="DS88" s="10">
        <f t="shared" si="311"/>
      </c>
      <c r="DT88" s="10">
        <f t="shared" si="311"/>
      </c>
      <c r="DU88" s="238">
        <f t="shared" si="311"/>
      </c>
      <c r="DV88" s="381">
        <f t="shared" si="295"/>
      </c>
      <c r="DW88" s="10">
        <f t="shared" si="296"/>
      </c>
      <c r="DX88" s="10">
        <f t="shared" si="297"/>
      </c>
      <c r="DY88" s="238">
        <f t="shared" si="298"/>
      </c>
      <c r="DZ88" s="381">
        <f t="shared" si="299"/>
      </c>
      <c r="EA88" s="10">
        <f t="shared" si="300"/>
      </c>
      <c r="EB88" s="10">
        <f t="shared" si="301"/>
      </c>
      <c r="EC88" s="238">
        <f t="shared" si="302"/>
      </c>
      <c r="ED88" s="381">
        <f t="shared" si="303"/>
      </c>
      <c r="EE88" s="10">
        <f t="shared" si="304"/>
      </c>
      <c r="EF88" s="10">
        <f t="shared" si="305"/>
      </c>
      <c r="EG88" s="238">
        <f t="shared" si="306"/>
      </c>
      <c r="EH88" s="381">
        <f t="shared" si="307"/>
      </c>
      <c r="EI88" s="10">
        <f t="shared" si="308"/>
      </c>
      <c r="EJ88" s="10">
        <f t="shared" si="309"/>
      </c>
      <c r="EK88" s="238">
        <f t="shared" si="310"/>
      </c>
      <c r="EL88" s="10"/>
    </row>
    <row r="89" spans="1:142">
      <c r="A89" s="11" t="s">
        <v>958</v>
      </c>
      <c r="B89" s="312">
        <v>46704</v>
      </c>
      <c r="D89" s="3388" t="s">
        <v>721</v>
      </c>
      <c r="CL89" s="34">
        <v>1500</v>
      </c>
      <c r="CM89" s="15">
        <f t="shared" si="272"/>
      </c>
      <c r="CN89" s="15">
        <f t="shared" si="272"/>
      </c>
      <c r="CO89" s="174">
        <f t="shared" si="272"/>
      </c>
      <c r="CP89" s="15">
        <f t="shared" si="272"/>
      </c>
      <c r="CQ89" s="10">
        <f t="shared" si="272"/>
      </c>
      <c r="CR89" s="10">
        <f t="shared" si="272"/>
      </c>
      <c r="CS89" s="238">
        <f t="shared" si="292"/>
      </c>
      <c r="CT89" s="381">
        <f t="shared" si="293"/>
      </c>
      <c r="CU89" s="10">
        <f t="shared" si="293"/>
      </c>
      <c r="CV89" s="10">
        <f t="shared" si="293"/>
      </c>
      <c r="CW89" s="238">
        <f t="shared" si="293"/>
      </c>
      <c r="CX89" s="381">
        <f t="shared" ref="CX89:DU89" si="312">CW89</f>
      </c>
      <c r="CY89" s="10">
        <f t="shared" si="312"/>
      </c>
      <c r="CZ89" s="10">
        <f t="shared" si="312"/>
      </c>
      <c r="DA89" s="238">
        <f t="shared" si="312"/>
      </c>
      <c r="DB89" s="381">
        <f t="shared" si="312"/>
      </c>
      <c r="DC89" s="10">
        <f t="shared" si="312"/>
      </c>
      <c r="DD89" s="10">
        <f t="shared" si="312"/>
      </c>
      <c r="DE89" s="238">
        <f t="shared" si="312"/>
      </c>
      <c r="DF89" s="381">
        <f t="shared" si="312"/>
      </c>
      <c r="DG89" s="10">
        <f t="shared" si="312"/>
      </c>
      <c r="DH89" s="10">
        <f t="shared" si="312"/>
      </c>
      <c r="DI89" s="238">
        <f t="shared" si="312"/>
      </c>
      <c r="DJ89" s="381">
        <f t="shared" si="312"/>
      </c>
      <c r="DK89" s="10">
        <f t="shared" si="312"/>
      </c>
      <c r="DL89" s="10">
        <f t="shared" si="312"/>
      </c>
      <c r="DM89" s="238">
        <f t="shared" si="312"/>
      </c>
      <c r="DN89" s="381">
        <f t="shared" si="312"/>
      </c>
      <c r="DO89" s="10">
        <f t="shared" si="312"/>
      </c>
      <c r="DP89" s="10">
        <f t="shared" si="312"/>
      </c>
      <c r="DQ89" s="238">
        <f t="shared" si="312"/>
      </c>
      <c r="DR89" s="381">
        <f t="shared" si="312"/>
      </c>
      <c r="DS89" s="10">
        <f t="shared" si="312"/>
      </c>
      <c r="DT89" s="10">
        <f t="shared" si="312"/>
      </c>
      <c r="DU89" s="238">
        <f t="shared" si="312"/>
      </c>
      <c r="DV89" s="381">
        <f t="shared" si="295"/>
      </c>
      <c r="DW89" s="10">
        <f t="shared" si="296"/>
      </c>
      <c r="DX89" s="10">
        <f t="shared" si="297"/>
      </c>
      <c r="DY89" s="238">
        <f t="shared" si="298"/>
      </c>
      <c r="DZ89" s="381">
        <f t="shared" si="299"/>
      </c>
      <c r="EA89" s="10">
        <f t="shared" si="300"/>
      </c>
      <c r="EB89" s="10">
        <f t="shared" si="301"/>
      </c>
      <c r="EC89" s="238">
        <f t="shared" si="302"/>
      </c>
      <c r="ED89" s="381">
        <f t="shared" si="303"/>
      </c>
      <c r="EE89" s="10">
        <f t="shared" si="304"/>
      </c>
      <c r="EF89" s="10">
        <f t="shared" si="305"/>
      </c>
      <c r="EG89" s="238">
        <f t="shared" si="306"/>
      </c>
      <c r="EH89" s="381">
        <f t="shared" si="307"/>
      </c>
      <c r="EI89" s="10">
        <f t="shared" si="308"/>
      </c>
      <c r="EJ89" s="10">
        <f t="shared" si="309"/>
      </c>
      <c r="EK89" s="238">
        <f t="shared" si="310"/>
      </c>
      <c r="EL89" s="10"/>
    </row>
    <row r="90" spans="1:142">
      <c r="A90" s="11" t="s">
        <v>965</v>
      </c>
      <c r="B90" s="312">
        <v>54009</v>
      </c>
      <c r="D90" s="3388" t="s">
        <v>721</v>
      </c>
      <c r="CL90" s="34">
        <v>1250</v>
      </c>
      <c r="CM90" s="15">
        <f t="shared" si="272"/>
      </c>
      <c r="CN90" s="15">
        <f t="shared" si="272"/>
      </c>
      <c r="CO90" s="174">
        <f t="shared" si="272"/>
      </c>
      <c r="CP90" s="15">
        <f t="shared" si="272"/>
      </c>
      <c r="CQ90" s="10">
        <f t="shared" si="272"/>
      </c>
      <c r="CR90" s="10">
        <f t="shared" si="272"/>
      </c>
      <c r="CS90" s="238">
        <f t="shared" si="292"/>
      </c>
      <c r="CT90" s="381">
        <f t="shared" si="293"/>
      </c>
      <c r="CU90" s="10">
        <f t="shared" si="293"/>
      </c>
      <c r="CV90" s="10">
        <f t="shared" si="293"/>
      </c>
      <c r="CW90" s="238">
        <f t="shared" si="293"/>
      </c>
      <c r="CX90" s="381">
        <f t="shared" ref="CX90:DU90" si="313">CW90</f>
      </c>
      <c r="CY90" s="10">
        <f t="shared" si="313"/>
      </c>
      <c r="CZ90" s="10">
        <f t="shared" si="313"/>
      </c>
      <c r="DA90" s="238">
        <f t="shared" si="313"/>
      </c>
      <c r="DB90" s="381">
        <f t="shared" si="313"/>
      </c>
      <c r="DC90" s="10">
        <f t="shared" si="313"/>
      </c>
      <c r="DD90" s="10">
        <f t="shared" si="313"/>
      </c>
      <c r="DE90" s="238">
        <f t="shared" si="313"/>
      </c>
      <c r="DF90" s="381">
        <f t="shared" si="313"/>
      </c>
      <c r="DG90" s="10">
        <f t="shared" si="313"/>
      </c>
      <c r="DH90" s="10">
        <f t="shared" si="313"/>
      </c>
      <c r="DI90" s="238">
        <f t="shared" si="313"/>
      </c>
      <c r="DJ90" s="381">
        <f t="shared" si="313"/>
      </c>
      <c r="DK90" s="10">
        <f t="shared" si="313"/>
      </c>
      <c r="DL90" s="10">
        <f t="shared" si="313"/>
      </c>
      <c r="DM90" s="238">
        <f t="shared" si="313"/>
      </c>
      <c r="DN90" s="381">
        <f t="shared" si="313"/>
      </c>
      <c r="DO90" s="10">
        <f t="shared" si="313"/>
      </c>
      <c r="DP90" s="10">
        <f t="shared" si="313"/>
      </c>
      <c r="DQ90" s="238">
        <f t="shared" si="313"/>
      </c>
      <c r="DR90" s="381">
        <f t="shared" si="313"/>
      </c>
      <c r="DS90" s="10">
        <f t="shared" si="313"/>
      </c>
      <c r="DT90" s="10">
        <f t="shared" si="313"/>
      </c>
      <c r="DU90" s="238">
        <f t="shared" si="313"/>
      </c>
      <c r="DV90" s="381">
        <f t="shared" si="295"/>
      </c>
      <c r="DW90" s="10">
        <f t="shared" si="296"/>
      </c>
      <c r="DX90" s="10">
        <f t="shared" si="297"/>
      </c>
      <c r="DY90" s="238">
        <f t="shared" si="298"/>
      </c>
      <c r="DZ90" s="381">
        <f t="shared" si="299"/>
      </c>
      <c r="EA90" s="10">
        <f t="shared" si="300"/>
      </c>
      <c r="EB90" s="10">
        <f t="shared" si="301"/>
      </c>
      <c r="EC90" s="238">
        <f t="shared" si="302"/>
      </c>
      <c r="ED90" s="381">
        <f t="shared" si="303"/>
      </c>
      <c r="EE90" s="10">
        <f t="shared" si="304"/>
      </c>
      <c r="EF90" s="10">
        <f t="shared" si="305"/>
      </c>
      <c r="EG90" s="238">
        <f t="shared" si="306"/>
      </c>
      <c r="EH90" s="381">
        <f t="shared" si="307"/>
      </c>
      <c r="EI90" s="10">
        <f t="shared" si="308"/>
      </c>
      <c r="EJ90" s="10">
        <f t="shared" si="309"/>
      </c>
      <c r="EK90" s="238">
        <f t="shared" si="310"/>
      </c>
      <c r="EL90" s="10"/>
    </row>
    <row r="91" spans="1:142">
      <c r="A91" s="310" t="s">
        <v>115</v>
      </c>
      <c r="B91" s="315" t="s">
        <v>838</v>
      </c>
      <c r="CL91" s="10">
        <f>'Balance Sheet'!CL33</f>
      </c>
      <c r="CM91" s="15">
        <f>'Balance Sheet'!CM33</f>
      </c>
      <c r="CN91" s="15">
        <f>'Balance Sheet'!CN33</f>
      </c>
      <c r="CO91" s="174">
        <f>'Balance Sheet'!CO33</f>
      </c>
      <c r="CP91" s="15">
        <f>'Balance Sheet'!CP33</f>
      </c>
      <c r="CQ91" s="10">
        <f>'Balance Sheet'!CQ33</f>
      </c>
      <c r="CR91" s="10">
        <f>'Balance Sheet'!CR33</f>
      </c>
      <c r="CS91" s="238">
        <f>'Balance Sheet'!CS33</f>
      </c>
      <c r="CT91" s="381">
        <f>'Balance Sheet'!CT33</f>
      </c>
      <c r="CU91" s="10">
        <f>'Balance Sheet'!CU33</f>
      </c>
      <c r="CV91" s="10">
        <f>'Balance Sheet'!CV33</f>
      </c>
      <c r="CW91" s="238">
        <f>'Balance Sheet'!CW33</f>
      </c>
      <c r="CX91" s="381">
        <f>'Balance Sheet'!CX33</f>
      </c>
      <c r="CY91" s="10">
        <f>'Balance Sheet'!CY33</f>
      </c>
      <c r="CZ91" s="10">
        <f>'Balance Sheet'!CZ33</f>
      </c>
      <c r="DA91" s="238">
        <f>'Balance Sheet'!DA33</f>
      </c>
      <c r="DB91" s="381">
        <f>'Balance Sheet'!DB33</f>
      </c>
      <c r="DC91" s="10">
        <f>'Balance Sheet'!DC33</f>
      </c>
      <c r="DD91" s="10">
        <f>'Balance Sheet'!DD33</f>
      </c>
      <c r="DE91" s="238">
        <f>'Balance Sheet'!DE33</f>
      </c>
      <c r="DF91" s="381">
        <f>'Balance Sheet'!DF33</f>
      </c>
      <c r="DG91" s="10">
        <f>'Balance Sheet'!DG33</f>
      </c>
      <c r="DH91" s="10">
        <f>'Balance Sheet'!DH33</f>
      </c>
      <c r="DI91" s="238">
        <f>'Balance Sheet'!DI33</f>
      </c>
      <c r="DJ91" s="381">
        <f>'Balance Sheet'!DJ33</f>
      </c>
      <c r="DK91" s="10">
        <f>'Balance Sheet'!DK33</f>
      </c>
      <c r="DL91" s="10">
        <f>'Balance Sheet'!DL33</f>
      </c>
      <c r="DM91" s="238">
        <f>'Balance Sheet'!DM33</f>
      </c>
      <c r="DN91" s="381">
        <f>'Balance Sheet'!DN33</f>
      </c>
      <c r="DO91" s="10">
        <f>'Balance Sheet'!DO33</f>
      </c>
      <c r="DP91" s="10">
        <f>'Balance Sheet'!DP33</f>
      </c>
      <c r="DQ91" s="238">
        <f>'Balance Sheet'!DQ33</f>
      </c>
      <c r="DR91" s="381">
        <f>'Balance Sheet'!DR33</f>
      </c>
      <c r="DS91" s="10">
        <f>'Balance Sheet'!DS33</f>
      </c>
      <c r="DT91" s="10">
        <f>'Balance Sheet'!DT33</f>
      </c>
      <c r="DU91" s="238">
        <f>'Balance Sheet'!DU33</f>
      </c>
      <c r="DV91" s="381">
        <f>'Balance Sheet'!DV33</f>
      </c>
      <c r="DW91" s="10">
        <f>'Balance Sheet'!DW33</f>
      </c>
      <c r="DX91" s="10">
        <f>'Balance Sheet'!DX33</f>
      </c>
      <c r="DY91" s="238">
        <f>'Balance Sheet'!DY33</f>
      </c>
      <c r="DZ91" s="381">
        <f>'Balance Sheet'!DZ33</f>
      </c>
      <c r="EA91" s="10">
        <f>'Balance Sheet'!EA33</f>
      </c>
      <c r="EB91" s="10">
        <f>'Balance Sheet'!EB33</f>
      </c>
      <c r="EC91" s="238">
        <f>'Balance Sheet'!EC33</f>
      </c>
      <c r="ED91" s="381">
        <f>'Balance Sheet'!ED33</f>
      </c>
      <c r="EE91" s="10">
        <f>'Balance Sheet'!EE33</f>
      </c>
      <c r="EF91" s="10">
        <f>'Balance Sheet'!EF33</f>
      </c>
      <c r="EG91" s="238">
        <f>'Balance Sheet'!EG33</f>
      </c>
      <c r="EH91" s="381">
        <f>'Balance Sheet'!EH33</f>
      </c>
      <c r="EI91" s="10">
        <f>'Balance Sheet'!EI33</f>
      </c>
      <c r="EJ91" s="10">
        <f>'Balance Sheet'!EJ33</f>
      </c>
      <c r="EK91" s="238">
        <f>'Balance Sheet'!EK33</f>
      </c>
      <c r="EL91" s="10"/>
    </row>
    <row r="92" spans="1:142" s="89" customFormat="1">
      <c r="A92" s="1245" t="s">
        <v>1065</v>
      </c>
      <c r="B92" s="1246"/>
      <c r="D92" s="1247"/>
      <c r="H92" s="260"/>
      <c r="L92" s="260"/>
      <c r="P92" s="260"/>
      <c r="T92" s="260"/>
      <c r="X92" s="260"/>
      <c r="AB92" s="260"/>
      <c r="AF92" s="260"/>
      <c r="AJ92" s="260"/>
      <c r="AN92" s="260"/>
      <c r="AR92" s="260"/>
      <c r="AV92" s="260"/>
      <c r="AZ92" s="260"/>
      <c r="BD92" s="260"/>
      <c r="BH92" s="260"/>
      <c r="BL92" s="260"/>
      <c r="BP92" s="260"/>
      <c r="BT92" s="260"/>
      <c r="BX92" s="260"/>
      <c r="CB92" s="260"/>
      <c r="CF92" s="260"/>
      <c r="CJ92" s="260"/>
      <c r="CK92" s="260"/>
      <c r="CL92" s="77"/>
      <c r="CM92" s="62"/>
      <c r="CN92" s="62"/>
      <c r="CO92" s="226"/>
      <c r="CP92" s="62"/>
      <c r="CQ92" s="85"/>
      <c r="CR92" s="85"/>
      <c r="CS92" s="176"/>
      <c r="CT92" s="475"/>
      <c r="CU92" s="85"/>
      <c r="CV92" s="85"/>
      <c r="CW92" s="176"/>
      <c r="CX92" s="475"/>
      <c r="CY92" s="85"/>
      <c r="CZ92" s="85"/>
      <c r="DA92" s="176"/>
      <c r="DB92" s="475"/>
      <c r="DC92" s="85"/>
      <c r="DD92" s="85"/>
      <c r="DE92" s="176"/>
      <c r="DF92" s="475"/>
      <c r="DG92" s="85"/>
      <c r="DH92" s="85"/>
      <c r="DI92" s="176"/>
      <c r="DJ92" s="475"/>
      <c r="DK92" s="85"/>
      <c r="DL92" s="85"/>
      <c r="DM92" s="176"/>
      <c r="DN92" s="475"/>
      <c r="DO92" s="85"/>
      <c r="DP92" s="85"/>
      <c r="DQ92" s="176"/>
      <c r="DR92" s="475"/>
      <c r="DS92" s="85"/>
      <c r="DT92" s="85"/>
      <c r="DU92" s="176"/>
      <c r="DV92" s="475"/>
      <c r="DW92" s="85"/>
      <c r="DX92" s="85"/>
      <c r="DY92" s="176"/>
      <c r="DZ92" s="475"/>
      <c r="EA92" s="85"/>
      <c r="EB92" s="85"/>
      <c r="EC92" s="176"/>
      <c r="ED92" s="475"/>
      <c r="EE92" s="85"/>
      <c r="EF92" s="85"/>
      <c r="EG92" s="176"/>
      <c r="EH92" s="475"/>
      <c r="EI92" s="85"/>
      <c r="EJ92" s="85"/>
      <c r="EK92" s="176"/>
      <c r="EL92" s="85"/>
    </row>
    <row r="93" spans="1:142" s="89" customFormat="1">
      <c r="A93" s="1248" t="s">
        <v>1268</v>
      </c>
      <c r="B93" s="1246"/>
      <c r="D93" s="1247"/>
      <c r="H93" s="260"/>
      <c r="L93" s="260"/>
      <c r="P93" s="260"/>
      <c r="T93" s="260"/>
      <c r="X93" s="260"/>
      <c r="AB93" s="260"/>
      <c r="AF93" s="260"/>
      <c r="AJ93" s="260"/>
      <c r="AN93" s="260"/>
      <c r="AR93" s="260"/>
      <c r="AV93" s="260"/>
      <c r="AZ93" s="260"/>
      <c r="BD93" s="260"/>
      <c r="BH93" s="260"/>
      <c r="BL93" s="260"/>
      <c r="BP93" s="260"/>
      <c r="BT93" s="260"/>
      <c r="BX93" s="260"/>
      <c r="CB93" s="260"/>
      <c r="CF93" s="260"/>
      <c r="CJ93" s="260"/>
      <c r="CK93" s="260"/>
      <c r="CL93" s="77"/>
      <c r="CM93" s="62"/>
      <c r="CN93" s="62"/>
      <c r="CO93" s="226"/>
      <c r="CP93" s="62"/>
      <c r="CQ93" s="85"/>
      <c r="CR93" s="85"/>
      <c r="CS93" s="192">
        <v>7000</v>
      </c>
      <c r="CT93" s="474">
        <f>CS93+2226</f>
      </c>
      <c r="CU93" s="85">
        <f t="shared" ref="CU93:DA94" si="314">CT93</f>
      </c>
      <c r="CV93" s="85">
        <f t="shared" si="314"/>
      </c>
      <c r="CW93" s="176">
        <f t="shared" si="314"/>
      </c>
      <c r="CX93" s="475">
        <f t="shared" si="314"/>
      </c>
      <c r="CY93" s="85">
        <f t="shared" si="314"/>
      </c>
      <c r="CZ93" s="85">
        <f t="shared" si="314"/>
      </c>
      <c r="DA93" s="176">
        <f t="shared" si="314"/>
      </c>
      <c r="DB93" s="475">
        <f t="shared" ref="DB93:DE96" si="315">DA93</f>
      </c>
      <c r="DC93" s="85">
        <f t="shared" si="315"/>
      </c>
      <c r="DD93" s="85">
        <f t="shared" si="315"/>
      </c>
      <c r="DE93" s="176">
        <f t="shared" si="315"/>
      </c>
      <c r="DF93" s="475">
        <f t="shared" ref="DF93:DI96" si="316">DE93</f>
      </c>
      <c r="DG93" s="85">
        <f t="shared" si="316"/>
      </c>
      <c r="DH93" s="85">
        <f t="shared" si="316"/>
      </c>
      <c r="DI93" s="176">
        <f t="shared" si="316"/>
      </c>
      <c r="DJ93" s="475">
        <f t="shared" ref="DJ93:DJ96" si="317">DI93</f>
      </c>
      <c r="DK93" s="85">
        <f t="shared" ref="DK93:DK96" si="318">DJ93</f>
      </c>
      <c r="DL93" s="85">
        <f t="shared" ref="DL93:DL96" si="319">DK93</f>
      </c>
      <c r="DM93" s="176">
        <f t="shared" ref="DM93:DM96" si="320">DL93</f>
      </c>
      <c r="DN93" s="475">
        <f t="shared" ref="DN93:DN96" si="321">DM93</f>
      </c>
      <c r="DO93" s="85">
        <f t="shared" ref="DO93:DO96" si="322">DN93</f>
      </c>
      <c r="DP93" s="85">
        <f t="shared" ref="DP93:DP96" si="323">DO93</f>
      </c>
      <c r="DQ93" s="176">
        <f t="shared" ref="DQ93:DQ96" si="324">DP93</f>
      </c>
      <c r="DR93" s="475">
        <f t="shared" ref="DR93:DR96" si="325">DQ93</f>
      </c>
      <c r="DS93" s="85">
        <f t="shared" ref="DS93:DS96" si="326">DR93</f>
      </c>
      <c r="DT93" s="85">
        <f t="shared" ref="DT93:DT96" si="327">DS93</f>
      </c>
      <c r="DU93" s="176">
        <f t="shared" ref="DU93:DU96" si="328">DT93</f>
      </c>
      <c r="DV93" s="475">
        <f t="shared" ref="DV93:DV96" si="329">DU93</f>
      </c>
      <c r="DW93" s="85">
        <f t="shared" ref="DW93:DW96" si="330">DV93</f>
      </c>
      <c r="DX93" s="85">
        <f t="shared" ref="DX93:DX96" si="331">DW93</f>
      </c>
      <c r="DY93" s="176">
        <f t="shared" ref="DY93:DY96" si="332">DX93</f>
      </c>
      <c r="DZ93" s="475">
        <f t="shared" ref="DZ93:DZ96" si="333">DY93</f>
      </c>
      <c r="EA93" s="85">
        <f t="shared" ref="EA93:EA96" si="334">DZ93</f>
      </c>
      <c r="EB93" s="85">
        <f t="shared" ref="EB93:EB96" si="335">EA93</f>
      </c>
      <c r="EC93" s="176">
        <f t="shared" ref="EC93:EC96" si="336">EB93</f>
      </c>
      <c r="ED93" s="475">
        <f t="shared" ref="ED93:ED96" si="337">EC93</f>
      </c>
      <c r="EE93" s="85">
        <f t="shared" ref="EE93:EE96" si="338">ED93</f>
      </c>
      <c r="EF93" s="85">
        <f t="shared" ref="EF93:EF96" si="339">EE93</f>
      </c>
      <c r="EG93" s="176">
        <f t="shared" ref="EG93:EG96" si="340">EF93</f>
      </c>
      <c r="EH93" s="475">
        <f t="shared" ref="EH93:EH96" si="341">EG93</f>
      </c>
      <c r="EI93" s="85">
        <f t="shared" ref="EI93:EI96" si="342">EH93</f>
      </c>
      <c r="EJ93" s="85">
        <f t="shared" ref="EJ93:EJ96" si="343">EI93</f>
      </c>
      <c r="EK93" s="176">
        <f t="shared" ref="EK93:EK96" si="344">EJ93</f>
      </c>
      <c r="EL93" s="85"/>
    </row>
    <row r="94" spans="1:142" s="89" customFormat="1">
      <c r="A94" s="1248" t="s">
        <v>1066</v>
      </c>
      <c r="B94" s="1246"/>
      <c r="D94" s="1247"/>
      <c r="H94" s="260"/>
      <c r="L94" s="260"/>
      <c r="P94" s="260"/>
      <c r="T94" s="260"/>
      <c r="X94" s="260"/>
      <c r="AB94" s="260"/>
      <c r="AF94" s="260"/>
      <c r="AJ94" s="260"/>
      <c r="AN94" s="260"/>
      <c r="AR94" s="260"/>
      <c r="AV94" s="260"/>
      <c r="AZ94" s="260"/>
      <c r="BD94" s="260"/>
      <c r="BH94" s="260"/>
      <c r="BL94" s="260"/>
      <c r="BP94" s="260"/>
      <c r="BT94" s="260"/>
      <c r="BX94" s="260"/>
      <c r="CB94" s="260"/>
      <c r="CF94" s="260"/>
      <c r="CJ94" s="260"/>
      <c r="CK94" s="260"/>
      <c r="CL94" s="77"/>
      <c r="CM94" s="62"/>
      <c r="CN94" s="62"/>
      <c r="CO94" s="226"/>
      <c r="CP94" s="62"/>
      <c r="CQ94" s="85"/>
      <c r="CR94" s="85"/>
      <c r="CS94" s="176"/>
      <c r="CT94" s="475"/>
      <c r="CU94" s="85"/>
      <c r="CV94" s="77">
        <v>8500</v>
      </c>
      <c r="CW94" s="192">
        <f>CV94+5500</f>
      </c>
      <c r="CX94" s="475">
        <f t="shared" si="314"/>
      </c>
      <c r="CY94" s="85">
        <f>CX94+14000</f>
      </c>
      <c r="CZ94" s="85">
        <f t="shared" si="314"/>
      </c>
      <c r="DA94" s="176">
        <f t="shared" si="314"/>
      </c>
      <c r="DB94" s="475">
        <f t="shared" si="315"/>
      </c>
      <c r="DC94" s="85">
        <f t="shared" si="315"/>
      </c>
      <c r="DD94" s="85">
        <f t="shared" si="315"/>
      </c>
      <c r="DE94" s="176">
        <f t="shared" si="315"/>
      </c>
      <c r="DF94" s="475">
        <f t="shared" si="316"/>
      </c>
      <c r="DG94" s="85">
        <f t="shared" si="316"/>
      </c>
      <c r="DH94" s="85">
        <f t="shared" si="316"/>
      </c>
      <c r="DI94" s="176">
        <f t="shared" si="316"/>
      </c>
      <c r="DJ94" s="475">
        <f t="shared" si="317"/>
      </c>
      <c r="DK94" s="85">
        <f t="shared" si="318"/>
      </c>
      <c r="DL94" s="85">
        <f t="shared" si="319"/>
      </c>
      <c r="DM94" s="176">
        <f t="shared" si="320"/>
      </c>
      <c r="DN94" s="475">
        <f t="shared" si="321"/>
      </c>
      <c r="DO94" s="85">
        <f t="shared" si="322"/>
      </c>
      <c r="DP94" s="85">
        <f t="shared" si="323"/>
      </c>
      <c r="DQ94" s="176">
        <f t="shared" si="324"/>
      </c>
      <c r="DR94" s="475">
        <f t="shared" si="325"/>
      </c>
      <c r="DS94" s="85">
        <f t="shared" si="326"/>
      </c>
      <c r="DT94" s="85">
        <f t="shared" si="327"/>
      </c>
      <c r="DU94" s="176">
        <f t="shared" si="328"/>
      </c>
      <c r="DV94" s="475">
        <f t="shared" si="329"/>
      </c>
      <c r="DW94" s="85">
        <f t="shared" si="330"/>
      </c>
      <c r="DX94" s="85">
        <f t="shared" si="331"/>
      </c>
      <c r="DY94" s="176">
        <f t="shared" si="332"/>
      </c>
      <c r="DZ94" s="475">
        <f t="shared" si="333"/>
      </c>
      <c r="EA94" s="85">
        <f t="shared" si="334"/>
      </c>
      <c r="EB94" s="85">
        <f t="shared" si="335"/>
      </c>
      <c r="EC94" s="176">
        <f t="shared" si="336"/>
      </c>
      <c r="ED94" s="475">
        <f t="shared" si="337"/>
      </c>
      <c r="EE94" s="85">
        <f t="shared" si="338"/>
      </c>
      <c r="EF94" s="85">
        <f t="shared" si="339"/>
      </c>
      <c r="EG94" s="176">
        <f t="shared" si="340"/>
      </c>
      <c r="EH94" s="475">
        <f t="shared" si="341"/>
      </c>
      <c r="EI94" s="85">
        <f t="shared" si="342"/>
      </c>
      <c r="EJ94" s="85">
        <f t="shared" si="343"/>
      </c>
      <c r="EK94" s="176">
        <f t="shared" si="344"/>
      </c>
      <c r="EL94" s="85"/>
    </row>
    <row r="95" spans="1:142" s="89" customFormat="1">
      <c r="A95" s="1248" t="s">
        <v>1067</v>
      </c>
      <c r="B95" s="1246"/>
      <c r="D95" s="1247"/>
      <c r="H95" s="260"/>
      <c r="L95" s="260"/>
      <c r="P95" s="260"/>
      <c r="T95" s="260"/>
      <c r="X95" s="260"/>
      <c r="AB95" s="260"/>
      <c r="AF95" s="260"/>
      <c r="AJ95" s="260"/>
      <c r="AN95" s="260"/>
      <c r="AR95" s="260"/>
      <c r="AV95" s="260"/>
      <c r="AZ95" s="260"/>
      <c r="BD95" s="260"/>
      <c r="BH95" s="260"/>
      <c r="BL95" s="260"/>
      <c r="BP95" s="260"/>
      <c r="BT95" s="260"/>
      <c r="BX95" s="260"/>
      <c r="CB95" s="260"/>
      <c r="CF95" s="260"/>
      <c r="CJ95" s="260"/>
      <c r="CK95" s="260"/>
      <c r="CL95" s="77"/>
      <c r="CM95" s="62"/>
      <c r="CN95" s="62"/>
      <c r="CO95" s="226"/>
      <c r="CP95" s="62"/>
      <c r="CQ95" s="85"/>
      <c r="CR95" s="85"/>
      <c r="CS95" s="176"/>
      <c r="CT95" s="475"/>
      <c r="CU95" s="85"/>
      <c r="CV95" s="85"/>
      <c r="CW95" s="176"/>
      <c r="CX95" s="475"/>
      <c r="CY95" s="85"/>
      <c r="CZ95" s="85"/>
      <c r="DA95" s="192">
        <v>6500</v>
      </c>
      <c r="DB95" s="475">
        <f t="shared" si="315"/>
      </c>
      <c r="DC95" s="85">
        <f t="shared" si="315"/>
      </c>
      <c r="DD95" s="85">
        <f t="shared" si="315"/>
      </c>
      <c r="DE95" s="176">
        <f t="shared" si="315"/>
      </c>
      <c r="DF95" s="475">
        <f t="shared" si="316"/>
      </c>
      <c r="DG95" s="85">
        <f t="shared" si="316"/>
      </c>
      <c r="DH95" s="85">
        <f>DG95+'Cash Flow Statement'!DH43</f>
      </c>
      <c r="DI95" s="176">
        <f>DH95+'Cash Flow Statement'!DI43</f>
      </c>
      <c r="DJ95" s="475">
        <f>DI95+'Cash Flow Statement'!DJ43</f>
      </c>
      <c r="DK95" s="85">
        <f>DJ95+'Cash Flow Statement'!DK43</f>
      </c>
      <c r="DL95" s="85">
        <f>DK95+'Cash Flow Statement'!DL43</f>
      </c>
      <c r="DM95" s="176">
        <f>DL95+'Cash Flow Statement'!DM43</f>
      </c>
      <c r="DN95" s="475">
        <f>DM95+'Cash Flow Statement'!DN43</f>
      </c>
      <c r="DO95" s="85">
        <f>DN95+'Cash Flow Statement'!DO43</f>
      </c>
      <c r="DP95" s="85">
        <f>DO95+'Cash Flow Statement'!DP43</f>
      </c>
      <c r="DQ95" s="176">
        <f>DP95+'Cash Flow Statement'!DQ43</f>
      </c>
      <c r="DR95" s="475">
        <f>DQ95+'Cash Flow Statement'!DR43</f>
      </c>
      <c r="DS95" s="85">
        <f>DR95+'Cash Flow Statement'!DS43</f>
      </c>
      <c r="DT95" s="85">
        <f>DS95+'Cash Flow Statement'!DT43</f>
      </c>
      <c r="DU95" s="176">
        <f>DT95+'Cash Flow Statement'!DU43</f>
      </c>
      <c r="DV95" s="475">
        <f>DU95+'Cash Flow Statement'!DV43</f>
      </c>
      <c r="DW95" s="85">
        <f>DV95+'Cash Flow Statement'!DW43</f>
      </c>
      <c r="DX95" s="85">
        <f>DW95+'Cash Flow Statement'!DX43</f>
      </c>
      <c r="DY95" s="176">
        <f>DX95+'Cash Flow Statement'!DY43</f>
      </c>
      <c r="DZ95" s="475">
        <f>DY95+'Cash Flow Statement'!DZ43</f>
      </c>
      <c r="EA95" s="85">
        <f>DZ95+'Cash Flow Statement'!EA43</f>
      </c>
      <c r="EB95" s="85">
        <f>EA95+'Cash Flow Statement'!EB43</f>
      </c>
      <c r="EC95" s="176">
        <f>EB95+'Cash Flow Statement'!EC43</f>
      </c>
      <c r="ED95" s="475">
        <f>EC95+'Cash Flow Statement'!ED43</f>
      </c>
      <c r="EE95" s="85">
        <f>ED95+'Cash Flow Statement'!EE43</f>
      </c>
      <c r="EF95" s="85">
        <f>EE95+'Cash Flow Statement'!EF43</f>
      </c>
      <c r="EG95" s="176">
        <f>EF95+'Cash Flow Statement'!EG43</f>
      </c>
      <c r="EH95" s="475">
        <f>EG95+'Cash Flow Statement'!EH43</f>
      </c>
      <c r="EI95" s="85">
        <f>EH95+'Cash Flow Statement'!EI43</f>
      </c>
      <c r="EJ95" s="85">
        <f>EI95+'Cash Flow Statement'!EJ43</f>
      </c>
      <c r="EK95" s="176">
        <f>EJ95+'Cash Flow Statement'!EK43</f>
      </c>
      <c r="EL95" s="85"/>
    </row>
    <row r="96" spans="1:142">
      <c r="A96" s="134" t="s">
        <v>1269</v>
      </c>
      <c r="CL96" s="311">
        <v>194</v>
      </c>
      <c r="CM96" s="311">
        <v>114.5</v>
      </c>
      <c r="CN96" s="311">
        <v>-57.9</v>
      </c>
      <c r="CO96" s="374">
        <v>0</v>
      </c>
      <c r="CP96" s="311">
        <v>6.9</v>
      </c>
      <c r="CQ96" s="197">
        <v>0</v>
      </c>
      <c r="CR96" s="197">
        <v>0</v>
      </c>
      <c r="CS96" s="253">
        <v>0</v>
      </c>
      <c r="CT96" s="383">
        <v>0</v>
      </c>
      <c r="CU96" s="197">
        <v>0</v>
      </c>
      <c r="CV96" s="197">
        <v>0</v>
      </c>
      <c r="CW96" s="253">
        <v>0</v>
      </c>
      <c r="CX96" s="383">
        <v>0</v>
      </c>
      <c r="CY96" s="197">
        <v>0</v>
      </c>
      <c r="CZ96" s="1257">
        <f>CZ115-SUM(CZ93:CZ95)</f>
      </c>
      <c r="DA96" s="1257">
        <f>DA115-SUM(DA93:DA95)</f>
      </c>
      <c r="DB96" s="1258">
        <f>DA96</f>
      </c>
      <c r="DC96" s="197">
        <f t="shared" si="315"/>
      </c>
      <c r="DD96" s="197">
        <f t="shared" si="315"/>
      </c>
      <c r="DE96" s="1257">
        <f>DE115-SUM(DE93:DE95)</f>
      </c>
      <c r="DF96" s="383">
        <f t="shared" si="316"/>
      </c>
      <c r="DG96" s="197">
        <f t="shared" si="316"/>
      </c>
      <c r="DH96" s="197">
        <f t="shared" si="316"/>
      </c>
      <c r="DI96" s="253">
        <f t="shared" si="316"/>
      </c>
      <c r="DJ96" s="383">
        <f t="shared" si="317"/>
      </c>
      <c r="DK96" s="197">
        <f t="shared" si="318"/>
      </c>
      <c r="DL96" s="197">
        <f t="shared" si="319"/>
      </c>
      <c r="DM96" s="253">
        <f t="shared" si="320"/>
      </c>
      <c r="DN96" s="383">
        <f t="shared" si="321"/>
      </c>
      <c r="DO96" s="197">
        <f t="shared" si="322"/>
      </c>
      <c r="DP96" s="197">
        <f t="shared" si="323"/>
      </c>
      <c r="DQ96" s="253">
        <f t="shared" si="324"/>
      </c>
      <c r="DR96" s="383">
        <f t="shared" si="325"/>
      </c>
      <c r="DS96" s="197">
        <f t="shared" si="326"/>
      </c>
      <c r="DT96" s="197">
        <f t="shared" si="327"/>
      </c>
      <c r="DU96" s="253">
        <f t="shared" si="328"/>
      </c>
      <c r="DV96" s="383">
        <f t="shared" si="329"/>
      </c>
      <c r="DW96" s="197">
        <f t="shared" si="330"/>
      </c>
      <c r="DX96" s="197">
        <f t="shared" si="331"/>
      </c>
      <c r="DY96" s="253">
        <f t="shared" si="332"/>
      </c>
      <c r="DZ96" s="383">
        <f t="shared" si="333"/>
      </c>
      <c r="EA96" s="197">
        <f t="shared" si="334"/>
      </c>
      <c r="EB96" s="197">
        <f t="shared" si="335"/>
      </c>
      <c r="EC96" s="253">
        <f t="shared" si="336"/>
      </c>
      <c r="ED96" s="383">
        <f t="shared" si="337"/>
      </c>
      <c r="EE96" s="197">
        <f t="shared" si="338"/>
      </c>
      <c r="EF96" s="197">
        <f t="shared" si="339"/>
      </c>
      <c r="EG96" s="253">
        <f t="shared" si="340"/>
      </c>
      <c r="EH96" s="383">
        <f t="shared" si="341"/>
      </c>
      <c r="EI96" s="197">
        <f t="shared" si="342"/>
      </c>
      <c r="EJ96" s="197">
        <f t="shared" si="343"/>
      </c>
      <c r="EK96" s="253">
        <f t="shared" si="344"/>
      </c>
      <c r="EL96" s="10"/>
    </row>
    <row r="97" spans="1:142">
      <c r="A97" s="16" t="s">
        <v>972</v>
      </c>
      <c r="CL97" s="1240">
        <f>SUM(CL11:CL96)</f>
      </c>
      <c r="CM97" s="23">
        <f t="shared" ref="CM97:DU97" si="345">SUM(CM11:CM96)</f>
      </c>
      <c r="CN97" s="23">
        <f t="shared" si="345"/>
      </c>
      <c r="CO97" s="174">
        <f t="shared" si="345"/>
      </c>
      <c r="CP97" s="15">
        <f t="shared" si="345"/>
      </c>
      <c r="CQ97" s="10">
        <f t="shared" si="345"/>
      </c>
      <c r="CR97" s="10">
        <f t="shared" si="345"/>
      </c>
      <c r="CS97" s="238">
        <f t="shared" si="345"/>
      </c>
      <c r="CT97" s="381">
        <f t="shared" si="345"/>
      </c>
      <c r="CU97" s="10">
        <f t="shared" si="345"/>
      </c>
      <c r="CV97" s="10">
        <f t="shared" si="345"/>
      </c>
      <c r="CW97" s="238">
        <f t="shared" si="345"/>
      </c>
      <c r="CX97" s="381">
        <f t="shared" si="345"/>
      </c>
      <c r="CY97" s="10">
        <f t="shared" si="345"/>
      </c>
      <c r="CZ97" s="10">
        <f t="shared" si="345"/>
      </c>
      <c r="DA97" s="238">
        <f t="shared" si="345"/>
      </c>
      <c r="DB97" s="381">
        <f>SUM(DB11:DB96)</f>
      </c>
      <c r="DC97" s="10">
        <f>SUM(DC11:DC96)</f>
      </c>
      <c r="DD97" s="10">
        <f t="shared" si="345"/>
      </c>
      <c r="DE97" s="238">
        <f t="shared" si="345"/>
      </c>
      <c r="DF97" s="381">
        <f>SUM(DF11:DF96)</f>
      </c>
      <c r="DG97" s="10">
        <f t="shared" si="345"/>
      </c>
      <c r="DH97" s="10">
        <f t="shared" si="345"/>
      </c>
      <c r="DI97" s="238">
        <f t="shared" si="345"/>
      </c>
      <c r="DJ97" s="381">
        <f t="shared" si="345"/>
      </c>
      <c r="DK97" s="10">
        <f t="shared" si="345"/>
      </c>
      <c r="DL97" s="10">
        <f t="shared" si="345"/>
      </c>
      <c r="DM97" s="238">
        <f t="shared" si="345"/>
      </c>
      <c r="DN97" s="381">
        <f t="shared" si="345"/>
      </c>
      <c r="DO97" s="10">
        <f t="shared" si="345"/>
      </c>
      <c r="DP97" s="10">
        <f t="shared" si="345"/>
      </c>
      <c r="DQ97" s="238">
        <f t="shared" si="345"/>
      </c>
      <c r="DR97" s="381">
        <f t="shared" si="345"/>
      </c>
      <c r="DS97" s="10">
        <f t="shared" si="345"/>
      </c>
      <c r="DT97" s="10">
        <f t="shared" si="345"/>
      </c>
      <c r="DU97" s="238">
        <f t="shared" si="345"/>
      </c>
      <c r="DV97" s="381">
        <f t="shared" ref="DV97:EK97" si="346">SUM(DV11:DV96)</f>
      </c>
      <c r="DW97" s="10">
        <f t="shared" si="346"/>
      </c>
      <c r="DX97" s="10">
        <f t="shared" si="346"/>
      </c>
      <c r="DY97" s="238">
        <f t="shared" si="346"/>
      </c>
      <c r="DZ97" s="381">
        <f t="shared" si="346"/>
      </c>
      <c r="EA97" s="10">
        <f t="shared" si="346"/>
      </c>
      <c r="EB97" s="10">
        <f t="shared" si="346"/>
      </c>
      <c r="EC97" s="238">
        <f t="shared" si="346"/>
      </c>
      <c r="ED97" s="381">
        <f t="shared" si="346"/>
      </c>
      <c r="EE97" s="10">
        <f t="shared" si="346"/>
      </c>
      <c r="EF97" s="10">
        <f t="shared" si="346"/>
      </c>
      <c r="EG97" s="238">
        <f t="shared" si="346"/>
      </c>
      <c r="EH97" s="381">
        <f t="shared" si="346"/>
      </c>
      <c r="EI97" s="10">
        <f t="shared" si="346"/>
      </c>
      <c r="EJ97" s="10">
        <f t="shared" si="346"/>
      </c>
      <c r="EK97" s="238">
        <f t="shared" si="346"/>
      </c>
      <c r="EL97" s="10"/>
    </row>
    <row r="98" spans="1:142">
      <c r="A98" s="11" t="s">
        <v>973</v>
      </c>
      <c r="CL98" s="34">
        <v>-246</v>
      </c>
      <c r="CM98" s="34">
        <v>-236</v>
      </c>
      <c r="CN98" s="34">
        <v>-227</v>
      </c>
      <c r="CO98" s="173">
        <v>-218</v>
      </c>
      <c r="CP98" s="34">
        <v>-210</v>
      </c>
      <c r="CQ98" s="34">
        <v>-202</v>
      </c>
      <c r="CR98" s="34">
        <v>-194</v>
      </c>
      <c r="CS98" s="173">
        <v>-224</v>
      </c>
      <c r="CT98" s="382">
        <v>-229</v>
      </c>
      <c r="CU98" s="34">
        <v>-220</v>
      </c>
      <c r="CV98" s="34">
        <v>-279</v>
      </c>
      <c r="CW98" s="34">
        <v>-314</v>
      </c>
      <c r="CX98" s="382">
        <v>-305</v>
      </c>
      <c r="CY98" s="34">
        <v>-371</v>
      </c>
      <c r="CZ98" s="34">
        <v>-360</v>
      </c>
      <c r="DA98" s="173">
        <v>-380</v>
      </c>
      <c r="DB98" s="1259"/>
      <c r="DC98" s="1184"/>
      <c r="DD98" s="1184"/>
      <c r="DE98" s="689"/>
      <c r="DF98" s="1259"/>
      <c r="DG98" s="1184"/>
      <c r="DH98" s="1184"/>
      <c r="DI98" s="689"/>
      <c r="DJ98" s="1259"/>
      <c r="DK98" s="1184"/>
      <c r="DL98" s="1184"/>
      <c r="DM98" s="689"/>
      <c r="DN98" s="1259"/>
      <c r="DO98" s="1184"/>
      <c r="DP98" s="1184"/>
      <c r="DQ98" s="689"/>
      <c r="DR98" s="1259"/>
      <c r="DS98" s="1184"/>
      <c r="DT98" s="1184"/>
      <c r="DU98" s="689"/>
      <c r="DV98" s="1259"/>
      <c r="DW98" s="1184"/>
      <c r="DX98" s="1184"/>
      <c r="DY98" s="689"/>
      <c r="DZ98" s="1259"/>
      <c r="EA98" s="1184"/>
      <c r="EB98" s="1184"/>
      <c r="EC98" s="689"/>
      <c r="ED98" s="1259"/>
      <c r="EE98" s="1184"/>
      <c r="EF98" s="1184"/>
      <c r="EG98" s="689"/>
      <c r="EH98" s="1259"/>
      <c r="EI98" s="1184"/>
      <c r="EJ98" s="1184"/>
      <c r="EK98" s="689"/>
      <c r="EL98" s="10"/>
    </row>
    <row r="99" spans="1:142">
      <c r="A99" s="11" t="s">
        <v>974</v>
      </c>
      <c r="CL99" s="34">
        <v>-367</v>
      </c>
      <c r="CM99" s="34">
        <v>-1041</v>
      </c>
      <c r="CN99" s="34">
        <v>-1271</v>
      </c>
      <c r="CO99" s="173">
        <v>-1456</v>
      </c>
      <c r="CP99" s="34">
        <v>-799</v>
      </c>
      <c r="CQ99" s="34">
        <v>-334</v>
      </c>
      <c r="CR99" s="34">
        <v>337</v>
      </c>
      <c r="CS99" s="173">
        <v>612</v>
      </c>
      <c r="CT99" s="382">
        <v>445</v>
      </c>
      <c r="CU99" s="34">
        <v>1730</v>
      </c>
      <c r="CV99" s="34">
        <v>1771</v>
      </c>
      <c r="CW99" s="34">
        <v>1676</v>
      </c>
      <c r="CX99" s="382">
        <v>1485</v>
      </c>
      <c r="CY99" s="34">
        <v>1011</v>
      </c>
      <c r="CZ99" s="34">
        <v>958</v>
      </c>
      <c r="DA99" s="173">
        <v>1036</v>
      </c>
      <c r="DB99" s="784">
        <f t="shared" ref="DB99:DI99" si="347">DB102-DB101-DB100-DB97</f>
      </c>
      <c r="DC99" s="785">
        <f t="shared" si="347"/>
      </c>
      <c r="DD99" s="785">
        <f t="shared" si="347"/>
      </c>
      <c r="DE99" s="785">
        <f t="shared" si="347"/>
      </c>
      <c r="DF99" s="784">
        <f t="shared" si="347"/>
      </c>
      <c r="DG99" s="785">
        <f t="shared" si="347"/>
      </c>
      <c r="DH99" s="785">
        <f t="shared" ref="DH99" si="348">DH102-DH101-DH100-DH97</f>
      </c>
      <c r="DI99" s="785">
        <f t="shared" si="347"/>
      </c>
      <c r="DJ99" s="784">
        <f t="shared" ref="DJ99:DM99" si="349">DJ102-DJ101-DJ100-DJ97</f>
      </c>
      <c r="DK99" s="785">
        <f t="shared" si="349"/>
      </c>
      <c r="DL99" s="785">
        <f t="shared" si="349"/>
      </c>
      <c r="DM99" s="785">
        <f t="shared" si="349"/>
      </c>
      <c r="DN99" s="784">
        <f t="shared" ref="DN99:DO99" si="350">DN102-DN101-DN100-DN97</f>
      </c>
      <c r="DO99" s="785">
        <f t="shared" si="350"/>
      </c>
      <c r="DP99" s="785">
        <f t="shared" ref="DP99" si="351">DP102-DP101-DP100-DP97</f>
      </c>
      <c r="DQ99" s="689">
        <f t="shared" ref="DQ99:DU99" si="352">DP99</f>
      </c>
      <c r="DR99" s="1259">
        <f t="shared" si="352"/>
      </c>
      <c r="DS99" s="1184">
        <f t="shared" si="352"/>
      </c>
      <c r="DT99" s="1184">
        <f t="shared" si="352"/>
      </c>
      <c r="DU99" s="689">
        <f t="shared" si="352"/>
      </c>
      <c r="DV99" s="1259">
        <f t="shared" ref="DV99" si="353">DU99</f>
      </c>
      <c r="DW99" s="1184">
        <f t="shared" ref="DW99" si="354">DV99</f>
      </c>
      <c r="DX99" s="1184">
        <f t="shared" ref="DX99" si="355">DW99</f>
      </c>
      <c r="DY99" s="689">
        <f t="shared" ref="DY99" si="356">DX99</f>
      </c>
      <c r="DZ99" s="1259">
        <f t="shared" ref="DZ99" si="357">DY99</f>
      </c>
      <c r="EA99" s="1184">
        <f t="shared" ref="EA99" si="358">DZ99</f>
      </c>
      <c r="EB99" s="1184">
        <f t="shared" ref="EB99" si="359">EA99</f>
      </c>
      <c r="EC99" s="689">
        <f t="shared" ref="EC99" si="360">EB99</f>
      </c>
      <c r="ED99" s="1259">
        <f t="shared" ref="ED99" si="361">EC99</f>
      </c>
      <c r="EE99" s="1184">
        <f t="shared" ref="EE99" si="362">ED99</f>
      </c>
      <c r="EF99" s="1184">
        <f t="shared" ref="EF99" si="363">EE99</f>
      </c>
      <c r="EG99" s="689">
        <f t="shared" ref="EG99" si="364">EF99</f>
      </c>
      <c r="EH99" s="1259">
        <f t="shared" ref="EH99" si="365">EG99</f>
      </c>
      <c r="EI99" s="1184">
        <f t="shared" ref="EI99" si="366">EH99</f>
      </c>
      <c r="EJ99" s="1184">
        <f t="shared" ref="EJ99" si="367">EI99</f>
      </c>
      <c r="EK99" s="689">
        <f t="shared" ref="EK99" si="368">EJ99</f>
      </c>
      <c r="EL99" s="10"/>
    </row>
    <row r="100" spans="1:142">
      <c r="A100" s="11" t="s">
        <v>975</v>
      </c>
      <c r="CL100" s="10">
        <f>-'Balance Sheet'!CL34</f>
      </c>
      <c r="CM100" s="10">
        <f>-'Balance Sheet'!CM34</f>
      </c>
      <c r="CN100" s="10">
        <f>-'Balance Sheet'!CN34</f>
      </c>
      <c r="CO100" s="238">
        <f>-'Balance Sheet'!CO34</f>
      </c>
      <c r="CP100" s="10">
        <f>-'Balance Sheet'!CP34</f>
      </c>
      <c r="CQ100" s="10">
        <f>-'Balance Sheet'!CQ34</f>
      </c>
      <c r="CR100" s="10">
        <f>-'Balance Sheet'!CR34</f>
      </c>
      <c r="CS100" s="238">
        <f>-'Balance Sheet'!CS34</f>
      </c>
      <c r="CT100" s="381">
        <f>-'Balance Sheet'!CT34</f>
      </c>
      <c r="CU100" s="10">
        <f>-'Balance Sheet'!CU34</f>
      </c>
      <c r="CV100" s="10">
        <f>-'Balance Sheet'!CV34</f>
      </c>
      <c r="CW100" s="238">
        <f>-'Balance Sheet'!CW34</f>
      </c>
      <c r="CX100" s="381">
        <f>-'Balance Sheet'!CX34</f>
      </c>
      <c r="CY100" s="10">
        <f>-'Balance Sheet'!CY34</f>
      </c>
      <c r="CZ100" s="10">
        <f>-'Balance Sheet'!CZ34</f>
      </c>
      <c r="DA100" s="238">
        <f>-'Balance Sheet'!DA34</f>
      </c>
      <c r="DB100" s="381">
        <f>-'Balance Sheet'!DB34</f>
      </c>
      <c r="DC100" s="10">
        <f>-'Balance Sheet'!DC34</f>
      </c>
      <c r="DD100" s="10">
        <f>-'Balance Sheet'!DD34</f>
      </c>
      <c r="DE100" s="238">
        <f>-'Balance Sheet'!DE34</f>
      </c>
      <c r="DF100" s="381">
        <f>-'Balance Sheet'!DF34</f>
      </c>
      <c r="DG100" s="10">
        <f>-'Balance Sheet'!DG34</f>
      </c>
      <c r="DH100" s="10">
        <f>-'Balance Sheet'!DH34</f>
      </c>
      <c r="DI100" s="238">
        <f>-'Balance Sheet'!DI34</f>
      </c>
      <c r="DJ100" s="381">
        <f>-'Balance Sheet'!DJ34</f>
      </c>
      <c r="DK100" s="10">
        <f>-'Balance Sheet'!DK34</f>
      </c>
      <c r="DL100" s="10">
        <f>-'Balance Sheet'!DL34</f>
      </c>
      <c r="DM100" s="238">
        <f>-'Balance Sheet'!DM34</f>
      </c>
      <c r="DN100" s="381">
        <f>-'Balance Sheet'!DN34</f>
      </c>
      <c r="DO100" s="10">
        <f>-'Balance Sheet'!DO34</f>
      </c>
      <c r="DP100" s="10">
        <f>-'Balance Sheet'!DP34</f>
      </c>
      <c r="DQ100" s="238">
        <f>-'Balance Sheet'!DQ34</f>
      </c>
      <c r="DR100" s="381">
        <f>-'Balance Sheet'!DR34</f>
      </c>
      <c r="DS100" s="10">
        <f>-'Balance Sheet'!DS34</f>
      </c>
      <c r="DT100" s="10">
        <f>-'Balance Sheet'!DT34</f>
      </c>
      <c r="DU100" s="238">
        <f>-'Balance Sheet'!DU34</f>
      </c>
      <c r="DV100" s="381">
        <f>-'Balance Sheet'!DV34</f>
      </c>
      <c r="DW100" s="10">
        <f>-'Balance Sheet'!DW34</f>
      </c>
      <c r="DX100" s="10">
        <f>-'Balance Sheet'!DX34</f>
      </c>
      <c r="DY100" s="238">
        <f>-'Balance Sheet'!DY34</f>
      </c>
      <c r="DZ100" s="381">
        <f>-'Balance Sheet'!DZ34</f>
      </c>
      <c r="EA100" s="10">
        <f>-'Balance Sheet'!EA34</f>
      </c>
      <c r="EB100" s="10">
        <f>-'Balance Sheet'!EB34</f>
      </c>
      <c r="EC100" s="238">
        <f>-'Balance Sheet'!EC34</f>
      </c>
      <c r="ED100" s="381">
        <f>-'Balance Sheet'!ED34</f>
      </c>
      <c r="EE100" s="10">
        <f>-'Balance Sheet'!EE34</f>
      </c>
      <c r="EF100" s="10">
        <f>-'Balance Sheet'!EF34</f>
      </c>
      <c r="EG100" s="238">
        <f>-'Balance Sheet'!EG34</f>
      </c>
      <c r="EH100" s="381">
        <f>-'Balance Sheet'!EH34</f>
      </c>
      <c r="EI100" s="10">
        <f>-'Balance Sheet'!EI34</f>
      </c>
      <c r="EJ100" s="10">
        <f>-'Balance Sheet'!EJ34</f>
      </c>
      <c r="EK100" s="238">
        <f>-'Balance Sheet'!EK34</f>
      </c>
      <c r="EL100" s="10"/>
    </row>
    <row r="101" spans="1:142">
      <c r="A101" s="11" t="s">
        <v>976</v>
      </c>
      <c r="CL101" s="15">
        <f t="shared" ref="CL101:DU101" si="369">-CL91</f>
      </c>
      <c r="CM101" s="15">
        <f t="shared" si="369"/>
      </c>
      <c r="CN101" s="15">
        <f t="shared" si="369"/>
      </c>
      <c r="CO101" s="174">
        <f t="shared" si="369"/>
      </c>
      <c r="CP101" s="15">
        <f t="shared" si="369"/>
      </c>
      <c r="CQ101" s="10">
        <f t="shared" si="369"/>
      </c>
      <c r="CR101" s="10">
        <f t="shared" si="369"/>
      </c>
      <c r="CS101" s="238">
        <f t="shared" si="369"/>
      </c>
      <c r="CT101" s="381">
        <f t="shared" si="369"/>
      </c>
      <c r="CU101" s="10">
        <f t="shared" si="369"/>
      </c>
      <c r="CV101" s="10">
        <f t="shared" si="369"/>
      </c>
      <c r="CW101" s="238">
        <f t="shared" si="369"/>
      </c>
      <c r="CX101" s="381">
        <f t="shared" si="369"/>
      </c>
      <c r="CY101" s="10">
        <f t="shared" si="369"/>
      </c>
      <c r="CZ101" s="10">
        <f t="shared" si="369"/>
      </c>
      <c r="DA101" s="238">
        <f t="shared" si="369"/>
      </c>
      <c r="DB101" s="381">
        <f t="shared" si="369"/>
      </c>
      <c r="DC101" s="10">
        <f t="shared" si="369"/>
      </c>
      <c r="DD101" s="10">
        <f t="shared" si="369"/>
      </c>
      <c r="DE101" s="238">
        <f t="shared" si="369"/>
      </c>
      <c r="DF101" s="381">
        <f t="shared" ref="DF101:DG101" si="370">-DF91</f>
      </c>
      <c r="DG101" s="10">
        <f t="shared" si="370"/>
      </c>
      <c r="DH101" s="10">
        <f t="shared" ref="DH101" si="371">-DH91</f>
      </c>
      <c r="DI101" s="238">
        <f t="shared" si="369"/>
      </c>
      <c r="DJ101" s="381">
        <f t="shared" si="369"/>
      </c>
      <c r="DK101" s="10">
        <f t="shared" si="369"/>
      </c>
      <c r="DL101" s="10">
        <f t="shared" si="369"/>
      </c>
      <c r="DM101" s="238">
        <f t="shared" ref="DM101:DO101" si="372">-DM91</f>
      </c>
      <c r="DN101" s="381">
        <f t="shared" si="372"/>
      </c>
      <c r="DO101" s="10">
        <f t="shared" si="372"/>
      </c>
      <c r="DP101" s="10">
        <f t="shared" ref="DP101" si="373">-DP91</f>
      </c>
      <c r="DQ101" s="238">
        <f t="shared" si="369"/>
      </c>
      <c r="DR101" s="381">
        <f t="shared" si="369"/>
      </c>
      <c r="DS101" s="10">
        <f t="shared" si="369"/>
      </c>
      <c r="DT101" s="10">
        <f t="shared" si="369"/>
      </c>
      <c r="DU101" s="238">
        <f t="shared" si="369"/>
      </c>
      <c r="DV101" s="381">
        <f t="shared" ref="DV101:EK101" si="374">-DV91</f>
      </c>
      <c r="DW101" s="10">
        <f t="shared" si="374"/>
      </c>
      <c r="DX101" s="10">
        <f t="shared" si="374"/>
      </c>
      <c r="DY101" s="238">
        <f t="shared" si="374"/>
      </c>
      <c r="DZ101" s="381">
        <f t="shared" si="374"/>
      </c>
      <c r="EA101" s="10">
        <f t="shared" si="374"/>
      </c>
      <c r="EB101" s="10">
        <f t="shared" si="374"/>
      </c>
      <c r="EC101" s="238">
        <f t="shared" si="374"/>
      </c>
      <c r="ED101" s="381">
        <f t="shared" si="374"/>
      </c>
      <c r="EE101" s="10">
        <f t="shared" si="374"/>
      </c>
      <c r="EF101" s="10">
        <f t="shared" si="374"/>
      </c>
      <c r="EG101" s="238">
        <f t="shared" si="374"/>
      </c>
      <c r="EH101" s="381">
        <f t="shared" si="374"/>
      </c>
      <c r="EI101" s="10">
        <f t="shared" si="374"/>
      </c>
      <c r="EJ101" s="10">
        <f t="shared" si="374"/>
      </c>
      <c r="EK101" s="238">
        <f t="shared" si="374"/>
      </c>
      <c r="EL101" s="10"/>
    </row>
    <row r="102" spans="1:142">
      <c r="A102" s="16" t="s">
        <v>977</v>
      </c>
      <c r="CL102" s="23">
        <f t="shared" ref="CL102:DA102" si="375">SUM(CL97:CL101)</f>
      </c>
      <c r="CM102" s="23">
        <f t="shared" si="375"/>
      </c>
      <c r="CN102" s="23">
        <f t="shared" si="375"/>
      </c>
      <c r="CO102" s="174">
        <f t="shared" si="375"/>
      </c>
      <c r="CP102" s="15">
        <f t="shared" si="375"/>
      </c>
      <c r="CQ102" s="10">
        <f t="shared" si="375"/>
      </c>
      <c r="CR102" s="10">
        <f t="shared" si="375"/>
      </c>
      <c r="CS102" s="238">
        <f t="shared" si="375"/>
      </c>
      <c r="CT102" s="381">
        <f t="shared" si="375"/>
      </c>
      <c r="CU102" s="10">
        <f t="shared" si="375"/>
      </c>
      <c r="CV102" s="10">
        <f t="shared" si="375"/>
      </c>
      <c r="CW102" s="238">
        <f t="shared" si="375"/>
      </c>
      <c r="CX102" s="381">
        <f t="shared" si="375"/>
      </c>
      <c r="CY102" s="10">
        <f t="shared" si="375"/>
      </c>
      <c r="CZ102" s="10">
        <f t="shared" si="375"/>
      </c>
      <c r="DA102" s="238">
        <f t="shared" si="375"/>
      </c>
      <c r="DB102" s="535">
        <f>'Balance Sheet'!DB38</f>
      </c>
      <c r="DC102" s="124">
        <f>'Balance Sheet'!DC38</f>
      </c>
      <c r="DD102" s="124">
        <f>'Balance Sheet'!DD38</f>
      </c>
      <c r="DE102" s="124">
        <f>'Balance Sheet'!DE38</f>
      </c>
      <c r="DF102" s="535">
        <f>'Balance Sheet'!DF38</f>
      </c>
      <c r="DG102" s="124">
        <f>'Balance Sheet'!DG38</f>
      </c>
      <c r="DH102" s="124">
        <f>'Balance Sheet'!DH38</f>
      </c>
      <c r="DI102" s="124">
        <f>'Balance Sheet'!DI38</f>
      </c>
      <c r="DJ102" s="535">
        <f>'Balance Sheet'!DJ38</f>
      </c>
      <c r="DK102" s="124">
        <f>'Balance Sheet'!DK38</f>
      </c>
      <c r="DL102" s="124">
        <f>'Balance Sheet'!DL38</f>
      </c>
      <c r="DM102" s="124">
        <f>'Balance Sheet'!DM38</f>
      </c>
      <c r="DN102" s="535">
        <f>'Balance Sheet'!DN38</f>
      </c>
      <c r="DO102" s="124">
        <f>'Balance Sheet'!DO38</f>
      </c>
      <c r="DP102" s="124">
        <f>'Balance Sheet'!DP38</f>
      </c>
      <c r="DQ102" s="238">
        <f t="shared" ref="DQ102:DU102" si="376">SUM(DQ97:DQ101)</f>
      </c>
      <c r="DR102" s="381">
        <f t="shared" si="376"/>
      </c>
      <c r="DS102" s="10">
        <f t="shared" si="376"/>
      </c>
      <c r="DT102" s="10">
        <f t="shared" si="376"/>
      </c>
      <c r="DU102" s="238">
        <f t="shared" si="376"/>
      </c>
      <c r="DV102" s="381">
        <f t="shared" ref="DV102:EK102" si="377">SUM(DV97:DV101)</f>
      </c>
      <c r="DW102" s="10">
        <f t="shared" si="377"/>
      </c>
      <c r="DX102" s="10">
        <f t="shared" si="377"/>
      </c>
      <c r="DY102" s="238">
        <f t="shared" si="377"/>
      </c>
      <c r="DZ102" s="381">
        <f t="shared" si="377"/>
      </c>
      <c r="EA102" s="10">
        <f t="shared" si="377"/>
      </c>
      <c r="EB102" s="10">
        <f t="shared" si="377"/>
      </c>
      <c r="EC102" s="238">
        <f t="shared" si="377"/>
      </c>
      <c r="ED102" s="381">
        <f t="shared" si="377"/>
      </c>
      <c r="EE102" s="10">
        <f t="shared" si="377"/>
      </c>
      <c r="EF102" s="10">
        <f t="shared" si="377"/>
      </c>
      <c r="EG102" s="238">
        <f t="shared" si="377"/>
      </c>
      <c r="EH102" s="381">
        <f t="shared" si="377"/>
      </c>
      <c r="EI102" s="10">
        <f t="shared" si="377"/>
      </c>
      <c r="EJ102" s="10">
        <f t="shared" si="377"/>
      </c>
      <c r="EK102" s="238">
        <f t="shared" si="377"/>
      </c>
      <c r="EL102" s="10"/>
    </row>
    <row r="103" spans="1:142">
      <c r="CM103" s="200">
        <f>'Balance Sheet'!CM38-CM102</f>
      </c>
      <c r="CN103" s="200">
        <f>'Balance Sheet'!CN38-CN102</f>
      </c>
      <c r="CO103" s="199">
        <f>'Balance Sheet'!CO38-CO102</f>
      </c>
      <c r="CP103" s="200">
        <f>'Balance Sheet'!CP38-CP102</f>
      </c>
      <c r="CQ103" s="200">
        <f>'Balance Sheet'!CQ38-CQ102</f>
      </c>
      <c r="CR103" s="200">
        <f>'Balance Sheet'!CR38-CR102</f>
      </c>
      <c r="CS103" s="199">
        <f>'Balance Sheet'!CS38-CS102</f>
      </c>
      <c r="CT103" s="384">
        <f>'Balance Sheet'!CT38-CT102</f>
      </c>
      <c r="CU103" s="200">
        <f>'Balance Sheet'!CU38-CU102</f>
      </c>
      <c r="CV103" s="200">
        <f>'Balance Sheet'!CV38-CV102</f>
      </c>
      <c r="CW103" s="199">
        <f>'Balance Sheet'!CW38-CW102</f>
      </c>
      <c r="CX103" s="384">
        <f>'Balance Sheet'!CX38-CX102</f>
      </c>
      <c r="CY103" s="200">
        <f>'Balance Sheet'!CY38-CY102</f>
      </c>
      <c r="CZ103" s="200">
        <f>'Balance Sheet'!CZ38-CZ102</f>
      </c>
      <c r="DA103" s="199">
        <f>'Balance Sheet'!DA38-DA102</f>
      </c>
      <c r="DB103" s="384">
        <f>'Balance Sheet'!DB38-DB102</f>
      </c>
      <c r="DC103" s="200">
        <f>'Balance Sheet'!DC38-DC102</f>
      </c>
      <c r="DD103" s="200">
        <f>'Balance Sheet'!DD38-DD102</f>
      </c>
      <c r="DE103" s="199">
        <f>'Balance Sheet'!DE38-DE102</f>
      </c>
      <c r="DF103" s="384">
        <f>'Balance Sheet'!DF38-DF102</f>
      </c>
      <c r="DG103" s="200">
        <f>'Balance Sheet'!DG38-DG102</f>
      </c>
      <c r="DH103" s="200">
        <f>'Balance Sheet'!DH38-DH102</f>
      </c>
      <c r="DI103" s="199">
        <f>'Balance Sheet'!DI38-DI102</f>
      </c>
      <c r="DJ103" s="384">
        <f>'Balance Sheet'!DJ38-DJ102</f>
      </c>
      <c r="DK103" s="200">
        <f>'Balance Sheet'!DK38-DK102</f>
      </c>
      <c r="DL103" s="200">
        <f>'Balance Sheet'!DL38-DL102</f>
      </c>
      <c r="DM103" s="199">
        <f>'Balance Sheet'!DM38-DM102</f>
      </c>
      <c r="DN103" s="384">
        <f>'Balance Sheet'!DN38-DN102</f>
      </c>
      <c r="DO103" s="200">
        <f>'Balance Sheet'!DO38-DO102</f>
      </c>
      <c r="DP103" s="200">
        <f>'Balance Sheet'!DP38-DP102</f>
      </c>
      <c r="DQ103" s="199">
        <f>'Balance Sheet'!DQ38-DQ102</f>
      </c>
      <c r="DR103" s="384">
        <f>'Balance Sheet'!DR38-DR102</f>
      </c>
      <c r="DS103" s="200">
        <f>'Balance Sheet'!DS38-DS102</f>
      </c>
      <c r="DT103" s="200">
        <f>'Balance Sheet'!DT38-DT102</f>
      </c>
      <c r="DU103" s="199">
        <f>'Balance Sheet'!DU38-DU102</f>
      </c>
      <c r="DV103" s="384">
        <f>'Balance Sheet'!DV38-DV102</f>
      </c>
      <c r="DW103" s="200">
        <f>'Balance Sheet'!DW38-DW102</f>
      </c>
      <c r="DX103" s="200">
        <f>'Balance Sheet'!DX38-DX102</f>
      </c>
      <c r="DY103" s="199">
        <f>'Balance Sheet'!DY38-DY102</f>
      </c>
      <c r="DZ103" s="384">
        <f>'Balance Sheet'!DZ38-DZ102</f>
      </c>
      <c r="EA103" s="200">
        <f>'Balance Sheet'!EA38-EA102</f>
      </c>
      <c r="EB103" s="200">
        <f>'Balance Sheet'!EB38-EB102</f>
      </c>
      <c r="EC103" s="199">
        <f>'Balance Sheet'!EC38-EC102</f>
      </c>
      <c r="ED103" s="384">
        <f>'Balance Sheet'!ED38-ED102</f>
      </c>
      <c r="EE103" s="200">
        <f>'Balance Sheet'!EE38-EE102</f>
      </c>
      <c r="EF103" s="200">
        <f>'Balance Sheet'!EF38-EF102</f>
      </c>
      <c r="EG103" s="199">
        <f>'Balance Sheet'!EG38-EG102</f>
      </c>
      <c r="EH103" s="384">
        <f>'Balance Sheet'!EH38-EH102</f>
      </c>
      <c r="EI103" s="200">
        <f>'Balance Sheet'!EI38-EI102</f>
      </c>
      <c r="EJ103" s="200">
        <f>'Balance Sheet'!EJ38-EJ102</f>
      </c>
      <c r="EK103" s="199">
        <f>'Balance Sheet'!EK38-EK102</f>
      </c>
      <c r="EL103" s="200"/>
    </row>
    <row r="104" spans="1:142">
      <c r="CM104" s="200"/>
      <c r="CN104" s="200"/>
      <c r="CO104" s="199"/>
      <c r="CP104" s="200"/>
      <c r="CQ104" s="200"/>
      <c r="CR104" s="200"/>
      <c r="CS104" s="199"/>
      <c r="CT104" s="384"/>
      <c r="CU104" s="200"/>
      <c r="CV104" s="200"/>
      <c r="CW104" s="199"/>
      <c r="CX104" s="384"/>
      <c r="CY104" s="200"/>
      <c r="CZ104" s="200"/>
      <c r="DA104" s="199"/>
      <c r="DB104" s="384"/>
      <c r="DC104" s="200"/>
      <c r="DD104" s="200"/>
      <c r="DE104" s="199"/>
      <c r="DF104" s="384"/>
      <c r="DG104" s="200"/>
      <c r="DH104" s="200"/>
      <c r="DI104" s="199"/>
      <c r="DJ104" s="384"/>
      <c r="DK104" s="200"/>
      <c r="DL104" s="200"/>
      <c r="DM104" s="199"/>
      <c r="DN104" s="384"/>
      <c r="DO104" s="200"/>
      <c r="DP104" s="200"/>
      <c r="DQ104" s="199"/>
      <c r="DR104" s="384"/>
      <c r="DS104" s="200"/>
      <c r="DT104" s="200"/>
      <c r="DU104" s="199"/>
      <c r="DV104" s="384"/>
      <c r="DW104" s="200"/>
      <c r="DX104" s="200"/>
      <c r="DY104" s="199"/>
      <c r="DZ104" s="384"/>
      <c r="EA104" s="200"/>
      <c r="EB104" s="200"/>
      <c r="EC104" s="199"/>
      <c r="ED104" s="384"/>
      <c r="EE104" s="200"/>
      <c r="EF104" s="200"/>
      <c r="EG104" s="199"/>
      <c r="EH104" s="384"/>
      <c r="EI104" s="200"/>
      <c r="EJ104" s="200"/>
      <c r="EK104" s="199"/>
      <c r="EL104" s="200"/>
    </row>
    <row r="105" spans="1:142">
      <c r="A105" s="11" t="s">
        <v>1256</v>
      </c>
      <c r="CL105" s="1">
        <f t="shared" ref="CL105:DU105" si="378">SUM(CL14:CL15)</f>
      </c>
      <c r="CM105" s="10">
        <f t="shared" si="378"/>
      </c>
      <c r="CN105" s="10">
        <f t="shared" si="378"/>
      </c>
      <c r="CO105" s="238">
        <f t="shared" si="378"/>
      </c>
      <c r="CP105" s="10">
        <f t="shared" si="378"/>
      </c>
      <c r="CQ105" s="10">
        <f t="shared" si="378"/>
      </c>
      <c r="CR105" s="10">
        <f t="shared" si="378"/>
      </c>
      <c r="CS105" s="238">
        <f t="shared" si="378"/>
      </c>
      <c r="CT105" s="381">
        <f t="shared" si="378"/>
      </c>
      <c r="CU105" s="10">
        <f t="shared" si="378"/>
      </c>
      <c r="CV105" s="10">
        <f t="shared" si="378"/>
      </c>
      <c r="CW105" s="238">
        <f t="shared" si="378"/>
      </c>
      <c r="CX105" s="381">
        <f t="shared" si="378"/>
      </c>
      <c r="CY105" s="10">
        <f t="shared" si="378"/>
      </c>
      <c r="CZ105" s="10">
        <f t="shared" si="378"/>
      </c>
      <c r="DA105" s="238">
        <f t="shared" si="378"/>
      </c>
      <c r="DB105" s="381">
        <f t="shared" si="378"/>
      </c>
      <c r="DC105" s="10">
        <f t="shared" si="378"/>
      </c>
      <c r="DD105" s="10">
        <f t="shared" si="378"/>
      </c>
      <c r="DE105" s="238">
        <f t="shared" si="378"/>
      </c>
      <c r="DF105" s="381">
        <f t="shared" si="378"/>
      </c>
      <c r="DG105" s="10">
        <f t="shared" si="378"/>
      </c>
      <c r="DH105" s="10">
        <f t="shared" si="378"/>
      </c>
      <c r="DI105" s="238">
        <f t="shared" si="378"/>
      </c>
      <c r="DJ105" s="381">
        <f t="shared" si="378"/>
      </c>
      <c r="DK105" s="10">
        <f t="shared" si="378"/>
      </c>
      <c r="DL105" s="10">
        <f t="shared" ref="DL105" si="379">SUM(DL14:DL15)</f>
      </c>
      <c r="DM105" s="238">
        <f t="shared" si="378"/>
      </c>
      <c r="DN105" s="381">
        <f t="shared" si="378"/>
      </c>
      <c r="DO105" s="10">
        <f t="shared" si="378"/>
      </c>
      <c r="DP105" s="10">
        <f t="shared" si="378"/>
      </c>
      <c r="DQ105" s="238">
        <f t="shared" si="378"/>
      </c>
      <c r="DR105" s="381">
        <f t="shared" si="378"/>
      </c>
      <c r="DS105" s="10">
        <f t="shared" si="378"/>
      </c>
      <c r="DT105" s="10">
        <f t="shared" si="378"/>
      </c>
      <c r="DU105" s="238">
        <f t="shared" si="378"/>
      </c>
      <c r="DV105" s="381">
        <f t="shared" ref="DV105:EK105" si="380">SUM(DV14:DV15)</f>
      </c>
      <c r="DW105" s="10">
        <f t="shared" si="380"/>
      </c>
      <c r="DX105" s="10">
        <f t="shared" si="380"/>
      </c>
      <c r="DY105" s="238">
        <f t="shared" si="380"/>
      </c>
      <c r="DZ105" s="381">
        <f t="shared" si="380"/>
      </c>
      <c r="EA105" s="10">
        <f t="shared" si="380"/>
      </c>
      <c r="EB105" s="10">
        <f t="shared" si="380"/>
      </c>
      <c r="EC105" s="238">
        <f t="shared" si="380"/>
      </c>
      <c r="ED105" s="381">
        <f t="shared" si="380"/>
      </c>
      <c r="EE105" s="10">
        <f t="shared" si="380"/>
      </c>
      <c r="EF105" s="10">
        <f t="shared" si="380"/>
      </c>
      <c r="EG105" s="238">
        <f t="shared" si="380"/>
      </c>
      <c r="EH105" s="381">
        <f t="shared" si="380"/>
      </c>
      <c r="EI105" s="10">
        <f t="shared" si="380"/>
      </c>
      <c r="EJ105" s="10">
        <f t="shared" si="380"/>
      </c>
      <c r="EK105" s="238">
        <f t="shared" si="380"/>
      </c>
      <c r="EL105" s="200"/>
    </row>
    <row r="106" spans="1:142">
      <c r="A106" s="11" t="s">
        <v>1258</v>
      </c>
      <c r="CL106" s="1">
        <f t="shared" ref="CL106:DU106" si="381">SUM(CL16)</f>
      </c>
      <c r="CM106" s="10">
        <f t="shared" si="381"/>
      </c>
      <c r="CN106" s="10">
        <f t="shared" si="381"/>
      </c>
      <c r="CO106" s="238">
        <f t="shared" si="381"/>
      </c>
      <c r="CP106" s="10">
        <f t="shared" si="381"/>
      </c>
      <c r="CQ106" s="10">
        <f t="shared" si="381"/>
      </c>
      <c r="CR106" s="10">
        <f t="shared" si="381"/>
      </c>
      <c r="CS106" s="1249">
        <f t="shared" si="381"/>
      </c>
      <c r="CT106" s="1253">
        <f t="shared" si="381"/>
      </c>
      <c r="CU106" s="1254">
        <f t="shared" si="381"/>
      </c>
      <c r="CV106" s="1254">
        <f t="shared" si="381"/>
      </c>
      <c r="CW106" s="1254">
        <f t="shared" si="381"/>
      </c>
      <c r="CX106" s="1253">
        <f t="shared" si="381"/>
      </c>
      <c r="CY106" s="1254">
        <f t="shared" si="381"/>
      </c>
      <c r="CZ106" s="10">
        <f t="shared" si="381"/>
      </c>
      <c r="DA106" s="238">
        <f t="shared" si="381"/>
      </c>
      <c r="DB106" s="381">
        <f t="shared" si="381"/>
      </c>
      <c r="DC106" s="10">
        <f t="shared" si="381"/>
      </c>
      <c r="DD106" s="10">
        <f t="shared" si="381"/>
      </c>
      <c r="DE106" s="238">
        <f t="shared" si="381"/>
      </c>
      <c r="DF106" s="381">
        <f t="shared" si="381"/>
      </c>
      <c r="DG106" s="10">
        <f t="shared" si="381"/>
      </c>
      <c r="DH106" s="10">
        <f t="shared" si="381"/>
      </c>
      <c r="DI106" s="238">
        <f t="shared" si="381"/>
      </c>
      <c r="DJ106" s="381">
        <f t="shared" si="381"/>
      </c>
      <c r="DK106" s="10">
        <f t="shared" si="381"/>
      </c>
      <c r="DL106" s="10">
        <f t="shared" ref="DL106" si="382">SUM(DL16)</f>
      </c>
      <c r="DM106" s="238">
        <f t="shared" si="381"/>
      </c>
      <c r="DN106" s="381">
        <f t="shared" si="381"/>
      </c>
      <c r="DO106" s="10">
        <f t="shared" si="381"/>
      </c>
      <c r="DP106" s="10">
        <f t="shared" si="381"/>
      </c>
      <c r="DQ106" s="238">
        <f t="shared" si="381"/>
      </c>
      <c r="DR106" s="381">
        <f t="shared" si="381"/>
      </c>
      <c r="DS106" s="10">
        <f t="shared" si="381"/>
      </c>
      <c r="DT106" s="10">
        <f t="shared" si="381"/>
      </c>
      <c r="DU106" s="238">
        <f t="shared" si="381"/>
      </c>
      <c r="DV106" s="381">
        <f t="shared" ref="DV106:EK106" si="383">SUM(DV16)</f>
      </c>
      <c r="DW106" s="10">
        <f t="shared" si="383"/>
      </c>
      <c r="DX106" s="10">
        <f t="shared" si="383"/>
      </c>
      <c r="DY106" s="238">
        <f t="shared" si="383"/>
      </c>
      <c r="DZ106" s="381">
        <f t="shared" si="383"/>
      </c>
      <c r="EA106" s="10">
        <f t="shared" si="383"/>
      </c>
      <c r="EB106" s="10">
        <f t="shared" si="383"/>
      </c>
      <c r="EC106" s="238">
        <f t="shared" si="383"/>
      </c>
      <c r="ED106" s="381">
        <f t="shared" si="383"/>
      </c>
      <c r="EE106" s="10">
        <f t="shared" si="383"/>
      </c>
      <c r="EF106" s="10">
        <f t="shared" si="383"/>
      </c>
      <c r="EG106" s="238">
        <f t="shared" si="383"/>
      </c>
      <c r="EH106" s="381">
        <f t="shared" si="383"/>
      </c>
      <c r="EI106" s="10">
        <f t="shared" si="383"/>
      </c>
      <c r="EJ106" s="10">
        <f t="shared" si="383"/>
      </c>
      <c r="EK106" s="238">
        <f t="shared" si="383"/>
      </c>
      <c r="EL106" s="200"/>
    </row>
    <row r="107" spans="1:142">
      <c r="A107" s="11" t="s">
        <v>1257</v>
      </c>
      <c r="CL107" s="1">
        <f t="shared" ref="CL107:DU107" si="384">SUM(CL17:CL20)</f>
      </c>
      <c r="CM107" s="10">
        <f t="shared" si="384"/>
      </c>
      <c r="CN107" s="10">
        <f t="shared" si="384"/>
      </c>
      <c r="CO107" s="238">
        <f t="shared" si="384"/>
      </c>
      <c r="CP107" s="10">
        <f t="shared" si="384"/>
      </c>
      <c r="CQ107" s="10">
        <f t="shared" si="384"/>
      </c>
      <c r="CR107" s="10">
        <f t="shared" si="384"/>
      </c>
      <c r="CS107" s="238">
        <f t="shared" si="384"/>
      </c>
      <c r="CT107" s="381">
        <f t="shared" si="384"/>
      </c>
      <c r="CU107" s="10">
        <f t="shared" si="384"/>
      </c>
      <c r="CV107" s="10">
        <f t="shared" si="384"/>
      </c>
      <c r="CW107" s="10">
        <f t="shared" si="384"/>
      </c>
      <c r="CX107" s="381">
        <f t="shared" si="384"/>
      </c>
      <c r="CY107" s="10">
        <f t="shared" si="384"/>
      </c>
      <c r="CZ107" s="10">
        <f t="shared" si="384"/>
      </c>
      <c r="DA107" s="238">
        <f t="shared" si="384"/>
      </c>
      <c r="DB107" s="381">
        <f t="shared" si="384"/>
      </c>
      <c r="DC107" s="10">
        <f t="shared" si="384"/>
      </c>
      <c r="DD107" s="10">
        <f t="shared" si="384"/>
      </c>
      <c r="DE107" s="238">
        <f t="shared" si="384"/>
      </c>
      <c r="DF107" s="381">
        <f t="shared" si="384"/>
      </c>
      <c r="DG107" s="10">
        <f t="shared" si="384"/>
      </c>
      <c r="DH107" s="10">
        <f t="shared" si="384"/>
      </c>
      <c r="DI107" s="238">
        <f t="shared" si="384"/>
      </c>
      <c r="DJ107" s="381">
        <f t="shared" si="384"/>
      </c>
      <c r="DK107" s="10">
        <f t="shared" si="384"/>
      </c>
      <c r="DL107" s="10">
        <f t="shared" ref="DL107" si="385">SUM(DL17:DL20)</f>
      </c>
      <c r="DM107" s="238">
        <f t="shared" si="384"/>
      </c>
      <c r="DN107" s="381">
        <f t="shared" si="384"/>
      </c>
      <c r="DO107" s="10">
        <f t="shared" si="384"/>
      </c>
      <c r="DP107" s="10">
        <f t="shared" si="384"/>
      </c>
      <c r="DQ107" s="238">
        <f t="shared" si="384"/>
      </c>
      <c r="DR107" s="381">
        <f t="shared" si="384"/>
      </c>
      <c r="DS107" s="10">
        <f t="shared" si="384"/>
      </c>
      <c r="DT107" s="10">
        <f t="shared" si="384"/>
      </c>
      <c r="DU107" s="238">
        <f t="shared" si="384"/>
      </c>
      <c r="DV107" s="381">
        <f t="shared" ref="DV107:EK107" si="386">SUM(DV17:DV20)</f>
      </c>
      <c r="DW107" s="10">
        <f t="shared" si="386"/>
      </c>
      <c r="DX107" s="10">
        <f t="shared" si="386"/>
      </c>
      <c r="DY107" s="238">
        <f t="shared" si="386"/>
      </c>
      <c r="DZ107" s="381">
        <f t="shared" si="386"/>
      </c>
      <c r="EA107" s="10">
        <f t="shared" si="386"/>
      </c>
      <c r="EB107" s="10">
        <f t="shared" si="386"/>
      </c>
      <c r="EC107" s="238">
        <f t="shared" si="386"/>
      </c>
      <c r="ED107" s="381">
        <f t="shared" si="386"/>
      </c>
      <c r="EE107" s="10">
        <f t="shared" si="386"/>
      </c>
      <c r="EF107" s="10">
        <f t="shared" si="386"/>
      </c>
      <c r="EG107" s="238">
        <f t="shared" si="386"/>
      </c>
      <c r="EH107" s="381">
        <f t="shared" si="386"/>
      </c>
      <c r="EI107" s="10">
        <f t="shared" si="386"/>
      </c>
      <c r="EJ107" s="10">
        <f t="shared" si="386"/>
      </c>
      <c r="EK107" s="238">
        <f t="shared" si="386"/>
      </c>
      <c r="EL107" s="200"/>
    </row>
    <row r="108" spans="1:142">
      <c r="A108" s="11" t="s">
        <v>1259</v>
      </c>
      <c r="CL108" s="1">
        <f>SUM(CL21:CL23)</f>
      </c>
      <c r="CM108" s="10">
        <f>SUM(CM21:CM23)</f>
      </c>
      <c r="CN108" s="10">
        <f>SUM(CN21:CN23)</f>
      </c>
      <c r="CO108" s="238">
        <f>SUM(CO21:CO23)</f>
      </c>
      <c r="CP108" s="10">
        <f>SUM(CP21:CP23)</f>
      </c>
      <c r="CQ108" s="34">
        <v>1497</v>
      </c>
      <c r="CR108" s="34">
        <v>1488</v>
      </c>
      <c r="CS108" s="1249">
        <f t="shared" ref="CS108:DU108" si="387">SUM(CS21:CS23)</f>
      </c>
      <c r="CT108" s="1253">
        <f t="shared" si="387"/>
      </c>
      <c r="CU108" s="1254">
        <f t="shared" si="387"/>
      </c>
      <c r="CV108" s="1254">
        <f t="shared" si="387"/>
      </c>
      <c r="CW108" s="1254">
        <f t="shared" si="387"/>
      </c>
      <c r="CX108" s="1253">
        <f t="shared" si="387"/>
      </c>
      <c r="CY108" s="1254">
        <f t="shared" si="387"/>
      </c>
      <c r="CZ108" s="10">
        <f t="shared" si="387"/>
      </c>
      <c r="DA108" s="238">
        <f t="shared" si="387"/>
      </c>
      <c r="DB108" s="381">
        <f t="shared" si="387"/>
      </c>
      <c r="DC108" s="10">
        <f t="shared" si="387"/>
      </c>
      <c r="DD108" s="10">
        <f t="shared" si="387"/>
      </c>
      <c r="DE108" s="238">
        <f t="shared" si="387"/>
      </c>
      <c r="DF108" s="381">
        <f t="shared" si="387"/>
      </c>
      <c r="DG108" s="10">
        <f t="shared" si="387"/>
      </c>
      <c r="DH108" s="10">
        <f t="shared" si="387"/>
      </c>
      <c r="DI108" s="238">
        <f t="shared" si="387"/>
      </c>
      <c r="DJ108" s="381">
        <f t="shared" si="387"/>
      </c>
      <c r="DK108" s="10">
        <f t="shared" si="387"/>
      </c>
      <c r="DL108" s="10">
        <f t="shared" ref="DL108" si="388">SUM(DL21:DL23)</f>
      </c>
      <c r="DM108" s="238">
        <f t="shared" si="387"/>
      </c>
      <c r="DN108" s="381">
        <f t="shared" si="387"/>
      </c>
      <c r="DO108" s="10">
        <f t="shared" si="387"/>
      </c>
      <c r="DP108" s="10">
        <f t="shared" si="387"/>
      </c>
      <c r="DQ108" s="238">
        <f t="shared" si="387"/>
      </c>
      <c r="DR108" s="381">
        <f t="shared" si="387"/>
      </c>
      <c r="DS108" s="10">
        <f t="shared" si="387"/>
      </c>
      <c r="DT108" s="10">
        <f t="shared" si="387"/>
      </c>
      <c r="DU108" s="238">
        <f t="shared" si="387"/>
      </c>
      <c r="DV108" s="381">
        <f t="shared" ref="DV108:EK108" si="389">SUM(DV21:DV23)</f>
      </c>
      <c r="DW108" s="10">
        <f t="shared" si="389"/>
      </c>
      <c r="DX108" s="10">
        <f t="shared" si="389"/>
      </c>
      <c r="DY108" s="238">
        <f t="shared" si="389"/>
      </c>
      <c r="DZ108" s="381">
        <f t="shared" si="389"/>
      </c>
      <c r="EA108" s="10">
        <f t="shared" si="389"/>
      </c>
      <c r="EB108" s="10">
        <f t="shared" si="389"/>
      </c>
      <c r="EC108" s="238">
        <f t="shared" si="389"/>
      </c>
      <c r="ED108" s="381">
        <f t="shared" si="389"/>
      </c>
      <c r="EE108" s="10">
        <f t="shared" si="389"/>
      </c>
      <c r="EF108" s="10">
        <f t="shared" si="389"/>
      </c>
      <c r="EG108" s="238">
        <f t="shared" si="389"/>
      </c>
      <c r="EH108" s="381">
        <f t="shared" si="389"/>
      </c>
      <c r="EI108" s="10">
        <f t="shared" si="389"/>
      </c>
      <c r="EJ108" s="10">
        <f t="shared" si="389"/>
      </c>
      <c r="EK108" s="238">
        <f t="shared" si="389"/>
      </c>
      <c r="EL108" s="200"/>
    </row>
    <row r="109" spans="1:142">
      <c r="A109" s="11" t="s">
        <v>1260</v>
      </c>
      <c r="CL109" s="1">
        <f>SUM(CL24:CL42)</f>
      </c>
      <c r="CM109" s="10">
        <f>SUM(CM24:CM42)</f>
      </c>
      <c r="CN109" s="10">
        <f>SUM(CN24:CN42)</f>
      </c>
      <c r="CO109" s="238">
        <f>SUM(CO24:CO42)</f>
      </c>
      <c r="CP109" s="10">
        <f>SUM(CP24:CP42)</f>
      </c>
      <c r="CQ109" s="34">
        <v>24178</v>
      </c>
      <c r="CR109" s="34">
        <v>24223</v>
      </c>
      <c r="CS109" s="199">
        <f>90429-CS107-CS105-CS111-CS113-CS114</f>
      </c>
      <c r="CT109" s="384">
        <f>103086-CT105-CT106-CT107-CT108-CT110-CT111-CT112-CT113-CT114-CT115</f>
      </c>
      <c r="CU109" s="200">
        <f>97968-CU105-CU106-CU107-CU108-CU110-CU111-CU112-CU113-CU114-CU115</f>
      </c>
      <c r="CV109" s="200">
        <f>100065-CV105-CV106-CV107-CV108-CV110-CV111-CV112-CV113-CV114-CV115</f>
      </c>
      <c r="CW109" s="200">
        <f>106078-CW105-CW106-CW107-CW108-CW110-CW111-CW112-CW113-CW114-CW115</f>
      </c>
      <c r="CX109" s="384">
        <f>105863-CX105-CX106-CX107-CX108-CX110-CX111-CX112-CX113-CX114-CX115</f>
      </c>
      <c r="CY109" s="200">
        <f>116005-CY105-CY106-CY107-CY108-CY110-CY111-CY112-CY113-CY114-CY115</f>
      </c>
      <c r="CZ109" s="10">
        <f t="shared" ref="CZ109:DU109" si="390">SUM(CZ24:CZ42)</f>
      </c>
      <c r="DA109" s="238">
        <f t="shared" si="390"/>
      </c>
      <c r="DB109" s="381">
        <f t="shared" si="390"/>
      </c>
      <c r="DC109" s="10">
        <f t="shared" si="390"/>
      </c>
      <c r="DD109" s="10">
        <f t="shared" si="390"/>
      </c>
      <c r="DE109" s="238">
        <f t="shared" si="390"/>
      </c>
      <c r="DF109" s="381">
        <f t="shared" si="390"/>
      </c>
      <c r="DG109" s="10">
        <f t="shared" si="390"/>
      </c>
      <c r="DH109" s="10">
        <f t="shared" si="390"/>
      </c>
      <c r="DI109" s="238">
        <f t="shared" si="390"/>
      </c>
      <c r="DJ109" s="381">
        <f t="shared" si="390"/>
      </c>
      <c r="DK109" s="10">
        <f t="shared" si="390"/>
      </c>
      <c r="DL109" s="10">
        <f t="shared" ref="DL109" si="391">SUM(DL24:DL42)</f>
      </c>
      <c r="DM109" s="238">
        <f t="shared" si="390"/>
      </c>
      <c r="DN109" s="381">
        <f t="shared" si="390"/>
      </c>
      <c r="DO109" s="10">
        <f t="shared" si="390"/>
      </c>
      <c r="DP109" s="10">
        <f t="shared" si="390"/>
      </c>
      <c r="DQ109" s="238">
        <f t="shared" si="390"/>
      </c>
      <c r="DR109" s="381">
        <f t="shared" si="390"/>
      </c>
      <c r="DS109" s="10">
        <f t="shared" si="390"/>
      </c>
      <c r="DT109" s="10">
        <f t="shared" si="390"/>
      </c>
      <c r="DU109" s="238">
        <f t="shared" si="390"/>
      </c>
      <c r="DV109" s="381">
        <f t="shared" ref="DV109:EK109" si="392">SUM(DV24:DV42)</f>
      </c>
      <c r="DW109" s="10">
        <f t="shared" si="392"/>
      </c>
      <c r="DX109" s="10">
        <f t="shared" si="392"/>
      </c>
      <c r="DY109" s="238">
        <f t="shared" si="392"/>
      </c>
      <c r="DZ109" s="381">
        <f t="shared" si="392"/>
      </c>
      <c r="EA109" s="10">
        <f t="shared" si="392"/>
      </c>
      <c r="EB109" s="10">
        <f t="shared" si="392"/>
      </c>
      <c r="EC109" s="238">
        <f t="shared" si="392"/>
      </c>
      <c r="ED109" s="381">
        <f t="shared" si="392"/>
      </c>
      <c r="EE109" s="10">
        <f t="shared" si="392"/>
      </c>
      <c r="EF109" s="10">
        <f t="shared" si="392"/>
      </c>
      <c r="EG109" s="238">
        <f t="shared" si="392"/>
      </c>
      <c r="EH109" s="381">
        <f t="shared" si="392"/>
      </c>
      <c r="EI109" s="10">
        <f t="shared" si="392"/>
      </c>
      <c r="EJ109" s="10">
        <f t="shared" si="392"/>
      </c>
      <c r="EK109" s="238">
        <f t="shared" si="392"/>
      </c>
      <c r="EL109" s="200"/>
    </row>
    <row r="110" spans="1:142">
      <c r="A110" s="11" t="s">
        <v>1261</v>
      </c>
      <c r="CL110" s="1">
        <f t="shared" ref="CL110:DU110" si="393">SUM(CL43:CL45)</f>
      </c>
      <c r="CM110" s="10">
        <f t="shared" si="393"/>
      </c>
      <c r="CN110" s="10">
        <f t="shared" si="393"/>
      </c>
      <c r="CO110" s="238">
        <f t="shared" si="393"/>
      </c>
      <c r="CP110" s="10">
        <f t="shared" si="393"/>
      </c>
      <c r="CQ110" s="10">
        <f t="shared" si="393"/>
      </c>
      <c r="CR110" s="10">
        <f t="shared" si="393"/>
      </c>
      <c r="CS110" s="1249">
        <f t="shared" si="393"/>
      </c>
      <c r="CT110" s="1253">
        <f t="shared" si="393"/>
      </c>
      <c r="CU110" s="1254">
        <f t="shared" si="393"/>
      </c>
      <c r="CV110" s="1254">
        <f t="shared" si="393"/>
      </c>
      <c r="CW110" s="1254">
        <f t="shared" si="393"/>
      </c>
      <c r="CX110" s="1253">
        <f t="shared" si="393"/>
      </c>
      <c r="CY110" s="1254">
        <f t="shared" si="393"/>
      </c>
      <c r="CZ110" s="10">
        <f t="shared" si="393"/>
      </c>
      <c r="DA110" s="238">
        <f t="shared" si="393"/>
      </c>
      <c r="DB110" s="381">
        <f t="shared" si="393"/>
      </c>
      <c r="DC110" s="10">
        <f t="shared" si="393"/>
      </c>
      <c r="DD110" s="10">
        <f t="shared" si="393"/>
      </c>
      <c r="DE110" s="238">
        <f t="shared" si="393"/>
      </c>
      <c r="DF110" s="381">
        <f t="shared" si="393"/>
      </c>
      <c r="DG110" s="10">
        <f t="shared" si="393"/>
      </c>
      <c r="DH110" s="10">
        <f t="shared" si="393"/>
      </c>
      <c r="DI110" s="238">
        <f t="shared" si="393"/>
      </c>
      <c r="DJ110" s="381">
        <f t="shared" si="393"/>
      </c>
      <c r="DK110" s="10">
        <f t="shared" si="393"/>
      </c>
      <c r="DL110" s="10">
        <f t="shared" ref="DL110" si="394">SUM(DL43:DL45)</f>
      </c>
      <c r="DM110" s="238">
        <f t="shared" si="393"/>
      </c>
      <c r="DN110" s="381">
        <f t="shared" si="393"/>
      </c>
      <c r="DO110" s="10">
        <f t="shared" si="393"/>
      </c>
      <c r="DP110" s="10">
        <f t="shared" si="393"/>
      </c>
      <c r="DQ110" s="238">
        <f t="shared" si="393"/>
      </c>
      <c r="DR110" s="381">
        <f t="shared" si="393"/>
      </c>
      <c r="DS110" s="10">
        <f t="shared" si="393"/>
      </c>
      <c r="DT110" s="10">
        <f t="shared" si="393"/>
      </c>
      <c r="DU110" s="238">
        <f t="shared" si="393"/>
      </c>
      <c r="DV110" s="381">
        <f t="shared" ref="DV110:EK110" si="395">SUM(DV43:DV45)</f>
      </c>
      <c r="DW110" s="10">
        <f t="shared" si="395"/>
      </c>
      <c r="DX110" s="10">
        <f t="shared" si="395"/>
      </c>
      <c r="DY110" s="238">
        <f t="shared" si="395"/>
      </c>
      <c r="DZ110" s="381">
        <f t="shared" si="395"/>
      </c>
      <c r="EA110" s="10">
        <f t="shared" si="395"/>
      </c>
      <c r="EB110" s="10">
        <f t="shared" si="395"/>
      </c>
      <c r="EC110" s="238">
        <f t="shared" si="395"/>
      </c>
      <c r="ED110" s="381">
        <f t="shared" si="395"/>
      </c>
      <c r="EE110" s="10">
        <f t="shared" si="395"/>
      </c>
      <c r="EF110" s="10">
        <f t="shared" si="395"/>
      </c>
      <c r="EG110" s="238">
        <f t="shared" si="395"/>
      </c>
      <c r="EH110" s="381">
        <f t="shared" si="395"/>
      </c>
      <c r="EI110" s="10">
        <f t="shared" si="395"/>
      </c>
      <c r="EJ110" s="10">
        <f t="shared" si="395"/>
      </c>
      <c r="EK110" s="238">
        <f t="shared" si="395"/>
      </c>
      <c r="EL110" s="200"/>
    </row>
    <row r="111" spans="1:142">
      <c r="A111" s="11" t="s">
        <v>1262</v>
      </c>
      <c r="CL111" s="1">
        <f>SUM(CL46:CL60)</f>
      </c>
      <c r="CM111" s="10">
        <f>SUM(CM46:CM60)</f>
      </c>
      <c r="CN111" s="10">
        <f>SUM(CN46:CN60)</f>
      </c>
      <c r="CO111" s="238">
        <f>SUM(CO46:CO60)</f>
      </c>
      <c r="CP111" s="10">
        <f>SUM(CP46:CP60)</f>
      </c>
      <c r="CQ111" s="125">
        <v>22038</v>
      </c>
      <c r="CR111" s="34">
        <v>22022</v>
      </c>
      <c r="CS111" s="238">
        <f t="shared" ref="CS111:DU111" si="396">SUM(CS46:CS60)</f>
      </c>
      <c r="CT111" s="381">
        <f t="shared" si="396"/>
      </c>
      <c r="CU111" s="10">
        <f t="shared" si="396"/>
      </c>
      <c r="CV111" s="10">
        <f t="shared" si="396"/>
      </c>
      <c r="CW111" s="10">
        <f t="shared" si="396"/>
      </c>
      <c r="CX111" s="381">
        <f t="shared" si="396"/>
      </c>
      <c r="CY111" s="10">
        <f t="shared" si="396"/>
      </c>
      <c r="CZ111" s="10">
        <f t="shared" si="396"/>
      </c>
      <c r="DA111" s="238">
        <f t="shared" si="396"/>
      </c>
      <c r="DB111" s="381">
        <f t="shared" si="396"/>
      </c>
      <c r="DC111" s="10">
        <f t="shared" si="396"/>
      </c>
      <c r="DD111" s="10">
        <f t="shared" si="396"/>
      </c>
      <c r="DE111" s="238">
        <f t="shared" si="396"/>
      </c>
      <c r="DF111" s="381">
        <f t="shared" si="396"/>
      </c>
      <c r="DG111" s="10">
        <f t="shared" si="396"/>
      </c>
      <c r="DH111" s="10">
        <f t="shared" si="396"/>
      </c>
      <c r="DI111" s="238">
        <f t="shared" si="396"/>
      </c>
      <c r="DJ111" s="381">
        <f t="shared" si="396"/>
      </c>
      <c r="DK111" s="10">
        <f t="shared" si="396"/>
      </c>
      <c r="DL111" s="10">
        <f t="shared" ref="DL111" si="397">SUM(DL46:DL60)</f>
      </c>
      <c r="DM111" s="238">
        <f t="shared" si="396"/>
      </c>
      <c r="DN111" s="381">
        <f t="shared" si="396"/>
      </c>
      <c r="DO111" s="10">
        <f t="shared" si="396"/>
      </c>
      <c r="DP111" s="10">
        <f t="shared" si="396"/>
      </c>
      <c r="DQ111" s="238">
        <f t="shared" si="396"/>
      </c>
      <c r="DR111" s="381">
        <f t="shared" si="396"/>
      </c>
      <c r="DS111" s="10">
        <f t="shared" si="396"/>
      </c>
      <c r="DT111" s="10">
        <f t="shared" si="396"/>
      </c>
      <c r="DU111" s="238">
        <f t="shared" si="396"/>
      </c>
      <c r="DV111" s="381">
        <f t="shared" ref="DV111:EK111" si="398">SUM(DV46:DV60)</f>
      </c>
      <c r="DW111" s="10">
        <f t="shared" si="398"/>
      </c>
      <c r="DX111" s="10">
        <f t="shared" si="398"/>
      </c>
      <c r="DY111" s="238">
        <f t="shared" si="398"/>
      </c>
      <c r="DZ111" s="381">
        <f t="shared" si="398"/>
      </c>
      <c r="EA111" s="10">
        <f t="shared" si="398"/>
      </c>
      <c r="EB111" s="10">
        <f t="shared" si="398"/>
      </c>
      <c r="EC111" s="238">
        <f t="shared" si="398"/>
      </c>
      <c r="ED111" s="381">
        <f t="shared" si="398"/>
      </c>
      <c r="EE111" s="10">
        <f t="shared" si="398"/>
      </c>
      <c r="EF111" s="10">
        <f t="shared" si="398"/>
      </c>
      <c r="EG111" s="238">
        <f t="shared" si="398"/>
      </c>
      <c r="EH111" s="381">
        <f t="shared" si="398"/>
      </c>
      <c r="EI111" s="10">
        <f t="shared" si="398"/>
      </c>
      <c r="EJ111" s="10">
        <f t="shared" si="398"/>
      </c>
      <c r="EK111" s="238">
        <f t="shared" si="398"/>
      </c>
      <c r="EL111" s="200"/>
    </row>
    <row r="112" spans="1:142">
      <c r="A112" s="11" t="s">
        <v>1263</v>
      </c>
      <c r="CL112" s="1">
        <f t="shared" ref="CL112:DU112" si="399">SUM(CL61:CL65)</f>
      </c>
      <c r="CM112" s="10">
        <f t="shared" si="399"/>
      </c>
      <c r="CN112" s="10">
        <f t="shared" si="399"/>
      </c>
      <c r="CO112" s="238">
        <f t="shared" si="399"/>
      </c>
      <c r="CP112" s="10">
        <f t="shared" si="399"/>
      </c>
      <c r="CQ112" s="10">
        <f t="shared" si="399"/>
      </c>
      <c r="CR112" s="10">
        <f t="shared" si="399"/>
      </c>
      <c r="CS112" s="1249">
        <f t="shared" si="399"/>
      </c>
      <c r="CT112" s="1253">
        <f t="shared" si="399"/>
      </c>
      <c r="CU112" s="1254">
        <f t="shared" si="399"/>
      </c>
      <c r="CV112" s="1254">
        <f t="shared" si="399"/>
      </c>
      <c r="CW112" s="1254">
        <f t="shared" si="399"/>
      </c>
      <c r="CX112" s="1253">
        <f t="shared" si="399"/>
      </c>
      <c r="CY112" s="1254">
        <f t="shared" si="399"/>
      </c>
      <c r="CZ112" s="10">
        <f t="shared" si="399"/>
      </c>
      <c r="DA112" s="238">
        <f t="shared" si="399"/>
      </c>
      <c r="DB112" s="381">
        <f t="shared" si="399"/>
      </c>
      <c r="DC112" s="10">
        <f t="shared" si="399"/>
      </c>
      <c r="DD112" s="10">
        <f t="shared" si="399"/>
      </c>
      <c r="DE112" s="238">
        <f t="shared" si="399"/>
      </c>
      <c r="DF112" s="381">
        <f t="shared" si="399"/>
      </c>
      <c r="DG112" s="10">
        <f t="shared" si="399"/>
      </c>
      <c r="DH112" s="10">
        <f t="shared" si="399"/>
      </c>
      <c r="DI112" s="238">
        <f t="shared" si="399"/>
      </c>
      <c r="DJ112" s="381">
        <f t="shared" si="399"/>
      </c>
      <c r="DK112" s="10">
        <f t="shared" si="399"/>
      </c>
      <c r="DL112" s="10">
        <f t="shared" ref="DL112" si="400">SUM(DL61:DL65)</f>
      </c>
      <c r="DM112" s="238">
        <f t="shared" si="399"/>
      </c>
      <c r="DN112" s="381">
        <f t="shared" si="399"/>
      </c>
      <c r="DO112" s="10">
        <f t="shared" si="399"/>
      </c>
      <c r="DP112" s="10">
        <f t="shared" si="399"/>
      </c>
      <c r="DQ112" s="238">
        <f t="shared" si="399"/>
      </c>
      <c r="DR112" s="381">
        <f t="shared" si="399"/>
      </c>
      <c r="DS112" s="10">
        <f t="shared" si="399"/>
      </c>
      <c r="DT112" s="10">
        <f t="shared" si="399"/>
      </c>
      <c r="DU112" s="238">
        <f t="shared" si="399"/>
      </c>
      <c r="DV112" s="381">
        <f t="shared" ref="DV112:EK112" si="401">SUM(DV61:DV65)</f>
      </c>
      <c r="DW112" s="10">
        <f t="shared" si="401"/>
      </c>
      <c r="DX112" s="10">
        <f t="shared" si="401"/>
      </c>
      <c r="DY112" s="238">
        <f t="shared" si="401"/>
      </c>
      <c r="DZ112" s="381">
        <f t="shared" si="401"/>
      </c>
      <c r="EA112" s="10">
        <f t="shared" si="401"/>
      </c>
      <c r="EB112" s="10">
        <f t="shared" si="401"/>
      </c>
      <c r="EC112" s="238">
        <f t="shared" si="401"/>
      </c>
      <c r="ED112" s="381">
        <f t="shared" si="401"/>
      </c>
      <c r="EE112" s="10">
        <f t="shared" si="401"/>
      </c>
      <c r="EF112" s="10">
        <f t="shared" si="401"/>
      </c>
      <c r="EG112" s="238">
        <f t="shared" si="401"/>
      </c>
      <c r="EH112" s="381">
        <f t="shared" si="401"/>
      </c>
      <c r="EI112" s="10">
        <f t="shared" si="401"/>
      </c>
      <c r="EJ112" s="10">
        <f t="shared" si="401"/>
      </c>
      <c r="EK112" s="238">
        <f t="shared" si="401"/>
      </c>
      <c r="EL112" s="200"/>
    </row>
    <row r="113" spans="1:142">
      <c r="A113" s="11" t="s">
        <v>1264</v>
      </c>
      <c r="CL113" s="1">
        <f>SUM(CL66:CL84)</f>
      </c>
      <c r="CM113" s="10">
        <f>SUM(CM66:CM84)</f>
      </c>
      <c r="CN113" s="10">
        <f>SUM(CN66:CN84)</f>
      </c>
      <c r="CO113" s="238">
        <f>SUM(CO66:CO84)</f>
      </c>
      <c r="CP113" s="10">
        <f>SUM(CP66:CP84)</f>
      </c>
      <c r="CQ113" s="34">
        <v>24929</v>
      </c>
      <c r="CR113" s="34">
        <v>24989</v>
      </c>
      <c r="CS113" s="238">
        <f t="shared" ref="CS113:DU113" si="402">SUM(CS66:CS84)</f>
      </c>
      <c r="CT113" s="381">
        <f t="shared" si="402"/>
      </c>
      <c r="CU113" s="10">
        <f t="shared" si="402"/>
      </c>
      <c r="CV113" s="10">
        <f t="shared" si="402"/>
      </c>
      <c r="CW113" s="238">
        <f t="shared" si="402"/>
      </c>
      <c r="CX113" s="381">
        <f t="shared" si="402"/>
      </c>
      <c r="CY113" s="10">
        <f t="shared" si="402"/>
      </c>
      <c r="CZ113" s="10">
        <f t="shared" si="402"/>
      </c>
      <c r="DA113" s="238">
        <f t="shared" si="402"/>
      </c>
      <c r="DB113" s="381">
        <f t="shared" si="402"/>
      </c>
      <c r="DC113" s="10">
        <f t="shared" si="402"/>
      </c>
      <c r="DD113" s="10">
        <f t="shared" si="402"/>
      </c>
      <c r="DE113" s="238">
        <f t="shared" si="402"/>
      </c>
      <c r="DF113" s="381">
        <f t="shared" si="402"/>
      </c>
      <c r="DG113" s="10">
        <f t="shared" si="402"/>
      </c>
      <c r="DH113" s="10">
        <f t="shared" si="402"/>
      </c>
      <c r="DI113" s="238">
        <f t="shared" si="402"/>
      </c>
      <c r="DJ113" s="381">
        <f t="shared" si="402"/>
      </c>
      <c r="DK113" s="10">
        <f t="shared" si="402"/>
      </c>
      <c r="DL113" s="10">
        <f t="shared" ref="DL113" si="403">SUM(DL66:DL84)</f>
      </c>
      <c r="DM113" s="238">
        <f t="shared" si="402"/>
      </c>
      <c r="DN113" s="381">
        <f t="shared" si="402"/>
      </c>
      <c r="DO113" s="10">
        <f t="shared" si="402"/>
      </c>
      <c r="DP113" s="10">
        <f t="shared" si="402"/>
      </c>
      <c r="DQ113" s="238">
        <f t="shared" si="402"/>
      </c>
      <c r="DR113" s="381">
        <f t="shared" si="402"/>
      </c>
      <c r="DS113" s="10">
        <f t="shared" si="402"/>
      </c>
      <c r="DT113" s="10">
        <f t="shared" si="402"/>
      </c>
      <c r="DU113" s="238">
        <f t="shared" si="402"/>
      </c>
      <c r="DV113" s="381">
        <f t="shared" ref="DV113:EK113" si="404">SUM(DV66:DV84)</f>
      </c>
      <c r="DW113" s="10">
        <f t="shared" si="404"/>
      </c>
      <c r="DX113" s="10">
        <f t="shared" si="404"/>
      </c>
      <c r="DY113" s="238">
        <f t="shared" si="404"/>
      </c>
      <c r="DZ113" s="381">
        <f t="shared" si="404"/>
      </c>
      <c r="EA113" s="10">
        <f t="shared" si="404"/>
      </c>
      <c r="EB113" s="10">
        <f t="shared" si="404"/>
      </c>
      <c r="EC113" s="238">
        <f t="shared" si="404"/>
      </c>
      <c r="ED113" s="381">
        <f t="shared" si="404"/>
      </c>
      <c r="EE113" s="10">
        <f t="shared" si="404"/>
      </c>
      <c r="EF113" s="10">
        <f t="shared" si="404"/>
      </c>
      <c r="EG113" s="238">
        <f t="shared" si="404"/>
      </c>
      <c r="EH113" s="381">
        <f t="shared" si="404"/>
      </c>
      <c r="EI113" s="10">
        <f t="shared" si="404"/>
      </c>
      <c r="EJ113" s="10">
        <f t="shared" si="404"/>
      </c>
      <c r="EK113" s="238">
        <f t="shared" si="404"/>
      </c>
      <c r="EL113" s="200"/>
    </row>
    <row r="114" spans="1:142">
      <c r="A114" s="11" t="s">
        <v>1265</v>
      </c>
      <c r="CL114" s="1">
        <f t="shared" ref="CL114:CN114" si="405">SUM(CL85:CL90)</f>
      </c>
      <c r="CM114" s="10">
        <f t="shared" si="405"/>
      </c>
      <c r="CN114" s="10">
        <f t="shared" si="405"/>
      </c>
      <c r="CO114" s="238">
        <f>SUM(CO85:CO90)</f>
      </c>
      <c r="CP114" s="10">
        <f t="shared" ref="CP114:DU114" si="406">SUM(CP85:CP90)</f>
      </c>
      <c r="CQ114" s="10">
        <f t="shared" si="406"/>
      </c>
      <c r="CR114" s="10">
        <f t="shared" si="406"/>
      </c>
      <c r="CS114" s="238">
        <f t="shared" si="406"/>
      </c>
      <c r="CT114" s="381">
        <f t="shared" si="406"/>
      </c>
      <c r="CU114" s="10">
        <f t="shared" si="406"/>
      </c>
      <c r="CV114" s="10">
        <f t="shared" si="406"/>
      </c>
      <c r="CW114" s="238">
        <f t="shared" si="406"/>
      </c>
      <c r="CX114" s="381">
        <f t="shared" ref="CX114:CY114" si="407">SUM(CX85:CX90)</f>
      </c>
      <c r="CY114" s="10">
        <f t="shared" si="407"/>
      </c>
      <c r="CZ114" s="10">
        <f t="shared" si="406"/>
      </c>
      <c r="DA114" s="238">
        <f t="shared" si="406"/>
      </c>
      <c r="DB114" s="381">
        <f t="shared" si="406"/>
      </c>
      <c r="DC114" s="10">
        <f t="shared" si="406"/>
      </c>
      <c r="DD114" s="10">
        <f t="shared" si="406"/>
      </c>
      <c r="DE114" s="238">
        <f t="shared" si="406"/>
      </c>
      <c r="DF114" s="381">
        <f t="shared" si="406"/>
      </c>
      <c r="DG114" s="10">
        <f t="shared" si="406"/>
      </c>
      <c r="DH114" s="10">
        <f t="shared" si="406"/>
      </c>
      <c r="DI114" s="238">
        <f t="shared" si="406"/>
      </c>
      <c r="DJ114" s="381">
        <f t="shared" si="406"/>
      </c>
      <c r="DK114" s="10">
        <f t="shared" si="406"/>
      </c>
      <c r="DL114" s="10">
        <f t="shared" ref="DL114" si="408">SUM(DL85:DL90)</f>
      </c>
      <c r="DM114" s="238">
        <f t="shared" si="406"/>
      </c>
      <c r="DN114" s="381">
        <f t="shared" si="406"/>
      </c>
      <c r="DO114" s="10">
        <f t="shared" si="406"/>
      </c>
      <c r="DP114" s="10">
        <f t="shared" si="406"/>
      </c>
      <c r="DQ114" s="238">
        <f t="shared" si="406"/>
      </c>
      <c r="DR114" s="381">
        <f t="shared" si="406"/>
      </c>
      <c r="DS114" s="10">
        <f t="shared" si="406"/>
      </c>
      <c r="DT114" s="10">
        <f t="shared" si="406"/>
      </c>
      <c r="DU114" s="238">
        <f t="shared" si="406"/>
      </c>
      <c r="DV114" s="381">
        <f t="shared" ref="DV114:EK114" si="409">SUM(DV85:DV90)</f>
      </c>
      <c r="DW114" s="10">
        <f t="shared" si="409"/>
      </c>
      <c r="DX114" s="10">
        <f t="shared" si="409"/>
      </c>
      <c r="DY114" s="238">
        <f t="shared" si="409"/>
      </c>
      <c r="DZ114" s="381">
        <f t="shared" si="409"/>
      </c>
      <c r="EA114" s="10">
        <f t="shared" si="409"/>
      </c>
      <c r="EB114" s="10">
        <f t="shared" si="409"/>
      </c>
      <c r="EC114" s="238">
        <f t="shared" si="409"/>
      </c>
      <c r="ED114" s="381">
        <f t="shared" si="409"/>
      </c>
      <c r="EE114" s="10">
        <f t="shared" si="409"/>
      </c>
      <c r="EF114" s="10">
        <f t="shared" si="409"/>
      </c>
      <c r="EG114" s="238">
        <f t="shared" si="409"/>
      </c>
      <c r="EH114" s="381">
        <f t="shared" si="409"/>
      </c>
      <c r="EI114" s="10">
        <f t="shared" si="409"/>
      </c>
      <c r="EJ114" s="10">
        <f t="shared" si="409"/>
      </c>
      <c r="EK114" s="238">
        <f t="shared" si="409"/>
      </c>
      <c r="EL114" s="200"/>
    </row>
    <row r="115" spans="1:142">
      <c r="A115" s="11" t="s">
        <v>140</v>
      </c>
      <c r="CL115" s="10">
        <f>SUM(CL93:CL96)</f>
      </c>
      <c r="CM115" s="10">
        <f t="shared" ref="CM115:DU115" si="410">SUM(CM93:CM96)</f>
      </c>
      <c r="CN115" s="10">
        <f t="shared" si="410"/>
      </c>
      <c r="CO115" s="238">
        <f t="shared" si="410"/>
      </c>
      <c r="CP115" s="10">
        <f t="shared" si="410"/>
      </c>
      <c r="CQ115" s="10">
        <f t="shared" si="410"/>
      </c>
      <c r="CR115" s="10">
        <f t="shared" si="410"/>
      </c>
      <c r="CS115" s="238">
        <f t="shared" si="410"/>
      </c>
      <c r="CT115" s="381">
        <f t="shared" si="410"/>
      </c>
      <c r="CU115" s="10">
        <f t="shared" si="410"/>
      </c>
      <c r="CV115" s="10">
        <f t="shared" si="410"/>
      </c>
      <c r="CW115" s="238">
        <f t="shared" si="410"/>
      </c>
      <c r="CX115" s="381">
        <f t="shared" ref="CX115:CY115" si="411">SUM(CX93:CX96)</f>
      </c>
      <c r="CY115" s="10">
        <f t="shared" si="411"/>
      </c>
      <c r="CZ115" s="200">
        <f>113193-SUM(CZ105:CZ114)</f>
      </c>
      <c r="DA115" s="199">
        <f>118063-SUM(DA105:DA114)</f>
      </c>
      <c r="DB115" s="381">
        <f t="shared" si="410"/>
      </c>
      <c r="DC115" s="10">
        <f t="shared" si="410"/>
      </c>
      <c r="DD115" s="10">
        <f t="shared" si="410"/>
      </c>
      <c r="DE115" s="199">
        <f>111824-SUM(DE105:DE114)</f>
      </c>
      <c r="DF115" s="381">
        <f t="shared" si="410"/>
      </c>
      <c r="DG115" s="10">
        <f t="shared" si="410"/>
      </c>
      <c r="DH115" s="10">
        <f t="shared" si="410"/>
      </c>
      <c r="DI115" s="238">
        <f t="shared" si="410"/>
      </c>
      <c r="DJ115" s="381">
        <f t="shared" si="410"/>
      </c>
      <c r="DK115" s="10">
        <f t="shared" si="410"/>
      </c>
      <c r="DL115" s="10">
        <f t="shared" ref="DL115" si="412">SUM(DL93:DL96)</f>
      </c>
      <c r="DM115" s="238">
        <f t="shared" si="410"/>
      </c>
      <c r="DN115" s="381">
        <f t="shared" si="410"/>
      </c>
      <c r="DO115" s="10">
        <f t="shared" si="410"/>
      </c>
      <c r="DP115" s="10">
        <f t="shared" si="410"/>
      </c>
      <c r="DQ115" s="238">
        <f t="shared" si="410"/>
      </c>
      <c r="DR115" s="381">
        <f t="shared" si="410"/>
      </c>
      <c r="DS115" s="10">
        <f t="shared" si="410"/>
      </c>
      <c r="DT115" s="10">
        <f t="shared" si="410"/>
      </c>
      <c r="DU115" s="238">
        <f t="shared" si="410"/>
      </c>
      <c r="DV115" s="381">
        <f t="shared" ref="DV115:EK115" si="413">SUM(DV93:DV96)</f>
      </c>
      <c r="DW115" s="10">
        <f t="shared" si="413"/>
      </c>
      <c r="DX115" s="10">
        <f t="shared" si="413"/>
      </c>
      <c r="DY115" s="238">
        <f t="shared" si="413"/>
      </c>
      <c r="DZ115" s="381">
        <f t="shared" si="413"/>
      </c>
      <c r="EA115" s="10">
        <f t="shared" si="413"/>
      </c>
      <c r="EB115" s="10">
        <f t="shared" si="413"/>
      </c>
      <c r="EC115" s="238">
        <f t="shared" si="413"/>
      </c>
      <c r="ED115" s="381">
        <f t="shared" si="413"/>
      </c>
      <c r="EE115" s="10">
        <f t="shared" si="413"/>
      </c>
      <c r="EF115" s="10">
        <f t="shared" si="413"/>
      </c>
      <c r="EG115" s="238">
        <f t="shared" si="413"/>
      </c>
      <c r="EH115" s="381">
        <f t="shared" si="413"/>
      </c>
      <c r="EI115" s="10">
        <f t="shared" si="413"/>
      </c>
      <c r="EJ115" s="10">
        <f t="shared" si="413"/>
      </c>
      <c r="EK115" s="238">
        <f t="shared" si="413"/>
      </c>
      <c r="EL115" s="200"/>
    </row>
    <row r="116" spans="1:142">
      <c r="A116" s="39"/>
      <c r="B116" s="39"/>
      <c r="C116" s="39"/>
      <c r="D116" s="39"/>
      <c r="E116" s="39"/>
      <c r="F116" s="39"/>
      <c r="G116" s="39"/>
      <c r="H116" s="387"/>
      <c r="I116" s="39"/>
      <c r="J116" s="39"/>
      <c r="K116" s="39"/>
      <c r="L116" s="387"/>
      <c r="M116" s="39"/>
      <c r="N116" s="39"/>
      <c r="O116" s="39"/>
      <c r="P116" s="387"/>
      <c r="Q116" s="39"/>
      <c r="R116" s="39"/>
      <c r="S116" s="39"/>
      <c r="T116" s="387"/>
      <c r="U116" s="39"/>
      <c r="V116" s="39"/>
      <c r="W116" s="39"/>
      <c r="X116" s="387"/>
      <c r="Y116" s="39"/>
      <c r="Z116" s="39"/>
      <c r="AA116" s="39"/>
      <c r="AB116" s="387"/>
      <c r="AC116" s="39"/>
      <c r="AD116" s="39"/>
      <c r="AE116" s="39"/>
      <c r="AF116" s="387"/>
      <c r="AG116" s="39"/>
      <c r="AH116" s="39"/>
      <c r="AI116" s="39"/>
      <c r="AJ116" s="387"/>
      <c r="AK116" s="39"/>
      <c r="AL116" s="39"/>
      <c r="AM116" s="39"/>
      <c r="AN116" s="387"/>
      <c r="AO116" s="39"/>
      <c r="AP116" s="39"/>
      <c r="AQ116" s="39"/>
      <c r="AR116" s="387"/>
      <c r="AS116" s="39"/>
      <c r="AT116" s="39"/>
      <c r="AU116" s="39"/>
      <c r="AV116" s="387"/>
      <c r="AW116" s="39"/>
      <c r="AX116" s="39"/>
      <c r="AY116" s="39"/>
      <c r="AZ116" s="387"/>
      <c r="BA116" s="39"/>
      <c r="BB116" s="39"/>
      <c r="BC116" s="39"/>
      <c r="BD116" s="387"/>
      <c r="BE116" s="39"/>
      <c r="BF116" s="39"/>
      <c r="BG116" s="39"/>
      <c r="BH116" s="387"/>
      <c r="BI116" s="39"/>
      <c r="BJ116" s="39"/>
      <c r="BK116" s="39"/>
      <c r="BL116" s="387"/>
      <c r="BM116" s="39"/>
      <c r="BN116" s="39"/>
      <c r="BO116" s="39"/>
      <c r="BP116" s="387"/>
      <c r="BQ116" s="39"/>
      <c r="BR116" s="39"/>
      <c r="BS116" s="39"/>
      <c r="BT116" s="387"/>
      <c r="BU116" s="39"/>
      <c r="BV116" s="39"/>
      <c r="BW116" s="39"/>
      <c r="BX116" s="387"/>
      <c r="BY116" s="39"/>
      <c r="BZ116" s="39"/>
      <c r="CA116" s="39"/>
      <c r="CB116" s="387"/>
      <c r="CC116" s="39"/>
      <c r="CD116" s="39"/>
      <c r="CE116" s="39"/>
      <c r="CF116" s="387"/>
      <c r="CG116" s="39"/>
      <c r="CH116" s="39"/>
      <c r="CI116" s="39"/>
      <c r="CJ116" s="387"/>
      <c r="CK116" s="387"/>
      <c r="CL116" s="1250">
        <f>SUM(CL105:CL115)</f>
      </c>
      <c r="CM116" s="1250">
        <f t="shared" ref="CM116:DU116" si="414">SUM(CM105:CM115)</f>
      </c>
      <c r="CN116" s="1250">
        <f t="shared" si="414"/>
      </c>
      <c r="CO116" s="1251">
        <f t="shared" si="414"/>
      </c>
      <c r="CP116" s="1250">
        <f t="shared" si="414"/>
      </c>
      <c r="CQ116" s="1250">
        <f t="shared" si="414"/>
      </c>
      <c r="CR116" s="1250">
        <f t="shared" si="414"/>
      </c>
      <c r="CS116" s="1251">
        <f t="shared" si="414"/>
      </c>
      <c r="CT116" s="1252">
        <f t="shared" si="414"/>
      </c>
      <c r="CU116" s="1250">
        <f t="shared" si="414"/>
      </c>
      <c r="CV116" s="1250">
        <f t="shared" si="414"/>
      </c>
      <c r="CW116" s="1251">
        <f t="shared" si="414"/>
      </c>
      <c r="CX116" s="1252">
        <f t="shared" si="414"/>
      </c>
      <c r="CY116" s="1250">
        <f t="shared" si="414"/>
      </c>
      <c r="CZ116" s="1250">
        <f t="shared" si="414"/>
      </c>
      <c r="DA116" s="1251">
        <f t="shared" si="414"/>
      </c>
      <c r="DB116" s="1252">
        <f>SUM(DB105:DB115)</f>
      </c>
      <c r="DC116" s="1250">
        <f t="shared" si="414"/>
      </c>
      <c r="DD116" s="1250">
        <f t="shared" si="414"/>
      </c>
      <c r="DE116" s="1251">
        <f t="shared" si="414"/>
      </c>
      <c r="DF116" s="1252">
        <f t="shared" si="414"/>
      </c>
      <c r="DG116" s="1250">
        <f t="shared" si="414"/>
      </c>
      <c r="DH116" s="1250">
        <f t="shared" si="414"/>
      </c>
      <c r="DI116" s="1251">
        <f t="shared" si="414"/>
      </c>
      <c r="DJ116" s="1252">
        <f t="shared" si="414"/>
      </c>
      <c r="DK116" s="1250">
        <f t="shared" si="414"/>
      </c>
      <c r="DL116" s="1250">
        <f t="shared" ref="DL116" si="415">SUM(DL105:DL115)</f>
      </c>
      <c r="DM116" s="1251">
        <f t="shared" si="414"/>
      </c>
      <c r="DN116" s="1252">
        <f t="shared" si="414"/>
      </c>
      <c r="DO116" s="1250">
        <f t="shared" si="414"/>
      </c>
      <c r="DP116" s="1250">
        <f t="shared" si="414"/>
      </c>
      <c r="DQ116" s="1251">
        <f t="shared" si="414"/>
      </c>
      <c r="DR116" s="1252">
        <f t="shared" si="414"/>
      </c>
      <c r="DS116" s="1250">
        <f t="shared" si="414"/>
      </c>
      <c r="DT116" s="1250">
        <f t="shared" si="414"/>
      </c>
      <c r="DU116" s="1251">
        <f t="shared" si="414"/>
      </c>
      <c r="DV116" s="1252">
        <f t="shared" ref="DV116:EK116" si="416">SUM(DV105:DV115)</f>
      </c>
      <c r="DW116" s="1250">
        <f t="shared" si="416"/>
      </c>
      <c r="DX116" s="1250">
        <f t="shared" si="416"/>
      </c>
      <c r="DY116" s="1251">
        <f t="shared" si="416"/>
      </c>
      <c r="DZ116" s="1252">
        <f t="shared" si="416"/>
      </c>
      <c r="EA116" s="1250">
        <f t="shared" si="416"/>
      </c>
      <c r="EB116" s="1250">
        <f t="shared" si="416"/>
      </c>
      <c r="EC116" s="1251">
        <f t="shared" si="416"/>
      </c>
      <c r="ED116" s="1252">
        <f t="shared" si="416"/>
      </c>
      <c r="EE116" s="1250">
        <f t="shared" si="416"/>
      </c>
      <c r="EF116" s="1250">
        <f t="shared" si="416"/>
      </c>
      <c r="EG116" s="1251">
        <f t="shared" si="416"/>
      </c>
      <c r="EH116" s="1252">
        <f t="shared" si="416"/>
      </c>
      <c r="EI116" s="1250">
        <f t="shared" si="416"/>
      </c>
      <c r="EJ116" s="1250">
        <f t="shared" si="416"/>
      </c>
      <c r="EK116" s="1251">
        <f t="shared" si="416"/>
      </c>
      <c r="EL116" s="200"/>
    </row>
    <row r="117" spans="1:142">
      <c r="CM117" s="200"/>
      <c r="CN117" s="200"/>
      <c r="CO117" s="199"/>
      <c r="CP117" s="200"/>
      <c r="CQ117" s="200"/>
      <c r="CR117" s="200"/>
      <c r="CS117" s="199"/>
      <c r="CT117" s="384"/>
      <c r="CU117" s="200"/>
      <c r="CV117" s="200"/>
      <c r="CW117" s="199"/>
      <c r="CX117" s="384"/>
      <c r="CY117" s="200"/>
      <c r="CZ117" s="200"/>
      <c r="DA117" s="199"/>
      <c r="DB117" s="384"/>
      <c r="DC117" s="200"/>
      <c r="DD117" s="200"/>
      <c r="DE117" s="199"/>
      <c r="DF117" s="384"/>
      <c r="DG117" s="200"/>
      <c r="DH117" s="200"/>
      <c r="DI117" s="199"/>
      <c r="DJ117" s="384"/>
      <c r="DK117" s="200"/>
      <c r="DL117" s="200"/>
      <c r="DM117" s="199"/>
      <c r="DN117" s="384"/>
      <c r="DO117" s="200"/>
      <c r="DP117" s="200"/>
      <c r="DQ117" s="199"/>
      <c r="DR117" s="384"/>
      <c r="DS117" s="200"/>
      <c r="DT117" s="200"/>
      <c r="DU117" s="199"/>
      <c r="DV117" s="384"/>
      <c r="DW117" s="200"/>
      <c r="DX117" s="200"/>
      <c r="DY117" s="199"/>
      <c r="DZ117" s="384"/>
      <c r="EA117" s="200"/>
      <c r="EB117" s="200"/>
      <c r="EC117" s="199"/>
      <c r="ED117" s="384"/>
      <c r="EE117" s="200"/>
      <c r="EF117" s="200"/>
      <c r="EG117" s="199"/>
      <c r="EH117" s="384"/>
      <c r="EI117" s="200"/>
      <c r="EJ117" s="200"/>
      <c r="EK117" s="199"/>
      <c r="EL117" s="200"/>
    </row>
    <row r="118" spans="1:142">
      <c r="A118" s="11" t="s">
        <v>1068</v>
      </c>
      <c r="CL118" s="10"/>
      <c r="CM118" s="10"/>
      <c r="CN118" s="10"/>
      <c r="CO118" s="238"/>
      <c r="CP118" s="10">
        <f t="shared" ref="CP118:DA118" si="417">(CP97-SUM(CP92:CP95))-(CO97-SUM(CO92:CO95))</f>
      </c>
      <c r="CQ118" s="10">
        <f t="shared" si="417"/>
      </c>
      <c r="CR118" s="10">
        <f t="shared" si="417"/>
      </c>
      <c r="CS118" s="238">
        <f t="shared" si="417"/>
      </c>
      <c r="CT118" s="381">
        <f t="shared" si="417"/>
      </c>
      <c r="CU118" s="10">
        <f t="shared" si="417"/>
      </c>
      <c r="CV118" s="10">
        <f t="shared" si="417"/>
      </c>
      <c r="CW118" s="238">
        <f t="shared" si="417"/>
      </c>
      <c r="CX118" s="381">
        <f t="shared" si="417"/>
      </c>
      <c r="CY118" s="10">
        <f t="shared" si="417"/>
      </c>
      <c r="CZ118" s="10">
        <f t="shared" si="417"/>
      </c>
      <c r="DA118" s="238">
        <f t="shared" si="417"/>
      </c>
      <c r="DB118" s="381">
        <f t="shared" ref="DB118:DD118" si="418">(DB97-SUM(DB91:DB96))-(DA97-SUM(DA91:DA96))</f>
      </c>
      <c r="DC118" s="10">
        <f t="shared" si="418"/>
      </c>
      <c r="DD118" s="10">
        <f t="shared" si="418"/>
      </c>
      <c r="DE118" s="238">
        <f>(DE97-SUM(DE91:DE96))-(DD97-SUM(DD91:DD96))</f>
      </c>
      <c r="DF118" s="381">
        <f t="shared" ref="DF118:DU118" si="419">(DF97-SUM(DF91:DF96))-(DE97-SUM(DE91:DE96))</f>
      </c>
      <c r="DG118" s="10">
        <f t="shared" si="419"/>
      </c>
      <c r="DH118" s="10">
        <f t="shared" si="419"/>
      </c>
      <c r="DI118" s="238">
        <f t="shared" si="419"/>
      </c>
      <c r="DJ118" s="381">
        <f t="shared" si="419"/>
      </c>
      <c r="DK118" s="10">
        <f t="shared" si="419"/>
      </c>
      <c r="DL118" s="10">
        <f t="shared" si="419"/>
      </c>
      <c r="DM118" s="238">
        <f t="shared" si="419"/>
      </c>
      <c r="DN118" s="381">
        <f t="shared" si="419"/>
      </c>
      <c r="DO118" s="10">
        <f t="shared" si="419"/>
      </c>
      <c r="DP118" s="10">
        <f t="shared" si="419"/>
      </c>
      <c r="DQ118" s="238">
        <f t="shared" si="419"/>
      </c>
      <c r="DR118" s="381">
        <f t="shared" si="419"/>
      </c>
      <c r="DS118" s="10">
        <f t="shared" si="419"/>
      </c>
      <c r="DT118" s="10">
        <f t="shared" si="419"/>
      </c>
      <c r="DU118" s="238">
        <f t="shared" si="419"/>
      </c>
      <c r="DV118" s="381">
        <f t="shared" ref="DV118" si="420">(DV97-SUM(DV91:DV96))-(DU97-SUM(DU91:DU96))</f>
      </c>
      <c r="DW118" s="10">
        <f t="shared" ref="DW118" si="421">(DW97-SUM(DW91:DW96))-(DV97-SUM(DV91:DV96))</f>
      </c>
      <c r="DX118" s="10">
        <f t="shared" ref="DX118" si="422">(DX97-SUM(DX91:DX96))-(DW97-SUM(DW91:DW96))</f>
      </c>
      <c r="DY118" s="238">
        <f t="shared" ref="DY118" si="423">(DY97-SUM(DY91:DY96))-(DX97-SUM(DX91:DX96))</f>
      </c>
      <c r="DZ118" s="381">
        <f t="shared" ref="DZ118" si="424">(DZ97-SUM(DZ91:DZ96))-(DY97-SUM(DY91:DY96))</f>
      </c>
      <c r="EA118" s="10">
        <f t="shared" ref="EA118" si="425">(EA97-SUM(EA91:EA96))-(DZ97-SUM(DZ91:DZ96))</f>
      </c>
      <c r="EB118" s="10">
        <f t="shared" ref="EB118" si="426">(EB97-SUM(EB91:EB96))-(EA97-SUM(EA91:EA96))</f>
      </c>
      <c r="EC118" s="238">
        <f t="shared" ref="EC118" si="427">(EC97-SUM(EC91:EC96))-(EB97-SUM(EB91:EB96))</f>
      </c>
      <c r="ED118" s="381">
        <f t="shared" ref="ED118" si="428">(ED97-SUM(ED91:ED96))-(EC97-SUM(EC91:EC96))</f>
      </c>
      <c r="EE118" s="10">
        <f t="shared" ref="EE118" si="429">(EE97-SUM(EE91:EE96))-(ED97-SUM(ED91:ED96))</f>
      </c>
      <c r="EF118" s="10">
        <f t="shared" ref="EF118" si="430">(EF97-SUM(EF91:EF96))-(EE97-SUM(EE91:EE96))</f>
      </c>
      <c r="EG118" s="238">
        <f t="shared" ref="EG118" si="431">(EG97-SUM(EG91:EG96))-(EF97-SUM(EF91:EF96))</f>
      </c>
      <c r="EH118" s="381">
        <f t="shared" ref="EH118" si="432">(EH97-SUM(EH91:EH96))-(EG97-SUM(EG91:EG96))</f>
      </c>
      <c r="EI118" s="10">
        <f t="shared" ref="EI118" si="433">(EI97-SUM(EI91:EI96))-(EH97-SUM(EH91:EH96))</f>
      </c>
      <c r="EJ118" s="10">
        <f t="shared" ref="EJ118" si="434">(EJ97-SUM(EJ91:EJ96))-(EI97-SUM(EI91:EI96))</f>
      </c>
      <c r="EK118" s="238">
        <f t="shared" ref="EK118" si="435">(EK97-SUM(EK91:EK96))-(EJ97-SUM(EJ91:EJ96))</f>
      </c>
      <c r="EL118" s="10"/>
    </row>
    <row r="119" spans="1:142">
      <c r="A119" s="11" t="s">
        <v>1069</v>
      </c>
      <c r="CL119" s="10"/>
      <c r="CM119" s="10"/>
      <c r="CN119" s="10"/>
      <c r="CO119" s="238"/>
      <c r="CP119" s="10"/>
      <c r="CQ119" s="10"/>
      <c r="CR119" s="10"/>
      <c r="CS119" s="238">
        <f>CS93</f>
      </c>
      <c r="CT119" s="1255">
        <f>SUM(CT93:CT95)-SUM(CS93:CS95)</f>
      </c>
      <c r="CU119" s="20">
        <f t="shared" ref="CU119:DU119" si="436">SUM(CU93:CU95)-SUM(CT93:CT95)</f>
      </c>
      <c r="CV119" s="20">
        <f t="shared" si="436"/>
      </c>
      <c r="CW119" s="1256">
        <f t="shared" si="436"/>
      </c>
      <c r="CX119" s="1255">
        <f t="shared" si="436"/>
      </c>
      <c r="CY119" s="20">
        <f t="shared" si="436"/>
      </c>
      <c r="CZ119" s="20">
        <f t="shared" si="436"/>
      </c>
      <c r="DA119" s="1256">
        <f t="shared" si="436"/>
      </c>
      <c r="DB119" s="1255">
        <f t="shared" si="436"/>
      </c>
      <c r="DC119" s="20">
        <f t="shared" si="436"/>
      </c>
      <c r="DD119" s="20">
        <f t="shared" si="436"/>
      </c>
      <c r="DE119" s="1256">
        <f t="shared" si="436"/>
      </c>
      <c r="DF119" s="1255">
        <f t="shared" si="436"/>
      </c>
      <c r="DG119" s="20">
        <f t="shared" si="436"/>
      </c>
      <c r="DH119" s="20">
        <f t="shared" si="436"/>
      </c>
      <c r="DI119" s="1256">
        <f t="shared" si="436"/>
      </c>
      <c r="DJ119" s="1255">
        <f t="shared" si="436"/>
      </c>
      <c r="DK119" s="20">
        <f t="shared" si="436"/>
      </c>
      <c r="DL119" s="20">
        <f t="shared" si="436"/>
      </c>
      <c r="DM119" s="1256">
        <f t="shared" si="436"/>
      </c>
      <c r="DN119" s="1255">
        <f t="shared" si="436"/>
      </c>
      <c r="DO119" s="20">
        <f t="shared" si="436"/>
      </c>
      <c r="DP119" s="20">
        <f t="shared" si="436"/>
      </c>
      <c r="DQ119" s="1256">
        <f t="shared" si="436"/>
      </c>
      <c r="DR119" s="1255">
        <f t="shared" si="436"/>
      </c>
      <c r="DS119" s="20">
        <f t="shared" si="436"/>
      </c>
      <c r="DT119" s="20">
        <f t="shared" si="436"/>
      </c>
      <c r="DU119" s="1256">
        <f t="shared" si="436"/>
      </c>
      <c r="DV119" s="1255">
        <f t="shared" ref="DV119" si="437">SUM(DV93:DV95)-SUM(DU93:DU95)</f>
      </c>
      <c r="DW119" s="20">
        <f t="shared" ref="DW119" si="438">SUM(DW93:DW95)-SUM(DV93:DV95)</f>
      </c>
      <c r="DX119" s="20">
        <f t="shared" ref="DX119" si="439">SUM(DX93:DX95)-SUM(DW93:DW95)</f>
      </c>
      <c r="DY119" s="1256">
        <f t="shared" ref="DY119" si="440">SUM(DY93:DY95)-SUM(DX93:DX95)</f>
      </c>
      <c r="DZ119" s="1255">
        <f t="shared" ref="DZ119" si="441">SUM(DZ93:DZ95)-SUM(DY93:DY95)</f>
      </c>
      <c r="EA119" s="20">
        <f t="shared" ref="EA119" si="442">SUM(EA93:EA95)-SUM(DZ93:DZ95)</f>
      </c>
      <c r="EB119" s="20">
        <f t="shared" ref="EB119" si="443">SUM(EB93:EB95)-SUM(EA93:EA95)</f>
      </c>
      <c r="EC119" s="1256">
        <f t="shared" ref="EC119" si="444">SUM(EC93:EC95)-SUM(EB93:EB95)</f>
      </c>
      <c r="ED119" s="1255">
        <f t="shared" ref="ED119" si="445">SUM(ED93:ED95)-SUM(EC93:EC95)</f>
      </c>
      <c r="EE119" s="20">
        <f t="shared" ref="EE119" si="446">SUM(EE93:EE95)-SUM(ED93:ED95)</f>
      </c>
      <c r="EF119" s="20">
        <f t="shared" ref="EF119" si="447">SUM(EF93:EF95)-SUM(EE93:EE95)</f>
      </c>
      <c r="EG119" s="1256">
        <f t="shared" ref="EG119" si="448">SUM(EG93:EG95)-SUM(EF93:EF95)</f>
      </c>
      <c r="EH119" s="1255">
        <f t="shared" ref="EH119" si="449">SUM(EH93:EH95)-SUM(EG93:EG95)</f>
      </c>
      <c r="EI119" s="20">
        <f t="shared" ref="EI119" si="450">SUM(EI93:EI95)-SUM(EH93:EH95)</f>
      </c>
      <c r="EJ119" s="20">
        <f t="shared" ref="EJ119" si="451">SUM(EJ93:EJ95)-SUM(EI93:EI95)</f>
      </c>
      <c r="EK119" s="1256">
        <f t="shared" ref="EK119" si="452">SUM(EK93:EK95)-SUM(EJ93:EJ95)</f>
      </c>
      <c r="EL119" s="10"/>
    </row>
    <row r="120" spans="1:142">
      <c r="D120" s="16" t="s">
        <v>1267</v>
      </c>
      <c r="CL120" s="10"/>
      <c r="CM120" s="10"/>
      <c r="CN120" s="10"/>
      <c r="CO120" s="238"/>
      <c r="CP120" s="10"/>
      <c r="CQ120" s="10"/>
      <c r="CR120" s="10"/>
      <c r="CS120" s="238"/>
      <c r="CT120" s="381"/>
      <c r="CU120" s="10"/>
      <c r="CV120" s="10"/>
      <c r="CW120" s="238"/>
      <c r="CX120" s="381"/>
      <c r="CY120" s="10"/>
      <c r="CZ120" s="10"/>
      <c r="DA120" s="238"/>
      <c r="DB120" s="381"/>
      <c r="DC120" s="10"/>
      <c r="DD120" s="10"/>
      <c r="DE120" s="238"/>
      <c r="DF120" s="381"/>
      <c r="DG120" s="10"/>
      <c r="DH120" s="10"/>
      <c r="DI120" s="238"/>
      <c r="DJ120" s="381"/>
      <c r="DK120" s="10"/>
      <c r="DL120" s="10"/>
      <c r="DM120" s="238"/>
      <c r="DN120" s="381"/>
      <c r="DO120" s="10"/>
      <c r="DP120" s="10"/>
      <c r="DQ120" s="238"/>
      <c r="DR120" s="381"/>
      <c r="DS120" s="10"/>
      <c r="DT120" s="10"/>
      <c r="DU120" s="238"/>
      <c r="DV120" s="381"/>
      <c r="DW120" s="10"/>
      <c r="DX120" s="10"/>
      <c r="DY120" s="238"/>
      <c r="DZ120" s="381"/>
      <c r="EA120" s="10"/>
      <c r="EB120" s="10"/>
      <c r="EC120" s="238"/>
      <c r="ED120" s="381"/>
      <c r="EE120" s="10"/>
      <c r="EF120" s="10"/>
      <c r="EG120" s="238"/>
      <c r="EH120" s="381"/>
      <c r="EI120" s="10"/>
      <c r="EJ120" s="10"/>
      <c r="EK120" s="238"/>
      <c r="EL120" s="10"/>
    </row>
    <row r="121" spans="1:142">
      <c r="A121" s="11" t="str">
        <f>A11</f>
      </c>
      <c r="B121" s="16"/>
      <c r="D121" s="1136">
        <v>0.01</v>
      </c>
      <c r="CL121" s="1136">
        <f>D121</f>
      </c>
      <c r="CM121" s="1136">
        <f>CL121</f>
      </c>
      <c r="CN121" s="1136">
        <f t="shared" ref="CN121:DU121" si="453">CM121</f>
      </c>
      <c r="CO121" s="1137">
        <f t="shared" si="453"/>
      </c>
      <c r="CP121" s="1136">
        <f t="shared" si="453"/>
      </c>
      <c r="CQ121" s="1136">
        <f t="shared" si="453"/>
      </c>
      <c r="CR121" s="1136">
        <f t="shared" si="453"/>
      </c>
      <c r="CS121" s="1137">
        <f t="shared" si="453"/>
      </c>
      <c r="CT121" s="1243">
        <f t="shared" si="453"/>
      </c>
      <c r="CU121" s="1136">
        <f t="shared" si="453"/>
      </c>
      <c r="CV121" s="1136">
        <f t="shared" si="453"/>
      </c>
      <c r="CW121" s="1137">
        <f t="shared" si="453"/>
      </c>
      <c r="CX121" s="1243">
        <f t="shared" si="453"/>
      </c>
      <c r="CY121" s="1136">
        <f t="shared" si="453"/>
      </c>
      <c r="CZ121" s="1136">
        <f t="shared" si="453"/>
      </c>
      <c r="DA121" s="1137">
        <f t="shared" si="453"/>
      </c>
      <c r="DB121" s="1243">
        <f t="shared" si="453"/>
      </c>
      <c r="DC121" s="1136">
        <f t="shared" si="453"/>
      </c>
      <c r="DD121" s="1136">
        <f t="shared" si="453"/>
      </c>
      <c r="DE121" s="1137">
        <f t="shared" si="453"/>
      </c>
      <c r="DF121" s="1243">
        <f t="shared" si="453"/>
      </c>
      <c r="DG121" s="1136">
        <f t="shared" si="453"/>
      </c>
      <c r="DH121" s="1136">
        <f t="shared" si="453"/>
      </c>
      <c r="DI121" s="1137">
        <f t="shared" si="453"/>
      </c>
      <c r="DJ121" s="1243">
        <f t="shared" si="453"/>
      </c>
      <c r="DK121" s="1136">
        <f t="shared" si="453"/>
      </c>
      <c r="DL121" s="1136">
        <f t="shared" si="453"/>
      </c>
      <c r="DM121" s="1137">
        <f t="shared" si="453"/>
      </c>
      <c r="DN121" s="1243">
        <f t="shared" si="453"/>
      </c>
      <c r="DO121" s="1136">
        <f t="shared" si="453"/>
      </c>
      <c r="DP121" s="1136">
        <f t="shared" si="453"/>
      </c>
      <c r="DQ121" s="1137">
        <f t="shared" si="453"/>
      </c>
      <c r="DR121" s="1243">
        <f t="shared" si="453"/>
      </c>
      <c r="DS121" s="1136">
        <f t="shared" si="453"/>
      </c>
      <c r="DT121" s="1136">
        <f t="shared" si="453"/>
      </c>
      <c r="DU121" s="1137">
        <f t="shared" si="453"/>
      </c>
      <c r="DV121" s="1243">
        <f t="shared" ref="DV121:DV184" si="454">DU121</f>
      </c>
      <c r="DW121" s="1136">
        <f t="shared" ref="DW121:DW184" si="455">DV121</f>
      </c>
      <c r="DX121" s="1136">
        <f t="shared" ref="DX121:DX184" si="456">DW121</f>
      </c>
      <c r="DY121" s="1137">
        <f t="shared" ref="DY121:DY184" si="457">DX121</f>
      </c>
      <c r="DZ121" s="1243">
        <f t="shared" ref="DZ121:DZ184" si="458">DY121</f>
      </c>
      <c r="EA121" s="1136">
        <f t="shared" ref="EA121:EA184" si="459">DZ121</f>
      </c>
      <c r="EB121" s="1136">
        <f t="shared" ref="EB121:EB184" si="460">EA121</f>
      </c>
      <c r="EC121" s="1137">
        <f t="shared" ref="EC121:EC184" si="461">EB121</f>
      </c>
      <c r="ED121" s="1243">
        <f t="shared" ref="ED121:ED184" si="462">EC121</f>
      </c>
      <c r="EE121" s="1136">
        <f t="shared" ref="EE121:EE184" si="463">ED121</f>
      </c>
      <c r="EF121" s="1136">
        <f t="shared" ref="EF121:EF184" si="464">EE121</f>
      </c>
      <c r="EG121" s="1137">
        <f t="shared" ref="EG121:EG184" si="465">EF121</f>
      </c>
      <c r="EH121" s="1243">
        <f t="shared" ref="EH121:EH184" si="466">EG121</f>
      </c>
      <c r="EI121" s="1136">
        <f t="shared" ref="EI121:EI184" si="467">EH121</f>
      </c>
      <c r="EJ121" s="1136">
        <f t="shared" ref="EJ121:EJ184" si="468">EI121</f>
      </c>
      <c r="EK121" s="1137">
        <f t="shared" ref="EK121:EK184" si="469">EJ121</f>
      </c>
      <c r="EL121" s="10"/>
    </row>
    <row r="122" spans="1:142">
      <c r="A122" s="11" t="str">
        <f t="shared" ref="A122:A185" si="470">A12</f>
      </c>
      <c r="D122" s="1136">
        <v>0.01</v>
      </c>
      <c r="CL122" s="1136">
        <f t="shared" ref="CL122:CL185" si="471">D122</f>
      </c>
      <c r="CM122" s="1136">
        <f t="shared" ref="CM122:DU122" si="472">CL122</f>
      </c>
      <c r="CN122" s="1136">
        <f t="shared" si="472"/>
      </c>
      <c r="CO122" s="1137">
        <f t="shared" si="472"/>
      </c>
      <c r="CP122" s="1136">
        <f t="shared" si="472"/>
      </c>
      <c r="CQ122" s="1136">
        <f t="shared" si="472"/>
      </c>
      <c r="CR122" s="1136">
        <f t="shared" si="472"/>
      </c>
      <c r="CS122" s="1137">
        <f t="shared" si="472"/>
      </c>
      <c r="CT122" s="1243">
        <f t="shared" si="472"/>
      </c>
      <c r="CU122" s="1136">
        <f t="shared" si="472"/>
      </c>
      <c r="CV122" s="1136">
        <f t="shared" si="472"/>
      </c>
      <c r="CW122" s="1137">
        <f t="shared" si="472"/>
      </c>
      <c r="CX122" s="1243">
        <f t="shared" si="472"/>
      </c>
      <c r="CY122" s="1136">
        <f t="shared" si="472"/>
      </c>
      <c r="CZ122" s="1136">
        <f t="shared" si="472"/>
      </c>
      <c r="DA122" s="1137">
        <f t="shared" si="472"/>
      </c>
      <c r="DB122" s="1243">
        <f t="shared" si="472"/>
      </c>
      <c r="DC122" s="1136">
        <f t="shared" si="472"/>
      </c>
      <c r="DD122" s="1136">
        <f t="shared" si="472"/>
      </c>
      <c r="DE122" s="1137">
        <f t="shared" si="472"/>
      </c>
      <c r="DF122" s="1243">
        <f t="shared" si="472"/>
      </c>
      <c r="DG122" s="1136">
        <f t="shared" si="472"/>
      </c>
      <c r="DH122" s="1136">
        <f t="shared" si="472"/>
      </c>
      <c r="DI122" s="1137">
        <f t="shared" si="472"/>
      </c>
      <c r="DJ122" s="1243">
        <f t="shared" si="472"/>
      </c>
      <c r="DK122" s="1136">
        <f t="shared" si="472"/>
      </c>
      <c r="DL122" s="1136">
        <f t="shared" si="472"/>
      </c>
      <c r="DM122" s="1137">
        <f t="shared" si="472"/>
      </c>
      <c r="DN122" s="1243">
        <f t="shared" si="472"/>
      </c>
      <c r="DO122" s="1136">
        <f t="shared" si="472"/>
      </c>
      <c r="DP122" s="1136">
        <f t="shared" si="472"/>
      </c>
      <c r="DQ122" s="1137">
        <f t="shared" si="472"/>
      </c>
      <c r="DR122" s="1243">
        <f t="shared" si="472"/>
      </c>
      <c r="DS122" s="1136">
        <f t="shared" si="472"/>
      </c>
      <c r="DT122" s="1136">
        <f t="shared" si="472"/>
      </c>
      <c r="DU122" s="1137">
        <f t="shared" si="472"/>
      </c>
      <c r="DV122" s="1243">
        <f t="shared" si="454"/>
      </c>
      <c r="DW122" s="1136">
        <f t="shared" si="455"/>
      </c>
      <c r="DX122" s="1136">
        <f t="shared" si="456"/>
      </c>
      <c r="DY122" s="1137">
        <f t="shared" si="457"/>
      </c>
      <c r="DZ122" s="1243">
        <f t="shared" si="458"/>
      </c>
      <c r="EA122" s="1136">
        <f t="shared" si="459"/>
      </c>
      <c r="EB122" s="1136">
        <f t="shared" si="460"/>
      </c>
      <c r="EC122" s="1137">
        <f t="shared" si="461"/>
      </c>
      <c r="ED122" s="1243">
        <f t="shared" si="462"/>
      </c>
      <c r="EE122" s="1136">
        <f t="shared" si="463"/>
      </c>
      <c r="EF122" s="1136">
        <f t="shared" si="464"/>
      </c>
      <c r="EG122" s="1137">
        <f t="shared" si="465"/>
      </c>
      <c r="EH122" s="1243">
        <f t="shared" si="466"/>
      </c>
      <c r="EI122" s="1136">
        <f t="shared" si="467"/>
      </c>
      <c r="EJ122" s="1136">
        <f t="shared" si="468"/>
      </c>
      <c r="EK122" s="1137">
        <f t="shared" si="469"/>
      </c>
      <c r="EL122" s="10"/>
    </row>
    <row r="123" spans="1:142">
      <c r="A123" s="11" t="str">
        <f t="shared" si="470"/>
      </c>
      <c r="D123" s="1136">
        <v>1.4500000000000001E-2</v>
      </c>
      <c r="CL123" s="1136">
        <f t="shared" si="471"/>
      </c>
      <c r="CM123" s="1136">
        <f t="shared" ref="CM123:DU123" si="473">CL123</f>
      </c>
      <c r="CN123" s="1136">
        <f t="shared" si="473"/>
      </c>
      <c r="CO123" s="1137">
        <f t="shared" si="473"/>
      </c>
      <c r="CP123" s="1136">
        <f t="shared" si="473"/>
      </c>
      <c r="CQ123" s="1136">
        <f t="shared" si="473"/>
      </c>
      <c r="CR123" s="1136">
        <f t="shared" si="473"/>
      </c>
      <c r="CS123" s="1137">
        <f t="shared" si="473"/>
      </c>
      <c r="CT123" s="1243">
        <f t="shared" si="473"/>
      </c>
      <c r="CU123" s="1136">
        <f t="shared" si="473"/>
      </c>
      <c r="CV123" s="1136">
        <f t="shared" si="473"/>
      </c>
      <c r="CW123" s="1137">
        <f t="shared" si="473"/>
      </c>
      <c r="CX123" s="1243">
        <f t="shared" si="473"/>
      </c>
      <c r="CY123" s="1136">
        <f t="shared" si="473"/>
      </c>
      <c r="CZ123" s="1136">
        <f t="shared" si="473"/>
      </c>
      <c r="DA123" s="1137">
        <f t="shared" si="473"/>
      </c>
      <c r="DB123" s="1243">
        <f t="shared" si="473"/>
      </c>
      <c r="DC123" s="1136">
        <f t="shared" si="473"/>
      </c>
      <c r="DD123" s="1136">
        <f t="shared" si="473"/>
      </c>
      <c r="DE123" s="1137">
        <f t="shared" si="473"/>
      </c>
      <c r="DF123" s="1243">
        <f t="shared" si="473"/>
      </c>
      <c r="DG123" s="1136">
        <f t="shared" si="473"/>
      </c>
      <c r="DH123" s="1136">
        <f t="shared" si="473"/>
      </c>
      <c r="DI123" s="1137">
        <f t="shared" si="473"/>
      </c>
      <c r="DJ123" s="1243">
        <f t="shared" si="473"/>
      </c>
      <c r="DK123" s="1136">
        <f t="shared" si="473"/>
      </c>
      <c r="DL123" s="1136">
        <f t="shared" si="473"/>
      </c>
      <c r="DM123" s="1137">
        <f t="shared" si="473"/>
      </c>
      <c r="DN123" s="1243">
        <f t="shared" si="473"/>
      </c>
      <c r="DO123" s="1136">
        <f t="shared" si="473"/>
      </c>
      <c r="DP123" s="1136">
        <f t="shared" si="473"/>
      </c>
      <c r="DQ123" s="1137">
        <f t="shared" si="473"/>
      </c>
      <c r="DR123" s="1243">
        <f t="shared" si="473"/>
      </c>
      <c r="DS123" s="1136">
        <f t="shared" si="473"/>
      </c>
      <c r="DT123" s="1136">
        <f t="shared" si="473"/>
      </c>
      <c r="DU123" s="1137">
        <f t="shared" si="473"/>
      </c>
      <c r="DV123" s="1243">
        <f t="shared" si="454"/>
      </c>
      <c r="DW123" s="1136">
        <f t="shared" si="455"/>
      </c>
      <c r="DX123" s="1136">
        <f t="shared" si="456"/>
      </c>
      <c r="DY123" s="1137">
        <f t="shared" si="457"/>
      </c>
      <c r="DZ123" s="1243">
        <f t="shared" si="458"/>
      </c>
      <c r="EA123" s="1136">
        <f t="shared" si="459"/>
      </c>
      <c r="EB123" s="1136">
        <f t="shared" si="460"/>
      </c>
      <c r="EC123" s="1137">
        <f t="shared" si="461"/>
      </c>
      <c r="ED123" s="1243">
        <f t="shared" si="462"/>
      </c>
      <c r="EE123" s="1136">
        <f t="shared" si="463"/>
      </c>
      <c r="EF123" s="1136">
        <f t="shared" si="464"/>
      </c>
      <c r="EG123" s="1137">
        <f t="shared" si="465"/>
      </c>
      <c r="EH123" s="1243">
        <f t="shared" si="466"/>
      </c>
      <c r="EI123" s="1136">
        <f t="shared" si="467"/>
      </c>
      <c r="EJ123" s="1136">
        <f t="shared" si="468"/>
      </c>
      <c r="EK123" s="1137">
        <f t="shared" si="469"/>
      </c>
      <c r="EL123" s="10"/>
    </row>
    <row r="124" spans="1:142">
      <c r="A124" s="11" t="str">
        <f t="shared" si="470"/>
      </c>
      <c r="D124" s="1136">
        <v>2.4E-2</v>
      </c>
      <c r="CL124" s="1136">
        <f t="shared" si="471"/>
      </c>
      <c r="CM124" s="1136">
        <f t="shared" ref="CM124:DU124" si="474">CL124</f>
      </c>
      <c r="CN124" s="1136">
        <f t="shared" si="474"/>
      </c>
      <c r="CO124" s="1137">
        <f t="shared" si="474"/>
      </c>
      <c r="CP124" s="1136">
        <f t="shared" si="474"/>
      </c>
      <c r="CQ124" s="1136">
        <f t="shared" si="474"/>
      </c>
      <c r="CR124" s="1136">
        <f t="shared" si="474"/>
      </c>
      <c r="CS124" s="1137">
        <f t="shared" si="474"/>
      </c>
      <c r="CT124" s="1243">
        <f t="shared" si="474"/>
      </c>
      <c r="CU124" s="1136">
        <f t="shared" si="474"/>
      </c>
      <c r="CV124" s="1136">
        <f t="shared" si="474"/>
      </c>
      <c r="CW124" s="1137">
        <f t="shared" si="474"/>
      </c>
      <c r="CX124" s="1243">
        <f t="shared" si="474"/>
      </c>
      <c r="CY124" s="1136">
        <f t="shared" si="474"/>
      </c>
      <c r="CZ124" s="1136">
        <f t="shared" si="474"/>
      </c>
      <c r="DA124" s="1137">
        <f t="shared" si="474"/>
      </c>
      <c r="DB124" s="1243">
        <f t="shared" si="474"/>
      </c>
      <c r="DC124" s="1136">
        <f t="shared" si="474"/>
      </c>
      <c r="DD124" s="1136">
        <f t="shared" si="474"/>
      </c>
      <c r="DE124" s="1137">
        <f t="shared" si="474"/>
      </c>
      <c r="DF124" s="1243">
        <f t="shared" si="474"/>
      </c>
      <c r="DG124" s="1136">
        <f t="shared" si="474"/>
      </c>
      <c r="DH124" s="1136">
        <f t="shared" si="474"/>
      </c>
      <c r="DI124" s="1137">
        <f t="shared" si="474"/>
      </c>
      <c r="DJ124" s="1243">
        <f t="shared" si="474"/>
      </c>
      <c r="DK124" s="1136">
        <f t="shared" si="474"/>
      </c>
      <c r="DL124" s="1136">
        <f t="shared" si="474"/>
      </c>
      <c r="DM124" s="1137">
        <f t="shared" si="474"/>
      </c>
      <c r="DN124" s="1243">
        <f t="shared" si="474"/>
      </c>
      <c r="DO124" s="1136">
        <f t="shared" si="474"/>
      </c>
      <c r="DP124" s="1136">
        <f t="shared" si="474"/>
      </c>
      <c r="DQ124" s="1137">
        <f t="shared" si="474"/>
      </c>
      <c r="DR124" s="1243">
        <f t="shared" si="474"/>
      </c>
      <c r="DS124" s="1136">
        <f t="shared" si="474"/>
      </c>
      <c r="DT124" s="1136">
        <f t="shared" si="474"/>
      </c>
      <c r="DU124" s="1137">
        <f t="shared" si="474"/>
      </c>
      <c r="DV124" s="1243">
        <f t="shared" si="454"/>
      </c>
      <c r="DW124" s="1136">
        <f t="shared" si="455"/>
      </c>
      <c r="DX124" s="1136">
        <f t="shared" si="456"/>
      </c>
      <c r="DY124" s="1137">
        <f t="shared" si="457"/>
      </c>
      <c r="DZ124" s="1243">
        <f t="shared" si="458"/>
      </c>
      <c r="EA124" s="1136">
        <f t="shared" si="459"/>
      </c>
      <c r="EB124" s="1136">
        <f t="shared" si="460"/>
      </c>
      <c r="EC124" s="1137">
        <f t="shared" si="461"/>
      </c>
      <c r="ED124" s="1243">
        <f t="shared" si="462"/>
      </c>
      <c r="EE124" s="1136">
        <f t="shared" si="463"/>
      </c>
      <c r="EF124" s="1136">
        <f t="shared" si="464"/>
      </c>
      <c r="EG124" s="1137">
        <f t="shared" si="465"/>
      </c>
      <c r="EH124" s="1243">
        <f t="shared" si="466"/>
      </c>
      <c r="EI124" s="1136">
        <f t="shared" si="467"/>
      </c>
      <c r="EJ124" s="1136">
        <f t="shared" si="468"/>
      </c>
      <c r="EK124" s="1137">
        <f t="shared" si="469"/>
      </c>
      <c r="EL124" s="10"/>
    </row>
    <row r="125" spans="1:142">
      <c r="A125" s="11" t="str">
        <f t="shared" si="470"/>
      </c>
      <c r="D125" s="1136">
        <v>3.85E-2</v>
      </c>
      <c r="CL125" s="1136">
        <f t="shared" si="471"/>
      </c>
      <c r="CM125" s="1136">
        <f t="shared" ref="CM125:DU125" si="475">CL125</f>
      </c>
      <c r="CN125" s="1136">
        <f t="shared" si="475"/>
      </c>
      <c r="CO125" s="1137">
        <f t="shared" si="475"/>
      </c>
      <c r="CP125" s="1136">
        <f t="shared" si="475"/>
      </c>
      <c r="CQ125" s="1136">
        <f t="shared" si="475"/>
      </c>
      <c r="CR125" s="1136">
        <f t="shared" si="475"/>
      </c>
      <c r="CS125" s="1137">
        <f t="shared" si="475"/>
      </c>
      <c r="CT125" s="1243">
        <f t="shared" si="475"/>
      </c>
      <c r="CU125" s="1136">
        <f t="shared" si="475"/>
      </c>
      <c r="CV125" s="1136">
        <f t="shared" si="475"/>
      </c>
      <c r="CW125" s="1137">
        <f t="shared" si="475"/>
      </c>
      <c r="CX125" s="1243">
        <f t="shared" si="475"/>
      </c>
      <c r="CY125" s="1136">
        <f t="shared" si="475"/>
      </c>
      <c r="CZ125" s="1136">
        <f t="shared" si="475"/>
      </c>
      <c r="DA125" s="1137">
        <f t="shared" si="475"/>
      </c>
      <c r="DB125" s="1243">
        <f t="shared" si="475"/>
      </c>
      <c r="DC125" s="1136">
        <f t="shared" si="475"/>
      </c>
      <c r="DD125" s="1136">
        <f t="shared" si="475"/>
      </c>
      <c r="DE125" s="1137">
        <f t="shared" si="475"/>
      </c>
      <c r="DF125" s="1243">
        <f t="shared" si="475"/>
      </c>
      <c r="DG125" s="1136">
        <f t="shared" si="475"/>
      </c>
      <c r="DH125" s="1136">
        <f t="shared" si="475"/>
      </c>
      <c r="DI125" s="1137">
        <f t="shared" si="475"/>
      </c>
      <c r="DJ125" s="1243">
        <f t="shared" si="475"/>
      </c>
      <c r="DK125" s="1136">
        <f t="shared" si="475"/>
      </c>
      <c r="DL125" s="1136">
        <f t="shared" si="475"/>
      </c>
      <c r="DM125" s="1137">
        <f t="shared" si="475"/>
      </c>
      <c r="DN125" s="1243">
        <f t="shared" si="475"/>
      </c>
      <c r="DO125" s="1136">
        <f t="shared" si="475"/>
      </c>
      <c r="DP125" s="1136">
        <f t="shared" si="475"/>
      </c>
      <c r="DQ125" s="1137">
        <f t="shared" si="475"/>
      </c>
      <c r="DR125" s="1243">
        <f t="shared" si="475"/>
      </c>
      <c r="DS125" s="1136">
        <f t="shared" si="475"/>
      </c>
      <c r="DT125" s="1136">
        <f t="shared" si="475"/>
      </c>
      <c r="DU125" s="1137">
        <f t="shared" si="475"/>
      </c>
      <c r="DV125" s="1243">
        <f t="shared" si="454"/>
      </c>
      <c r="DW125" s="1136">
        <f t="shared" si="455"/>
      </c>
      <c r="DX125" s="1136">
        <f t="shared" si="456"/>
      </c>
      <c r="DY125" s="1137">
        <f t="shared" si="457"/>
      </c>
      <c r="DZ125" s="1243">
        <f t="shared" si="458"/>
      </c>
      <c r="EA125" s="1136">
        <f t="shared" si="459"/>
      </c>
      <c r="EB125" s="1136">
        <f t="shared" si="460"/>
      </c>
      <c r="EC125" s="1137">
        <f t="shared" si="461"/>
      </c>
      <c r="ED125" s="1243">
        <f t="shared" si="462"/>
      </c>
      <c r="EE125" s="1136">
        <f t="shared" si="463"/>
      </c>
      <c r="EF125" s="1136">
        <f t="shared" si="464"/>
      </c>
      <c r="EG125" s="1137">
        <f t="shared" si="465"/>
      </c>
      <c r="EH125" s="1243">
        <f t="shared" si="466"/>
      </c>
      <c r="EI125" s="1136">
        <f t="shared" si="467"/>
      </c>
      <c r="EJ125" s="1136">
        <f t="shared" si="468"/>
      </c>
      <c r="EK125" s="1137">
        <f t="shared" si="469"/>
      </c>
      <c r="EL125" s="10"/>
    </row>
    <row r="126" spans="1:142">
      <c r="A126" s="11" t="str">
        <f t="shared" si="470"/>
      </c>
      <c r="D126" s="1136">
        <v>0.02</v>
      </c>
      <c r="CL126" s="1136">
        <f t="shared" si="471"/>
      </c>
      <c r="CM126" s="1136">
        <f t="shared" ref="CM126:DU126" si="476">CL126</f>
      </c>
      <c r="CN126" s="1136">
        <f t="shared" si="476"/>
      </c>
      <c r="CO126" s="1137">
        <f t="shared" si="476"/>
      </c>
      <c r="CP126" s="1136">
        <f t="shared" si="476"/>
      </c>
      <c r="CQ126" s="1136">
        <f t="shared" si="476"/>
      </c>
      <c r="CR126" s="1136">
        <f t="shared" si="476"/>
      </c>
      <c r="CS126" s="1137">
        <f t="shared" si="476"/>
      </c>
      <c r="CT126" s="1243">
        <f t="shared" si="476"/>
      </c>
      <c r="CU126" s="1136">
        <f t="shared" si="476"/>
      </c>
      <c r="CV126" s="1136">
        <f t="shared" si="476"/>
      </c>
      <c r="CW126" s="1137">
        <f t="shared" si="476"/>
      </c>
      <c r="CX126" s="1243">
        <f t="shared" si="476"/>
      </c>
      <c r="CY126" s="1136">
        <f t="shared" si="476"/>
      </c>
      <c r="CZ126" s="1136">
        <f t="shared" si="476"/>
      </c>
      <c r="DA126" s="1137">
        <f t="shared" si="476"/>
      </c>
      <c r="DB126" s="1243">
        <f t="shared" si="476"/>
      </c>
      <c r="DC126" s="1136">
        <f t="shared" si="476"/>
      </c>
      <c r="DD126" s="1136">
        <f t="shared" si="476"/>
      </c>
      <c r="DE126" s="1137">
        <f t="shared" si="476"/>
      </c>
      <c r="DF126" s="1243">
        <f t="shared" si="476"/>
      </c>
      <c r="DG126" s="1136">
        <f t="shared" si="476"/>
      </c>
      <c r="DH126" s="1136">
        <f t="shared" si="476"/>
      </c>
      <c r="DI126" s="1137">
        <f t="shared" si="476"/>
      </c>
      <c r="DJ126" s="1243">
        <f t="shared" si="476"/>
      </c>
      <c r="DK126" s="1136">
        <f t="shared" si="476"/>
      </c>
      <c r="DL126" s="1136">
        <f t="shared" si="476"/>
      </c>
      <c r="DM126" s="1137">
        <f t="shared" si="476"/>
      </c>
      <c r="DN126" s="1243">
        <f t="shared" si="476"/>
      </c>
      <c r="DO126" s="1136">
        <f t="shared" si="476"/>
      </c>
      <c r="DP126" s="1136">
        <f t="shared" si="476"/>
      </c>
      <c r="DQ126" s="1137">
        <f t="shared" si="476"/>
      </c>
      <c r="DR126" s="1243">
        <f t="shared" si="476"/>
      </c>
      <c r="DS126" s="1136">
        <f t="shared" si="476"/>
      </c>
      <c r="DT126" s="1136">
        <f t="shared" si="476"/>
      </c>
      <c r="DU126" s="1137">
        <f t="shared" si="476"/>
      </c>
      <c r="DV126" s="1243">
        <f t="shared" si="454"/>
      </c>
      <c r="DW126" s="1136">
        <f t="shared" si="455"/>
      </c>
      <c r="DX126" s="1136">
        <f t="shared" si="456"/>
      </c>
      <c r="DY126" s="1137">
        <f t="shared" si="457"/>
      </c>
      <c r="DZ126" s="1243">
        <f t="shared" si="458"/>
      </c>
      <c r="EA126" s="1136">
        <f t="shared" si="459"/>
      </c>
      <c r="EB126" s="1136">
        <f t="shared" si="460"/>
      </c>
      <c r="EC126" s="1137">
        <f t="shared" si="461"/>
      </c>
      <c r="ED126" s="1243">
        <f t="shared" si="462"/>
      </c>
      <c r="EE126" s="1136">
        <f t="shared" si="463"/>
      </c>
      <c r="EF126" s="1136">
        <f t="shared" si="464"/>
      </c>
      <c r="EG126" s="1137">
        <f t="shared" si="465"/>
      </c>
      <c r="EH126" s="1243">
        <f t="shared" si="466"/>
      </c>
      <c r="EI126" s="1136">
        <f t="shared" si="467"/>
      </c>
      <c r="EJ126" s="1136">
        <f t="shared" si="468"/>
      </c>
      <c r="EK126" s="1137">
        <f t="shared" si="469"/>
      </c>
      <c r="EL126" s="10"/>
    </row>
    <row r="127" spans="1:142">
      <c r="A127" s="11" t="str">
        <f t="shared" si="470"/>
      </c>
      <c r="D127" s="1136">
        <v>2.1000000000000001E-2</v>
      </c>
      <c r="CL127" s="1136">
        <f t="shared" si="471"/>
      </c>
      <c r="CM127" s="1136">
        <f t="shared" ref="CM127:DU127" si="477">CL127</f>
      </c>
      <c r="CN127" s="1136">
        <f t="shared" si="477"/>
      </c>
      <c r="CO127" s="1137">
        <f t="shared" si="477"/>
      </c>
      <c r="CP127" s="1136">
        <f t="shared" si="477"/>
      </c>
      <c r="CQ127" s="1136">
        <f t="shared" si="477"/>
      </c>
      <c r="CR127" s="1136">
        <f t="shared" si="477"/>
      </c>
      <c r="CS127" s="1137">
        <f t="shared" si="477"/>
      </c>
      <c r="CT127" s="1243">
        <f t="shared" si="477"/>
      </c>
      <c r="CU127" s="1136">
        <f t="shared" si="477"/>
      </c>
      <c r="CV127" s="1136">
        <f t="shared" si="477"/>
      </c>
      <c r="CW127" s="1137">
        <f t="shared" si="477"/>
      </c>
      <c r="CX127" s="1243">
        <f t="shared" si="477"/>
      </c>
      <c r="CY127" s="1136">
        <f t="shared" si="477"/>
      </c>
      <c r="CZ127" s="1136">
        <f t="shared" si="477"/>
      </c>
      <c r="DA127" s="1137">
        <f t="shared" si="477"/>
      </c>
      <c r="DB127" s="1243">
        <f t="shared" si="477"/>
      </c>
      <c r="DC127" s="1136">
        <f t="shared" si="477"/>
      </c>
      <c r="DD127" s="1136">
        <f t="shared" si="477"/>
      </c>
      <c r="DE127" s="1137">
        <f t="shared" si="477"/>
      </c>
      <c r="DF127" s="1243">
        <f t="shared" si="477"/>
      </c>
      <c r="DG127" s="1136">
        <f t="shared" si="477"/>
      </c>
      <c r="DH127" s="1136">
        <f t="shared" si="477"/>
      </c>
      <c r="DI127" s="1137">
        <f t="shared" si="477"/>
      </c>
      <c r="DJ127" s="1243">
        <f t="shared" si="477"/>
      </c>
      <c r="DK127" s="1136">
        <f t="shared" si="477"/>
      </c>
      <c r="DL127" s="1136">
        <f t="shared" si="477"/>
      </c>
      <c r="DM127" s="1137">
        <f t="shared" si="477"/>
      </c>
      <c r="DN127" s="1243">
        <f t="shared" si="477"/>
      </c>
      <c r="DO127" s="1136">
        <f t="shared" si="477"/>
      </c>
      <c r="DP127" s="1136">
        <f t="shared" si="477"/>
      </c>
      <c r="DQ127" s="1137">
        <f t="shared" si="477"/>
      </c>
      <c r="DR127" s="1243">
        <f t="shared" si="477"/>
      </c>
      <c r="DS127" s="1136">
        <f t="shared" si="477"/>
      </c>
      <c r="DT127" s="1136">
        <f t="shared" si="477"/>
      </c>
      <c r="DU127" s="1137">
        <f t="shared" si="477"/>
      </c>
      <c r="DV127" s="1243">
        <f t="shared" si="454"/>
      </c>
      <c r="DW127" s="1136">
        <f t="shared" si="455"/>
      </c>
      <c r="DX127" s="1136">
        <f t="shared" si="456"/>
      </c>
      <c r="DY127" s="1137">
        <f t="shared" si="457"/>
      </c>
      <c r="DZ127" s="1243">
        <f t="shared" si="458"/>
      </c>
      <c r="EA127" s="1136">
        <f t="shared" si="459"/>
      </c>
      <c r="EB127" s="1136">
        <f t="shared" si="460"/>
      </c>
      <c r="EC127" s="1137">
        <f t="shared" si="461"/>
      </c>
      <c r="ED127" s="1243">
        <f t="shared" si="462"/>
      </c>
      <c r="EE127" s="1136">
        <f t="shared" si="463"/>
      </c>
      <c r="EF127" s="1136">
        <f t="shared" si="464"/>
      </c>
      <c r="EG127" s="1137">
        <f t="shared" si="465"/>
      </c>
      <c r="EH127" s="1243">
        <f t="shared" si="466"/>
      </c>
      <c r="EI127" s="1136">
        <f t="shared" si="467"/>
      </c>
      <c r="EJ127" s="1136">
        <f t="shared" si="468"/>
      </c>
      <c r="EK127" s="1137">
        <f t="shared" si="469"/>
      </c>
      <c r="EL127" s="10"/>
    </row>
    <row r="128" spans="1:142">
      <c r="A128" s="11" t="str">
        <f t="shared" si="470"/>
      </c>
      <c r="D128" s="1136">
        <v>2.8500000000000001E-2</v>
      </c>
      <c r="CL128" s="1136">
        <f t="shared" si="471"/>
      </c>
      <c r="CM128" s="1136">
        <f t="shared" ref="CM128:DU128" si="478">CL128</f>
      </c>
      <c r="CN128" s="1136">
        <f t="shared" si="478"/>
      </c>
      <c r="CO128" s="1137">
        <f t="shared" si="478"/>
      </c>
      <c r="CP128" s="1136">
        <f t="shared" si="478"/>
      </c>
      <c r="CQ128" s="1136">
        <f t="shared" si="478"/>
      </c>
      <c r="CR128" s="1136">
        <f t="shared" si="478"/>
      </c>
      <c r="CS128" s="1137">
        <f t="shared" si="478"/>
      </c>
      <c r="CT128" s="1243">
        <f t="shared" si="478"/>
      </c>
      <c r="CU128" s="1136">
        <f t="shared" si="478"/>
      </c>
      <c r="CV128" s="1136">
        <f t="shared" si="478"/>
      </c>
      <c r="CW128" s="1137">
        <f t="shared" si="478"/>
      </c>
      <c r="CX128" s="1243">
        <f t="shared" si="478"/>
      </c>
      <c r="CY128" s="1136">
        <f t="shared" si="478"/>
      </c>
      <c r="CZ128" s="1136">
        <f t="shared" si="478"/>
      </c>
      <c r="DA128" s="1137">
        <f t="shared" si="478"/>
      </c>
      <c r="DB128" s="1243">
        <f t="shared" si="478"/>
      </c>
      <c r="DC128" s="1136">
        <f t="shared" si="478"/>
      </c>
      <c r="DD128" s="1136">
        <f t="shared" si="478"/>
      </c>
      <c r="DE128" s="1137">
        <f t="shared" si="478"/>
      </c>
      <c r="DF128" s="1243">
        <f t="shared" si="478"/>
      </c>
      <c r="DG128" s="1136">
        <f t="shared" si="478"/>
      </c>
      <c r="DH128" s="1136">
        <f t="shared" si="478"/>
      </c>
      <c r="DI128" s="1137">
        <f t="shared" si="478"/>
      </c>
      <c r="DJ128" s="1243">
        <f t="shared" si="478"/>
      </c>
      <c r="DK128" s="1136">
        <f t="shared" si="478"/>
      </c>
      <c r="DL128" s="1136">
        <f t="shared" si="478"/>
      </c>
      <c r="DM128" s="1137">
        <f t="shared" si="478"/>
      </c>
      <c r="DN128" s="1243">
        <f t="shared" si="478"/>
      </c>
      <c r="DO128" s="1136">
        <f t="shared" si="478"/>
      </c>
      <c r="DP128" s="1136">
        <f t="shared" si="478"/>
      </c>
      <c r="DQ128" s="1137">
        <f t="shared" si="478"/>
      </c>
      <c r="DR128" s="1243">
        <f t="shared" si="478"/>
      </c>
      <c r="DS128" s="1136">
        <f t="shared" si="478"/>
      </c>
      <c r="DT128" s="1136">
        <f t="shared" si="478"/>
      </c>
      <c r="DU128" s="1137">
        <f t="shared" si="478"/>
      </c>
      <c r="DV128" s="1243">
        <f t="shared" si="454"/>
      </c>
      <c r="DW128" s="1136">
        <f t="shared" si="455"/>
      </c>
      <c r="DX128" s="1136">
        <f t="shared" si="456"/>
      </c>
      <c r="DY128" s="1137">
        <f t="shared" si="457"/>
      </c>
      <c r="DZ128" s="1243">
        <f t="shared" si="458"/>
      </c>
      <c r="EA128" s="1136">
        <f t="shared" si="459"/>
      </c>
      <c r="EB128" s="1136">
        <f t="shared" si="460"/>
      </c>
      <c r="EC128" s="1137">
        <f t="shared" si="461"/>
      </c>
      <c r="ED128" s="1243">
        <f t="shared" si="462"/>
      </c>
      <c r="EE128" s="1136">
        <f t="shared" si="463"/>
      </c>
      <c r="EF128" s="1136">
        <f t="shared" si="464"/>
      </c>
      <c r="EG128" s="1137">
        <f t="shared" si="465"/>
      </c>
      <c r="EH128" s="1243">
        <f t="shared" si="466"/>
      </c>
      <c r="EI128" s="1136">
        <f t="shared" si="467"/>
      </c>
      <c r="EJ128" s="1136">
        <f t="shared" si="468"/>
      </c>
      <c r="EK128" s="1137">
        <f t="shared" si="469"/>
      </c>
      <c r="EL128" s="10"/>
    </row>
    <row r="129" spans="1:142">
      <c r="A129" s="11" t="str">
        <f t="shared" si="470"/>
      </c>
      <c r="D129" s="1136">
        <v>3.4500000000000003E-2</v>
      </c>
      <c r="CL129" s="1136">
        <f t="shared" si="471"/>
      </c>
      <c r="CM129" s="1136">
        <f t="shared" ref="CM129:DU129" si="479">CL129</f>
      </c>
      <c r="CN129" s="1136">
        <f t="shared" si="479"/>
      </c>
      <c r="CO129" s="1137">
        <f t="shared" si="479"/>
      </c>
      <c r="CP129" s="1136">
        <f t="shared" si="479"/>
      </c>
      <c r="CQ129" s="1136">
        <f t="shared" si="479"/>
      </c>
      <c r="CR129" s="1136">
        <f t="shared" si="479"/>
      </c>
      <c r="CS129" s="1137">
        <f t="shared" si="479"/>
      </c>
      <c r="CT129" s="1243">
        <f t="shared" si="479"/>
      </c>
      <c r="CU129" s="1136">
        <f t="shared" si="479"/>
      </c>
      <c r="CV129" s="1136">
        <f t="shared" si="479"/>
      </c>
      <c r="CW129" s="1137">
        <f t="shared" si="479"/>
      </c>
      <c r="CX129" s="1243">
        <f t="shared" si="479"/>
      </c>
      <c r="CY129" s="1136">
        <f t="shared" si="479"/>
      </c>
      <c r="CZ129" s="1136">
        <f t="shared" si="479"/>
      </c>
      <c r="DA129" s="1137">
        <f t="shared" si="479"/>
      </c>
      <c r="DB129" s="1243">
        <f t="shared" si="479"/>
      </c>
      <c r="DC129" s="1136">
        <f t="shared" si="479"/>
      </c>
      <c r="DD129" s="1136">
        <f t="shared" si="479"/>
      </c>
      <c r="DE129" s="1137">
        <f t="shared" si="479"/>
      </c>
      <c r="DF129" s="1243">
        <f t="shared" si="479"/>
      </c>
      <c r="DG129" s="1136">
        <f t="shared" si="479"/>
      </c>
      <c r="DH129" s="1136">
        <f t="shared" si="479"/>
      </c>
      <c r="DI129" s="1137">
        <f t="shared" si="479"/>
      </c>
      <c r="DJ129" s="1243">
        <f t="shared" si="479"/>
      </c>
      <c r="DK129" s="1136">
        <f t="shared" si="479"/>
      </c>
      <c r="DL129" s="1136">
        <f t="shared" si="479"/>
      </c>
      <c r="DM129" s="1137">
        <f t="shared" si="479"/>
      </c>
      <c r="DN129" s="1243">
        <f t="shared" si="479"/>
      </c>
      <c r="DO129" s="1136">
        <f t="shared" si="479"/>
      </c>
      <c r="DP129" s="1136">
        <f t="shared" si="479"/>
      </c>
      <c r="DQ129" s="1137">
        <f t="shared" si="479"/>
      </c>
      <c r="DR129" s="1243">
        <f t="shared" si="479"/>
      </c>
      <c r="DS129" s="1136">
        <f t="shared" si="479"/>
      </c>
      <c r="DT129" s="1136">
        <f t="shared" si="479"/>
      </c>
      <c r="DU129" s="1137">
        <f t="shared" si="479"/>
      </c>
      <c r="DV129" s="1243">
        <f t="shared" si="454"/>
      </c>
      <c r="DW129" s="1136">
        <f t="shared" si="455"/>
      </c>
      <c r="DX129" s="1136">
        <f t="shared" si="456"/>
      </c>
      <c r="DY129" s="1137">
        <f t="shared" si="457"/>
      </c>
      <c r="DZ129" s="1243">
        <f t="shared" si="458"/>
      </c>
      <c r="EA129" s="1136">
        <f t="shared" si="459"/>
      </c>
      <c r="EB129" s="1136">
        <f t="shared" si="460"/>
      </c>
      <c r="EC129" s="1137">
        <f t="shared" si="461"/>
      </c>
      <c r="ED129" s="1243">
        <f t="shared" si="462"/>
      </c>
      <c r="EE129" s="1136">
        <f t="shared" si="463"/>
      </c>
      <c r="EF129" s="1136">
        <f t="shared" si="464"/>
      </c>
      <c r="EG129" s="1137">
        <f t="shared" si="465"/>
      </c>
      <c r="EH129" s="1243">
        <f t="shared" si="466"/>
      </c>
      <c r="EI129" s="1136">
        <f t="shared" si="467"/>
      </c>
      <c r="EJ129" s="1136">
        <f t="shared" si="468"/>
      </c>
      <c r="EK129" s="1137">
        <f t="shared" si="469"/>
      </c>
      <c r="EL129" s="10"/>
    </row>
    <row r="130" spans="1:142">
      <c r="A130" s="11" t="str">
        <f t="shared" si="470"/>
      </c>
      <c r="D130" s="1136">
        <v>4.4499999999999998E-2</v>
      </c>
      <c r="CL130" s="1136">
        <f t="shared" si="471"/>
      </c>
      <c r="CM130" s="1136">
        <f t="shared" ref="CM130:DU130" si="480">CL130</f>
      </c>
      <c r="CN130" s="1136">
        <f t="shared" si="480"/>
      </c>
      <c r="CO130" s="1137">
        <f t="shared" si="480"/>
      </c>
      <c r="CP130" s="1136">
        <f t="shared" si="480"/>
      </c>
      <c r="CQ130" s="1136">
        <f t="shared" si="480"/>
      </c>
      <c r="CR130" s="1136">
        <f t="shared" si="480"/>
      </c>
      <c r="CS130" s="1137">
        <f t="shared" si="480"/>
      </c>
      <c r="CT130" s="1243">
        <f t="shared" si="480"/>
      </c>
      <c r="CU130" s="1136">
        <f t="shared" si="480"/>
      </c>
      <c r="CV130" s="1136">
        <f t="shared" si="480"/>
      </c>
      <c r="CW130" s="1137">
        <f t="shared" si="480"/>
      </c>
      <c r="CX130" s="1243">
        <f t="shared" si="480"/>
      </c>
      <c r="CY130" s="1136">
        <f t="shared" si="480"/>
      </c>
      <c r="CZ130" s="1136">
        <f t="shared" si="480"/>
      </c>
      <c r="DA130" s="1137">
        <f t="shared" si="480"/>
      </c>
      <c r="DB130" s="1243">
        <f t="shared" si="480"/>
      </c>
      <c r="DC130" s="1136">
        <f t="shared" si="480"/>
      </c>
      <c r="DD130" s="1136">
        <f t="shared" si="480"/>
      </c>
      <c r="DE130" s="1137">
        <f t="shared" si="480"/>
      </c>
      <c r="DF130" s="1243">
        <f t="shared" si="480"/>
      </c>
      <c r="DG130" s="1136">
        <f t="shared" si="480"/>
      </c>
      <c r="DH130" s="1136">
        <f t="shared" si="480"/>
      </c>
      <c r="DI130" s="1137">
        <f t="shared" si="480"/>
      </c>
      <c r="DJ130" s="1243">
        <f t="shared" si="480"/>
      </c>
      <c r="DK130" s="1136">
        <f t="shared" si="480"/>
      </c>
      <c r="DL130" s="1136">
        <f t="shared" si="480"/>
      </c>
      <c r="DM130" s="1137">
        <f t="shared" si="480"/>
      </c>
      <c r="DN130" s="1243">
        <f t="shared" si="480"/>
      </c>
      <c r="DO130" s="1136">
        <f t="shared" si="480"/>
      </c>
      <c r="DP130" s="1136">
        <f t="shared" si="480"/>
      </c>
      <c r="DQ130" s="1137">
        <f t="shared" si="480"/>
      </c>
      <c r="DR130" s="1243">
        <f t="shared" si="480"/>
      </c>
      <c r="DS130" s="1136">
        <f t="shared" si="480"/>
      </c>
      <c r="DT130" s="1136">
        <f t="shared" si="480"/>
      </c>
      <c r="DU130" s="1137">
        <f t="shared" si="480"/>
      </c>
      <c r="DV130" s="1243">
        <f t="shared" si="454"/>
      </c>
      <c r="DW130" s="1136">
        <f t="shared" si="455"/>
      </c>
      <c r="DX130" s="1136">
        <f t="shared" si="456"/>
      </c>
      <c r="DY130" s="1137">
        <f t="shared" si="457"/>
      </c>
      <c r="DZ130" s="1243">
        <f t="shared" si="458"/>
      </c>
      <c r="EA130" s="1136">
        <f t="shared" si="459"/>
      </c>
      <c r="EB130" s="1136">
        <f t="shared" si="460"/>
      </c>
      <c r="EC130" s="1137">
        <f t="shared" si="461"/>
      </c>
      <c r="ED130" s="1243">
        <f t="shared" si="462"/>
      </c>
      <c r="EE130" s="1136">
        <f t="shared" si="463"/>
      </c>
      <c r="EF130" s="1136">
        <f t="shared" si="464"/>
      </c>
      <c r="EG130" s="1137">
        <f t="shared" si="465"/>
      </c>
      <c r="EH130" s="1243">
        <f t="shared" si="466"/>
      </c>
      <c r="EI130" s="1136">
        <f t="shared" si="467"/>
      </c>
      <c r="EJ130" s="1136">
        <f t="shared" si="468"/>
      </c>
      <c r="EK130" s="1137">
        <f t="shared" si="469"/>
      </c>
      <c r="EL130" s="10"/>
    </row>
    <row r="131" spans="1:142">
      <c r="A131" s="11" t="str">
        <f t="shared" si="470"/>
      </c>
      <c r="D131" s="1136">
        <v>0.02</v>
      </c>
      <c r="CL131" s="1136">
        <f t="shared" si="471"/>
      </c>
      <c r="CM131" s="1136">
        <f t="shared" ref="CM131:DU131" si="481">CL131</f>
      </c>
      <c r="CN131" s="1136">
        <f t="shared" si="481"/>
      </c>
      <c r="CO131" s="1137">
        <f t="shared" si="481"/>
      </c>
      <c r="CP131" s="1136">
        <f t="shared" si="481"/>
      </c>
      <c r="CQ131" s="1136">
        <f t="shared" si="481"/>
      </c>
      <c r="CR131" s="1136">
        <f t="shared" si="481"/>
      </c>
      <c r="CS131" s="1137">
        <f t="shared" si="481"/>
      </c>
      <c r="CT131" s="1243">
        <f t="shared" si="481"/>
      </c>
      <c r="CU131" s="1136">
        <f t="shared" si="481"/>
      </c>
      <c r="CV131" s="1136">
        <f t="shared" si="481"/>
      </c>
      <c r="CW131" s="1137">
        <f t="shared" si="481"/>
      </c>
      <c r="CX131" s="1243">
        <f t="shared" si="481"/>
      </c>
      <c r="CY131" s="1136">
        <f t="shared" si="481"/>
      </c>
      <c r="CZ131" s="1136">
        <f t="shared" si="481"/>
      </c>
      <c r="DA131" s="1137">
        <f t="shared" si="481"/>
      </c>
      <c r="DB131" s="1243">
        <f t="shared" si="481"/>
      </c>
      <c r="DC131" s="1136">
        <f t="shared" si="481"/>
      </c>
      <c r="DD131" s="1136">
        <f t="shared" si="481"/>
      </c>
      <c r="DE131" s="1137">
        <f t="shared" si="481"/>
      </c>
      <c r="DF131" s="1243">
        <f t="shared" si="481"/>
      </c>
      <c r="DG131" s="1136">
        <f t="shared" si="481"/>
      </c>
      <c r="DH131" s="1136">
        <f t="shared" si="481"/>
      </c>
      <c r="DI131" s="1137">
        <f t="shared" si="481"/>
      </c>
      <c r="DJ131" s="1243">
        <f t="shared" si="481"/>
      </c>
      <c r="DK131" s="1136">
        <f t="shared" si="481"/>
      </c>
      <c r="DL131" s="1136">
        <f t="shared" si="481"/>
      </c>
      <c r="DM131" s="1137">
        <f t="shared" si="481"/>
      </c>
      <c r="DN131" s="1243">
        <f t="shared" si="481"/>
      </c>
      <c r="DO131" s="1136">
        <f t="shared" si="481"/>
      </c>
      <c r="DP131" s="1136">
        <f t="shared" si="481"/>
      </c>
      <c r="DQ131" s="1137">
        <f t="shared" si="481"/>
      </c>
      <c r="DR131" s="1243">
        <f t="shared" si="481"/>
      </c>
      <c r="DS131" s="1136">
        <f t="shared" si="481"/>
      </c>
      <c r="DT131" s="1136">
        <f t="shared" si="481"/>
      </c>
      <c r="DU131" s="1137">
        <f t="shared" si="481"/>
      </c>
      <c r="DV131" s="1243">
        <f t="shared" si="454"/>
      </c>
      <c r="DW131" s="1136">
        <f t="shared" si="455"/>
      </c>
      <c r="DX131" s="1136">
        <f t="shared" si="456"/>
      </c>
      <c r="DY131" s="1137">
        <f t="shared" si="457"/>
      </c>
      <c r="DZ131" s="1243">
        <f t="shared" si="458"/>
      </c>
      <c r="EA131" s="1136">
        <f t="shared" si="459"/>
      </c>
      <c r="EB131" s="1136">
        <f t="shared" si="460"/>
      </c>
      <c r="EC131" s="1137">
        <f t="shared" si="461"/>
      </c>
      <c r="ED131" s="1243">
        <f t="shared" si="462"/>
      </c>
      <c r="EE131" s="1136">
        <f t="shared" si="463"/>
      </c>
      <c r="EF131" s="1136">
        <f t="shared" si="464"/>
      </c>
      <c r="EG131" s="1137">
        <f t="shared" si="465"/>
      </c>
      <c r="EH131" s="1243">
        <f t="shared" si="466"/>
      </c>
      <c r="EI131" s="1136">
        <f t="shared" si="467"/>
      </c>
      <c r="EJ131" s="1136">
        <f t="shared" si="468"/>
      </c>
      <c r="EK131" s="1137">
        <f t="shared" si="469"/>
      </c>
      <c r="EL131" s="10"/>
    </row>
    <row r="132" spans="1:142">
      <c r="A132" s="11" t="str">
        <f t="shared" si="470"/>
      </c>
      <c r="D132" s="1136">
        <v>0.02</v>
      </c>
      <c r="CL132" s="1136">
        <f t="shared" si="471"/>
      </c>
      <c r="CM132" s="1136">
        <f t="shared" ref="CM132:DU132" si="482">CL132</f>
      </c>
      <c r="CN132" s="1136">
        <f t="shared" si="482"/>
      </c>
      <c r="CO132" s="1137">
        <f t="shared" si="482"/>
      </c>
      <c r="CP132" s="1136">
        <f t="shared" si="482"/>
      </c>
      <c r="CQ132" s="1136">
        <f t="shared" si="482"/>
      </c>
      <c r="CR132" s="1136">
        <f t="shared" si="482"/>
      </c>
      <c r="CS132" s="1137">
        <f t="shared" si="482"/>
      </c>
      <c r="CT132" s="1243">
        <f t="shared" si="482"/>
      </c>
      <c r="CU132" s="1136">
        <f t="shared" si="482"/>
      </c>
      <c r="CV132" s="1136">
        <f t="shared" si="482"/>
      </c>
      <c r="CW132" s="1137">
        <f t="shared" si="482"/>
      </c>
      <c r="CX132" s="1243">
        <f t="shared" si="482"/>
      </c>
      <c r="CY132" s="1136">
        <f t="shared" si="482"/>
      </c>
      <c r="CZ132" s="1136">
        <f t="shared" si="482"/>
      </c>
      <c r="DA132" s="1137">
        <f t="shared" si="482"/>
      </c>
      <c r="DB132" s="1243">
        <f t="shared" si="482"/>
      </c>
      <c r="DC132" s="1136">
        <f t="shared" si="482"/>
      </c>
      <c r="DD132" s="1136">
        <f t="shared" si="482"/>
      </c>
      <c r="DE132" s="1137">
        <f t="shared" si="482"/>
      </c>
      <c r="DF132" s="1243">
        <f t="shared" si="482"/>
      </c>
      <c r="DG132" s="1136">
        <f t="shared" si="482"/>
      </c>
      <c r="DH132" s="1136">
        <f t="shared" si="482"/>
      </c>
      <c r="DI132" s="1137">
        <f t="shared" si="482"/>
      </c>
      <c r="DJ132" s="1243">
        <f t="shared" si="482"/>
      </c>
      <c r="DK132" s="1136">
        <f t="shared" si="482"/>
      </c>
      <c r="DL132" s="1136">
        <f t="shared" si="482"/>
      </c>
      <c r="DM132" s="1137">
        <f t="shared" si="482"/>
      </c>
      <c r="DN132" s="1243">
        <f t="shared" si="482"/>
      </c>
      <c r="DO132" s="1136">
        <f t="shared" si="482"/>
      </c>
      <c r="DP132" s="1136">
        <f t="shared" si="482"/>
      </c>
      <c r="DQ132" s="1137">
        <f t="shared" si="482"/>
      </c>
      <c r="DR132" s="1243">
        <f t="shared" si="482"/>
      </c>
      <c r="DS132" s="1136">
        <f t="shared" si="482"/>
      </c>
      <c r="DT132" s="1136">
        <f t="shared" si="482"/>
      </c>
      <c r="DU132" s="1137">
        <f t="shared" si="482"/>
      </c>
      <c r="DV132" s="1243">
        <f t="shared" si="454"/>
      </c>
      <c r="DW132" s="1136">
        <f t="shared" si="455"/>
      </c>
      <c r="DX132" s="1136">
        <f t="shared" si="456"/>
      </c>
      <c r="DY132" s="1137">
        <f t="shared" si="457"/>
      </c>
      <c r="DZ132" s="1243">
        <f t="shared" si="458"/>
      </c>
      <c r="EA132" s="1136">
        <f t="shared" si="459"/>
      </c>
      <c r="EB132" s="1136">
        <f t="shared" si="460"/>
      </c>
      <c r="EC132" s="1137">
        <f t="shared" si="461"/>
      </c>
      <c r="ED132" s="1243">
        <f t="shared" si="462"/>
      </c>
      <c r="EE132" s="1136">
        <f t="shared" si="463"/>
      </c>
      <c r="EF132" s="1136">
        <f t="shared" si="464"/>
      </c>
      <c r="EG132" s="1137">
        <f t="shared" si="465"/>
      </c>
      <c r="EH132" s="1243">
        <f t="shared" si="466"/>
      </c>
      <c r="EI132" s="1136">
        <f t="shared" si="467"/>
      </c>
      <c r="EJ132" s="1136">
        <f t="shared" si="468"/>
      </c>
      <c r="EK132" s="1137">
        <f t="shared" si="469"/>
      </c>
      <c r="EL132" s="10"/>
    </row>
    <row r="133" spans="1:142">
      <c r="A133" s="11" t="str">
        <f t="shared" si="470"/>
      </c>
      <c r="D133" s="1136">
        <v>0.02</v>
      </c>
      <c r="CL133" s="1136">
        <f t="shared" si="471"/>
      </c>
      <c r="CM133" s="1136">
        <f t="shared" ref="CM133:DU133" si="483">CL133</f>
      </c>
      <c r="CN133" s="1136">
        <f t="shared" si="483"/>
      </c>
      <c r="CO133" s="1137">
        <f t="shared" si="483"/>
      </c>
      <c r="CP133" s="1136">
        <f t="shared" si="483"/>
      </c>
      <c r="CQ133" s="1136">
        <f t="shared" si="483"/>
      </c>
      <c r="CR133" s="1136">
        <f t="shared" si="483"/>
      </c>
      <c r="CS133" s="1137">
        <f t="shared" si="483"/>
      </c>
      <c r="CT133" s="1243">
        <f t="shared" si="483"/>
      </c>
      <c r="CU133" s="1136">
        <f t="shared" si="483"/>
      </c>
      <c r="CV133" s="1136">
        <f t="shared" si="483"/>
      </c>
      <c r="CW133" s="1137">
        <f t="shared" si="483"/>
      </c>
      <c r="CX133" s="1243">
        <f t="shared" si="483"/>
      </c>
      <c r="CY133" s="1136">
        <f t="shared" si="483"/>
      </c>
      <c r="CZ133" s="1136">
        <f t="shared" si="483"/>
      </c>
      <c r="DA133" s="1137">
        <f t="shared" si="483"/>
      </c>
      <c r="DB133" s="1243">
        <f t="shared" si="483"/>
      </c>
      <c r="DC133" s="1136">
        <f t="shared" si="483"/>
      </c>
      <c r="DD133" s="1136">
        <f t="shared" si="483"/>
      </c>
      <c r="DE133" s="1137">
        <f t="shared" si="483"/>
      </c>
      <c r="DF133" s="1243">
        <f t="shared" si="483"/>
      </c>
      <c r="DG133" s="1136">
        <f t="shared" si="483"/>
      </c>
      <c r="DH133" s="1136">
        <f t="shared" si="483"/>
      </c>
      <c r="DI133" s="1137">
        <f t="shared" si="483"/>
      </c>
      <c r="DJ133" s="1243">
        <f t="shared" si="483"/>
      </c>
      <c r="DK133" s="1136">
        <f t="shared" si="483"/>
      </c>
      <c r="DL133" s="1136">
        <f t="shared" si="483"/>
      </c>
      <c r="DM133" s="1137">
        <f t="shared" si="483"/>
      </c>
      <c r="DN133" s="1243">
        <f t="shared" si="483"/>
      </c>
      <c r="DO133" s="1136">
        <f t="shared" si="483"/>
      </c>
      <c r="DP133" s="1136">
        <f t="shared" si="483"/>
      </c>
      <c r="DQ133" s="1137">
        <f t="shared" si="483"/>
      </c>
      <c r="DR133" s="1243">
        <f t="shared" si="483"/>
      </c>
      <c r="DS133" s="1136">
        <f t="shared" si="483"/>
      </c>
      <c r="DT133" s="1136">
        <f t="shared" si="483"/>
      </c>
      <c r="DU133" s="1137">
        <f t="shared" si="483"/>
      </c>
      <c r="DV133" s="1243">
        <f t="shared" si="454"/>
      </c>
      <c r="DW133" s="1136">
        <f t="shared" si="455"/>
      </c>
      <c r="DX133" s="1136">
        <f t="shared" si="456"/>
      </c>
      <c r="DY133" s="1137">
        <f t="shared" si="457"/>
      </c>
      <c r="DZ133" s="1243">
        <f t="shared" si="458"/>
      </c>
      <c r="EA133" s="1136">
        <f t="shared" si="459"/>
      </c>
      <c r="EB133" s="1136">
        <f t="shared" si="460"/>
      </c>
      <c r="EC133" s="1137">
        <f t="shared" si="461"/>
      </c>
      <c r="ED133" s="1243">
        <f t="shared" si="462"/>
      </c>
      <c r="EE133" s="1136">
        <f t="shared" si="463"/>
      </c>
      <c r="EF133" s="1136">
        <f t="shared" si="464"/>
      </c>
      <c r="EG133" s="1137">
        <f t="shared" si="465"/>
      </c>
      <c r="EH133" s="1243">
        <f t="shared" si="466"/>
      </c>
      <c r="EI133" s="1136">
        <f t="shared" si="467"/>
      </c>
      <c r="EJ133" s="1136">
        <f t="shared" si="468"/>
      </c>
      <c r="EK133" s="1137">
        <f t="shared" si="469"/>
      </c>
      <c r="EL133" s="10"/>
    </row>
    <row r="134" spans="1:142">
      <c r="A134" s="11" t="str">
        <f t="shared" si="470"/>
      </c>
      <c r="D134" s="1136">
        <v>0.01</v>
      </c>
      <c r="CL134" s="1136">
        <f t="shared" si="471"/>
      </c>
      <c r="CM134" s="1136">
        <f t="shared" ref="CM134:DU134" si="484">CL134</f>
      </c>
      <c r="CN134" s="1136">
        <f t="shared" si="484"/>
      </c>
      <c r="CO134" s="1137">
        <f t="shared" si="484"/>
      </c>
      <c r="CP134" s="1136">
        <f t="shared" si="484"/>
      </c>
      <c r="CQ134" s="1136">
        <f t="shared" si="484"/>
      </c>
      <c r="CR134" s="1136">
        <f t="shared" si="484"/>
      </c>
      <c r="CS134" s="1137">
        <f t="shared" si="484"/>
      </c>
      <c r="CT134" s="1243">
        <f t="shared" si="484"/>
      </c>
      <c r="CU134" s="1136">
        <f t="shared" si="484"/>
      </c>
      <c r="CV134" s="1136">
        <f t="shared" si="484"/>
      </c>
      <c r="CW134" s="1137">
        <f t="shared" si="484"/>
      </c>
      <c r="CX134" s="1243">
        <f t="shared" si="484"/>
      </c>
      <c r="CY134" s="1136">
        <f t="shared" si="484"/>
      </c>
      <c r="CZ134" s="1136">
        <f t="shared" si="484"/>
      </c>
      <c r="DA134" s="1137">
        <f t="shared" si="484"/>
      </c>
      <c r="DB134" s="1243">
        <f t="shared" si="484"/>
      </c>
      <c r="DC134" s="1136">
        <f t="shared" si="484"/>
      </c>
      <c r="DD134" s="1136">
        <f t="shared" si="484"/>
      </c>
      <c r="DE134" s="1137">
        <f t="shared" si="484"/>
      </c>
      <c r="DF134" s="1243">
        <f t="shared" si="484"/>
      </c>
      <c r="DG134" s="1136">
        <f t="shared" si="484"/>
      </c>
      <c r="DH134" s="1136">
        <f t="shared" si="484"/>
      </c>
      <c r="DI134" s="1137">
        <f t="shared" si="484"/>
      </c>
      <c r="DJ134" s="1243">
        <f t="shared" si="484"/>
      </c>
      <c r="DK134" s="1136">
        <f t="shared" si="484"/>
      </c>
      <c r="DL134" s="1136">
        <f t="shared" si="484"/>
      </c>
      <c r="DM134" s="1137">
        <f t="shared" si="484"/>
      </c>
      <c r="DN134" s="1243">
        <f t="shared" si="484"/>
      </c>
      <c r="DO134" s="1136">
        <f t="shared" si="484"/>
      </c>
      <c r="DP134" s="1136">
        <f t="shared" si="484"/>
      </c>
      <c r="DQ134" s="1137">
        <f t="shared" si="484"/>
      </c>
      <c r="DR134" s="1243">
        <f t="shared" si="484"/>
      </c>
      <c r="DS134" s="1136">
        <f t="shared" si="484"/>
      </c>
      <c r="DT134" s="1136">
        <f t="shared" si="484"/>
      </c>
      <c r="DU134" s="1137">
        <f t="shared" si="484"/>
      </c>
      <c r="DV134" s="1243">
        <f t="shared" si="454"/>
      </c>
      <c r="DW134" s="1136">
        <f t="shared" si="455"/>
      </c>
      <c r="DX134" s="1136">
        <f t="shared" si="456"/>
      </c>
      <c r="DY134" s="1137">
        <f t="shared" si="457"/>
      </c>
      <c r="DZ134" s="1243">
        <f t="shared" si="458"/>
      </c>
      <c r="EA134" s="1136">
        <f t="shared" si="459"/>
      </c>
      <c r="EB134" s="1136">
        <f t="shared" si="460"/>
      </c>
      <c r="EC134" s="1137">
        <f t="shared" si="461"/>
      </c>
      <c r="ED134" s="1243">
        <f t="shared" si="462"/>
      </c>
      <c r="EE134" s="1136">
        <f t="shared" si="463"/>
      </c>
      <c r="EF134" s="1136">
        <f t="shared" si="464"/>
      </c>
      <c r="EG134" s="1137">
        <f t="shared" si="465"/>
      </c>
      <c r="EH134" s="1243">
        <f t="shared" si="466"/>
      </c>
      <c r="EI134" s="1136">
        <f t="shared" si="467"/>
      </c>
      <c r="EJ134" s="1136">
        <f t="shared" si="468"/>
      </c>
      <c r="EK134" s="1137">
        <f t="shared" si="469"/>
      </c>
      <c r="EL134" s="10"/>
    </row>
    <row r="135" spans="1:142">
      <c r="A135" s="11" t="str">
        <f t="shared" si="470"/>
      </c>
      <c r="D135" s="1136">
        <v>1.6250000000000001E-2</v>
      </c>
      <c r="CL135" s="1136">
        <f t="shared" si="471"/>
      </c>
      <c r="CM135" s="1136">
        <f t="shared" ref="CM135:DU135" si="485">CL135</f>
      </c>
      <c r="CN135" s="1136">
        <f t="shared" si="485"/>
      </c>
      <c r="CO135" s="1137">
        <f t="shared" si="485"/>
      </c>
      <c r="CP135" s="1136">
        <f t="shared" si="485"/>
      </c>
      <c r="CQ135" s="1136">
        <f t="shared" si="485"/>
      </c>
      <c r="CR135" s="1136">
        <f t="shared" si="485"/>
      </c>
      <c r="CS135" s="1137">
        <f t="shared" si="485"/>
      </c>
      <c r="CT135" s="1243">
        <f t="shared" si="485"/>
      </c>
      <c r="CU135" s="1136">
        <f t="shared" si="485"/>
      </c>
      <c r="CV135" s="1136">
        <f t="shared" si="485"/>
      </c>
      <c r="CW135" s="1137">
        <f t="shared" si="485"/>
      </c>
      <c r="CX135" s="1243">
        <f t="shared" si="485"/>
      </c>
      <c r="CY135" s="1136">
        <f t="shared" si="485"/>
      </c>
      <c r="CZ135" s="1136">
        <f t="shared" si="485"/>
      </c>
      <c r="DA135" s="1137">
        <f t="shared" si="485"/>
      </c>
      <c r="DB135" s="1243">
        <f t="shared" si="485"/>
      </c>
      <c r="DC135" s="1136">
        <f t="shared" si="485"/>
      </c>
      <c r="DD135" s="1136">
        <f t="shared" si="485"/>
      </c>
      <c r="DE135" s="1137">
        <f t="shared" si="485"/>
      </c>
      <c r="DF135" s="1243">
        <f t="shared" si="485"/>
      </c>
      <c r="DG135" s="1136">
        <f t="shared" si="485"/>
      </c>
      <c r="DH135" s="1136">
        <f t="shared" si="485"/>
      </c>
      <c r="DI135" s="1137">
        <f t="shared" si="485"/>
      </c>
      <c r="DJ135" s="1243">
        <f t="shared" si="485"/>
      </c>
      <c r="DK135" s="1136">
        <f t="shared" si="485"/>
      </c>
      <c r="DL135" s="1136">
        <f t="shared" si="485"/>
      </c>
      <c r="DM135" s="1137">
        <f t="shared" si="485"/>
      </c>
      <c r="DN135" s="1243">
        <f t="shared" si="485"/>
      </c>
      <c r="DO135" s="1136">
        <f t="shared" si="485"/>
      </c>
      <c r="DP135" s="1136">
        <f t="shared" si="485"/>
      </c>
      <c r="DQ135" s="1137">
        <f t="shared" si="485"/>
      </c>
      <c r="DR135" s="1243">
        <f t="shared" si="485"/>
      </c>
      <c r="DS135" s="1136">
        <f t="shared" si="485"/>
      </c>
      <c r="DT135" s="1136">
        <f t="shared" si="485"/>
      </c>
      <c r="DU135" s="1137">
        <f t="shared" si="485"/>
      </c>
      <c r="DV135" s="1243">
        <f t="shared" si="454"/>
      </c>
      <c r="DW135" s="1136">
        <f t="shared" si="455"/>
      </c>
      <c r="DX135" s="1136">
        <f t="shared" si="456"/>
      </c>
      <c r="DY135" s="1137">
        <f t="shared" si="457"/>
      </c>
      <c r="DZ135" s="1243">
        <f t="shared" si="458"/>
      </c>
      <c r="EA135" s="1136">
        <f t="shared" si="459"/>
      </c>
      <c r="EB135" s="1136">
        <f t="shared" si="460"/>
      </c>
      <c r="EC135" s="1137">
        <f t="shared" si="461"/>
      </c>
      <c r="ED135" s="1243">
        <f t="shared" si="462"/>
      </c>
      <c r="EE135" s="1136">
        <f t="shared" si="463"/>
      </c>
      <c r="EF135" s="1136">
        <f t="shared" si="464"/>
      </c>
      <c r="EG135" s="1137">
        <f t="shared" si="465"/>
      </c>
      <c r="EH135" s="1243">
        <f t="shared" si="466"/>
      </c>
      <c r="EI135" s="1136">
        <f t="shared" si="467"/>
      </c>
      <c r="EJ135" s="1136">
        <f t="shared" si="468"/>
      </c>
      <c r="EK135" s="1137">
        <f t="shared" si="469"/>
      </c>
      <c r="EL135" s="10"/>
    </row>
    <row r="136" spans="1:142">
      <c r="A136" s="11" t="str">
        <f t="shared" si="470"/>
      </c>
      <c r="D136" s="1136">
        <v>3.8E-3</v>
      </c>
      <c r="CL136" s="1136">
        <f t="shared" si="471"/>
      </c>
      <c r="CM136" s="1136">
        <f t="shared" ref="CM136:DU136" si="486">CL136</f>
      </c>
      <c r="CN136" s="1136">
        <f t="shared" si="486"/>
      </c>
      <c r="CO136" s="1137">
        <f t="shared" si="486"/>
      </c>
      <c r="CP136" s="1136">
        <f t="shared" si="486"/>
      </c>
      <c r="CQ136" s="1136">
        <f t="shared" si="486"/>
      </c>
      <c r="CR136" s="1136">
        <f t="shared" si="486"/>
      </c>
      <c r="CS136" s="1137">
        <f t="shared" si="486"/>
      </c>
      <c r="CT136" s="1243">
        <f t="shared" si="486"/>
      </c>
      <c r="CU136" s="1136">
        <f t="shared" si="486"/>
      </c>
      <c r="CV136" s="1136">
        <f t="shared" si="486"/>
      </c>
      <c r="CW136" s="1137">
        <f t="shared" si="486"/>
      </c>
      <c r="CX136" s="1243">
        <f t="shared" si="486"/>
      </c>
      <c r="CY136" s="1136">
        <f t="shared" si="486"/>
      </c>
      <c r="CZ136" s="1136">
        <f t="shared" si="486"/>
      </c>
      <c r="DA136" s="1137">
        <f t="shared" si="486"/>
      </c>
      <c r="DB136" s="1243">
        <f t="shared" si="486"/>
      </c>
      <c r="DC136" s="1136">
        <f t="shared" si="486"/>
      </c>
      <c r="DD136" s="1136">
        <f t="shared" si="486"/>
      </c>
      <c r="DE136" s="1137">
        <f t="shared" si="486"/>
      </c>
      <c r="DF136" s="1243">
        <f t="shared" si="486"/>
      </c>
      <c r="DG136" s="1136">
        <f t="shared" si="486"/>
      </c>
      <c r="DH136" s="1136">
        <f t="shared" si="486"/>
      </c>
      <c r="DI136" s="1137">
        <f t="shared" si="486"/>
      </c>
      <c r="DJ136" s="1243">
        <f t="shared" si="486"/>
      </c>
      <c r="DK136" s="1136">
        <f t="shared" si="486"/>
      </c>
      <c r="DL136" s="1136">
        <f t="shared" si="486"/>
      </c>
      <c r="DM136" s="1137">
        <f t="shared" si="486"/>
      </c>
      <c r="DN136" s="1243">
        <f t="shared" si="486"/>
      </c>
      <c r="DO136" s="1136">
        <f t="shared" si="486"/>
      </c>
      <c r="DP136" s="1136">
        <f t="shared" si="486"/>
      </c>
      <c r="DQ136" s="1137">
        <f t="shared" si="486"/>
      </c>
      <c r="DR136" s="1243">
        <f t="shared" si="486"/>
      </c>
      <c r="DS136" s="1136">
        <f t="shared" si="486"/>
      </c>
      <c r="DT136" s="1136">
        <f t="shared" si="486"/>
      </c>
      <c r="DU136" s="1137">
        <f t="shared" si="486"/>
      </c>
      <c r="DV136" s="1243">
        <f t="shared" si="454"/>
      </c>
      <c r="DW136" s="1136">
        <f t="shared" si="455"/>
      </c>
      <c r="DX136" s="1136">
        <f t="shared" si="456"/>
      </c>
      <c r="DY136" s="1137">
        <f t="shared" si="457"/>
      </c>
      <c r="DZ136" s="1243">
        <f t="shared" si="458"/>
      </c>
      <c r="EA136" s="1136">
        <f t="shared" si="459"/>
      </c>
      <c r="EB136" s="1136">
        <f t="shared" si="460"/>
      </c>
      <c r="EC136" s="1137">
        <f t="shared" si="461"/>
      </c>
      <c r="ED136" s="1243">
        <f t="shared" si="462"/>
      </c>
      <c r="EE136" s="1136">
        <f t="shared" si="463"/>
      </c>
      <c r="EF136" s="1136">
        <f t="shared" si="464"/>
      </c>
      <c r="EG136" s="1137">
        <f t="shared" si="465"/>
      </c>
      <c r="EH136" s="1243">
        <f t="shared" si="466"/>
      </c>
      <c r="EI136" s="1136">
        <f t="shared" si="467"/>
      </c>
      <c r="EJ136" s="1136">
        <f t="shared" si="468"/>
      </c>
      <c r="EK136" s="1137">
        <f t="shared" si="469"/>
      </c>
      <c r="EL136" s="10"/>
    </row>
    <row r="137" spans="1:142">
      <c r="A137" s="11" t="str">
        <f t="shared" si="470"/>
      </c>
      <c r="D137" s="1136">
        <v>7.4999999999999997E-3</v>
      </c>
      <c r="CL137" s="1136">
        <f t="shared" si="471"/>
      </c>
      <c r="CM137" s="1136">
        <f t="shared" ref="CM137:DU137" si="487">CL137</f>
      </c>
      <c r="CN137" s="1136">
        <f t="shared" si="487"/>
      </c>
      <c r="CO137" s="1137">
        <f t="shared" si="487"/>
      </c>
      <c r="CP137" s="1136">
        <f t="shared" si="487"/>
      </c>
      <c r="CQ137" s="1136">
        <f t="shared" si="487"/>
      </c>
      <c r="CR137" s="1136">
        <f t="shared" si="487"/>
      </c>
      <c r="CS137" s="1137">
        <f t="shared" si="487"/>
      </c>
      <c r="CT137" s="1243">
        <f t="shared" si="487"/>
      </c>
      <c r="CU137" s="1136">
        <f t="shared" si="487"/>
      </c>
      <c r="CV137" s="1136">
        <f t="shared" si="487"/>
      </c>
      <c r="CW137" s="1137">
        <f t="shared" si="487"/>
      </c>
      <c r="CX137" s="1243">
        <f t="shared" si="487"/>
      </c>
      <c r="CY137" s="1136">
        <f t="shared" si="487"/>
      </c>
      <c r="CZ137" s="1136">
        <f t="shared" si="487"/>
      </c>
      <c r="DA137" s="1137">
        <f t="shared" si="487"/>
      </c>
      <c r="DB137" s="1243">
        <f t="shared" si="487"/>
      </c>
      <c r="DC137" s="1136">
        <f t="shared" si="487"/>
      </c>
      <c r="DD137" s="1136">
        <f t="shared" si="487"/>
      </c>
      <c r="DE137" s="1137">
        <f t="shared" si="487"/>
      </c>
      <c r="DF137" s="1243">
        <f t="shared" si="487"/>
      </c>
      <c r="DG137" s="1136">
        <f t="shared" si="487"/>
      </c>
      <c r="DH137" s="1136">
        <f t="shared" si="487"/>
      </c>
      <c r="DI137" s="1137">
        <f t="shared" si="487"/>
      </c>
      <c r="DJ137" s="1243">
        <f t="shared" si="487"/>
      </c>
      <c r="DK137" s="1136">
        <f t="shared" si="487"/>
      </c>
      <c r="DL137" s="1136">
        <f t="shared" si="487"/>
      </c>
      <c r="DM137" s="1137">
        <f t="shared" si="487"/>
      </c>
      <c r="DN137" s="1243">
        <f t="shared" si="487"/>
      </c>
      <c r="DO137" s="1136">
        <f t="shared" si="487"/>
      </c>
      <c r="DP137" s="1136">
        <f t="shared" si="487"/>
      </c>
      <c r="DQ137" s="1137">
        <f t="shared" si="487"/>
      </c>
      <c r="DR137" s="1243">
        <f t="shared" si="487"/>
      </c>
      <c r="DS137" s="1136">
        <f t="shared" si="487"/>
      </c>
      <c r="DT137" s="1136">
        <f t="shared" si="487"/>
      </c>
      <c r="DU137" s="1137">
        <f t="shared" si="487"/>
      </c>
      <c r="DV137" s="1243">
        <f t="shared" si="454"/>
      </c>
      <c r="DW137" s="1136">
        <f t="shared" si="455"/>
      </c>
      <c r="DX137" s="1136">
        <f t="shared" si="456"/>
      </c>
      <c r="DY137" s="1137">
        <f t="shared" si="457"/>
      </c>
      <c r="DZ137" s="1243">
        <f t="shared" si="458"/>
      </c>
      <c r="EA137" s="1136">
        <f t="shared" si="459"/>
      </c>
      <c r="EB137" s="1136">
        <f t="shared" si="460"/>
      </c>
      <c r="EC137" s="1137">
        <f t="shared" si="461"/>
      </c>
      <c r="ED137" s="1243">
        <f t="shared" si="462"/>
      </c>
      <c r="EE137" s="1136">
        <f t="shared" si="463"/>
      </c>
      <c r="EF137" s="1136">
        <f t="shared" si="464"/>
      </c>
      <c r="EG137" s="1137">
        <f t="shared" si="465"/>
      </c>
      <c r="EH137" s="1243">
        <f t="shared" si="466"/>
      </c>
      <c r="EI137" s="1136">
        <f t="shared" si="467"/>
      </c>
      <c r="EJ137" s="1136">
        <f t="shared" si="468"/>
      </c>
      <c r="EK137" s="1137">
        <f t="shared" si="469"/>
      </c>
      <c r="EL137" s="10"/>
    </row>
    <row r="138" spans="1:142">
      <c r="A138" s="11" t="str">
        <f t="shared" si="470"/>
      </c>
      <c r="D138" s="1136">
        <v>1.55E-2</v>
      </c>
      <c r="CL138" s="1136">
        <f t="shared" si="471"/>
      </c>
      <c r="CM138" s="1136">
        <f t="shared" ref="CM138:DU138" si="488">CL138</f>
      </c>
      <c r="CN138" s="1136">
        <f t="shared" si="488"/>
      </c>
      <c r="CO138" s="1137">
        <f t="shared" si="488"/>
      </c>
      <c r="CP138" s="1136">
        <f t="shared" si="488"/>
      </c>
      <c r="CQ138" s="1136">
        <f t="shared" si="488"/>
      </c>
      <c r="CR138" s="1136">
        <f t="shared" si="488"/>
      </c>
      <c r="CS138" s="1137">
        <f t="shared" si="488"/>
      </c>
      <c r="CT138" s="1243">
        <f t="shared" si="488"/>
      </c>
      <c r="CU138" s="1136">
        <f t="shared" si="488"/>
      </c>
      <c r="CV138" s="1136">
        <f t="shared" si="488"/>
      </c>
      <c r="CW138" s="1137">
        <f t="shared" si="488"/>
      </c>
      <c r="CX138" s="1243">
        <f t="shared" si="488"/>
      </c>
      <c r="CY138" s="1136">
        <f t="shared" si="488"/>
      </c>
      <c r="CZ138" s="1136">
        <f t="shared" si="488"/>
      </c>
      <c r="DA138" s="1137">
        <f t="shared" si="488"/>
      </c>
      <c r="DB138" s="1243">
        <f t="shared" si="488"/>
      </c>
      <c r="DC138" s="1136">
        <f t="shared" si="488"/>
      </c>
      <c r="DD138" s="1136">
        <f t="shared" si="488"/>
      </c>
      <c r="DE138" s="1137">
        <f t="shared" si="488"/>
      </c>
      <c r="DF138" s="1243">
        <f t="shared" si="488"/>
      </c>
      <c r="DG138" s="1136">
        <f t="shared" si="488"/>
      </c>
      <c r="DH138" s="1136">
        <f t="shared" si="488"/>
      </c>
      <c r="DI138" s="1137">
        <f t="shared" si="488"/>
      </c>
      <c r="DJ138" s="1243">
        <f t="shared" si="488"/>
      </c>
      <c r="DK138" s="1136">
        <f t="shared" si="488"/>
      </c>
      <c r="DL138" s="1136">
        <f t="shared" si="488"/>
      </c>
      <c r="DM138" s="1137">
        <f t="shared" si="488"/>
      </c>
      <c r="DN138" s="1243">
        <f t="shared" si="488"/>
      </c>
      <c r="DO138" s="1136">
        <f t="shared" si="488"/>
      </c>
      <c r="DP138" s="1136">
        <f t="shared" si="488"/>
      </c>
      <c r="DQ138" s="1137">
        <f t="shared" si="488"/>
      </c>
      <c r="DR138" s="1243">
        <f t="shared" si="488"/>
      </c>
      <c r="DS138" s="1136">
        <f t="shared" si="488"/>
      </c>
      <c r="DT138" s="1136">
        <f t="shared" si="488"/>
      </c>
      <c r="DU138" s="1137">
        <f t="shared" si="488"/>
      </c>
      <c r="DV138" s="1243">
        <f t="shared" si="454"/>
      </c>
      <c r="DW138" s="1136">
        <f t="shared" si="455"/>
      </c>
      <c r="DX138" s="1136">
        <f t="shared" si="456"/>
      </c>
      <c r="DY138" s="1137">
        <f t="shared" si="457"/>
      </c>
      <c r="DZ138" s="1243">
        <f t="shared" si="458"/>
      </c>
      <c r="EA138" s="1136">
        <f t="shared" si="459"/>
      </c>
      <c r="EB138" s="1136">
        <f t="shared" si="460"/>
      </c>
      <c r="EC138" s="1137">
        <f t="shared" si="461"/>
      </c>
      <c r="ED138" s="1243">
        <f t="shared" si="462"/>
      </c>
      <c r="EE138" s="1136">
        <f t="shared" si="463"/>
      </c>
      <c r="EF138" s="1136">
        <f t="shared" si="464"/>
      </c>
      <c r="EG138" s="1137">
        <f t="shared" si="465"/>
      </c>
      <c r="EH138" s="1243">
        <f t="shared" si="466"/>
      </c>
      <c r="EI138" s="1136">
        <f t="shared" si="467"/>
      </c>
      <c r="EJ138" s="1136">
        <f t="shared" si="468"/>
      </c>
      <c r="EK138" s="1137">
        <f t="shared" si="469"/>
      </c>
      <c r="EL138" s="10"/>
    </row>
    <row r="139" spans="1:142">
      <c r="A139" s="11" t="str">
        <f t="shared" si="470"/>
      </c>
      <c r="D139" s="1136">
        <v>2.1499999999999998E-2</v>
      </c>
      <c r="CL139" s="1136">
        <f t="shared" si="471"/>
      </c>
      <c r="CM139" s="1136">
        <f t="shared" ref="CM139:DU139" si="489">CL139</f>
      </c>
      <c r="CN139" s="1136">
        <f t="shared" si="489"/>
      </c>
      <c r="CO139" s="1137">
        <f t="shared" si="489"/>
      </c>
      <c r="CP139" s="1136">
        <f t="shared" si="489"/>
      </c>
      <c r="CQ139" s="1136">
        <f t="shared" si="489"/>
      </c>
      <c r="CR139" s="1136">
        <f t="shared" si="489"/>
      </c>
      <c r="CS139" s="1137">
        <f t="shared" si="489"/>
      </c>
      <c r="CT139" s="1243">
        <f t="shared" si="489"/>
      </c>
      <c r="CU139" s="1136">
        <f t="shared" si="489"/>
      </c>
      <c r="CV139" s="1136">
        <f t="shared" si="489"/>
      </c>
      <c r="CW139" s="1137">
        <f t="shared" si="489"/>
      </c>
      <c r="CX139" s="1243">
        <f t="shared" si="489"/>
      </c>
      <c r="CY139" s="1136">
        <f t="shared" si="489"/>
      </c>
      <c r="CZ139" s="1136">
        <f t="shared" si="489"/>
      </c>
      <c r="DA139" s="1137">
        <f t="shared" si="489"/>
      </c>
      <c r="DB139" s="1243">
        <f t="shared" si="489"/>
      </c>
      <c r="DC139" s="1136">
        <f t="shared" si="489"/>
      </c>
      <c r="DD139" s="1136">
        <f t="shared" si="489"/>
      </c>
      <c r="DE139" s="1137">
        <f t="shared" si="489"/>
      </c>
      <c r="DF139" s="1243">
        <f t="shared" si="489"/>
      </c>
      <c r="DG139" s="1136">
        <f t="shared" si="489"/>
      </c>
      <c r="DH139" s="1136">
        <f t="shared" si="489"/>
      </c>
      <c r="DI139" s="1137">
        <f t="shared" si="489"/>
      </c>
      <c r="DJ139" s="1243">
        <f t="shared" si="489"/>
      </c>
      <c r="DK139" s="1136">
        <f t="shared" si="489"/>
      </c>
      <c r="DL139" s="1136">
        <f t="shared" si="489"/>
      </c>
      <c r="DM139" s="1137">
        <f t="shared" si="489"/>
      </c>
      <c r="DN139" s="1243">
        <f t="shared" si="489"/>
      </c>
      <c r="DO139" s="1136">
        <f t="shared" si="489"/>
      </c>
      <c r="DP139" s="1136">
        <f t="shared" si="489"/>
      </c>
      <c r="DQ139" s="1137">
        <f t="shared" si="489"/>
      </c>
      <c r="DR139" s="1243">
        <f t="shared" si="489"/>
      </c>
      <c r="DS139" s="1136">
        <f t="shared" si="489"/>
      </c>
      <c r="DT139" s="1136">
        <f t="shared" si="489"/>
      </c>
      <c r="DU139" s="1137">
        <f t="shared" si="489"/>
      </c>
      <c r="DV139" s="1243">
        <f t="shared" si="454"/>
      </c>
      <c r="DW139" s="1136">
        <f t="shared" si="455"/>
      </c>
      <c r="DX139" s="1136">
        <f t="shared" si="456"/>
      </c>
      <c r="DY139" s="1137">
        <f t="shared" si="457"/>
      </c>
      <c r="DZ139" s="1243">
        <f t="shared" si="458"/>
      </c>
      <c r="EA139" s="1136">
        <f t="shared" si="459"/>
      </c>
      <c r="EB139" s="1136">
        <f t="shared" si="460"/>
      </c>
      <c r="EC139" s="1137">
        <f t="shared" si="461"/>
      </c>
      <c r="ED139" s="1243">
        <f t="shared" si="462"/>
      </c>
      <c r="EE139" s="1136">
        <f t="shared" si="463"/>
      </c>
      <c r="EF139" s="1136">
        <f t="shared" si="464"/>
      </c>
      <c r="EG139" s="1137">
        <f t="shared" si="465"/>
      </c>
      <c r="EH139" s="1243">
        <f t="shared" si="466"/>
      </c>
      <c r="EI139" s="1136">
        <f t="shared" si="467"/>
      </c>
      <c r="EJ139" s="1136">
        <f t="shared" si="468"/>
      </c>
      <c r="EK139" s="1137">
        <f t="shared" si="469"/>
      </c>
      <c r="EL139" s="10"/>
    </row>
    <row r="140" spans="1:142">
      <c r="A140" s="11" t="str">
        <f t="shared" si="470"/>
      </c>
      <c r="D140" s="1136">
        <v>2.5000000000000001E-2</v>
      </c>
      <c r="CL140" s="1136">
        <f t="shared" si="471"/>
      </c>
      <c r="CM140" s="1136">
        <f t="shared" ref="CM140:DU140" si="490">CL140</f>
      </c>
      <c r="CN140" s="1136">
        <f t="shared" si="490"/>
      </c>
      <c r="CO140" s="1137">
        <f t="shared" si="490"/>
      </c>
      <c r="CP140" s="1136">
        <f t="shared" si="490"/>
      </c>
      <c r="CQ140" s="1136">
        <f t="shared" si="490"/>
      </c>
      <c r="CR140" s="1136">
        <f t="shared" si="490"/>
      </c>
      <c r="CS140" s="1137">
        <f t="shared" si="490"/>
      </c>
      <c r="CT140" s="1243">
        <f t="shared" si="490"/>
      </c>
      <c r="CU140" s="1136">
        <f t="shared" si="490"/>
      </c>
      <c r="CV140" s="1136">
        <f t="shared" si="490"/>
      </c>
      <c r="CW140" s="1137">
        <f t="shared" si="490"/>
      </c>
      <c r="CX140" s="1243">
        <f t="shared" si="490"/>
      </c>
      <c r="CY140" s="1136">
        <f t="shared" si="490"/>
      </c>
      <c r="CZ140" s="1136">
        <f t="shared" si="490"/>
      </c>
      <c r="DA140" s="1137">
        <f t="shared" si="490"/>
      </c>
      <c r="DB140" s="1243">
        <f t="shared" si="490"/>
      </c>
      <c r="DC140" s="1136">
        <f t="shared" si="490"/>
      </c>
      <c r="DD140" s="1136">
        <f t="shared" si="490"/>
      </c>
      <c r="DE140" s="1137">
        <f t="shared" si="490"/>
      </c>
      <c r="DF140" s="1243">
        <f t="shared" si="490"/>
      </c>
      <c r="DG140" s="1136">
        <f t="shared" si="490"/>
      </c>
      <c r="DH140" s="1136">
        <f t="shared" si="490"/>
      </c>
      <c r="DI140" s="1137">
        <f t="shared" si="490"/>
      </c>
      <c r="DJ140" s="1243">
        <f t="shared" si="490"/>
      </c>
      <c r="DK140" s="1136">
        <f t="shared" si="490"/>
      </c>
      <c r="DL140" s="1136">
        <f t="shared" si="490"/>
      </c>
      <c r="DM140" s="1137">
        <f t="shared" si="490"/>
      </c>
      <c r="DN140" s="1243">
        <f t="shared" si="490"/>
      </c>
      <c r="DO140" s="1136">
        <f t="shared" si="490"/>
      </c>
      <c r="DP140" s="1136">
        <f t="shared" si="490"/>
      </c>
      <c r="DQ140" s="1137">
        <f t="shared" si="490"/>
      </c>
      <c r="DR140" s="1243">
        <f t="shared" si="490"/>
      </c>
      <c r="DS140" s="1136">
        <f t="shared" si="490"/>
      </c>
      <c r="DT140" s="1136">
        <f t="shared" si="490"/>
      </c>
      <c r="DU140" s="1137">
        <f t="shared" si="490"/>
      </c>
      <c r="DV140" s="1243">
        <f t="shared" si="454"/>
      </c>
      <c r="DW140" s="1136">
        <f t="shared" si="455"/>
      </c>
      <c r="DX140" s="1136">
        <f t="shared" si="456"/>
      </c>
      <c r="DY140" s="1137">
        <f t="shared" si="457"/>
      </c>
      <c r="DZ140" s="1243">
        <f t="shared" si="458"/>
      </c>
      <c r="EA140" s="1136">
        <f t="shared" si="459"/>
      </c>
      <c r="EB140" s="1136">
        <f t="shared" si="460"/>
      </c>
      <c r="EC140" s="1137">
        <f t="shared" si="461"/>
      </c>
      <c r="ED140" s="1243">
        <f t="shared" si="462"/>
      </c>
      <c r="EE140" s="1136">
        <f t="shared" si="463"/>
      </c>
      <c r="EF140" s="1136">
        <f t="shared" si="464"/>
      </c>
      <c r="EG140" s="1137">
        <f t="shared" si="465"/>
      </c>
      <c r="EH140" s="1243">
        <f t="shared" si="466"/>
      </c>
      <c r="EI140" s="1136">
        <f t="shared" si="467"/>
      </c>
      <c r="EJ140" s="1136">
        <f t="shared" si="468"/>
      </c>
      <c r="EK140" s="1137">
        <f t="shared" si="469"/>
      </c>
      <c r="EL140" s="10"/>
    </row>
    <row r="141" spans="1:142">
      <c r="A141" s="11" t="str">
        <f t="shared" si="470"/>
      </c>
      <c r="D141" s="1136">
        <v>3.4500000000000003E-2</v>
      </c>
      <c r="CL141" s="1136">
        <f t="shared" si="471"/>
      </c>
      <c r="CM141" s="1136">
        <f t="shared" ref="CM141:DU141" si="491">CL141</f>
      </c>
      <c r="CN141" s="1136">
        <f t="shared" si="491"/>
      </c>
      <c r="CO141" s="1137">
        <f t="shared" si="491"/>
      </c>
      <c r="CP141" s="1136">
        <f t="shared" si="491"/>
      </c>
      <c r="CQ141" s="1136">
        <f t="shared" si="491"/>
      </c>
      <c r="CR141" s="1136">
        <f t="shared" si="491"/>
      </c>
      <c r="CS141" s="1137">
        <f t="shared" si="491"/>
      </c>
      <c r="CT141" s="1243">
        <f t="shared" si="491"/>
      </c>
      <c r="CU141" s="1136">
        <f t="shared" si="491"/>
      </c>
      <c r="CV141" s="1136">
        <f t="shared" si="491"/>
      </c>
      <c r="CW141" s="1137">
        <f t="shared" si="491"/>
      </c>
      <c r="CX141" s="1243">
        <f t="shared" si="491"/>
      </c>
      <c r="CY141" s="1136">
        <f t="shared" si="491"/>
      </c>
      <c r="CZ141" s="1136">
        <f t="shared" si="491"/>
      </c>
      <c r="DA141" s="1137">
        <f t="shared" si="491"/>
      </c>
      <c r="DB141" s="1243">
        <f t="shared" si="491"/>
      </c>
      <c r="DC141" s="1136">
        <f t="shared" si="491"/>
      </c>
      <c r="DD141" s="1136">
        <f t="shared" si="491"/>
      </c>
      <c r="DE141" s="1137">
        <f t="shared" si="491"/>
      </c>
      <c r="DF141" s="1243">
        <f t="shared" si="491"/>
      </c>
      <c r="DG141" s="1136">
        <f t="shared" si="491"/>
      </c>
      <c r="DH141" s="1136">
        <f t="shared" si="491"/>
      </c>
      <c r="DI141" s="1137">
        <f t="shared" si="491"/>
      </c>
      <c r="DJ141" s="1243">
        <f t="shared" si="491"/>
      </c>
      <c r="DK141" s="1136">
        <f t="shared" si="491"/>
      </c>
      <c r="DL141" s="1136">
        <f t="shared" si="491"/>
      </c>
      <c r="DM141" s="1137">
        <f t="shared" si="491"/>
      </c>
      <c r="DN141" s="1243">
        <f t="shared" si="491"/>
      </c>
      <c r="DO141" s="1136">
        <f t="shared" si="491"/>
      </c>
      <c r="DP141" s="1136">
        <f t="shared" si="491"/>
      </c>
      <c r="DQ141" s="1137">
        <f t="shared" si="491"/>
      </c>
      <c r="DR141" s="1243">
        <f t="shared" si="491"/>
      </c>
      <c r="DS141" s="1136">
        <f t="shared" si="491"/>
      </c>
      <c r="DT141" s="1136">
        <f t="shared" si="491"/>
      </c>
      <c r="DU141" s="1137">
        <f t="shared" si="491"/>
      </c>
      <c r="DV141" s="1243">
        <f t="shared" si="454"/>
      </c>
      <c r="DW141" s="1136">
        <f t="shared" si="455"/>
      </c>
      <c r="DX141" s="1136">
        <f t="shared" si="456"/>
      </c>
      <c r="DY141" s="1137">
        <f t="shared" si="457"/>
      </c>
      <c r="DZ141" s="1243">
        <f t="shared" si="458"/>
      </c>
      <c r="EA141" s="1136">
        <f t="shared" si="459"/>
      </c>
      <c r="EB141" s="1136">
        <f t="shared" si="460"/>
      </c>
      <c r="EC141" s="1137">
        <f t="shared" si="461"/>
      </c>
      <c r="ED141" s="1243">
        <f t="shared" si="462"/>
      </c>
      <c r="EE141" s="1136">
        <f t="shared" si="463"/>
      </c>
      <c r="EF141" s="1136">
        <f t="shared" si="464"/>
      </c>
      <c r="EG141" s="1137">
        <f t="shared" si="465"/>
      </c>
      <c r="EH141" s="1243">
        <f t="shared" si="466"/>
      </c>
      <c r="EI141" s="1136">
        <f t="shared" si="467"/>
      </c>
      <c r="EJ141" s="1136">
        <f t="shared" si="468"/>
      </c>
      <c r="EK141" s="1137">
        <f t="shared" si="469"/>
      </c>
      <c r="EL141" s="10"/>
    </row>
    <row r="142" spans="1:142">
      <c r="A142" s="11" t="str">
        <f t="shared" si="470"/>
      </c>
      <c r="D142" s="1136">
        <v>0.02</v>
      </c>
      <c r="CL142" s="1136">
        <f t="shared" si="471"/>
      </c>
      <c r="CM142" s="1136">
        <f t="shared" ref="CM142:DU142" si="492">CL142</f>
      </c>
      <c r="CN142" s="1136">
        <f t="shared" si="492"/>
      </c>
      <c r="CO142" s="1137">
        <f t="shared" si="492"/>
      </c>
      <c r="CP142" s="1136">
        <f t="shared" si="492"/>
      </c>
      <c r="CQ142" s="1136">
        <f t="shared" si="492"/>
      </c>
      <c r="CR142" s="1136">
        <f t="shared" si="492"/>
      </c>
      <c r="CS142" s="1137">
        <f t="shared" si="492"/>
      </c>
      <c r="CT142" s="1243">
        <f t="shared" si="492"/>
      </c>
      <c r="CU142" s="1136">
        <f t="shared" si="492"/>
      </c>
      <c r="CV142" s="1136">
        <f t="shared" si="492"/>
      </c>
      <c r="CW142" s="1137">
        <f t="shared" si="492"/>
      </c>
      <c r="CX142" s="1243">
        <f t="shared" si="492"/>
      </c>
      <c r="CY142" s="1136">
        <f t="shared" si="492"/>
      </c>
      <c r="CZ142" s="1136">
        <f t="shared" si="492"/>
      </c>
      <c r="DA142" s="1137">
        <f t="shared" si="492"/>
      </c>
      <c r="DB142" s="1243">
        <f t="shared" si="492"/>
      </c>
      <c r="DC142" s="1136">
        <f t="shared" si="492"/>
      </c>
      <c r="DD142" s="1136">
        <f t="shared" si="492"/>
      </c>
      <c r="DE142" s="1137">
        <f t="shared" si="492"/>
      </c>
      <c r="DF142" s="1243">
        <f t="shared" si="492"/>
      </c>
      <c r="DG142" s="1136">
        <f t="shared" si="492"/>
      </c>
      <c r="DH142" s="1136">
        <f t="shared" si="492"/>
      </c>
      <c r="DI142" s="1137">
        <f t="shared" si="492"/>
      </c>
      <c r="DJ142" s="1243">
        <f t="shared" si="492"/>
      </c>
      <c r="DK142" s="1136">
        <f t="shared" si="492"/>
      </c>
      <c r="DL142" s="1136">
        <f t="shared" si="492"/>
      </c>
      <c r="DM142" s="1137">
        <f t="shared" si="492"/>
      </c>
      <c r="DN142" s="1243">
        <f t="shared" si="492"/>
      </c>
      <c r="DO142" s="1136">
        <f t="shared" si="492"/>
      </c>
      <c r="DP142" s="1136">
        <f t="shared" si="492"/>
      </c>
      <c r="DQ142" s="1137">
        <f t="shared" si="492"/>
      </c>
      <c r="DR142" s="1243">
        <f t="shared" si="492"/>
      </c>
      <c r="DS142" s="1136">
        <f t="shared" si="492"/>
      </c>
      <c r="DT142" s="1136">
        <f t="shared" si="492"/>
      </c>
      <c r="DU142" s="1137">
        <f t="shared" si="492"/>
      </c>
      <c r="DV142" s="1243">
        <f t="shared" si="454"/>
      </c>
      <c r="DW142" s="1136">
        <f t="shared" si="455"/>
      </c>
      <c r="DX142" s="1136">
        <f t="shared" si="456"/>
      </c>
      <c r="DY142" s="1137">
        <f t="shared" si="457"/>
      </c>
      <c r="DZ142" s="1243">
        <f t="shared" si="458"/>
      </c>
      <c r="EA142" s="1136">
        <f t="shared" si="459"/>
      </c>
      <c r="EB142" s="1136">
        <f t="shared" si="460"/>
      </c>
      <c r="EC142" s="1137">
        <f t="shared" si="461"/>
      </c>
      <c r="ED142" s="1243">
        <f t="shared" si="462"/>
      </c>
      <c r="EE142" s="1136">
        <f t="shared" si="463"/>
      </c>
      <c r="EF142" s="1136">
        <f t="shared" si="464"/>
      </c>
      <c r="EG142" s="1137">
        <f t="shared" si="465"/>
      </c>
      <c r="EH142" s="1243">
        <f t="shared" si="466"/>
      </c>
      <c r="EI142" s="1136">
        <f t="shared" si="467"/>
      </c>
      <c r="EJ142" s="1136">
        <f t="shared" si="468"/>
      </c>
      <c r="EK142" s="1137">
        <f t="shared" si="469"/>
      </c>
      <c r="EL142" s="10"/>
    </row>
    <row r="143" spans="1:142">
      <c r="A143" s="11" t="str">
        <f t="shared" si="470"/>
      </c>
      <c r="D143" s="1136">
        <v>2.7E-2</v>
      </c>
      <c r="CL143" s="1136">
        <f t="shared" si="471"/>
      </c>
      <c r="CM143" s="1136">
        <f t="shared" ref="CM143:DU143" si="493">CL143</f>
      </c>
      <c r="CN143" s="1136">
        <f t="shared" si="493"/>
      </c>
      <c r="CO143" s="1137">
        <f t="shared" si="493"/>
      </c>
      <c r="CP143" s="1136">
        <f t="shared" si="493"/>
      </c>
      <c r="CQ143" s="1136">
        <f t="shared" si="493"/>
      </c>
      <c r="CR143" s="1136">
        <f t="shared" si="493"/>
      </c>
      <c r="CS143" s="1137">
        <f t="shared" si="493"/>
      </c>
      <c r="CT143" s="1243">
        <f t="shared" si="493"/>
      </c>
      <c r="CU143" s="1136">
        <f t="shared" si="493"/>
      </c>
      <c r="CV143" s="1136">
        <f t="shared" si="493"/>
      </c>
      <c r="CW143" s="1137">
        <f t="shared" si="493"/>
      </c>
      <c r="CX143" s="1243">
        <f t="shared" si="493"/>
      </c>
      <c r="CY143" s="1136">
        <f t="shared" si="493"/>
      </c>
      <c r="CZ143" s="1136">
        <f t="shared" si="493"/>
      </c>
      <c r="DA143" s="1137">
        <f t="shared" si="493"/>
      </c>
      <c r="DB143" s="1243">
        <f t="shared" si="493"/>
      </c>
      <c r="DC143" s="1136">
        <f t="shared" si="493"/>
      </c>
      <c r="DD143" s="1136">
        <f t="shared" si="493"/>
      </c>
      <c r="DE143" s="1137">
        <f t="shared" si="493"/>
      </c>
      <c r="DF143" s="1243">
        <f t="shared" si="493"/>
      </c>
      <c r="DG143" s="1136">
        <f t="shared" si="493"/>
      </c>
      <c r="DH143" s="1136">
        <f t="shared" si="493"/>
      </c>
      <c r="DI143" s="1137">
        <f t="shared" si="493"/>
      </c>
      <c r="DJ143" s="1243">
        <f t="shared" si="493"/>
      </c>
      <c r="DK143" s="1136">
        <f t="shared" si="493"/>
      </c>
      <c r="DL143" s="1136">
        <f t="shared" si="493"/>
      </c>
      <c r="DM143" s="1137">
        <f t="shared" si="493"/>
      </c>
      <c r="DN143" s="1243">
        <f t="shared" si="493"/>
      </c>
      <c r="DO143" s="1136">
        <f t="shared" si="493"/>
      </c>
      <c r="DP143" s="1136">
        <f t="shared" si="493"/>
      </c>
      <c r="DQ143" s="1137">
        <f t="shared" si="493"/>
      </c>
      <c r="DR143" s="1243">
        <f t="shared" si="493"/>
      </c>
      <c r="DS143" s="1136">
        <f t="shared" si="493"/>
      </c>
      <c r="DT143" s="1136">
        <f t="shared" si="493"/>
      </c>
      <c r="DU143" s="1137">
        <f t="shared" si="493"/>
      </c>
      <c r="DV143" s="1243">
        <f t="shared" si="454"/>
      </c>
      <c r="DW143" s="1136">
        <f t="shared" si="455"/>
      </c>
      <c r="DX143" s="1136">
        <f t="shared" si="456"/>
      </c>
      <c r="DY143" s="1137">
        <f t="shared" si="457"/>
      </c>
      <c r="DZ143" s="1243">
        <f t="shared" si="458"/>
      </c>
      <c r="EA143" s="1136">
        <f t="shared" si="459"/>
      </c>
      <c r="EB143" s="1136">
        <f t="shared" si="460"/>
      </c>
      <c r="EC143" s="1137">
        <f t="shared" si="461"/>
      </c>
      <c r="ED143" s="1243">
        <f t="shared" si="462"/>
      </c>
      <c r="EE143" s="1136">
        <f t="shared" si="463"/>
      </c>
      <c r="EF143" s="1136">
        <f t="shared" si="464"/>
      </c>
      <c r="EG143" s="1137">
        <f t="shared" si="465"/>
      </c>
      <c r="EH143" s="1243">
        <f t="shared" si="466"/>
      </c>
      <c r="EI143" s="1136">
        <f t="shared" si="467"/>
      </c>
      <c r="EJ143" s="1136">
        <f t="shared" si="468"/>
      </c>
      <c r="EK143" s="1137">
        <f t="shared" si="469"/>
      </c>
      <c r="EL143" s="10"/>
    </row>
    <row r="144" spans="1:142">
      <c r="A144" s="11" t="str">
        <f t="shared" si="470"/>
      </c>
      <c r="D144" s="1136">
        <v>3.2000000000000001E-2</v>
      </c>
      <c r="CL144" s="1136">
        <f t="shared" si="471"/>
      </c>
      <c r="CM144" s="1136">
        <f t="shared" ref="CM144:DU144" si="494">CL144</f>
      </c>
      <c r="CN144" s="1136">
        <f t="shared" si="494"/>
      </c>
      <c r="CO144" s="1137">
        <f t="shared" si="494"/>
      </c>
      <c r="CP144" s="1136">
        <f t="shared" si="494"/>
      </c>
      <c r="CQ144" s="1136">
        <f t="shared" si="494"/>
      </c>
      <c r="CR144" s="1136">
        <f t="shared" si="494"/>
      </c>
      <c r="CS144" s="1137">
        <f t="shared" si="494"/>
      </c>
      <c r="CT144" s="1243">
        <f t="shared" si="494"/>
      </c>
      <c r="CU144" s="1136">
        <f t="shared" si="494"/>
      </c>
      <c r="CV144" s="1136">
        <f t="shared" si="494"/>
      </c>
      <c r="CW144" s="1137">
        <f t="shared" si="494"/>
      </c>
      <c r="CX144" s="1243">
        <f t="shared" si="494"/>
      </c>
      <c r="CY144" s="1136">
        <f t="shared" si="494"/>
      </c>
      <c r="CZ144" s="1136">
        <f t="shared" si="494"/>
      </c>
      <c r="DA144" s="1137">
        <f t="shared" si="494"/>
      </c>
      <c r="DB144" s="1243">
        <f t="shared" si="494"/>
      </c>
      <c r="DC144" s="1136">
        <f t="shared" si="494"/>
      </c>
      <c r="DD144" s="1136">
        <f t="shared" si="494"/>
      </c>
      <c r="DE144" s="1137">
        <f t="shared" si="494"/>
      </c>
      <c r="DF144" s="1243">
        <f t="shared" si="494"/>
      </c>
      <c r="DG144" s="1136">
        <f t="shared" si="494"/>
      </c>
      <c r="DH144" s="1136">
        <f t="shared" si="494"/>
      </c>
      <c r="DI144" s="1137">
        <f t="shared" si="494"/>
      </c>
      <c r="DJ144" s="1243">
        <f t="shared" si="494"/>
      </c>
      <c r="DK144" s="1136">
        <f t="shared" si="494"/>
      </c>
      <c r="DL144" s="1136">
        <f t="shared" si="494"/>
      </c>
      <c r="DM144" s="1137">
        <f t="shared" si="494"/>
      </c>
      <c r="DN144" s="1243">
        <f t="shared" si="494"/>
      </c>
      <c r="DO144" s="1136">
        <f t="shared" si="494"/>
      </c>
      <c r="DP144" s="1136">
        <f t="shared" si="494"/>
      </c>
      <c r="DQ144" s="1137">
        <f t="shared" si="494"/>
      </c>
      <c r="DR144" s="1243">
        <f t="shared" si="494"/>
      </c>
      <c r="DS144" s="1136">
        <f t="shared" si="494"/>
      </c>
      <c r="DT144" s="1136">
        <f t="shared" si="494"/>
      </c>
      <c r="DU144" s="1137">
        <f t="shared" si="494"/>
      </c>
      <c r="DV144" s="1243">
        <f t="shared" si="454"/>
      </c>
      <c r="DW144" s="1136">
        <f t="shared" si="455"/>
      </c>
      <c r="DX144" s="1136">
        <f t="shared" si="456"/>
      </c>
      <c r="DY144" s="1137">
        <f t="shared" si="457"/>
      </c>
      <c r="DZ144" s="1243">
        <f t="shared" si="458"/>
      </c>
      <c r="EA144" s="1136">
        <f t="shared" si="459"/>
      </c>
      <c r="EB144" s="1136">
        <f t="shared" si="460"/>
      </c>
      <c r="EC144" s="1137">
        <f t="shared" si="461"/>
      </c>
      <c r="ED144" s="1243">
        <f t="shared" si="462"/>
      </c>
      <c r="EE144" s="1136">
        <f t="shared" si="463"/>
      </c>
      <c r="EF144" s="1136">
        <f t="shared" si="464"/>
      </c>
      <c r="EG144" s="1137">
        <f t="shared" si="465"/>
      </c>
      <c r="EH144" s="1243">
        <f t="shared" si="466"/>
      </c>
      <c r="EI144" s="1136">
        <f t="shared" si="467"/>
      </c>
      <c r="EJ144" s="1136">
        <f t="shared" si="468"/>
      </c>
      <c r="EK144" s="1137">
        <f t="shared" si="469"/>
      </c>
      <c r="EL144" s="10"/>
    </row>
    <row r="145" spans="1:142">
      <c r="A145" s="11" t="str">
        <f t="shared" si="470"/>
      </c>
      <c r="D145" s="1136">
        <v>4.3799999999999999E-2</v>
      </c>
      <c r="CL145" s="1136">
        <f t="shared" si="471"/>
      </c>
      <c r="CM145" s="1136">
        <f t="shared" ref="CM145:DU145" si="495">CL145</f>
      </c>
      <c r="CN145" s="1136">
        <f t="shared" si="495"/>
      </c>
      <c r="CO145" s="1137">
        <f t="shared" si="495"/>
      </c>
      <c r="CP145" s="1136">
        <f t="shared" si="495"/>
      </c>
      <c r="CQ145" s="1136">
        <f t="shared" si="495"/>
      </c>
      <c r="CR145" s="1136">
        <f t="shared" si="495"/>
      </c>
      <c r="CS145" s="1137">
        <f t="shared" si="495"/>
      </c>
      <c r="CT145" s="1243">
        <f t="shared" si="495"/>
      </c>
      <c r="CU145" s="1136">
        <f t="shared" si="495"/>
      </c>
      <c r="CV145" s="1136">
        <f t="shared" si="495"/>
      </c>
      <c r="CW145" s="1137">
        <f t="shared" si="495"/>
      </c>
      <c r="CX145" s="1243">
        <f t="shared" si="495"/>
      </c>
      <c r="CY145" s="1136">
        <f t="shared" si="495"/>
      </c>
      <c r="CZ145" s="1136">
        <f t="shared" si="495"/>
      </c>
      <c r="DA145" s="1137">
        <f t="shared" si="495"/>
      </c>
      <c r="DB145" s="1243">
        <f t="shared" si="495"/>
      </c>
      <c r="DC145" s="1136">
        <f t="shared" si="495"/>
      </c>
      <c r="DD145" s="1136">
        <f t="shared" si="495"/>
      </c>
      <c r="DE145" s="1137">
        <f t="shared" si="495"/>
      </c>
      <c r="DF145" s="1243">
        <f t="shared" si="495"/>
      </c>
      <c r="DG145" s="1136">
        <f t="shared" si="495"/>
      </c>
      <c r="DH145" s="1136">
        <f t="shared" si="495"/>
      </c>
      <c r="DI145" s="1137">
        <f t="shared" si="495"/>
      </c>
      <c r="DJ145" s="1243">
        <f t="shared" si="495"/>
      </c>
      <c r="DK145" s="1136">
        <f t="shared" si="495"/>
      </c>
      <c r="DL145" s="1136">
        <f t="shared" si="495"/>
      </c>
      <c r="DM145" s="1137">
        <f t="shared" si="495"/>
      </c>
      <c r="DN145" s="1243">
        <f t="shared" si="495"/>
      </c>
      <c r="DO145" s="1136">
        <f t="shared" si="495"/>
      </c>
      <c r="DP145" s="1136">
        <f t="shared" si="495"/>
      </c>
      <c r="DQ145" s="1137">
        <f t="shared" si="495"/>
      </c>
      <c r="DR145" s="1243">
        <f t="shared" si="495"/>
      </c>
      <c r="DS145" s="1136">
        <f t="shared" si="495"/>
      </c>
      <c r="DT145" s="1136">
        <f t="shared" si="495"/>
      </c>
      <c r="DU145" s="1137">
        <f t="shared" si="495"/>
      </c>
      <c r="DV145" s="1243">
        <f t="shared" si="454"/>
      </c>
      <c r="DW145" s="1136">
        <f t="shared" si="455"/>
      </c>
      <c r="DX145" s="1136">
        <f t="shared" si="456"/>
      </c>
      <c r="DY145" s="1137">
        <f t="shared" si="457"/>
      </c>
      <c r="DZ145" s="1243">
        <f t="shared" si="458"/>
      </c>
      <c r="EA145" s="1136">
        <f t="shared" si="459"/>
      </c>
      <c r="EB145" s="1136">
        <f t="shared" si="460"/>
      </c>
      <c r="EC145" s="1137">
        <f t="shared" si="461"/>
      </c>
      <c r="ED145" s="1243">
        <f t="shared" si="462"/>
      </c>
      <c r="EE145" s="1136">
        <f t="shared" si="463"/>
      </c>
      <c r="EF145" s="1136">
        <f t="shared" si="464"/>
      </c>
      <c r="EG145" s="1137">
        <f t="shared" si="465"/>
      </c>
      <c r="EH145" s="1243">
        <f t="shared" si="466"/>
      </c>
      <c r="EI145" s="1136">
        <f t="shared" si="467"/>
      </c>
      <c r="EJ145" s="1136">
        <f t="shared" si="468"/>
      </c>
      <c r="EK145" s="1137">
        <f t="shared" si="469"/>
      </c>
      <c r="EL145" s="10"/>
    </row>
    <row r="146" spans="1:142">
      <c r="A146" s="11" t="str">
        <f t="shared" si="470"/>
      </c>
      <c r="D146" s="1136">
        <v>3.5000000000000001E-3</v>
      </c>
      <c r="CL146" s="1136">
        <f t="shared" si="471"/>
      </c>
      <c r="CM146" s="1136">
        <f t="shared" ref="CM146:DU146" si="496">CL146</f>
      </c>
      <c r="CN146" s="1136">
        <f t="shared" si="496"/>
      </c>
      <c r="CO146" s="1137">
        <f t="shared" si="496"/>
      </c>
      <c r="CP146" s="1136">
        <f t="shared" si="496"/>
      </c>
      <c r="CQ146" s="1136">
        <f t="shared" si="496"/>
      </c>
      <c r="CR146" s="1136">
        <f t="shared" si="496"/>
      </c>
      <c r="CS146" s="1137">
        <f t="shared" si="496"/>
      </c>
      <c r="CT146" s="1243">
        <f t="shared" si="496"/>
      </c>
      <c r="CU146" s="1136">
        <f t="shared" si="496"/>
      </c>
      <c r="CV146" s="1136">
        <f t="shared" si="496"/>
      </c>
      <c r="CW146" s="1137">
        <f t="shared" si="496"/>
      </c>
      <c r="CX146" s="1243">
        <f t="shared" si="496"/>
      </c>
      <c r="CY146" s="1136">
        <f t="shared" si="496"/>
      </c>
      <c r="CZ146" s="1136">
        <f t="shared" si="496"/>
      </c>
      <c r="DA146" s="1137">
        <f t="shared" si="496"/>
      </c>
      <c r="DB146" s="1243">
        <f t="shared" si="496"/>
      </c>
      <c r="DC146" s="1136">
        <f t="shared" si="496"/>
      </c>
      <c r="DD146" s="1136">
        <f t="shared" si="496"/>
      </c>
      <c r="DE146" s="1137">
        <f t="shared" si="496"/>
      </c>
      <c r="DF146" s="1243">
        <f t="shared" si="496"/>
      </c>
      <c r="DG146" s="1136">
        <f t="shared" si="496"/>
      </c>
      <c r="DH146" s="1136">
        <f t="shared" si="496"/>
      </c>
      <c r="DI146" s="1137">
        <f t="shared" si="496"/>
      </c>
      <c r="DJ146" s="1243">
        <f t="shared" si="496"/>
      </c>
      <c r="DK146" s="1136">
        <f t="shared" si="496"/>
      </c>
      <c r="DL146" s="1136">
        <f t="shared" si="496"/>
      </c>
      <c r="DM146" s="1137">
        <f t="shared" si="496"/>
      </c>
      <c r="DN146" s="1243">
        <f t="shared" si="496"/>
      </c>
      <c r="DO146" s="1136">
        <f t="shared" si="496"/>
      </c>
      <c r="DP146" s="1136">
        <f t="shared" si="496"/>
      </c>
      <c r="DQ146" s="1137">
        <f t="shared" si="496"/>
      </c>
      <c r="DR146" s="1243">
        <f t="shared" si="496"/>
      </c>
      <c r="DS146" s="1136">
        <f t="shared" si="496"/>
      </c>
      <c r="DT146" s="1136">
        <f t="shared" si="496"/>
      </c>
      <c r="DU146" s="1137">
        <f t="shared" si="496"/>
      </c>
      <c r="DV146" s="1243">
        <f t="shared" si="454"/>
      </c>
      <c r="DW146" s="1136">
        <f t="shared" si="455"/>
      </c>
      <c r="DX146" s="1136">
        <f t="shared" si="456"/>
      </c>
      <c r="DY146" s="1137">
        <f t="shared" si="457"/>
      </c>
      <c r="DZ146" s="1243">
        <f t="shared" si="458"/>
      </c>
      <c r="EA146" s="1136">
        <f t="shared" si="459"/>
      </c>
      <c r="EB146" s="1136">
        <f t="shared" si="460"/>
      </c>
      <c r="EC146" s="1137">
        <f t="shared" si="461"/>
      </c>
      <c r="ED146" s="1243">
        <f t="shared" si="462"/>
      </c>
      <c r="EE146" s="1136">
        <f t="shared" si="463"/>
      </c>
      <c r="EF146" s="1136">
        <f t="shared" si="464"/>
      </c>
      <c r="EG146" s="1137">
        <f t="shared" si="465"/>
      </c>
      <c r="EH146" s="1243">
        <f t="shared" si="466"/>
      </c>
      <c r="EI146" s="1136">
        <f t="shared" si="467"/>
      </c>
      <c r="EJ146" s="1136">
        <f t="shared" si="468"/>
      </c>
      <c r="EK146" s="1137">
        <f t="shared" si="469"/>
      </c>
      <c r="EL146" s="10"/>
    </row>
    <row r="147" spans="1:142">
      <c r="A147" s="11" t="str">
        <f t="shared" si="470"/>
      </c>
      <c r="D147" s="1136">
        <v>3.0499999999999999E-2</v>
      </c>
      <c r="CL147" s="1136">
        <f t="shared" si="471"/>
      </c>
      <c r="CM147" s="1136">
        <f t="shared" ref="CM147:DU147" si="497">CL147</f>
      </c>
      <c r="CN147" s="1136">
        <f t="shared" si="497"/>
      </c>
      <c r="CO147" s="1137">
        <f t="shared" si="497"/>
      </c>
      <c r="CP147" s="1136">
        <f t="shared" si="497"/>
      </c>
      <c r="CQ147" s="1136">
        <f t="shared" si="497"/>
      </c>
      <c r="CR147" s="1136">
        <f t="shared" si="497"/>
      </c>
      <c r="CS147" s="1137">
        <f t="shared" si="497"/>
      </c>
      <c r="CT147" s="1243">
        <f t="shared" si="497"/>
      </c>
      <c r="CU147" s="1136">
        <f t="shared" si="497"/>
      </c>
      <c r="CV147" s="1136">
        <f t="shared" si="497"/>
      </c>
      <c r="CW147" s="1137">
        <f t="shared" si="497"/>
      </c>
      <c r="CX147" s="1243">
        <f t="shared" si="497"/>
      </c>
      <c r="CY147" s="1136">
        <f t="shared" si="497"/>
      </c>
      <c r="CZ147" s="1136">
        <f t="shared" si="497"/>
      </c>
      <c r="DA147" s="1137">
        <f t="shared" si="497"/>
      </c>
      <c r="DB147" s="1243">
        <f t="shared" si="497"/>
      </c>
      <c r="DC147" s="1136">
        <f t="shared" si="497"/>
      </c>
      <c r="DD147" s="1136">
        <f t="shared" si="497"/>
      </c>
      <c r="DE147" s="1137">
        <f t="shared" si="497"/>
      </c>
      <c r="DF147" s="1243">
        <f t="shared" si="497"/>
      </c>
      <c r="DG147" s="1136">
        <f t="shared" si="497"/>
      </c>
      <c r="DH147" s="1136">
        <f t="shared" si="497"/>
      </c>
      <c r="DI147" s="1137">
        <f t="shared" si="497"/>
      </c>
      <c r="DJ147" s="1243">
        <f t="shared" si="497"/>
      </c>
      <c r="DK147" s="1136">
        <f t="shared" si="497"/>
      </c>
      <c r="DL147" s="1136">
        <f t="shared" si="497"/>
      </c>
      <c r="DM147" s="1137">
        <f t="shared" si="497"/>
      </c>
      <c r="DN147" s="1243">
        <f t="shared" si="497"/>
      </c>
      <c r="DO147" s="1136">
        <f t="shared" si="497"/>
      </c>
      <c r="DP147" s="1136">
        <f t="shared" si="497"/>
      </c>
      <c r="DQ147" s="1137">
        <f t="shared" si="497"/>
      </c>
      <c r="DR147" s="1243">
        <f t="shared" si="497"/>
      </c>
      <c r="DS147" s="1136">
        <f t="shared" si="497"/>
      </c>
      <c r="DT147" s="1136">
        <f t="shared" si="497"/>
      </c>
      <c r="DU147" s="1137">
        <f t="shared" si="497"/>
      </c>
      <c r="DV147" s="1243">
        <f t="shared" si="454"/>
      </c>
      <c r="DW147" s="1136">
        <f t="shared" si="455"/>
      </c>
      <c r="DX147" s="1136">
        <f t="shared" si="456"/>
      </c>
      <c r="DY147" s="1137">
        <f t="shared" si="457"/>
      </c>
      <c r="DZ147" s="1243">
        <f t="shared" si="458"/>
      </c>
      <c r="EA147" s="1136">
        <f t="shared" si="459"/>
      </c>
      <c r="EB147" s="1136">
        <f t="shared" si="460"/>
      </c>
      <c r="EC147" s="1137">
        <f t="shared" si="461"/>
      </c>
      <c r="ED147" s="1243">
        <f t="shared" si="462"/>
      </c>
      <c r="EE147" s="1136">
        <f t="shared" si="463"/>
      </c>
      <c r="EF147" s="1136">
        <f t="shared" si="464"/>
      </c>
      <c r="EG147" s="1137">
        <f t="shared" si="465"/>
      </c>
      <c r="EH147" s="1243">
        <f t="shared" si="466"/>
      </c>
      <c r="EI147" s="1136">
        <f t="shared" si="467"/>
      </c>
      <c r="EJ147" s="1136">
        <f t="shared" si="468"/>
      </c>
      <c r="EK147" s="1137">
        <f t="shared" si="469"/>
      </c>
      <c r="EL147" s="10"/>
    </row>
    <row r="148" spans="1:142">
      <c r="A148" s="11" t="str">
        <f t="shared" si="470"/>
      </c>
      <c r="D148" s="1136">
        <v>3.5999999999999997E-2</v>
      </c>
      <c r="CL148" s="1136">
        <f t="shared" si="471"/>
      </c>
      <c r="CM148" s="1136">
        <f t="shared" ref="CM148:DU148" si="498">CL148</f>
      </c>
      <c r="CN148" s="1136">
        <f t="shared" si="498"/>
      </c>
      <c r="CO148" s="1137">
        <f t="shared" si="498"/>
      </c>
      <c r="CP148" s="1136">
        <f t="shared" si="498"/>
      </c>
      <c r="CQ148" s="1136">
        <f t="shared" si="498"/>
      </c>
      <c r="CR148" s="1136">
        <f t="shared" si="498"/>
      </c>
      <c r="CS148" s="1137">
        <f t="shared" si="498"/>
      </c>
      <c r="CT148" s="1243">
        <f t="shared" si="498"/>
      </c>
      <c r="CU148" s="1136">
        <f t="shared" si="498"/>
      </c>
      <c r="CV148" s="1136">
        <f t="shared" si="498"/>
      </c>
      <c r="CW148" s="1137">
        <f t="shared" si="498"/>
      </c>
      <c r="CX148" s="1243">
        <f t="shared" si="498"/>
      </c>
      <c r="CY148" s="1136">
        <f t="shared" si="498"/>
      </c>
      <c r="CZ148" s="1136">
        <f t="shared" si="498"/>
      </c>
      <c r="DA148" s="1137">
        <f t="shared" si="498"/>
      </c>
      <c r="DB148" s="1243">
        <f t="shared" si="498"/>
      </c>
      <c r="DC148" s="1136">
        <f t="shared" si="498"/>
      </c>
      <c r="DD148" s="1136">
        <f t="shared" si="498"/>
      </c>
      <c r="DE148" s="1137">
        <f t="shared" si="498"/>
      </c>
      <c r="DF148" s="1243">
        <f t="shared" si="498"/>
      </c>
      <c r="DG148" s="1136">
        <f t="shared" si="498"/>
      </c>
      <c r="DH148" s="1136">
        <f t="shared" si="498"/>
      </c>
      <c r="DI148" s="1137">
        <f t="shared" si="498"/>
      </c>
      <c r="DJ148" s="1243">
        <f t="shared" si="498"/>
      </c>
      <c r="DK148" s="1136">
        <f t="shared" si="498"/>
      </c>
      <c r="DL148" s="1136">
        <f t="shared" si="498"/>
      </c>
      <c r="DM148" s="1137">
        <f t="shared" si="498"/>
      </c>
      <c r="DN148" s="1243">
        <f t="shared" si="498"/>
      </c>
      <c r="DO148" s="1136">
        <f t="shared" si="498"/>
      </c>
      <c r="DP148" s="1136">
        <f t="shared" si="498"/>
      </c>
      <c r="DQ148" s="1137">
        <f t="shared" si="498"/>
      </c>
      <c r="DR148" s="1243">
        <f t="shared" si="498"/>
      </c>
      <c r="DS148" s="1136">
        <f t="shared" si="498"/>
      </c>
      <c r="DT148" s="1136">
        <f t="shared" si="498"/>
      </c>
      <c r="DU148" s="1137">
        <f t="shared" si="498"/>
      </c>
      <c r="DV148" s="1243">
        <f t="shared" si="454"/>
      </c>
      <c r="DW148" s="1136">
        <f t="shared" si="455"/>
      </c>
      <c r="DX148" s="1136">
        <f t="shared" si="456"/>
      </c>
      <c r="DY148" s="1137">
        <f t="shared" si="457"/>
      </c>
      <c r="DZ148" s="1243">
        <f t="shared" si="458"/>
      </c>
      <c r="EA148" s="1136">
        <f t="shared" si="459"/>
      </c>
      <c r="EB148" s="1136">
        <f t="shared" si="460"/>
      </c>
      <c r="EC148" s="1137">
        <f t="shared" si="461"/>
      </c>
      <c r="ED148" s="1243">
        <f t="shared" si="462"/>
      </c>
      <c r="EE148" s="1136">
        <f t="shared" si="463"/>
      </c>
      <c r="EF148" s="1136">
        <f t="shared" si="464"/>
      </c>
      <c r="EG148" s="1137">
        <f t="shared" si="465"/>
      </c>
      <c r="EH148" s="1243">
        <f t="shared" si="466"/>
      </c>
      <c r="EI148" s="1136">
        <f t="shared" si="467"/>
      </c>
      <c r="EJ148" s="1136">
        <f t="shared" si="468"/>
      </c>
      <c r="EK148" s="1137">
        <f t="shared" si="469"/>
      </c>
      <c r="EL148" s="10"/>
    </row>
    <row r="149" spans="1:142">
      <c r="A149" s="11" t="str">
        <f t="shared" si="470"/>
      </c>
      <c r="D149" s="1136">
        <v>2.9899999999999999E-2</v>
      </c>
      <c r="CL149" s="1136">
        <f t="shared" si="471"/>
      </c>
      <c r="CM149" s="1136">
        <f t="shared" ref="CM149:DU149" si="499">CL149</f>
      </c>
      <c r="CN149" s="1136">
        <f t="shared" si="499"/>
      </c>
      <c r="CO149" s="1137">
        <f t="shared" si="499"/>
      </c>
      <c r="CP149" s="1136">
        <f t="shared" si="499"/>
      </c>
      <c r="CQ149" s="1136">
        <f t="shared" si="499"/>
      </c>
      <c r="CR149" s="1136">
        <f t="shared" si="499"/>
      </c>
      <c r="CS149" s="1137">
        <f t="shared" si="499"/>
      </c>
      <c r="CT149" s="1243">
        <f t="shared" si="499"/>
      </c>
      <c r="CU149" s="1136">
        <f t="shared" si="499"/>
      </c>
      <c r="CV149" s="1136">
        <f t="shared" si="499"/>
      </c>
      <c r="CW149" s="1137">
        <f t="shared" si="499"/>
      </c>
      <c r="CX149" s="1243">
        <f t="shared" si="499"/>
      </c>
      <c r="CY149" s="1136">
        <f t="shared" si="499"/>
      </c>
      <c r="CZ149" s="1136">
        <f t="shared" si="499"/>
      </c>
      <c r="DA149" s="1137">
        <f t="shared" si="499"/>
      </c>
      <c r="DB149" s="1243">
        <f t="shared" si="499"/>
      </c>
      <c r="DC149" s="1136">
        <f t="shared" si="499"/>
      </c>
      <c r="DD149" s="1136">
        <f t="shared" si="499"/>
      </c>
      <c r="DE149" s="1137">
        <f t="shared" si="499"/>
      </c>
      <c r="DF149" s="1243">
        <f t="shared" si="499"/>
      </c>
      <c r="DG149" s="1136">
        <f t="shared" si="499"/>
      </c>
      <c r="DH149" s="1136">
        <f t="shared" si="499"/>
      </c>
      <c r="DI149" s="1137">
        <f t="shared" si="499"/>
      </c>
      <c r="DJ149" s="1243">
        <f t="shared" si="499"/>
      </c>
      <c r="DK149" s="1136">
        <f t="shared" si="499"/>
      </c>
      <c r="DL149" s="1136">
        <f t="shared" si="499"/>
      </c>
      <c r="DM149" s="1137">
        <f t="shared" si="499"/>
      </c>
      <c r="DN149" s="1243">
        <f t="shared" si="499"/>
      </c>
      <c r="DO149" s="1136">
        <f t="shared" si="499"/>
      </c>
      <c r="DP149" s="1136">
        <f t="shared" si="499"/>
      </c>
      <c r="DQ149" s="1137">
        <f t="shared" si="499"/>
      </c>
      <c r="DR149" s="1243">
        <f t="shared" si="499"/>
      </c>
      <c r="DS149" s="1136">
        <f t="shared" si="499"/>
      </c>
      <c r="DT149" s="1136">
        <f t="shared" si="499"/>
      </c>
      <c r="DU149" s="1137">
        <f t="shared" si="499"/>
      </c>
      <c r="DV149" s="1243">
        <f t="shared" si="454"/>
      </c>
      <c r="DW149" s="1136">
        <f t="shared" si="455"/>
      </c>
      <c r="DX149" s="1136">
        <f t="shared" si="456"/>
      </c>
      <c r="DY149" s="1137">
        <f t="shared" si="457"/>
      </c>
      <c r="DZ149" s="1243">
        <f t="shared" si="458"/>
      </c>
      <c r="EA149" s="1136">
        <f t="shared" si="459"/>
      </c>
      <c r="EB149" s="1136">
        <f t="shared" si="460"/>
      </c>
      <c r="EC149" s="1137">
        <f t="shared" si="461"/>
      </c>
      <c r="ED149" s="1243">
        <f t="shared" si="462"/>
      </c>
      <c r="EE149" s="1136">
        <f t="shared" si="463"/>
      </c>
      <c r="EF149" s="1136">
        <f t="shared" si="464"/>
      </c>
      <c r="EG149" s="1137">
        <f t="shared" si="465"/>
      </c>
      <c r="EH149" s="1243">
        <f t="shared" si="466"/>
      </c>
      <c r="EI149" s="1136">
        <f t="shared" si="467"/>
      </c>
      <c r="EJ149" s="1136">
        <f t="shared" si="468"/>
      </c>
      <c r="EK149" s="1137">
        <f t="shared" si="469"/>
      </c>
      <c r="EL149" s="10"/>
    </row>
    <row r="150" spans="1:142">
      <c r="A150" s="11" t="str">
        <f t="shared" si="470"/>
      </c>
      <c r="D150" s="1136">
        <v>3.6999999999999998E-2</v>
      </c>
      <c r="CL150" s="1136">
        <f t="shared" si="471"/>
      </c>
      <c r="CM150" s="1136">
        <f t="shared" ref="CM150:DU150" si="500">CL150</f>
      </c>
      <c r="CN150" s="1136">
        <f t="shared" si="500"/>
      </c>
      <c r="CO150" s="1137">
        <f t="shared" si="500"/>
      </c>
      <c r="CP150" s="1136">
        <f t="shared" si="500"/>
      </c>
      <c r="CQ150" s="1136">
        <f t="shared" si="500"/>
      </c>
      <c r="CR150" s="1136">
        <f t="shared" si="500"/>
      </c>
      <c r="CS150" s="1137">
        <f t="shared" si="500"/>
      </c>
      <c r="CT150" s="1243">
        <f t="shared" si="500"/>
      </c>
      <c r="CU150" s="1136">
        <f t="shared" si="500"/>
      </c>
      <c r="CV150" s="1136">
        <f t="shared" si="500"/>
      </c>
      <c r="CW150" s="1137">
        <f t="shared" si="500"/>
      </c>
      <c r="CX150" s="1243">
        <f t="shared" si="500"/>
      </c>
      <c r="CY150" s="1136">
        <f t="shared" si="500"/>
      </c>
      <c r="CZ150" s="1136">
        <f t="shared" si="500"/>
      </c>
      <c r="DA150" s="1137">
        <f t="shared" si="500"/>
      </c>
      <c r="DB150" s="1243">
        <f t="shared" si="500"/>
      </c>
      <c r="DC150" s="1136">
        <f t="shared" si="500"/>
      </c>
      <c r="DD150" s="1136">
        <f t="shared" si="500"/>
      </c>
      <c r="DE150" s="1137">
        <f t="shared" si="500"/>
      </c>
      <c r="DF150" s="1243">
        <f t="shared" si="500"/>
      </c>
      <c r="DG150" s="1136">
        <f t="shared" si="500"/>
      </c>
      <c r="DH150" s="1136">
        <f t="shared" si="500"/>
      </c>
      <c r="DI150" s="1137">
        <f t="shared" si="500"/>
      </c>
      <c r="DJ150" s="1243">
        <f t="shared" si="500"/>
      </c>
      <c r="DK150" s="1136">
        <f t="shared" si="500"/>
      </c>
      <c r="DL150" s="1136">
        <f t="shared" si="500"/>
      </c>
      <c r="DM150" s="1137">
        <f t="shared" si="500"/>
      </c>
      <c r="DN150" s="1243">
        <f t="shared" si="500"/>
      </c>
      <c r="DO150" s="1136">
        <f t="shared" si="500"/>
      </c>
      <c r="DP150" s="1136">
        <f t="shared" si="500"/>
      </c>
      <c r="DQ150" s="1137">
        <f t="shared" si="500"/>
      </c>
      <c r="DR150" s="1243">
        <f t="shared" si="500"/>
      </c>
      <c r="DS150" s="1136">
        <f t="shared" si="500"/>
      </c>
      <c r="DT150" s="1136">
        <f t="shared" si="500"/>
      </c>
      <c r="DU150" s="1137">
        <f t="shared" si="500"/>
      </c>
      <c r="DV150" s="1243">
        <f t="shared" si="454"/>
      </c>
      <c r="DW150" s="1136">
        <f t="shared" si="455"/>
      </c>
      <c r="DX150" s="1136">
        <f t="shared" si="456"/>
      </c>
      <c r="DY150" s="1137">
        <f t="shared" si="457"/>
      </c>
      <c r="DZ150" s="1243">
        <f t="shared" si="458"/>
      </c>
      <c r="EA150" s="1136">
        <f t="shared" si="459"/>
      </c>
      <c r="EB150" s="1136">
        <f t="shared" si="460"/>
      </c>
      <c r="EC150" s="1137">
        <f t="shared" si="461"/>
      </c>
      <c r="ED150" s="1243">
        <f t="shared" si="462"/>
      </c>
      <c r="EE150" s="1136">
        <f t="shared" si="463"/>
      </c>
      <c r="EF150" s="1136">
        <f t="shared" si="464"/>
      </c>
      <c r="EG150" s="1137">
        <f t="shared" si="465"/>
      </c>
      <c r="EH150" s="1243">
        <f t="shared" si="466"/>
      </c>
      <c r="EI150" s="1136">
        <f t="shared" si="467"/>
      </c>
      <c r="EJ150" s="1136">
        <f t="shared" si="468"/>
      </c>
      <c r="EK150" s="1137">
        <f t="shared" si="469"/>
      </c>
      <c r="EL150" s="10"/>
    </row>
    <row r="151" spans="1:142">
      <c r="A151" s="11" t="str">
        <f t="shared" si="470"/>
      </c>
      <c r="D151" s="1136">
        <v>1.375E-2</v>
      </c>
      <c r="CL151" s="1136">
        <f t="shared" si="471"/>
      </c>
      <c r="CM151" s="1136">
        <f t="shared" ref="CM151:DU151" si="501">CL151</f>
      </c>
      <c r="CN151" s="1136">
        <f t="shared" si="501"/>
      </c>
      <c r="CO151" s="1137">
        <f t="shared" si="501"/>
      </c>
      <c r="CP151" s="1136">
        <f t="shared" si="501"/>
      </c>
      <c r="CQ151" s="1136">
        <f t="shared" si="501"/>
      </c>
      <c r="CR151" s="1136">
        <f t="shared" si="501"/>
      </c>
      <c r="CS151" s="1137">
        <f t="shared" si="501"/>
      </c>
      <c r="CT151" s="1243">
        <f t="shared" si="501"/>
      </c>
      <c r="CU151" s="1136">
        <f t="shared" si="501"/>
      </c>
      <c r="CV151" s="1136">
        <f t="shared" si="501"/>
      </c>
      <c r="CW151" s="1137">
        <f t="shared" si="501"/>
      </c>
      <c r="CX151" s="1243">
        <f t="shared" si="501"/>
      </c>
      <c r="CY151" s="1136">
        <f t="shared" si="501"/>
      </c>
      <c r="CZ151" s="1136">
        <f t="shared" si="501"/>
      </c>
      <c r="DA151" s="1137">
        <f t="shared" si="501"/>
      </c>
      <c r="DB151" s="1243">
        <f t="shared" si="501"/>
      </c>
      <c r="DC151" s="1136">
        <f t="shared" si="501"/>
      </c>
      <c r="DD151" s="1136">
        <f t="shared" si="501"/>
      </c>
      <c r="DE151" s="1137">
        <f t="shared" si="501"/>
      </c>
      <c r="DF151" s="1243">
        <f t="shared" si="501"/>
      </c>
      <c r="DG151" s="1136">
        <f t="shared" si="501"/>
      </c>
      <c r="DH151" s="1136">
        <f t="shared" si="501"/>
      </c>
      <c r="DI151" s="1137">
        <f t="shared" si="501"/>
      </c>
      <c r="DJ151" s="1243">
        <f t="shared" si="501"/>
      </c>
      <c r="DK151" s="1136">
        <f t="shared" si="501"/>
      </c>
      <c r="DL151" s="1136">
        <f t="shared" si="501"/>
      </c>
      <c r="DM151" s="1137">
        <f t="shared" si="501"/>
      </c>
      <c r="DN151" s="1243">
        <f t="shared" si="501"/>
      </c>
      <c r="DO151" s="1136">
        <f t="shared" si="501"/>
      </c>
      <c r="DP151" s="1136">
        <f t="shared" si="501"/>
      </c>
      <c r="DQ151" s="1137">
        <f t="shared" si="501"/>
      </c>
      <c r="DR151" s="1243">
        <f t="shared" si="501"/>
      </c>
      <c r="DS151" s="1136">
        <f t="shared" si="501"/>
      </c>
      <c r="DT151" s="1136">
        <f t="shared" si="501"/>
      </c>
      <c r="DU151" s="1137">
        <f t="shared" si="501"/>
      </c>
      <c r="DV151" s="1243">
        <f t="shared" si="454"/>
      </c>
      <c r="DW151" s="1136">
        <f t="shared" si="455"/>
      </c>
      <c r="DX151" s="1136">
        <f t="shared" si="456"/>
      </c>
      <c r="DY151" s="1137">
        <f t="shared" si="457"/>
      </c>
      <c r="DZ151" s="1243">
        <f t="shared" si="458"/>
      </c>
      <c r="EA151" s="1136">
        <f t="shared" si="459"/>
      </c>
      <c r="EB151" s="1136">
        <f t="shared" si="460"/>
      </c>
      <c r="EC151" s="1137">
        <f t="shared" si="461"/>
      </c>
      <c r="ED151" s="1243">
        <f t="shared" si="462"/>
      </c>
      <c r="EE151" s="1136">
        <f t="shared" si="463"/>
      </c>
      <c r="EF151" s="1136">
        <f t="shared" si="464"/>
      </c>
      <c r="EG151" s="1137">
        <f t="shared" si="465"/>
      </c>
      <c r="EH151" s="1243">
        <f t="shared" si="466"/>
      </c>
      <c r="EI151" s="1136">
        <f t="shared" si="467"/>
      </c>
      <c r="EJ151" s="1136">
        <f t="shared" si="468"/>
      </c>
      <c r="EK151" s="1137">
        <f t="shared" si="469"/>
      </c>
      <c r="EL151" s="10"/>
    </row>
    <row r="152" spans="1:142">
      <c r="A152" s="11" t="str">
        <f t="shared" si="470"/>
      </c>
      <c r="D152" s="1136">
        <v>0.02</v>
      </c>
      <c r="CL152" s="1136">
        <f t="shared" si="471"/>
      </c>
      <c r="CM152" s="1136">
        <f t="shared" ref="CM152:DU152" si="502">CL152</f>
      </c>
      <c r="CN152" s="1136">
        <f t="shared" si="502"/>
      </c>
      <c r="CO152" s="1137">
        <f t="shared" si="502"/>
      </c>
      <c r="CP152" s="1136">
        <f t="shared" si="502"/>
      </c>
      <c r="CQ152" s="1136">
        <f t="shared" si="502"/>
      </c>
      <c r="CR152" s="1136">
        <f t="shared" si="502"/>
      </c>
      <c r="CS152" s="1137">
        <f t="shared" si="502"/>
      </c>
      <c r="CT152" s="1243">
        <f t="shared" si="502"/>
      </c>
      <c r="CU152" s="1136">
        <f t="shared" si="502"/>
      </c>
      <c r="CV152" s="1136">
        <f t="shared" si="502"/>
      </c>
      <c r="CW152" s="1137">
        <f t="shared" si="502"/>
      </c>
      <c r="CX152" s="1243">
        <f t="shared" si="502"/>
      </c>
      <c r="CY152" s="1136">
        <f t="shared" si="502"/>
      </c>
      <c r="CZ152" s="1136">
        <f t="shared" si="502"/>
      </c>
      <c r="DA152" s="1137">
        <f t="shared" si="502"/>
      </c>
      <c r="DB152" s="1243">
        <f t="shared" si="502"/>
      </c>
      <c r="DC152" s="1136">
        <f t="shared" si="502"/>
      </c>
      <c r="DD152" s="1136">
        <f t="shared" si="502"/>
      </c>
      <c r="DE152" s="1137">
        <f t="shared" si="502"/>
      </c>
      <c r="DF152" s="1243">
        <f t="shared" si="502"/>
      </c>
      <c r="DG152" s="1136">
        <f t="shared" si="502"/>
      </c>
      <c r="DH152" s="1136">
        <f t="shared" si="502"/>
      </c>
      <c r="DI152" s="1137">
        <f t="shared" si="502"/>
      </c>
      <c r="DJ152" s="1243">
        <f t="shared" si="502"/>
      </c>
      <c r="DK152" s="1136">
        <f t="shared" si="502"/>
      </c>
      <c r="DL152" s="1136">
        <f t="shared" si="502"/>
      </c>
      <c r="DM152" s="1137">
        <f t="shared" si="502"/>
      </c>
      <c r="DN152" s="1243">
        <f t="shared" si="502"/>
      </c>
      <c r="DO152" s="1136">
        <f t="shared" si="502"/>
      </c>
      <c r="DP152" s="1136">
        <f t="shared" si="502"/>
      </c>
      <c r="DQ152" s="1137">
        <f t="shared" si="502"/>
      </c>
      <c r="DR152" s="1243">
        <f t="shared" si="502"/>
      </c>
      <c r="DS152" s="1136">
        <f t="shared" si="502"/>
      </c>
      <c r="DT152" s="1136">
        <f t="shared" si="502"/>
      </c>
      <c r="DU152" s="1137">
        <f t="shared" si="502"/>
      </c>
      <c r="DV152" s="1243">
        <f t="shared" si="454"/>
      </c>
      <c r="DW152" s="1136">
        <f t="shared" si="455"/>
      </c>
      <c r="DX152" s="1136">
        <f t="shared" si="456"/>
      </c>
      <c r="DY152" s="1137">
        <f t="shared" si="457"/>
      </c>
      <c r="DZ152" s="1243">
        <f t="shared" si="458"/>
      </c>
      <c r="EA152" s="1136">
        <f t="shared" si="459"/>
      </c>
      <c r="EB152" s="1136">
        <f t="shared" si="460"/>
      </c>
      <c r="EC152" s="1137">
        <f t="shared" si="461"/>
      </c>
      <c r="ED152" s="1243">
        <f t="shared" si="462"/>
      </c>
      <c r="EE152" s="1136">
        <f t="shared" si="463"/>
      </c>
      <c r="EF152" s="1136">
        <f t="shared" si="464"/>
      </c>
      <c r="EG152" s="1137">
        <f t="shared" si="465"/>
      </c>
      <c r="EH152" s="1243">
        <f t="shared" si="466"/>
      </c>
      <c r="EI152" s="1136">
        <f t="shared" si="467"/>
      </c>
      <c r="EJ152" s="1136">
        <f t="shared" si="468"/>
      </c>
      <c r="EK152" s="1137">
        <f t="shared" si="469"/>
      </c>
      <c r="EL152" s="10"/>
    </row>
    <row r="153" spans="1:142">
      <c r="A153" s="11" t="str">
        <f t="shared" si="470"/>
      </c>
      <c r="D153" s="1136">
        <v>0.02</v>
      </c>
      <c r="CL153" s="1136">
        <f t="shared" si="471"/>
      </c>
      <c r="CM153" s="1136">
        <f t="shared" ref="CM153:DU153" si="503">CL153</f>
      </c>
      <c r="CN153" s="1136">
        <f t="shared" si="503"/>
      </c>
      <c r="CO153" s="1137">
        <f t="shared" si="503"/>
      </c>
      <c r="CP153" s="1136">
        <f t="shared" si="503"/>
      </c>
      <c r="CQ153" s="1136">
        <f t="shared" si="503"/>
      </c>
      <c r="CR153" s="1136">
        <f t="shared" si="503"/>
      </c>
      <c r="CS153" s="1137">
        <f t="shared" si="503"/>
      </c>
      <c r="CT153" s="1243">
        <f t="shared" si="503"/>
      </c>
      <c r="CU153" s="1136">
        <f t="shared" si="503"/>
      </c>
      <c r="CV153" s="1136">
        <f t="shared" si="503"/>
      </c>
      <c r="CW153" s="1137">
        <f t="shared" si="503"/>
      </c>
      <c r="CX153" s="1243">
        <f t="shared" si="503"/>
      </c>
      <c r="CY153" s="1136">
        <f t="shared" si="503"/>
      </c>
      <c r="CZ153" s="1136">
        <f t="shared" si="503"/>
      </c>
      <c r="DA153" s="1137">
        <f t="shared" si="503"/>
      </c>
      <c r="DB153" s="1243">
        <f t="shared" si="503"/>
      </c>
      <c r="DC153" s="1136">
        <f t="shared" si="503"/>
      </c>
      <c r="DD153" s="1136">
        <f t="shared" si="503"/>
      </c>
      <c r="DE153" s="1137">
        <f t="shared" si="503"/>
      </c>
      <c r="DF153" s="1243">
        <f t="shared" si="503"/>
      </c>
      <c r="DG153" s="1136">
        <f t="shared" si="503"/>
      </c>
      <c r="DH153" s="1136">
        <f t="shared" si="503"/>
      </c>
      <c r="DI153" s="1137">
        <f t="shared" si="503"/>
      </c>
      <c r="DJ153" s="1243">
        <f t="shared" si="503"/>
      </c>
      <c r="DK153" s="1136">
        <f t="shared" si="503"/>
      </c>
      <c r="DL153" s="1136">
        <f t="shared" si="503"/>
      </c>
      <c r="DM153" s="1137">
        <f t="shared" si="503"/>
      </c>
      <c r="DN153" s="1243">
        <f t="shared" si="503"/>
      </c>
      <c r="DO153" s="1136">
        <f t="shared" si="503"/>
      </c>
      <c r="DP153" s="1136">
        <f t="shared" si="503"/>
      </c>
      <c r="DQ153" s="1137">
        <f t="shared" si="503"/>
      </c>
      <c r="DR153" s="1243">
        <f t="shared" si="503"/>
      </c>
      <c r="DS153" s="1136">
        <f t="shared" si="503"/>
      </c>
      <c r="DT153" s="1136">
        <f t="shared" si="503"/>
      </c>
      <c r="DU153" s="1137">
        <f t="shared" si="503"/>
      </c>
      <c r="DV153" s="1243">
        <f t="shared" si="454"/>
      </c>
      <c r="DW153" s="1136">
        <f t="shared" si="455"/>
      </c>
      <c r="DX153" s="1136">
        <f t="shared" si="456"/>
      </c>
      <c r="DY153" s="1137">
        <f t="shared" si="457"/>
      </c>
      <c r="DZ153" s="1243">
        <f t="shared" si="458"/>
      </c>
      <c r="EA153" s="1136">
        <f t="shared" si="459"/>
      </c>
      <c r="EB153" s="1136">
        <f t="shared" si="460"/>
      </c>
      <c r="EC153" s="1137">
        <f t="shared" si="461"/>
      </c>
      <c r="ED153" s="1243">
        <f t="shared" si="462"/>
      </c>
      <c r="EE153" s="1136">
        <f t="shared" si="463"/>
      </c>
      <c r="EF153" s="1136">
        <f t="shared" si="464"/>
      </c>
      <c r="EG153" s="1137">
        <f t="shared" si="465"/>
      </c>
      <c r="EH153" s="1243">
        <f t="shared" si="466"/>
      </c>
      <c r="EI153" s="1136">
        <f t="shared" si="467"/>
      </c>
      <c r="EJ153" s="1136">
        <f t="shared" si="468"/>
      </c>
      <c r="EK153" s="1137">
        <f t="shared" si="469"/>
      </c>
      <c r="EL153" s="10"/>
    </row>
    <row r="154" spans="1:142">
      <c r="A154" s="11" t="str">
        <f t="shared" si="470"/>
      </c>
      <c r="D154" s="1136">
        <v>0.02</v>
      </c>
      <c r="CL154" s="1136">
        <f t="shared" si="471"/>
      </c>
      <c r="CM154" s="1136">
        <f t="shared" ref="CM154:DU154" si="504">CL154</f>
      </c>
      <c r="CN154" s="1136">
        <f t="shared" si="504"/>
      </c>
      <c r="CO154" s="1137">
        <f t="shared" si="504"/>
      </c>
      <c r="CP154" s="1136">
        <f t="shared" si="504"/>
      </c>
      <c r="CQ154" s="1136">
        <f t="shared" si="504"/>
      </c>
      <c r="CR154" s="1136">
        <f t="shared" si="504"/>
      </c>
      <c r="CS154" s="1137">
        <f t="shared" si="504"/>
      </c>
      <c r="CT154" s="1243">
        <f t="shared" si="504"/>
      </c>
      <c r="CU154" s="1136">
        <f t="shared" si="504"/>
      </c>
      <c r="CV154" s="1136">
        <f t="shared" si="504"/>
      </c>
      <c r="CW154" s="1137">
        <f t="shared" si="504"/>
      </c>
      <c r="CX154" s="1243">
        <f t="shared" si="504"/>
      </c>
      <c r="CY154" s="1136">
        <f t="shared" si="504"/>
      </c>
      <c r="CZ154" s="1136">
        <f t="shared" si="504"/>
      </c>
      <c r="DA154" s="1137">
        <f t="shared" si="504"/>
      </c>
      <c r="DB154" s="1243">
        <f t="shared" si="504"/>
      </c>
      <c r="DC154" s="1136">
        <f t="shared" si="504"/>
      </c>
      <c r="DD154" s="1136">
        <f t="shared" si="504"/>
      </c>
      <c r="DE154" s="1137">
        <f t="shared" si="504"/>
      </c>
      <c r="DF154" s="1243">
        <f t="shared" si="504"/>
      </c>
      <c r="DG154" s="1136">
        <f t="shared" si="504"/>
      </c>
      <c r="DH154" s="1136">
        <f t="shared" si="504"/>
      </c>
      <c r="DI154" s="1137">
        <f t="shared" si="504"/>
      </c>
      <c r="DJ154" s="1243">
        <f t="shared" si="504"/>
      </c>
      <c r="DK154" s="1136">
        <f t="shared" si="504"/>
      </c>
      <c r="DL154" s="1136">
        <f t="shared" si="504"/>
      </c>
      <c r="DM154" s="1137">
        <f t="shared" si="504"/>
      </c>
      <c r="DN154" s="1243">
        <f t="shared" si="504"/>
      </c>
      <c r="DO154" s="1136">
        <f t="shared" si="504"/>
      </c>
      <c r="DP154" s="1136">
        <f t="shared" si="504"/>
      </c>
      <c r="DQ154" s="1137">
        <f t="shared" si="504"/>
      </c>
      <c r="DR154" s="1243">
        <f t="shared" si="504"/>
      </c>
      <c r="DS154" s="1136">
        <f t="shared" si="504"/>
      </c>
      <c r="DT154" s="1136">
        <f t="shared" si="504"/>
      </c>
      <c r="DU154" s="1137">
        <f t="shared" si="504"/>
      </c>
      <c r="DV154" s="1243">
        <f t="shared" si="454"/>
      </c>
      <c r="DW154" s="1136">
        <f t="shared" si="455"/>
      </c>
      <c r="DX154" s="1136">
        <f t="shared" si="456"/>
      </c>
      <c r="DY154" s="1137">
        <f t="shared" si="457"/>
      </c>
      <c r="DZ154" s="1243">
        <f t="shared" si="458"/>
      </c>
      <c r="EA154" s="1136">
        <f t="shared" si="459"/>
      </c>
      <c r="EB154" s="1136">
        <f t="shared" si="460"/>
      </c>
      <c r="EC154" s="1137">
        <f t="shared" si="461"/>
      </c>
      <c r="ED154" s="1243">
        <f t="shared" si="462"/>
      </c>
      <c r="EE154" s="1136">
        <f t="shared" si="463"/>
      </c>
      <c r="EF154" s="1136">
        <f t="shared" si="464"/>
      </c>
      <c r="EG154" s="1137">
        <f t="shared" si="465"/>
      </c>
      <c r="EH154" s="1243">
        <f t="shared" si="466"/>
      </c>
      <c r="EI154" s="1136">
        <f t="shared" si="467"/>
      </c>
      <c r="EJ154" s="1136">
        <f t="shared" si="468"/>
      </c>
      <c r="EK154" s="1137">
        <f t="shared" si="469"/>
      </c>
      <c r="EL154" s="10"/>
    </row>
    <row r="155" spans="1:142">
      <c r="A155" s="11" t="str">
        <f t="shared" si="470"/>
      </c>
      <c r="D155" s="1136">
        <v>0.02</v>
      </c>
      <c r="CL155" s="1136">
        <f t="shared" si="471"/>
      </c>
      <c r="CM155" s="1136">
        <f t="shared" ref="CM155:DU155" si="505">CL155</f>
      </c>
      <c r="CN155" s="1136">
        <f t="shared" si="505"/>
      </c>
      <c r="CO155" s="1137">
        <f t="shared" si="505"/>
      </c>
      <c r="CP155" s="1136">
        <f t="shared" si="505"/>
      </c>
      <c r="CQ155" s="1136">
        <f t="shared" si="505"/>
      </c>
      <c r="CR155" s="1136">
        <f t="shared" si="505"/>
      </c>
      <c r="CS155" s="1137">
        <f t="shared" si="505"/>
      </c>
      <c r="CT155" s="1243">
        <f t="shared" si="505"/>
      </c>
      <c r="CU155" s="1136">
        <f t="shared" si="505"/>
      </c>
      <c r="CV155" s="1136">
        <f t="shared" si="505"/>
      </c>
      <c r="CW155" s="1137">
        <f t="shared" si="505"/>
      </c>
      <c r="CX155" s="1243">
        <f t="shared" si="505"/>
      </c>
      <c r="CY155" s="1136">
        <f t="shared" si="505"/>
      </c>
      <c r="CZ155" s="1136">
        <f t="shared" si="505"/>
      </c>
      <c r="DA155" s="1137">
        <f t="shared" si="505"/>
      </c>
      <c r="DB155" s="1243">
        <f t="shared" si="505"/>
      </c>
      <c r="DC155" s="1136">
        <f t="shared" si="505"/>
      </c>
      <c r="DD155" s="1136">
        <f t="shared" si="505"/>
      </c>
      <c r="DE155" s="1137">
        <f t="shared" si="505"/>
      </c>
      <c r="DF155" s="1243">
        <f t="shared" si="505"/>
      </c>
      <c r="DG155" s="1136">
        <f t="shared" si="505"/>
      </c>
      <c r="DH155" s="1136">
        <f t="shared" si="505"/>
      </c>
      <c r="DI155" s="1137">
        <f t="shared" si="505"/>
      </c>
      <c r="DJ155" s="1243">
        <f t="shared" si="505"/>
      </c>
      <c r="DK155" s="1136">
        <f t="shared" si="505"/>
      </c>
      <c r="DL155" s="1136">
        <f t="shared" si="505"/>
      </c>
      <c r="DM155" s="1137">
        <f t="shared" si="505"/>
      </c>
      <c r="DN155" s="1243">
        <f t="shared" si="505"/>
      </c>
      <c r="DO155" s="1136">
        <f t="shared" si="505"/>
      </c>
      <c r="DP155" s="1136">
        <f t="shared" si="505"/>
      </c>
      <c r="DQ155" s="1137">
        <f t="shared" si="505"/>
      </c>
      <c r="DR155" s="1243">
        <f t="shared" si="505"/>
      </c>
      <c r="DS155" s="1136">
        <f t="shared" si="505"/>
      </c>
      <c r="DT155" s="1136">
        <f t="shared" si="505"/>
      </c>
      <c r="DU155" s="1137">
        <f t="shared" si="505"/>
      </c>
      <c r="DV155" s="1243">
        <f t="shared" si="454"/>
      </c>
      <c r="DW155" s="1136">
        <f t="shared" si="455"/>
      </c>
      <c r="DX155" s="1136">
        <f t="shared" si="456"/>
      </c>
      <c r="DY155" s="1137">
        <f t="shared" si="457"/>
      </c>
      <c r="DZ155" s="1243">
        <f t="shared" si="458"/>
      </c>
      <c r="EA155" s="1136">
        <f t="shared" si="459"/>
      </c>
      <c r="EB155" s="1136">
        <f t="shared" si="460"/>
      </c>
      <c r="EC155" s="1137">
        <f t="shared" si="461"/>
      </c>
      <c r="ED155" s="1243">
        <f t="shared" si="462"/>
      </c>
      <c r="EE155" s="1136">
        <f t="shared" si="463"/>
      </c>
      <c r="EF155" s="1136">
        <f t="shared" si="464"/>
      </c>
      <c r="EG155" s="1137">
        <f t="shared" si="465"/>
      </c>
      <c r="EH155" s="1243">
        <f t="shared" si="466"/>
      </c>
      <c r="EI155" s="1136">
        <f t="shared" si="467"/>
      </c>
      <c r="EJ155" s="1136">
        <f t="shared" si="468"/>
      </c>
      <c r="EK155" s="1137">
        <f t="shared" si="469"/>
      </c>
      <c r="EL155" s="10"/>
    </row>
    <row r="156" spans="1:142">
      <c r="A156" s="11" t="str">
        <f t="shared" si="470"/>
      </c>
      <c r="D156" s="1136">
        <v>1.2999999999999999E-2</v>
      </c>
      <c r="CL156" s="1136">
        <f t="shared" si="471"/>
      </c>
      <c r="CM156" s="1136">
        <f t="shared" ref="CM156:DU156" si="506">CL156</f>
      </c>
      <c r="CN156" s="1136">
        <f t="shared" si="506"/>
      </c>
      <c r="CO156" s="1137">
        <f t="shared" si="506"/>
      </c>
      <c r="CP156" s="1136">
        <f t="shared" si="506"/>
      </c>
      <c r="CQ156" s="1136">
        <f t="shared" si="506"/>
      </c>
      <c r="CR156" s="1136">
        <f t="shared" si="506"/>
      </c>
      <c r="CS156" s="1137">
        <f t="shared" si="506"/>
      </c>
      <c r="CT156" s="1243">
        <f t="shared" si="506"/>
      </c>
      <c r="CU156" s="1136">
        <f t="shared" si="506"/>
      </c>
      <c r="CV156" s="1136">
        <f t="shared" si="506"/>
      </c>
      <c r="CW156" s="1137">
        <f t="shared" si="506"/>
      </c>
      <c r="CX156" s="1243">
        <f t="shared" si="506"/>
      </c>
      <c r="CY156" s="1136">
        <f t="shared" si="506"/>
      </c>
      <c r="CZ156" s="1136">
        <f t="shared" si="506"/>
      </c>
      <c r="DA156" s="1137">
        <f t="shared" si="506"/>
      </c>
      <c r="DB156" s="1243">
        <f t="shared" si="506"/>
      </c>
      <c r="DC156" s="1136">
        <f t="shared" si="506"/>
      </c>
      <c r="DD156" s="1136">
        <f t="shared" si="506"/>
      </c>
      <c r="DE156" s="1137">
        <f t="shared" si="506"/>
      </c>
      <c r="DF156" s="1243">
        <f t="shared" si="506"/>
      </c>
      <c r="DG156" s="1136">
        <f t="shared" si="506"/>
      </c>
      <c r="DH156" s="1136">
        <f t="shared" si="506"/>
      </c>
      <c r="DI156" s="1137">
        <f t="shared" si="506"/>
      </c>
      <c r="DJ156" s="1243">
        <f t="shared" si="506"/>
      </c>
      <c r="DK156" s="1136">
        <f t="shared" si="506"/>
      </c>
      <c r="DL156" s="1136">
        <f t="shared" si="506"/>
      </c>
      <c r="DM156" s="1137">
        <f t="shared" si="506"/>
      </c>
      <c r="DN156" s="1243">
        <f t="shared" si="506"/>
      </c>
      <c r="DO156" s="1136">
        <f t="shared" si="506"/>
      </c>
      <c r="DP156" s="1136">
        <f t="shared" si="506"/>
      </c>
      <c r="DQ156" s="1137">
        <f t="shared" si="506"/>
      </c>
      <c r="DR156" s="1243">
        <f t="shared" si="506"/>
      </c>
      <c r="DS156" s="1136">
        <f t="shared" si="506"/>
      </c>
      <c r="DT156" s="1136">
        <f t="shared" si="506"/>
      </c>
      <c r="DU156" s="1137">
        <f t="shared" si="506"/>
      </c>
      <c r="DV156" s="1243">
        <f t="shared" si="454"/>
      </c>
      <c r="DW156" s="1136">
        <f t="shared" si="455"/>
      </c>
      <c r="DX156" s="1136">
        <f t="shared" si="456"/>
      </c>
      <c r="DY156" s="1137">
        <f t="shared" si="457"/>
      </c>
      <c r="DZ156" s="1243">
        <f t="shared" si="458"/>
      </c>
      <c r="EA156" s="1136">
        <f t="shared" si="459"/>
      </c>
      <c r="EB156" s="1136">
        <f t="shared" si="460"/>
      </c>
      <c r="EC156" s="1137">
        <f t="shared" si="461"/>
      </c>
      <c r="ED156" s="1243">
        <f t="shared" si="462"/>
      </c>
      <c r="EE156" s="1136">
        <f t="shared" si="463"/>
      </c>
      <c r="EF156" s="1136">
        <f t="shared" si="464"/>
      </c>
      <c r="EG156" s="1137">
        <f t="shared" si="465"/>
      </c>
      <c r="EH156" s="1243">
        <f t="shared" si="466"/>
      </c>
      <c r="EI156" s="1136">
        <f t="shared" si="467"/>
      </c>
      <c r="EJ156" s="1136">
        <f t="shared" si="468"/>
      </c>
      <c r="EK156" s="1137">
        <f t="shared" si="469"/>
      </c>
      <c r="EL156" s="10"/>
    </row>
    <row r="157" spans="1:142">
      <c r="A157" s="11" t="str">
        <f t="shared" si="470"/>
      </c>
      <c r="D157" s="1136">
        <v>1.7000000000000001E-2</v>
      </c>
      <c r="CL157" s="1136">
        <f t="shared" si="471"/>
      </c>
      <c r="CM157" s="1136">
        <f t="shared" ref="CM157:DU157" si="507">CL157</f>
      </c>
      <c r="CN157" s="1136">
        <f t="shared" si="507"/>
      </c>
      <c r="CO157" s="1137">
        <f t="shared" si="507"/>
      </c>
      <c r="CP157" s="1136">
        <f t="shared" si="507"/>
      </c>
      <c r="CQ157" s="1136">
        <f t="shared" si="507"/>
      </c>
      <c r="CR157" s="1136">
        <f t="shared" si="507"/>
      </c>
      <c r="CS157" s="1137">
        <f t="shared" si="507"/>
      </c>
      <c r="CT157" s="1243">
        <f t="shared" si="507"/>
      </c>
      <c r="CU157" s="1136">
        <f t="shared" si="507"/>
      </c>
      <c r="CV157" s="1136">
        <f t="shared" si="507"/>
      </c>
      <c r="CW157" s="1137">
        <f t="shared" si="507"/>
      </c>
      <c r="CX157" s="1243">
        <f t="shared" si="507"/>
      </c>
      <c r="CY157" s="1136">
        <f t="shared" si="507"/>
      </c>
      <c r="CZ157" s="1136">
        <f t="shared" si="507"/>
      </c>
      <c r="DA157" s="1137">
        <f t="shared" si="507"/>
      </c>
      <c r="DB157" s="1243">
        <f t="shared" si="507"/>
      </c>
      <c r="DC157" s="1136">
        <f t="shared" si="507"/>
      </c>
      <c r="DD157" s="1136">
        <f t="shared" si="507"/>
      </c>
      <c r="DE157" s="1137">
        <f t="shared" si="507"/>
      </c>
      <c r="DF157" s="1243">
        <f t="shared" si="507"/>
      </c>
      <c r="DG157" s="1136">
        <f t="shared" si="507"/>
      </c>
      <c r="DH157" s="1136">
        <f t="shared" si="507"/>
      </c>
      <c r="DI157" s="1137">
        <f t="shared" si="507"/>
      </c>
      <c r="DJ157" s="1243">
        <f t="shared" si="507"/>
      </c>
      <c r="DK157" s="1136">
        <f t="shared" si="507"/>
      </c>
      <c r="DL157" s="1136">
        <f t="shared" si="507"/>
      </c>
      <c r="DM157" s="1137">
        <f t="shared" si="507"/>
      </c>
      <c r="DN157" s="1243">
        <f t="shared" si="507"/>
      </c>
      <c r="DO157" s="1136">
        <f t="shared" si="507"/>
      </c>
      <c r="DP157" s="1136">
        <f t="shared" si="507"/>
      </c>
      <c r="DQ157" s="1137">
        <f t="shared" si="507"/>
      </c>
      <c r="DR157" s="1243">
        <f t="shared" si="507"/>
      </c>
      <c r="DS157" s="1136">
        <f t="shared" si="507"/>
      </c>
      <c r="DT157" s="1136">
        <f t="shared" si="507"/>
      </c>
      <c r="DU157" s="1137">
        <f t="shared" si="507"/>
      </c>
      <c r="DV157" s="1243">
        <f t="shared" si="454"/>
      </c>
      <c r="DW157" s="1136">
        <f t="shared" si="455"/>
      </c>
      <c r="DX157" s="1136">
        <f t="shared" si="456"/>
      </c>
      <c r="DY157" s="1137">
        <f t="shared" si="457"/>
      </c>
      <c r="DZ157" s="1243">
        <f t="shared" si="458"/>
      </c>
      <c r="EA157" s="1136">
        <f t="shared" si="459"/>
      </c>
      <c r="EB157" s="1136">
        <f t="shared" si="460"/>
      </c>
      <c r="EC157" s="1137">
        <f t="shared" si="461"/>
      </c>
      <c r="ED157" s="1243">
        <f t="shared" si="462"/>
      </c>
      <c r="EE157" s="1136">
        <f t="shared" si="463"/>
      </c>
      <c r="EF157" s="1136">
        <f t="shared" si="464"/>
      </c>
      <c r="EG157" s="1137">
        <f t="shared" si="465"/>
      </c>
      <c r="EH157" s="1243">
        <f t="shared" si="466"/>
      </c>
      <c r="EI157" s="1136">
        <f t="shared" si="467"/>
      </c>
      <c r="EJ157" s="1136">
        <f t="shared" si="468"/>
      </c>
      <c r="EK157" s="1137">
        <f t="shared" si="469"/>
      </c>
      <c r="EL157" s="10"/>
    </row>
    <row r="158" spans="1:142">
      <c r="A158" s="11" t="str">
        <f t="shared" si="470"/>
      </c>
      <c r="D158" s="1136">
        <v>2.2499999999999999E-2</v>
      </c>
      <c r="CL158" s="1136">
        <f t="shared" si="471"/>
      </c>
      <c r="CM158" s="1136">
        <f t="shared" ref="CM158:DU158" si="508">CL158</f>
      </c>
      <c r="CN158" s="1136">
        <f t="shared" si="508"/>
      </c>
      <c r="CO158" s="1137">
        <f t="shared" si="508"/>
      </c>
      <c r="CP158" s="1136">
        <f t="shared" si="508"/>
      </c>
      <c r="CQ158" s="1136">
        <f t="shared" si="508"/>
      </c>
      <c r="CR158" s="1136">
        <f t="shared" si="508"/>
      </c>
      <c r="CS158" s="1137">
        <f t="shared" si="508"/>
      </c>
      <c r="CT158" s="1243">
        <f t="shared" si="508"/>
      </c>
      <c r="CU158" s="1136">
        <f t="shared" si="508"/>
      </c>
      <c r="CV158" s="1136">
        <f t="shared" si="508"/>
      </c>
      <c r="CW158" s="1137">
        <f t="shared" si="508"/>
      </c>
      <c r="CX158" s="1243">
        <f t="shared" si="508"/>
      </c>
      <c r="CY158" s="1136">
        <f t="shared" si="508"/>
      </c>
      <c r="CZ158" s="1136">
        <f t="shared" si="508"/>
      </c>
      <c r="DA158" s="1137">
        <f t="shared" si="508"/>
      </c>
      <c r="DB158" s="1243">
        <f t="shared" si="508"/>
      </c>
      <c r="DC158" s="1136">
        <f t="shared" si="508"/>
      </c>
      <c r="DD158" s="1136">
        <f t="shared" si="508"/>
      </c>
      <c r="DE158" s="1137">
        <f t="shared" si="508"/>
      </c>
      <c r="DF158" s="1243">
        <f t="shared" si="508"/>
      </c>
      <c r="DG158" s="1136">
        <f t="shared" si="508"/>
      </c>
      <c r="DH158" s="1136">
        <f t="shared" si="508"/>
      </c>
      <c r="DI158" s="1137">
        <f t="shared" si="508"/>
      </c>
      <c r="DJ158" s="1243">
        <f t="shared" si="508"/>
      </c>
      <c r="DK158" s="1136">
        <f t="shared" si="508"/>
      </c>
      <c r="DL158" s="1136">
        <f t="shared" si="508"/>
      </c>
      <c r="DM158" s="1137">
        <f t="shared" si="508"/>
      </c>
      <c r="DN158" s="1243">
        <f t="shared" si="508"/>
      </c>
      <c r="DO158" s="1136">
        <f t="shared" si="508"/>
      </c>
      <c r="DP158" s="1136">
        <f t="shared" si="508"/>
      </c>
      <c r="DQ158" s="1137">
        <f t="shared" si="508"/>
      </c>
      <c r="DR158" s="1243">
        <f t="shared" si="508"/>
      </c>
      <c r="DS158" s="1136">
        <f t="shared" si="508"/>
      </c>
      <c r="DT158" s="1136">
        <f t="shared" si="508"/>
      </c>
      <c r="DU158" s="1137">
        <f t="shared" si="508"/>
      </c>
      <c r="DV158" s="1243">
        <f t="shared" si="454"/>
      </c>
      <c r="DW158" s="1136">
        <f t="shared" si="455"/>
      </c>
      <c r="DX158" s="1136">
        <f t="shared" si="456"/>
      </c>
      <c r="DY158" s="1137">
        <f t="shared" si="457"/>
      </c>
      <c r="DZ158" s="1243">
        <f t="shared" si="458"/>
      </c>
      <c r="EA158" s="1136">
        <f t="shared" si="459"/>
      </c>
      <c r="EB158" s="1136">
        <f t="shared" si="460"/>
      </c>
      <c r="EC158" s="1137">
        <f t="shared" si="461"/>
      </c>
      <c r="ED158" s="1243">
        <f t="shared" si="462"/>
      </c>
      <c r="EE158" s="1136">
        <f t="shared" si="463"/>
      </c>
      <c r="EF158" s="1136">
        <f t="shared" si="464"/>
      </c>
      <c r="EG158" s="1137">
        <f t="shared" si="465"/>
      </c>
      <c r="EH158" s="1243">
        <f t="shared" si="466"/>
      </c>
      <c r="EI158" s="1136">
        <f t="shared" si="467"/>
      </c>
      <c r="EJ158" s="1136">
        <f t="shared" si="468"/>
      </c>
      <c r="EK158" s="1137">
        <f t="shared" si="469"/>
      </c>
      <c r="EL158" s="10"/>
    </row>
    <row r="159" spans="1:142">
      <c r="A159" s="11" t="str">
        <f t="shared" si="470"/>
      </c>
      <c r="D159" s="1136">
        <v>2.8500000000000001E-2</v>
      </c>
      <c r="CL159" s="1136">
        <f t="shared" si="471"/>
      </c>
      <c r="CM159" s="1136">
        <f t="shared" ref="CM159:DU159" si="509">CL159</f>
      </c>
      <c r="CN159" s="1136">
        <f t="shared" si="509"/>
      </c>
      <c r="CO159" s="1137">
        <f t="shared" si="509"/>
      </c>
      <c r="CP159" s="1136">
        <f t="shared" si="509"/>
      </c>
      <c r="CQ159" s="1136">
        <f t="shared" si="509"/>
      </c>
      <c r="CR159" s="1136">
        <f t="shared" si="509"/>
      </c>
      <c r="CS159" s="1137">
        <f t="shared" si="509"/>
      </c>
      <c r="CT159" s="1243">
        <f t="shared" si="509"/>
      </c>
      <c r="CU159" s="1136">
        <f t="shared" si="509"/>
      </c>
      <c r="CV159" s="1136">
        <f t="shared" si="509"/>
      </c>
      <c r="CW159" s="1137">
        <f t="shared" si="509"/>
      </c>
      <c r="CX159" s="1243">
        <f t="shared" si="509"/>
      </c>
      <c r="CY159" s="1136">
        <f t="shared" si="509"/>
      </c>
      <c r="CZ159" s="1136">
        <f t="shared" si="509"/>
      </c>
      <c r="DA159" s="1137">
        <f t="shared" si="509"/>
      </c>
      <c r="DB159" s="1243">
        <f t="shared" si="509"/>
      </c>
      <c r="DC159" s="1136">
        <f t="shared" si="509"/>
      </c>
      <c r="DD159" s="1136">
        <f t="shared" si="509"/>
      </c>
      <c r="DE159" s="1137">
        <f t="shared" si="509"/>
      </c>
      <c r="DF159" s="1243">
        <f t="shared" si="509"/>
      </c>
      <c r="DG159" s="1136">
        <f t="shared" si="509"/>
      </c>
      <c r="DH159" s="1136">
        <f t="shared" si="509"/>
      </c>
      <c r="DI159" s="1137">
        <f t="shared" si="509"/>
      </c>
      <c r="DJ159" s="1243">
        <f t="shared" si="509"/>
      </c>
      <c r="DK159" s="1136">
        <f t="shared" si="509"/>
      </c>
      <c r="DL159" s="1136">
        <f t="shared" si="509"/>
      </c>
      <c r="DM159" s="1137">
        <f t="shared" si="509"/>
      </c>
      <c r="DN159" s="1243">
        <f t="shared" si="509"/>
      </c>
      <c r="DO159" s="1136">
        <f t="shared" si="509"/>
      </c>
      <c r="DP159" s="1136">
        <f t="shared" si="509"/>
      </c>
      <c r="DQ159" s="1137">
        <f t="shared" si="509"/>
      </c>
      <c r="DR159" s="1243">
        <f t="shared" si="509"/>
      </c>
      <c r="DS159" s="1136">
        <f t="shared" si="509"/>
      </c>
      <c r="DT159" s="1136">
        <f t="shared" si="509"/>
      </c>
      <c r="DU159" s="1137">
        <f t="shared" si="509"/>
      </c>
      <c r="DV159" s="1243">
        <f t="shared" si="454"/>
      </c>
      <c r="DW159" s="1136">
        <f t="shared" si="455"/>
      </c>
      <c r="DX159" s="1136">
        <f t="shared" si="456"/>
      </c>
      <c r="DY159" s="1137">
        <f t="shared" si="457"/>
      </c>
      <c r="DZ159" s="1243">
        <f t="shared" si="458"/>
      </c>
      <c r="EA159" s="1136">
        <f t="shared" si="459"/>
      </c>
      <c r="EB159" s="1136">
        <f t="shared" si="460"/>
      </c>
      <c r="EC159" s="1137">
        <f t="shared" si="461"/>
      </c>
      <c r="ED159" s="1243">
        <f t="shared" si="462"/>
      </c>
      <c r="EE159" s="1136">
        <f t="shared" si="463"/>
      </c>
      <c r="EF159" s="1136">
        <f t="shared" si="464"/>
      </c>
      <c r="EG159" s="1137">
        <f t="shared" si="465"/>
      </c>
      <c r="EH159" s="1243">
        <f t="shared" si="466"/>
      </c>
      <c r="EI159" s="1136">
        <f t="shared" si="467"/>
      </c>
      <c r="EJ159" s="1136">
        <f t="shared" si="468"/>
      </c>
      <c r="EK159" s="1137">
        <f t="shared" si="469"/>
      </c>
      <c r="EL159" s="10"/>
    </row>
    <row r="160" spans="1:142">
      <c r="A160" s="11" t="str">
        <f t="shared" si="470"/>
      </c>
      <c r="D160" s="1136">
        <v>3.2500000000000001E-2</v>
      </c>
      <c r="CL160" s="1136">
        <f t="shared" si="471"/>
      </c>
      <c r="CM160" s="1136">
        <f t="shared" ref="CM160:DU160" si="510">CL160</f>
      </c>
      <c r="CN160" s="1136">
        <f t="shared" si="510"/>
      </c>
      <c r="CO160" s="1137">
        <f t="shared" si="510"/>
      </c>
      <c r="CP160" s="1136">
        <f t="shared" si="510"/>
      </c>
      <c r="CQ160" s="1136">
        <f t="shared" si="510"/>
      </c>
      <c r="CR160" s="1136">
        <f t="shared" si="510"/>
      </c>
      <c r="CS160" s="1137">
        <f t="shared" si="510"/>
      </c>
      <c r="CT160" s="1243">
        <f t="shared" si="510"/>
      </c>
      <c r="CU160" s="1136">
        <f t="shared" si="510"/>
      </c>
      <c r="CV160" s="1136">
        <f t="shared" si="510"/>
      </c>
      <c r="CW160" s="1137">
        <f t="shared" si="510"/>
      </c>
      <c r="CX160" s="1243">
        <f t="shared" si="510"/>
      </c>
      <c r="CY160" s="1136">
        <f t="shared" si="510"/>
      </c>
      <c r="CZ160" s="1136">
        <f t="shared" si="510"/>
      </c>
      <c r="DA160" s="1137">
        <f t="shared" si="510"/>
      </c>
      <c r="DB160" s="1243">
        <f t="shared" si="510"/>
      </c>
      <c r="DC160" s="1136">
        <f t="shared" si="510"/>
      </c>
      <c r="DD160" s="1136">
        <f t="shared" si="510"/>
      </c>
      <c r="DE160" s="1137">
        <f t="shared" si="510"/>
      </c>
      <c r="DF160" s="1243">
        <f t="shared" si="510"/>
      </c>
      <c r="DG160" s="1136">
        <f t="shared" si="510"/>
      </c>
      <c r="DH160" s="1136">
        <f t="shared" si="510"/>
      </c>
      <c r="DI160" s="1137">
        <f t="shared" si="510"/>
      </c>
      <c r="DJ160" s="1243">
        <f t="shared" si="510"/>
      </c>
      <c r="DK160" s="1136">
        <f t="shared" si="510"/>
      </c>
      <c r="DL160" s="1136">
        <f t="shared" si="510"/>
      </c>
      <c r="DM160" s="1137">
        <f t="shared" si="510"/>
      </c>
      <c r="DN160" s="1243">
        <f t="shared" si="510"/>
      </c>
      <c r="DO160" s="1136">
        <f t="shared" si="510"/>
      </c>
      <c r="DP160" s="1136">
        <f t="shared" si="510"/>
      </c>
      <c r="DQ160" s="1137">
        <f t="shared" si="510"/>
      </c>
      <c r="DR160" s="1243">
        <f t="shared" si="510"/>
      </c>
      <c r="DS160" s="1136">
        <f t="shared" si="510"/>
      </c>
      <c r="DT160" s="1136">
        <f t="shared" si="510"/>
      </c>
      <c r="DU160" s="1137">
        <f t="shared" si="510"/>
      </c>
      <c r="DV160" s="1243">
        <f t="shared" si="454"/>
      </c>
      <c r="DW160" s="1136">
        <f t="shared" si="455"/>
      </c>
      <c r="DX160" s="1136">
        <f t="shared" si="456"/>
      </c>
      <c r="DY160" s="1137">
        <f t="shared" si="457"/>
      </c>
      <c r="DZ160" s="1243">
        <f t="shared" si="458"/>
      </c>
      <c r="EA160" s="1136">
        <f t="shared" si="459"/>
      </c>
      <c r="EB160" s="1136">
        <f t="shared" si="460"/>
      </c>
      <c r="EC160" s="1137">
        <f t="shared" si="461"/>
      </c>
      <c r="ED160" s="1243">
        <f t="shared" si="462"/>
      </c>
      <c r="EE160" s="1136">
        <f t="shared" si="463"/>
      </c>
      <c r="EF160" s="1136">
        <f t="shared" si="464"/>
      </c>
      <c r="EG160" s="1137">
        <f t="shared" si="465"/>
      </c>
      <c r="EH160" s="1243">
        <f t="shared" si="466"/>
      </c>
      <c r="EI160" s="1136">
        <f t="shared" si="467"/>
      </c>
      <c r="EJ160" s="1136">
        <f t="shared" si="468"/>
      </c>
      <c r="EK160" s="1137">
        <f t="shared" si="469"/>
      </c>
      <c r="EL160" s="10"/>
    </row>
    <row r="161" spans="1:142">
      <c r="A161" s="11" t="str">
        <f t="shared" si="470"/>
      </c>
      <c r="D161" s="1136">
        <v>4.4999999999999998E-2</v>
      </c>
      <c r="CL161" s="1136">
        <f t="shared" si="471"/>
      </c>
      <c r="CM161" s="1136">
        <f t="shared" ref="CM161:DU161" si="511">CL161</f>
      </c>
      <c r="CN161" s="1136">
        <f t="shared" si="511"/>
      </c>
      <c r="CO161" s="1137">
        <f t="shared" si="511"/>
      </c>
      <c r="CP161" s="1136">
        <f t="shared" si="511"/>
      </c>
      <c r="CQ161" s="1136">
        <f t="shared" si="511"/>
      </c>
      <c r="CR161" s="1136">
        <f t="shared" si="511"/>
      </c>
      <c r="CS161" s="1137">
        <f t="shared" si="511"/>
      </c>
      <c r="CT161" s="1243">
        <f t="shared" si="511"/>
      </c>
      <c r="CU161" s="1136">
        <f t="shared" si="511"/>
      </c>
      <c r="CV161" s="1136">
        <f t="shared" si="511"/>
      </c>
      <c r="CW161" s="1137">
        <f t="shared" si="511"/>
      </c>
      <c r="CX161" s="1243">
        <f t="shared" si="511"/>
      </c>
      <c r="CY161" s="1136">
        <f t="shared" si="511"/>
      </c>
      <c r="CZ161" s="1136">
        <f t="shared" si="511"/>
      </c>
      <c r="DA161" s="1137">
        <f t="shared" si="511"/>
      </c>
      <c r="DB161" s="1243">
        <f t="shared" si="511"/>
      </c>
      <c r="DC161" s="1136">
        <f t="shared" si="511"/>
      </c>
      <c r="DD161" s="1136">
        <f t="shared" si="511"/>
      </c>
      <c r="DE161" s="1137">
        <f t="shared" si="511"/>
      </c>
      <c r="DF161" s="1243">
        <f t="shared" si="511"/>
      </c>
      <c r="DG161" s="1136">
        <f t="shared" si="511"/>
      </c>
      <c r="DH161" s="1136">
        <f t="shared" si="511"/>
      </c>
      <c r="DI161" s="1137">
        <f t="shared" si="511"/>
      </c>
      <c r="DJ161" s="1243">
        <f t="shared" si="511"/>
      </c>
      <c r="DK161" s="1136">
        <f t="shared" si="511"/>
      </c>
      <c r="DL161" s="1136">
        <f t="shared" si="511"/>
      </c>
      <c r="DM161" s="1137">
        <f t="shared" si="511"/>
      </c>
      <c r="DN161" s="1243">
        <f t="shared" si="511"/>
      </c>
      <c r="DO161" s="1136">
        <f t="shared" si="511"/>
      </c>
      <c r="DP161" s="1136">
        <f t="shared" si="511"/>
      </c>
      <c r="DQ161" s="1137">
        <f t="shared" si="511"/>
      </c>
      <c r="DR161" s="1243">
        <f t="shared" si="511"/>
      </c>
      <c r="DS161" s="1136">
        <f t="shared" si="511"/>
      </c>
      <c r="DT161" s="1136">
        <f t="shared" si="511"/>
      </c>
      <c r="DU161" s="1137">
        <f t="shared" si="511"/>
      </c>
      <c r="DV161" s="1243">
        <f t="shared" si="454"/>
      </c>
      <c r="DW161" s="1136">
        <f t="shared" si="455"/>
      </c>
      <c r="DX161" s="1136">
        <f t="shared" si="456"/>
      </c>
      <c r="DY161" s="1137">
        <f t="shared" si="457"/>
      </c>
      <c r="DZ161" s="1243">
        <f t="shared" si="458"/>
      </c>
      <c r="EA161" s="1136">
        <f t="shared" si="459"/>
      </c>
      <c r="EB161" s="1136">
        <f t="shared" si="460"/>
      </c>
      <c r="EC161" s="1137">
        <f t="shared" si="461"/>
      </c>
      <c r="ED161" s="1243">
        <f t="shared" si="462"/>
      </c>
      <c r="EE161" s="1136">
        <f t="shared" si="463"/>
      </c>
      <c r="EF161" s="1136">
        <f t="shared" si="464"/>
      </c>
      <c r="EG161" s="1137">
        <f t="shared" si="465"/>
      </c>
      <c r="EH161" s="1243">
        <f t="shared" si="466"/>
      </c>
      <c r="EI161" s="1136">
        <f t="shared" si="467"/>
      </c>
      <c r="EJ161" s="1136">
        <f t="shared" si="468"/>
      </c>
      <c r="EK161" s="1137">
        <f t="shared" si="469"/>
      </c>
      <c r="EL161" s="10"/>
    </row>
    <row r="162" spans="1:142">
      <c r="A162" s="11" t="str">
        <f t="shared" si="470"/>
      </c>
      <c r="D162" s="1136">
        <v>4.65E-2</v>
      </c>
      <c r="CL162" s="1136">
        <f t="shared" si="471"/>
      </c>
      <c r="CM162" s="1136">
        <f t="shared" ref="CM162:DU162" si="512">CL162</f>
      </c>
      <c r="CN162" s="1136">
        <f t="shared" si="512"/>
      </c>
      <c r="CO162" s="1137">
        <f t="shared" si="512"/>
      </c>
      <c r="CP162" s="1136">
        <f t="shared" si="512"/>
      </c>
      <c r="CQ162" s="1136">
        <f t="shared" si="512"/>
      </c>
      <c r="CR162" s="1136">
        <f t="shared" si="512"/>
      </c>
      <c r="CS162" s="1137">
        <f t="shared" si="512"/>
      </c>
      <c r="CT162" s="1243">
        <f t="shared" si="512"/>
      </c>
      <c r="CU162" s="1136">
        <f t="shared" si="512"/>
      </c>
      <c r="CV162" s="1136">
        <f t="shared" si="512"/>
      </c>
      <c r="CW162" s="1137">
        <f t="shared" si="512"/>
      </c>
      <c r="CX162" s="1243">
        <f t="shared" si="512"/>
      </c>
      <c r="CY162" s="1136">
        <f t="shared" si="512"/>
      </c>
      <c r="CZ162" s="1136">
        <f t="shared" si="512"/>
      </c>
      <c r="DA162" s="1137">
        <f t="shared" si="512"/>
      </c>
      <c r="DB162" s="1243">
        <f t="shared" si="512"/>
      </c>
      <c r="DC162" s="1136">
        <f t="shared" si="512"/>
      </c>
      <c r="DD162" s="1136">
        <f t="shared" si="512"/>
      </c>
      <c r="DE162" s="1137">
        <f t="shared" si="512"/>
      </c>
      <c r="DF162" s="1243">
        <f t="shared" si="512"/>
      </c>
      <c r="DG162" s="1136">
        <f t="shared" si="512"/>
      </c>
      <c r="DH162" s="1136">
        <f t="shared" si="512"/>
      </c>
      <c r="DI162" s="1137">
        <f t="shared" si="512"/>
      </c>
      <c r="DJ162" s="1243">
        <f t="shared" si="512"/>
      </c>
      <c r="DK162" s="1136">
        <f t="shared" si="512"/>
      </c>
      <c r="DL162" s="1136">
        <f t="shared" si="512"/>
      </c>
      <c r="DM162" s="1137">
        <f t="shared" si="512"/>
      </c>
      <c r="DN162" s="1243">
        <f t="shared" si="512"/>
      </c>
      <c r="DO162" s="1136">
        <f t="shared" si="512"/>
      </c>
      <c r="DP162" s="1136">
        <f t="shared" si="512"/>
      </c>
      <c r="DQ162" s="1137">
        <f t="shared" si="512"/>
      </c>
      <c r="DR162" s="1243">
        <f t="shared" si="512"/>
      </c>
      <c r="DS162" s="1136">
        <f t="shared" si="512"/>
      </c>
      <c r="DT162" s="1136">
        <f t="shared" si="512"/>
      </c>
      <c r="DU162" s="1137">
        <f t="shared" si="512"/>
      </c>
      <c r="DV162" s="1243">
        <f t="shared" si="454"/>
      </c>
      <c r="DW162" s="1136">
        <f t="shared" si="455"/>
      </c>
      <c r="DX162" s="1136">
        <f t="shared" si="456"/>
      </c>
      <c r="DY162" s="1137">
        <f t="shared" si="457"/>
      </c>
      <c r="DZ162" s="1243">
        <f t="shared" si="458"/>
      </c>
      <c r="EA162" s="1136">
        <f t="shared" si="459"/>
      </c>
      <c r="EB162" s="1136">
        <f t="shared" si="460"/>
      </c>
      <c r="EC162" s="1137">
        <f t="shared" si="461"/>
      </c>
      <c r="ED162" s="1243">
        <f t="shared" si="462"/>
      </c>
      <c r="EE162" s="1136">
        <f t="shared" si="463"/>
      </c>
      <c r="EF162" s="1136">
        <f t="shared" si="464"/>
      </c>
      <c r="EG162" s="1137">
        <f t="shared" si="465"/>
      </c>
      <c r="EH162" s="1243">
        <f t="shared" si="466"/>
      </c>
      <c r="EI162" s="1136">
        <f t="shared" si="467"/>
      </c>
      <c r="EJ162" s="1136">
        <f t="shared" si="468"/>
      </c>
      <c r="EK162" s="1137">
        <f t="shared" si="469"/>
      </c>
      <c r="EL162" s="10"/>
    </row>
    <row r="163" spans="1:142">
      <c r="A163" s="11" t="str">
        <f t="shared" si="470"/>
      </c>
      <c r="D163" s="1136">
        <v>2.6499999999999999E-2</v>
      </c>
      <c r="CL163" s="1136">
        <f t="shared" si="471"/>
      </c>
      <c r="CM163" s="1136">
        <f t="shared" ref="CM163:DU163" si="513">CL163</f>
      </c>
      <c r="CN163" s="1136">
        <f t="shared" si="513"/>
      </c>
      <c r="CO163" s="1137">
        <f t="shared" si="513"/>
      </c>
      <c r="CP163" s="1136">
        <f t="shared" si="513"/>
      </c>
      <c r="CQ163" s="1136">
        <f t="shared" si="513"/>
      </c>
      <c r="CR163" s="1136">
        <f t="shared" si="513"/>
      </c>
      <c r="CS163" s="1137">
        <f t="shared" si="513"/>
      </c>
      <c r="CT163" s="1243">
        <f t="shared" si="513"/>
      </c>
      <c r="CU163" s="1136">
        <f t="shared" si="513"/>
      </c>
      <c r="CV163" s="1136">
        <f t="shared" si="513"/>
      </c>
      <c r="CW163" s="1137">
        <f t="shared" si="513"/>
      </c>
      <c r="CX163" s="1243">
        <f t="shared" si="513"/>
      </c>
      <c r="CY163" s="1136">
        <f t="shared" si="513"/>
      </c>
      <c r="CZ163" s="1136">
        <f t="shared" si="513"/>
      </c>
      <c r="DA163" s="1137">
        <f t="shared" si="513"/>
      </c>
      <c r="DB163" s="1243">
        <f t="shared" si="513"/>
      </c>
      <c r="DC163" s="1136">
        <f t="shared" si="513"/>
      </c>
      <c r="DD163" s="1136">
        <f t="shared" si="513"/>
      </c>
      <c r="DE163" s="1137">
        <f t="shared" si="513"/>
      </c>
      <c r="DF163" s="1243">
        <f t="shared" si="513"/>
      </c>
      <c r="DG163" s="1136">
        <f t="shared" si="513"/>
      </c>
      <c r="DH163" s="1136">
        <f t="shared" si="513"/>
      </c>
      <c r="DI163" s="1137">
        <f t="shared" si="513"/>
      </c>
      <c r="DJ163" s="1243">
        <f t="shared" si="513"/>
      </c>
      <c r="DK163" s="1136">
        <f t="shared" si="513"/>
      </c>
      <c r="DL163" s="1136">
        <f t="shared" si="513"/>
      </c>
      <c r="DM163" s="1137">
        <f t="shared" si="513"/>
      </c>
      <c r="DN163" s="1243">
        <f t="shared" si="513"/>
      </c>
      <c r="DO163" s="1136">
        <f t="shared" si="513"/>
      </c>
      <c r="DP163" s="1136">
        <f t="shared" si="513"/>
      </c>
      <c r="DQ163" s="1137">
        <f t="shared" si="513"/>
      </c>
      <c r="DR163" s="1243">
        <f t="shared" si="513"/>
      </c>
      <c r="DS163" s="1136">
        <f t="shared" si="513"/>
      </c>
      <c r="DT163" s="1136">
        <f t="shared" si="513"/>
      </c>
      <c r="DU163" s="1137">
        <f t="shared" si="513"/>
      </c>
      <c r="DV163" s="1243">
        <f t="shared" si="454"/>
      </c>
      <c r="DW163" s="1136">
        <f t="shared" si="455"/>
      </c>
      <c r="DX163" s="1136">
        <f t="shared" si="456"/>
      </c>
      <c r="DY163" s="1137">
        <f t="shared" si="457"/>
      </c>
      <c r="DZ163" s="1243">
        <f t="shared" si="458"/>
      </c>
      <c r="EA163" s="1136">
        <f t="shared" si="459"/>
      </c>
      <c r="EB163" s="1136">
        <f t="shared" si="460"/>
      </c>
      <c r="EC163" s="1137">
        <f t="shared" si="461"/>
      </c>
      <c r="ED163" s="1243">
        <f t="shared" si="462"/>
      </c>
      <c r="EE163" s="1136">
        <f t="shared" si="463"/>
      </c>
      <c r="EF163" s="1136">
        <f t="shared" si="464"/>
      </c>
      <c r="EG163" s="1137">
        <f t="shared" si="465"/>
      </c>
      <c r="EH163" s="1243">
        <f t="shared" si="466"/>
      </c>
      <c r="EI163" s="1136">
        <f t="shared" si="467"/>
      </c>
      <c r="EJ163" s="1136">
        <f t="shared" si="468"/>
      </c>
      <c r="EK163" s="1137">
        <f t="shared" si="469"/>
      </c>
      <c r="EL163" s="10"/>
    </row>
    <row r="164" spans="1:142">
      <c r="A164" s="11" t="str">
        <f t="shared" si="470"/>
      </c>
      <c r="D164" s="1136">
        <v>3.3500000000000002E-2</v>
      </c>
      <c r="CL164" s="1136">
        <f t="shared" si="471"/>
      </c>
      <c r="CM164" s="1136">
        <f t="shared" ref="CM164:DU164" si="514">CL164</f>
      </c>
      <c r="CN164" s="1136">
        <f t="shared" si="514"/>
      </c>
      <c r="CO164" s="1137">
        <f t="shared" si="514"/>
      </c>
      <c r="CP164" s="1136">
        <f t="shared" si="514"/>
      </c>
      <c r="CQ164" s="1136">
        <f t="shared" si="514"/>
      </c>
      <c r="CR164" s="1136">
        <f t="shared" si="514"/>
      </c>
      <c r="CS164" s="1137">
        <f t="shared" si="514"/>
      </c>
      <c r="CT164" s="1243">
        <f t="shared" si="514"/>
      </c>
      <c r="CU164" s="1136">
        <f t="shared" si="514"/>
      </c>
      <c r="CV164" s="1136">
        <f t="shared" si="514"/>
      </c>
      <c r="CW164" s="1137">
        <f t="shared" si="514"/>
      </c>
      <c r="CX164" s="1243">
        <f t="shared" si="514"/>
      </c>
      <c r="CY164" s="1136">
        <f t="shared" si="514"/>
      </c>
      <c r="CZ164" s="1136">
        <f t="shared" si="514"/>
      </c>
      <c r="DA164" s="1137">
        <f t="shared" si="514"/>
      </c>
      <c r="DB164" s="1243">
        <f t="shared" si="514"/>
      </c>
      <c r="DC164" s="1136">
        <f t="shared" si="514"/>
      </c>
      <c r="DD164" s="1136">
        <f t="shared" si="514"/>
      </c>
      <c r="DE164" s="1137">
        <f t="shared" si="514"/>
      </c>
      <c r="DF164" s="1243">
        <f t="shared" si="514"/>
      </c>
      <c r="DG164" s="1136">
        <f t="shared" si="514"/>
      </c>
      <c r="DH164" s="1136">
        <f t="shared" si="514"/>
      </c>
      <c r="DI164" s="1137">
        <f t="shared" si="514"/>
      </c>
      <c r="DJ164" s="1243">
        <f t="shared" si="514"/>
      </c>
      <c r="DK164" s="1136">
        <f t="shared" si="514"/>
      </c>
      <c r="DL164" s="1136">
        <f t="shared" si="514"/>
      </c>
      <c r="DM164" s="1137">
        <f t="shared" si="514"/>
      </c>
      <c r="DN164" s="1243">
        <f t="shared" si="514"/>
      </c>
      <c r="DO164" s="1136">
        <f t="shared" si="514"/>
      </c>
      <c r="DP164" s="1136">
        <f t="shared" si="514"/>
      </c>
      <c r="DQ164" s="1137">
        <f t="shared" si="514"/>
      </c>
      <c r="DR164" s="1243">
        <f t="shared" si="514"/>
      </c>
      <c r="DS164" s="1136">
        <f t="shared" si="514"/>
      </c>
      <c r="DT164" s="1136">
        <f t="shared" si="514"/>
      </c>
      <c r="DU164" s="1137">
        <f t="shared" si="514"/>
      </c>
      <c r="DV164" s="1243">
        <f t="shared" si="454"/>
      </c>
      <c r="DW164" s="1136">
        <f t="shared" si="455"/>
      </c>
      <c r="DX164" s="1136">
        <f t="shared" si="456"/>
      </c>
      <c r="DY164" s="1137">
        <f t="shared" si="457"/>
      </c>
      <c r="DZ164" s="1243">
        <f t="shared" si="458"/>
      </c>
      <c r="EA164" s="1136">
        <f t="shared" si="459"/>
      </c>
      <c r="EB164" s="1136">
        <f t="shared" si="460"/>
      </c>
      <c r="EC164" s="1137">
        <f t="shared" si="461"/>
      </c>
      <c r="ED164" s="1243">
        <f t="shared" si="462"/>
      </c>
      <c r="EE164" s="1136">
        <f t="shared" si="463"/>
      </c>
      <c r="EF164" s="1136">
        <f t="shared" si="464"/>
      </c>
      <c r="EG164" s="1137">
        <f t="shared" si="465"/>
      </c>
      <c r="EH164" s="1243">
        <f t="shared" si="466"/>
      </c>
      <c r="EI164" s="1136">
        <f t="shared" si="467"/>
      </c>
      <c r="EJ164" s="1136">
        <f t="shared" si="468"/>
      </c>
      <c r="EK164" s="1137">
        <f t="shared" si="469"/>
      </c>
      <c r="EL164" s="10"/>
    </row>
    <row r="165" spans="1:142">
      <c r="A165" s="11" t="str">
        <f t="shared" si="470"/>
      </c>
      <c r="D165" s="1136">
        <v>3.5999999999999997E-2</v>
      </c>
      <c r="CL165" s="1136">
        <f t="shared" si="471"/>
      </c>
      <c r="CM165" s="1136">
        <f t="shared" ref="CM165:DU165" si="515">CL165</f>
      </c>
      <c r="CN165" s="1136">
        <f t="shared" si="515"/>
      </c>
      <c r="CO165" s="1137">
        <f t="shared" si="515"/>
      </c>
      <c r="CP165" s="1136">
        <f t="shared" si="515"/>
      </c>
      <c r="CQ165" s="1136">
        <f t="shared" si="515"/>
      </c>
      <c r="CR165" s="1136">
        <f t="shared" si="515"/>
      </c>
      <c r="CS165" s="1137">
        <f t="shared" si="515"/>
      </c>
      <c r="CT165" s="1243">
        <f t="shared" si="515"/>
      </c>
      <c r="CU165" s="1136">
        <f t="shared" si="515"/>
      </c>
      <c r="CV165" s="1136">
        <f t="shared" si="515"/>
      </c>
      <c r="CW165" s="1137">
        <f t="shared" si="515"/>
      </c>
      <c r="CX165" s="1243">
        <f t="shared" si="515"/>
      </c>
      <c r="CY165" s="1136">
        <f t="shared" si="515"/>
      </c>
      <c r="CZ165" s="1136">
        <f t="shared" si="515"/>
      </c>
      <c r="DA165" s="1137">
        <f t="shared" si="515"/>
      </c>
      <c r="DB165" s="1243">
        <f t="shared" si="515"/>
      </c>
      <c r="DC165" s="1136">
        <f t="shared" si="515"/>
      </c>
      <c r="DD165" s="1136">
        <f t="shared" si="515"/>
      </c>
      <c r="DE165" s="1137">
        <f t="shared" si="515"/>
      </c>
      <c r="DF165" s="1243">
        <f t="shared" si="515"/>
      </c>
      <c r="DG165" s="1136">
        <f t="shared" si="515"/>
      </c>
      <c r="DH165" s="1136">
        <f t="shared" si="515"/>
      </c>
      <c r="DI165" s="1137">
        <f t="shared" si="515"/>
      </c>
      <c r="DJ165" s="1243">
        <f t="shared" si="515"/>
      </c>
      <c r="DK165" s="1136">
        <f t="shared" si="515"/>
      </c>
      <c r="DL165" s="1136">
        <f t="shared" si="515"/>
      </c>
      <c r="DM165" s="1137">
        <f t="shared" si="515"/>
      </c>
      <c r="DN165" s="1243">
        <f t="shared" si="515"/>
      </c>
      <c r="DO165" s="1136">
        <f t="shared" si="515"/>
      </c>
      <c r="DP165" s="1136">
        <f t="shared" si="515"/>
      </c>
      <c r="DQ165" s="1137">
        <f t="shared" si="515"/>
      </c>
      <c r="DR165" s="1243">
        <f t="shared" si="515"/>
      </c>
      <c r="DS165" s="1136">
        <f t="shared" si="515"/>
      </c>
      <c r="DT165" s="1136">
        <f t="shared" si="515"/>
      </c>
      <c r="DU165" s="1137">
        <f t="shared" si="515"/>
      </c>
      <c r="DV165" s="1243">
        <f t="shared" si="454"/>
      </c>
      <c r="DW165" s="1136">
        <f t="shared" si="455"/>
      </c>
      <c r="DX165" s="1136">
        <f t="shared" si="456"/>
      </c>
      <c r="DY165" s="1137">
        <f t="shared" si="457"/>
      </c>
      <c r="DZ165" s="1243">
        <f t="shared" si="458"/>
      </c>
      <c r="EA165" s="1136">
        <f t="shared" si="459"/>
      </c>
      <c r="EB165" s="1136">
        <f t="shared" si="460"/>
      </c>
      <c r="EC165" s="1137">
        <f t="shared" si="461"/>
      </c>
      <c r="ED165" s="1243">
        <f t="shared" si="462"/>
      </c>
      <c r="EE165" s="1136">
        <f t="shared" si="463"/>
      </c>
      <c r="EF165" s="1136">
        <f t="shared" si="464"/>
      </c>
      <c r="EG165" s="1137">
        <f t="shared" si="465"/>
      </c>
      <c r="EH165" s="1243">
        <f t="shared" si="466"/>
      </c>
      <c r="EI165" s="1136">
        <f t="shared" si="467"/>
      </c>
      <c r="EJ165" s="1136">
        <f t="shared" si="468"/>
      </c>
      <c r="EK165" s="1137">
        <f t="shared" si="469"/>
      </c>
      <c r="EL165" s="10"/>
    </row>
    <row r="166" spans="1:142">
      <c r="A166" s="11" t="str">
        <f t="shared" si="470"/>
      </c>
      <c r="D166" s="1136">
        <v>4.1500000000000002E-2</v>
      </c>
      <c r="CL166" s="1136">
        <f t="shared" si="471"/>
      </c>
      <c r="CM166" s="1136">
        <f t="shared" ref="CM166:DU166" si="516">CL166</f>
      </c>
      <c r="CN166" s="1136">
        <f t="shared" si="516"/>
      </c>
      <c r="CO166" s="1137">
        <f t="shared" si="516"/>
      </c>
      <c r="CP166" s="1136">
        <f t="shared" si="516"/>
      </c>
      <c r="CQ166" s="1136">
        <f t="shared" si="516"/>
      </c>
      <c r="CR166" s="1136">
        <f t="shared" si="516"/>
      </c>
      <c r="CS166" s="1137">
        <f t="shared" si="516"/>
      </c>
      <c r="CT166" s="1243">
        <f t="shared" si="516"/>
      </c>
      <c r="CU166" s="1136">
        <f t="shared" si="516"/>
      </c>
      <c r="CV166" s="1136">
        <f t="shared" si="516"/>
      </c>
      <c r="CW166" s="1137">
        <f t="shared" si="516"/>
      </c>
      <c r="CX166" s="1243">
        <f t="shared" si="516"/>
      </c>
      <c r="CY166" s="1136">
        <f t="shared" si="516"/>
      </c>
      <c r="CZ166" s="1136">
        <f t="shared" si="516"/>
      </c>
      <c r="DA166" s="1137">
        <f t="shared" si="516"/>
      </c>
      <c r="DB166" s="1243">
        <f t="shared" si="516"/>
      </c>
      <c r="DC166" s="1136">
        <f t="shared" si="516"/>
      </c>
      <c r="DD166" s="1136">
        <f t="shared" si="516"/>
      </c>
      <c r="DE166" s="1137">
        <f t="shared" si="516"/>
      </c>
      <c r="DF166" s="1243">
        <f t="shared" si="516"/>
      </c>
      <c r="DG166" s="1136">
        <f t="shared" si="516"/>
      </c>
      <c r="DH166" s="1136">
        <f t="shared" si="516"/>
      </c>
      <c r="DI166" s="1137">
        <f t="shared" si="516"/>
      </c>
      <c r="DJ166" s="1243">
        <f t="shared" si="516"/>
      </c>
      <c r="DK166" s="1136">
        <f t="shared" si="516"/>
      </c>
      <c r="DL166" s="1136">
        <f t="shared" si="516"/>
      </c>
      <c r="DM166" s="1137">
        <f t="shared" si="516"/>
      </c>
      <c r="DN166" s="1243">
        <f t="shared" si="516"/>
      </c>
      <c r="DO166" s="1136">
        <f t="shared" si="516"/>
      </c>
      <c r="DP166" s="1136">
        <f t="shared" si="516"/>
      </c>
      <c r="DQ166" s="1137">
        <f t="shared" si="516"/>
      </c>
      <c r="DR166" s="1243">
        <f t="shared" si="516"/>
      </c>
      <c r="DS166" s="1136">
        <f t="shared" si="516"/>
      </c>
      <c r="DT166" s="1136">
        <f t="shared" si="516"/>
      </c>
      <c r="DU166" s="1137">
        <f t="shared" si="516"/>
      </c>
      <c r="DV166" s="1243">
        <f t="shared" si="454"/>
      </c>
      <c r="DW166" s="1136">
        <f t="shared" si="455"/>
      </c>
      <c r="DX166" s="1136">
        <f t="shared" si="456"/>
      </c>
      <c r="DY166" s="1137">
        <f t="shared" si="457"/>
      </c>
      <c r="DZ166" s="1243">
        <f t="shared" si="458"/>
      </c>
      <c r="EA166" s="1136">
        <f t="shared" si="459"/>
      </c>
      <c r="EB166" s="1136">
        <f t="shared" si="460"/>
      </c>
      <c r="EC166" s="1137">
        <f t="shared" si="461"/>
      </c>
      <c r="ED166" s="1243">
        <f t="shared" si="462"/>
      </c>
      <c r="EE166" s="1136">
        <f t="shared" si="463"/>
      </c>
      <c r="EF166" s="1136">
        <f t="shared" si="464"/>
      </c>
      <c r="EG166" s="1137">
        <f t="shared" si="465"/>
      </c>
      <c r="EH166" s="1243">
        <f t="shared" si="466"/>
      </c>
      <c r="EI166" s="1136">
        <f t="shared" si="467"/>
      </c>
      <c r="EJ166" s="1136">
        <f t="shared" si="468"/>
      </c>
      <c r="EK166" s="1137">
        <f t="shared" si="469"/>
      </c>
      <c r="EL166" s="10"/>
    </row>
    <row r="167" spans="1:142">
      <c r="A167" s="11" t="str">
        <f t="shared" si="470"/>
      </c>
      <c r="D167" s="1136">
        <v>1.0999999999999999E-2</v>
      </c>
      <c r="CL167" s="1136">
        <f t="shared" si="471"/>
      </c>
      <c r="CM167" s="1136">
        <f t="shared" ref="CM167:DU167" si="517">CL167</f>
      </c>
      <c r="CN167" s="1136">
        <f t="shared" si="517"/>
      </c>
      <c r="CO167" s="1137">
        <f t="shared" si="517"/>
      </c>
      <c r="CP167" s="1136">
        <f t="shared" si="517"/>
      </c>
      <c r="CQ167" s="1136">
        <f t="shared" si="517"/>
      </c>
      <c r="CR167" s="1136">
        <f t="shared" si="517"/>
      </c>
      <c r="CS167" s="1137">
        <f t="shared" si="517"/>
      </c>
      <c r="CT167" s="1243">
        <f t="shared" si="517"/>
      </c>
      <c r="CU167" s="1136">
        <f t="shared" si="517"/>
      </c>
      <c r="CV167" s="1136">
        <f t="shared" si="517"/>
      </c>
      <c r="CW167" s="1137">
        <f t="shared" si="517"/>
      </c>
      <c r="CX167" s="1243">
        <f t="shared" si="517"/>
      </c>
      <c r="CY167" s="1136">
        <f t="shared" si="517"/>
      </c>
      <c r="CZ167" s="1136">
        <f t="shared" si="517"/>
      </c>
      <c r="DA167" s="1137">
        <f t="shared" si="517"/>
      </c>
      <c r="DB167" s="1243">
        <f t="shared" si="517"/>
      </c>
      <c r="DC167" s="1136">
        <f t="shared" si="517"/>
      </c>
      <c r="DD167" s="1136">
        <f t="shared" si="517"/>
      </c>
      <c r="DE167" s="1137">
        <f t="shared" si="517"/>
      </c>
      <c r="DF167" s="1243">
        <f t="shared" si="517"/>
      </c>
      <c r="DG167" s="1136">
        <f t="shared" si="517"/>
      </c>
      <c r="DH167" s="1136">
        <f t="shared" si="517"/>
      </c>
      <c r="DI167" s="1137">
        <f t="shared" si="517"/>
      </c>
      <c r="DJ167" s="1243">
        <f t="shared" si="517"/>
      </c>
      <c r="DK167" s="1136">
        <f t="shared" si="517"/>
      </c>
      <c r="DL167" s="1136">
        <f t="shared" si="517"/>
      </c>
      <c r="DM167" s="1137">
        <f t="shared" si="517"/>
      </c>
      <c r="DN167" s="1243">
        <f t="shared" si="517"/>
      </c>
      <c r="DO167" s="1136">
        <f t="shared" si="517"/>
      </c>
      <c r="DP167" s="1136">
        <f t="shared" si="517"/>
      </c>
      <c r="DQ167" s="1137">
        <f t="shared" si="517"/>
      </c>
      <c r="DR167" s="1243">
        <f t="shared" si="517"/>
      </c>
      <c r="DS167" s="1136">
        <f t="shared" si="517"/>
      </c>
      <c r="DT167" s="1136">
        <f t="shared" si="517"/>
      </c>
      <c r="DU167" s="1137">
        <f t="shared" si="517"/>
      </c>
      <c r="DV167" s="1243">
        <f t="shared" si="454"/>
      </c>
      <c r="DW167" s="1136">
        <f t="shared" si="455"/>
      </c>
      <c r="DX167" s="1136">
        <f t="shared" si="456"/>
      </c>
      <c r="DY167" s="1137">
        <f t="shared" si="457"/>
      </c>
      <c r="DZ167" s="1243">
        <f t="shared" si="458"/>
      </c>
      <c r="EA167" s="1136">
        <f t="shared" si="459"/>
      </c>
      <c r="EB167" s="1136">
        <f t="shared" si="460"/>
      </c>
      <c r="EC167" s="1137">
        <f t="shared" si="461"/>
      </c>
      <c r="ED167" s="1243">
        <f t="shared" si="462"/>
      </c>
      <c r="EE167" s="1136">
        <f t="shared" si="463"/>
      </c>
      <c r="EF167" s="1136">
        <f t="shared" si="464"/>
      </c>
      <c r="EG167" s="1137">
        <f t="shared" si="465"/>
      </c>
      <c r="EH167" s="1243">
        <f t="shared" si="466"/>
      </c>
      <c r="EI167" s="1136">
        <f t="shared" si="467"/>
      </c>
      <c r="EJ167" s="1136">
        <f t="shared" si="468"/>
      </c>
      <c r="EK167" s="1137">
        <f t="shared" si="469"/>
      </c>
      <c r="EL167" s="10"/>
    </row>
    <row r="168" spans="1:142">
      <c r="A168" s="11" t="str">
        <f t="shared" si="470"/>
      </c>
      <c r="D168" s="1136">
        <v>1.55E-2</v>
      </c>
      <c r="CL168" s="1136">
        <f t="shared" si="471"/>
      </c>
      <c r="CM168" s="1136">
        <f t="shared" ref="CM168:DU168" si="518">CL168</f>
      </c>
      <c r="CN168" s="1136">
        <f t="shared" si="518"/>
      </c>
      <c r="CO168" s="1137">
        <f t="shared" si="518"/>
      </c>
      <c r="CP168" s="1136">
        <f t="shared" si="518"/>
      </c>
      <c r="CQ168" s="1136">
        <f t="shared" si="518"/>
      </c>
      <c r="CR168" s="1136">
        <f t="shared" si="518"/>
      </c>
      <c r="CS168" s="1137">
        <f t="shared" si="518"/>
      </c>
      <c r="CT168" s="1243">
        <f t="shared" si="518"/>
      </c>
      <c r="CU168" s="1136">
        <f t="shared" si="518"/>
      </c>
      <c r="CV168" s="1136">
        <f t="shared" si="518"/>
      </c>
      <c r="CW168" s="1137">
        <f t="shared" si="518"/>
      </c>
      <c r="CX168" s="1243">
        <f t="shared" si="518"/>
      </c>
      <c r="CY168" s="1136">
        <f t="shared" si="518"/>
      </c>
      <c r="CZ168" s="1136">
        <f t="shared" si="518"/>
      </c>
      <c r="DA168" s="1137">
        <f t="shared" si="518"/>
      </c>
      <c r="DB168" s="1243">
        <f t="shared" si="518"/>
      </c>
      <c r="DC168" s="1136">
        <f t="shared" si="518"/>
      </c>
      <c r="DD168" s="1136">
        <f t="shared" si="518"/>
      </c>
      <c r="DE168" s="1137">
        <f t="shared" si="518"/>
      </c>
      <c r="DF168" s="1243">
        <f t="shared" si="518"/>
      </c>
      <c r="DG168" s="1136">
        <f t="shared" si="518"/>
      </c>
      <c r="DH168" s="1136">
        <f t="shared" si="518"/>
      </c>
      <c r="DI168" s="1137">
        <f t="shared" si="518"/>
      </c>
      <c r="DJ168" s="1243">
        <f t="shared" si="518"/>
      </c>
      <c r="DK168" s="1136">
        <f t="shared" si="518"/>
      </c>
      <c r="DL168" s="1136">
        <f t="shared" si="518"/>
      </c>
      <c r="DM168" s="1137">
        <f t="shared" si="518"/>
      </c>
      <c r="DN168" s="1243">
        <f t="shared" si="518"/>
      </c>
      <c r="DO168" s="1136">
        <f t="shared" si="518"/>
      </c>
      <c r="DP168" s="1136">
        <f t="shared" si="518"/>
      </c>
      <c r="DQ168" s="1137">
        <f t="shared" si="518"/>
      </c>
      <c r="DR168" s="1243">
        <f t="shared" si="518"/>
      </c>
      <c r="DS168" s="1136">
        <f t="shared" si="518"/>
      </c>
      <c r="DT168" s="1136">
        <f t="shared" si="518"/>
      </c>
      <c r="DU168" s="1137">
        <f t="shared" si="518"/>
      </c>
      <c r="DV168" s="1243">
        <f t="shared" si="454"/>
      </c>
      <c r="DW168" s="1136">
        <f t="shared" si="455"/>
      </c>
      <c r="DX168" s="1136">
        <f t="shared" si="456"/>
      </c>
      <c r="DY168" s="1137">
        <f t="shared" si="457"/>
      </c>
      <c r="DZ168" s="1243">
        <f t="shared" si="458"/>
      </c>
      <c r="EA168" s="1136">
        <f t="shared" si="459"/>
      </c>
      <c r="EB168" s="1136">
        <f t="shared" si="460"/>
      </c>
      <c r="EC168" s="1137">
        <f t="shared" si="461"/>
      </c>
      <c r="ED168" s="1243">
        <f t="shared" si="462"/>
      </c>
      <c r="EE168" s="1136">
        <f t="shared" si="463"/>
      </c>
      <c r="EF168" s="1136">
        <f t="shared" si="464"/>
      </c>
      <c r="EG168" s="1137">
        <f t="shared" si="465"/>
      </c>
      <c r="EH168" s="1243">
        <f t="shared" si="466"/>
      </c>
      <c r="EI168" s="1136">
        <f t="shared" si="467"/>
      </c>
      <c r="EJ168" s="1136">
        <f t="shared" si="468"/>
      </c>
      <c r="EK168" s="1137">
        <f t="shared" si="469"/>
      </c>
      <c r="EL168" s="10"/>
    </row>
    <row r="169" spans="1:142">
      <c r="A169" s="11" t="str">
        <f t="shared" si="470"/>
      </c>
      <c r="D169" s="1136">
        <v>2.4500000000000001E-2</v>
      </c>
      <c r="CL169" s="1136">
        <f t="shared" si="471"/>
      </c>
      <c r="CM169" s="1136">
        <f t="shared" ref="CM169:DU169" si="519">CL169</f>
      </c>
      <c r="CN169" s="1136">
        <f t="shared" si="519"/>
      </c>
      <c r="CO169" s="1137">
        <f t="shared" si="519"/>
      </c>
      <c r="CP169" s="1136">
        <f t="shared" si="519"/>
      </c>
      <c r="CQ169" s="1136">
        <f t="shared" si="519"/>
      </c>
      <c r="CR169" s="1136">
        <f t="shared" si="519"/>
      </c>
      <c r="CS169" s="1137">
        <f t="shared" si="519"/>
      </c>
      <c r="CT169" s="1243">
        <f t="shared" si="519"/>
      </c>
      <c r="CU169" s="1136">
        <f t="shared" si="519"/>
      </c>
      <c r="CV169" s="1136">
        <f t="shared" si="519"/>
      </c>
      <c r="CW169" s="1137">
        <f t="shared" si="519"/>
      </c>
      <c r="CX169" s="1243">
        <f t="shared" si="519"/>
      </c>
      <c r="CY169" s="1136">
        <f t="shared" si="519"/>
      </c>
      <c r="CZ169" s="1136">
        <f t="shared" si="519"/>
      </c>
      <c r="DA169" s="1137">
        <f t="shared" si="519"/>
      </c>
      <c r="DB169" s="1243">
        <f t="shared" si="519"/>
      </c>
      <c r="DC169" s="1136">
        <f t="shared" si="519"/>
      </c>
      <c r="DD169" s="1136">
        <f t="shared" si="519"/>
      </c>
      <c r="DE169" s="1137">
        <f t="shared" si="519"/>
      </c>
      <c r="DF169" s="1243">
        <f t="shared" si="519"/>
      </c>
      <c r="DG169" s="1136">
        <f t="shared" si="519"/>
      </c>
      <c r="DH169" s="1136">
        <f t="shared" si="519"/>
      </c>
      <c r="DI169" s="1137">
        <f t="shared" si="519"/>
      </c>
      <c r="DJ169" s="1243">
        <f t="shared" si="519"/>
      </c>
      <c r="DK169" s="1136">
        <f t="shared" si="519"/>
      </c>
      <c r="DL169" s="1136">
        <f t="shared" si="519"/>
      </c>
      <c r="DM169" s="1137">
        <f t="shared" si="519"/>
      </c>
      <c r="DN169" s="1243">
        <f t="shared" si="519"/>
      </c>
      <c r="DO169" s="1136">
        <f t="shared" si="519"/>
      </c>
      <c r="DP169" s="1136">
        <f t="shared" si="519"/>
      </c>
      <c r="DQ169" s="1137">
        <f t="shared" si="519"/>
      </c>
      <c r="DR169" s="1243">
        <f t="shared" si="519"/>
      </c>
      <c r="DS169" s="1136">
        <f t="shared" si="519"/>
      </c>
      <c r="DT169" s="1136">
        <f t="shared" si="519"/>
      </c>
      <c r="DU169" s="1137">
        <f t="shared" si="519"/>
      </c>
      <c r="DV169" s="1243">
        <f t="shared" si="454"/>
      </c>
      <c r="DW169" s="1136">
        <f t="shared" si="455"/>
      </c>
      <c r="DX169" s="1136">
        <f t="shared" si="456"/>
      </c>
      <c r="DY169" s="1137">
        <f t="shared" si="457"/>
      </c>
      <c r="DZ169" s="1243">
        <f t="shared" si="458"/>
      </c>
      <c r="EA169" s="1136">
        <f t="shared" si="459"/>
      </c>
      <c r="EB169" s="1136">
        <f t="shared" si="460"/>
      </c>
      <c r="EC169" s="1137">
        <f t="shared" si="461"/>
      </c>
      <c r="ED169" s="1243">
        <f t="shared" si="462"/>
      </c>
      <c r="EE169" s="1136">
        <f t="shared" si="463"/>
      </c>
      <c r="EF169" s="1136">
        <f t="shared" si="464"/>
      </c>
      <c r="EG169" s="1137">
        <f t="shared" si="465"/>
      </c>
      <c r="EH169" s="1243">
        <f t="shared" si="466"/>
      </c>
      <c r="EI169" s="1136">
        <f t="shared" si="467"/>
      </c>
      <c r="EJ169" s="1136">
        <f t="shared" si="468"/>
      </c>
      <c r="EK169" s="1137">
        <f t="shared" si="469"/>
      </c>
      <c r="EL169" s="10"/>
    </row>
    <row r="170" spans="1:142">
      <c r="A170" s="11" t="str">
        <f t="shared" si="470"/>
      </c>
      <c r="D170" s="1136">
        <v>3.85E-2</v>
      </c>
      <c r="CL170" s="1136">
        <f t="shared" si="471"/>
      </c>
      <c r="CM170" s="1136">
        <f t="shared" ref="CM170:DU170" si="520">CL170</f>
      </c>
      <c r="CN170" s="1136">
        <f t="shared" si="520"/>
      </c>
      <c r="CO170" s="1137">
        <f t="shared" si="520"/>
      </c>
      <c r="CP170" s="1136">
        <f t="shared" si="520"/>
      </c>
      <c r="CQ170" s="1136">
        <f t="shared" si="520"/>
      </c>
      <c r="CR170" s="1136">
        <f t="shared" si="520"/>
      </c>
      <c r="CS170" s="1137">
        <f t="shared" si="520"/>
      </c>
      <c r="CT170" s="1243">
        <f t="shared" si="520"/>
      </c>
      <c r="CU170" s="1136">
        <f t="shared" si="520"/>
      </c>
      <c r="CV170" s="1136">
        <f t="shared" si="520"/>
      </c>
      <c r="CW170" s="1137">
        <f t="shared" si="520"/>
      </c>
      <c r="CX170" s="1243">
        <f t="shared" si="520"/>
      </c>
      <c r="CY170" s="1136">
        <f t="shared" si="520"/>
      </c>
      <c r="CZ170" s="1136">
        <f t="shared" si="520"/>
      </c>
      <c r="DA170" s="1137">
        <f t="shared" si="520"/>
      </c>
      <c r="DB170" s="1243">
        <f t="shared" si="520"/>
      </c>
      <c r="DC170" s="1136">
        <f t="shared" si="520"/>
      </c>
      <c r="DD170" s="1136">
        <f t="shared" si="520"/>
      </c>
      <c r="DE170" s="1137">
        <f t="shared" si="520"/>
      </c>
      <c r="DF170" s="1243">
        <f t="shared" si="520"/>
      </c>
      <c r="DG170" s="1136">
        <f t="shared" si="520"/>
      </c>
      <c r="DH170" s="1136">
        <f t="shared" si="520"/>
      </c>
      <c r="DI170" s="1137">
        <f t="shared" si="520"/>
      </c>
      <c r="DJ170" s="1243">
        <f t="shared" si="520"/>
      </c>
      <c r="DK170" s="1136">
        <f t="shared" si="520"/>
      </c>
      <c r="DL170" s="1136">
        <f t="shared" si="520"/>
      </c>
      <c r="DM170" s="1137">
        <f t="shared" si="520"/>
      </c>
      <c r="DN170" s="1243">
        <f t="shared" si="520"/>
      </c>
      <c r="DO170" s="1136">
        <f t="shared" si="520"/>
      </c>
      <c r="DP170" s="1136">
        <f t="shared" si="520"/>
      </c>
      <c r="DQ170" s="1137">
        <f t="shared" si="520"/>
      </c>
      <c r="DR170" s="1243">
        <f t="shared" si="520"/>
      </c>
      <c r="DS170" s="1136">
        <f t="shared" si="520"/>
      </c>
      <c r="DT170" s="1136">
        <f t="shared" si="520"/>
      </c>
      <c r="DU170" s="1137">
        <f t="shared" si="520"/>
      </c>
      <c r="DV170" s="1243">
        <f t="shared" si="454"/>
      </c>
      <c r="DW170" s="1136">
        <f t="shared" si="455"/>
      </c>
      <c r="DX170" s="1136">
        <f t="shared" si="456"/>
      </c>
      <c r="DY170" s="1137">
        <f t="shared" si="457"/>
      </c>
      <c r="DZ170" s="1243">
        <f t="shared" si="458"/>
      </c>
      <c r="EA170" s="1136">
        <f t="shared" si="459"/>
      </c>
      <c r="EB170" s="1136">
        <f t="shared" si="460"/>
      </c>
      <c r="EC170" s="1137">
        <f t="shared" si="461"/>
      </c>
      <c r="ED170" s="1243">
        <f t="shared" si="462"/>
      </c>
      <c r="EE170" s="1136">
        <f t="shared" si="463"/>
      </c>
      <c r="EF170" s="1136">
        <f t="shared" si="464"/>
      </c>
      <c r="EG170" s="1137">
        <f t="shared" si="465"/>
      </c>
      <c r="EH170" s="1243">
        <f t="shared" si="466"/>
      </c>
      <c r="EI170" s="1136">
        <f t="shared" si="467"/>
      </c>
      <c r="EJ170" s="1136">
        <f t="shared" si="468"/>
      </c>
      <c r="EK170" s="1137">
        <f t="shared" si="469"/>
      </c>
      <c r="EL170" s="10"/>
    </row>
    <row r="171" spans="1:142">
      <c r="A171" s="11" t="str">
        <f t="shared" si="470"/>
      </c>
      <c r="D171" s="1136">
        <v>0.02</v>
      </c>
      <c r="CL171" s="1136">
        <f t="shared" si="471"/>
      </c>
      <c r="CM171" s="1136">
        <f t="shared" ref="CM171:DU171" si="521">CL171</f>
      </c>
      <c r="CN171" s="1136">
        <f t="shared" si="521"/>
      </c>
      <c r="CO171" s="1137">
        <f t="shared" si="521"/>
      </c>
      <c r="CP171" s="1136">
        <f t="shared" si="521"/>
      </c>
      <c r="CQ171" s="1136">
        <f t="shared" si="521"/>
      </c>
      <c r="CR171" s="1136">
        <f t="shared" si="521"/>
      </c>
      <c r="CS171" s="1137">
        <f t="shared" si="521"/>
      </c>
      <c r="CT171" s="1243">
        <f t="shared" si="521"/>
      </c>
      <c r="CU171" s="1136">
        <f t="shared" si="521"/>
      </c>
      <c r="CV171" s="1136">
        <f t="shared" si="521"/>
      </c>
      <c r="CW171" s="1137">
        <f t="shared" si="521"/>
      </c>
      <c r="CX171" s="1243">
        <f t="shared" si="521"/>
      </c>
      <c r="CY171" s="1136">
        <f t="shared" si="521"/>
      </c>
      <c r="CZ171" s="1136">
        <f t="shared" si="521"/>
      </c>
      <c r="DA171" s="1137">
        <f t="shared" si="521"/>
      </c>
      <c r="DB171" s="1243">
        <f t="shared" si="521"/>
      </c>
      <c r="DC171" s="1136">
        <f t="shared" si="521"/>
      </c>
      <c r="DD171" s="1136">
        <f t="shared" si="521"/>
      </c>
      <c r="DE171" s="1137">
        <f t="shared" si="521"/>
      </c>
      <c r="DF171" s="1243">
        <f t="shared" si="521"/>
      </c>
      <c r="DG171" s="1136">
        <f t="shared" si="521"/>
      </c>
      <c r="DH171" s="1136">
        <f t="shared" si="521"/>
      </c>
      <c r="DI171" s="1137">
        <f t="shared" si="521"/>
      </c>
      <c r="DJ171" s="1243">
        <f t="shared" si="521"/>
      </c>
      <c r="DK171" s="1136">
        <f t="shared" si="521"/>
      </c>
      <c r="DL171" s="1136">
        <f t="shared" si="521"/>
      </c>
      <c r="DM171" s="1137">
        <f t="shared" si="521"/>
      </c>
      <c r="DN171" s="1243">
        <f t="shared" si="521"/>
      </c>
      <c r="DO171" s="1136">
        <f t="shared" si="521"/>
      </c>
      <c r="DP171" s="1136">
        <f t="shared" si="521"/>
      </c>
      <c r="DQ171" s="1137">
        <f t="shared" si="521"/>
      </c>
      <c r="DR171" s="1243">
        <f t="shared" si="521"/>
      </c>
      <c r="DS171" s="1136">
        <f t="shared" si="521"/>
      </c>
      <c r="DT171" s="1136">
        <f t="shared" si="521"/>
      </c>
      <c r="DU171" s="1137">
        <f t="shared" si="521"/>
      </c>
      <c r="DV171" s="1243">
        <f t="shared" si="454"/>
      </c>
      <c r="DW171" s="1136">
        <f t="shared" si="455"/>
      </c>
      <c r="DX171" s="1136">
        <f t="shared" si="456"/>
      </c>
      <c r="DY171" s="1137">
        <f t="shared" si="457"/>
      </c>
      <c r="DZ171" s="1243">
        <f t="shared" si="458"/>
      </c>
      <c r="EA171" s="1136">
        <f t="shared" si="459"/>
      </c>
      <c r="EB171" s="1136">
        <f t="shared" si="460"/>
      </c>
      <c r="EC171" s="1137">
        <f t="shared" si="461"/>
      </c>
      <c r="ED171" s="1243">
        <f t="shared" si="462"/>
      </c>
      <c r="EE171" s="1136">
        <f t="shared" si="463"/>
      </c>
      <c r="EF171" s="1136">
        <f t="shared" si="464"/>
      </c>
      <c r="EG171" s="1137">
        <f t="shared" si="465"/>
      </c>
      <c r="EH171" s="1243">
        <f t="shared" si="466"/>
      </c>
      <c r="EI171" s="1136">
        <f t="shared" si="467"/>
      </c>
      <c r="EJ171" s="1136">
        <f t="shared" si="468"/>
      </c>
      <c r="EK171" s="1137">
        <f t="shared" si="469"/>
      </c>
      <c r="EL171" s="10"/>
    </row>
    <row r="172" spans="1:142">
      <c r="A172" s="11" t="str">
        <f t="shared" si="470"/>
      </c>
      <c r="D172" s="1136">
        <v>0.02</v>
      </c>
      <c r="CL172" s="1136">
        <f t="shared" si="471"/>
      </c>
      <c r="CM172" s="1136">
        <f t="shared" ref="CM172:DU172" si="522">CL172</f>
      </c>
      <c r="CN172" s="1136">
        <f t="shared" si="522"/>
      </c>
      <c r="CO172" s="1137">
        <f t="shared" si="522"/>
      </c>
      <c r="CP172" s="1136">
        <f t="shared" si="522"/>
      </c>
      <c r="CQ172" s="1136">
        <f t="shared" si="522"/>
      </c>
      <c r="CR172" s="1136">
        <f t="shared" si="522"/>
      </c>
      <c r="CS172" s="1137">
        <f t="shared" si="522"/>
      </c>
      <c r="CT172" s="1243">
        <f t="shared" si="522"/>
      </c>
      <c r="CU172" s="1136">
        <f t="shared" si="522"/>
      </c>
      <c r="CV172" s="1136">
        <f t="shared" si="522"/>
      </c>
      <c r="CW172" s="1137">
        <f t="shared" si="522"/>
      </c>
      <c r="CX172" s="1243">
        <f t="shared" si="522"/>
      </c>
      <c r="CY172" s="1136">
        <f t="shared" si="522"/>
      </c>
      <c r="CZ172" s="1136">
        <f t="shared" si="522"/>
      </c>
      <c r="DA172" s="1137">
        <f t="shared" si="522"/>
      </c>
      <c r="DB172" s="1243">
        <f t="shared" si="522"/>
      </c>
      <c r="DC172" s="1136">
        <f t="shared" si="522"/>
      </c>
      <c r="DD172" s="1136">
        <f t="shared" si="522"/>
      </c>
      <c r="DE172" s="1137">
        <f t="shared" si="522"/>
      </c>
      <c r="DF172" s="1243">
        <f t="shared" si="522"/>
      </c>
      <c r="DG172" s="1136">
        <f t="shared" si="522"/>
      </c>
      <c r="DH172" s="1136">
        <f t="shared" si="522"/>
      </c>
      <c r="DI172" s="1137">
        <f t="shared" si="522"/>
      </c>
      <c r="DJ172" s="1243">
        <f t="shared" si="522"/>
      </c>
      <c r="DK172" s="1136">
        <f t="shared" si="522"/>
      </c>
      <c r="DL172" s="1136">
        <f t="shared" si="522"/>
      </c>
      <c r="DM172" s="1137">
        <f t="shared" si="522"/>
      </c>
      <c r="DN172" s="1243">
        <f t="shared" si="522"/>
      </c>
      <c r="DO172" s="1136">
        <f t="shared" si="522"/>
      </c>
      <c r="DP172" s="1136">
        <f t="shared" si="522"/>
      </c>
      <c r="DQ172" s="1137">
        <f t="shared" si="522"/>
      </c>
      <c r="DR172" s="1243">
        <f t="shared" si="522"/>
      </c>
      <c r="DS172" s="1136">
        <f t="shared" si="522"/>
      </c>
      <c r="DT172" s="1136">
        <f t="shared" si="522"/>
      </c>
      <c r="DU172" s="1137">
        <f t="shared" si="522"/>
      </c>
      <c r="DV172" s="1243">
        <f t="shared" si="454"/>
      </c>
      <c r="DW172" s="1136">
        <f t="shared" si="455"/>
      </c>
      <c r="DX172" s="1136">
        <f t="shared" si="456"/>
      </c>
      <c r="DY172" s="1137">
        <f t="shared" si="457"/>
      </c>
      <c r="DZ172" s="1243">
        <f t="shared" si="458"/>
      </c>
      <c r="EA172" s="1136">
        <f t="shared" si="459"/>
      </c>
      <c r="EB172" s="1136">
        <f t="shared" si="460"/>
      </c>
      <c r="EC172" s="1137">
        <f t="shared" si="461"/>
      </c>
      <c r="ED172" s="1243">
        <f t="shared" si="462"/>
      </c>
      <c r="EE172" s="1136">
        <f t="shared" si="463"/>
      </c>
      <c r="EF172" s="1136">
        <f t="shared" si="464"/>
      </c>
      <c r="EG172" s="1137">
        <f t="shared" si="465"/>
      </c>
      <c r="EH172" s="1243">
        <f t="shared" si="466"/>
      </c>
      <c r="EI172" s="1136">
        <f t="shared" si="467"/>
      </c>
      <c r="EJ172" s="1136">
        <f t="shared" si="468"/>
      </c>
      <c r="EK172" s="1137">
        <f t="shared" si="469"/>
      </c>
      <c r="EL172" s="10"/>
    </row>
    <row r="173" spans="1:142">
      <c r="A173" s="11" t="str">
        <f t="shared" si="470"/>
      </c>
      <c r="D173" s="1136">
        <v>0.02</v>
      </c>
      <c r="CL173" s="1136">
        <f t="shared" si="471"/>
      </c>
      <c r="CM173" s="1136">
        <f t="shared" ref="CM173:DU173" si="523">CL173</f>
      </c>
      <c r="CN173" s="1136">
        <f t="shared" si="523"/>
      </c>
      <c r="CO173" s="1137">
        <f t="shared" si="523"/>
      </c>
      <c r="CP173" s="1136">
        <f t="shared" si="523"/>
      </c>
      <c r="CQ173" s="1136">
        <f t="shared" si="523"/>
      </c>
      <c r="CR173" s="1136">
        <f t="shared" si="523"/>
      </c>
      <c r="CS173" s="1137">
        <f t="shared" si="523"/>
      </c>
      <c r="CT173" s="1243">
        <f t="shared" si="523"/>
      </c>
      <c r="CU173" s="1136">
        <f t="shared" si="523"/>
      </c>
      <c r="CV173" s="1136">
        <f t="shared" si="523"/>
      </c>
      <c r="CW173" s="1137">
        <f t="shared" si="523"/>
      </c>
      <c r="CX173" s="1243">
        <f t="shared" si="523"/>
      </c>
      <c r="CY173" s="1136">
        <f t="shared" si="523"/>
      </c>
      <c r="CZ173" s="1136">
        <f t="shared" si="523"/>
      </c>
      <c r="DA173" s="1137">
        <f t="shared" si="523"/>
      </c>
      <c r="DB173" s="1243">
        <f t="shared" si="523"/>
      </c>
      <c r="DC173" s="1136">
        <f t="shared" si="523"/>
      </c>
      <c r="DD173" s="1136">
        <f t="shared" si="523"/>
      </c>
      <c r="DE173" s="1137">
        <f t="shared" si="523"/>
      </c>
      <c r="DF173" s="1243">
        <f t="shared" si="523"/>
      </c>
      <c r="DG173" s="1136">
        <f t="shared" si="523"/>
      </c>
      <c r="DH173" s="1136">
        <f t="shared" si="523"/>
      </c>
      <c r="DI173" s="1137">
        <f t="shared" si="523"/>
      </c>
      <c r="DJ173" s="1243">
        <f t="shared" si="523"/>
      </c>
      <c r="DK173" s="1136">
        <f t="shared" si="523"/>
      </c>
      <c r="DL173" s="1136">
        <f t="shared" si="523"/>
      </c>
      <c r="DM173" s="1137">
        <f t="shared" si="523"/>
      </c>
      <c r="DN173" s="1243">
        <f t="shared" si="523"/>
      </c>
      <c r="DO173" s="1136">
        <f t="shared" si="523"/>
      </c>
      <c r="DP173" s="1136">
        <f t="shared" si="523"/>
      </c>
      <c r="DQ173" s="1137">
        <f t="shared" si="523"/>
      </c>
      <c r="DR173" s="1243">
        <f t="shared" si="523"/>
      </c>
      <c r="DS173" s="1136">
        <f t="shared" si="523"/>
      </c>
      <c r="DT173" s="1136">
        <f t="shared" si="523"/>
      </c>
      <c r="DU173" s="1137">
        <f t="shared" si="523"/>
      </c>
      <c r="DV173" s="1243">
        <f t="shared" si="454"/>
      </c>
      <c r="DW173" s="1136">
        <f t="shared" si="455"/>
      </c>
      <c r="DX173" s="1136">
        <f t="shared" si="456"/>
      </c>
      <c r="DY173" s="1137">
        <f t="shared" si="457"/>
      </c>
      <c r="DZ173" s="1243">
        <f t="shared" si="458"/>
      </c>
      <c r="EA173" s="1136">
        <f t="shared" si="459"/>
      </c>
      <c r="EB173" s="1136">
        <f t="shared" si="460"/>
      </c>
      <c r="EC173" s="1137">
        <f t="shared" si="461"/>
      </c>
      <c r="ED173" s="1243">
        <f t="shared" si="462"/>
      </c>
      <c r="EE173" s="1136">
        <f t="shared" si="463"/>
      </c>
      <c r="EF173" s="1136">
        <f t="shared" si="464"/>
      </c>
      <c r="EG173" s="1137">
        <f t="shared" si="465"/>
      </c>
      <c r="EH173" s="1243">
        <f t="shared" si="466"/>
      </c>
      <c r="EI173" s="1136">
        <f t="shared" si="467"/>
      </c>
      <c r="EJ173" s="1136">
        <f t="shared" si="468"/>
      </c>
      <c r="EK173" s="1137">
        <f t="shared" si="469"/>
      </c>
      <c r="EL173" s="10"/>
    </row>
    <row r="174" spans="1:142">
      <c r="A174" s="11" t="str">
        <f t="shared" si="470"/>
      </c>
      <c r="D174" s="1136">
        <v>0.02</v>
      </c>
      <c r="CL174" s="1136">
        <f t="shared" si="471"/>
      </c>
      <c r="CM174" s="1136">
        <f t="shared" ref="CM174:DU174" si="524">CL174</f>
      </c>
      <c r="CN174" s="1136">
        <f t="shared" si="524"/>
      </c>
      <c r="CO174" s="1137">
        <f t="shared" si="524"/>
      </c>
      <c r="CP174" s="1136">
        <f t="shared" si="524"/>
      </c>
      <c r="CQ174" s="1136">
        <f t="shared" si="524"/>
      </c>
      <c r="CR174" s="1136">
        <f t="shared" si="524"/>
      </c>
      <c r="CS174" s="1137">
        <f t="shared" si="524"/>
      </c>
      <c r="CT174" s="1243">
        <f t="shared" si="524"/>
      </c>
      <c r="CU174" s="1136">
        <f t="shared" si="524"/>
      </c>
      <c r="CV174" s="1136">
        <f t="shared" si="524"/>
      </c>
      <c r="CW174" s="1137">
        <f t="shared" si="524"/>
      </c>
      <c r="CX174" s="1243">
        <f t="shared" si="524"/>
      </c>
      <c r="CY174" s="1136">
        <f t="shared" si="524"/>
      </c>
      <c r="CZ174" s="1136">
        <f t="shared" si="524"/>
      </c>
      <c r="DA174" s="1137">
        <f t="shared" si="524"/>
      </c>
      <c r="DB174" s="1243">
        <f t="shared" si="524"/>
      </c>
      <c r="DC174" s="1136">
        <f t="shared" si="524"/>
      </c>
      <c r="DD174" s="1136">
        <f t="shared" si="524"/>
      </c>
      <c r="DE174" s="1137">
        <f t="shared" si="524"/>
      </c>
      <c r="DF174" s="1243">
        <f t="shared" si="524"/>
      </c>
      <c r="DG174" s="1136">
        <f t="shared" si="524"/>
      </c>
      <c r="DH174" s="1136">
        <f t="shared" si="524"/>
      </c>
      <c r="DI174" s="1137">
        <f t="shared" si="524"/>
      </c>
      <c r="DJ174" s="1243">
        <f t="shared" si="524"/>
      </c>
      <c r="DK174" s="1136">
        <f t="shared" si="524"/>
      </c>
      <c r="DL174" s="1136">
        <f t="shared" si="524"/>
      </c>
      <c r="DM174" s="1137">
        <f t="shared" si="524"/>
      </c>
      <c r="DN174" s="1243">
        <f t="shared" si="524"/>
      </c>
      <c r="DO174" s="1136">
        <f t="shared" si="524"/>
      </c>
      <c r="DP174" s="1136">
        <f t="shared" si="524"/>
      </c>
      <c r="DQ174" s="1137">
        <f t="shared" si="524"/>
      </c>
      <c r="DR174" s="1243">
        <f t="shared" si="524"/>
      </c>
      <c r="DS174" s="1136">
        <f t="shared" si="524"/>
      </c>
      <c r="DT174" s="1136">
        <f t="shared" si="524"/>
      </c>
      <c r="DU174" s="1137">
        <f t="shared" si="524"/>
      </c>
      <c r="DV174" s="1243">
        <f t="shared" si="454"/>
      </c>
      <c r="DW174" s="1136">
        <f t="shared" si="455"/>
      </c>
      <c r="DX174" s="1136">
        <f t="shared" si="456"/>
      </c>
      <c r="DY174" s="1137">
        <f t="shared" si="457"/>
      </c>
      <c r="DZ174" s="1243">
        <f t="shared" si="458"/>
      </c>
      <c r="EA174" s="1136">
        <f t="shared" si="459"/>
      </c>
      <c r="EB174" s="1136">
        <f t="shared" si="460"/>
      </c>
      <c r="EC174" s="1137">
        <f t="shared" si="461"/>
      </c>
      <c r="ED174" s="1243">
        <f t="shared" si="462"/>
      </c>
      <c r="EE174" s="1136">
        <f t="shared" si="463"/>
      </c>
      <c r="EF174" s="1136">
        <f t="shared" si="464"/>
      </c>
      <c r="EG174" s="1137">
        <f t="shared" si="465"/>
      </c>
      <c r="EH174" s="1243">
        <f t="shared" si="466"/>
      </c>
      <c r="EI174" s="1136">
        <f t="shared" si="467"/>
      </c>
      <c r="EJ174" s="1136">
        <f t="shared" si="468"/>
      </c>
      <c r="EK174" s="1137">
        <f t="shared" si="469"/>
      </c>
      <c r="EL174" s="10"/>
    </row>
    <row r="175" spans="1:142">
      <c r="A175" s="11" t="str">
        <f t="shared" si="470"/>
      </c>
      <c r="D175" s="1136">
        <v>0.02</v>
      </c>
      <c r="CL175" s="1136">
        <f t="shared" si="471"/>
      </c>
      <c r="CM175" s="1136">
        <f t="shared" ref="CM175:DU175" si="525">CL175</f>
      </c>
      <c r="CN175" s="1136">
        <f t="shared" si="525"/>
      </c>
      <c r="CO175" s="1137">
        <f t="shared" si="525"/>
      </c>
      <c r="CP175" s="1136">
        <f t="shared" si="525"/>
      </c>
      <c r="CQ175" s="1136">
        <f t="shared" si="525"/>
      </c>
      <c r="CR175" s="1136">
        <f t="shared" si="525"/>
      </c>
      <c r="CS175" s="1137">
        <f t="shared" si="525"/>
      </c>
      <c r="CT175" s="1243">
        <f t="shared" si="525"/>
      </c>
      <c r="CU175" s="1136">
        <f t="shared" si="525"/>
      </c>
      <c r="CV175" s="1136">
        <f t="shared" si="525"/>
      </c>
      <c r="CW175" s="1137">
        <f t="shared" si="525"/>
      </c>
      <c r="CX175" s="1243">
        <f t="shared" si="525"/>
      </c>
      <c r="CY175" s="1136">
        <f t="shared" si="525"/>
      </c>
      <c r="CZ175" s="1136">
        <f t="shared" si="525"/>
      </c>
      <c r="DA175" s="1137">
        <f t="shared" si="525"/>
      </c>
      <c r="DB175" s="1243">
        <f t="shared" si="525"/>
      </c>
      <c r="DC175" s="1136">
        <f t="shared" si="525"/>
      </c>
      <c r="DD175" s="1136">
        <f t="shared" si="525"/>
      </c>
      <c r="DE175" s="1137">
        <f t="shared" si="525"/>
      </c>
      <c r="DF175" s="1243">
        <f t="shared" si="525"/>
      </c>
      <c r="DG175" s="1136">
        <f t="shared" si="525"/>
      </c>
      <c r="DH175" s="1136">
        <f t="shared" si="525"/>
      </c>
      <c r="DI175" s="1137">
        <f t="shared" si="525"/>
      </c>
      <c r="DJ175" s="1243">
        <f t="shared" si="525"/>
      </c>
      <c r="DK175" s="1136">
        <f t="shared" si="525"/>
      </c>
      <c r="DL175" s="1136">
        <f t="shared" si="525"/>
      </c>
      <c r="DM175" s="1137">
        <f t="shared" si="525"/>
      </c>
      <c r="DN175" s="1243">
        <f t="shared" si="525"/>
      </c>
      <c r="DO175" s="1136">
        <f t="shared" si="525"/>
      </c>
      <c r="DP175" s="1136">
        <f t="shared" si="525"/>
      </c>
      <c r="DQ175" s="1137">
        <f t="shared" si="525"/>
      </c>
      <c r="DR175" s="1243">
        <f t="shared" si="525"/>
      </c>
      <c r="DS175" s="1136">
        <f t="shared" si="525"/>
      </c>
      <c r="DT175" s="1136">
        <f t="shared" si="525"/>
      </c>
      <c r="DU175" s="1137">
        <f t="shared" si="525"/>
      </c>
      <c r="DV175" s="1243">
        <f t="shared" si="454"/>
      </c>
      <c r="DW175" s="1136">
        <f t="shared" si="455"/>
      </c>
      <c r="DX175" s="1136">
        <f t="shared" si="456"/>
      </c>
      <c r="DY175" s="1137">
        <f t="shared" si="457"/>
      </c>
      <c r="DZ175" s="1243">
        <f t="shared" si="458"/>
      </c>
      <c r="EA175" s="1136">
        <f t="shared" si="459"/>
      </c>
      <c r="EB175" s="1136">
        <f t="shared" si="460"/>
      </c>
      <c r="EC175" s="1137">
        <f t="shared" si="461"/>
      </c>
      <c r="ED175" s="1243">
        <f t="shared" si="462"/>
      </c>
      <c r="EE175" s="1136">
        <f t="shared" si="463"/>
      </c>
      <c r="EF175" s="1136">
        <f t="shared" si="464"/>
      </c>
      <c r="EG175" s="1137">
        <f t="shared" si="465"/>
      </c>
      <c r="EH175" s="1243">
        <f t="shared" si="466"/>
      </c>
      <c r="EI175" s="1136">
        <f t="shared" si="467"/>
      </c>
      <c r="EJ175" s="1136">
        <f t="shared" si="468"/>
      </c>
      <c r="EK175" s="1137">
        <f t="shared" si="469"/>
      </c>
      <c r="EL175" s="10"/>
    </row>
    <row r="176" spans="1:142">
      <c r="A176" s="11" t="str">
        <f t="shared" si="470"/>
      </c>
      <c r="D176" s="1136">
        <v>1.55E-2</v>
      </c>
      <c r="CL176" s="1136">
        <f t="shared" si="471"/>
      </c>
      <c r="CM176" s="1136">
        <f t="shared" ref="CM176:DU176" si="526">CL176</f>
      </c>
      <c r="CN176" s="1136">
        <f t="shared" si="526"/>
      </c>
      <c r="CO176" s="1137">
        <f t="shared" si="526"/>
      </c>
      <c r="CP176" s="1136">
        <f t="shared" si="526"/>
      </c>
      <c r="CQ176" s="1136">
        <f t="shared" si="526"/>
      </c>
      <c r="CR176" s="1136">
        <f t="shared" si="526"/>
      </c>
      <c r="CS176" s="1137">
        <f t="shared" si="526"/>
      </c>
      <c r="CT176" s="1243">
        <f t="shared" si="526"/>
      </c>
      <c r="CU176" s="1136">
        <f t="shared" si="526"/>
      </c>
      <c r="CV176" s="1136">
        <f t="shared" si="526"/>
      </c>
      <c r="CW176" s="1137">
        <f t="shared" si="526"/>
      </c>
      <c r="CX176" s="1243">
        <f t="shared" si="526"/>
      </c>
      <c r="CY176" s="1136">
        <f t="shared" si="526"/>
      </c>
      <c r="CZ176" s="1136">
        <f t="shared" si="526"/>
      </c>
      <c r="DA176" s="1137">
        <f t="shared" si="526"/>
      </c>
      <c r="DB176" s="1243">
        <f t="shared" si="526"/>
      </c>
      <c r="DC176" s="1136">
        <f t="shared" si="526"/>
      </c>
      <c r="DD176" s="1136">
        <f t="shared" si="526"/>
      </c>
      <c r="DE176" s="1137">
        <f t="shared" si="526"/>
      </c>
      <c r="DF176" s="1243">
        <f t="shared" si="526"/>
      </c>
      <c r="DG176" s="1136">
        <f t="shared" si="526"/>
      </c>
      <c r="DH176" s="1136">
        <f t="shared" si="526"/>
      </c>
      <c r="DI176" s="1137">
        <f t="shared" si="526"/>
      </c>
      <c r="DJ176" s="1243">
        <f t="shared" si="526"/>
      </c>
      <c r="DK176" s="1136">
        <f t="shared" si="526"/>
      </c>
      <c r="DL176" s="1136">
        <f t="shared" si="526"/>
      </c>
      <c r="DM176" s="1137">
        <f t="shared" si="526"/>
      </c>
      <c r="DN176" s="1243">
        <f t="shared" si="526"/>
      </c>
      <c r="DO176" s="1136">
        <f t="shared" si="526"/>
      </c>
      <c r="DP176" s="1136">
        <f t="shared" si="526"/>
      </c>
      <c r="DQ176" s="1137">
        <f t="shared" si="526"/>
      </c>
      <c r="DR176" s="1243">
        <f t="shared" si="526"/>
      </c>
      <c r="DS176" s="1136">
        <f t="shared" si="526"/>
      </c>
      <c r="DT176" s="1136">
        <f t="shared" si="526"/>
      </c>
      <c r="DU176" s="1137">
        <f t="shared" si="526"/>
      </c>
      <c r="DV176" s="1243">
        <f t="shared" si="454"/>
      </c>
      <c r="DW176" s="1136">
        <f t="shared" si="455"/>
      </c>
      <c r="DX176" s="1136">
        <f t="shared" si="456"/>
      </c>
      <c r="DY176" s="1137">
        <f t="shared" si="457"/>
      </c>
      <c r="DZ176" s="1243">
        <f t="shared" si="458"/>
      </c>
      <c r="EA176" s="1136">
        <f t="shared" si="459"/>
      </c>
      <c r="EB176" s="1136">
        <f t="shared" si="460"/>
      </c>
      <c r="EC176" s="1137">
        <f t="shared" si="461"/>
      </c>
      <c r="ED176" s="1243">
        <f t="shared" si="462"/>
      </c>
      <c r="EE176" s="1136">
        <f t="shared" si="463"/>
      </c>
      <c r="EF176" s="1136">
        <f t="shared" si="464"/>
      </c>
      <c r="EG176" s="1137">
        <f t="shared" si="465"/>
      </c>
      <c r="EH176" s="1243">
        <f t="shared" si="466"/>
      </c>
      <c r="EI176" s="1136">
        <f t="shared" si="467"/>
      </c>
      <c r="EJ176" s="1136">
        <f t="shared" si="468"/>
      </c>
      <c r="EK176" s="1137">
        <f t="shared" si="469"/>
      </c>
      <c r="EL176" s="10"/>
    </row>
    <row r="177" spans="1:142">
      <c r="A177" s="11" t="str">
        <f t="shared" si="470"/>
      </c>
      <c r="D177" s="1136">
        <v>1.9E-2</v>
      </c>
      <c r="CL177" s="1136">
        <f t="shared" si="471"/>
      </c>
      <c r="CM177" s="1136">
        <f t="shared" ref="CM177:DU177" si="527">CL177</f>
      </c>
      <c r="CN177" s="1136">
        <f t="shared" si="527"/>
      </c>
      <c r="CO177" s="1137">
        <f t="shared" si="527"/>
      </c>
      <c r="CP177" s="1136">
        <f t="shared" si="527"/>
      </c>
      <c r="CQ177" s="1136">
        <f t="shared" si="527"/>
      </c>
      <c r="CR177" s="1136">
        <f t="shared" si="527"/>
      </c>
      <c r="CS177" s="1137">
        <f t="shared" si="527"/>
      </c>
      <c r="CT177" s="1243">
        <f t="shared" si="527"/>
      </c>
      <c r="CU177" s="1136">
        <f t="shared" si="527"/>
      </c>
      <c r="CV177" s="1136">
        <f t="shared" si="527"/>
      </c>
      <c r="CW177" s="1137">
        <f t="shared" si="527"/>
      </c>
      <c r="CX177" s="1243">
        <f t="shared" si="527"/>
      </c>
      <c r="CY177" s="1136">
        <f t="shared" si="527"/>
      </c>
      <c r="CZ177" s="1136">
        <f t="shared" si="527"/>
      </c>
      <c r="DA177" s="1137">
        <f t="shared" si="527"/>
      </c>
      <c r="DB177" s="1243">
        <f t="shared" si="527"/>
      </c>
      <c r="DC177" s="1136">
        <f t="shared" si="527"/>
      </c>
      <c r="DD177" s="1136">
        <f t="shared" si="527"/>
      </c>
      <c r="DE177" s="1137">
        <f t="shared" si="527"/>
      </c>
      <c r="DF177" s="1243">
        <f t="shared" si="527"/>
      </c>
      <c r="DG177" s="1136">
        <f t="shared" si="527"/>
      </c>
      <c r="DH177" s="1136">
        <f t="shared" si="527"/>
      </c>
      <c r="DI177" s="1137">
        <f t="shared" si="527"/>
      </c>
      <c r="DJ177" s="1243">
        <f t="shared" si="527"/>
      </c>
      <c r="DK177" s="1136">
        <f t="shared" si="527"/>
      </c>
      <c r="DL177" s="1136">
        <f t="shared" si="527"/>
      </c>
      <c r="DM177" s="1137">
        <f t="shared" si="527"/>
      </c>
      <c r="DN177" s="1243">
        <f t="shared" si="527"/>
      </c>
      <c r="DO177" s="1136">
        <f t="shared" si="527"/>
      </c>
      <c r="DP177" s="1136">
        <f t="shared" si="527"/>
      </c>
      <c r="DQ177" s="1137">
        <f t="shared" si="527"/>
      </c>
      <c r="DR177" s="1243">
        <f t="shared" si="527"/>
      </c>
      <c r="DS177" s="1136">
        <f t="shared" si="527"/>
      </c>
      <c r="DT177" s="1136">
        <f t="shared" si="527"/>
      </c>
      <c r="DU177" s="1137">
        <f t="shared" si="527"/>
      </c>
      <c r="DV177" s="1243">
        <f t="shared" si="454"/>
      </c>
      <c r="DW177" s="1136">
        <f t="shared" si="455"/>
      </c>
      <c r="DX177" s="1136">
        <f t="shared" si="456"/>
      </c>
      <c r="DY177" s="1137">
        <f t="shared" si="457"/>
      </c>
      <c r="DZ177" s="1243">
        <f t="shared" si="458"/>
      </c>
      <c r="EA177" s="1136">
        <f t="shared" si="459"/>
      </c>
      <c r="EB177" s="1136">
        <f t="shared" si="460"/>
      </c>
      <c r="EC177" s="1137">
        <f t="shared" si="461"/>
      </c>
      <c r="ED177" s="1243">
        <f t="shared" si="462"/>
      </c>
      <c r="EE177" s="1136">
        <f t="shared" si="463"/>
      </c>
      <c r="EF177" s="1136">
        <f t="shared" si="464"/>
      </c>
      <c r="EG177" s="1137">
        <f t="shared" si="465"/>
      </c>
      <c r="EH177" s="1243">
        <f t="shared" si="466"/>
      </c>
      <c r="EI177" s="1136">
        <f t="shared" si="467"/>
      </c>
      <c r="EJ177" s="1136">
        <f t="shared" si="468"/>
      </c>
      <c r="EK177" s="1137">
        <f t="shared" si="469"/>
      </c>
      <c r="EL177" s="10"/>
    </row>
    <row r="178" spans="1:142">
      <c r="A178" s="11" t="str">
        <f t="shared" si="470"/>
      </c>
      <c r="D178" s="1136">
        <v>2.5000000000000001E-2</v>
      </c>
      <c r="CL178" s="1136">
        <f t="shared" si="471"/>
      </c>
      <c r="CM178" s="1136">
        <f t="shared" ref="CM178:DU178" si="528">CL178</f>
      </c>
      <c r="CN178" s="1136">
        <f t="shared" si="528"/>
      </c>
      <c r="CO178" s="1137">
        <f t="shared" si="528"/>
      </c>
      <c r="CP178" s="1136">
        <f t="shared" si="528"/>
      </c>
      <c r="CQ178" s="1136">
        <f t="shared" si="528"/>
      </c>
      <c r="CR178" s="1136">
        <f t="shared" si="528"/>
      </c>
      <c r="CS178" s="1137">
        <f t="shared" si="528"/>
      </c>
      <c r="CT178" s="1243">
        <f t="shared" si="528"/>
      </c>
      <c r="CU178" s="1136">
        <f t="shared" si="528"/>
      </c>
      <c r="CV178" s="1136">
        <f t="shared" si="528"/>
      </c>
      <c r="CW178" s="1137">
        <f t="shared" si="528"/>
      </c>
      <c r="CX178" s="1243">
        <f t="shared" si="528"/>
      </c>
      <c r="CY178" s="1136">
        <f t="shared" si="528"/>
      </c>
      <c r="CZ178" s="1136">
        <f t="shared" si="528"/>
      </c>
      <c r="DA178" s="1137">
        <f t="shared" si="528"/>
      </c>
      <c r="DB178" s="1243">
        <f t="shared" si="528"/>
      </c>
      <c r="DC178" s="1136">
        <f t="shared" si="528"/>
      </c>
      <c r="DD178" s="1136">
        <f t="shared" si="528"/>
      </c>
      <c r="DE178" s="1137">
        <f t="shared" si="528"/>
      </c>
      <c r="DF178" s="1243">
        <f t="shared" si="528"/>
      </c>
      <c r="DG178" s="1136">
        <f t="shared" si="528"/>
      </c>
      <c r="DH178" s="1136">
        <f t="shared" si="528"/>
      </c>
      <c r="DI178" s="1137">
        <f t="shared" si="528"/>
      </c>
      <c r="DJ178" s="1243">
        <f t="shared" si="528"/>
      </c>
      <c r="DK178" s="1136">
        <f t="shared" si="528"/>
      </c>
      <c r="DL178" s="1136">
        <f t="shared" si="528"/>
      </c>
      <c r="DM178" s="1137">
        <f t="shared" si="528"/>
      </c>
      <c r="DN178" s="1243">
        <f t="shared" si="528"/>
      </c>
      <c r="DO178" s="1136">
        <f t="shared" si="528"/>
      </c>
      <c r="DP178" s="1136">
        <f t="shared" si="528"/>
      </c>
      <c r="DQ178" s="1137">
        <f t="shared" si="528"/>
      </c>
      <c r="DR178" s="1243">
        <f t="shared" si="528"/>
      </c>
      <c r="DS178" s="1136">
        <f t="shared" si="528"/>
      </c>
      <c r="DT178" s="1136">
        <f t="shared" si="528"/>
      </c>
      <c r="DU178" s="1137">
        <f t="shared" si="528"/>
      </c>
      <c r="DV178" s="1243">
        <f t="shared" si="454"/>
      </c>
      <c r="DW178" s="1136">
        <f t="shared" si="455"/>
      </c>
      <c r="DX178" s="1136">
        <f t="shared" si="456"/>
      </c>
      <c r="DY178" s="1137">
        <f t="shared" si="457"/>
      </c>
      <c r="DZ178" s="1243">
        <f t="shared" si="458"/>
      </c>
      <c r="EA178" s="1136">
        <f t="shared" si="459"/>
      </c>
      <c r="EB178" s="1136">
        <f t="shared" si="460"/>
      </c>
      <c r="EC178" s="1137">
        <f t="shared" si="461"/>
      </c>
      <c r="ED178" s="1243">
        <f t="shared" si="462"/>
      </c>
      <c r="EE178" s="1136">
        <f t="shared" si="463"/>
      </c>
      <c r="EF178" s="1136">
        <f t="shared" si="464"/>
      </c>
      <c r="EG178" s="1137">
        <f t="shared" si="465"/>
      </c>
      <c r="EH178" s="1243">
        <f t="shared" si="466"/>
      </c>
      <c r="EI178" s="1136">
        <f t="shared" si="467"/>
      </c>
      <c r="EJ178" s="1136">
        <f t="shared" si="468"/>
      </c>
      <c r="EK178" s="1137">
        <f t="shared" si="469"/>
      </c>
      <c r="EL178" s="10"/>
    </row>
    <row r="179" spans="1:142">
      <c r="A179" s="11" t="str">
        <f t="shared" si="470"/>
      </c>
      <c r="D179" s="1136">
        <v>0.03</v>
      </c>
      <c r="CL179" s="1136">
        <f t="shared" si="471"/>
      </c>
      <c r="CM179" s="1136">
        <f t="shared" ref="CM179:DU179" si="529">CL179</f>
      </c>
      <c r="CN179" s="1136">
        <f t="shared" si="529"/>
      </c>
      <c r="CO179" s="1137">
        <f t="shared" si="529"/>
      </c>
      <c r="CP179" s="1136">
        <f t="shared" si="529"/>
      </c>
      <c r="CQ179" s="1136">
        <f t="shared" si="529"/>
      </c>
      <c r="CR179" s="1136">
        <f t="shared" si="529"/>
      </c>
      <c r="CS179" s="1137">
        <f t="shared" si="529"/>
      </c>
      <c r="CT179" s="1243">
        <f t="shared" si="529"/>
      </c>
      <c r="CU179" s="1136">
        <f t="shared" si="529"/>
      </c>
      <c r="CV179" s="1136">
        <f t="shared" si="529"/>
      </c>
      <c r="CW179" s="1137">
        <f t="shared" si="529"/>
      </c>
      <c r="CX179" s="1243">
        <f t="shared" si="529"/>
      </c>
      <c r="CY179" s="1136">
        <f t="shared" si="529"/>
      </c>
      <c r="CZ179" s="1136">
        <f t="shared" si="529"/>
      </c>
      <c r="DA179" s="1137">
        <f t="shared" si="529"/>
      </c>
      <c r="DB179" s="1243">
        <f t="shared" si="529"/>
      </c>
      <c r="DC179" s="1136">
        <f t="shared" si="529"/>
      </c>
      <c r="DD179" s="1136">
        <f t="shared" si="529"/>
      </c>
      <c r="DE179" s="1137">
        <f t="shared" si="529"/>
      </c>
      <c r="DF179" s="1243">
        <f t="shared" si="529"/>
      </c>
      <c r="DG179" s="1136">
        <f t="shared" si="529"/>
      </c>
      <c r="DH179" s="1136">
        <f t="shared" si="529"/>
      </c>
      <c r="DI179" s="1137">
        <f t="shared" si="529"/>
      </c>
      <c r="DJ179" s="1243">
        <f t="shared" si="529"/>
      </c>
      <c r="DK179" s="1136">
        <f t="shared" si="529"/>
      </c>
      <c r="DL179" s="1136">
        <f t="shared" si="529"/>
      </c>
      <c r="DM179" s="1137">
        <f t="shared" si="529"/>
      </c>
      <c r="DN179" s="1243">
        <f t="shared" si="529"/>
      </c>
      <c r="DO179" s="1136">
        <f t="shared" si="529"/>
      </c>
      <c r="DP179" s="1136">
        <f t="shared" si="529"/>
      </c>
      <c r="DQ179" s="1137">
        <f t="shared" si="529"/>
      </c>
      <c r="DR179" s="1243">
        <f t="shared" si="529"/>
      </c>
      <c r="DS179" s="1136">
        <f t="shared" si="529"/>
      </c>
      <c r="DT179" s="1136">
        <f t="shared" si="529"/>
      </c>
      <c r="DU179" s="1137">
        <f t="shared" si="529"/>
      </c>
      <c r="DV179" s="1243">
        <f t="shared" si="454"/>
      </c>
      <c r="DW179" s="1136">
        <f t="shared" si="455"/>
      </c>
      <c r="DX179" s="1136">
        <f t="shared" si="456"/>
      </c>
      <c r="DY179" s="1137">
        <f t="shared" si="457"/>
      </c>
      <c r="DZ179" s="1243">
        <f t="shared" si="458"/>
      </c>
      <c r="EA179" s="1136">
        <f t="shared" si="459"/>
      </c>
      <c r="EB179" s="1136">
        <f t="shared" si="460"/>
      </c>
      <c r="EC179" s="1137">
        <f t="shared" si="461"/>
      </c>
      <c r="ED179" s="1243">
        <f t="shared" si="462"/>
      </c>
      <c r="EE179" s="1136">
        <f t="shared" si="463"/>
      </c>
      <c r="EF179" s="1136">
        <f t="shared" si="464"/>
      </c>
      <c r="EG179" s="1137">
        <f t="shared" si="465"/>
      </c>
      <c r="EH179" s="1243">
        <f t="shared" si="466"/>
      </c>
      <c r="EI179" s="1136">
        <f t="shared" si="467"/>
      </c>
      <c r="EJ179" s="1136">
        <f t="shared" si="468"/>
      </c>
      <c r="EK179" s="1137">
        <f t="shared" si="469"/>
      </c>
      <c r="EL179" s="10"/>
    </row>
    <row r="180" spans="1:142">
      <c r="A180" s="11" t="str">
        <f t="shared" si="470"/>
      </c>
      <c r="D180" s="1136">
        <v>3.3500000000000002E-2</v>
      </c>
      <c r="CL180" s="1136">
        <f t="shared" si="471"/>
      </c>
      <c r="CM180" s="1136">
        <f t="shared" ref="CM180:DU180" si="530">CL180</f>
      </c>
      <c r="CN180" s="1136">
        <f t="shared" si="530"/>
      </c>
      <c r="CO180" s="1137">
        <f t="shared" si="530"/>
      </c>
      <c r="CP180" s="1136">
        <f t="shared" si="530"/>
      </c>
      <c r="CQ180" s="1136">
        <f t="shared" si="530"/>
      </c>
      <c r="CR180" s="1136">
        <f t="shared" si="530"/>
      </c>
      <c r="CS180" s="1137">
        <f t="shared" si="530"/>
      </c>
      <c r="CT180" s="1243">
        <f t="shared" si="530"/>
      </c>
      <c r="CU180" s="1136">
        <f t="shared" si="530"/>
      </c>
      <c r="CV180" s="1136">
        <f t="shared" si="530"/>
      </c>
      <c r="CW180" s="1137">
        <f t="shared" si="530"/>
      </c>
      <c r="CX180" s="1243">
        <f t="shared" si="530"/>
      </c>
      <c r="CY180" s="1136">
        <f t="shared" si="530"/>
      </c>
      <c r="CZ180" s="1136">
        <f t="shared" si="530"/>
      </c>
      <c r="DA180" s="1137">
        <f t="shared" si="530"/>
      </c>
      <c r="DB180" s="1243">
        <f t="shared" si="530"/>
      </c>
      <c r="DC180" s="1136">
        <f t="shared" si="530"/>
      </c>
      <c r="DD180" s="1136">
        <f t="shared" si="530"/>
      </c>
      <c r="DE180" s="1137">
        <f t="shared" si="530"/>
      </c>
      <c r="DF180" s="1243">
        <f t="shared" si="530"/>
      </c>
      <c r="DG180" s="1136">
        <f t="shared" si="530"/>
      </c>
      <c r="DH180" s="1136">
        <f t="shared" si="530"/>
      </c>
      <c r="DI180" s="1137">
        <f t="shared" si="530"/>
      </c>
      <c r="DJ180" s="1243">
        <f t="shared" si="530"/>
      </c>
      <c r="DK180" s="1136">
        <f t="shared" si="530"/>
      </c>
      <c r="DL180" s="1136">
        <f t="shared" si="530"/>
      </c>
      <c r="DM180" s="1137">
        <f t="shared" si="530"/>
      </c>
      <c r="DN180" s="1243">
        <f t="shared" si="530"/>
      </c>
      <c r="DO180" s="1136">
        <f t="shared" si="530"/>
      </c>
      <c r="DP180" s="1136">
        <f t="shared" si="530"/>
      </c>
      <c r="DQ180" s="1137">
        <f t="shared" si="530"/>
      </c>
      <c r="DR180" s="1243">
        <f t="shared" si="530"/>
      </c>
      <c r="DS180" s="1136">
        <f t="shared" si="530"/>
      </c>
      <c r="DT180" s="1136">
        <f t="shared" si="530"/>
      </c>
      <c r="DU180" s="1137">
        <f t="shared" si="530"/>
      </c>
      <c r="DV180" s="1243">
        <f t="shared" si="454"/>
      </c>
      <c r="DW180" s="1136">
        <f t="shared" si="455"/>
      </c>
      <c r="DX180" s="1136">
        <f t="shared" si="456"/>
      </c>
      <c r="DY180" s="1137">
        <f t="shared" si="457"/>
      </c>
      <c r="DZ180" s="1243">
        <f t="shared" si="458"/>
      </c>
      <c r="EA180" s="1136">
        <f t="shared" si="459"/>
      </c>
      <c r="EB180" s="1136">
        <f t="shared" si="460"/>
      </c>
      <c r="EC180" s="1137">
        <f t="shared" si="461"/>
      </c>
      <c r="ED180" s="1243">
        <f t="shared" si="462"/>
      </c>
      <c r="EE180" s="1136">
        <f t="shared" si="463"/>
      </c>
      <c r="EF180" s="1136">
        <f t="shared" si="464"/>
      </c>
      <c r="EG180" s="1137">
        <f t="shared" si="465"/>
      </c>
      <c r="EH180" s="1243">
        <f t="shared" si="466"/>
      </c>
      <c r="EI180" s="1136">
        <f t="shared" si="467"/>
      </c>
      <c r="EJ180" s="1136">
        <f t="shared" si="468"/>
      </c>
      <c r="EK180" s="1137">
        <f t="shared" si="469"/>
      </c>
      <c r="EL180" s="10"/>
    </row>
    <row r="181" spans="1:142">
      <c r="A181" s="11" t="str">
        <f t="shared" si="470"/>
      </c>
      <c r="D181" s="1136">
        <v>4.2500000000000003E-2</v>
      </c>
      <c r="CL181" s="1136">
        <f t="shared" si="471"/>
      </c>
      <c r="CM181" s="1136">
        <f t="shared" ref="CM181:DU181" si="531">CL181</f>
      </c>
      <c r="CN181" s="1136">
        <f t="shared" si="531"/>
      </c>
      <c r="CO181" s="1137">
        <f t="shared" si="531"/>
      </c>
      <c r="CP181" s="1136">
        <f t="shared" si="531"/>
      </c>
      <c r="CQ181" s="1136">
        <f t="shared" si="531"/>
      </c>
      <c r="CR181" s="1136">
        <f t="shared" si="531"/>
      </c>
      <c r="CS181" s="1137">
        <f t="shared" si="531"/>
      </c>
      <c r="CT181" s="1243">
        <f t="shared" si="531"/>
      </c>
      <c r="CU181" s="1136">
        <f t="shared" si="531"/>
      </c>
      <c r="CV181" s="1136">
        <f t="shared" si="531"/>
      </c>
      <c r="CW181" s="1137">
        <f t="shared" si="531"/>
      </c>
      <c r="CX181" s="1243">
        <f t="shared" si="531"/>
      </c>
      <c r="CY181" s="1136">
        <f t="shared" si="531"/>
      </c>
      <c r="CZ181" s="1136">
        <f t="shared" si="531"/>
      </c>
      <c r="DA181" s="1137">
        <f t="shared" si="531"/>
      </c>
      <c r="DB181" s="1243">
        <f t="shared" si="531"/>
      </c>
      <c r="DC181" s="1136">
        <f t="shared" si="531"/>
      </c>
      <c r="DD181" s="1136">
        <f t="shared" si="531"/>
      </c>
      <c r="DE181" s="1137">
        <f t="shared" si="531"/>
      </c>
      <c r="DF181" s="1243">
        <f t="shared" si="531"/>
      </c>
      <c r="DG181" s="1136">
        <f t="shared" si="531"/>
      </c>
      <c r="DH181" s="1136">
        <f t="shared" si="531"/>
      </c>
      <c r="DI181" s="1137">
        <f t="shared" si="531"/>
      </c>
      <c r="DJ181" s="1243">
        <f t="shared" si="531"/>
      </c>
      <c r="DK181" s="1136">
        <f t="shared" si="531"/>
      </c>
      <c r="DL181" s="1136">
        <f t="shared" si="531"/>
      </c>
      <c r="DM181" s="1137">
        <f t="shared" si="531"/>
      </c>
      <c r="DN181" s="1243">
        <f t="shared" si="531"/>
      </c>
      <c r="DO181" s="1136">
        <f t="shared" si="531"/>
      </c>
      <c r="DP181" s="1136">
        <f t="shared" si="531"/>
      </c>
      <c r="DQ181" s="1137">
        <f t="shared" si="531"/>
      </c>
      <c r="DR181" s="1243">
        <f t="shared" si="531"/>
      </c>
      <c r="DS181" s="1136">
        <f t="shared" si="531"/>
      </c>
      <c r="DT181" s="1136">
        <f t="shared" si="531"/>
      </c>
      <c r="DU181" s="1137">
        <f t="shared" si="531"/>
      </c>
      <c r="DV181" s="1243">
        <f t="shared" si="454"/>
      </c>
      <c r="DW181" s="1136">
        <f t="shared" si="455"/>
      </c>
      <c r="DX181" s="1136">
        <f t="shared" si="456"/>
      </c>
      <c r="DY181" s="1137">
        <f t="shared" si="457"/>
      </c>
      <c r="DZ181" s="1243">
        <f t="shared" si="458"/>
      </c>
      <c r="EA181" s="1136">
        <f t="shared" si="459"/>
      </c>
      <c r="EB181" s="1136">
        <f t="shared" si="460"/>
      </c>
      <c r="EC181" s="1137">
        <f t="shared" si="461"/>
      </c>
      <c r="ED181" s="1243">
        <f t="shared" si="462"/>
      </c>
      <c r="EE181" s="1136">
        <f t="shared" si="463"/>
      </c>
      <c r="EF181" s="1136">
        <f t="shared" si="464"/>
      </c>
      <c r="EG181" s="1137">
        <f t="shared" si="465"/>
      </c>
      <c r="EH181" s="1243">
        <f t="shared" si="466"/>
      </c>
      <c r="EI181" s="1136">
        <f t="shared" si="467"/>
      </c>
      <c r="EJ181" s="1136">
        <f t="shared" si="468"/>
      </c>
      <c r="EK181" s="1137">
        <f t="shared" si="469"/>
      </c>
      <c r="EL181" s="10"/>
    </row>
    <row r="182" spans="1:142">
      <c r="A182" s="11" t="str">
        <f t="shared" si="470"/>
      </c>
      <c r="D182" s="1136">
        <v>4.2999999999999997E-2</v>
      </c>
      <c r="CL182" s="1136">
        <f t="shared" si="471"/>
      </c>
      <c r="CM182" s="1136">
        <f t="shared" ref="CM182:DU182" si="532">CL182</f>
      </c>
      <c r="CN182" s="1136">
        <f t="shared" si="532"/>
      </c>
      <c r="CO182" s="1137">
        <f t="shared" si="532"/>
      </c>
      <c r="CP182" s="1136">
        <f t="shared" si="532"/>
      </c>
      <c r="CQ182" s="1136">
        <f t="shared" si="532"/>
      </c>
      <c r="CR182" s="1136">
        <f t="shared" si="532"/>
      </c>
      <c r="CS182" s="1137">
        <f t="shared" si="532"/>
      </c>
      <c r="CT182" s="1243">
        <f t="shared" si="532"/>
      </c>
      <c r="CU182" s="1136">
        <f t="shared" si="532"/>
      </c>
      <c r="CV182" s="1136">
        <f t="shared" si="532"/>
      </c>
      <c r="CW182" s="1137">
        <f t="shared" si="532"/>
      </c>
      <c r="CX182" s="1243">
        <f t="shared" si="532"/>
      </c>
      <c r="CY182" s="1136">
        <f t="shared" si="532"/>
      </c>
      <c r="CZ182" s="1136">
        <f t="shared" si="532"/>
      </c>
      <c r="DA182" s="1137">
        <f t="shared" si="532"/>
      </c>
      <c r="DB182" s="1243">
        <f t="shared" si="532"/>
      </c>
      <c r="DC182" s="1136">
        <f t="shared" si="532"/>
      </c>
      <c r="DD182" s="1136">
        <f t="shared" si="532"/>
      </c>
      <c r="DE182" s="1137">
        <f t="shared" si="532"/>
      </c>
      <c r="DF182" s="1243">
        <f t="shared" si="532"/>
      </c>
      <c r="DG182" s="1136">
        <f t="shared" si="532"/>
      </c>
      <c r="DH182" s="1136">
        <f t="shared" si="532"/>
      </c>
      <c r="DI182" s="1137">
        <f t="shared" si="532"/>
      </c>
      <c r="DJ182" s="1243">
        <f t="shared" si="532"/>
      </c>
      <c r="DK182" s="1136">
        <f t="shared" si="532"/>
      </c>
      <c r="DL182" s="1136">
        <f t="shared" si="532"/>
      </c>
      <c r="DM182" s="1137">
        <f t="shared" si="532"/>
      </c>
      <c r="DN182" s="1243">
        <f t="shared" si="532"/>
      </c>
      <c r="DO182" s="1136">
        <f t="shared" si="532"/>
      </c>
      <c r="DP182" s="1136">
        <f t="shared" si="532"/>
      </c>
      <c r="DQ182" s="1137">
        <f t="shared" si="532"/>
      </c>
      <c r="DR182" s="1243">
        <f t="shared" si="532"/>
      </c>
      <c r="DS182" s="1136">
        <f t="shared" si="532"/>
      </c>
      <c r="DT182" s="1136">
        <f t="shared" si="532"/>
      </c>
      <c r="DU182" s="1137">
        <f t="shared" si="532"/>
      </c>
      <c r="DV182" s="1243">
        <f t="shared" si="454"/>
      </c>
      <c r="DW182" s="1136">
        <f t="shared" si="455"/>
      </c>
      <c r="DX182" s="1136">
        <f t="shared" si="456"/>
      </c>
      <c r="DY182" s="1137">
        <f t="shared" si="457"/>
      </c>
      <c r="DZ182" s="1243">
        <f t="shared" si="458"/>
      </c>
      <c r="EA182" s="1136">
        <f t="shared" si="459"/>
      </c>
      <c r="EB182" s="1136">
        <f t="shared" si="460"/>
      </c>
      <c r="EC182" s="1137">
        <f t="shared" si="461"/>
      </c>
      <c r="ED182" s="1243">
        <f t="shared" si="462"/>
      </c>
      <c r="EE182" s="1136">
        <f t="shared" si="463"/>
      </c>
      <c r="EF182" s="1136">
        <f t="shared" si="464"/>
      </c>
      <c r="EG182" s="1137">
        <f t="shared" si="465"/>
      </c>
      <c r="EH182" s="1243">
        <f t="shared" si="466"/>
      </c>
      <c r="EI182" s="1136">
        <f t="shared" si="467"/>
      </c>
      <c r="EJ182" s="1136">
        <f t="shared" si="468"/>
      </c>
      <c r="EK182" s="1137">
        <f t="shared" si="469"/>
      </c>
      <c r="EL182" s="10"/>
    </row>
    <row r="183" spans="1:142">
      <c r="A183" s="11" t="str">
        <f t="shared" si="470"/>
      </c>
      <c r="D183" s="1136">
        <v>1.7999999999999999E-2</v>
      </c>
      <c r="CL183" s="1136">
        <f t="shared" si="471"/>
      </c>
      <c r="CM183" s="1136">
        <f t="shared" ref="CM183:DU183" si="533">CL183</f>
      </c>
      <c r="CN183" s="1136">
        <f t="shared" si="533"/>
      </c>
      <c r="CO183" s="1137">
        <f t="shared" si="533"/>
      </c>
      <c r="CP183" s="1136">
        <f t="shared" si="533"/>
      </c>
      <c r="CQ183" s="1136">
        <f t="shared" si="533"/>
      </c>
      <c r="CR183" s="1136">
        <f t="shared" si="533"/>
      </c>
      <c r="CS183" s="1137">
        <f t="shared" si="533"/>
      </c>
      <c r="CT183" s="1243">
        <f t="shared" si="533"/>
      </c>
      <c r="CU183" s="1136">
        <f t="shared" si="533"/>
      </c>
      <c r="CV183" s="1136">
        <f t="shared" si="533"/>
      </c>
      <c r="CW183" s="1137">
        <f t="shared" si="533"/>
      </c>
      <c r="CX183" s="1243">
        <f t="shared" si="533"/>
      </c>
      <c r="CY183" s="1136">
        <f t="shared" si="533"/>
      </c>
      <c r="CZ183" s="1136">
        <f t="shared" si="533"/>
      </c>
      <c r="DA183" s="1137">
        <f t="shared" si="533"/>
      </c>
      <c r="DB183" s="1243">
        <f t="shared" si="533"/>
      </c>
      <c r="DC183" s="1136">
        <f t="shared" si="533"/>
      </c>
      <c r="DD183" s="1136">
        <f t="shared" si="533"/>
      </c>
      <c r="DE183" s="1137">
        <f t="shared" si="533"/>
      </c>
      <c r="DF183" s="1243">
        <f t="shared" si="533"/>
      </c>
      <c r="DG183" s="1136">
        <f t="shared" si="533"/>
      </c>
      <c r="DH183" s="1136">
        <f t="shared" si="533"/>
      </c>
      <c r="DI183" s="1137">
        <f t="shared" si="533"/>
      </c>
      <c r="DJ183" s="1243">
        <f t="shared" si="533"/>
      </c>
      <c r="DK183" s="1136">
        <f t="shared" si="533"/>
      </c>
      <c r="DL183" s="1136">
        <f t="shared" si="533"/>
      </c>
      <c r="DM183" s="1137">
        <f t="shared" si="533"/>
      </c>
      <c r="DN183" s="1243">
        <f t="shared" si="533"/>
      </c>
      <c r="DO183" s="1136">
        <f t="shared" si="533"/>
      </c>
      <c r="DP183" s="1136">
        <f t="shared" si="533"/>
      </c>
      <c r="DQ183" s="1137">
        <f t="shared" si="533"/>
      </c>
      <c r="DR183" s="1243">
        <f t="shared" si="533"/>
      </c>
      <c r="DS183" s="1136">
        <f t="shared" si="533"/>
      </c>
      <c r="DT183" s="1136">
        <f t="shared" si="533"/>
      </c>
      <c r="DU183" s="1137">
        <f t="shared" si="533"/>
      </c>
      <c r="DV183" s="1243">
        <f t="shared" si="454"/>
      </c>
      <c r="DW183" s="1136">
        <f t="shared" si="455"/>
      </c>
      <c r="DX183" s="1136">
        <f t="shared" si="456"/>
      </c>
      <c r="DY183" s="1137">
        <f t="shared" si="457"/>
      </c>
      <c r="DZ183" s="1243">
        <f t="shared" si="458"/>
      </c>
      <c r="EA183" s="1136">
        <f t="shared" si="459"/>
      </c>
      <c r="EB183" s="1136">
        <f t="shared" si="460"/>
      </c>
      <c r="EC183" s="1137">
        <f t="shared" si="461"/>
      </c>
      <c r="ED183" s="1243">
        <f t="shared" si="462"/>
      </c>
      <c r="EE183" s="1136">
        <f t="shared" si="463"/>
      </c>
      <c r="EF183" s="1136">
        <f t="shared" si="464"/>
      </c>
      <c r="EG183" s="1137">
        <f t="shared" si="465"/>
      </c>
      <c r="EH183" s="1243">
        <f t="shared" si="466"/>
      </c>
      <c r="EI183" s="1136">
        <f t="shared" si="467"/>
      </c>
      <c r="EJ183" s="1136">
        <f t="shared" si="468"/>
      </c>
      <c r="EK183" s="1137">
        <f t="shared" si="469"/>
      </c>
      <c r="EL183" s="10"/>
    </row>
    <row r="184" spans="1:142">
      <c r="A184" s="11" t="str">
        <f t="shared" si="470"/>
      </c>
      <c r="D184" s="1136">
        <v>2.3E-2</v>
      </c>
      <c r="CL184" s="1136">
        <f t="shared" si="471"/>
      </c>
      <c r="CM184" s="1136">
        <f t="shared" ref="CM184:DU184" si="534">CL184</f>
      </c>
      <c r="CN184" s="1136">
        <f t="shared" si="534"/>
      </c>
      <c r="CO184" s="1137">
        <f t="shared" si="534"/>
      </c>
      <c r="CP184" s="1136">
        <f t="shared" si="534"/>
      </c>
      <c r="CQ184" s="1136">
        <f t="shared" si="534"/>
      </c>
      <c r="CR184" s="1136">
        <f t="shared" si="534"/>
      </c>
      <c r="CS184" s="1137">
        <f t="shared" si="534"/>
      </c>
      <c r="CT184" s="1243">
        <f t="shared" si="534"/>
      </c>
      <c r="CU184" s="1136">
        <f t="shared" si="534"/>
      </c>
      <c r="CV184" s="1136">
        <f t="shared" si="534"/>
      </c>
      <c r="CW184" s="1137">
        <f t="shared" si="534"/>
      </c>
      <c r="CX184" s="1243">
        <f t="shared" si="534"/>
      </c>
      <c r="CY184" s="1136">
        <f t="shared" si="534"/>
      </c>
      <c r="CZ184" s="1136">
        <f t="shared" si="534"/>
      </c>
      <c r="DA184" s="1137">
        <f t="shared" si="534"/>
      </c>
      <c r="DB184" s="1243">
        <f t="shared" si="534"/>
      </c>
      <c r="DC184" s="1136">
        <f t="shared" si="534"/>
      </c>
      <c r="DD184" s="1136">
        <f t="shared" si="534"/>
      </c>
      <c r="DE184" s="1137">
        <f t="shared" si="534"/>
      </c>
      <c r="DF184" s="1243">
        <f t="shared" si="534"/>
      </c>
      <c r="DG184" s="1136">
        <f t="shared" si="534"/>
      </c>
      <c r="DH184" s="1136">
        <f t="shared" si="534"/>
      </c>
      <c r="DI184" s="1137">
        <f t="shared" si="534"/>
      </c>
      <c r="DJ184" s="1243">
        <f t="shared" si="534"/>
      </c>
      <c r="DK184" s="1136">
        <f t="shared" si="534"/>
      </c>
      <c r="DL184" s="1136">
        <f t="shared" si="534"/>
      </c>
      <c r="DM184" s="1137">
        <f t="shared" si="534"/>
      </c>
      <c r="DN184" s="1243">
        <f t="shared" si="534"/>
      </c>
      <c r="DO184" s="1136">
        <f t="shared" si="534"/>
      </c>
      <c r="DP184" s="1136">
        <f t="shared" si="534"/>
      </c>
      <c r="DQ184" s="1137">
        <f t="shared" si="534"/>
      </c>
      <c r="DR184" s="1243">
        <f t="shared" si="534"/>
      </c>
      <c r="DS184" s="1136">
        <f t="shared" si="534"/>
      </c>
      <c r="DT184" s="1136">
        <f t="shared" si="534"/>
      </c>
      <c r="DU184" s="1137">
        <f t="shared" si="534"/>
      </c>
      <c r="DV184" s="1243">
        <f t="shared" si="454"/>
      </c>
      <c r="DW184" s="1136">
        <f t="shared" si="455"/>
      </c>
      <c r="DX184" s="1136">
        <f t="shared" si="456"/>
      </c>
      <c r="DY184" s="1137">
        <f t="shared" si="457"/>
      </c>
      <c r="DZ184" s="1243">
        <f t="shared" si="458"/>
      </c>
      <c r="EA184" s="1136">
        <f t="shared" si="459"/>
      </c>
      <c r="EB184" s="1136">
        <f t="shared" si="460"/>
      </c>
      <c r="EC184" s="1137">
        <f t="shared" si="461"/>
      </c>
      <c r="ED184" s="1243">
        <f t="shared" si="462"/>
      </c>
      <c r="EE184" s="1136">
        <f t="shared" si="463"/>
      </c>
      <c r="EF184" s="1136">
        <f t="shared" si="464"/>
      </c>
      <c r="EG184" s="1137">
        <f t="shared" si="465"/>
      </c>
      <c r="EH184" s="1243">
        <f t="shared" si="466"/>
      </c>
      <c r="EI184" s="1136">
        <f t="shared" si="467"/>
      </c>
      <c r="EJ184" s="1136">
        <f t="shared" si="468"/>
      </c>
      <c r="EK184" s="1137">
        <f t="shared" si="469"/>
      </c>
      <c r="EL184" s="10"/>
    </row>
    <row r="185" spans="1:142">
      <c r="A185" s="11" t="str">
        <f t="shared" si="470"/>
      </c>
      <c r="D185" s="1136">
        <v>2.8500000000000001E-2</v>
      </c>
      <c r="CL185" s="1136">
        <f t="shared" si="471"/>
      </c>
      <c r="CM185" s="1136">
        <f t="shared" ref="CM185:DU185" si="535">CL185</f>
      </c>
      <c r="CN185" s="1136">
        <f t="shared" si="535"/>
      </c>
      <c r="CO185" s="1137">
        <f t="shared" si="535"/>
      </c>
      <c r="CP185" s="1136">
        <f t="shared" si="535"/>
      </c>
      <c r="CQ185" s="1136">
        <f t="shared" si="535"/>
      </c>
      <c r="CR185" s="1136">
        <f t="shared" si="535"/>
      </c>
      <c r="CS185" s="1137">
        <f t="shared" si="535"/>
      </c>
      <c r="CT185" s="1243">
        <f t="shared" si="535"/>
      </c>
      <c r="CU185" s="1136">
        <f t="shared" si="535"/>
      </c>
      <c r="CV185" s="1136">
        <f t="shared" si="535"/>
      </c>
      <c r="CW185" s="1137">
        <f t="shared" si="535"/>
      </c>
      <c r="CX185" s="1243">
        <f t="shared" si="535"/>
      </c>
      <c r="CY185" s="1136">
        <f t="shared" si="535"/>
      </c>
      <c r="CZ185" s="1136">
        <f t="shared" si="535"/>
      </c>
      <c r="DA185" s="1137">
        <f t="shared" si="535"/>
      </c>
      <c r="DB185" s="1243">
        <f t="shared" si="535"/>
      </c>
      <c r="DC185" s="1136">
        <f t="shared" si="535"/>
      </c>
      <c r="DD185" s="1136">
        <f t="shared" si="535"/>
      </c>
      <c r="DE185" s="1137">
        <f t="shared" si="535"/>
      </c>
      <c r="DF185" s="1243">
        <f t="shared" si="535"/>
      </c>
      <c r="DG185" s="1136">
        <f t="shared" si="535"/>
      </c>
      <c r="DH185" s="1136">
        <f t="shared" si="535"/>
      </c>
      <c r="DI185" s="1137">
        <f t="shared" si="535"/>
      </c>
      <c r="DJ185" s="1243">
        <f t="shared" si="535"/>
      </c>
      <c r="DK185" s="1136">
        <f t="shared" si="535"/>
      </c>
      <c r="DL185" s="1136">
        <f t="shared" si="535"/>
      </c>
      <c r="DM185" s="1137">
        <f t="shared" si="535"/>
      </c>
      <c r="DN185" s="1243">
        <f t="shared" si="535"/>
      </c>
      <c r="DO185" s="1136">
        <f t="shared" si="535"/>
      </c>
      <c r="DP185" s="1136">
        <f t="shared" si="535"/>
      </c>
      <c r="DQ185" s="1137">
        <f t="shared" si="535"/>
      </c>
      <c r="DR185" s="1243">
        <f t="shared" si="535"/>
      </c>
      <c r="DS185" s="1136">
        <f t="shared" si="535"/>
      </c>
      <c r="DT185" s="1136">
        <f t="shared" si="535"/>
      </c>
      <c r="DU185" s="1137">
        <f t="shared" si="535"/>
      </c>
      <c r="DV185" s="1243">
        <f t="shared" ref="DV185:DV201" si="536">DU185</f>
      </c>
      <c r="DW185" s="1136">
        <f t="shared" ref="DW185:DW201" si="537">DV185</f>
      </c>
      <c r="DX185" s="1136">
        <f t="shared" ref="DX185:DX201" si="538">DW185</f>
      </c>
      <c r="DY185" s="1137">
        <f t="shared" ref="DY185:DY201" si="539">DX185</f>
      </c>
      <c r="DZ185" s="1243">
        <f t="shared" ref="DZ185:DZ201" si="540">DY185</f>
      </c>
      <c r="EA185" s="1136">
        <f t="shared" ref="EA185:EA201" si="541">DZ185</f>
      </c>
      <c r="EB185" s="1136">
        <f t="shared" ref="EB185:EB201" si="542">EA185</f>
      </c>
      <c r="EC185" s="1137">
        <f t="shared" ref="EC185:EC201" si="543">EB185</f>
      </c>
      <c r="ED185" s="1243">
        <f t="shared" ref="ED185:ED201" si="544">EC185</f>
      </c>
      <c r="EE185" s="1136">
        <f t="shared" ref="EE185:EE201" si="545">ED185</f>
      </c>
      <c r="EF185" s="1136">
        <f t="shared" ref="EF185:EF201" si="546">EE185</f>
      </c>
      <c r="EG185" s="1137">
        <f t="shared" ref="EG185:EG201" si="547">EF185</f>
      </c>
      <c r="EH185" s="1243">
        <f t="shared" ref="EH185:EH201" si="548">EG185</f>
      </c>
      <c r="EI185" s="1136">
        <f t="shared" ref="EI185:EI201" si="549">EH185</f>
      </c>
      <c r="EJ185" s="1136">
        <f t="shared" ref="EJ185:EJ201" si="550">EI185</f>
      </c>
      <c r="EK185" s="1137">
        <f t="shared" ref="EK185:EK201" si="551">EJ185</f>
      </c>
      <c r="EL185" s="10"/>
    </row>
    <row r="186" spans="1:142">
      <c r="A186" s="11" t="str">
        <f t="shared" ref="A186:A205" si="552">A76</f>
      </c>
      <c r="D186" s="1136">
        <v>3.2000000000000001E-2</v>
      </c>
      <c r="CL186" s="1136">
        <f t="shared" ref="CL186:CL205" si="553">D186</f>
      </c>
      <c r="CM186" s="1136">
        <f t="shared" ref="CM186:DU186" si="554">CL186</f>
      </c>
      <c r="CN186" s="1136">
        <f t="shared" si="554"/>
      </c>
      <c r="CO186" s="1137">
        <f t="shared" si="554"/>
      </c>
      <c r="CP186" s="1136">
        <f t="shared" si="554"/>
      </c>
      <c r="CQ186" s="1136">
        <f t="shared" si="554"/>
      </c>
      <c r="CR186" s="1136">
        <f t="shared" si="554"/>
      </c>
      <c r="CS186" s="1137">
        <f t="shared" si="554"/>
      </c>
      <c r="CT186" s="1243">
        <f t="shared" si="554"/>
      </c>
      <c r="CU186" s="1136">
        <f t="shared" si="554"/>
      </c>
      <c r="CV186" s="1136">
        <f t="shared" si="554"/>
      </c>
      <c r="CW186" s="1137">
        <f t="shared" si="554"/>
      </c>
      <c r="CX186" s="1243">
        <f t="shared" si="554"/>
      </c>
      <c r="CY186" s="1136">
        <f t="shared" si="554"/>
      </c>
      <c r="CZ186" s="1136">
        <f t="shared" si="554"/>
      </c>
      <c r="DA186" s="1137">
        <f t="shared" si="554"/>
      </c>
      <c r="DB186" s="1243">
        <f t="shared" si="554"/>
      </c>
      <c r="DC186" s="1136">
        <f t="shared" si="554"/>
      </c>
      <c r="DD186" s="1136">
        <f t="shared" si="554"/>
      </c>
      <c r="DE186" s="1137">
        <f t="shared" si="554"/>
      </c>
      <c r="DF186" s="1243">
        <f t="shared" si="554"/>
      </c>
      <c r="DG186" s="1136">
        <f t="shared" si="554"/>
      </c>
      <c r="DH186" s="1136">
        <f t="shared" si="554"/>
      </c>
      <c r="DI186" s="1137">
        <f t="shared" si="554"/>
      </c>
      <c r="DJ186" s="1243">
        <f t="shared" si="554"/>
      </c>
      <c r="DK186" s="1136">
        <f t="shared" si="554"/>
      </c>
      <c r="DL186" s="1136">
        <f t="shared" si="554"/>
      </c>
      <c r="DM186" s="1137">
        <f t="shared" si="554"/>
      </c>
      <c r="DN186" s="1243">
        <f t="shared" si="554"/>
      </c>
      <c r="DO186" s="1136">
        <f t="shared" si="554"/>
      </c>
      <c r="DP186" s="1136">
        <f t="shared" si="554"/>
      </c>
      <c r="DQ186" s="1137">
        <f t="shared" si="554"/>
      </c>
      <c r="DR186" s="1243">
        <f t="shared" si="554"/>
      </c>
      <c r="DS186" s="1136">
        <f t="shared" si="554"/>
      </c>
      <c r="DT186" s="1136">
        <f t="shared" si="554"/>
      </c>
      <c r="DU186" s="1137">
        <f t="shared" si="554"/>
      </c>
      <c r="DV186" s="1243">
        <f t="shared" si="536"/>
      </c>
      <c r="DW186" s="1136">
        <f t="shared" si="537"/>
      </c>
      <c r="DX186" s="1136">
        <f t="shared" si="538"/>
      </c>
      <c r="DY186" s="1137">
        <f t="shared" si="539"/>
      </c>
      <c r="DZ186" s="1243">
        <f t="shared" si="540"/>
      </c>
      <c r="EA186" s="1136">
        <f t="shared" si="541"/>
      </c>
      <c r="EB186" s="1136">
        <f t="shared" si="542"/>
      </c>
      <c r="EC186" s="1137">
        <f t="shared" si="543"/>
      </c>
      <c r="ED186" s="1243">
        <f t="shared" si="544"/>
      </c>
      <c r="EE186" s="1136">
        <f t="shared" si="545"/>
      </c>
      <c r="EF186" s="1136">
        <f t="shared" si="546"/>
      </c>
      <c r="EG186" s="1137">
        <f t="shared" si="547"/>
      </c>
      <c r="EH186" s="1243">
        <f t="shared" si="548"/>
      </c>
      <c r="EI186" s="1136">
        <f t="shared" si="549"/>
      </c>
      <c r="EJ186" s="1136">
        <f t="shared" si="550"/>
      </c>
      <c r="EK186" s="1137">
        <f t="shared" si="551"/>
      </c>
      <c r="EL186" s="10"/>
    </row>
    <row r="187" spans="1:142">
      <c r="A187" s="11" t="str">
        <f t="shared" si="552"/>
      </c>
      <c r="D187" s="1136">
        <v>8.7500000000000008E-3</v>
      </c>
      <c r="CL187" s="1136">
        <f t="shared" si="553"/>
      </c>
      <c r="CM187" s="1136">
        <f t="shared" ref="CM187:DU187" si="555">CL187</f>
      </c>
      <c r="CN187" s="1136">
        <f t="shared" si="555"/>
      </c>
      <c r="CO187" s="1137">
        <f t="shared" si="555"/>
      </c>
      <c r="CP187" s="1136">
        <f t="shared" si="555"/>
      </c>
      <c r="CQ187" s="1136">
        <f t="shared" si="555"/>
      </c>
      <c r="CR187" s="1136">
        <f t="shared" si="555"/>
      </c>
      <c r="CS187" s="1137">
        <f t="shared" si="555"/>
      </c>
      <c r="CT187" s="1243">
        <f t="shared" si="555"/>
      </c>
      <c r="CU187" s="1136">
        <f t="shared" si="555"/>
      </c>
      <c r="CV187" s="1136">
        <f t="shared" si="555"/>
      </c>
      <c r="CW187" s="1137">
        <f t="shared" si="555"/>
      </c>
      <c r="CX187" s="1243">
        <f t="shared" si="555"/>
      </c>
      <c r="CY187" s="1136">
        <f t="shared" si="555"/>
      </c>
      <c r="CZ187" s="1136">
        <f t="shared" si="555"/>
      </c>
      <c r="DA187" s="1137">
        <f t="shared" si="555"/>
      </c>
      <c r="DB187" s="1243">
        <f t="shared" si="555"/>
      </c>
      <c r="DC187" s="1136">
        <f t="shared" si="555"/>
      </c>
      <c r="DD187" s="1136">
        <f t="shared" si="555"/>
      </c>
      <c r="DE187" s="1137">
        <f t="shared" si="555"/>
      </c>
      <c r="DF187" s="1243">
        <f t="shared" si="555"/>
      </c>
      <c r="DG187" s="1136">
        <f t="shared" si="555"/>
      </c>
      <c r="DH187" s="1136">
        <f t="shared" si="555"/>
      </c>
      <c r="DI187" s="1137">
        <f t="shared" si="555"/>
      </c>
      <c r="DJ187" s="1243">
        <f t="shared" si="555"/>
      </c>
      <c r="DK187" s="1136">
        <f t="shared" si="555"/>
      </c>
      <c r="DL187" s="1136">
        <f t="shared" si="555"/>
      </c>
      <c r="DM187" s="1137">
        <f t="shared" si="555"/>
      </c>
      <c r="DN187" s="1243">
        <f t="shared" si="555"/>
      </c>
      <c r="DO187" s="1136">
        <f t="shared" si="555"/>
      </c>
      <c r="DP187" s="1136">
        <f t="shared" si="555"/>
      </c>
      <c r="DQ187" s="1137">
        <f t="shared" si="555"/>
      </c>
      <c r="DR187" s="1243">
        <f t="shared" si="555"/>
      </c>
      <c r="DS187" s="1136">
        <f t="shared" si="555"/>
      </c>
      <c r="DT187" s="1136">
        <f t="shared" si="555"/>
      </c>
      <c r="DU187" s="1137">
        <f t="shared" si="555"/>
      </c>
      <c r="DV187" s="1243">
        <f t="shared" si="536"/>
      </c>
      <c r="DW187" s="1136">
        <f t="shared" si="537"/>
      </c>
      <c r="DX187" s="1136">
        <f t="shared" si="538"/>
      </c>
      <c r="DY187" s="1137">
        <f t="shared" si="539"/>
      </c>
      <c r="DZ187" s="1243">
        <f t="shared" si="540"/>
      </c>
      <c r="EA187" s="1136">
        <f t="shared" si="541"/>
      </c>
      <c r="EB187" s="1136">
        <f t="shared" si="542"/>
      </c>
      <c r="EC187" s="1137">
        <f t="shared" si="543"/>
      </c>
      <c r="ED187" s="1243">
        <f t="shared" si="544"/>
      </c>
      <c r="EE187" s="1136">
        <f t="shared" si="545"/>
      </c>
      <c r="EF187" s="1136">
        <f t="shared" si="546"/>
      </c>
      <c r="EG187" s="1137">
        <f t="shared" si="547"/>
      </c>
      <c r="EH187" s="1243">
        <f t="shared" si="548"/>
      </c>
      <c r="EI187" s="1136">
        <f t="shared" si="549"/>
      </c>
      <c r="EJ187" s="1136">
        <f t="shared" si="550"/>
      </c>
      <c r="EK187" s="1137">
        <f t="shared" si="551"/>
      </c>
      <c r="EL187" s="10"/>
    </row>
    <row r="188" spans="1:142">
      <c r="A188" s="11" t="str">
        <f t="shared" si="552"/>
      </c>
      <c r="D188" s="1136">
        <v>1.375E-2</v>
      </c>
      <c r="CL188" s="1136">
        <f t="shared" si="553"/>
      </c>
      <c r="CM188" s="1136">
        <f t="shared" ref="CM188:DU188" si="556">CL188</f>
      </c>
      <c r="CN188" s="1136">
        <f t="shared" si="556"/>
      </c>
      <c r="CO188" s="1137">
        <f t="shared" si="556"/>
      </c>
      <c r="CP188" s="1136">
        <f t="shared" si="556"/>
      </c>
      <c r="CQ188" s="1136">
        <f t="shared" si="556"/>
      </c>
      <c r="CR188" s="1136">
        <f t="shared" si="556"/>
      </c>
      <c r="CS188" s="1137">
        <f t="shared" si="556"/>
      </c>
      <c r="CT188" s="1243">
        <f t="shared" si="556"/>
      </c>
      <c r="CU188" s="1136">
        <f t="shared" si="556"/>
      </c>
      <c r="CV188" s="1136">
        <f t="shared" si="556"/>
      </c>
      <c r="CW188" s="1137">
        <f t="shared" si="556"/>
      </c>
      <c r="CX188" s="1243">
        <f t="shared" si="556"/>
      </c>
      <c r="CY188" s="1136">
        <f t="shared" si="556"/>
      </c>
      <c r="CZ188" s="1136">
        <f t="shared" si="556"/>
      </c>
      <c r="DA188" s="1137">
        <f t="shared" si="556"/>
      </c>
      <c r="DB188" s="1243">
        <f t="shared" si="556"/>
      </c>
      <c r="DC188" s="1136">
        <f t="shared" si="556"/>
      </c>
      <c r="DD188" s="1136">
        <f t="shared" si="556"/>
      </c>
      <c r="DE188" s="1137">
        <f t="shared" si="556"/>
      </c>
      <c r="DF188" s="1243">
        <f t="shared" si="556"/>
      </c>
      <c r="DG188" s="1136">
        <f t="shared" si="556"/>
      </c>
      <c r="DH188" s="1136">
        <f t="shared" si="556"/>
      </c>
      <c r="DI188" s="1137">
        <f t="shared" si="556"/>
      </c>
      <c r="DJ188" s="1243">
        <f t="shared" si="556"/>
      </c>
      <c r="DK188" s="1136">
        <f t="shared" si="556"/>
      </c>
      <c r="DL188" s="1136">
        <f t="shared" si="556"/>
      </c>
      <c r="DM188" s="1137">
        <f t="shared" si="556"/>
      </c>
      <c r="DN188" s="1243">
        <f t="shared" si="556"/>
      </c>
      <c r="DO188" s="1136">
        <f t="shared" si="556"/>
      </c>
      <c r="DP188" s="1136">
        <f t="shared" si="556"/>
      </c>
      <c r="DQ188" s="1137">
        <f t="shared" si="556"/>
      </c>
      <c r="DR188" s="1243">
        <f t="shared" si="556"/>
      </c>
      <c r="DS188" s="1136">
        <f t="shared" si="556"/>
      </c>
      <c r="DT188" s="1136">
        <f t="shared" si="556"/>
      </c>
      <c r="DU188" s="1137">
        <f t="shared" si="556"/>
      </c>
      <c r="DV188" s="1243">
        <f t="shared" si="536"/>
      </c>
      <c r="DW188" s="1136">
        <f t="shared" si="537"/>
      </c>
      <c r="DX188" s="1136">
        <f t="shared" si="538"/>
      </c>
      <c r="DY188" s="1137">
        <f t="shared" si="539"/>
      </c>
      <c r="DZ188" s="1243">
        <f t="shared" si="540"/>
      </c>
      <c r="EA188" s="1136">
        <f t="shared" si="541"/>
      </c>
      <c r="EB188" s="1136">
        <f t="shared" si="542"/>
      </c>
      <c r="EC188" s="1137">
        <f t="shared" si="543"/>
      </c>
      <c r="ED188" s="1243">
        <f t="shared" si="544"/>
      </c>
      <c r="EE188" s="1136">
        <f t="shared" si="545"/>
      </c>
      <c r="EF188" s="1136">
        <f t="shared" si="546"/>
      </c>
      <c r="EG188" s="1137">
        <f t="shared" si="547"/>
      </c>
      <c r="EH188" s="1243">
        <f t="shared" si="548"/>
      </c>
      <c r="EI188" s="1136">
        <f t="shared" si="549"/>
      </c>
      <c r="EJ188" s="1136">
        <f t="shared" si="550"/>
      </c>
      <c r="EK188" s="1137">
        <f t="shared" si="551"/>
      </c>
      <c r="EL188" s="10"/>
    </row>
    <row r="189" spans="1:142">
      <c r="A189" s="11" t="str">
        <f t="shared" si="552"/>
      </c>
      <c r="D189" s="1136">
        <v>0.03</v>
      </c>
      <c r="CL189" s="1136">
        <f t="shared" si="553"/>
      </c>
      <c r="CM189" s="1136">
        <f t="shared" ref="CM189:DU189" si="557">CL189</f>
      </c>
      <c r="CN189" s="1136">
        <f t="shared" si="557"/>
      </c>
      <c r="CO189" s="1137">
        <f t="shared" si="557"/>
      </c>
      <c r="CP189" s="1136">
        <f t="shared" si="557"/>
      </c>
      <c r="CQ189" s="1136">
        <f t="shared" si="557"/>
      </c>
      <c r="CR189" s="1136">
        <f t="shared" si="557"/>
      </c>
      <c r="CS189" s="1137">
        <f t="shared" si="557"/>
      </c>
      <c r="CT189" s="1243">
        <f t="shared" si="557"/>
      </c>
      <c r="CU189" s="1136">
        <f t="shared" si="557"/>
      </c>
      <c r="CV189" s="1136">
        <f t="shared" si="557"/>
      </c>
      <c r="CW189" s="1137">
        <f t="shared" si="557"/>
      </c>
      <c r="CX189" s="1243">
        <f t="shared" si="557"/>
      </c>
      <c r="CY189" s="1136">
        <f t="shared" si="557"/>
      </c>
      <c r="CZ189" s="1136">
        <f t="shared" si="557"/>
      </c>
      <c r="DA189" s="1137">
        <f t="shared" si="557"/>
      </c>
      <c r="DB189" s="1243">
        <f t="shared" si="557"/>
      </c>
      <c r="DC189" s="1136">
        <f t="shared" si="557"/>
      </c>
      <c r="DD189" s="1136">
        <f t="shared" si="557"/>
      </c>
      <c r="DE189" s="1137">
        <f t="shared" si="557"/>
      </c>
      <c r="DF189" s="1243">
        <f t="shared" si="557"/>
      </c>
      <c r="DG189" s="1136">
        <f t="shared" si="557"/>
      </c>
      <c r="DH189" s="1136">
        <f t="shared" si="557"/>
      </c>
      <c r="DI189" s="1137">
        <f t="shared" si="557"/>
      </c>
      <c r="DJ189" s="1243">
        <f t="shared" si="557"/>
      </c>
      <c r="DK189" s="1136">
        <f t="shared" si="557"/>
      </c>
      <c r="DL189" s="1136">
        <f t="shared" si="557"/>
      </c>
      <c r="DM189" s="1137">
        <f t="shared" si="557"/>
      </c>
      <c r="DN189" s="1243">
        <f t="shared" si="557"/>
      </c>
      <c r="DO189" s="1136">
        <f t="shared" si="557"/>
      </c>
      <c r="DP189" s="1136">
        <f t="shared" si="557"/>
      </c>
      <c r="DQ189" s="1137">
        <f t="shared" si="557"/>
      </c>
      <c r="DR189" s="1243">
        <f t="shared" si="557"/>
      </c>
      <c r="DS189" s="1136">
        <f t="shared" si="557"/>
      </c>
      <c r="DT189" s="1136">
        <f t="shared" si="557"/>
      </c>
      <c r="DU189" s="1137">
        <f t="shared" si="557"/>
      </c>
      <c r="DV189" s="1243">
        <f t="shared" si="536"/>
      </c>
      <c r="DW189" s="1136">
        <f t="shared" si="537"/>
      </c>
      <c r="DX189" s="1136">
        <f t="shared" si="538"/>
      </c>
      <c r="DY189" s="1137">
        <f t="shared" si="539"/>
      </c>
      <c r="DZ189" s="1243">
        <f t="shared" si="540"/>
      </c>
      <c r="EA189" s="1136">
        <f t="shared" si="541"/>
      </c>
      <c r="EB189" s="1136">
        <f t="shared" si="542"/>
      </c>
      <c r="EC189" s="1137">
        <f t="shared" si="543"/>
      </c>
      <c r="ED189" s="1243">
        <f t="shared" si="544"/>
      </c>
      <c r="EE189" s="1136">
        <f t="shared" si="545"/>
      </c>
      <c r="EF189" s="1136">
        <f t="shared" si="546"/>
      </c>
      <c r="EG189" s="1137">
        <f t="shared" si="547"/>
      </c>
      <c r="EH189" s="1243">
        <f t="shared" si="548"/>
      </c>
      <c r="EI189" s="1136">
        <f t="shared" si="549"/>
      </c>
      <c r="EJ189" s="1136">
        <f t="shared" si="550"/>
      </c>
      <c r="EK189" s="1137">
        <f t="shared" si="551"/>
      </c>
      <c r="EL189" s="10"/>
    </row>
    <row r="190" spans="1:142">
      <c r="A190" s="11" t="str">
        <f t="shared" si="552"/>
      </c>
      <c r="D190" s="1136">
        <v>2.513E-2</v>
      </c>
      <c r="CL190" s="1136">
        <f t="shared" si="553"/>
      </c>
      <c r="CM190" s="1136">
        <f t="shared" ref="CM190:DU190" si="558">CL190</f>
      </c>
      <c r="CN190" s="1136">
        <f t="shared" si="558"/>
      </c>
      <c r="CO190" s="1137">
        <f t="shared" si="558"/>
      </c>
      <c r="CP190" s="1136">
        <f t="shared" si="558"/>
      </c>
      <c r="CQ190" s="1136">
        <f t="shared" si="558"/>
      </c>
      <c r="CR190" s="1136">
        <f t="shared" si="558"/>
      </c>
      <c r="CS190" s="1137">
        <f t="shared" si="558"/>
      </c>
      <c r="CT190" s="1243">
        <f t="shared" si="558"/>
      </c>
      <c r="CU190" s="1136">
        <f t="shared" si="558"/>
      </c>
      <c r="CV190" s="1136">
        <f t="shared" si="558"/>
      </c>
      <c r="CW190" s="1137">
        <f t="shared" si="558"/>
      </c>
      <c r="CX190" s="1243">
        <f t="shared" si="558"/>
      </c>
      <c r="CY190" s="1136">
        <f t="shared" si="558"/>
      </c>
      <c r="CZ190" s="1136">
        <f t="shared" si="558"/>
      </c>
      <c r="DA190" s="1137">
        <f t="shared" si="558"/>
      </c>
      <c r="DB190" s="1243">
        <f t="shared" si="558"/>
      </c>
      <c r="DC190" s="1136">
        <f t="shared" si="558"/>
      </c>
      <c r="DD190" s="1136">
        <f t="shared" si="558"/>
      </c>
      <c r="DE190" s="1137">
        <f t="shared" si="558"/>
      </c>
      <c r="DF190" s="1243">
        <f t="shared" si="558"/>
      </c>
      <c r="DG190" s="1136">
        <f t="shared" si="558"/>
      </c>
      <c r="DH190" s="1136">
        <f t="shared" si="558"/>
      </c>
      <c r="DI190" s="1137">
        <f t="shared" si="558"/>
      </c>
      <c r="DJ190" s="1243">
        <f t="shared" si="558"/>
      </c>
      <c r="DK190" s="1136">
        <f t="shared" si="558"/>
      </c>
      <c r="DL190" s="1136">
        <f t="shared" si="558"/>
      </c>
      <c r="DM190" s="1137">
        <f t="shared" si="558"/>
      </c>
      <c r="DN190" s="1243">
        <f t="shared" si="558"/>
      </c>
      <c r="DO190" s="1136">
        <f t="shared" si="558"/>
      </c>
      <c r="DP190" s="1136">
        <f t="shared" si="558"/>
      </c>
      <c r="DQ190" s="1137">
        <f t="shared" si="558"/>
      </c>
      <c r="DR190" s="1243">
        <f t="shared" si="558"/>
      </c>
      <c r="DS190" s="1136">
        <f t="shared" si="558"/>
      </c>
      <c r="DT190" s="1136">
        <f t="shared" si="558"/>
      </c>
      <c r="DU190" s="1137">
        <f t="shared" si="558"/>
      </c>
      <c r="DV190" s="1243">
        <f t="shared" si="536"/>
      </c>
      <c r="DW190" s="1136">
        <f t="shared" si="537"/>
      </c>
      <c r="DX190" s="1136">
        <f t="shared" si="538"/>
      </c>
      <c r="DY190" s="1137">
        <f t="shared" si="539"/>
      </c>
      <c r="DZ190" s="1243">
        <f t="shared" si="540"/>
      </c>
      <c r="EA190" s="1136">
        <f t="shared" si="541"/>
      </c>
      <c r="EB190" s="1136">
        <f t="shared" si="542"/>
      </c>
      <c r="EC190" s="1137">
        <f t="shared" si="543"/>
      </c>
      <c r="ED190" s="1243">
        <f t="shared" si="544"/>
      </c>
      <c r="EE190" s="1136">
        <f t="shared" si="545"/>
      </c>
      <c r="EF190" s="1136">
        <f t="shared" si="546"/>
      </c>
      <c r="EG190" s="1137">
        <f t="shared" si="547"/>
      </c>
      <c r="EH190" s="1243">
        <f t="shared" si="548"/>
      </c>
      <c r="EI190" s="1136">
        <f t="shared" si="549"/>
      </c>
      <c r="EJ190" s="1136">
        <f t="shared" si="550"/>
      </c>
      <c r="EK190" s="1137">
        <f t="shared" si="551"/>
      </c>
      <c r="EL190" s="10"/>
    </row>
    <row r="191" spans="1:142">
      <c r="A191" s="11" t="str">
        <f t="shared" si="552"/>
      </c>
      <c r="D191" s="1136">
        <v>1.4999999999999999E-2</v>
      </c>
      <c r="CL191" s="1136">
        <f t="shared" si="553"/>
      </c>
      <c r="CM191" s="1136">
        <f t="shared" ref="CM191:DU191" si="559">CL191</f>
      </c>
      <c r="CN191" s="1136">
        <f t="shared" si="559"/>
      </c>
      <c r="CO191" s="1137">
        <f t="shared" si="559"/>
      </c>
      <c r="CP191" s="1136">
        <f t="shared" si="559"/>
      </c>
      <c r="CQ191" s="1136">
        <f t="shared" si="559"/>
      </c>
      <c r="CR191" s="1136">
        <f t="shared" si="559"/>
      </c>
      <c r="CS191" s="1137">
        <f t="shared" si="559"/>
      </c>
      <c r="CT191" s="1243">
        <f t="shared" si="559"/>
      </c>
      <c r="CU191" s="1136">
        <f t="shared" si="559"/>
      </c>
      <c r="CV191" s="1136">
        <f t="shared" si="559"/>
      </c>
      <c r="CW191" s="1137">
        <f t="shared" si="559"/>
      </c>
      <c r="CX191" s="1243">
        <f t="shared" si="559"/>
      </c>
      <c r="CY191" s="1136">
        <f t="shared" si="559"/>
      </c>
      <c r="CZ191" s="1136">
        <f t="shared" si="559"/>
      </c>
      <c r="DA191" s="1137">
        <f t="shared" si="559"/>
      </c>
      <c r="DB191" s="1243">
        <f t="shared" si="559"/>
      </c>
      <c r="DC191" s="1136">
        <f t="shared" si="559"/>
      </c>
      <c r="DD191" s="1136">
        <f t="shared" si="559"/>
      </c>
      <c r="DE191" s="1137">
        <f t="shared" si="559"/>
      </c>
      <c r="DF191" s="1243">
        <f t="shared" si="559"/>
      </c>
      <c r="DG191" s="1136">
        <f t="shared" si="559"/>
      </c>
      <c r="DH191" s="1136">
        <f t="shared" si="559"/>
      </c>
      <c r="DI191" s="1137">
        <f t="shared" si="559"/>
      </c>
      <c r="DJ191" s="1243">
        <f t="shared" si="559"/>
      </c>
      <c r="DK191" s="1136">
        <f t="shared" si="559"/>
      </c>
      <c r="DL191" s="1136">
        <f t="shared" si="559"/>
      </c>
      <c r="DM191" s="1137">
        <f t="shared" si="559"/>
      </c>
      <c r="DN191" s="1243">
        <f t="shared" si="559"/>
      </c>
      <c r="DO191" s="1136">
        <f t="shared" si="559"/>
      </c>
      <c r="DP191" s="1136">
        <f t="shared" si="559"/>
      </c>
      <c r="DQ191" s="1137">
        <f t="shared" si="559"/>
      </c>
      <c r="DR191" s="1243">
        <f t="shared" si="559"/>
      </c>
      <c r="DS191" s="1136">
        <f t="shared" si="559"/>
      </c>
      <c r="DT191" s="1136">
        <f t="shared" si="559"/>
      </c>
      <c r="DU191" s="1137">
        <f t="shared" si="559"/>
      </c>
      <c r="DV191" s="1243">
        <f t="shared" si="536"/>
      </c>
      <c r="DW191" s="1136">
        <f t="shared" si="537"/>
      </c>
      <c r="DX191" s="1136">
        <f t="shared" si="538"/>
      </c>
      <c r="DY191" s="1137">
        <f t="shared" si="539"/>
      </c>
      <c r="DZ191" s="1243">
        <f t="shared" si="540"/>
      </c>
      <c r="EA191" s="1136">
        <f t="shared" si="541"/>
      </c>
      <c r="EB191" s="1136">
        <f t="shared" si="542"/>
      </c>
      <c r="EC191" s="1137">
        <f t="shared" si="543"/>
      </c>
      <c r="ED191" s="1243">
        <f t="shared" si="544"/>
      </c>
      <c r="EE191" s="1136">
        <f t="shared" si="545"/>
      </c>
      <c r="EF191" s="1136">
        <f t="shared" si="546"/>
      </c>
      <c r="EG191" s="1137">
        <f t="shared" si="547"/>
      </c>
      <c r="EH191" s="1243">
        <f t="shared" si="548"/>
      </c>
      <c r="EI191" s="1136">
        <f t="shared" si="549"/>
      </c>
      <c r="EJ191" s="1136">
        <f t="shared" si="550"/>
      </c>
      <c r="EK191" s="1137">
        <f t="shared" si="551"/>
      </c>
      <c r="EL191" s="10"/>
    </row>
    <row r="192" spans="1:142">
      <c r="A192" s="11" t="str">
        <f t="shared" si="552"/>
      </c>
      <c r="D192" s="1136">
        <v>2.1000000000000001E-2</v>
      </c>
      <c r="CL192" s="1136">
        <f t="shared" si="553"/>
      </c>
      <c r="CM192" s="1136">
        <f t="shared" ref="CM192:DU192" si="560">CL192</f>
      </c>
      <c r="CN192" s="1136">
        <f t="shared" si="560"/>
      </c>
      <c r="CO192" s="1137">
        <f t="shared" si="560"/>
      </c>
      <c r="CP192" s="1136">
        <f t="shared" si="560"/>
      </c>
      <c r="CQ192" s="1136">
        <f t="shared" si="560"/>
      </c>
      <c r="CR192" s="1136">
        <f t="shared" si="560"/>
      </c>
      <c r="CS192" s="1137">
        <f t="shared" si="560"/>
      </c>
      <c r="CT192" s="1243">
        <f t="shared" si="560"/>
      </c>
      <c r="CU192" s="1136">
        <f t="shared" si="560"/>
      </c>
      <c r="CV192" s="1136">
        <f t="shared" si="560"/>
      </c>
      <c r="CW192" s="1137">
        <f t="shared" si="560"/>
      </c>
      <c r="CX192" s="1243">
        <f t="shared" si="560"/>
      </c>
      <c r="CY192" s="1136">
        <f t="shared" si="560"/>
      </c>
      <c r="CZ192" s="1136">
        <f t="shared" si="560"/>
      </c>
      <c r="DA192" s="1137">
        <f t="shared" si="560"/>
      </c>
      <c r="DB192" s="1243">
        <f t="shared" si="560"/>
      </c>
      <c r="DC192" s="1136">
        <f t="shared" si="560"/>
      </c>
      <c r="DD192" s="1136">
        <f t="shared" si="560"/>
      </c>
      <c r="DE192" s="1137">
        <f t="shared" si="560"/>
      </c>
      <c r="DF192" s="1243">
        <f t="shared" si="560"/>
      </c>
      <c r="DG192" s="1136">
        <f t="shared" si="560"/>
      </c>
      <c r="DH192" s="1136">
        <f t="shared" si="560"/>
      </c>
      <c r="DI192" s="1137">
        <f t="shared" si="560"/>
      </c>
      <c r="DJ192" s="1243">
        <f t="shared" si="560"/>
      </c>
      <c r="DK192" s="1136">
        <f t="shared" si="560"/>
      </c>
      <c r="DL192" s="1136">
        <f t="shared" si="560"/>
      </c>
      <c r="DM192" s="1137">
        <f t="shared" si="560"/>
      </c>
      <c r="DN192" s="1243">
        <f t="shared" si="560"/>
      </c>
      <c r="DO192" s="1136">
        <f t="shared" si="560"/>
      </c>
      <c r="DP192" s="1136">
        <f t="shared" si="560"/>
      </c>
      <c r="DQ192" s="1137">
        <f t="shared" si="560"/>
      </c>
      <c r="DR192" s="1243">
        <f t="shared" si="560"/>
      </c>
      <c r="DS192" s="1136">
        <f t="shared" si="560"/>
      </c>
      <c r="DT192" s="1136">
        <f t="shared" si="560"/>
      </c>
      <c r="DU192" s="1137">
        <f t="shared" si="560"/>
      </c>
      <c r="DV192" s="1243">
        <f t="shared" si="536"/>
      </c>
      <c r="DW192" s="1136">
        <f t="shared" si="537"/>
      </c>
      <c r="DX192" s="1136">
        <f t="shared" si="538"/>
      </c>
      <c r="DY192" s="1137">
        <f t="shared" si="539"/>
      </c>
      <c r="DZ192" s="1243">
        <f t="shared" si="540"/>
      </c>
      <c r="EA192" s="1136">
        <f t="shared" si="541"/>
      </c>
      <c r="EB192" s="1136">
        <f t="shared" si="542"/>
      </c>
      <c r="EC192" s="1137">
        <f t="shared" si="543"/>
      </c>
      <c r="ED192" s="1243">
        <f t="shared" si="544"/>
      </c>
      <c r="EE192" s="1136">
        <f t="shared" si="545"/>
      </c>
      <c r="EF192" s="1136">
        <f t="shared" si="546"/>
      </c>
      <c r="EG192" s="1137">
        <f t="shared" si="547"/>
      </c>
      <c r="EH192" s="1243">
        <f t="shared" si="548"/>
      </c>
      <c r="EI192" s="1136">
        <f t="shared" si="549"/>
      </c>
      <c r="EJ192" s="1136">
        <f t="shared" si="550"/>
      </c>
      <c r="EK192" s="1137">
        <f t="shared" si="551"/>
      </c>
      <c r="EL192" s="10"/>
    </row>
    <row r="193" spans="1:142">
      <c r="A193" s="11" t="str">
        <f t="shared" si="552"/>
      </c>
      <c r="D193" s="1136">
        <v>2.9000000000000001E-2</v>
      </c>
      <c r="CL193" s="1136">
        <f t="shared" si="553"/>
      </c>
      <c r="CM193" s="1136">
        <f t="shared" ref="CM193:DU193" si="561">CL193</f>
      </c>
      <c r="CN193" s="1136">
        <f t="shared" si="561"/>
      </c>
      <c r="CO193" s="1137">
        <f t="shared" si="561"/>
      </c>
      <c r="CP193" s="1136">
        <f t="shared" si="561"/>
      </c>
      <c r="CQ193" s="1136">
        <f t="shared" si="561"/>
      </c>
      <c r="CR193" s="1136">
        <f t="shared" si="561"/>
      </c>
      <c r="CS193" s="1137">
        <f t="shared" si="561"/>
      </c>
      <c r="CT193" s="1243">
        <f t="shared" si="561"/>
      </c>
      <c r="CU193" s="1136">
        <f t="shared" si="561"/>
      </c>
      <c r="CV193" s="1136">
        <f t="shared" si="561"/>
      </c>
      <c r="CW193" s="1137">
        <f t="shared" si="561"/>
      </c>
      <c r="CX193" s="1243">
        <f t="shared" si="561"/>
      </c>
      <c r="CY193" s="1136">
        <f t="shared" si="561"/>
      </c>
      <c r="CZ193" s="1136">
        <f t="shared" si="561"/>
      </c>
      <c r="DA193" s="1137">
        <f t="shared" si="561"/>
      </c>
      <c r="DB193" s="1243">
        <f t="shared" si="561"/>
      </c>
      <c r="DC193" s="1136">
        <f t="shared" si="561"/>
      </c>
      <c r="DD193" s="1136">
        <f t="shared" si="561"/>
      </c>
      <c r="DE193" s="1137">
        <f t="shared" si="561"/>
      </c>
      <c r="DF193" s="1243">
        <f t="shared" si="561"/>
      </c>
      <c r="DG193" s="1136">
        <f t="shared" si="561"/>
      </c>
      <c r="DH193" s="1136">
        <f t="shared" si="561"/>
      </c>
      <c r="DI193" s="1137">
        <f t="shared" si="561"/>
      </c>
      <c r="DJ193" s="1243">
        <f t="shared" si="561"/>
      </c>
      <c r="DK193" s="1136">
        <f t="shared" si="561"/>
      </c>
      <c r="DL193" s="1136">
        <f t="shared" si="561"/>
      </c>
      <c r="DM193" s="1137">
        <f t="shared" si="561"/>
      </c>
      <c r="DN193" s="1243">
        <f t="shared" si="561"/>
      </c>
      <c r="DO193" s="1136">
        <f t="shared" si="561"/>
      </c>
      <c r="DP193" s="1136">
        <f t="shared" si="561"/>
      </c>
      <c r="DQ193" s="1137">
        <f t="shared" si="561"/>
      </c>
      <c r="DR193" s="1243">
        <f t="shared" si="561"/>
      </c>
      <c r="DS193" s="1136">
        <f t="shared" si="561"/>
      </c>
      <c r="DT193" s="1136">
        <f t="shared" si="561"/>
      </c>
      <c r="DU193" s="1137">
        <f t="shared" si="561"/>
      </c>
      <c r="DV193" s="1243">
        <f t="shared" si="536"/>
      </c>
      <c r="DW193" s="1136">
        <f t="shared" si="537"/>
      </c>
      <c r="DX193" s="1136">
        <f t="shared" si="538"/>
      </c>
      <c r="DY193" s="1137">
        <f t="shared" si="539"/>
      </c>
      <c r="DZ193" s="1243">
        <f t="shared" si="540"/>
      </c>
      <c r="EA193" s="1136">
        <f t="shared" si="541"/>
      </c>
      <c r="EB193" s="1136">
        <f t="shared" si="542"/>
      </c>
      <c r="EC193" s="1137">
        <f t="shared" si="543"/>
      </c>
      <c r="ED193" s="1243">
        <f t="shared" si="544"/>
      </c>
      <c r="EE193" s="1136">
        <f t="shared" si="545"/>
      </c>
      <c r="EF193" s="1136">
        <f t="shared" si="546"/>
      </c>
      <c r="EG193" s="1137">
        <f t="shared" si="547"/>
      </c>
      <c r="EH193" s="1243">
        <f t="shared" si="548"/>
      </c>
      <c r="EI193" s="1136">
        <f t="shared" si="549"/>
      </c>
      <c r="EJ193" s="1136">
        <f t="shared" si="550"/>
      </c>
      <c r="EK193" s="1137">
        <f t="shared" si="551"/>
      </c>
      <c r="EL193" s="10"/>
    </row>
    <row r="194" spans="1:142">
      <c r="A194" s="11" t="str">
        <f t="shared" si="552"/>
      </c>
      <c r="D194" s="1136">
        <v>3.7499999999999999E-2</v>
      </c>
      <c r="CL194" s="1136">
        <f t="shared" si="553"/>
      </c>
      <c r="CM194" s="1136">
        <f t="shared" ref="CM194:DU194" si="562">CL194</f>
      </c>
      <c r="CN194" s="1136">
        <f t="shared" si="562"/>
      </c>
      <c r="CO194" s="1137">
        <f t="shared" si="562"/>
      </c>
      <c r="CP194" s="1136">
        <f t="shared" si="562"/>
      </c>
      <c r="CQ194" s="1136">
        <f t="shared" si="562"/>
      </c>
      <c r="CR194" s="1136">
        <f t="shared" si="562"/>
      </c>
      <c r="CS194" s="1137">
        <f t="shared" si="562"/>
      </c>
      <c r="CT194" s="1243">
        <f t="shared" si="562"/>
      </c>
      <c r="CU194" s="1136">
        <f t="shared" si="562"/>
      </c>
      <c r="CV194" s="1136">
        <f t="shared" si="562"/>
      </c>
      <c r="CW194" s="1137">
        <f t="shared" si="562"/>
      </c>
      <c r="CX194" s="1243">
        <f t="shared" si="562"/>
      </c>
      <c r="CY194" s="1136">
        <f t="shared" si="562"/>
      </c>
      <c r="CZ194" s="1136">
        <f t="shared" si="562"/>
      </c>
      <c r="DA194" s="1137">
        <f t="shared" si="562"/>
      </c>
      <c r="DB194" s="1243">
        <f t="shared" si="562"/>
      </c>
      <c r="DC194" s="1136">
        <f t="shared" si="562"/>
      </c>
      <c r="DD194" s="1136">
        <f t="shared" si="562"/>
      </c>
      <c r="DE194" s="1137">
        <f t="shared" si="562"/>
      </c>
      <c r="DF194" s="1243">
        <f t="shared" si="562"/>
      </c>
      <c r="DG194" s="1136">
        <f t="shared" si="562"/>
      </c>
      <c r="DH194" s="1136">
        <f t="shared" si="562"/>
      </c>
      <c r="DI194" s="1137">
        <f t="shared" si="562"/>
      </c>
      <c r="DJ194" s="1243">
        <f t="shared" si="562"/>
      </c>
      <c r="DK194" s="1136">
        <f t="shared" si="562"/>
      </c>
      <c r="DL194" s="1136">
        <f t="shared" si="562"/>
      </c>
      <c r="DM194" s="1137">
        <f t="shared" si="562"/>
      </c>
      <c r="DN194" s="1243">
        <f t="shared" si="562"/>
      </c>
      <c r="DO194" s="1136">
        <f t="shared" si="562"/>
      </c>
      <c r="DP194" s="1136">
        <f t="shared" si="562"/>
      </c>
      <c r="DQ194" s="1137">
        <f t="shared" si="562"/>
      </c>
      <c r="DR194" s="1243">
        <f t="shared" si="562"/>
      </c>
      <c r="DS194" s="1136">
        <f t="shared" si="562"/>
      </c>
      <c r="DT194" s="1136">
        <f t="shared" si="562"/>
      </c>
      <c r="DU194" s="1137">
        <f t="shared" si="562"/>
      </c>
      <c r="DV194" s="1243">
        <f t="shared" si="536"/>
      </c>
      <c r="DW194" s="1136">
        <f t="shared" si="537"/>
      </c>
      <c r="DX194" s="1136">
        <f t="shared" si="538"/>
      </c>
      <c r="DY194" s="1137">
        <f t="shared" si="539"/>
      </c>
      <c r="DZ194" s="1243">
        <f t="shared" si="540"/>
      </c>
      <c r="EA194" s="1136">
        <f t="shared" si="541"/>
      </c>
      <c r="EB194" s="1136">
        <f t="shared" si="542"/>
      </c>
      <c r="EC194" s="1137">
        <f t="shared" si="543"/>
      </c>
      <c r="ED194" s="1243">
        <f t="shared" si="544"/>
      </c>
      <c r="EE194" s="1136">
        <f t="shared" si="545"/>
      </c>
      <c r="EF194" s="1136">
        <f t="shared" si="546"/>
      </c>
      <c r="EG194" s="1137">
        <f t="shared" si="547"/>
      </c>
      <c r="EH194" s="1243">
        <f t="shared" si="548"/>
      </c>
      <c r="EI194" s="1136">
        <f t="shared" si="549"/>
      </c>
      <c r="EJ194" s="1136">
        <f t="shared" si="550"/>
      </c>
      <c r="EK194" s="1137">
        <f t="shared" si="551"/>
      </c>
      <c r="EL194" s="10"/>
    </row>
    <row r="195" spans="1:142">
      <c r="A195" s="11" t="str">
        <f t="shared" si="552"/>
      </c>
      <c r="D195" s="1136">
        <v>1.7999999999999999E-2</v>
      </c>
      <c r="CL195" s="1136">
        <f t="shared" si="553"/>
      </c>
      <c r="CM195" s="1136">
        <f t="shared" ref="CM195:DU195" si="563">CL195</f>
      </c>
      <c r="CN195" s="1136">
        <f t="shared" si="563"/>
      </c>
      <c r="CO195" s="1137">
        <f t="shared" si="563"/>
      </c>
      <c r="CP195" s="1136">
        <f t="shared" si="563"/>
      </c>
      <c r="CQ195" s="1136">
        <f t="shared" si="563"/>
      </c>
      <c r="CR195" s="1136">
        <f t="shared" si="563"/>
      </c>
      <c r="CS195" s="1137">
        <f t="shared" si="563"/>
      </c>
      <c r="CT195" s="1243">
        <f t="shared" si="563"/>
      </c>
      <c r="CU195" s="1136">
        <f t="shared" si="563"/>
      </c>
      <c r="CV195" s="1136">
        <f t="shared" si="563"/>
      </c>
      <c r="CW195" s="1137">
        <f t="shared" si="563"/>
      </c>
      <c r="CX195" s="1243">
        <f t="shared" si="563"/>
      </c>
      <c r="CY195" s="1136">
        <f t="shared" si="563"/>
      </c>
      <c r="CZ195" s="1136">
        <f t="shared" si="563"/>
      </c>
      <c r="DA195" s="1137">
        <f t="shared" si="563"/>
      </c>
      <c r="DB195" s="1243">
        <f t="shared" si="563"/>
      </c>
      <c r="DC195" s="1136">
        <f t="shared" si="563"/>
      </c>
      <c r="DD195" s="1136">
        <f t="shared" si="563"/>
      </c>
      <c r="DE195" s="1137">
        <f t="shared" si="563"/>
      </c>
      <c r="DF195" s="1243">
        <f t="shared" si="563"/>
      </c>
      <c r="DG195" s="1136">
        <f t="shared" si="563"/>
      </c>
      <c r="DH195" s="1136">
        <f t="shared" si="563"/>
      </c>
      <c r="DI195" s="1137">
        <f t="shared" si="563"/>
      </c>
      <c r="DJ195" s="1243">
        <f t="shared" si="563"/>
      </c>
      <c r="DK195" s="1136">
        <f t="shared" si="563"/>
      </c>
      <c r="DL195" s="1136">
        <f t="shared" si="563"/>
      </c>
      <c r="DM195" s="1137">
        <f t="shared" si="563"/>
      </c>
      <c r="DN195" s="1243">
        <f t="shared" si="563"/>
      </c>
      <c r="DO195" s="1136">
        <f t="shared" si="563"/>
      </c>
      <c r="DP195" s="1136">
        <f t="shared" si="563"/>
      </c>
      <c r="DQ195" s="1137">
        <f t="shared" si="563"/>
      </c>
      <c r="DR195" s="1243">
        <f t="shared" si="563"/>
      </c>
      <c r="DS195" s="1136">
        <f t="shared" si="563"/>
      </c>
      <c r="DT195" s="1136">
        <f t="shared" si="563"/>
      </c>
      <c r="DU195" s="1137">
        <f t="shared" si="563"/>
      </c>
      <c r="DV195" s="1243">
        <f t="shared" si="536"/>
      </c>
      <c r="DW195" s="1136">
        <f t="shared" si="537"/>
      </c>
      <c r="DX195" s="1136">
        <f t="shared" si="538"/>
      </c>
      <c r="DY195" s="1137">
        <f t="shared" si="539"/>
      </c>
      <c r="DZ195" s="1243">
        <f t="shared" si="540"/>
      </c>
      <c r="EA195" s="1136">
        <f t="shared" si="541"/>
      </c>
      <c r="EB195" s="1136">
        <f t="shared" si="542"/>
      </c>
      <c r="EC195" s="1137">
        <f t="shared" si="543"/>
      </c>
      <c r="ED195" s="1243">
        <f t="shared" si="544"/>
      </c>
      <c r="EE195" s="1136">
        <f t="shared" si="545"/>
      </c>
      <c r="EF195" s="1136">
        <f t="shared" si="546"/>
      </c>
      <c r="EG195" s="1137">
        <f t="shared" si="547"/>
      </c>
      <c r="EH195" s="1243">
        <f t="shared" si="548"/>
      </c>
      <c r="EI195" s="1136">
        <f t="shared" si="549"/>
      </c>
      <c r="EJ195" s="1136">
        <f t="shared" si="550"/>
      </c>
      <c r="EK195" s="1137">
        <f t="shared" si="551"/>
      </c>
      <c r="EL195" s="10"/>
    </row>
    <row r="196" spans="1:142">
      <c r="A196" s="11" t="str">
        <f t="shared" si="552"/>
      </c>
      <c r="D196" s="1136">
        <v>0.02</v>
      </c>
      <c r="CL196" s="1136">
        <f t="shared" si="553"/>
      </c>
      <c r="CM196" s="1136">
        <f t="shared" ref="CM196:DU196" si="564">CL196</f>
      </c>
      <c r="CN196" s="1136">
        <f t="shared" si="564"/>
      </c>
      <c r="CO196" s="1137">
        <f t="shared" si="564"/>
      </c>
      <c r="CP196" s="1136">
        <f t="shared" si="564"/>
      </c>
      <c r="CQ196" s="1136">
        <f t="shared" si="564"/>
      </c>
      <c r="CR196" s="1136">
        <f t="shared" si="564"/>
      </c>
      <c r="CS196" s="1137">
        <f t="shared" si="564"/>
      </c>
      <c r="CT196" s="1243">
        <f t="shared" si="564"/>
      </c>
      <c r="CU196" s="1136">
        <f t="shared" si="564"/>
      </c>
      <c r="CV196" s="1136">
        <f t="shared" si="564"/>
      </c>
      <c r="CW196" s="1137">
        <f t="shared" si="564"/>
      </c>
      <c r="CX196" s="1243">
        <f t="shared" si="564"/>
      </c>
      <c r="CY196" s="1136">
        <f t="shared" si="564"/>
      </c>
      <c r="CZ196" s="1136">
        <f t="shared" si="564"/>
      </c>
      <c r="DA196" s="1137">
        <f t="shared" si="564"/>
      </c>
      <c r="DB196" s="1243">
        <f t="shared" si="564"/>
      </c>
      <c r="DC196" s="1136">
        <f t="shared" si="564"/>
      </c>
      <c r="DD196" s="1136">
        <f t="shared" si="564"/>
      </c>
      <c r="DE196" s="1137">
        <f t="shared" si="564"/>
      </c>
      <c r="DF196" s="1243">
        <f t="shared" si="564"/>
      </c>
      <c r="DG196" s="1136">
        <f t="shared" si="564"/>
      </c>
      <c r="DH196" s="1136">
        <f t="shared" si="564"/>
      </c>
      <c r="DI196" s="1137">
        <f t="shared" si="564"/>
      </c>
      <c r="DJ196" s="1243">
        <f t="shared" si="564"/>
      </c>
      <c r="DK196" s="1136">
        <f t="shared" si="564"/>
      </c>
      <c r="DL196" s="1136">
        <f t="shared" si="564"/>
      </c>
      <c r="DM196" s="1137">
        <f t="shared" si="564"/>
      </c>
      <c r="DN196" s="1243">
        <f t="shared" si="564"/>
      </c>
      <c r="DO196" s="1136">
        <f t="shared" si="564"/>
      </c>
      <c r="DP196" s="1136">
        <f t="shared" si="564"/>
      </c>
      <c r="DQ196" s="1137">
        <f t="shared" si="564"/>
      </c>
      <c r="DR196" s="1243">
        <f t="shared" si="564"/>
      </c>
      <c r="DS196" s="1136">
        <f t="shared" si="564"/>
      </c>
      <c r="DT196" s="1136">
        <f t="shared" si="564"/>
      </c>
      <c r="DU196" s="1137">
        <f t="shared" si="564"/>
      </c>
      <c r="DV196" s="1243">
        <f t="shared" si="536"/>
      </c>
      <c r="DW196" s="1136">
        <f t="shared" si="537"/>
      </c>
      <c r="DX196" s="1136">
        <f t="shared" si="538"/>
      </c>
      <c r="DY196" s="1137">
        <f t="shared" si="539"/>
      </c>
      <c r="DZ196" s="1243">
        <f t="shared" si="540"/>
      </c>
      <c r="EA196" s="1136">
        <f t="shared" si="541"/>
      </c>
      <c r="EB196" s="1136">
        <f t="shared" si="542"/>
      </c>
      <c r="EC196" s="1137">
        <f t="shared" si="543"/>
      </c>
      <c r="ED196" s="1243">
        <f t="shared" si="544"/>
      </c>
      <c r="EE196" s="1136">
        <f t="shared" si="545"/>
      </c>
      <c r="EF196" s="1136">
        <f t="shared" si="546"/>
      </c>
      <c r="EG196" s="1137">
        <f t="shared" si="547"/>
      </c>
      <c r="EH196" s="1243">
        <f t="shared" si="548"/>
      </c>
      <c r="EI196" s="1136">
        <f t="shared" si="549"/>
      </c>
      <c r="EJ196" s="1136">
        <f t="shared" si="550"/>
      </c>
      <c r="EK196" s="1137">
        <f t="shared" si="551"/>
      </c>
      <c r="EL196" s="10"/>
    </row>
    <row r="197" spans="1:142">
      <c r="A197" s="11" t="str">
        <f t="shared" si="552"/>
      </c>
      <c r="D197" s="1136">
        <v>2.4E-2</v>
      </c>
      <c r="CL197" s="1136">
        <f t="shared" si="553"/>
      </c>
      <c r="CM197" s="1136">
        <f t="shared" ref="CM197:DU197" si="565">CL197</f>
      </c>
      <c r="CN197" s="1136">
        <f t="shared" si="565"/>
      </c>
      <c r="CO197" s="1137">
        <f t="shared" si="565"/>
      </c>
      <c r="CP197" s="1136">
        <f t="shared" si="565"/>
      </c>
      <c r="CQ197" s="1136">
        <f t="shared" si="565"/>
      </c>
      <c r="CR197" s="1136">
        <f t="shared" si="565"/>
      </c>
      <c r="CS197" s="1137">
        <f t="shared" si="565"/>
      </c>
      <c r="CT197" s="1243">
        <f t="shared" si="565"/>
      </c>
      <c r="CU197" s="1136">
        <f t="shared" si="565"/>
      </c>
      <c r="CV197" s="1136">
        <f t="shared" si="565"/>
      </c>
      <c r="CW197" s="1137">
        <f t="shared" si="565"/>
      </c>
      <c r="CX197" s="1243">
        <f t="shared" si="565"/>
      </c>
      <c r="CY197" s="1136">
        <f t="shared" si="565"/>
      </c>
      <c r="CZ197" s="1136">
        <f t="shared" si="565"/>
      </c>
      <c r="DA197" s="1137">
        <f t="shared" si="565"/>
      </c>
      <c r="DB197" s="1243">
        <f t="shared" si="565"/>
      </c>
      <c r="DC197" s="1136">
        <f t="shared" si="565"/>
      </c>
      <c r="DD197" s="1136">
        <f t="shared" si="565"/>
      </c>
      <c r="DE197" s="1137">
        <f t="shared" si="565"/>
      </c>
      <c r="DF197" s="1243">
        <f t="shared" si="565"/>
      </c>
      <c r="DG197" s="1136">
        <f t="shared" si="565"/>
      </c>
      <c r="DH197" s="1136">
        <f t="shared" si="565"/>
      </c>
      <c r="DI197" s="1137">
        <f t="shared" si="565"/>
      </c>
      <c r="DJ197" s="1243">
        <f t="shared" si="565"/>
      </c>
      <c r="DK197" s="1136">
        <f t="shared" si="565"/>
      </c>
      <c r="DL197" s="1136">
        <f t="shared" si="565"/>
      </c>
      <c r="DM197" s="1137">
        <f t="shared" si="565"/>
      </c>
      <c r="DN197" s="1243">
        <f t="shared" si="565"/>
      </c>
      <c r="DO197" s="1136">
        <f t="shared" si="565"/>
      </c>
      <c r="DP197" s="1136">
        <f t="shared" si="565"/>
      </c>
      <c r="DQ197" s="1137">
        <f t="shared" si="565"/>
      </c>
      <c r="DR197" s="1243">
        <f t="shared" si="565"/>
      </c>
      <c r="DS197" s="1136">
        <f t="shared" si="565"/>
      </c>
      <c r="DT197" s="1136">
        <f t="shared" si="565"/>
      </c>
      <c r="DU197" s="1137">
        <f t="shared" si="565"/>
      </c>
      <c r="DV197" s="1243">
        <f t="shared" si="536"/>
      </c>
      <c r="DW197" s="1136">
        <f t="shared" si="537"/>
      </c>
      <c r="DX197" s="1136">
        <f t="shared" si="538"/>
      </c>
      <c r="DY197" s="1137">
        <f t="shared" si="539"/>
      </c>
      <c r="DZ197" s="1243">
        <f t="shared" si="540"/>
      </c>
      <c r="EA197" s="1136">
        <f t="shared" si="541"/>
      </c>
      <c r="EB197" s="1136">
        <f t="shared" si="542"/>
      </c>
      <c r="EC197" s="1137">
        <f t="shared" si="543"/>
      </c>
      <c r="ED197" s="1243">
        <f t="shared" si="544"/>
      </c>
      <c r="EE197" s="1136">
        <f t="shared" si="545"/>
      </c>
      <c r="EF197" s="1136">
        <f t="shared" si="546"/>
      </c>
      <c r="EG197" s="1137">
        <f t="shared" si="547"/>
      </c>
      <c r="EH197" s="1243">
        <f t="shared" si="548"/>
      </c>
      <c r="EI197" s="1136">
        <f t="shared" si="549"/>
      </c>
      <c r="EJ197" s="1136">
        <f t="shared" si="550"/>
      </c>
      <c r="EK197" s="1137">
        <f t="shared" si="551"/>
      </c>
      <c r="EL197" s="10"/>
    </row>
    <row r="198" spans="1:142">
      <c r="A198" s="11" t="str">
        <f t="shared" si="552"/>
      </c>
      <c r="D198" s="1136">
        <v>2.75E-2</v>
      </c>
      <c r="CL198" s="1136">
        <f t="shared" si="553"/>
      </c>
      <c r="CM198" s="1136">
        <f t="shared" ref="CM198:DU198" si="566">CL198</f>
      </c>
      <c r="CN198" s="1136">
        <f t="shared" si="566"/>
      </c>
      <c r="CO198" s="1137">
        <f t="shared" si="566"/>
      </c>
      <c r="CP198" s="1136">
        <f t="shared" si="566"/>
      </c>
      <c r="CQ198" s="1136">
        <f t="shared" si="566"/>
      </c>
      <c r="CR198" s="1136">
        <f t="shared" si="566"/>
      </c>
      <c r="CS198" s="1137">
        <f t="shared" si="566"/>
      </c>
      <c r="CT198" s="1243">
        <f t="shared" si="566"/>
      </c>
      <c r="CU198" s="1136">
        <f t="shared" si="566"/>
      </c>
      <c r="CV198" s="1136">
        <f t="shared" si="566"/>
      </c>
      <c r="CW198" s="1137">
        <f t="shared" si="566"/>
      </c>
      <c r="CX198" s="1243">
        <f t="shared" si="566"/>
      </c>
      <c r="CY198" s="1136">
        <f t="shared" si="566"/>
      </c>
      <c r="CZ198" s="1136">
        <f t="shared" si="566"/>
      </c>
      <c r="DA198" s="1137">
        <f t="shared" si="566"/>
      </c>
      <c r="DB198" s="1243">
        <f t="shared" si="566"/>
      </c>
      <c r="DC198" s="1136">
        <f t="shared" si="566"/>
      </c>
      <c r="DD198" s="1136">
        <f t="shared" si="566"/>
      </c>
      <c r="DE198" s="1137">
        <f t="shared" si="566"/>
      </c>
      <c r="DF198" s="1243">
        <f t="shared" si="566"/>
      </c>
      <c r="DG198" s="1136">
        <f t="shared" si="566"/>
      </c>
      <c r="DH198" s="1136">
        <f t="shared" si="566"/>
      </c>
      <c r="DI198" s="1137">
        <f t="shared" si="566"/>
      </c>
      <c r="DJ198" s="1243">
        <f t="shared" si="566"/>
      </c>
      <c r="DK198" s="1136">
        <f t="shared" si="566"/>
      </c>
      <c r="DL198" s="1136">
        <f t="shared" si="566"/>
      </c>
      <c r="DM198" s="1137">
        <f t="shared" si="566"/>
      </c>
      <c r="DN198" s="1243">
        <f t="shared" si="566"/>
      </c>
      <c r="DO198" s="1136">
        <f t="shared" si="566"/>
      </c>
      <c r="DP198" s="1136">
        <f t="shared" si="566"/>
      </c>
      <c r="DQ198" s="1137">
        <f t="shared" si="566"/>
      </c>
      <c r="DR198" s="1243">
        <f t="shared" si="566"/>
      </c>
      <c r="DS198" s="1136">
        <f t="shared" si="566"/>
      </c>
      <c r="DT198" s="1136">
        <f t="shared" si="566"/>
      </c>
      <c r="DU198" s="1137">
        <f t="shared" si="566"/>
      </c>
      <c r="DV198" s="1243">
        <f t="shared" si="536"/>
      </c>
      <c r="DW198" s="1136">
        <f t="shared" si="537"/>
      </c>
      <c r="DX198" s="1136">
        <f t="shared" si="538"/>
      </c>
      <c r="DY198" s="1137">
        <f t="shared" si="539"/>
      </c>
      <c r="DZ198" s="1243">
        <f t="shared" si="540"/>
      </c>
      <c r="EA198" s="1136">
        <f t="shared" si="541"/>
      </c>
      <c r="EB198" s="1136">
        <f t="shared" si="542"/>
      </c>
      <c r="EC198" s="1137">
        <f t="shared" si="543"/>
      </c>
      <c r="ED198" s="1243">
        <f t="shared" si="544"/>
      </c>
      <c r="EE198" s="1136">
        <f t="shared" si="545"/>
      </c>
      <c r="EF198" s="1136">
        <f t="shared" si="546"/>
      </c>
      <c r="EG198" s="1137">
        <f t="shared" si="547"/>
      </c>
      <c r="EH198" s="1243">
        <f t="shared" si="548"/>
      </c>
      <c r="EI198" s="1136">
        <f t="shared" si="549"/>
      </c>
      <c r="EJ198" s="1136">
        <f t="shared" si="550"/>
      </c>
      <c r="EK198" s="1137">
        <f t="shared" si="551"/>
      </c>
      <c r="EL198" s="10"/>
    </row>
    <row r="199" spans="1:142">
      <c r="A199" s="11" t="str">
        <f t="shared" si="552"/>
      </c>
      <c r="D199" s="1136">
        <v>0.03</v>
      </c>
      <c r="CL199" s="1136">
        <f t="shared" si="553"/>
      </c>
      <c r="CM199" s="1136">
        <f t="shared" ref="CM199:DU199" si="567">CL199</f>
      </c>
      <c r="CN199" s="1136">
        <f t="shared" si="567"/>
      </c>
      <c r="CO199" s="1137">
        <f t="shared" si="567"/>
      </c>
      <c r="CP199" s="1136">
        <f t="shared" si="567"/>
      </c>
      <c r="CQ199" s="1136">
        <f t="shared" si="567"/>
      </c>
      <c r="CR199" s="1136">
        <f t="shared" si="567"/>
      </c>
      <c r="CS199" s="1137">
        <f t="shared" si="567"/>
      </c>
      <c r="CT199" s="1243">
        <f t="shared" si="567"/>
      </c>
      <c r="CU199" s="1136">
        <f t="shared" si="567"/>
      </c>
      <c r="CV199" s="1136">
        <f t="shared" si="567"/>
      </c>
      <c r="CW199" s="1137">
        <f t="shared" si="567"/>
      </c>
      <c r="CX199" s="1243">
        <f t="shared" si="567"/>
      </c>
      <c r="CY199" s="1136">
        <f t="shared" si="567"/>
      </c>
      <c r="CZ199" s="1136">
        <f t="shared" si="567"/>
      </c>
      <c r="DA199" s="1137">
        <f t="shared" si="567"/>
      </c>
      <c r="DB199" s="1243">
        <f t="shared" si="567"/>
      </c>
      <c r="DC199" s="1136">
        <f t="shared" si="567"/>
      </c>
      <c r="DD199" s="1136">
        <f t="shared" si="567"/>
      </c>
      <c r="DE199" s="1137">
        <f t="shared" si="567"/>
      </c>
      <c r="DF199" s="1243">
        <f t="shared" si="567"/>
      </c>
      <c r="DG199" s="1136">
        <f t="shared" si="567"/>
      </c>
      <c r="DH199" s="1136">
        <f t="shared" si="567"/>
      </c>
      <c r="DI199" s="1137">
        <f t="shared" si="567"/>
      </c>
      <c r="DJ199" s="1243">
        <f t="shared" si="567"/>
      </c>
      <c r="DK199" s="1136">
        <f t="shared" si="567"/>
      </c>
      <c r="DL199" s="1136">
        <f t="shared" si="567"/>
      </c>
      <c r="DM199" s="1137">
        <f t="shared" si="567"/>
      </c>
      <c r="DN199" s="1243">
        <f t="shared" si="567"/>
      </c>
      <c r="DO199" s="1136">
        <f t="shared" si="567"/>
      </c>
      <c r="DP199" s="1136">
        <f t="shared" si="567"/>
      </c>
      <c r="DQ199" s="1137">
        <f t="shared" si="567"/>
      </c>
      <c r="DR199" s="1243">
        <f t="shared" si="567"/>
      </c>
      <c r="DS199" s="1136">
        <f t="shared" si="567"/>
      </c>
      <c r="DT199" s="1136">
        <f t="shared" si="567"/>
      </c>
      <c r="DU199" s="1137">
        <f t="shared" si="567"/>
      </c>
      <c r="DV199" s="1243">
        <f t="shared" si="536"/>
      </c>
      <c r="DW199" s="1136">
        <f t="shared" si="537"/>
      </c>
      <c r="DX199" s="1136">
        <f t="shared" si="538"/>
      </c>
      <c r="DY199" s="1137">
        <f t="shared" si="539"/>
      </c>
      <c r="DZ199" s="1243">
        <f t="shared" si="540"/>
      </c>
      <c r="EA199" s="1136">
        <f t="shared" si="541"/>
      </c>
      <c r="EB199" s="1136">
        <f t="shared" si="542"/>
      </c>
      <c r="EC199" s="1137">
        <f t="shared" si="543"/>
      </c>
      <c r="ED199" s="1243">
        <f t="shared" si="544"/>
      </c>
      <c r="EE199" s="1136">
        <f t="shared" si="545"/>
      </c>
      <c r="EF199" s="1136">
        <f t="shared" si="546"/>
      </c>
      <c r="EG199" s="1137">
        <f t="shared" si="547"/>
      </c>
      <c r="EH199" s="1243">
        <f t="shared" si="548"/>
      </c>
      <c r="EI199" s="1136">
        <f t="shared" si="549"/>
      </c>
      <c r="EJ199" s="1136">
        <f t="shared" si="550"/>
      </c>
      <c r="EK199" s="1137">
        <f t="shared" si="551"/>
      </c>
      <c r="EL199" s="10"/>
    </row>
    <row r="200" spans="1:142">
      <c r="A200" s="11" t="str">
        <f t="shared" si="552"/>
      </c>
      <c r="D200" s="1136">
        <v>3.7499999999999999E-2</v>
      </c>
      <c r="CL200" s="1136">
        <f t="shared" si="553"/>
      </c>
      <c r="CM200" s="1136">
        <f t="shared" ref="CM200:DU200" si="568">CL200</f>
      </c>
      <c r="CN200" s="1136">
        <f t="shared" si="568"/>
      </c>
      <c r="CO200" s="1137">
        <f t="shared" si="568"/>
      </c>
      <c r="CP200" s="1136">
        <f t="shared" si="568"/>
      </c>
      <c r="CQ200" s="1136">
        <f t="shared" si="568"/>
      </c>
      <c r="CR200" s="1136">
        <f t="shared" si="568"/>
      </c>
      <c r="CS200" s="1137">
        <f t="shared" si="568"/>
      </c>
      <c r="CT200" s="1243">
        <f t="shared" si="568"/>
      </c>
      <c r="CU200" s="1136">
        <f t="shared" si="568"/>
      </c>
      <c r="CV200" s="1136">
        <f t="shared" si="568"/>
      </c>
      <c r="CW200" s="1137">
        <f t="shared" si="568"/>
      </c>
      <c r="CX200" s="1243">
        <f t="shared" si="568"/>
      </c>
      <c r="CY200" s="1136">
        <f t="shared" si="568"/>
      </c>
      <c r="CZ200" s="1136">
        <f t="shared" si="568"/>
      </c>
      <c r="DA200" s="1137">
        <f t="shared" si="568"/>
      </c>
      <c r="DB200" s="1243">
        <f t="shared" si="568"/>
      </c>
      <c r="DC200" s="1136">
        <f t="shared" si="568"/>
      </c>
      <c r="DD200" s="1136">
        <f t="shared" si="568"/>
      </c>
      <c r="DE200" s="1137">
        <f t="shared" si="568"/>
      </c>
      <c r="DF200" s="1243">
        <f t="shared" si="568"/>
      </c>
      <c r="DG200" s="1136">
        <f t="shared" si="568"/>
      </c>
      <c r="DH200" s="1136">
        <f t="shared" si="568"/>
      </c>
      <c r="DI200" s="1137">
        <f t="shared" si="568"/>
      </c>
      <c r="DJ200" s="1243">
        <f t="shared" si="568"/>
      </c>
      <c r="DK200" s="1136">
        <f t="shared" si="568"/>
      </c>
      <c r="DL200" s="1136">
        <f t="shared" si="568"/>
      </c>
      <c r="DM200" s="1137">
        <f t="shared" si="568"/>
      </c>
      <c r="DN200" s="1243">
        <f t="shared" si="568"/>
      </c>
      <c r="DO200" s="1136">
        <f t="shared" si="568"/>
      </c>
      <c r="DP200" s="1136">
        <f t="shared" si="568"/>
      </c>
      <c r="DQ200" s="1137">
        <f t="shared" si="568"/>
      </c>
      <c r="DR200" s="1243">
        <f t="shared" si="568"/>
      </c>
      <c r="DS200" s="1136">
        <f t="shared" si="568"/>
      </c>
      <c r="DT200" s="1136">
        <f t="shared" si="568"/>
      </c>
      <c r="DU200" s="1137">
        <f t="shared" si="568"/>
      </c>
      <c r="DV200" s="1243">
        <f t="shared" si="536"/>
      </c>
      <c r="DW200" s="1136">
        <f t="shared" si="537"/>
      </c>
      <c r="DX200" s="1136">
        <f t="shared" si="538"/>
      </c>
      <c r="DY200" s="1137">
        <f t="shared" si="539"/>
      </c>
      <c r="DZ200" s="1243">
        <f t="shared" si="540"/>
      </c>
      <c r="EA200" s="1136">
        <f t="shared" si="541"/>
      </c>
      <c r="EB200" s="1136">
        <f t="shared" si="542"/>
      </c>
      <c r="EC200" s="1137">
        <f t="shared" si="543"/>
      </c>
      <c r="ED200" s="1243">
        <f t="shared" si="544"/>
      </c>
      <c r="EE200" s="1136">
        <f t="shared" si="545"/>
      </c>
      <c r="EF200" s="1136">
        <f t="shared" si="546"/>
      </c>
      <c r="EG200" s="1137">
        <f t="shared" si="547"/>
      </c>
      <c r="EH200" s="1243">
        <f t="shared" si="548"/>
      </c>
      <c r="EI200" s="1136">
        <f t="shared" si="549"/>
      </c>
      <c r="EJ200" s="1136">
        <f t="shared" si="550"/>
      </c>
      <c r="EK200" s="1137">
        <f t="shared" si="551"/>
      </c>
      <c r="EL200" s="10"/>
    </row>
    <row r="201" spans="1:142">
      <c r="A201" s="11" t="str">
        <f t="shared" si="552"/>
      </c>
      <c r="D201" s="1136">
        <v>0.01</v>
      </c>
      <c r="CL201" s="1136">
        <f t="shared" si="553"/>
      </c>
      <c r="CM201" s="1136">
        <f t="shared" ref="CM201:DU201" si="569">CL201</f>
      </c>
      <c r="CN201" s="1136">
        <f t="shared" si="569"/>
      </c>
      <c r="CO201" s="1137">
        <f t="shared" si="569"/>
      </c>
      <c r="CP201" s="1136">
        <f t="shared" si="569"/>
      </c>
      <c r="CQ201" s="1136">
        <f t="shared" si="569"/>
      </c>
      <c r="CR201" s="1136">
        <f t="shared" si="569"/>
      </c>
      <c r="CS201" s="1137">
        <f t="shared" si="569"/>
      </c>
      <c r="CT201" s="1243">
        <f t="shared" si="569"/>
      </c>
      <c r="CU201" s="1136">
        <f t="shared" si="569"/>
      </c>
      <c r="CV201" s="1136">
        <f t="shared" si="569"/>
      </c>
      <c r="CW201" s="1137">
        <f t="shared" si="569"/>
      </c>
      <c r="CX201" s="1243">
        <f t="shared" si="569"/>
      </c>
      <c r="CY201" s="1136">
        <f t="shared" si="569"/>
      </c>
      <c r="CZ201" s="1136">
        <f t="shared" si="569"/>
      </c>
      <c r="DA201" s="1137">
        <f t="shared" si="569"/>
      </c>
      <c r="DB201" s="1243">
        <f t="shared" si="569"/>
      </c>
      <c r="DC201" s="1136">
        <f t="shared" si="569"/>
      </c>
      <c r="DD201" s="1136">
        <f t="shared" si="569"/>
      </c>
      <c r="DE201" s="1137">
        <f t="shared" si="569"/>
      </c>
      <c r="DF201" s="1243">
        <f t="shared" si="569"/>
      </c>
      <c r="DG201" s="1136">
        <f t="shared" si="569"/>
      </c>
      <c r="DH201" s="1136">
        <f t="shared" si="569"/>
      </c>
      <c r="DI201" s="1137">
        <f t="shared" si="569"/>
      </c>
      <c r="DJ201" s="1243">
        <f t="shared" si="569"/>
      </c>
      <c r="DK201" s="1136">
        <f t="shared" si="569"/>
      </c>
      <c r="DL201" s="1136">
        <f t="shared" si="569"/>
      </c>
      <c r="DM201" s="1137">
        <f t="shared" si="569"/>
      </c>
      <c r="DN201" s="1243">
        <f t="shared" si="569"/>
      </c>
      <c r="DO201" s="1136">
        <f t="shared" si="569"/>
      </c>
      <c r="DP201" s="1136">
        <f t="shared" si="569"/>
      </c>
      <c r="DQ201" s="1137">
        <f t="shared" si="569"/>
      </c>
      <c r="DR201" s="1243">
        <f t="shared" si="569"/>
      </c>
      <c r="DS201" s="1136">
        <f t="shared" si="569"/>
      </c>
      <c r="DT201" s="1136">
        <f t="shared" si="569"/>
      </c>
      <c r="DU201" s="1137">
        <f t="shared" si="569"/>
      </c>
      <c r="DV201" s="1243">
        <f t="shared" si="536"/>
      </c>
      <c r="DW201" s="1136">
        <f t="shared" si="537"/>
      </c>
      <c r="DX201" s="1136">
        <f t="shared" si="538"/>
      </c>
      <c r="DY201" s="1137">
        <f t="shared" si="539"/>
      </c>
      <c r="DZ201" s="1243">
        <f t="shared" si="540"/>
      </c>
      <c r="EA201" s="1136">
        <f t="shared" si="541"/>
      </c>
      <c r="EB201" s="1136">
        <f t="shared" si="542"/>
      </c>
      <c r="EC201" s="1137">
        <f t="shared" si="543"/>
      </c>
      <c r="ED201" s="1243">
        <f t="shared" si="544"/>
      </c>
      <c r="EE201" s="1136">
        <f t="shared" si="545"/>
      </c>
      <c r="EF201" s="1136">
        <f t="shared" si="546"/>
      </c>
      <c r="EG201" s="1137">
        <f t="shared" si="547"/>
      </c>
      <c r="EH201" s="1243">
        <f t="shared" si="548"/>
      </c>
      <c r="EI201" s="1136">
        <f t="shared" si="549"/>
      </c>
      <c r="EJ201" s="1136">
        <f t="shared" si="550"/>
      </c>
      <c r="EK201" s="1137">
        <f t="shared" si="551"/>
      </c>
      <c r="EL201" s="10"/>
    </row>
    <row r="202" spans="1:142">
      <c r="A202" s="11" t="str">
        <f t="shared" si="552"/>
      </c>
      <c r="D202" s="1073"/>
      <c r="E202" s="89"/>
      <c r="F202" s="89"/>
      <c r="G202" s="89"/>
      <c r="H202" s="260"/>
      <c r="I202" s="89"/>
      <c r="J202" s="89"/>
      <c r="K202" s="89"/>
      <c r="L202" s="260"/>
      <c r="M202" s="89"/>
      <c r="N202" s="89"/>
      <c r="O202" s="89"/>
      <c r="P202" s="260"/>
      <c r="Q202" s="89"/>
      <c r="R202" s="89"/>
      <c r="S202" s="89"/>
      <c r="T202" s="260"/>
      <c r="U202" s="89"/>
      <c r="V202" s="89"/>
      <c r="W202" s="89"/>
      <c r="X202" s="260"/>
      <c r="Y202" s="89"/>
      <c r="Z202" s="89"/>
      <c r="AA202" s="89"/>
      <c r="AB202" s="260"/>
      <c r="AC202" s="89"/>
      <c r="AD202" s="89"/>
      <c r="AE202" s="89"/>
      <c r="AF202" s="260"/>
      <c r="AG202" s="89"/>
      <c r="AH202" s="89"/>
      <c r="AI202" s="89"/>
      <c r="AJ202" s="260"/>
      <c r="AK202" s="89"/>
      <c r="AL202" s="89"/>
      <c r="AM202" s="89"/>
      <c r="AN202" s="260"/>
      <c r="AO202" s="89"/>
      <c r="AP202" s="89"/>
      <c r="AQ202" s="89"/>
      <c r="AR202" s="260"/>
      <c r="AS202" s="89"/>
      <c r="AT202" s="89"/>
      <c r="AU202" s="89"/>
      <c r="AV202" s="260"/>
      <c r="AW202" s="89"/>
      <c r="AX202" s="89"/>
      <c r="AY202" s="89"/>
      <c r="AZ202" s="260"/>
      <c r="BA202" s="89"/>
      <c r="BB202" s="89"/>
      <c r="BC202" s="89"/>
      <c r="BD202" s="260"/>
      <c r="BE202" s="89"/>
      <c r="BF202" s="89"/>
      <c r="BG202" s="89"/>
      <c r="BH202" s="260"/>
      <c r="BI202" s="89"/>
      <c r="BJ202" s="89"/>
      <c r="BK202" s="89"/>
      <c r="BL202" s="260"/>
      <c r="BM202" s="89"/>
      <c r="BN202" s="89"/>
      <c r="BO202" s="89"/>
      <c r="BP202" s="260"/>
      <c r="BQ202" s="89"/>
      <c r="BR202" s="89"/>
      <c r="BS202" s="89"/>
      <c r="BT202" s="260"/>
      <c r="BU202" s="89"/>
      <c r="BV202" s="89"/>
      <c r="BW202" s="89"/>
      <c r="BX202" s="260"/>
      <c r="BY202" s="89"/>
      <c r="BZ202" s="89"/>
      <c r="CA202" s="89"/>
      <c r="CB202" s="260"/>
      <c r="CC202" s="89"/>
      <c r="CD202" s="89"/>
      <c r="CE202" s="89"/>
      <c r="CF202" s="260"/>
      <c r="CG202" s="89"/>
      <c r="CH202" s="89"/>
      <c r="CI202" s="89"/>
      <c r="CJ202" s="260"/>
      <c r="CK202" s="260"/>
      <c r="CL202" s="1073"/>
      <c r="CM202" s="57"/>
      <c r="CN202" s="57"/>
      <c r="CO202" s="1241"/>
      <c r="CP202" s="57"/>
      <c r="CQ202" s="57"/>
      <c r="CR202" s="57"/>
      <c r="CS202" s="1241"/>
      <c r="CT202" s="1242"/>
      <c r="CU202" s="57"/>
      <c r="CV202" s="57"/>
      <c r="CW202" s="1241"/>
      <c r="CX202" s="1242"/>
      <c r="CY202" s="57"/>
      <c r="CZ202" s="57"/>
      <c r="DA202" s="1241"/>
      <c r="DB202" s="1242"/>
      <c r="DC202" s="57"/>
      <c r="DD202" s="57"/>
      <c r="DE202" s="1241"/>
      <c r="DF202" s="1242"/>
      <c r="DG202" s="57"/>
      <c r="DH202" s="57"/>
      <c r="DI202" s="1241"/>
      <c r="DJ202" s="1242"/>
      <c r="DK202" s="57"/>
      <c r="DL202" s="57"/>
      <c r="DM202" s="1241"/>
      <c r="DN202" s="1242"/>
      <c r="DO202" s="57"/>
      <c r="DP202" s="57"/>
      <c r="DQ202" s="1241"/>
      <c r="DR202" s="1242"/>
      <c r="DS202" s="57"/>
      <c r="DT202" s="57"/>
      <c r="DU202" s="1241"/>
      <c r="DV202" s="1242"/>
      <c r="DW202" s="57"/>
      <c r="DX202" s="57"/>
      <c r="DY202" s="1241"/>
      <c r="DZ202" s="1242"/>
      <c r="EA202" s="57"/>
      <c r="EB202" s="57"/>
      <c r="EC202" s="1241"/>
      <c r="ED202" s="1242"/>
      <c r="EE202" s="57"/>
      <c r="EF202" s="57"/>
      <c r="EG202" s="1241"/>
      <c r="EH202" s="1242"/>
      <c r="EI202" s="57"/>
      <c r="EJ202" s="57"/>
      <c r="EK202" s="1241"/>
      <c r="EL202" s="10"/>
    </row>
    <row r="203" spans="1:142">
      <c r="A203" s="11" t="str">
        <f t="shared" si="552"/>
      </c>
      <c r="D203" s="1136">
        <v>0.03</v>
      </c>
      <c r="CL203" s="1136">
        <f t="shared" si="553"/>
      </c>
      <c r="CM203" s="1136">
        <f t="shared" ref="CM203:DU203" si="570">CL203</f>
      </c>
      <c r="CN203" s="1136">
        <f t="shared" si="570"/>
      </c>
      <c r="CO203" s="1137">
        <f t="shared" si="570"/>
      </c>
      <c r="CP203" s="1136">
        <f t="shared" si="570"/>
      </c>
      <c r="CQ203" s="1136">
        <f t="shared" si="570"/>
      </c>
      <c r="CR203" s="1136">
        <f t="shared" si="570"/>
      </c>
      <c r="CS203" s="1137">
        <f t="shared" si="570"/>
      </c>
      <c r="CT203" s="1243">
        <f t="shared" si="570"/>
      </c>
      <c r="CU203" s="1136">
        <f t="shared" si="570"/>
      </c>
      <c r="CV203" s="1136">
        <f t="shared" si="570"/>
      </c>
      <c r="CW203" s="1137">
        <f t="shared" si="570"/>
      </c>
      <c r="CX203" s="1243">
        <f t="shared" si="570"/>
      </c>
      <c r="CY203" s="1136">
        <f t="shared" si="570"/>
      </c>
      <c r="CZ203" s="1136">
        <f t="shared" si="570"/>
      </c>
      <c r="DA203" s="1137">
        <f t="shared" si="570"/>
      </c>
      <c r="DB203" s="1243">
        <f t="shared" si="570"/>
      </c>
      <c r="DC203" s="1136">
        <f t="shared" si="570"/>
      </c>
      <c r="DD203" s="1136">
        <f t="shared" si="570"/>
      </c>
      <c r="DE203" s="1137">
        <f t="shared" si="570"/>
      </c>
      <c r="DF203" s="1243">
        <f t="shared" si="570"/>
      </c>
      <c r="DG203" s="1136">
        <f t="shared" si="570"/>
      </c>
      <c r="DH203" s="1136">
        <f t="shared" si="570"/>
      </c>
      <c r="DI203" s="1137">
        <f t="shared" si="570"/>
      </c>
      <c r="DJ203" s="1243">
        <f t="shared" si="570"/>
      </c>
      <c r="DK203" s="1136">
        <f t="shared" si="570"/>
      </c>
      <c r="DL203" s="1136">
        <f t="shared" si="570"/>
      </c>
      <c r="DM203" s="1137">
        <f t="shared" si="570"/>
      </c>
      <c r="DN203" s="1243">
        <f t="shared" si="570"/>
      </c>
      <c r="DO203" s="1136">
        <f t="shared" si="570"/>
      </c>
      <c r="DP203" s="1136">
        <f t="shared" si="570"/>
      </c>
      <c r="DQ203" s="1137">
        <f t="shared" si="570"/>
      </c>
      <c r="DR203" s="1243">
        <f t="shared" si="570"/>
      </c>
      <c r="DS203" s="1136">
        <f t="shared" si="570"/>
      </c>
      <c r="DT203" s="1136">
        <f t="shared" si="570"/>
      </c>
      <c r="DU203" s="1137">
        <f t="shared" si="570"/>
      </c>
      <c r="DV203" s="1243">
        <f t="shared" ref="DV203:DV205" si="571">DU203</f>
      </c>
      <c r="DW203" s="1136">
        <f t="shared" ref="DW203:DW205" si="572">DV203</f>
      </c>
      <c r="DX203" s="1136">
        <f t="shared" ref="DX203:DX205" si="573">DW203</f>
      </c>
      <c r="DY203" s="1137">
        <f t="shared" ref="DY203:DY205" si="574">DX203</f>
      </c>
      <c r="DZ203" s="1243">
        <f t="shared" ref="DZ203:DZ205" si="575">DY203</f>
      </c>
      <c r="EA203" s="1136">
        <f t="shared" ref="EA203:EA205" si="576">DZ203</f>
      </c>
      <c r="EB203" s="1136">
        <f t="shared" ref="EB203:EB205" si="577">EA203</f>
      </c>
      <c r="EC203" s="1137">
        <f t="shared" ref="EC203:EC205" si="578">EB203</f>
      </c>
      <c r="ED203" s="1243">
        <f t="shared" ref="ED203:ED205" si="579">EC203</f>
      </c>
      <c r="EE203" s="1136">
        <f t="shared" ref="EE203:EE205" si="580">ED203</f>
      </c>
      <c r="EF203" s="1136">
        <f t="shared" ref="EF203:EF205" si="581">EE203</f>
      </c>
      <c r="EG203" s="1137">
        <f t="shared" ref="EG203:EG205" si="582">EF203</f>
      </c>
      <c r="EH203" s="1243">
        <f t="shared" ref="EH203:EH205" si="583">EG203</f>
      </c>
      <c r="EI203" s="1136">
        <f t="shared" ref="EI203:EI205" si="584">EH203</f>
      </c>
      <c r="EJ203" s="1136">
        <f t="shared" ref="EJ203:EJ205" si="585">EI203</f>
      </c>
      <c r="EK203" s="1137">
        <f t="shared" ref="EK203:EK205" si="586">EJ203</f>
      </c>
      <c r="EL203" s="10"/>
    </row>
    <row r="204" spans="1:142">
      <c r="A204" s="11" t="str">
        <f t="shared" si="552"/>
      </c>
      <c r="D204" s="1136">
        <v>0.03</v>
      </c>
      <c r="CL204" s="1136">
        <f t="shared" si="553"/>
      </c>
      <c r="CM204" s="1136">
        <f t="shared" ref="CM204:DU204" si="587">CL204</f>
      </c>
      <c r="CN204" s="1136">
        <f t="shared" si="587"/>
      </c>
      <c r="CO204" s="1137">
        <f t="shared" si="587"/>
      </c>
      <c r="CP204" s="1136">
        <f t="shared" si="587"/>
      </c>
      <c r="CQ204" s="1136">
        <f t="shared" si="587"/>
      </c>
      <c r="CR204" s="1136">
        <f t="shared" si="587"/>
      </c>
      <c r="CS204" s="1137">
        <f t="shared" si="587"/>
      </c>
      <c r="CT204" s="1243">
        <f t="shared" si="587"/>
      </c>
      <c r="CU204" s="1136">
        <f t="shared" si="587"/>
      </c>
      <c r="CV204" s="1136">
        <f t="shared" si="587"/>
      </c>
      <c r="CW204" s="1137">
        <f t="shared" si="587"/>
      </c>
      <c r="CX204" s="1243">
        <f t="shared" si="587"/>
      </c>
      <c r="CY204" s="1136">
        <f t="shared" si="587"/>
      </c>
      <c r="CZ204" s="1136">
        <f t="shared" si="587"/>
      </c>
      <c r="DA204" s="1137">
        <f t="shared" si="587"/>
      </c>
      <c r="DB204" s="1243">
        <f t="shared" si="587"/>
      </c>
      <c r="DC204" s="1136">
        <f t="shared" si="587"/>
      </c>
      <c r="DD204" s="1136">
        <f t="shared" si="587"/>
      </c>
      <c r="DE204" s="1137">
        <f t="shared" si="587"/>
      </c>
      <c r="DF204" s="1243">
        <f t="shared" si="587"/>
      </c>
      <c r="DG204" s="1136">
        <f t="shared" si="587"/>
      </c>
      <c r="DH204" s="1136">
        <f t="shared" si="587"/>
      </c>
      <c r="DI204" s="1137">
        <f t="shared" si="587"/>
      </c>
      <c r="DJ204" s="1243">
        <f t="shared" si="587"/>
      </c>
      <c r="DK204" s="1136">
        <f t="shared" si="587"/>
      </c>
      <c r="DL204" s="1136">
        <f t="shared" si="587"/>
      </c>
      <c r="DM204" s="1137">
        <f t="shared" si="587"/>
      </c>
      <c r="DN204" s="1243">
        <f t="shared" si="587"/>
      </c>
      <c r="DO204" s="1136">
        <f t="shared" si="587"/>
      </c>
      <c r="DP204" s="1136">
        <f t="shared" si="587"/>
      </c>
      <c r="DQ204" s="1137">
        <f t="shared" si="587"/>
      </c>
      <c r="DR204" s="1243">
        <f t="shared" si="587"/>
      </c>
      <c r="DS204" s="1136">
        <f t="shared" si="587"/>
      </c>
      <c r="DT204" s="1136">
        <f t="shared" si="587"/>
      </c>
      <c r="DU204" s="1137">
        <f t="shared" si="587"/>
      </c>
      <c r="DV204" s="1243">
        <f t="shared" si="571"/>
      </c>
      <c r="DW204" s="1136">
        <f t="shared" si="572"/>
      </c>
      <c r="DX204" s="1136">
        <f t="shared" si="573"/>
      </c>
      <c r="DY204" s="1137">
        <f t="shared" si="574"/>
      </c>
      <c r="DZ204" s="1243">
        <f t="shared" si="575"/>
      </c>
      <c r="EA204" s="1136">
        <f t="shared" si="576"/>
      </c>
      <c r="EB204" s="1136">
        <f t="shared" si="577"/>
      </c>
      <c r="EC204" s="1137">
        <f t="shared" si="578"/>
      </c>
      <c r="ED204" s="1243">
        <f t="shared" si="579"/>
      </c>
      <c r="EE204" s="1136">
        <f t="shared" si="580"/>
      </c>
      <c r="EF204" s="1136">
        <f t="shared" si="581"/>
      </c>
      <c r="EG204" s="1137">
        <f t="shared" si="582"/>
      </c>
      <c r="EH204" s="1243">
        <f t="shared" si="583"/>
      </c>
      <c r="EI204" s="1136">
        <f t="shared" si="584"/>
      </c>
      <c r="EJ204" s="1136">
        <f t="shared" si="585"/>
      </c>
      <c r="EK204" s="1137">
        <f t="shared" si="586"/>
      </c>
      <c r="EL204" s="10"/>
    </row>
    <row r="205" spans="1:142">
      <c r="A205" s="11" t="str">
        <f t="shared" si="552"/>
      </c>
      <c r="D205" s="1136">
        <v>0.03</v>
      </c>
      <c r="CL205" s="1136">
        <f t="shared" si="553"/>
      </c>
      <c r="CM205" s="1136">
        <f t="shared" ref="CM205:DU205" si="588">CL205</f>
      </c>
      <c r="CN205" s="1136">
        <f t="shared" si="588"/>
      </c>
      <c r="CO205" s="1137">
        <f t="shared" si="588"/>
      </c>
      <c r="CP205" s="1136">
        <f t="shared" si="588"/>
      </c>
      <c r="CQ205" s="1136">
        <f t="shared" si="588"/>
      </c>
      <c r="CR205" s="1136">
        <f t="shared" si="588"/>
      </c>
      <c r="CS205" s="1137">
        <f t="shared" si="588"/>
      </c>
      <c r="CT205" s="1243">
        <f t="shared" si="588"/>
      </c>
      <c r="CU205" s="1136">
        <f t="shared" si="588"/>
      </c>
      <c r="CV205" s="1136">
        <f t="shared" si="588"/>
      </c>
      <c r="CW205" s="1137">
        <f t="shared" si="588"/>
      </c>
      <c r="CX205" s="1243">
        <f t="shared" si="588"/>
      </c>
      <c r="CY205" s="1136">
        <f t="shared" si="588"/>
      </c>
      <c r="CZ205" s="1136">
        <f t="shared" si="588"/>
      </c>
      <c r="DA205" s="1137">
        <f t="shared" si="588"/>
      </c>
      <c r="DB205" s="1243">
        <f t="shared" si="588"/>
      </c>
      <c r="DC205" s="1136">
        <f t="shared" si="588"/>
      </c>
      <c r="DD205" s="1136">
        <f t="shared" si="588"/>
      </c>
      <c r="DE205" s="1137">
        <f t="shared" si="588"/>
      </c>
      <c r="DF205" s="1243">
        <f t="shared" si="588"/>
      </c>
      <c r="DG205" s="1136">
        <f t="shared" si="588"/>
      </c>
      <c r="DH205" s="1136">
        <f t="shared" si="588"/>
      </c>
      <c r="DI205" s="1137">
        <f t="shared" si="588"/>
      </c>
      <c r="DJ205" s="1243">
        <f t="shared" si="588"/>
      </c>
      <c r="DK205" s="1136">
        <f t="shared" si="588"/>
      </c>
      <c r="DL205" s="1136">
        <f t="shared" si="588"/>
      </c>
      <c r="DM205" s="1137">
        <f t="shared" si="588"/>
      </c>
      <c r="DN205" s="1243">
        <f t="shared" si="588"/>
      </c>
      <c r="DO205" s="1136">
        <f t="shared" si="588"/>
      </c>
      <c r="DP205" s="1136">
        <f t="shared" si="588"/>
      </c>
      <c r="DQ205" s="1137">
        <f t="shared" si="588"/>
      </c>
      <c r="DR205" s="1243">
        <f t="shared" si="588"/>
      </c>
      <c r="DS205" s="1136">
        <f t="shared" si="588"/>
      </c>
      <c r="DT205" s="1136">
        <f t="shared" si="588"/>
      </c>
      <c r="DU205" s="1137">
        <f t="shared" si="588"/>
      </c>
      <c r="DV205" s="1243">
        <f t="shared" si="571"/>
      </c>
      <c r="DW205" s="1136">
        <f t="shared" si="572"/>
      </c>
      <c r="DX205" s="1136">
        <f t="shared" si="573"/>
      </c>
      <c r="DY205" s="1137">
        <f t="shared" si="574"/>
      </c>
      <c r="DZ205" s="1243">
        <f t="shared" si="575"/>
      </c>
      <c r="EA205" s="1136">
        <f t="shared" si="576"/>
      </c>
      <c r="EB205" s="1136">
        <f t="shared" si="577"/>
      </c>
      <c r="EC205" s="1137">
        <f t="shared" si="578"/>
      </c>
      <c r="ED205" s="1243">
        <f t="shared" si="579"/>
      </c>
      <c r="EE205" s="1136">
        <f t="shared" si="580"/>
      </c>
      <c r="EF205" s="1136">
        <f t="shared" si="581"/>
      </c>
      <c r="EG205" s="1137">
        <f t="shared" si="582"/>
      </c>
      <c r="EH205" s="1243">
        <f t="shared" si="583"/>
      </c>
      <c r="EI205" s="1136">
        <f t="shared" si="584"/>
      </c>
      <c r="EJ205" s="1136">
        <f t="shared" si="585"/>
      </c>
      <c r="EK205" s="1137">
        <f t="shared" si="586"/>
      </c>
      <c r="EL205" s="10"/>
    </row>
    <row r="206" spans="1:142">
      <c r="CL206" s="10"/>
      <c r="CM206" s="10"/>
      <c r="CN206" s="10"/>
      <c r="CO206" s="238"/>
      <c r="CP206" s="10"/>
      <c r="CQ206" s="10"/>
      <c r="CR206" s="10"/>
      <c r="CS206" s="238"/>
      <c r="CT206" s="381"/>
      <c r="CU206" s="10"/>
      <c r="CV206" s="10"/>
      <c r="CW206" s="238"/>
      <c r="CX206" s="381"/>
      <c r="CY206" s="10"/>
      <c r="CZ206" s="10"/>
      <c r="DA206" s="238"/>
      <c r="DB206" s="381"/>
      <c r="DC206" s="10"/>
      <c r="DD206" s="10"/>
      <c r="DE206" s="238"/>
      <c r="DF206" s="381"/>
      <c r="DG206" s="10"/>
      <c r="DH206" s="10"/>
      <c r="DI206" s="238"/>
      <c r="DJ206" s="381"/>
      <c r="DK206" s="10"/>
      <c r="DL206" s="10"/>
      <c r="DM206" s="238"/>
      <c r="DN206" s="381"/>
      <c r="DO206" s="10"/>
      <c r="DP206" s="10"/>
      <c r="DQ206" s="238"/>
      <c r="DR206" s="381"/>
      <c r="DS206" s="10"/>
      <c r="DT206" s="10"/>
      <c r="DU206" s="238"/>
      <c r="DV206" s="381"/>
      <c r="DW206" s="10"/>
      <c r="DX206" s="10"/>
      <c r="DY206" s="238"/>
      <c r="DZ206" s="381"/>
      <c r="EA206" s="10"/>
      <c r="EB206" s="10"/>
      <c r="EC206" s="238"/>
      <c r="ED206" s="381"/>
      <c r="EE206" s="10"/>
      <c r="EF206" s="10"/>
      <c r="EG206" s="238"/>
      <c r="EH206" s="381"/>
      <c r="EI206" s="10"/>
      <c r="EJ206" s="10"/>
      <c r="EK206" s="238"/>
      <c r="EL206" s="10"/>
    </row>
    <row r="207" spans="1:142" s="16" customFormat="1">
      <c r="A207" s="16" t="s">
        <v>1051</v>
      </c>
      <c r="H207" s="234"/>
      <c r="L207" s="234"/>
      <c r="P207" s="234"/>
      <c r="T207" s="234"/>
      <c r="X207" s="234"/>
      <c r="AB207" s="234"/>
      <c r="AF207" s="234"/>
      <c r="AJ207" s="234"/>
      <c r="AN207" s="234"/>
      <c r="AR207" s="234"/>
      <c r="AV207" s="234"/>
      <c r="AZ207" s="234"/>
      <c r="BD207" s="234"/>
      <c r="BH207" s="234"/>
      <c r="BL207" s="234"/>
      <c r="BP207" s="234"/>
      <c r="BT207" s="234"/>
      <c r="BX207" s="234"/>
      <c r="CB207" s="234"/>
      <c r="CF207" s="234"/>
      <c r="CJ207" s="234"/>
      <c r="CK207" s="234"/>
      <c r="CL207" s="1244">
        <f t="shared" ref="CL207:DU207" si="589">SUMPRODUCT(CL121:CL205,CL11:CL95)/4</f>
      </c>
      <c r="CM207" s="94">
        <f t="shared" si="589"/>
      </c>
      <c r="CN207" s="94">
        <f t="shared" si="589"/>
      </c>
      <c r="CO207" s="224">
        <f t="shared" si="589"/>
      </c>
      <c r="CP207" s="94">
        <f t="shared" si="589"/>
      </c>
      <c r="CQ207" s="94">
        <f t="shared" si="589"/>
      </c>
      <c r="CR207" s="94">
        <f t="shared" si="589"/>
      </c>
      <c r="CS207" s="224">
        <f t="shared" si="589"/>
      </c>
      <c r="CT207" s="385">
        <f t="shared" si="589"/>
      </c>
      <c r="CU207" s="379">
        <f t="shared" si="589"/>
      </c>
      <c r="CV207" s="379">
        <f t="shared" si="589"/>
      </c>
      <c r="CW207" s="380">
        <f t="shared" si="589"/>
      </c>
      <c r="CX207" s="385">
        <f t="shared" si="589"/>
      </c>
      <c r="CY207" s="379">
        <f t="shared" si="589"/>
      </c>
      <c r="CZ207" s="379">
        <f t="shared" si="589"/>
      </c>
      <c r="DA207" s="380">
        <f t="shared" si="589"/>
      </c>
      <c r="DB207" s="385">
        <f t="shared" si="589"/>
      </c>
      <c r="DC207" s="379">
        <f t="shared" si="589"/>
      </c>
      <c r="DD207" s="379">
        <f t="shared" si="589"/>
      </c>
      <c r="DE207" s="380">
        <f t="shared" si="589"/>
      </c>
      <c r="DF207" s="385">
        <f>SUMPRODUCT(DF121:DF205,DF11:DF95)/4</f>
      </c>
      <c r="DG207" s="379">
        <f>SUMPRODUCT(DG121:DG205,DG11:DG95)/4</f>
      </c>
      <c r="DH207" s="379">
        <f>SUMPRODUCT(DH121:DH205,DH11:DH95)/4</f>
      </c>
      <c r="DI207" s="380">
        <f t="shared" si="589"/>
      </c>
      <c r="DJ207" s="385">
        <f t="shared" si="589"/>
      </c>
      <c r="DK207" s="379">
        <f t="shared" si="589"/>
      </c>
      <c r="DL207" s="379">
        <f>SUMPRODUCT(DL121:DL205,DL11:DL95)/4</f>
      </c>
      <c r="DM207" s="380">
        <f t="shared" si="589"/>
      </c>
      <c r="DN207" s="385">
        <f t="shared" si="589"/>
      </c>
      <c r="DO207" s="379">
        <f t="shared" ref="DO207:DP207" si="590">SUMPRODUCT(DO121:DO205,DO11:DO95)/4</f>
      </c>
      <c r="DP207" s="379">
        <f t="shared" si="590"/>
      </c>
      <c r="DQ207" s="380">
        <f t="shared" si="589"/>
      </c>
      <c r="DR207" s="385">
        <f t="shared" si="589"/>
      </c>
      <c r="DS207" s="379">
        <f t="shared" si="589"/>
      </c>
      <c r="DT207" s="379">
        <f t="shared" si="589"/>
      </c>
      <c r="DU207" s="380">
        <f t="shared" si="589"/>
      </c>
      <c r="DV207" s="385">
        <f t="shared" ref="DV207:EK207" si="591">SUMPRODUCT(DV121:DV205,DV11:DV95)/4</f>
      </c>
      <c r="DW207" s="379">
        <f t="shared" si="591"/>
      </c>
      <c r="DX207" s="379">
        <f t="shared" si="591"/>
      </c>
      <c r="DY207" s="380">
        <f t="shared" si="591"/>
      </c>
      <c r="DZ207" s="385">
        <f t="shared" si="591"/>
      </c>
      <c r="EA207" s="379">
        <f t="shared" si="591"/>
      </c>
      <c r="EB207" s="379">
        <f t="shared" si="591"/>
      </c>
      <c r="EC207" s="380">
        <f t="shared" si="591"/>
      </c>
      <c r="ED207" s="385">
        <f t="shared" si="591"/>
      </c>
      <c r="EE207" s="379">
        <f t="shared" si="591"/>
      </c>
      <c r="EF207" s="379">
        <f t="shared" si="591"/>
      </c>
      <c r="EG207" s="380">
        <f t="shared" si="591"/>
      </c>
      <c r="EH207" s="385">
        <f t="shared" si="591"/>
      </c>
      <c r="EI207" s="379">
        <f t="shared" si="591"/>
      </c>
      <c r="EJ207" s="379">
        <f t="shared" si="591"/>
      </c>
      <c r="EK207" s="380">
        <f t="shared" si="591"/>
      </c>
      <c r="EL207" s="379"/>
    </row>
    <row r="208" spans="1:142">
      <c r="A208" s="11" t="s">
        <v>1050</v>
      </c>
      <c r="CL208" s="124">
        <f>-'Income Statement'!CL22</f>
      </c>
      <c r="CM208" s="124">
        <f>-'Income Statement'!CM22</f>
      </c>
      <c r="CN208" s="124">
        <f>-'Income Statement'!CN22</f>
      </c>
      <c r="CO208" s="189">
        <f>-'Income Statement'!CO22</f>
      </c>
      <c r="CP208" s="124">
        <f>-'Income Statement'!CP22</f>
      </c>
      <c r="CQ208" s="124">
        <f>-'Income Statement'!CQ22</f>
      </c>
      <c r="CR208" s="124">
        <f>-'Income Statement'!CR22</f>
      </c>
      <c r="CS208" s="189">
        <f>-'Income Statement'!CS22</f>
      </c>
      <c r="CT208" s="124">
        <f>-'Income Statement'!CT22</f>
      </c>
      <c r="CU208" s="124">
        <f>-'Income Statement'!CU22</f>
      </c>
      <c r="CV208" s="124">
        <f>-'Income Statement'!CV22</f>
      </c>
      <c r="CW208" s="189">
        <f>-'Income Statement'!CW22</f>
      </c>
      <c r="CX208" s="124">
        <f>-'Income Statement'!CX22</f>
      </c>
      <c r="CY208" s="124">
        <f>-'Income Statement'!CY22</f>
      </c>
      <c r="CZ208" s="124">
        <f>-'Income Statement'!CZ22</f>
      </c>
      <c r="DA208" s="189">
        <f>-'Income Statement'!DA22</f>
      </c>
      <c r="DB208" s="124">
        <f>-'Income Statement'!DB22</f>
      </c>
      <c r="DC208" s="124">
        <f>-'Income Statement'!DC22</f>
      </c>
      <c r="DD208" s="124">
        <f>-'Income Statement'!DD22</f>
      </c>
      <c r="DE208" s="189">
        <f>-'Income Statement'!DE22</f>
      </c>
      <c r="DF208" s="124">
        <f>-'Income Statement'!DF22</f>
      </c>
      <c r="DG208" s="124">
        <f>-'Income Statement'!DG22</f>
      </c>
      <c r="DH208" s="124">
        <f>-'Income Statement'!DH22</f>
      </c>
      <c r="DI208" s="189">
        <f>-'Income Statement'!DI22</f>
      </c>
      <c r="DJ208" s="124">
        <f>-'Income Statement'!DJ22</f>
      </c>
      <c r="DK208" s="124">
        <f>-'Income Statement'!DK22</f>
      </c>
      <c r="DL208" s="124">
        <f>-'Income Statement'!DL22</f>
      </c>
      <c r="DM208" s="124">
        <f>-'Income Statement'!DM22</f>
      </c>
      <c r="DN208" s="124">
        <f>-'Income Statement'!DN22</f>
      </c>
      <c r="DO208" s="124">
        <f>-'Income Statement'!DO22</f>
      </c>
      <c r="DP208" s="124">
        <f>-'Income Statement'!DP22</f>
      </c>
      <c r="DQ208" s="238">
        <f t="shared" ref="DQ208:DU208" si="592">DQ207+DQ209</f>
      </c>
      <c r="DR208" s="10">
        <f t="shared" si="592"/>
      </c>
      <c r="DS208" s="10">
        <f t="shared" si="592"/>
      </c>
      <c r="DT208" s="10">
        <f t="shared" si="592"/>
      </c>
      <c r="DU208" s="238">
        <f t="shared" si="592"/>
      </c>
      <c r="DV208" s="10">
        <f t="shared" ref="DV208:EK208" si="593">DV207+DV209</f>
      </c>
      <c r="DW208" s="10">
        <f t="shared" si="593"/>
      </c>
      <c r="DX208" s="10">
        <f t="shared" si="593"/>
      </c>
      <c r="DY208" s="238">
        <f t="shared" si="593"/>
      </c>
      <c r="DZ208" s="10">
        <f t="shared" si="593"/>
      </c>
      <c r="EA208" s="10">
        <f t="shared" si="593"/>
      </c>
      <c r="EB208" s="10">
        <f t="shared" si="593"/>
      </c>
      <c r="EC208" s="238">
        <f t="shared" si="593"/>
      </c>
      <c r="ED208" s="10">
        <f t="shared" si="593"/>
      </c>
      <c r="EE208" s="10">
        <f t="shared" si="593"/>
      </c>
      <c r="EF208" s="10">
        <f t="shared" si="593"/>
      </c>
      <c r="EG208" s="238">
        <f t="shared" si="593"/>
      </c>
      <c r="EH208" s="10">
        <f t="shared" si="593"/>
      </c>
      <c r="EI208" s="10">
        <f t="shared" si="593"/>
      </c>
      <c r="EJ208" s="10">
        <f t="shared" si="593"/>
      </c>
      <c r="EK208" s="238">
        <f t="shared" si="593"/>
      </c>
      <c r="EL208" s="379"/>
    </row>
    <row r="209" spans="1:142" s="377" customFormat="1">
      <c r="A209" s="378" t="s">
        <v>1052</v>
      </c>
      <c r="H209" s="329"/>
      <c r="L209" s="329"/>
      <c r="P209" s="329"/>
      <c r="T209" s="329"/>
      <c r="X209" s="329"/>
      <c r="AB209" s="329"/>
      <c r="AF209" s="329"/>
      <c r="AJ209" s="329"/>
      <c r="AN209" s="329"/>
      <c r="AR209" s="329"/>
      <c r="AV209" s="329"/>
      <c r="AZ209" s="329"/>
      <c r="BD209" s="329"/>
      <c r="BH209" s="329"/>
      <c r="BL209" s="329"/>
      <c r="BP209" s="329"/>
      <c r="BT209" s="329"/>
      <c r="BX209" s="329"/>
      <c r="CB209" s="329"/>
      <c r="CF209" s="329"/>
      <c r="CJ209" s="329"/>
      <c r="CK209" s="329"/>
      <c r="CL209" s="377">
        <f t="shared" ref="CL209:DD209" si="594">CL208-CL207</f>
      </c>
      <c r="CM209" s="377">
        <f t="shared" si="594"/>
      </c>
      <c r="CN209" s="377">
        <f t="shared" si="594"/>
      </c>
      <c r="CO209" s="329">
        <f t="shared" si="594"/>
      </c>
      <c r="CP209" s="1239">
        <f t="shared" si="594"/>
      </c>
      <c r="CQ209" s="1239">
        <f t="shared" si="594"/>
      </c>
      <c r="CR209" s="1239">
        <f t="shared" si="594"/>
      </c>
      <c r="CS209" s="1238">
        <f t="shared" si="594"/>
      </c>
      <c r="CT209" s="1239">
        <f t="shared" si="594"/>
      </c>
      <c r="CU209" s="1239">
        <f t="shared" si="594"/>
      </c>
      <c r="CV209" s="1239">
        <f t="shared" si="594"/>
      </c>
      <c r="CW209" s="1238">
        <f t="shared" si="594"/>
      </c>
      <c r="CX209" s="1239">
        <f t="shared" si="594"/>
      </c>
      <c r="CY209" s="1239">
        <f t="shared" si="594"/>
      </c>
      <c r="CZ209" s="1239">
        <f t="shared" si="594"/>
      </c>
      <c r="DA209" s="1238">
        <f t="shared" si="594"/>
      </c>
      <c r="DB209" s="1239">
        <f t="shared" si="594"/>
      </c>
      <c r="DC209" s="1239">
        <f t="shared" si="594"/>
      </c>
      <c r="DD209" s="1239">
        <f t="shared" si="594"/>
      </c>
      <c r="DE209" s="1238">
        <f t="shared" ref="DE209:DG209" si="595">DE208-DE207</f>
      </c>
      <c r="DF209" s="1239">
        <f t="shared" si="595"/>
      </c>
      <c r="DG209" s="1239">
        <f t="shared" si="595"/>
      </c>
      <c r="DH209" s="1239">
        <f t="shared" ref="DH209:DJ209" si="596">DH208-DH207</f>
      </c>
      <c r="DI209" s="1238">
        <f t="shared" si="596"/>
      </c>
      <c r="DJ209" s="1239">
        <f t="shared" si="596"/>
      </c>
      <c r="DK209" s="1239">
        <f t="shared" ref="DK209:DL209" si="597">DK208-DK207</f>
      </c>
      <c r="DL209" s="1239">
        <f t="shared" si="597"/>
      </c>
      <c r="DM209" s="1239">
        <f t="shared" ref="DM209:DO209" si="598">DM208-DM207</f>
      </c>
      <c r="DN209" s="1239">
        <f t="shared" si="598"/>
      </c>
      <c r="DO209" s="1239">
        <f t="shared" si="598"/>
      </c>
      <c r="DP209" s="1239">
        <f t="shared" ref="DP209" si="599">DP208-DP207</f>
      </c>
      <c r="DQ209" s="1187">
        <f t="shared" ref="DQ209" si="600">DP209</f>
      </c>
      <c r="DR209" s="1188">
        <f t="shared" ref="DR209" si="601">DQ209</f>
      </c>
      <c r="DS209" s="1188">
        <f t="shared" ref="DS209" si="602">DR209</f>
      </c>
      <c r="DT209" s="1188">
        <f t="shared" ref="DT209" si="603">DS209</f>
      </c>
      <c r="DU209" s="1187">
        <f t="shared" ref="DU209" si="604">DT209</f>
      </c>
      <c r="DV209" s="1188">
        <f t="shared" ref="DV209" si="605">DU209</f>
      </c>
      <c r="DW209" s="1188">
        <f t="shared" ref="DW209" si="606">DV209</f>
      </c>
      <c r="DX209" s="1188">
        <f t="shared" ref="DX209" si="607">DW209</f>
      </c>
      <c r="DY209" s="1187">
        <f t="shared" ref="DY209" si="608">DX209</f>
      </c>
      <c r="DZ209" s="1188">
        <f t="shared" ref="DZ209" si="609">DY209</f>
      </c>
      <c r="EA209" s="1188">
        <f t="shared" ref="EA209" si="610">DZ209</f>
      </c>
      <c r="EB209" s="1188">
        <f t="shared" ref="EB209" si="611">EA209</f>
      </c>
      <c r="EC209" s="1187">
        <f t="shared" ref="EC209" si="612">EB209</f>
      </c>
      <c r="ED209" s="1188">
        <f t="shared" ref="ED209" si="613">EC209</f>
      </c>
      <c r="EE209" s="1188">
        <f t="shared" ref="EE209" si="614">ED209</f>
      </c>
      <c r="EF209" s="1188">
        <f t="shared" ref="EF209" si="615">EE209</f>
      </c>
      <c r="EG209" s="1187">
        <f t="shared" ref="EG209" si="616">EF209</f>
      </c>
      <c r="EH209" s="1188">
        <f t="shared" ref="EH209" si="617">EG209</f>
      </c>
      <c r="EI209" s="1188">
        <f t="shared" ref="EI209" si="618">EH209</f>
      </c>
      <c r="EJ209" s="1188">
        <f t="shared" ref="EJ209" si="619">EI209</f>
      </c>
      <c r="EK209" s="1187">
        <f t="shared" ref="EK209" si="620">EJ209</f>
      </c>
      <c r="EL209" s="379"/>
    </row>
    <row r="210" spans="1:142" s="377" customFormat="1">
      <c r="A210" s="378"/>
      <c r="H210" s="329"/>
      <c r="L210" s="329"/>
      <c r="P210" s="329"/>
      <c r="T210" s="329"/>
      <c r="X210" s="329"/>
      <c r="AB210" s="329"/>
      <c r="AF210" s="329"/>
      <c r="AJ210" s="329"/>
      <c r="AN210" s="329"/>
      <c r="AR210" s="329"/>
      <c r="AV210" s="329"/>
      <c r="AZ210" s="329"/>
      <c r="BD210" s="329"/>
      <c r="BH210" s="329"/>
      <c r="BL210" s="329"/>
      <c r="BP210" s="329"/>
      <c r="BT210" s="329"/>
      <c r="BX210" s="329"/>
      <c r="CB210" s="329"/>
      <c r="CF210" s="329"/>
      <c r="CJ210" s="329"/>
      <c r="CK210" s="329"/>
      <c r="CO210" s="329"/>
      <c r="CS210" s="329"/>
      <c r="CW210" s="329"/>
      <c r="DA210" s="329"/>
      <c r="DE210" s="329"/>
      <c r="DI210" s="329"/>
      <c r="DM210" s="329"/>
      <c r="DQ210" s="329"/>
      <c r="DU210" s="329"/>
      <c r="DY210" s="329"/>
      <c r="EC210" s="329"/>
      <c r="EG210" s="329"/>
      <c r="EK210" s="329"/>
      <c r="EL210" s="379"/>
    </row>
    <row r="211" spans="1:142">
      <c r="A211" s="11" t="s">
        <v>1070</v>
      </c>
      <c r="CL211" s="213">
        <f t="shared" ref="CL211:DU211" si="621">CL208*4/CL97</f>
      </c>
      <c r="CM211" s="213">
        <f t="shared" si="621"/>
      </c>
      <c r="CN211" s="213">
        <f t="shared" si="621"/>
      </c>
      <c r="CO211" s="246">
        <f t="shared" si="621"/>
      </c>
      <c r="CP211" s="213">
        <f t="shared" si="621"/>
      </c>
      <c r="CQ211" s="213">
        <f t="shared" si="621"/>
      </c>
      <c r="CR211" s="213">
        <f t="shared" si="621"/>
      </c>
      <c r="CS211" s="246">
        <f t="shared" si="621"/>
      </c>
      <c r="CT211" s="213">
        <f t="shared" si="621"/>
      </c>
      <c r="CU211" s="213">
        <f t="shared" si="621"/>
      </c>
      <c r="CV211" s="213">
        <f t="shared" si="621"/>
      </c>
      <c r="CW211" s="246">
        <f t="shared" si="621"/>
      </c>
      <c r="CX211" s="213">
        <f t="shared" si="621"/>
      </c>
      <c r="CY211" s="213">
        <f t="shared" si="621"/>
      </c>
      <c r="CZ211" s="213">
        <f t="shared" si="621"/>
      </c>
      <c r="DA211" s="246">
        <f t="shared" si="621"/>
      </c>
      <c r="DB211" s="213">
        <f t="shared" si="621"/>
      </c>
      <c r="DC211" s="213">
        <f t="shared" si="621"/>
      </c>
      <c r="DD211" s="213">
        <f t="shared" si="621"/>
      </c>
      <c r="DE211" s="246">
        <f t="shared" si="621"/>
      </c>
      <c r="DF211" s="213">
        <f t="shared" si="621"/>
      </c>
      <c r="DG211" s="213">
        <f t="shared" si="621"/>
      </c>
      <c r="DH211" s="213">
        <f t="shared" si="621"/>
      </c>
      <c r="DI211" s="246">
        <f t="shared" si="621"/>
      </c>
      <c r="DJ211" s="213">
        <f t="shared" si="621"/>
      </c>
      <c r="DK211" s="213">
        <f t="shared" si="621"/>
      </c>
      <c r="DL211" s="213">
        <f t="shared" ref="DL211" si="622">DL208*4/DL97</f>
      </c>
      <c r="DM211" s="246">
        <f t="shared" si="621"/>
      </c>
      <c r="DN211" s="213">
        <f t="shared" si="621"/>
      </c>
      <c r="DO211" s="213">
        <f t="shared" ref="DO211" si="623">DO208*4/DO97</f>
      </c>
      <c r="DP211" s="213">
        <f t="shared" si="621"/>
      </c>
      <c r="DQ211" s="246">
        <f t="shared" si="621"/>
      </c>
      <c r="DR211" s="213">
        <f t="shared" si="621"/>
      </c>
      <c r="DS211" s="213">
        <f t="shared" si="621"/>
      </c>
      <c r="DT211" s="213">
        <f t="shared" si="621"/>
      </c>
      <c r="DU211" s="246">
        <f t="shared" si="621"/>
      </c>
      <c r="DV211" s="213">
        <f t="shared" ref="DV211:EK211" si="624">DV208*4/DV97</f>
      </c>
      <c r="DW211" s="213">
        <f t="shared" si="624"/>
      </c>
      <c r="DX211" s="213">
        <f t="shared" si="624"/>
      </c>
      <c r="DY211" s="246">
        <f t="shared" si="624"/>
      </c>
      <c r="DZ211" s="213">
        <f t="shared" si="624"/>
      </c>
      <c r="EA211" s="213">
        <f t="shared" si="624"/>
      </c>
      <c r="EB211" s="213">
        <f t="shared" si="624"/>
      </c>
      <c r="EC211" s="246">
        <f t="shared" si="624"/>
      </c>
      <c r="ED211" s="213">
        <f t="shared" si="624"/>
      </c>
      <c r="EE211" s="213">
        <f t="shared" si="624"/>
      </c>
      <c r="EF211" s="213">
        <f t="shared" si="624"/>
      </c>
      <c r="EG211" s="246">
        <f t="shared" si="624"/>
      </c>
      <c r="EH211" s="213">
        <f t="shared" si="624"/>
      </c>
      <c r="EI211" s="213">
        <f t="shared" si="624"/>
      </c>
      <c r="EJ211" s="213">
        <f t="shared" si="624"/>
      </c>
      <c r="EK211" s="246">
        <f t="shared" si="624"/>
      </c>
      <c r="EL211" s="213"/>
    </row>
  </sheetData>
  <dataValidations disablePrompts="1" count="1">
    <dataValidation type="custom" allowBlank="1" showInputMessage="1" showErrorMessage="1" sqref="BI10:CK10 B10:D10" xr:uid="{00000000-0002-0000-1100-000000000000}">
      <formula1>-1</formula1>
    </dataValidation>
  </dataValidations>
  <pageMargins left="0.7" right="0.7" top="0.75" bottom="0.75" header="0.3" footer="0.3"/>
  <pageSetup scale="40" fitToWidth="0" fitToHeight="0" orientation="landscape" r:id="rId1"/>
  <headerFooter>
    <oddFooter>&amp;L&amp;P/&amp;N&amp;R&amp;F
&amp;A
&amp;D</oddFooter>
  </headerFooter>
  <customProperties>
    <customPr name="Qube.Worksheet.Visibility" r:id="rId2"/>
    <customPr name="QXL_SHEET_ID" r:id="rId3"/>
  </customProperties>
  <drawing r:id="rId4"/>
  <legacyDrawing r:id="rId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EFEEB-A0CC-4E29-A967-7581BE0B42ED}">
  <sheetPr>
    <tabColor rgb="FF7030A0"/>
    <pageSetUpPr fitToPage="1"/>
  </sheetPr>
  <dimension ref="A1:AS76"/>
  <sheetViews>
    <sheetView showGridLines="0" zoomScale="85" zoomScaleNormal="85" workbookViewId="0">
      <pane xSplit="1" ySplit="3" topLeftCell="N4" activePane="bottomRight" state="frozen"/>
      <selection activeCell="A63" sqref="A63"/>
      <selection pane="topRight" activeCell="A63" sqref="A63"/>
      <selection pane="bottomLeft" activeCell="A63" sqref="A63"/>
      <selection pane="bottomRight" activeCell="A63" sqref="A63"/>
    </sheetView>
  </sheetViews>
  <sheetFormatPr defaultColWidth="9" defaultRowHeight="11.4" outlineLevelRow="1" outlineLevelCol="1"/>
  <cols>
    <col min="1" max="1" width="37.3984375" style="162" customWidth="1"/>
    <col min="2" max="2" width="11.3984375" style="162" hidden="1" customWidth="1" outlineLevel="1"/>
    <col min="3" max="3" width="9.19921875" style="162" hidden="1" customWidth="1" outlineLevel="1"/>
    <col min="4" max="5" width="9.09765625" style="162" hidden="1" customWidth="1" outlineLevel="1"/>
    <col min="6" max="6" width="9.19921875" style="162" hidden="1" customWidth="1" outlineLevel="1" collapsed="1"/>
    <col min="7" max="13" width="9.19921875" style="162" hidden="1" customWidth="1" outlineLevel="1"/>
    <col min="14" max="14" width="9.19921875" style="162" bestFit="1" customWidth="1" collapsed="1"/>
    <col min="15" max="24" width="9.19921875" style="162" bestFit="1" customWidth="1"/>
    <col min="25" max="25" width="9.19921875" style="162" customWidth="1"/>
    <col min="26" max="26" width="9" style="162"/>
    <col min="27" max="27" width="20.5" style="162" bestFit="1" customWidth="1"/>
    <col min="28" max="29" width="10" style="162" bestFit="1" customWidth="1"/>
    <col min="30" max="31" width="10.19921875" style="162" bestFit="1" customWidth="1"/>
    <col min="32" max="32" width="2.09765625" style="162" customWidth="1"/>
    <col min="33" max="36" width="9.09765625" style="162" bestFit="1" customWidth="1"/>
    <col min="37" max="16384" width="9" style="162"/>
  </cols>
  <sheetData>
    <row r="1" spans="1:39">
      <c r="AA1" s="160"/>
    </row>
    <row r="2" spans="1:39" ht="12">
      <c r="A2" s="2866"/>
      <c r="B2" s="1810" t="s">
        <v>994</v>
      </c>
      <c r="C2" s="1811"/>
      <c r="D2" s="1811"/>
      <c r="E2" s="1811"/>
      <c r="F2" s="1810" t="s">
        <v>1117</v>
      </c>
      <c r="G2" s="1811"/>
      <c r="H2" s="1811"/>
      <c r="I2" s="1811"/>
      <c r="J2" s="1810" t="s">
        <v>1135</v>
      </c>
      <c r="K2" s="1811"/>
      <c r="L2" s="1811"/>
      <c r="M2" s="1811"/>
      <c r="N2" s="1810" t="s">
        <v>1163</v>
      </c>
      <c r="O2" s="1811"/>
      <c r="P2" s="1811"/>
      <c r="Q2" s="1811"/>
      <c r="R2" s="1810" t="s">
        <v>1164</v>
      </c>
      <c r="S2" s="1811"/>
      <c r="T2" s="1811"/>
      <c r="U2" s="3282"/>
      <c r="V2" s="1810" t="s">
        <v>1523</v>
      </c>
      <c r="W2" s="1811"/>
      <c r="X2" s="1811"/>
      <c r="Y2" s="3282"/>
      <c r="AA2" s="1812"/>
      <c r="AB2" s="3396" t="s">
        <v>668</v>
      </c>
      <c r="AC2" s="3396"/>
      <c r="AD2" s="3396"/>
      <c r="AE2" s="3397"/>
      <c r="AG2" s="3398" t="s">
        <v>1435</v>
      </c>
      <c r="AH2" s="3396"/>
      <c r="AI2" s="3396"/>
      <c r="AJ2" s="3397"/>
      <c r="AL2" s="2790" t="s">
        <v>544</v>
      </c>
      <c r="AM2" s="2788" t="s">
        <v>545</v>
      </c>
    </row>
    <row r="3" spans="1:39" ht="12">
      <c r="A3" s="2867"/>
      <c r="B3" s="1813" t="s">
        <v>1424</v>
      </c>
      <c r="C3" s="1814" t="s">
        <v>1425</v>
      </c>
      <c r="D3" s="1813" t="s">
        <v>1426</v>
      </c>
      <c r="E3" s="1815" t="s">
        <v>1427</v>
      </c>
      <c r="F3" s="1813" t="s">
        <v>1424</v>
      </c>
      <c r="G3" s="1814" t="s">
        <v>1425</v>
      </c>
      <c r="H3" s="1813" t="s">
        <v>1426</v>
      </c>
      <c r="I3" s="1815" t="s">
        <v>1427</v>
      </c>
      <c r="J3" s="1813" t="s">
        <v>1424</v>
      </c>
      <c r="K3" s="1814" t="s">
        <v>1425</v>
      </c>
      <c r="L3" s="1813" t="s">
        <v>1426</v>
      </c>
      <c r="M3" s="1815" t="s">
        <v>1427</v>
      </c>
      <c r="N3" s="1813" t="s">
        <v>1424</v>
      </c>
      <c r="O3" s="1814" t="s">
        <v>1425</v>
      </c>
      <c r="P3" s="1813" t="s">
        <v>1426</v>
      </c>
      <c r="Q3" s="1815" t="s">
        <v>1427</v>
      </c>
      <c r="R3" s="1813" t="s">
        <v>1424</v>
      </c>
      <c r="S3" s="1814" t="s">
        <v>1425</v>
      </c>
      <c r="T3" s="1813" t="s">
        <v>1426</v>
      </c>
      <c r="U3" s="1815" t="s">
        <v>1427</v>
      </c>
      <c r="V3" s="1813" t="s">
        <v>1424</v>
      </c>
      <c r="W3" s="1814" t="s">
        <v>1425</v>
      </c>
      <c r="X3" s="1813" t="s">
        <v>1426</v>
      </c>
      <c r="Y3" s="1815" t="s">
        <v>1427</v>
      </c>
      <c r="AA3" s="1816"/>
      <c r="AB3" s="1817" t="s">
        <v>1434</v>
      </c>
      <c r="AC3" s="1817" t="s">
        <v>1470</v>
      </c>
      <c r="AD3" s="1817" t="s">
        <v>2314</v>
      </c>
      <c r="AE3" s="3291" t="s">
        <v>2389</v>
      </c>
      <c r="AF3" s="2252"/>
      <c r="AG3" s="1817" t="str">
        <f>AB3</f>
      </c>
      <c r="AH3" s="1817" t="str">
        <f>AC3</f>
      </c>
      <c r="AI3" s="1817" t="str">
        <f>AD3</f>
      </c>
      <c r="AJ3" s="3156" t="s">
        <v>2314</v>
      </c>
      <c r="AL3" s="2790" t="s">
        <v>2204</v>
      </c>
      <c r="AM3" s="2788" t="s">
        <v>668</v>
      </c>
    </row>
    <row r="4" spans="1:39" ht="12">
      <c r="A4" s="1532" t="s">
        <v>63</v>
      </c>
      <c r="B4" s="1553">
        <f>'Income Statement'!FM9</f>
      </c>
      <c r="C4" s="193">
        <v>393406.52115760813</v>
      </c>
      <c r="D4" s="1824">
        <f>B4-C4</f>
      </c>
      <c r="E4" s="1554">
        <f>D4/C4</f>
      </c>
      <c r="F4" s="1553">
        <f>'Income Statement'!FN9</f>
      </c>
      <c r="G4" s="193">
        <v>382702.4631118204</v>
      </c>
      <c r="H4" s="1824">
        <f>F4-G4</f>
      </c>
      <c r="I4" s="1554">
        <f>H4/G4</f>
      </c>
      <c r="J4" s="1553">
        <f>'Income Statement'!FO9</f>
      </c>
      <c r="K4" s="193">
        <v>390631.90844517277</v>
      </c>
      <c r="L4" s="1824">
        <f>J4-K4</f>
      </c>
      <c r="M4" s="1554">
        <f>L4/K4</f>
      </c>
      <c r="N4" s="1553">
        <f>'Income Statement'!FP9</f>
      </c>
      <c r="O4" s="193">
        <v>408642.21315863263</v>
      </c>
      <c r="P4" s="1824">
        <f>N4-O4</f>
      </c>
      <c r="Q4" s="1554">
        <f>P4/O4</f>
      </c>
      <c r="R4" s="1553">
        <f>'Income Statement'!FQ9</f>
      </c>
      <c r="S4" s="193">
        <v>433931.08825280698</v>
      </c>
      <c r="T4" s="1824">
        <f>R4-S4</f>
      </c>
      <c r="U4" s="1554">
        <f>T4/S4</f>
      </c>
      <c r="V4" s="1553">
        <f>'Income Statement'!FR9</f>
      </c>
      <c r="W4" s="193">
        <v>466529.91393794562</v>
      </c>
      <c r="X4" s="1824">
        <f>V4-W4</f>
      </c>
      <c r="Y4" s="1554">
        <f>X4/W4</f>
      </c>
      <c r="AA4" s="1818" t="s">
        <v>1433</v>
      </c>
      <c r="AB4" s="1573">
        <v>407570.28</v>
      </c>
      <c r="AC4" s="1573">
        <v>430610.2</v>
      </c>
      <c r="AD4" s="1573">
        <v>454675.3</v>
      </c>
      <c r="AE4" s="1573">
        <v>455481</v>
      </c>
      <c r="AF4" s="2252"/>
      <c r="AG4" s="1820">
        <f>N4/AB4-1</f>
      </c>
      <c r="AH4" s="1820">
        <f>R4/AC4-1</f>
      </c>
      <c r="AI4" s="2795">
        <f>V4/AD4-1</f>
      </c>
      <c r="AJ4" s="2796"/>
      <c r="AL4" s="2790" t="s">
        <v>2205</v>
      </c>
      <c r="AM4" s="2789">
        <f ca="1">TODAY()</f>
      </c>
    </row>
    <row r="5" spans="1:39" ht="12">
      <c r="A5" s="2166" t="s">
        <v>66</v>
      </c>
      <c r="B5" s="1553">
        <f>'Income Statement'!FM10</f>
      </c>
      <c r="C5" s="193">
        <v>223244.30317525798</v>
      </c>
      <c r="D5" s="1824">
        <f t="shared" ref="D5:D17" si="0">B5-C5</f>
      </c>
      <c r="E5" s="1554">
        <f t="shared" ref="E5:E17" si="1">D5/C5</f>
      </c>
      <c r="F5" s="1553">
        <f>'Income Statement'!FN10</f>
      </c>
      <c r="G5" s="193">
        <v>214185.9653252876</v>
      </c>
      <c r="H5" s="1824">
        <f t="shared" ref="H5:H17" si="2">F5-G5</f>
      </c>
      <c r="I5" s="1554">
        <f t="shared" ref="I5:I17" si="3">H5/G5</f>
      </c>
      <c r="J5" s="1553">
        <f>'Income Statement'!FO10</f>
      </c>
      <c r="K5" s="193">
        <v>210121.17409781375</v>
      </c>
      <c r="L5" s="1824">
        <f t="shared" ref="L5:L17" si="4">J5-K5</f>
      </c>
      <c r="M5" s="1554">
        <f t="shared" ref="M5:M17" si="5">L5/K5</f>
      </c>
      <c r="N5" s="1553">
        <f>'Income Statement'!FP10</f>
      </c>
      <c r="O5" s="193">
        <v>218243.79223882861</v>
      </c>
      <c r="P5" s="1824">
        <f t="shared" ref="P5:P17" si="6">N5-O5</f>
      </c>
      <c r="Q5" s="1554">
        <f t="shared" ref="Q5:Q17" si="7">P5/O5</f>
      </c>
      <c r="R5" s="1553">
        <f>'Income Statement'!FQ10</f>
      </c>
      <c r="S5" s="193">
        <v>235446.47133890502</v>
      </c>
      <c r="T5" s="1824">
        <f t="shared" ref="T5:T17" si="8">R5-S5</f>
      </c>
      <c r="U5" s="1554">
        <f t="shared" ref="U5:U17" si="9">T5/S5</f>
      </c>
      <c r="V5" s="1553">
        <f>'Income Statement'!FR10</f>
      </c>
      <c r="W5" s="193">
        <v>250587.51377089386</v>
      </c>
      <c r="X5" s="1824">
        <f t="shared" ref="X5:X18" si="10">V5-W5</f>
      </c>
      <c r="Y5" s="1554">
        <f t="shared" ref="Y5:Y18" si="11">X5/W5</f>
      </c>
      <c r="AA5" s="1396"/>
      <c r="AB5" s="1574"/>
      <c r="AC5" s="1574"/>
      <c r="AD5" s="1574"/>
      <c r="AE5" s="1574"/>
      <c r="AF5" s="2252"/>
      <c r="AG5" s="1820"/>
      <c r="AH5" s="1820"/>
      <c r="AI5" s="1820"/>
      <c r="AJ5" s="1821"/>
      <c r="AL5" s="2790" t="s">
        <v>2206</v>
      </c>
      <c r="AM5" s="2791" t="s">
        <v>2239</v>
      </c>
    </row>
    <row r="6" spans="1:39" ht="12">
      <c r="A6" s="2242" t="s">
        <v>67</v>
      </c>
      <c r="B6" s="1557">
        <f>'Income Statement'!FM11</f>
      </c>
      <c r="C6" s="1541">
        <v>170162.21798235015</v>
      </c>
      <c r="D6" s="1826">
        <f t="shared" si="0"/>
      </c>
      <c r="E6" s="1558">
        <f t="shared" si="1"/>
      </c>
      <c r="F6" s="1557">
        <f>'Income Statement'!FN11</f>
      </c>
      <c r="G6" s="1541">
        <v>168516.49778653285</v>
      </c>
      <c r="H6" s="1826">
        <f t="shared" si="2"/>
      </c>
      <c r="I6" s="1558">
        <f t="shared" si="3"/>
      </c>
      <c r="J6" s="1557">
        <f>'Income Statement'!FO11</f>
      </c>
      <c r="K6" s="1541">
        <v>180510.73434735899</v>
      </c>
      <c r="L6" s="1826">
        <f t="shared" si="4"/>
      </c>
      <c r="M6" s="1558">
        <f t="shared" si="5"/>
      </c>
      <c r="N6" s="1557">
        <f>'Income Statement'!FP11</f>
      </c>
      <c r="O6" s="1541">
        <v>190398.42091980402</v>
      </c>
      <c r="P6" s="1826">
        <f t="shared" si="6"/>
      </c>
      <c r="Q6" s="1558">
        <f t="shared" si="7"/>
      </c>
      <c r="R6" s="1557">
        <f>'Income Statement'!FQ11</f>
      </c>
      <c r="S6" s="1541">
        <v>198484.6169139019</v>
      </c>
      <c r="T6" s="1826">
        <f t="shared" si="8"/>
      </c>
      <c r="U6" s="1558">
        <f t="shared" si="9"/>
      </c>
      <c r="V6" s="1557">
        <f>'Income Statement'!FR11</f>
      </c>
      <c r="W6" s="1541">
        <v>215942.40016705179</v>
      </c>
      <c r="X6" s="1826">
        <f>V6-W6</f>
      </c>
      <c r="Y6" s="1558">
        <f t="shared" si="11"/>
      </c>
      <c r="Z6" s="2252"/>
      <c r="AA6" s="2161" t="s">
        <v>67</v>
      </c>
      <c r="AB6" s="2162">
        <v>189387.3</v>
      </c>
      <c r="AC6" s="2162">
        <v>199560.8</v>
      </c>
      <c r="AD6" s="2162">
        <v>211332.77</v>
      </c>
      <c r="AE6" s="2162">
        <v>194428</v>
      </c>
      <c r="AF6" s="3157"/>
      <c r="AG6" s="2164">
        <f>N6/AB6-1</f>
      </c>
      <c r="AH6" s="2164">
        <f>R6/AC6-1</f>
      </c>
      <c r="AI6" s="2164">
        <f>V6/AD6-1</f>
      </c>
      <c r="AJ6" s="2165"/>
    </row>
    <row r="7" spans="1:39">
      <c r="A7" s="2166" t="s">
        <v>68</v>
      </c>
      <c r="B7" s="1553">
        <f>'Income Statement'!FM12</f>
      </c>
      <c r="C7" s="193">
        <v>26337</v>
      </c>
      <c r="D7" s="1824">
        <f t="shared" si="0"/>
      </c>
      <c r="E7" s="1554">
        <f t="shared" si="1"/>
      </c>
      <c r="F7" s="1553">
        <f>'Income Statement'!FN12</f>
      </c>
      <c r="G7" s="193">
        <v>30050</v>
      </c>
      <c r="H7" s="1824">
        <f t="shared" si="2"/>
      </c>
      <c r="I7" s="1554">
        <f t="shared" si="3"/>
      </c>
      <c r="J7" s="1553">
        <f>'Income Statement'!FO12</f>
      </c>
      <c r="K7" s="193">
        <v>31611</v>
      </c>
      <c r="L7" s="1824">
        <f t="shared" si="4"/>
      </c>
      <c r="M7" s="1554">
        <f t="shared" si="5"/>
      </c>
      <c r="N7" s="1553">
        <f>'Income Statement'!FP12</f>
      </c>
      <c r="O7" s="193">
        <v>34368</v>
      </c>
      <c r="P7" s="1824">
        <f t="shared" si="6"/>
      </c>
      <c r="Q7" s="1554">
        <f t="shared" si="7"/>
      </c>
      <c r="R7" s="1553">
        <f>'Income Statement'!FQ12</f>
      </c>
      <c r="S7" s="193">
        <v>37150</v>
      </c>
      <c r="T7" s="1824">
        <f t="shared" si="8"/>
      </c>
      <c r="U7" s="1554">
        <f t="shared" si="9"/>
      </c>
      <c r="V7" s="1553">
        <f>'Income Statement'!FR12</f>
      </c>
      <c r="W7" s="193">
        <v>39750</v>
      </c>
      <c r="X7" s="1824">
        <f t="shared" si="10"/>
      </c>
      <c r="Y7" s="1554">
        <f t="shared" si="11"/>
      </c>
      <c r="AA7" s="1580"/>
      <c r="AB7" s="1574"/>
      <c r="AC7" s="1574"/>
      <c r="AD7" s="1574"/>
      <c r="AE7" s="1574"/>
      <c r="AF7" s="2252"/>
      <c r="AG7" s="1820"/>
      <c r="AH7" s="1820"/>
      <c r="AI7" s="1820"/>
      <c r="AJ7" s="1821"/>
    </row>
    <row r="8" spans="1:39">
      <c r="A8" s="2167" t="s">
        <v>76</v>
      </c>
      <c r="B8" s="1553">
        <f>'Income Statement'!FM13</f>
      </c>
      <c r="C8" s="193">
        <v>24816</v>
      </c>
      <c r="D8" s="1824">
        <f t="shared" si="0"/>
      </c>
      <c r="E8" s="1554">
        <f t="shared" si="1"/>
      </c>
      <c r="F8" s="1553">
        <f>'Income Statement'!FN13</f>
      </c>
      <c r="G8" s="193">
        <v>24954</v>
      </c>
      <c r="H8" s="1824">
        <f t="shared" si="2"/>
      </c>
      <c r="I8" s="1554">
        <f t="shared" si="3"/>
      </c>
      <c r="J8" s="1553">
        <f>'Income Statement'!FO13</f>
      </c>
      <c r="K8" s="193">
        <v>25894</v>
      </c>
      <c r="L8" s="1824">
        <f t="shared" si="4"/>
      </c>
      <c r="M8" s="1554">
        <f t="shared" si="5"/>
      </c>
      <c r="N8" s="1553">
        <f>'Income Statement'!FP13</f>
      </c>
      <c r="O8" s="193">
        <v>27359</v>
      </c>
      <c r="P8" s="1824">
        <f t="shared" si="6"/>
      </c>
      <c r="Q8" s="1554">
        <f t="shared" si="7"/>
      </c>
      <c r="R8" s="1553">
        <f>'Income Statement'!FQ13</f>
      </c>
      <c r="S8" s="193">
        <v>28062</v>
      </c>
      <c r="T8" s="1824">
        <f t="shared" si="8"/>
      </c>
      <c r="U8" s="1554">
        <f t="shared" si="9"/>
      </c>
      <c r="V8" s="1553">
        <f>'Income Statement'!FR13</f>
      </c>
      <c r="W8" s="193">
        <v>28862</v>
      </c>
      <c r="X8" s="1824">
        <f t="shared" si="10"/>
      </c>
      <c r="Y8" s="1554">
        <f t="shared" si="11"/>
      </c>
      <c r="AA8" s="1580"/>
      <c r="AB8" s="1574"/>
      <c r="AC8" s="1574"/>
      <c r="AD8" s="1574"/>
      <c r="AE8" s="1574"/>
      <c r="AF8" s="2252"/>
      <c r="AG8" s="1820"/>
      <c r="AH8" s="1820"/>
      <c r="AI8" s="1820"/>
      <c r="AJ8" s="1821"/>
    </row>
    <row r="9" spans="1:39">
      <c r="A9" s="2168" t="s">
        <v>69</v>
      </c>
      <c r="B9" s="1555">
        <f>'Income Statement'!FM14</f>
      </c>
      <c r="C9" s="1537">
        <v>51153</v>
      </c>
      <c r="D9" s="1825">
        <f t="shared" si="0"/>
      </c>
      <c r="E9" s="1556">
        <f t="shared" si="1"/>
      </c>
      <c r="F9" s="1555">
        <f>'Income Statement'!FN14</f>
      </c>
      <c r="G9" s="1537">
        <v>55004</v>
      </c>
      <c r="H9" s="1825">
        <f t="shared" si="2"/>
      </c>
      <c r="I9" s="1556">
        <f t="shared" si="3"/>
      </c>
      <c r="J9" s="1555">
        <f>'Income Statement'!FO14</f>
      </c>
      <c r="K9" s="1537">
        <v>57505</v>
      </c>
      <c r="L9" s="1825">
        <f t="shared" si="4"/>
      </c>
      <c r="M9" s="1556">
        <f t="shared" si="5"/>
      </c>
      <c r="N9" s="1555">
        <f>'Income Statement'!FP14</f>
      </c>
      <c r="O9" s="1537">
        <v>61727</v>
      </c>
      <c r="P9" s="1825">
        <f t="shared" si="6"/>
      </c>
      <c r="Q9" s="1556">
        <f t="shared" si="7"/>
      </c>
      <c r="R9" s="1555">
        <f>'Income Statement'!FQ14</f>
      </c>
      <c r="S9" s="1537">
        <v>65212</v>
      </c>
      <c r="T9" s="1825">
        <f t="shared" si="8"/>
      </c>
      <c r="U9" s="1556">
        <f t="shared" si="9"/>
      </c>
      <c r="V9" s="1555">
        <f>'Income Statement'!FR14</f>
      </c>
      <c r="W9" s="1537">
        <v>68612</v>
      </c>
      <c r="X9" s="1825">
        <f t="shared" si="10"/>
      </c>
      <c r="Y9" s="1556">
        <f t="shared" si="11"/>
      </c>
      <c r="AA9" s="2169"/>
      <c r="AB9" s="2170"/>
      <c r="AC9" s="2170"/>
      <c r="AD9" s="2170"/>
      <c r="AE9" s="2170"/>
      <c r="AF9" s="2252"/>
      <c r="AG9" s="2170"/>
      <c r="AH9" s="2170"/>
      <c r="AI9" s="2170"/>
      <c r="AJ9" s="2171"/>
    </row>
    <row r="10" spans="1:39" ht="12">
      <c r="A10" s="1538" t="s">
        <v>70</v>
      </c>
      <c r="B10" s="1555">
        <f>'Income Statement'!FM15</f>
      </c>
      <c r="C10" s="1537">
        <v>119009.21798235015</v>
      </c>
      <c r="D10" s="1825">
        <f t="shared" si="0"/>
      </c>
      <c r="E10" s="1556">
        <f t="shared" si="1"/>
      </c>
      <c r="F10" s="1555">
        <f>'Income Statement'!FN15</f>
      </c>
      <c r="G10" s="1537">
        <v>113512.49778653284</v>
      </c>
      <c r="H10" s="1825">
        <f t="shared" si="2"/>
      </c>
      <c r="I10" s="1556">
        <f t="shared" si="3"/>
      </c>
      <c r="J10" s="1555">
        <f>'Income Statement'!FO15</f>
      </c>
      <c r="K10" s="1537">
        <v>123005.734347359</v>
      </c>
      <c r="L10" s="1825">
        <f t="shared" si="4"/>
      </c>
      <c r="M10" s="1556">
        <f t="shared" si="5"/>
      </c>
      <c r="N10" s="1555">
        <f>'Income Statement'!FP15</f>
      </c>
      <c r="O10" s="1537">
        <v>128671.42091980403</v>
      </c>
      <c r="P10" s="1825">
        <f t="shared" si="6"/>
      </c>
      <c r="Q10" s="1556">
        <f t="shared" si="7"/>
      </c>
      <c r="R10" s="1555">
        <f>'Income Statement'!FQ15</f>
      </c>
      <c r="S10" s="1537">
        <v>133272.61691390193</v>
      </c>
      <c r="T10" s="1825">
        <f t="shared" si="8"/>
      </c>
      <c r="U10" s="1556">
        <f t="shared" si="9"/>
      </c>
      <c r="V10" s="1555">
        <f>'Income Statement'!FR15</f>
      </c>
      <c r="W10" s="1537">
        <v>147330.40016705179</v>
      </c>
      <c r="X10" s="1825">
        <f t="shared" si="10"/>
      </c>
      <c r="Y10" s="1556">
        <f t="shared" si="11"/>
      </c>
      <c r="AA10" s="2161" t="s">
        <v>70</v>
      </c>
      <c r="AB10" s="2162">
        <v>127897.3</v>
      </c>
      <c r="AC10" s="2162">
        <v>135058.48000000001</v>
      </c>
      <c r="AD10" s="2162">
        <v>141857.63</v>
      </c>
      <c r="AE10" s="2162">
        <v>128296</v>
      </c>
      <c r="AF10" s="3157"/>
      <c r="AG10" s="2164">
        <f>N10/AB10-1</f>
      </c>
      <c r="AH10" s="2164">
        <f>R10/AC10-1</f>
      </c>
      <c r="AI10" s="2164">
        <f>V10/AD10-1</f>
      </c>
      <c r="AJ10" s="2165"/>
    </row>
    <row r="11" spans="1:39">
      <c r="A11" s="1309" t="s">
        <v>689</v>
      </c>
      <c r="B11" s="1553">
        <f>'Income Statement'!FM18</f>
      </c>
      <c r="C11" s="193">
        <v>-198.10040000000015</v>
      </c>
      <c r="D11" s="1824">
        <f t="shared" si="0"/>
      </c>
      <c r="E11" s="1554">
        <f t="shared" si="1"/>
      </c>
      <c r="F11" s="1553">
        <f>'Income Statement'!FN18</f>
      </c>
      <c r="G11" s="193">
        <v>-844.00000000000011</v>
      </c>
      <c r="H11" s="1824">
        <f t="shared" si="2"/>
      </c>
      <c r="I11" s="1554">
        <f t="shared" si="3"/>
      </c>
      <c r="J11" s="1553">
        <f>'Income Statement'!FO18</f>
      </c>
      <c r="K11" s="193">
        <v>200</v>
      </c>
      <c r="L11" s="1824">
        <f t="shared" si="4"/>
      </c>
      <c r="M11" s="1554">
        <f t="shared" si="5"/>
      </c>
      <c r="N11" s="1553">
        <f>'Income Statement'!FP18</f>
      </c>
      <c r="O11" s="193">
        <v>-865.60774635861981</v>
      </c>
      <c r="P11" s="1824">
        <f t="shared" si="6"/>
      </c>
      <c r="Q11" s="1554">
        <f t="shared" si="7"/>
      </c>
      <c r="R11" s="1553">
        <f>'Income Statement'!FQ18</f>
      </c>
      <c r="S11" s="193">
        <v>-21.408211510977594</v>
      </c>
      <c r="T11" s="1824">
        <f t="shared" si="8"/>
      </c>
      <c r="U11" s="1554">
        <f t="shared" si="9"/>
      </c>
      <c r="V11" s="1553">
        <f>'Income Statement'!FR18</f>
      </c>
      <c r="W11" s="193">
        <v>-277.50628730786821</v>
      </c>
      <c r="X11" s="1824">
        <f t="shared" si="10"/>
      </c>
      <c r="Y11" s="1554">
        <f t="shared" si="11"/>
      </c>
      <c r="AA11" s="1580"/>
      <c r="AB11" s="1574"/>
      <c r="AC11" s="1574"/>
      <c r="AD11" s="1574"/>
      <c r="AE11" s="1574"/>
      <c r="AF11" s="2252"/>
      <c r="AG11" s="1820"/>
      <c r="AH11" s="1820"/>
      <c r="AI11" s="1820"/>
      <c r="AJ11" s="1821"/>
    </row>
    <row r="12" spans="1:39" ht="12">
      <c r="A12" s="2240" t="s">
        <v>71</v>
      </c>
      <c r="B12" s="1557">
        <f>'Income Statement'!FM23</f>
      </c>
      <c r="C12" s="1541">
        <v>118811.11758235014</v>
      </c>
      <c r="D12" s="1826">
        <f t="shared" si="0"/>
      </c>
      <c r="E12" s="1558">
        <f t="shared" si="1"/>
      </c>
      <c r="F12" s="1557">
        <f>'Income Statement'!FN23</f>
      </c>
      <c r="G12" s="1541">
        <v>112668.49778653284</v>
      </c>
      <c r="H12" s="1826">
        <f t="shared" si="2"/>
      </c>
      <c r="I12" s="1558">
        <f t="shared" si="3"/>
      </c>
      <c r="J12" s="1557">
        <f>'Income Statement'!FO23</f>
      </c>
      <c r="K12" s="1541">
        <v>123205.734347359</v>
      </c>
      <c r="L12" s="1826">
        <f t="shared" si="4"/>
      </c>
      <c r="M12" s="1558">
        <f t="shared" si="5"/>
      </c>
      <c r="N12" s="1557">
        <f>'Income Statement'!FP23</f>
      </c>
      <c r="O12" s="1541">
        <v>127805.81317344541</v>
      </c>
      <c r="P12" s="1826">
        <f t="shared" si="6"/>
      </c>
      <c r="Q12" s="1558">
        <f t="shared" si="7"/>
      </c>
      <c r="R12" s="1557">
        <f>'Income Statement'!FQ23</f>
      </c>
      <c r="S12" s="1541">
        <v>133251.20870239096</v>
      </c>
      <c r="T12" s="1826">
        <f t="shared" si="8"/>
      </c>
      <c r="U12" s="1558">
        <f t="shared" si="9"/>
      </c>
      <c r="V12" s="1557">
        <f>'Income Statement'!FR23</f>
      </c>
      <c r="W12" s="1541">
        <v>147052.89387974393</v>
      </c>
      <c r="X12" s="1826">
        <f t="shared" si="10"/>
      </c>
      <c r="Y12" s="1558">
        <f t="shared" si="11"/>
      </c>
      <c r="AA12" s="1580"/>
      <c r="AB12" s="1574"/>
      <c r="AC12" s="1574"/>
      <c r="AD12" s="1574"/>
      <c r="AE12" s="1574"/>
      <c r="AF12" s="2252"/>
      <c r="AG12" s="1820"/>
      <c r="AH12" s="1820"/>
      <c r="AI12" s="1820"/>
      <c r="AJ12" s="1821"/>
    </row>
    <row r="13" spans="1:39">
      <c r="A13" s="2241" t="s">
        <v>72</v>
      </c>
      <c r="B13" s="1553">
        <f>'Income Statement'!FM24</f>
      </c>
      <c r="C13" s="193">
        <v>19262.418813176024</v>
      </c>
      <c r="D13" s="1824">
        <f t="shared" si="0"/>
      </c>
      <c r="E13" s="1554">
        <f t="shared" si="1"/>
      </c>
      <c r="F13" s="1553">
        <f>'Income Statement'!FN24</f>
      </c>
      <c r="G13" s="193">
        <v>16847.879645845256</v>
      </c>
      <c r="H13" s="1824">
        <f t="shared" si="2"/>
      </c>
      <c r="I13" s="1554">
        <f t="shared" si="3"/>
      </c>
      <c r="J13" s="1553">
        <f>'Income Statement'!FO24</f>
      </c>
      <c r="K13" s="193">
        <v>19714.571167314236</v>
      </c>
      <c r="L13" s="1824">
        <f t="shared" si="4"/>
      </c>
      <c r="M13" s="1554">
        <f t="shared" si="5"/>
      </c>
      <c r="N13" s="1553">
        <f>'Income Statement'!FP24</f>
      </c>
      <c r="O13" s="193">
        <v>19729.890107751267</v>
      </c>
      <c r="P13" s="1824">
        <f t="shared" si="6"/>
      </c>
      <c r="Q13" s="1554">
        <f t="shared" si="7"/>
      </c>
      <c r="R13" s="1553">
        <f>'Income Statement'!FQ24</f>
      </c>
      <c r="S13" s="193">
        <v>21320.193392382553</v>
      </c>
      <c r="T13" s="1824">
        <f t="shared" si="8"/>
      </c>
      <c r="U13" s="1554">
        <f t="shared" si="9"/>
      </c>
      <c r="V13" s="1553">
        <f>'Income Statement'!FR24</f>
      </c>
      <c r="W13" s="193">
        <v>23528.463020759027</v>
      </c>
      <c r="X13" s="1824">
        <f t="shared" si="10"/>
      </c>
      <c r="Y13" s="1554">
        <f t="shared" si="11"/>
      </c>
      <c r="AA13" s="1580"/>
      <c r="AB13" s="1574"/>
      <c r="AC13" s="1574"/>
      <c r="AD13" s="1574"/>
      <c r="AE13" s="1574"/>
      <c r="AF13" s="2252"/>
      <c r="AG13" s="1820"/>
      <c r="AH13" s="1820"/>
      <c r="AI13" s="1820"/>
      <c r="AJ13" s="1821"/>
    </row>
    <row r="14" spans="1:39" ht="12" hidden="1" outlineLevel="1">
      <c r="A14" s="1533" t="s">
        <v>1154</v>
      </c>
      <c r="B14" s="1557">
        <f>'Income Statement'!FM26</f>
      </c>
      <c r="C14" s="1541">
        <v>99548.698769174123</v>
      </c>
      <c r="D14" s="1826">
        <f t="shared" si="0"/>
      </c>
      <c r="E14" s="1558">
        <f t="shared" si="1"/>
      </c>
      <c r="F14" s="1557">
        <f>'Income Statement'!FN26</f>
      </c>
      <c r="G14" s="1541">
        <v>95820.618140687584</v>
      </c>
      <c r="H14" s="1826">
        <f t="shared" si="2"/>
      </c>
      <c r="I14" s="1558">
        <f t="shared" si="3"/>
      </c>
      <c r="J14" s="1557">
        <f>'Income Statement'!FO26</f>
      </c>
      <c r="K14" s="1541">
        <v>103491.16318004476</v>
      </c>
      <c r="L14" s="1826">
        <f t="shared" si="4"/>
      </c>
      <c r="M14" s="1558">
        <f t="shared" si="5"/>
      </c>
      <c r="N14" s="1557">
        <f>'Income Statement'!FP26</f>
      </c>
      <c r="O14" s="1541">
        <v>108075.92306569414</v>
      </c>
      <c r="P14" s="1826">
        <f t="shared" si="6"/>
      </c>
      <c r="Q14" s="1558">
        <f t="shared" si="7"/>
      </c>
      <c r="R14" s="1557">
        <f>'Income Statement'!FQ26</f>
      </c>
      <c r="S14" s="1541">
        <v>111931.0153100084</v>
      </c>
      <c r="T14" s="1826">
        <f t="shared" si="8"/>
      </c>
      <c r="U14" s="1558">
        <f t="shared" si="9"/>
      </c>
      <c r="V14" s="1557">
        <f>'Income Statement'!FR26</f>
      </c>
      <c r="W14" s="1541">
        <v>123524.43085898491</v>
      </c>
      <c r="X14" s="1826">
        <f t="shared" si="10"/>
      </c>
      <c r="Y14" s="1558">
        <f t="shared" si="11"/>
      </c>
      <c r="AA14" s="1580"/>
      <c r="AB14" s="1574"/>
      <c r="AC14" s="1574"/>
      <c r="AD14" s="1574"/>
      <c r="AE14" s="1574"/>
      <c r="AF14" s="2252"/>
      <c r="AG14" s="1820"/>
      <c r="AH14" s="1820"/>
      <c r="AI14" s="1820"/>
      <c r="AJ14" s="1821"/>
    </row>
    <row r="15" spans="1:39" ht="12" collapsed="1">
      <c r="A15" s="1539" t="s">
        <v>80</v>
      </c>
      <c r="B15" s="1557">
        <f>'Income Statement'!FM28</f>
      </c>
      <c r="C15" s="1541">
        <v>99548.698769174123</v>
      </c>
      <c r="D15" s="1826">
        <f t="shared" si="0"/>
      </c>
      <c r="E15" s="1558">
        <f t="shared" si="1"/>
      </c>
      <c r="F15" s="1557">
        <f>'Income Statement'!FN28</f>
      </c>
      <c r="G15" s="1541">
        <v>95820.618140687584</v>
      </c>
      <c r="H15" s="1826">
        <f t="shared" si="2"/>
      </c>
      <c r="I15" s="1558">
        <f t="shared" si="3"/>
      </c>
      <c r="J15" s="1557">
        <f>'Income Statement'!FO28</f>
      </c>
      <c r="K15" s="1541">
        <v>103491.16318004476</v>
      </c>
      <c r="L15" s="1826">
        <f t="shared" si="4"/>
      </c>
      <c r="M15" s="1558">
        <f t="shared" si="5"/>
      </c>
      <c r="N15" s="1557">
        <f>'Income Statement'!FP28</f>
      </c>
      <c r="O15" s="1541">
        <v>108075.92306569414</v>
      </c>
      <c r="P15" s="1826">
        <f t="shared" si="6"/>
      </c>
      <c r="Q15" s="1558">
        <f t="shared" si="7"/>
      </c>
      <c r="R15" s="1557">
        <f>'Income Statement'!FQ28</f>
      </c>
      <c r="S15" s="1541">
        <v>111931.0153100084</v>
      </c>
      <c r="T15" s="1826">
        <f t="shared" si="8"/>
      </c>
      <c r="U15" s="1558">
        <f t="shared" si="9"/>
      </c>
      <c r="V15" s="1557">
        <f>'Income Statement'!FR28</f>
      </c>
      <c r="W15" s="1541">
        <v>123524.43085898491</v>
      </c>
      <c r="X15" s="1826">
        <f t="shared" si="10"/>
      </c>
      <c r="Y15" s="1558">
        <f t="shared" si="11"/>
      </c>
      <c r="AA15" s="1589" t="s">
        <v>80</v>
      </c>
      <c r="AB15" s="1574">
        <v>107461.664</v>
      </c>
      <c r="AC15" s="1574">
        <v>112987.11</v>
      </c>
      <c r="AD15" s="1574">
        <v>120639.94</v>
      </c>
      <c r="AE15" s="1574">
        <v>130829</v>
      </c>
      <c r="AF15" s="2252"/>
      <c r="AG15" s="1820">
        <f t="shared" ref="AG15:AG17" si="12">N15/AB15-1</f>
      </c>
      <c r="AH15" s="1820">
        <f t="shared" ref="AH15:AH17" si="13">R15/AC15-1</f>
      </c>
      <c r="AI15" s="1820">
        <f t="shared" ref="AI15:AI17" si="14">V15/AD15-1</f>
      </c>
      <c r="AJ15" s="1821"/>
    </row>
    <row r="16" spans="1:39" s="164" customFormat="1" ht="12" hidden="1" outlineLevel="1">
      <c r="A16" s="1534" t="s">
        <v>1151</v>
      </c>
      <c r="B16" s="1559">
        <f>'Income Statement'!FM30</f>
      </c>
      <c r="C16" s="1551">
        <v>6.0963502759502459</v>
      </c>
      <c r="D16" s="1570">
        <f t="shared" si="0"/>
      </c>
      <c r="E16" s="1560">
        <f t="shared" si="1"/>
      </c>
      <c r="F16" s="1559">
        <f>'Income Statement'!FN30</f>
      </c>
      <c r="G16" s="1551">
        <v>6.0572342122532952</v>
      </c>
      <c r="H16" s="1570">
        <f t="shared" si="2"/>
      </c>
      <c r="I16" s="1560">
        <f t="shared" si="3"/>
      </c>
      <c r="J16" s="1559">
        <f>'Income Statement'!FO30</f>
      </c>
      <c r="K16" s="1551">
        <v>6.7151141213902186</v>
      </c>
      <c r="L16" s="1570">
        <f t="shared" si="4"/>
      </c>
      <c r="M16" s="1560">
        <f t="shared" si="5"/>
      </c>
      <c r="N16" s="1559">
        <f>'Income Statement'!FP30</f>
      </c>
      <c r="O16" s="1551">
        <v>7.1969193549583848</v>
      </c>
      <c r="P16" s="1570">
        <f t="shared" si="6"/>
      </c>
      <c r="Q16" s="1560">
        <f t="shared" si="7"/>
      </c>
      <c r="R16" s="1559">
        <f>'Income Statement'!FQ30</f>
      </c>
      <c r="S16" s="1551">
        <v>7.6584136846512347</v>
      </c>
      <c r="T16" s="1570">
        <f t="shared" si="8"/>
      </c>
      <c r="U16" s="1560">
        <f t="shared" si="9"/>
      </c>
      <c r="V16" s="1559">
        <f>'Income Statement'!FR30</f>
      </c>
      <c r="W16" s="1551">
        <v>8.7272308910608558</v>
      </c>
      <c r="X16" s="1570">
        <f t="shared" si="10"/>
      </c>
      <c r="Y16" s="1560">
        <f t="shared" si="11"/>
      </c>
      <c r="AA16" s="1589"/>
      <c r="AB16" s="1574"/>
      <c r="AC16" s="1574"/>
      <c r="AD16" s="1574"/>
      <c r="AE16" s="1574"/>
      <c r="AF16" s="3158"/>
      <c r="AG16" s="1843" t="e">
        <f t="shared" si="12"/>
      </c>
      <c r="AH16" s="1843" t="e">
        <f t="shared" si="13"/>
      </c>
      <c r="AI16" s="1843" t="e">
        <f t="shared" si="14"/>
      </c>
      <c r="AJ16" s="2159"/>
    </row>
    <row r="17" spans="1:36" ht="12.6" collapsed="1" thickBot="1">
      <c r="A17" s="1534" t="s">
        <v>1153</v>
      </c>
      <c r="B17" s="1559">
        <f>'Income Statement'!FM32</f>
      </c>
      <c r="C17" s="1551">
        <v>6.0963502759502459</v>
      </c>
      <c r="D17" s="1827">
        <f t="shared" si="0"/>
      </c>
      <c r="E17" s="1560">
        <f t="shared" si="1"/>
      </c>
      <c r="F17" s="1559">
        <f>'Income Statement'!FN32</f>
      </c>
      <c r="G17" s="1551">
        <v>6.0572342122532952</v>
      </c>
      <c r="H17" s="1827">
        <f t="shared" si="2"/>
      </c>
      <c r="I17" s="1560">
        <f t="shared" si="3"/>
      </c>
      <c r="J17" s="1559">
        <f>'Income Statement'!FO32</f>
      </c>
      <c r="K17" s="1551">
        <v>6.7151141213902186</v>
      </c>
      <c r="L17" s="1827">
        <f t="shared" si="4"/>
      </c>
      <c r="M17" s="1560">
        <f t="shared" si="5"/>
      </c>
      <c r="N17" s="1559">
        <f>'Income Statement'!FP32</f>
      </c>
      <c r="O17" s="1551">
        <v>7.1969193549583848</v>
      </c>
      <c r="P17" s="1827">
        <f t="shared" si="6"/>
      </c>
      <c r="Q17" s="1560">
        <f t="shared" si="7"/>
      </c>
      <c r="R17" s="1559">
        <f>'Income Statement'!FQ32</f>
      </c>
      <c r="S17" s="1551">
        <v>7.6584136846512347</v>
      </c>
      <c r="T17" s="1827">
        <f t="shared" si="8"/>
      </c>
      <c r="U17" s="1560">
        <f t="shared" si="9"/>
      </c>
      <c r="V17" s="1559">
        <f>'Income Statement'!FR32</f>
      </c>
      <c r="W17" s="1551">
        <v>8.7272308910608558</v>
      </c>
      <c r="X17" s="1827">
        <f t="shared" si="10"/>
      </c>
      <c r="Y17" s="3360">
        <f t="shared" si="11"/>
      </c>
      <c r="Z17" s="2868">
        <f>AVERAGE(U17,Y17,Q17)</f>
      </c>
      <c r="AA17" s="2236" t="s">
        <v>1153</v>
      </c>
      <c r="AB17" s="2237">
        <v>7.1730039999999997</v>
      </c>
      <c r="AC17" s="2237">
        <v>7.772888</v>
      </c>
      <c r="AD17" s="2237">
        <v>8.4139630000000007</v>
      </c>
      <c r="AE17" s="2237">
        <v>8.6950000000000003</v>
      </c>
      <c r="AF17" s="2252"/>
      <c r="AG17" s="2238">
        <f t="shared" si="12"/>
      </c>
      <c r="AH17" s="2238">
        <f t="shared" si="13"/>
      </c>
      <c r="AI17" s="2238">
        <f t="shared" si="14"/>
      </c>
      <c r="AJ17" s="2239"/>
    </row>
    <row r="18" spans="1:36" ht="12" thickTop="1">
      <c r="A18" s="1535" t="s">
        <v>75</v>
      </c>
      <c r="B18" s="1555">
        <f>'Income Statement'!FM34</f>
      </c>
      <c r="C18" s="1537">
        <v>16329.228844000001</v>
      </c>
      <c r="D18" s="1825">
        <f t="shared" ref="D18" si="15">B18-C18</f>
      </c>
      <c r="E18" s="1556">
        <f t="shared" ref="E18" si="16">D18/C18</f>
      </c>
      <c r="F18" s="1555">
        <f>'Income Statement'!FN34</f>
      </c>
      <c r="G18" s="1537">
        <v>15819.203085601383</v>
      </c>
      <c r="H18" s="1825">
        <f t="shared" ref="H18" si="17">F18-G18</f>
      </c>
      <c r="I18" s="1556">
        <f t="shared" ref="I18" si="18">H18/G18</f>
      </c>
      <c r="J18" s="1555">
        <f>'Income Statement'!FO34</f>
      </c>
      <c r="K18" s="1537">
        <v>15411.676005681817</v>
      </c>
      <c r="L18" s="1825">
        <f t="shared" ref="L18" si="19">J18-K18</f>
      </c>
      <c r="M18" s="1556">
        <f t="shared" ref="M18" si="20">L18/K18</f>
      </c>
      <c r="N18" s="1555">
        <f>'Income Statement'!FP34</f>
      </c>
      <c r="O18" s="1537">
        <v>15016.970141708511</v>
      </c>
      <c r="P18" s="1825">
        <f t="shared" ref="P18" si="21">N18-O18</f>
      </c>
      <c r="Q18" s="1556">
        <f t="shared" ref="Q18" si="22">P18/O18</f>
      </c>
      <c r="R18" s="1555">
        <f>'Income Statement'!FQ34</f>
      </c>
      <c r="S18" s="1537">
        <v>14615.430808384928</v>
      </c>
      <c r="T18" s="1825">
        <f t="shared" ref="T18" si="23">R18-S18</f>
      </c>
      <c r="U18" s="1556">
        <f t="shared" ref="U18" si="24">T18/S18</f>
      </c>
      <c r="V18" s="1555">
        <f>'Income Statement'!FR34</f>
      </c>
      <c r="W18" s="1537">
        <v>14153.908885979945</v>
      </c>
      <c r="X18" s="1825">
        <f t="shared" si="10"/>
      </c>
      <c r="Y18" s="3361">
        <f t="shared" si="11"/>
      </c>
      <c r="AA18" s="1582"/>
      <c r="AB18" s="1575"/>
      <c r="AC18" s="1575"/>
      <c r="AD18" s="1575"/>
      <c r="AE18" s="3175"/>
      <c r="AF18" s="2252"/>
      <c r="AG18" s="1820"/>
      <c r="AH18" s="1820"/>
      <c r="AI18" s="1820"/>
      <c r="AJ18" s="1821"/>
    </row>
    <row r="19" spans="1:36">
      <c r="A19" s="1536"/>
      <c r="B19" s="1553"/>
      <c r="C19" s="193"/>
      <c r="D19" s="1569"/>
      <c r="E19" s="1554"/>
      <c r="F19" s="1553"/>
      <c r="G19" s="193"/>
      <c r="H19" s="1569"/>
      <c r="I19" s="1554"/>
      <c r="J19" s="1553"/>
      <c r="K19" s="193"/>
      <c r="L19" s="1569"/>
      <c r="M19" s="1554"/>
      <c r="N19" s="1553"/>
      <c r="O19" s="193"/>
      <c r="P19" s="1569"/>
      <c r="Q19" s="1554"/>
      <c r="R19" s="1553"/>
      <c r="S19" s="193"/>
      <c r="T19" s="1569"/>
      <c r="U19" s="1554"/>
      <c r="V19" s="1553"/>
      <c r="W19" s="193"/>
      <c r="X19" s="1569"/>
      <c r="Y19" s="3362"/>
      <c r="AA19" s="1583"/>
      <c r="AB19" s="1574"/>
      <c r="AC19" s="1574"/>
      <c r="AD19" s="1574"/>
      <c r="AE19" s="1574"/>
      <c r="AF19" s="2252"/>
      <c r="AG19" s="1820"/>
      <c r="AH19" s="1820"/>
      <c r="AI19" s="1820"/>
      <c r="AJ19" s="1821"/>
    </row>
    <row r="20" spans="1:36">
      <c r="A20" s="1542" t="s">
        <v>261</v>
      </c>
      <c r="B20" s="1561">
        <f>'Income Statement'!FM17</f>
      </c>
      <c r="C20" s="1543">
        <v>130126.79713459927</v>
      </c>
      <c r="D20" s="1829">
        <f t="shared" ref="D20" si="25">B20-C20</f>
      </c>
      <c r="E20" s="1562">
        <f t="shared" ref="E20" si="26">D20/C20</f>
      </c>
      <c r="F20" s="1561">
        <f>'Income Statement'!FN17</f>
      </c>
      <c r="G20" s="1543">
        <v>125441.18731139574</v>
      </c>
      <c r="H20" s="1829">
        <f t="shared" ref="H20" si="27">F20-G20</f>
      </c>
      <c r="I20" s="1562">
        <f t="shared" ref="I20" si="28">H20/G20</f>
      </c>
      <c r="J20" s="1561">
        <f>'Income Statement'!FO17</f>
      </c>
      <c r="K20" s="1543">
        <v>134452.30266591869</v>
      </c>
      <c r="L20" s="1829">
        <f t="shared" ref="L20" si="29">J20-K20</f>
      </c>
      <c r="M20" s="1562">
        <f t="shared" ref="M20" si="30">L20/K20</f>
      </c>
      <c r="N20" s="1561">
        <f>'Income Statement'!FP17</f>
      </c>
      <c r="O20" s="1543">
        <v>139861.86374569588</v>
      </c>
      <c r="P20" s="1829">
        <f t="shared" ref="P20" si="31">N20-O20</f>
      </c>
      <c r="Q20" s="1562">
        <f t="shared" ref="Q20" si="32">P20/O20</f>
      </c>
      <c r="R20" s="1561">
        <f>'Income Statement'!FQ17</f>
      </c>
      <c r="S20" s="1543">
        <v>144756.24342182794</v>
      </c>
      <c r="T20" s="1829">
        <f t="shared" ref="T20" si="33">R20-S20</f>
      </c>
      <c r="U20" s="1562">
        <f t="shared" ref="U20" si="34">T20/S20</f>
      </c>
      <c r="V20" s="1561">
        <f>'Income Statement'!FR17</f>
      </c>
      <c r="W20" s="1543">
        <v>159667.77666290273</v>
      </c>
      <c r="X20" s="1829">
        <f t="shared" ref="X20" si="35">V20-W20</f>
      </c>
      <c r="Y20" s="3363">
        <f t="shared" ref="Y20" si="36">X20/W20</f>
      </c>
      <c r="AA20" s="2234" t="s">
        <v>261</v>
      </c>
      <c r="AB20" s="2235">
        <v>138216.63</v>
      </c>
      <c r="AC20" s="2235">
        <v>145054.48000000001</v>
      </c>
      <c r="AD20" s="2235">
        <v>153910.06</v>
      </c>
      <c r="AE20" s="2235"/>
      <c r="AF20" s="2252"/>
      <c r="AG20" s="2164">
        <f>N20/AB20-1</f>
      </c>
      <c r="AH20" s="2164">
        <f>R20/AC20-1</f>
      </c>
      <c r="AI20" s="2164">
        <f>V20/AD20-1</f>
      </c>
      <c r="AJ20" s="2165"/>
    </row>
    <row r="21" spans="1:36">
      <c r="A21" s="160"/>
      <c r="B21" s="1396"/>
      <c r="C21" s="160"/>
      <c r="D21" s="1569"/>
      <c r="E21" s="1554"/>
      <c r="F21" s="1396"/>
      <c r="G21" s="160"/>
      <c r="H21" s="1569"/>
      <c r="I21" s="1554"/>
      <c r="J21" s="1396"/>
      <c r="K21" s="160"/>
      <c r="L21" s="1569"/>
      <c r="M21" s="1554"/>
      <c r="N21" s="1396"/>
      <c r="O21" s="160"/>
      <c r="P21" s="1569"/>
      <c r="Q21" s="1554"/>
      <c r="R21" s="1396"/>
      <c r="S21" s="160"/>
      <c r="T21" s="1569"/>
      <c r="U21" s="1554"/>
      <c r="V21" s="1396"/>
      <c r="W21" s="160"/>
      <c r="X21" s="1569"/>
      <c r="Y21" s="3362"/>
      <c r="AA21" s="1583"/>
      <c r="AB21" s="1576"/>
      <c r="AC21" s="1576"/>
      <c r="AD21" s="1576"/>
      <c r="AE21" s="1576"/>
      <c r="AF21" s="2252"/>
      <c r="AG21" s="1820"/>
      <c r="AH21" s="1820"/>
      <c r="AI21" s="1820"/>
      <c r="AJ21" s="1821"/>
    </row>
    <row r="22" spans="1:36">
      <c r="A22" s="2253" t="s">
        <v>84</v>
      </c>
      <c r="B22" s="1563">
        <f>'Revenue summary'!FM11</f>
      </c>
      <c r="C22" s="1564">
        <v>205380.96727729234</v>
      </c>
      <c r="D22" s="1824">
        <f t="shared" ref="D22:D32" si="37">B22-C22</f>
      </c>
      <c r="E22" s="1554">
        <f t="shared" ref="E22:E36" si="38">D22/C22</f>
      </c>
      <c r="F22" s="1563">
        <f>'Revenue summary'!FN11</f>
      </c>
      <c r="G22" s="1564">
        <v>199412.64362958222</v>
      </c>
      <c r="H22" s="1824">
        <f t="shared" ref="H22:H28" si="39">F22-G22</f>
      </c>
      <c r="I22" s="1554">
        <f t="shared" ref="I22:I28" si="40">H22/G22</f>
      </c>
      <c r="J22" s="1563">
        <f>'Revenue summary'!FO11</f>
      </c>
      <c r="K22" s="1564">
        <v>200061.32622095282</v>
      </c>
      <c r="L22" s="1824">
        <f t="shared" ref="L22:L28" si="41">J22-K22</f>
      </c>
      <c r="M22" s="1554">
        <f t="shared" ref="M22:M28" si="42">L22/K22</f>
      </c>
      <c r="N22" s="1563">
        <f>'Revenue summary'!FP11</f>
      </c>
      <c r="O22" s="1564">
        <v>202911.81062062603</v>
      </c>
      <c r="P22" s="1824">
        <f t="shared" ref="P22:P28" si="43">N22-O22</f>
      </c>
      <c r="Q22" s="1554">
        <f t="shared" ref="Q22:Q28" si="44">P22/O22</f>
      </c>
      <c r="R22" s="1563">
        <f>'Revenue summary'!FQ11</f>
      </c>
      <c r="S22" s="1564">
        <v>214782.74789499195</v>
      </c>
      <c r="T22" s="1824">
        <f t="shared" ref="T22:T28" si="45">R22-S22</f>
      </c>
      <c r="U22" s="1554">
        <f t="shared" ref="U22:U28" si="46">T22/S22</f>
      </c>
      <c r="V22" s="1563">
        <f>'Revenue summary'!FR11</f>
      </c>
      <c r="W22" s="1564">
        <v>228880.41495757058</v>
      </c>
      <c r="X22" s="1824">
        <f t="shared" ref="X22" si="47">V22-W22</f>
      </c>
      <c r="Y22" s="3362">
        <f t="shared" ref="Y22" si="48">X22/W22</f>
      </c>
      <c r="AA22" s="2254" t="s">
        <v>84</v>
      </c>
      <c r="AB22" s="1577">
        <v>202047.58</v>
      </c>
      <c r="AC22" s="1577">
        <v>208902.73</v>
      </c>
      <c r="AD22" s="1577">
        <v>213308.5</v>
      </c>
      <c r="AE22" s="1577">
        <v>203028</v>
      </c>
      <c r="AF22" s="2252"/>
      <c r="AG22" s="1820">
        <f t="shared" ref="AG22:AG28" si="49">N22/AB22-1</f>
      </c>
      <c r="AH22" s="1820">
        <f t="shared" ref="AH22:AH28" si="50">R22/AC22-1</f>
      </c>
      <c r="AI22" s="1820">
        <f t="shared" ref="AI22:AI28" si="51">V22/AD22-1</f>
      </c>
      <c r="AJ22" s="1821"/>
    </row>
    <row r="23" spans="1:36">
      <c r="A23" s="2253" t="s">
        <v>86</v>
      </c>
      <c r="B23" s="1563">
        <f>'Revenue summary'!FM12</f>
      </c>
      <c r="C23" s="1564">
        <v>39034.011604116153</v>
      </c>
      <c r="D23" s="1824">
        <f>B23-C23</f>
      </c>
      <c r="E23" s="1554">
        <f>D23/C23</f>
      </c>
      <c r="F23" s="1563">
        <f>'Revenue summary'!FN12</f>
      </c>
      <c r="G23" s="1564">
        <v>30473.72</v>
      </c>
      <c r="H23" s="1824">
        <f>F23-G23</f>
      </c>
      <c r="I23" s="1554">
        <f>H23/G23</f>
      </c>
      <c r="J23" s="1563">
        <f>'Revenue summary'!FO12</f>
      </c>
      <c r="K23" s="1564">
        <v>29443.807626090398</v>
      </c>
      <c r="L23" s="1824">
        <f>J23-K23</f>
      </c>
      <c r="M23" s="1554">
        <f>L23/K23</f>
      </c>
      <c r="N23" s="1563">
        <f>'Revenue summary'!FP12</f>
      </c>
      <c r="O23" s="1564">
        <v>32928.799899999998</v>
      </c>
      <c r="P23" s="1824">
        <f>N23-O23</f>
      </c>
      <c r="Q23" s="1554">
        <f>P23/O23</f>
      </c>
      <c r="R23" s="1563">
        <f>'Revenue summary'!FQ12</f>
      </c>
      <c r="S23" s="1564">
        <v>33176.135096999998</v>
      </c>
      <c r="T23" s="1824">
        <f>R23-S23</f>
      </c>
      <c r="U23" s="1554">
        <f>T23/S23</f>
      </c>
      <c r="V23" s="1563">
        <f>'Revenue summary'!FR12</f>
      </c>
      <c r="W23" s="1564">
        <v>34933.414815327305</v>
      </c>
      <c r="X23" s="1824">
        <f>V23-W23</f>
      </c>
      <c r="Y23" s="3362">
        <f>X23/W23</f>
      </c>
      <c r="AA23" s="2254" t="s">
        <v>86</v>
      </c>
      <c r="AB23" s="1577">
        <v>32443.153999999999</v>
      </c>
      <c r="AC23" s="1577">
        <v>33698</v>
      </c>
      <c r="AD23" s="1577">
        <v>35882.667999999998</v>
      </c>
      <c r="AE23" s="1577"/>
      <c r="AF23" s="2252"/>
      <c r="AG23" s="1820">
        <f t="shared" si="49"/>
      </c>
      <c r="AH23" s="1820">
        <f t="shared" si="50"/>
      </c>
      <c r="AI23" s="1820">
        <f t="shared" si="51"/>
      </c>
      <c r="AJ23" s="1821"/>
    </row>
    <row r="24" spans="1:36">
      <c r="A24" s="2253" t="s">
        <v>85</v>
      </c>
      <c r="B24" s="1563">
        <f>'Revenue summary'!FM13</f>
      </c>
      <c r="C24" s="1564">
        <v>29490.424132884269</v>
      </c>
      <c r="D24" s="1824">
        <f t="shared" si="37"/>
      </c>
      <c r="E24" s="1554">
        <f t="shared" si="38"/>
      </c>
      <c r="F24" s="1563">
        <f>'Revenue summary'!FN13</f>
      </c>
      <c r="G24" s="1564">
        <v>28147</v>
      </c>
      <c r="H24" s="1824">
        <f t="shared" si="39"/>
      </c>
      <c r="I24" s="1554">
        <f t="shared" si="40"/>
      </c>
      <c r="J24" s="1563">
        <f>'Revenue summary'!FO13</f>
      </c>
      <c r="K24" s="1564">
        <v>26541.5</v>
      </c>
      <c r="L24" s="1824">
        <f t="shared" si="41"/>
      </c>
      <c r="M24" s="1554">
        <f t="shared" si="42"/>
      </c>
      <c r="N24" s="1563">
        <f>'Revenue summary'!FP13</f>
      </c>
      <c r="O24" s="1564">
        <v>28387.5</v>
      </c>
      <c r="P24" s="1824">
        <f t="shared" si="43"/>
      </c>
      <c r="Q24" s="1554">
        <f t="shared" si="44"/>
      </c>
      <c r="R24" s="1563">
        <f>'Revenue summary'!FQ13</f>
      </c>
      <c r="S24" s="1564">
        <v>27670</v>
      </c>
      <c r="T24" s="1824">
        <f t="shared" si="45"/>
      </c>
      <c r="U24" s="1554">
        <f t="shared" si="46"/>
      </c>
      <c r="V24" s="1563">
        <f>'Revenue summary'!FR13</f>
      </c>
      <c r="W24" s="1564">
        <v>30820</v>
      </c>
      <c r="X24" s="1824">
        <f t="shared" ref="X24:X28" si="52">V24-W24</f>
      </c>
      <c r="Y24" s="3362">
        <f t="shared" ref="Y24:Y28" si="53">X24/W24</f>
      </c>
      <c r="AA24" s="2254" t="s">
        <v>85</v>
      </c>
      <c r="AB24" s="1577">
        <v>28566.076000000001</v>
      </c>
      <c r="AC24" s="1577">
        <v>28596.273000000001</v>
      </c>
      <c r="AD24" s="1577">
        <v>28555.666000000001</v>
      </c>
      <c r="AE24" s="1577"/>
      <c r="AF24" s="2252"/>
      <c r="AG24" s="1820">
        <f t="shared" si="49"/>
      </c>
      <c r="AH24" s="1820">
        <f t="shared" si="50"/>
      </c>
      <c r="AI24" s="1820">
        <f t="shared" si="51"/>
      </c>
      <c r="AJ24" s="1821"/>
    </row>
    <row r="25" spans="1:36">
      <c r="A25" s="2253" t="s">
        <v>1120</v>
      </c>
      <c r="B25" s="1563">
        <f>'Revenue summary'!FM14</f>
      </c>
      <c r="C25" s="1564">
        <v>40858.810624999998</v>
      </c>
      <c r="D25" s="1824">
        <f t="shared" si="37"/>
      </c>
      <c r="E25" s="1554">
        <f t="shared" si="38"/>
      </c>
      <c r="F25" s="1563">
        <f>'Revenue summary'!FN14</f>
      </c>
      <c r="G25" s="1564">
        <v>40313</v>
      </c>
      <c r="H25" s="1824">
        <f t="shared" si="39"/>
      </c>
      <c r="I25" s="1554">
        <f t="shared" si="40"/>
      </c>
      <c r="J25" s="1563">
        <f>'Revenue summary'!FO14</f>
      </c>
      <c r="K25" s="1564">
        <v>37759.199999999997</v>
      </c>
      <c r="L25" s="1824">
        <f t="shared" si="41"/>
      </c>
      <c r="M25" s="1554">
        <f t="shared" si="42"/>
      </c>
      <c r="N25" s="1563">
        <f>'Revenue summary'!FP14</f>
      </c>
      <c r="O25" s="1564">
        <v>36717.112500000003</v>
      </c>
      <c r="P25" s="1824">
        <f t="shared" si="43"/>
      </c>
      <c r="Q25" s="1554">
        <f t="shared" si="44"/>
      </c>
      <c r="R25" s="1563">
        <f>'Revenue summary'!FQ14</f>
      </c>
      <c r="S25" s="1564">
        <v>39580.419062500005</v>
      </c>
      <c r="T25" s="1824">
        <f t="shared" si="45"/>
      </c>
      <c r="U25" s="1554">
        <f t="shared" si="46"/>
      </c>
      <c r="V25" s="1563">
        <f>'Revenue summary'!FR14</f>
      </c>
      <c r="W25" s="1564">
        <v>41378.209703125001</v>
      </c>
      <c r="X25" s="1824">
        <f t="shared" si="52"/>
      </c>
      <c r="Y25" s="3362">
        <f t="shared" si="53"/>
      </c>
      <c r="AA25" s="2254" t="s">
        <v>1120</v>
      </c>
      <c r="AB25" s="1577">
        <v>36097.31</v>
      </c>
      <c r="AC25" s="1577">
        <v>37688.910000000003</v>
      </c>
      <c r="AD25" s="1577">
        <v>39076.5</v>
      </c>
      <c r="AE25" s="1577"/>
      <c r="AF25" s="2252"/>
      <c r="AG25" s="1820">
        <f t="shared" si="49"/>
      </c>
      <c r="AH25" s="1820">
        <f t="shared" si="50"/>
      </c>
      <c r="AI25" s="1820">
        <f t="shared" si="51"/>
      </c>
      <c r="AJ25" s="1821"/>
    </row>
    <row r="26" spans="1:36">
      <c r="A26" s="2243" t="s">
        <v>667</v>
      </c>
      <c r="B26" s="2244">
        <f>'Revenue summary'!FM15</f>
      </c>
      <c r="C26" s="2245">
        <v>314764.21363929275</v>
      </c>
      <c r="D26" s="2246">
        <f t="shared" si="37"/>
      </c>
      <c r="E26" s="2247">
        <f t="shared" si="38"/>
      </c>
      <c r="F26" s="2244">
        <f>'Revenue summary'!FN15</f>
      </c>
      <c r="G26" s="2245">
        <v>298346.36362958222</v>
      </c>
      <c r="H26" s="2246">
        <f t="shared" si="39"/>
      </c>
      <c r="I26" s="2247">
        <f t="shared" si="40"/>
      </c>
      <c r="J26" s="2244">
        <f>'Revenue summary'!FO15</f>
      </c>
      <c r="K26" s="2245">
        <v>293805.83384704322</v>
      </c>
      <c r="L26" s="2246">
        <f t="shared" si="41"/>
      </c>
      <c r="M26" s="2247">
        <f t="shared" si="42"/>
      </c>
      <c r="N26" s="2244">
        <f>'Revenue summary'!FP15</f>
      </c>
      <c r="O26" s="2245">
        <v>300945.22302062606</v>
      </c>
      <c r="P26" s="2246">
        <f t="shared" si="43"/>
      </c>
      <c r="Q26" s="2247">
        <f t="shared" si="44"/>
      </c>
      <c r="R26" s="2244">
        <f>'Revenue summary'!FQ15</f>
      </c>
      <c r="S26" s="2245">
        <v>315209.30205449194</v>
      </c>
      <c r="T26" s="2246">
        <f t="shared" si="45"/>
      </c>
      <c r="U26" s="2247">
        <f t="shared" si="46"/>
      </c>
      <c r="V26" s="2244">
        <f>'Revenue summary'!FR15</f>
      </c>
      <c r="W26" s="2245">
        <v>336012.03947602288</v>
      </c>
      <c r="X26" s="2246">
        <f t="shared" si="52"/>
      </c>
      <c r="Y26" s="3364">
        <f t="shared" si="53"/>
      </c>
      <c r="Z26" s="2252"/>
      <c r="AA26" s="2248" t="s">
        <v>667</v>
      </c>
      <c r="AB26" s="2249">
        <v>299305.44</v>
      </c>
      <c r="AC26" s="2249">
        <v>306849</v>
      </c>
      <c r="AD26" s="2249">
        <v>305889.5</v>
      </c>
      <c r="AE26" s="2249">
        <v>306195</v>
      </c>
      <c r="AF26" s="2252"/>
      <c r="AG26" s="2250">
        <f t="shared" si="49"/>
      </c>
      <c r="AH26" s="2250">
        <f t="shared" si="50"/>
      </c>
      <c r="AI26" s="2250">
        <f t="shared" si="51"/>
      </c>
      <c r="AJ26" s="2251"/>
    </row>
    <row r="27" spans="1:36">
      <c r="A27" s="1546" t="s">
        <v>81</v>
      </c>
      <c r="B27" s="1563">
        <f>'Revenue summary'!FM16</f>
      </c>
      <c r="C27" s="1564">
        <v>78642.307518315371</v>
      </c>
      <c r="D27" s="1824">
        <f t="shared" si="37"/>
      </c>
      <c r="E27" s="1554">
        <f t="shared" si="38"/>
      </c>
      <c r="F27" s="1563">
        <f>'Revenue summary'!FN16</f>
      </c>
      <c r="G27" s="1564">
        <v>84356.099482238205</v>
      </c>
      <c r="H27" s="1824">
        <f t="shared" si="39"/>
      </c>
      <c r="I27" s="1554">
        <f t="shared" si="40"/>
      </c>
      <c r="J27" s="1563">
        <f>'Revenue summary'!FO16</f>
      </c>
      <c r="K27" s="1564">
        <v>96826.074598129533</v>
      </c>
      <c r="L27" s="1824">
        <f t="shared" si="41"/>
      </c>
      <c r="M27" s="1554">
        <f t="shared" si="42"/>
      </c>
      <c r="N27" s="1563">
        <f>'Revenue summary'!FP16</f>
      </c>
      <c r="O27" s="1564">
        <v>107696.99013800659</v>
      </c>
      <c r="P27" s="1824">
        <f t="shared" si="43"/>
      </c>
      <c r="Q27" s="1554">
        <f t="shared" si="44"/>
      </c>
      <c r="R27" s="1563">
        <f>'Revenue summary'!FQ16</f>
      </c>
      <c r="S27" s="1564">
        <v>118721.78619831501</v>
      </c>
      <c r="T27" s="1824">
        <f t="shared" si="45"/>
      </c>
      <c r="U27" s="1554">
        <f t="shared" si="46"/>
      </c>
      <c r="V27" s="1563">
        <f>'Revenue summary'!FR16</f>
      </c>
      <c r="W27" s="1564">
        <v>130517.87446192277</v>
      </c>
      <c r="X27" s="1824">
        <f t="shared" si="52"/>
      </c>
      <c r="Y27" s="3362">
        <f t="shared" si="53"/>
      </c>
      <c r="AA27" s="1584" t="s">
        <v>81</v>
      </c>
      <c r="AB27" s="1577">
        <v>107531.35</v>
      </c>
      <c r="AC27" s="1577">
        <v>118914.57</v>
      </c>
      <c r="AD27" s="1577">
        <v>129038.57</v>
      </c>
      <c r="AE27" s="1577">
        <v>124944</v>
      </c>
      <c r="AF27" s="2252"/>
      <c r="AG27" s="1820">
        <f t="shared" si="49"/>
      </c>
      <c r="AH27" s="1820">
        <f t="shared" si="50"/>
      </c>
      <c r="AI27" s="1820">
        <f t="shared" si="51"/>
      </c>
      <c r="AJ27" s="1821"/>
    </row>
    <row r="28" spans="1:36" ht="12">
      <c r="A28" s="1544" t="s">
        <v>1246</v>
      </c>
      <c r="B28" s="1565">
        <f>'Revenue summary'!FM17</f>
      </c>
      <c r="C28" s="1550">
        <v>393406.52115760813</v>
      </c>
      <c r="D28" s="1828">
        <f t="shared" si="37"/>
      </c>
      <c r="E28" s="1566">
        <f t="shared" si="38"/>
      </c>
      <c r="F28" s="1565">
        <f>'Revenue summary'!FN17</f>
      </c>
      <c r="G28" s="1550">
        <v>382702.4631118204</v>
      </c>
      <c r="H28" s="1828">
        <f t="shared" si="39"/>
      </c>
      <c r="I28" s="1566">
        <f t="shared" si="40"/>
      </c>
      <c r="J28" s="1565">
        <f>'Revenue summary'!FO17</f>
      </c>
      <c r="K28" s="1550">
        <v>390631.90844517277</v>
      </c>
      <c r="L28" s="1828">
        <f t="shared" si="41"/>
      </c>
      <c r="M28" s="1566">
        <f t="shared" si="42"/>
      </c>
      <c r="N28" s="1565">
        <f>'Revenue summary'!FP17</f>
      </c>
      <c r="O28" s="1550">
        <v>408642.21315863263</v>
      </c>
      <c r="P28" s="1828">
        <f t="shared" si="43"/>
      </c>
      <c r="Q28" s="1566">
        <f t="shared" si="44"/>
      </c>
      <c r="R28" s="1565">
        <f>'Revenue summary'!FQ17</f>
      </c>
      <c r="S28" s="1550">
        <v>433931.08825280698</v>
      </c>
      <c r="T28" s="1828">
        <f t="shared" si="45"/>
      </c>
      <c r="U28" s="1566">
        <f t="shared" si="46"/>
      </c>
      <c r="V28" s="1565">
        <f>'Revenue summary'!FR17</f>
      </c>
      <c r="W28" s="1550">
        <v>466529.91393794562</v>
      </c>
      <c r="X28" s="1828">
        <f t="shared" si="52"/>
      </c>
      <c r="Y28" s="3365">
        <f t="shared" si="53"/>
      </c>
      <c r="AA28" s="1585" t="s">
        <v>1246</v>
      </c>
      <c r="AB28" s="1578">
        <v>407570.28</v>
      </c>
      <c r="AC28" s="1578">
        <v>430610.2</v>
      </c>
      <c r="AD28" s="1578">
        <v>454675.3</v>
      </c>
      <c r="AE28" s="1578">
        <v>455481</v>
      </c>
      <c r="AF28" s="2252"/>
      <c r="AG28" s="2230">
        <f t="shared" si="49"/>
      </c>
      <c r="AH28" s="2230">
        <f t="shared" si="50"/>
      </c>
      <c r="AI28" s="2230">
        <f t="shared" si="51"/>
      </c>
      <c r="AJ28" s="2231"/>
    </row>
    <row r="29" spans="1:36">
      <c r="A29" s="160"/>
      <c r="B29" s="1563"/>
      <c r="C29" s="1564"/>
      <c r="D29" s="1824"/>
      <c r="E29" s="1554"/>
      <c r="F29" s="1563"/>
      <c r="G29" s="1564"/>
      <c r="H29" s="1824"/>
      <c r="I29" s="1554"/>
      <c r="J29" s="1563"/>
      <c r="K29" s="1564"/>
      <c r="L29" s="1824"/>
      <c r="M29" s="1554"/>
      <c r="N29" s="1563"/>
      <c r="O29" s="1564"/>
      <c r="P29" s="1824"/>
      <c r="Q29" s="1554"/>
      <c r="R29" s="1563"/>
      <c r="S29" s="1564"/>
      <c r="T29" s="1824"/>
      <c r="U29" s="1554"/>
      <c r="V29" s="1563"/>
      <c r="W29" s="1564"/>
      <c r="X29" s="1824"/>
      <c r="Y29" s="3362"/>
      <c r="AA29" s="1583"/>
      <c r="AB29" s="1577"/>
      <c r="AC29" s="1577"/>
      <c r="AD29" s="1577"/>
      <c r="AE29" s="1577"/>
      <c r="AF29" s="2252"/>
      <c r="AG29" s="1820"/>
      <c r="AH29" s="1820"/>
      <c r="AI29" s="1820"/>
      <c r="AJ29" s="1821"/>
    </row>
    <row r="30" spans="1:36">
      <c r="A30" s="1547" t="s">
        <v>1105</v>
      </c>
      <c r="B30" s="1563">
        <f>'Revenue summary'!FM52</f>
      </c>
      <c r="C30" s="1564">
        <v>113447.27656916308</v>
      </c>
      <c r="D30" s="1824">
        <f t="shared" si="37"/>
      </c>
      <c r="E30" s="1554">
        <f t="shared" si="38"/>
      </c>
      <c r="F30" s="1563">
        <f>'Revenue summary'!FN52</f>
      </c>
      <c r="G30" s="1564">
        <v>108756.51951387538</v>
      </c>
      <c r="H30" s="1824">
        <f t="shared" ref="H30:H32" si="54">F30-G30</f>
      </c>
      <c r="I30" s="1554">
        <f t="shared" ref="I30:I32" si="55">H30/G30</f>
      </c>
      <c r="J30" s="1563">
        <f>'Revenue summary'!FO52</f>
      </c>
      <c r="K30" s="1564">
        <v>109111.02077785236</v>
      </c>
      <c r="L30" s="1824">
        <f t="shared" ref="L30:L32" si="56">J30-K30</f>
      </c>
      <c r="M30" s="1554">
        <f t="shared" ref="M30:M32" si="57">L30/K30</f>
      </c>
      <c r="N30" s="1563">
        <f>'Revenue summary'!FP52</f>
      </c>
      <c r="O30" s="1564">
        <v>109145.86836560906</v>
      </c>
      <c r="P30" s="1824">
        <f t="shared" ref="P30:P32" si="58">N30-O30</f>
      </c>
      <c r="Q30" s="1554">
        <f t="shared" ref="Q30:Q32" si="59">P30/O30</f>
      </c>
      <c r="R30" s="1563">
        <f>'Revenue summary'!FQ52</f>
      </c>
      <c r="S30" s="1564">
        <v>108716.97124656614</v>
      </c>
      <c r="T30" s="1824">
        <f t="shared" ref="T30:T32" si="60">R30-S30</f>
      </c>
      <c r="U30" s="1554">
        <f t="shared" ref="U30:U32" si="61">T30/S30</f>
      </c>
      <c r="V30" s="1563">
        <f>'Revenue summary'!FR52</f>
      </c>
      <c r="W30" s="1564">
        <v>117125.48105845189</v>
      </c>
      <c r="X30" s="1824">
        <f t="shared" ref="X30:X32" si="62">V30-W30</f>
      </c>
      <c r="Y30" s="3362">
        <f t="shared" ref="Y30:Y32" si="63">X30/W30</f>
      </c>
      <c r="AA30" s="1586" t="s">
        <v>1105</v>
      </c>
      <c r="AB30" s="1577">
        <v>108463.25</v>
      </c>
      <c r="AC30" s="1577">
        <v>111429.664</v>
      </c>
      <c r="AD30" s="1577"/>
      <c r="AE30" s="1577"/>
      <c r="AF30" s="2252"/>
      <c r="AG30" s="1820">
        <f t="shared" ref="AG30:AG32" si="64">N30/AB30-1</f>
      </c>
      <c r="AH30" s="1820">
        <f t="shared" ref="AH30:AH32" si="65">R30/AC30-1</f>
      </c>
      <c r="AI30" s="1820" t="e">
        <f t="shared" ref="AI30:AI32" si="66">V30/AD30-1</f>
      </c>
      <c r="AJ30" s="1821"/>
    </row>
    <row r="31" spans="1:36">
      <c r="A31" s="1547" t="s">
        <v>995</v>
      </c>
      <c r="B31" s="1563">
        <f>'Revenue summary'!FM53</f>
      </c>
      <c r="C31" s="1564">
        <v>56714.941413187073</v>
      </c>
      <c r="D31" s="1824">
        <f t="shared" si="37"/>
      </c>
      <c r="E31" s="1554">
        <f t="shared" si="38"/>
      </c>
      <c r="F31" s="1563">
        <f>'Revenue summary'!FN53</f>
      </c>
      <c r="G31" s="1564">
        <v>59759.978272657456</v>
      </c>
      <c r="H31" s="1824">
        <f t="shared" si="54"/>
      </c>
      <c r="I31" s="1554">
        <f t="shared" si="55"/>
      </c>
      <c r="J31" s="1563">
        <f>'Revenue summary'!FO53</f>
      </c>
      <c r="K31" s="1564">
        <v>71399.713569506639</v>
      </c>
      <c r="L31" s="1824">
        <f t="shared" si="56"/>
      </c>
      <c r="M31" s="1554">
        <f t="shared" si="57"/>
      </c>
      <c r="N31" s="1563">
        <f>'Revenue summary'!FP53</f>
      </c>
      <c r="O31" s="1564">
        <v>81252.552554194976</v>
      </c>
      <c r="P31" s="1824">
        <f t="shared" si="58"/>
      </c>
      <c r="Q31" s="1554">
        <f t="shared" si="59"/>
      </c>
      <c r="R31" s="1563">
        <f>'Revenue summary'!FQ53</f>
      </c>
      <c r="S31" s="1564">
        <v>89767.645667335804</v>
      </c>
      <c r="T31" s="1824">
        <f t="shared" si="60"/>
      </c>
      <c r="U31" s="1554">
        <f t="shared" si="61"/>
      </c>
      <c r="V31" s="1563">
        <f>'Revenue summary'!FR53</f>
      </c>
      <c r="W31" s="1564">
        <v>98816.919108599875</v>
      </c>
      <c r="X31" s="1824">
        <f t="shared" si="62"/>
      </c>
      <c r="Y31" s="3362">
        <f t="shared" si="63"/>
      </c>
      <c r="AA31" s="1586" t="s">
        <v>995</v>
      </c>
      <c r="AB31" s="1577">
        <v>80050.5</v>
      </c>
      <c r="AC31" s="1577">
        <v>91660.664000000004</v>
      </c>
      <c r="AD31" s="1577"/>
      <c r="AE31" s="1577"/>
      <c r="AF31" s="2252"/>
      <c r="AG31" s="1820">
        <f t="shared" si="64"/>
      </c>
      <c r="AH31" s="1820">
        <f t="shared" si="65"/>
      </c>
      <c r="AI31" s="1820" t="e">
        <f t="shared" si="66"/>
      </c>
      <c r="AJ31" s="1821"/>
    </row>
    <row r="32" spans="1:36" ht="12">
      <c r="A32" s="1548" t="s">
        <v>67</v>
      </c>
      <c r="B32" s="1565">
        <f>'Revenue summary'!FM54</f>
      </c>
      <c r="C32" s="1550">
        <v>170162.21798235015</v>
      </c>
      <c r="D32" s="1828">
        <f t="shared" si="37"/>
      </c>
      <c r="E32" s="1566">
        <f t="shared" si="38"/>
      </c>
      <c r="F32" s="1565">
        <f>'Revenue summary'!FN54</f>
      </c>
      <c r="G32" s="1550">
        <v>168516.49778653283</v>
      </c>
      <c r="H32" s="1828">
        <f t="shared" si="54"/>
      </c>
      <c r="I32" s="1566">
        <f t="shared" si="55"/>
      </c>
      <c r="J32" s="1565">
        <f>'Revenue summary'!FO54</f>
      </c>
      <c r="K32" s="1550">
        <v>180510.73434735902</v>
      </c>
      <c r="L32" s="1828">
        <f t="shared" si="56"/>
      </c>
      <c r="M32" s="1566">
        <f t="shared" si="57"/>
      </c>
      <c r="N32" s="1565">
        <f>'Revenue summary'!FP54</f>
      </c>
      <c r="O32" s="1550">
        <v>190398.42091980402</v>
      </c>
      <c r="P32" s="1828">
        <f t="shared" si="58"/>
      </c>
      <c r="Q32" s="1566">
        <f t="shared" si="59"/>
      </c>
      <c r="R32" s="1565">
        <f>'Revenue summary'!FQ54</f>
      </c>
      <c r="S32" s="1550">
        <v>198484.61691390193</v>
      </c>
      <c r="T32" s="1828">
        <f t="shared" si="60"/>
      </c>
      <c r="U32" s="1566">
        <f t="shared" si="61"/>
      </c>
      <c r="V32" s="1565">
        <f>'Revenue summary'!FR54</f>
      </c>
      <c r="W32" s="1550">
        <v>215942.40016705176</v>
      </c>
      <c r="X32" s="1828">
        <f t="shared" si="62"/>
      </c>
      <c r="Y32" s="3365">
        <f t="shared" si="63"/>
      </c>
      <c r="AA32" s="1587" t="s">
        <v>67</v>
      </c>
      <c r="AB32" s="1578">
        <v>189387.3</v>
      </c>
      <c r="AC32" s="1578">
        <v>199560.8</v>
      </c>
      <c r="AD32" s="1578">
        <v>211332.77</v>
      </c>
      <c r="AE32" s="1578">
        <v>194428</v>
      </c>
      <c r="AF32" s="2252"/>
      <c r="AG32" s="2230">
        <f t="shared" si="64"/>
      </c>
      <c r="AH32" s="2230">
        <f t="shared" si="65"/>
      </c>
      <c r="AI32" s="2230">
        <f t="shared" si="66"/>
      </c>
      <c r="AJ32" s="2231"/>
    </row>
    <row r="33" spans="1:45">
      <c r="A33" s="160"/>
      <c r="B33" s="1396"/>
      <c r="C33" s="160"/>
      <c r="D33" s="1569"/>
      <c r="E33" s="1554"/>
      <c r="F33" s="1396"/>
      <c r="G33" s="160"/>
      <c r="H33" s="1569"/>
      <c r="I33" s="1554"/>
      <c r="J33" s="1396"/>
      <c r="K33" s="160"/>
      <c r="L33" s="1569"/>
      <c r="M33" s="1554"/>
      <c r="N33" s="1396"/>
      <c r="O33" s="160"/>
      <c r="P33" s="1569"/>
      <c r="Q33" s="1554"/>
      <c r="R33" s="1396"/>
      <c r="S33" s="160"/>
      <c r="T33" s="1569"/>
      <c r="U33" s="1554"/>
      <c r="V33" s="1396"/>
      <c r="W33" s="160"/>
      <c r="X33" s="1569"/>
      <c r="Y33" s="3362"/>
      <c r="AA33" s="1583"/>
      <c r="AB33" s="160"/>
      <c r="AC33" s="160"/>
      <c r="AD33" s="160"/>
      <c r="AE33" s="160"/>
      <c r="AF33" s="2252"/>
      <c r="AJ33" s="1823"/>
    </row>
    <row r="34" spans="1:45">
      <c r="A34" s="1547" t="s">
        <v>1173</v>
      </c>
      <c r="B34" s="1567">
        <f>B30/B26</f>
      </c>
      <c r="C34" s="1552">
        <v>0.36041986875664694</v>
      </c>
      <c r="D34" s="1569"/>
      <c r="E34" s="1554">
        <f t="shared" si="38"/>
      </c>
      <c r="F34" s="1937">
        <f>F30/F26</f>
      </c>
      <c r="G34" s="1938">
        <v>0.36453107117103717</v>
      </c>
      <c r="H34" s="1939"/>
      <c r="I34" s="1940">
        <f>F34-G34</f>
      </c>
      <c r="J34" s="1937">
        <f>J30/J26</f>
      </c>
      <c r="K34" s="1938">
        <v>0.37137118534772218</v>
      </c>
      <c r="L34" s="1939"/>
      <c r="M34" s="1940">
        <f>J34-K34</f>
      </c>
      <c r="N34" s="1937">
        <f>N30/N26</f>
      </c>
      <c r="O34" s="1938">
        <v>0.36267685949654854</v>
      </c>
      <c r="P34" s="1939"/>
      <c r="Q34" s="1940">
        <f>N34-O34</f>
      </c>
      <c r="R34" s="1937">
        <f>R30/R26</f>
      </c>
      <c r="S34" s="1938">
        <v>0.34490407020974162</v>
      </c>
      <c r="T34" s="1939"/>
      <c r="U34" s="1940">
        <f>R34-S34</f>
      </c>
      <c r="V34" s="1937">
        <f>V30/V26</f>
      </c>
      <c r="W34" s="1938">
        <v>0.34857525117581306</v>
      </c>
      <c r="X34" s="1939"/>
      <c r="Y34" s="3366">
        <f>V34-W34</f>
      </c>
      <c r="AA34" s="1586" t="s">
        <v>1173</v>
      </c>
      <c r="AB34" s="1938">
        <f>AB30/AB26</f>
      </c>
      <c r="AC34" s="1938">
        <f>AC30/AC26</f>
      </c>
      <c r="AD34" s="1938">
        <f>AD30/AD26</f>
      </c>
      <c r="AE34" s="1938">
        <f>AE30/AE26</f>
      </c>
      <c r="AF34" s="2252"/>
      <c r="AG34" s="1945">
        <f t="shared" ref="AG34:AG36" si="67">N34/AB34-1</f>
      </c>
      <c r="AH34" s="1945">
        <f t="shared" ref="AH34:AH36" si="68">R34/AC34-1</f>
      </c>
      <c r="AI34" s="3159" t="e">
        <f t="shared" ref="AI34:AI36" si="69">V34/AD34-1</f>
      </c>
      <c r="AJ34" s="1946"/>
    </row>
    <row r="35" spans="1:45">
      <c r="A35" s="1547" t="s">
        <v>1172</v>
      </c>
      <c r="B35" s="1567">
        <f t="shared" ref="B35:B36" si="70">B31/B27</f>
      </c>
      <c r="C35" s="1552">
        <v>0.72117595735575879</v>
      </c>
      <c r="D35" s="1569"/>
      <c r="E35" s="1554">
        <f t="shared" si="38"/>
      </c>
      <c r="F35" s="1937">
        <f t="shared" ref="F35:F36" si="71">F31/F27</f>
      </c>
      <c r="G35" s="1938">
        <v>0.70842510072718989</v>
      </c>
      <c r="H35" s="1939"/>
      <c r="I35" s="1940">
        <f t="shared" ref="I35:I36" si="72">F35-G35</f>
      </c>
      <c r="J35" s="1937">
        <f t="shared" ref="J35:J36" si="73">J31/J27</f>
      </c>
      <c r="K35" s="1938">
        <v>0.73740171607541261</v>
      </c>
      <c r="L35" s="1939"/>
      <c r="M35" s="1940">
        <f t="shared" ref="M35:M36" si="74">J35-K35</f>
      </c>
      <c r="N35" s="1937">
        <f t="shared" ref="N35:N36" si="75">N31/N27</f>
      </c>
      <c r="O35" s="1938">
        <v>0.7544551844027878</v>
      </c>
      <c r="P35" s="1939"/>
      <c r="Q35" s="1940">
        <f t="shared" ref="Q35:Q36" si="76">N35-O35</f>
      </c>
      <c r="R35" s="1937">
        <f t="shared" ref="R35:R36" si="77">R31/R27</f>
      </c>
      <c r="S35" s="1938">
        <v>0.75611771471654166</v>
      </c>
      <c r="T35" s="1939"/>
      <c r="U35" s="1940">
        <f t="shared" ref="U35:U36" si="78">R35-S35</f>
      </c>
      <c r="V35" s="1937">
        <f t="shared" ref="V35:V36" si="79">V31/V27</f>
      </c>
      <c r="W35" s="1938">
        <v>0.7571140697470421</v>
      </c>
      <c r="X35" s="1939"/>
      <c r="Y35" s="3366">
        <f t="shared" ref="Y35:Y36" si="80">V35-W35</f>
      </c>
      <c r="AA35" s="1586" t="s">
        <v>1172</v>
      </c>
      <c r="AB35" s="1938">
        <f>AB31/AB27</f>
      </c>
      <c r="AC35" s="1938">
        <f t="shared" ref="AC35:AD35" si="81">AC31/AC27</f>
      </c>
      <c r="AD35" s="1938">
        <f t="shared" si="81"/>
      </c>
      <c r="AE35" s="1938">
        <f t="shared" ref="AE35" si="82">AE31/AE27</f>
      </c>
      <c r="AF35" s="2252"/>
      <c r="AG35" s="1945">
        <f t="shared" si="67"/>
      </c>
      <c r="AH35" s="1945">
        <f t="shared" si="68"/>
      </c>
      <c r="AI35" s="1945" t="e">
        <f t="shared" si="69"/>
      </c>
      <c r="AJ35" s="1947"/>
    </row>
    <row r="36" spans="1:45" ht="12">
      <c r="A36" s="1545" t="s">
        <v>1428</v>
      </c>
      <c r="B36" s="1568">
        <f t="shared" si="70"/>
      </c>
      <c r="C36" s="1549">
        <v>0.43253532626160779</v>
      </c>
      <c r="D36" s="1572"/>
      <c r="E36" s="1566">
        <f t="shared" si="38"/>
      </c>
      <c r="F36" s="1941">
        <f t="shared" si="71"/>
      </c>
      <c r="G36" s="1942">
        <v>0.44033293231586706</v>
      </c>
      <c r="H36" s="1943"/>
      <c r="I36" s="1944">
        <f t="shared" si="72"/>
      </c>
      <c r="J36" s="1941">
        <f t="shared" si="73"/>
      </c>
      <c r="K36" s="1942">
        <v>0.46209930741665112</v>
      </c>
      <c r="L36" s="1943"/>
      <c r="M36" s="1944">
        <f t="shared" si="74"/>
      </c>
      <c r="N36" s="1941">
        <f t="shared" si="75"/>
      </c>
      <c r="O36" s="1942">
        <v>0.46592939933469968</v>
      </c>
      <c r="P36" s="1943"/>
      <c r="Q36" s="1944">
        <f t="shared" si="76"/>
      </c>
      <c r="R36" s="1941">
        <f t="shared" si="77"/>
      </c>
      <c r="S36" s="1942">
        <v>0.45741045591613705</v>
      </c>
      <c r="T36" s="1943"/>
      <c r="U36" s="1944">
        <f t="shared" si="78"/>
      </c>
      <c r="V36" s="1941">
        <f t="shared" si="79"/>
      </c>
      <c r="W36" s="1942">
        <v>0.46286935460214634</v>
      </c>
      <c r="X36" s="1943"/>
      <c r="Y36" s="3367">
        <f t="shared" si="80"/>
      </c>
      <c r="Z36" s="2868">
        <f>AVERAGE(U36,Y36,Q36)</f>
      </c>
      <c r="AA36" s="1588" t="s">
        <v>1428</v>
      </c>
      <c r="AB36" s="1942">
        <f>AB32/AB28</f>
      </c>
      <c r="AC36" s="1942">
        <f t="shared" ref="AC36:AD36" si="83">AC32/AC28</f>
      </c>
      <c r="AD36" s="1942">
        <f t="shared" si="83"/>
      </c>
      <c r="AE36" s="1942">
        <f t="shared" ref="AE36" si="84">AE32/AE28</f>
      </c>
      <c r="AF36" s="2252"/>
      <c r="AG36" s="2232">
        <f t="shared" si="67"/>
      </c>
      <c r="AH36" s="2232">
        <f t="shared" si="68"/>
      </c>
      <c r="AI36" s="2232">
        <f t="shared" si="69"/>
      </c>
      <c r="AJ36" s="2233"/>
    </row>
    <row r="37" spans="1:45">
      <c r="G37" s="2779"/>
    </row>
    <row r="38" spans="1:45" ht="12">
      <c r="A38" s="2780" t="s">
        <v>2238</v>
      </c>
      <c r="B38" s="2781"/>
      <c r="C38" s="2781"/>
      <c r="D38" s="2781"/>
      <c r="E38" s="2781"/>
      <c r="F38" s="2781"/>
      <c r="G38" s="2781"/>
      <c r="H38" s="2781"/>
      <c r="I38" s="2781"/>
      <c r="J38" s="2781"/>
      <c r="K38" s="2781"/>
      <c r="L38" s="2781"/>
      <c r="M38" s="2781"/>
      <c r="N38" s="2781"/>
      <c r="O38" s="2781"/>
      <c r="P38" s="2781"/>
      <c r="Q38" s="2781"/>
      <c r="R38" s="2781"/>
      <c r="S38" s="2781"/>
      <c r="T38" s="2781"/>
      <c r="U38" s="2782"/>
      <c r="V38" s="2781"/>
      <c r="W38" s="2781"/>
      <c r="X38" s="2781"/>
      <c r="Y38" s="3368"/>
      <c r="AM38" s="162" t="str">
        <f>'Segment - Products'!DG8</f>
      </c>
      <c r="AN38" s="162" t="str">
        <f>'Segment - Products'!DH8</f>
      </c>
      <c r="AO38" s="162" t="str">
        <f>'Segment - Products'!DI8</f>
      </c>
      <c r="AP38" s="162" t="str">
        <f>'Segment - Products'!DJ8</f>
      </c>
      <c r="AQ38" s="162" t="str">
        <f>'Segment - Products'!DK8</f>
      </c>
      <c r="AR38" s="162" t="str">
        <f>'Segment - Products'!DL8</f>
      </c>
      <c r="AS38" s="162" t="str">
        <f>'Segment - Products'!DM8</f>
      </c>
    </row>
    <row r="39" spans="1:45" ht="12">
      <c r="A39" s="2774" t="s">
        <v>2211</v>
      </c>
      <c r="B39" s="2775"/>
      <c r="C39" s="2775"/>
      <c r="D39" s="2775"/>
      <c r="E39" s="2775"/>
      <c r="F39" s="2775"/>
      <c r="G39" s="2776"/>
      <c r="H39" s="2775"/>
      <c r="I39" s="2776"/>
      <c r="J39" s="2775"/>
      <c r="K39" s="2776"/>
      <c r="L39" s="2775"/>
      <c r="M39" s="2775"/>
      <c r="N39" s="2775"/>
      <c r="O39" s="2775"/>
      <c r="P39" s="2775"/>
      <c r="Q39" s="2775"/>
      <c r="R39" s="2775"/>
      <c r="S39" s="2775"/>
      <c r="T39" s="2775"/>
      <c r="U39" s="2776"/>
      <c r="V39" s="2775"/>
      <c r="W39" s="2775"/>
      <c r="X39" s="2775"/>
      <c r="Y39" s="3369"/>
      <c r="AB39" s="2792" t="s">
        <v>2240</v>
      </c>
      <c r="AC39" s="2793" t="s">
        <v>2241</v>
      </c>
      <c r="AD39" s="2793" t="s">
        <v>2313</v>
      </c>
      <c r="AE39" s="2793" t="s">
        <v>2390</v>
      </c>
      <c r="AM39" s="2792" t="str">
        <f>AvE!T4</f>
      </c>
      <c r="AN39" s="2792" t="s">
        <v>2242</v>
      </c>
      <c r="AO39" s="2792" t="s">
        <v>2243</v>
      </c>
      <c r="AP39" s="2792" t="s">
        <v>2244</v>
      </c>
      <c r="AQ39" s="2792" t="s">
        <v>2245</v>
      </c>
      <c r="AR39" s="2792" t="s">
        <v>2246</v>
      </c>
      <c r="AS39" s="2792" t="s">
        <v>2247</v>
      </c>
    </row>
    <row r="40" spans="1:45">
      <c r="A40" s="162" t="str">
        <f>'Segment - Products'!A92</f>
      </c>
      <c r="F40" s="2764">
        <f>'Segment - Products'!FN92</f>
      </c>
      <c r="G40" s="2777">
        <v>219.73388200000002</v>
      </c>
      <c r="H40" s="2753">
        <f t="shared" ref="H40:H43" si="85">F40-G40</f>
      </c>
      <c r="I40" s="1554">
        <f t="shared" ref="I40:I43" si="86">H40/G40</f>
      </c>
      <c r="J40" s="2764">
        <f>'Segment - Products'!FO92</f>
      </c>
      <c r="K40" s="2787">
        <v>233.98051700000002</v>
      </c>
      <c r="L40" s="2753">
        <f t="shared" ref="L40:L43" si="87">J40-K40</f>
      </c>
      <c r="M40" s="1554">
        <f t="shared" ref="M40:M43" si="88">L40/K40</f>
      </c>
      <c r="N40" s="2763">
        <f>'Segment - Products'!FP92</f>
      </c>
      <c r="O40" s="2787">
        <v>235.77829864673478</v>
      </c>
      <c r="P40" s="2753">
        <f t="shared" ref="P40:P43" si="89">N40-O40</f>
      </c>
      <c r="Q40" s="1554">
        <f t="shared" ref="Q40:Q43" si="90">P40/O40</f>
      </c>
      <c r="R40" s="2763">
        <f>'Segment - Products'!FQ92</f>
      </c>
      <c r="S40" s="2787">
        <v>238.97108371439802</v>
      </c>
      <c r="T40" s="2753">
        <f t="shared" ref="T40:T43" si="91">R40-S40</f>
      </c>
      <c r="U40" s="1554">
        <f t="shared" ref="U40:U43" si="92">T40/S40</f>
      </c>
      <c r="V40" s="2763">
        <f>'Segment - Products'!FR92</f>
      </c>
      <c r="W40" s="2787">
        <v>243.31668621439806</v>
      </c>
      <c r="X40" s="2753">
        <f t="shared" ref="X40:X43" si="93">V40-W40</f>
      </c>
      <c r="Y40" s="3362">
        <f t="shared" ref="Y40:Y43" si="94">X40/W40</f>
      </c>
      <c r="AA40" s="162" t="s">
        <v>2207</v>
      </c>
      <c r="AB40" s="2772">
        <v>227.08938207831625</v>
      </c>
      <c r="AC40" s="2772">
        <v>227.96644075438493</v>
      </c>
      <c r="AD40" s="2772">
        <v>234.67737893193515</v>
      </c>
      <c r="AE40" s="2772">
        <v>240.4521506773136</v>
      </c>
      <c r="AG40" s="2794">
        <f t="shared" ref="AG40:AG43" si="95">N40/AB40-1</f>
      </c>
      <c r="AH40" s="2795">
        <f t="shared" ref="AH40:AH43" si="96">R40/AC40-1</f>
      </c>
      <c r="AI40" s="2795">
        <f t="shared" ref="AI40:AI43" si="97">V40/AD40-1</f>
      </c>
      <c r="AJ40" s="2796"/>
      <c r="AL40" s="162" t="s">
        <v>2207</v>
      </c>
      <c r="AM40" s="2772">
        <v>45.656433196623773</v>
      </c>
      <c r="AN40" s="2772">
        <v>44.518144896563463</v>
      </c>
      <c r="AO40" s="2772">
        <v>51.466286799260978</v>
      </c>
      <c r="AP40" s="2772">
        <v>78.081512840098242</v>
      </c>
      <c r="AQ40" s="2772">
        <v>50.846325361500519</v>
      </c>
      <c r="AR40" s="2772">
        <v>44.653530213792891</v>
      </c>
      <c r="AS40" s="2772">
        <v>53.084419123992866</v>
      </c>
    </row>
    <row r="41" spans="1:45">
      <c r="A41" s="162" t="str">
        <f>'Segment - Products'!A99</f>
      </c>
      <c r="F41" s="2764">
        <f>'Segment - Products'!FN99</f>
      </c>
      <c r="G41" s="2777">
        <v>51.03</v>
      </c>
      <c r="H41" s="2753">
        <f t="shared" si="85"/>
      </c>
      <c r="I41" s="1554">
        <f t="shared" si="86"/>
      </c>
      <c r="J41" s="2764">
        <f>'Segment - Products'!FO99</f>
      </c>
      <c r="K41" s="2777">
        <v>53.713000000000001</v>
      </c>
      <c r="L41" s="2753">
        <f t="shared" si="87"/>
      </c>
      <c r="M41" s="1554">
        <f t="shared" si="88"/>
      </c>
      <c r="N41" s="2764">
        <f>'Segment - Products'!FP99</f>
      </c>
      <c r="O41" s="2777">
        <v>54.9</v>
      </c>
      <c r="P41" s="2753">
        <f t="shared" si="89"/>
      </c>
      <c r="Q41" s="1554">
        <f t="shared" si="90"/>
      </c>
      <c r="R41" s="2764">
        <f>'Segment - Products'!FQ99</f>
      </c>
      <c r="S41" s="2777">
        <v>49</v>
      </c>
      <c r="T41" s="2753">
        <f t="shared" si="91"/>
      </c>
      <c r="U41" s="1554">
        <f t="shared" si="92"/>
      </c>
      <c r="V41" s="2764">
        <f>'Segment - Products'!FR99</f>
      </c>
      <c r="W41" s="2777">
        <v>52.5</v>
      </c>
      <c r="X41" s="2753">
        <f t="shared" si="93"/>
      </c>
      <c r="Y41" s="3362">
        <f t="shared" si="94"/>
      </c>
      <c r="AA41" s="162" t="s">
        <v>2209</v>
      </c>
      <c r="AB41" s="2772">
        <v>53.560173439311875</v>
      </c>
      <c r="AC41" s="2772">
        <v>52.532601308209905</v>
      </c>
      <c r="AD41" s="2772">
        <v>54.086730492997816</v>
      </c>
      <c r="AE41" s="2772">
        <v>53.777452175806737</v>
      </c>
      <c r="AG41" s="1819">
        <f t="shared" si="95"/>
      </c>
      <c r="AH41" s="1820">
        <f t="shared" si="96"/>
      </c>
      <c r="AI41" s="1820">
        <f t="shared" si="97"/>
      </c>
      <c r="AJ41" s="1821"/>
      <c r="AL41" s="162" t="s">
        <v>2248</v>
      </c>
      <c r="AM41" s="2772">
        <f>VLOOKUP('Segment - Products'!$A$92,'Segment - Products'!$A$92:$DM$92,MATCH('Estimate Changes'!AM$38,'Segment - Products'!$A$8:$DQ$8,0),0)</f>
      </c>
      <c r="AN41" s="2772">
        <f>VLOOKUP('Segment - Products'!$A$92,'Segment - Products'!$A$92:$DM$92,MATCH('Estimate Changes'!AN$38,'Segment - Products'!$A$8:$DQ$8,0),0)</f>
      </c>
      <c r="AO41" s="2772">
        <f>VLOOKUP('Segment - Products'!$A$92,'Segment - Products'!$A$92:$DM$92,MATCH('Estimate Changes'!AO$38,'Segment - Products'!$A$8:$DQ$8,0),0)</f>
      </c>
      <c r="AP41" s="2772">
        <f>VLOOKUP('Segment - Products'!$A$92,'Segment - Products'!$A$92:$DM$92,MATCH('Estimate Changes'!AP$38,'Segment - Products'!$A$8:$DQ$8,0),0)</f>
      </c>
      <c r="AQ41" s="2772">
        <f>VLOOKUP('Segment - Products'!$A$92,'Segment - Products'!$A$92:$DM$92,MATCH('Estimate Changes'!AQ$38,'Segment - Products'!$A$8:$DQ$8,0),0)</f>
      </c>
      <c r="AR41" s="2772">
        <f>VLOOKUP('Segment - Products'!$A$92,'Segment - Products'!$A$92:$DM$92,MATCH('Estimate Changes'!AR$38,'Segment - Products'!$A$8:$DQ$8,0),0)</f>
      </c>
      <c r="AS41" s="2772">
        <f>VLOOKUP('Segment - Products'!$A$92,'Segment - Products'!$A$92:$DM$92,MATCH('Estimate Changes'!AS$38,'Segment - Products'!$A$8:$DQ$8,0),0)</f>
      </c>
    </row>
    <row r="42" spans="1:45">
      <c r="A42" s="162" t="str">
        <f>'Segment - Products'!A93</f>
      </c>
      <c r="F42" s="2764">
        <f>'Segment - Products'!FN93</f>
      </c>
      <c r="G42" s="2777">
        <v>23.268000000000001</v>
      </c>
      <c r="H42" s="2753">
        <f t="shared" si="85"/>
      </c>
      <c r="I42" s="1554">
        <f t="shared" si="86"/>
      </c>
      <c r="J42" s="2764">
        <f>'Segment - Products'!FO93</f>
      </c>
      <c r="K42" s="2777">
        <v>21.212023797103999</v>
      </c>
      <c r="L42" s="2753">
        <f t="shared" si="87"/>
      </c>
      <c r="M42" s="1554">
        <f t="shared" si="88"/>
      </c>
      <c r="N42" s="2764">
        <f>'Segment - Products'!FP93</f>
      </c>
      <c r="O42" s="2777">
        <v>25.482974460000001</v>
      </c>
      <c r="P42" s="2753">
        <f t="shared" si="89"/>
      </c>
      <c r="Q42" s="1554">
        <f t="shared" si="90"/>
      </c>
      <c r="R42" s="2764">
        <f>'Segment - Products'!FQ93</f>
      </c>
      <c r="S42" s="2777">
        <v>24.915449180000003</v>
      </c>
      <c r="T42" s="2753">
        <f t="shared" si="91"/>
      </c>
      <c r="U42" s="1554">
        <f t="shared" si="92"/>
      </c>
      <c r="V42" s="2764">
        <f>'Segment - Products'!FR93</f>
      </c>
      <c r="W42" s="2777">
        <v>25.467116433800005</v>
      </c>
      <c r="X42" s="2753">
        <f t="shared" si="93"/>
      </c>
      <c r="Y42" s="3362">
        <f t="shared" si="94"/>
      </c>
      <c r="AA42" s="162" t="s">
        <v>2210</v>
      </c>
      <c r="AB42" s="2772">
        <v>24.372435188703662</v>
      </c>
      <c r="AC42" s="2772">
        <v>24.315134782657879</v>
      </c>
      <c r="AD42" s="2772">
        <v>25.295320598067441</v>
      </c>
      <c r="AE42" s="2772">
        <v>25.538094085637411</v>
      </c>
      <c r="AG42" s="1819">
        <f t="shared" si="95"/>
      </c>
      <c r="AH42" s="1820">
        <f t="shared" si="96"/>
      </c>
      <c r="AI42" s="1820">
        <f t="shared" si="97"/>
      </c>
      <c r="AJ42" s="1821"/>
      <c r="AL42" s="162" t="s">
        <v>2249</v>
      </c>
      <c r="AM42" s="2814">
        <f>AM41/AM40-1</f>
      </c>
      <c r="AN42" s="2814">
        <f t="shared" ref="AN42:AS42" si="98">AN41/AN40-1</f>
      </c>
      <c r="AO42" s="2814">
        <f t="shared" si="98"/>
      </c>
      <c r="AP42" s="2814">
        <f t="shared" si="98"/>
      </c>
      <c r="AQ42" s="2814">
        <f t="shared" si="98"/>
      </c>
      <c r="AR42" s="2814">
        <f t="shared" si="98"/>
      </c>
      <c r="AS42" s="2814">
        <f t="shared" si="98"/>
      </c>
    </row>
    <row r="43" spans="1:45">
      <c r="A43" s="162" t="str">
        <f>'Segment - Products'!A100</f>
      </c>
      <c r="F43" s="2764">
        <f>'Segment - Products'!FN100</f>
      </c>
      <c r="G43" s="2777">
        <v>40.14</v>
      </c>
      <c r="H43" s="2753">
        <f t="shared" si="85"/>
      </c>
      <c r="I43" s="1554">
        <f t="shared" si="86"/>
      </c>
      <c r="J43" s="2764">
        <f>'Segment - Products'!FO100</f>
      </c>
      <c r="K43" s="2777">
        <v>37.594000000000001</v>
      </c>
      <c r="L43" s="2753">
        <f t="shared" si="87"/>
      </c>
      <c r="M43" s="1554">
        <f t="shared" si="88"/>
      </c>
      <c r="N43" s="2764">
        <f>'Segment - Products'!FP100</f>
      </c>
      <c r="O43" s="2777">
        <v>38.840249999999997</v>
      </c>
      <c r="P43" s="2753">
        <f t="shared" si="89"/>
      </c>
      <c r="Q43" s="1554">
        <f t="shared" si="90"/>
      </c>
      <c r="R43" s="2764">
        <f>'Segment - Products'!FQ100</f>
      </c>
      <c r="S43" s="2777">
        <v>40.782262500000002</v>
      </c>
      <c r="T43" s="2753">
        <f t="shared" si="91"/>
      </c>
      <c r="U43" s="1554">
        <f t="shared" si="92"/>
      </c>
      <c r="V43" s="2764">
        <f>'Segment - Products'!FR100</f>
      </c>
      <c r="W43" s="2777">
        <v>42.821375625000002</v>
      </c>
      <c r="X43" s="2753">
        <f t="shared" si="93"/>
      </c>
      <c r="Y43" s="3362">
        <f t="shared" si="94"/>
      </c>
      <c r="AA43" s="162" t="s">
        <v>2212</v>
      </c>
      <c r="AB43" s="2772">
        <v>37.41491436721504</v>
      </c>
      <c r="AC43" s="2772">
        <v>37.286857968778705</v>
      </c>
      <c r="AD43" s="2772">
        <v>39.499638917149319</v>
      </c>
      <c r="AE43" s="2772">
        <v>39.003723779667034</v>
      </c>
      <c r="AG43" s="3155">
        <f t="shared" si="95"/>
      </c>
      <c r="AH43" s="2798">
        <f t="shared" si="96"/>
      </c>
      <c r="AI43" s="2798">
        <f t="shared" si="97"/>
      </c>
      <c r="AJ43" s="2799"/>
    </row>
    <row r="44" spans="1:45">
      <c r="A44" s="160"/>
      <c r="G44" s="1823"/>
      <c r="I44" s="1823"/>
      <c r="K44" s="1823"/>
      <c r="M44" s="1823"/>
      <c r="N44" s="1822"/>
      <c r="O44" s="1823"/>
      <c r="Q44" s="1823"/>
      <c r="R44" s="1822"/>
      <c r="S44" s="1823"/>
      <c r="U44" s="1823"/>
      <c r="V44" s="1822"/>
      <c r="W44" s="1823"/>
      <c r="Y44" s="1823"/>
    </row>
    <row r="45" spans="1:45" ht="12">
      <c r="A45" s="2774" t="s">
        <v>2216</v>
      </c>
      <c r="B45" s="2775"/>
      <c r="C45" s="2775"/>
      <c r="D45" s="2775"/>
      <c r="E45" s="2775"/>
      <c r="F45" s="2775"/>
      <c r="G45" s="2776"/>
      <c r="H45" s="2775"/>
      <c r="I45" s="2776"/>
      <c r="J45" s="2775"/>
      <c r="K45" s="2776"/>
      <c r="L45" s="2775"/>
      <c r="M45" s="2776"/>
      <c r="N45" s="2785"/>
      <c r="O45" s="2776"/>
      <c r="P45" s="2775"/>
      <c r="Q45" s="2776"/>
      <c r="R45" s="2785"/>
      <c r="S45" s="2776"/>
      <c r="T45" s="2775"/>
      <c r="U45" s="2776"/>
      <c r="V45" s="2785"/>
      <c r="W45" s="2776"/>
      <c r="X45" s="2775"/>
      <c r="Y45" s="3369"/>
      <c r="AA45" s="163" t="s">
        <v>2216</v>
      </c>
    </row>
    <row r="46" spans="1:45">
      <c r="A46" s="1396" t="str">
        <f>A40</f>
      </c>
      <c r="F46" s="2773">
        <f>F22/F40</f>
      </c>
      <c r="G46" s="2778">
        <v>907.5188669792044</v>
      </c>
      <c r="H46" s="2773">
        <f t="shared" ref="H46:H49" si="99">F46-G46</f>
      </c>
      <c r="I46" s="2783">
        <f t="shared" ref="I46:I49" si="100">H46/G46</f>
      </c>
      <c r="J46" s="2773">
        <f>J22/J40</f>
      </c>
      <c r="K46" s="2778">
        <v>855.03412329391858</v>
      </c>
      <c r="L46" s="2773">
        <f t="shared" ref="L46:L49" si="101">J46-K46</f>
      </c>
      <c r="M46" s="2783">
        <f t="shared" ref="M46:M49" si="102">L46/K46</f>
      </c>
      <c r="N46" s="2786">
        <f>N22/N40</f>
      </c>
      <c r="O46" s="2778">
        <v>860.60427013534263</v>
      </c>
      <c r="P46" s="2773">
        <f t="shared" ref="P46:P49" si="103">N46-O46</f>
      </c>
      <c r="Q46" s="2783">
        <f t="shared" ref="Q46:Q49" si="104">P46/O46</f>
      </c>
      <c r="R46" s="2786">
        <f>R22/R40</f>
      </c>
      <c r="S46" s="2778">
        <v>898.78132766760041</v>
      </c>
      <c r="T46" s="2773">
        <f t="shared" ref="T46:T49" si="105">R46-S46</f>
      </c>
      <c r="U46" s="2783">
        <f t="shared" ref="U46:U49" si="106">T46/S46</f>
      </c>
      <c r="V46" s="2786">
        <f>V22/V40</f>
      </c>
      <c r="W46" s="2778">
        <v>940.6687988340143</v>
      </c>
      <c r="X46" s="2773">
        <f t="shared" ref="X46:X49" si="107">V46-W46</f>
      </c>
      <c r="Y46" s="2783">
        <f t="shared" ref="Y46:Y49" si="108">X46/W46</f>
      </c>
      <c r="AA46" s="160" t="str">
        <f>A46</f>
      </c>
      <c r="AB46" s="2773">
        <f>AB54/AB40</f>
      </c>
      <c r="AC46" s="2773">
        <f t="shared" ref="AC46:AE46" si="109">AC54/AC40</f>
      </c>
      <c r="AD46" s="2773">
        <f t="shared" si="109"/>
      </c>
      <c r="AE46" s="2773">
        <f t="shared" si="109"/>
      </c>
      <c r="AG46" s="2794">
        <f t="shared" ref="AG46:AG49" si="110">N46/AB46-1</f>
      </c>
      <c r="AH46" s="2795">
        <f t="shared" ref="AH46:AH49" si="111">R46/AC46-1</f>
      </c>
      <c r="AI46" s="2795">
        <f t="shared" ref="AI46:AI49" si="112">V46/AD46-1</f>
      </c>
      <c r="AJ46" s="2796"/>
    </row>
    <row r="47" spans="1:45">
      <c r="A47" s="1396" t="str">
        <f t="shared" ref="A47:A49" si="113">A41</f>
      </c>
      <c r="F47" s="2773">
        <f>F24/F41</f>
      </c>
      <c r="G47" s="2778">
        <v>551.57750342935526</v>
      </c>
      <c r="H47" s="2773">
        <f t="shared" si="99"/>
      </c>
      <c r="I47" s="2783">
        <f t="shared" si="100"/>
      </c>
      <c r="J47" s="2773">
        <f>J24/J41</f>
      </c>
      <c r="K47" s="2778">
        <v>494.13549792415245</v>
      </c>
      <c r="L47" s="2773">
        <f t="shared" si="101"/>
      </c>
      <c r="M47" s="2783">
        <f t="shared" si="102"/>
      </c>
      <c r="N47" s="2786">
        <f>N24/N41</f>
      </c>
      <c r="O47" s="2778">
        <v>517.07650273224044</v>
      </c>
      <c r="P47" s="2773">
        <f t="shared" si="103"/>
      </c>
      <c r="Q47" s="2783">
        <f t="shared" si="104"/>
      </c>
      <c r="R47" s="2786">
        <f>R24/R41</f>
      </c>
      <c r="S47" s="2778">
        <v>564.69387755102036</v>
      </c>
      <c r="T47" s="2773">
        <f t="shared" si="105"/>
      </c>
      <c r="U47" s="2783">
        <f t="shared" si="106"/>
      </c>
      <c r="V47" s="2786">
        <f>V24/V41</f>
      </c>
      <c r="W47" s="2778">
        <v>587.04761904761904</v>
      </c>
      <c r="X47" s="2773">
        <f t="shared" si="107"/>
      </c>
      <c r="Y47" s="2783">
        <f t="shared" si="108"/>
      </c>
      <c r="AA47" s="160" t="str">
        <f>A47</f>
      </c>
      <c r="AB47" s="2773">
        <f>AB56/AB41</f>
      </c>
      <c r="AC47" s="2773">
        <f>AC56/AC41</f>
      </c>
      <c r="AD47" s="2773">
        <f>AD56/AD41</f>
      </c>
      <c r="AE47" s="2773">
        <f>AE56/AE41</f>
      </c>
      <c r="AG47" s="1819">
        <f t="shared" si="110"/>
      </c>
      <c r="AH47" s="1820">
        <f t="shared" si="111"/>
      </c>
      <c r="AI47" s="1820">
        <f t="shared" si="112"/>
      </c>
      <c r="AJ47" s="1821"/>
    </row>
    <row r="48" spans="1:45">
      <c r="A48" s="1396" t="str">
        <f t="shared" si="113"/>
      </c>
      <c r="F48" s="2773">
        <f>F23/F42</f>
      </c>
      <c r="G48" s="2778">
        <v>1309.6836857486678</v>
      </c>
      <c r="H48" s="2773">
        <f t="shared" si="99"/>
      </c>
      <c r="I48" s="2783">
        <f t="shared" si="100"/>
      </c>
      <c r="J48" s="2773">
        <f>J23/J42</f>
      </c>
      <c r="K48" s="2778">
        <v>1388.0715912693938</v>
      </c>
      <c r="L48" s="2773">
        <f t="shared" si="101"/>
      </c>
      <c r="M48" s="2783">
        <f t="shared" si="102"/>
      </c>
      <c r="N48" s="2786">
        <f>N23/N42</f>
      </c>
      <c r="O48" s="2778">
        <v>1292.1882393159215</v>
      </c>
      <c r="P48" s="2773">
        <f t="shared" si="103"/>
      </c>
      <c r="Q48" s="2783">
        <f t="shared" si="104"/>
      </c>
      <c r="R48" s="2786">
        <f>R23/R42</f>
      </c>
      <c r="S48" s="2778">
        <v>1331.5487454117813</v>
      </c>
      <c r="T48" s="2773">
        <f t="shared" si="105"/>
      </c>
      <c r="U48" s="2783">
        <f t="shared" si="106"/>
      </c>
      <c r="V48" s="2786">
        <f>V23/V42</f>
      </c>
      <c r="W48" s="2778">
        <v>1371.7067225154558</v>
      </c>
      <c r="X48" s="2773">
        <f t="shared" si="107"/>
      </c>
      <c r="Y48" s="2783">
        <f t="shared" si="108"/>
      </c>
      <c r="AA48" s="160" t="str">
        <f>A48</f>
      </c>
      <c r="AB48" s="2773">
        <f>AB55/AB42</f>
      </c>
      <c r="AC48" s="2773">
        <f>AC55/AC42</f>
      </c>
      <c r="AD48" s="2773">
        <f>AD55/AD42</f>
      </c>
      <c r="AE48" s="2773">
        <f>AE55/AE42</f>
      </c>
      <c r="AG48" s="1819">
        <f t="shared" si="110"/>
      </c>
      <c r="AH48" s="1820">
        <f t="shared" si="111"/>
      </c>
      <c r="AI48" s="1820">
        <f t="shared" si="112"/>
      </c>
      <c r="AJ48" s="1821"/>
    </row>
    <row r="49" spans="1:36">
      <c r="A49" s="1396" t="str">
        <f t="shared" si="113"/>
      </c>
      <c r="F49" s="2773">
        <f>F51/F43</f>
      </c>
      <c r="G49" s="2778">
        <v>550</v>
      </c>
      <c r="H49" s="2773">
        <f t="shared" si="99"/>
      </c>
      <c r="I49" s="2783">
        <f t="shared" si="100"/>
      </c>
      <c r="J49" s="2773">
        <f>J51/J43</f>
      </c>
      <c r="K49" s="2778">
        <v>535.89535564185769</v>
      </c>
      <c r="L49" s="2773">
        <f t="shared" si="101"/>
      </c>
      <c r="M49" s="2783">
        <f t="shared" si="102"/>
      </c>
      <c r="N49" s="2786">
        <f>N51/N43</f>
      </c>
      <c r="O49" s="2778">
        <v>500.00000000000006</v>
      </c>
      <c r="P49" s="2773">
        <f t="shared" si="103"/>
      </c>
      <c r="Q49" s="2783">
        <f t="shared" si="104"/>
      </c>
      <c r="R49" s="2786">
        <f>R51/R43</f>
      </c>
      <c r="S49" s="2778">
        <v>507.16733929364517</v>
      </c>
      <c r="T49" s="2773">
        <f t="shared" si="105"/>
      </c>
      <c r="U49" s="2783">
        <f t="shared" si="106"/>
      </c>
      <c r="V49" s="2786">
        <f>V51/V43</f>
      </c>
      <c r="W49" s="2778">
        <v>525</v>
      </c>
      <c r="X49" s="2773">
        <f t="shared" si="107"/>
      </c>
      <c r="Y49" s="2783">
        <f t="shared" si="108"/>
      </c>
      <c r="AA49" s="160" t="str">
        <f>A49</f>
      </c>
      <c r="AB49" s="2773">
        <f>AB59/AB43</f>
      </c>
      <c r="AC49" s="2773">
        <f>AC59/AC43</f>
      </c>
      <c r="AD49" s="2773">
        <f>AD59/AD43</f>
      </c>
      <c r="AE49" s="2773">
        <f>AE59/AE43</f>
      </c>
      <c r="AG49" s="3155">
        <f t="shared" si="110"/>
      </c>
      <c r="AH49" s="2798">
        <f t="shared" si="111"/>
      </c>
      <c r="AI49" s="2798">
        <f t="shared" si="112"/>
      </c>
      <c r="AJ49" s="2799"/>
    </row>
    <row r="50" spans="1:36">
      <c r="A50" s="195"/>
      <c r="G50" s="1823"/>
      <c r="I50" s="2783"/>
      <c r="K50" s="1823"/>
      <c r="M50" s="2783"/>
      <c r="N50" s="1822"/>
      <c r="O50" s="1823"/>
      <c r="Q50" s="2783"/>
      <c r="R50" s="1822"/>
      <c r="S50" s="1823"/>
      <c r="U50" s="2783"/>
      <c r="V50" s="1822"/>
      <c r="W50" s="1823"/>
      <c r="Y50" s="2783"/>
    </row>
    <row r="51" spans="1:36">
      <c r="A51" s="2532" t="s">
        <v>2235</v>
      </c>
      <c r="B51" s="2160"/>
      <c r="C51" s="2160"/>
      <c r="D51" s="2160"/>
      <c r="E51" s="2160"/>
      <c r="F51" s="2800">
        <f>'Segment - Products'!FN15</f>
      </c>
      <c r="G51" s="2801">
        <v>22077</v>
      </c>
      <c r="H51" s="2800">
        <f t="shared" ref="H51" si="114">F51-G51</f>
      </c>
      <c r="I51" s="2784">
        <f t="shared" ref="I51" si="115">H51/G51</f>
      </c>
      <c r="J51" s="2800">
        <f>'Segment - Products'!FO15</f>
      </c>
      <c r="K51" s="2801">
        <v>20146.45</v>
      </c>
      <c r="L51" s="2800">
        <f t="shared" ref="L51" si="116">J51-K51</f>
      </c>
      <c r="M51" s="2784">
        <f t="shared" ref="M51" si="117">L51/K51</f>
      </c>
      <c r="N51" s="2800">
        <f>'Segment - Products'!FP15</f>
      </c>
      <c r="O51" s="2801">
        <v>19420.125</v>
      </c>
      <c r="P51" s="2800">
        <f t="shared" ref="P51" si="118">N51-O51</f>
      </c>
      <c r="Q51" s="2784">
        <f t="shared" ref="Q51" si="119">P51/O51</f>
      </c>
      <c r="R51" s="2800">
        <f>'Segment - Products'!FQ15</f>
      </c>
      <c r="S51" s="2801">
        <v>20683.431562500002</v>
      </c>
      <c r="T51" s="2800">
        <f t="shared" ref="T51" si="120">R51-S51</f>
      </c>
      <c r="U51" s="2784">
        <f t="shared" ref="U51" si="121">T51/S51</f>
      </c>
      <c r="V51" s="2800">
        <f>'Segment - Products'!FR15</f>
      </c>
      <c r="W51" s="2801">
        <v>22481.222203125002</v>
      </c>
      <c r="X51" s="2800">
        <f t="shared" ref="X51" si="122">V51-W51</f>
      </c>
      <c r="Y51" s="2784">
        <f t="shared" ref="Y51" si="123">X51/W51</f>
      </c>
    </row>
    <row r="53" spans="1:36" ht="12">
      <c r="AA53" s="2752" t="s">
        <v>1617</v>
      </c>
      <c r="AC53" s="1945"/>
    </row>
    <row r="54" spans="1:36">
      <c r="AA54" s="160" t="s">
        <v>2217</v>
      </c>
      <c r="AB54" s="2773">
        <v>202885.04800466701</v>
      </c>
      <c r="AC54" s="2773">
        <v>211116.56950601749</v>
      </c>
      <c r="AD54" s="2773">
        <v>222067.74533619522</v>
      </c>
      <c r="AE54" s="2773">
        <v>227292.31596587272</v>
      </c>
      <c r="AG54" s="2794">
        <f>N22/AB54-1</f>
      </c>
      <c r="AH54" s="2795">
        <f>R22/AC54-1</f>
      </c>
      <c r="AI54" s="2795">
        <f>V22/AD54-1</f>
      </c>
      <c r="AJ54" s="2796"/>
    </row>
    <row r="55" spans="1:36">
      <c r="AA55" s="160" t="s">
        <v>2219</v>
      </c>
      <c r="AB55" s="2773">
        <v>32578.998150877829</v>
      </c>
      <c r="AC55" s="2773">
        <v>33210.250992044421</v>
      </c>
      <c r="AD55" s="2773">
        <v>34375.412329278704</v>
      </c>
      <c r="AE55" s="2773">
        <v>34807.659835301893</v>
      </c>
      <c r="AG55" s="1819">
        <f>N23/AB55-1</f>
      </c>
      <c r="AH55" s="1820">
        <f>R23/AC55-1</f>
      </c>
      <c r="AI55" s="1820">
        <f>V23/AD55-1</f>
      </c>
      <c r="AJ55" s="1821"/>
    </row>
    <row r="56" spans="1:36">
      <c r="AA56" s="160" t="s">
        <v>2218</v>
      </c>
      <c r="AB56" s="2773">
        <v>28418.337447156009</v>
      </c>
      <c r="AC56" s="2773">
        <v>28453.577409394296</v>
      </c>
      <c r="AD56" s="2773">
        <v>29274.895552676873</v>
      </c>
      <c r="AE56" s="2773">
        <v>30294.486764240974</v>
      </c>
      <c r="AG56" s="1819">
        <f>N24/AB56-1</f>
      </c>
      <c r="AH56" s="1820">
        <f>R24/AC56-1</f>
      </c>
      <c r="AI56" s="1820">
        <f>V24/AD56-1</f>
      </c>
      <c r="AJ56" s="1821"/>
    </row>
    <row r="57" spans="1:36">
      <c r="AA57" s="2643" t="s">
        <v>2220</v>
      </c>
      <c r="AB57" s="2773">
        <v>36117.160791970156</v>
      </c>
      <c r="AC57" s="2773">
        <v>37193.587750640836</v>
      </c>
      <c r="AD57" s="2773">
        <v>38551.93760264993</v>
      </c>
      <c r="AE57" s="2773">
        <v>39095.44110044001</v>
      </c>
      <c r="AG57" s="1819">
        <f>N25/AB57-1</f>
      </c>
      <c r="AH57" s="1820">
        <f>R25/AC57-1</f>
      </c>
      <c r="AI57" s="1820">
        <f>V25/AD57-1</f>
      </c>
      <c r="AJ57" s="1821"/>
    </row>
    <row r="58" spans="1:36">
      <c r="AA58" s="2532" t="s">
        <v>2221</v>
      </c>
      <c r="AB58" s="2800">
        <v>299999.54439467104</v>
      </c>
      <c r="AC58" s="2800">
        <v>309973.98565809714</v>
      </c>
      <c r="AD58" s="2800">
        <v>324269.99082080077</v>
      </c>
      <c r="AE58" s="2801">
        <v>331489.90366585553</v>
      </c>
      <c r="AG58" s="2163">
        <f>N26/AB58-1</f>
      </c>
      <c r="AH58" s="2164">
        <f>R26/AC58-1</f>
      </c>
      <c r="AI58" s="2164">
        <f>V26/AD58-1</f>
      </c>
      <c r="AJ58" s="2165"/>
    </row>
    <row r="59" spans="1:36">
      <c r="AA59" s="160" t="s">
        <v>2222</v>
      </c>
      <c r="AB59" s="2773">
        <v>16319.286225828693</v>
      </c>
      <c r="AC59" s="2773">
        <v>16875.100548983028</v>
      </c>
      <c r="AD59" s="2773">
        <v>17878.28263813597</v>
      </c>
      <c r="AE59" s="2773">
        <v>17233.526047095351</v>
      </c>
      <c r="AG59" s="2797">
        <f>N51/AB59-1</f>
      </c>
      <c r="AH59" s="2798">
        <f>R51/AC59-1</f>
      </c>
      <c r="AI59" s="2798">
        <f>V51/AD59-1</f>
      </c>
      <c r="AJ59" s="2799"/>
    </row>
    <row r="60" spans="1:36">
      <c r="AA60" s="160"/>
    </row>
    <row r="61" spans="1:36" ht="12">
      <c r="AA61" s="2752" t="s">
        <v>2236</v>
      </c>
    </row>
    <row r="62" spans="1:36">
      <c r="AA62" s="160" t="s">
        <v>2221</v>
      </c>
      <c r="AB62" s="2773">
        <v>299999.54439467104</v>
      </c>
      <c r="AC62" s="2773">
        <v>309973.98565809714</v>
      </c>
      <c r="AD62" s="2773">
        <v>324269.99082080077</v>
      </c>
      <c r="AE62" s="2773">
        <v>331489.90366585553</v>
      </c>
      <c r="AG62" s="2794">
        <f>N26/AB62-1</f>
      </c>
      <c r="AH62" s="2795">
        <f>R26/AC62-1</f>
      </c>
      <c r="AI62" s="2795">
        <f>V26/AD62-1</f>
      </c>
      <c r="AJ62" s="2796"/>
    </row>
    <row r="63" spans="1:36">
      <c r="AA63" s="160" t="s">
        <v>2223</v>
      </c>
      <c r="AB63" s="2773">
        <v>107593.67531172396</v>
      </c>
      <c r="AC63" s="2773">
        <v>119026.00273653623</v>
      </c>
      <c r="AD63" s="2773">
        <v>129341.36160175822</v>
      </c>
      <c r="AE63" s="2773">
        <v>139744.50102070282</v>
      </c>
      <c r="AG63" s="1819">
        <f>N27/AB63-1</f>
      </c>
      <c r="AH63" s="1820">
        <f>R27/AC63-1</f>
      </c>
      <c r="AI63" s="1820">
        <f>V27/AD63-1</f>
      </c>
      <c r="AJ63" s="1821"/>
    </row>
    <row r="64" spans="1:36" ht="12">
      <c r="AA64" s="1588" t="s">
        <v>1246</v>
      </c>
      <c r="AB64" s="2802">
        <v>407519.6616805736</v>
      </c>
      <c r="AC64" s="2802">
        <v>428654.24471809308</v>
      </c>
      <c r="AD64" s="2802">
        <v>453611.35242255905</v>
      </c>
      <c r="AE64" s="2803">
        <v>471377.02052607125</v>
      </c>
      <c r="AG64" s="2229">
        <f>N28/AB64-1</f>
      </c>
      <c r="AH64" s="2230">
        <f>R28/AC64-1</f>
      </c>
      <c r="AI64" s="2230">
        <f>V28/AD64-1</f>
      </c>
      <c r="AJ64" s="2231"/>
    </row>
    <row r="65" spans="27:36">
      <c r="AA65" s="160" t="s">
        <v>2224</v>
      </c>
      <c r="AB65" s="2773">
        <v>109237.57802749038</v>
      </c>
      <c r="AC65" s="2773">
        <v>111610.77517787566</v>
      </c>
      <c r="AD65" s="2773">
        <v>115953.17456840795</v>
      </c>
      <c r="AE65" s="2773">
        <v>118215.929873028</v>
      </c>
      <c r="AG65" s="1819">
        <f>N30/AB65-1</f>
      </c>
      <c r="AH65" s="1820">
        <f>R30/AC65-1</f>
      </c>
      <c r="AI65" s="1820">
        <f>V30/AD65-1</f>
      </c>
      <c r="AJ65" s="1821"/>
    </row>
    <row r="66" spans="27:36">
      <c r="AA66" s="160" t="s">
        <v>2225</v>
      </c>
      <c r="AB66" s="2773">
        <v>80495.646979758545</v>
      </c>
      <c r="AC66" s="2773">
        <v>88647.188393853241</v>
      </c>
      <c r="AD66" s="2773">
        <v>96958.545505665898</v>
      </c>
      <c r="AE66" s="2773">
        <v>105132.73584375894</v>
      </c>
      <c r="AG66" s="1819">
        <f>N31/AB66-1</f>
      </c>
      <c r="AH66" s="1820">
        <f>R31/AC66-1</f>
      </c>
      <c r="AI66" s="1820">
        <f>V31/AD66-1</f>
      </c>
      <c r="AJ66" s="1821"/>
    </row>
    <row r="67" spans="27:36" ht="12">
      <c r="AA67" s="1588" t="s">
        <v>2226</v>
      </c>
      <c r="AB67" s="2802">
        <v>189673.58565479651</v>
      </c>
      <c r="AC67" s="2802">
        <v>200325.59521356859</v>
      </c>
      <c r="AD67" s="2802">
        <v>212909.78833819812</v>
      </c>
      <c r="AE67" s="2803">
        <v>223491.28155629971</v>
      </c>
      <c r="AF67" s="164"/>
      <c r="AG67" s="2821">
        <f>N32/AB67-1</f>
      </c>
      <c r="AH67" s="2822">
        <f>R32/AC67-1</f>
      </c>
      <c r="AI67" s="2822">
        <f>V32/AD67-1</f>
      </c>
      <c r="AJ67" s="2823"/>
    </row>
    <row r="68" spans="27:36">
      <c r="AA68" s="160" t="s">
        <v>2229</v>
      </c>
      <c r="AB68" s="2773">
        <v>33748.633470682413</v>
      </c>
      <c r="AC68" s="2773">
        <v>35795.418371486194</v>
      </c>
      <c r="AD68" s="2773">
        <v>38484.210550948446</v>
      </c>
      <c r="AE68" s="2773">
        <v>40629.987887576615</v>
      </c>
      <c r="AG68" s="2805">
        <f>N7/AB68-1</f>
      </c>
      <c r="AH68" s="2806">
        <f>R7/AC68-1</f>
      </c>
      <c r="AI68" s="2806">
        <f>V7/AD68-1</f>
      </c>
      <c r="AJ68" s="2807"/>
    </row>
    <row r="69" spans="27:36">
      <c r="AA69" s="160" t="s">
        <v>2230</v>
      </c>
      <c r="AB69" s="2773">
        <v>27626.931978558128</v>
      </c>
      <c r="AC69" s="2773">
        <v>29147.220918312767</v>
      </c>
      <c r="AD69" s="2773">
        <v>30551.302209443034</v>
      </c>
      <c r="AE69" s="2773">
        <v>31751.747933890438</v>
      </c>
      <c r="AG69" s="2805">
        <f>N8/AB69-1</f>
      </c>
      <c r="AH69" s="2806">
        <f>R8/AC69-1</f>
      </c>
      <c r="AI69" s="2806">
        <f>V8/AD69-1</f>
      </c>
      <c r="AJ69" s="2807"/>
    </row>
    <row r="70" spans="27:36">
      <c r="AA70" s="2532" t="s">
        <v>2231</v>
      </c>
      <c r="AB70" s="2800">
        <v>128270.94943693301</v>
      </c>
      <c r="AC70" s="2800">
        <v>135370.78448302881</v>
      </c>
      <c r="AD70" s="2800">
        <v>143860.90587780657</v>
      </c>
      <c r="AE70" s="2801">
        <v>151109.54573483273</v>
      </c>
      <c r="AG70" s="2808">
        <f>N10/AB70-1</f>
      </c>
      <c r="AH70" s="2809">
        <f>R10/AC70-1</f>
      </c>
      <c r="AI70" s="2809">
        <f>V10/AD70-1</f>
      </c>
      <c r="AJ70" s="2810"/>
    </row>
    <row r="71" spans="27:36">
      <c r="AA71" s="160" t="s">
        <v>2227</v>
      </c>
      <c r="AB71" s="2773">
        <v>-883.28106045684535</v>
      </c>
      <c r="AC71" s="2773">
        <v>-484.62735376189704</v>
      </c>
      <c r="AD71" s="2773">
        <v>-349.69384645042913</v>
      </c>
      <c r="AE71" s="2773">
        <v>-416.55788930426269</v>
      </c>
      <c r="AG71" s="2811">
        <f>N11/AB71-1</f>
      </c>
      <c r="AH71" s="2812">
        <f>R11/AC71-1</f>
      </c>
      <c r="AI71" s="2812">
        <f>V11/AD71-1</f>
      </c>
      <c r="AJ71" s="2813"/>
    </row>
    <row r="72" spans="27:36">
      <c r="AA72" s="2621" t="s">
        <v>2232</v>
      </c>
      <c r="AB72" s="2804">
        <v>127419.22556305838</v>
      </c>
      <c r="AC72" s="2804">
        <v>134922.06787919655</v>
      </c>
      <c r="AD72" s="2804">
        <v>143550.06690318391</v>
      </c>
      <c r="AE72" s="2804">
        <v>150692.98784552843</v>
      </c>
      <c r="AG72" s="2814">
        <f>N12/AB72-1</f>
      </c>
      <c r="AH72" s="2814">
        <f>R12/AC72-1</f>
      </c>
      <c r="AI72" s="2814">
        <f>V12/AD72-1</f>
      </c>
      <c r="AJ72" s="2814"/>
    </row>
    <row r="73" spans="27:36">
      <c r="AA73" s="160" t="s">
        <v>2233</v>
      </c>
      <c r="AB73" s="2773">
        <v>19688.038662197425</v>
      </c>
      <c r="AC73" s="2773">
        <v>21658.210503054866</v>
      </c>
      <c r="AD73" s="2773">
        <v>23091.837210638561</v>
      </c>
      <c r="AE73" s="2773">
        <v>24414.405709421346</v>
      </c>
      <c r="AG73" s="3292">
        <f>N13/AB73-1</f>
      </c>
      <c r="AH73" s="3292">
        <f>R13/AC73-1</f>
      </c>
      <c r="AI73" s="3292">
        <f>V13/AD73-1</f>
      </c>
    </row>
    <row r="74" spans="27:36">
      <c r="AA74" s="160" t="s">
        <v>1562</v>
      </c>
      <c r="AB74" s="1945">
        <f>AB73/AB72</f>
      </c>
      <c r="AC74" s="1945">
        <f t="shared" ref="AC74:AE74" si="124">AC73/AC72</f>
      </c>
      <c r="AD74" s="1945">
        <f t="shared" si="124"/>
      </c>
      <c r="AE74" s="1945">
        <f t="shared" si="124"/>
      </c>
    </row>
    <row r="75" spans="27:36">
      <c r="AA75" s="2621" t="s">
        <v>2234</v>
      </c>
      <c r="AB75" s="2804">
        <v>107724.40548188721</v>
      </c>
      <c r="AC75" s="2804">
        <v>113331.94712162978</v>
      </c>
      <c r="AD75" s="2804">
        <v>120579.20354741128</v>
      </c>
      <c r="AE75" s="2804">
        <v>126504.63757209083</v>
      </c>
      <c r="AG75" s="2815">
        <f>N15/AB75-1</f>
      </c>
      <c r="AH75" s="2815">
        <f>R15/AC75-1</f>
      </c>
      <c r="AI75" s="2815">
        <f>V15/AD75-1</f>
      </c>
      <c r="AJ75" s="2815"/>
    </row>
    <row r="76" spans="27:36" ht="12">
      <c r="AA76" s="1588" t="s">
        <v>2228</v>
      </c>
      <c r="AB76" s="2816">
        <v>7.1691579245263313</v>
      </c>
      <c r="AC76" s="2816">
        <v>7.7490582308302738</v>
      </c>
      <c r="AD76" s="2816">
        <v>8.4379696157637571</v>
      </c>
      <c r="AE76" s="2817">
        <v>9.0364272831433414</v>
      </c>
      <c r="AF76" s="164"/>
      <c r="AG76" s="2818">
        <f>N17/AB76-1</f>
      </c>
      <c r="AH76" s="2819">
        <f>R17/AC76-1</f>
      </c>
      <c r="AI76" s="2819">
        <f>V17/AD76-1</f>
      </c>
      <c r="AJ76" s="2820"/>
    </row>
  </sheetData>
  <mergeCells count="2">
    <mergeCell ref="AB2:AE2"/>
    <mergeCell ref="AG2:AJ2"/>
  </mergeCells>
  <printOptions horizontalCentered="1" verticalCentered="1"/>
  <pageMargins left="0.7" right="0.7" top="0.75" bottom="0.75" header="0.3" footer="0.3"/>
  <pageSetup scale="28" orientation="landscape" r:id="rId1"/>
  <customProperties>
    <customPr name="Qube.Worksheet.Visibility" r:id="rId2"/>
  </customPropertie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93DB2-A9DA-443C-B659-87160A7595FD}">
  <sheetPr>
    <tabColor rgb="FF7030A0"/>
    <pageSetUpPr fitToPage="1"/>
  </sheetPr>
  <dimension ref="A1:AG134"/>
  <sheetViews>
    <sheetView showGridLines="0" zoomScale="55" zoomScaleNormal="55" zoomScaleSheetLayoutView="85" workbookViewId="0">
      <selection activeCell="A63" sqref="A63"/>
    </sheetView>
  </sheetViews>
  <sheetFormatPr defaultColWidth="9" defaultRowHeight="11.4" outlineLevelCol="2"/>
  <cols>
    <col min="1" max="1" width="9" style="160"/>
    <col min="2" max="2" width="38.19921875" style="160" customWidth="1"/>
    <col min="3" max="3" width="11.3984375" style="160" customWidth="1"/>
    <col min="4" max="6" width="9" style="160"/>
    <col min="7" max="7" width="10.09765625" style="160" bestFit="1" customWidth="1"/>
    <col min="8" max="8" width="9" style="160"/>
    <col min="9" max="9" width="11.09765625" style="160" bestFit="1" customWidth="1"/>
    <col min="10" max="10" width="28" style="160" bestFit="1" customWidth="1"/>
    <col min="11" max="12" width="9" style="160" customWidth="1"/>
    <col min="13" max="13" width="9" style="160" customWidth="1" outlineLevel="1"/>
    <col min="14" max="15" width="9" style="160" customWidth="1" outlineLevel="2"/>
    <col min="16" max="16" width="9" style="160" customWidth="1" outlineLevel="1"/>
    <col min="17" max="17" width="1.3984375" style="160" customWidth="1"/>
    <col min="18" max="18" width="10" style="160" bestFit="1" customWidth="1"/>
    <col min="19" max="19" width="9.09765625" style="160" customWidth="1" outlineLevel="1"/>
    <col min="20" max="20" width="9" style="160" customWidth="1" outlineLevel="1"/>
    <col min="21" max="21" width="9" style="160" customWidth="1"/>
    <col min="22" max="22" width="44.8984375" style="160" customWidth="1"/>
    <col min="23" max="23" width="9" style="160" hidden="1" customWidth="1" outlineLevel="1"/>
    <col min="24" max="24" width="0.69921875" style="160" hidden="1" customWidth="1" outlineLevel="1"/>
    <col min="25" max="25" width="10.8984375" style="160" bestFit="1" customWidth="1" collapsed="1"/>
    <col min="26" max="26" width="24.59765625" style="160" bestFit="1" customWidth="1"/>
    <col min="27" max="16384" width="9" style="160"/>
  </cols>
  <sheetData>
    <row r="1" spans="2:33" ht="12">
      <c r="K1" s="2520"/>
      <c r="R1" s="2921" t="s">
        <v>2403</v>
      </c>
      <c r="S1" s="2790" t="s">
        <v>544</v>
      </c>
      <c r="T1" s="2788" t="s">
        <v>545</v>
      </c>
    </row>
    <row r="2" spans="2:33" ht="12">
      <c r="B2" s="2741"/>
      <c r="C2" s="3399" t="str">
        <f>'Income Statement'!DP7</f>
      </c>
      <c r="D2" s="3400"/>
      <c r="E2" s="3400"/>
      <c r="F2" s="3401"/>
      <c r="G2" s="2742" t="str">
        <f>'Revenue summary'!DL8</f>
      </c>
      <c r="H2" s="2744"/>
      <c r="R2" s="2921" t="s">
        <v>2404</v>
      </c>
      <c r="S2" s="2790" t="s">
        <v>2204</v>
      </c>
      <c r="T2" s="2788" t="s">
        <v>668</v>
      </c>
    </row>
    <row r="3" spans="2:33" ht="12">
      <c r="B3" s="2747"/>
      <c r="C3" s="2748" t="s">
        <v>654</v>
      </c>
      <c r="D3" s="2749" t="s">
        <v>655</v>
      </c>
      <c r="E3" s="2748" t="s">
        <v>1426</v>
      </c>
      <c r="F3" s="2750" t="s">
        <v>1427</v>
      </c>
      <c r="G3" s="2748" t="s">
        <v>654</v>
      </c>
      <c r="H3" s="2990" t="s">
        <v>2259</v>
      </c>
      <c r="I3" s="3111"/>
      <c r="K3" s="3108"/>
      <c r="S3" s="2790" t="s">
        <v>2205</v>
      </c>
      <c r="T3" s="2789">
        <f ca="1">TODAY()</f>
      </c>
    </row>
    <row r="4" spans="2:33" ht="12">
      <c r="B4" s="1830" t="s">
        <v>63</v>
      </c>
      <c r="C4" s="2833">
        <f>VLOOKUP($B4,'Income Statement'!$A$9:$DP$35,MATCH(AvE!C$2,'Income Statement'!$A$7:$DP$7,0),0)</f>
      </c>
      <c r="D4" s="2834">
        <v>89531.33882396936</v>
      </c>
      <c r="E4" s="2840">
        <f>C4-D4</f>
      </c>
      <c r="F4" s="1560">
        <f>E4/D4</f>
      </c>
      <c r="G4" s="2833">
        <f>VLOOKUP($B4,'Income Statement'!$A$9:$DM$35,MATCH(AvE!G$2,'Income Statement'!$A$7:$DM$7,0),0)</f>
      </c>
      <c r="H4" s="1560">
        <f>C4/G4-1</f>
      </c>
      <c r="I4" s="3111"/>
      <c r="K4" s="2504"/>
      <c r="S4" s="2790" t="s">
        <v>2206</v>
      </c>
      <c r="T4" s="2791" t="s">
        <v>2393</v>
      </c>
    </row>
    <row r="5" spans="2:33">
      <c r="B5" s="1831" t="s">
        <v>66</v>
      </c>
      <c r="C5" s="1640">
        <f>VLOOKUP($B5,'Income Statement'!$A$9:$DP$35,MATCH(AvE!C$2,'Income Statement'!$A$7:$DP$7,0),0)</f>
      </c>
      <c r="D5" s="1641">
        <v>47922.194854093177</v>
      </c>
      <c r="E5" s="2754">
        <f t="shared" ref="E5:E10" si="0">C5-D5</f>
      </c>
      <c r="F5" s="1554">
        <f t="shared" ref="F5:F10" si="1">E5/D5</f>
      </c>
      <c r="G5" s="1640">
        <f>VLOOKUP($B5,'Income Statement'!$A$9:$DM$35,MATCH(AvE!G$2,'Income Statement'!$A$7:$DM$7,0),0)</f>
      </c>
      <c r="H5" s="1554">
        <f t="shared" ref="H5:H10" si="2">C5/G5-1</f>
      </c>
      <c r="I5" s="3111"/>
      <c r="N5" s="2520"/>
      <c r="R5" s="2520">
        <f>R8/'Revenue summary'!DL17-1</f>
      </c>
      <c r="V5" s="2921" t="s">
        <v>2401</v>
      </c>
      <c r="AA5" s="694" t="str">
        <f>'Revenue summary'!DJ8</f>
      </c>
      <c r="AB5" s="694" t="str">
        <f>'Revenue summary'!DN8</f>
      </c>
    </row>
    <row r="6" spans="2:33" ht="12">
      <c r="B6" s="1883" t="s">
        <v>67</v>
      </c>
      <c r="C6" s="1874">
        <f>VLOOKUP($B6,'Income Statement'!$A$9:$DP$35,MATCH(AvE!C$2,'Income Statement'!$A$7:$DP$7,0),0)</f>
      </c>
      <c r="D6" s="1875">
        <v>41609.143969876182</v>
      </c>
      <c r="E6" s="2841">
        <f t="shared" si="0"/>
      </c>
      <c r="F6" s="1877">
        <f t="shared" si="1"/>
      </c>
      <c r="G6" s="1874">
        <f>VLOOKUP($B6,'Income Statement'!$A$9:$DM$35,MATCH(AvE!G$2,'Income Statement'!$A$7:$DM$7,0),0)</f>
      </c>
      <c r="H6" s="1877">
        <f t="shared" si="2"/>
      </c>
      <c r="J6" s="3004"/>
      <c r="K6" s="3371" t="s">
        <v>2396</v>
      </c>
      <c r="L6" s="3184"/>
      <c r="M6" s="3404" t="s">
        <v>2260</v>
      </c>
      <c r="N6" s="3405"/>
      <c r="O6" s="3405"/>
      <c r="P6" s="3405"/>
      <c r="Q6" s="3118"/>
      <c r="R6" s="3187" t="s">
        <v>668</v>
      </c>
      <c r="S6" s="3188"/>
      <c r="T6" s="3188"/>
      <c r="U6" s="3186"/>
      <c r="V6" s="2960" t="s">
        <v>2258</v>
      </c>
      <c r="W6" s="3402" t="s">
        <v>1430</v>
      </c>
      <c r="X6" s="3403"/>
      <c r="AA6" s="549">
        <f>'Revenue summary'!DJ9</f>
      </c>
      <c r="AB6" s="549">
        <f>'Revenue summary'!DN9</f>
      </c>
    </row>
    <row r="7" spans="2:33">
      <c r="B7" s="1831" t="s">
        <v>68</v>
      </c>
      <c r="C7" s="1640">
        <f>VLOOKUP($B7,'Income Statement'!$A$9:$DP$35,MATCH(AvE!C$2,'Income Statement'!$A$7:$DP$7,0),0)</f>
      </c>
      <c r="D7" s="1641">
        <v>8750</v>
      </c>
      <c r="E7" s="2754">
        <f t="shared" si="0"/>
      </c>
      <c r="F7" s="1554">
        <f t="shared" si="1"/>
      </c>
      <c r="G7" s="1640">
        <f>VLOOKUP($B7,'Income Statement'!$A$9:$DM$35,MATCH(AvE!G$2,'Income Statement'!$A$7:$DM$7,0),0)</f>
      </c>
      <c r="H7" s="1554">
        <f t="shared" si="2"/>
      </c>
      <c r="J7" s="3023" t="s">
        <v>2263</v>
      </c>
      <c r="K7" s="3372" t="s">
        <v>654</v>
      </c>
      <c r="L7" s="3223" t="s">
        <v>2259</v>
      </c>
      <c r="M7" s="2751" t="s">
        <v>720</v>
      </c>
      <c r="N7" s="2751" t="s">
        <v>1426</v>
      </c>
      <c r="O7" s="2751" t="s">
        <v>1427</v>
      </c>
      <c r="P7" s="3119" t="s">
        <v>2259</v>
      </c>
      <c r="Q7" s="2947"/>
      <c r="R7" s="3035" t="s">
        <v>2262</v>
      </c>
      <c r="S7" s="2751" t="s">
        <v>1426</v>
      </c>
      <c r="T7" s="2749" t="s">
        <v>1427</v>
      </c>
      <c r="U7" s="3119" t="s">
        <v>2259</v>
      </c>
      <c r="V7" s="2961"/>
      <c r="W7" s="3217" t="s">
        <v>1426</v>
      </c>
      <c r="X7" s="3019" t="s">
        <v>1427</v>
      </c>
      <c r="Z7" s="129" t="str">
        <f>'Revenue summary'!A10</f>
      </c>
    </row>
    <row r="8" spans="2:33" ht="12">
      <c r="B8" s="2852" t="s">
        <v>76</v>
      </c>
      <c r="C8" s="1640">
        <f>VLOOKUP($B8,'Income Statement'!$A$9:$DP$35,MATCH(AvE!C$2,'Income Statement'!$A$7:$DP$7,0),0)</f>
      </c>
      <c r="D8" s="1641">
        <v>6678</v>
      </c>
      <c r="E8" s="2754">
        <f t="shared" si="0"/>
      </c>
      <c r="F8" s="1554">
        <f t="shared" si="1"/>
      </c>
      <c r="G8" s="1640">
        <f>VLOOKUP($B8,'Income Statement'!$A$9:$DM$35,MATCH(AvE!G$2,'Income Statement'!$A$7:$DM$7,0),0)</f>
      </c>
      <c r="H8" s="1554">
        <f t="shared" si="2"/>
      </c>
      <c r="I8" s="3154"/>
      <c r="J8" s="3093" t="s">
        <v>1433</v>
      </c>
      <c r="K8" s="3094">
        <f>C4</f>
      </c>
      <c r="L8" s="3097">
        <f>K8/$G4-1</f>
      </c>
      <c r="M8" s="3095">
        <f>D4</f>
      </c>
      <c r="N8" s="3096">
        <f>K8-M8</f>
      </c>
      <c r="O8" s="3097">
        <f>K8/M8-1</f>
      </c>
      <c r="P8" s="3097">
        <f>M8/$G4-1</f>
      </c>
      <c r="Q8" s="3098"/>
      <c r="R8" s="2929">
        <v>89349.58</v>
      </c>
      <c r="S8" s="3096">
        <f>K8-R8</f>
      </c>
      <c r="T8" s="3097">
        <f>K8/R8-1</f>
      </c>
      <c r="U8" s="3097">
        <f>R8/$G4-1</f>
      </c>
      <c r="V8" s="3384" t="s">
        <v>2398</v>
      </c>
      <c r="W8" s="3096">
        <f t="shared" ref="W8:W17" si="3">K8-R8</f>
      </c>
      <c r="X8" s="3099">
        <f t="shared" ref="X8:X14" si="4">M8/R8-1</f>
      </c>
      <c r="Z8" s="1716" t="str">
        <f>'Revenue summary'!A11</f>
      </c>
      <c r="AA8" s="779">
        <f>'Revenue summary'!DJ11</f>
      </c>
      <c r="AB8" s="2363">
        <f>AB12-AB9-AB10-AB11</f>
      </c>
      <c r="AC8" s="2523">
        <f>AB8/AA8-1</f>
      </c>
    </row>
    <row r="9" spans="2:33" ht="12">
      <c r="B9" s="2853" t="s">
        <v>69</v>
      </c>
      <c r="C9" s="2854">
        <f>VLOOKUP($B9,'Income Statement'!$A$9:$DP$35,MATCH(AvE!C$2,'Income Statement'!$A$7:$DP$7,0),0)</f>
      </c>
      <c r="D9" s="2768">
        <v>15428</v>
      </c>
      <c r="E9" s="2770">
        <f t="shared" si="0"/>
      </c>
      <c r="F9" s="1558">
        <f t="shared" si="1"/>
      </c>
      <c r="G9" s="2854">
        <f>VLOOKUP($B9,'Income Statement'!$A$9:$DM$35,MATCH(AvE!G$2,'Income Statement'!$A$7:$DM$7,0),0)</f>
      </c>
      <c r="H9" s="1558">
        <f t="shared" si="2"/>
      </c>
      <c r="I9" s="163"/>
      <c r="J9" s="2976" t="s">
        <v>67</v>
      </c>
      <c r="K9" s="2977">
        <f>C6</f>
      </c>
      <c r="L9" s="2980">
        <f>K9/$G6-1</f>
      </c>
      <c r="M9" s="2978">
        <f>D6</f>
      </c>
      <c r="N9" s="2979">
        <f t="shared" ref="N9:N34" si="5">K9-M9</f>
      </c>
      <c r="O9" s="2980">
        <f t="shared" ref="O9:O30" si="6">K9/M9-1</f>
      </c>
      <c r="P9" s="2980">
        <f>M9/$G6-1</f>
      </c>
      <c r="Q9" s="2981"/>
      <c r="R9" s="2975">
        <v>40995.855000000003</v>
      </c>
      <c r="S9" s="2979">
        <f>K9-R9</f>
      </c>
      <c r="T9" s="2980">
        <f>K9/R9-1</f>
      </c>
      <c r="U9" s="2980">
        <f>R9/$G6-1</f>
      </c>
      <c r="V9" s="2982"/>
      <c r="W9" s="2979">
        <f t="shared" si="3"/>
      </c>
      <c r="X9" s="3008">
        <f t="shared" si="4"/>
      </c>
      <c r="Z9" s="1716" t="str">
        <f>'Revenue summary'!A12</f>
      </c>
      <c r="AA9" s="779">
        <f>'Revenue summary'!DJ12</f>
      </c>
      <c r="AB9" s="672">
        <f>'Segment - Products'!DN12</f>
      </c>
      <c r="AC9" s="2523">
        <f>AB9/AA9-1</f>
      </c>
      <c r="AD9" s="3251" t="s">
        <v>2373</v>
      </c>
    </row>
    <row r="10" spans="2:33" ht="12">
      <c r="B10" s="1878" t="s">
        <v>70</v>
      </c>
      <c r="C10" s="2830">
        <f>VLOOKUP($B10,'Income Statement'!$A$9:$DP$35,MATCH(AvE!C$2,'Income Statement'!$A$7:$DP$7,0),0)</f>
      </c>
      <c r="D10" s="2831">
        <v>26181.143969876182</v>
      </c>
      <c r="E10" s="2842">
        <f t="shared" si="0"/>
      </c>
      <c r="F10" s="2832">
        <f t="shared" si="1"/>
      </c>
      <c r="G10" s="2830">
        <f>VLOOKUP($B10,'Income Statement'!$A$9:$DM$35,MATCH(AvE!G$2,'Income Statement'!$A$7:$DM$7,0),0)</f>
      </c>
      <c r="H10" s="2832">
        <f t="shared" si="2"/>
      </c>
      <c r="I10" s="163"/>
      <c r="J10" s="3060" t="s">
        <v>1600</v>
      </c>
      <c r="K10" s="3061">
        <f>K9-K11</f>
      </c>
      <c r="L10" s="3051">
        <f>K10/$G9-1</f>
      </c>
      <c r="M10" s="3062">
        <f>M9-M11</f>
      </c>
      <c r="N10" s="3050">
        <f t="shared" ref="N10" si="7">K10-M10</f>
      </c>
      <c r="O10" s="3051">
        <f t="shared" ref="O10" si="8">K10/M10-1</f>
      </c>
      <c r="P10" s="3051">
        <f>M10/$G9-1</f>
      </c>
      <c r="Q10" s="3063"/>
      <c r="R10" s="2930">
        <f>R9-R11</f>
      </c>
      <c r="S10" s="3050">
        <f>K10-R10</f>
      </c>
      <c r="T10" s="3051">
        <f>K10/R10-1</f>
      </c>
      <c r="U10" s="3051">
        <f>R10/$G9-1</f>
      </c>
      <c r="V10" s="3333" t="s">
        <v>2400</v>
      </c>
      <c r="W10" s="3050">
        <f t="shared" si="3"/>
      </c>
      <c r="X10" s="3052">
        <f t="shared" si="4"/>
      </c>
      <c r="Z10" s="1716" t="str">
        <f>'Revenue summary'!A13</f>
      </c>
      <c r="AA10" s="779">
        <f>'Revenue summary'!DJ13</f>
      </c>
      <c r="AB10" s="672">
        <f>'Revenue summary'!DN13</f>
      </c>
      <c r="AC10" s="2523">
        <f>AB10/AA10-1</f>
      </c>
      <c r="AD10" s="3251" t="s">
        <v>2372</v>
      </c>
    </row>
    <row r="11" spans="2:33" ht="12">
      <c r="B11" s="1835" t="s">
        <v>689</v>
      </c>
      <c r="C11" s="1640">
        <f>VLOOKUP($B11,'Income Statement'!$A$9:$DP$35,MATCH(AvE!C$2,'Income Statement'!$A$7:$DP$7,0),0)</f>
      </c>
      <c r="D11" s="1641">
        <v>-323.75</v>
      </c>
      <c r="E11" s="2754">
        <f t="shared" ref="E11:E19" si="9">C11-D11</f>
      </c>
      <c r="F11" s="1554">
        <f>E11/D11</f>
      </c>
      <c r="G11" s="1640">
        <f>VLOOKUP($B11,'Income Statement'!$A$9:$DM$35,MATCH(AvE!G$2,'Income Statement'!$A$7:$DM$7,0),0)</f>
      </c>
      <c r="H11" s="1554">
        <f>C11/G11-1</f>
      </c>
      <c r="I11" s="3154"/>
      <c r="J11" s="3024" t="s">
        <v>70</v>
      </c>
      <c r="K11" s="2983">
        <f t="shared" ref="K11" si="10">C10</f>
      </c>
      <c r="L11" s="2986">
        <f>K11/$G10-1</f>
      </c>
      <c r="M11" s="2984">
        <f>D10</f>
      </c>
      <c r="N11" s="2985">
        <f t="shared" si="5"/>
      </c>
      <c r="O11" s="2986">
        <f t="shared" si="6"/>
      </c>
      <c r="P11" s="2986">
        <f>M11/$G10-1</f>
      </c>
      <c r="Q11" s="2987"/>
      <c r="R11" s="2988">
        <v>25735.9</v>
      </c>
      <c r="S11" s="2985">
        <f>K11-R11</f>
      </c>
      <c r="T11" s="2986">
        <f>K11/R11-1</f>
      </c>
      <c r="U11" s="2986">
        <f>R11/$G10-1</f>
      </c>
      <c r="V11" s="3230"/>
      <c r="W11" s="2985">
        <f t="shared" si="3"/>
      </c>
      <c r="X11" s="3010">
        <f t="shared" si="4"/>
      </c>
      <c r="Z11" s="1716" t="str">
        <f>'Revenue summary'!A14</f>
      </c>
      <c r="AA11" s="779">
        <f>'Revenue summary'!DJ14</f>
      </c>
      <c r="AB11" s="672">
        <f>'Revenue summary'!DN14</f>
      </c>
      <c r="AC11" s="2523">
        <f>AB11/AA11-1</f>
      </c>
    </row>
    <row r="12" spans="2:33" ht="12">
      <c r="B12" s="1857" t="s">
        <v>71</v>
      </c>
      <c r="C12" s="1858">
        <f>VLOOKUP($B12,'Income Statement'!$A$9:$DP$35,MATCH(AvE!C$2,'Income Statement'!$A$7:$DP$7,0),0)</f>
      </c>
      <c r="D12" s="1859">
        <v>25857.393969876182</v>
      </c>
      <c r="E12" s="2843">
        <f t="shared" si="9"/>
      </c>
      <c r="F12" s="1861">
        <f>E12/D12</f>
      </c>
      <c r="G12" s="1858">
        <f>VLOOKUP($B12,'Income Statement'!$A$9:$DM$35,MATCH(AvE!G$2,'Income Statement'!$A$7:$DM$7,0),0)</f>
      </c>
      <c r="H12" s="1861">
        <f>C12/G12-1</f>
      </c>
      <c r="I12" s="3153"/>
      <c r="J12" s="3041" t="str">
        <f>B11</f>
      </c>
      <c r="K12" s="3042">
        <f>C11</f>
      </c>
      <c r="L12" s="3051">
        <f>K12/$G11-1</f>
      </c>
      <c r="M12" s="3043">
        <f>D11</f>
      </c>
      <c r="N12" s="3050">
        <f t="shared" si="5"/>
      </c>
      <c r="O12" s="3051">
        <f t="shared" si="6"/>
      </c>
      <c r="P12" s="3051">
        <f>M12/$G11-1</f>
      </c>
      <c r="Q12" s="3046"/>
      <c r="R12" s="3064">
        <f>R13-R11</f>
      </c>
      <c r="S12" s="3050">
        <f>K12-R12</f>
      </c>
      <c r="T12" s="3051">
        <f>K12/R12-1</f>
      </c>
      <c r="U12" s="3051">
        <f>R12/$G11-1</f>
      </c>
      <c r="V12" s="3334" t="s">
        <v>2394</v>
      </c>
      <c r="W12" s="3050">
        <f t="shared" si="3"/>
      </c>
      <c r="X12" s="3052">
        <f t="shared" si="4"/>
      </c>
      <c r="Z12" s="1143" t="str">
        <f>'Revenue summary'!A15</f>
      </c>
      <c r="AA12" s="1054">
        <f>'Revenue summary'!DJ15</f>
      </c>
      <c r="AB12" s="1054">
        <f>AB14-AB13</f>
      </c>
      <c r="AC12" s="2523">
        <f>AB12/AA12-1</f>
      </c>
      <c r="AD12" s="3251" t="s">
        <v>2371</v>
      </c>
      <c r="AG12" s="1624"/>
    </row>
    <row r="13" spans="2:33">
      <c r="B13" s="1836" t="str">
        <f>'Income Statement'!A24</f>
      </c>
      <c r="C13" s="1640">
        <f>VLOOKUP($B13,'Income Statement'!$A$9:$DP$35,MATCH(AvE!C$2,'Income Statement'!$A$7:$DP$7,0),0)</f>
      </c>
      <c r="D13" s="1641">
        <v>4137.1830351801891</v>
      </c>
      <c r="E13" s="2754">
        <f t="shared" si="9"/>
      </c>
      <c r="F13" s="1554">
        <f>E13/D13</f>
      </c>
      <c r="G13" s="1640">
        <f>VLOOKUP($B13,'Income Statement'!$A$9:$DM$35,MATCH(AvE!G$2,'Income Statement'!$A$7:$DM$7,0),0)</f>
      </c>
      <c r="H13" s="1554">
        <f>C13/G13-1</f>
      </c>
      <c r="I13" s="3153"/>
      <c r="J13" s="3101" t="s">
        <v>71</v>
      </c>
      <c r="K13" s="3054">
        <f t="shared" ref="K13:K15" si="11">C12</f>
      </c>
      <c r="L13" s="3056">
        <f>K13/$G12-1</f>
      </c>
      <c r="M13" s="3055">
        <f>D12</f>
      </c>
      <c r="N13" s="2973">
        <f t="shared" ref="N13" si="12">K13-M13</f>
      </c>
      <c r="O13" s="3056">
        <f t="shared" ref="O13" si="13">K13/M13-1</f>
      </c>
      <c r="P13" s="3056">
        <f>M13/$G12-1</f>
      </c>
      <c r="Q13" s="2974"/>
      <c r="R13" s="3057">
        <v>25377.52</v>
      </c>
      <c r="S13" s="2973">
        <f t="shared" ref="S13:S14" si="14">K13-R13</f>
      </c>
      <c r="T13" s="3056">
        <f t="shared" ref="T13:T14" si="15">K13/R13-1</f>
      </c>
      <c r="U13" s="3056">
        <f>R13/$G12-1</f>
      </c>
      <c r="V13" s="2972"/>
      <c r="W13" s="2973">
        <f t="shared" si="3"/>
      </c>
      <c r="X13" s="3058">
        <f t="shared" si="4"/>
      </c>
      <c r="Z13" s="673" t="str">
        <f>'Revenue summary'!A16</f>
      </c>
      <c r="AA13" s="779">
        <f>'Revenue summary'!DJ16</f>
      </c>
      <c r="AB13" s="1057">
        <f>AA13*(1+AC13)</f>
      </c>
      <c r="AC13" s="2560">
        <v>0.13</v>
      </c>
      <c r="AD13" s="3253" t="s">
        <v>2370</v>
      </c>
    </row>
    <row r="14" spans="2:33" ht="12" thickBot="1">
      <c r="B14" s="1836" t="s">
        <v>1562</v>
      </c>
      <c r="C14" s="3036">
        <f>C13/C12</f>
      </c>
      <c r="D14" s="2520">
        <v>0.16</v>
      </c>
      <c r="E14" s="1939">
        <f t="shared" si="9"/>
      </c>
      <c r="F14" s="1554"/>
      <c r="G14" s="3036">
        <f>G13/G12</f>
      </c>
      <c r="H14" s="1940">
        <f>C14-G14</f>
      </c>
      <c r="I14" s="2503"/>
      <c r="J14" s="3065" t="str">
        <f>B13</f>
      </c>
      <c r="K14" s="3066">
        <f t="shared" si="11"/>
      </c>
      <c r="L14" s="3069"/>
      <c r="M14" s="3067">
        <f>D13</f>
      </c>
      <c r="N14" s="3068">
        <f t="shared" ref="N14:N15" si="16">K14-M14</f>
      </c>
      <c r="O14" s="3069">
        <f t="shared" ref="O14" si="17">K14/M14-1</f>
      </c>
      <c r="P14" s="3069"/>
      <c r="Q14" s="3070"/>
      <c r="R14" s="3071">
        <v>4015.3407999999999</v>
      </c>
      <c r="S14" s="3068">
        <f t="shared" si="14"/>
      </c>
      <c r="T14" s="3069">
        <f t="shared" si="15"/>
      </c>
      <c r="U14" s="3069"/>
      <c r="V14" s="3073"/>
      <c r="W14" s="3068">
        <f t="shared" si="3"/>
      </c>
      <c r="X14" s="3072">
        <f t="shared" si="4"/>
      </c>
      <c r="Z14" s="1995" t="str">
        <f>'Revenue summary'!A17</f>
      </c>
      <c r="AA14" s="1995">
        <f>'Revenue summary'!DJ17</f>
      </c>
      <c r="AB14" s="3254">
        <f>AA14*(1+AC14)</f>
      </c>
      <c r="AC14" s="2560">
        <v>0.05</v>
      </c>
      <c r="AD14" s="3252" t="s">
        <v>2369</v>
      </c>
    </row>
    <row r="15" spans="2:33" ht="12.6" thickTop="1">
      <c r="B15" s="1873" t="s">
        <v>1154</v>
      </c>
      <c r="C15" s="1874">
        <f>VLOOKUP($B15,'Income Statement'!$A$9:$DP$35,MATCH(AvE!C$2,'Income Statement'!$A$7:$DP$7,0),0)</f>
      </c>
      <c r="D15" s="1875">
        <v>21720.210934695991</v>
      </c>
      <c r="E15" s="2841">
        <f t="shared" si="9"/>
      </c>
      <c r="F15" s="1877">
        <f>E15/D15</f>
      </c>
      <c r="G15" s="1874">
        <f>VLOOKUP($B15,'Income Statement'!$A$9:$DM$35,MATCH(AvE!G$2,'Income Statement'!$A$7:$DM$7,0),0)</f>
      </c>
      <c r="H15" s="1877">
        <f>C15/G15-1</f>
      </c>
      <c r="J15" s="3041" t="str">
        <f>B14</f>
      </c>
      <c r="K15" s="3102">
        <f t="shared" si="11"/>
      </c>
      <c r="L15" s="3045"/>
      <c r="M15" s="3103">
        <f>D14</f>
      </c>
      <c r="N15" s="3102">
        <f t="shared" si="16"/>
      </c>
      <c r="O15" s="3045"/>
      <c r="P15" s="3045"/>
      <c r="Q15" s="3046"/>
      <c r="R15" s="3104">
        <f>R14/R13</f>
      </c>
      <c r="S15" s="3044"/>
      <c r="T15" s="3045"/>
      <c r="U15" s="3045"/>
      <c r="V15" s="3262">
        <v>0.16</v>
      </c>
      <c r="W15" s="3102">
        <f t="shared" si="3"/>
      </c>
      <c r="X15" s="3047"/>
    </row>
    <row r="16" spans="2:33" s="163" customFormat="1" ht="12">
      <c r="B16" s="1862" t="s">
        <v>80</v>
      </c>
      <c r="C16" s="1858">
        <f>VLOOKUP($B16,'Income Statement'!$A$9:$DP$35,MATCH(AvE!C$2,'Income Statement'!$A$7:$DP$7,0),0)</f>
      </c>
      <c r="D16" s="1859">
        <v>21720.210934695991</v>
      </c>
      <c r="E16" s="2843">
        <f t="shared" si="9"/>
      </c>
      <c r="F16" s="1861">
        <f>E16/D16</f>
      </c>
      <c r="G16" s="1858">
        <f>VLOOKUP($B16,'Income Statement'!$A$9:$DM$35,MATCH(AvE!G$2,'Income Statement'!$A$7:$DM$7,0),0)</f>
      </c>
      <c r="H16" s="1861">
        <f>C16/G16-1</f>
      </c>
      <c r="I16" s="160"/>
      <c r="J16" s="3075" t="s">
        <v>2378</v>
      </c>
      <c r="K16" s="3076">
        <f>C15</f>
      </c>
      <c r="L16" s="3079">
        <f>K16/$G15-1</f>
      </c>
      <c r="M16" s="3077">
        <f>D16</f>
      </c>
      <c r="N16" s="3078">
        <f t="shared" si="5"/>
      </c>
      <c r="O16" s="3079">
        <f t="shared" si="6"/>
      </c>
      <c r="P16" s="3079">
        <f>M16/$G15-1</f>
      </c>
      <c r="Q16" s="3080"/>
      <c r="R16" s="3081">
        <v>21395.629000000001</v>
      </c>
      <c r="S16" s="3078">
        <f t="shared" ref="S16:S17" si="18">K16-R16</f>
      </c>
      <c r="T16" s="3079">
        <f t="shared" ref="T16:T17" si="19">K16/R16-1</f>
      </c>
      <c r="U16" s="3079">
        <f>R16/$G15-1</f>
      </c>
      <c r="V16" s="3082"/>
      <c r="W16" s="3078">
        <f t="shared" si="3"/>
      </c>
      <c r="X16" s="1629">
        <f>M16/R16-1</f>
      </c>
      <c r="Y16" s="160"/>
      <c r="Z16" s="160"/>
    </row>
    <row r="17" spans="2:26" ht="12">
      <c r="B17" s="1863" t="s">
        <v>1151</v>
      </c>
      <c r="C17" s="1864">
        <f>VLOOKUP($B17,'Income Statement'!$A$9:$DP$35,MATCH(AvE!C$2,'Income Statement'!$A$7:$DP$7,0),0)</f>
      </c>
      <c r="D17" s="1865">
        <v>1.4502744282015689</v>
      </c>
      <c r="E17" s="2844">
        <f t="shared" si="9"/>
      </c>
      <c r="F17" s="1867">
        <f>E17/D17</f>
      </c>
      <c r="G17" s="1864">
        <f>VLOOKUP($B17,'Income Statement'!$A$9:$DM$35,MATCH(AvE!G$2,'Income Statement'!$A$7:$DM$7,0),0)</f>
      </c>
      <c r="H17" s="1867">
        <f>C17/G17-1</f>
      </c>
      <c r="J17" s="3083" t="s">
        <v>1151</v>
      </c>
      <c r="K17" s="3084">
        <f>C17</f>
      </c>
      <c r="L17" s="3087">
        <f>K17/$G17-1</f>
      </c>
      <c r="M17" s="3085">
        <f>D17</f>
      </c>
      <c r="N17" s="3086">
        <f t="shared" si="5"/>
      </c>
      <c r="O17" s="3087">
        <f t="shared" si="6"/>
      </c>
      <c r="P17" s="3087">
        <f>M17/$G17-1</f>
      </c>
      <c r="Q17" s="3088"/>
      <c r="R17" s="3089">
        <v>1.4301676000000001</v>
      </c>
      <c r="S17" s="3084">
        <f t="shared" si="18"/>
      </c>
      <c r="T17" s="3087">
        <f t="shared" si="19"/>
      </c>
      <c r="U17" s="3087">
        <f>R17/$G18-1</f>
      </c>
      <c r="V17" s="3091"/>
      <c r="W17" s="3084">
        <f t="shared" si="3"/>
      </c>
      <c r="X17" s="3090">
        <f>M17/R17-1</f>
      </c>
      <c r="Z17" s="163">
        <v>97598.11</v>
      </c>
    </row>
    <row r="18" spans="2:26" ht="12">
      <c r="B18" s="1868" t="s">
        <v>1153</v>
      </c>
      <c r="C18" s="1869">
        <f>VLOOKUP($B18,'Income Statement'!$A$9:$DP$35,MATCH(AvE!C$2,'Income Statement'!$A$7:$DP$7,0),0)</f>
      </c>
      <c r="D18" s="1870">
        <v>1.4502744282015689</v>
      </c>
      <c r="E18" s="2845">
        <f t="shared" si="9"/>
      </c>
      <c r="F18" s="1872">
        <f>E18/D18</f>
      </c>
      <c r="G18" s="1869">
        <f>VLOOKUP($B18,'Income Statement'!$A$9:$DM$35,MATCH(AvE!G$2,'Income Statement'!$A$7:$DM$7,0),0)</f>
      </c>
      <c r="H18" s="1872">
        <f>C18/G18-1</f>
      </c>
      <c r="J18" s="1583"/>
      <c r="K18" s="193"/>
      <c r="L18" s="1624"/>
      <c r="M18" s="2948"/>
      <c r="N18" s="2504"/>
      <c r="O18" s="1624"/>
      <c r="P18" s="1624"/>
      <c r="Q18" s="2949"/>
      <c r="R18" s="2931"/>
      <c r="S18" s="193"/>
      <c r="T18" s="1624"/>
      <c r="U18" s="1624"/>
      <c r="V18" s="2962"/>
      <c r="W18" s="193"/>
      <c r="X18" s="1627"/>
      <c r="Z18" s="160">
        <v>44642.7</v>
      </c>
    </row>
    <row r="19" spans="2:26" ht="12">
      <c r="B19" s="1844" t="s">
        <v>75</v>
      </c>
      <c r="C19" s="1557">
        <f>VLOOKUP($B19,'Income Statement'!$A$9:$DP$35,MATCH(AvE!C$2,'Income Statement'!$A$7:$DP$7,0),0)</f>
      </c>
      <c r="D19" s="1541">
        <v>14976.621329268291</v>
      </c>
      <c r="E19" s="1845">
        <f t="shared" si="9"/>
      </c>
      <c r="F19" s="1558">
        <f>E19/D19</f>
      </c>
      <c r="G19" s="1557">
        <f>VLOOKUP($B19,'Income Statement'!$A$9:$DM$35,MATCH(AvE!G$2,'Income Statement'!$A$7:$DM$7,0),0)</f>
      </c>
      <c r="H19" s="1558">
        <f>C19/G19-1</f>
      </c>
      <c r="J19" s="3034" t="s">
        <v>2264</v>
      </c>
      <c r="K19" s="193"/>
      <c r="L19" s="1624"/>
      <c r="M19" s="2948"/>
      <c r="N19" s="2504"/>
      <c r="O19" s="1624"/>
      <c r="P19" s="1624"/>
      <c r="Q19" s="2949"/>
      <c r="R19" s="2931"/>
      <c r="S19" s="193"/>
      <c r="T19" s="1624"/>
      <c r="U19" s="1624"/>
      <c r="V19" s="2962"/>
      <c r="W19" s="193"/>
      <c r="X19" s="1627"/>
      <c r="Z19" s="2520">
        <f>Z18/Z17</f>
      </c>
    </row>
    <row r="20" spans="2:26" ht="12">
      <c r="B20" s="1837"/>
      <c r="C20" s="1553"/>
      <c r="D20" s="193"/>
      <c r="E20" s="1569"/>
      <c r="F20" s="1554"/>
      <c r="G20" s="1553"/>
      <c r="H20" s="1554"/>
      <c r="J20" s="3030" t="s">
        <v>84</v>
      </c>
      <c r="K20" s="3031">
        <f t="shared" ref="K20:K26" si="20">C22</f>
      </c>
      <c r="L20" s="2837">
        <f t="shared" ref="L20:L26" si="21">K20/$G22-1</f>
      </c>
      <c r="M20" s="3032">
        <f t="shared" ref="M20:M26" si="22">D22</f>
      </c>
      <c r="N20" s="2836">
        <f t="shared" si="5"/>
      </c>
      <c r="O20" s="2837">
        <f t="shared" si="6"/>
      </c>
      <c r="P20" s="2837">
        <f t="shared" ref="P20:P26" si="23">M20/$G22-1</f>
      </c>
      <c r="Q20" s="3033"/>
      <c r="R20" s="2938">
        <v>40088.144999999997</v>
      </c>
      <c r="S20" s="2836">
        <f t="shared" ref="S20:S26" si="24">K20-R20</f>
      </c>
      <c r="T20" s="2837">
        <f t="shared" ref="T20:T26" si="25">K20/R20-1</f>
      </c>
      <c r="U20" s="2837">
        <f t="shared" ref="U20:U26" si="26">R20/$G22-1</f>
      </c>
      <c r="V20" s="3210"/>
      <c r="W20" s="2836">
        <f t="shared" ref="W20:W26" si="27">K20-R20</f>
      </c>
      <c r="X20" s="2838">
        <f t="shared" ref="X20:X26" si="28">M20/R20-1</f>
      </c>
      <c r="Y20" s="163"/>
      <c r="Z20" s="160">
        <v>29350.66</v>
      </c>
    </row>
    <row r="21" spans="2:26" ht="12">
      <c r="B21" s="2699" t="s">
        <v>2189</v>
      </c>
      <c r="C21" s="2700" t="str">
        <f t="shared" ref="C21:H21" si="29">C3</f>
      </c>
      <c r="D21" s="3207" t="s">
        <v>655</v>
      </c>
      <c r="E21" s="2702" t="str">
        <f t="shared" si="29"/>
      </c>
      <c r="F21" s="2703" t="str">
        <f t="shared" si="29"/>
      </c>
      <c r="G21" s="2700" t="str">
        <f t="shared" si="29"/>
      </c>
      <c r="H21" s="2703" t="str">
        <f t="shared" si="29"/>
      </c>
      <c r="J21" s="1584" t="s">
        <v>85</v>
      </c>
      <c r="K21" s="1639">
        <f t="shared" si="20"/>
      </c>
      <c r="L21" s="1626">
        <f t="shared" si="21"/>
      </c>
      <c r="M21" s="2950">
        <f t="shared" si="22"/>
      </c>
      <c r="N21" s="1901">
        <f t="shared" si="5"/>
      </c>
      <c r="O21" s="1626">
        <f t="shared" si="6"/>
      </c>
      <c r="P21" s="1626">
        <f>M21/$G23-1</f>
      </c>
      <c r="Q21" s="2951"/>
      <c r="R21" s="2932">
        <v>7228.0770000000002</v>
      </c>
      <c r="S21" s="1901">
        <f t="shared" si="24"/>
      </c>
      <c r="T21" s="1626">
        <f t="shared" si="25"/>
      </c>
      <c r="U21" s="1626">
        <f t="shared" si="26"/>
      </c>
      <c r="V21" s="3228"/>
      <c r="W21" s="1901">
        <f t="shared" si="27"/>
      </c>
      <c r="X21" s="1630">
        <f t="shared" si="28"/>
      </c>
      <c r="Z21" s="160">
        <f>Z18-Z20</f>
      </c>
    </row>
    <row r="22" spans="2:26">
      <c r="B22" s="2740" t="s">
        <v>84</v>
      </c>
      <c r="C22" s="1638">
        <f>VLOOKUP($B22,'Revenue summary'!$A$11:$DQ$17,MATCH(AvE!C$2,'Revenue summary'!$A$8:$DQ$8,0),0)</f>
      </c>
      <c r="D22" s="1639">
        <v>39790.410000000003</v>
      </c>
      <c r="E22" s="2754">
        <f>C22-D22</f>
      </c>
      <c r="F22" s="1554">
        <f t="shared" ref="F22:F28" si="30">E22/D22</f>
      </c>
      <c r="G22" s="1638">
        <f>VLOOKUP($B22,'Revenue summary'!$A$11:$DQ$17,MATCH(AvE!G$2,'Revenue summary'!$A$8:$DQ$8,0),0)</f>
      </c>
      <c r="H22" s="1554">
        <f t="shared" ref="H22:H28" si="31">C22/G22-1</f>
      </c>
      <c r="I22" s="3108"/>
      <c r="J22" s="1584" t="s">
        <v>86</v>
      </c>
      <c r="K22" s="1639">
        <f t="shared" si="20"/>
      </c>
      <c r="L22" s="1626">
        <f t="shared" si="21"/>
      </c>
      <c r="M22" s="2950">
        <f t="shared" si="22"/>
      </c>
      <c r="N22" s="1901">
        <f t="shared" si="5"/>
      </c>
      <c r="O22" s="1626">
        <f t="shared" si="6"/>
      </c>
      <c r="P22" s="1626">
        <f t="shared" si="23"/>
      </c>
      <c r="Q22" s="2951"/>
      <c r="R22" s="2932">
        <v>7241</v>
      </c>
      <c r="S22" s="1901">
        <f t="shared" si="24"/>
      </c>
      <c r="T22" s="1626">
        <f t="shared" si="25"/>
      </c>
      <c r="U22" s="1626">
        <f t="shared" si="26"/>
      </c>
      <c r="V22" s="3163"/>
      <c r="W22" s="1901">
        <f t="shared" si="27"/>
      </c>
      <c r="X22" s="1630">
        <f t="shared" si="28"/>
      </c>
      <c r="Z22" s="160">
        <v>1.6470636000000001</v>
      </c>
    </row>
    <row r="23" spans="2:26">
      <c r="B23" s="2740" t="s">
        <v>85</v>
      </c>
      <c r="C23" s="1638">
        <f>VLOOKUP($B23,'Revenue summary'!$A$11:$DQ$17,MATCH(AvE!C$2,'Revenue summary'!$A$8:$DQ$8,0),0)</f>
      </c>
      <c r="D23" s="1639">
        <v>7367.5</v>
      </c>
      <c r="E23" s="2754">
        <f t="shared" ref="E23:E28" si="32">C23-D23</f>
      </c>
      <c r="F23" s="1554">
        <f t="shared" si="30"/>
      </c>
      <c r="G23" s="1638">
        <f>VLOOKUP($B23,'Revenue summary'!$A$11:$DQ$17,MATCH(AvE!G$2,'Revenue summary'!$A$8:$DQ$8,0),0)</f>
      </c>
      <c r="H23" s="1554">
        <f t="shared" si="31"/>
      </c>
      <c r="I23" s="3108"/>
      <c r="J23" s="1584" t="s">
        <v>1120</v>
      </c>
      <c r="K23" s="1639">
        <f t="shared" si="20"/>
      </c>
      <c r="L23" s="1626">
        <f t="shared" si="21"/>
      </c>
      <c r="M23" s="2950">
        <f t="shared" si="22"/>
      </c>
      <c r="N23" s="1901">
        <f t="shared" si="5"/>
      </c>
      <c r="O23" s="1626">
        <f t="shared" si="6"/>
      </c>
      <c r="P23" s="1626">
        <f t="shared" si="23"/>
      </c>
      <c r="Q23" s="2951"/>
      <c r="R23" s="2932">
        <v>7744.4614000000001</v>
      </c>
      <c r="S23" s="1901">
        <f t="shared" si="24"/>
      </c>
      <c r="T23" s="1626">
        <f t="shared" si="25"/>
      </c>
      <c r="U23" s="1626">
        <f t="shared" si="26"/>
      </c>
      <c r="V23" s="3163"/>
      <c r="W23" s="1901">
        <f t="shared" si="27"/>
      </c>
      <c r="X23" s="1630">
        <f t="shared" si="28"/>
      </c>
    </row>
    <row r="24" spans="2:26">
      <c r="B24" s="2740" t="s">
        <v>86</v>
      </c>
      <c r="C24" s="1638">
        <f>VLOOKUP($B24,'Revenue summary'!$A$11:$DQ$17,MATCH(AvE!C$2,'Revenue summary'!$A$8:$DQ$8,0),0)</f>
      </c>
      <c r="D24" s="1639">
        <v>7378.3743000000004</v>
      </c>
      <c r="E24" s="2754">
        <f t="shared" si="32"/>
      </c>
      <c r="F24" s="1554">
        <f t="shared" si="30"/>
      </c>
      <c r="G24" s="1638">
        <f>VLOOKUP($B24,'Revenue summary'!$A$11:$DQ$17,MATCH(AvE!G$2,'Revenue summary'!$A$8:$DQ$8,0),0)</f>
      </c>
      <c r="H24" s="1554">
        <f t="shared" si="31"/>
      </c>
      <c r="I24" s="3108"/>
      <c r="J24" s="2825" t="s">
        <v>667</v>
      </c>
      <c r="K24" s="2826">
        <f t="shared" si="20"/>
      </c>
      <c r="L24" s="2827">
        <f t="shared" si="21"/>
      </c>
      <c r="M24" s="2952">
        <f t="shared" si="22"/>
      </c>
      <c r="N24" s="2828">
        <f t="shared" si="5"/>
      </c>
      <c r="O24" s="2827">
        <f t="shared" si="6"/>
      </c>
      <c r="P24" s="2827">
        <f t="shared" si="23"/>
      </c>
      <c r="Q24" s="2953"/>
      <c r="R24" s="2933">
        <v>62811.667999999998</v>
      </c>
      <c r="S24" s="2828">
        <f t="shared" si="24"/>
      </c>
      <c r="T24" s="2827">
        <f t="shared" si="25"/>
      </c>
      <c r="U24" s="2827">
        <f t="shared" si="26"/>
      </c>
      <c r="V24" s="3003"/>
      <c r="W24" s="2828">
        <f t="shared" si="27"/>
      </c>
      <c r="X24" s="2829">
        <f t="shared" si="28"/>
      </c>
    </row>
    <row r="25" spans="2:26" ht="12">
      <c r="B25" s="2740" t="s">
        <v>1120</v>
      </c>
      <c r="C25" s="1638">
        <f>VLOOKUP($B25,'Revenue summary'!$A$11:$DQ$17,MATCH(AvE!C$2,'Revenue summary'!$A$8:$DQ$8,0),0)</f>
      </c>
      <c r="D25" s="1639">
        <v>8060.4624999999996</v>
      </c>
      <c r="E25" s="2754">
        <f t="shared" si="32"/>
      </c>
      <c r="F25" s="1554">
        <f t="shared" si="30"/>
      </c>
      <c r="G25" s="1638">
        <f>VLOOKUP($B25,'Revenue summary'!$A$11:$DQ$17,MATCH(AvE!G$2,'Revenue summary'!$A$8:$DQ$8,0),0)</f>
      </c>
      <c r="H25" s="1554">
        <f t="shared" si="31"/>
      </c>
      <c r="I25" s="163"/>
      <c r="J25" s="1907" t="s">
        <v>81</v>
      </c>
      <c r="K25" s="1639">
        <f t="shared" si="20"/>
      </c>
      <c r="L25" s="1626">
        <f t="shared" si="21"/>
      </c>
      <c r="M25" s="2950">
        <f t="shared" si="22"/>
      </c>
      <c r="N25" s="1901">
        <f t="shared" si="5"/>
      </c>
      <c r="O25" s="1626">
        <f t="shared" si="6"/>
      </c>
      <c r="P25" s="1626">
        <f t="shared" si="23"/>
      </c>
      <c r="Q25" s="2951"/>
      <c r="R25" s="2932">
        <v>26815.25</v>
      </c>
      <c r="S25" s="1901">
        <f t="shared" si="24"/>
      </c>
      <c r="T25" s="1626">
        <f t="shared" si="25"/>
      </c>
      <c r="U25" s="1626">
        <f t="shared" si="26"/>
      </c>
      <c r="V25" s="3383"/>
      <c r="W25" s="1901">
        <f t="shared" si="27"/>
      </c>
      <c r="X25" s="1630">
        <f t="shared" si="28"/>
      </c>
    </row>
    <row r="26" spans="2:26" ht="12">
      <c r="B26" s="1841" t="s">
        <v>667</v>
      </c>
      <c r="C26" s="1638">
        <f>VLOOKUP($B26,'Revenue summary'!$A$11:$DQ$17,MATCH(AvE!C$2,'Revenue summary'!$A$8:$DQ$8,0),0)</f>
      </c>
      <c r="D26" s="1639">
        <v>62596.746800000008</v>
      </c>
      <c r="E26" s="2754">
        <f t="shared" si="32"/>
      </c>
      <c r="F26" s="1554">
        <f t="shared" si="30"/>
      </c>
      <c r="G26" s="1638">
        <f>VLOOKUP($B26,'Revenue summary'!$A$11:$DQ$17,MATCH(AvE!G$2,'Revenue summary'!$A$8:$DQ$8,0),0)</f>
      </c>
      <c r="H26" s="1554">
        <f t="shared" si="31"/>
      </c>
      <c r="J26" s="1926" t="s">
        <v>1246</v>
      </c>
      <c r="K26" s="1889">
        <f t="shared" si="20"/>
      </c>
      <c r="L26" s="1927">
        <f t="shared" si="21"/>
      </c>
      <c r="M26" s="2954">
        <f t="shared" si="22"/>
      </c>
      <c r="N26" s="1930">
        <f t="shared" si="5"/>
      </c>
      <c r="O26" s="1927">
        <f t="shared" si="6"/>
      </c>
      <c r="P26" s="1927">
        <f t="shared" si="23"/>
      </c>
      <c r="Q26" s="2955"/>
      <c r="R26" s="2934">
        <v>89349.58</v>
      </c>
      <c r="S26" s="1930">
        <f t="shared" si="24"/>
      </c>
      <c r="T26" s="1927">
        <f t="shared" si="25"/>
      </c>
      <c r="U26" s="1927">
        <f t="shared" si="26"/>
      </c>
      <c r="V26" s="2964" t="str">
        <f>V8</f>
      </c>
      <c r="W26" s="1930">
        <f t="shared" si="27"/>
      </c>
      <c r="X26" s="1931">
        <f t="shared" si="28"/>
      </c>
    </row>
    <row r="27" spans="2:26">
      <c r="B27" s="1841" t="s">
        <v>81</v>
      </c>
      <c r="C27" s="1638">
        <f>VLOOKUP($B27,'Revenue summary'!$A$11:$DQ$17,MATCH(AvE!C$2,'Revenue summary'!$A$8:$DQ$8,0),0)</f>
      </c>
      <c r="D27" s="1639">
        <v>26934.592023969348</v>
      </c>
      <c r="E27" s="2754">
        <f t="shared" si="32"/>
      </c>
      <c r="F27" s="1554">
        <f t="shared" si="30"/>
      </c>
      <c r="G27" s="1638">
        <f>VLOOKUP($B27,'Revenue summary'!$A$11:$DQ$17,MATCH(AvE!G$2,'Revenue summary'!$A$8:$DQ$8,0),0)</f>
      </c>
      <c r="H27" s="1554">
        <f t="shared" si="31"/>
      </c>
      <c r="I27" s="3111"/>
      <c r="J27" s="1583"/>
      <c r="K27" s="1639"/>
      <c r="L27" s="1626"/>
      <c r="M27" s="2950"/>
      <c r="N27" s="1901"/>
      <c r="O27" s="1626"/>
      <c r="P27" s="1626"/>
      <c r="Q27" s="2951"/>
      <c r="R27" s="2932"/>
      <c r="S27" s="1901"/>
      <c r="T27" s="1626"/>
      <c r="U27" s="1626"/>
      <c r="V27" s="2963"/>
      <c r="W27" s="1901"/>
      <c r="X27" s="1630"/>
    </row>
    <row r="28" spans="2:26" ht="12">
      <c r="B28" s="1890" t="s">
        <v>1246</v>
      </c>
      <c r="C28" s="1860">
        <f>VLOOKUP($B28,'Revenue summary'!$A$11:$DQ$17,MATCH(AvE!C$2,'Revenue summary'!$A$8:$DQ$8,0),0)</f>
      </c>
      <c r="D28" s="1889">
        <v>89531.33882396936</v>
      </c>
      <c r="E28" s="2843">
        <f t="shared" si="32"/>
      </c>
      <c r="F28" s="1861">
        <f t="shared" si="30"/>
      </c>
      <c r="G28" s="1860">
        <f>VLOOKUP($B28,'Revenue summary'!$A$11:$DQ$17,MATCH(AvE!G$2,'Revenue summary'!$A$8:$DQ$8,0),0)</f>
      </c>
      <c r="H28" s="1861">
        <f t="shared" si="31"/>
      </c>
      <c r="J28" s="1933" t="s">
        <v>1105</v>
      </c>
      <c r="K28" s="1639">
        <f t="shared" ref="K28:K30" si="33">C30</f>
      </c>
      <c r="L28" s="1626">
        <f>K28/$G30-1</f>
      </c>
      <c r="M28" s="2950">
        <f>D30</f>
      </c>
      <c r="N28" s="1901">
        <f t="shared" si="5"/>
      </c>
      <c r="O28" s="1626">
        <f t="shared" si="6"/>
      </c>
      <c r="P28" s="1626">
        <f>M28/$G30-1</f>
      </c>
      <c r="Q28" s="2951"/>
      <c r="R28" s="2932">
        <v>20863.75</v>
      </c>
      <c r="S28" s="1901">
        <f t="shared" ref="S28:S30" si="34">K28-R28</f>
      </c>
      <c r="T28" s="1626">
        <f t="shared" ref="T28:T30" si="35">K28/R28-1</f>
      </c>
      <c r="U28" s="1626">
        <f>R28/$G30-1</f>
      </c>
      <c r="V28" s="2963"/>
      <c r="W28" s="1901">
        <f>K28-R28</f>
      </c>
      <c r="X28" s="1630">
        <f>M28/R28-1</f>
      </c>
    </row>
    <row r="29" spans="2:26">
      <c r="B29" s="1839"/>
      <c r="C29" s="1638"/>
      <c r="D29" s="1639"/>
      <c r="E29" s="2754"/>
      <c r="F29" s="1554"/>
      <c r="G29" s="1638"/>
      <c r="H29" s="1554"/>
      <c r="J29" s="1933" t="s">
        <v>995</v>
      </c>
      <c r="K29" s="1639">
        <f t="shared" si="33"/>
      </c>
      <c r="L29" s="1626">
        <f>K29/$G31-1</f>
      </c>
      <c r="M29" s="2950">
        <f>D31</f>
      </c>
      <c r="N29" s="1901">
        <f t="shared" si="5"/>
      </c>
      <c r="O29" s="1626">
        <f t="shared" si="6"/>
      </c>
      <c r="P29" s="1626">
        <f>M29/$G31-1</f>
      </c>
      <c r="Q29" s="2951"/>
      <c r="R29" s="2932">
        <v>19725.5</v>
      </c>
      <c r="S29" s="1901">
        <f t="shared" si="34"/>
      </c>
      <c r="T29" s="1626">
        <f t="shared" si="35"/>
      </c>
      <c r="U29" s="1626">
        <f>R29/$G31-1</f>
      </c>
      <c r="V29" s="2963"/>
      <c r="W29" s="1901">
        <f>K29-R29</f>
      </c>
      <c r="X29" s="1630">
        <f>M29/R29-1</f>
      </c>
    </row>
    <row r="30" spans="2:26" ht="12">
      <c r="B30" s="1842" t="s">
        <v>1105</v>
      </c>
      <c r="C30" s="1638">
        <f>VLOOKUP($B30,'Revenue summary'!$A$52:$DQ$54,MATCH(AvE!C$2,'Revenue summary'!$A$8:$DQ$8,0),0)</f>
      </c>
      <c r="D30" s="1639">
        <v>21273.526991779319</v>
      </c>
      <c r="E30" s="2754">
        <f>C30-D30</f>
      </c>
      <c r="F30" s="1554">
        <f>E30/D30</f>
      </c>
      <c r="G30" s="1638">
        <f>VLOOKUP($B30,'Revenue summary'!$A$52:$DQ$54,MATCH(AvE!G$2,'Revenue summary'!$A$8:$DQ$8,0),0)</f>
      </c>
      <c r="H30" s="1554">
        <f>C30/G30-1</f>
      </c>
      <c r="J30" s="1932" t="s">
        <v>67</v>
      </c>
      <c r="K30" s="1889">
        <f t="shared" si="33"/>
      </c>
      <c r="L30" s="1927">
        <f>K30/$G32-1</f>
      </c>
      <c r="M30" s="2954">
        <f>D32</f>
      </c>
      <c r="N30" s="1930">
        <f t="shared" si="5"/>
      </c>
      <c r="O30" s="1927">
        <f t="shared" si="6"/>
      </c>
      <c r="P30" s="1927">
        <f>M30/$G32-1</f>
      </c>
      <c r="Q30" s="2955"/>
      <c r="R30" s="2934">
        <v>40995.855000000003</v>
      </c>
      <c r="S30" s="1930">
        <f t="shared" si="34"/>
      </c>
      <c r="T30" s="1927">
        <f t="shared" si="35"/>
      </c>
      <c r="U30" s="1927">
        <f>R30/$G32-1</f>
      </c>
      <c r="V30" s="2964"/>
      <c r="W30" s="1930">
        <f>K30-R30</f>
      </c>
      <c r="X30" s="1931">
        <f>M30/R30-1</f>
      </c>
    </row>
    <row r="31" spans="2:26">
      <c r="B31" s="1842" t="s">
        <v>995</v>
      </c>
      <c r="C31" s="1638">
        <f>VLOOKUP($B31,'Revenue summary'!$A$52:$DQ$54,MATCH(AvE!C$2,'Revenue summary'!$A$8:$DQ$8,0),0)</f>
      </c>
      <c r="D31" s="1639">
        <v>20335.616978096859</v>
      </c>
      <c r="E31" s="2754">
        <f>C31-D31</f>
      </c>
      <c r="F31" s="1554">
        <f>E31/D31</f>
      </c>
      <c r="G31" s="1638">
        <f>VLOOKUP($B31,'Revenue summary'!$A$52:$DQ$54,MATCH(AvE!G$2,'Revenue summary'!$A$8:$DQ$8,0),0)</f>
      </c>
      <c r="H31" s="1554">
        <f>C31/G31-1</f>
      </c>
      <c r="J31" s="1583"/>
      <c r="L31" s="1624"/>
      <c r="M31" s="2935"/>
      <c r="O31" s="1624"/>
      <c r="P31" s="1624"/>
      <c r="Q31" s="2925"/>
      <c r="R31" s="2935"/>
      <c r="U31" s="1624"/>
      <c r="V31" s="1839"/>
      <c r="X31" s="1397"/>
    </row>
    <row r="32" spans="2:26" ht="12">
      <c r="B32" s="1888" t="s">
        <v>67</v>
      </c>
      <c r="C32" s="1860">
        <f>VLOOKUP($B32,'Revenue summary'!$A$52:$DQ$54,MATCH(AvE!C$2,'Revenue summary'!$A$8:$DQ$8,0),0)</f>
      </c>
      <c r="D32" s="1889">
        <v>41609.143969876182</v>
      </c>
      <c r="E32" s="2843">
        <f>C32-D32</f>
      </c>
      <c r="F32" s="1861">
        <f>E32/D32</f>
      </c>
      <c r="G32" s="1860">
        <f>VLOOKUP($B32,'Revenue summary'!$A$52:$DQ$54,MATCH(AvE!G$2,'Revenue summary'!$A$8:$DQ$8,0),0)</f>
      </c>
      <c r="H32" s="1861">
        <f>C32/G32-1</f>
      </c>
      <c r="J32" s="1933" t="s">
        <v>1173</v>
      </c>
      <c r="K32" s="1634">
        <f t="shared" ref="K32:K34" si="36">C34</f>
      </c>
      <c r="L32" s="1634">
        <f>K32-$G34</f>
      </c>
      <c r="M32" s="2936">
        <f>D34</f>
      </c>
      <c r="N32" s="1634">
        <f t="shared" si="5"/>
      </c>
      <c r="O32" s="1634"/>
      <c r="P32" s="1634">
        <f>M32-$G34</f>
      </c>
      <c r="Q32" s="2926"/>
      <c r="R32" s="2936">
        <f>R28/R24</f>
      </c>
      <c r="S32" s="1634">
        <f t="shared" ref="S32:S34" si="37">K32-R32</f>
      </c>
      <c r="T32" s="1634"/>
      <c r="U32" s="1634">
        <f>R32-$G34</f>
      </c>
      <c r="V32" s="2965"/>
      <c r="W32" s="1634">
        <f>K32-R32</f>
      </c>
      <c r="X32" s="1635"/>
    </row>
    <row r="33" spans="1:24">
      <c r="B33" s="1839"/>
      <c r="C33" s="1396"/>
      <c r="E33" s="1569"/>
      <c r="F33" s="1554"/>
      <c r="G33" s="1396"/>
      <c r="H33" s="1554"/>
      <c r="J33" s="1933" t="s">
        <v>1172</v>
      </c>
      <c r="K33" s="1634">
        <f t="shared" si="36"/>
      </c>
      <c r="L33" s="1634">
        <f>K33-$G35</f>
      </c>
      <c r="M33" s="2936">
        <f>D35</f>
      </c>
      <c r="N33" s="1634">
        <f t="shared" si="5"/>
      </c>
      <c r="O33" s="1634"/>
      <c r="P33" s="1634">
        <f>M33-$G35</f>
      </c>
      <c r="Q33" s="2926"/>
      <c r="R33" s="2936">
        <f t="shared" ref="R33" si="38">R29/R25</f>
      </c>
      <c r="S33" s="1634">
        <f t="shared" si="37"/>
      </c>
      <c r="T33" s="1634"/>
      <c r="U33" s="1634">
        <f>R33-$G35</f>
      </c>
      <c r="V33" s="2965"/>
      <c r="W33" s="1634">
        <f>K33-R33</f>
      </c>
      <c r="X33" s="1635"/>
    </row>
    <row r="34" spans="1:24" ht="12">
      <c r="B34" s="1842" t="s">
        <v>1173</v>
      </c>
      <c r="C34" s="1636">
        <f>C30/C26</f>
      </c>
      <c r="D34" s="1634">
        <v>0.33985036091011867</v>
      </c>
      <c r="E34" s="1637"/>
      <c r="F34" s="1635">
        <f>C34-D34</f>
      </c>
      <c r="G34" s="1636">
        <f>G30/G26</f>
      </c>
      <c r="H34" s="1635">
        <f>C34-G34</f>
      </c>
      <c r="J34" s="1934" t="s">
        <v>1472</v>
      </c>
      <c r="K34" s="1893">
        <f t="shared" si="36"/>
      </c>
      <c r="L34" s="1893">
        <f>K34-$G36</f>
      </c>
      <c r="M34" s="2937">
        <f>D36</f>
      </c>
      <c r="N34" s="1893">
        <f t="shared" si="5"/>
      </c>
      <c r="O34" s="1893"/>
      <c r="P34" s="1893">
        <f>M34-$G36</f>
      </c>
      <c r="Q34" s="2927"/>
      <c r="R34" s="2937">
        <f>R30/R26</f>
      </c>
      <c r="S34" s="1893">
        <f t="shared" si="37"/>
      </c>
      <c r="T34" s="1893"/>
      <c r="U34" s="1893">
        <f>R34-$G36</f>
      </c>
      <c r="V34" s="1890" t="s">
        <v>2399</v>
      </c>
      <c r="W34" s="1893">
        <f>K34-R34</f>
      </c>
      <c r="X34" s="1895"/>
    </row>
    <row r="35" spans="1:24" ht="12">
      <c r="B35" s="1842" t="s">
        <v>1172</v>
      </c>
      <c r="C35" s="1636">
        <f>C31/C27</f>
      </c>
      <c r="D35" s="1634">
        <v>0.75500000000000012</v>
      </c>
      <c r="E35" s="1637"/>
      <c r="F35" s="1635">
        <f>C35-D35</f>
      </c>
      <c r="G35" s="1636">
        <f>G31/G27</f>
      </c>
      <c r="H35" s="1635">
        <f>C35-G35</f>
      </c>
      <c r="J35" s="1934" t="s">
        <v>2251</v>
      </c>
      <c r="K35" s="1893">
        <f>K11/K8</f>
      </c>
      <c r="L35" s="1893">
        <f>K35-$G37</f>
      </c>
      <c r="M35" s="2937">
        <f>M11/M8</f>
      </c>
      <c r="N35" s="1893">
        <f t="shared" ref="N35" si="39">K35-M35</f>
      </c>
      <c r="O35" s="1893"/>
      <c r="P35" s="1893">
        <f>M35-$G37</f>
      </c>
      <c r="Q35" s="2927"/>
      <c r="R35" s="2937">
        <f>R11/R8</f>
      </c>
      <c r="S35" s="1893">
        <f t="shared" ref="S35" si="40">K35-R35</f>
      </c>
      <c r="T35" s="1893"/>
      <c r="U35" s="1893">
        <f>R35-$G37</f>
      </c>
      <c r="V35" s="2966"/>
      <c r="W35" s="1893">
        <f>K35-R35</f>
      </c>
      <c r="X35" s="1895"/>
    </row>
    <row r="36" spans="1:24" ht="12">
      <c r="B36" s="1891" t="s">
        <v>1428</v>
      </c>
      <c r="C36" s="1892">
        <f>C32/C28</f>
      </c>
      <c r="D36" s="1893">
        <v>0.464743904385093</v>
      </c>
      <c r="E36" s="1894"/>
      <c r="F36" s="1895">
        <f>C36-D36</f>
      </c>
      <c r="G36" s="1892">
        <f>G32/G28</f>
      </c>
      <c r="H36" s="1895">
        <f>C36-G36</f>
      </c>
      <c r="J36" s="1396"/>
      <c r="M36" s="2935"/>
      <c r="Q36" s="2925"/>
      <c r="R36" s="2935"/>
      <c r="V36" s="1839"/>
      <c r="X36" s="1397"/>
    </row>
    <row r="37" spans="1:24" ht="12">
      <c r="B37" s="1891" t="s">
        <v>2282</v>
      </c>
      <c r="C37" s="1892">
        <f>C10/C4</f>
      </c>
      <c r="D37" s="1893">
        <v>0.29242435457546134</v>
      </c>
      <c r="E37" s="1894"/>
      <c r="F37" s="1895">
        <f>C37-D37</f>
      </c>
      <c r="G37" s="1892">
        <f>G10/G4</f>
      </c>
      <c r="H37" s="1895">
        <f>C37-G37</f>
      </c>
      <c r="J37" s="3025" t="s">
        <v>2250</v>
      </c>
      <c r="M37" s="2935"/>
      <c r="Q37" s="2925"/>
      <c r="R37" s="2935"/>
      <c r="V37" s="1839"/>
      <c r="X37" s="1397"/>
    </row>
    <row r="38" spans="1:24">
      <c r="J38" s="1818" t="str">
        <f>Geo!A9</f>
      </c>
      <c r="K38" s="1897">
        <f t="shared" ref="K38:K42" si="41">C40</f>
      </c>
      <c r="L38" s="2541">
        <f t="shared" ref="L38:L43" si="42">K38/$G40-1</f>
      </c>
      <c r="M38" s="2944">
        <f>D40</f>
      </c>
      <c r="N38" s="1897">
        <f t="shared" ref="N38:N42" si="43">K38-M38</f>
      </c>
      <c r="O38" s="2541">
        <f t="shared" ref="O38:O42" si="44">K38/M38-1</f>
      </c>
      <c r="P38" s="2541">
        <f t="shared" ref="P38:P43" si="45">M38/$G40-1</f>
      </c>
      <c r="Q38" s="2956"/>
      <c r="R38" s="2938"/>
      <c r="S38" s="2836"/>
      <c r="T38" s="2837"/>
      <c r="U38" s="2541"/>
      <c r="V38" s="2967"/>
      <c r="W38" s="2836">
        <f t="shared" ref="W38:W43" si="46">K38-R38</f>
      </c>
      <c r="X38" s="2838" t="e">
        <f t="shared" ref="X38:X43" si="47">M38/R38-1</f>
      </c>
    </row>
    <row r="39" spans="1:24" ht="12">
      <c r="B39" s="2699" t="s">
        <v>2250</v>
      </c>
      <c r="C39" s="2700" t="str">
        <f>C55</f>
      </c>
      <c r="D39" s="3286" t="s">
        <v>655</v>
      </c>
      <c r="E39" s="2702" t="str">
        <f>E55</f>
      </c>
      <c r="F39" s="2703" t="str">
        <f>F55</f>
      </c>
      <c r="G39" s="2700" t="str">
        <f>G55</f>
      </c>
      <c r="H39" s="2703" t="str">
        <f>H55</f>
      </c>
      <c r="J39" s="1396" t="str">
        <f>Geo!A10</f>
      </c>
      <c r="K39" s="2504">
        <f t="shared" si="41"/>
      </c>
      <c r="L39" s="2523">
        <f t="shared" si="42"/>
      </c>
      <c r="M39" s="2940">
        <f>D41</f>
      </c>
      <c r="N39" s="2504">
        <f t="shared" si="43"/>
      </c>
      <c r="O39" s="2523">
        <f t="shared" si="44"/>
      </c>
      <c r="P39" s="2523">
        <f t="shared" si="45"/>
      </c>
      <c r="Q39" s="2925"/>
      <c r="R39" s="2932"/>
      <c r="S39" s="1901"/>
      <c r="T39" s="1626"/>
      <c r="U39" s="2523"/>
      <c r="V39" s="2963"/>
      <c r="W39" s="1901">
        <f t="shared" si="46"/>
      </c>
      <c r="X39" s="1630" t="e">
        <f t="shared" si="47"/>
      </c>
    </row>
    <row r="40" spans="1:24">
      <c r="B40" s="1841" t="str">
        <f>Geo!A9</f>
      </c>
      <c r="C40" s="1638">
        <f>VLOOKUP($B40,Geo!$A$9:$CW$13,MATCH(AvE!C$2,Geo!$A$7:$CW$7,0),0)</f>
      </c>
      <c r="D40" s="1639">
        <v>39703.893144660193</v>
      </c>
      <c r="E40" s="2754">
        <f t="shared" ref="E40:E45" si="48">C40-D40</f>
      </c>
      <c r="F40" s="1554">
        <f t="shared" ref="F40:F45" si="49">E40/D40</f>
      </c>
      <c r="G40" s="1638">
        <f>VLOOKUP($B40,Geo!$A$9:$CW$13,MATCH(AvE!G$2,Geo!$A$7:$CW$7,0),0)</f>
      </c>
      <c r="H40" s="1554">
        <f t="shared" ref="H40:H45" si="50">C40/G40-1</f>
      </c>
      <c r="J40" s="1396" t="str">
        <f>Geo!A11</f>
      </c>
      <c r="K40" s="2504">
        <f t="shared" si="41"/>
      </c>
      <c r="L40" s="2523">
        <f t="shared" si="42"/>
      </c>
      <c r="M40" s="2940">
        <f>D42</f>
      </c>
      <c r="N40" s="2504">
        <f t="shared" si="43"/>
      </c>
      <c r="O40" s="2523">
        <f t="shared" si="44"/>
      </c>
      <c r="P40" s="2523">
        <f t="shared" si="45"/>
      </c>
      <c r="Q40" s="2925"/>
      <c r="R40" s="2932"/>
      <c r="S40" s="1901"/>
      <c r="T40" s="1626"/>
      <c r="U40" s="2523"/>
      <c r="V40" s="2963"/>
      <c r="W40" s="1901">
        <f t="shared" si="46"/>
      </c>
      <c r="X40" s="1630" t="e">
        <f t="shared" si="47"/>
      </c>
    </row>
    <row r="41" spans="1:24">
      <c r="B41" s="1841" t="str">
        <f>Geo!A10</f>
      </c>
      <c r="C41" s="1638">
        <f>VLOOKUP($B41,Geo!$A$9:$CW$13,MATCH(AvE!C$2,Geo!$A$7:$CW$7,0),0)</f>
      </c>
      <c r="D41" s="1639">
        <v>23060.671945903276</v>
      </c>
      <c r="E41" s="2754">
        <f t="shared" si="48"/>
      </c>
      <c r="F41" s="1554">
        <f t="shared" si="49"/>
      </c>
      <c r="G41" s="1638">
        <f>VLOOKUP($B41,Geo!$A$9:$CW$13,MATCH(AvE!G$2,Geo!$A$7:$CW$7,0),0)</f>
      </c>
      <c r="H41" s="1554">
        <f t="shared" si="50"/>
      </c>
      <c r="J41" s="1396" t="str">
        <f>Geo!A12</f>
      </c>
      <c r="K41" s="2504">
        <f t="shared" si="41"/>
      </c>
      <c r="L41" s="2523">
        <f t="shared" si="42"/>
      </c>
      <c r="M41" s="2940">
        <f>D43</f>
      </c>
      <c r="N41" s="2504">
        <f t="shared" si="43"/>
      </c>
      <c r="O41" s="2523">
        <f t="shared" si="44"/>
      </c>
      <c r="P41" s="2523">
        <f t="shared" si="45"/>
      </c>
      <c r="Q41" s="2925"/>
      <c r="R41" s="2932"/>
      <c r="S41" s="1901"/>
      <c r="T41" s="1626"/>
      <c r="U41" s="2523"/>
      <c r="V41" s="2963"/>
      <c r="W41" s="1901">
        <f t="shared" si="46"/>
      </c>
      <c r="X41" s="1630" t="e">
        <f t="shared" si="47"/>
      </c>
    </row>
    <row r="42" spans="1:24">
      <c r="B42" s="1841" t="str">
        <f>Geo!A11</f>
      </c>
      <c r="C42" s="1638">
        <f>VLOOKUP($B42,Geo!$A$9:$CW$13,MATCH(AvE!C$2,Geo!$A$7:$CW$7,0),0)</f>
      </c>
      <c r="D42" s="1639">
        <v>15464.400000000001</v>
      </c>
      <c r="E42" s="2754">
        <f t="shared" si="48"/>
      </c>
      <c r="F42" s="1554">
        <f t="shared" si="49"/>
      </c>
      <c r="G42" s="1638">
        <f>VLOOKUP($B42,Geo!$A$9:$CW$13,MATCH(AvE!G$2,Geo!$A$7:$CW$7,0),0)</f>
      </c>
      <c r="H42" s="1554">
        <f t="shared" si="50"/>
      </c>
      <c r="J42" s="1396" t="str">
        <f>Geo!A13</f>
      </c>
      <c r="K42" s="2504">
        <f t="shared" si="41"/>
      </c>
      <c r="L42" s="2523">
        <f t="shared" si="42"/>
      </c>
      <c r="M42" s="2940">
        <f>D44</f>
      </c>
      <c r="N42" s="2504">
        <f t="shared" si="43"/>
      </c>
      <c r="O42" s="2523">
        <f t="shared" si="44"/>
      </c>
      <c r="P42" s="2523">
        <f t="shared" si="45"/>
      </c>
      <c r="Q42" s="2925"/>
      <c r="R42" s="2932"/>
      <c r="S42" s="1901"/>
      <c r="T42" s="1626"/>
      <c r="U42" s="2523"/>
      <c r="V42" s="2963"/>
      <c r="W42" s="1901">
        <f t="shared" si="46"/>
      </c>
      <c r="X42" s="1630" t="e">
        <f t="shared" si="47"/>
      </c>
    </row>
    <row r="43" spans="1:24" ht="12">
      <c r="B43" s="1841" t="str">
        <f>Geo!A12</f>
      </c>
      <c r="C43" s="1638">
        <f>VLOOKUP($B43,Geo!$A$9:$CW$13,MATCH(AvE!C$2,Geo!$A$7:$CW$7,0),0)</f>
      </c>
      <c r="D43" s="1639">
        <v>5320.0885317249586</v>
      </c>
      <c r="E43" s="2754">
        <f t="shared" si="48"/>
      </c>
      <c r="F43" s="1554">
        <f t="shared" si="49"/>
      </c>
      <c r="G43" s="1638">
        <f>VLOOKUP($B43,Geo!$A$9:$CW$13,MATCH(AvE!G$2,Geo!$A$7:$CW$7,0),0)</f>
      </c>
      <c r="H43" s="1554">
        <f t="shared" si="50"/>
      </c>
      <c r="J43" s="1926" t="s">
        <v>1246</v>
      </c>
      <c r="K43" s="1889">
        <f>K26</f>
      </c>
      <c r="L43" s="2839">
        <f t="shared" si="42"/>
      </c>
      <c r="M43" s="2954">
        <f>M26</f>
      </c>
      <c r="N43" s="1930">
        <f t="shared" ref="N43:N44" si="51">K43-M43</f>
      </c>
      <c r="O43" s="2839">
        <f t="shared" ref="O43" si="52">K43/M43-1</f>
      </c>
      <c r="P43" s="2839">
        <f t="shared" si="45"/>
      </c>
      <c r="Q43" s="2955"/>
      <c r="R43" s="2934">
        <v>89349.58</v>
      </c>
      <c r="S43" s="1930">
        <f t="shared" ref="S43" si="53">K43-R43</f>
      </c>
      <c r="T43" s="1927">
        <f t="shared" ref="T43" si="54">K43/R43-1</f>
      </c>
      <c r="U43" s="2839">
        <f t="shared" ref="U43" si="55">R43/$G45-1</f>
      </c>
      <c r="V43" s="2964"/>
      <c r="W43" s="1930">
        <f t="shared" si="46"/>
      </c>
      <c r="X43" s="1931">
        <f t="shared" si="47"/>
      </c>
    </row>
    <row r="44" spans="1:24" ht="12">
      <c r="B44" s="1841" t="str">
        <f>Geo!A13</f>
      </c>
      <c r="C44" s="1638">
        <f>VLOOKUP($B44,Geo!$A$9:$CW$13,MATCH(AvE!C$2,Geo!$A$7:$CW$7,0),0)</f>
      </c>
      <c r="D44" s="1639">
        <v>5982.2852016809338</v>
      </c>
      <c r="E44" s="2754">
        <f t="shared" si="48"/>
      </c>
      <c r="F44" s="1554">
        <f t="shared" si="49"/>
      </c>
      <c r="G44" s="1638">
        <f>VLOOKUP($B44,Geo!$A$9:$CW$13,MATCH(AvE!G$2,Geo!$A$7:$CW$7,0),0)</f>
      </c>
      <c r="H44" s="1554">
        <f t="shared" si="50"/>
      </c>
      <c r="J44" s="2998" t="s">
        <v>2261</v>
      </c>
      <c r="K44" s="2525">
        <f>C46</f>
      </c>
      <c r="L44" s="2525"/>
      <c r="M44" s="2999">
        <f>D46</f>
      </c>
      <c r="N44" s="2525">
        <f t="shared" si="51"/>
      </c>
      <c r="O44" s="2525"/>
      <c r="P44" s="2525"/>
      <c r="Q44" s="2969"/>
      <c r="R44" s="2970"/>
      <c r="S44" s="3000"/>
      <c r="T44" s="3122"/>
      <c r="U44" s="3015"/>
      <c r="V44" s="3001"/>
      <c r="W44" s="2971"/>
      <c r="X44" s="3015"/>
    </row>
    <row r="45" spans="1:24" ht="12">
      <c r="B45" s="1890" t="s">
        <v>1246</v>
      </c>
      <c r="C45" s="1860">
        <f>SUM(C40:C44)</f>
      </c>
      <c r="D45" s="1889">
        <v>89531.33882396936</v>
      </c>
      <c r="E45" s="2843">
        <f t="shared" si="48"/>
      </c>
      <c r="F45" s="1861">
        <f t="shared" si="49"/>
      </c>
      <c r="G45" s="1860">
        <f>SUM(G40:G44)</f>
      </c>
      <c r="H45" s="1861">
        <f t="shared" si="50"/>
      </c>
      <c r="K45" s="2520">
        <f>K9/K8</f>
      </c>
      <c r="R45" s="2520">
        <f>R9/R8</f>
      </c>
    </row>
    <row r="46" spans="1:24">
      <c r="A46" s="1624" t="str">
        <f>'Revenue summary'!A27</f>
      </c>
      <c r="B46" s="2997" t="s">
        <v>2261</v>
      </c>
      <c r="C46" s="2993">
        <f>VLOOKUP($A46,'Revenue summary'!$A$11:$DQ$27,MATCH(AvE!C$2,'Revenue summary'!$A$8:$DQ$8,0),0)</f>
      </c>
      <c r="D46" s="2994">
        <v>0</v>
      </c>
      <c r="E46" s="2995"/>
      <c r="F46" s="2996">
        <f>C46-D46</f>
      </c>
      <c r="G46" s="2993">
        <f>VLOOKUP($A46,'Revenue summary'!$A$11:$DQ$27,MATCH(AvE!G$2,'Revenue summary'!$A$8:$DQ$8,0),0)</f>
      </c>
      <c r="H46" s="2992"/>
      <c r="J46" s="2745" t="s">
        <v>2237</v>
      </c>
      <c r="K46" s="2746"/>
      <c r="L46" s="2746"/>
      <c r="M46" s="3406" t="s">
        <v>720</v>
      </c>
      <c r="N46" s="3400"/>
      <c r="O46" s="3400"/>
      <c r="P46" s="3400"/>
      <c r="Q46" s="3407"/>
      <c r="R46" s="2939" t="s">
        <v>668</v>
      </c>
      <c r="S46" s="2749"/>
      <c r="T46" s="2750"/>
      <c r="U46" s="3172"/>
      <c r="V46" s="2621"/>
      <c r="W46" s="3263" t="s">
        <v>2376</v>
      </c>
      <c r="X46" s="2750"/>
    </row>
    <row r="47" spans="1:24">
      <c r="J47" s="3026" t="s">
        <v>1431</v>
      </c>
      <c r="K47" s="2751" t="s">
        <v>654</v>
      </c>
      <c r="L47" s="2751"/>
      <c r="M47" s="2928" t="s">
        <v>720</v>
      </c>
      <c r="N47" s="2751" t="s">
        <v>1426</v>
      </c>
      <c r="O47" s="2751" t="s">
        <v>1427</v>
      </c>
      <c r="P47" s="2751"/>
      <c r="Q47" s="2751"/>
      <c r="R47" s="3035" t="s">
        <v>2265</v>
      </c>
      <c r="S47" s="2751" t="s">
        <v>1426</v>
      </c>
      <c r="T47" s="2750" t="s">
        <v>1427</v>
      </c>
      <c r="U47" s="3173"/>
      <c r="W47" s="2751" t="s">
        <v>2337</v>
      </c>
      <c r="X47" s="2750" t="s">
        <v>1427</v>
      </c>
    </row>
    <row r="48" spans="1:24" ht="12">
      <c r="B48" s="2851" t="s">
        <v>2252</v>
      </c>
      <c r="J48" s="3027" t="s">
        <v>2236</v>
      </c>
      <c r="L48" s="2523"/>
      <c r="M48" s="2935"/>
      <c r="O48" s="2523"/>
      <c r="P48" s="2523"/>
      <c r="R48" s="2935"/>
      <c r="T48" s="3020"/>
      <c r="U48" s="2523"/>
      <c r="X48" s="3020"/>
    </row>
    <row r="49" spans="2:24" ht="12">
      <c r="B49" s="2846" t="s">
        <v>2211</v>
      </c>
      <c r="C49" s="2847" t="str">
        <f>C21</f>
      </c>
      <c r="D49" s="2848" t="str">
        <f>D21</f>
      </c>
      <c r="E49" s="2849" t="s">
        <v>2213</v>
      </c>
      <c r="F49" s="2850" t="str">
        <f>F21</f>
      </c>
      <c r="G49" s="2847" t="str">
        <f>G21</f>
      </c>
      <c r="H49" s="2850" t="str">
        <f>H21</f>
      </c>
      <c r="J49" s="1396" t="s">
        <v>2221</v>
      </c>
      <c r="K49" s="1641">
        <f t="shared" ref="K49:K51" si="56">C26</f>
      </c>
      <c r="L49" s="2523"/>
      <c r="M49" s="2957">
        <f>D26</f>
      </c>
      <c r="N49" s="1641">
        <f t="shared" ref="N49:N63" si="57">K49-M49</f>
      </c>
      <c r="O49" s="2523">
        <f t="shared" ref="O49:O63" si="58">K49/M49-1</f>
      </c>
      <c r="P49" s="2523"/>
      <c r="R49" s="2940">
        <v>62763.648832488303</v>
      </c>
      <c r="S49" s="1641">
        <f t="shared" ref="S49:S63" si="59">K49-R49</f>
      </c>
      <c r="T49" s="3020">
        <f t="shared" ref="T49:T63" si="60">K49/R49-1</f>
      </c>
      <c r="U49" s="2523"/>
      <c r="W49" s="1641">
        <f t="shared" ref="W49:W63" si="61">K49-R49</f>
      </c>
      <c r="X49" s="3020">
        <f t="shared" ref="X49:X63" si="62">M49/R49-1</f>
      </c>
    </row>
    <row r="50" spans="2:24">
      <c r="B50" s="1818" t="str">
        <f>'Segment - Products'!A92</f>
      </c>
      <c r="C50" s="2763">
        <f>VLOOKUP($B50,'Segment - Products'!$A$72:$FU$101,MATCH(AvE!C$2,'Segment - Products'!$A$8:$HF$8,0),0)</f>
      </c>
      <c r="D50" s="2755">
        <v>46.276886049910829</v>
      </c>
      <c r="E50" s="2756">
        <f>C50-D50</f>
      </c>
      <c r="F50" s="2757">
        <f>E50/D50</f>
      </c>
      <c r="G50" s="2755">
        <f>VLOOKUP($B50,'Segment - Products'!$A$72:$HF$101,MATCH(AvE!G$2,'Segment - Products'!$A$8:$HF$8,0),0)</f>
      </c>
      <c r="H50" s="2757">
        <f>C50/G50-1</f>
      </c>
      <c r="J50" s="1396" t="s">
        <v>2223</v>
      </c>
      <c r="K50" s="1641">
        <f t="shared" si="56"/>
      </c>
      <c r="L50" s="2523"/>
      <c r="M50" s="2957">
        <f>D27</f>
      </c>
      <c r="N50" s="1641">
        <f t="shared" si="57"/>
      </c>
      <c r="O50" s="2523">
        <f t="shared" si="58"/>
      </c>
      <c r="P50" s="2523"/>
      <c r="R50" s="2940">
        <v>26809.641896699693</v>
      </c>
      <c r="S50" s="1641">
        <f t="shared" si="59"/>
      </c>
      <c r="T50" s="3020">
        <f t="shared" si="60"/>
      </c>
      <c r="U50" s="2523"/>
      <c r="W50" s="1641">
        <f t="shared" si="61"/>
      </c>
      <c r="X50" s="3020">
        <f t="shared" si="62"/>
      </c>
    </row>
    <row r="51" spans="2:24" ht="12">
      <c r="B51" s="1396" t="str">
        <f>'Segment - Products'!A99</f>
      </c>
      <c r="C51" s="2764">
        <f>VLOOKUP($B51,'Segment - Products'!$A$72:$FU$101,MATCH(AvE!C$2,'Segment - Products'!$A$8:$HF$8,0),0)</f>
      </c>
      <c r="D51" s="2517">
        <v>13.5</v>
      </c>
      <c r="E51" s="2753">
        <f>C51-D51</f>
      </c>
      <c r="F51" s="1554">
        <f>E51/D51</f>
      </c>
      <c r="G51" s="2517">
        <f>VLOOKUP($B51,'Segment - Products'!$A$72:$FU$101,MATCH(AvE!G$2,'Segment - Products'!$A$8:$HF$8,0),0)</f>
      </c>
      <c r="H51" s="1554">
        <f>C51/G51-1</f>
      </c>
      <c r="J51" s="1588" t="s">
        <v>1246</v>
      </c>
      <c r="K51" s="2768">
        <f t="shared" si="56"/>
      </c>
      <c r="L51" s="2525"/>
      <c r="M51" s="2958">
        <f>D28</f>
      </c>
      <c r="N51" s="2768">
        <f t="shared" si="57"/>
      </c>
      <c r="O51" s="2525">
        <f t="shared" si="58"/>
      </c>
      <c r="P51" s="2525"/>
      <c r="Q51" s="2502"/>
      <c r="R51" s="2943">
        <v>89540.686747296146</v>
      </c>
      <c r="S51" s="2768">
        <f t="shared" si="59"/>
      </c>
      <c r="T51" s="3021">
        <f t="shared" si="60"/>
      </c>
      <c r="U51" s="2523"/>
      <c r="W51" s="2768">
        <f t="shared" si="61"/>
      </c>
      <c r="X51" s="3021">
        <f t="shared" si="62"/>
      </c>
    </row>
    <row r="52" spans="2:24">
      <c r="B52" s="1396" t="str">
        <f>'Segment - Products'!A93</f>
      </c>
      <c r="C52" s="2764">
        <f>VLOOKUP($B52,'Segment - Products'!$A$72:$FU$101,MATCH(AvE!C$2,'Segment - Products'!$A$8:$HF$8,0),0)</f>
      </c>
      <c r="D52" s="2517">
        <v>6.2232308600000001</v>
      </c>
      <c r="E52" s="2753">
        <f>C52-D52</f>
      </c>
      <c r="F52" s="1554">
        <f>E52/D52</f>
      </c>
      <c r="G52" s="2517">
        <f>VLOOKUP($B52,'Segment - Products'!$A$72:$FU$101,MATCH(AvE!G$2,'Segment - Products'!$A$8:$HF$8,0),0)</f>
      </c>
      <c r="H52" s="1554">
        <f>C52/G52-1</f>
      </c>
      <c r="J52" s="1396" t="s">
        <v>2224</v>
      </c>
      <c r="K52" s="2504">
        <f t="shared" ref="K52:K54" si="63">C30</f>
      </c>
      <c r="L52" s="2523"/>
      <c r="M52" s="2940">
        <f>D30</f>
      </c>
      <c r="N52" s="2504">
        <f t="shared" si="57"/>
      </c>
      <c r="O52" s="2523">
        <f t="shared" si="58"/>
      </c>
      <c r="P52" s="2523"/>
      <c r="R52" s="2940">
        <v>21438.334636901731</v>
      </c>
      <c r="S52" s="2504">
        <f t="shared" si="59"/>
      </c>
      <c r="T52" s="3020">
        <f t="shared" si="60"/>
      </c>
      <c r="U52" s="2523"/>
      <c r="W52" s="2504">
        <f t="shared" si="61"/>
      </c>
      <c r="X52" s="3020">
        <f t="shared" si="62"/>
      </c>
    </row>
    <row r="53" spans="2:24">
      <c r="B53" s="2758" t="str">
        <f>'Segment - Products'!A100</f>
      </c>
      <c r="C53" s="2765">
        <f>VLOOKUP($B53,'Segment - Products'!$A$72:$FU$101,MATCH(AvE!C$2,'Segment - Products'!$A$8:$HF$8,0),0)</f>
      </c>
      <c r="D53" s="2759">
        <v>7.5</v>
      </c>
      <c r="E53" s="2760">
        <f>C53-D53</f>
      </c>
      <c r="F53" s="1556">
        <f>E53/D53</f>
      </c>
      <c r="G53" s="2759">
        <f>VLOOKUP($B53,'Segment - Products'!$A$72:$FU$101,MATCH(AvE!G$2,'Segment - Products'!$A$8:$HF$8,0),0)</f>
      </c>
      <c r="H53" s="1556">
        <f>C53/G53-1</f>
      </c>
      <c r="J53" s="1396" t="s">
        <v>2225</v>
      </c>
      <c r="K53" s="2504">
        <f t="shared" si="63"/>
      </c>
      <c r="L53" s="2523"/>
      <c r="M53" s="2940">
        <f>D31</f>
      </c>
      <c r="N53" s="2504">
        <f t="shared" si="57"/>
      </c>
      <c r="O53" s="2523">
        <f t="shared" si="58"/>
      </c>
      <c r="P53" s="2523"/>
      <c r="R53" s="2940">
        <v>19856.342937381203</v>
      </c>
      <c r="S53" s="2504">
        <f t="shared" si="59"/>
      </c>
      <c r="T53" s="3020">
        <f t="shared" si="60"/>
      </c>
      <c r="U53" s="2523"/>
      <c r="W53" s="2504">
        <f t="shared" si="61"/>
      </c>
      <c r="X53" s="3020">
        <f t="shared" si="62"/>
      </c>
    </row>
    <row r="54" spans="2:24">
      <c r="J54" s="2532" t="s">
        <v>2226</v>
      </c>
      <c r="K54" s="2505">
        <f t="shared" si="63"/>
      </c>
      <c r="L54" s="2525"/>
      <c r="M54" s="2941">
        <f>D32</f>
      </c>
      <c r="N54" s="2505">
        <f t="shared" si="57"/>
      </c>
      <c r="O54" s="2525">
        <f t="shared" si="58"/>
      </c>
      <c r="P54" s="2525"/>
      <c r="Q54" s="2502"/>
      <c r="R54" s="2941">
        <v>41231.566325773099</v>
      </c>
      <c r="S54" s="2505">
        <f t="shared" si="59"/>
      </c>
      <c r="T54" s="3021">
        <f t="shared" si="60"/>
      </c>
      <c r="U54" s="2523"/>
      <c r="W54" s="2505">
        <f t="shared" si="61"/>
      </c>
      <c r="X54" s="3021">
        <f t="shared" si="62"/>
      </c>
    </row>
    <row r="55" spans="2:24" ht="12">
      <c r="B55" s="2846" t="s">
        <v>2216</v>
      </c>
      <c r="C55" s="2847" t="str">
        <f>C$49</f>
      </c>
      <c r="D55" s="2848" t="str">
        <f>D$49</f>
      </c>
      <c r="E55" s="2849" t="s">
        <v>2215</v>
      </c>
      <c r="F55" s="2850" t="str">
        <f>F$49</f>
      </c>
      <c r="G55" s="2847" t="str">
        <f>G$49</f>
      </c>
      <c r="H55" s="2850" t="str">
        <f>H$49</f>
      </c>
      <c r="J55" s="1396" t="s">
        <v>2229</v>
      </c>
      <c r="K55" s="2504">
        <f>C7</f>
      </c>
      <c r="L55" s="2523"/>
      <c r="M55" s="2940">
        <f>D7</f>
      </c>
      <c r="N55" s="2504">
        <f t="shared" si="57"/>
      </c>
      <c r="O55" s="2523">
        <f t="shared" si="58"/>
      </c>
      <c r="P55" s="2523"/>
      <c r="R55" s="2940">
        <v>8623.1378396400432</v>
      </c>
      <c r="S55" s="2504">
        <f t="shared" si="59"/>
      </c>
      <c r="T55" s="3020">
        <f t="shared" si="60"/>
      </c>
      <c r="U55" s="2523"/>
      <c r="W55" s="2504">
        <f t="shared" si="61"/>
      </c>
      <c r="X55" s="3020">
        <f t="shared" si="62"/>
      </c>
    </row>
    <row r="56" spans="2:24">
      <c r="B56" s="1818" t="str">
        <f>B50</f>
      </c>
      <c r="C56" s="2766">
        <f>C22/C50</f>
      </c>
      <c r="D56" s="1897">
        <v>859.83335086732086</v>
      </c>
      <c r="E56" s="2761">
        <f>C56-D56</f>
      </c>
      <c r="F56" s="2757">
        <f>E56/D56</f>
      </c>
      <c r="G56" s="1897">
        <f>G22/G50</f>
      </c>
      <c r="H56" s="2757">
        <f>C56/G56-1</f>
      </c>
      <c r="J56" s="1396" t="s">
        <v>2230</v>
      </c>
      <c r="K56" s="2504">
        <f>C8</f>
      </c>
      <c r="L56" s="2523"/>
      <c r="M56" s="2940">
        <f>D8</f>
      </c>
      <c r="N56" s="2504">
        <f t="shared" si="57"/>
      </c>
      <c r="O56" s="2523">
        <f t="shared" si="58"/>
      </c>
      <c r="P56" s="2523"/>
      <c r="R56" s="2940">
        <v>6762.5852297131514</v>
      </c>
      <c r="S56" s="2504">
        <f t="shared" si="59"/>
      </c>
      <c r="T56" s="3020">
        <f t="shared" si="60"/>
      </c>
      <c r="U56" s="2523"/>
      <c r="W56" s="2504">
        <f t="shared" si="61"/>
      </c>
      <c r="X56" s="3020">
        <f t="shared" si="62"/>
      </c>
    </row>
    <row r="57" spans="2:24">
      <c r="B57" s="1396" t="str">
        <f>B51</f>
      </c>
      <c r="C57" s="1907">
        <f>C23/C51</f>
      </c>
      <c r="D57" s="2504">
        <v>545.74074074074076</v>
      </c>
      <c r="E57" s="2754">
        <f>C57-D57</f>
      </c>
      <c r="F57" s="1554">
        <f>E57/D57</f>
      </c>
      <c r="G57" s="2504">
        <f>G23/G51</f>
      </c>
      <c r="H57" s="1554">
        <f>C57/G57-1</f>
      </c>
      <c r="J57" s="2532" t="s">
        <v>2231</v>
      </c>
      <c r="K57" s="2505">
        <f t="shared" ref="K57" si="64">C10</f>
      </c>
      <c r="L57" s="2525"/>
      <c r="M57" s="2941">
        <f>D10</f>
      </c>
      <c r="N57" s="2505">
        <f t="shared" si="57"/>
      </c>
      <c r="O57" s="2525">
        <f t="shared" si="58"/>
      </c>
      <c r="P57" s="2525"/>
      <c r="Q57" s="2502"/>
      <c r="R57" s="2941">
        <v>25858.673557562724</v>
      </c>
      <c r="S57" s="2505">
        <f t="shared" si="59"/>
      </c>
      <c r="T57" s="3021">
        <f t="shared" si="60"/>
      </c>
      <c r="U57" s="2523"/>
      <c r="W57" s="2505">
        <f t="shared" si="61"/>
      </c>
      <c r="X57" s="3021">
        <f t="shared" si="62"/>
      </c>
    </row>
    <row r="58" spans="2:24">
      <c r="B58" s="1396" t="str">
        <f>B52</f>
      </c>
      <c r="C58" s="1907">
        <f>C24/C52</f>
      </c>
      <c r="D58" s="2504">
        <v>1185.6179637211787</v>
      </c>
      <c r="E58" s="2754">
        <f>C58-D58</f>
      </c>
      <c r="F58" s="1554">
        <f>E58/D58</f>
      </c>
      <c r="G58" s="2504">
        <f>G24/G52</f>
      </c>
      <c r="H58" s="1554">
        <f>C58/G58-1</f>
      </c>
      <c r="J58" s="1396" t="s">
        <v>2227</v>
      </c>
      <c r="K58" s="2504">
        <f t="shared" ref="K58:K60" si="65">C11</f>
      </c>
      <c r="L58" s="2523"/>
      <c r="M58" s="2940">
        <f>D11</f>
      </c>
      <c r="N58" s="2504">
        <f t="shared" si="57"/>
      </c>
      <c r="O58" s="2523">
        <f t="shared" si="58"/>
      </c>
      <c r="P58" s="2523"/>
      <c r="R58" s="2940">
        <v>-284.56098882864717</v>
      </c>
      <c r="S58" s="2504">
        <f t="shared" si="59"/>
      </c>
      <c r="T58" s="3020">
        <f t="shared" si="60"/>
      </c>
      <c r="U58" s="2523"/>
      <c r="W58" s="2504">
        <f t="shared" si="61"/>
      </c>
      <c r="X58" s="3020">
        <f t="shared" si="62"/>
      </c>
    </row>
    <row r="59" spans="2:24">
      <c r="B59" s="2758" t="str">
        <f>B53</f>
      </c>
      <c r="C59" s="2767">
        <f>C61/C53</f>
      </c>
      <c r="D59" s="1899">
        <v>500</v>
      </c>
      <c r="E59" s="2762">
        <f>C59-D59</f>
      </c>
      <c r="F59" s="1556">
        <f>E59/D59</f>
      </c>
      <c r="G59" s="1899">
        <f>G61/G53</f>
      </c>
      <c r="H59" s="1556">
        <f>C59/G59-1</f>
      </c>
      <c r="J59" s="1818" t="s">
        <v>2232</v>
      </c>
      <c r="K59" s="1897">
        <f t="shared" si="65"/>
      </c>
      <c r="L59" s="2541"/>
      <c r="M59" s="2944">
        <f>D12</f>
      </c>
      <c r="N59" s="1897">
        <f t="shared" si="57"/>
      </c>
      <c r="O59" s="2541">
        <f t="shared" si="58"/>
      </c>
      <c r="P59" s="2541"/>
      <c r="Q59" s="2621"/>
      <c r="R59" s="2944">
        <v>25574.109858292199</v>
      </c>
      <c r="S59" s="1897">
        <f t="shared" si="59"/>
      </c>
      <c r="T59" s="3022">
        <f t="shared" si="60"/>
      </c>
      <c r="U59" s="2523"/>
      <c r="W59" s="1897">
        <f t="shared" si="61"/>
      </c>
      <c r="X59" s="3022">
        <f t="shared" si="62"/>
      </c>
    </row>
    <row r="60" spans="2:24">
      <c r="J60" s="1396" t="s">
        <v>2233</v>
      </c>
      <c r="K60" s="2504">
        <f t="shared" si="65"/>
      </c>
      <c r="L60" s="2523"/>
      <c r="M60" s="2940">
        <f>D13</f>
      </c>
      <c r="N60" s="2504">
        <f t="shared" si="57"/>
      </c>
      <c r="O60" s="2523">
        <f t="shared" si="58"/>
      </c>
      <c r="P60" s="2523"/>
      <c r="R60" s="2940">
        <v>4077.3723156300184</v>
      </c>
      <c r="S60" s="2504">
        <f t="shared" si="59"/>
      </c>
      <c r="T60" s="3020">
        <f t="shared" si="60"/>
      </c>
      <c r="U60" s="2523"/>
      <c r="W60" s="2504">
        <f t="shared" si="61"/>
      </c>
      <c r="X60" s="3020">
        <f t="shared" si="62"/>
      </c>
    </row>
    <row r="61" spans="2:24">
      <c r="B61" s="2532" t="s">
        <v>94</v>
      </c>
      <c r="C61" s="2769">
        <f>VLOOKUP($B61,'Segment - Products'!$A$15:$DQ$18,MATCH(AvE!C$2,'Segment - Products'!$A$8:$DQ$8,0),0)</f>
      </c>
      <c r="D61" s="2505">
        <v>3750</v>
      </c>
      <c r="E61" s="2770">
        <f>C61-D61</f>
      </c>
      <c r="F61" s="1558">
        <f>E61/D61</f>
      </c>
      <c r="G61" s="2505">
        <f>'Segment - Products'!DC15</f>
      </c>
      <c r="H61" s="1558">
        <f>C61/G61-1</f>
      </c>
      <c r="J61" s="1396" t="s">
        <v>1562</v>
      </c>
      <c r="K61" s="2523">
        <f>K60/K59</f>
      </c>
      <c r="L61" s="2523"/>
      <c r="M61" s="2945">
        <f>M60/M59</f>
      </c>
      <c r="N61" s="2523">
        <f t="shared" si="57"/>
      </c>
      <c r="O61" s="2523"/>
      <c r="P61" s="2523"/>
      <c r="R61" s="2945">
        <f>R60/R59</f>
      </c>
      <c r="S61" s="2523">
        <f t="shared" si="59"/>
      </c>
      <c r="T61" s="3020">
        <f t="shared" si="60"/>
      </c>
      <c r="U61" s="2523"/>
      <c r="W61" s="2523">
        <f t="shared" si="61"/>
      </c>
      <c r="X61" s="3020">
        <f t="shared" si="62"/>
      </c>
    </row>
    <row r="62" spans="2:24">
      <c r="B62" s="2968"/>
      <c r="J62" s="2532" t="s">
        <v>2234</v>
      </c>
      <c r="K62" s="2768">
        <f>C16</f>
      </c>
      <c r="L62" s="2525"/>
      <c r="M62" s="2958">
        <f>D16</f>
      </c>
      <c r="N62" s="2768">
        <f t="shared" si="57"/>
      </c>
      <c r="O62" s="2525">
        <f t="shared" si="58"/>
      </c>
      <c r="P62" s="2525"/>
      <c r="Q62" s="2502"/>
      <c r="R62" s="2941">
        <v>21496.737542662169</v>
      </c>
      <c r="S62" s="2768">
        <f t="shared" si="59"/>
      </c>
      <c r="T62" s="3021">
        <f t="shared" si="60"/>
      </c>
      <c r="U62" s="2523"/>
      <c r="W62" s="2768">
        <f t="shared" si="61"/>
      </c>
      <c r="X62" s="3021">
        <f t="shared" si="62"/>
      </c>
    </row>
    <row r="63" spans="2:24">
      <c r="B63" s="2835" t="s">
        <v>82</v>
      </c>
      <c r="C63" s="2835">
        <f>C4*2-C28-C45</f>
      </c>
      <c r="D63" s="2835">
        <v>0</v>
      </c>
      <c r="E63" s="2835">
        <f>E4*2-E28-E45</f>
      </c>
      <c r="F63" s="2835"/>
      <c r="G63" s="2835">
        <f>G4*2-G28-G45</f>
      </c>
      <c r="J63" s="2532" t="s">
        <v>2228</v>
      </c>
      <c r="K63" s="2771">
        <f>C18</f>
      </c>
      <c r="L63" s="2525"/>
      <c r="M63" s="2959">
        <f>D18</f>
      </c>
      <c r="N63" s="2771">
        <f t="shared" si="57"/>
      </c>
      <c r="O63" s="2525">
        <f t="shared" si="58"/>
      </c>
      <c r="P63" s="2525"/>
      <c r="Q63" s="2502"/>
      <c r="R63" s="2946">
        <v>1.4357272983789919</v>
      </c>
      <c r="S63" s="2771">
        <f t="shared" si="59"/>
      </c>
      <c r="T63" s="3021">
        <f t="shared" si="60"/>
      </c>
      <c r="U63" s="2523"/>
      <c r="W63" s="2771">
        <f t="shared" si="61"/>
      </c>
      <c r="X63" s="3021">
        <f t="shared" si="62"/>
      </c>
    </row>
    <row r="64" spans="2:24">
      <c r="J64" s="1396"/>
      <c r="K64" s="196"/>
      <c r="L64" s="2523"/>
      <c r="M64" s="3038"/>
      <c r="N64" s="196"/>
      <c r="O64" s="2523"/>
      <c r="P64" s="2523"/>
      <c r="R64" s="3039"/>
      <c r="S64" s="196"/>
      <c r="T64" s="3020"/>
      <c r="U64" s="2523"/>
      <c r="W64" s="196"/>
      <c r="X64" s="3020"/>
    </row>
    <row r="65" spans="3:24" ht="12">
      <c r="J65" s="3027" t="s">
        <v>1617</v>
      </c>
      <c r="M65" s="2935"/>
      <c r="R65" s="2935"/>
      <c r="T65" s="1397"/>
      <c r="X65" s="1397"/>
    </row>
    <row r="66" spans="3:24">
      <c r="J66" s="1396" t="s">
        <v>2217</v>
      </c>
      <c r="K66" s="1641">
        <f t="shared" ref="K66:K70" si="66">C22</f>
      </c>
      <c r="L66" s="2523"/>
      <c r="M66" s="2957">
        <f>D22</f>
      </c>
      <c r="N66" s="1641">
        <f>K66-M66</f>
      </c>
      <c r="O66" s="2523">
        <f>K66/M66-1</f>
      </c>
      <c r="P66" s="2523"/>
      <c r="R66" s="2940">
        <v>40446.628618260045</v>
      </c>
      <c r="S66" s="1641">
        <f>K66-R66</f>
      </c>
      <c r="T66" s="3020">
        <f>K66/R66-1</f>
      </c>
      <c r="U66" s="2523"/>
      <c r="W66" s="1641">
        <f t="shared" ref="W66:W71" si="67">K66-R66</f>
      </c>
      <c r="X66" s="3020">
        <f t="shared" ref="X66:X71" si="68">M66/R66-1</f>
      </c>
    </row>
    <row r="67" spans="3:24">
      <c r="D67" s="3391">
        <f>D26/G26-1</f>
      </c>
      <c r="J67" s="1396" t="s">
        <v>2218</v>
      </c>
      <c r="K67" s="1641">
        <f t="shared" si="66"/>
      </c>
      <c r="L67" s="2523"/>
      <c r="M67" s="2957">
        <f>D23</f>
      </c>
      <c r="N67" s="1641">
        <f t="shared" ref="N67:N70" si="69">K67-M67</f>
      </c>
      <c r="O67" s="2523">
        <f t="shared" ref="O67:O70" si="70">K67/M67-1</f>
      </c>
      <c r="P67" s="2523"/>
      <c r="R67" s="2940">
        <v>7059.5401089518109</v>
      </c>
      <c r="S67" s="1641">
        <f t="shared" ref="S67:S71" si="71">K67-R67</f>
      </c>
      <c r="T67" s="3020">
        <f t="shared" ref="T67:T71" si="72">K67/R67-1</f>
      </c>
      <c r="U67" s="2523"/>
      <c r="W67" s="1641">
        <f t="shared" si="67"/>
      </c>
      <c r="X67" s="3020">
        <f t="shared" si="68"/>
      </c>
    </row>
    <row r="68" spans="3:24">
      <c r="J68" s="1396" t="s">
        <v>2219</v>
      </c>
      <c r="K68" s="1641">
        <f t="shared" si="66"/>
      </c>
      <c r="L68" s="2523"/>
      <c r="M68" s="2957">
        <f>D24</f>
      </c>
      <c r="N68" s="1641">
        <f t="shared" si="69"/>
      </c>
      <c r="O68" s="2523">
        <f t="shared" si="70"/>
      </c>
      <c r="P68" s="2523"/>
      <c r="R68" s="2940">
        <v>7476.0061887238217</v>
      </c>
      <c r="S68" s="1641">
        <f t="shared" si="71"/>
      </c>
      <c r="T68" s="3020">
        <f t="shared" si="72"/>
      </c>
      <c r="U68" s="2523"/>
      <c r="W68" s="1641">
        <f t="shared" si="67"/>
      </c>
      <c r="X68" s="3020">
        <f t="shared" si="68"/>
      </c>
    </row>
    <row r="69" spans="3:24">
      <c r="J69" s="3028" t="s">
        <v>2220</v>
      </c>
      <c r="K69" s="1641">
        <f t="shared" si="66"/>
      </c>
      <c r="L69" s="2523"/>
      <c r="M69" s="2957">
        <f>D25</f>
      </c>
      <c r="N69" s="1641">
        <f t="shared" si="69"/>
      </c>
      <c r="O69" s="2523">
        <f t="shared" si="70"/>
      </c>
      <c r="P69" s="2523"/>
      <c r="R69" s="2940">
        <v>7781.4739165526225</v>
      </c>
      <c r="S69" s="1641">
        <f t="shared" si="71"/>
      </c>
      <c r="T69" s="3020">
        <f t="shared" si="72"/>
      </c>
      <c r="U69" s="2523"/>
      <c r="W69" s="1641">
        <f t="shared" si="67"/>
      </c>
      <c r="X69" s="3020">
        <f t="shared" si="68"/>
      </c>
    </row>
    <row r="70" spans="3:24">
      <c r="J70" s="2532" t="s">
        <v>2221</v>
      </c>
      <c r="K70" s="2505">
        <f t="shared" si="66"/>
      </c>
      <c r="L70" s="2525"/>
      <c r="M70" s="2941">
        <f>D26</f>
      </c>
      <c r="N70" s="2505">
        <f t="shared" si="69"/>
      </c>
      <c r="O70" s="2525">
        <f t="shared" si="70"/>
      </c>
      <c r="P70" s="2525"/>
      <c r="Q70" s="2502"/>
      <c r="R70" s="2941">
        <v>62763.648832488303</v>
      </c>
      <c r="S70" s="2505">
        <f t="shared" si="71"/>
      </c>
      <c r="T70" s="3021">
        <f t="shared" si="72"/>
      </c>
      <c r="U70" s="2523"/>
      <c r="W70" s="2505">
        <f t="shared" si="67"/>
      </c>
      <c r="X70" s="3021">
        <f t="shared" si="68"/>
      </c>
    </row>
    <row r="71" spans="3:24">
      <c r="J71" s="1396" t="s">
        <v>2222</v>
      </c>
      <c r="K71" s="2504">
        <f>C61</f>
      </c>
      <c r="L71" s="2523"/>
      <c r="M71" s="2940">
        <f>D61</f>
      </c>
      <c r="N71" s="2517"/>
      <c r="O71" s="2523"/>
      <c r="P71" s="2523"/>
      <c r="R71" s="2940">
        <v>3364.3064138671457</v>
      </c>
      <c r="S71" s="2504">
        <f t="shared" si="71"/>
      </c>
      <c r="T71" s="3020">
        <f t="shared" si="72"/>
      </c>
      <c r="U71" s="2523"/>
      <c r="W71" s="2504">
        <f t="shared" si="67"/>
      </c>
      <c r="X71" s="3020">
        <f t="shared" si="68"/>
      </c>
    </row>
    <row r="72" spans="3:24">
      <c r="E72" s="3107"/>
      <c r="J72" s="1396"/>
      <c r="L72" s="2523"/>
      <c r="M72" s="2935"/>
      <c r="O72" s="2523"/>
      <c r="P72" s="2523"/>
      <c r="R72" s="2935"/>
      <c r="T72" s="3020"/>
      <c r="U72" s="2523"/>
      <c r="X72" s="3020"/>
    </row>
    <row r="73" spans="3:24" ht="12">
      <c r="D73" s="3107"/>
      <c r="J73" s="3025" t="s">
        <v>2208</v>
      </c>
      <c r="L73" s="2523"/>
      <c r="M73" s="2935"/>
      <c r="O73" s="2523"/>
      <c r="P73" s="2523"/>
      <c r="R73" s="2935"/>
      <c r="T73" s="3020"/>
      <c r="U73" s="2523"/>
      <c r="X73" s="3020"/>
    </row>
    <row r="74" spans="3:24">
      <c r="C74" s="3106"/>
      <c r="J74" s="1396" t="s">
        <v>2207</v>
      </c>
      <c r="K74" s="2517">
        <f t="shared" ref="K74:K77" si="73">C50</f>
      </c>
      <c r="L74" s="2523"/>
      <c r="M74" s="2942">
        <f>D50</f>
      </c>
      <c r="N74" s="2517">
        <f t="shared" ref="N74:N83" si="74">K74-M74</f>
      </c>
      <c r="O74" s="2523">
        <f t="shared" ref="O74:O83" si="75">K74/M74-1</f>
      </c>
      <c r="P74" s="2523"/>
      <c r="R74" s="2942">
        <v>45.656433196623773</v>
      </c>
      <c r="S74" s="2517">
        <f t="shared" ref="S74:S77" si="76">K74-R74</f>
      </c>
      <c r="T74" s="3020">
        <f t="shared" ref="T74:T77" si="77">K74/R74-1</f>
      </c>
      <c r="U74" s="2523"/>
      <c r="W74" s="2517">
        <f>K74-R74</f>
      </c>
      <c r="X74" s="3020">
        <f>M74/R74-1</f>
      </c>
    </row>
    <row r="75" spans="3:24">
      <c r="J75" s="1396" t="s">
        <v>2209</v>
      </c>
      <c r="K75" s="2517">
        <f t="shared" si="73"/>
      </c>
      <c r="L75" s="2523"/>
      <c r="M75" s="2942">
        <f>D51</f>
      </c>
      <c r="N75" s="2517">
        <f t="shared" si="74"/>
      </c>
      <c r="O75" s="2523">
        <f t="shared" si="75"/>
      </c>
      <c r="P75" s="2523"/>
      <c r="R75" s="2942">
        <v>13.143230605197671</v>
      </c>
      <c r="S75" s="2517">
        <f t="shared" si="76"/>
      </c>
      <c r="T75" s="3020">
        <f t="shared" si="77"/>
      </c>
      <c r="U75" s="2523"/>
      <c r="W75" s="2517">
        <f>K75-R75</f>
      </c>
      <c r="X75" s="3020">
        <f>M75/R75-1</f>
      </c>
    </row>
    <row r="76" spans="3:24">
      <c r="J76" s="1396" t="s">
        <v>2210</v>
      </c>
      <c r="K76" s="2517">
        <f t="shared" si="73"/>
      </c>
      <c r="L76" s="2523"/>
      <c r="M76" s="2942">
        <f>D52</f>
      </c>
      <c r="N76" s="2517">
        <f t="shared" si="74"/>
      </c>
      <c r="O76" s="2523">
        <f t="shared" si="75"/>
      </c>
      <c r="P76" s="2523"/>
      <c r="R76" s="2942">
        <v>5.7377460790918979</v>
      </c>
      <c r="S76" s="2517">
        <f t="shared" si="76"/>
      </c>
      <c r="T76" s="3020">
        <f t="shared" si="77"/>
      </c>
      <c r="U76" s="2523"/>
      <c r="W76" s="2517">
        <f>K76-R76</f>
      </c>
      <c r="X76" s="3020">
        <f>M76/R76-1</f>
      </c>
    </row>
    <row r="77" spans="3:24">
      <c r="J77" s="3028" t="s">
        <v>2212</v>
      </c>
      <c r="K77" s="2517">
        <f t="shared" si="73"/>
      </c>
      <c r="L77" s="2523"/>
      <c r="M77" s="2942">
        <f>D53</f>
      </c>
      <c r="N77" s="2517">
        <f t="shared" si="74"/>
      </c>
      <c r="O77" s="2523">
        <f t="shared" si="75"/>
      </c>
      <c r="P77" s="2523"/>
      <c r="R77" s="2942">
        <v>7.4585579126223296</v>
      </c>
      <c r="S77" s="2517">
        <f t="shared" si="76"/>
      </c>
      <c r="T77" s="3020">
        <f t="shared" si="77"/>
      </c>
      <c r="U77" s="2523"/>
      <c r="W77" s="2517">
        <f>K77-R77</f>
      </c>
      <c r="X77" s="3020">
        <f>M77/R77-1</f>
      </c>
    </row>
    <row r="78" spans="3:24">
      <c r="J78" s="1396"/>
      <c r="L78" s="2523"/>
      <c r="M78" s="2935"/>
      <c r="O78" s="2523"/>
      <c r="P78" s="2523"/>
      <c r="R78" s="2935"/>
      <c r="T78" s="3020"/>
      <c r="U78" s="2523"/>
      <c r="X78" s="3020"/>
    </row>
    <row r="79" spans="3:24" ht="12">
      <c r="J79" s="3025" t="s">
        <v>2216</v>
      </c>
      <c r="L79" s="2523"/>
      <c r="M79" s="2935"/>
      <c r="O79" s="2523"/>
      <c r="P79" s="2523"/>
      <c r="R79" s="2935"/>
      <c r="T79" s="3020"/>
      <c r="U79" s="2523"/>
      <c r="X79" s="3020"/>
    </row>
    <row r="80" spans="3:24">
      <c r="J80" s="1396" t="str">
        <f t="shared" ref="J80:K83" si="78">B56</f>
      </c>
      <c r="K80" s="2504">
        <f t="shared" si="78"/>
      </c>
      <c r="L80" s="2523"/>
      <c r="M80" s="2940">
        <f>D56</f>
      </c>
      <c r="N80" s="2504">
        <f t="shared" si="74"/>
      </c>
      <c r="O80" s="2523">
        <f t="shared" si="75"/>
      </c>
      <c r="P80" s="2523"/>
      <c r="R80" s="2940">
        <f>R66/R74</f>
      </c>
      <c r="S80" s="2504">
        <f t="shared" ref="S80:S83" si="79">K80-R80</f>
      </c>
      <c r="T80" s="3020">
        <f t="shared" ref="T80:T83" si="80">K80/R80-1</f>
      </c>
      <c r="U80" s="2523"/>
      <c r="W80" s="2504">
        <f>K80-R80</f>
      </c>
      <c r="X80" s="3020">
        <f>M80/R80-1</f>
      </c>
    </row>
    <row r="81" spans="6:26">
      <c r="J81" s="1396" t="str">
        <f t="shared" si="78"/>
      </c>
      <c r="K81" s="2504">
        <f t="shared" si="78"/>
      </c>
      <c r="L81" s="2523"/>
      <c r="M81" s="2940">
        <f>D57</f>
      </c>
      <c r="N81" s="2504">
        <f t="shared" si="74"/>
      </c>
      <c r="O81" s="2523">
        <f t="shared" si="75"/>
      </c>
      <c r="P81" s="2523"/>
      <c r="R81" s="2940">
        <f>R67/R75</f>
      </c>
      <c r="S81" s="2504">
        <f t="shared" si="79"/>
      </c>
      <c r="T81" s="3020">
        <f t="shared" si="80"/>
      </c>
      <c r="U81" s="2523"/>
      <c r="W81" s="2504">
        <f>K81-R81</f>
      </c>
      <c r="X81" s="3020">
        <f>M81/R81-1</f>
      </c>
    </row>
    <row r="82" spans="6:26">
      <c r="J82" s="1396" t="str">
        <f t="shared" si="78"/>
      </c>
      <c r="K82" s="2504">
        <f t="shared" si="78"/>
      </c>
      <c r="L82" s="2523"/>
      <c r="M82" s="2940">
        <f>D58</f>
      </c>
      <c r="N82" s="2504">
        <f t="shared" si="74"/>
      </c>
      <c r="O82" s="2523">
        <f t="shared" si="75"/>
      </c>
      <c r="P82" s="2523"/>
      <c r="R82" s="2940">
        <f>R68/R76</f>
      </c>
      <c r="S82" s="2504">
        <f t="shared" si="79"/>
      </c>
      <c r="T82" s="3020">
        <f t="shared" si="80"/>
      </c>
      <c r="U82" s="2523"/>
      <c r="W82" s="2504">
        <f>K82-R82</f>
      </c>
      <c r="X82" s="3020">
        <f>M82/R82-1</f>
      </c>
    </row>
    <row r="83" spans="6:26">
      <c r="J83" s="2614" t="str">
        <f t="shared" si="78"/>
      </c>
      <c r="K83" s="1899">
        <f t="shared" si="78"/>
      </c>
      <c r="L83" s="2615"/>
      <c r="M83" s="3037">
        <f>D59</f>
      </c>
      <c r="N83" s="1899">
        <f t="shared" si="74"/>
      </c>
      <c r="O83" s="2615">
        <f t="shared" si="75"/>
      </c>
      <c r="P83" s="2615"/>
      <c r="Q83" s="195"/>
      <c r="R83" s="3037">
        <f>R71/R77</f>
      </c>
      <c r="S83" s="1899">
        <f t="shared" si="79"/>
      </c>
      <c r="T83" s="2616">
        <f t="shared" si="80"/>
      </c>
      <c r="U83" s="2615"/>
      <c r="V83" s="195"/>
      <c r="W83" s="1899">
        <f>K83-R83</f>
      </c>
      <c r="X83" s="2616">
        <f>M83/R83-1</f>
      </c>
    </row>
    <row r="85" spans="6:26" ht="12">
      <c r="N85" s="2520"/>
      <c r="R85" s="2790" t="s">
        <v>544</v>
      </c>
      <c r="S85" s="2788" t="s">
        <v>545</v>
      </c>
    </row>
    <row r="86" spans="6:26" ht="12">
      <c r="R86" s="2790" t="s">
        <v>2204</v>
      </c>
      <c r="S86" s="2788" t="s">
        <v>668</v>
      </c>
      <c r="V86" s="2520">
        <f>R93/'Segment - Services'!DF21-1</f>
      </c>
    </row>
    <row r="87" spans="6:26" ht="12">
      <c r="R87" s="2790" t="s">
        <v>2205</v>
      </c>
      <c r="S87" s="2789">
        <f ca="1">TODAY()</f>
      </c>
      <c r="V87" s="3285">
        <f>R94/'Income Statement'!DJ9-1</f>
      </c>
    </row>
    <row r="88" spans="6:26" ht="12">
      <c r="N88" s="2921" t="s">
        <v>1162</v>
      </c>
      <c r="O88" s="2921" t="s">
        <v>2377</v>
      </c>
      <c r="R88" s="2790" t="s">
        <v>2206</v>
      </c>
      <c r="S88" s="2791" t="s">
        <v>2397</v>
      </c>
    </row>
    <row r="89" spans="6:26">
      <c r="J89" s="2745" t="s">
        <v>2237</v>
      </c>
      <c r="K89" s="2746"/>
      <c r="L89" s="2746"/>
      <c r="M89" s="3400" t="s">
        <v>720</v>
      </c>
      <c r="N89" s="3400"/>
      <c r="O89" s="3400"/>
      <c r="P89" s="2746"/>
      <c r="Q89" s="2746"/>
      <c r="R89" s="3400" t="s">
        <v>668</v>
      </c>
      <c r="S89" s="3400"/>
      <c r="T89" s="3401"/>
      <c r="U89" s="2750"/>
      <c r="V89" s="2960" t="s">
        <v>2258</v>
      </c>
      <c r="W89" s="3400" t="str">
        <f>W46</f>
      </c>
      <c r="X89" s="3401"/>
    </row>
    <row r="90" spans="6:26">
      <c r="J90" s="3026" t="s">
        <v>1431</v>
      </c>
      <c r="K90" s="2751"/>
      <c r="L90" s="2751"/>
      <c r="M90" s="2751" t="s">
        <v>720</v>
      </c>
      <c r="N90" s="2751" t="s">
        <v>1426</v>
      </c>
      <c r="O90" s="2749" t="s">
        <v>1427</v>
      </c>
      <c r="P90" s="2751"/>
      <c r="Q90" s="2751"/>
      <c r="R90" s="2751" t="s">
        <v>1432</v>
      </c>
      <c r="S90" s="2751" t="s">
        <v>1426</v>
      </c>
      <c r="T90" s="2750" t="s">
        <v>1427</v>
      </c>
      <c r="U90" s="3120"/>
      <c r="V90" s="2961"/>
      <c r="W90" s="2751" t="s">
        <v>2337</v>
      </c>
      <c r="X90" s="2750" t="s">
        <v>1427</v>
      </c>
    </row>
    <row r="91" spans="6:26" ht="12">
      <c r="F91" s="2520"/>
      <c r="J91" s="3027" t="s">
        <v>2236</v>
      </c>
      <c r="L91" s="2523"/>
      <c r="O91" s="2523"/>
      <c r="P91" s="2523"/>
      <c r="T91" s="3020"/>
      <c r="U91" s="2523"/>
      <c r="X91" s="3020"/>
    </row>
    <row r="92" spans="6:26">
      <c r="I92" s="1546" t="s">
        <v>667</v>
      </c>
      <c r="J92" s="1396" t="s">
        <v>2221</v>
      </c>
      <c r="K92" s="1641"/>
      <c r="L92" s="2523"/>
      <c r="M92" s="1641">
        <f>VLOOKUP($I92,'Revenue summary'!$A$11:$DQ$17,MATCH(AvE!N$88,'Revenue summary'!$A$8:$DQ$8,0),0)</f>
      </c>
      <c r="N92" s="1641">
        <f>VLOOKUP($I92,'Revenue summary'!$A$11:$DQ$17,MATCH(AvE!O$88,'Revenue summary'!$A$8:$DQ$8,0),0)</f>
      </c>
      <c r="O92" s="2523">
        <f>M92/N92-1</f>
      </c>
      <c r="P92" s="2523"/>
      <c r="R92" s="2504">
        <v>70190.008422769242</v>
      </c>
      <c r="S92" s="2520">
        <f>R92/N92-1</f>
      </c>
      <c r="T92" s="3020"/>
      <c r="U92" s="2523"/>
      <c r="V92" s="1641"/>
      <c r="W92" s="1641">
        <f t="shared" ref="W92:W97" si="81">K92-R92</f>
      </c>
      <c r="X92" s="3020">
        <f t="shared" ref="X92:X97" si="82">M92/R92-1</f>
      </c>
    </row>
    <row r="93" spans="6:26">
      <c r="I93" s="1546" t="s">
        <v>81</v>
      </c>
      <c r="J93" s="2614" t="s">
        <v>2223</v>
      </c>
      <c r="K93" s="1641"/>
      <c r="L93" s="2523"/>
      <c r="M93" s="1641">
        <f>VLOOKUP($I93,'Revenue summary'!$A$11:$DQ$17,MATCH(AvE!N$88,'Revenue summary'!$A$8:$DQ$8,0),0)</f>
      </c>
      <c r="N93" s="1641">
        <f>VLOOKUP($I93,'Revenue summary'!$A$11:$DQ$17,MATCH(AvE!O$88,'Revenue summary'!$A$8:$DQ$8,0),0)</f>
      </c>
      <c r="O93" s="2523">
        <f t="shared" ref="O93:O122" si="83">M93/N93-1</f>
      </c>
      <c r="P93" s="2523"/>
      <c r="R93" s="2504">
        <v>27718.362266231965</v>
      </c>
      <c r="S93" s="2520">
        <f t="shared" ref="S93:S94" si="84">R93/N93-1</f>
      </c>
      <c r="T93" s="3020"/>
      <c r="U93" s="2523"/>
      <c r="V93" s="1641"/>
      <c r="W93" s="1641">
        <f t="shared" si="81"/>
      </c>
      <c r="X93" s="3020">
        <f t="shared" si="82"/>
      </c>
    </row>
    <row r="94" spans="6:26" s="163" customFormat="1" ht="12">
      <c r="F94" s="3218"/>
      <c r="G94" s="3144"/>
      <c r="I94" s="163" t="s">
        <v>63</v>
      </c>
      <c r="J94" s="1588" t="s">
        <v>1246</v>
      </c>
      <c r="K94" s="3145"/>
      <c r="L94" s="2543"/>
      <c r="M94" s="3145">
        <f>VLOOKUP($I94,'Income Statement'!$A$9:$DQ$35,MATCH(AvE!N$88,'Income Statement'!$A$7:$DQ$7,0),0)</f>
      </c>
      <c r="N94" s="3145">
        <f>VLOOKUP($I94,'Income Statement'!$A$9:$DQ$35,MATCH(AvE!O$88,'Income Statement'!$A$7:$DQ$7,0),0)</f>
      </c>
      <c r="O94" s="2543">
        <f t="shared" si="83"/>
      </c>
      <c r="P94" s="2543"/>
      <c r="Q94" s="1545"/>
      <c r="R94" s="1544">
        <v>97906.343610578071</v>
      </c>
      <c r="S94" s="2537">
        <f t="shared" si="84"/>
      </c>
      <c r="T94" s="3029"/>
      <c r="U94" s="2543"/>
      <c r="V94" s="3145" t="s">
        <v>2267</v>
      </c>
      <c r="W94" s="3145">
        <f t="shared" si="81"/>
      </c>
      <c r="X94" s="3029">
        <f t="shared" si="82"/>
      </c>
      <c r="Y94" s="3218">
        <f>R94/'Income Statement'!DJ9-1</f>
      </c>
      <c r="Z94" s="3218">
        <f>R94/'Revenue summary'!DI17-1</f>
      </c>
    </row>
    <row r="95" spans="6:26">
      <c r="I95" s="160" t="s">
        <v>1105</v>
      </c>
      <c r="J95" s="1396" t="s">
        <v>2224</v>
      </c>
      <c r="K95" s="2504"/>
      <c r="L95" s="2523"/>
      <c r="M95" s="2504">
        <f>VLOOKUP($I95,'Revenue summary'!$A$52:$DQ$54,MATCH(AvE!N$88,'Revenue summary'!$A$8:$DQ$8,0),0)</f>
      </c>
      <c r="N95" s="2504">
        <f>VLOOKUP($I95,'Revenue summary'!$A$52:$DQ$54,MATCH(AvE!O$88,'Revenue summary'!$A$8:$DQ$8,0),0)</f>
      </c>
      <c r="O95" s="2523">
        <f t="shared" si="83"/>
      </c>
      <c r="P95" s="2523"/>
      <c r="R95" s="2504">
        <v>24406.967970899623</v>
      </c>
      <c r="S95" s="2504"/>
      <c r="T95" s="3020"/>
      <c r="U95" s="2523"/>
      <c r="V95" s="2504"/>
      <c r="W95" s="2504">
        <f t="shared" si="81"/>
      </c>
      <c r="X95" s="3020">
        <f t="shared" si="82"/>
      </c>
    </row>
    <row r="96" spans="6:26">
      <c r="I96" s="160" t="s">
        <v>995</v>
      </c>
      <c r="J96" s="1396" t="s">
        <v>2225</v>
      </c>
      <c r="K96" s="2504"/>
      <c r="L96" s="2523"/>
      <c r="M96" s="2504">
        <f>VLOOKUP($I96,'Revenue summary'!$A$52:$DQ$54,MATCH(AvE!N$88,'Revenue summary'!$A$8:$DQ$8,0),0)</f>
      </c>
      <c r="N96" s="2504">
        <f>VLOOKUP($I96,'Revenue summary'!$A$52:$DQ$54,MATCH(AvE!O$88,'Revenue summary'!$A$8:$DQ$8,0),0)</f>
      </c>
      <c r="O96" s="2523">
        <f t="shared" si="83"/>
      </c>
      <c r="P96" s="2523"/>
      <c r="R96" s="2504">
        <v>20593.140850731164</v>
      </c>
      <c r="S96" s="2504"/>
      <c r="T96" s="3020"/>
      <c r="U96" s="2523"/>
      <c r="V96" s="2504"/>
      <c r="W96" s="2504">
        <f t="shared" si="81"/>
      </c>
      <c r="X96" s="3020">
        <f t="shared" si="82"/>
      </c>
    </row>
    <row r="97" spans="6:26" s="163" customFormat="1" ht="12">
      <c r="I97" s="163" t="s">
        <v>67</v>
      </c>
      <c r="J97" s="1588" t="s">
        <v>2226</v>
      </c>
      <c r="K97" s="1544"/>
      <c r="L97" s="2543"/>
      <c r="M97" s="1544">
        <f>VLOOKUP($I97,'Revenue summary'!$A$52:$DQ$54,MATCH(AvE!N$88,'Revenue summary'!$A$8:$DQ$8,0),0)</f>
      </c>
      <c r="N97" s="1544">
        <f>VLOOKUP($I97,'Revenue summary'!$A$52:$DQ$54,MATCH(AvE!O$88,'Revenue summary'!$A$8:$DQ$8,0),0)</f>
      </c>
      <c r="O97" s="2543">
        <f t="shared" si="83"/>
      </c>
      <c r="P97" s="2543"/>
      <c r="Q97" s="1545"/>
      <c r="R97" s="1544">
        <v>44992.278686961239</v>
      </c>
      <c r="S97" s="1544"/>
      <c r="T97" s="3029"/>
      <c r="U97" s="2543"/>
      <c r="V97" s="1544"/>
      <c r="W97" s="1544">
        <f t="shared" si="81"/>
      </c>
      <c r="X97" s="3029">
        <f t="shared" si="82"/>
      </c>
    </row>
    <row r="98" spans="6:26" s="163" customFormat="1" ht="12">
      <c r="J98" s="1934" t="s">
        <v>2266</v>
      </c>
      <c r="K98" s="3146"/>
      <c r="L98" s="3148"/>
      <c r="M98" s="3147">
        <f>M97/M94</f>
      </c>
      <c r="N98" s="3147">
        <f>N97/N94</f>
      </c>
      <c r="O98" s="3148">
        <f t="shared" si="83"/>
      </c>
      <c r="P98" s="3148"/>
      <c r="Q98" s="2589"/>
      <c r="R98" s="3147">
        <f>R97/R94</f>
      </c>
      <c r="S98" s="3146"/>
      <c r="T98" s="3149"/>
      <c r="U98" s="3148"/>
      <c r="V98" s="3146" t="s">
        <v>2267</v>
      </c>
      <c r="W98" s="3146"/>
      <c r="X98" s="3149"/>
    </row>
    <row r="99" spans="6:26">
      <c r="I99" s="160" t="s">
        <v>68</v>
      </c>
      <c r="J99" s="1396" t="s">
        <v>2229</v>
      </c>
      <c r="K99" s="2504"/>
      <c r="L99" s="2523"/>
      <c r="M99" s="2504">
        <f>VLOOKUP($I99,'Income Statement'!$A$9:$DQ$35,MATCH(AvE!N$88,'Income Statement'!$A$7:$DQ$7,0),0)</f>
      </c>
      <c r="N99" s="2504">
        <f>VLOOKUP($I99,'Income Statement'!$A$9:$DQ$35,MATCH(AvE!O$88,'Income Statement'!$A$7:$DQ$7,0),0)</f>
      </c>
      <c r="O99" s="2523">
        <f t="shared" si="83"/>
      </c>
      <c r="P99" s="2523"/>
      <c r="R99" s="2504">
        <v>8383.6798190682075</v>
      </c>
      <c r="S99" s="2504"/>
      <c r="T99" s="3020"/>
      <c r="U99" s="2523"/>
      <c r="V99" s="2504"/>
      <c r="W99" s="2504">
        <f t="shared" ref="W99:W108" si="85">K99-R99</f>
      </c>
      <c r="X99" s="3020">
        <f t="shared" ref="X99:X108" si="86">M99/R99-1</f>
      </c>
    </row>
    <row r="100" spans="6:26">
      <c r="I100" s="160" t="s">
        <v>76</v>
      </c>
      <c r="J100" s="1396" t="s">
        <v>2230</v>
      </c>
      <c r="K100" s="2504"/>
      <c r="L100" s="2523"/>
      <c r="M100" s="2504">
        <f>VLOOKUP($I100,'Income Statement'!$A$9:$DQ$35,MATCH(AvE!N$88,'Income Statement'!$A$7:$DQ$7,0),0)</f>
      </c>
      <c r="N100" s="2504">
        <f>VLOOKUP($I100,'Income Statement'!$A$9:$DQ$35,MATCH(AvE!O$88,'Income Statement'!$A$7:$DQ$7,0),0)</f>
      </c>
      <c r="O100" s="2523">
        <f t="shared" si="83"/>
      </c>
      <c r="P100" s="2523"/>
      <c r="R100" s="2504">
        <v>6917.762867855341</v>
      </c>
      <c r="S100" s="2504"/>
      <c r="T100" s="3020"/>
      <c r="U100" s="2523"/>
      <c r="V100" s="2504"/>
      <c r="W100" s="2504">
        <f t="shared" si="85"/>
      </c>
      <c r="X100" s="3020">
        <f t="shared" si="86"/>
      </c>
    </row>
    <row r="101" spans="6:26" ht="12">
      <c r="J101" s="1588" t="s">
        <v>1600</v>
      </c>
      <c r="K101" s="1544"/>
      <c r="L101" s="2543"/>
      <c r="M101" s="1544">
        <f>SUM(M99:M100)</f>
      </c>
      <c r="N101" s="1544">
        <f>SUM(N99:N100)</f>
      </c>
      <c r="O101" s="2543">
        <f t="shared" si="83"/>
      </c>
      <c r="P101" s="2543"/>
      <c r="Q101" s="1545"/>
      <c r="R101" s="1544">
        <f>SUM(R99:R100)</f>
      </c>
      <c r="S101" s="1544"/>
      <c r="T101" s="3029"/>
      <c r="U101" s="2543"/>
      <c r="V101" s="1544" t="s">
        <v>2267</v>
      </c>
      <c r="W101" s="1544">
        <f t="shared" si="85"/>
      </c>
      <c r="X101" s="3029">
        <f t="shared" si="86"/>
      </c>
    </row>
    <row r="102" spans="6:26" ht="12">
      <c r="I102" s="160" t="s">
        <v>70</v>
      </c>
      <c r="J102" s="1588" t="s">
        <v>2231</v>
      </c>
      <c r="K102" s="1544"/>
      <c r="L102" s="2543"/>
      <c r="M102" s="1544">
        <f>VLOOKUP($I102,'Income Statement'!$A$9:$DQ$35,MATCH(AvE!N$88,'Income Statement'!$A$7:$DQ$7,0),0)</f>
      </c>
      <c r="N102" s="1544">
        <f>VLOOKUP($I102,'Income Statement'!$A$9:$DQ$35,MATCH(AvE!O$88,'Income Statement'!$A$7:$DQ$7,0),0)</f>
      </c>
      <c r="O102" s="2543">
        <f t="shared" si="83"/>
      </c>
      <c r="P102" s="2543"/>
      <c r="Q102" s="1545"/>
      <c r="R102" s="1544">
        <v>29684.609241109047</v>
      </c>
      <c r="S102" s="1544"/>
      <c r="T102" s="3029"/>
      <c r="U102" s="2543"/>
      <c r="V102" s="1544"/>
      <c r="W102" s="2505">
        <f t="shared" si="85"/>
      </c>
      <c r="X102" s="3021">
        <f t="shared" si="86"/>
      </c>
    </row>
    <row r="103" spans="6:26">
      <c r="I103" s="160" t="s">
        <v>689</v>
      </c>
      <c r="J103" s="1396" t="s">
        <v>2227</v>
      </c>
      <c r="K103" s="2504"/>
      <c r="L103" s="2523"/>
      <c r="M103" s="2504">
        <f>VLOOKUP($I103,'Income Statement'!$A$9:$DQ$35,MATCH(AvE!N$88,'Income Statement'!$A$7:$DQ$7,0),0)</f>
      </c>
      <c r="N103" s="2504">
        <f>VLOOKUP($I103,'Income Statement'!$A$9:$DQ$35,MATCH(AvE!O$88,'Income Statement'!$A$7:$DQ$7,0),0)</f>
      </c>
      <c r="O103" s="2523">
        <f t="shared" si="83"/>
      </c>
      <c r="P103" s="2523"/>
      <c r="R103" s="2504">
        <v>-125.20251761624991</v>
      </c>
      <c r="S103" s="2504"/>
      <c r="T103" s="3020"/>
      <c r="U103" s="2523"/>
      <c r="V103" s="2504"/>
      <c r="W103" s="2504">
        <f t="shared" si="85"/>
      </c>
      <c r="X103" s="3020">
        <f t="shared" si="86"/>
      </c>
    </row>
    <row r="104" spans="6:26">
      <c r="I104" s="160" t="s">
        <v>71</v>
      </c>
      <c r="J104" s="1818" t="s">
        <v>2232</v>
      </c>
      <c r="K104" s="1897"/>
      <c r="L104" s="2541"/>
      <c r="M104" s="1897">
        <f>VLOOKUP($I104,'Income Statement'!$A$9:$DQ$35,MATCH(AvE!N$88,'Income Statement'!$A$7:$DQ$7,0),0)</f>
      </c>
      <c r="N104" s="1897">
        <f>VLOOKUP($I104,'Income Statement'!$A$9:$DQ$35,MATCH(AvE!O$88,'Income Statement'!$A$7:$DQ$7,0),0)</f>
      </c>
      <c r="O104" s="2541">
        <f t="shared" si="83"/>
      </c>
      <c r="P104" s="2541"/>
      <c r="Q104" s="2621"/>
      <c r="R104" s="1897">
        <v>29569.035360223395</v>
      </c>
      <c r="S104" s="1897"/>
      <c r="T104" s="3022"/>
      <c r="U104" s="2541"/>
      <c r="V104" s="1897"/>
      <c r="W104" s="1897">
        <f t="shared" si="85"/>
      </c>
      <c r="X104" s="3022">
        <f t="shared" si="86"/>
      </c>
    </row>
    <row r="105" spans="6:26">
      <c r="I105" s="193" t="str">
        <f>B13</f>
      </c>
      <c r="J105" s="1396" t="s">
        <v>2233</v>
      </c>
      <c r="K105" s="2504"/>
      <c r="L105" s="2523"/>
      <c r="M105" s="2504">
        <f>VLOOKUP($I105,'Income Statement'!$A$9:$DQ$35,MATCH(AvE!N$88,'Income Statement'!$A$7:$DQ$7,0),0)</f>
      </c>
      <c r="N105" s="2504">
        <f>VLOOKUP($I105,'Income Statement'!$A$9:$DQ$35,MATCH(AvE!O$88,'Income Statement'!$A$7:$DQ$7,0),0)</f>
      </c>
      <c r="O105" s="2523">
        <f t="shared" si="83"/>
      </c>
      <c r="P105" s="2523"/>
      <c r="R105" s="2504">
        <v>4718.5078206712114</v>
      </c>
      <c r="S105" s="2504"/>
      <c r="T105" s="3020"/>
      <c r="U105" s="2523"/>
      <c r="V105" s="2504"/>
      <c r="W105" s="2504">
        <f t="shared" si="85"/>
      </c>
      <c r="X105" s="3020">
        <f t="shared" si="86"/>
      </c>
    </row>
    <row r="106" spans="6:26">
      <c r="J106" s="1396" t="s">
        <v>1562</v>
      </c>
      <c r="K106" s="2523"/>
      <c r="L106" s="2523"/>
      <c r="M106" s="2523">
        <f>M105/M104</f>
      </c>
      <c r="N106" s="2523">
        <f>N105/N104</f>
      </c>
      <c r="O106" s="2523">
        <f t="shared" si="83"/>
      </c>
      <c r="P106" s="2523"/>
      <c r="R106" s="2523">
        <f>R105/R104</f>
      </c>
      <c r="S106" s="2523"/>
      <c r="T106" s="3020"/>
      <c r="U106" s="2523"/>
      <c r="V106" s="3040" t="s">
        <v>2267</v>
      </c>
      <c r="W106" s="2523">
        <f t="shared" si="85"/>
      </c>
      <c r="X106" s="3020">
        <f t="shared" si="86"/>
      </c>
    </row>
    <row r="107" spans="6:26">
      <c r="I107" s="160" t="s">
        <v>80</v>
      </c>
      <c r="J107" s="2532" t="s">
        <v>2234</v>
      </c>
      <c r="K107" s="2768"/>
      <c r="L107" s="2525"/>
      <c r="M107" s="2768">
        <f>VLOOKUP($I107,'Income Statement'!$A$9:$DQ$35,MATCH(AvE!N$88,'Income Statement'!$A$7:$DQ$7,0),0)</f>
      </c>
      <c r="N107" s="2768">
        <f>VLOOKUP($I107,'Income Statement'!$A$9:$DQ$35,MATCH(AvE!O$88,'Income Statement'!$A$7:$DQ$7,0),0)</f>
      </c>
      <c r="O107" s="2525">
        <f t="shared" si="83"/>
      </c>
      <c r="P107" s="2525"/>
      <c r="Q107" s="2502"/>
      <c r="R107" s="2505">
        <v>24850.527539552189</v>
      </c>
      <c r="S107" s="2768"/>
      <c r="T107" s="3021"/>
      <c r="U107" s="2525"/>
      <c r="V107" s="2768"/>
      <c r="W107" s="2768">
        <f t="shared" si="85"/>
      </c>
      <c r="X107" s="3021">
        <f t="shared" si="86"/>
      </c>
    </row>
    <row r="108" spans="6:26" ht="12">
      <c r="F108" s="2520"/>
      <c r="I108" s="160" t="s">
        <v>1153</v>
      </c>
      <c r="J108" s="1588" t="s">
        <v>2228</v>
      </c>
      <c r="K108" s="2923"/>
      <c r="L108" s="2543"/>
      <c r="M108" s="2923">
        <f>VLOOKUP($I108,'Income Statement'!$A$9:$DQ$35,MATCH(AvE!N$88,'Income Statement'!$A$7:$DQ$7,0),0)</f>
      </c>
      <c r="N108" s="2923">
        <f>VLOOKUP($I108,'Income Statement'!$A$9:$DQ$35,MATCH(AvE!O$88,'Income Statement'!$A$7:$DQ$7,0),0)</f>
      </c>
      <c r="O108" s="2543">
        <f t="shared" si="83"/>
      </c>
      <c r="P108" s="2543"/>
      <c r="Q108" s="1545"/>
      <c r="R108" s="2924">
        <v>1.6690978036172519</v>
      </c>
      <c r="S108" s="2923"/>
      <c r="T108" s="3029"/>
      <c r="U108" s="2543"/>
      <c r="V108" s="2923"/>
      <c r="W108" s="2771">
        <f t="shared" si="85"/>
      </c>
      <c r="X108" s="3021">
        <f t="shared" si="86"/>
      </c>
    </row>
    <row r="109" spans="6:26" ht="12">
      <c r="J109" s="3027"/>
      <c r="T109" s="1397"/>
      <c r="X109" s="1397"/>
    </row>
    <row r="110" spans="6:26" ht="12">
      <c r="J110" s="3027" t="s">
        <v>1617</v>
      </c>
      <c r="T110" s="1397"/>
      <c r="X110" s="1397"/>
    </row>
    <row r="111" spans="6:26">
      <c r="I111" s="2504" t="str">
        <f>B22</f>
      </c>
      <c r="J111" s="1396" t="s">
        <v>2217</v>
      </c>
      <c r="K111" s="1641"/>
      <c r="L111" s="2523"/>
      <c r="M111" s="1641">
        <f>VLOOKUP($I111,'Revenue summary'!$A$11:$DQ$17,MATCH(AvE!N$88,'Revenue summary'!$A$8:$DQ$8,0),0)</f>
      </c>
      <c r="N111" s="1641">
        <f>VLOOKUP($I111,'Revenue summary'!$A$11:$DQ$17,MATCH(AvE!O$88,'Revenue summary'!$A$8:$DQ$8,0),0)</f>
      </c>
      <c r="O111" s="2523">
        <f t="shared" si="83"/>
      </c>
      <c r="P111" s="2523"/>
      <c r="R111" s="2504">
        <v>46254.770520694416</v>
      </c>
      <c r="S111" s="1641"/>
      <c r="T111" s="3020"/>
      <c r="U111" s="2523"/>
      <c r="V111" s="2504"/>
      <c r="W111" s="1641">
        <f t="shared" ref="W111:W116" si="87">K111-R111</f>
      </c>
      <c r="X111" s="3020">
        <f t="shared" ref="X111:X116" si="88">M111/R111-1</f>
      </c>
      <c r="Z111" s="1641">
        <f>M111-R111</f>
      </c>
    </row>
    <row r="112" spans="6:26">
      <c r="I112" s="2504" t="str">
        <f>B23</f>
      </c>
      <c r="J112" s="1396" t="s">
        <v>2218</v>
      </c>
      <c r="K112" s="1641"/>
      <c r="L112" s="2523"/>
      <c r="M112" s="1641">
        <f>VLOOKUP($I112,'Revenue summary'!$A$11:$DQ$17,MATCH(AvE!N$88,'Revenue summary'!$A$8:$DQ$8,0),0)</f>
      </c>
      <c r="N112" s="1641">
        <f>VLOOKUP($I112,'Revenue summary'!$A$11:$DQ$17,MATCH(AvE!O$88,'Revenue summary'!$A$8:$DQ$8,0),0)</f>
      </c>
      <c r="O112" s="2523">
        <f t="shared" si="83"/>
      </c>
      <c r="P112" s="2523"/>
      <c r="R112" s="2504">
        <v>6934.3895918580911</v>
      </c>
      <c r="S112" s="1641"/>
      <c r="T112" s="3020"/>
      <c r="U112" s="2523"/>
      <c r="V112" s="2504"/>
      <c r="W112" s="1641">
        <f t="shared" si="87"/>
      </c>
      <c r="X112" s="3020">
        <f t="shared" si="88"/>
      </c>
      <c r="Z112" s="1641">
        <f t="shared" ref="Z112:Z115" si="89">M112-R112</f>
      </c>
    </row>
    <row r="113" spans="9:26">
      <c r="I113" s="2504" t="str">
        <f>B24</f>
      </c>
      <c r="J113" s="1396" t="s">
        <v>2219</v>
      </c>
      <c r="K113" s="1641"/>
      <c r="L113" s="2523"/>
      <c r="M113" s="1641">
        <f>VLOOKUP($I113,'Revenue summary'!$A$11:$DQ$17,MATCH(AvE!N$88,'Revenue summary'!$A$8:$DQ$8,0),0)</f>
      </c>
      <c r="N113" s="1641">
        <f>VLOOKUP($I113,'Revenue summary'!$A$11:$DQ$17,MATCH(AvE!O$88,'Revenue summary'!$A$8:$DQ$8,0),0)</f>
      </c>
      <c r="O113" s="2523">
        <f t="shared" si="83"/>
      </c>
      <c r="P113" s="2523"/>
      <c r="R113" s="2504">
        <v>8195.1985949975169</v>
      </c>
      <c r="S113" s="1641"/>
      <c r="T113" s="3020"/>
      <c r="U113" s="2523"/>
      <c r="V113" s="2504"/>
      <c r="W113" s="1641">
        <f t="shared" si="87"/>
      </c>
      <c r="X113" s="3020">
        <f t="shared" si="88"/>
      </c>
      <c r="Z113" s="1641">
        <f t="shared" si="89"/>
      </c>
    </row>
    <row r="114" spans="9:26">
      <c r="I114" s="2504" t="str">
        <f>B25</f>
      </c>
      <c r="J114" s="3028" t="s">
        <v>2220</v>
      </c>
      <c r="K114" s="1641"/>
      <c r="L114" s="2523"/>
      <c r="M114" s="1641">
        <f>VLOOKUP($I114,'Revenue summary'!$A$11:$DQ$17,MATCH(AvE!N$88,'Revenue summary'!$A$8:$DQ$8,0),0)</f>
      </c>
      <c r="N114" s="1641">
        <f>VLOOKUP($I114,'Revenue summary'!$A$11:$DQ$17,MATCH(AvE!O$88,'Revenue summary'!$A$8:$DQ$8,0),0)</f>
      </c>
      <c r="O114" s="2523">
        <f t="shared" si="83"/>
      </c>
      <c r="P114" s="2523"/>
      <c r="R114" s="2504">
        <v>8805.649715219206</v>
      </c>
      <c r="S114" s="1641"/>
      <c r="T114" s="3020"/>
      <c r="U114" s="2523"/>
      <c r="V114" s="2504"/>
      <c r="W114" s="1641">
        <f t="shared" si="87"/>
      </c>
      <c r="X114" s="3020">
        <f t="shared" si="88"/>
      </c>
      <c r="Z114" s="1641">
        <f t="shared" si="89"/>
      </c>
    </row>
    <row r="115" spans="9:26">
      <c r="I115" s="2504" t="str">
        <f>B26</f>
      </c>
      <c r="J115" s="2532" t="s">
        <v>2221</v>
      </c>
      <c r="K115" s="2505"/>
      <c r="L115" s="2525"/>
      <c r="M115" s="2505">
        <f>VLOOKUP($I115,'Revenue summary'!$A$11:$DQ$17,MATCH(AvE!N$88,'Revenue summary'!$A$8:$DQ$8,0),0)</f>
      </c>
      <c r="N115" s="2505">
        <f>VLOOKUP($I115,'Revenue summary'!$A$11:$DQ$17,MATCH(AvE!O$88,'Revenue summary'!$A$8:$DQ$8,0),0)</f>
      </c>
      <c r="O115" s="2525">
        <f t="shared" si="83"/>
      </c>
      <c r="P115" s="2525"/>
      <c r="Q115" s="2502"/>
      <c r="R115" s="2505">
        <v>70190.008422769242</v>
      </c>
      <c r="S115" s="2505"/>
      <c r="T115" s="3021"/>
      <c r="U115" s="2525"/>
      <c r="V115" s="2505"/>
      <c r="W115" s="2505">
        <f t="shared" si="87"/>
      </c>
      <c r="X115" s="3021">
        <f t="shared" si="88"/>
      </c>
      <c r="Z115" s="1641">
        <f t="shared" si="89"/>
      </c>
    </row>
    <row r="116" spans="9:26">
      <c r="I116" s="160" t="str">
        <f>B61</f>
      </c>
      <c r="J116" s="1396" t="s">
        <v>2222</v>
      </c>
      <c r="K116" s="2504"/>
      <c r="L116" s="2523"/>
      <c r="M116" s="2504">
        <f>VLOOKUP($I116,'Segment - Products'!$A$15:$DQ$18,MATCH(AvE!N$88,'Segment - Products'!$A$8:$DQ$8,0),0)</f>
      </c>
      <c r="N116" s="2504">
        <f>VLOOKUP($I116,'Segment - Products'!$A$15:$DQ$18,MATCH(AvE!O$88,'Segment - Products'!$A$8:$DQ$8,0),0)</f>
      </c>
      <c r="O116" s="2523">
        <f t="shared" si="83"/>
      </c>
      <c r="P116" s="2523"/>
      <c r="R116" s="2504">
        <v>4125.5504374975144</v>
      </c>
      <c r="S116" s="2504"/>
      <c r="T116" s="3020"/>
      <c r="U116" s="2523"/>
      <c r="V116" s="2504"/>
      <c r="W116" s="2504">
        <f t="shared" si="87"/>
      </c>
      <c r="X116" s="3020">
        <f t="shared" si="88"/>
      </c>
    </row>
    <row r="117" spans="9:26">
      <c r="J117" s="1396"/>
      <c r="L117" s="2523"/>
      <c r="O117" s="2523"/>
      <c r="P117" s="2523"/>
      <c r="T117" s="3020"/>
      <c r="U117" s="2523"/>
      <c r="X117" s="3020"/>
    </row>
    <row r="118" spans="9:26" ht="12">
      <c r="J118" s="3025" t="s">
        <v>2208</v>
      </c>
      <c r="L118" s="2523"/>
      <c r="O118" s="2523"/>
      <c r="P118" s="2523"/>
      <c r="T118" s="3020"/>
      <c r="U118" s="2523"/>
      <c r="X118" s="3020"/>
    </row>
    <row r="119" spans="9:26">
      <c r="I119" s="160" t="str">
        <f>B50</f>
      </c>
      <c r="J119" s="1396" t="s">
        <v>2207</v>
      </c>
      <c r="K119" s="2517"/>
      <c r="L119" s="2523"/>
      <c r="M119" s="2517">
        <f>VLOOKUP($I119,'Segment - Products'!$A$72:$FU$101,MATCH(AvE!N$88,'Segment - Products'!$A$8:$HF$8,0),0)</f>
      </c>
      <c r="N119" s="2517">
        <f>VLOOKUP($I119,'Segment - Products'!$A$72:$FU$101,MATCH(AvE!O$88,'Segment - Products'!$A$8:$HF$8,0),0)</f>
      </c>
      <c r="O119" s="2523">
        <f t="shared" si="83"/>
      </c>
      <c r="P119" s="2523"/>
      <c r="R119" s="2517">
        <v>51.340709854330868</v>
      </c>
      <c r="S119" s="2517"/>
      <c r="T119" s="3020"/>
      <c r="U119" s="2523"/>
      <c r="V119" s="2517"/>
      <c r="W119" s="2517">
        <f>K119-R119</f>
      </c>
      <c r="X119" s="3020">
        <f>M119/R119-1</f>
      </c>
    </row>
    <row r="120" spans="9:26">
      <c r="I120" s="160" t="str">
        <f>B51</f>
      </c>
      <c r="J120" s="1396" t="s">
        <v>2209</v>
      </c>
      <c r="K120" s="2517"/>
      <c r="L120" s="2523"/>
      <c r="M120" s="2517">
        <f>VLOOKUP($I120,'Segment - Products'!$A$72:$FU$101,MATCH(AvE!N$88,'Segment - Products'!$A$8:$HF$8,0),0)</f>
      </c>
      <c r="N120" s="2517">
        <f>VLOOKUP($I120,'Segment - Products'!$A$72:$FU$101,MATCH(AvE!O$88,'Segment - Products'!$A$8:$HF$8,0),0)</f>
      </c>
      <c r="O120" s="2523">
        <f t="shared" si="83"/>
      </c>
      <c r="P120" s="2523"/>
      <c r="R120" s="2517">
        <v>12.681767976823453</v>
      </c>
      <c r="S120" s="2517"/>
      <c r="T120" s="3020"/>
      <c r="U120" s="2523"/>
      <c r="V120" s="2517"/>
      <c r="W120" s="2517">
        <f>K120-R120</f>
      </c>
      <c r="X120" s="3020">
        <f>M120/R120-1</f>
      </c>
    </row>
    <row r="121" spans="9:26">
      <c r="I121" s="160" t="str">
        <f>B52</f>
      </c>
      <c r="J121" s="1396" t="s">
        <v>2210</v>
      </c>
      <c r="K121" s="2517"/>
      <c r="L121" s="2523"/>
      <c r="M121" s="2517">
        <f>VLOOKUP($I121,'Segment - Products'!$A$72:$FU$101,MATCH(AvE!N$88,'Segment - Products'!$A$8:$HF$8,0),0)</f>
      </c>
      <c r="N121" s="2517">
        <f>VLOOKUP($I121,'Segment - Products'!$A$72:$FU$101,MATCH(AvE!O$88,'Segment - Products'!$A$8:$HF$8,0),0)</f>
      </c>
      <c r="O121" s="2523">
        <f t="shared" si="83"/>
      </c>
      <c r="P121" s="2523"/>
      <c r="R121" s="2517">
        <v>6.1150523949688598</v>
      </c>
      <c r="S121" s="2517"/>
      <c r="T121" s="3020"/>
      <c r="U121" s="2523"/>
      <c r="V121" s="2517"/>
      <c r="W121" s="2517">
        <f>K121-R121</f>
      </c>
      <c r="X121" s="3020">
        <f>M121/R121-1</f>
      </c>
    </row>
    <row r="122" spans="9:26">
      <c r="I122" s="160" t="str">
        <f>B53</f>
      </c>
      <c r="J122" s="3028" t="s">
        <v>2212</v>
      </c>
      <c r="K122" s="2517"/>
      <c r="L122" s="2523"/>
      <c r="M122" s="2517">
        <f>VLOOKUP($I122,'Segment - Products'!$A$72:$FU$101,MATCH(AvE!N$88,'Segment - Products'!$A$8:$HF$8,0),0)</f>
      </c>
      <c r="N122" s="2517">
        <f>VLOOKUP($I122,'Segment - Products'!$A$72:$FU$101,MATCH(AvE!O$88,'Segment - Products'!$A$8:$HF$8,0),0)</f>
      </c>
      <c r="O122" s="2523">
        <f t="shared" si="83"/>
      </c>
      <c r="P122" s="2523"/>
      <c r="R122" s="2517">
        <v>9.2746293148180712</v>
      </c>
      <c r="S122" s="2517"/>
      <c r="T122" s="3020"/>
      <c r="U122" s="2523"/>
      <c r="V122" s="2517"/>
      <c r="W122" s="2517">
        <f>K122-R122</f>
      </c>
      <c r="X122" s="3020">
        <f>M122/R122-1</f>
      </c>
    </row>
    <row r="123" spans="9:26">
      <c r="J123" s="1396"/>
      <c r="L123" s="2523"/>
      <c r="O123" s="2523"/>
      <c r="P123" s="2523"/>
      <c r="T123" s="3020"/>
      <c r="U123" s="2523"/>
      <c r="X123" s="3020"/>
    </row>
    <row r="124" spans="9:26" ht="12">
      <c r="J124" s="3025" t="s">
        <v>2216</v>
      </c>
      <c r="L124" s="2523"/>
      <c r="O124" s="2523"/>
      <c r="P124" s="2523"/>
      <c r="T124" s="3020"/>
      <c r="U124" s="2523"/>
      <c r="X124" s="3020"/>
    </row>
    <row r="125" spans="9:26">
      <c r="J125" s="1396" t="str">
        <f>J80</f>
      </c>
      <c r="K125" s="2504"/>
      <c r="L125" s="2523"/>
      <c r="M125" s="2504">
        <f t="shared" ref="M125:N127" si="90">M111/M119</f>
      </c>
      <c r="N125" s="2504">
        <f t="shared" si="90"/>
      </c>
      <c r="O125" s="2523"/>
      <c r="P125" s="2523"/>
      <c r="R125" s="2504">
        <f>R111/R119</f>
      </c>
      <c r="S125" s="2504"/>
      <c r="T125" s="3020"/>
      <c r="U125" s="2523"/>
      <c r="V125" s="2504"/>
      <c r="W125" s="2504">
        <f>K125-R125</f>
      </c>
      <c r="X125" s="3020">
        <f>M125/R125-1</f>
      </c>
    </row>
    <row r="126" spans="9:26">
      <c r="J126" s="1396" t="str">
        <f>J81</f>
      </c>
      <c r="K126" s="2504"/>
      <c r="L126" s="2523"/>
      <c r="M126" s="2504">
        <f t="shared" si="90"/>
      </c>
      <c r="N126" s="2504">
        <f t="shared" si="90"/>
      </c>
      <c r="O126" s="2523"/>
      <c r="P126" s="2523"/>
      <c r="R126" s="2504">
        <f>R112/R120</f>
      </c>
      <c r="S126" s="2504"/>
      <c r="T126" s="3020"/>
      <c r="U126" s="2523"/>
      <c r="V126" s="2504"/>
      <c r="W126" s="2504">
        <f>K126-R126</f>
      </c>
      <c r="X126" s="3020">
        <f>M126/R126-1</f>
      </c>
    </row>
    <row r="127" spans="9:26">
      <c r="J127" s="1396" t="str">
        <f>J82</f>
      </c>
      <c r="K127" s="2504"/>
      <c r="L127" s="2523"/>
      <c r="M127" s="2504">
        <f t="shared" si="90"/>
      </c>
      <c r="N127" s="2504">
        <f t="shared" si="90"/>
      </c>
      <c r="O127" s="2523"/>
      <c r="P127" s="2523"/>
      <c r="R127" s="2504">
        <f>R113/R121</f>
      </c>
      <c r="S127" s="2504"/>
      <c r="T127" s="3020"/>
      <c r="U127" s="2523"/>
      <c r="V127" s="2504"/>
      <c r="W127" s="2504">
        <f>K127-R127</f>
      </c>
      <c r="X127" s="3020">
        <f>M127/R127-1</f>
      </c>
    </row>
    <row r="128" spans="9:26">
      <c r="J128" s="2614" t="str">
        <f>J83</f>
      </c>
      <c r="K128" s="1899"/>
      <c r="L128" s="2615"/>
      <c r="M128" s="1899">
        <f>M116/M122</f>
      </c>
      <c r="N128" s="1899">
        <f>N116/N122</f>
      </c>
      <c r="O128" s="2615"/>
      <c r="P128" s="2615"/>
      <c r="Q128" s="195"/>
      <c r="R128" s="1899">
        <f>R116/R122</f>
      </c>
      <c r="S128" s="1899"/>
      <c r="T128" s="2616"/>
      <c r="U128" s="2615"/>
      <c r="V128" s="1899"/>
      <c r="W128" s="1899">
        <f>K128-R128</f>
      </c>
      <c r="X128" s="2616">
        <f>M128/R128-1</f>
      </c>
    </row>
    <row r="129" spans="10:24">
      <c r="J129" s="2621"/>
      <c r="K129" s="2621"/>
      <c r="L129" s="2541"/>
      <c r="M129" s="2621"/>
      <c r="N129" s="2621"/>
      <c r="O129" s="2541"/>
      <c r="P129" s="2541"/>
      <c r="Q129" s="2621"/>
      <c r="R129" s="2621"/>
      <c r="S129" s="2621"/>
      <c r="T129" s="2541"/>
      <c r="U129" s="2541"/>
      <c r="V129" s="2621"/>
      <c r="W129" s="2621"/>
      <c r="X129" s="2541"/>
    </row>
    <row r="131" spans="10:24">
      <c r="M131" s="160">
        <f>M97/M94</f>
      </c>
      <c r="R131" s="160" t="e">
        <f>U97/U94</f>
      </c>
    </row>
    <row r="133" spans="10:24">
      <c r="M133" s="2520">
        <f>M95/M92</f>
      </c>
      <c r="R133" s="2520">
        <f>R95/R92</f>
      </c>
    </row>
    <row r="134" spans="10:24">
      <c r="M134" s="2520">
        <f>M96/M93</f>
      </c>
      <c r="R134" s="2520">
        <f>R96/R93</f>
      </c>
    </row>
  </sheetData>
  <mergeCells count="7">
    <mergeCell ref="C2:F2"/>
    <mergeCell ref="R89:T89"/>
    <mergeCell ref="W6:X6"/>
    <mergeCell ref="M89:O89"/>
    <mergeCell ref="W89:X89"/>
    <mergeCell ref="M6:P6"/>
    <mergeCell ref="M46:Q46"/>
  </mergeCells>
  <printOptions horizontalCentered="1" verticalCentered="1"/>
  <pageMargins left="0.7" right="0.7" top="0.75" bottom="0.75" header="0.3" footer="0.3"/>
  <pageSetup scale="10" orientation="landscape" r:id="rId1"/>
  <customProperties>
    <customPr name="Qube.Worksheet.Visibility" r:id="rId2"/>
  </customPropertie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96788-6909-4E82-9939-85E60919EE9B}">
  <sheetPr>
    <pageSetUpPr fitToPage="1"/>
  </sheetPr>
  <dimension ref="A1:AZ48"/>
  <sheetViews>
    <sheetView showGridLines="0" zoomScaleNormal="100" zoomScaleSheetLayoutView="130" workbookViewId="0"/>
  </sheetViews>
  <sheetFormatPr defaultColWidth="8" defaultRowHeight="11.4" outlineLevelCol="1"/>
  <cols>
    <col min="1" max="1" width="26.19921875" style="1309" customWidth="1"/>
    <col min="2" max="2" width="10.69921875" style="1309" customWidth="1"/>
    <col min="3" max="12" width="7.8984375" style="1309" hidden="1" customWidth="1" outlineLevel="1"/>
    <col min="13" max="13" width="8.19921875" style="1309" hidden="1" customWidth="1" outlineLevel="1"/>
    <col min="14" max="14" width="8.09765625" style="1309" hidden="1" customWidth="1" outlineLevel="1"/>
    <col min="15" max="17" width="7.8984375" style="1309" hidden="1" customWidth="1" outlineLevel="1"/>
    <col min="18" max="18" width="8.19921875" style="1309" hidden="1" customWidth="1" outlineLevel="1"/>
    <col min="19" max="19" width="8.09765625" style="1309" hidden="1" customWidth="1" outlineLevel="1"/>
    <col min="20" max="24" width="7.8984375" style="1309" hidden="1" customWidth="1" outlineLevel="1"/>
    <col min="25" max="26" width="8.19921875" style="1309" hidden="1" customWidth="1" outlineLevel="1"/>
    <col min="27" max="27" width="8.19921875" style="1309" customWidth="1" collapsed="1"/>
    <col min="28" max="38" width="8.19921875" style="1309" customWidth="1"/>
    <col min="39" max="39" width="9.8984375" style="1309" customWidth="1"/>
    <col min="40" max="40" width="8.19921875" style="1309" customWidth="1"/>
    <col min="41" max="41" width="30.19921875" style="1309" customWidth="1"/>
    <col min="42" max="46" width="8.19921875" style="1309" customWidth="1"/>
    <col min="47" max="48" width="8" style="1309"/>
    <col min="49" max="49" width="1.59765625" style="1309" customWidth="1"/>
    <col min="50" max="16384" width="8" style="1309"/>
  </cols>
  <sheetData>
    <row r="1" spans="1:52" ht="12">
      <c r="A1" s="1306" t="s">
        <v>1330</v>
      </c>
      <c r="B1" s="1306"/>
      <c r="C1" s="1306"/>
      <c r="D1" s="1306"/>
      <c r="E1" s="1306"/>
      <c r="F1" s="1306"/>
      <c r="G1" s="1306"/>
      <c r="H1" s="1306"/>
      <c r="I1" s="1306"/>
      <c r="J1" s="1306"/>
      <c r="K1" s="1306"/>
      <c r="L1" s="1306"/>
      <c r="M1" s="1307"/>
      <c r="N1" s="1307"/>
      <c r="O1" s="1306"/>
      <c r="P1" s="1306"/>
      <c r="Q1" s="1306"/>
      <c r="R1" s="1307"/>
      <c r="S1" s="1307"/>
      <c r="T1" s="1308"/>
      <c r="U1" s="1307"/>
      <c r="V1" s="1307"/>
      <c r="W1" s="1307"/>
    </row>
    <row r="2" spans="1:52">
      <c r="A2" s="1310">
        <f ca="1">TODAY()</f>
      </c>
      <c r="B2" s="1310"/>
      <c r="C2" s="1310"/>
      <c r="D2" s="1310"/>
      <c r="E2" s="1310"/>
      <c r="F2" s="1310"/>
      <c r="G2" s="1310"/>
      <c r="H2" s="1310"/>
      <c r="I2" s="1310"/>
      <c r="J2" s="1310"/>
      <c r="K2" s="1310"/>
      <c r="L2" s="1310"/>
      <c r="M2" s="1307"/>
      <c r="N2" s="1307"/>
      <c r="O2" s="1310"/>
      <c r="P2" s="1310"/>
      <c r="Q2" s="1310"/>
      <c r="R2" s="1307"/>
      <c r="S2" s="1307"/>
      <c r="T2" s="1308"/>
      <c r="U2" s="1307"/>
      <c r="V2" s="1307"/>
      <c r="W2" s="1307"/>
    </row>
    <row r="3" spans="1:52" ht="12">
      <c r="A3" s="1311"/>
      <c r="B3" s="1311"/>
      <c r="C3" s="1311"/>
      <c r="D3" s="1311"/>
      <c r="E3" s="1311"/>
      <c r="F3" s="1311"/>
      <c r="G3" s="1311"/>
      <c r="H3" s="1311"/>
      <c r="I3" s="1311"/>
      <c r="J3" s="1311"/>
      <c r="K3" s="1311"/>
      <c r="L3" s="1311"/>
      <c r="M3" s="1307"/>
      <c r="N3" s="1307"/>
      <c r="O3" s="1311"/>
      <c r="P3" s="1311"/>
      <c r="Q3" s="1311"/>
      <c r="R3" s="1307"/>
      <c r="S3" s="1307"/>
      <c r="T3" s="1308"/>
      <c r="U3" s="1307"/>
      <c r="V3" s="1307"/>
      <c r="W3" s="1307"/>
    </row>
    <row r="4" spans="1:52" ht="12" thickBot="1">
      <c r="A4" s="1312"/>
      <c r="B4" s="1312"/>
      <c r="C4" s="1312"/>
      <c r="D4" s="1312"/>
      <c r="E4" s="1312"/>
      <c r="F4" s="1312"/>
      <c r="G4" s="1312"/>
      <c r="H4" s="1312"/>
      <c r="I4" s="1312"/>
      <c r="J4" s="1312"/>
      <c r="K4" s="1312"/>
      <c r="L4" s="1312"/>
      <c r="M4" s="1307"/>
      <c r="N4" s="1307"/>
      <c r="O4" s="1312"/>
      <c r="P4" s="1312"/>
      <c r="Q4" s="1312"/>
      <c r="R4" s="1307"/>
      <c r="S4" s="1307"/>
      <c r="T4" s="1308"/>
      <c r="U4" s="1307"/>
      <c r="V4" s="1307"/>
      <c r="W4" s="1307"/>
      <c r="AO4" s="1309" t="s">
        <v>1275</v>
      </c>
      <c r="AP4" s="1313" t="s">
        <v>2408</v>
      </c>
    </row>
    <row r="5" spans="1:52" ht="12">
      <c r="A5" s="1314" t="s">
        <v>1276</v>
      </c>
      <c r="B5" s="1315">
        <v>209.05</v>
      </c>
      <c r="C5" s="1316"/>
      <c r="D5" s="1316"/>
      <c r="E5" s="1316"/>
      <c r="F5" s="1316"/>
      <c r="G5" s="1316"/>
      <c r="H5" s="1316"/>
      <c r="I5" s="1316"/>
      <c r="J5" s="1316"/>
      <c r="K5" s="1316"/>
      <c r="L5" s="1316"/>
      <c r="M5" s="1316"/>
      <c r="O5" s="1316"/>
      <c r="P5" s="1316"/>
      <c r="Q5" s="1316"/>
      <c r="R5" s="1316"/>
      <c r="T5" s="1317"/>
      <c r="U5" s="1307"/>
      <c r="W5" s="1307"/>
    </row>
    <row r="6" spans="1:52">
      <c r="A6" s="1318" t="s">
        <v>1597</v>
      </c>
      <c r="B6" s="1319">
        <f ca="1">AP10</f>
      </c>
      <c r="C6" s="1320"/>
      <c r="D6" s="1320"/>
      <c r="E6" s="1320"/>
      <c r="F6" s="1320"/>
      <c r="G6" s="1320"/>
      <c r="H6" s="1320"/>
      <c r="I6" s="1320"/>
      <c r="J6" s="1320"/>
      <c r="K6" s="1320"/>
      <c r="L6" s="1320"/>
      <c r="O6" s="1320"/>
      <c r="P6" s="1320"/>
      <c r="Q6" s="1320"/>
      <c r="T6" s="1321"/>
      <c r="U6" s="1307"/>
      <c r="AO6" s="1309" t="s">
        <v>1277</v>
      </c>
      <c r="AP6" s="1322" t="str">
        <f ca="1">OFFSET('Income Statement'!A7,0,(MATCH(AP4,'Income Statement'!7:7,0)+3))</f>
      </c>
    </row>
    <row r="7" spans="1:52">
      <c r="A7" s="1323" t="s">
        <v>1278</v>
      </c>
      <c r="B7" s="1324">
        <f ca="1">B5*B6</f>
      </c>
      <c r="C7" s="1307"/>
      <c r="D7" s="1307"/>
      <c r="E7" s="1307"/>
      <c r="F7" s="1307"/>
      <c r="G7" s="1307"/>
      <c r="H7" s="1307"/>
      <c r="I7" s="1307"/>
      <c r="J7" s="1307"/>
      <c r="K7" s="1307"/>
      <c r="L7" s="1307"/>
      <c r="O7" s="1307"/>
      <c r="P7" s="1307"/>
      <c r="Q7" s="1307"/>
      <c r="T7" s="1325"/>
      <c r="U7" s="1326"/>
      <c r="W7" s="1327"/>
      <c r="AA7" s="2713"/>
      <c r="AB7" s="2713"/>
    </row>
    <row r="8" spans="1:52">
      <c r="A8" s="1323" t="s">
        <v>1279</v>
      </c>
      <c r="B8" s="1328">
        <f ca="1">VLOOKUP('Balance Sheet'!A58,'Balance Sheet'!58:58,MATCH(Valuation!AP6,'Income Statement'!$7:$7,0),0)</f>
      </c>
      <c r="C8" s="1307"/>
      <c r="D8" s="1307"/>
      <c r="E8" s="1307"/>
      <c r="F8" s="1307"/>
      <c r="G8" s="1307"/>
      <c r="H8" s="1307"/>
      <c r="I8" s="1307"/>
      <c r="J8" s="1307"/>
      <c r="K8" s="1307"/>
      <c r="L8" s="1307"/>
      <c r="O8" s="1307"/>
      <c r="P8" s="1307"/>
      <c r="Q8" s="1307"/>
      <c r="T8" s="1329"/>
      <c r="U8" s="1307"/>
      <c r="AO8" s="1309" t="s">
        <v>1280</v>
      </c>
      <c r="AP8" s="1459">
        <f>VLOOKUP('Income Statement'!$A$34,'Income Statement'!34:34,MATCH(AP4,'Income Statement'!$7:$7,0),0)</f>
      </c>
    </row>
    <row r="9" spans="1:52">
      <c r="A9" s="1323" t="s">
        <v>1281</v>
      </c>
      <c r="B9" s="1324">
        <f ca="1">B7-B8</f>
      </c>
      <c r="C9" s="1307"/>
      <c r="D9" s="1307"/>
      <c r="E9" s="1307"/>
      <c r="F9" s="1307"/>
      <c r="G9" s="1307"/>
      <c r="H9" s="1307"/>
      <c r="I9" s="1307"/>
      <c r="J9" s="1307"/>
      <c r="K9" s="1307"/>
      <c r="L9" s="1307"/>
      <c r="O9" s="1307"/>
      <c r="P9" s="1307"/>
      <c r="Q9" s="1307"/>
      <c r="T9" s="1325"/>
      <c r="U9" s="1307"/>
      <c r="AD9" s="2713"/>
      <c r="AE9" s="1422"/>
      <c r="AF9" s="1422"/>
    </row>
    <row r="10" spans="1:52">
      <c r="A10" s="1323"/>
      <c r="B10" s="1330"/>
      <c r="C10" s="1307"/>
      <c r="D10" s="1307"/>
      <c r="E10" s="1307"/>
      <c r="F10" s="1307"/>
      <c r="G10" s="1307"/>
      <c r="H10" s="1307"/>
      <c r="I10" s="1307"/>
      <c r="J10" s="1307"/>
      <c r="K10" s="1307"/>
      <c r="L10" s="1307"/>
      <c r="O10" s="1307"/>
      <c r="P10" s="1307"/>
      <c r="Q10" s="1307"/>
      <c r="T10" s="1331"/>
      <c r="U10" s="1307"/>
      <c r="AO10" s="1309" t="s">
        <v>1282</v>
      </c>
      <c r="AP10" s="1459">
        <f ca="1">VLOOKUP('Income Statement'!$A$34,'Income Statement'!34:34,MATCH(AP6,'Income Statement'!$7:$7,0),0)</f>
      </c>
    </row>
    <row r="11" spans="1:52" ht="12.6" thickBot="1">
      <c r="A11" s="1332" t="s">
        <v>1283</v>
      </c>
      <c r="B11" s="1333">
        <f ca="1">AM41</f>
      </c>
      <c r="C11" s="1316"/>
      <c r="D11" s="1316"/>
      <c r="E11" s="1316"/>
      <c r="F11" s="1316"/>
      <c r="G11" s="1316"/>
      <c r="H11" s="1316"/>
      <c r="I11" s="1316"/>
      <c r="J11" s="1316"/>
      <c r="K11" s="1316"/>
      <c r="L11" s="1316"/>
      <c r="M11" s="1316"/>
      <c r="O11" s="1316"/>
      <c r="P11" s="1316"/>
      <c r="Q11" s="1316"/>
      <c r="R11" s="1316"/>
      <c r="T11" s="1334"/>
      <c r="U11" s="1335"/>
      <c r="W11" s="1336"/>
      <c r="Z11" s="1337"/>
      <c r="AA11" s="1307"/>
      <c r="AB11" s="1307"/>
      <c r="AC11" s="1338"/>
      <c r="AD11" s="1338"/>
      <c r="AG11" s="1338"/>
    </row>
    <row r="12" spans="1:52" ht="12">
      <c r="A12" s="1307" t="s">
        <v>1284</v>
      </c>
      <c r="B12" s="1368">
        <f ca="1">B11/B5-1</f>
      </c>
      <c r="C12" s="1339"/>
      <c r="D12" s="1339"/>
      <c r="E12" s="1339"/>
      <c r="F12" s="1339"/>
      <c r="G12" s="1339"/>
      <c r="H12" s="1339"/>
      <c r="I12" s="1339"/>
      <c r="J12" s="1339"/>
      <c r="K12" s="1339"/>
      <c r="L12" s="1339"/>
      <c r="M12" s="1340"/>
      <c r="N12" s="1341" t="e">
        <v>#NUM!</v>
      </c>
      <c r="O12" s="1339"/>
      <c r="P12" s="1339"/>
      <c r="Q12" s="1339"/>
      <c r="R12" s="1340"/>
      <c r="S12" s="1341" t="e">
        <v>#NUM!</v>
      </c>
      <c r="T12" s="1342"/>
      <c r="U12" s="1307"/>
      <c r="V12" s="1307"/>
      <c r="W12" s="1307"/>
      <c r="Z12" s="1343"/>
      <c r="AA12" s="1307"/>
      <c r="AB12" s="1307"/>
      <c r="AC12" s="1338"/>
      <c r="AD12" s="1338"/>
      <c r="AG12" s="1338"/>
    </row>
    <row r="13" spans="1:52" ht="12.6" thickBot="1">
      <c r="A13" s="1307"/>
      <c r="B13" s="1307"/>
      <c r="C13" s="1307"/>
      <c r="D13" s="1307"/>
      <c r="E13" s="1307"/>
      <c r="F13" s="1307"/>
      <c r="G13" s="1307"/>
      <c r="H13" s="1307"/>
      <c r="I13" s="1307"/>
      <c r="J13" s="1307"/>
      <c r="K13" s="1307"/>
      <c r="L13" s="1307"/>
      <c r="M13" s="1331"/>
      <c r="N13" s="1307"/>
      <c r="O13" s="1307"/>
      <c r="P13" s="1307"/>
      <c r="Q13" s="1307"/>
      <c r="R13" s="1331"/>
      <c r="S13" s="1307"/>
      <c r="T13" s="1307"/>
      <c r="U13" s="1307"/>
      <c r="V13" s="1307"/>
      <c r="W13" s="1307"/>
      <c r="Z13" s="1307"/>
      <c r="AA13" s="1307"/>
      <c r="AB13" s="1307"/>
      <c r="AC13" s="1338"/>
      <c r="AD13" s="1338"/>
      <c r="AG13" s="1338"/>
      <c r="AU13" s="3408"/>
      <c r="AV13" s="3408"/>
      <c r="AW13" s="1344"/>
      <c r="AX13" s="3408"/>
      <c r="AY13" s="3408"/>
      <c r="AZ13" s="3408"/>
    </row>
    <row r="14" spans="1:52" ht="12">
      <c r="A14" s="1345" t="s">
        <v>1285</v>
      </c>
      <c r="B14" s="1346"/>
      <c r="C14" s="1346" t="s">
        <v>1332</v>
      </c>
      <c r="D14" s="1346" t="s">
        <v>1334</v>
      </c>
      <c r="E14" s="1346" t="s">
        <v>1335</v>
      </c>
      <c r="F14" s="1346" t="s">
        <v>1333</v>
      </c>
      <c r="G14" s="1346" t="s">
        <v>1331</v>
      </c>
      <c r="H14" s="1346" t="s">
        <v>1286</v>
      </c>
      <c r="I14" s="1346" t="s">
        <v>1287</v>
      </c>
      <c r="J14" s="1346" t="s">
        <v>1288</v>
      </c>
      <c r="K14" s="1346" t="s">
        <v>1289</v>
      </c>
      <c r="L14" s="1346" t="s">
        <v>1290</v>
      </c>
      <c r="M14" s="1346" t="s">
        <v>1291</v>
      </c>
      <c r="N14" s="1346" t="s">
        <v>1292</v>
      </c>
      <c r="O14" s="1346" t="s">
        <v>1293</v>
      </c>
      <c r="P14" s="1346" t="s">
        <v>1294</v>
      </c>
      <c r="Q14" s="1346" t="s">
        <v>1295</v>
      </c>
      <c r="R14" s="1346" t="s">
        <v>1296</v>
      </c>
      <c r="S14" s="1346" t="s">
        <v>1297</v>
      </c>
      <c r="T14" s="1346" t="s">
        <v>1298</v>
      </c>
      <c r="U14" s="1346" t="s">
        <v>1299</v>
      </c>
      <c r="V14" s="1346" t="s">
        <v>1300</v>
      </c>
      <c r="W14" s="1347" t="s">
        <v>1301</v>
      </c>
      <c r="X14" s="1347" t="s">
        <v>1302</v>
      </c>
      <c r="Y14" s="1347" t="s">
        <v>1303</v>
      </c>
      <c r="Z14" s="1347" t="s">
        <v>1304</v>
      </c>
      <c r="AA14" s="1347" t="s">
        <v>1305</v>
      </c>
      <c r="AB14" s="1347" t="s">
        <v>1306</v>
      </c>
      <c r="AC14" s="1347" t="s">
        <v>1307</v>
      </c>
      <c r="AD14" s="1348" t="s">
        <v>1308</v>
      </c>
      <c r="AE14" s="1347" t="s">
        <v>1309</v>
      </c>
      <c r="AF14" s="1347" t="s">
        <v>1310</v>
      </c>
      <c r="AG14" s="1348" t="s">
        <v>1311</v>
      </c>
      <c r="AH14" s="1349" t="s">
        <v>1312</v>
      </c>
      <c r="AI14" s="1349" t="s">
        <v>1590</v>
      </c>
      <c r="AJ14" s="1349" t="s">
        <v>1591</v>
      </c>
      <c r="AK14" s="1349" t="s">
        <v>1592</v>
      </c>
      <c r="AL14" s="1349" t="s">
        <v>1593</v>
      </c>
      <c r="AM14" s="1350" t="s">
        <v>1313</v>
      </c>
      <c r="AN14" s="1351"/>
      <c r="AO14" s="160"/>
      <c r="AP14" s="1352" t="str">
        <f ca="1">OFFSET('Income Statement'!$A$7,0,(MATCH(AP6,'Income Statement'!7:7,0)+0))</f>
      </c>
      <c r="AQ14" s="1353" t="str">
        <f ca="1">OFFSET('Income Statement'!$A$7,0,(MATCH(AP14,'Income Statement'!7:7,0)+0))</f>
      </c>
      <c r="AR14" s="1353" t="str">
        <f ca="1">OFFSET('Income Statement'!$A$7,0,(MATCH(AQ14,'Income Statement'!7:7,0)+0))</f>
      </c>
      <c r="AS14" s="1354" t="str">
        <f ca="1">OFFSET('Income Statement'!$A$7,0,(MATCH(AR14,'Income Statement'!7:7,0)+0))</f>
      </c>
      <c r="AU14" s="1355"/>
      <c r="AV14" s="1355"/>
      <c r="AW14" s="1355"/>
      <c r="AX14" s="1355"/>
      <c r="AY14" s="1355"/>
      <c r="AZ14" s="1355"/>
    </row>
    <row r="15" spans="1:52" ht="12">
      <c r="A15" s="1323" t="s">
        <v>877</v>
      </c>
      <c r="B15" s="1307"/>
      <c r="C15" s="1356"/>
      <c r="D15" s="1356">
        <f>'Income Statement'!EM30</f>
      </c>
      <c r="E15" s="1356">
        <f>'Income Statement'!EN30</f>
      </c>
      <c r="F15" s="1356">
        <f>'Income Statement'!EO30</f>
      </c>
      <c r="G15" s="1356">
        <f>'Income Statement'!EP30</f>
      </c>
      <c r="H15" s="1356">
        <f>'Income Statement'!EQ30</f>
      </c>
      <c r="I15" s="1356">
        <f>'Income Statement'!ER30</f>
      </c>
      <c r="J15" s="1356">
        <f>'Income Statement'!ES30</f>
      </c>
      <c r="K15" s="1356">
        <f>'Income Statement'!ET30</f>
      </c>
      <c r="L15" s="1356">
        <f>'Income Statement'!EU30</f>
      </c>
      <c r="M15" s="1357">
        <f>'Income Statement'!EV30</f>
      </c>
      <c r="N15" s="1357">
        <f>'Income Statement'!EW30</f>
      </c>
      <c r="O15" s="1356">
        <f>'Income Statement'!EX30</f>
      </c>
      <c r="P15" s="1356">
        <f>'Income Statement'!EY30</f>
      </c>
      <c r="Q15" s="1356">
        <f>'Income Statement'!EZ30</f>
      </c>
      <c r="R15" s="1357">
        <f>'Income Statement'!FA30</f>
      </c>
      <c r="S15" s="1357">
        <f>'Income Statement'!FB30</f>
      </c>
      <c r="T15" s="1357">
        <f>'Income Statement'!FC30</f>
      </c>
      <c r="U15" s="1357">
        <f>'Income Statement'!FD30</f>
      </c>
      <c r="V15" s="1358">
        <f>'Income Statement'!FE30</f>
      </c>
      <c r="W15" s="1357">
        <f>'Income Statement'!FF30</f>
      </c>
      <c r="X15" s="1357">
        <f>'Income Statement'!FG30</f>
      </c>
      <c r="Y15" s="1357">
        <f>'Income Statement'!FH30</f>
      </c>
      <c r="Z15" s="1357">
        <f>'Income Statement'!FI30</f>
      </c>
      <c r="AA15" s="1357">
        <f>'Income Statement'!FJ30</f>
      </c>
      <c r="AB15" s="1357">
        <f>'Income Statement'!FK30</f>
      </c>
      <c r="AC15" s="1358">
        <f>'Income Statement'!FL30</f>
      </c>
      <c r="AD15" s="1357">
        <f>'Income Statement'!FM30</f>
      </c>
      <c r="AE15" s="1357">
        <f>'Income Statement'!FN30</f>
      </c>
      <c r="AF15" s="1357">
        <f>'Income Statement'!FO30</f>
      </c>
      <c r="AG15" s="1357">
        <f>'Income Statement'!FP30</f>
      </c>
      <c r="AH15" s="1357">
        <f>'Income Statement'!FQ30</f>
      </c>
      <c r="AI15" s="1358">
        <f>'Income Statement'!FR30</f>
      </c>
      <c r="AJ15" s="1358">
        <f>'Income Statement'!FS30</f>
      </c>
      <c r="AK15" s="1358">
        <f>'Income Statement'!FT30</f>
      </c>
      <c r="AL15" s="2466">
        <f>'Income Statement'!FU30</f>
      </c>
      <c r="AM15" s="1360">
        <f ca="1">SUM(AP15:AS15)</f>
      </c>
      <c r="AN15" s="1361"/>
      <c r="AO15" s="1362" t="s">
        <v>1314</v>
      </c>
      <c r="AP15" s="1363">
        <f ca="1">VLOOKUP('Income Statement'!$A$30,'Income Statement'!30:30,MATCH(AP$14,'Income Statement'!$7:$7,0),0)</f>
      </c>
      <c r="AQ15" s="1364">
        <f ca="1">VLOOKUP('Income Statement'!$A$30,'Income Statement'!30:30,MATCH(AQ$14,'Income Statement'!$7:$7,0),0)</f>
      </c>
      <c r="AR15" s="1364">
        <f ca="1">VLOOKUP('Income Statement'!$A$30,'Income Statement'!30:30,MATCH(AR$14,'Income Statement'!$7:$7,0),0)</f>
      </c>
      <c r="AS15" s="1365">
        <f ca="1">VLOOKUP('Income Statement'!$A$30,'Income Statement'!30:30,MATCH(AS$14,'Income Statement'!$7:$7,0),0)</f>
      </c>
      <c r="AU15" s="1366"/>
      <c r="AV15" s="1366"/>
      <c r="AW15" s="1366"/>
      <c r="AX15" s="1367"/>
      <c r="AY15" s="1367"/>
      <c r="AZ15" s="1367"/>
    </row>
    <row r="16" spans="1:52">
      <c r="A16" s="1323" t="s">
        <v>1315</v>
      </c>
      <c r="B16" s="1307"/>
      <c r="C16" s="1368"/>
      <c r="D16" s="1368"/>
      <c r="E16" s="1368">
        <f t="shared" ref="E16" si="0">E15/D15-1</f>
      </c>
      <c r="F16" s="1368">
        <f t="shared" ref="F16" si="1">F15/E15-1</f>
      </c>
      <c r="G16" s="1368">
        <f t="shared" ref="G16" si="2">G15/F15-1</f>
      </c>
      <c r="H16" s="1368">
        <f t="shared" ref="H16" si="3">H15/G15-1</f>
      </c>
      <c r="I16" s="1368">
        <f t="shared" ref="I16" si="4">I15/H15-1</f>
      </c>
      <c r="J16" s="1368">
        <f t="shared" ref="J16" si="5">J15/I15-1</f>
      </c>
      <c r="K16" s="1368">
        <f t="shared" ref="K16:AH16" si="6">K15/J15-1</f>
      </c>
      <c r="L16" s="1368">
        <f t="shared" si="6"/>
      </c>
      <c r="M16" s="1369">
        <f t="shared" si="6"/>
      </c>
      <c r="N16" s="1369">
        <f t="shared" si="6"/>
      </c>
      <c r="O16" s="1368">
        <f t="shared" si="6"/>
      </c>
      <c r="P16" s="1368">
        <f t="shared" si="6"/>
      </c>
      <c r="Q16" s="1368">
        <f t="shared" si="6"/>
      </c>
      <c r="R16" s="1369">
        <f t="shared" si="6"/>
      </c>
      <c r="S16" s="1369">
        <f t="shared" si="6"/>
      </c>
      <c r="T16" s="1369">
        <f t="shared" si="6"/>
      </c>
      <c r="U16" s="1369">
        <f t="shared" si="6"/>
      </c>
      <c r="V16" s="1369">
        <f t="shared" si="6"/>
      </c>
      <c r="W16" s="1369">
        <f t="shared" si="6"/>
      </c>
      <c r="X16" s="1369">
        <f t="shared" si="6"/>
      </c>
      <c r="Y16" s="1369">
        <f t="shared" si="6"/>
      </c>
      <c r="Z16" s="1369">
        <f t="shared" si="6"/>
      </c>
      <c r="AA16" s="1369">
        <f t="shared" si="6"/>
      </c>
      <c r="AB16" s="1369">
        <f t="shared" si="6"/>
      </c>
      <c r="AC16" s="1369">
        <f t="shared" si="6"/>
      </c>
      <c r="AD16" s="1369">
        <f t="shared" si="6"/>
      </c>
      <c r="AE16" s="1369">
        <f t="shared" si="6"/>
      </c>
      <c r="AF16" s="1369">
        <f t="shared" si="6"/>
      </c>
      <c r="AG16" s="1369">
        <f t="shared" si="6"/>
      </c>
      <c r="AH16" s="1369">
        <f t="shared" si="6"/>
      </c>
      <c r="AI16" s="1369">
        <f t="shared" ref="AI16" si="7">AI15/AH15-1</f>
      </c>
      <c r="AJ16" s="1369">
        <f t="shared" ref="AJ16" si="8">AJ15/AI15-1</f>
      </c>
      <c r="AK16" s="1369">
        <f t="shared" ref="AK16" si="9">AK15/AJ15-1</f>
      </c>
      <c r="AL16" s="1370">
        <f t="shared" ref="AL16" si="10">AL15/AK15-1</f>
      </c>
      <c r="AM16" s="1371"/>
      <c r="AN16" s="1372"/>
      <c r="AO16" s="1373"/>
      <c r="AP16" s="1374"/>
      <c r="AQ16" s="196"/>
      <c r="AR16" s="196"/>
      <c r="AS16" s="1375"/>
      <c r="AU16" s="1376"/>
      <c r="AV16" s="1376"/>
      <c r="AW16" s="1376"/>
      <c r="AX16" s="1377"/>
      <c r="AY16" s="1377"/>
      <c r="AZ16" s="1377"/>
    </row>
    <row r="17" spans="1:52">
      <c r="A17" s="1378" t="s">
        <v>1316</v>
      </c>
      <c r="B17" s="1379"/>
      <c r="C17" s="1380"/>
      <c r="D17" s="1380"/>
      <c r="E17" s="1380"/>
      <c r="F17" s="1380"/>
      <c r="G17" s="1380">
        <f t="shared" ref="G17:J17" si="11">((G15/D15)^(1/3))-1</f>
      </c>
      <c r="H17" s="1380">
        <f t="shared" si="11"/>
      </c>
      <c r="I17" s="1380">
        <f t="shared" si="11"/>
      </c>
      <c r="J17" s="1380">
        <f t="shared" si="11"/>
      </c>
      <c r="K17" s="1380">
        <f>((K15/H15)^(1/3))-1</f>
      </c>
      <c r="L17" s="1380">
        <f t="shared" ref="L17:AH17" si="12">((L15/I15)^(1/3))-1</f>
      </c>
      <c r="M17" s="1381">
        <f t="shared" si="12"/>
      </c>
      <c r="N17" s="1381">
        <f t="shared" si="12"/>
      </c>
      <c r="O17" s="1380">
        <f t="shared" si="12"/>
      </c>
      <c r="P17" s="1380">
        <f t="shared" si="12"/>
      </c>
      <c r="Q17" s="1380">
        <f t="shared" si="12"/>
      </c>
      <c r="R17" s="1381">
        <f t="shared" si="12"/>
      </c>
      <c r="S17" s="1381">
        <f t="shared" si="12"/>
      </c>
      <c r="T17" s="1382">
        <f t="shared" si="12"/>
      </c>
      <c r="U17" s="1382">
        <f t="shared" si="12"/>
      </c>
      <c r="V17" s="1382">
        <f t="shared" si="12"/>
      </c>
      <c r="W17" s="1382">
        <f t="shared" si="12"/>
      </c>
      <c r="X17" s="1382">
        <f t="shared" si="12"/>
      </c>
      <c r="Y17" s="1382">
        <f t="shared" si="12"/>
      </c>
      <c r="Z17" s="1382">
        <f t="shared" si="12"/>
      </c>
      <c r="AA17" s="1382">
        <f t="shared" si="12"/>
      </c>
      <c r="AB17" s="1382">
        <f t="shared" si="12"/>
      </c>
      <c r="AC17" s="1382">
        <f t="shared" si="12"/>
      </c>
      <c r="AD17" s="1382">
        <f t="shared" si="12"/>
      </c>
      <c r="AE17" s="1382">
        <f t="shared" si="12"/>
      </c>
      <c r="AF17" s="1382">
        <f t="shared" si="12"/>
      </c>
      <c r="AG17" s="1382">
        <f t="shared" si="12"/>
      </c>
      <c r="AH17" s="2465">
        <f t="shared" si="12"/>
      </c>
      <c r="AI17" s="2465">
        <f t="shared" ref="AI17" si="13">((AI15/AF15)^(1/3))-1</f>
      </c>
      <c r="AJ17" s="2465">
        <f t="shared" ref="AJ17" si="14">((AJ15/AG15)^(1/3))-1</f>
      </c>
      <c r="AK17" s="2465">
        <f t="shared" ref="AK17" si="15">((AK15/AH15)^(1/3))-1</f>
      </c>
      <c r="AL17" s="1383">
        <f t="shared" ref="AL17" si="16">((AL15/AI15)^(1/3))-1</f>
      </c>
      <c r="AM17" s="1384"/>
      <c r="AN17" s="1385"/>
      <c r="AO17" s="1386"/>
      <c r="AP17" s="1374"/>
      <c r="AQ17" s="196"/>
      <c r="AR17" s="196"/>
      <c r="AS17" s="1375"/>
      <c r="AU17" s="1376"/>
      <c r="AV17" s="1376"/>
      <c r="AW17" s="1376"/>
      <c r="AX17" s="1377"/>
      <c r="AY17" s="1377"/>
      <c r="AZ17" s="1377"/>
    </row>
    <row r="18" spans="1:52" ht="12">
      <c r="A18" s="1387"/>
      <c r="B18" s="1316"/>
      <c r="C18" s="1388"/>
      <c r="D18" s="1388"/>
      <c r="E18" s="1388"/>
      <c r="F18" s="1388"/>
      <c r="G18" s="1388"/>
      <c r="H18" s="1388"/>
      <c r="I18" s="1388"/>
      <c r="J18" s="1388"/>
      <c r="K18" s="1388"/>
      <c r="L18" s="1388"/>
      <c r="M18" s="1389"/>
      <c r="N18" s="1389"/>
      <c r="O18" s="1388"/>
      <c r="P18" s="1388"/>
      <c r="Q18" s="1388"/>
      <c r="R18" s="1389"/>
      <c r="S18" s="1389"/>
      <c r="T18" s="1389"/>
      <c r="U18" s="1389"/>
      <c r="V18" s="1389"/>
      <c r="W18" s="1389"/>
      <c r="X18" s="1389"/>
      <c r="Y18" s="1389"/>
      <c r="Z18" s="1389"/>
      <c r="AA18" s="1389"/>
      <c r="AB18" s="1389"/>
      <c r="AC18" s="1389"/>
      <c r="AD18" s="1389"/>
      <c r="AE18" s="1389"/>
      <c r="AF18" s="1389"/>
      <c r="AG18" s="1389"/>
      <c r="AH18" s="1389"/>
      <c r="AI18" s="1389"/>
      <c r="AJ18" s="1389"/>
      <c r="AK18" s="1389"/>
      <c r="AL18" s="1390"/>
      <c r="AM18" s="1391"/>
      <c r="AN18" s="1392"/>
      <c r="AO18" s="1386"/>
      <c r="AP18" s="1374"/>
      <c r="AQ18" s="196"/>
      <c r="AR18" s="196"/>
      <c r="AS18" s="1375"/>
      <c r="AU18" s="1376"/>
      <c r="AV18" s="1376"/>
      <c r="AW18" s="1376"/>
      <c r="AX18" s="1377"/>
      <c r="AY18" s="1377"/>
      <c r="AZ18" s="1377"/>
    </row>
    <row r="19" spans="1:52">
      <c r="A19" s="1323" t="s">
        <v>1317</v>
      </c>
      <c r="B19" s="1307"/>
      <c r="C19" s="1356"/>
      <c r="D19" s="1356">
        <f>'Income Statement'!EM32</f>
      </c>
      <c r="E19" s="1356">
        <f>'Income Statement'!EN32</f>
      </c>
      <c r="F19" s="1356">
        <f>'Income Statement'!EO32</f>
      </c>
      <c r="G19" s="1356">
        <f>'Income Statement'!EP32</f>
      </c>
      <c r="H19" s="1356">
        <f>'Income Statement'!EQ32</f>
      </c>
      <c r="I19" s="1356">
        <f>'Income Statement'!ER32</f>
      </c>
      <c r="J19" s="1356">
        <f>'Income Statement'!ES32</f>
      </c>
      <c r="K19" s="1356">
        <f>'Income Statement'!ET32</f>
      </c>
      <c r="L19" s="1356">
        <f>'Income Statement'!EU32</f>
      </c>
      <c r="M19" s="1357">
        <f>'Income Statement'!EV32</f>
      </c>
      <c r="N19" s="1357">
        <f>'Income Statement'!EW32</f>
      </c>
      <c r="O19" s="1356">
        <f>'Income Statement'!EX32</f>
      </c>
      <c r="P19" s="1356">
        <f>'Income Statement'!EY32</f>
      </c>
      <c r="Q19" s="1356">
        <f>'Income Statement'!EZ32</f>
      </c>
      <c r="R19" s="1357">
        <f>'Income Statement'!FA32</f>
      </c>
      <c r="S19" s="1357">
        <f>'Income Statement'!FB32</f>
      </c>
      <c r="T19" s="1357">
        <f>'Income Statement'!FC32</f>
      </c>
      <c r="U19" s="1357">
        <f>'Income Statement'!FD32</f>
      </c>
      <c r="V19" s="1357">
        <f>'Income Statement'!FE32</f>
      </c>
      <c r="W19" s="1357">
        <f>'Income Statement'!FF32</f>
      </c>
      <c r="X19" s="1357">
        <f>'Income Statement'!FG32</f>
      </c>
      <c r="Y19" s="1357">
        <f>'Income Statement'!FH32</f>
      </c>
      <c r="Z19" s="1357">
        <f>'Income Statement'!FI32</f>
      </c>
      <c r="AA19" s="1357">
        <f>'Income Statement'!FJ32</f>
      </c>
      <c r="AB19" s="1357">
        <f>'Income Statement'!FK32</f>
      </c>
      <c r="AC19" s="1357">
        <f>'Income Statement'!FL32</f>
      </c>
      <c r="AD19" s="1357">
        <f>'Income Statement'!FM32</f>
      </c>
      <c r="AE19" s="1357">
        <f>'Income Statement'!FN32</f>
      </c>
      <c r="AF19" s="1357">
        <f>'Income Statement'!FO32</f>
      </c>
      <c r="AG19" s="1357">
        <f>'Income Statement'!FP32</f>
      </c>
      <c r="AH19" s="1357">
        <f>'Income Statement'!FQ32</f>
      </c>
      <c r="AI19" s="1357">
        <f>'Income Statement'!FR32</f>
      </c>
      <c r="AJ19" s="1357">
        <f>'Income Statement'!FS32</f>
      </c>
      <c r="AK19" s="1357">
        <f>'Income Statement'!FT32</f>
      </c>
      <c r="AL19" s="1359">
        <f>'Income Statement'!FU32</f>
      </c>
      <c r="AM19" s="1360">
        <f ca="1">SUM(AP19:AS19)</f>
      </c>
      <c r="AN19" s="1361"/>
      <c r="AO19" s="1386" t="s">
        <v>1317</v>
      </c>
      <c r="AP19" s="1393">
        <f ca="1">VLOOKUP('Income Statement'!$A$32,'Income Statement'!32:32,MATCH(AP$14,'Income Statement'!$7:$7,0),0)</f>
      </c>
      <c r="AQ19" s="1394">
        <f ca="1">VLOOKUP('Income Statement'!$A$32,'Income Statement'!32:32,MATCH(AQ$14,'Income Statement'!$7:$7,0),0)</f>
      </c>
      <c r="AR19" s="1394">
        <f ca="1">VLOOKUP('Income Statement'!$A$32,'Income Statement'!32:32,MATCH(AR$14,'Income Statement'!$7:$7,0),0)</f>
      </c>
      <c r="AS19" s="1395">
        <f ca="1">VLOOKUP('Income Statement'!$A$32,'Income Statement'!32:32,MATCH(AS$14,'Income Statement'!$7:$7,0),0)</f>
      </c>
      <c r="AU19" s="1376"/>
      <c r="AV19" s="1376"/>
      <c r="AW19" s="1376"/>
      <c r="AX19" s="1377"/>
      <c r="AY19" s="1377"/>
      <c r="AZ19" s="1377"/>
    </row>
    <row r="20" spans="1:52">
      <c r="A20" s="1323" t="s">
        <v>1315</v>
      </c>
      <c r="B20" s="1307"/>
      <c r="C20" s="1368"/>
      <c r="D20" s="1368"/>
      <c r="E20" s="1368">
        <f t="shared" ref="E20" si="17">E19/D19-1</f>
      </c>
      <c r="F20" s="1368">
        <f t="shared" ref="F20" si="18">F19/E19-1</f>
      </c>
      <c r="G20" s="1368">
        <f t="shared" ref="G20" si="19">G19/F19-1</f>
      </c>
      <c r="H20" s="1368">
        <f t="shared" ref="H20" si="20">H19/G19-1</f>
      </c>
      <c r="I20" s="1368">
        <f t="shared" ref="I20" si="21">I19/H19-1</f>
      </c>
      <c r="J20" s="1368">
        <f t="shared" ref="J20" si="22">J19/I19-1</f>
      </c>
      <c r="K20" s="1368">
        <f t="shared" ref="K20:AH20" si="23">K19/J19-1</f>
      </c>
      <c r="L20" s="1368">
        <f t="shared" si="23"/>
      </c>
      <c r="M20" s="1369">
        <f t="shared" si="23"/>
      </c>
      <c r="N20" s="1369">
        <f t="shared" si="23"/>
      </c>
      <c r="O20" s="1368">
        <f t="shared" si="23"/>
      </c>
      <c r="P20" s="1368">
        <f t="shared" si="23"/>
      </c>
      <c r="Q20" s="1368">
        <f t="shared" si="23"/>
      </c>
      <c r="R20" s="1369">
        <f t="shared" si="23"/>
      </c>
      <c r="S20" s="1369">
        <f t="shared" si="23"/>
      </c>
      <c r="T20" s="1369">
        <f t="shared" si="23"/>
      </c>
      <c r="U20" s="1369">
        <f t="shared" si="23"/>
      </c>
      <c r="V20" s="1369">
        <f t="shared" si="23"/>
      </c>
      <c r="W20" s="1369">
        <f t="shared" si="23"/>
      </c>
      <c r="X20" s="1369">
        <f t="shared" si="23"/>
      </c>
      <c r="Y20" s="1369">
        <f t="shared" si="23"/>
      </c>
      <c r="Z20" s="1369">
        <f t="shared" si="23"/>
      </c>
      <c r="AA20" s="1369">
        <f t="shared" si="23"/>
      </c>
      <c r="AB20" s="1369">
        <f t="shared" si="23"/>
      </c>
      <c r="AC20" s="1369">
        <f t="shared" si="23"/>
      </c>
      <c r="AD20" s="1369">
        <f t="shared" si="23"/>
      </c>
      <c r="AE20" s="1369">
        <f t="shared" si="23"/>
      </c>
      <c r="AF20" s="1369">
        <f t="shared" si="23"/>
      </c>
      <c r="AG20" s="1369">
        <f t="shared" si="23"/>
      </c>
      <c r="AH20" s="1369">
        <f t="shared" si="23"/>
      </c>
      <c r="AI20" s="1369">
        <f t="shared" ref="AI20" si="24">AI19/AH19-1</f>
      </c>
      <c r="AJ20" s="1369">
        <f t="shared" ref="AJ20" si="25">AJ19/AI19-1</f>
      </c>
      <c r="AK20" s="1369">
        <f t="shared" ref="AK20" si="26">AK19/AJ19-1</f>
      </c>
      <c r="AL20" s="1370">
        <f t="shared" ref="AL20" si="27">AL19/AK19-1</f>
      </c>
      <c r="AM20" s="1371"/>
      <c r="AN20" s="1372"/>
      <c r="AO20" s="1373"/>
      <c r="AP20" s="1396"/>
      <c r="AQ20" s="160"/>
      <c r="AR20" s="160"/>
      <c r="AS20" s="1397"/>
      <c r="AU20" s="1376"/>
      <c r="AV20" s="1376"/>
      <c r="AW20" s="1376"/>
      <c r="AX20" s="1377"/>
      <c r="AY20" s="1377"/>
      <c r="AZ20" s="1377"/>
    </row>
    <row r="21" spans="1:52" ht="12">
      <c r="A21" s="1378" t="s">
        <v>1316</v>
      </c>
      <c r="B21" s="1379"/>
      <c r="C21" s="1380"/>
      <c r="D21" s="1380"/>
      <c r="E21" s="1380"/>
      <c r="F21" s="1380"/>
      <c r="G21" s="1380">
        <f t="shared" ref="G21:J21" si="28">((G19/D19)^(1/3))-1</f>
      </c>
      <c r="H21" s="1380">
        <f t="shared" si="28"/>
      </c>
      <c r="I21" s="1380">
        <f t="shared" si="28"/>
      </c>
      <c r="J21" s="1380">
        <f t="shared" si="28"/>
      </c>
      <c r="K21" s="1380">
        <f>((K19/H19)^(1/3))-1</f>
      </c>
      <c r="L21" s="1380">
        <f t="shared" ref="L21:AH21" si="29">((L19/I19)^(1/3))-1</f>
      </c>
      <c r="M21" s="1381">
        <f t="shared" si="29"/>
      </c>
      <c r="N21" s="1381">
        <f t="shared" si="29"/>
      </c>
      <c r="O21" s="1380">
        <f t="shared" si="29"/>
      </c>
      <c r="P21" s="1380">
        <f t="shared" si="29"/>
      </c>
      <c r="Q21" s="1380">
        <f t="shared" si="29"/>
      </c>
      <c r="R21" s="1381">
        <f t="shared" si="29"/>
      </c>
      <c r="S21" s="1381">
        <f t="shared" si="29"/>
      </c>
      <c r="T21" s="1382">
        <f t="shared" si="29"/>
      </c>
      <c r="U21" s="1382">
        <f t="shared" si="29"/>
      </c>
      <c r="V21" s="1382">
        <f t="shared" si="29"/>
      </c>
      <c r="W21" s="1382">
        <f t="shared" si="29"/>
      </c>
      <c r="X21" s="1382">
        <f t="shared" si="29"/>
      </c>
      <c r="Y21" s="1382">
        <f t="shared" si="29"/>
      </c>
      <c r="Z21" s="1382">
        <f t="shared" si="29"/>
      </c>
      <c r="AA21" s="1382">
        <f t="shared" si="29"/>
      </c>
      <c r="AB21" s="1382">
        <f t="shared" si="29"/>
      </c>
      <c r="AC21" s="1382">
        <f t="shared" si="29"/>
      </c>
      <c r="AD21" s="1382">
        <f t="shared" si="29"/>
      </c>
      <c r="AE21" s="1382">
        <f t="shared" si="29"/>
      </c>
      <c r="AF21" s="1382">
        <f t="shared" si="29"/>
      </c>
      <c r="AG21" s="1382">
        <f t="shared" si="29"/>
      </c>
      <c r="AH21" s="2465">
        <f t="shared" si="29"/>
      </c>
      <c r="AI21" s="2465">
        <f t="shared" ref="AI21" si="30">((AI19/AF19)^(1/3))-1</f>
      </c>
      <c r="AJ21" s="2465">
        <f t="shared" ref="AJ21" si="31">((AJ19/AG19)^(1/3))-1</f>
      </c>
      <c r="AK21" s="2465">
        <f t="shared" ref="AK21" si="32">((AK19/AH19)^(1/3))-1</f>
      </c>
      <c r="AL21" s="1383">
        <f t="shared" ref="AL21" si="33">((AL19/AI19)^(1/3))-1</f>
      </c>
      <c r="AM21" s="1398"/>
      <c r="AN21" s="1372"/>
      <c r="AO21" s="1399"/>
      <c r="AP21" s="1396"/>
      <c r="AQ21" s="160"/>
      <c r="AR21" s="160"/>
      <c r="AS21" s="1397"/>
    </row>
    <row r="22" spans="1:52" ht="12">
      <c r="A22" s="1323"/>
      <c r="B22" s="1307"/>
      <c r="C22" s="1307"/>
      <c r="D22" s="1307"/>
      <c r="E22" s="1307"/>
      <c r="F22" s="1307"/>
      <c r="G22" s="1307"/>
      <c r="H22" s="1307"/>
      <c r="I22" s="1307"/>
      <c r="J22" s="1307"/>
      <c r="K22" s="1307"/>
      <c r="L22" s="1307"/>
      <c r="M22" s="1400"/>
      <c r="N22" s="1400"/>
      <c r="O22" s="1307"/>
      <c r="P22" s="1307"/>
      <c r="Q22" s="1307"/>
      <c r="R22" s="1400"/>
      <c r="S22" s="1400"/>
      <c r="T22" s="1372"/>
      <c r="U22" s="1372"/>
      <c r="V22" s="1372"/>
      <c r="W22" s="1372"/>
      <c r="X22" s="1372"/>
      <c r="Y22" s="1372"/>
      <c r="Z22" s="1372"/>
      <c r="AA22" s="1372"/>
      <c r="AB22" s="1372"/>
      <c r="AC22" s="1372"/>
      <c r="AD22" s="1372"/>
      <c r="AE22" s="1372"/>
      <c r="AF22" s="1372"/>
      <c r="AG22" s="1372"/>
      <c r="AH22" s="1372"/>
      <c r="AI22" s="1372"/>
      <c r="AJ22" s="1372"/>
      <c r="AK22" s="1372"/>
      <c r="AL22" s="1401"/>
      <c r="AM22" s="1371"/>
      <c r="AN22" s="1392"/>
      <c r="AO22" s="1402"/>
      <c r="AP22" s="1403"/>
      <c r="AQ22" s="165"/>
      <c r="AR22" s="165"/>
      <c r="AS22" s="1404"/>
    </row>
    <row r="23" spans="1:52" ht="12">
      <c r="A23" s="1323" t="s">
        <v>261</v>
      </c>
      <c r="B23" s="1307"/>
      <c r="C23" s="1405"/>
      <c r="D23" s="1405"/>
      <c r="E23" s="1405"/>
      <c r="F23" s="1405"/>
      <c r="G23" s="1405"/>
      <c r="H23" s="1405"/>
      <c r="I23" s="1405"/>
      <c r="J23" s="1405"/>
      <c r="K23" s="1405"/>
      <c r="L23" s="1405"/>
      <c r="M23" s="1406"/>
      <c r="N23" s="1406"/>
      <c r="O23" s="1405"/>
      <c r="P23" s="1405"/>
      <c r="Q23" s="1405"/>
      <c r="R23" s="1406"/>
      <c r="S23" s="1406"/>
      <c r="T23" s="1407"/>
      <c r="U23" s="1407"/>
      <c r="V23" s="1407"/>
      <c r="W23" s="1407"/>
      <c r="X23" s="1407">
        <f>'Income Statement'!FG17</f>
      </c>
      <c r="Y23" s="1407">
        <f>'Income Statement'!FH17</f>
      </c>
      <c r="Z23" s="1407">
        <f>'Income Statement'!FI17</f>
      </c>
      <c r="AA23" s="1407">
        <f>'Income Statement'!FJ17</f>
      </c>
      <c r="AB23" s="1407">
        <f>'Income Statement'!FK17</f>
      </c>
      <c r="AC23" s="1407">
        <f>'Income Statement'!FL17</f>
      </c>
      <c r="AD23" s="1407">
        <f>'Income Statement'!FM17</f>
      </c>
      <c r="AE23" s="1407">
        <f>'Income Statement'!FN17</f>
      </c>
      <c r="AF23" s="1407">
        <f>'Income Statement'!FO17</f>
      </c>
      <c r="AG23" s="1407">
        <f>'Income Statement'!FP17</f>
      </c>
      <c r="AH23" s="1407">
        <f>'Income Statement'!FQ17</f>
      </c>
      <c r="AI23" s="1407">
        <f>'Income Statement'!FR17</f>
      </c>
      <c r="AJ23" s="1407">
        <f>'Income Statement'!FS17</f>
      </c>
      <c r="AK23" s="1407">
        <f>'Income Statement'!FT17</f>
      </c>
      <c r="AL23" s="1408">
        <f>'Income Statement'!FU17</f>
      </c>
      <c r="AM23" s="1409">
        <f ca="1">SUM(AP23:AS23)</f>
      </c>
      <c r="AN23" s="1392"/>
      <c r="AO23" s="1386" t="s">
        <v>261</v>
      </c>
      <c r="AP23" s="1410">
        <f ca="1">VLOOKUP('Income Statement'!$A$17,'Income Statement'!17:17,MATCH(AP$14,'Income Statement'!$7:$7,0),0)</f>
      </c>
      <c r="AQ23" s="1411">
        <f ca="1">VLOOKUP('Income Statement'!$A$17,'Income Statement'!17:17,MATCH(AQ$14,'Income Statement'!$7:$7,0),0)</f>
      </c>
      <c r="AR23" s="1411">
        <f ca="1">VLOOKUP('Income Statement'!$A$17,'Income Statement'!17:17,MATCH(AR$14,'Income Statement'!$7:$7,0),0)</f>
      </c>
      <c r="AS23" s="1412">
        <f ca="1">VLOOKUP('Income Statement'!$A$17,'Income Statement'!17:17,MATCH(AS$14,'Income Statement'!$7:$7,0),0)</f>
      </c>
    </row>
    <row r="24" spans="1:52" ht="12">
      <c r="A24" s="1323" t="s">
        <v>1315</v>
      </c>
      <c r="B24" s="1307"/>
      <c r="C24" s="1368"/>
      <c r="D24" s="1368"/>
      <c r="E24" s="1368"/>
      <c r="F24" s="1368"/>
      <c r="G24" s="1368"/>
      <c r="H24" s="1368"/>
      <c r="I24" s="1368"/>
      <c r="J24" s="1368"/>
      <c r="K24" s="1368"/>
      <c r="L24" s="1368"/>
      <c r="M24" s="1369"/>
      <c r="N24" s="1369"/>
      <c r="O24" s="1368"/>
      <c r="P24" s="1368"/>
      <c r="Q24" s="1368"/>
      <c r="R24" s="1369"/>
      <c r="S24" s="1369"/>
      <c r="T24" s="1369"/>
      <c r="U24" s="1369"/>
      <c r="V24" s="1369"/>
      <c r="W24" s="1369"/>
      <c r="X24" s="1369"/>
      <c r="Y24" s="1369">
        <f t="shared" ref="Y24:AC24" si="34">Y23/X23-1</f>
      </c>
      <c r="Z24" s="1369">
        <f t="shared" si="34"/>
      </c>
      <c r="AA24" s="1369">
        <f t="shared" si="34"/>
      </c>
      <c r="AB24" s="1369">
        <f t="shared" si="34"/>
      </c>
      <c r="AC24" s="1369">
        <f t="shared" si="34"/>
      </c>
      <c r="AD24" s="1369">
        <f t="shared" ref="AD24:AH24" si="35">AD23/AC23-1</f>
      </c>
      <c r="AE24" s="1369">
        <f t="shared" si="35"/>
      </c>
      <c r="AF24" s="1369">
        <f t="shared" si="35"/>
      </c>
      <c r="AG24" s="1369">
        <f t="shared" si="35"/>
      </c>
      <c r="AH24" s="1369">
        <f t="shared" si="35"/>
      </c>
      <c r="AI24" s="1369">
        <f t="shared" ref="AI24" si="36">AI23/AH23-1</f>
      </c>
      <c r="AJ24" s="1369">
        <f t="shared" ref="AJ24" si="37">AJ23/AI23-1</f>
      </c>
      <c r="AK24" s="1369">
        <f t="shared" ref="AK24" si="38">AK23/AJ23-1</f>
      </c>
      <c r="AL24" s="1370">
        <f t="shared" ref="AL24" si="39">AL23/AK23-1</f>
      </c>
      <c r="AM24" s="1413"/>
      <c r="AN24" s="1392"/>
      <c r="AO24" s="1414"/>
      <c r="AP24" s="1403"/>
      <c r="AQ24" s="165"/>
      <c r="AR24" s="165"/>
      <c r="AS24" s="1404"/>
    </row>
    <row r="25" spans="1:52" ht="12">
      <c r="A25" s="1378" t="s">
        <v>1318</v>
      </c>
      <c r="B25" s="1379"/>
      <c r="C25" s="1380"/>
      <c r="D25" s="1380"/>
      <c r="E25" s="1380"/>
      <c r="F25" s="1380"/>
      <c r="G25" s="1380"/>
      <c r="H25" s="1380"/>
      <c r="I25" s="1380"/>
      <c r="J25" s="1380"/>
      <c r="K25" s="1380"/>
      <c r="L25" s="1380"/>
      <c r="M25" s="1381"/>
      <c r="N25" s="1381"/>
      <c r="O25" s="1380"/>
      <c r="P25" s="1380"/>
      <c r="Q25" s="1380"/>
      <c r="R25" s="1381"/>
      <c r="S25" s="1381"/>
      <c r="T25" s="1382"/>
      <c r="U25" s="1382"/>
      <c r="V25" s="1382"/>
      <c r="W25" s="1382"/>
      <c r="X25" s="1382"/>
      <c r="Y25" s="1382"/>
      <c r="Z25" s="1382"/>
      <c r="AA25" s="1382">
        <f t="shared" ref="AA25:AH25" si="40">((AA23/X23)^(1/3))-1</f>
      </c>
      <c r="AB25" s="1382">
        <f t="shared" si="40"/>
      </c>
      <c r="AC25" s="1382">
        <f t="shared" si="40"/>
      </c>
      <c r="AD25" s="1382">
        <f t="shared" si="40"/>
      </c>
      <c r="AE25" s="1382">
        <f t="shared" si="40"/>
      </c>
      <c r="AF25" s="1382">
        <f t="shared" si="40"/>
      </c>
      <c r="AG25" s="1382">
        <f t="shared" si="40"/>
      </c>
      <c r="AH25" s="2465">
        <f t="shared" si="40"/>
      </c>
      <c r="AI25" s="2465">
        <f t="shared" ref="AI25" si="41">((AI23/AF23)^(1/3))-1</f>
      </c>
      <c r="AJ25" s="2465">
        <f t="shared" ref="AJ25" si="42">((AJ23/AG23)^(1/3))-1</f>
      </c>
      <c r="AK25" s="2465">
        <f t="shared" ref="AK25" si="43">((AK23/AH23)^(1/3))-1</f>
      </c>
      <c r="AL25" s="1383">
        <f t="shared" ref="AL25" si="44">((AL23/AI23)^(1/3))-1</f>
      </c>
      <c r="AM25" s="1398"/>
      <c r="AN25" s="1392"/>
      <c r="AO25" s="1414"/>
      <c r="AP25" s="1403"/>
      <c r="AQ25" s="165"/>
      <c r="AR25" s="165"/>
      <c r="AS25" s="1404"/>
    </row>
    <row r="26" spans="1:52" ht="12">
      <c r="A26" s="1323"/>
      <c r="B26" s="1307"/>
      <c r="C26" s="1307"/>
      <c r="D26" s="1307"/>
      <c r="E26" s="1307"/>
      <c r="F26" s="1307"/>
      <c r="G26" s="1307"/>
      <c r="H26" s="1307"/>
      <c r="I26" s="1307"/>
      <c r="J26" s="1307"/>
      <c r="K26" s="1307"/>
      <c r="L26" s="1307"/>
      <c r="M26" s="1400"/>
      <c r="N26" s="1400"/>
      <c r="O26" s="1307"/>
      <c r="P26" s="1307"/>
      <c r="Q26" s="1307"/>
      <c r="R26" s="1400"/>
      <c r="S26" s="1400"/>
      <c r="T26" s="1372"/>
      <c r="U26" s="1372"/>
      <c r="V26" s="1372"/>
      <c r="W26" s="1372"/>
      <c r="X26" s="1372"/>
      <c r="Y26" s="1372"/>
      <c r="Z26" s="1372"/>
      <c r="AA26" s="1372"/>
      <c r="AB26" s="1372"/>
      <c r="AC26" s="1372"/>
      <c r="AD26" s="1372"/>
      <c r="AE26" s="1372"/>
      <c r="AF26" s="1372"/>
      <c r="AG26" s="1372"/>
      <c r="AH26" s="1372"/>
      <c r="AI26" s="1372"/>
      <c r="AJ26" s="1372"/>
      <c r="AK26" s="1372"/>
      <c r="AL26" s="1401"/>
      <c r="AM26" s="1371"/>
      <c r="AN26" s="1392"/>
      <c r="AO26" s="1414"/>
      <c r="AP26" s="1403"/>
      <c r="AQ26" s="165"/>
      <c r="AR26" s="165"/>
      <c r="AS26" s="1404"/>
    </row>
    <row r="27" spans="1:52" ht="12">
      <c r="A27" s="1323" t="s">
        <v>1594</v>
      </c>
      <c r="B27" s="1307"/>
      <c r="C27" s="1405"/>
      <c r="D27" s="1405"/>
      <c r="E27" s="1405"/>
      <c r="F27" s="1405"/>
      <c r="G27" s="1405"/>
      <c r="H27" s="1405"/>
      <c r="I27" s="1405"/>
      <c r="J27" s="1405"/>
      <c r="K27" s="1405"/>
      <c r="L27" s="1405"/>
      <c r="M27" s="1406"/>
      <c r="N27" s="1406"/>
      <c r="O27" s="1405"/>
      <c r="P27" s="1405"/>
      <c r="Q27" s="1405"/>
      <c r="R27" s="1406"/>
      <c r="S27" s="1406"/>
      <c r="T27" s="1407"/>
      <c r="U27" s="1407"/>
      <c r="V27" s="1407"/>
      <c r="W27" s="1407"/>
      <c r="X27" s="1407">
        <f>'Income Statement'!FG21</f>
      </c>
      <c r="Y27" s="1407">
        <f>'Income Statement'!FH21</f>
      </c>
      <c r="Z27" s="1407">
        <f>'Income Statement'!FI21</f>
      </c>
      <c r="AA27" s="2468">
        <f>'Cash Flow Statement'!FK55</f>
      </c>
      <c r="AB27" s="2468">
        <f>'Cash Flow Statement'!FL55</f>
      </c>
      <c r="AC27" s="2468">
        <f>'Cash Flow Statement'!FM55</f>
      </c>
      <c r="AD27" s="2468">
        <f>'Cash Flow Statement'!FN55</f>
      </c>
      <c r="AE27" s="2468">
        <f>'Cash Flow Statement'!FO55</f>
      </c>
      <c r="AF27" s="2468">
        <f>'Cash Flow Statement'!FP55</f>
      </c>
      <c r="AG27" s="2468">
        <f>'Cash Flow Statement'!FQ55</f>
      </c>
      <c r="AH27" s="2468">
        <f>'Cash Flow Statement'!FR55</f>
      </c>
      <c r="AI27" s="2468">
        <f>'Cash Flow Statement'!FS55</f>
      </c>
      <c r="AJ27" s="2468">
        <f>'Cash Flow Statement'!FT55</f>
      </c>
      <c r="AK27" s="2468">
        <f>'Cash Flow Statement'!FU55</f>
      </c>
      <c r="AL27" s="2469">
        <f>'Cash Flow Statement'!FV55</f>
      </c>
      <c r="AM27" s="2473">
        <f ca="1">SUM(AP27:AS27)</f>
      </c>
      <c r="AN27" s="1392"/>
      <c r="AO27" s="1386" t="s">
        <v>1594</v>
      </c>
      <c r="AP27" s="2470">
        <f ca="1">VLOOKUP($AO27,'Cash Flow Statement'!$A$54:$FV$55,MATCH(Valuation!AP$14,'Cash Flow Statement'!$A$8:$FV$8,0),0)</f>
      </c>
      <c r="AQ27" s="2471">
        <f ca="1">VLOOKUP($AO27,'Cash Flow Statement'!$A$54:$FV$55,MATCH(Valuation!AQ$14,'Cash Flow Statement'!$A$8:$FV$8,0),0)</f>
      </c>
      <c r="AR27" s="2471">
        <f ca="1">VLOOKUP($AO27,'Cash Flow Statement'!$A$54:$FV$55,MATCH(Valuation!AR$14,'Cash Flow Statement'!$A$8:$FV$8,0),0)</f>
      </c>
      <c r="AS27" s="2472">
        <f ca="1">VLOOKUP($AO27,'Cash Flow Statement'!$A$54:$FV$55,MATCH(Valuation!AS$14,'Cash Flow Statement'!$A$8:$FV$8,0),0)</f>
      </c>
    </row>
    <row r="28" spans="1:52" ht="12">
      <c r="A28" s="1323" t="s">
        <v>1315</v>
      </c>
      <c r="B28" s="1307"/>
      <c r="C28" s="1368"/>
      <c r="D28" s="1368"/>
      <c r="E28" s="1368"/>
      <c r="F28" s="1368"/>
      <c r="G28" s="1368"/>
      <c r="H28" s="1368"/>
      <c r="I28" s="1368"/>
      <c r="J28" s="1368"/>
      <c r="K28" s="1368"/>
      <c r="L28" s="1368"/>
      <c r="M28" s="1369"/>
      <c r="N28" s="1369"/>
      <c r="O28" s="1368"/>
      <c r="P28" s="1368"/>
      <c r="Q28" s="1368"/>
      <c r="R28" s="1369"/>
      <c r="S28" s="1369"/>
      <c r="T28" s="1369"/>
      <c r="U28" s="1369"/>
      <c r="V28" s="1369"/>
      <c r="W28" s="1369"/>
      <c r="X28" s="1369"/>
      <c r="Y28" s="1369">
        <f t="shared" ref="Y28" si="45">Y27/X27-1</f>
      </c>
      <c r="Z28" s="1369">
        <f t="shared" ref="Z28" si="46">Z27/Y27-1</f>
      </c>
      <c r="AA28" s="1369">
        <f t="shared" ref="AA28" si="47">AA27/Z27-1</f>
      </c>
      <c r="AB28" s="1369">
        <f t="shared" ref="AB28:AC28" si="48">AB27/AA27-1</f>
      </c>
      <c r="AC28" s="1369">
        <f t="shared" si="48"/>
      </c>
      <c r="AD28" s="1369">
        <f t="shared" ref="AD28" si="49">AD27/AC27-1</f>
      </c>
      <c r="AE28" s="1369">
        <f t="shared" ref="AE28" si="50">AE27/AD27-1</f>
      </c>
      <c r="AF28" s="1369">
        <f t="shared" ref="AF28" si="51">AF27/AE27-1</f>
      </c>
      <c r="AG28" s="1369">
        <f t="shared" ref="AG28" si="52">AG27/AF27-1</f>
      </c>
      <c r="AH28" s="1369">
        <f t="shared" ref="AH28" si="53">AH27/AG27-1</f>
      </c>
      <c r="AI28" s="1369">
        <f t="shared" ref="AI28" si="54">AI27/AH27-1</f>
      </c>
      <c r="AJ28" s="1369">
        <f t="shared" ref="AJ28" si="55">AJ27/AI27-1</f>
      </c>
      <c r="AK28" s="1369">
        <f t="shared" ref="AK28" si="56">AK27/AJ27-1</f>
      </c>
      <c r="AL28" s="1370">
        <f t="shared" ref="AL28" si="57">AL27/AK27-1</f>
      </c>
      <c r="AM28" s="1413"/>
      <c r="AN28" s="1392"/>
      <c r="AO28" s="1414"/>
      <c r="AP28" s="1403"/>
      <c r="AQ28" s="165"/>
      <c r="AR28" s="165"/>
      <c r="AS28" s="1404"/>
    </row>
    <row r="29" spans="1:52" ht="12">
      <c r="A29" s="1378" t="s">
        <v>1318</v>
      </c>
      <c r="B29" s="1379"/>
      <c r="C29" s="1380"/>
      <c r="D29" s="1380"/>
      <c r="E29" s="1380"/>
      <c r="F29" s="1380"/>
      <c r="G29" s="1380"/>
      <c r="H29" s="1380"/>
      <c r="I29" s="1380"/>
      <c r="J29" s="1380"/>
      <c r="K29" s="1380"/>
      <c r="L29" s="1380"/>
      <c r="M29" s="1381"/>
      <c r="N29" s="1381"/>
      <c r="O29" s="1380"/>
      <c r="P29" s="1380"/>
      <c r="Q29" s="1380"/>
      <c r="R29" s="1381"/>
      <c r="S29" s="1381"/>
      <c r="T29" s="1382"/>
      <c r="U29" s="1382"/>
      <c r="V29" s="1382"/>
      <c r="W29" s="1382"/>
      <c r="X29" s="1382"/>
      <c r="Y29" s="1382"/>
      <c r="Z29" s="1382"/>
      <c r="AA29" s="1382">
        <f t="shared" ref="AA29" si="58">((AA27/X27)^(1/3))-1</f>
      </c>
      <c r="AB29" s="1382">
        <f t="shared" ref="AB29" si="59">((AB27/Y27)^(1/3))-1</f>
      </c>
      <c r="AC29" s="1382">
        <f t="shared" ref="AC29" si="60">((AC27/Z27)^(1/3))-1</f>
      </c>
      <c r="AD29" s="1382">
        <f t="shared" ref="AD29" si="61">((AD27/AA27)^(1/3))-1</f>
      </c>
      <c r="AE29" s="1382">
        <f t="shared" ref="AE29" si="62">((AE27/AB27)^(1/3))-1</f>
      </c>
      <c r="AF29" s="1382">
        <f t="shared" ref="AF29" si="63">((AF27/AC27)^(1/3))-1</f>
      </c>
      <c r="AG29" s="1382">
        <f t="shared" ref="AG29" si="64">((AG27/AD27)^(1/3))-1</f>
      </c>
      <c r="AH29" s="2465">
        <f t="shared" ref="AH29" si="65">((AH27/AE27)^(1/3))-1</f>
      </c>
      <c r="AI29" s="2465">
        <f t="shared" ref="AI29" si="66">((AI27/AF27)^(1/3))-1</f>
      </c>
      <c r="AJ29" s="2465">
        <f t="shared" ref="AJ29" si="67">((AJ27/AG27)^(1/3))-1</f>
      </c>
      <c r="AK29" s="2465">
        <f t="shared" ref="AK29" si="68">((AK27/AH27)^(1/3))-1</f>
      </c>
      <c r="AL29" s="1383">
        <f t="shared" ref="AL29" si="69">((AL27/AI27)^(1/3))-1</f>
      </c>
      <c r="AM29" s="1398"/>
      <c r="AN29" s="1392"/>
      <c r="AO29" s="1414"/>
      <c r="AP29" s="1403"/>
      <c r="AQ29" s="165"/>
      <c r="AR29" s="165"/>
      <c r="AS29" s="1404"/>
    </row>
    <row r="30" spans="1:52" ht="12">
      <c r="A30" s="1323"/>
      <c r="B30" s="1307"/>
      <c r="C30" s="1307"/>
      <c r="D30" s="1307"/>
      <c r="E30" s="1307"/>
      <c r="F30" s="1307"/>
      <c r="G30" s="1307"/>
      <c r="H30" s="1307"/>
      <c r="I30" s="1307"/>
      <c r="J30" s="1307"/>
      <c r="K30" s="1307"/>
      <c r="L30" s="1307"/>
      <c r="M30" s="1400"/>
      <c r="N30" s="1400"/>
      <c r="O30" s="1307"/>
      <c r="P30" s="1307"/>
      <c r="Q30" s="1307"/>
      <c r="R30" s="1400"/>
      <c r="S30" s="1400"/>
      <c r="T30" s="1372"/>
      <c r="U30" s="1372"/>
      <c r="V30" s="1372"/>
      <c r="W30" s="1372"/>
      <c r="X30" s="1372"/>
      <c r="Y30" s="1372"/>
      <c r="Z30" s="1372"/>
      <c r="AA30" s="1372"/>
      <c r="AB30" s="1372"/>
      <c r="AC30" s="1372"/>
      <c r="AD30" s="1372"/>
      <c r="AE30" s="1372"/>
      <c r="AF30" s="1372"/>
      <c r="AG30" s="1372"/>
      <c r="AH30" s="1372"/>
      <c r="AI30" s="1372"/>
      <c r="AJ30" s="1372"/>
      <c r="AK30" s="1372"/>
      <c r="AL30" s="1401"/>
      <c r="AM30" s="1371"/>
      <c r="AN30" s="1392"/>
      <c r="AO30" s="1415"/>
      <c r="AP30" s="1416"/>
      <c r="AQ30" s="194"/>
      <c r="AR30" s="194"/>
      <c r="AS30" s="1417"/>
    </row>
    <row r="31" spans="1:52">
      <c r="A31" s="1418" t="s">
        <v>1319</v>
      </c>
      <c r="B31" s="1307"/>
      <c r="C31" s="1419" t="e">
        <f t="shared" ref="C31:G31" si="70">$B$5/C15</f>
      </c>
      <c r="D31" s="1419">
        <f t="shared" si="70"/>
      </c>
      <c r="E31" s="1419">
        <f t="shared" si="70"/>
      </c>
      <c r="F31" s="1419">
        <f t="shared" si="70"/>
      </c>
      <c r="G31" s="1419">
        <f t="shared" si="70"/>
      </c>
      <c r="H31" s="1419">
        <f>$B$5/H15</f>
      </c>
      <c r="I31" s="1419">
        <f t="shared" ref="I31:AM31" si="71">$B$5/I15</f>
      </c>
      <c r="J31" s="1419">
        <f t="shared" si="71"/>
      </c>
      <c r="K31" s="1419">
        <f t="shared" si="71"/>
      </c>
      <c r="L31" s="1419">
        <f t="shared" si="71"/>
      </c>
      <c r="M31" s="1419">
        <f t="shared" si="71"/>
      </c>
      <c r="N31" s="1419">
        <f t="shared" si="71"/>
      </c>
      <c r="O31" s="1419">
        <f t="shared" si="71"/>
      </c>
      <c r="P31" s="1419">
        <f t="shared" si="71"/>
      </c>
      <c r="Q31" s="1419">
        <f t="shared" si="71"/>
      </c>
      <c r="R31" s="1419">
        <f t="shared" si="71"/>
      </c>
      <c r="S31" s="1419">
        <f t="shared" si="71"/>
      </c>
      <c r="T31" s="1419">
        <f t="shared" si="71"/>
      </c>
      <c r="U31" s="1419">
        <f t="shared" si="71"/>
      </c>
      <c r="V31" s="1419">
        <f t="shared" si="71"/>
      </c>
      <c r="W31" s="1419">
        <f t="shared" si="71"/>
      </c>
      <c r="X31" s="1419">
        <f t="shared" si="71"/>
      </c>
      <c r="Y31" s="1419">
        <f t="shared" si="71"/>
      </c>
      <c r="Z31" s="1419">
        <f t="shared" si="71"/>
      </c>
      <c r="AA31" s="3264">
        <f t="shared" si="71"/>
      </c>
      <c r="AB31" s="3264">
        <f t="shared" si="71"/>
      </c>
      <c r="AC31" s="3264">
        <f t="shared" si="71"/>
      </c>
      <c r="AD31" s="3264">
        <f t="shared" si="71"/>
      </c>
      <c r="AE31" s="3264">
        <f t="shared" si="71"/>
      </c>
      <c r="AF31" s="3264">
        <f t="shared" si="71"/>
      </c>
      <c r="AG31" s="3264">
        <f t="shared" si="71"/>
      </c>
      <c r="AH31" s="3264">
        <f t="shared" si="71"/>
      </c>
      <c r="AI31" s="3264">
        <f t="shared" ref="AI31:AL31" si="72">$B$5/AI15</f>
      </c>
      <c r="AJ31" s="3264">
        <f t="shared" si="72"/>
      </c>
      <c r="AK31" s="3264">
        <f t="shared" si="72"/>
      </c>
      <c r="AL31" s="3265">
        <f t="shared" si="72"/>
      </c>
      <c r="AM31" s="3266">
        <f t="shared" ca="1" si="71"/>
      </c>
      <c r="AN31" s="1372"/>
      <c r="AO31" s="1421"/>
      <c r="AP31" s="1421"/>
      <c r="AQ31" s="1421"/>
      <c r="AR31" s="1421"/>
      <c r="AS31" s="1421"/>
      <c r="AT31" s="1422"/>
    </row>
    <row r="32" spans="1:52">
      <c r="A32" s="1424" t="s">
        <v>1320</v>
      </c>
      <c r="B32" s="1379"/>
      <c r="C32" s="1425" t="e">
        <f t="shared" ref="C32:G34" si="73">$B$5/C19</f>
      </c>
      <c r="D32" s="1425">
        <f t="shared" si="73"/>
      </c>
      <c r="E32" s="1425">
        <f t="shared" si="73"/>
      </c>
      <c r="F32" s="1425">
        <f t="shared" si="73"/>
      </c>
      <c r="G32" s="1425">
        <f t="shared" si="73"/>
      </c>
      <c r="H32" s="1425">
        <f>$B$5/H19</f>
      </c>
      <c r="I32" s="1425">
        <f t="shared" ref="I32:AM34" si="74">$B$5/I19</f>
      </c>
      <c r="J32" s="1425">
        <f t="shared" si="74"/>
      </c>
      <c r="K32" s="1425">
        <f t="shared" si="74"/>
      </c>
      <c r="L32" s="1425">
        <f t="shared" si="74"/>
      </c>
      <c r="M32" s="1425">
        <f t="shared" si="74"/>
      </c>
      <c r="N32" s="1425">
        <f t="shared" si="74"/>
      </c>
      <c r="O32" s="1425">
        <f t="shared" si="74"/>
      </c>
      <c r="P32" s="1425">
        <f t="shared" si="74"/>
      </c>
      <c r="Q32" s="1425">
        <f t="shared" si="74"/>
      </c>
      <c r="R32" s="1425">
        <f t="shared" si="74"/>
      </c>
      <c r="S32" s="1425">
        <f t="shared" si="74"/>
      </c>
      <c r="T32" s="1425">
        <f t="shared" si="74"/>
      </c>
      <c r="U32" s="1425">
        <f t="shared" si="74"/>
      </c>
      <c r="V32" s="1425">
        <f t="shared" si="74"/>
      </c>
      <c r="W32" s="1425">
        <f t="shared" si="74"/>
      </c>
      <c r="X32" s="1425">
        <f t="shared" si="74"/>
      </c>
      <c r="Y32" s="1425">
        <f t="shared" si="74"/>
      </c>
      <c r="Z32" s="1425">
        <f t="shared" si="74"/>
      </c>
      <c r="AA32" s="3267">
        <f t="shared" si="74"/>
      </c>
      <c r="AB32" s="3267">
        <f t="shared" si="74"/>
      </c>
      <c r="AC32" s="3267">
        <f t="shared" si="74"/>
      </c>
      <c r="AD32" s="3267">
        <f t="shared" si="74"/>
      </c>
      <c r="AE32" s="3267">
        <f t="shared" si="74"/>
      </c>
      <c r="AF32" s="3267">
        <f t="shared" si="74"/>
      </c>
      <c r="AG32" s="3267">
        <f t="shared" si="74"/>
      </c>
      <c r="AH32" s="3267">
        <f t="shared" si="74"/>
      </c>
      <c r="AI32" s="3267">
        <f t="shared" ref="AI32:AL32" si="75">$B$5/AI19</f>
      </c>
      <c r="AJ32" s="3267">
        <f t="shared" si="75"/>
      </c>
      <c r="AK32" s="3267">
        <f t="shared" si="75"/>
      </c>
      <c r="AL32" s="3268">
        <f t="shared" si="75"/>
      </c>
      <c r="AM32" s="3269">
        <f t="shared" ca="1" si="74"/>
      </c>
      <c r="AN32" s="1372"/>
      <c r="AO32" s="1426"/>
      <c r="AP32" s="1426"/>
      <c r="AQ32" s="1426"/>
      <c r="AR32" s="1426"/>
      <c r="AS32" s="1426"/>
      <c r="AT32" s="1422"/>
    </row>
    <row r="33" spans="1:48">
      <c r="A33" s="1418" t="s">
        <v>1321</v>
      </c>
      <c r="B33" s="1307"/>
      <c r="C33" s="1419" t="e">
        <f t="shared" ref="C33:G33" ca="1" si="76">$B$9/C23</f>
      </c>
      <c r="D33" s="1419" t="e">
        <f t="shared" ca="1" si="76"/>
      </c>
      <c r="E33" s="1419" t="e">
        <f t="shared" ca="1" si="76"/>
      </c>
      <c r="F33" s="1419" t="e">
        <f t="shared" ca="1" si="76"/>
      </c>
      <c r="G33" s="1419" t="e">
        <f t="shared" ca="1" si="76"/>
      </c>
      <c r="H33" s="1419" t="e">
        <f ca="1">$B$9/H23</f>
      </c>
      <c r="I33" s="1419" t="e">
        <f t="shared" ref="I33:AM33" ca="1" si="77">$B$9/I23</f>
      </c>
      <c r="J33" s="1419" t="e">
        <f t="shared" ca="1" si="77"/>
      </c>
      <c r="K33" s="1419" t="e">
        <f t="shared" ca="1" si="77"/>
      </c>
      <c r="L33" s="1419" t="e">
        <f t="shared" ca="1" si="77"/>
      </c>
      <c r="M33" s="1419" t="e">
        <f t="shared" ca="1" si="77"/>
      </c>
      <c r="N33" s="1419" t="e">
        <f t="shared" ca="1" si="77"/>
      </c>
      <c r="O33" s="1419" t="e">
        <f t="shared" ca="1" si="77"/>
      </c>
      <c r="P33" s="1419" t="e">
        <f t="shared" ca="1" si="77"/>
      </c>
      <c r="Q33" s="1419" t="e">
        <f t="shared" ca="1" si="77"/>
      </c>
      <c r="R33" s="1419" t="e">
        <f t="shared" ca="1" si="77"/>
      </c>
      <c r="S33" s="1419" t="e">
        <f t="shared" ca="1" si="77"/>
      </c>
      <c r="T33" s="1419" t="e">
        <f t="shared" ca="1" si="77"/>
      </c>
      <c r="U33" s="1419" t="e">
        <f t="shared" ca="1" si="77"/>
      </c>
      <c r="V33" s="1419" t="e">
        <f t="shared" ca="1" si="77"/>
      </c>
      <c r="W33" s="1419" t="e">
        <f t="shared" ca="1" si="77"/>
      </c>
      <c r="X33" s="1419">
        <f t="shared" ca="1" si="77"/>
      </c>
      <c r="Y33" s="1419">
        <f t="shared" ca="1" si="77"/>
      </c>
      <c r="Z33" s="1419">
        <f t="shared" ca="1" si="77"/>
      </c>
      <c r="AA33" s="3264">
        <f t="shared" ca="1" si="77"/>
      </c>
      <c r="AB33" s="3264">
        <f t="shared" ca="1" si="77"/>
      </c>
      <c r="AC33" s="3264">
        <f t="shared" ca="1" si="77"/>
      </c>
      <c r="AD33" s="3264">
        <f t="shared" ca="1" si="77"/>
      </c>
      <c r="AE33" s="3264">
        <f t="shared" ca="1" si="77"/>
      </c>
      <c r="AF33" s="3264">
        <f t="shared" ca="1" si="77"/>
      </c>
      <c r="AG33" s="3264">
        <f t="shared" ca="1" si="77"/>
      </c>
      <c r="AH33" s="3264">
        <f t="shared" ca="1" si="77"/>
      </c>
      <c r="AI33" s="3264">
        <f t="shared" ref="AI33:AL33" ca="1" si="78">$B$9/AI23</f>
      </c>
      <c r="AJ33" s="3264">
        <f t="shared" ca="1" si="78"/>
      </c>
      <c r="AK33" s="3264">
        <f t="shared" ca="1" si="78"/>
      </c>
      <c r="AL33" s="3265">
        <f t="shared" ca="1" si="78"/>
      </c>
      <c r="AM33" s="3266">
        <f t="shared" ca="1" si="77"/>
      </c>
      <c r="AN33" s="1372"/>
      <c r="AO33" s="1372"/>
      <c r="AP33" s="1372"/>
      <c r="AQ33" s="1372"/>
      <c r="AR33" s="1372"/>
      <c r="AS33" s="1372"/>
      <c r="AT33" s="1422"/>
    </row>
    <row r="34" spans="1:48">
      <c r="A34" s="1424" t="s">
        <v>1595</v>
      </c>
      <c r="B34" s="1379"/>
      <c r="C34" s="1425" t="e">
        <f t="shared" si="73"/>
      </c>
      <c r="D34" s="1425" t="e">
        <f t="shared" si="73"/>
      </c>
      <c r="E34" s="1425" t="e">
        <f t="shared" si="73"/>
      </c>
      <c r="F34" s="1425" t="e">
        <f t="shared" si="73"/>
      </c>
      <c r="G34" s="1425">
        <f t="shared" si="73"/>
      </c>
      <c r="H34" s="1425">
        <f>$B$5/H21</f>
      </c>
      <c r="I34" s="1425">
        <f t="shared" si="74"/>
      </c>
      <c r="J34" s="1425">
        <f t="shared" si="74"/>
      </c>
      <c r="K34" s="1425">
        <f t="shared" si="74"/>
      </c>
      <c r="L34" s="1425">
        <f t="shared" si="74"/>
      </c>
      <c r="M34" s="1425">
        <f t="shared" si="74"/>
      </c>
      <c r="N34" s="1425">
        <f t="shared" si="74"/>
      </c>
      <c r="O34" s="1425">
        <f t="shared" si="74"/>
      </c>
      <c r="P34" s="1425">
        <f t="shared" si="74"/>
      </c>
      <c r="Q34" s="1425">
        <f t="shared" si="74"/>
      </c>
      <c r="R34" s="1425">
        <f t="shared" si="74"/>
      </c>
      <c r="S34" s="1425">
        <f t="shared" si="74"/>
      </c>
      <c r="T34" s="1425">
        <f t="shared" si="74"/>
      </c>
      <c r="U34" s="1425">
        <f t="shared" si="74"/>
      </c>
      <c r="V34" s="1425">
        <f t="shared" si="74"/>
      </c>
      <c r="W34" s="1425">
        <f t="shared" si="74"/>
      </c>
      <c r="X34" s="1425">
        <f t="shared" si="74"/>
      </c>
      <c r="Y34" s="1425">
        <f t="shared" si="74"/>
      </c>
      <c r="Z34" s="1425">
        <f t="shared" si="74"/>
      </c>
      <c r="AA34" s="3267">
        <f>$B$5/AA27</f>
      </c>
      <c r="AB34" s="3267">
        <f t="shared" ref="AB34:AM34" si="79">$B$5/AB27</f>
      </c>
      <c r="AC34" s="3267">
        <f t="shared" si="79"/>
      </c>
      <c r="AD34" s="3267">
        <f t="shared" si="79"/>
      </c>
      <c r="AE34" s="3267">
        <f t="shared" si="79"/>
      </c>
      <c r="AF34" s="3267">
        <f t="shared" si="79"/>
      </c>
      <c r="AG34" s="3267">
        <f t="shared" si="79"/>
      </c>
      <c r="AH34" s="3267">
        <f t="shared" si="79"/>
      </c>
      <c r="AI34" s="3267">
        <f t="shared" si="79"/>
      </c>
      <c r="AJ34" s="3267">
        <f t="shared" si="79"/>
      </c>
      <c r="AK34" s="3267">
        <f t="shared" si="79"/>
      </c>
      <c r="AL34" s="3268">
        <f t="shared" si="79"/>
      </c>
      <c r="AM34" s="3269">
        <f t="shared" ca="1" si="79"/>
      </c>
      <c r="AN34" s="1372"/>
      <c r="AO34" s="1426"/>
      <c r="AP34" s="1426"/>
      <c r="AQ34" s="1426"/>
      <c r="AR34" s="1426"/>
      <c r="AS34" s="1426"/>
      <c r="AT34" s="1422"/>
    </row>
    <row r="35" spans="1:48">
      <c r="A35" s="1323"/>
      <c r="B35" s="1307"/>
      <c r="C35" s="1307"/>
      <c r="D35" s="1307"/>
      <c r="E35" s="1307"/>
      <c r="F35" s="1307"/>
      <c r="G35" s="1307"/>
      <c r="H35" s="1307"/>
      <c r="I35" s="1307"/>
      <c r="J35" s="1307"/>
      <c r="K35" s="1307"/>
      <c r="L35" s="1307"/>
      <c r="M35" s="1427"/>
      <c r="N35" s="1427"/>
      <c r="O35" s="1307"/>
      <c r="P35" s="1307"/>
      <c r="Q35" s="1307"/>
      <c r="R35" s="1427"/>
      <c r="S35" s="1427"/>
      <c r="T35" s="1427"/>
      <c r="U35" s="1427"/>
      <c r="V35" s="1427"/>
      <c r="W35" s="1427"/>
      <c r="X35" s="1427"/>
      <c r="Y35" s="1427"/>
      <c r="Z35" s="1427"/>
      <c r="AA35" s="1427"/>
      <c r="AB35" s="1427"/>
      <c r="AC35" s="1427"/>
      <c r="AD35" s="2474"/>
      <c r="AE35" s="2474"/>
      <c r="AF35" s="2474"/>
      <c r="AG35" s="2474"/>
      <c r="AH35" s="2474"/>
      <c r="AI35" s="2474"/>
      <c r="AJ35" s="2474"/>
      <c r="AK35" s="2474"/>
      <c r="AL35" s="2475"/>
      <c r="AM35" s="2476"/>
      <c r="AN35" s="1419"/>
      <c r="AO35" s="1419"/>
      <c r="AP35" s="1419"/>
      <c r="AQ35" s="1419"/>
      <c r="AR35" s="1419"/>
      <c r="AS35" s="1419"/>
    </row>
    <row r="36" spans="1:48" ht="12">
      <c r="A36" s="1428" t="s">
        <v>1322</v>
      </c>
      <c r="B36" s="1429"/>
      <c r="C36" s="1430" t="e">
        <f ca="1">$AM$41/C15</f>
      </c>
      <c r="D36" s="1430">
        <f ca="1">$AM$41/D15</f>
      </c>
      <c r="E36" s="1430">
        <f ca="1">$AM$41/E15</f>
      </c>
      <c r="F36" s="1430">
        <f ca="1">$AM$41/F15</f>
      </c>
      <c r="G36" s="1430">
        <f ca="1">$AM$41/G15</f>
      </c>
      <c r="H36" s="1430">
        <f t="shared" ref="H36:AG36" ca="1" si="80">$AM$41/H15</f>
      </c>
      <c r="I36" s="1430">
        <f t="shared" ca="1" si="80"/>
      </c>
      <c r="J36" s="1430">
        <f t="shared" ca="1" si="80"/>
      </c>
      <c r="K36" s="1430">
        <f t="shared" ca="1" si="80"/>
      </c>
      <c r="L36" s="1430">
        <f t="shared" ca="1" si="80"/>
      </c>
      <c r="M36" s="1430">
        <f t="shared" ca="1" si="80"/>
      </c>
      <c r="N36" s="1430">
        <f t="shared" ca="1" si="80"/>
      </c>
      <c r="O36" s="1430">
        <f t="shared" ca="1" si="80"/>
      </c>
      <c r="P36" s="1430">
        <f t="shared" ca="1" si="80"/>
      </c>
      <c r="Q36" s="1430">
        <f t="shared" ca="1" si="80"/>
      </c>
      <c r="R36" s="1430">
        <f t="shared" ca="1" si="80"/>
      </c>
      <c r="S36" s="1430">
        <f t="shared" ca="1" si="80"/>
      </c>
      <c r="T36" s="1430">
        <f t="shared" ca="1" si="80"/>
      </c>
      <c r="U36" s="1430">
        <f t="shared" ca="1" si="80"/>
      </c>
      <c r="V36" s="1430">
        <f t="shared" ca="1" si="80"/>
      </c>
      <c r="W36" s="1430">
        <f t="shared" ca="1" si="80"/>
      </c>
      <c r="X36" s="1430">
        <f t="shared" ca="1" si="80"/>
      </c>
      <c r="Y36" s="1430">
        <f t="shared" ca="1" si="80"/>
      </c>
      <c r="Z36" s="1430">
        <f t="shared" ca="1" si="80"/>
      </c>
      <c r="AA36" s="1430">
        <f t="shared" ca="1" si="80"/>
      </c>
      <c r="AB36" s="1430">
        <f t="shared" ca="1" si="80"/>
      </c>
      <c r="AC36" s="1430">
        <f t="shared" ca="1" si="80"/>
      </c>
      <c r="AD36" s="1430">
        <f t="shared" ca="1" si="80"/>
      </c>
      <c r="AE36" s="1430">
        <f t="shared" ca="1" si="80"/>
      </c>
      <c r="AF36" s="1430">
        <f t="shared" ca="1" si="80"/>
      </c>
      <c r="AG36" s="1430">
        <f t="shared" ca="1" si="80"/>
      </c>
      <c r="AH36" s="1430">
        <f ca="1">$AM$41/AH15</f>
      </c>
      <c r="AI36" s="1430">
        <f t="shared" ref="AI36:AL36" ca="1" si="81">$AM$41/AI15</f>
      </c>
      <c r="AJ36" s="1430">
        <f t="shared" ca="1" si="81"/>
      </c>
      <c r="AK36" s="1430">
        <f t="shared" ca="1" si="81"/>
      </c>
      <c r="AL36" s="2467">
        <f t="shared" ca="1" si="81"/>
      </c>
      <c r="AM36" s="2608">
        <v>30</v>
      </c>
      <c r="AN36" s="1419"/>
      <c r="AO36" s="1419"/>
      <c r="AP36" s="1419"/>
      <c r="AQ36" s="1419"/>
      <c r="AR36" s="1419"/>
      <c r="AS36" s="1419"/>
    </row>
    <row r="37" spans="1:48">
      <c r="A37" s="1418" t="s">
        <v>1323</v>
      </c>
      <c r="B37" s="1431"/>
      <c r="C37" s="1431"/>
      <c r="D37" s="1431"/>
      <c r="E37" s="1431"/>
      <c r="F37" s="1431"/>
      <c r="G37" s="1431"/>
      <c r="H37" s="1431"/>
      <c r="I37" s="1431"/>
      <c r="J37" s="1431"/>
      <c r="K37" s="1431"/>
      <c r="L37" s="1431"/>
      <c r="M37" s="1419"/>
      <c r="N37" s="1419"/>
      <c r="O37" s="1431"/>
      <c r="P37" s="1431"/>
      <c r="Q37" s="1431"/>
      <c r="R37" s="1419"/>
      <c r="S37" s="1419"/>
      <c r="T37" s="1419"/>
      <c r="U37" s="1419"/>
      <c r="V37" s="1419"/>
      <c r="W37" s="1432"/>
      <c r="X37" s="1432"/>
      <c r="Y37" s="1432"/>
      <c r="Z37" s="1432"/>
      <c r="AA37" s="1432"/>
      <c r="AB37" s="1432"/>
      <c r="AD37" s="1432"/>
      <c r="AE37" s="1432"/>
      <c r="AF37" s="1432"/>
      <c r="AG37" s="1432"/>
      <c r="AH37" s="1419"/>
      <c r="AI37" s="1419"/>
      <c r="AJ37" s="1419"/>
      <c r="AK37" s="1419"/>
      <c r="AL37" s="1433"/>
      <c r="AM37" s="1434">
        <f ca="1">AM39-AM38</f>
      </c>
      <c r="AN37" s="1419"/>
      <c r="AO37" s="1419"/>
      <c r="AP37" s="1419"/>
      <c r="AQ37" s="1419"/>
      <c r="AR37" s="1419"/>
      <c r="AS37" s="1419"/>
      <c r="AV37" s="2713"/>
    </row>
    <row r="38" spans="1:48">
      <c r="A38" s="1418" t="s">
        <v>1324</v>
      </c>
      <c r="B38" s="1431"/>
      <c r="C38" s="1431"/>
      <c r="D38" s="1431"/>
      <c r="E38" s="1431"/>
      <c r="F38" s="1431"/>
      <c r="G38" s="1431"/>
      <c r="H38" s="1431"/>
      <c r="I38" s="1431"/>
      <c r="J38" s="1431"/>
      <c r="K38" s="1431"/>
      <c r="L38" s="1431"/>
      <c r="M38" s="1419"/>
      <c r="N38" s="1419"/>
      <c r="O38" s="1431"/>
      <c r="P38" s="1431"/>
      <c r="Q38" s="1431"/>
      <c r="R38" s="1419"/>
      <c r="S38" s="1419"/>
      <c r="T38" s="1419"/>
      <c r="U38" s="1419"/>
      <c r="V38" s="1419"/>
      <c r="W38" s="1432"/>
      <c r="X38" s="1432"/>
      <c r="Y38" s="1432"/>
      <c r="Z38" s="1432"/>
      <c r="AA38" s="1432"/>
      <c r="AB38" s="1432"/>
      <c r="AD38" s="1432"/>
      <c r="AE38" s="1432"/>
      <c r="AF38" s="1432"/>
      <c r="AG38" s="1432"/>
      <c r="AH38" s="1419"/>
      <c r="AI38" s="1419"/>
      <c r="AJ38" s="1419"/>
      <c r="AK38" s="1419"/>
      <c r="AL38" s="1433"/>
      <c r="AM38" s="1435">
        <f ca="1">B8</f>
      </c>
      <c r="AN38" s="1419"/>
      <c r="AO38" s="1419"/>
      <c r="AP38" s="1419"/>
      <c r="AQ38" s="1419"/>
      <c r="AR38" s="1419"/>
      <c r="AS38" s="1419"/>
    </row>
    <row r="39" spans="1:48">
      <c r="A39" s="1418" t="s">
        <v>1325</v>
      </c>
      <c r="B39" s="1431"/>
      <c r="C39" s="1431"/>
      <c r="D39" s="1431"/>
      <c r="E39" s="1431"/>
      <c r="F39" s="1431"/>
      <c r="G39" s="1431"/>
      <c r="H39" s="1431"/>
      <c r="I39" s="1431"/>
      <c r="J39" s="1431"/>
      <c r="K39" s="1431"/>
      <c r="L39" s="1431"/>
      <c r="M39" s="1419"/>
      <c r="N39" s="1419"/>
      <c r="O39" s="1431"/>
      <c r="P39" s="1431"/>
      <c r="Q39" s="1431"/>
      <c r="R39" s="1419"/>
      <c r="S39" s="1419"/>
      <c r="T39" s="1419"/>
      <c r="U39" s="1419"/>
      <c r="V39" s="1419"/>
      <c r="W39" s="1432"/>
      <c r="X39" s="1432"/>
      <c r="Y39" s="1432"/>
      <c r="Z39" s="1432"/>
      <c r="AA39" s="1432"/>
      <c r="AB39" s="1432"/>
      <c r="AD39" s="1432"/>
      <c r="AE39" s="1432"/>
      <c r="AF39" s="1432"/>
      <c r="AG39" s="1432"/>
      <c r="AH39" s="1419"/>
      <c r="AI39" s="1419"/>
      <c r="AJ39" s="1419"/>
      <c r="AK39" s="1419"/>
      <c r="AL39" s="1433"/>
      <c r="AM39" s="1434">
        <f ca="1">AM40*AM41</f>
      </c>
      <c r="AN39" s="1419"/>
      <c r="AO39" s="1419"/>
      <c r="AP39" s="1419"/>
      <c r="AQ39" s="1419"/>
      <c r="AR39" s="1419"/>
      <c r="AS39" s="1419"/>
      <c r="AT39" s="1423"/>
    </row>
    <row r="40" spans="1:48" ht="12">
      <c r="A40" s="1418" t="s">
        <v>726</v>
      </c>
      <c r="B40" s="1431"/>
      <c r="C40" s="1431"/>
      <c r="D40" s="1431"/>
      <c r="E40" s="1431"/>
      <c r="F40" s="1431"/>
      <c r="G40" s="1431"/>
      <c r="H40" s="1431"/>
      <c r="I40" s="1431"/>
      <c r="J40" s="1431"/>
      <c r="K40" s="1431"/>
      <c r="L40" s="1431"/>
      <c r="M40" s="1419"/>
      <c r="N40" s="1419"/>
      <c r="O40" s="1431"/>
      <c r="P40" s="1431"/>
      <c r="Q40" s="1431"/>
      <c r="R40" s="1419"/>
      <c r="S40" s="1419"/>
      <c r="T40" s="1419"/>
      <c r="U40" s="1419"/>
      <c r="V40" s="1419"/>
      <c r="W40" s="1432"/>
      <c r="X40" s="1432"/>
      <c r="Y40" s="1432"/>
      <c r="Z40" s="1432"/>
      <c r="AA40" s="1432"/>
      <c r="AB40" s="1432"/>
      <c r="AD40" s="1432"/>
      <c r="AE40" s="1432"/>
      <c r="AF40" s="1432"/>
      <c r="AG40" s="1432"/>
      <c r="AH40" s="1419"/>
      <c r="AI40" s="1419"/>
      <c r="AJ40" s="1419"/>
      <c r="AK40" s="1419"/>
      <c r="AL40" s="1433"/>
      <c r="AM40" s="1436">
        <f ca="1">B6</f>
      </c>
      <c r="AN40" s="1437"/>
      <c r="AO40" s="1419"/>
      <c r="AP40" s="1419"/>
      <c r="AQ40" s="1419"/>
      <c r="AR40" s="1419"/>
      <c r="AS40" s="1419"/>
      <c r="AT40" s="1422"/>
    </row>
    <row r="41" spans="1:48" ht="12">
      <c r="A41" s="1438" t="s">
        <v>1326</v>
      </c>
      <c r="B41" s="1439"/>
      <c r="C41" s="1439"/>
      <c r="D41" s="1439"/>
      <c r="E41" s="1439"/>
      <c r="F41" s="1439"/>
      <c r="G41" s="1439"/>
      <c r="H41" s="1439"/>
      <c r="I41" s="1439"/>
      <c r="J41" s="1439"/>
      <c r="K41" s="1439"/>
      <c r="L41" s="1439"/>
      <c r="M41" s="1440"/>
      <c r="N41" s="1440"/>
      <c r="O41" s="1439"/>
      <c r="P41" s="1439"/>
      <c r="Q41" s="1439"/>
      <c r="R41" s="1440"/>
      <c r="S41" s="1440"/>
      <c r="T41" s="1441"/>
      <c r="U41" s="1441"/>
      <c r="V41" s="1441"/>
      <c r="W41" s="1441"/>
      <c r="X41" s="1441"/>
      <c r="Y41" s="1441"/>
      <c r="Z41" s="1441"/>
      <c r="AA41" s="1441"/>
      <c r="AB41" s="1441"/>
      <c r="AC41" s="1441"/>
      <c r="AD41" s="1441"/>
      <c r="AE41" s="1441"/>
      <c r="AF41" s="1441"/>
      <c r="AG41" s="1441"/>
      <c r="AH41" s="1441"/>
      <c r="AI41" s="1441"/>
      <c r="AJ41" s="1441"/>
      <c r="AK41" s="1441"/>
      <c r="AL41" s="1442"/>
      <c r="AM41" s="1443">
        <f ca="1">+MROUND(AM36*AM15,1)</f>
      </c>
      <c r="AN41" s="1419"/>
      <c r="AO41" s="1419"/>
      <c r="AP41" s="1419"/>
      <c r="AQ41" s="1419"/>
      <c r="AR41" s="1419"/>
      <c r="AS41" s="1419"/>
    </row>
    <row r="42" spans="1:48" ht="12">
      <c r="A42" s="1323" t="s">
        <v>1327</v>
      </c>
      <c r="B42" s="1307"/>
      <c r="C42" s="1307"/>
      <c r="D42" s="1307"/>
      <c r="E42" s="1307"/>
      <c r="F42" s="1307"/>
      <c r="G42" s="1307"/>
      <c r="H42" s="1307"/>
      <c r="I42" s="1307"/>
      <c r="J42" s="1307"/>
      <c r="K42" s="1307"/>
      <c r="L42" s="1307"/>
      <c r="M42" s="1444"/>
      <c r="N42" s="1419"/>
      <c r="O42" s="1307"/>
      <c r="P42" s="1307"/>
      <c r="Q42" s="1307"/>
      <c r="R42" s="1444"/>
      <c r="S42" s="1419"/>
      <c r="T42" s="1419"/>
      <c r="U42" s="1419"/>
      <c r="V42" s="1419"/>
      <c r="W42" s="1419"/>
      <c r="X42" s="1419"/>
      <c r="Y42" s="1419"/>
      <c r="Z42" s="1419"/>
      <c r="AA42" s="1419"/>
      <c r="AB42" s="1419"/>
      <c r="AC42" s="1419"/>
      <c r="AD42" s="1419"/>
      <c r="AE42" s="1419"/>
      <c r="AF42" s="1419"/>
      <c r="AG42" s="1419"/>
      <c r="AH42" s="1419"/>
      <c r="AI42" s="1419"/>
      <c r="AJ42" s="1419"/>
      <c r="AK42" s="1419"/>
      <c r="AL42" s="1433"/>
      <c r="AM42" s="1420"/>
      <c r="AN42" s="1437"/>
      <c r="AO42" s="1419"/>
      <c r="AP42" s="1419"/>
      <c r="AQ42" s="1419"/>
      <c r="AR42" s="1419"/>
      <c r="AS42" s="1419"/>
    </row>
    <row r="43" spans="1:48" ht="12">
      <c r="A43" s="1387"/>
      <c r="B43" s="1316"/>
      <c r="C43" s="1316"/>
      <c r="D43" s="1316"/>
      <c r="E43" s="1316"/>
      <c r="F43" s="1316"/>
      <c r="G43" s="1316"/>
      <c r="H43" s="1316"/>
      <c r="I43" s="1316"/>
      <c r="J43" s="1316"/>
      <c r="K43" s="1316"/>
      <c r="L43" s="1316"/>
      <c r="M43" s="1445"/>
      <c r="N43" s="1445"/>
      <c r="O43" s="1316"/>
      <c r="P43" s="1316"/>
      <c r="Q43" s="1316"/>
      <c r="R43" s="1445"/>
      <c r="S43" s="1445"/>
      <c r="T43" s="1437"/>
      <c r="U43" s="1437"/>
      <c r="V43" s="1437"/>
      <c r="W43" s="1437"/>
      <c r="X43" s="1437"/>
      <c r="Y43" s="1437"/>
      <c r="Z43" s="1437"/>
      <c r="AA43" s="1437"/>
      <c r="AB43" s="1437"/>
      <c r="AC43" s="1437"/>
      <c r="AD43" s="1437"/>
      <c r="AE43" s="1437"/>
      <c r="AF43" s="1437"/>
      <c r="AG43" s="1437"/>
      <c r="AH43" s="1437"/>
      <c r="AI43" s="1437"/>
      <c r="AJ43" s="1437"/>
      <c r="AK43" s="1437"/>
      <c r="AL43" s="1446"/>
      <c r="AM43" s="1447"/>
      <c r="AN43" s="1419"/>
      <c r="AO43" s="1437"/>
      <c r="AP43" s="1437"/>
      <c r="AQ43" s="1437"/>
      <c r="AR43" s="1437"/>
      <c r="AS43" s="1437"/>
    </row>
    <row r="44" spans="1:48">
      <c r="A44" s="1323" t="s">
        <v>1328</v>
      </c>
      <c r="B44" s="1307"/>
      <c r="C44" s="1419" t="e">
        <f ca="1">$AM$41/C19</f>
      </c>
      <c r="D44" s="1419">
        <f ca="1">$AM$41/D19</f>
      </c>
      <c r="E44" s="1419">
        <f ca="1">$AM$41/E19</f>
      </c>
      <c r="F44" s="1419">
        <f ca="1">$AM$41/F19</f>
      </c>
      <c r="G44" s="1419">
        <f ca="1">$AM$41/G19</f>
      </c>
      <c r="H44" s="1419">
        <f t="shared" ref="H44:AH44" ca="1" si="82">$AM$41/H19</f>
      </c>
      <c r="I44" s="1419">
        <f t="shared" ca="1" si="82"/>
      </c>
      <c r="J44" s="1419">
        <f t="shared" ca="1" si="82"/>
      </c>
      <c r="K44" s="1419">
        <f t="shared" ca="1" si="82"/>
      </c>
      <c r="L44" s="1419">
        <f t="shared" ca="1" si="82"/>
      </c>
      <c r="M44" s="1419">
        <f t="shared" ca="1" si="82"/>
      </c>
      <c r="N44" s="1419">
        <f t="shared" ca="1" si="82"/>
      </c>
      <c r="O44" s="1419">
        <f t="shared" ca="1" si="82"/>
      </c>
      <c r="P44" s="1419">
        <f t="shared" ca="1" si="82"/>
      </c>
      <c r="Q44" s="1419">
        <f t="shared" ca="1" si="82"/>
      </c>
      <c r="R44" s="1419">
        <f t="shared" ca="1" si="82"/>
      </c>
      <c r="S44" s="1419">
        <f t="shared" ca="1" si="82"/>
      </c>
      <c r="T44" s="1419">
        <f t="shared" ca="1" si="82"/>
      </c>
      <c r="U44" s="1419">
        <f t="shared" ca="1" si="82"/>
      </c>
      <c r="V44" s="1419">
        <f t="shared" ca="1" si="82"/>
      </c>
      <c r="W44" s="1419">
        <f t="shared" ca="1" si="82"/>
      </c>
      <c r="X44" s="1419">
        <f t="shared" ca="1" si="82"/>
      </c>
      <c r="Y44" s="1419">
        <f t="shared" ca="1" si="82"/>
      </c>
      <c r="Z44" s="1419">
        <f t="shared" ca="1" si="82"/>
      </c>
      <c r="AA44" s="1419">
        <f t="shared" ca="1" si="82"/>
      </c>
      <c r="AB44" s="1419">
        <f t="shared" ca="1" si="82"/>
      </c>
      <c r="AC44" s="1419">
        <f t="shared" ca="1" si="82"/>
      </c>
      <c r="AD44" s="1419">
        <f t="shared" ca="1" si="82"/>
      </c>
      <c r="AE44" s="1419">
        <f t="shared" ca="1" si="82"/>
      </c>
      <c r="AF44" s="1419">
        <f t="shared" ca="1" si="82"/>
      </c>
      <c r="AG44" s="1419">
        <f t="shared" ca="1" si="82"/>
      </c>
      <c r="AH44" s="1419">
        <f t="shared" ca="1" si="82"/>
      </c>
      <c r="AI44" s="1419">
        <f t="shared" ref="AI44:AL44" ca="1" si="83">$AM$41/AI19</f>
      </c>
      <c r="AJ44" s="1419">
        <f t="shared" ca="1" si="83"/>
      </c>
      <c r="AK44" s="1419">
        <f t="shared" ca="1" si="83"/>
      </c>
      <c r="AL44" s="1433">
        <f t="shared" ca="1" si="83"/>
      </c>
      <c r="AM44" s="1420">
        <f ca="1">$AM$41/AM19</f>
      </c>
      <c r="AN44" s="1419"/>
      <c r="AO44" s="1419"/>
      <c r="AP44" s="1419"/>
      <c r="AQ44" s="1419"/>
      <c r="AR44" s="1419"/>
      <c r="AS44" s="1419"/>
    </row>
    <row r="45" spans="1:48" ht="12">
      <c r="A45" s="1378" t="s">
        <v>1329</v>
      </c>
      <c r="B45" s="1379"/>
      <c r="C45" s="1448" t="e">
        <f ca="1">$AM$37/C23</f>
      </c>
      <c r="D45" s="1448" t="e">
        <f ca="1">$AM$37/D23</f>
      </c>
      <c r="E45" s="1448" t="e">
        <f ca="1">$AM$37/E23</f>
      </c>
      <c r="F45" s="1448" t="e">
        <f ca="1">$AM$37/F23</f>
      </c>
      <c r="G45" s="1448" t="e">
        <f ca="1">$AM$37/G23</f>
      </c>
      <c r="H45" s="1448" t="e">
        <f t="shared" ref="H45:AH45" ca="1" si="84">$AM$37/H23</f>
      </c>
      <c r="I45" s="1448" t="e">
        <f t="shared" ca="1" si="84"/>
      </c>
      <c r="J45" s="1448" t="e">
        <f t="shared" ca="1" si="84"/>
      </c>
      <c r="K45" s="1448" t="e">
        <f t="shared" ca="1" si="84"/>
      </c>
      <c r="L45" s="1448" t="e">
        <f t="shared" ca="1" si="84"/>
      </c>
      <c r="M45" s="1448" t="e">
        <f t="shared" ca="1" si="84"/>
      </c>
      <c r="N45" s="1448" t="e">
        <f t="shared" ca="1" si="84"/>
      </c>
      <c r="O45" s="1448" t="e">
        <f t="shared" ca="1" si="84"/>
      </c>
      <c r="P45" s="1448" t="e">
        <f t="shared" ca="1" si="84"/>
      </c>
      <c r="Q45" s="1448" t="e">
        <f t="shared" ca="1" si="84"/>
      </c>
      <c r="R45" s="1448" t="e">
        <f t="shared" ca="1" si="84"/>
      </c>
      <c r="S45" s="1448" t="e">
        <f t="shared" ca="1" si="84"/>
      </c>
      <c r="T45" s="1448" t="e">
        <f t="shared" ca="1" si="84"/>
      </c>
      <c r="U45" s="1448" t="e">
        <f t="shared" ca="1" si="84"/>
      </c>
      <c r="V45" s="1448" t="e">
        <f t="shared" ca="1" si="84"/>
      </c>
      <c r="W45" s="1448" t="e">
        <f t="shared" ca="1" si="84"/>
      </c>
      <c r="X45" s="1448">
        <f t="shared" ca="1" si="84"/>
      </c>
      <c r="Y45" s="1448">
        <f t="shared" ca="1" si="84"/>
      </c>
      <c r="Z45" s="1448">
        <f t="shared" ca="1" si="84"/>
      </c>
      <c r="AA45" s="1448">
        <f t="shared" ca="1" si="84"/>
      </c>
      <c r="AB45" s="1448">
        <f t="shared" ca="1" si="84"/>
      </c>
      <c r="AC45" s="1448">
        <f t="shared" ca="1" si="84"/>
      </c>
      <c r="AD45" s="1448">
        <f t="shared" ca="1" si="84"/>
      </c>
      <c r="AE45" s="1448">
        <f t="shared" ca="1" si="84"/>
      </c>
      <c r="AF45" s="1448">
        <f t="shared" ca="1" si="84"/>
      </c>
      <c r="AG45" s="1448">
        <f t="shared" ca="1" si="84"/>
      </c>
      <c r="AH45" s="1448">
        <f t="shared" ca="1" si="84"/>
      </c>
      <c r="AI45" s="1448">
        <f t="shared" ref="AI45:AL45" ca="1" si="85">$AM$37/AI23</f>
      </c>
      <c r="AJ45" s="1448">
        <f t="shared" ca="1" si="85"/>
      </c>
      <c r="AK45" s="1448">
        <f t="shared" ca="1" si="85"/>
      </c>
      <c r="AL45" s="1449">
        <f t="shared" ca="1" si="85"/>
      </c>
      <c r="AM45" s="1450">
        <f ca="1">$AM$37/AM23</f>
      </c>
      <c r="AN45" s="1451"/>
      <c r="AO45" s="1437"/>
      <c r="AP45" s="1437"/>
      <c r="AQ45" s="1437"/>
      <c r="AR45" s="1437"/>
      <c r="AS45" s="1437"/>
    </row>
    <row r="46" spans="1:48" ht="12.6" thickBot="1">
      <c r="A46" s="1452"/>
      <c r="B46" s="1453"/>
      <c r="C46" s="1453"/>
      <c r="D46" s="1453"/>
      <c r="E46" s="1453"/>
      <c r="F46" s="1453"/>
      <c r="G46" s="1453"/>
      <c r="H46" s="1453"/>
      <c r="I46" s="1453"/>
      <c r="J46" s="1453"/>
      <c r="K46" s="1453"/>
      <c r="L46" s="1453"/>
      <c r="M46" s="1454"/>
      <c r="N46" s="1454"/>
      <c r="O46" s="1453"/>
      <c r="P46" s="1453"/>
      <c r="Q46" s="1453"/>
      <c r="R46" s="1454"/>
      <c r="S46" s="1454"/>
      <c r="T46" s="1454"/>
      <c r="U46" s="1454"/>
      <c r="V46" s="1454"/>
      <c r="W46" s="1454"/>
      <c r="X46" s="1454"/>
      <c r="Y46" s="1454"/>
      <c r="Z46" s="1454"/>
      <c r="AA46" s="1454"/>
      <c r="AB46" s="1454"/>
      <c r="AC46" s="1454"/>
      <c r="AD46" s="1454"/>
      <c r="AE46" s="1454"/>
      <c r="AF46" s="1454"/>
      <c r="AG46" s="1454"/>
      <c r="AH46" s="1454"/>
      <c r="AI46" s="1454"/>
      <c r="AJ46" s="1454"/>
      <c r="AK46" s="1454"/>
      <c r="AL46" s="1455"/>
      <c r="AM46" s="1456"/>
      <c r="AO46" s="1419"/>
      <c r="AP46" s="1419"/>
      <c r="AQ46" s="1419"/>
      <c r="AR46" s="1419"/>
      <c r="AS46" s="1419"/>
    </row>
    <row r="47" spans="1:48" ht="12">
      <c r="A47" s="1307"/>
      <c r="B47" s="1307"/>
      <c r="C47" s="1307"/>
      <c r="D47" s="1307"/>
      <c r="E47" s="1307"/>
      <c r="F47" s="1307"/>
      <c r="G47" s="1307"/>
      <c r="H47" s="1307"/>
      <c r="I47" s="1307"/>
      <c r="J47" s="1307"/>
      <c r="K47" s="1307"/>
      <c r="L47" s="1307"/>
      <c r="M47" s="1331"/>
      <c r="N47" s="1307"/>
      <c r="O47" s="1307"/>
      <c r="P47" s="1307"/>
      <c r="Q47" s="1307"/>
      <c r="R47" s="1331"/>
      <c r="S47" s="1307"/>
      <c r="T47" s="1307"/>
      <c r="U47" s="1307"/>
      <c r="V47" s="1307"/>
      <c r="W47" s="1307"/>
      <c r="AC47" s="1457"/>
      <c r="AD47" s="1457"/>
      <c r="AG47" s="1457"/>
      <c r="AO47" s="1419"/>
      <c r="AP47" s="1419"/>
      <c r="AQ47" s="1419"/>
      <c r="AR47" s="1419"/>
      <c r="AS47" s="1419"/>
    </row>
    <row r="48" spans="1:48" ht="12">
      <c r="AO48" s="1458"/>
      <c r="AP48" s="1458"/>
      <c r="AQ48" s="1458"/>
      <c r="AR48" s="1458"/>
      <c r="AS48" s="1458"/>
    </row>
  </sheetData>
  <mergeCells count="2">
    <mergeCell ref="AU13:AV13"/>
    <mergeCell ref="AX13:AZ13"/>
  </mergeCells>
  <pageMargins left="0.7" right="0.7" top="0.75" bottom="0.75" header="0.3" footer="0.3"/>
  <pageSetup scale="38" fitToHeight="10" orientation="landscape" r:id="rId1"/>
  <customProperties>
    <customPr name="Qube.Worksheet.Visibility" r:id="rId2"/>
  </customProperties>
  <drawing r:id="rId3"/>
  <legacyDrawing r:id="rId4"/>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66367-23CF-4156-ACF5-353F3BF8AD76}">
  <sheetPr>
    <tabColor rgb="FFFF9900"/>
  </sheetPr>
  <dimension ref="A1:X117"/>
  <sheetViews>
    <sheetView zoomScale="80" zoomScaleNormal="80" workbookViewId="0">
      <pane xSplit="1" ySplit="13" topLeftCell="G14" activePane="bottomRight" state="frozen"/>
      <selection activeCell="R8" sqref="R8:R43"/>
      <selection pane="topRight" activeCell="R8" sqref="R8:R43"/>
      <selection pane="bottomLeft" activeCell="R8" sqref="R8:R43"/>
      <selection pane="bottomRight" activeCell="R8" sqref="R8:R43"/>
    </sheetView>
  </sheetViews>
  <sheetFormatPr defaultColWidth="9" defaultRowHeight="11.4" outlineLevelCol="1"/>
  <cols>
    <col min="1" max="1" width="30.5" style="160" bestFit="1" customWidth="1"/>
    <col min="2" max="2" width="10.69921875" style="160" hidden="1" customWidth="1" outlineLevel="1"/>
    <col min="3" max="3" width="10.69921875" style="160" bestFit="1" customWidth="1" collapsed="1"/>
    <col min="4" max="12" width="10.69921875" style="160" bestFit="1" customWidth="1"/>
    <col min="13" max="13" width="9" style="160"/>
    <col min="14" max="14" width="21.69921875" style="160" bestFit="1" customWidth="1"/>
    <col min="15" max="16" width="10.5" style="160" bestFit="1" customWidth="1"/>
    <col min="17" max="17" width="10.3984375" style="160" bestFit="1" customWidth="1"/>
    <col min="18" max="18" width="10.5" style="160" bestFit="1" customWidth="1"/>
    <col min="19" max="19" width="9" style="160"/>
    <col min="20" max="20" width="16.59765625" style="160" bestFit="1" customWidth="1"/>
    <col min="21" max="23" width="10.69921875" style="160" bestFit="1" customWidth="1"/>
    <col min="24" max="24" width="65.69921875" style="160" bestFit="1" customWidth="1"/>
    <col min="25" max="16384" width="9" style="160"/>
  </cols>
  <sheetData>
    <row r="1" spans="1:24">
      <c r="A1" s="1309" t="s">
        <v>1275</v>
      </c>
      <c r="B1" s="1309"/>
      <c r="C1" s="2496" t="str">
        <f>Valuation!AP4</f>
      </c>
      <c r="T1" s="2570"/>
      <c r="U1" s="2570"/>
      <c r="V1" s="2570"/>
    </row>
    <row r="2" spans="1:24">
      <c r="A2" s="1309"/>
      <c r="B2" s="1309"/>
      <c r="C2" s="1309"/>
      <c r="T2" s="2633"/>
      <c r="U2" s="2633"/>
      <c r="V2" s="2633" t="s">
        <v>1632</v>
      </c>
    </row>
    <row r="3" spans="1:24" ht="12" customHeight="1">
      <c r="A3" s="1309" t="s">
        <v>1277</v>
      </c>
      <c r="B3" s="1309"/>
      <c r="C3" s="2496" t="str">
        <f ca="1">Valuation!AP6</f>
      </c>
      <c r="T3" s="160" t="s">
        <v>1609</v>
      </c>
      <c r="U3" s="2504" t="e">
        <f>U16</f>
      </c>
      <c r="V3" s="2560">
        <v>0.15</v>
      </c>
      <c r="W3" s="2638"/>
    </row>
    <row r="4" spans="1:24">
      <c r="A4" s="1309"/>
      <c r="B4" s="1309"/>
      <c r="C4" s="1309"/>
      <c r="T4" s="160" t="s">
        <v>1598</v>
      </c>
      <c r="U4" s="2504">
        <f ca="1">V16</f>
      </c>
      <c r="V4" s="2634">
        <f>1-V5-V3</f>
      </c>
    </row>
    <row r="5" spans="1:24">
      <c r="A5" s="1309" t="s">
        <v>1280</v>
      </c>
      <c r="B5" s="1309"/>
      <c r="C5" s="2497">
        <f>Valuation!AP8</f>
      </c>
      <c r="T5" s="160" t="s">
        <v>1610</v>
      </c>
      <c r="U5" s="2504" t="e">
        <f>W16</f>
      </c>
      <c r="V5" s="2560">
        <v>0.2</v>
      </c>
    </row>
    <row r="6" spans="1:24">
      <c r="A6" s="1309"/>
      <c r="B6" s="1309"/>
      <c r="C6" s="1309"/>
      <c r="T6" s="2621" t="s">
        <v>1633</v>
      </c>
      <c r="U6" s="1897" t="e">
        <f>SUMPRODUCT(U3:U5,V3:V5)</f>
      </c>
      <c r="V6" s="2621"/>
    </row>
    <row r="7" spans="1:24">
      <c r="A7" s="1309" t="s">
        <v>1282</v>
      </c>
      <c r="B7" s="1309"/>
      <c r="C7" s="2497">
        <f ca="1">Valuation!AP10</f>
      </c>
      <c r="U7" s="160" t="s">
        <v>1424</v>
      </c>
      <c r="V7" s="160" t="s">
        <v>1634</v>
      </c>
    </row>
    <row r="8" spans="1:24">
      <c r="G8" s="2504">
        <f>G15-G86</f>
      </c>
      <c r="T8" s="160" t="s">
        <v>1609</v>
      </c>
      <c r="U8" s="2504">
        <f>Valuation!B5</f>
      </c>
      <c r="V8" s="2504" t="e">
        <f>U3</f>
      </c>
      <c r="W8" s="2523" t="e">
        <f>V8/U8-1</f>
      </c>
    </row>
    <row r="9" spans="1:24">
      <c r="T9" s="160" t="s">
        <v>720</v>
      </c>
      <c r="U9" s="2504">
        <f>U8</f>
      </c>
      <c r="V9" s="2504">
        <f ca="1">U4</f>
      </c>
      <c r="W9" s="2523">
        <f t="shared" ref="W9:W10" ca="1" si="0">V9/U9-1</f>
      </c>
      <c r="X9" s="160" t="s">
        <v>1646</v>
      </c>
    </row>
    <row r="10" spans="1:24">
      <c r="T10" s="160" t="s">
        <v>1610</v>
      </c>
      <c r="U10" s="2504">
        <f>U9</f>
      </c>
      <c r="V10" s="2504" t="e">
        <f>U5</f>
      </c>
      <c r="W10" s="2523" t="e">
        <f t="shared" si="0"/>
      </c>
      <c r="X10" s="2517" t="e">
        <f>ABS(W10/W8)</f>
      </c>
    </row>
    <row r="11" spans="1:24" ht="12" thickBot="1"/>
    <row r="12" spans="1:24">
      <c r="A12" s="2564" t="s">
        <v>1625</v>
      </c>
      <c r="B12" s="2565" t="s">
        <v>1141</v>
      </c>
      <c r="C12" s="2631" t="str">
        <f>'Income Statement'!FM8</f>
      </c>
      <c r="D12" s="2631" t="str">
        <f>'Income Statement'!FN8</f>
      </c>
      <c r="E12" s="2631" t="str">
        <f>'Income Statement'!FO8</f>
      </c>
      <c r="F12" s="2631" t="str">
        <f>'Income Statement'!FP8</f>
      </c>
      <c r="G12" s="2631" t="str">
        <f>'Income Statement'!FQ8</f>
      </c>
      <c r="H12" s="2631" t="str">
        <f>'Income Statement'!FR8</f>
      </c>
      <c r="I12" s="2631" t="str">
        <f>'Income Statement'!FS8</f>
      </c>
      <c r="J12" s="2631" t="str">
        <f>'Income Statement'!FT8</f>
      </c>
      <c r="K12" s="2632" t="str">
        <f>'Income Statement'!FU8</f>
      </c>
      <c r="L12" s="2566" t="s">
        <v>1313</v>
      </c>
      <c r="O12" s="2498" t="str">
        <f ca="1">OFFSET('Income Statement'!$A$7,0,(MATCH($C$3,'Income Statement'!7:7,0)+0))</f>
      </c>
      <c r="P12" s="2499" t="str">
        <f ca="1">OFFSET('Income Statement'!$A$7,0,(MATCH(O12,'Income Statement'!7:7,0)+0))</f>
      </c>
      <c r="Q12" s="2499" t="str">
        <f ca="1">OFFSET('Income Statement'!$A$7,0,(MATCH(P12,'Income Statement'!7:7,0)+0))</f>
      </c>
      <c r="R12" s="2500" t="str">
        <f ca="1">OFFSET('Income Statement'!$A$7,0,(MATCH(Q12,'Income Statement'!7:7,0)+0))</f>
      </c>
      <c r="T12" s="2570" t="s">
        <v>1641</v>
      </c>
      <c r="U12" s="2617"/>
      <c r="V12" s="2617"/>
      <c r="W12" s="2617"/>
      <c r="X12" s="2617"/>
    </row>
    <row r="13" spans="1:24" ht="12.6" thickBot="1">
      <c r="A13" s="2567" t="s">
        <v>1598</v>
      </c>
      <c r="B13" s="2568"/>
      <c r="C13" s="2568"/>
      <c r="D13" s="2568"/>
      <c r="E13" s="2568"/>
      <c r="F13" s="2568"/>
      <c r="G13" s="2568"/>
      <c r="H13" s="2568"/>
      <c r="I13" s="2568"/>
      <c r="J13" s="2568"/>
      <c r="K13" s="2569"/>
      <c r="L13" s="2618"/>
      <c r="O13" s="1374"/>
      <c r="P13" s="196"/>
      <c r="Q13" s="196"/>
      <c r="R13" s="1375"/>
      <c r="T13" s="2570"/>
      <c r="U13" s="2570" t="s">
        <v>1636</v>
      </c>
      <c r="V13" s="2570" t="s">
        <v>1615</v>
      </c>
      <c r="W13" s="2570" t="s">
        <v>1637</v>
      </c>
      <c r="X13" s="2570" t="s">
        <v>1616</v>
      </c>
    </row>
    <row r="14" spans="1:24" s="2504" customFormat="1">
      <c r="A14" s="2635" t="s">
        <v>667</v>
      </c>
      <c r="B14" s="2504">
        <f>VLOOKUP($N14,'Revenue summary'!$A$8:$FU$17,MATCH('Scenario analysis'!B$12,'Revenue summary'!$A$9:$FU$9,0),0)</f>
      </c>
      <c r="C14" s="2504">
        <f>VLOOKUP($N14,'Revenue summary'!$A$8:$FU$17,MATCH('Scenario analysis'!C$12,'Revenue summary'!$A$9:$FU$9,0),0)</f>
      </c>
      <c r="D14" s="2504">
        <f>VLOOKUP($N14,'Revenue summary'!$A$8:$FU$17,MATCH('Scenario analysis'!D$12,'Revenue summary'!$A$9:$FU$9,0),0)</f>
      </c>
      <c r="E14" s="2504">
        <f>VLOOKUP($N14,'Revenue summary'!$A$8:$FU$17,MATCH('Scenario analysis'!E$12,'Revenue summary'!$A$9:$FU$9,0),0)</f>
      </c>
      <c r="F14" s="2504">
        <f>VLOOKUP($N14,'Revenue summary'!$A$8:$FU$17,MATCH('Scenario analysis'!F$12,'Revenue summary'!$A$9:$FU$9,0),0)</f>
      </c>
      <c r="G14" s="2504">
        <f>VLOOKUP($N14,'Revenue summary'!$A$8:$FU$17,MATCH('Scenario analysis'!G$12,'Revenue summary'!$A$9:$FU$9,0),0)</f>
      </c>
      <c r="H14" s="2504">
        <f>VLOOKUP($N14,'Revenue summary'!$A$8:$FU$17,MATCH('Scenario analysis'!H$12,'Revenue summary'!$A$9:$FU$9,0),0)</f>
      </c>
      <c r="I14" s="2504">
        <f>VLOOKUP($N14,'Revenue summary'!$A$8:$FU$17,MATCH('Scenario analysis'!I$12,'Revenue summary'!$A$9:$FU$9,0),0)</f>
      </c>
      <c r="J14" s="2504">
        <f>VLOOKUP($N14,'Revenue summary'!$A$8:$FU$17,MATCH('Scenario analysis'!J$12,'Revenue summary'!$A$9:$FU$9,0),0)</f>
      </c>
      <c r="K14" s="2506">
        <f>VLOOKUP($N14,'Revenue summary'!$A$8:$FU$17,MATCH('Scenario analysis'!K$12,'Revenue summary'!$A$9:$FU$9,0),0)</f>
      </c>
      <c r="L14" s="2619">
        <f t="shared" ref="L14:L15" ca="1" si="1">R14+Q14+P14+O14</f>
      </c>
      <c r="N14" s="2562" t="str">
        <f>'Revenue summary'!A15</f>
      </c>
      <c r="O14" s="1907">
        <f ca="1">VLOOKUP($N14,'Revenue summary'!$A$8:$FU$17,MATCH('Scenario analysis'!O$12,'Revenue summary'!$A$8:$FU$8,0),0)</f>
      </c>
      <c r="P14" s="2504">
        <f ca="1">VLOOKUP($N14,'Revenue summary'!$A$8:$FU$17,MATCH('Scenario analysis'!P$12,'Revenue summary'!$A$8:$FU$8,0),0)</f>
      </c>
      <c r="Q14" s="2504">
        <f ca="1">VLOOKUP($N14,'Revenue summary'!$A$8:$FU$17,MATCH('Scenario analysis'!Q$12,'Revenue summary'!$A$8:$FU$8,0),0)</f>
      </c>
      <c r="R14" s="2576">
        <f ca="1">VLOOKUP($N14,'Revenue summary'!$A$8:$FU$17,MATCH('Scenario analysis'!R$12,'Revenue summary'!$A$8:$FU$8,0),0)</f>
      </c>
      <c r="T14" s="1818" t="s">
        <v>1611</v>
      </c>
      <c r="U14" s="2609" t="e">
        <f>L97</f>
      </c>
      <c r="V14" s="2609">
        <f ca="1">L26</f>
      </c>
      <c r="W14" s="2610" t="e">
        <f>L62</f>
      </c>
      <c r="X14" s="165"/>
    </row>
    <row r="15" spans="1:24" s="2504" customFormat="1">
      <c r="A15" s="2504" t="s">
        <v>81</v>
      </c>
      <c r="B15" s="2504">
        <f>VLOOKUP($N15,'Revenue summary'!$A$8:$FU$17,MATCH('Scenario analysis'!B$12,'Revenue summary'!$A$9:$FU$9,0),0)</f>
      </c>
      <c r="C15" s="2504">
        <f>VLOOKUP($N15,'Revenue summary'!$A$8:$FU$17,MATCH('Scenario analysis'!C$12,'Revenue summary'!$A$9:$FU$9,0),0)</f>
      </c>
      <c r="D15" s="2504">
        <f>VLOOKUP($N15,'Revenue summary'!$A$8:$FU$17,MATCH('Scenario analysis'!D$12,'Revenue summary'!$A$9:$FU$9,0),0)</f>
      </c>
      <c r="E15" s="2504">
        <f>VLOOKUP($N15,'Revenue summary'!$A$8:$FU$17,MATCH('Scenario analysis'!E$12,'Revenue summary'!$A$9:$FU$9,0),0)</f>
      </c>
      <c r="F15" s="2504">
        <f>VLOOKUP($N15,'Revenue summary'!$A$8:$FU$17,MATCH('Scenario analysis'!F$12,'Revenue summary'!$A$9:$FU$9,0),0)</f>
      </c>
      <c r="G15" s="2504">
        <f>VLOOKUP($N15,'Revenue summary'!$A$8:$FU$17,MATCH('Scenario analysis'!G$12,'Revenue summary'!$A$9:$FU$9,0),0)</f>
      </c>
      <c r="H15" s="2504">
        <f>VLOOKUP($N15,'Revenue summary'!$A$8:$FU$17,MATCH('Scenario analysis'!H$12,'Revenue summary'!$A$9:$FU$9,0),0)</f>
      </c>
      <c r="I15" s="2504">
        <f>VLOOKUP($N15,'Revenue summary'!$A$8:$FU$17,MATCH('Scenario analysis'!I$12,'Revenue summary'!$A$9:$FU$9,0),0)</f>
      </c>
      <c r="J15" s="2504">
        <f>VLOOKUP($N15,'Revenue summary'!$A$8:$FU$17,MATCH('Scenario analysis'!J$12,'Revenue summary'!$A$9:$FU$9,0),0)</f>
      </c>
      <c r="K15" s="2506">
        <f>VLOOKUP($N15,'Revenue summary'!$A$8:$FU$17,MATCH('Scenario analysis'!K$12,'Revenue summary'!$A$9:$FU$9,0),0)</f>
      </c>
      <c r="L15" s="2619">
        <f t="shared" ca="1" si="1"/>
      </c>
      <c r="N15" s="2562" t="str">
        <f>'Revenue summary'!A16</f>
      </c>
      <c r="O15" s="1907">
        <f ca="1">VLOOKUP($N15,'Revenue summary'!$A$8:$FU$17,MATCH('Scenario analysis'!O$12,'Revenue summary'!$A$8:$FU$8,0),0)</f>
      </c>
      <c r="P15" s="2504">
        <f ca="1">VLOOKUP($N15,'Revenue summary'!$A$8:$FU$17,MATCH('Scenario analysis'!P$12,'Revenue summary'!$A$8:$FU$8,0),0)</f>
      </c>
      <c r="Q15" s="2504">
        <f ca="1">VLOOKUP($N15,'Revenue summary'!$A$8:$FU$17,MATCH('Scenario analysis'!Q$12,'Revenue summary'!$A$8:$FU$8,0),0)</f>
      </c>
      <c r="R15" s="2576">
        <f ca="1">VLOOKUP($N15,'Revenue summary'!$A$8:$FU$17,MATCH('Scenario analysis'!R$12,'Revenue summary'!$A$8:$FU$8,0),0)</f>
      </c>
      <c r="T15" s="1396" t="s">
        <v>1612</v>
      </c>
      <c r="U15" s="2611">
        <f>V15-5</f>
      </c>
      <c r="V15" s="2612">
        <f>Valuation!AM36</f>
      </c>
      <c r="W15" s="2613">
        <f>V15+5</f>
      </c>
      <c r="X15" s="2622" t="s">
        <v>1638</v>
      </c>
    </row>
    <row r="16" spans="1:24" ht="12.6" thickBot="1">
      <c r="A16" s="2585" t="s">
        <v>1599</v>
      </c>
      <c r="B16" s="2586">
        <f>VLOOKUP($N16,'Income Statement'!$A$8:$FU$35,MATCH('Scenario analysis'!B$12,'Income Statement'!$A$8:$FU$8,0),0)</f>
      </c>
      <c r="C16" s="2586">
        <f>VLOOKUP($N16,'Income Statement'!$A$8:$FU$35,MATCH('Scenario analysis'!C$12,'Income Statement'!$A$8:$FU$8,0),0)</f>
      </c>
      <c r="D16" s="2586">
        <f>VLOOKUP($N16,'Income Statement'!$A$8:$FU$35,MATCH('Scenario analysis'!D$12,'Income Statement'!$A$8:$FU$8,0),0)</f>
      </c>
      <c r="E16" s="2586">
        <f>VLOOKUP($N16,'Income Statement'!$A$8:$FU$35,MATCH('Scenario analysis'!E$12,'Income Statement'!$A$8:$FU$8,0),0)</f>
      </c>
      <c r="F16" s="2586">
        <f>VLOOKUP($N16,'Income Statement'!$A$8:$FU$35,MATCH('Scenario analysis'!F$12,'Income Statement'!$A$8:$FU$8,0),0)</f>
      </c>
      <c r="G16" s="2586">
        <f>VLOOKUP($N16,'Income Statement'!$A$8:$FU$35,MATCH('Scenario analysis'!G$12,'Income Statement'!$A$8:$FU$8,0),0)</f>
      </c>
      <c r="H16" s="2586">
        <f>VLOOKUP($N16,'Income Statement'!$A$8:$FU$35,MATCH('Scenario analysis'!H$12,'Income Statement'!$A$8:$FU$8,0),0)</f>
      </c>
      <c r="I16" s="2586">
        <f>VLOOKUP($N16,'Income Statement'!$A$8:$FU$35,MATCH('Scenario analysis'!I$12,'Income Statement'!$A$8:$FU$8,0),0)</f>
      </c>
      <c r="J16" s="2586">
        <f>VLOOKUP($N16,'Income Statement'!$A$8:$FU$35,MATCH('Scenario analysis'!J$12,'Income Statement'!$A$8:$FU$8,0),0)</f>
      </c>
      <c r="K16" s="2587">
        <f>VLOOKUP($N16,'Income Statement'!$A$8:$FU$35,MATCH('Scenario analysis'!K$12,'Income Statement'!$A$8:$FU$8,0),0)</f>
      </c>
      <c r="L16" s="2602">
        <f ca="1">R16+Q16+P16+O16</f>
      </c>
      <c r="M16" s="2571"/>
      <c r="N16" s="2572" t="s">
        <v>63</v>
      </c>
      <c r="O16" s="2573">
        <f ca="1">VLOOKUP($N16,'Income Statement'!$A$7:$FU$35,MATCH('Scenario analysis'!O$12,'Income Statement'!$A$7:$FU$7,0),0)</f>
      </c>
      <c r="P16" s="2574">
        <f ca="1">VLOOKUP($N16,'Income Statement'!$A$7:$FU$35,MATCH('Scenario analysis'!P$12,'Income Statement'!$A$7:$FU$7,0),0)</f>
      </c>
      <c r="Q16" s="2574">
        <f ca="1">VLOOKUP($N16,'Income Statement'!$A$7:$FU$35,MATCH('Scenario analysis'!Q$12,'Income Statement'!$A$7:$FU$7,0),0)</f>
      </c>
      <c r="R16" s="2575">
        <f ca="1">VLOOKUP($N16,'Income Statement'!$A$7:$FU$35,MATCH('Scenario analysis'!R$12,'Income Statement'!$A$7:$FU$7,0),0)</f>
      </c>
      <c r="T16" s="2533" t="s">
        <v>1613</v>
      </c>
      <c r="U16" s="2528" t="e">
        <f>U14*U15</f>
      </c>
      <c r="V16" s="2528">
        <f t="shared" ref="V16" ca="1" si="2">V14*V15</f>
      </c>
      <c r="W16" s="2534" t="e">
        <f>W14*W15</f>
      </c>
    </row>
    <row r="17" spans="1:24" ht="12" thickTop="1">
      <c r="A17" s="160" t="s">
        <v>83</v>
      </c>
      <c r="B17" s="2504">
        <f>VLOOKUP($N17,'Income Statement'!$A$8:$FU$35,MATCH('Scenario analysis'!B$12,'Income Statement'!$A$8:$FU$8,0),0)</f>
      </c>
      <c r="C17" s="2504">
        <f>VLOOKUP($N17,'Income Statement'!$A$8:$FU$35,MATCH('Scenario analysis'!C$12,'Income Statement'!$A$8:$FU$8,0),0)</f>
      </c>
      <c r="D17" s="2504">
        <f>VLOOKUP($N17,'Income Statement'!$A$8:$FU$35,MATCH('Scenario analysis'!D$12,'Income Statement'!$A$8:$FU$8,0),0)</f>
      </c>
      <c r="E17" s="2504">
        <f>VLOOKUP($N17,'Income Statement'!$A$8:$FU$35,MATCH('Scenario analysis'!E$12,'Income Statement'!$A$8:$FU$8,0),0)</f>
      </c>
      <c r="F17" s="2504">
        <f>VLOOKUP($N17,'Income Statement'!$A$8:$FU$35,MATCH('Scenario analysis'!F$12,'Income Statement'!$A$8:$FU$8,0),0)</f>
      </c>
      <c r="G17" s="2504">
        <f>VLOOKUP($N17,'Income Statement'!$A$8:$FU$35,MATCH('Scenario analysis'!G$12,'Income Statement'!$A$8:$FU$8,0),0)</f>
      </c>
      <c r="H17" s="2504">
        <f>VLOOKUP($N17,'Income Statement'!$A$8:$FU$35,MATCH('Scenario analysis'!H$12,'Income Statement'!$A$8:$FU$8,0),0)</f>
      </c>
      <c r="I17" s="2504">
        <f>VLOOKUP($N17,'Income Statement'!$A$8:$FU$35,MATCH('Scenario analysis'!I$12,'Income Statement'!$A$8:$FU$8,0),0)</f>
      </c>
      <c r="J17" s="2504">
        <f>VLOOKUP($N17,'Income Statement'!$A$8:$FU$35,MATCH('Scenario analysis'!J$12,'Income Statement'!$A$8:$FU$8,0),0)</f>
      </c>
      <c r="K17" s="2506">
        <f>VLOOKUP($N17,'Income Statement'!$A$8:$FU$35,MATCH('Scenario analysis'!K$12,'Income Statement'!$A$8:$FU$8,0),0)</f>
      </c>
      <c r="L17" s="2619">
        <f t="shared" ref="L17" ca="1" si="3">R17+Q17+P17+O17</f>
      </c>
      <c r="N17" s="2501" t="s">
        <v>66</v>
      </c>
      <c r="O17" s="2508">
        <f ca="1">VLOOKUP($N17,'Income Statement'!$A$7:$FU$35,MATCH('Scenario analysis'!O$12,'Income Statement'!$A$7:$FU$7,0),0)</f>
      </c>
      <c r="P17" s="2509">
        <f ca="1">VLOOKUP($N17,'Income Statement'!$A$7:$FU$35,MATCH('Scenario analysis'!P$12,'Income Statement'!$A$7:$FU$7,0),0)</f>
      </c>
      <c r="Q17" s="2509">
        <f ca="1">VLOOKUP($N17,'Income Statement'!$A$7:$FU$35,MATCH('Scenario analysis'!Q$12,'Income Statement'!$A$7:$FU$7,0),0)</f>
      </c>
      <c r="R17" s="2510">
        <f ca="1">VLOOKUP($N17,'Income Statement'!$A$7:$FU$35,MATCH('Scenario analysis'!R$12,'Income Statement'!$A$7:$FU$7,0),0)</f>
      </c>
      <c r="T17" s="2614" t="s">
        <v>1614</v>
      </c>
      <c r="U17" s="2615" t="e">
        <f>U16/Valuation!$B$5-1</f>
      </c>
      <c r="V17" s="2615">
        <f ca="1">V16/Valuation!$B$5-1</f>
      </c>
      <c r="W17" s="2616" t="e">
        <f>W16/Valuation!$B$5-1</f>
      </c>
    </row>
    <row r="18" spans="1:24" ht="12">
      <c r="A18" s="1545" t="s">
        <v>67</v>
      </c>
      <c r="B18" s="1544">
        <f>B16-B17</f>
      </c>
      <c r="C18" s="1544">
        <f>C16-C17</f>
      </c>
      <c r="D18" s="1544">
        <f t="shared" ref="D18:L18" si="4">D16-D17</f>
      </c>
      <c r="E18" s="1544">
        <f t="shared" si="4"/>
      </c>
      <c r="F18" s="1544">
        <f t="shared" si="4"/>
      </c>
      <c r="G18" s="1544">
        <f t="shared" si="4"/>
      </c>
      <c r="H18" s="1544">
        <f t="shared" si="4"/>
      </c>
      <c r="I18" s="1544">
        <f t="shared" si="4"/>
      </c>
      <c r="J18" s="1544">
        <f t="shared" si="4"/>
      </c>
      <c r="K18" s="2526">
        <f t="shared" si="4"/>
      </c>
      <c r="L18" s="2603">
        <f t="shared" ca="1" si="4"/>
      </c>
      <c r="N18" s="2501" t="s">
        <v>67</v>
      </c>
      <c r="O18" s="2511">
        <f ca="1">VLOOKUP($N18,'Income Statement'!$A$7:$FU$35,MATCH('Scenario analysis'!O$12,'Income Statement'!$A$7:$FU$7,0),0)</f>
      </c>
      <c r="P18" s="2512">
        <f ca="1">VLOOKUP($N18,'Income Statement'!$A$7:$FU$35,MATCH('Scenario analysis'!P$12,'Income Statement'!$A$7:$FU$7,0),0)</f>
      </c>
      <c r="Q18" s="2512">
        <f ca="1">VLOOKUP($N18,'Income Statement'!$A$7:$FU$35,MATCH('Scenario analysis'!Q$12,'Income Statement'!$A$7:$FU$7,0),0)</f>
      </c>
      <c r="R18" s="2513">
        <f ca="1">VLOOKUP($N18,'Income Statement'!$A$7:$FU$35,MATCH('Scenario analysis'!R$12,'Income Statement'!$A$7:$FU$7,0),0)</f>
      </c>
    </row>
    <row r="19" spans="1:24">
      <c r="A19" s="160" t="s">
        <v>1600</v>
      </c>
      <c r="B19" s="2504">
        <f>VLOOKUP($N19,'Income Statement'!$A$8:$FU$35,MATCH('Scenario analysis'!B$12,'Income Statement'!$A$8:$FU$8,0),0)</f>
      </c>
      <c r="C19" s="2504">
        <f>VLOOKUP($N19,'Income Statement'!$A$8:$FU$35,MATCH('Scenario analysis'!C$12,'Income Statement'!$A$8:$FU$8,0),0)</f>
      </c>
      <c r="D19" s="2504">
        <f>VLOOKUP($N19,'Income Statement'!$A$8:$FU$35,MATCH('Scenario analysis'!D$12,'Income Statement'!$A$8:$FU$8,0),0)</f>
      </c>
      <c r="E19" s="2504">
        <f>VLOOKUP($N19,'Income Statement'!$A$8:$FU$35,MATCH('Scenario analysis'!E$12,'Income Statement'!$A$8:$FU$8,0),0)</f>
      </c>
      <c r="F19" s="2504">
        <f>VLOOKUP($N19,'Income Statement'!$A$8:$FU$35,MATCH('Scenario analysis'!F$12,'Income Statement'!$A$8:$FU$8,0),0)</f>
      </c>
      <c r="G19" s="2504">
        <f>VLOOKUP($N19,'Income Statement'!$A$8:$FU$35,MATCH('Scenario analysis'!G$12,'Income Statement'!$A$8:$FU$8,0),0)</f>
      </c>
      <c r="H19" s="2504">
        <f>VLOOKUP($N19,'Income Statement'!$A$8:$FU$35,MATCH('Scenario analysis'!H$12,'Income Statement'!$A$8:$FU$8,0),0)</f>
      </c>
      <c r="I19" s="2504">
        <f>VLOOKUP($N19,'Income Statement'!$A$8:$FU$35,MATCH('Scenario analysis'!I$12,'Income Statement'!$A$8:$FU$8,0),0)</f>
      </c>
      <c r="J19" s="2504">
        <f>VLOOKUP($N19,'Income Statement'!$A$8:$FU$35,MATCH('Scenario analysis'!J$12,'Income Statement'!$A$8:$FU$8,0),0)</f>
      </c>
      <c r="K19" s="2506">
        <f>VLOOKUP($N19,'Income Statement'!$A$8:$FU$35,MATCH('Scenario analysis'!K$12,'Income Statement'!$A$8:$FU$8,0),0)</f>
      </c>
      <c r="L19" s="2619">
        <f t="shared" ref="L19" ca="1" si="5">R19+Q19+P19+O19</f>
      </c>
      <c r="N19" s="2501" t="s">
        <v>69</v>
      </c>
      <c r="O19" s="2508">
        <f ca="1">VLOOKUP($N19,'Income Statement'!$A$7:$FU$35,MATCH('Scenario analysis'!O$12,'Income Statement'!$A$7:$FU$7,0),0)</f>
      </c>
      <c r="P19" s="2509">
        <f ca="1">VLOOKUP($N19,'Income Statement'!$A$7:$FU$35,MATCH('Scenario analysis'!P$12,'Income Statement'!$A$7:$FU$7,0),0)</f>
      </c>
      <c r="Q19" s="2509">
        <f ca="1">VLOOKUP($N19,'Income Statement'!$A$7:$FU$35,MATCH('Scenario analysis'!Q$12,'Income Statement'!$A$7:$FU$7,0),0)</f>
      </c>
      <c r="R19" s="2510">
        <f ca="1">VLOOKUP($N19,'Income Statement'!$A$7:$FU$35,MATCH('Scenario analysis'!R$12,'Income Statement'!$A$7:$FU$7,0),0)</f>
      </c>
      <c r="T19" s="160" t="s">
        <v>1617</v>
      </c>
      <c r="U19" s="2504">
        <f>L85</f>
      </c>
      <c r="V19" s="2504">
        <f ca="1">L14</f>
      </c>
      <c r="W19" s="2504">
        <f>L50</f>
      </c>
      <c r="X19" s="160" t="s">
        <v>1635</v>
      </c>
    </row>
    <row r="20" spans="1:24" ht="12">
      <c r="A20" s="1545" t="s">
        <v>268</v>
      </c>
      <c r="B20" s="1544">
        <f>B18-B19</f>
      </c>
      <c r="C20" s="1544">
        <f>C18-C19</f>
      </c>
      <c r="D20" s="1544">
        <f t="shared" ref="D20:L20" si="6">D18-D19</f>
      </c>
      <c r="E20" s="1544">
        <f t="shared" si="6"/>
      </c>
      <c r="F20" s="1544">
        <f t="shared" si="6"/>
      </c>
      <c r="G20" s="1544">
        <f t="shared" si="6"/>
      </c>
      <c r="H20" s="1544">
        <f t="shared" si="6"/>
      </c>
      <c r="I20" s="1544">
        <f t="shared" si="6"/>
      </c>
      <c r="J20" s="1544">
        <f t="shared" si="6"/>
      </c>
      <c r="K20" s="2526">
        <f t="shared" si="6"/>
      </c>
      <c r="L20" s="2603">
        <f t="shared" ca="1" si="6"/>
      </c>
      <c r="N20" s="2501" t="s">
        <v>70</v>
      </c>
      <c r="O20" s="2508">
        <f ca="1">VLOOKUP($N20,'Income Statement'!$A$7:$FU$35,MATCH('Scenario analysis'!O$12,'Income Statement'!$A$7:$FU$7,0),0)</f>
      </c>
      <c r="P20" s="2509">
        <f ca="1">VLOOKUP($N20,'Income Statement'!$A$7:$FU$35,MATCH('Scenario analysis'!P$12,'Income Statement'!$A$7:$FU$7,0),0)</f>
      </c>
      <c r="Q20" s="2509">
        <f ca="1">VLOOKUP($N20,'Income Statement'!$A$7:$FU$35,MATCH('Scenario analysis'!Q$12,'Income Statement'!$A$7:$FU$7,0),0)</f>
      </c>
      <c r="R20" s="2510">
        <f ca="1">VLOOKUP($N20,'Income Statement'!$A$7:$FU$35,MATCH('Scenario analysis'!R$12,'Income Statement'!$A$7:$FU$7,0),0)</f>
      </c>
      <c r="T20" s="160" t="s">
        <v>1618</v>
      </c>
      <c r="U20" s="2504">
        <f>L86</f>
      </c>
      <c r="V20" s="2504">
        <f ca="1">L15</f>
      </c>
      <c r="W20" s="2504">
        <f>L51</f>
      </c>
      <c r="X20" s="160" t="s">
        <v>1622</v>
      </c>
    </row>
    <row r="21" spans="1:24">
      <c r="A21" s="160" t="s">
        <v>1601</v>
      </c>
      <c r="B21" s="2504">
        <f>VLOOKUP($N21,'Income Statement'!$A$8:$FU$35,MATCH('Scenario analysis'!B$12,'Income Statement'!$A$8:$FU$8,0),0)</f>
      </c>
      <c r="C21" s="2504">
        <f>VLOOKUP($N21,'Income Statement'!$A$8:$FU$35,MATCH('Scenario analysis'!C$12,'Income Statement'!$A$8:$FU$8,0),0)</f>
      </c>
      <c r="D21" s="2504">
        <f>VLOOKUP($N21,'Income Statement'!$A$8:$FU$35,MATCH('Scenario analysis'!D$12,'Income Statement'!$A$8:$FU$8,0),0)</f>
      </c>
      <c r="E21" s="2504">
        <f>VLOOKUP($N21,'Income Statement'!$A$8:$FU$35,MATCH('Scenario analysis'!E$12,'Income Statement'!$A$8:$FU$8,0),0)</f>
      </c>
      <c r="F21" s="2504">
        <f>VLOOKUP($N21,'Income Statement'!$A$8:$FU$35,MATCH('Scenario analysis'!F$12,'Income Statement'!$A$8:$FU$8,0),0)</f>
      </c>
      <c r="G21" s="2504">
        <f>VLOOKUP($N21,'Income Statement'!$A$8:$FU$35,MATCH('Scenario analysis'!G$12,'Income Statement'!$A$8:$FU$8,0),0)</f>
      </c>
      <c r="H21" s="2504">
        <f>VLOOKUP($N21,'Income Statement'!$A$8:$FU$35,MATCH('Scenario analysis'!H$12,'Income Statement'!$A$8:$FU$8,0),0)</f>
      </c>
      <c r="I21" s="2504">
        <f>VLOOKUP($N21,'Income Statement'!$A$8:$FU$35,MATCH('Scenario analysis'!I$12,'Income Statement'!$A$8:$FU$8,0),0)</f>
      </c>
      <c r="J21" s="2504">
        <f>VLOOKUP($N21,'Income Statement'!$A$8:$FU$35,MATCH('Scenario analysis'!J$12,'Income Statement'!$A$8:$FU$8,0),0)</f>
      </c>
      <c r="K21" s="2506">
        <f>VLOOKUP($N21,'Income Statement'!$A$8:$FU$35,MATCH('Scenario analysis'!K$12,'Income Statement'!$A$8:$FU$8,0),0)</f>
      </c>
      <c r="L21" s="2619">
        <f t="shared" ref="L21" ca="1" si="7">R21+Q21+P21+O21</f>
      </c>
      <c r="N21" s="2501" t="s">
        <v>689</v>
      </c>
      <c r="O21" s="2508">
        <f ca="1">VLOOKUP($N21,'Income Statement'!$A$7:$FU$35,MATCH('Scenario analysis'!O$12,'Income Statement'!$A$7:$FU$7,0),0)</f>
      </c>
      <c r="P21" s="2509">
        <f ca="1">VLOOKUP($N21,'Income Statement'!$A$7:$FU$35,MATCH('Scenario analysis'!P$12,'Income Statement'!$A$7:$FU$7,0),0)</f>
      </c>
      <c r="Q21" s="2509">
        <f ca="1">VLOOKUP($N21,'Income Statement'!$A$7:$FU$35,MATCH('Scenario analysis'!Q$12,'Income Statement'!$A$7:$FU$7,0),0)</f>
      </c>
      <c r="R21" s="2510">
        <f ca="1">VLOOKUP($N21,'Income Statement'!$A$7:$FU$35,MATCH('Scenario analysis'!R$12,'Income Statement'!$A$7:$FU$7,0),0)</f>
      </c>
      <c r="T21" s="2621" t="s">
        <v>1619</v>
      </c>
      <c r="U21" s="1897">
        <f>L87</f>
      </c>
      <c r="V21" s="1897">
        <f ca="1">L16</f>
      </c>
      <c r="W21" s="1897">
        <f>L52</f>
      </c>
    </row>
    <row r="22" spans="1:24">
      <c r="A22" s="2502" t="s">
        <v>1602</v>
      </c>
      <c r="B22" s="2505">
        <f>B20+B21</f>
      </c>
      <c r="C22" s="2505">
        <f>C20+C21</f>
      </c>
      <c r="D22" s="2505">
        <f t="shared" ref="D22:L22" si="8">D20+D21</f>
      </c>
      <c r="E22" s="2505">
        <f t="shared" si="8"/>
      </c>
      <c r="F22" s="2505">
        <f t="shared" si="8"/>
      </c>
      <c r="G22" s="2505">
        <f t="shared" si="8"/>
      </c>
      <c r="H22" s="2505">
        <f t="shared" si="8"/>
      </c>
      <c r="I22" s="2505">
        <f t="shared" si="8"/>
      </c>
      <c r="J22" s="2505">
        <f t="shared" si="8"/>
      </c>
      <c r="K22" s="2507">
        <f t="shared" si="8"/>
      </c>
      <c r="L22" s="2604">
        <f t="shared" ca="1" si="8"/>
      </c>
      <c r="N22" s="2501" t="s">
        <v>71</v>
      </c>
      <c r="O22" s="2511">
        <f ca="1">VLOOKUP($N22,'Income Statement'!$A$7:$FU$35,MATCH('Scenario analysis'!O$12,'Income Statement'!$A$7:$FU$7,0),0)</f>
      </c>
      <c r="P22" s="2512">
        <f ca="1">VLOOKUP($N22,'Income Statement'!$A$7:$FU$35,MATCH('Scenario analysis'!P$12,'Income Statement'!$A$7:$FU$7,0),0)</f>
      </c>
      <c r="Q22" s="2512">
        <f ca="1">VLOOKUP($N22,'Income Statement'!$A$7:$FU$35,MATCH('Scenario analysis'!Q$12,'Income Statement'!$A$7:$FU$7,0),0)</f>
      </c>
      <c r="R22" s="2513">
        <f ca="1">VLOOKUP($N22,'Income Statement'!$A$7:$FU$35,MATCH('Scenario analysis'!R$12,'Income Statement'!$A$7:$FU$7,0),0)</f>
      </c>
    </row>
    <row r="23" spans="1:24">
      <c r="A23" s="160" t="s">
        <v>1603</v>
      </c>
      <c r="B23" s="2504" t="e">
        <f>VLOOKUP($N23,'Income Statement'!$A$8:$FU$35,MATCH('Scenario analysis'!B$12,'Income Statement'!$A$8:$FU$8,0),0)</f>
      </c>
      <c r="C23" s="2504" t="e">
        <f>VLOOKUP($N23,'Income Statement'!$A$8:$FU$35,MATCH('Scenario analysis'!C$12,'Income Statement'!$A$8:$FU$8,0),0)</f>
      </c>
      <c r="D23" s="2504" t="e">
        <f>VLOOKUP($N23,'Income Statement'!$A$8:$FU$35,MATCH('Scenario analysis'!D$12,'Income Statement'!$A$8:$FU$8,0),0)</f>
      </c>
      <c r="E23" s="2504" t="e">
        <f>VLOOKUP($N23,'Income Statement'!$A$8:$FU$35,MATCH('Scenario analysis'!E$12,'Income Statement'!$A$8:$FU$8,0),0)</f>
      </c>
      <c r="F23" s="2504" t="e">
        <f>VLOOKUP($N23,'Income Statement'!$A$8:$FU$35,MATCH('Scenario analysis'!F$12,'Income Statement'!$A$8:$FU$8,0),0)</f>
      </c>
      <c r="G23" s="2504" t="e">
        <f>VLOOKUP($N23,'Income Statement'!$A$8:$FU$35,MATCH('Scenario analysis'!G$12,'Income Statement'!$A$8:$FU$8,0),0)</f>
      </c>
      <c r="H23" s="2504" t="e">
        <f>VLOOKUP($N23,'Income Statement'!$A$8:$FU$35,MATCH('Scenario analysis'!H$12,'Income Statement'!$A$8:$FU$8,0),0)</f>
      </c>
      <c r="I23" s="2504" t="e">
        <f>VLOOKUP($N23,'Income Statement'!$A$8:$FU$35,MATCH('Scenario analysis'!I$12,'Income Statement'!$A$8:$FU$8,0),0)</f>
      </c>
      <c r="J23" s="2504" t="e">
        <f>VLOOKUP($N23,'Income Statement'!$A$8:$FU$35,MATCH('Scenario analysis'!J$12,'Income Statement'!$A$8:$FU$8,0),0)</f>
      </c>
      <c r="K23" s="2506" t="e">
        <f>VLOOKUP($N23,'Income Statement'!$A$8:$FU$35,MATCH('Scenario analysis'!K$12,'Income Statement'!$A$8:$FU$8,0),0)</f>
      </c>
      <c r="L23" s="2619" t="e">
        <f t="shared" ref="L23" ca="1" si="9">R23+Q23+P23+O23</f>
      </c>
      <c r="N23" s="2501" t="s">
        <v>72</v>
      </c>
      <c r="O23" s="2508" t="e">
        <f ca="1">VLOOKUP($N23,'Income Statement'!$A$7:$FU$35,MATCH('Scenario analysis'!O$12,'Income Statement'!$A$7:$FU$7,0),0)</f>
      </c>
      <c r="P23" s="2509" t="e">
        <f ca="1">VLOOKUP($N23,'Income Statement'!$A$7:$FU$35,MATCH('Scenario analysis'!P$12,'Income Statement'!$A$7:$FU$7,0),0)</f>
      </c>
      <c r="Q23" s="2509" t="e">
        <f ca="1">VLOOKUP($N23,'Income Statement'!$A$7:$FU$35,MATCH('Scenario analysis'!Q$12,'Income Statement'!$A$7:$FU$7,0),0)</f>
      </c>
      <c r="R23" s="2510" t="e">
        <f ca="1">VLOOKUP($N23,'Income Statement'!$A$7:$FU$35,MATCH('Scenario analysis'!R$12,'Income Statement'!$A$7:$FU$7,0),0)</f>
      </c>
      <c r="T23" s="160" t="s">
        <v>67</v>
      </c>
      <c r="U23" s="2504">
        <f>L89</f>
      </c>
      <c r="V23" s="2504">
        <f ca="1">L18</f>
      </c>
      <c r="W23" s="2504">
        <f>L54</f>
      </c>
      <c r="X23" s="160" t="s">
        <v>1640</v>
      </c>
    </row>
    <row r="24" spans="1:24" ht="12.6" thickBot="1">
      <c r="A24" s="2527" t="s">
        <v>1604</v>
      </c>
      <c r="B24" s="2528" t="e">
        <f>B22-B23</f>
      </c>
      <c r="C24" s="2528" t="e">
        <f>C22-C23</f>
      </c>
      <c r="D24" s="2528" t="e">
        <f t="shared" ref="D24:L24" si="10">D22-D23</f>
      </c>
      <c r="E24" s="2528" t="e">
        <f t="shared" si="10"/>
      </c>
      <c r="F24" s="2528" t="e">
        <f t="shared" si="10"/>
      </c>
      <c r="G24" s="2528" t="e">
        <f t="shared" si="10"/>
      </c>
      <c r="H24" s="2528" t="e">
        <f t="shared" si="10"/>
      </c>
      <c r="I24" s="2528" t="e">
        <f t="shared" si="10"/>
      </c>
      <c r="J24" s="2528" t="e">
        <f t="shared" si="10"/>
      </c>
      <c r="K24" s="2529" t="e">
        <f t="shared" si="10"/>
      </c>
      <c r="L24" s="2605" t="e">
        <f t="shared" ca="1" si="10"/>
      </c>
      <c r="N24" s="2501" t="s">
        <v>1154</v>
      </c>
      <c r="O24" s="2508">
        <f ca="1">VLOOKUP($N24,'Income Statement'!$A$7:$FU$35,MATCH('Scenario analysis'!O$12,'Income Statement'!$A$7:$FU$7,0),0)</f>
      </c>
      <c r="P24" s="2509">
        <f ca="1">VLOOKUP($N24,'Income Statement'!$A$7:$FU$35,MATCH('Scenario analysis'!P$12,'Income Statement'!$A$7:$FU$7,0),0)</f>
      </c>
      <c r="Q24" s="2509">
        <f ca="1">VLOOKUP($N24,'Income Statement'!$A$7:$FU$35,MATCH('Scenario analysis'!Q$12,'Income Statement'!$A$7:$FU$7,0),0)</f>
      </c>
      <c r="R24" s="2510">
        <f ca="1">VLOOKUP($N24,'Income Statement'!$A$7:$FU$35,MATCH('Scenario analysis'!R$12,'Income Statement'!$A$7:$FU$7,0),0)</f>
      </c>
      <c r="T24" s="160" t="s">
        <v>1620</v>
      </c>
      <c r="U24" s="2520">
        <f>U23/U21</f>
      </c>
      <c r="V24" s="2520">
        <f t="shared" ref="V24:W24" ca="1" si="11">V23/V21</f>
      </c>
      <c r="W24" s="2520">
        <f t="shared" si="11"/>
      </c>
    </row>
    <row r="25" spans="1:24" ht="12" thickTop="1">
      <c r="A25" s="160" t="s">
        <v>726</v>
      </c>
      <c r="B25" s="2518">
        <f>VLOOKUP($N25,'Income Statement'!$A$8:$FU$35,MATCH('Scenario analysis'!B$12,'Income Statement'!$A$8:$FU$8,0),0)</f>
      </c>
      <c r="C25" s="2518">
        <f>VLOOKUP($N25,'Income Statement'!$A$8:$FU$35,MATCH('Scenario analysis'!C$12,'Income Statement'!$A$8:$FU$8,0),0)</f>
      </c>
      <c r="D25" s="2518">
        <f>VLOOKUP($N25,'Income Statement'!$A$8:$FU$35,MATCH('Scenario analysis'!D$12,'Income Statement'!$A$8:$FU$8,0),0)</f>
      </c>
      <c r="E25" s="2518">
        <f>VLOOKUP($N25,'Income Statement'!$A$8:$FU$35,MATCH('Scenario analysis'!E$12,'Income Statement'!$A$8:$FU$8,0),0)</f>
      </c>
      <c r="F25" s="2518">
        <f>VLOOKUP($N25,'Income Statement'!$A$8:$FU$35,MATCH('Scenario analysis'!F$12,'Income Statement'!$A$8:$FU$8,0),0)</f>
      </c>
      <c r="G25" s="2518">
        <f>VLOOKUP($N25,'Income Statement'!$A$8:$FU$35,MATCH('Scenario analysis'!G$12,'Income Statement'!$A$8:$FU$8,0),0)</f>
      </c>
      <c r="H25" s="2518">
        <f>VLOOKUP($N25,'Income Statement'!$A$8:$FU$35,MATCH('Scenario analysis'!H$12,'Income Statement'!$A$8:$FU$8,0),0)</f>
      </c>
      <c r="I25" s="2518">
        <f>VLOOKUP($N25,'Income Statement'!$A$8:$FU$35,MATCH('Scenario analysis'!I$12,'Income Statement'!$A$8:$FU$8,0),0)</f>
      </c>
      <c r="J25" s="2518">
        <f>VLOOKUP($N25,'Income Statement'!$A$8:$FU$35,MATCH('Scenario analysis'!J$12,'Income Statement'!$A$8:$FU$8,0),0)</f>
      </c>
      <c r="K25" s="2519">
        <f>VLOOKUP($N25,'Income Statement'!$A$8:$FU$35,MATCH('Scenario analysis'!K$12,'Income Statement'!$A$8:$FU$8,0),0)</f>
      </c>
      <c r="L25" s="2620">
        <f ca="1">AVERAGE(O25:R25)</f>
      </c>
      <c r="N25" s="2501" t="s">
        <v>75</v>
      </c>
      <c r="O25" s="2514">
        <f ca="1">VLOOKUP($N25,'Income Statement'!$A$7:$FU$35,MATCH('Scenario analysis'!O$12,'Income Statement'!$A$7:$FU$7,0),0)</f>
      </c>
      <c r="P25" s="2515">
        <f ca="1">VLOOKUP($N25,'Income Statement'!$A$7:$FU$35,MATCH('Scenario analysis'!P$12,'Income Statement'!$A$7:$FU$7,0),0)</f>
      </c>
      <c r="Q25" s="2515">
        <f ca="1">VLOOKUP($N25,'Income Statement'!$A$7:$FU$35,MATCH('Scenario analysis'!Q$12,'Income Statement'!$A$7:$FU$7,0),0)</f>
      </c>
      <c r="R25" s="2516">
        <f ca="1">VLOOKUP($N25,'Income Statement'!$A$7:$FU$35,MATCH('Scenario analysis'!R$12,'Income Statement'!$A$7:$FU$7,0),0)</f>
      </c>
    </row>
    <row r="26" spans="1:24" ht="12.6" thickBot="1">
      <c r="A26" s="2527" t="s">
        <v>607</v>
      </c>
      <c r="B26" s="2530" t="e">
        <f>B24/B25</f>
      </c>
      <c r="C26" s="2530" t="e">
        <f>C24/C25</f>
      </c>
      <c r="D26" s="2530" t="e">
        <f t="shared" ref="D26:K26" si="12">D24/D25</f>
      </c>
      <c r="E26" s="2530" t="e">
        <f t="shared" si="12"/>
      </c>
      <c r="F26" s="2530" t="e">
        <f t="shared" si="12"/>
      </c>
      <c r="G26" s="2530" t="e">
        <f t="shared" si="12"/>
      </c>
      <c r="H26" s="2530" t="e">
        <f t="shared" si="12"/>
      </c>
      <c r="I26" s="2530" t="e">
        <f t="shared" si="12"/>
      </c>
      <c r="J26" s="2530" t="e">
        <f t="shared" si="12"/>
      </c>
      <c r="K26" s="2531" t="e">
        <f t="shared" si="12"/>
      </c>
      <c r="L26" s="2607">
        <f ca="1">R26+Q26+P26+O26</f>
      </c>
      <c r="N26" s="2501" t="s">
        <v>1151</v>
      </c>
      <c r="O26" s="2552">
        <f ca="1">VLOOKUP($N26,'Income Statement'!$A$7:$FU$35,MATCH('Scenario analysis'!O$12,'Income Statement'!$A$7:$FU$7,0),0)</f>
      </c>
      <c r="P26" s="2553">
        <f ca="1">VLOOKUP($N26,'Income Statement'!$A$7:$FU$35,MATCH('Scenario analysis'!P$12,'Income Statement'!$A$7:$FU$7,0),0)</f>
      </c>
      <c r="Q26" s="2553">
        <f ca="1">VLOOKUP($N26,'Income Statement'!$A$7:$FU$35,MATCH('Scenario analysis'!Q$12,'Income Statement'!$A$7:$FU$7,0),0)</f>
      </c>
      <c r="R26" s="2554">
        <f ca="1">VLOOKUP($N26,'Income Statement'!$A$7:$FU$35,MATCH('Scenario analysis'!R$12,'Income Statement'!$A$7:$FU$7,0),0)</f>
      </c>
      <c r="T26" s="160" t="s">
        <v>268</v>
      </c>
      <c r="U26" s="2504">
        <f>L91</f>
      </c>
      <c r="V26" s="2504">
        <f ca="1">L20</f>
      </c>
      <c r="W26" s="2504">
        <f>L56</f>
      </c>
      <c r="X26" s="160" t="s">
        <v>1623</v>
      </c>
    </row>
    <row r="27" spans="1:24" ht="12" thickTop="1">
      <c r="O27" s="2555"/>
      <c r="P27" s="2555"/>
      <c r="Q27" s="2555"/>
      <c r="R27" s="2555"/>
      <c r="T27" s="160" t="s">
        <v>1621</v>
      </c>
      <c r="U27" s="2520">
        <f>U26/U21</f>
      </c>
      <c r="V27" s="2520">
        <f t="shared" ref="V27:W27" ca="1" si="13">V26/V21</f>
      </c>
      <c r="W27" s="2520">
        <f t="shared" si="13"/>
      </c>
    </row>
    <row r="28" spans="1:24" ht="12">
      <c r="A28" s="1934" t="s">
        <v>1605</v>
      </c>
      <c r="B28" s="2589"/>
      <c r="C28" s="2590"/>
      <c r="D28" s="2590"/>
      <c r="E28" s="2590"/>
      <c r="F28" s="2590"/>
      <c r="G28" s="2590"/>
      <c r="H28" s="2590"/>
      <c r="I28" s="2590"/>
      <c r="J28" s="2590"/>
      <c r="K28" s="2591"/>
      <c r="O28" s="165"/>
      <c r="P28" s="165"/>
      <c r="Q28" s="165"/>
      <c r="R28" s="165"/>
    </row>
    <row r="29" spans="1:24">
      <c r="A29" s="2579" t="s">
        <v>667</v>
      </c>
      <c r="B29" s="1897" t="e">
        <f>VLOOKUP($T12,'Revenue summary'!$A$8:$FU$17,MATCH('Scenario analysis'!B$12,'Revenue summary'!$A$9:$FU$9,0),0)</f>
      </c>
      <c r="C29" s="1623">
        <f t="shared" ref="C29:K29" si="14">C14/B14-1</f>
      </c>
      <c r="D29" s="1623">
        <f t="shared" si="14"/>
      </c>
      <c r="E29" s="1623">
        <f t="shared" si="14"/>
      </c>
      <c r="F29" s="1623">
        <f t="shared" si="14"/>
      </c>
      <c r="G29" s="1623">
        <f t="shared" si="14"/>
      </c>
      <c r="H29" s="1623">
        <f t="shared" si="14"/>
      </c>
      <c r="I29" s="1623">
        <f t="shared" si="14"/>
      </c>
      <c r="J29" s="1623">
        <f t="shared" si="14"/>
      </c>
      <c r="K29" s="2577">
        <f t="shared" si="14"/>
      </c>
      <c r="L29" s="2504"/>
      <c r="T29" s="160" t="s">
        <v>1604</v>
      </c>
      <c r="U29" s="2504" t="e">
        <f>L95</f>
      </c>
      <c r="V29" s="2504" t="e">
        <f ca="1">L24</f>
      </c>
      <c r="W29" s="2504" t="e">
        <f>L60</f>
      </c>
      <c r="X29" s="2622" t="s">
        <v>1639</v>
      </c>
    </row>
    <row r="30" spans="1:24">
      <c r="A30" s="2580" t="s">
        <v>81</v>
      </c>
      <c r="B30" s="1899" t="e">
        <f>VLOOKUP($T13,'Revenue summary'!$A$8:$FU$17,MATCH('Scenario analysis'!B$12,'Revenue summary'!$A$9:$FU$9,0),0)</f>
      </c>
      <c r="C30" s="1625">
        <f t="shared" ref="C30:K30" si="15">C15/B15-1</f>
      </c>
      <c r="D30" s="1625">
        <f t="shared" si="15"/>
      </c>
      <c r="E30" s="1625">
        <f t="shared" si="15"/>
      </c>
      <c r="F30" s="1625">
        <f t="shared" si="15"/>
      </c>
      <c r="G30" s="1625">
        <f t="shared" si="15"/>
      </c>
      <c r="H30" s="1625">
        <f t="shared" si="15"/>
      </c>
      <c r="I30" s="1625">
        <f t="shared" si="15"/>
      </c>
      <c r="J30" s="1625">
        <f t="shared" si="15"/>
      </c>
      <c r="K30" s="2578">
        <f t="shared" si="15"/>
      </c>
      <c r="L30" s="2504"/>
      <c r="T30" s="160" t="s">
        <v>726</v>
      </c>
      <c r="U30" s="2518">
        <f>L96</f>
      </c>
      <c r="V30" s="2518">
        <f ca="1">L25</f>
      </c>
      <c r="W30" s="2518">
        <f>L61</f>
      </c>
      <c r="X30" s="160" t="s">
        <v>1624</v>
      </c>
    </row>
    <row r="31" spans="1:24">
      <c r="A31" s="1818" t="s">
        <v>1599</v>
      </c>
      <c r="B31" s="2541"/>
      <c r="C31" s="2541">
        <f t="shared" ref="C31:J31" si="16">C16/B16-1</f>
      </c>
      <c r="D31" s="2541">
        <f t="shared" si="16"/>
      </c>
      <c r="E31" s="2541">
        <f t="shared" si="16"/>
      </c>
      <c r="F31" s="2541">
        <f t="shared" si="16"/>
      </c>
      <c r="G31" s="2541">
        <f t="shared" si="16"/>
      </c>
      <c r="H31" s="2541">
        <f t="shared" si="16"/>
      </c>
      <c r="I31" s="2541">
        <f t="shared" si="16"/>
      </c>
      <c r="J31" s="2541">
        <f t="shared" si="16"/>
      </c>
      <c r="K31" s="2542">
        <f>K16/J16-1</f>
      </c>
    </row>
    <row r="32" spans="1:24">
      <c r="A32" s="1396" t="s">
        <v>83</v>
      </c>
      <c r="B32" s="2523"/>
      <c r="C32" s="2523">
        <f t="shared" ref="C32:K32" si="17">C17/B17-1</f>
      </c>
      <c r="D32" s="2523">
        <f t="shared" si="17"/>
      </c>
      <c r="E32" s="2523">
        <f t="shared" si="17"/>
      </c>
      <c r="F32" s="2523">
        <f t="shared" si="17"/>
      </c>
      <c r="G32" s="2523">
        <f t="shared" si="17"/>
      </c>
      <c r="H32" s="2523">
        <f t="shared" si="17"/>
      </c>
      <c r="I32" s="2523">
        <f t="shared" si="17"/>
      </c>
      <c r="J32" s="2523">
        <f t="shared" si="17"/>
      </c>
      <c r="K32" s="2524">
        <f t="shared" si="17"/>
      </c>
    </row>
    <row r="33" spans="1:23" ht="12">
      <c r="A33" s="1588" t="s">
        <v>67</v>
      </c>
      <c r="B33" s="2543"/>
      <c r="C33" s="2543">
        <f t="shared" ref="C33:K33" si="18">C18/B18-1</f>
      </c>
      <c r="D33" s="2543">
        <f t="shared" si="18"/>
      </c>
      <c r="E33" s="2543">
        <f t="shared" si="18"/>
      </c>
      <c r="F33" s="2543">
        <f t="shared" si="18"/>
      </c>
      <c r="G33" s="2543">
        <f t="shared" si="18"/>
      </c>
      <c r="H33" s="2543">
        <f t="shared" si="18"/>
      </c>
      <c r="I33" s="2543">
        <f t="shared" si="18"/>
      </c>
      <c r="J33" s="2543">
        <f t="shared" si="18"/>
      </c>
      <c r="K33" s="2544">
        <f t="shared" si="18"/>
      </c>
    </row>
    <row r="34" spans="1:23">
      <c r="A34" s="1396" t="s">
        <v>1600</v>
      </c>
      <c r="B34" s="2523"/>
      <c r="C34" s="2523">
        <f t="shared" ref="C34:K34" si="19">C19/B19-1</f>
      </c>
      <c r="D34" s="2523">
        <f t="shared" si="19"/>
      </c>
      <c r="E34" s="2523">
        <f t="shared" si="19"/>
      </c>
      <c r="F34" s="2523">
        <f t="shared" si="19"/>
      </c>
      <c r="G34" s="2523">
        <f t="shared" si="19"/>
      </c>
      <c r="H34" s="2523">
        <f t="shared" si="19"/>
      </c>
      <c r="I34" s="2523">
        <f t="shared" si="19"/>
      </c>
      <c r="J34" s="2523">
        <f t="shared" si="19"/>
      </c>
      <c r="K34" s="2524">
        <f t="shared" si="19"/>
      </c>
    </row>
    <row r="35" spans="1:23" ht="12">
      <c r="A35" s="1588" t="s">
        <v>268</v>
      </c>
      <c r="B35" s="2543"/>
      <c r="C35" s="2543">
        <f t="shared" ref="C35:K35" si="20">C20/B20-1</f>
      </c>
      <c r="D35" s="2543">
        <f t="shared" si="20"/>
      </c>
      <c r="E35" s="2543">
        <f t="shared" si="20"/>
      </c>
      <c r="F35" s="2543">
        <f t="shared" si="20"/>
      </c>
      <c r="G35" s="2543">
        <f t="shared" si="20"/>
      </c>
      <c r="H35" s="2543">
        <f t="shared" si="20"/>
      </c>
      <c r="I35" s="2543">
        <f t="shared" si="20"/>
      </c>
      <c r="J35" s="2543">
        <f t="shared" si="20"/>
      </c>
      <c r="K35" s="2544">
        <f t="shared" si="20"/>
      </c>
      <c r="T35" s="2570"/>
      <c r="U35" s="2570"/>
      <c r="V35" s="2570"/>
      <c r="W35" s="2570"/>
    </row>
    <row r="36" spans="1:23" ht="12.6" thickBot="1">
      <c r="A36" s="2533" t="s">
        <v>1604</v>
      </c>
      <c r="B36" s="2545"/>
      <c r="C36" s="2545" t="e">
        <f t="shared" ref="C36:K36" si="21">C24/B24-1</f>
      </c>
      <c r="D36" s="2545" t="e">
        <f t="shared" si="21"/>
      </c>
      <c r="E36" s="2545" t="e">
        <f t="shared" si="21"/>
      </c>
      <c r="F36" s="2545" t="e">
        <f t="shared" si="21"/>
      </c>
      <c r="G36" s="2545" t="e">
        <f t="shared" si="21"/>
      </c>
      <c r="H36" s="2545" t="e">
        <f t="shared" si="21"/>
      </c>
      <c r="I36" s="2545" t="e">
        <f t="shared" si="21"/>
      </c>
      <c r="J36" s="2545" t="e">
        <f t="shared" si="21"/>
      </c>
      <c r="K36" s="2546" t="e">
        <f t="shared" si="21"/>
      </c>
      <c r="T36" s="2633" t="s">
        <v>1313</v>
      </c>
      <c r="U36" s="2633"/>
      <c r="V36" s="2633" t="s">
        <v>1628</v>
      </c>
      <c r="W36" s="2633"/>
    </row>
    <row r="37" spans="1:23" ht="12" thickTop="1">
      <c r="A37" s="1396" t="s">
        <v>726</v>
      </c>
      <c r="B37" s="2523"/>
      <c r="C37" s="2523">
        <f t="shared" ref="C37:K37" si="22">C25/B25-1</f>
      </c>
      <c r="D37" s="2523">
        <f t="shared" si="22"/>
      </c>
      <c r="E37" s="2523">
        <f t="shared" si="22"/>
      </c>
      <c r="F37" s="2523">
        <f t="shared" si="22"/>
      </c>
      <c r="G37" s="2523">
        <f t="shared" si="22"/>
      </c>
      <c r="H37" s="2523">
        <f t="shared" si="22"/>
      </c>
      <c r="I37" s="2523">
        <f t="shared" si="22"/>
      </c>
      <c r="J37" s="2523">
        <f t="shared" si="22"/>
      </c>
      <c r="K37" s="2524">
        <f t="shared" si="22"/>
      </c>
      <c r="T37" s="160" t="s">
        <v>1626</v>
      </c>
      <c r="U37" s="2504">
        <f>U21</f>
      </c>
      <c r="V37" s="2504">
        <v>0</v>
      </c>
      <c r="W37" s="2504"/>
    </row>
    <row r="38" spans="1:23" ht="12.6" thickBot="1">
      <c r="A38" s="2533" t="s">
        <v>607</v>
      </c>
      <c r="B38" s="2545"/>
      <c r="C38" s="2545" t="e">
        <f t="shared" ref="C38:K38" si="23">C26/B26-1</f>
      </c>
      <c r="D38" s="2545" t="e">
        <f t="shared" si="23"/>
      </c>
      <c r="E38" s="2545" t="e">
        <f t="shared" si="23"/>
      </c>
      <c r="F38" s="2545" t="e">
        <f t="shared" si="23"/>
      </c>
      <c r="G38" s="2545" t="e">
        <f t="shared" si="23"/>
      </c>
      <c r="H38" s="2545" t="e">
        <f t="shared" si="23"/>
      </c>
      <c r="I38" s="2545" t="e">
        <f t="shared" si="23"/>
      </c>
      <c r="J38" s="2545" t="e">
        <f t="shared" si="23"/>
      </c>
      <c r="K38" s="2546" t="e">
        <f t="shared" si="23"/>
      </c>
      <c r="T38" s="160" t="s">
        <v>1642</v>
      </c>
      <c r="U38" s="2504">
        <f ca="1">ABS(W38)</f>
      </c>
      <c r="V38" s="2504">
        <f>U37</f>
      </c>
      <c r="W38" s="2504">
        <f ca="1">U20-V20</f>
      </c>
    </row>
    <row r="39" spans="1:23" ht="12" thickTop="1">
      <c r="T39" s="160" t="s">
        <v>1643</v>
      </c>
      <c r="U39" s="2504">
        <f ca="1">ABS(W39)</f>
      </c>
      <c r="V39" s="2504">
        <f ca="1">V38+U38</f>
      </c>
      <c r="W39" s="2504">
        <f ca="1">U19-V19</f>
      </c>
    </row>
    <row r="40" spans="1:23" ht="12">
      <c r="A40" s="1934" t="s">
        <v>1606</v>
      </c>
      <c r="B40" s="2589"/>
      <c r="C40" s="2590"/>
      <c r="D40" s="2590"/>
      <c r="E40" s="2590"/>
      <c r="F40" s="2590"/>
      <c r="G40" s="2590"/>
      <c r="H40" s="2590"/>
      <c r="I40" s="2590"/>
      <c r="J40" s="2590"/>
      <c r="K40" s="2591"/>
      <c r="T40" s="160" t="s">
        <v>1627</v>
      </c>
      <c r="U40" s="2504">
        <f ca="1">SUM(U37:U39)</f>
      </c>
      <c r="V40" s="2504">
        <v>0</v>
      </c>
      <c r="W40" s="2504"/>
    </row>
    <row r="41" spans="1:23">
      <c r="A41" s="1818" t="s">
        <v>1599</v>
      </c>
      <c r="B41" s="2541"/>
      <c r="C41" s="2535">
        <f t="shared" ref="C41:L41" si="24">C16/C$16</f>
      </c>
      <c r="D41" s="2535">
        <f t="shared" si="24"/>
      </c>
      <c r="E41" s="2535">
        <f t="shared" si="24"/>
      </c>
      <c r="F41" s="2535">
        <f t="shared" si="24"/>
      </c>
      <c r="G41" s="2535">
        <f t="shared" si="24"/>
      </c>
      <c r="H41" s="2535">
        <f t="shared" si="24"/>
      </c>
      <c r="I41" s="2535">
        <f t="shared" si="24"/>
      </c>
      <c r="J41" s="2535">
        <f t="shared" si="24"/>
      </c>
      <c r="K41" s="2536">
        <f t="shared" si="24"/>
      </c>
      <c r="L41" s="2547">
        <f t="shared" ca="1" si="24"/>
      </c>
      <c r="T41" s="160" t="s">
        <v>1644</v>
      </c>
      <c r="U41" s="2504">
        <f ca="1">W41</f>
      </c>
      <c r="V41" s="2504">
        <f ca="1">U40</f>
      </c>
      <c r="W41" s="2504">
        <f ca="1">W20-V20</f>
      </c>
    </row>
    <row r="42" spans="1:23">
      <c r="A42" s="1396" t="s">
        <v>83</v>
      </c>
      <c r="B42" s="2523"/>
      <c r="C42" s="2520">
        <f t="shared" ref="C42:L42" si="25">C17/C$16</f>
      </c>
      <c r="D42" s="2520">
        <f t="shared" si="25"/>
      </c>
      <c r="E42" s="2520">
        <f t="shared" si="25"/>
      </c>
      <c r="F42" s="2520">
        <f t="shared" si="25"/>
      </c>
      <c r="G42" s="2520">
        <f t="shared" si="25"/>
      </c>
      <c r="H42" s="2520">
        <f t="shared" si="25"/>
      </c>
      <c r="I42" s="2520">
        <f t="shared" si="25"/>
      </c>
      <c r="J42" s="2520">
        <f t="shared" si="25"/>
      </c>
      <c r="K42" s="2521">
        <f t="shared" si="25"/>
      </c>
      <c r="L42" s="2548">
        <f t="shared" ca="1" si="25"/>
      </c>
      <c r="T42" s="160" t="s">
        <v>1645</v>
      </c>
      <c r="U42" s="2504">
        <f ca="1">W42</f>
      </c>
      <c r="V42" s="2504">
        <f ca="1">V41+U41</f>
      </c>
      <c r="W42" s="2504">
        <f ca="1">W19-V19</f>
      </c>
    </row>
    <row r="43" spans="1:23" ht="12">
      <c r="A43" s="1588" t="s">
        <v>67</v>
      </c>
      <c r="B43" s="2543"/>
      <c r="C43" s="2537">
        <f t="shared" ref="C43:L43" si="26">C18/C$16</f>
      </c>
      <c r="D43" s="2537">
        <f t="shared" si="26"/>
      </c>
      <c r="E43" s="2537">
        <f t="shared" si="26"/>
      </c>
      <c r="F43" s="2537">
        <f t="shared" si="26"/>
      </c>
      <c r="G43" s="2537">
        <f t="shared" si="26"/>
      </c>
      <c r="H43" s="2537">
        <f t="shared" si="26"/>
      </c>
      <c r="I43" s="2537">
        <f t="shared" si="26"/>
      </c>
      <c r="J43" s="2537">
        <f t="shared" si="26"/>
      </c>
      <c r="K43" s="2538">
        <f t="shared" si="26"/>
      </c>
      <c r="L43" s="2549">
        <f t="shared" ca="1" si="26"/>
      </c>
      <c r="T43" s="160" t="s">
        <v>1629</v>
      </c>
      <c r="U43" s="2504">
        <f ca="1">U40+U41+U42</f>
      </c>
      <c r="V43" s="2504">
        <v>0</v>
      </c>
      <c r="W43" s="2504"/>
    </row>
    <row r="44" spans="1:23">
      <c r="A44" s="1396" t="s">
        <v>1600</v>
      </c>
      <c r="B44" s="2523"/>
      <c r="C44" s="2520">
        <f t="shared" ref="C44:L44" si="27">C19/C$16</f>
      </c>
      <c r="D44" s="2520">
        <f t="shared" si="27"/>
      </c>
      <c r="E44" s="2520">
        <f t="shared" si="27"/>
      </c>
      <c r="F44" s="2520">
        <f t="shared" si="27"/>
      </c>
      <c r="G44" s="2520">
        <f t="shared" si="27"/>
      </c>
      <c r="H44" s="2520">
        <f t="shared" si="27"/>
      </c>
      <c r="I44" s="2520">
        <f t="shared" si="27"/>
      </c>
      <c r="J44" s="2520">
        <f t="shared" si="27"/>
      </c>
      <c r="K44" s="2521">
        <f t="shared" si="27"/>
      </c>
      <c r="L44" s="2548">
        <f t="shared" ca="1" si="27"/>
      </c>
    </row>
    <row r="45" spans="1:23" ht="12">
      <c r="A45" s="1588" t="s">
        <v>268</v>
      </c>
      <c r="B45" s="2543"/>
      <c r="C45" s="2537">
        <f t="shared" ref="C45:L45" si="28">C20/C$16</f>
      </c>
      <c r="D45" s="2537">
        <f t="shared" si="28"/>
      </c>
      <c r="E45" s="2537">
        <f t="shared" si="28"/>
      </c>
      <c r="F45" s="2537">
        <f t="shared" si="28"/>
      </c>
      <c r="G45" s="2537">
        <f t="shared" si="28"/>
      </c>
      <c r="H45" s="2537">
        <f t="shared" si="28"/>
      </c>
      <c r="I45" s="2537">
        <f t="shared" si="28"/>
      </c>
      <c r="J45" s="2537">
        <f t="shared" si="28"/>
      </c>
      <c r="K45" s="2538">
        <f t="shared" si="28"/>
      </c>
      <c r="L45" s="2549">
        <f t="shared" ca="1" si="28"/>
      </c>
    </row>
    <row r="46" spans="1:23">
      <c r="A46" s="1396" t="s">
        <v>1562</v>
      </c>
      <c r="B46" s="2523"/>
      <c r="C46" s="2520" t="e">
        <f t="shared" ref="C46:L46" si="29">C23/C22</f>
      </c>
      <c r="D46" s="2520" t="e">
        <f t="shared" si="29"/>
      </c>
      <c r="E46" s="2520" t="e">
        <f t="shared" si="29"/>
      </c>
      <c r="F46" s="2520" t="e">
        <f t="shared" si="29"/>
      </c>
      <c r="G46" s="2520" t="e">
        <f t="shared" si="29"/>
      </c>
      <c r="H46" s="2520" t="e">
        <f t="shared" si="29"/>
      </c>
      <c r="I46" s="2520" t="e">
        <f t="shared" si="29"/>
      </c>
      <c r="J46" s="2520" t="e">
        <f t="shared" si="29"/>
      </c>
      <c r="K46" s="2521" t="e">
        <f t="shared" si="29"/>
      </c>
      <c r="L46" s="2548" t="e">
        <f t="shared" ca="1" si="29"/>
      </c>
    </row>
    <row r="47" spans="1:23" ht="12.6" thickBot="1">
      <c r="A47" s="2533" t="s">
        <v>1604</v>
      </c>
      <c r="B47" s="2545"/>
      <c r="C47" s="2539" t="e">
        <f t="shared" ref="C47:L47" si="30">C24/C$16</f>
      </c>
      <c r="D47" s="2539" t="e">
        <f t="shared" si="30"/>
      </c>
      <c r="E47" s="2539" t="e">
        <f t="shared" si="30"/>
      </c>
      <c r="F47" s="2539" t="e">
        <f t="shared" si="30"/>
      </c>
      <c r="G47" s="2539" t="e">
        <f t="shared" si="30"/>
      </c>
      <c r="H47" s="2539" t="e">
        <f t="shared" si="30"/>
      </c>
      <c r="I47" s="2539" t="e">
        <f t="shared" si="30"/>
      </c>
      <c r="J47" s="2539" t="e">
        <f t="shared" si="30"/>
      </c>
      <c r="K47" s="2540" t="e">
        <f t="shared" si="30"/>
      </c>
      <c r="L47" s="2551" t="e">
        <f t="shared" ca="1" si="30"/>
      </c>
    </row>
    <row r="48" spans="1:23" ht="12.6" thickTop="1" thickBot="1"/>
    <row r="49" spans="1:12" ht="12.6" thickBot="1">
      <c r="A49" s="2627" t="s">
        <v>1607</v>
      </c>
      <c r="B49" s="2628" t="str">
        <f>B$12</f>
      </c>
      <c r="C49" s="2628" t="str">
        <f t="shared" ref="C49:L49" si="31">C$12</f>
      </c>
      <c r="D49" s="2628" t="str">
        <f t="shared" si="31"/>
      </c>
      <c r="E49" s="2628" t="str">
        <f t="shared" si="31"/>
      </c>
      <c r="F49" s="2628" t="str">
        <f t="shared" si="31"/>
      </c>
      <c r="G49" s="2628" t="str">
        <f t="shared" si="31"/>
      </c>
      <c r="H49" s="2628" t="str">
        <f t="shared" si="31"/>
      </c>
      <c r="I49" s="2628" t="str">
        <f t="shared" si="31"/>
      </c>
      <c r="J49" s="2628" t="str">
        <f t="shared" si="31"/>
      </c>
      <c r="K49" s="2629" t="str">
        <f t="shared" si="31"/>
      </c>
      <c r="L49" s="2630" t="str">
        <f t="shared" si="31"/>
      </c>
    </row>
    <row r="50" spans="1:12">
      <c r="A50" s="2635" t="s">
        <v>667</v>
      </c>
      <c r="B50" s="2504">
        <f>B14</f>
      </c>
      <c r="C50" s="2504">
        <f>C14</f>
      </c>
      <c r="D50" s="2504">
        <f>C50*(1+D65)</f>
      </c>
      <c r="E50" s="2504">
        <f t="shared" ref="E50:K51" si="32">D50*(1+E65)</f>
      </c>
      <c r="F50" s="2504">
        <f t="shared" si="32"/>
      </c>
      <c r="G50" s="2504">
        <f t="shared" si="32"/>
      </c>
      <c r="H50" s="2504">
        <f t="shared" si="32"/>
      </c>
      <c r="I50" s="2504">
        <f t="shared" si="32"/>
      </c>
      <c r="J50" s="2504">
        <f t="shared" si="32"/>
      </c>
      <c r="K50" s="2506">
        <f t="shared" si="32"/>
      </c>
      <c r="L50" s="2600">
        <f>E50*0.75+F50*0.25</f>
      </c>
    </row>
    <row r="51" spans="1:12">
      <c r="A51" s="2504" t="s">
        <v>81</v>
      </c>
      <c r="B51" s="2504">
        <f>B15</f>
      </c>
      <c r="C51" s="2504">
        <f>C15</f>
      </c>
      <c r="D51" s="2504">
        <f>C51*(1+D66)</f>
      </c>
      <c r="E51" s="2504">
        <f t="shared" si="32"/>
      </c>
      <c r="F51" s="2504">
        <f t="shared" si="32"/>
      </c>
      <c r="G51" s="2504">
        <f t="shared" si="32"/>
      </c>
      <c r="H51" s="2504">
        <f t="shared" si="32"/>
      </c>
      <c r="I51" s="2504">
        <f t="shared" si="32"/>
      </c>
      <c r="J51" s="2504">
        <f t="shared" si="32"/>
      </c>
      <c r="K51" s="2506">
        <f t="shared" si="32"/>
      </c>
      <c r="L51" s="2601">
        <f>E51*0.75+F51*0.25</f>
      </c>
    </row>
    <row r="52" spans="1:12" ht="12">
      <c r="A52" s="2585" t="s">
        <v>1599</v>
      </c>
      <c r="B52" s="2599">
        <f>SUM(B50:B51)</f>
      </c>
      <c r="C52" s="2586">
        <f t="shared" ref="C52:C62" si="33">C16</f>
      </c>
      <c r="D52" s="2586">
        <f>D50+D51</f>
      </c>
      <c r="E52" s="2586">
        <f t="shared" ref="E52:L52" si="34">E50+E51</f>
      </c>
      <c r="F52" s="2586">
        <f t="shared" si="34"/>
      </c>
      <c r="G52" s="2586">
        <f t="shared" si="34"/>
      </c>
      <c r="H52" s="2586">
        <f t="shared" si="34"/>
      </c>
      <c r="I52" s="2586">
        <f t="shared" si="34"/>
      </c>
      <c r="J52" s="2586">
        <f t="shared" si="34"/>
      </c>
      <c r="K52" s="2587">
        <f t="shared" si="34"/>
      </c>
      <c r="L52" s="2602">
        <f t="shared" si="34"/>
      </c>
    </row>
    <row r="53" spans="1:12">
      <c r="A53" s="160" t="s">
        <v>83</v>
      </c>
      <c r="B53" s="2504">
        <f t="shared" ref="B53:B62" si="35">B17</f>
      </c>
      <c r="C53" s="2504">
        <f t="shared" si="33"/>
      </c>
      <c r="D53" s="2504">
        <f>D52-D54</f>
      </c>
      <c r="E53" s="2504">
        <f t="shared" ref="E53:K53" si="36">E52-E54</f>
      </c>
      <c r="F53" s="2504">
        <f t="shared" si="36"/>
      </c>
      <c r="G53" s="2504">
        <f t="shared" si="36"/>
      </c>
      <c r="H53" s="2504">
        <f t="shared" si="36"/>
      </c>
      <c r="I53" s="2504">
        <f t="shared" si="36"/>
      </c>
      <c r="J53" s="2504">
        <f t="shared" si="36"/>
      </c>
      <c r="K53" s="2506">
        <f t="shared" si="36"/>
      </c>
      <c r="L53" s="2601">
        <f>E53*0.75+F53*0.25</f>
      </c>
    </row>
    <row r="54" spans="1:12" ht="12">
      <c r="A54" s="1545" t="s">
        <v>67</v>
      </c>
      <c r="B54" s="1544">
        <f t="shared" si="35"/>
      </c>
      <c r="C54" s="1544">
        <f t="shared" si="33"/>
      </c>
      <c r="D54" s="1544">
        <f t="shared" ref="D54:K54" si="37">D52*D79</f>
      </c>
      <c r="E54" s="1544">
        <f t="shared" si="37"/>
      </c>
      <c r="F54" s="1544">
        <f t="shared" si="37"/>
      </c>
      <c r="G54" s="1544">
        <f t="shared" si="37"/>
      </c>
      <c r="H54" s="1544">
        <f t="shared" si="37"/>
      </c>
      <c r="I54" s="1544">
        <f t="shared" si="37"/>
      </c>
      <c r="J54" s="1544">
        <f t="shared" si="37"/>
      </c>
      <c r="K54" s="2526">
        <f t="shared" si="37"/>
      </c>
      <c r="L54" s="2603">
        <f>L52-L53</f>
      </c>
    </row>
    <row r="55" spans="1:12">
      <c r="A55" s="160" t="s">
        <v>1600</v>
      </c>
      <c r="B55" s="2504">
        <f t="shared" si="35"/>
      </c>
      <c r="C55" s="2504">
        <f t="shared" si="33"/>
      </c>
      <c r="D55" s="2504">
        <f>C55*(1+D70)</f>
      </c>
      <c r="E55" s="2504">
        <f t="shared" ref="E55:K55" si="38">D55*(1+E70)</f>
      </c>
      <c r="F55" s="2504">
        <f t="shared" si="38"/>
      </c>
      <c r="G55" s="2504">
        <f t="shared" si="38"/>
      </c>
      <c r="H55" s="2504">
        <f t="shared" si="38"/>
      </c>
      <c r="I55" s="2504">
        <f t="shared" si="38"/>
      </c>
      <c r="J55" s="2504">
        <f t="shared" si="38"/>
      </c>
      <c r="K55" s="2506">
        <f t="shared" si="38"/>
      </c>
      <c r="L55" s="2601">
        <f>E55*0.75+F55*0.25</f>
      </c>
    </row>
    <row r="56" spans="1:12" s="2504" customFormat="1" ht="12">
      <c r="A56" s="1544" t="s">
        <v>268</v>
      </c>
      <c r="B56" s="1544">
        <f t="shared" si="35"/>
      </c>
      <c r="C56" s="1544">
        <f t="shared" si="33"/>
      </c>
      <c r="D56" s="1544">
        <f t="shared" ref="D56" si="39">D54-D55</f>
      </c>
      <c r="E56" s="1544">
        <f t="shared" ref="E56" si="40">E54-E55</f>
      </c>
      <c r="F56" s="1544">
        <f t="shared" ref="F56" si="41">F54-F55</f>
      </c>
      <c r="G56" s="1544">
        <f t="shared" ref="G56" si="42">G54-G55</f>
      </c>
      <c r="H56" s="1544">
        <f t="shared" ref="H56" si="43">H54-H55</f>
      </c>
      <c r="I56" s="1544">
        <f t="shared" ref="I56" si="44">I54-I55</f>
      </c>
      <c r="J56" s="1544">
        <f t="shared" ref="J56" si="45">J54-J55</f>
      </c>
      <c r="K56" s="2526">
        <f t="shared" ref="K56:L56" si="46">K54-K55</f>
      </c>
      <c r="L56" s="2603">
        <f t="shared" si="46"/>
      </c>
    </row>
    <row r="57" spans="1:12">
      <c r="A57" s="160" t="s">
        <v>1601</v>
      </c>
      <c r="B57" s="2504">
        <f t="shared" si="35"/>
      </c>
      <c r="C57" s="2504">
        <f t="shared" si="33"/>
      </c>
      <c r="D57" s="2562">
        <f>D$21</f>
      </c>
      <c r="E57" s="2562">
        <f t="shared" ref="E57" si="47">E$21</f>
      </c>
      <c r="F57" s="2562">
        <f>E57</f>
      </c>
      <c r="G57" s="2562">
        <f t="shared" ref="G57:K57" si="48">F57</f>
      </c>
      <c r="H57" s="2562">
        <f t="shared" si="48"/>
      </c>
      <c r="I57" s="2562">
        <f t="shared" si="48"/>
      </c>
      <c r="J57" s="2562">
        <f t="shared" si="48"/>
      </c>
      <c r="K57" s="2563">
        <f t="shared" si="48"/>
      </c>
      <c r="L57" s="2601">
        <f>E57*0.75+F57*0.25</f>
      </c>
    </row>
    <row r="58" spans="1:12">
      <c r="A58" s="2502" t="s">
        <v>1602</v>
      </c>
      <c r="B58" s="2505">
        <f t="shared" si="35"/>
      </c>
      <c r="C58" s="2505">
        <f t="shared" si="33"/>
      </c>
      <c r="D58" s="2505">
        <f t="shared" ref="D58" si="49">D56+D57</f>
      </c>
      <c r="E58" s="2505">
        <f t="shared" ref="E58" si="50">E56+E57</f>
      </c>
      <c r="F58" s="2505">
        <f t="shared" ref="F58" si="51">F56+F57</f>
      </c>
      <c r="G58" s="2505">
        <f t="shared" ref="G58" si="52">G56+G57</f>
      </c>
      <c r="H58" s="2505">
        <f t="shared" ref="H58" si="53">H56+H57</f>
      </c>
      <c r="I58" s="2505">
        <f t="shared" ref="I58" si="54">I56+I57</f>
      </c>
      <c r="J58" s="2505">
        <f t="shared" ref="J58" si="55">J56+J57</f>
      </c>
      <c r="K58" s="2507">
        <f t="shared" ref="K58:L58" si="56">K56+K57</f>
      </c>
      <c r="L58" s="2604">
        <f t="shared" si="56"/>
      </c>
    </row>
    <row r="59" spans="1:12">
      <c r="A59" s="160" t="s">
        <v>1603</v>
      </c>
      <c r="B59" s="2504" t="e">
        <f t="shared" si="35"/>
      </c>
      <c r="C59" s="2504" t="e">
        <f t="shared" si="33"/>
      </c>
      <c r="D59" s="2504" t="e">
        <f t="shared" ref="D59:K59" si="57">D58*D82</f>
      </c>
      <c r="E59" s="2504" t="e">
        <f t="shared" si="57"/>
      </c>
      <c r="F59" s="2504" t="e">
        <f t="shared" si="57"/>
      </c>
      <c r="G59" s="2504" t="e">
        <f t="shared" si="57"/>
      </c>
      <c r="H59" s="2504" t="e">
        <f t="shared" si="57"/>
      </c>
      <c r="I59" s="2504" t="e">
        <f t="shared" si="57"/>
      </c>
      <c r="J59" s="2504" t="e">
        <f t="shared" si="57"/>
      </c>
      <c r="K59" s="2506" t="e">
        <f t="shared" si="57"/>
      </c>
      <c r="L59" s="2601" t="e">
        <f>E59*0.75+F59*0.25</f>
      </c>
    </row>
    <row r="60" spans="1:12" ht="12.6" thickBot="1">
      <c r="A60" s="2527" t="s">
        <v>1604</v>
      </c>
      <c r="B60" s="2528" t="e">
        <f t="shared" si="35"/>
      </c>
      <c r="C60" s="2528" t="e">
        <f t="shared" si="33"/>
      </c>
      <c r="D60" s="2528" t="e">
        <f t="shared" ref="D60" si="58">D58-D59</f>
      </c>
      <c r="E60" s="2528" t="e">
        <f t="shared" ref="E60" si="59">E58-E59</f>
      </c>
      <c r="F60" s="2528" t="e">
        <f t="shared" ref="F60" si="60">F58-F59</f>
      </c>
      <c r="G60" s="2528" t="e">
        <f t="shared" ref="G60" si="61">G58-G59</f>
      </c>
      <c r="H60" s="2528" t="e">
        <f t="shared" ref="H60" si="62">H58-H59</f>
      </c>
      <c r="I60" s="2528" t="e">
        <f t="shared" ref="I60" si="63">I58-I59</f>
      </c>
      <c r="J60" s="2528" t="e">
        <f t="shared" ref="J60" si="64">J58-J59</f>
      </c>
      <c r="K60" s="2529" t="e">
        <f t="shared" ref="K60:L60" si="65">K58-K59</f>
      </c>
      <c r="L60" s="2605" t="e">
        <f t="shared" si="65"/>
      </c>
    </row>
    <row r="61" spans="1:12" ht="12" thickTop="1">
      <c r="A61" s="160" t="s">
        <v>726</v>
      </c>
      <c r="B61" s="2518">
        <f t="shared" si="35"/>
      </c>
      <c r="C61" s="2518">
        <f t="shared" si="33"/>
      </c>
      <c r="D61" s="2596">
        <f>C61*(1+D73)</f>
      </c>
      <c r="E61" s="2596">
        <f t="shared" ref="E61:K61" si="66">D61*(1+E73)</f>
      </c>
      <c r="F61" s="2596">
        <f t="shared" si="66"/>
      </c>
      <c r="G61" s="2596">
        <f t="shared" si="66"/>
      </c>
      <c r="H61" s="2596">
        <f t="shared" si="66"/>
      </c>
      <c r="I61" s="2596">
        <f t="shared" si="66"/>
      </c>
      <c r="J61" s="2596">
        <f t="shared" si="66"/>
      </c>
      <c r="K61" s="2597">
        <f t="shared" si="66"/>
      </c>
      <c r="L61" s="2606">
        <f>E61*0.75+F61*0.25</f>
      </c>
    </row>
    <row r="62" spans="1:12" ht="12.6" thickBot="1">
      <c r="A62" s="2527" t="s">
        <v>607</v>
      </c>
      <c r="B62" s="2530" t="e">
        <f t="shared" si="35"/>
      </c>
      <c r="C62" s="2530" t="e">
        <f t="shared" si="33"/>
      </c>
      <c r="D62" s="2530" t="e">
        <f t="shared" ref="D62" si="67">D60/D61</f>
      </c>
      <c r="E62" s="2530" t="e">
        <f t="shared" ref="E62" si="68">E60/E61</f>
      </c>
      <c r="F62" s="2530" t="e">
        <f t="shared" ref="F62" si="69">F60/F61</f>
      </c>
      <c r="G62" s="2530" t="e">
        <f t="shared" ref="G62" si="70">G60/G61</f>
      </c>
      <c r="H62" s="2530" t="e">
        <f t="shared" ref="H62" si="71">H60/H61</f>
      </c>
      <c r="I62" s="2530" t="e">
        <f t="shared" ref="I62" si="72">I60/I61</f>
      </c>
      <c r="J62" s="2530" t="e">
        <f t="shared" ref="J62" si="73">J60/J61</f>
      </c>
      <c r="K62" s="2531" t="e">
        <f t="shared" ref="K62:L62" si="74">K60/K61</f>
      </c>
      <c r="L62" s="2607" t="e">
        <f t="shared" si="74"/>
      </c>
    </row>
    <row r="63" spans="1:12" ht="12" thickTop="1">
      <c r="C63" s="2503"/>
      <c r="D63" s="2503"/>
      <c r="E63" s="2503"/>
      <c r="F63" s="2503"/>
      <c r="G63" s="2503"/>
      <c r="H63" s="2503"/>
      <c r="I63" s="2503"/>
      <c r="J63" s="2503"/>
      <c r="K63" s="2503"/>
    </row>
    <row r="64" spans="1:12" ht="12">
      <c r="A64" s="1934" t="s">
        <v>1605</v>
      </c>
      <c r="B64" s="2589"/>
      <c r="C64" s="2639"/>
      <c r="D64" s="2639"/>
      <c r="E64" s="2639"/>
      <c r="F64" s="2639"/>
      <c r="G64" s="2639"/>
      <c r="H64" s="2639"/>
      <c r="I64" s="2639"/>
      <c r="J64" s="2639"/>
      <c r="K64" s="2640"/>
    </row>
    <row r="65" spans="1:23">
      <c r="A65" s="2636" t="str">
        <f>A50</f>
      </c>
      <c r="B65" s="1623"/>
      <c r="C65" s="1623">
        <f t="shared" ref="C65:C67" si="75">C50/B50-1</f>
      </c>
      <c r="D65" s="2556">
        <f>D$29+5000/C50</f>
      </c>
      <c r="E65" s="2556">
        <f t="shared" ref="E65:K65" si="76">E$29+5000/D50</f>
      </c>
      <c r="F65" s="2556">
        <f t="shared" si="76"/>
      </c>
      <c r="G65" s="2556">
        <f t="shared" si="76"/>
      </c>
      <c r="H65" s="2556">
        <f t="shared" si="76"/>
      </c>
      <c r="I65" s="2556">
        <f t="shared" si="76"/>
      </c>
      <c r="J65" s="2556">
        <f t="shared" si="76"/>
      </c>
      <c r="K65" s="2557">
        <f t="shared" si="76"/>
      </c>
    </row>
    <row r="66" spans="1:23">
      <c r="A66" s="2637" t="str">
        <f>A51</f>
      </c>
      <c r="B66" s="1625"/>
      <c r="C66" s="1625">
        <f t="shared" si="75"/>
      </c>
      <c r="D66" s="2581">
        <v>0.15</v>
      </c>
      <c r="E66" s="2581">
        <v>0.15</v>
      </c>
      <c r="F66" s="2581">
        <v>0.15</v>
      </c>
      <c r="G66" s="2581">
        <v>0.15</v>
      </c>
      <c r="H66" s="2581">
        <v>0.15</v>
      </c>
      <c r="I66" s="2581">
        <v>0.15</v>
      </c>
      <c r="J66" s="2581">
        <v>0.15</v>
      </c>
      <c r="K66" s="2582">
        <v>0.15</v>
      </c>
    </row>
    <row r="67" spans="1:23">
      <c r="A67" s="1818" t="s">
        <v>1599</v>
      </c>
      <c r="B67" s="2541"/>
      <c r="C67" s="2541">
        <f t="shared" si="75"/>
      </c>
      <c r="D67" s="2583">
        <f t="shared" ref="C67:K68" si="77">D52/C52-1</f>
      </c>
      <c r="E67" s="2583">
        <f t="shared" si="77"/>
      </c>
      <c r="F67" s="2583">
        <f t="shared" si="77"/>
      </c>
      <c r="G67" s="2583">
        <f t="shared" si="77"/>
      </c>
      <c r="H67" s="2583">
        <f t="shared" si="77"/>
      </c>
      <c r="I67" s="2583">
        <f t="shared" si="77"/>
      </c>
      <c r="J67" s="2583">
        <f t="shared" si="77"/>
      </c>
      <c r="K67" s="2584">
        <f t="shared" si="77"/>
      </c>
    </row>
    <row r="68" spans="1:23">
      <c r="A68" s="1396" t="s">
        <v>83</v>
      </c>
      <c r="B68" s="2523"/>
      <c r="C68" s="2523">
        <f t="shared" si="77"/>
      </c>
      <c r="D68" s="2523">
        <f t="shared" si="77"/>
      </c>
      <c r="E68" s="2523">
        <f t="shared" si="77"/>
      </c>
      <c r="F68" s="2523">
        <f t="shared" si="77"/>
      </c>
      <c r="G68" s="2523">
        <f t="shared" si="77"/>
      </c>
      <c r="H68" s="2523">
        <f t="shared" si="77"/>
      </c>
      <c r="I68" s="2523">
        <f t="shared" si="77"/>
      </c>
      <c r="J68" s="2523">
        <f t="shared" si="77"/>
      </c>
      <c r="K68" s="2524">
        <f t="shared" si="77"/>
      </c>
      <c r="T68" s="2570"/>
      <c r="U68" s="2570"/>
      <c r="V68" s="2570"/>
      <c r="W68" s="2570"/>
    </row>
    <row r="69" spans="1:23" ht="12">
      <c r="A69" s="1588" t="s">
        <v>67</v>
      </c>
      <c r="B69" s="2543"/>
      <c r="C69" s="2543">
        <f t="shared" ref="C69:K69" si="78">C54/B54-1</f>
      </c>
      <c r="D69" s="2543">
        <f t="shared" si="78"/>
      </c>
      <c r="E69" s="2543">
        <f t="shared" si="78"/>
      </c>
      <c r="F69" s="2543">
        <f t="shared" si="78"/>
      </c>
      <c r="G69" s="2543">
        <f t="shared" si="78"/>
      </c>
      <c r="H69" s="2543">
        <f t="shared" si="78"/>
      </c>
      <c r="I69" s="2543">
        <f t="shared" si="78"/>
      </c>
      <c r="J69" s="2543">
        <f t="shared" si="78"/>
      </c>
      <c r="K69" s="2544">
        <f t="shared" si="78"/>
      </c>
      <c r="T69" s="2633" t="s">
        <v>1630</v>
      </c>
      <c r="U69" s="2633"/>
      <c r="V69" s="2633" t="s">
        <v>1628</v>
      </c>
      <c r="W69" s="2633"/>
    </row>
    <row r="70" spans="1:23">
      <c r="A70" s="1396" t="s">
        <v>1600</v>
      </c>
      <c r="B70" s="2523"/>
      <c r="C70" s="2523">
        <f t="shared" ref="C70" si="79">C55/B55-1</f>
      </c>
      <c r="D70" s="2560">
        <f>D$34</f>
      </c>
      <c r="E70" s="2560">
        <f t="shared" ref="E70:K70" si="80">E$34</f>
      </c>
      <c r="F70" s="2560">
        <f t="shared" si="80"/>
      </c>
      <c r="G70" s="2560">
        <f t="shared" si="80"/>
      </c>
      <c r="H70" s="2560">
        <f t="shared" si="80"/>
      </c>
      <c r="I70" s="2560">
        <f t="shared" si="80"/>
      </c>
      <c r="J70" s="2560">
        <f t="shared" si="80"/>
      </c>
      <c r="K70" s="2561">
        <f t="shared" si="80"/>
      </c>
      <c r="T70" s="160" t="s">
        <v>1626</v>
      </c>
      <c r="U70" s="2504">
        <f>G87</f>
      </c>
      <c r="V70" s="2504">
        <v>0</v>
      </c>
      <c r="W70" s="2504"/>
    </row>
    <row r="71" spans="1:23" ht="12">
      <c r="A71" s="1588" t="s">
        <v>268</v>
      </c>
      <c r="B71" s="2543"/>
      <c r="C71" s="2543">
        <f t="shared" ref="C71:K71" si="81">C56/B56-1</f>
      </c>
      <c r="D71" s="2543">
        <f t="shared" si="81"/>
      </c>
      <c r="E71" s="2543">
        <f t="shared" si="81"/>
      </c>
      <c r="F71" s="2543">
        <f t="shared" si="81"/>
      </c>
      <c r="G71" s="2543">
        <f t="shared" si="81"/>
      </c>
      <c r="H71" s="2543">
        <f t="shared" si="81"/>
      </c>
      <c r="I71" s="2543">
        <f t="shared" si="81"/>
      </c>
      <c r="J71" s="2543">
        <f t="shared" si="81"/>
      </c>
      <c r="K71" s="2544">
        <f t="shared" si="81"/>
      </c>
      <c r="T71" s="160" t="s">
        <v>1642</v>
      </c>
      <c r="U71" s="2504">
        <f>ABS(W71)</f>
      </c>
      <c r="V71" s="2504">
        <f>U70</f>
      </c>
      <c r="W71" s="2504">
        <f>G86-G15</f>
      </c>
    </row>
    <row r="72" spans="1:23" ht="12.6" thickBot="1">
      <c r="A72" s="2533" t="s">
        <v>1604</v>
      </c>
      <c r="B72" s="2545"/>
      <c r="C72" s="2545" t="e">
        <f t="shared" ref="C72:K72" si="82">C60/B60-1</f>
      </c>
      <c r="D72" s="2545" t="e">
        <f t="shared" si="82"/>
      </c>
      <c r="E72" s="2545" t="e">
        <f t="shared" si="82"/>
      </c>
      <c r="F72" s="2545" t="e">
        <f t="shared" si="82"/>
      </c>
      <c r="G72" s="2545" t="e">
        <f t="shared" si="82"/>
      </c>
      <c r="H72" s="2545" t="e">
        <f t="shared" si="82"/>
      </c>
      <c r="I72" s="2545" t="e">
        <f t="shared" si="82"/>
      </c>
      <c r="J72" s="2545" t="e">
        <f t="shared" si="82"/>
      </c>
      <c r="K72" s="2546" t="e">
        <f t="shared" si="82"/>
      </c>
      <c r="T72" s="160" t="s">
        <v>1643</v>
      </c>
      <c r="U72" s="2504">
        <f>ABS(W72)</f>
      </c>
      <c r="V72" s="2504">
        <f>V71+U71</f>
      </c>
      <c r="W72" s="2504">
        <f>G85-G14</f>
      </c>
    </row>
    <row r="73" spans="1:23" ht="12" thickTop="1">
      <c r="A73" s="1396" t="s">
        <v>726</v>
      </c>
      <c r="B73" s="2523"/>
      <c r="C73" s="2523">
        <f>C61/B61-1</f>
      </c>
      <c r="D73" s="2560">
        <f t="shared" ref="D73" si="83">D$37-1%</f>
      </c>
      <c r="E73" s="2560">
        <f>E$37-1%</f>
      </c>
      <c r="F73" s="2560">
        <f t="shared" ref="F73:K73" si="84">F$37-1%</f>
      </c>
      <c r="G73" s="2560">
        <f t="shared" si="84"/>
      </c>
      <c r="H73" s="2560">
        <f t="shared" si="84"/>
      </c>
      <c r="I73" s="2560">
        <f t="shared" si="84"/>
      </c>
      <c r="J73" s="2560">
        <f t="shared" si="84"/>
      </c>
      <c r="K73" s="2561">
        <f t="shared" si="84"/>
      </c>
      <c r="T73" s="160" t="s">
        <v>1627</v>
      </c>
      <c r="U73" s="2504">
        <f>SUM(U70:U72)</f>
      </c>
      <c r="V73" s="2504">
        <v>0</v>
      </c>
      <c r="W73" s="2504"/>
    </row>
    <row r="74" spans="1:23" ht="12.6" thickBot="1">
      <c r="A74" s="2533" t="s">
        <v>607</v>
      </c>
      <c r="B74" s="2545"/>
      <c r="C74" s="2545" t="e">
        <f>C62/B62-1</f>
      </c>
      <c r="D74" s="2545" t="e">
        <f t="shared" ref="D74:K74" si="85">D62/C62-1</f>
      </c>
      <c r="E74" s="2545" t="e">
        <f t="shared" si="85"/>
      </c>
      <c r="F74" s="2545" t="e">
        <f t="shared" si="85"/>
      </c>
      <c r="G74" s="2545" t="e">
        <f t="shared" si="85"/>
      </c>
      <c r="H74" s="2545" t="e">
        <f t="shared" si="85"/>
      </c>
      <c r="I74" s="2545" t="e">
        <f t="shared" si="85"/>
      </c>
      <c r="J74" s="2545" t="e">
        <f t="shared" si="85"/>
      </c>
      <c r="K74" s="2546" t="e">
        <f t="shared" si="85"/>
      </c>
      <c r="T74" s="160" t="s">
        <v>1644</v>
      </c>
      <c r="U74" s="2504">
        <f>W74</f>
      </c>
      <c r="V74" s="2504">
        <f>U73</f>
      </c>
      <c r="W74" s="2504">
        <f>G51-G15</f>
      </c>
    </row>
    <row r="75" spans="1:23" ht="12" thickTop="1">
      <c r="T75" s="160" t="s">
        <v>1645</v>
      </c>
      <c r="U75" s="2504">
        <f>W75</f>
      </c>
      <c r="V75" s="2504">
        <f>V74+U74</f>
      </c>
      <c r="W75" s="2504">
        <f>G50-G14</f>
      </c>
    </row>
    <row r="76" spans="1:23" ht="12">
      <c r="A76" s="1934" t="s">
        <v>1606</v>
      </c>
      <c r="B76" s="2589"/>
      <c r="C76" s="2590"/>
      <c r="D76" s="2590"/>
      <c r="E76" s="2590"/>
      <c r="F76" s="2590"/>
      <c r="G76" s="2590"/>
      <c r="H76" s="2590"/>
      <c r="I76" s="2590"/>
      <c r="J76" s="2590"/>
      <c r="K76" s="2590"/>
      <c r="L76" s="2642"/>
      <c r="T76" s="160" t="s">
        <v>1629</v>
      </c>
      <c r="U76" s="2504">
        <f>U73+U74+U75</f>
      </c>
      <c r="V76" s="2504">
        <v>0</v>
      </c>
      <c r="W76" s="2504"/>
    </row>
    <row r="77" spans="1:23">
      <c r="A77" s="1818" t="s">
        <v>1599</v>
      </c>
      <c r="B77" s="2541"/>
      <c r="C77" s="2535">
        <f t="shared" ref="C77:L77" si="86">C52/C$52</f>
      </c>
      <c r="D77" s="2535">
        <f t="shared" si="86"/>
      </c>
      <c r="E77" s="2535">
        <f t="shared" si="86"/>
      </c>
      <c r="F77" s="2535">
        <f t="shared" si="86"/>
      </c>
      <c r="G77" s="2535">
        <f t="shared" si="86"/>
      </c>
      <c r="H77" s="2535">
        <f t="shared" si="86"/>
      </c>
      <c r="I77" s="2535">
        <f t="shared" si="86"/>
      </c>
      <c r="J77" s="2535">
        <f t="shared" si="86"/>
      </c>
      <c r="K77" s="2536">
        <f t="shared" si="86"/>
      </c>
      <c r="L77" s="2547">
        <f t="shared" si="86"/>
      </c>
    </row>
    <row r="78" spans="1:23">
      <c r="A78" s="1396" t="s">
        <v>83</v>
      </c>
      <c r="B78" s="2523"/>
      <c r="C78" s="2520">
        <f t="shared" ref="C78:L78" si="87">C53/C$52</f>
      </c>
      <c r="D78" s="2520">
        <f t="shared" si="87"/>
      </c>
      <c r="E78" s="2520">
        <f t="shared" si="87"/>
      </c>
      <c r="F78" s="2520">
        <f t="shared" si="87"/>
      </c>
      <c r="G78" s="2520">
        <f t="shared" si="87"/>
      </c>
      <c r="H78" s="2520">
        <f t="shared" si="87"/>
      </c>
      <c r="I78" s="2520">
        <f t="shared" si="87"/>
      </c>
      <c r="J78" s="2520">
        <f t="shared" si="87"/>
      </c>
      <c r="K78" s="2521">
        <f t="shared" si="87"/>
      </c>
      <c r="L78" s="2548">
        <f t="shared" si="87"/>
      </c>
      <c r="T78" s="2570"/>
      <c r="U78" s="2570"/>
      <c r="V78" s="2570"/>
      <c r="W78" s="2570"/>
    </row>
    <row r="79" spans="1:23" ht="12">
      <c r="A79" s="1588" t="s">
        <v>67</v>
      </c>
      <c r="B79" s="2543"/>
      <c r="C79" s="2537">
        <f>C54/C$52</f>
      </c>
      <c r="D79" s="2558">
        <f>D$43+0.02%</f>
      </c>
      <c r="E79" s="2558">
        <f>E43-D43+D79+0.2%</f>
      </c>
      <c r="F79" s="2558">
        <f t="shared" ref="F79:K79" si="88">F43-E43+E79+0.2%</f>
      </c>
      <c r="G79" s="2558">
        <f t="shared" si="88"/>
      </c>
      <c r="H79" s="2558">
        <f t="shared" si="88"/>
      </c>
      <c r="I79" s="2558">
        <f t="shared" si="88"/>
      </c>
      <c r="J79" s="2558">
        <f t="shared" si="88"/>
      </c>
      <c r="K79" s="2559">
        <f t="shared" si="88"/>
      </c>
      <c r="L79" s="2549">
        <f>L54/L$52</f>
      </c>
      <c r="T79" s="2633" t="s">
        <v>1631</v>
      </c>
      <c r="U79" s="2633"/>
      <c r="V79" s="2633" t="s">
        <v>1628</v>
      </c>
      <c r="W79" s="2633"/>
    </row>
    <row r="80" spans="1:23">
      <c r="A80" s="1396" t="s">
        <v>1600</v>
      </c>
      <c r="B80" s="2523"/>
      <c r="C80" s="2520">
        <f>C55/C$52</f>
      </c>
      <c r="D80" s="2520">
        <f t="shared" ref="D80:K81" si="89">D55/D$52</f>
      </c>
      <c r="E80" s="2520">
        <f t="shared" si="89"/>
      </c>
      <c r="F80" s="2520">
        <f t="shared" si="89"/>
      </c>
      <c r="G80" s="2520">
        <f t="shared" si="89"/>
      </c>
      <c r="H80" s="2520">
        <f t="shared" si="89"/>
      </c>
      <c r="I80" s="2520">
        <f t="shared" si="89"/>
      </c>
      <c r="J80" s="2520">
        <f t="shared" si="89"/>
      </c>
      <c r="K80" s="2521">
        <f t="shared" si="89"/>
      </c>
      <c r="L80" s="2548">
        <f>L55/L$52</f>
      </c>
      <c r="T80" s="160" t="s">
        <v>1626</v>
      </c>
      <c r="U80" s="2504">
        <f>K87</f>
      </c>
      <c r="V80" s="2504">
        <v>0</v>
      </c>
      <c r="W80" s="2504"/>
    </row>
    <row r="81" spans="1:23" ht="12">
      <c r="A81" s="1588" t="s">
        <v>268</v>
      </c>
      <c r="B81" s="2543"/>
      <c r="C81" s="2537">
        <f>C56/C$52</f>
      </c>
      <c r="D81" s="2537">
        <f t="shared" si="89"/>
      </c>
      <c r="E81" s="2537">
        <f t="shared" si="89"/>
      </c>
      <c r="F81" s="2537">
        <f t="shared" si="89"/>
      </c>
      <c r="G81" s="2537">
        <f t="shared" si="89"/>
      </c>
      <c r="H81" s="2537">
        <f t="shared" si="89"/>
      </c>
      <c r="I81" s="2537">
        <f t="shared" si="89"/>
      </c>
      <c r="J81" s="2537">
        <f t="shared" si="89"/>
      </c>
      <c r="K81" s="2538">
        <f t="shared" si="89"/>
      </c>
      <c r="L81" s="2549">
        <f>L56/L$52</f>
      </c>
      <c r="T81" s="160" t="s">
        <v>1642</v>
      </c>
      <c r="U81" s="2504">
        <f>ABS(W81)</f>
      </c>
      <c r="V81" s="2504">
        <f>U80</f>
      </c>
      <c r="W81" s="2504">
        <f>K86-K15</f>
      </c>
    </row>
    <row r="82" spans="1:23">
      <c r="A82" s="2532" t="s">
        <v>1562</v>
      </c>
      <c r="B82" s="2525"/>
      <c r="C82" s="2522" t="e">
        <f>C59/C$52</f>
      </c>
      <c r="D82" s="2623" t="e">
        <f>D$46</f>
      </c>
      <c r="E82" s="2624" t="e">
        <f t="shared" ref="E82:K82" si="90">E$46</f>
      </c>
      <c r="F82" s="2624" t="e">
        <f t="shared" si="90"/>
      </c>
      <c r="G82" s="2624" t="e">
        <f t="shared" si="90"/>
      </c>
      <c r="H82" s="2624" t="e">
        <f t="shared" si="90"/>
      </c>
      <c r="I82" s="2624" t="e">
        <f t="shared" si="90"/>
      </c>
      <c r="J82" s="2624" t="e">
        <f t="shared" si="90"/>
      </c>
      <c r="K82" s="2625" t="e">
        <f t="shared" si="90"/>
      </c>
      <c r="L82" s="2550" t="e">
        <f>L59/L58</f>
      </c>
      <c r="T82" s="160" t="s">
        <v>1643</v>
      </c>
      <c r="U82" s="2504">
        <f>ABS(W82)</f>
      </c>
      <c r="V82" s="2504">
        <f>V81+U81</f>
      </c>
      <c r="W82" s="2504">
        <f>K85-K14</f>
      </c>
    </row>
    <row r="83" spans="1:23" ht="12" thickBot="1">
      <c r="T83" s="160" t="s">
        <v>1627</v>
      </c>
      <c r="U83" s="2504">
        <f>SUM(U80:U82)</f>
      </c>
      <c r="V83" s="2504">
        <v>0</v>
      </c>
      <c r="W83" s="2504"/>
    </row>
    <row r="84" spans="1:23" ht="13.2" thickTop="1" thickBot="1">
      <c r="A84" s="2592" t="s">
        <v>1608</v>
      </c>
      <c r="B84" s="2593" t="str">
        <f>B$12</f>
      </c>
      <c r="C84" s="2593" t="str">
        <f t="shared" ref="C84:L84" si="91">C$12</f>
      </c>
      <c r="D84" s="2593" t="str">
        <f t="shared" si="91"/>
      </c>
      <c r="E84" s="2593" t="str">
        <f t="shared" si="91"/>
      </c>
      <c r="F84" s="2593" t="str">
        <f t="shared" si="91"/>
      </c>
      <c r="G84" s="2593" t="str">
        <f t="shared" si="91"/>
      </c>
      <c r="H84" s="2593" t="str">
        <f t="shared" si="91"/>
      </c>
      <c r="I84" s="2593" t="str">
        <f t="shared" si="91"/>
      </c>
      <c r="J84" s="2593" t="str">
        <f t="shared" si="91"/>
      </c>
      <c r="K84" s="2594" t="str">
        <f t="shared" si="91"/>
      </c>
      <c r="L84" s="2595" t="str">
        <f t="shared" si="91"/>
      </c>
      <c r="T84" s="160" t="s">
        <v>1644</v>
      </c>
      <c r="U84" s="2504">
        <f>W84</f>
      </c>
      <c r="V84" s="2504">
        <f>U83</f>
      </c>
      <c r="W84" s="2504">
        <f>K51-K15</f>
      </c>
    </row>
    <row r="85" spans="1:23">
      <c r="A85" s="2635" t="s">
        <v>667</v>
      </c>
      <c r="B85" s="2504">
        <f t="shared" ref="B85:C97" si="92">B50</f>
      </c>
      <c r="C85" s="2504">
        <f t="shared" si="92"/>
      </c>
      <c r="D85" s="2504">
        <f>C85*(1+D100)</f>
      </c>
      <c r="E85" s="2504">
        <f t="shared" ref="E85:K85" si="93">D85*(1+E100)</f>
      </c>
      <c r="F85" s="2504">
        <f t="shared" si="93"/>
      </c>
      <c r="G85" s="2504">
        <f t="shared" si="93"/>
      </c>
      <c r="H85" s="2504">
        <f t="shared" si="93"/>
      </c>
      <c r="I85" s="2504">
        <f t="shared" si="93"/>
      </c>
      <c r="J85" s="2504">
        <f t="shared" si="93"/>
      </c>
      <c r="K85" s="2506">
        <f t="shared" si="93"/>
      </c>
      <c r="L85" s="2600">
        <f t="shared" ref="L85:L96" si="94">E85*0.75+F85*0.25</f>
      </c>
      <c r="T85" s="160" t="s">
        <v>1645</v>
      </c>
      <c r="U85" s="2504">
        <f>W85</f>
      </c>
      <c r="V85" s="2504">
        <f>V84+U84</f>
      </c>
      <c r="W85" s="2504">
        <f>K50-K14</f>
      </c>
    </row>
    <row r="86" spans="1:23">
      <c r="A86" s="2504" t="s">
        <v>81</v>
      </c>
      <c r="B86" s="2504">
        <f t="shared" si="92"/>
      </c>
      <c r="C86" s="2504">
        <f t="shared" si="92"/>
      </c>
      <c r="D86" s="2504">
        <f>C86*(1+D101)</f>
      </c>
      <c r="E86" s="2504">
        <f t="shared" ref="E86:K86" si="95">D86*(1+E101)</f>
      </c>
      <c r="F86" s="2504">
        <f t="shared" si="95"/>
      </c>
      <c r="G86" s="2504">
        <f t="shared" si="95"/>
      </c>
      <c r="H86" s="2504">
        <f t="shared" si="95"/>
      </c>
      <c r="I86" s="2504">
        <f t="shared" si="95"/>
      </c>
      <c r="J86" s="2504">
        <f t="shared" si="95"/>
      </c>
      <c r="K86" s="2506">
        <f t="shared" si="95"/>
      </c>
      <c r="L86" s="2601">
        <f t="shared" si="94"/>
      </c>
      <c r="T86" s="160" t="s">
        <v>1629</v>
      </c>
      <c r="U86" s="2504">
        <f>U83+U84+U85</f>
      </c>
      <c r="V86" s="2504">
        <v>0</v>
      </c>
      <c r="W86" s="2504"/>
    </row>
    <row r="87" spans="1:23" ht="12">
      <c r="A87" s="2585" t="s">
        <v>1599</v>
      </c>
      <c r="B87" s="2586">
        <f t="shared" si="92"/>
      </c>
      <c r="C87" s="2586">
        <f t="shared" si="92"/>
      </c>
      <c r="D87" s="2586">
        <f>D85+D86</f>
      </c>
      <c r="E87" s="2586">
        <f t="shared" ref="E87" si="96">E85+E86</f>
      </c>
      <c r="F87" s="2586">
        <f t="shared" ref="F87" si="97">F85+F86</f>
      </c>
      <c r="G87" s="2586">
        <f t="shared" ref="G87" si="98">G85+G86</f>
      </c>
      <c r="H87" s="2586">
        <f t="shared" ref="H87" si="99">H85+H86</f>
      </c>
      <c r="I87" s="2586">
        <f t="shared" ref="I87" si="100">I85+I86</f>
      </c>
      <c r="J87" s="2586">
        <f t="shared" ref="J87:L87" si="101">J85+J86</f>
      </c>
      <c r="K87" s="2587">
        <f t="shared" ref="K87" si="102">K85+K86</f>
      </c>
      <c r="L87" s="2602">
        <f t="shared" si="101"/>
      </c>
    </row>
    <row r="88" spans="1:23">
      <c r="A88" s="160" t="s">
        <v>83</v>
      </c>
      <c r="B88" s="2504">
        <f t="shared" si="92"/>
      </c>
      <c r="C88" s="2504">
        <f t="shared" si="92"/>
      </c>
      <c r="D88" s="2504">
        <f>D87-D89</f>
      </c>
      <c r="E88" s="2504">
        <f t="shared" ref="E88" si="103">E87-E89</f>
      </c>
      <c r="F88" s="2504">
        <f t="shared" ref="F88" si="104">F87-F89</f>
      </c>
      <c r="G88" s="2504">
        <f t="shared" ref="G88" si="105">G87-G89</f>
      </c>
      <c r="H88" s="2504">
        <f t="shared" ref="H88" si="106">H87-H89</f>
      </c>
      <c r="I88" s="2504">
        <f t="shared" ref="I88" si="107">I87-I89</f>
      </c>
      <c r="J88" s="2504">
        <f t="shared" ref="J88" si="108">J87-J89</f>
      </c>
      <c r="K88" s="2506">
        <f t="shared" ref="K88" si="109">K87-K89</f>
      </c>
      <c r="L88" s="2601">
        <f t="shared" si="94"/>
      </c>
    </row>
    <row r="89" spans="1:23" ht="12">
      <c r="A89" s="1545" t="s">
        <v>67</v>
      </c>
      <c r="B89" s="1544">
        <f t="shared" si="92"/>
      </c>
      <c r="C89" s="1544">
        <f t="shared" si="92"/>
      </c>
      <c r="D89" s="1544">
        <f t="shared" ref="D89:K89" si="110">D87*D114</f>
      </c>
      <c r="E89" s="1544">
        <f t="shared" si="110"/>
      </c>
      <c r="F89" s="1544">
        <f t="shared" si="110"/>
      </c>
      <c r="G89" s="1544">
        <f t="shared" si="110"/>
      </c>
      <c r="H89" s="1544">
        <f t="shared" si="110"/>
      </c>
      <c r="I89" s="1544">
        <f t="shared" si="110"/>
      </c>
      <c r="J89" s="1544">
        <f t="shared" si="110"/>
      </c>
      <c r="K89" s="2526">
        <f t="shared" si="110"/>
      </c>
      <c r="L89" s="2603">
        <f>L87-L88</f>
      </c>
    </row>
    <row r="90" spans="1:23">
      <c r="A90" s="160" t="s">
        <v>1600</v>
      </c>
      <c r="B90" s="2504">
        <f t="shared" si="92"/>
      </c>
      <c r="C90" s="2504">
        <f t="shared" si="92"/>
      </c>
      <c r="D90" s="2504">
        <f>C90*(1+D105)</f>
      </c>
      <c r="E90" s="2504">
        <f t="shared" ref="E90:K90" si="111">D90*(1+E105)</f>
      </c>
      <c r="F90" s="2504">
        <f t="shared" si="111"/>
      </c>
      <c r="G90" s="2504">
        <f t="shared" si="111"/>
      </c>
      <c r="H90" s="2504">
        <f t="shared" si="111"/>
      </c>
      <c r="I90" s="2504">
        <f t="shared" si="111"/>
      </c>
      <c r="J90" s="2504">
        <f t="shared" si="111"/>
      </c>
      <c r="K90" s="2506">
        <f t="shared" si="111"/>
      </c>
      <c r="L90" s="2601">
        <f t="shared" si="94"/>
      </c>
    </row>
    <row r="91" spans="1:23" ht="12">
      <c r="A91" s="1544" t="s">
        <v>268</v>
      </c>
      <c r="B91" s="1544">
        <f t="shared" si="92"/>
      </c>
      <c r="C91" s="1544">
        <f t="shared" si="92"/>
      </c>
      <c r="D91" s="1544">
        <f t="shared" ref="D91" si="112">D89-D90</f>
      </c>
      <c r="E91" s="1544">
        <f t="shared" ref="E91" si="113">E89-E90</f>
      </c>
      <c r="F91" s="1544">
        <f t="shared" ref="F91" si="114">F89-F90</f>
      </c>
      <c r="G91" s="1544">
        <f t="shared" ref="G91" si="115">G89-G90</f>
      </c>
      <c r="H91" s="1544">
        <f t="shared" ref="H91" si="116">H89-H90</f>
      </c>
      <c r="I91" s="1544">
        <f t="shared" ref="I91" si="117">I89-I90</f>
      </c>
      <c r="J91" s="1544">
        <f t="shared" ref="J91:L91" si="118">J89-J90</f>
      </c>
      <c r="K91" s="2526">
        <f t="shared" ref="K91" si="119">K89-K90</f>
      </c>
      <c r="L91" s="2603">
        <f t="shared" si="118"/>
      </c>
    </row>
    <row r="92" spans="1:23">
      <c r="A92" s="160" t="s">
        <v>1601</v>
      </c>
      <c r="B92" s="2504">
        <f t="shared" si="92"/>
      </c>
      <c r="C92" s="2504">
        <f t="shared" si="92"/>
      </c>
      <c r="D92" s="2562">
        <f>D$21</f>
      </c>
      <c r="E92" s="2562">
        <f t="shared" ref="E92" si="120">E$21</f>
      </c>
      <c r="F92" s="2562">
        <v>0</v>
      </c>
      <c r="G92" s="2562">
        <v>0</v>
      </c>
      <c r="H92" s="2562">
        <v>0</v>
      </c>
      <c r="I92" s="2562">
        <v>0</v>
      </c>
      <c r="J92" s="2562">
        <v>0</v>
      </c>
      <c r="K92" s="2563">
        <v>0</v>
      </c>
      <c r="L92" s="2601">
        <f t="shared" si="94"/>
      </c>
    </row>
    <row r="93" spans="1:23">
      <c r="A93" s="2502" t="s">
        <v>1602</v>
      </c>
      <c r="B93" s="2505">
        <f t="shared" si="92"/>
      </c>
      <c r="C93" s="2505">
        <f t="shared" si="92"/>
      </c>
      <c r="D93" s="2505">
        <f t="shared" ref="D93" si="121">D91+D92</f>
      </c>
      <c r="E93" s="2505">
        <f t="shared" ref="E93" si="122">E91+E92</f>
      </c>
      <c r="F93" s="2505">
        <f t="shared" ref="F93" si="123">F91+F92</f>
      </c>
      <c r="G93" s="2505">
        <f t="shared" ref="G93" si="124">G91+G92</f>
      </c>
      <c r="H93" s="2505">
        <f t="shared" ref="H93" si="125">H91+H92</f>
      </c>
      <c r="I93" s="2505">
        <f t="shared" ref="I93" si="126">I91+I92</f>
      </c>
      <c r="J93" s="2505">
        <f t="shared" ref="J93:L93" si="127">J91+J92</f>
      </c>
      <c r="K93" s="2507">
        <f t="shared" ref="K93" si="128">K91+K92</f>
      </c>
      <c r="L93" s="2604">
        <f t="shared" si="127"/>
      </c>
    </row>
    <row r="94" spans="1:23">
      <c r="A94" s="160" t="s">
        <v>1603</v>
      </c>
      <c r="B94" s="2504" t="e">
        <f t="shared" si="92"/>
      </c>
      <c r="C94" s="2504" t="e">
        <f t="shared" si="92"/>
      </c>
      <c r="D94" s="2504" t="e">
        <f t="shared" ref="D94:K94" si="129">D93*D117</f>
      </c>
      <c r="E94" s="2504" t="e">
        <f t="shared" si="129"/>
      </c>
      <c r="F94" s="2504" t="e">
        <f t="shared" si="129"/>
      </c>
      <c r="G94" s="2504" t="e">
        <f t="shared" si="129"/>
      </c>
      <c r="H94" s="2504" t="e">
        <f t="shared" si="129"/>
      </c>
      <c r="I94" s="2504" t="e">
        <f t="shared" si="129"/>
      </c>
      <c r="J94" s="2504" t="e">
        <f t="shared" si="129"/>
      </c>
      <c r="K94" s="2506" t="e">
        <f t="shared" si="129"/>
      </c>
      <c r="L94" s="2601" t="e">
        <f t="shared" si="94"/>
      </c>
    </row>
    <row r="95" spans="1:23" ht="12.6" thickBot="1">
      <c r="A95" s="2527" t="s">
        <v>1604</v>
      </c>
      <c r="B95" s="2528" t="e">
        <f t="shared" si="92"/>
      </c>
      <c r="C95" s="2528" t="e">
        <f t="shared" si="92"/>
      </c>
      <c r="D95" s="2528" t="e">
        <f t="shared" ref="D95" si="130">D93-D94</f>
      </c>
      <c r="E95" s="2528" t="e">
        <f t="shared" ref="E95" si="131">E93-E94</f>
      </c>
      <c r="F95" s="2528" t="e">
        <f t="shared" ref="F95" si="132">F93-F94</f>
      </c>
      <c r="G95" s="2528" t="e">
        <f t="shared" ref="G95" si="133">G93-G94</f>
      </c>
      <c r="H95" s="2528" t="e">
        <f t="shared" ref="H95" si="134">H93-H94</f>
      </c>
      <c r="I95" s="2528" t="e">
        <f t="shared" ref="I95" si="135">I93-I94</f>
      </c>
      <c r="J95" s="2528" t="e">
        <f t="shared" ref="J95:L95" si="136">J93-J94</f>
      </c>
      <c r="K95" s="2529" t="e">
        <f t="shared" ref="K95" si="137">K93-K94</f>
      </c>
      <c r="L95" s="2605" t="e">
        <f t="shared" si="136"/>
      </c>
    </row>
    <row r="96" spans="1:23" ht="12" thickTop="1">
      <c r="A96" s="160" t="s">
        <v>726</v>
      </c>
      <c r="B96" s="2518">
        <f t="shared" si="92"/>
      </c>
      <c r="C96" s="2518">
        <f t="shared" si="92"/>
      </c>
      <c r="D96" s="2596">
        <f>C96*(1+D108)</f>
      </c>
      <c r="E96" s="2596">
        <f t="shared" ref="E96:K96" si="138">D96*(1+E108)</f>
      </c>
      <c r="F96" s="2596">
        <f t="shared" si="138"/>
      </c>
      <c r="G96" s="2596">
        <f t="shared" si="138"/>
      </c>
      <c r="H96" s="2596">
        <f t="shared" si="138"/>
      </c>
      <c r="I96" s="2596">
        <f t="shared" si="138"/>
      </c>
      <c r="J96" s="2596">
        <f t="shared" si="138"/>
      </c>
      <c r="K96" s="2597">
        <f t="shared" si="138"/>
      </c>
      <c r="L96" s="2606">
        <f t="shared" si="94"/>
      </c>
    </row>
    <row r="97" spans="1:12" ht="12.6" thickBot="1">
      <c r="A97" s="2527" t="s">
        <v>607</v>
      </c>
      <c r="B97" s="2530" t="e">
        <f t="shared" si="92"/>
      </c>
      <c r="C97" s="2530" t="e">
        <f t="shared" si="92"/>
      </c>
      <c r="D97" s="2530" t="e">
        <f t="shared" ref="D97" si="139">D95/D96</f>
      </c>
      <c r="E97" s="2530" t="e">
        <f t="shared" ref="E97" si="140">E95/E96</f>
      </c>
      <c r="F97" s="2530" t="e">
        <f t="shared" ref="F97" si="141">F95/F96</f>
      </c>
      <c r="G97" s="2530" t="e">
        <f t="shared" ref="G97" si="142">G95/G96</f>
      </c>
      <c r="H97" s="2530" t="e">
        <f t="shared" ref="H97" si="143">H95/H96</f>
      </c>
      <c r="I97" s="2530" t="e">
        <f t="shared" ref="I97" si="144">I95/I96</f>
      </c>
      <c r="J97" s="2530" t="e">
        <f t="shared" ref="J97:L97" si="145">J95/J96</f>
      </c>
      <c r="K97" s="2531" t="e">
        <f t="shared" ref="K97" si="146">K95/K96</f>
      </c>
      <c r="L97" s="2607" t="e">
        <f t="shared" si="145"/>
      </c>
    </row>
    <row r="98" spans="1:12" ht="12" thickTop="1">
      <c r="E98" s="2588"/>
      <c r="G98" s="2588"/>
    </row>
    <row r="99" spans="1:12" ht="12">
      <c r="A99" s="1934" t="s">
        <v>1605</v>
      </c>
      <c r="B99" s="2589"/>
      <c r="C99" s="2590"/>
      <c r="D99" s="2590"/>
      <c r="E99" s="2590"/>
      <c r="F99" s="2590"/>
      <c r="G99" s="2590"/>
      <c r="H99" s="2590"/>
      <c r="I99" s="2590"/>
      <c r="J99" s="2590"/>
      <c r="K99" s="2641"/>
    </row>
    <row r="100" spans="1:12">
      <c r="A100" s="2636" t="str">
        <f>A85</f>
      </c>
      <c r="B100" s="1623"/>
      <c r="C100" s="1623">
        <f t="shared" ref="C100:K102" si="147">C85/B85-1</f>
      </c>
      <c r="D100" s="2556">
        <f>B85/C85-1</f>
      </c>
      <c r="E100" s="2556">
        <v>0</v>
      </c>
      <c r="F100" s="2556">
        <v>0</v>
      </c>
      <c r="G100" s="2556">
        <v>0</v>
      </c>
      <c r="H100" s="2556">
        <v>0</v>
      </c>
      <c r="I100" s="2556">
        <v>0</v>
      </c>
      <c r="J100" s="2556">
        <v>0</v>
      </c>
      <c r="K100" s="2557">
        <v>0</v>
      </c>
    </row>
    <row r="101" spans="1:12">
      <c r="A101" s="2637" t="str">
        <f>A86</f>
      </c>
      <c r="B101" s="1625"/>
      <c r="C101" s="1625">
        <f t="shared" si="147"/>
      </c>
      <c r="D101" s="2581">
        <v>0.05</v>
      </c>
      <c r="E101" s="2581">
        <v>0.05</v>
      </c>
      <c r="F101" s="2581">
        <v>0.05</v>
      </c>
      <c r="G101" s="2581">
        <v>0.05</v>
      </c>
      <c r="H101" s="2581">
        <v>0.05</v>
      </c>
      <c r="I101" s="2581">
        <v>0.05</v>
      </c>
      <c r="J101" s="2581">
        <v>0.05</v>
      </c>
      <c r="K101" s="2582">
        <v>0.05</v>
      </c>
    </row>
    <row r="102" spans="1:12">
      <c r="A102" s="1818" t="s">
        <v>1599</v>
      </c>
      <c r="B102" s="2541"/>
      <c r="C102" s="2541">
        <f t="shared" si="147"/>
      </c>
      <c r="D102" s="2583">
        <f t="shared" si="147"/>
      </c>
      <c r="E102" s="2583">
        <f t="shared" si="147"/>
      </c>
      <c r="F102" s="2583">
        <f t="shared" si="147"/>
      </c>
      <c r="G102" s="2583">
        <f t="shared" si="147"/>
      </c>
      <c r="H102" s="2583">
        <f t="shared" si="147"/>
      </c>
      <c r="I102" s="2583">
        <f t="shared" si="147"/>
      </c>
      <c r="J102" s="2583">
        <f t="shared" si="147"/>
      </c>
      <c r="K102" s="2584">
        <f t="shared" si="147"/>
      </c>
    </row>
    <row r="103" spans="1:12">
      <c r="A103" s="1396" t="s">
        <v>83</v>
      </c>
      <c r="B103" s="2523"/>
      <c r="C103" s="2523">
        <f t="shared" ref="C103:K103" si="148">C88/B88-1</f>
      </c>
      <c r="D103" s="2523">
        <f t="shared" si="148"/>
      </c>
      <c r="E103" s="2523">
        <f t="shared" si="148"/>
      </c>
      <c r="F103" s="2523">
        <f t="shared" si="148"/>
      </c>
      <c r="G103" s="2523">
        <f t="shared" si="148"/>
      </c>
      <c r="H103" s="2523">
        <f t="shared" si="148"/>
      </c>
      <c r="I103" s="2523">
        <f t="shared" si="148"/>
      </c>
      <c r="J103" s="2523">
        <f t="shared" si="148"/>
      </c>
      <c r="K103" s="2524">
        <f t="shared" si="148"/>
      </c>
    </row>
    <row r="104" spans="1:12" ht="12">
      <c r="A104" s="1588" t="s">
        <v>67</v>
      </c>
      <c r="B104" s="2543"/>
      <c r="C104" s="2543">
        <f t="shared" ref="C104:K105" si="149">C89/B89-1</f>
      </c>
      <c r="D104" s="2543">
        <f t="shared" si="149"/>
      </c>
      <c r="E104" s="2543">
        <f t="shared" si="149"/>
      </c>
      <c r="F104" s="2543">
        <f t="shared" si="149"/>
      </c>
      <c r="G104" s="2543">
        <f t="shared" si="149"/>
      </c>
      <c r="H104" s="2543">
        <f t="shared" si="149"/>
      </c>
      <c r="I104" s="2543">
        <f t="shared" si="149"/>
      </c>
      <c r="J104" s="2543">
        <f t="shared" si="149"/>
      </c>
      <c r="K104" s="2544">
        <f t="shared" si="149"/>
      </c>
    </row>
    <row r="105" spans="1:12">
      <c r="A105" s="1396" t="s">
        <v>1600</v>
      </c>
      <c r="B105" s="2523"/>
      <c r="C105" s="2523">
        <f t="shared" si="149"/>
      </c>
      <c r="D105" s="2560">
        <f>D$34-3%</f>
      </c>
      <c r="E105" s="2560">
        <f t="shared" ref="E105:K105" si="150">E$34-3%</f>
      </c>
      <c r="F105" s="2560">
        <f t="shared" si="150"/>
      </c>
      <c r="G105" s="2560">
        <f t="shared" si="150"/>
      </c>
      <c r="H105" s="2560">
        <f t="shared" si="150"/>
      </c>
      <c r="I105" s="2560">
        <f t="shared" si="150"/>
      </c>
      <c r="J105" s="2560">
        <f t="shared" si="150"/>
      </c>
      <c r="K105" s="2561">
        <f t="shared" si="150"/>
      </c>
    </row>
    <row r="106" spans="1:12" ht="12">
      <c r="A106" s="1588" t="s">
        <v>268</v>
      </c>
      <c r="B106" s="2543"/>
      <c r="C106" s="2543">
        <f t="shared" ref="C106:K106" si="151">C91/B91-1</f>
      </c>
      <c r="D106" s="2543">
        <f t="shared" si="151"/>
      </c>
      <c r="E106" s="2543">
        <f t="shared" si="151"/>
      </c>
      <c r="F106" s="2543">
        <f t="shared" si="151"/>
      </c>
      <c r="G106" s="2543">
        <f t="shared" si="151"/>
      </c>
      <c r="H106" s="2543">
        <f t="shared" si="151"/>
      </c>
      <c r="I106" s="2543">
        <f t="shared" si="151"/>
      </c>
      <c r="J106" s="2543">
        <f t="shared" si="151"/>
      </c>
      <c r="K106" s="2544">
        <f t="shared" si="151"/>
      </c>
    </row>
    <row r="107" spans="1:12" ht="12.6" thickBot="1">
      <c r="A107" s="2533" t="s">
        <v>1604</v>
      </c>
      <c r="B107" s="2545"/>
      <c r="C107" s="2545" t="e">
        <f t="shared" ref="C107:K107" si="152">C95/B95-1</f>
      </c>
      <c r="D107" s="2545" t="e">
        <f t="shared" si="152"/>
      </c>
      <c r="E107" s="2545" t="e">
        <f t="shared" si="152"/>
      </c>
      <c r="F107" s="2545" t="e">
        <f t="shared" si="152"/>
      </c>
      <c r="G107" s="2545" t="e">
        <f t="shared" si="152"/>
      </c>
      <c r="H107" s="2545" t="e">
        <f t="shared" si="152"/>
      </c>
      <c r="I107" s="2545" t="e">
        <f t="shared" si="152"/>
      </c>
      <c r="J107" s="2545" t="e">
        <f t="shared" si="152"/>
      </c>
      <c r="K107" s="2546" t="e">
        <f t="shared" si="152"/>
      </c>
    </row>
    <row r="108" spans="1:12" ht="12" thickTop="1">
      <c r="A108" s="1396" t="s">
        <v>726</v>
      </c>
      <c r="B108" s="2523"/>
      <c r="C108" s="2523">
        <f>C96/B96-1</f>
      </c>
      <c r="D108" s="2560">
        <f>D$37</f>
      </c>
      <c r="E108" s="2560">
        <f t="shared" ref="E108:K108" si="153">E$37</f>
      </c>
      <c r="F108" s="2560">
        <f t="shared" si="153"/>
      </c>
      <c r="G108" s="2560">
        <f t="shared" si="153"/>
      </c>
      <c r="H108" s="2560">
        <f t="shared" si="153"/>
      </c>
      <c r="I108" s="2560">
        <f t="shared" si="153"/>
      </c>
      <c r="J108" s="2560">
        <f t="shared" si="153"/>
      </c>
      <c r="K108" s="2561">
        <f t="shared" si="153"/>
      </c>
    </row>
    <row r="109" spans="1:12" ht="12.6" thickBot="1">
      <c r="A109" s="2533" t="s">
        <v>607</v>
      </c>
      <c r="B109" s="2545"/>
      <c r="C109" s="2545" t="e">
        <f>C97/B97-1</f>
      </c>
      <c r="D109" s="2545" t="e">
        <f t="shared" ref="D109:K109" si="154">D97/C97-1</f>
      </c>
      <c r="E109" s="2545" t="e">
        <f t="shared" si="154"/>
      </c>
      <c r="F109" s="2545" t="e">
        <f t="shared" si="154"/>
      </c>
      <c r="G109" s="2545" t="e">
        <f t="shared" si="154"/>
      </c>
      <c r="H109" s="2545" t="e">
        <f t="shared" si="154"/>
      </c>
      <c r="I109" s="2545" t="e">
        <f t="shared" si="154"/>
      </c>
      <c r="J109" s="2545" t="e">
        <f t="shared" si="154"/>
      </c>
      <c r="K109" s="2546" t="e">
        <f t="shared" si="154"/>
      </c>
    </row>
    <row r="110" spans="1:12" ht="12" thickTop="1"/>
    <row r="111" spans="1:12" ht="12">
      <c r="A111" s="1934" t="s">
        <v>1606</v>
      </c>
      <c r="B111" s="2589"/>
      <c r="C111" s="2590"/>
      <c r="D111" s="2590"/>
      <c r="E111" s="2590"/>
      <c r="F111" s="2590"/>
      <c r="G111" s="2590"/>
      <c r="H111" s="2590"/>
      <c r="I111" s="2590"/>
      <c r="J111" s="2590"/>
      <c r="K111" s="2591"/>
      <c r="L111" s="2642"/>
    </row>
    <row r="112" spans="1:12">
      <c r="A112" s="1818" t="s">
        <v>1599</v>
      </c>
      <c r="B112" s="2541"/>
      <c r="C112" s="2535">
        <f t="shared" ref="C112:L112" si="155">C87/C$87</f>
      </c>
      <c r="D112" s="2535">
        <f t="shared" si="155"/>
      </c>
      <c r="E112" s="2535">
        <f t="shared" si="155"/>
      </c>
      <c r="F112" s="2535">
        <f t="shared" si="155"/>
      </c>
      <c r="G112" s="2535">
        <f t="shared" si="155"/>
      </c>
      <c r="H112" s="2535">
        <f t="shared" si="155"/>
      </c>
      <c r="I112" s="2535">
        <f t="shared" si="155"/>
      </c>
      <c r="J112" s="2535">
        <f t="shared" si="155"/>
      </c>
      <c r="K112" s="2536">
        <f t="shared" si="155"/>
      </c>
      <c r="L112" s="2547">
        <f t="shared" si="155"/>
      </c>
    </row>
    <row r="113" spans="1:12">
      <c r="A113" s="1396" t="s">
        <v>83</v>
      </c>
      <c r="B113" s="2523"/>
      <c r="C113" s="2520">
        <f t="shared" ref="C113:L113" si="156">C88/C$87</f>
      </c>
      <c r="D113" s="2520">
        <f t="shared" si="156"/>
      </c>
      <c r="E113" s="2520">
        <f t="shared" si="156"/>
      </c>
      <c r="F113" s="2520">
        <f t="shared" si="156"/>
      </c>
      <c r="G113" s="2520">
        <f t="shared" si="156"/>
      </c>
      <c r="H113" s="2520">
        <f t="shared" si="156"/>
      </c>
      <c r="I113" s="2520">
        <f t="shared" si="156"/>
      </c>
      <c r="J113" s="2520">
        <f t="shared" si="156"/>
      </c>
      <c r="K113" s="2521">
        <f t="shared" si="156"/>
      </c>
      <c r="L113" s="2548">
        <f t="shared" si="156"/>
      </c>
    </row>
    <row r="114" spans="1:12" ht="12">
      <c r="A114" s="1588" t="s">
        <v>67</v>
      </c>
      <c r="B114" s="2543"/>
      <c r="C114" s="2537">
        <f>C89/C$87</f>
      </c>
      <c r="D114" s="2558">
        <f>D$43</f>
      </c>
      <c r="E114" s="2558">
        <f t="shared" ref="E114:F114" si="157">E$43</f>
      </c>
      <c r="F114" s="2558">
        <f t="shared" si="157"/>
      </c>
      <c r="G114" s="2558">
        <f>F114</f>
      </c>
      <c r="H114" s="2558">
        <f t="shared" ref="H114:K114" si="158">G114</f>
      </c>
      <c r="I114" s="2558">
        <f t="shared" si="158"/>
      </c>
      <c r="J114" s="2558">
        <f t="shared" si="158"/>
      </c>
      <c r="K114" s="2559">
        <f t="shared" si="158"/>
      </c>
      <c r="L114" s="2549">
        <f>L89/L$87</f>
      </c>
    </row>
    <row r="115" spans="1:12">
      <c r="A115" s="1396" t="s">
        <v>1600</v>
      </c>
      <c r="B115" s="2523"/>
      <c r="C115" s="2520">
        <f>C90/C$87</f>
      </c>
      <c r="D115" s="2520">
        <f t="shared" ref="D115:K116" si="159">D90/D$87</f>
      </c>
      <c r="E115" s="2520">
        <f t="shared" si="159"/>
      </c>
      <c r="F115" s="2520">
        <f t="shared" si="159"/>
      </c>
      <c r="G115" s="2520">
        <f t="shared" si="159"/>
      </c>
      <c r="H115" s="2520">
        <f t="shared" si="159"/>
      </c>
      <c r="I115" s="2520">
        <f t="shared" si="159"/>
      </c>
      <c r="J115" s="2520">
        <f t="shared" si="159"/>
      </c>
      <c r="K115" s="2521">
        <f t="shared" si="159"/>
      </c>
      <c r="L115" s="2548">
        <f>L90/L$87</f>
      </c>
    </row>
    <row r="116" spans="1:12" ht="12">
      <c r="A116" s="1588" t="s">
        <v>268</v>
      </c>
      <c r="B116" s="2543"/>
      <c r="C116" s="2537">
        <f>C91/C$87</f>
      </c>
      <c r="D116" s="2537">
        <f t="shared" si="159"/>
      </c>
      <c r="E116" s="2537">
        <f t="shared" si="159"/>
      </c>
      <c r="F116" s="2537">
        <f t="shared" si="159"/>
      </c>
      <c r="G116" s="2537">
        <f t="shared" si="159"/>
      </c>
      <c r="H116" s="2537">
        <f t="shared" si="159"/>
      </c>
      <c r="I116" s="2537">
        <f t="shared" si="159"/>
      </c>
      <c r="J116" s="2537">
        <f t="shared" si="159"/>
      </c>
      <c r="K116" s="2538">
        <f t="shared" si="159"/>
      </c>
      <c r="L116" s="2549">
        <f>L91/L$87</f>
      </c>
    </row>
    <row r="117" spans="1:12">
      <c r="A117" s="2532" t="s">
        <v>1562</v>
      </c>
      <c r="B117" s="2525"/>
      <c r="C117" s="2522" t="e">
        <f>C94/C$87</f>
      </c>
      <c r="D117" s="2626" t="e">
        <f>D$46</f>
      </c>
      <c r="E117" s="2624" t="e">
        <f t="shared" ref="E117:K117" si="160">E$46</f>
      </c>
      <c r="F117" s="2624" t="e">
        <f t="shared" si="160"/>
      </c>
      <c r="G117" s="2624" t="e">
        <f t="shared" si="160"/>
      </c>
      <c r="H117" s="2624" t="e">
        <f t="shared" si="160"/>
      </c>
      <c r="I117" s="2624" t="e">
        <f t="shared" si="160"/>
      </c>
      <c r="J117" s="2624" t="e">
        <f t="shared" si="160"/>
      </c>
      <c r="K117" s="2625" t="e">
        <f t="shared" si="160"/>
      </c>
      <c r="L117" s="2550" t="e">
        <f>L94/L93</f>
      </c>
    </row>
  </sheetData>
  <printOptions horizontalCentered="1" verticalCentered="1"/>
  <pageMargins left="0.7" right="0.7" top="0.75" bottom="0.75" header="0.3" footer="0.3"/>
  <pageSetup scale="73" fitToHeight="2" orientation="landscape" r:id="rId1"/>
  <rowBreaks count="1" manualBreakCount="1">
    <brk id="48" max="11" man="1"/>
  </rowBreaks>
  <customProperties>
    <customPr name="Qube.Worksheet.Visibility" r:id="rId2"/>
  </customProperties>
  <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117BB-5846-4474-88B3-4BAA21E4AEA1}">
  <sheetPr>
    <tabColor rgb="FFFF9900"/>
    <pageSetUpPr fitToPage="1"/>
  </sheetPr>
  <dimension ref="A1:S70"/>
  <sheetViews>
    <sheetView zoomScale="85" zoomScaleNormal="85" workbookViewId="0">
      <selection activeCell="R8" sqref="R8:R43"/>
    </sheetView>
  </sheetViews>
  <sheetFormatPr defaultRowHeight="13.8"/>
  <cols>
    <col min="1" max="1" width="18.19921875" customWidth="1"/>
  </cols>
  <sheetData>
    <row r="1" spans="1:14" ht="15.6">
      <c r="A1" s="2431" t="s">
        <v>1539</v>
      </c>
      <c r="B1" s="2432"/>
      <c r="C1" s="2432"/>
      <c r="D1" s="2432"/>
      <c r="E1" s="2432"/>
      <c r="F1" s="2432"/>
      <c r="G1" s="2432"/>
      <c r="H1" s="2432"/>
      <c r="I1" s="2432"/>
      <c r="J1" s="2432"/>
      <c r="K1" s="2432"/>
    </row>
    <row r="2" spans="1:14" ht="21">
      <c r="A2" s="2396" t="s">
        <v>1552</v>
      </c>
      <c r="B2" s="2397"/>
      <c r="C2" s="2398"/>
      <c r="D2" s="2397"/>
      <c r="E2" s="2397"/>
      <c r="F2" s="2397"/>
      <c r="G2" s="2398"/>
      <c r="H2" s="2398"/>
      <c r="I2" s="2397"/>
      <c r="J2" s="2397"/>
      <c r="K2" s="2397"/>
    </row>
    <row r="3" spans="1:14">
      <c r="A3" s="2400" t="s">
        <v>2194</v>
      </c>
      <c r="B3" s="2399"/>
      <c r="C3" s="2400"/>
      <c r="D3" s="2401"/>
      <c r="E3" s="2400"/>
      <c r="F3" s="2399"/>
      <c r="G3" s="2399"/>
      <c r="H3" s="2400"/>
      <c r="I3" s="2400"/>
      <c r="J3" s="2400"/>
      <c r="K3" s="2399"/>
    </row>
    <row r="4" spans="1:14">
      <c r="A4" s="2402"/>
      <c r="B4" s="2403"/>
      <c r="C4" s="2403"/>
      <c r="D4" s="2403"/>
      <c r="E4" s="2403"/>
      <c r="F4" s="2403"/>
      <c r="G4" s="2403"/>
      <c r="H4" s="2403"/>
      <c r="I4" s="2403"/>
      <c r="J4" s="2402"/>
      <c r="K4" s="2402"/>
    </row>
    <row r="5" spans="1:14">
      <c r="A5" s="2404" t="s">
        <v>1564</v>
      </c>
      <c r="B5" s="2404"/>
      <c r="C5" s="2404"/>
      <c r="D5" s="2403"/>
      <c r="E5" s="2404" t="s">
        <v>1576</v>
      </c>
      <c r="F5" s="2404"/>
      <c r="G5" s="2404"/>
      <c r="H5" s="2404"/>
      <c r="I5" s="2404"/>
      <c r="J5" s="2402"/>
      <c r="K5" s="2402"/>
    </row>
    <row r="6" spans="1:14">
      <c r="A6" s="2402"/>
      <c r="B6" s="2402"/>
      <c r="C6" s="2433"/>
      <c r="D6" s="2403"/>
      <c r="E6" s="2405"/>
      <c r="F6" s="2403"/>
      <c r="G6" s="2403"/>
      <c r="H6" s="2403"/>
      <c r="I6" s="2443"/>
      <c r="J6" s="2402"/>
      <c r="K6" s="2402"/>
      <c r="N6" s="1936"/>
    </row>
    <row r="7" spans="1:14">
      <c r="A7" s="2402" t="s">
        <v>1563</v>
      </c>
      <c r="B7" s="2403"/>
      <c r="C7" s="2440">
        <v>5.5E-2</v>
      </c>
      <c r="D7" s="2403"/>
      <c r="E7" s="2402" t="s">
        <v>1281</v>
      </c>
      <c r="F7" s="2403"/>
      <c r="G7" s="2402"/>
      <c r="H7" s="2402"/>
      <c r="I7" s="2444">
        <f ca="1">F50+G50</f>
      </c>
      <c r="J7" s="2402"/>
      <c r="K7" s="2402"/>
    </row>
    <row r="8" spans="1:14">
      <c r="A8" s="2406" t="s">
        <v>1562</v>
      </c>
      <c r="B8" s="2403"/>
      <c r="C8" s="2441">
        <f>'Income Statement'!FU25</f>
      </c>
      <c r="D8" s="2403"/>
      <c r="E8" s="2402"/>
      <c r="F8" s="2403"/>
      <c r="G8" s="2402"/>
      <c r="H8" s="2402"/>
      <c r="I8" s="2445"/>
      <c r="J8" s="2402"/>
      <c r="K8" s="2402"/>
    </row>
    <row r="9" spans="1:14" ht="14.4" thickBot="1">
      <c r="A9" s="2407" t="s">
        <v>1561</v>
      </c>
      <c r="B9" s="2408"/>
      <c r="C9" s="2434">
        <f>C7*(1-C8)</f>
      </c>
      <c r="D9" s="2403"/>
      <c r="E9" s="2409" t="s">
        <v>2191</v>
      </c>
      <c r="F9" s="2403"/>
      <c r="G9" s="2402"/>
      <c r="H9" s="2402"/>
      <c r="I9" s="2451">
        <f ca="1">Valuation!B8</f>
      </c>
      <c r="J9" s="2402"/>
      <c r="K9" s="2402"/>
    </row>
    <row r="10" spans="1:14" ht="14.4" thickTop="1">
      <c r="A10" s="2402"/>
      <c r="B10" s="2402"/>
      <c r="C10" s="2435"/>
      <c r="D10" s="2403"/>
      <c r="E10" s="2409" t="s">
        <v>1540</v>
      </c>
      <c r="F10" s="2403"/>
      <c r="G10" s="2402"/>
      <c r="H10" s="2402"/>
      <c r="I10" s="2451">
        <v>0</v>
      </c>
      <c r="J10" s="2402"/>
      <c r="K10" s="2402"/>
    </row>
    <row r="11" spans="1:14">
      <c r="A11" s="2402" t="s">
        <v>1596</v>
      </c>
      <c r="B11" s="2402"/>
      <c r="C11" s="2440">
        <v>0.04</v>
      </c>
      <c r="D11" s="2403"/>
      <c r="E11" s="2403"/>
      <c r="F11" s="2403"/>
      <c r="G11" s="2403"/>
      <c r="H11" s="2403"/>
      <c r="I11" s="2445"/>
      <c r="J11" s="2402"/>
      <c r="K11" s="2402"/>
    </row>
    <row r="12" spans="1:14">
      <c r="A12" s="2402"/>
      <c r="B12" s="2402"/>
      <c r="C12" s="2433"/>
      <c r="D12" s="2403"/>
      <c r="E12" s="2402" t="s">
        <v>1566</v>
      </c>
      <c r="F12" s="2403"/>
      <c r="G12" s="2402"/>
      <c r="H12" s="2402"/>
      <c r="I12" s="2444">
        <f ca="1">I7+I9+I10</f>
      </c>
      <c r="J12" s="2402"/>
      <c r="K12" s="3176"/>
    </row>
    <row r="13" spans="1:14">
      <c r="A13" s="2402"/>
      <c r="B13" s="2402"/>
      <c r="C13" s="2433"/>
      <c r="D13" s="2403"/>
      <c r="E13" s="2402" t="s">
        <v>1567</v>
      </c>
      <c r="F13" s="2403"/>
      <c r="G13" s="2402"/>
      <c r="H13" s="2402"/>
      <c r="I13" s="2452">
        <v>0</v>
      </c>
      <c r="J13" s="2402"/>
      <c r="K13" s="2402"/>
    </row>
    <row r="14" spans="1:14" ht="14.4" thickBot="1">
      <c r="A14" s="2402" t="s">
        <v>1559</v>
      </c>
      <c r="B14" s="2402"/>
      <c r="C14" s="2440">
        <v>3.5000000000000003E-2</v>
      </c>
      <c r="D14" s="2403"/>
      <c r="E14" s="2407" t="s">
        <v>1568</v>
      </c>
      <c r="F14" s="2419"/>
      <c r="G14" s="2407"/>
      <c r="H14" s="2407"/>
      <c r="I14" s="2462">
        <f ca="1">I12*(1-I13)</f>
      </c>
      <c r="J14" s="2402"/>
      <c r="K14" s="2402"/>
    </row>
    <row r="15" spans="1:14" ht="14.4" thickTop="1">
      <c r="A15" s="2406" t="s">
        <v>648</v>
      </c>
      <c r="B15" s="2402"/>
      <c r="C15" s="2442">
        <v>1</v>
      </c>
      <c r="D15" s="2403"/>
      <c r="E15" s="2403"/>
      <c r="F15" s="2403"/>
      <c r="G15" s="2403"/>
      <c r="H15" s="2403"/>
      <c r="I15" s="2445"/>
      <c r="J15" s="2402"/>
      <c r="K15" s="2402"/>
    </row>
    <row r="16" spans="1:14" ht="14.4" thickBot="1">
      <c r="A16" s="2407" t="s">
        <v>1560</v>
      </c>
      <c r="B16" s="2408"/>
      <c r="C16" s="2434">
        <f>C11+(C14*C15)</f>
      </c>
      <c r="D16" s="2403"/>
      <c r="E16" s="2409" t="s">
        <v>2190</v>
      </c>
      <c r="F16" s="2403"/>
      <c r="G16" s="2403"/>
      <c r="H16" s="2403"/>
      <c r="I16" s="2451">
        <f ca="1">Valuation!B6</f>
      </c>
      <c r="J16" s="2402"/>
      <c r="K16" s="2402"/>
    </row>
    <row r="17" spans="1:19" ht="14.4" thickTop="1">
      <c r="A17" s="2402"/>
      <c r="B17" s="2402"/>
      <c r="C17" s="2435"/>
      <c r="D17" s="2403"/>
      <c r="E17" s="2409"/>
      <c r="F17" s="2453"/>
      <c r="G17" s="2453"/>
      <c r="H17" s="2453"/>
      <c r="I17" s="2454"/>
      <c r="J17" s="2402"/>
      <c r="K17" s="2402"/>
    </row>
    <row r="18" spans="1:19" ht="14.4" thickBot="1">
      <c r="A18" s="2410"/>
      <c r="B18" s="2402"/>
      <c r="C18" s="2433"/>
      <c r="D18" s="2403"/>
      <c r="E18" s="2407" t="s">
        <v>1569</v>
      </c>
      <c r="F18" s="2413"/>
      <c r="G18" s="2413"/>
      <c r="H18" s="2413"/>
      <c r="I18" s="2447">
        <f ca="1">I14/I16</f>
      </c>
      <c r="J18" s="2402"/>
      <c r="K18" s="2402"/>
    </row>
    <row r="19" spans="1:19" ht="14.4" thickTop="1">
      <c r="A19" s="2402" t="s">
        <v>1557</v>
      </c>
      <c r="B19" s="2402"/>
      <c r="C19" s="2440">
        <f ca="1">'Balance Sheet'!FP57/(Valuation!B7+'Balance Sheet'!FP57)</f>
      </c>
      <c r="D19" s="2403"/>
      <c r="J19" s="2402"/>
      <c r="K19" s="2402"/>
    </row>
    <row r="20" spans="1:19">
      <c r="A20" s="2402" t="s">
        <v>1558</v>
      </c>
      <c r="B20" s="2402"/>
      <c r="C20" s="2436">
        <f ca="1">1-C19</f>
      </c>
      <c r="D20" s="2403"/>
      <c r="J20" s="2402"/>
      <c r="K20" s="2402"/>
      <c r="O20" s="2402" t="s">
        <v>1570</v>
      </c>
      <c r="P20" s="2403"/>
      <c r="Q20" s="2403"/>
      <c r="R20" s="2403"/>
      <c r="S20" s="2448">
        <f>Valuation!B5</f>
      </c>
    </row>
    <row r="21" spans="1:19">
      <c r="A21" s="2402"/>
      <c r="B21" s="2402"/>
      <c r="C21" s="2435"/>
      <c r="D21" s="2403"/>
      <c r="J21" s="2402"/>
      <c r="K21" s="2402"/>
      <c r="O21" s="2402" t="s">
        <v>1571</v>
      </c>
      <c r="P21" s="2403"/>
      <c r="Q21" s="2403"/>
      <c r="R21" s="2403"/>
      <c r="S21" s="2449">
        <f ca="1">I18/S20-1</f>
      </c>
    </row>
    <row r="22" spans="1:19" ht="14.4" thickBot="1">
      <c r="A22" s="2407" t="s">
        <v>1541</v>
      </c>
      <c r="B22" s="2408"/>
      <c r="C22" s="2437">
        <f ca="1">C9*C19+C16*C20</f>
      </c>
      <c r="D22" s="2403"/>
      <c r="J22" s="2402"/>
      <c r="K22" s="2402"/>
      <c r="O22" s="2402"/>
      <c r="P22" s="2402"/>
      <c r="Q22" s="2402"/>
      <c r="R22" s="2402"/>
      <c r="S22" s="2446"/>
    </row>
    <row r="23" spans="1:19" ht="14.4" thickTop="1">
      <c r="A23" s="2402"/>
      <c r="B23" s="2402"/>
      <c r="C23" s="2433"/>
      <c r="D23" s="2403"/>
      <c r="J23" s="2402"/>
      <c r="K23" s="2402"/>
      <c r="O23" s="2405" t="s">
        <v>1572</v>
      </c>
      <c r="P23" s="2403"/>
      <c r="Q23" s="2403"/>
      <c r="R23" s="2403"/>
      <c r="S23" s="2455">
        <f>'Income Statement'!FN35</f>
      </c>
    </row>
    <row r="24" spans="1:19">
      <c r="A24" s="2402" t="s">
        <v>1555</v>
      </c>
      <c r="B24" s="2402"/>
      <c r="C24" s="2440">
        <v>0.03</v>
      </c>
      <c r="D24" s="2403"/>
      <c r="J24" s="2402"/>
      <c r="K24" s="2402"/>
      <c r="O24" s="2402" t="s">
        <v>1573</v>
      </c>
      <c r="P24" s="2403"/>
      <c r="Q24" s="2403"/>
      <c r="R24" s="2403"/>
      <c r="S24" s="2450">
        <f>S23/S20</f>
      </c>
    </row>
    <row r="25" spans="1:19">
      <c r="A25" s="2402" t="s">
        <v>1556</v>
      </c>
      <c r="B25" s="2402"/>
      <c r="C25" s="2438">
        <f ca="1">(1+C24)/(C22-C24)</f>
      </c>
      <c r="D25" s="2403"/>
      <c r="J25" s="2402"/>
      <c r="K25" s="2402"/>
      <c r="O25" s="2402"/>
      <c r="P25" s="2402"/>
      <c r="Q25" s="2403"/>
      <c r="R25" s="2403"/>
      <c r="S25" s="2445"/>
    </row>
    <row r="26" spans="1:19" ht="14.4" thickBot="1">
      <c r="A26" s="2407" t="s">
        <v>1575</v>
      </c>
      <c r="B26" s="2407"/>
      <c r="C26" s="2439">
        <f ca="1">N43/((L56)*(1+C24))</f>
      </c>
      <c r="D26" s="2403"/>
      <c r="J26" s="2402"/>
      <c r="K26" s="2402"/>
      <c r="O26" s="2407" t="s">
        <v>1574</v>
      </c>
      <c r="P26" s="2408"/>
      <c r="Q26" s="2413"/>
      <c r="R26" s="2413"/>
      <c r="S26" s="2495">
        <f ca="1">(S23+I18)/S20-1</f>
      </c>
    </row>
    <row r="27" spans="1:19" ht="14.4" thickTop="1">
      <c r="A27" s="2402"/>
      <c r="B27" s="2403"/>
      <c r="C27" s="2402"/>
      <c r="D27" s="2402"/>
      <c r="E27" s="2402"/>
      <c r="F27" s="2403"/>
      <c r="G27" s="2403"/>
      <c r="H27" s="2403"/>
      <c r="I27" s="2403"/>
      <c r="J27" s="2402"/>
      <c r="K27" s="2402"/>
    </row>
    <row r="28" spans="1:19">
      <c r="A28" s="2402"/>
      <c r="B28" s="2403"/>
      <c r="C28" s="2402"/>
      <c r="D28" s="2402"/>
      <c r="E28" s="2402"/>
      <c r="F28" s="2403"/>
      <c r="G28" s="2403"/>
      <c r="H28" s="2403"/>
      <c r="I28" s="2403"/>
      <c r="J28" s="2402"/>
      <c r="K28" s="2402"/>
    </row>
    <row r="29" spans="1:19">
      <c r="A29" s="2404" t="s">
        <v>1565</v>
      </c>
      <c r="B29" s="2404"/>
      <c r="C29" s="2404"/>
      <c r="D29" s="2404" t="s">
        <v>1553</v>
      </c>
      <c r="E29" s="2404">
        <v>2022</v>
      </c>
      <c r="F29" s="2404">
        <f>E29+1</f>
      </c>
      <c r="G29" s="2404">
        <f t="shared" ref="G29:L29" si="0">F29+1</f>
      </c>
      <c r="H29" s="2404">
        <f t="shared" si="0"/>
      </c>
      <c r="I29" s="2404">
        <f t="shared" si="0"/>
      </c>
      <c r="J29" s="2404">
        <f t="shared" si="0"/>
      </c>
      <c r="K29" s="2404">
        <f t="shared" si="0"/>
      </c>
      <c r="L29" s="2404">
        <f t="shared" si="0"/>
      </c>
      <c r="M29" s="2404"/>
      <c r="N29" s="2414" t="s">
        <v>1542</v>
      </c>
    </row>
    <row r="30" spans="1:19">
      <c r="A30" s="2402"/>
      <c r="B30" s="2403"/>
      <c r="C30" s="2403"/>
      <c r="D30" s="2403"/>
      <c r="E30" s="2415"/>
      <c r="F30" s="2415"/>
      <c r="G30" s="2416"/>
      <c r="J30" s="2402"/>
      <c r="K30" s="2402"/>
      <c r="M30" s="2415"/>
      <c r="N30" s="2456"/>
    </row>
    <row r="31" spans="1:19">
      <c r="A31" s="2402" t="s">
        <v>268</v>
      </c>
      <c r="B31" s="2403"/>
      <c r="C31" s="2403"/>
      <c r="D31" s="2403"/>
      <c r="E31" s="2417">
        <f>'Income Statement'!GW15</f>
      </c>
      <c r="F31" s="2417">
        <f>'Income Statement'!GX15</f>
      </c>
      <c r="G31" s="2417">
        <f>'Income Statement'!GY15</f>
      </c>
      <c r="H31" s="2417">
        <f>'Income Statement'!GZ15</f>
      </c>
      <c r="I31" s="2417">
        <f>'Income Statement'!HA15</f>
      </c>
      <c r="J31" s="2417">
        <f>'Income Statement'!HB15</f>
      </c>
      <c r="K31" s="2417">
        <f>'Income Statement'!HC15</f>
      </c>
      <c r="L31" s="2417">
        <f>'Income Statement'!HD15</f>
      </c>
      <c r="M31" s="2417"/>
      <c r="N31" s="2456"/>
    </row>
    <row r="32" spans="1:19">
      <c r="A32" s="2402" t="s">
        <v>1562</v>
      </c>
      <c r="B32" s="2403"/>
      <c r="C32" s="2403"/>
      <c r="D32" s="2403"/>
      <c r="E32" s="2418">
        <f t="shared" ref="E32:L32" si="1">$C$8</f>
      </c>
      <c r="F32" s="2418">
        <f t="shared" si="1"/>
      </c>
      <c r="G32" s="2418">
        <f t="shared" si="1"/>
      </c>
      <c r="H32" s="2418">
        <f t="shared" si="1"/>
      </c>
      <c r="I32" s="2418">
        <f t="shared" si="1"/>
      </c>
      <c r="J32" s="2418">
        <f t="shared" si="1"/>
      </c>
      <c r="K32" s="2418">
        <f t="shared" si="1"/>
      </c>
      <c r="L32" s="2418">
        <f t="shared" si="1"/>
      </c>
      <c r="M32" s="2418"/>
      <c r="N32" s="2456"/>
    </row>
    <row r="33" spans="1:14" ht="14.4" thickBot="1">
      <c r="A33" s="2407" t="s">
        <v>1543</v>
      </c>
      <c r="B33" s="2419"/>
      <c r="C33" s="2419"/>
      <c r="D33" s="2419"/>
      <c r="E33" s="2420">
        <f t="shared" ref="E33:L33" si="2">E31*(1-E32)</f>
      </c>
      <c r="F33" s="2420">
        <f t="shared" si="2"/>
      </c>
      <c r="G33" s="2420">
        <f t="shared" si="2"/>
      </c>
      <c r="H33" s="2420">
        <f t="shared" si="2"/>
      </c>
      <c r="I33" s="2420">
        <f t="shared" si="2"/>
      </c>
      <c r="J33" s="2420">
        <f t="shared" si="2"/>
      </c>
      <c r="K33" s="2420">
        <f t="shared" si="2"/>
      </c>
      <c r="L33" s="2420">
        <f t="shared" si="2"/>
      </c>
      <c r="M33" s="2420"/>
      <c r="N33" s="2456"/>
    </row>
    <row r="34" spans="1:14" ht="14.4" thickTop="1">
      <c r="A34" s="2402"/>
      <c r="B34" s="2403"/>
      <c r="C34" s="2403"/>
      <c r="D34" s="2403"/>
      <c r="E34" s="2415"/>
      <c r="F34" s="2415"/>
      <c r="G34" s="2416"/>
      <c r="J34" s="2402"/>
      <c r="K34" s="2402"/>
      <c r="M34" s="2415"/>
      <c r="N34" s="2456"/>
    </row>
    <row r="35" spans="1:14">
      <c r="A35" s="2405" t="s">
        <v>1544</v>
      </c>
      <c r="B35" s="2403"/>
      <c r="C35" s="2403"/>
      <c r="D35" s="2403"/>
      <c r="E35" s="2417">
        <f>'Cash Flow Statement'!GB12</f>
      </c>
      <c r="F35" s="2417">
        <f>'Cash Flow Statement'!GC12</f>
      </c>
      <c r="G35" s="2417">
        <f>'Cash Flow Statement'!GD12</f>
      </c>
      <c r="H35" s="2417">
        <f>'Cash Flow Statement'!GE12</f>
      </c>
      <c r="I35" s="2417">
        <f>'Cash Flow Statement'!GF12</f>
      </c>
      <c r="J35" s="2417">
        <f>'Cash Flow Statement'!GG12</f>
      </c>
      <c r="K35" s="2417">
        <f>'Cash Flow Statement'!GH12</f>
      </c>
      <c r="L35" s="2417">
        <f>'Cash Flow Statement'!GI12</f>
      </c>
      <c r="M35" s="2417"/>
      <c r="N35" s="2456"/>
    </row>
    <row r="36" spans="1:14">
      <c r="A36" s="2405" t="s">
        <v>1545</v>
      </c>
      <c r="B36" s="2403"/>
      <c r="C36" s="2403"/>
      <c r="D36" s="2403"/>
      <c r="E36" s="2417">
        <f>'Cash Flow Statement'!GB32</f>
      </c>
      <c r="F36" s="2417">
        <f>'Cash Flow Statement'!GC32</f>
      </c>
      <c r="G36" s="2417">
        <f>'Cash Flow Statement'!GD32</f>
      </c>
      <c r="H36" s="2417">
        <f>'Cash Flow Statement'!GE32</f>
      </c>
      <c r="I36" s="2417">
        <f>'Cash Flow Statement'!GF32</f>
      </c>
      <c r="J36" s="2417">
        <f>'Cash Flow Statement'!GG32</f>
      </c>
      <c r="K36" s="2417">
        <f>'Cash Flow Statement'!GH32</f>
      </c>
      <c r="L36" s="2417">
        <f>'Cash Flow Statement'!GI32</f>
      </c>
      <c r="M36" s="2417"/>
      <c r="N36" s="2456"/>
    </row>
    <row r="37" spans="1:14">
      <c r="A37" s="2405" t="s">
        <v>1577</v>
      </c>
      <c r="B37" s="2403"/>
      <c r="C37" s="2403"/>
      <c r="D37" s="2403"/>
      <c r="E37" s="2417">
        <f>'Cash Flow Statement'!GB24</f>
      </c>
      <c r="F37" s="2417">
        <f>'Cash Flow Statement'!GC24</f>
      </c>
      <c r="G37" s="2417">
        <f>'Cash Flow Statement'!GD24</f>
      </c>
      <c r="H37" s="2417">
        <f>'Cash Flow Statement'!GE24</f>
      </c>
      <c r="I37" s="2417">
        <f>'Cash Flow Statement'!GF24</f>
      </c>
      <c r="J37" s="2417">
        <f>'Cash Flow Statement'!GG24</f>
      </c>
      <c r="K37" s="2417">
        <f>'Cash Flow Statement'!GH24</f>
      </c>
      <c r="L37" s="2417">
        <f>'Cash Flow Statement'!GI24</f>
      </c>
      <c r="M37" s="2417"/>
      <c r="N37" s="2456"/>
    </row>
    <row r="38" spans="1:14">
      <c r="A38" s="2402"/>
      <c r="B38" s="2403"/>
      <c r="C38" s="2403"/>
      <c r="D38" s="2403"/>
      <c r="E38" s="2403"/>
      <c r="F38" s="2403"/>
      <c r="G38" s="2403"/>
      <c r="J38" s="2402"/>
      <c r="K38" s="2402"/>
      <c r="M38" s="2403"/>
      <c r="N38" s="2456"/>
    </row>
    <row r="39" spans="1:14" ht="14.4" thickBot="1">
      <c r="A39" s="2407" t="s">
        <v>1578</v>
      </c>
      <c r="B39" s="2419"/>
      <c r="C39" s="2419"/>
      <c r="D39" s="2419"/>
      <c r="E39" s="2420">
        <f t="shared" ref="E39" si="3">SUM(E33,E35,E36,E37)</f>
      </c>
      <c r="F39" s="2420">
        <f>SUM(F33,F35,F36,F37)</f>
      </c>
      <c r="G39" s="2420">
        <f>SUM(G33,G35,G36,G37)</f>
      </c>
      <c r="H39" s="2420">
        <f t="shared" ref="H39:L39" si="4">SUM(H33,H35,H36,H37)</f>
      </c>
      <c r="I39" s="2420">
        <f t="shared" si="4"/>
      </c>
      <c r="J39" s="2420">
        <f t="shared" si="4"/>
      </c>
      <c r="K39" s="2420">
        <f t="shared" si="4"/>
      </c>
      <c r="L39" s="2420">
        <f t="shared" si="4"/>
      </c>
      <c r="M39" s="2420"/>
      <c r="N39" s="2457">
        <f>L39*(1+N40)</f>
      </c>
    </row>
    <row r="40" spans="1:14" s="2720" customFormat="1" ht="14.4" thickTop="1">
      <c r="A40" s="2716" t="s">
        <v>1579</v>
      </c>
      <c r="B40" s="2717"/>
      <c r="C40" s="2717"/>
      <c r="D40" s="2717"/>
      <c r="E40" s="2718"/>
      <c r="F40" s="2718">
        <f>F39/E39-1</f>
      </c>
      <c r="G40" s="2718">
        <f>G39/F39-1</f>
      </c>
      <c r="H40" s="2718">
        <f t="shared" ref="H40:L40" si="5">H39/G39-1</f>
      </c>
      <c r="I40" s="2718">
        <f t="shared" si="5"/>
      </c>
      <c r="J40" s="2718">
        <f t="shared" si="5"/>
      </c>
      <c r="K40" s="2718">
        <f t="shared" si="5"/>
      </c>
      <c r="L40" s="2718">
        <f t="shared" si="5"/>
      </c>
      <c r="M40" s="2718"/>
      <c r="N40" s="2719">
        <f>C24</f>
      </c>
    </row>
    <row r="41" spans="1:14">
      <c r="A41" s="2402"/>
      <c r="B41" s="2403"/>
      <c r="C41" s="2403"/>
      <c r="D41" s="2403"/>
      <c r="E41" s="2403"/>
      <c r="F41" s="2403"/>
      <c r="G41" s="2403"/>
      <c r="J41" s="2402"/>
      <c r="K41" s="2402"/>
      <c r="M41" s="2403"/>
      <c r="N41" s="2456"/>
    </row>
    <row r="42" spans="1:14">
      <c r="A42" s="2422" t="s">
        <v>1546</v>
      </c>
      <c r="B42" s="2403"/>
      <c r="C42" s="2403"/>
      <c r="D42" s="2403"/>
      <c r="E42" s="2412"/>
      <c r="F42" s="2403">
        <v>0</v>
      </c>
      <c r="G42" s="2403">
        <f>F42+1</f>
      </c>
      <c r="H42" s="2403">
        <f t="shared" ref="H42:L42" si="6">G42+1</f>
      </c>
      <c r="I42" s="2403">
        <f t="shared" si="6"/>
      </c>
      <c r="J42" s="2403">
        <f t="shared" si="6"/>
      </c>
      <c r="K42" s="2403">
        <f t="shared" si="6"/>
      </c>
      <c r="L42" s="2403">
        <f t="shared" si="6"/>
      </c>
      <c r="M42" s="2403"/>
      <c r="N42" s="2456">
        <f>L42</f>
      </c>
    </row>
    <row r="43" spans="1:14">
      <c r="A43" s="2402" t="s">
        <v>1580</v>
      </c>
      <c r="B43" s="2403"/>
      <c r="C43" s="2403"/>
      <c r="D43" s="2403"/>
      <c r="E43" s="2403"/>
      <c r="F43" s="2415"/>
      <c r="G43" s="2415">
        <f>G39</f>
      </c>
      <c r="H43" s="2415">
        <f t="shared" ref="H43:L43" si="7">H39</f>
      </c>
      <c r="I43" s="2415">
        <f t="shared" si="7"/>
      </c>
      <c r="J43" s="2415">
        <f t="shared" si="7"/>
      </c>
      <c r="K43" s="2415">
        <f t="shared" si="7"/>
      </c>
      <c r="L43" s="2415">
        <f t="shared" si="7"/>
      </c>
      <c r="M43" s="2415"/>
      <c r="N43" s="2458">
        <f ca="1">N39*((1+C24)/(C22-C24))</f>
      </c>
    </row>
    <row r="44" spans="1:14">
      <c r="A44" s="2402" t="s">
        <v>1581</v>
      </c>
      <c r="B44" s="2403"/>
      <c r="C44" s="2403"/>
      <c r="D44" s="2403"/>
      <c r="E44" s="2403"/>
      <c r="F44" s="2423"/>
      <c r="G44" s="2423">
        <f ca="1">(1+$C$22)^(G42)</f>
      </c>
      <c r="H44" s="2423">
        <f t="shared" ref="H44:L44" ca="1" si="8">(1+$C$22)^(H42)</f>
      </c>
      <c r="I44" s="2423">
        <f t="shared" ca="1" si="8"/>
      </c>
      <c r="J44" s="2423">
        <f t="shared" ca="1" si="8"/>
      </c>
      <c r="K44" s="2423">
        <f t="shared" ca="1" si="8"/>
      </c>
      <c r="L44" s="2423">
        <f t="shared" ca="1" si="8"/>
      </c>
      <c r="M44" s="2423"/>
      <c r="N44" s="2459">
        <f ca="1">(1+$C$22)^(N42)</f>
      </c>
    </row>
    <row r="45" spans="1:14">
      <c r="A45" s="2410" t="s">
        <v>1582</v>
      </c>
      <c r="B45" s="2411"/>
      <c r="C45" s="2411"/>
      <c r="D45" s="2411"/>
      <c r="E45" s="2411"/>
      <c r="F45" s="2424"/>
      <c r="G45" s="2424">
        <f ca="1">G43/G44</f>
      </c>
      <c r="H45" s="2424">
        <f t="shared" ref="H45:L45" ca="1" si="9">H43/H44</f>
      </c>
      <c r="I45" s="2424">
        <f t="shared" ca="1" si="9"/>
      </c>
      <c r="J45" s="2424">
        <f t="shared" ca="1" si="9"/>
      </c>
      <c r="K45" s="2424">
        <f t="shared" ca="1" si="9"/>
      </c>
      <c r="L45" s="2424">
        <f t="shared" ca="1" si="9"/>
      </c>
      <c r="M45" s="2424"/>
      <c r="N45" s="2460">
        <f ca="1">N43/N44</f>
      </c>
    </row>
    <row r="46" spans="1:14">
      <c r="A46" s="2402" t="s">
        <v>1583</v>
      </c>
      <c r="B46" s="2403"/>
      <c r="C46" s="2403"/>
      <c r="D46" s="2403"/>
      <c r="E46" s="2403"/>
      <c r="F46" s="2463"/>
      <c r="G46" s="2463">
        <f ca="1">G45/$I$7</f>
      </c>
      <c r="H46" s="2463">
        <f t="shared" ref="H46:L46" ca="1" si="10">H45/$I$7</f>
      </c>
      <c r="I46" s="2463">
        <f t="shared" ca="1" si="10"/>
      </c>
      <c r="J46" s="2463">
        <f t="shared" ca="1" si="10"/>
      </c>
      <c r="K46" s="2463">
        <f t="shared" ca="1" si="10"/>
      </c>
      <c r="L46" s="2463">
        <f t="shared" ca="1" si="10"/>
      </c>
      <c r="M46" s="2463"/>
      <c r="N46" s="2721">
        <f ca="1">N45/$I$7</f>
      </c>
    </row>
    <row r="47" spans="1:14">
      <c r="A47" s="2402"/>
      <c r="B47" s="2403"/>
      <c r="C47" s="2403"/>
      <c r="D47" s="2403"/>
      <c r="E47" s="2403"/>
      <c r="F47" s="2403"/>
      <c r="G47" s="2403"/>
      <c r="J47" s="2402"/>
      <c r="K47" s="2402"/>
      <c r="M47" s="2403"/>
      <c r="N47" s="2461"/>
    </row>
    <row r="48" spans="1:14">
      <c r="A48" s="2422" t="s">
        <v>1546</v>
      </c>
      <c r="B48" s="2403"/>
      <c r="C48" s="2403"/>
      <c r="D48" s="2403"/>
      <c r="E48" s="2403"/>
      <c r="F48" s="2425" t="s">
        <v>2324</v>
      </c>
      <c r="G48" s="2426" t="s">
        <v>1547</v>
      </c>
      <c r="H48" s="2426" t="s">
        <v>1548</v>
      </c>
      <c r="J48" s="2402"/>
      <c r="K48" s="2402"/>
      <c r="N48" s="2403"/>
    </row>
    <row r="49" spans="1:14">
      <c r="A49" s="2402" t="s">
        <v>1549</v>
      </c>
      <c r="B49" s="2403"/>
      <c r="C49" s="2403"/>
      <c r="D49" s="2403"/>
      <c r="E49" s="2403"/>
      <c r="F49" s="2463">
        <f>(L39/E39)^(1/L42)-1</f>
      </c>
      <c r="G49" s="2722">
        <f>C24</f>
      </c>
      <c r="H49" s="2722">
        <f ca="1">(F49*F51)+(G49*G51)</f>
      </c>
      <c r="J49" s="2402"/>
      <c r="K49" s="2402"/>
      <c r="N49" s="2403"/>
    </row>
    <row r="50" spans="1:14">
      <c r="A50" s="2410" t="s">
        <v>1584</v>
      </c>
      <c r="B50" s="2411"/>
      <c r="C50" s="2411"/>
      <c r="D50" s="2411"/>
      <c r="E50" s="2403"/>
      <c r="F50" s="2424">
        <f ca="1">SUM(F45:M45)</f>
      </c>
      <c r="G50" s="2424">
        <f ca="1">N45</f>
      </c>
      <c r="H50" s="2427">
        <f ca="1">SUM(F50:G50)</f>
      </c>
      <c r="J50" s="2402"/>
      <c r="K50" s="2402"/>
      <c r="N50" s="2403"/>
    </row>
    <row r="51" spans="1:14">
      <c r="A51" s="2402" t="s">
        <v>1583</v>
      </c>
      <c r="B51" s="2403"/>
      <c r="C51" s="2403"/>
      <c r="D51" s="2403"/>
      <c r="E51" s="2403"/>
      <c r="F51" s="2463">
        <f ca="1">F50/$I$7</f>
      </c>
      <c r="G51" s="2463">
        <f ca="1">G50/$I$7</f>
      </c>
      <c r="H51" s="2463">
        <f ca="1">H50/$I$7</f>
      </c>
      <c r="J51" s="2402"/>
      <c r="K51" s="2402"/>
      <c r="N51" s="2403"/>
    </row>
    <row r="52" spans="1:14">
      <c r="A52" s="2402"/>
      <c r="B52" s="2403"/>
      <c r="C52" s="2403"/>
      <c r="D52" s="2403"/>
      <c r="E52" s="2403"/>
      <c r="F52" s="2403"/>
      <c r="G52" s="2403"/>
      <c r="H52" s="2403"/>
      <c r="I52" s="2403"/>
      <c r="J52" s="2402"/>
      <c r="K52" s="2402"/>
    </row>
    <row r="53" spans="1:14">
      <c r="A53" s="2402"/>
      <c r="B53" s="2403"/>
      <c r="C53" s="2403"/>
      <c r="D53" s="2403"/>
      <c r="E53" s="2403"/>
      <c r="F53" s="2403"/>
      <c r="G53" s="2403"/>
      <c r="H53" s="2403"/>
      <c r="I53" s="2403"/>
      <c r="J53" s="2403"/>
      <c r="K53" s="2402"/>
    </row>
    <row r="54" spans="1:14">
      <c r="A54" s="2404" t="s">
        <v>1585</v>
      </c>
      <c r="B54" s="2404"/>
      <c r="C54" s="2404"/>
      <c r="D54" s="2404"/>
      <c r="E54" s="2404">
        <f>E29</f>
      </c>
      <c r="F54" s="2404">
        <f>F29</f>
      </c>
      <c r="G54" s="2404">
        <f t="shared" ref="G54:L54" si="11">G29</f>
      </c>
      <c r="H54" s="2404">
        <f t="shared" si="11"/>
      </c>
      <c r="I54" s="2404">
        <f t="shared" si="11"/>
      </c>
      <c r="J54" s="2404">
        <f t="shared" si="11"/>
      </c>
      <c r="K54" s="2404">
        <f t="shared" si="11"/>
      </c>
      <c r="L54" s="2404">
        <f t="shared" si="11"/>
      </c>
    </row>
    <row r="55" spans="1:14">
      <c r="A55" s="2402"/>
      <c r="B55" s="2403"/>
      <c r="C55" s="2403"/>
      <c r="D55" s="2403"/>
      <c r="E55" s="2403"/>
      <c r="F55" s="2403"/>
      <c r="G55" s="2403"/>
      <c r="H55" s="2428"/>
      <c r="I55" s="2428"/>
      <c r="J55" s="2428"/>
      <c r="K55" s="2428"/>
    </row>
    <row r="56" spans="1:14">
      <c r="A56" s="2402" t="s">
        <v>261</v>
      </c>
      <c r="B56" s="2403"/>
      <c r="C56" s="2403"/>
      <c r="D56" s="2403"/>
      <c r="E56" s="2417">
        <f>'Income Statement'!GW17</f>
      </c>
      <c r="F56" s="2417">
        <f>'Income Statement'!GX17</f>
      </c>
      <c r="G56" s="2417">
        <f>'Income Statement'!GY17</f>
      </c>
      <c r="H56" s="2417">
        <f>'Income Statement'!GZ17</f>
      </c>
      <c r="I56" s="2417">
        <f>'Income Statement'!HA17</f>
      </c>
      <c r="J56" s="2417">
        <f>'Income Statement'!HB17</f>
      </c>
      <c r="K56" s="2417">
        <f>'Income Statement'!HC17</f>
      </c>
      <c r="L56" s="2417">
        <f>'Income Statement'!HD17</f>
      </c>
    </row>
    <row r="57" spans="1:14">
      <c r="A57" s="2402" t="s">
        <v>1550</v>
      </c>
      <c r="B57" s="2403"/>
      <c r="C57" s="2428"/>
      <c r="D57" s="2428"/>
      <c r="E57" s="2429">
        <f ca="1">$I$7/E56</f>
      </c>
      <c r="F57" s="2429">
        <f ca="1">$I$7/F56</f>
      </c>
      <c r="G57" s="2429">
        <f t="shared" ref="G57:L57" ca="1" si="12">$I$7/G56</f>
      </c>
      <c r="H57" s="2429">
        <f t="shared" ca="1" si="12"/>
      </c>
      <c r="I57" s="2429">
        <f t="shared" ca="1" si="12"/>
      </c>
      <c r="J57" s="2429">
        <f t="shared" ca="1" si="12"/>
      </c>
      <c r="K57" s="2429">
        <f t="shared" ca="1" si="12"/>
      </c>
      <c r="L57" s="2429">
        <f t="shared" ca="1" si="12"/>
      </c>
    </row>
    <row r="58" spans="1:14">
      <c r="A58" s="2402"/>
      <c r="B58" s="2403"/>
      <c r="C58" s="2428"/>
      <c r="D58" s="2428"/>
      <c r="E58" s="2403"/>
      <c r="F58" s="2403"/>
      <c r="G58" s="2403"/>
      <c r="H58" s="2428"/>
      <c r="I58" s="2428"/>
      <c r="J58" s="2428"/>
      <c r="K58" s="2428"/>
    </row>
    <row r="59" spans="1:14">
      <c r="A59" s="2402" t="s">
        <v>1589</v>
      </c>
      <c r="B59" s="2403"/>
      <c r="C59" s="2428"/>
      <c r="D59" s="2428"/>
      <c r="E59" s="2430">
        <f>'Cash Flow Statement'!GB55</f>
      </c>
      <c r="F59" s="2430">
        <f>'Cash Flow Statement'!GC55</f>
      </c>
      <c r="G59" s="2430">
        <f>'Cash Flow Statement'!GD55</f>
      </c>
      <c r="H59" s="2430">
        <f>'Cash Flow Statement'!GE55</f>
      </c>
      <c r="I59" s="2430">
        <f>'Cash Flow Statement'!GF55</f>
      </c>
      <c r="J59" s="2430">
        <f>'Cash Flow Statement'!GG55</f>
      </c>
      <c r="K59" s="2430">
        <f>'Cash Flow Statement'!GH55</f>
      </c>
      <c r="L59" s="2430">
        <f>'Cash Flow Statement'!GI55</f>
      </c>
    </row>
    <row r="60" spans="1:14">
      <c r="A60" s="2402" t="s">
        <v>1586</v>
      </c>
      <c r="B60" s="2403"/>
      <c r="C60" s="2428"/>
      <c r="D60" s="2428"/>
      <c r="E60" s="2429">
        <f t="shared" ref="E60:L60" ca="1" si="13">$I$18/E59</f>
      </c>
      <c r="F60" s="2429">
        <f t="shared" ca="1" si="13"/>
      </c>
      <c r="G60" s="2429">
        <f t="shared" ca="1" si="13"/>
      </c>
      <c r="H60" s="2429">
        <f t="shared" ca="1" si="13"/>
      </c>
      <c r="I60" s="2429">
        <f t="shared" ca="1" si="13"/>
      </c>
      <c r="J60" s="2429">
        <f t="shared" ca="1" si="13"/>
      </c>
      <c r="K60" s="2429">
        <f t="shared" ca="1" si="13"/>
      </c>
      <c r="L60" s="2429">
        <f t="shared" ca="1" si="13"/>
      </c>
    </row>
    <row r="61" spans="1:14">
      <c r="A61" s="2402" t="s">
        <v>1587</v>
      </c>
      <c r="B61" s="2403"/>
      <c r="C61" s="2428"/>
      <c r="D61" s="2428"/>
      <c r="E61" s="2421">
        <f ca="1">1/E60</f>
      </c>
      <c r="F61" s="2421">
        <f ca="1">1/F60</f>
      </c>
      <c r="G61" s="2421">
        <f t="shared" ref="G61:L61" ca="1" si="14">1/G60</f>
      </c>
      <c r="H61" s="2421">
        <f t="shared" ca="1" si="14"/>
      </c>
      <c r="I61" s="2421">
        <f t="shared" ca="1" si="14"/>
      </c>
      <c r="J61" s="2421">
        <f t="shared" ca="1" si="14"/>
      </c>
      <c r="K61" s="2421">
        <f t="shared" ca="1" si="14"/>
      </c>
      <c r="L61" s="2421">
        <f t="shared" ca="1" si="14"/>
      </c>
    </row>
    <row r="62" spans="1:14">
      <c r="A62" s="2402"/>
      <c r="B62" s="2403"/>
      <c r="C62" s="2428"/>
      <c r="D62" s="2428"/>
      <c r="E62" s="2403"/>
      <c r="F62" s="2403"/>
      <c r="G62" s="2403"/>
      <c r="H62" s="2428"/>
      <c r="I62" s="2428"/>
      <c r="J62" s="2428"/>
      <c r="K62" s="2428"/>
    </row>
    <row r="63" spans="1:14">
      <c r="A63" s="2402" t="s">
        <v>1588</v>
      </c>
      <c r="B63" s="2403"/>
      <c r="C63" s="2428"/>
      <c r="D63" s="2428"/>
      <c r="E63" s="2430">
        <f>'Income Statement'!GW30</f>
      </c>
      <c r="F63" s="2430">
        <f>'Income Statement'!GX30</f>
      </c>
      <c r="G63" s="2430">
        <f>'Income Statement'!GY30</f>
      </c>
      <c r="H63" s="2430">
        <f>'Income Statement'!GZ30</f>
      </c>
      <c r="I63" s="2430">
        <f>'Income Statement'!HA30</f>
      </c>
      <c r="J63" s="2430">
        <f>'Income Statement'!HB30</f>
      </c>
      <c r="K63" s="2430">
        <f>'Income Statement'!HC30</f>
      </c>
      <c r="L63" s="2430">
        <f>'Income Statement'!HD30</f>
      </c>
    </row>
    <row r="64" spans="1:14">
      <c r="A64" s="2402" t="s">
        <v>1554</v>
      </c>
      <c r="B64" s="2403"/>
      <c r="C64" s="2428"/>
      <c r="D64" s="2428"/>
      <c r="E64" s="2429">
        <f t="shared" ref="E64:L64" ca="1" si="15">$I$18/E63</f>
      </c>
      <c r="F64" s="2429">
        <f t="shared" ca="1" si="15"/>
      </c>
      <c r="G64" s="2429">
        <f t="shared" ca="1" si="15"/>
      </c>
      <c r="H64" s="2429">
        <f t="shared" ca="1" si="15"/>
      </c>
      <c r="I64" s="2429">
        <f t="shared" ca="1" si="15"/>
      </c>
      <c r="J64" s="2429">
        <f t="shared" ca="1" si="15"/>
      </c>
      <c r="K64" s="2429">
        <f t="shared" ca="1" si="15"/>
      </c>
      <c r="L64" s="2429">
        <f t="shared" ca="1" si="15"/>
      </c>
    </row>
    <row r="65" spans="1:12">
      <c r="A65" s="2402"/>
      <c r="B65" s="2403"/>
      <c r="C65" s="2403"/>
      <c r="D65" s="2403"/>
      <c r="E65" s="2403"/>
      <c r="F65" s="2403"/>
      <c r="G65" s="2428"/>
      <c r="H65" s="2403"/>
      <c r="I65" s="2403"/>
      <c r="J65" s="2402"/>
      <c r="K65" s="2402"/>
    </row>
    <row r="66" spans="1:12">
      <c r="A66" s="2402"/>
      <c r="B66" s="2402"/>
      <c r="C66" s="2402"/>
      <c r="D66" s="2403"/>
      <c r="E66" s="2403"/>
      <c r="F66" s="2403"/>
      <c r="G66" s="2403"/>
      <c r="H66" s="2403"/>
      <c r="I66" s="2402"/>
      <c r="J66" s="2402"/>
      <c r="K66" s="2402"/>
    </row>
    <row r="67" spans="1:12">
      <c r="A67" s="2402" t="s">
        <v>1551</v>
      </c>
      <c r="B67" s="2402"/>
      <c r="C67" s="2402"/>
      <c r="D67" s="2403"/>
      <c r="E67" s="2403"/>
      <c r="F67" s="2403"/>
      <c r="G67" s="2403"/>
      <c r="H67" s="2403"/>
      <c r="I67" s="2402"/>
      <c r="J67" s="2402"/>
      <c r="K67" s="2402"/>
    </row>
    <row r="68" spans="1:12">
      <c r="E68" s="2464"/>
      <c r="F68" s="2464"/>
      <c r="G68" s="2464"/>
      <c r="H68" s="2464"/>
      <c r="I68" s="2464"/>
      <c r="J68" s="2464"/>
      <c r="K68" s="2464"/>
      <c r="L68" s="2464"/>
    </row>
    <row r="69" spans="1:12">
      <c r="E69" s="2464"/>
      <c r="F69" s="2464"/>
      <c r="G69" s="2464"/>
      <c r="H69" s="2464"/>
      <c r="I69" s="2464"/>
      <c r="J69" s="2464"/>
      <c r="K69" s="2464"/>
      <c r="L69" s="2464"/>
    </row>
    <row r="70" spans="1:12">
      <c r="E70" s="2464"/>
      <c r="F70" s="2464"/>
      <c r="G70" s="2464"/>
      <c r="H70" s="2464"/>
      <c r="I70" s="2464"/>
      <c r="J70" s="2464"/>
      <c r="K70" s="2464"/>
      <c r="L70" s="2464"/>
    </row>
  </sheetData>
  <printOptions horizontalCentered="1" verticalCentered="1"/>
  <pageMargins left="0.7" right="0.7" top="0.75" bottom="0.75" header="0.3" footer="0.3"/>
  <pageSetup scale="41" orientation="landscape" r:id="rId1"/>
  <customProperties>
    <customPr name="Qube.Worksheet.Visibility" r:id="rId2"/>
  </customProperties>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E81E6-CBBC-4360-828F-34453E49D659}">
  <sheetPr>
    <outlinePr summaryBelow="0"/>
  </sheetPr>
  <dimension ref="A1:FE309"/>
  <sheetViews>
    <sheetView showGridLines="0" zoomScale="85" zoomScaleNormal="85" workbookViewId="0">
      <pane xSplit="3" ySplit="3" topLeftCell="DT12" activePane="bottomRight" state="frozenSplit"/>
      <selection activeCell="R8" sqref="R8:R43"/>
      <selection pane="topRight" activeCell="R8" sqref="R8:R43"/>
      <selection pane="bottomLeft" activeCell="R8" sqref="R8:R43"/>
      <selection pane="bottomRight" activeCell="R8" sqref="R8:R43"/>
    </sheetView>
  </sheetViews>
  <sheetFormatPr defaultColWidth="9" defaultRowHeight="13.8" outlineLevelRow="2"/>
  <cols>
    <col min="1" max="1" width="2.59765625" customWidth="1"/>
    <col min="2" max="2" width="25.59765625" customWidth="1"/>
    <col min="3" max="3" width="20.59765625" customWidth="1"/>
    <col min="4" max="4" width="8.59765625" customWidth="1"/>
    <col min="5" max="5" width="10.69921875" style="41" bestFit="1" customWidth="1"/>
    <col min="6" max="30" width="11.3984375" style="41" bestFit="1" customWidth="1"/>
    <col min="31" max="36" width="11.3984375" style="41" customWidth="1"/>
    <col min="37" max="37" width="9" style="41"/>
    <col min="38" max="38" width="11.5" style="41" bestFit="1" customWidth="1"/>
    <col min="39" max="39" width="11.09765625" style="41" bestFit="1" customWidth="1"/>
    <col min="40" max="40" width="11" style="41" bestFit="1" customWidth="1"/>
    <col min="41" max="41" width="11.3984375" style="41" bestFit="1" customWidth="1"/>
    <col min="42" max="42" width="11.5" style="41" bestFit="1" customWidth="1"/>
    <col min="43" max="43" width="11.09765625" style="41" bestFit="1" customWidth="1"/>
    <col min="44" max="44" width="11" style="41" bestFit="1" customWidth="1"/>
    <col min="45" max="45" width="11.3984375" style="41" bestFit="1" customWidth="1"/>
    <col min="46" max="46" width="11.5" style="41" bestFit="1" customWidth="1"/>
    <col min="47" max="47" width="11.09765625" style="41" bestFit="1" customWidth="1"/>
    <col min="48" max="48" width="11" style="41" bestFit="1" customWidth="1"/>
    <col min="49" max="49" width="11.3984375" style="41" bestFit="1" customWidth="1"/>
    <col min="50" max="50" width="11.5" style="41" bestFit="1" customWidth="1"/>
    <col min="51" max="51" width="11.09765625" style="41" bestFit="1" customWidth="1"/>
    <col min="52" max="52" width="11" style="41" bestFit="1" customWidth="1"/>
    <col min="53" max="53" width="11.3984375" style="41" bestFit="1" customWidth="1"/>
    <col min="54" max="54" width="11.5" style="41" bestFit="1" customWidth="1"/>
    <col min="55" max="55" width="11.09765625" style="41" bestFit="1" customWidth="1"/>
    <col min="56" max="56" width="11" style="41" bestFit="1" customWidth="1"/>
    <col min="57" max="57" width="11.3984375" style="41" bestFit="1" customWidth="1"/>
    <col min="58" max="58" width="11.5" style="41" bestFit="1" customWidth="1"/>
    <col min="59" max="59" width="11.09765625" style="41" bestFit="1" customWidth="1"/>
    <col min="60" max="60" width="11" style="41" bestFit="1" customWidth="1"/>
    <col min="61" max="61" width="11.3984375" style="41" bestFit="1" customWidth="1"/>
    <col min="62" max="62" width="11.5" style="41" bestFit="1" customWidth="1"/>
    <col min="63" max="63" width="11.09765625" style="41" bestFit="1" customWidth="1"/>
    <col min="64" max="64" width="11" style="41" bestFit="1" customWidth="1"/>
    <col min="65" max="65" width="11.3984375" style="41" bestFit="1" customWidth="1"/>
    <col min="66" max="66" width="11.5" style="41" bestFit="1" customWidth="1"/>
    <col min="67" max="67" width="11.09765625" style="41" bestFit="1" customWidth="1"/>
    <col min="68" max="68" width="11" style="41" bestFit="1" customWidth="1"/>
    <col min="69" max="69" width="11.3984375" style="41" bestFit="1" customWidth="1"/>
    <col min="70" max="70" width="11.5" style="41" bestFit="1" customWidth="1"/>
    <col min="71" max="71" width="11.09765625" style="41" bestFit="1" customWidth="1"/>
    <col min="72" max="72" width="11" style="41" bestFit="1" customWidth="1"/>
    <col min="73" max="73" width="11.3984375" style="41" bestFit="1" customWidth="1"/>
    <col min="74" max="74" width="11.5" style="41" bestFit="1" customWidth="1"/>
    <col min="75" max="75" width="11.09765625" style="41" bestFit="1" customWidth="1"/>
    <col min="76" max="76" width="11" style="41" bestFit="1" customWidth="1"/>
    <col min="77" max="77" width="11.3984375" style="41" bestFit="1" customWidth="1"/>
    <col min="78" max="78" width="11.5" style="41" bestFit="1" customWidth="1"/>
    <col min="79" max="79" width="11.09765625" style="41" bestFit="1" customWidth="1"/>
    <col min="80" max="80" width="11" style="41" bestFit="1" customWidth="1"/>
    <col min="81" max="81" width="11.3984375" style="41" bestFit="1" customWidth="1"/>
    <col min="82" max="82" width="11.5" style="41" bestFit="1" customWidth="1"/>
    <col min="83" max="83" width="11.09765625" style="41" bestFit="1" customWidth="1"/>
    <col min="84" max="84" width="11" style="41" bestFit="1" customWidth="1"/>
    <col min="85" max="85" width="11.3984375" style="41" bestFit="1" customWidth="1"/>
    <col min="86" max="86" width="11.5" style="41" bestFit="1" customWidth="1"/>
    <col min="87" max="87" width="11.09765625" style="41" bestFit="1" customWidth="1"/>
    <col min="88" max="88" width="11" style="41" bestFit="1" customWidth="1"/>
    <col min="89" max="89" width="11.3984375" style="41" bestFit="1" customWidth="1"/>
    <col min="90" max="90" width="11.5" style="41" bestFit="1" customWidth="1"/>
    <col min="91" max="91" width="11.09765625" style="41" bestFit="1" customWidth="1"/>
    <col min="92" max="92" width="11" style="41" bestFit="1" customWidth="1"/>
    <col min="93" max="93" width="11.3984375" style="41" bestFit="1" customWidth="1"/>
    <col min="94" max="94" width="11.5" style="41" bestFit="1" customWidth="1"/>
    <col min="95" max="95" width="11.09765625" style="41" bestFit="1" customWidth="1"/>
    <col min="96" max="96" width="11" style="41" bestFit="1" customWidth="1"/>
    <col min="97" max="97" width="11.3984375" style="41" bestFit="1" customWidth="1"/>
    <col min="98" max="98" width="11.5" style="41" bestFit="1" customWidth="1"/>
    <col min="99" max="99" width="11.09765625" style="41" bestFit="1" customWidth="1"/>
    <col min="100" max="100" width="11" style="41" bestFit="1" customWidth="1"/>
    <col min="101" max="101" width="11.3984375" style="41" bestFit="1" customWidth="1"/>
    <col min="102" max="102" width="11.5" style="41" bestFit="1" customWidth="1"/>
    <col min="103" max="103" width="11.09765625" style="41" bestFit="1" customWidth="1"/>
    <col min="104" max="104" width="11" style="41" bestFit="1" customWidth="1"/>
    <col min="105" max="105" width="11.3984375" style="41" bestFit="1" customWidth="1"/>
    <col min="106" max="106" width="11.5" style="41" bestFit="1" customWidth="1"/>
    <col min="107" max="107" width="11.09765625" style="41" bestFit="1" customWidth="1"/>
    <col min="108" max="108" width="11" style="41" bestFit="1" customWidth="1"/>
    <col min="109" max="109" width="11.3984375" style="41" bestFit="1" customWidth="1"/>
    <col min="110" max="110" width="11.5" style="41" bestFit="1" customWidth="1"/>
    <col min="111" max="111" width="11.09765625" style="41" bestFit="1" customWidth="1"/>
    <col min="112" max="112" width="11" style="41" bestFit="1" customWidth="1"/>
    <col min="113" max="113" width="11.3984375" style="41" bestFit="1" customWidth="1"/>
    <col min="114" max="114" width="11.5" style="41" bestFit="1" customWidth="1"/>
    <col min="115" max="115" width="11.09765625" style="41" bestFit="1" customWidth="1"/>
    <col min="116" max="116" width="11" style="41" bestFit="1" customWidth="1"/>
    <col min="117" max="117" width="11.3984375" style="41" bestFit="1" customWidth="1"/>
    <col min="118" max="118" width="11.5" style="41" bestFit="1" customWidth="1"/>
    <col min="119" max="119" width="11.09765625" style="41" bestFit="1" customWidth="1"/>
    <col min="120" max="120" width="11" style="41" bestFit="1" customWidth="1"/>
    <col min="121" max="121" width="11.3984375" style="41" bestFit="1" customWidth="1"/>
    <col min="122" max="122" width="11.5" style="41" bestFit="1" customWidth="1"/>
    <col min="123" max="123" width="11.09765625" style="41" bestFit="1" customWidth="1"/>
    <col min="124" max="124" width="11" style="41" bestFit="1" customWidth="1"/>
    <col min="125" max="125" width="11.3984375" style="41" bestFit="1" customWidth="1"/>
    <col min="126" max="126" width="11.5" style="41" bestFit="1" customWidth="1"/>
    <col min="127" max="127" width="11.09765625" style="41" bestFit="1" customWidth="1"/>
    <col min="128" max="128" width="11" style="41" bestFit="1" customWidth="1"/>
    <col min="129" max="129" width="11.3984375" style="41" bestFit="1" customWidth="1"/>
    <col min="130" max="130" width="11.5" style="41" bestFit="1" customWidth="1"/>
    <col min="131" max="131" width="11.09765625" style="41" bestFit="1" customWidth="1"/>
    <col min="132" max="132" width="11" style="41" bestFit="1" customWidth="1"/>
    <col min="133" max="133" width="11.3984375" style="41" bestFit="1" customWidth="1"/>
    <col min="134" max="134" width="11.5" style="41" bestFit="1" customWidth="1"/>
    <col min="135" max="135" width="11.09765625" style="41" bestFit="1" customWidth="1"/>
    <col min="136" max="136" width="11" style="41" bestFit="1" customWidth="1"/>
    <col min="137" max="137" width="11.3984375" style="41" bestFit="1" customWidth="1"/>
    <col min="138" max="161" width="11.3984375" style="41" customWidth="1"/>
    <col min="162" max="16384" width="9" style="41"/>
  </cols>
  <sheetData>
    <row r="1" spans="1:161" s="2667" customFormat="1">
      <c r="A1" s="2666" t="s">
        <v>173</v>
      </c>
      <c r="F1" s="2667">
        <v>2000</v>
      </c>
      <c r="G1" s="2667">
        <v>2001</v>
      </c>
      <c r="H1" s="2667">
        <v>2002</v>
      </c>
      <c r="I1" s="2667">
        <v>2003</v>
      </c>
      <c r="J1" s="2667">
        <v>2004</v>
      </c>
      <c r="K1" s="2667">
        <v>2005</v>
      </c>
      <c r="L1" s="2667">
        <v>2006</v>
      </c>
      <c r="M1" s="2667">
        <v>2007</v>
      </c>
      <c r="N1" s="2667">
        <v>2008</v>
      </c>
      <c r="O1" s="2667">
        <v>2009</v>
      </c>
      <c r="P1" s="2667">
        <v>2010</v>
      </c>
      <c r="Q1" s="2667">
        <v>2011</v>
      </c>
      <c r="R1" s="2667">
        <v>2012</v>
      </c>
      <c r="S1" s="2667">
        <v>2013</v>
      </c>
      <c r="T1" s="2667">
        <v>2014</v>
      </c>
      <c r="U1" s="2667">
        <v>2015</v>
      </c>
      <c r="V1" s="2667">
        <v>2016</v>
      </c>
      <c r="W1" s="2667">
        <v>2017</v>
      </c>
      <c r="X1" s="2667">
        <v>2018</v>
      </c>
      <c r="Y1" s="2667">
        <v>2019</v>
      </c>
      <c r="Z1" s="2667">
        <v>2020</v>
      </c>
      <c r="AA1" s="2667">
        <v>2021</v>
      </c>
      <c r="AB1" s="2667">
        <v>2022</v>
      </c>
      <c r="AC1" s="2667">
        <v>2023</v>
      </c>
      <c r="AD1" s="2667">
        <v>2024</v>
      </c>
      <c r="AE1" s="2667" t="s">
        <v>1649</v>
      </c>
      <c r="AF1" s="2667" t="s">
        <v>1650</v>
      </c>
      <c r="AG1" s="2667" t="s">
        <v>1651</v>
      </c>
      <c r="AH1" s="2667" t="s">
        <v>1652</v>
      </c>
      <c r="AI1" s="2667" t="s">
        <v>1653</v>
      </c>
      <c r="AJ1" s="2667" t="s">
        <v>1654</v>
      </c>
      <c r="AL1" s="2667" t="s">
        <v>687</v>
      </c>
      <c r="AM1" s="2667" t="s">
        <v>686</v>
      </c>
      <c r="AN1" s="2667" t="s">
        <v>685</v>
      </c>
      <c r="AO1" s="2667" t="s">
        <v>684</v>
      </c>
      <c r="AP1" s="2667" t="s">
        <v>683</v>
      </c>
      <c r="AQ1" s="2667" t="s">
        <v>682</v>
      </c>
      <c r="AR1" s="2667" t="s">
        <v>681</v>
      </c>
      <c r="AS1" s="2667" t="s">
        <v>680</v>
      </c>
      <c r="AT1" s="2667" t="s">
        <v>679</v>
      </c>
      <c r="AU1" s="2667" t="s">
        <v>678</v>
      </c>
      <c r="AV1" s="2667" t="s">
        <v>677</v>
      </c>
      <c r="AW1" s="2667" t="s">
        <v>676</v>
      </c>
      <c r="AX1" s="2667" t="s">
        <v>174</v>
      </c>
      <c r="AY1" s="2667" t="s">
        <v>175</v>
      </c>
      <c r="AZ1" s="2667" t="s">
        <v>176</v>
      </c>
      <c r="BA1" s="2667" t="s">
        <v>177</v>
      </c>
      <c r="BB1" s="2667" t="s">
        <v>178</v>
      </c>
      <c r="BC1" s="2667" t="s">
        <v>179</v>
      </c>
      <c r="BD1" s="2667" t="s">
        <v>180</v>
      </c>
      <c r="BE1" s="2667" t="s">
        <v>181</v>
      </c>
      <c r="BF1" s="2667" t="s">
        <v>182</v>
      </c>
      <c r="BG1" s="2667" t="s">
        <v>183</v>
      </c>
      <c r="BH1" s="2667" t="s">
        <v>184</v>
      </c>
      <c r="BI1" s="2667" t="s">
        <v>185</v>
      </c>
      <c r="BJ1" s="2667" t="s">
        <v>186</v>
      </c>
      <c r="BK1" s="2667" t="s">
        <v>187</v>
      </c>
      <c r="BL1" s="2667" t="s">
        <v>188</v>
      </c>
      <c r="BM1" s="2667" t="s">
        <v>189</v>
      </c>
      <c r="BN1" s="2667" t="s">
        <v>190</v>
      </c>
      <c r="BO1" s="2667" t="s">
        <v>191</v>
      </c>
      <c r="BP1" s="2667" t="s">
        <v>192</v>
      </c>
      <c r="BQ1" s="2667" t="s">
        <v>193</v>
      </c>
      <c r="BR1" s="2667" t="s">
        <v>194</v>
      </c>
      <c r="BS1" s="2667" t="s">
        <v>195</v>
      </c>
      <c r="BT1" s="2667" t="s">
        <v>196</v>
      </c>
      <c r="BU1" s="2667" t="s">
        <v>197</v>
      </c>
      <c r="BV1" s="2667" t="s">
        <v>198</v>
      </c>
      <c r="BW1" s="2667" t="s">
        <v>199</v>
      </c>
      <c r="BX1" s="2667" t="s">
        <v>200</v>
      </c>
      <c r="BY1" s="2667" t="s">
        <v>201</v>
      </c>
      <c r="BZ1" s="2667" t="s">
        <v>202</v>
      </c>
      <c r="CA1" s="2667" t="s">
        <v>203</v>
      </c>
      <c r="CB1" s="2667" t="s">
        <v>204</v>
      </c>
      <c r="CC1" s="2667" t="s">
        <v>205</v>
      </c>
      <c r="CD1" s="2667" t="s">
        <v>206</v>
      </c>
      <c r="CE1" s="2667" t="s">
        <v>207</v>
      </c>
      <c r="CF1" s="2667" t="s">
        <v>208</v>
      </c>
      <c r="CG1" s="2667" t="s">
        <v>209</v>
      </c>
      <c r="CH1" s="2667" t="s">
        <v>210</v>
      </c>
      <c r="CI1" s="2667" t="s">
        <v>211</v>
      </c>
      <c r="CJ1" s="2667" t="s">
        <v>212</v>
      </c>
      <c r="CK1" s="2667" t="s">
        <v>213</v>
      </c>
      <c r="CL1" s="2667" t="s">
        <v>214</v>
      </c>
      <c r="CM1" s="2667" t="s">
        <v>215</v>
      </c>
      <c r="CN1" s="2667" t="s">
        <v>216</v>
      </c>
      <c r="CO1" s="2667" t="s">
        <v>217</v>
      </c>
      <c r="CP1" s="2667" t="s">
        <v>218</v>
      </c>
      <c r="CQ1" s="2667" t="s">
        <v>219</v>
      </c>
      <c r="CR1" s="2667" t="s">
        <v>220</v>
      </c>
      <c r="CS1" s="2667" t="s">
        <v>221</v>
      </c>
      <c r="CT1" s="2667" t="s">
        <v>222</v>
      </c>
      <c r="CU1" s="2667" t="s">
        <v>223</v>
      </c>
      <c r="CV1" s="2667" t="s">
        <v>224</v>
      </c>
      <c r="CW1" s="2667" t="s">
        <v>225</v>
      </c>
      <c r="CX1" s="2667" t="s">
        <v>226</v>
      </c>
      <c r="CY1" s="2667" t="s">
        <v>227</v>
      </c>
      <c r="CZ1" s="2667" t="s">
        <v>228</v>
      </c>
      <c r="DA1" s="2667" t="s">
        <v>229</v>
      </c>
      <c r="DB1" s="2667" t="s">
        <v>230</v>
      </c>
      <c r="DC1" s="2667" t="s">
        <v>231</v>
      </c>
      <c r="DD1" s="2667" t="s">
        <v>232</v>
      </c>
      <c r="DE1" s="2667" t="s">
        <v>233</v>
      </c>
      <c r="DF1" s="2667" t="s">
        <v>722</v>
      </c>
      <c r="DG1" s="2667" t="s">
        <v>723</v>
      </c>
      <c r="DH1" s="2667" t="s">
        <v>724</v>
      </c>
      <c r="DI1" s="2667" t="s">
        <v>725</v>
      </c>
      <c r="DJ1" s="2667" t="s">
        <v>829</v>
      </c>
      <c r="DK1" s="2667" t="s">
        <v>830</v>
      </c>
      <c r="DL1" s="2667" t="s">
        <v>831</v>
      </c>
      <c r="DM1" s="2667" t="s">
        <v>832</v>
      </c>
      <c r="DN1" s="2667" t="s">
        <v>926</v>
      </c>
      <c r="DO1" s="2667" t="s">
        <v>927</v>
      </c>
      <c r="DP1" s="2667" t="s">
        <v>928</v>
      </c>
      <c r="DQ1" s="2667" t="s">
        <v>929</v>
      </c>
      <c r="DR1" s="2667" t="s">
        <v>1071</v>
      </c>
      <c r="DS1" s="2667" t="s">
        <v>1072</v>
      </c>
      <c r="DT1" s="2667" t="s">
        <v>1073</v>
      </c>
      <c r="DU1" s="2667" t="s">
        <v>1074</v>
      </c>
      <c r="DV1" s="2667" t="s">
        <v>1106</v>
      </c>
      <c r="DW1" s="2667" t="s">
        <v>1107</v>
      </c>
      <c r="DX1" s="2667" t="s">
        <v>1108</v>
      </c>
      <c r="DY1" s="2667" t="s">
        <v>1109</v>
      </c>
      <c r="DZ1" s="2667" t="s">
        <v>1121</v>
      </c>
      <c r="EA1" s="2667" t="s">
        <v>1122</v>
      </c>
      <c r="EB1" s="2667" t="s">
        <v>1123</v>
      </c>
      <c r="EC1" s="2667" t="s">
        <v>1124</v>
      </c>
      <c r="ED1" s="2667" t="s">
        <v>1136</v>
      </c>
      <c r="EE1" s="2667" t="s">
        <v>1137</v>
      </c>
      <c r="EF1" s="2667" t="s">
        <v>1138</v>
      </c>
      <c r="EG1" s="2667" t="s">
        <v>1139</v>
      </c>
      <c r="EH1" s="2667" t="s">
        <v>1655</v>
      </c>
      <c r="EI1" s="2667" t="s">
        <v>1656</v>
      </c>
      <c r="EJ1" s="2667" t="s">
        <v>1657</v>
      </c>
      <c r="EK1" s="2667" t="s">
        <v>1658</v>
      </c>
      <c r="EL1" s="2667" t="s">
        <v>2348</v>
      </c>
      <c r="EM1" s="2667" t="s">
        <v>2349</v>
      </c>
      <c r="EN1" s="2667" t="s">
        <v>2350</v>
      </c>
      <c r="EO1" s="2667" t="s">
        <v>2351</v>
      </c>
      <c r="EP1" s="2667" t="s">
        <v>2352</v>
      </c>
      <c r="EQ1" s="2667" t="s">
        <v>2353</v>
      </c>
      <c r="ER1" s="2667" t="s">
        <v>2354</v>
      </c>
      <c r="ES1" s="2667" t="s">
        <v>2355</v>
      </c>
      <c r="ET1" s="2667" t="s">
        <v>2356</v>
      </c>
      <c r="EU1" s="2667" t="s">
        <v>2357</v>
      </c>
      <c r="EV1" s="2667" t="s">
        <v>2358</v>
      </c>
      <c r="EW1" s="2667" t="s">
        <v>2359</v>
      </c>
      <c r="EX1" s="2667" t="s">
        <v>2360</v>
      </c>
      <c r="EY1" s="2667" t="s">
        <v>2361</v>
      </c>
      <c r="EZ1" s="2667" t="s">
        <v>2362</v>
      </c>
      <c r="FA1" s="2667" t="s">
        <v>2363</v>
      </c>
      <c r="FB1" s="2667" t="s">
        <v>2364</v>
      </c>
      <c r="FC1" s="2667" t="s">
        <v>2365</v>
      </c>
      <c r="FD1" s="2667" t="s">
        <v>2366</v>
      </c>
      <c r="FE1" s="2667" t="s">
        <v>2367</v>
      </c>
    </row>
    <row r="2" spans="1:161" s="2652" customFormat="1">
      <c r="A2" s="2668"/>
      <c r="B2" s="2668"/>
      <c r="C2" s="2668"/>
      <c r="D2" s="2668"/>
      <c r="F2" s="2652" t="s">
        <v>654</v>
      </c>
      <c r="G2" s="2652" t="s">
        <v>654</v>
      </c>
      <c r="H2" s="2652" t="s">
        <v>654</v>
      </c>
      <c r="I2" s="2652" t="s">
        <v>654</v>
      </c>
      <c r="J2" s="2652" t="s">
        <v>654</v>
      </c>
      <c r="K2" s="2652" t="s">
        <v>654</v>
      </c>
      <c r="L2" s="2652" t="s">
        <v>654</v>
      </c>
      <c r="M2" s="2652" t="s">
        <v>654</v>
      </c>
      <c r="N2" s="2652" t="s">
        <v>654</v>
      </c>
      <c r="O2" s="2652" t="s">
        <v>654</v>
      </c>
      <c r="P2" s="2652" t="s">
        <v>654</v>
      </c>
      <c r="Q2" s="2652" t="s">
        <v>654</v>
      </c>
      <c r="R2" s="2652" t="s">
        <v>654</v>
      </c>
      <c r="S2" s="2652" t="s">
        <v>654</v>
      </c>
      <c r="T2" s="2652" t="s">
        <v>654</v>
      </c>
      <c r="U2" s="2652" t="s">
        <v>654</v>
      </c>
      <c r="V2" s="2652" t="s">
        <v>654</v>
      </c>
      <c r="W2" s="2652" t="s">
        <v>654</v>
      </c>
      <c r="X2" s="2652" t="s">
        <v>654</v>
      </c>
      <c r="Y2" s="2652" t="s">
        <v>654</v>
      </c>
      <c r="Z2" s="2652" t="s">
        <v>654</v>
      </c>
      <c r="AA2" s="2652" t="s">
        <v>654</v>
      </c>
      <c r="AB2" s="2652" t="s">
        <v>654</v>
      </c>
      <c r="AC2" s="2652" t="s">
        <v>654</v>
      </c>
      <c r="AD2" s="2652" t="s">
        <v>654</v>
      </c>
      <c r="AE2" s="2652" t="s">
        <v>655</v>
      </c>
      <c r="AF2" s="2652" t="s">
        <v>655</v>
      </c>
      <c r="AG2" s="2652" t="s">
        <v>655</v>
      </c>
      <c r="AH2" s="2652" t="s">
        <v>655</v>
      </c>
      <c r="AI2" s="2652" t="s">
        <v>655</v>
      </c>
      <c r="AJ2" s="2652" t="s">
        <v>655</v>
      </c>
      <c r="AL2" s="2652" t="s">
        <v>654</v>
      </c>
      <c r="AM2" s="2652" t="s">
        <v>654</v>
      </c>
      <c r="AN2" s="2652" t="s">
        <v>654</v>
      </c>
      <c r="AO2" s="2652" t="s">
        <v>654</v>
      </c>
      <c r="AP2" s="2652" t="s">
        <v>654</v>
      </c>
      <c r="AQ2" s="2652" t="s">
        <v>654</v>
      </c>
      <c r="AR2" s="2652" t="s">
        <v>654</v>
      </c>
      <c r="AS2" s="2652" t="s">
        <v>654</v>
      </c>
      <c r="AT2" s="2652" t="s">
        <v>654</v>
      </c>
      <c r="AU2" s="2652" t="s">
        <v>654</v>
      </c>
      <c r="AV2" s="2652" t="s">
        <v>654</v>
      </c>
      <c r="AW2" s="2652" t="s">
        <v>654</v>
      </c>
      <c r="AX2" s="2652" t="s">
        <v>654</v>
      </c>
      <c r="AY2" s="2652" t="s">
        <v>654</v>
      </c>
      <c r="AZ2" s="2652" t="s">
        <v>654</v>
      </c>
      <c r="BA2" s="2652" t="s">
        <v>654</v>
      </c>
      <c r="BB2" s="2652" t="s">
        <v>654</v>
      </c>
      <c r="BC2" s="2652" t="s">
        <v>654</v>
      </c>
      <c r="BD2" s="2652" t="s">
        <v>654</v>
      </c>
      <c r="BE2" s="2652" t="s">
        <v>654</v>
      </c>
      <c r="BF2" s="2652" t="s">
        <v>654</v>
      </c>
      <c r="BG2" s="2652" t="s">
        <v>654</v>
      </c>
      <c r="BH2" s="2652" t="s">
        <v>654</v>
      </c>
      <c r="BI2" s="2652" t="s">
        <v>654</v>
      </c>
      <c r="BJ2" s="2652" t="s">
        <v>654</v>
      </c>
      <c r="BK2" s="2652" t="s">
        <v>654</v>
      </c>
      <c r="BL2" s="2652" t="s">
        <v>654</v>
      </c>
      <c r="BM2" s="2652" t="s">
        <v>654</v>
      </c>
      <c r="BN2" s="2652" t="s">
        <v>654</v>
      </c>
      <c r="BO2" s="2652" t="s">
        <v>654</v>
      </c>
      <c r="BP2" s="2652" t="s">
        <v>654</v>
      </c>
      <c r="BQ2" s="2652" t="s">
        <v>654</v>
      </c>
      <c r="BR2" s="2652" t="s">
        <v>654</v>
      </c>
      <c r="BS2" s="2652" t="s">
        <v>654</v>
      </c>
      <c r="BT2" s="2652" t="s">
        <v>654</v>
      </c>
      <c r="BU2" s="2652" t="s">
        <v>654</v>
      </c>
      <c r="BV2" s="2652" t="s">
        <v>654</v>
      </c>
      <c r="BW2" s="2652" t="s">
        <v>654</v>
      </c>
      <c r="BX2" s="2652" t="s">
        <v>654</v>
      </c>
      <c r="BY2" s="2652" t="s">
        <v>654</v>
      </c>
      <c r="BZ2" s="2652" t="s">
        <v>654</v>
      </c>
      <c r="CA2" s="2652" t="s">
        <v>654</v>
      </c>
      <c r="CB2" s="2652" t="s">
        <v>654</v>
      </c>
      <c r="CC2" s="2652" t="s">
        <v>654</v>
      </c>
      <c r="CD2" s="2652" t="s">
        <v>654</v>
      </c>
      <c r="CE2" s="2652" t="s">
        <v>654</v>
      </c>
      <c r="CF2" s="2652" t="s">
        <v>654</v>
      </c>
      <c r="CG2" s="2652" t="s">
        <v>654</v>
      </c>
      <c r="CH2" s="2652" t="s">
        <v>654</v>
      </c>
      <c r="CI2" s="2652" t="s">
        <v>654</v>
      </c>
      <c r="CJ2" s="2652" t="s">
        <v>654</v>
      </c>
      <c r="CK2" s="2652" t="s">
        <v>654</v>
      </c>
      <c r="CL2" s="2652" t="s">
        <v>654</v>
      </c>
      <c r="CM2" s="2652" t="s">
        <v>654</v>
      </c>
      <c r="CN2" s="2652" t="s">
        <v>654</v>
      </c>
      <c r="CO2" s="2652" t="s">
        <v>654</v>
      </c>
      <c r="CP2" s="2652" t="s">
        <v>654</v>
      </c>
      <c r="CQ2" s="2652" t="s">
        <v>654</v>
      </c>
      <c r="CR2" s="2652" t="s">
        <v>654</v>
      </c>
      <c r="CS2" s="2652" t="s">
        <v>654</v>
      </c>
      <c r="CT2" s="2652" t="s">
        <v>654</v>
      </c>
      <c r="CU2" s="2652" t="s">
        <v>654</v>
      </c>
      <c r="CV2" s="2652" t="s">
        <v>654</v>
      </c>
      <c r="CW2" s="2652" t="s">
        <v>654</v>
      </c>
      <c r="CX2" s="2652" t="s">
        <v>654</v>
      </c>
      <c r="CY2" s="2652" t="s">
        <v>654</v>
      </c>
      <c r="CZ2" s="2652" t="s">
        <v>654</v>
      </c>
      <c r="DA2" s="2652" t="s">
        <v>654</v>
      </c>
      <c r="DB2" s="2652" t="s">
        <v>654</v>
      </c>
      <c r="DC2" s="2652" t="s">
        <v>654</v>
      </c>
      <c r="DD2" s="2652" t="s">
        <v>654</v>
      </c>
      <c r="DE2" s="2652" t="s">
        <v>654</v>
      </c>
      <c r="DF2" s="2652" t="s">
        <v>654</v>
      </c>
      <c r="DG2" s="2652" t="s">
        <v>654</v>
      </c>
      <c r="DH2" s="2652" t="s">
        <v>654</v>
      </c>
      <c r="DI2" s="2652" t="s">
        <v>654</v>
      </c>
      <c r="DJ2" s="2652" t="s">
        <v>654</v>
      </c>
      <c r="DK2" s="2652" t="s">
        <v>654</v>
      </c>
      <c r="DL2" s="2652" t="s">
        <v>654</v>
      </c>
      <c r="DM2" s="2652" t="s">
        <v>654</v>
      </c>
      <c r="DN2" s="2652" t="s">
        <v>654</v>
      </c>
      <c r="DO2" s="2652" t="s">
        <v>654</v>
      </c>
      <c r="DP2" s="2652" t="s">
        <v>654</v>
      </c>
      <c r="DQ2" s="2652" t="s">
        <v>654</v>
      </c>
      <c r="DR2" s="2652" t="s">
        <v>654</v>
      </c>
      <c r="DS2" s="2652" t="s">
        <v>654</v>
      </c>
      <c r="DT2" s="2652" t="s">
        <v>654</v>
      </c>
      <c r="DU2" s="2652" t="s">
        <v>654</v>
      </c>
      <c r="DV2" s="2652" t="s">
        <v>654</v>
      </c>
      <c r="DW2" s="2652" t="s">
        <v>654</v>
      </c>
      <c r="DX2" s="2652" t="s">
        <v>654</v>
      </c>
      <c r="DY2" s="2652" t="s">
        <v>654</v>
      </c>
      <c r="DZ2" s="2652" t="s">
        <v>654</v>
      </c>
      <c r="EA2" s="2652" t="s">
        <v>654</v>
      </c>
      <c r="EB2" s="2652" t="s">
        <v>654</v>
      </c>
      <c r="EC2" s="2652" t="s">
        <v>654</v>
      </c>
      <c r="ED2" s="2652" t="s">
        <v>654</v>
      </c>
      <c r="EE2" s="2652" t="s">
        <v>654</v>
      </c>
      <c r="EF2" s="2652" t="s">
        <v>654</v>
      </c>
      <c r="EG2" s="2652" t="s">
        <v>654</v>
      </c>
      <c r="EH2" s="2652" t="s">
        <v>654</v>
      </c>
      <c r="EI2" s="2652" t="s">
        <v>654</v>
      </c>
      <c r="EJ2" s="2652" t="s">
        <v>654</v>
      </c>
      <c r="EK2" s="2652" t="s">
        <v>655</v>
      </c>
      <c r="EL2" s="2652" t="s">
        <v>655</v>
      </c>
      <c r="EM2" s="2652" t="s">
        <v>655</v>
      </c>
      <c r="EN2" s="2652" t="s">
        <v>655</v>
      </c>
      <c r="EO2" s="2652" t="s">
        <v>655</v>
      </c>
      <c r="EP2" s="2652" t="s">
        <v>655</v>
      </c>
      <c r="EQ2" s="2652" t="s">
        <v>655</v>
      </c>
      <c r="ER2" s="2652" t="s">
        <v>655</v>
      </c>
      <c r="ES2" s="2652" t="s">
        <v>655</v>
      </c>
      <c r="ET2" s="2652" t="s">
        <v>655</v>
      </c>
      <c r="EU2" s="2652" t="s">
        <v>655</v>
      </c>
      <c r="EV2" s="2652" t="s">
        <v>655</v>
      </c>
      <c r="EW2" s="2652" t="s">
        <v>655</v>
      </c>
      <c r="EX2" s="2652" t="s">
        <v>655</v>
      </c>
      <c r="EY2" s="2652" t="s">
        <v>655</v>
      </c>
      <c r="EZ2" s="2652" t="s">
        <v>655</v>
      </c>
      <c r="FA2" s="2652" t="s">
        <v>655</v>
      </c>
      <c r="FB2" s="2652" t="s">
        <v>655</v>
      </c>
      <c r="FC2" s="2652" t="s">
        <v>655</v>
      </c>
      <c r="FD2" s="2652" t="s">
        <v>655</v>
      </c>
      <c r="FE2" s="2652" t="s">
        <v>655</v>
      </c>
    </row>
    <row r="3" spans="1:161" s="2653" customFormat="1">
      <c r="A3" s="2669"/>
      <c r="B3" s="2669"/>
      <c r="C3" s="2669"/>
      <c r="D3" s="2669"/>
      <c r="F3" s="2653">
        <v>36799</v>
      </c>
      <c r="G3" s="2653">
        <v>37164</v>
      </c>
      <c r="H3" s="2653">
        <v>37529</v>
      </c>
      <c r="I3" s="2653">
        <v>37894</v>
      </c>
      <c r="J3" s="2653">
        <v>38260</v>
      </c>
      <c r="K3" s="2653">
        <v>38625</v>
      </c>
      <c r="L3" s="2653">
        <v>38990</v>
      </c>
      <c r="M3" s="2653">
        <v>39355</v>
      </c>
      <c r="N3" s="2653">
        <v>39721</v>
      </c>
      <c r="O3" s="2653">
        <v>40086</v>
      </c>
      <c r="P3" s="2653">
        <v>40451</v>
      </c>
      <c r="Q3" s="2653">
        <v>40816</v>
      </c>
      <c r="R3" s="2653">
        <v>41182</v>
      </c>
      <c r="S3" s="2653">
        <v>41547</v>
      </c>
      <c r="T3" s="2653">
        <v>41912</v>
      </c>
      <c r="U3" s="2653">
        <v>42277</v>
      </c>
      <c r="V3" s="2653">
        <v>42643</v>
      </c>
      <c r="W3" s="2653">
        <v>43008</v>
      </c>
      <c r="X3" s="2653">
        <v>43373</v>
      </c>
      <c r="Y3" s="2653">
        <v>43738</v>
      </c>
      <c r="Z3" s="2653">
        <v>44104</v>
      </c>
      <c r="AA3" s="2653">
        <v>44469</v>
      </c>
      <c r="AB3" s="2653">
        <v>44834</v>
      </c>
      <c r="AC3" s="2653">
        <v>45199</v>
      </c>
      <c r="AD3" s="2653">
        <v>45565</v>
      </c>
      <c r="AE3" s="2653">
        <v>45930</v>
      </c>
      <c r="AF3" s="2653">
        <v>46295</v>
      </c>
      <c r="AG3" s="2653">
        <v>46660</v>
      </c>
      <c r="AH3" s="2653">
        <v>47026</v>
      </c>
      <c r="AI3" s="2653">
        <v>47391</v>
      </c>
      <c r="AJ3" s="2653">
        <v>47756</v>
      </c>
      <c r="AL3" s="2653">
        <v>36525</v>
      </c>
      <c r="AM3" s="2653">
        <v>36616</v>
      </c>
      <c r="AN3" s="2653">
        <v>36707</v>
      </c>
      <c r="AO3" s="2653">
        <v>36799</v>
      </c>
      <c r="AP3" s="2653">
        <v>36891</v>
      </c>
      <c r="AQ3" s="2653">
        <v>36981</v>
      </c>
      <c r="AR3" s="2653">
        <v>37072</v>
      </c>
      <c r="AS3" s="2653">
        <v>37164</v>
      </c>
      <c r="AT3" s="2653">
        <v>37256</v>
      </c>
      <c r="AU3" s="2653">
        <v>37346</v>
      </c>
      <c r="AV3" s="2653">
        <v>37437</v>
      </c>
      <c r="AW3" s="2653">
        <v>37529</v>
      </c>
      <c r="AX3" s="2653">
        <v>37621</v>
      </c>
      <c r="AY3" s="2653">
        <v>37711</v>
      </c>
      <c r="AZ3" s="2653">
        <v>37802</v>
      </c>
      <c r="BA3" s="2653">
        <v>37894</v>
      </c>
      <c r="BB3" s="2653">
        <v>37986</v>
      </c>
      <c r="BC3" s="2653">
        <v>38077</v>
      </c>
      <c r="BD3" s="2653">
        <v>38168</v>
      </c>
      <c r="BE3" s="2653">
        <v>38260</v>
      </c>
      <c r="BF3" s="2653">
        <v>38352</v>
      </c>
      <c r="BG3" s="2653">
        <v>38442</v>
      </c>
      <c r="BH3" s="2653">
        <v>38533</v>
      </c>
      <c r="BI3" s="2653">
        <v>38625</v>
      </c>
      <c r="BJ3" s="2653">
        <v>38717</v>
      </c>
      <c r="BK3" s="2653">
        <v>38807</v>
      </c>
      <c r="BL3" s="2653">
        <v>38898</v>
      </c>
      <c r="BM3" s="2653">
        <v>38990</v>
      </c>
      <c r="BN3" s="2653">
        <v>39082</v>
      </c>
      <c r="BO3" s="2653">
        <v>39172</v>
      </c>
      <c r="BP3" s="2653">
        <v>39263</v>
      </c>
      <c r="BQ3" s="2653">
        <v>39355</v>
      </c>
      <c r="BR3" s="2653">
        <v>39447</v>
      </c>
      <c r="BS3" s="2653">
        <v>39538</v>
      </c>
      <c r="BT3" s="2653">
        <v>39629</v>
      </c>
      <c r="BU3" s="2653">
        <v>39721</v>
      </c>
      <c r="BV3" s="2653">
        <v>39813</v>
      </c>
      <c r="BW3" s="2653">
        <v>39903</v>
      </c>
      <c r="BX3" s="2653">
        <v>39994</v>
      </c>
      <c r="BY3" s="2653">
        <v>40086</v>
      </c>
      <c r="BZ3" s="2653">
        <v>40178</v>
      </c>
      <c r="CA3" s="2653">
        <v>40268</v>
      </c>
      <c r="CB3" s="2653">
        <v>40359</v>
      </c>
      <c r="CC3" s="2653">
        <v>40451</v>
      </c>
      <c r="CD3" s="2653">
        <v>40543</v>
      </c>
      <c r="CE3" s="2653">
        <v>40633</v>
      </c>
      <c r="CF3" s="2653">
        <v>40724</v>
      </c>
      <c r="CG3" s="2653">
        <v>40816</v>
      </c>
      <c r="CH3" s="2653">
        <v>40907</v>
      </c>
      <c r="CI3" s="2653">
        <v>40998</v>
      </c>
      <c r="CJ3" s="2653">
        <v>41090</v>
      </c>
      <c r="CK3" s="2653">
        <v>41182</v>
      </c>
      <c r="CL3" s="2653">
        <v>41273</v>
      </c>
      <c r="CM3" s="2653">
        <v>41363</v>
      </c>
      <c r="CN3" s="2653">
        <v>41455</v>
      </c>
      <c r="CO3" s="2653">
        <v>41547</v>
      </c>
      <c r="CP3" s="2653">
        <v>41638</v>
      </c>
      <c r="CQ3" s="2653">
        <v>41728</v>
      </c>
      <c r="CR3" s="2653">
        <v>41820</v>
      </c>
      <c r="CS3" s="2653">
        <v>41912</v>
      </c>
      <c r="CT3" s="2653">
        <v>42003</v>
      </c>
      <c r="CU3" s="2653">
        <v>42093</v>
      </c>
      <c r="CV3" s="2653">
        <v>42185</v>
      </c>
      <c r="CW3" s="2653">
        <v>42277</v>
      </c>
      <c r="CX3" s="2653">
        <v>42369</v>
      </c>
      <c r="CY3" s="2653">
        <v>42460</v>
      </c>
      <c r="CZ3" s="2653">
        <v>42551</v>
      </c>
      <c r="DA3" s="2653">
        <v>42643</v>
      </c>
      <c r="DB3" s="2653">
        <v>42735</v>
      </c>
      <c r="DC3" s="2653">
        <v>42825</v>
      </c>
      <c r="DD3" s="2653">
        <v>42916</v>
      </c>
      <c r="DE3" s="2653">
        <v>43008</v>
      </c>
      <c r="DF3" s="2653">
        <v>43100</v>
      </c>
      <c r="DG3" s="2653">
        <v>43190</v>
      </c>
      <c r="DH3" s="2653">
        <v>43281</v>
      </c>
      <c r="DI3" s="2653">
        <v>43373</v>
      </c>
      <c r="DJ3" s="2653">
        <v>43465</v>
      </c>
      <c r="DK3" s="2653">
        <v>43555</v>
      </c>
      <c r="DL3" s="2653">
        <v>43646</v>
      </c>
      <c r="DM3" s="2653">
        <v>43738</v>
      </c>
      <c r="DN3" s="2653">
        <v>43830</v>
      </c>
      <c r="DO3" s="2653">
        <v>43921</v>
      </c>
      <c r="DP3" s="2653">
        <v>44012</v>
      </c>
      <c r="DQ3" s="2653">
        <v>44104</v>
      </c>
      <c r="DR3" s="2653">
        <v>44196</v>
      </c>
      <c r="DS3" s="2653">
        <v>44286</v>
      </c>
      <c r="DT3" s="2653">
        <v>44377</v>
      </c>
      <c r="DU3" s="2653">
        <v>44469</v>
      </c>
      <c r="DV3" s="2653">
        <v>44561</v>
      </c>
      <c r="DW3" s="2653">
        <v>44651</v>
      </c>
      <c r="DX3" s="2653">
        <v>44742</v>
      </c>
      <c r="DY3" s="2653">
        <v>44834</v>
      </c>
      <c r="DZ3" s="2653">
        <v>44926</v>
      </c>
      <c r="EA3" s="2653">
        <v>45016</v>
      </c>
      <c r="EB3" s="2653">
        <v>45107</v>
      </c>
      <c r="EC3" s="2653">
        <v>45199</v>
      </c>
      <c r="ED3" s="2653">
        <v>45291</v>
      </c>
      <c r="EE3" s="2653">
        <v>45382</v>
      </c>
      <c r="EF3" s="2653">
        <v>45473</v>
      </c>
      <c r="EG3" s="2653">
        <v>45565</v>
      </c>
      <c r="EH3" s="2653">
        <v>45657</v>
      </c>
      <c r="EI3" s="2653">
        <v>45747</v>
      </c>
      <c r="EJ3" s="2653">
        <v>45838</v>
      </c>
      <c r="EK3" s="2653">
        <v>45930</v>
      </c>
      <c r="EL3" s="2653">
        <v>46022</v>
      </c>
      <c r="EM3" s="2653">
        <v>46112</v>
      </c>
      <c r="EN3" s="2653">
        <v>46203</v>
      </c>
      <c r="EO3" s="2653">
        <v>46295</v>
      </c>
      <c r="EP3" s="2653">
        <v>46387</v>
      </c>
      <c r="EQ3" s="2653">
        <v>46477</v>
      </c>
      <c r="ER3" s="2653">
        <v>46568</v>
      </c>
      <c r="ES3" s="2653">
        <v>46660</v>
      </c>
      <c r="ET3" s="2653">
        <v>46752</v>
      </c>
      <c r="EU3" s="2653">
        <v>46843</v>
      </c>
      <c r="EV3" s="2653">
        <v>46934</v>
      </c>
      <c r="EW3" s="2653">
        <v>47026</v>
      </c>
      <c r="EX3" s="2653">
        <v>47118</v>
      </c>
      <c r="EY3" s="2653">
        <v>47208</v>
      </c>
      <c r="EZ3" s="2653">
        <v>47299</v>
      </c>
      <c r="FA3" s="2653">
        <v>47391</v>
      </c>
      <c r="FB3" s="2653">
        <v>47483</v>
      </c>
      <c r="FC3" s="2653">
        <v>47573</v>
      </c>
      <c r="FD3" s="2653">
        <v>47664</v>
      </c>
      <c r="FE3" s="2653">
        <v>47756</v>
      </c>
    </row>
    <row r="4" spans="1:161" s="2654" customFormat="1">
      <c r="A4" s="2670" t="s">
        <v>173</v>
      </c>
      <c r="B4" s="2670"/>
      <c r="C4" s="2670"/>
      <c r="D4" s="2670"/>
    </row>
    <row r="5" spans="1:161" s="539" customFormat="1" outlineLevel="1">
      <c r="A5" s="540" t="s">
        <v>234</v>
      </c>
      <c r="B5" s="540"/>
      <c r="C5" s="540"/>
      <c r="D5" s="540"/>
    </row>
    <row r="6" spans="1:161" outlineLevel="2">
      <c r="B6" t="s">
        <v>235</v>
      </c>
      <c r="C6" t="s">
        <v>235</v>
      </c>
      <c r="E6" s="2671" t="s">
        <v>236</v>
      </c>
    </row>
    <row r="7" spans="1:161" outlineLevel="2">
      <c r="B7" t="s">
        <v>237</v>
      </c>
      <c r="C7" t="s">
        <v>238</v>
      </c>
      <c r="E7" s="2671" t="s">
        <v>239</v>
      </c>
    </row>
    <row r="8" spans="1:161" s="539" customFormat="1" outlineLevel="1">
      <c r="A8" s="540" t="s">
        <v>240</v>
      </c>
      <c r="B8" s="540"/>
      <c r="C8" s="540"/>
      <c r="D8" s="540"/>
    </row>
    <row r="9" spans="1:161" outlineLevel="2">
      <c r="B9" t="s">
        <v>871</v>
      </c>
      <c r="C9" t="s">
        <v>241</v>
      </c>
      <c r="E9" s="2655">
        <v>3</v>
      </c>
    </row>
    <row r="10" spans="1:161" s="539" customFormat="1" outlineLevel="1">
      <c r="A10" s="540" t="s">
        <v>242</v>
      </c>
      <c r="B10" s="540"/>
      <c r="C10" s="540"/>
      <c r="D10" s="540"/>
    </row>
    <row r="11" spans="1:161" outlineLevel="2">
      <c r="B11" t="s">
        <v>243</v>
      </c>
      <c r="C11" t="s">
        <v>244</v>
      </c>
      <c r="D11" t="str">
        <f t="shared" ref="D11:D30" si="0">E_CURRENCY_ISSR_208000149_REP</f>
      </c>
      <c r="F11" s="2656">
        <f>'Income Statement'!EQ9</f>
      </c>
      <c r="G11" s="2656">
        <f>'Income Statement'!ER9</f>
      </c>
      <c r="H11" s="2656">
        <f>'Income Statement'!ES9</f>
      </c>
      <c r="I11" s="2656">
        <f>'Income Statement'!ET9</f>
      </c>
      <c r="J11" s="2656">
        <f>'Income Statement'!EU9</f>
      </c>
      <c r="K11" s="2656">
        <f>'Income Statement'!EV9</f>
      </c>
      <c r="L11" s="2656">
        <f>'Income Statement'!EW9</f>
      </c>
      <c r="M11" s="2656">
        <f>'Income Statement'!EX9</f>
      </c>
      <c r="N11" s="2656">
        <f>'Income Statement'!EY9</f>
      </c>
      <c r="O11" s="2656">
        <f>'Income Statement'!EZ9</f>
      </c>
      <c r="P11" s="2656">
        <f>'Income Statement'!FA9</f>
      </c>
      <c r="Q11" s="2656">
        <f>'Income Statement'!FB9</f>
      </c>
      <c r="R11" s="2656">
        <f>'Income Statement'!FC9</f>
      </c>
      <c r="S11" s="2656">
        <f>'Income Statement'!FD9</f>
      </c>
      <c r="T11" s="2656">
        <f>'Income Statement'!FE9</f>
      </c>
      <c r="U11" s="2656">
        <f>'Income Statement'!FF9</f>
      </c>
      <c r="V11" s="2656">
        <f>'Income Statement'!FG9</f>
      </c>
      <c r="W11" s="2656">
        <f>'Income Statement'!FH9</f>
      </c>
      <c r="X11" s="2656">
        <f>'Income Statement'!FI9</f>
      </c>
      <c r="Y11" s="2656">
        <f>'Income Statement'!FJ9</f>
      </c>
      <c r="Z11" s="2656">
        <f>'Income Statement'!FK9</f>
      </c>
      <c r="AA11" s="2656">
        <f>'Income Statement'!FL9</f>
      </c>
      <c r="AB11" s="2656">
        <f>'Income Statement'!FM9</f>
      </c>
      <c r="AC11" s="2656">
        <f>'Income Statement'!FN9</f>
      </c>
      <c r="AD11" s="2656">
        <f>'Income Statement'!FO9</f>
      </c>
      <c r="AE11" s="2656">
        <f>'Income Statement'!FP9</f>
      </c>
      <c r="AF11" s="2656">
        <f>'Income Statement'!FQ9</f>
      </c>
      <c r="AG11" s="2656">
        <f>'Income Statement'!FR9</f>
      </c>
      <c r="AH11" s="2656">
        <f>'Income Statement'!FS9</f>
      </c>
      <c r="AI11" s="2656">
        <f>'Income Statement'!FT9</f>
      </c>
      <c r="AJ11" s="2656">
        <f>'Income Statement'!FU9</f>
      </c>
      <c r="AK11" s="2656"/>
      <c r="AL11" s="2656">
        <f>'Income Statement'!R9</f>
      </c>
      <c r="AM11" s="2656">
        <f>'Income Statement'!S9</f>
      </c>
      <c r="AN11" s="2656">
        <f>'Income Statement'!T9</f>
      </c>
      <c r="AO11" s="2656">
        <f>'Income Statement'!U9</f>
      </c>
      <c r="AP11" s="2656">
        <f>'Income Statement'!V9</f>
      </c>
      <c r="AQ11" s="2656">
        <f>'Income Statement'!W9</f>
      </c>
      <c r="AR11" s="2656">
        <f>'Income Statement'!X9</f>
      </c>
      <c r="AS11" s="2656">
        <f>'Income Statement'!Y9</f>
      </c>
      <c r="AT11" s="2656">
        <f>'Income Statement'!Z9</f>
      </c>
      <c r="AU11" s="2656">
        <f>'Income Statement'!AA9</f>
      </c>
      <c r="AV11" s="2656">
        <f>'Income Statement'!AB9</f>
      </c>
      <c r="AW11" s="2656">
        <f>'Income Statement'!AC9</f>
      </c>
      <c r="AX11" s="2656">
        <f>'Income Statement'!AD9</f>
      </c>
      <c r="AY11" s="2656">
        <f>'Income Statement'!AE9</f>
      </c>
      <c r="AZ11" s="2656">
        <f>'Income Statement'!AF9</f>
      </c>
      <c r="BA11" s="2656">
        <f>'Income Statement'!AG9</f>
      </c>
      <c r="BB11" s="2656">
        <f>'Income Statement'!AH9</f>
      </c>
      <c r="BC11" s="2656">
        <f>'Income Statement'!AI9</f>
      </c>
      <c r="BD11" s="2656">
        <f>'Income Statement'!AJ9</f>
      </c>
      <c r="BE11" s="2656">
        <f>'Income Statement'!AK9</f>
      </c>
      <c r="BF11" s="2656">
        <f>'Income Statement'!AL9</f>
      </c>
      <c r="BG11" s="2656">
        <f>'Income Statement'!AM9</f>
      </c>
      <c r="BH11" s="2656">
        <f>'Income Statement'!AN9</f>
      </c>
      <c r="BI11" s="2656">
        <f>'Income Statement'!AO9</f>
      </c>
      <c r="BJ11" s="2656">
        <f>'Income Statement'!AP9</f>
      </c>
      <c r="BK11" s="2656">
        <f>'Income Statement'!AQ9</f>
      </c>
      <c r="BL11" s="2656">
        <f>'Income Statement'!AR9</f>
      </c>
      <c r="BM11" s="2656">
        <f>'Income Statement'!AS9</f>
      </c>
      <c r="BN11" s="2656">
        <f>'Income Statement'!AT9</f>
      </c>
      <c r="BO11" s="2656">
        <f>'Income Statement'!AU9</f>
      </c>
      <c r="BP11" s="2656">
        <f>'Income Statement'!AV9</f>
      </c>
      <c r="BQ11" s="2656">
        <f>'Income Statement'!AW9</f>
      </c>
      <c r="BR11" s="2656">
        <f>'Income Statement'!AX9</f>
      </c>
      <c r="BS11" s="2656">
        <f>'Income Statement'!AY9</f>
      </c>
      <c r="BT11" s="2656">
        <f>'Income Statement'!AZ9</f>
      </c>
      <c r="BU11" s="2656">
        <f>'Income Statement'!BA9</f>
      </c>
      <c r="BV11" s="2656">
        <f>'Income Statement'!BB9</f>
      </c>
      <c r="BW11" s="2656">
        <f>'Income Statement'!BC9</f>
      </c>
      <c r="BX11" s="2656">
        <f>'Income Statement'!BD9</f>
      </c>
      <c r="BY11" s="2656">
        <f>'Income Statement'!BE9</f>
      </c>
      <c r="BZ11" s="2656">
        <f>'Income Statement'!BF9</f>
      </c>
      <c r="CA11" s="2656">
        <f>'Income Statement'!BG9</f>
      </c>
      <c r="CB11" s="2656">
        <f>'Income Statement'!BH9</f>
      </c>
      <c r="CC11" s="2656">
        <f>'Income Statement'!BI9</f>
      </c>
      <c r="CD11" s="2656">
        <f>'Income Statement'!BJ9</f>
      </c>
      <c r="CE11" s="2656">
        <f>'Income Statement'!BK9</f>
      </c>
      <c r="CF11" s="2656">
        <f>'Income Statement'!BL9</f>
      </c>
      <c r="CG11" s="2656">
        <f>'Income Statement'!BM9</f>
      </c>
      <c r="CH11" s="2656">
        <f>'Income Statement'!BN9</f>
      </c>
      <c r="CI11" s="2656">
        <f>'Income Statement'!BO9</f>
      </c>
      <c r="CJ11" s="2656">
        <f>'Income Statement'!BP9</f>
      </c>
      <c r="CK11" s="2656">
        <f>'Income Statement'!BQ9</f>
      </c>
      <c r="CL11" s="2656">
        <f>'Income Statement'!BR9</f>
      </c>
      <c r="CM11" s="2656">
        <f>'Income Statement'!BS9</f>
      </c>
      <c r="CN11" s="2656">
        <f>'Income Statement'!BT9</f>
      </c>
      <c r="CO11" s="2656">
        <f>'Income Statement'!BU9</f>
      </c>
      <c r="CP11" s="2656">
        <f>'Income Statement'!BV9</f>
      </c>
      <c r="CQ11" s="2656">
        <f>'Income Statement'!BW9</f>
      </c>
      <c r="CR11" s="2656">
        <f>'Income Statement'!BX9</f>
      </c>
      <c r="CS11" s="2656">
        <f>'Income Statement'!BY9</f>
      </c>
      <c r="CT11" s="2656">
        <f>'Income Statement'!BZ9</f>
      </c>
      <c r="CU11" s="2656">
        <f>'Income Statement'!CA9</f>
      </c>
      <c r="CV11" s="2656">
        <f>'Income Statement'!CB9</f>
      </c>
      <c r="CW11" s="2656">
        <f>'Income Statement'!CC9</f>
      </c>
      <c r="CX11" s="2656">
        <f>'Income Statement'!CD9</f>
      </c>
      <c r="CY11" s="2656">
        <f>'Income Statement'!CE9</f>
      </c>
      <c r="CZ11" s="2656">
        <f>'Income Statement'!CF9</f>
      </c>
      <c r="DA11" s="2656">
        <f>'Income Statement'!CG9</f>
      </c>
      <c r="DB11" s="2656">
        <f>'Income Statement'!CH9</f>
      </c>
      <c r="DC11" s="2656">
        <f>'Income Statement'!CI9</f>
      </c>
      <c r="DD11" s="2656">
        <f>'Income Statement'!CJ9</f>
      </c>
      <c r="DE11" s="2656">
        <f>'Income Statement'!CK9</f>
      </c>
      <c r="DF11" s="2656">
        <f>'Income Statement'!CL9</f>
      </c>
      <c r="DG11" s="2656">
        <f>'Income Statement'!CM9</f>
      </c>
      <c r="DH11" s="2656">
        <f>'Income Statement'!CN9</f>
      </c>
      <c r="DI11" s="2656">
        <f>'Income Statement'!CO9</f>
      </c>
      <c r="DJ11" s="2656">
        <f>'Income Statement'!CP9</f>
      </c>
      <c r="DK11" s="2656">
        <f>'Income Statement'!CQ9</f>
      </c>
      <c r="DL11" s="2656">
        <f>'Income Statement'!CR9</f>
      </c>
      <c r="DM11" s="2656">
        <f>'Income Statement'!CS9</f>
      </c>
      <c r="DN11" s="2656">
        <f>'Income Statement'!CT9</f>
      </c>
      <c r="DO11" s="2656">
        <f>'Income Statement'!CU9</f>
      </c>
      <c r="DP11" s="2656">
        <f>'Income Statement'!CV9</f>
      </c>
      <c r="DQ11" s="2656">
        <f>'Income Statement'!CW9</f>
      </c>
      <c r="DR11" s="2656">
        <f>'Income Statement'!CX9</f>
      </c>
      <c r="DS11" s="2656">
        <f>'Income Statement'!CY9</f>
      </c>
      <c r="DT11" s="2656">
        <f>'Income Statement'!CZ9</f>
      </c>
      <c r="DU11" s="2656">
        <f>'Income Statement'!DA9</f>
      </c>
      <c r="DV11" s="2656">
        <f>'Income Statement'!DB9</f>
      </c>
      <c r="DW11" s="2656">
        <f>'Income Statement'!DC9</f>
      </c>
      <c r="DX11" s="2656">
        <f>'Income Statement'!DD9</f>
      </c>
      <c r="DY11" s="2656">
        <f>'Income Statement'!DE9</f>
      </c>
      <c r="DZ11" s="2656">
        <f>'Income Statement'!DF9</f>
      </c>
      <c r="EA11" s="2656">
        <f>'Income Statement'!DG9</f>
      </c>
      <c r="EB11" s="2656">
        <f>'Income Statement'!DH9</f>
      </c>
      <c r="EC11" s="2656">
        <f>'Income Statement'!DI9</f>
      </c>
      <c r="ED11" s="2656">
        <f>'Income Statement'!DJ9</f>
      </c>
      <c r="EE11" s="2656">
        <f>'Income Statement'!DK9</f>
      </c>
      <c r="EF11" s="2656">
        <f>'Income Statement'!DL9</f>
      </c>
      <c r="EG11" s="2656">
        <f>'Income Statement'!DM9</f>
      </c>
      <c r="EH11" s="2656">
        <f>'Income Statement'!DN9</f>
      </c>
      <c r="EI11" s="2656">
        <f>'Income Statement'!DO9</f>
      </c>
      <c r="EJ11" s="2656">
        <f>'Income Statement'!DP9</f>
      </c>
      <c r="EK11" s="2656">
        <f>'Income Statement'!DQ9</f>
      </c>
      <c r="EL11" s="2656">
        <f>'Income Statement'!DR9</f>
      </c>
      <c r="EM11" s="2656">
        <f>'Income Statement'!DS9</f>
      </c>
      <c r="EN11" s="2656">
        <f>'Income Statement'!DT9</f>
      </c>
      <c r="EO11" s="2656">
        <f>'Income Statement'!DU9</f>
      </c>
      <c r="EP11" s="2656">
        <f>'Income Statement'!DV9</f>
      </c>
      <c r="EQ11" s="2656">
        <f>'Income Statement'!DW9</f>
      </c>
      <c r="ER11" s="2656">
        <f>'Income Statement'!DX9</f>
      </c>
      <c r="ES11" s="2656">
        <f>'Income Statement'!DY9</f>
      </c>
      <c r="ET11" s="2656">
        <f>'Income Statement'!DZ9</f>
      </c>
      <c r="EU11" s="2656">
        <f>'Income Statement'!EA9</f>
      </c>
      <c r="EV11" s="2656">
        <f>'Income Statement'!EB9</f>
      </c>
      <c r="EW11" s="2656">
        <f>'Income Statement'!EC9</f>
      </c>
      <c r="EX11" s="2656">
        <f>'Income Statement'!ED9</f>
      </c>
      <c r="EY11" s="2656">
        <f>'Income Statement'!EE9</f>
      </c>
      <c r="EZ11" s="2656">
        <f>'Income Statement'!EF9</f>
      </c>
      <c r="FA11" s="2656">
        <f>'Income Statement'!EG9</f>
      </c>
      <c r="FB11" s="2656">
        <f>'Income Statement'!EH9</f>
      </c>
      <c r="FC11" s="2656">
        <f>'Income Statement'!EI9</f>
      </c>
      <c r="FD11" s="2656">
        <f>'Income Statement'!EJ9</f>
      </c>
      <c r="FE11" s="2656">
        <f>'Income Statement'!EK9</f>
      </c>
    </row>
    <row r="12" spans="1:161" outlineLevel="2">
      <c r="B12" t="s">
        <v>245</v>
      </c>
      <c r="C12" t="s">
        <v>246</v>
      </c>
      <c r="D12" t="str">
        <f t="shared" si="0"/>
      </c>
      <c r="F12" s="2657">
        <f>-'Income Statement'!EQ10</f>
      </c>
      <c r="G12" s="2657">
        <f>-'Income Statement'!ER10</f>
      </c>
      <c r="H12" s="2657">
        <f>-'Income Statement'!ES10</f>
      </c>
      <c r="I12" s="2657">
        <f>-'Income Statement'!ET10</f>
      </c>
      <c r="J12" s="2657">
        <f>-'Income Statement'!EU10</f>
      </c>
      <c r="K12" s="2657">
        <f>-'Income Statement'!EV10</f>
      </c>
      <c r="L12" s="2657">
        <f>-'Income Statement'!EW10</f>
      </c>
      <c r="M12" s="2657">
        <f>-'Income Statement'!EX10</f>
      </c>
      <c r="N12" s="2657">
        <f>-'Income Statement'!EY10</f>
      </c>
      <c r="O12" s="2657">
        <f>-'Income Statement'!EZ10</f>
      </c>
      <c r="P12" s="2657">
        <f>-'Income Statement'!FA10</f>
      </c>
      <c r="Q12" s="2657">
        <f>-'Income Statement'!FB10</f>
      </c>
      <c r="R12" s="2657">
        <f>-'Income Statement'!FC10</f>
      </c>
      <c r="S12" s="2657">
        <f>-'Income Statement'!FD10</f>
      </c>
      <c r="T12" s="2657">
        <f>-'Income Statement'!FE10</f>
      </c>
      <c r="U12" s="2657">
        <f>-'Income Statement'!FF10</f>
      </c>
      <c r="V12" s="2657">
        <f>-'Income Statement'!FG10</f>
      </c>
      <c r="W12" s="2657">
        <f>-'Income Statement'!FH10</f>
      </c>
      <c r="X12" s="2657">
        <f>-'Income Statement'!FI10</f>
      </c>
      <c r="Y12" s="2657">
        <f>-'Income Statement'!FJ10</f>
      </c>
      <c r="Z12" s="2657">
        <f>-'Income Statement'!FK10</f>
      </c>
      <c r="AA12" s="2657">
        <f>-'Income Statement'!FL10</f>
      </c>
      <c r="AB12" s="2657">
        <f>-'Income Statement'!FM10</f>
      </c>
      <c r="AC12" s="2657">
        <f>-'Income Statement'!FN10</f>
      </c>
      <c r="AD12" s="2657">
        <f>-'Income Statement'!FO10</f>
      </c>
      <c r="AE12" s="2657">
        <f>-'Income Statement'!FP10</f>
      </c>
      <c r="AF12" s="2657">
        <f>-'Income Statement'!FQ10</f>
      </c>
      <c r="AG12" s="2657">
        <f>-'Income Statement'!FR10</f>
      </c>
      <c r="AH12" s="2657">
        <f>-'Income Statement'!FS10</f>
      </c>
      <c r="AI12" s="2657">
        <f>-'Income Statement'!FT10</f>
      </c>
      <c r="AJ12" s="2657">
        <f>-'Income Statement'!FU10</f>
      </c>
      <c r="AK12" s="2657"/>
      <c r="AL12" s="2657">
        <f>-'Income Statement'!R10</f>
      </c>
      <c r="AM12" s="2657">
        <f>-'Income Statement'!S10</f>
      </c>
      <c r="AN12" s="2657">
        <f>-'Income Statement'!T10</f>
      </c>
      <c r="AO12" s="2657">
        <f>-'Income Statement'!U10</f>
      </c>
      <c r="AP12" s="2657">
        <f>-'Income Statement'!V10</f>
      </c>
      <c r="AQ12" s="2657">
        <f>-'Income Statement'!W10</f>
      </c>
      <c r="AR12" s="2657">
        <f>-'Income Statement'!X10</f>
      </c>
      <c r="AS12" s="2657">
        <f>-'Income Statement'!Y10</f>
      </c>
      <c r="AT12" s="2657">
        <f>-'Income Statement'!Z10</f>
      </c>
      <c r="AU12" s="2657">
        <f>-'Income Statement'!AA10</f>
      </c>
      <c r="AV12" s="2657">
        <f>-'Income Statement'!AB10</f>
      </c>
      <c r="AW12" s="2657">
        <f>-'Income Statement'!AC10</f>
      </c>
      <c r="AX12" s="2657">
        <f>-'Income Statement'!AD10</f>
      </c>
      <c r="AY12" s="2657">
        <f>-'Income Statement'!AE10</f>
      </c>
      <c r="AZ12" s="2657">
        <f>-'Income Statement'!AF10</f>
      </c>
      <c r="BA12" s="2657">
        <f>-'Income Statement'!AG10</f>
      </c>
      <c r="BB12" s="2657">
        <f>-'Income Statement'!AH10</f>
      </c>
      <c r="BC12" s="2657">
        <f>-'Income Statement'!AI10</f>
      </c>
      <c r="BD12" s="2657">
        <f>-'Income Statement'!AJ10</f>
      </c>
      <c r="BE12" s="2657">
        <f>-'Income Statement'!AK10</f>
      </c>
      <c r="BF12" s="2657">
        <f>-'Income Statement'!AL10</f>
      </c>
      <c r="BG12" s="2657">
        <f>-'Income Statement'!AM10</f>
      </c>
      <c r="BH12" s="2657">
        <f>-'Income Statement'!AN10</f>
      </c>
      <c r="BI12" s="2657">
        <f>-'Income Statement'!AO10</f>
      </c>
      <c r="BJ12" s="2657">
        <f>-'Income Statement'!AP10</f>
      </c>
      <c r="BK12" s="2657">
        <f>-'Income Statement'!AQ10</f>
      </c>
      <c r="BL12" s="2657">
        <f>-'Income Statement'!AR10</f>
      </c>
      <c r="BM12" s="2657">
        <f>-'Income Statement'!AS10</f>
      </c>
      <c r="BN12" s="2657">
        <f>-'Income Statement'!AT10</f>
      </c>
      <c r="BO12" s="2657">
        <f>-'Income Statement'!AU10</f>
      </c>
      <c r="BP12" s="2657">
        <f>-'Income Statement'!AV10</f>
      </c>
      <c r="BQ12" s="2657">
        <f>-'Income Statement'!AW10</f>
      </c>
      <c r="BR12" s="2657">
        <f>-'Income Statement'!AX10</f>
      </c>
      <c r="BS12" s="2657">
        <f>-'Income Statement'!AY10</f>
      </c>
      <c r="BT12" s="2657">
        <f>-'Income Statement'!AZ10</f>
      </c>
      <c r="BU12" s="2657">
        <f>-'Income Statement'!BA10</f>
      </c>
      <c r="BV12" s="2657">
        <f>-'Income Statement'!BB10</f>
      </c>
      <c r="BW12" s="2657">
        <f>-'Income Statement'!BC10</f>
      </c>
      <c r="BX12" s="2657">
        <f>-'Income Statement'!BD10</f>
      </c>
      <c r="BY12" s="2657">
        <f>-'Income Statement'!BE10</f>
      </c>
      <c r="BZ12" s="2657">
        <f>-'Income Statement'!BF10</f>
      </c>
      <c r="CA12" s="2657">
        <f>-'Income Statement'!BG10</f>
      </c>
      <c r="CB12" s="2657">
        <f>-'Income Statement'!BH10</f>
      </c>
      <c r="CC12" s="2657">
        <f>-'Income Statement'!BI10</f>
      </c>
      <c r="CD12" s="2657">
        <f>-'Income Statement'!BJ10</f>
      </c>
      <c r="CE12" s="2657">
        <f>-'Income Statement'!BK10</f>
      </c>
      <c r="CF12" s="2657">
        <f>-'Income Statement'!BL10</f>
      </c>
      <c r="CG12" s="2657">
        <f>-'Income Statement'!BM10</f>
      </c>
      <c r="CH12" s="2657">
        <f>-'Income Statement'!BN10</f>
      </c>
      <c r="CI12" s="2657">
        <f>-'Income Statement'!BO10</f>
      </c>
      <c r="CJ12" s="2657">
        <f>-'Income Statement'!BP10</f>
      </c>
      <c r="CK12" s="2657">
        <f>-'Income Statement'!BQ10</f>
      </c>
      <c r="CL12" s="2657">
        <f>-'Income Statement'!BR10</f>
      </c>
      <c r="CM12" s="2657">
        <f>-'Income Statement'!BS10</f>
      </c>
      <c r="CN12" s="2657">
        <f>-'Income Statement'!BT10</f>
      </c>
      <c r="CO12" s="2657">
        <f>-'Income Statement'!BU10</f>
      </c>
      <c r="CP12" s="2657">
        <f>-'Income Statement'!BV10</f>
      </c>
      <c r="CQ12" s="2657">
        <f>-'Income Statement'!BW10</f>
      </c>
      <c r="CR12" s="2657">
        <f>-'Income Statement'!BX10</f>
      </c>
      <c r="CS12" s="2657">
        <f>-'Income Statement'!BY10</f>
      </c>
      <c r="CT12" s="2657">
        <f>-'Income Statement'!BZ10</f>
      </c>
      <c r="CU12" s="2657">
        <f>-'Income Statement'!CA10</f>
      </c>
      <c r="CV12" s="2657">
        <f>-'Income Statement'!CB10</f>
      </c>
      <c r="CW12" s="2657">
        <f>-'Income Statement'!CC10</f>
      </c>
      <c r="CX12" s="2657">
        <f>-'Income Statement'!CD10</f>
      </c>
      <c r="CY12" s="2657">
        <f>-'Income Statement'!CE10</f>
      </c>
      <c r="CZ12" s="2657">
        <f>-'Income Statement'!CF10</f>
      </c>
      <c r="DA12" s="2657">
        <f>-'Income Statement'!CG10</f>
      </c>
      <c r="DB12" s="2657">
        <f>-'Income Statement'!CH10</f>
      </c>
      <c r="DC12" s="2657">
        <f>-'Income Statement'!CI10</f>
      </c>
      <c r="DD12" s="2657">
        <f>-'Income Statement'!CJ10</f>
      </c>
      <c r="DE12" s="2657">
        <f>-'Income Statement'!CK10</f>
      </c>
      <c r="DF12" s="2657">
        <f>-'Income Statement'!CL10</f>
      </c>
      <c r="DG12" s="2657">
        <f>-'Income Statement'!CM10</f>
      </c>
      <c r="DH12" s="2657">
        <f>-'Income Statement'!CN10</f>
      </c>
      <c r="DI12" s="2657">
        <f>-'Income Statement'!CO10</f>
      </c>
      <c r="DJ12" s="2657">
        <f>-'Income Statement'!CP10</f>
      </c>
      <c r="DK12" s="2657">
        <f>-'Income Statement'!CQ10</f>
      </c>
      <c r="DL12" s="2657">
        <f>-'Income Statement'!CR10</f>
      </c>
      <c r="DM12" s="2657">
        <f>-'Income Statement'!CS10</f>
      </c>
      <c r="DN12" s="2657">
        <f>-'Income Statement'!CT10</f>
      </c>
      <c r="DO12" s="2657">
        <f>-'Income Statement'!CU10</f>
      </c>
      <c r="DP12" s="2657">
        <f>-'Income Statement'!CV10</f>
      </c>
      <c r="DQ12" s="2657">
        <f>-'Income Statement'!CW10</f>
      </c>
      <c r="DR12" s="2657">
        <f>-'Income Statement'!CX10</f>
      </c>
      <c r="DS12" s="2657">
        <f>-'Income Statement'!CY10</f>
      </c>
      <c r="DT12" s="2657">
        <f>-'Income Statement'!CZ10</f>
      </c>
      <c r="DU12" s="2657">
        <f>-'Income Statement'!DA10</f>
      </c>
      <c r="DV12" s="2657">
        <f>-'Income Statement'!DB10</f>
      </c>
      <c r="DW12" s="2657">
        <f>-'Income Statement'!DC10</f>
      </c>
      <c r="DX12" s="2657">
        <f>-'Income Statement'!DD10</f>
      </c>
      <c r="DY12" s="2657">
        <f>-'Income Statement'!DE10</f>
      </c>
      <c r="DZ12" s="2657">
        <f>-'Income Statement'!DF10</f>
      </c>
      <c r="EA12" s="2657">
        <f>-'Income Statement'!DG10</f>
      </c>
      <c r="EB12" s="2657">
        <f>-'Income Statement'!DH10</f>
      </c>
      <c r="EC12" s="2657">
        <f>-'Income Statement'!DI10</f>
      </c>
      <c r="ED12" s="2657">
        <f>-'Income Statement'!DJ10</f>
      </c>
      <c r="EE12" s="2657">
        <f>-'Income Statement'!DK10</f>
      </c>
      <c r="EF12" s="2657">
        <f>-'Income Statement'!DL10</f>
      </c>
      <c r="EG12" s="2657">
        <f>-'Income Statement'!DM10</f>
      </c>
      <c r="EH12" s="2657">
        <f>-'Income Statement'!DN10</f>
      </c>
      <c r="EI12" s="2657">
        <f>-'Income Statement'!DO10</f>
      </c>
      <c r="EJ12" s="2657">
        <f>-'Income Statement'!DP10</f>
      </c>
      <c r="EK12" s="2657">
        <f>-'Income Statement'!DQ10</f>
      </c>
      <c r="EL12" s="2657">
        <f>-'Income Statement'!DR10</f>
      </c>
      <c r="EM12" s="2657">
        <f>-'Income Statement'!DS10</f>
      </c>
      <c r="EN12" s="2657">
        <f>-'Income Statement'!DT10</f>
      </c>
      <c r="EO12" s="2657">
        <f>-'Income Statement'!DU10</f>
      </c>
      <c r="EP12" s="2657">
        <f>-'Income Statement'!DV10</f>
      </c>
      <c r="EQ12" s="2657">
        <f>-'Income Statement'!DW10</f>
      </c>
      <c r="ER12" s="2657">
        <f>-'Income Statement'!DX10</f>
      </c>
      <c r="ES12" s="2657">
        <f>-'Income Statement'!DY10</f>
      </c>
      <c r="ET12" s="2657">
        <f>-'Income Statement'!DZ10</f>
      </c>
      <c r="EU12" s="2657">
        <f>-'Income Statement'!EA10</f>
      </c>
      <c r="EV12" s="2657">
        <f>-'Income Statement'!EB10</f>
      </c>
      <c r="EW12" s="2657">
        <f>-'Income Statement'!EC10</f>
      </c>
      <c r="EX12" s="2657">
        <f>-'Income Statement'!ED10</f>
      </c>
      <c r="EY12" s="2657">
        <f>-'Income Statement'!EE10</f>
      </c>
      <c r="EZ12" s="2657">
        <f>-'Income Statement'!EF10</f>
      </c>
      <c r="FA12" s="2657">
        <f>-'Income Statement'!EG10</f>
      </c>
      <c r="FB12" s="2657">
        <f>-'Income Statement'!EH10</f>
      </c>
      <c r="FC12" s="2657">
        <f>-'Income Statement'!EI10</f>
      </c>
      <c r="FD12" s="2657">
        <f>-'Income Statement'!EJ10</f>
      </c>
      <c r="FE12" s="2657">
        <f>-'Income Statement'!EK10</f>
      </c>
    </row>
    <row r="13" spans="1:161" outlineLevel="2">
      <c r="B13" t="s">
        <v>247</v>
      </c>
      <c r="C13" t="s">
        <v>248</v>
      </c>
      <c r="D13" t="str">
        <f t="shared" si="0"/>
      </c>
      <c r="F13" s="2657">
        <f>-'Income Statement'!EQ13</f>
      </c>
      <c r="G13" s="2657">
        <f>-'Income Statement'!ER13</f>
      </c>
      <c r="H13" s="2657">
        <f>-'Income Statement'!ES13</f>
      </c>
      <c r="I13" s="2657">
        <f>-'Income Statement'!ET13</f>
      </c>
      <c r="J13" s="2657">
        <f>-'Income Statement'!EU13</f>
      </c>
      <c r="K13" s="2657">
        <f>-'Income Statement'!EV13</f>
      </c>
      <c r="L13" s="2657">
        <f>-'Income Statement'!EW13</f>
      </c>
      <c r="M13" s="2657">
        <f>-'Income Statement'!EX13</f>
      </c>
      <c r="N13" s="2657">
        <f>-'Income Statement'!EY13</f>
      </c>
      <c r="O13" s="2657">
        <f>-'Income Statement'!EZ13</f>
      </c>
      <c r="P13" s="2657">
        <f>-'Income Statement'!FA13</f>
      </c>
      <c r="Q13" s="2657">
        <f>-'Income Statement'!FB13</f>
      </c>
      <c r="R13" s="2657">
        <f>-'Income Statement'!FC13</f>
      </c>
      <c r="S13" s="2657">
        <f>-'Income Statement'!FD13</f>
      </c>
      <c r="T13" s="2657">
        <f>-'Income Statement'!FE13</f>
      </c>
      <c r="U13" s="2657">
        <f>-'Income Statement'!FF13</f>
      </c>
      <c r="V13" s="2657">
        <f>-'Income Statement'!FG13</f>
      </c>
      <c r="W13" s="2657">
        <f>-'Income Statement'!FH13</f>
      </c>
      <c r="X13" s="2657">
        <f>-'Income Statement'!FI13</f>
      </c>
      <c r="Y13" s="2657">
        <f>-'Income Statement'!FJ13</f>
      </c>
      <c r="Z13" s="2657">
        <f>-'Income Statement'!FK13</f>
      </c>
      <c r="AA13" s="2657">
        <f>-'Income Statement'!FL13</f>
      </c>
      <c r="AB13" s="2657">
        <f>-'Income Statement'!FM13</f>
      </c>
      <c r="AC13" s="2657">
        <f>-'Income Statement'!FN13</f>
      </c>
      <c r="AD13" s="2657">
        <f>-'Income Statement'!FO13</f>
      </c>
      <c r="AE13" s="2657">
        <f>-'Income Statement'!FP13</f>
      </c>
      <c r="AF13" s="2657">
        <f>-'Income Statement'!FQ13</f>
      </c>
      <c r="AG13" s="2657">
        <f>-'Income Statement'!FR13</f>
      </c>
      <c r="AH13" s="2657">
        <f>-'Income Statement'!FS13</f>
      </c>
      <c r="AI13" s="2657">
        <f>-'Income Statement'!FT13</f>
      </c>
      <c r="AJ13" s="2657">
        <f>-'Income Statement'!FU13</f>
      </c>
      <c r="AK13" s="2657"/>
      <c r="AL13" s="2657">
        <f>-'Income Statement'!R13</f>
      </c>
      <c r="AM13" s="2657">
        <f>-'Income Statement'!S13</f>
      </c>
      <c r="AN13" s="2657">
        <f>-'Income Statement'!T13</f>
      </c>
      <c r="AO13" s="2657">
        <f>-'Income Statement'!U13</f>
      </c>
      <c r="AP13" s="2657">
        <f>-'Income Statement'!V13</f>
      </c>
      <c r="AQ13" s="2657">
        <f>-'Income Statement'!W13</f>
      </c>
      <c r="AR13" s="2657">
        <f>-'Income Statement'!X13</f>
      </c>
      <c r="AS13" s="2657">
        <f>-'Income Statement'!Y13</f>
      </c>
      <c r="AT13" s="2657">
        <f>-'Income Statement'!Z13</f>
      </c>
      <c r="AU13" s="2657">
        <f>-'Income Statement'!AA13</f>
      </c>
      <c r="AV13" s="2657">
        <f>-'Income Statement'!AB13</f>
      </c>
      <c r="AW13" s="2657">
        <f>-'Income Statement'!AC13</f>
      </c>
      <c r="AX13" s="2657">
        <f>-'Income Statement'!AD13</f>
      </c>
      <c r="AY13" s="2657">
        <f>-'Income Statement'!AE13</f>
      </c>
      <c r="AZ13" s="2657">
        <f>-'Income Statement'!AF13</f>
      </c>
      <c r="BA13" s="2657">
        <f>-'Income Statement'!AG13</f>
      </c>
      <c r="BB13" s="2657">
        <f>-'Income Statement'!AH13</f>
      </c>
      <c r="BC13" s="2657">
        <f>-'Income Statement'!AI13</f>
      </c>
      <c r="BD13" s="2657">
        <f>-'Income Statement'!AJ13</f>
      </c>
      <c r="BE13" s="2657">
        <f>-'Income Statement'!AK13</f>
      </c>
      <c r="BF13" s="2657">
        <f>-'Income Statement'!AL13</f>
      </c>
      <c r="BG13" s="2657">
        <f>-'Income Statement'!AM13</f>
      </c>
      <c r="BH13" s="2657">
        <f>-'Income Statement'!AN13</f>
      </c>
      <c r="BI13" s="2657">
        <f>-'Income Statement'!AO13</f>
      </c>
      <c r="BJ13" s="2657">
        <f>-'Income Statement'!AP13</f>
      </c>
      <c r="BK13" s="2657">
        <f>-'Income Statement'!AQ13</f>
      </c>
      <c r="BL13" s="2657">
        <f>-'Income Statement'!AR13</f>
      </c>
      <c r="BM13" s="2657">
        <f>-'Income Statement'!AS13</f>
      </c>
      <c r="BN13" s="2657">
        <f>-'Income Statement'!AT13</f>
      </c>
      <c r="BO13" s="2657">
        <f>-'Income Statement'!AU13</f>
      </c>
      <c r="BP13" s="2657">
        <f>-'Income Statement'!AV13</f>
      </c>
      <c r="BQ13" s="2657">
        <f>-'Income Statement'!AW13</f>
      </c>
      <c r="BR13" s="2657">
        <f>-'Income Statement'!AX13</f>
      </c>
      <c r="BS13" s="2657">
        <f>-'Income Statement'!AY13</f>
      </c>
      <c r="BT13" s="2657">
        <f>-'Income Statement'!AZ13</f>
      </c>
      <c r="BU13" s="2657">
        <f>-'Income Statement'!BA13</f>
      </c>
      <c r="BV13" s="2657">
        <f>-'Income Statement'!BB13</f>
      </c>
      <c r="BW13" s="2657">
        <f>-'Income Statement'!BC13</f>
      </c>
      <c r="BX13" s="2657">
        <f>-'Income Statement'!BD13</f>
      </c>
      <c r="BY13" s="2657">
        <f>-'Income Statement'!BE13</f>
      </c>
      <c r="BZ13" s="2657">
        <f>-'Income Statement'!BF13</f>
      </c>
      <c r="CA13" s="2657">
        <f>-'Income Statement'!BG13</f>
      </c>
      <c r="CB13" s="2657">
        <f>-'Income Statement'!BH13</f>
      </c>
      <c r="CC13" s="2657">
        <f>-'Income Statement'!BI13</f>
      </c>
      <c r="CD13" s="2657">
        <f>-'Income Statement'!BJ13</f>
      </c>
      <c r="CE13" s="2657">
        <f>-'Income Statement'!BK13</f>
      </c>
      <c r="CF13" s="2657">
        <f>-'Income Statement'!BL13</f>
      </c>
      <c r="CG13" s="2657">
        <f>-'Income Statement'!BM13</f>
      </c>
      <c r="CH13" s="2657">
        <f>-'Income Statement'!BN13</f>
      </c>
      <c r="CI13" s="2657">
        <f>-'Income Statement'!BO13</f>
      </c>
      <c r="CJ13" s="2657">
        <f>-'Income Statement'!BP13</f>
      </c>
      <c r="CK13" s="2657">
        <f>-'Income Statement'!BQ13</f>
      </c>
      <c r="CL13" s="2657">
        <f>-'Income Statement'!BR13</f>
      </c>
      <c r="CM13" s="2657">
        <f>-'Income Statement'!BS13</f>
      </c>
      <c r="CN13" s="2657">
        <f>-'Income Statement'!BT13</f>
      </c>
      <c r="CO13" s="2657">
        <f>-'Income Statement'!BU13</f>
      </c>
      <c r="CP13" s="2657">
        <f>-'Income Statement'!BV13</f>
      </c>
      <c r="CQ13" s="2657">
        <f>-'Income Statement'!BW13</f>
      </c>
      <c r="CR13" s="2657">
        <f>-'Income Statement'!BX13</f>
      </c>
      <c r="CS13" s="2657">
        <f>-'Income Statement'!BY13</f>
      </c>
      <c r="CT13" s="2657">
        <f>-'Income Statement'!BZ13</f>
      </c>
      <c r="CU13" s="2657">
        <f>-'Income Statement'!CA13</f>
      </c>
      <c r="CV13" s="2657">
        <f>-'Income Statement'!CB13</f>
      </c>
      <c r="CW13" s="2657">
        <f>-'Income Statement'!CC13</f>
      </c>
      <c r="CX13" s="2657">
        <f>-'Income Statement'!CD13</f>
      </c>
      <c r="CY13" s="2657">
        <f>-'Income Statement'!CE13</f>
      </c>
      <c r="CZ13" s="2657">
        <f>-'Income Statement'!CF13</f>
      </c>
      <c r="DA13" s="2657">
        <f>-'Income Statement'!CG13</f>
      </c>
      <c r="DB13" s="2657">
        <f>-'Income Statement'!CH13</f>
      </c>
      <c r="DC13" s="2657">
        <f>-'Income Statement'!CI13</f>
      </c>
      <c r="DD13" s="2657">
        <f>-'Income Statement'!CJ13</f>
      </c>
      <c r="DE13" s="2657">
        <f>-'Income Statement'!CK13</f>
      </c>
      <c r="DF13" s="2657">
        <f>-'Income Statement'!CL13</f>
      </c>
      <c r="DG13" s="2657">
        <f>-'Income Statement'!CM13</f>
      </c>
      <c r="DH13" s="2657">
        <f>-'Income Statement'!CN13</f>
      </c>
      <c r="DI13" s="2657">
        <f>-'Income Statement'!CO13</f>
      </c>
      <c r="DJ13" s="2657">
        <f>-'Income Statement'!CP13</f>
      </c>
      <c r="DK13" s="2657">
        <f>-'Income Statement'!CQ13</f>
      </c>
      <c r="DL13" s="2657">
        <f>-'Income Statement'!CR13</f>
      </c>
      <c r="DM13" s="2657">
        <f>-'Income Statement'!CS13</f>
      </c>
      <c r="DN13" s="2657">
        <f>-'Income Statement'!CT13</f>
      </c>
      <c r="DO13" s="2657">
        <f>-'Income Statement'!CU13</f>
      </c>
      <c r="DP13" s="2657">
        <f>-'Income Statement'!CV13</f>
      </c>
      <c r="DQ13" s="2657">
        <f>-'Income Statement'!CW13</f>
      </c>
      <c r="DR13" s="2657">
        <f>-'Income Statement'!CX13</f>
      </c>
      <c r="DS13" s="2657">
        <f>-'Income Statement'!CY13</f>
      </c>
      <c r="DT13" s="2657">
        <f>-'Income Statement'!CZ13</f>
      </c>
      <c r="DU13" s="2657">
        <f>-'Income Statement'!DA13</f>
      </c>
      <c r="DV13" s="2657">
        <f>-'Income Statement'!DB13</f>
      </c>
      <c r="DW13" s="2657">
        <f>-'Income Statement'!DC13</f>
      </c>
      <c r="DX13" s="2657">
        <f>-'Income Statement'!DD13</f>
      </c>
      <c r="DY13" s="2657">
        <f>-'Income Statement'!DE13</f>
      </c>
      <c r="DZ13" s="2657">
        <f>-'Income Statement'!DF13</f>
      </c>
      <c r="EA13" s="2657">
        <f>-'Income Statement'!DG13</f>
      </c>
      <c r="EB13" s="2657">
        <f>-'Income Statement'!DH13</f>
      </c>
      <c r="EC13" s="2657">
        <f>-'Income Statement'!DI13</f>
      </c>
      <c r="ED13" s="2657">
        <f>-'Income Statement'!DJ13</f>
      </c>
      <c r="EE13" s="2657">
        <f>-'Income Statement'!DK13</f>
      </c>
      <c r="EF13" s="2657">
        <f>-'Income Statement'!DL13</f>
      </c>
      <c r="EG13" s="2657">
        <f>-'Income Statement'!DM13</f>
      </c>
      <c r="EH13" s="2657">
        <f>-'Income Statement'!DN13</f>
      </c>
      <c r="EI13" s="2657">
        <f>-'Income Statement'!DO13</f>
      </c>
      <c r="EJ13" s="2657">
        <f>-'Income Statement'!DP13</f>
      </c>
      <c r="EK13" s="2657">
        <f>-'Income Statement'!DQ13</f>
      </c>
      <c r="EL13" s="2657">
        <f>-'Income Statement'!DR13</f>
      </c>
      <c r="EM13" s="2657">
        <f>-'Income Statement'!DS13</f>
      </c>
      <c r="EN13" s="2657">
        <f>-'Income Statement'!DT13</f>
      </c>
      <c r="EO13" s="2657">
        <f>-'Income Statement'!DU13</f>
      </c>
      <c r="EP13" s="2657">
        <f>-'Income Statement'!DV13</f>
      </c>
      <c r="EQ13" s="2657">
        <f>-'Income Statement'!DW13</f>
      </c>
      <c r="ER13" s="2657">
        <f>-'Income Statement'!DX13</f>
      </c>
      <c r="ES13" s="2657">
        <f>-'Income Statement'!DY13</f>
      </c>
      <c r="ET13" s="2657">
        <f>-'Income Statement'!DZ13</f>
      </c>
      <c r="EU13" s="2657">
        <f>-'Income Statement'!EA13</f>
      </c>
      <c r="EV13" s="2657">
        <f>-'Income Statement'!EB13</f>
      </c>
      <c r="EW13" s="2657">
        <f>-'Income Statement'!EC13</f>
      </c>
      <c r="EX13" s="2657">
        <f>-'Income Statement'!ED13</f>
      </c>
      <c r="EY13" s="2657">
        <f>-'Income Statement'!EE13</f>
      </c>
      <c r="EZ13" s="2657">
        <f>-'Income Statement'!EF13</f>
      </c>
      <c r="FA13" s="2657">
        <f>-'Income Statement'!EG13</f>
      </c>
      <c r="FB13" s="2657">
        <f>-'Income Statement'!EH13</f>
      </c>
      <c r="FC13" s="2657">
        <f>-'Income Statement'!EI13</f>
      </c>
      <c r="FD13" s="2657">
        <f>-'Income Statement'!EJ13</f>
      </c>
      <c r="FE13" s="2657">
        <f>-'Income Statement'!EK13</f>
      </c>
    </row>
    <row r="14" spans="1:161" outlineLevel="2">
      <c r="B14" t="s">
        <v>249</v>
      </c>
      <c r="C14" t="s">
        <v>250</v>
      </c>
      <c r="D14" t="str">
        <f t="shared" si="0"/>
      </c>
      <c r="F14" s="2657">
        <f>-('Income Statement'!EQ10+'Income Statement'!EQ13)</f>
      </c>
      <c r="G14" s="2657">
        <f>-('Income Statement'!ER10+'Income Statement'!ER13)</f>
      </c>
      <c r="H14" s="2657">
        <f>-('Income Statement'!ES10+'Income Statement'!ES13)</f>
      </c>
      <c r="I14" s="2657">
        <f>-('Income Statement'!ET10+'Income Statement'!ET13)</f>
      </c>
      <c r="J14" s="2657">
        <f>-('Income Statement'!EU10+'Income Statement'!EU13)</f>
      </c>
      <c r="K14" s="2657">
        <f>-('Income Statement'!EV10+'Income Statement'!EV13)</f>
      </c>
      <c r="L14" s="2657">
        <f>-('Income Statement'!EW10+'Income Statement'!EW13)</f>
      </c>
      <c r="M14" s="2657">
        <f>-('Income Statement'!EX10+'Income Statement'!EX13)</f>
      </c>
      <c r="N14" s="2657">
        <f>-('Income Statement'!EY10+'Income Statement'!EY13)</f>
      </c>
      <c r="O14" s="2657">
        <f>-('Income Statement'!EZ10+'Income Statement'!EZ13)</f>
      </c>
      <c r="P14" s="2657">
        <f>-('Income Statement'!FA10+'Income Statement'!FA13)</f>
      </c>
      <c r="Q14" s="2657">
        <f>-('Income Statement'!FB10+'Income Statement'!FB13)</f>
      </c>
      <c r="R14" s="2657">
        <f>-('Income Statement'!FC10+'Income Statement'!FC13)</f>
      </c>
      <c r="S14" s="2657">
        <f>-('Income Statement'!FD10+'Income Statement'!FD13)</f>
      </c>
      <c r="T14" s="2657">
        <f>-('Income Statement'!FE10+'Income Statement'!FE13)</f>
      </c>
      <c r="U14" s="2657">
        <f>-('Income Statement'!FF10+'Income Statement'!FF13)</f>
      </c>
      <c r="V14" s="2657">
        <f>-('Income Statement'!FG10+'Income Statement'!FG13)</f>
      </c>
      <c r="W14" s="2657">
        <f>-('Income Statement'!FH10+'Income Statement'!FH13)</f>
      </c>
      <c r="X14" s="2657">
        <f>-('Income Statement'!FI10+'Income Statement'!FI13)</f>
      </c>
      <c r="Y14" s="2657">
        <f>-('Income Statement'!FJ10+'Income Statement'!FJ13)</f>
      </c>
      <c r="Z14" s="2657">
        <f>-('Income Statement'!FK10+'Income Statement'!FK13)</f>
      </c>
      <c r="AA14" s="2657">
        <f>-('Income Statement'!FL10+'Income Statement'!FL13)</f>
      </c>
      <c r="AB14" s="2657">
        <f>-('Income Statement'!FM10+'Income Statement'!FM13)</f>
      </c>
      <c r="AC14" s="2657">
        <f>-('Income Statement'!FN10+'Income Statement'!FN13)</f>
      </c>
      <c r="AD14" s="2657">
        <f>-('Income Statement'!FO10+'Income Statement'!FO13)</f>
      </c>
      <c r="AE14" s="2657">
        <f>-('Income Statement'!FP10+'Income Statement'!FP13)</f>
      </c>
      <c r="AF14" s="2657">
        <f>-('Income Statement'!FQ10+'Income Statement'!FQ13)</f>
      </c>
      <c r="AG14" s="2657">
        <f>-('Income Statement'!FR10+'Income Statement'!FR13)</f>
      </c>
      <c r="AH14" s="2657">
        <f>-('Income Statement'!FS10+'Income Statement'!FS13)</f>
      </c>
      <c r="AI14" s="2657">
        <f>-('Income Statement'!FT10+'Income Statement'!FT13)</f>
      </c>
      <c r="AJ14" s="2657">
        <f>-('Income Statement'!FU10+'Income Statement'!FU13)</f>
      </c>
      <c r="AK14" s="2657"/>
      <c r="AL14" s="2657">
        <f>-('Income Statement'!R10+'Income Statement'!R13)</f>
      </c>
      <c r="AM14" s="2657">
        <f>-('Income Statement'!S10+'Income Statement'!S13)</f>
      </c>
      <c r="AN14" s="2657">
        <f>-('Income Statement'!T10+'Income Statement'!T13)</f>
      </c>
      <c r="AO14" s="2657">
        <f>-('Income Statement'!U10+'Income Statement'!U13)</f>
      </c>
      <c r="AP14" s="2657">
        <f>-('Income Statement'!V10+'Income Statement'!V13)</f>
      </c>
      <c r="AQ14" s="2657">
        <f>-('Income Statement'!W10+'Income Statement'!W13)</f>
      </c>
      <c r="AR14" s="2657">
        <f>-('Income Statement'!X10+'Income Statement'!X13)</f>
      </c>
      <c r="AS14" s="2657">
        <f>-('Income Statement'!Y10+'Income Statement'!Y13)</f>
      </c>
      <c r="AT14" s="2657">
        <f>-('Income Statement'!Z10+'Income Statement'!Z13)</f>
      </c>
      <c r="AU14" s="2657">
        <f>-('Income Statement'!AA10+'Income Statement'!AA13)</f>
      </c>
      <c r="AV14" s="2657">
        <f>-('Income Statement'!AB10+'Income Statement'!AB13)</f>
      </c>
      <c r="AW14" s="2657">
        <f>-('Income Statement'!AC10+'Income Statement'!AC13)</f>
      </c>
      <c r="AX14" s="2657">
        <f>-('Income Statement'!AD10+'Income Statement'!AD13)</f>
      </c>
      <c r="AY14" s="2657">
        <f>-('Income Statement'!AE10+'Income Statement'!AE13)</f>
      </c>
      <c r="AZ14" s="2657">
        <f>-('Income Statement'!AF10+'Income Statement'!AF13)</f>
      </c>
      <c r="BA14" s="2657">
        <f>-('Income Statement'!AG10+'Income Statement'!AG13)</f>
      </c>
      <c r="BB14" s="2657">
        <f>-('Income Statement'!AH10+'Income Statement'!AH13)</f>
      </c>
      <c r="BC14" s="2657">
        <f>-('Income Statement'!AI10+'Income Statement'!AI13)</f>
      </c>
      <c r="BD14" s="2657">
        <f>-('Income Statement'!AJ10+'Income Statement'!AJ13)</f>
      </c>
      <c r="BE14" s="2657">
        <f>-('Income Statement'!AK10+'Income Statement'!AK13)</f>
      </c>
      <c r="BF14" s="2657">
        <f>-('Income Statement'!AL10+'Income Statement'!AL13)</f>
      </c>
      <c r="BG14" s="2657">
        <f>-('Income Statement'!AM10+'Income Statement'!AM13)</f>
      </c>
      <c r="BH14" s="2657">
        <f>-('Income Statement'!AN10+'Income Statement'!AN13)</f>
      </c>
      <c r="BI14" s="2657">
        <f>-('Income Statement'!AO10+'Income Statement'!AO13)</f>
      </c>
      <c r="BJ14" s="2657">
        <f>-('Income Statement'!AP10+'Income Statement'!AP13)</f>
      </c>
      <c r="BK14" s="2657">
        <f>-('Income Statement'!AQ10+'Income Statement'!AQ13)</f>
      </c>
      <c r="BL14" s="2657">
        <f>-('Income Statement'!AR10+'Income Statement'!AR13)</f>
      </c>
      <c r="BM14" s="2657">
        <f>-('Income Statement'!AS10+'Income Statement'!AS13)</f>
      </c>
      <c r="BN14" s="2657">
        <f>-('Income Statement'!AT10+'Income Statement'!AT13)</f>
      </c>
      <c r="BO14" s="2657">
        <f>-('Income Statement'!AU10+'Income Statement'!AU13)</f>
      </c>
      <c r="BP14" s="2657">
        <f>-('Income Statement'!AV10+'Income Statement'!AV13)</f>
      </c>
      <c r="BQ14" s="2657">
        <f>-('Income Statement'!AW10+'Income Statement'!AW13)</f>
      </c>
      <c r="BR14" s="2657">
        <f>-('Income Statement'!AX10+'Income Statement'!AX13)</f>
      </c>
      <c r="BS14" s="2657">
        <f>-('Income Statement'!AY10+'Income Statement'!AY13)</f>
      </c>
      <c r="BT14" s="2657">
        <f>-('Income Statement'!AZ10+'Income Statement'!AZ13)</f>
      </c>
      <c r="BU14" s="2657">
        <f>-('Income Statement'!BA10+'Income Statement'!BA13)</f>
      </c>
      <c r="BV14" s="2657">
        <f>-('Income Statement'!BB10+'Income Statement'!BB13)</f>
      </c>
      <c r="BW14" s="2657">
        <f>-('Income Statement'!BC10+'Income Statement'!BC13)</f>
      </c>
      <c r="BX14" s="2657">
        <f>-('Income Statement'!BD10+'Income Statement'!BD13)</f>
      </c>
      <c r="BY14" s="2657">
        <f>-('Income Statement'!BE10+'Income Statement'!BE13)</f>
      </c>
      <c r="BZ14" s="2657">
        <f>-('Income Statement'!BF10+'Income Statement'!BF13)</f>
      </c>
      <c r="CA14" s="2657">
        <f>-('Income Statement'!BG10+'Income Statement'!BG13)</f>
      </c>
      <c r="CB14" s="2657">
        <f>-('Income Statement'!BH10+'Income Statement'!BH13)</f>
      </c>
      <c r="CC14" s="2657">
        <f>-('Income Statement'!BI10+'Income Statement'!BI13)</f>
      </c>
      <c r="CD14" s="2657">
        <f>-('Income Statement'!BJ10+'Income Statement'!BJ13)</f>
      </c>
      <c r="CE14" s="2657">
        <f>-('Income Statement'!BK10+'Income Statement'!BK13)</f>
      </c>
      <c r="CF14" s="2657">
        <f>-('Income Statement'!BL10+'Income Statement'!BL13)</f>
      </c>
      <c r="CG14" s="2657">
        <f>-('Income Statement'!BM10+'Income Statement'!BM13)</f>
      </c>
      <c r="CH14" s="2657">
        <f>-('Income Statement'!BN10+'Income Statement'!BN13)</f>
      </c>
      <c r="CI14" s="2657">
        <f>-('Income Statement'!BO10+'Income Statement'!BO13)</f>
      </c>
      <c r="CJ14" s="2657">
        <f>-('Income Statement'!BP10+'Income Statement'!BP13)</f>
      </c>
      <c r="CK14" s="2657">
        <f>-('Income Statement'!BQ10+'Income Statement'!BQ13)</f>
      </c>
      <c r="CL14" s="2657">
        <f>-('Income Statement'!BR10+'Income Statement'!BR13)</f>
      </c>
      <c r="CM14" s="2657">
        <f>-('Income Statement'!BS10+'Income Statement'!BS13)</f>
      </c>
      <c r="CN14" s="2657">
        <f>-('Income Statement'!BT10+'Income Statement'!BT13)</f>
      </c>
      <c r="CO14" s="2657">
        <f>-('Income Statement'!BU10+'Income Statement'!BU13)</f>
      </c>
      <c r="CP14" s="2657">
        <f>-('Income Statement'!BV10+'Income Statement'!BV13)</f>
      </c>
      <c r="CQ14" s="2657">
        <f>-('Income Statement'!BW10+'Income Statement'!BW13)</f>
      </c>
      <c r="CR14" s="2657">
        <f>-('Income Statement'!BX10+'Income Statement'!BX13)</f>
      </c>
      <c r="CS14" s="2657">
        <f>-('Income Statement'!BY10+'Income Statement'!BY13)</f>
      </c>
      <c r="CT14" s="2657">
        <f>-('Income Statement'!BZ10+'Income Statement'!BZ13)</f>
      </c>
      <c r="CU14" s="2657">
        <f>-('Income Statement'!CA10+'Income Statement'!CA13)</f>
      </c>
      <c r="CV14" s="2657">
        <f>-('Income Statement'!CB10+'Income Statement'!CB13)</f>
      </c>
      <c r="CW14" s="2657">
        <f>-('Income Statement'!CC10+'Income Statement'!CC13)</f>
      </c>
      <c r="CX14" s="2657">
        <f>-('Income Statement'!CD10+'Income Statement'!CD13)</f>
      </c>
      <c r="CY14" s="2657">
        <f>-('Income Statement'!CE10+'Income Statement'!CE13)</f>
      </c>
      <c r="CZ14" s="2657">
        <f>-('Income Statement'!CF10+'Income Statement'!CF13)</f>
      </c>
      <c r="DA14" s="2657">
        <f>-('Income Statement'!CG10+'Income Statement'!CG13)</f>
      </c>
      <c r="DB14" s="2657">
        <f>-('Income Statement'!CH10+'Income Statement'!CH13)</f>
      </c>
      <c r="DC14" s="2657">
        <f>-('Income Statement'!CI10+'Income Statement'!CI13)</f>
      </c>
      <c r="DD14" s="2657">
        <f>-('Income Statement'!CJ10+'Income Statement'!CJ13)</f>
      </c>
      <c r="DE14" s="2657">
        <f>-('Income Statement'!CK10+'Income Statement'!CK13)</f>
      </c>
      <c r="DF14" s="2657">
        <f>-('Income Statement'!CL10+'Income Statement'!CL13)</f>
      </c>
      <c r="DG14" s="2657">
        <f>-('Income Statement'!CM10+'Income Statement'!CM13)</f>
      </c>
      <c r="DH14" s="2657">
        <f>-('Income Statement'!CN10+'Income Statement'!CN13)</f>
      </c>
      <c r="DI14" s="2657">
        <f>-('Income Statement'!CO10+'Income Statement'!CO13)</f>
      </c>
      <c r="DJ14" s="2657">
        <f>-('Income Statement'!CP10+'Income Statement'!CP13)</f>
      </c>
      <c r="DK14" s="2657">
        <f>-('Income Statement'!CQ10+'Income Statement'!CQ13)</f>
      </c>
      <c r="DL14" s="2657">
        <f>-('Income Statement'!CR10+'Income Statement'!CR13)</f>
      </c>
      <c r="DM14" s="2657">
        <f>-('Income Statement'!CS10+'Income Statement'!CS13)</f>
      </c>
      <c r="DN14" s="2657">
        <f>-('Income Statement'!CT10+'Income Statement'!CT13)</f>
      </c>
      <c r="DO14" s="2657">
        <f>-('Income Statement'!CU10+'Income Statement'!CU13)</f>
      </c>
      <c r="DP14" s="2657">
        <f>-('Income Statement'!CV10+'Income Statement'!CV13)</f>
      </c>
      <c r="DQ14" s="2657">
        <f>-('Income Statement'!CW10+'Income Statement'!CW13)</f>
      </c>
      <c r="DR14" s="2657">
        <f>-('Income Statement'!CX10+'Income Statement'!CX13)</f>
      </c>
      <c r="DS14" s="2657">
        <f>-('Income Statement'!CY10+'Income Statement'!CY13)</f>
      </c>
      <c r="DT14" s="2657">
        <f>-('Income Statement'!CZ10+'Income Statement'!CZ13)</f>
      </c>
      <c r="DU14" s="2657">
        <f>-('Income Statement'!DA10+'Income Statement'!DA13)</f>
      </c>
      <c r="DV14" s="2657">
        <f>-('Income Statement'!DB10+'Income Statement'!DB13)</f>
      </c>
      <c r="DW14" s="2657">
        <f>-('Income Statement'!DC10+'Income Statement'!DC13)</f>
      </c>
      <c r="DX14" s="2657">
        <f>-('Income Statement'!DD10+'Income Statement'!DD13)</f>
      </c>
      <c r="DY14" s="2657">
        <f>-('Income Statement'!DE10+'Income Statement'!DE13)</f>
      </c>
      <c r="DZ14" s="2657">
        <f>-('Income Statement'!DF10+'Income Statement'!DF13)</f>
      </c>
      <c r="EA14" s="2657">
        <f>-('Income Statement'!DG10+'Income Statement'!DG13)</f>
      </c>
      <c r="EB14" s="2657">
        <f>-('Income Statement'!DH10+'Income Statement'!DH13)</f>
      </c>
      <c r="EC14" s="2657">
        <f>-('Income Statement'!DI10+'Income Statement'!DI13)</f>
      </c>
      <c r="ED14" s="2657">
        <f>-('Income Statement'!DJ10+'Income Statement'!DJ13)</f>
      </c>
      <c r="EE14" s="2657">
        <f>-('Income Statement'!DK10+'Income Statement'!DK13)</f>
      </c>
      <c r="EF14" s="2657">
        <f>-('Income Statement'!DL10+'Income Statement'!DL13)</f>
      </c>
      <c r="EG14" s="2657">
        <f>-('Income Statement'!DM10+'Income Statement'!DM13)</f>
      </c>
      <c r="EH14" s="2657">
        <f>-('Income Statement'!DN10+'Income Statement'!DN13)</f>
      </c>
      <c r="EI14" s="2657">
        <f>-('Income Statement'!DO10+'Income Statement'!DO13)</f>
      </c>
      <c r="EJ14" s="2657">
        <f>-('Income Statement'!DP10+'Income Statement'!DP13)</f>
      </c>
      <c r="EK14" s="2657">
        <f>-('Income Statement'!DQ10+'Income Statement'!DQ13)</f>
      </c>
      <c r="EL14" s="2657">
        <f>-('Income Statement'!DR10+'Income Statement'!DR13)</f>
      </c>
      <c r="EM14" s="2657">
        <f>-('Income Statement'!DS10+'Income Statement'!DS13)</f>
      </c>
      <c r="EN14" s="2657">
        <f>-('Income Statement'!DT10+'Income Statement'!DT13)</f>
      </c>
      <c r="EO14" s="2657">
        <f>-('Income Statement'!DU10+'Income Statement'!DU13)</f>
      </c>
      <c r="EP14" s="2657">
        <f>-('Income Statement'!DV10+'Income Statement'!DV13)</f>
      </c>
      <c r="EQ14" s="2657">
        <f>-('Income Statement'!DW10+'Income Statement'!DW13)</f>
      </c>
      <c r="ER14" s="2657">
        <f>-('Income Statement'!DX10+'Income Statement'!DX13)</f>
      </c>
      <c r="ES14" s="2657">
        <f>-('Income Statement'!DY10+'Income Statement'!DY13)</f>
      </c>
      <c r="ET14" s="2657">
        <f>-('Income Statement'!DZ10+'Income Statement'!DZ13)</f>
      </c>
      <c r="EU14" s="2657">
        <f>-('Income Statement'!EA10+'Income Statement'!EA13)</f>
      </c>
      <c r="EV14" s="2657">
        <f>-('Income Statement'!EB10+'Income Statement'!EB13)</f>
      </c>
      <c r="EW14" s="2657">
        <f>-('Income Statement'!EC10+'Income Statement'!EC13)</f>
      </c>
      <c r="EX14" s="2657">
        <f>-('Income Statement'!ED10+'Income Statement'!ED13)</f>
      </c>
      <c r="EY14" s="2657">
        <f>-('Income Statement'!EE10+'Income Statement'!EE13)</f>
      </c>
      <c r="EZ14" s="2657">
        <f>-('Income Statement'!EF10+'Income Statement'!EF13)</f>
      </c>
      <c r="FA14" s="2657">
        <f>-('Income Statement'!EG10+'Income Statement'!EG13)</f>
      </c>
      <c r="FB14" s="2657">
        <f>-('Income Statement'!EH10+'Income Statement'!EH13)</f>
      </c>
      <c r="FC14" s="2657">
        <f>-('Income Statement'!EI10+'Income Statement'!EI13)</f>
      </c>
      <c r="FD14" s="2657">
        <f>-('Income Statement'!EJ10+'Income Statement'!EJ13)</f>
      </c>
      <c r="FE14" s="2657">
        <f>-('Income Statement'!EK10+'Income Statement'!EK13)</f>
      </c>
    </row>
    <row r="15" spans="1:161" outlineLevel="2">
      <c r="B15" t="s">
        <v>251</v>
      </c>
      <c r="C15" t="s">
        <v>252</v>
      </c>
      <c r="D15" t="str">
        <f t="shared" si="0"/>
      </c>
      <c r="F15" s="2657">
        <f>-'Income Statement'!EQ12</f>
      </c>
      <c r="G15" s="2657">
        <f>-'Income Statement'!ER12</f>
      </c>
      <c r="H15" s="2657">
        <f>-'Income Statement'!ES12</f>
      </c>
      <c r="I15" s="2657">
        <f>-'Income Statement'!ET12</f>
      </c>
      <c r="J15" s="2657">
        <f>-'Income Statement'!EU12</f>
      </c>
      <c r="K15" s="2657">
        <f>-'Income Statement'!EV12</f>
      </c>
      <c r="L15" s="2657">
        <f>-'Income Statement'!EW12</f>
      </c>
      <c r="M15" s="2657">
        <f>-'Income Statement'!EX12</f>
      </c>
      <c r="N15" s="2657">
        <f>-'Income Statement'!EY12</f>
      </c>
      <c r="O15" s="2657">
        <f>-'Income Statement'!EZ12</f>
      </c>
      <c r="P15" s="2657">
        <f>-'Income Statement'!FA12</f>
      </c>
      <c r="Q15" s="2657">
        <f>-'Income Statement'!FB12</f>
      </c>
      <c r="R15" s="2657">
        <f>-'Income Statement'!FC12</f>
      </c>
      <c r="S15" s="2657">
        <f>-'Income Statement'!FD12</f>
      </c>
      <c r="T15" s="2657">
        <f>-'Income Statement'!FE12</f>
      </c>
      <c r="U15" s="2657">
        <f>-'Income Statement'!FF12</f>
      </c>
      <c r="V15" s="2657">
        <f>-'Income Statement'!FG12</f>
      </c>
      <c r="W15" s="2657">
        <f>-'Income Statement'!FH12</f>
      </c>
      <c r="X15" s="2657">
        <f>-'Income Statement'!FI12</f>
      </c>
      <c r="Y15" s="2657">
        <f>-'Income Statement'!FJ12</f>
      </c>
      <c r="Z15" s="2657">
        <f>-'Income Statement'!FK12</f>
      </c>
      <c r="AA15" s="2657">
        <f>-'Income Statement'!FL12</f>
      </c>
      <c r="AB15" s="2657">
        <f>-'Income Statement'!FM12</f>
      </c>
      <c r="AC15" s="2657">
        <f>-'Income Statement'!FN12</f>
      </c>
      <c r="AD15" s="2657">
        <f>-'Income Statement'!FO12</f>
      </c>
      <c r="AE15" s="2657">
        <f>-'Income Statement'!FP12</f>
      </c>
      <c r="AF15" s="2657">
        <f>-'Income Statement'!FQ12</f>
      </c>
      <c r="AG15" s="2657">
        <f>-'Income Statement'!FR12</f>
      </c>
      <c r="AH15" s="2657">
        <f>-'Income Statement'!FS12</f>
      </c>
      <c r="AI15" s="2657">
        <f>-'Income Statement'!FT12</f>
      </c>
      <c r="AJ15" s="2657">
        <f>-'Income Statement'!FU12</f>
      </c>
      <c r="AK15" s="2657"/>
      <c r="AL15" s="2657">
        <f>-'Income Statement'!R12</f>
      </c>
      <c r="AM15" s="2657">
        <f>-'Income Statement'!S12</f>
      </c>
      <c r="AN15" s="2657">
        <f>-'Income Statement'!T12</f>
      </c>
      <c r="AO15" s="2657">
        <f>-'Income Statement'!U12</f>
      </c>
      <c r="AP15" s="2657">
        <f>-'Income Statement'!V12</f>
      </c>
      <c r="AQ15" s="2657">
        <f>-'Income Statement'!W12</f>
      </c>
      <c r="AR15" s="2657">
        <f>-'Income Statement'!X12</f>
      </c>
      <c r="AS15" s="2657">
        <f>-'Income Statement'!Y12</f>
      </c>
      <c r="AT15" s="2657">
        <f>-'Income Statement'!Z12</f>
      </c>
      <c r="AU15" s="2657">
        <f>-'Income Statement'!AA12</f>
      </c>
      <c r="AV15" s="2657">
        <f>-'Income Statement'!AB12</f>
      </c>
      <c r="AW15" s="2657">
        <f>-'Income Statement'!AC12</f>
      </c>
      <c r="AX15" s="2657">
        <f>-'Income Statement'!AD12</f>
      </c>
      <c r="AY15" s="2657">
        <f>-'Income Statement'!AE12</f>
      </c>
      <c r="AZ15" s="2657">
        <f>-'Income Statement'!AF12</f>
      </c>
      <c r="BA15" s="2657">
        <f>-'Income Statement'!AG12</f>
      </c>
      <c r="BB15" s="2657">
        <f>-'Income Statement'!AH12</f>
      </c>
      <c r="BC15" s="2657">
        <f>-'Income Statement'!AI12</f>
      </c>
      <c r="BD15" s="2657">
        <f>-'Income Statement'!AJ12</f>
      </c>
      <c r="BE15" s="2657">
        <f>-'Income Statement'!AK12</f>
      </c>
      <c r="BF15" s="2657">
        <f>-'Income Statement'!AL12</f>
      </c>
      <c r="BG15" s="2657">
        <f>-'Income Statement'!AM12</f>
      </c>
      <c r="BH15" s="2657">
        <f>-'Income Statement'!AN12</f>
      </c>
      <c r="BI15" s="2657">
        <f>-'Income Statement'!AO12</f>
      </c>
      <c r="BJ15" s="2657">
        <f>-'Income Statement'!AP12</f>
      </c>
      <c r="BK15" s="2657">
        <f>-'Income Statement'!AQ12</f>
      </c>
      <c r="BL15" s="2657">
        <f>-'Income Statement'!AR12</f>
      </c>
      <c r="BM15" s="2657">
        <f>-'Income Statement'!AS12</f>
      </c>
      <c r="BN15" s="2657">
        <f>-'Income Statement'!AT12</f>
      </c>
      <c r="BO15" s="2657">
        <f>-'Income Statement'!AU12</f>
      </c>
      <c r="BP15" s="2657">
        <f>-'Income Statement'!AV12</f>
      </c>
      <c r="BQ15" s="2657">
        <f>-'Income Statement'!AW12</f>
      </c>
      <c r="BR15" s="2657">
        <f>-'Income Statement'!AX12</f>
      </c>
      <c r="BS15" s="2657">
        <f>-'Income Statement'!AY12</f>
      </c>
      <c r="BT15" s="2657">
        <f>-'Income Statement'!AZ12</f>
      </c>
      <c r="BU15" s="2657">
        <f>-'Income Statement'!BA12</f>
      </c>
      <c r="BV15" s="2657">
        <f>-'Income Statement'!BB12</f>
      </c>
      <c r="BW15" s="2657">
        <f>-'Income Statement'!BC12</f>
      </c>
      <c r="BX15" s="2657">
        <f>-'Income Statement'!BD12</f>
      </c>
      <c r="BY15" s="2657">
        <f>-'Income Statement'!BE12</f>
      </c>
      <c r="BZ15" s="2657">
        <f>-'Income Statement'!BF12</f>
      </c>
      <c r="CA15" s="2657">
        <f>-'Income Statement'!BG12</f>
      </c>
      <c r="CB15" s="2657">
        <f>-'Income Statement'!BH12</f>
      </c>
      <c r="CC15" s="2657">
        <f>-'Income Statement'!BI12</f>
      </c>
      <c r="CD15" s="2657">
        <f>-'Income Statement'!BJ12</f>
      </c>
      <c r="CE15" s="2657">
        <f>-'Income Statement'!BK12</f>
      </c>
      <c r="CF15" s="2657">
        <f>-'Income Statement'!BL12</f>
      </c>
      <c r="CG15" s="2657">
        <f>-'Income Statement'!BM12</f>
      </c>
      <c r="CH15" s="2657">
        <f>-'Income Statement'!BN12</f>
      </c>
      <c r="CI15" s="2657">
        <f>-'Income Statement'!BO12</f>
      </c>
      <c r="CJ15" s="2657">
        <f>-'Income Statement'!BP12</f>
      </c>
      <c r="CK15" s="2657">
        <f>-'Income Statement'!BQ12</f>
      </c>
      <c r="CL15" s="2657">
        <f>-'Income Statement'!BR12</f>
      </c>
      <c r="CM15" s="2657">
        <f>-'Income Statement'!BS12</f>
      </c>
      <c r="CN15" s="2657">
        <f>-'Income Statement'!BT12</f>
      </c>
      <c r="CO15" s="2657">
        <f>-'Income Statement'!BU12</f>
      </c>
      <c r="CP15" s="2657">
        <f>-'Income Statement'!BV12</f>
      </c>
      <c r="CQ15" s="2657">
        <f>-'Income Statement'!BW12</f>
      </c>
      <c r="CR15" s="2657">
        <f>-'Income Statement'!BX12</f>
      </c>
      <c r="CS15" s="2657">
        <f>-'Income Statement'!BY12</f>
      </c>
      <c r="CT15" s="2657">
        <f>-'Income Statement'!BZ12</f>
      </c>
      <c r="CU15" s="2657">
        <f>-'Income Statement'!CA12</f>
      </c>
      <c r="CV15" s="2657">
        <f>-'Income Statement'!CB12</f>
      </c>
      <c r="CW15" s="2657">
        <f>-'Income Statement'!CC12</f>
      </c>
      <c r="CX15" s="2657">
        <f>-'Income Statement'!CD12</f>
      </c>
      <c r="CY15" s="2657">
        <f>-'Income Statement'!CE12</f>
      </c>
      <c r="CZ15" s="2657">
        <f>-'Income Statement'!CF12</f>
      </c>
      <c r="DA15" s="2657">
        <f>-'Income Statement'!CG12</f>
      </c>
      <c r="DB15" s="2657">
        <f>-'Income Statement'!CH12</f>
      </c>
      <c r="DC15" s="2657">
        <f>-'Income Statement'!CI12</f>
      </c>
      <c r="DD15" s="2657">
        <f>-'Income Statement'!CJ12</f>
      </c>
      <c r="DE15" s="2657">
        <f>-'Income Statement'!CK12</f>
      </c>
      <c r="DF15" s="2657">
        <f>-'Income Statement'!CL12</f>
      </c>
      <c r="DG15" s="2657">
        <f>-'Income Statement'!CM12</f>
      </c>
      <c r="DH15" s="2657">
        <f>-'Income Statement'!CN12</f>
      </c>
      <c r="DI15" s="2657">
        <f>-'Income Statement'!CO12</f>
      </c>
      <c r="DJ15" s="2657">
        <f>-'Income Statement'!CP12</f>
      </c>
      <c r="DK15" s="2657">
        <f>-'Income Statement'!CQ12</f>
      </c>
      <c r="DL15" s="2657">
        <f>-'Income Statement'!CR12</f>
      </c>
      <c r="DM15" s="2657">
        <f>-'Income Statement'!CS12</f>
      </c>
      <c r="DN15" s="2657">
        <f>-'Income Statement'!CT12</f>
      </c>
      <c r="DO15" s="2657">
        <f>-'Income Statement'!CU12</f>
      </c>
      <c r="DP15" s="2657">
        <f>-'Income Statement'!CV12</f>
      </c>
      <c r="DQ15" s="2657">
        <f>-'Income Statement'!CW12</f>
      </c>
      <c r="DR15" s="2657">
        <f>-'Income Statement'!CX12</f>
      </c>
      <c r="DS15" s="2657">
        <f>-'Income Statement'!CY12</f>
      </c>
      <c r="DT15" s="2657">
        <f>-'Income Statement'!CZ12</f>
      </c>
      <c r="DU15" s="2657">
        <f>-'Income Statement'!DA12</f>
      </c>
      <c r="DV15" s="2657">
        <f>-'Income Statement'!DB12</f>
      </c>
      <c r="DW15" s="2657">
        <f>-'Income Statement'!DC12</f>
      </c>
      <c r="DX15" s="2657">
        <f>-'Income Statement'!DD12</f>
      </c>
      <c r="DY15" s="2657">
        <f>-'Income Statement'!DE12</f>
      </c>
      <c r="DZ15" s="2657">
        <f>-'Income Statement'!DF12</f>
      </c>
      <c r="EA15" s="2657">
        <f>-'Income Statement'!DG12</f>
      </c>
      <c r="EB15" s="2657">
        <f>-'Income Statement'!DH12</f>
      </c>
      <c r="EC15" s="2657">
        <f>-'Income Statement'!DI12</f>
      </c>
      <c r="ED15" s="2657">
        <f>-'Income Statement'!DJ12</f>
      </c>
      <c r="EE15" s="2657">
        <f>-'Income Statement'!DK12</f>
      </c>
      <c r="EF15" s="2657">
        <f>-'Income Statement'!DL12</f>
      </c>
      <c r="EG15" s="2657">
        <f>-'Income Statement'!DM12</f>
      </c>
      <c r="EH15" s="2657">
        <f>-'Income Statement'!DN12</f>
      </c>
      <c r="EI15" s="2657">
        <f>-'Income Statement'!DO12</f>
      </c>
      <c r="EJ15" s="2657">
        <f>-'Income Statement'!DP12</f>
      </c>
      <c r="EK15" s="2657">
        <f>-'Income Statement'!DQ12</f>
      </c>
      <c r="EL15" s="2657">
        <f>-'Income Statement'!DR12</f>
      </c>
      <c r="EM15" s="2657">
        <f>-'Income Statement'!DS12</f>
      </c>
      <c r="EN15" s="2657">
        <f>-'Income Statement'!DT12</f>
      </c>
      <c r="EO15" s="2657">
        <f>-'Income Statement'!DU12</f>
      </c>
      <c r="EP15" s="2657">
        <f>-'Income Statement'!DV12</f>
      </c>
      <c r="EQ15" s="2657">
        <f>-'Income Statement'!DW12</f>
      </c>
      <c r="ER15" s="2657">
        <f>-'Income Statement'!DX12</f>
      </c>
      <c r="ES15" s="2657">
        <f>-'Income Statement'!DY12</f>
      </c>
      <c r="ET15" s="2657">
        <f>-'Income Statement'!DZ12</f>
      </c>
      <c r="EU15" s="2657">
        <f>-'Income Statement'!EA12</f>
      </c>
      <c r="EV15" s="2657">
        <f>-'Income Statement'!EB12</f>
      </c>
      <c r="EW15" s="2657">
        <f>-'Income Statement'!EC12</f>
      </c>
      <c r="EX15" s="2657">
        <f>-'Income Statement'!ED12</f>
      </c>
      <c r="EY15" s="2657">
        <f>-'Income Statement'!EE12</f>
      </c>
      <c r="EZ15" s="2657">
        <f>-'Income Statement'!EF12</f>
      </c>
      <c r="FA15" s="2657">
        <f>-'Income Statement'!EG12</f>
      </c>
      <c r="FB15" s="2657">
        <f>-'Income Statement'!EH12</f>
      </c>
      <c r="FC15" s="2657">
        <f>-'Income Statement'!EI12</f>
      </c>
      <c r="FD15" s="2657">
        <f>-'Income Statement'!EJ12</f>
      </c>
      <c r="FE15" s="2657">
        <f>-'Income Statement'!EK12</f>
      </c>
    </row>
    <row r="16" spans="1:161" outlineLevel="2">
      <c r="B16" t="s">
        <v>253</v>
      </c>
      <c r="C16" t="s">
        <v>254</v>
      </c>
      <c r="D16" t="str">
        <f t="shared" si="0"/>
      </c>
      <c r="F16" s="2657"/>
      <c r="G16" s="2657"/>
      <c r="H16" s="2657"/>
      <c r="I16" s="2657"/>
      <c r="J16" s="2657"/>
      <c r="K16" s="2657"/>
      <c r="L16" s="2657"/>
      <c r="M16" s="2657"/>
      <c r="N16" s="2657"/>
      <c r="O16" s="2657"/>
      <c r="P16" s="2657"/>
      <c r="Q16" s="2657"/>
      <c r="R16" s="2657"/>
      <c r="S16" s="2657"/>
      <c r="T16" s="2657"/>
      <c r="U16" s="2657"/>
      <c r="V16" s="2657"/>
      <c r="W16" s="2657"/>
      <c r="X16" s="2657"/>
      <c r="Y16" s="2657"/>
      <c r="Z16" s="2657"/>
      <c r="AA16" s="2657"/>
      <c r="AB16" s="2657"/>
      <c r="AC16" s="2657"/>
      <c r="AD16" s="2657"/>
      <c r="AE16" s="2657"/>
      <c r="AF16" s="2657"/>
      <c r="AG16" s="2657"/>
      <c r="AH16" s="2657"/>
      <c r="AI16" s="2657"/>
      <c r="AJ16" s="2657"/>
      <c r="AK16" s="2657"/>
      <c r="AL16" s="2657"/>
      <c r="AM16" s="2657"/>
      <c r="AN16" s="2657"/>
      <c r="AO16" s="2657"/>
      <c r="AP16" s="2657"/>
      <c r="AQ16" s="2657"/>
      <c r="AR16" s="2657"/>
      <c r="AS16" s="2657"/>
      <c r="AT16" s="2657"/>
      <c r="AU16" s="2657"/>
      <c r="AV16" s="2657"/>
      <c r="AW16" s="2657"/>
      <c r="AX16" s="2657"/>
      <c r="AY16" s="2657"/>
      <c r="AZ16" s="2657"/>
      <c r="BA16" s="2657"/>
      <c r="BB16" s="2657"/>
      <c r="BC16" s="2657"/>
      <c r="BD16" s="2657"/>
      <c r="BE16" s="2657"/>
      <c r="BF16" s="2657"/>
      <c r="BG16" s="2657"/>
      <c r="BH16" s="2657"/>
      <c r="BI16" s="2657"/>
      <c r="BJ16" s="2657"/>
      <c r="BK16" s="2657"/>
      <c r="BL16" s="2657"/>
      <c r="BM16" s="2657"/>
      <c r="BN16" s="2657"/>
      <c r="BO16" s="2657"/>
      <c r="BP16" s="2657"/>
      <c r="BQ16" s="2657"/>
      <c r="BR16" s="2657"/>
      <c r="BS16" s="2657"/>
      <c r="BT16" s="2657"/>
      <c r="BU16" s="2657"/>
      <c r="BV16" s="2657"/>
      <c r="BW16" s="2657"/>
      <c r="BX16" s="2657"/>
      <c r="BY16" s="2657"/>
      <c r="BZ16" s="2657"/>
      <c r="CA16" s="2657"/>
      <c r="CB16" s="2657"/>
      <c r="CC16" s="2657"/>
      <c r="CD16" s="2657"/>
      <c r="CE16" s="2657"/>
      <c r="CF16" s="2657"/>
      <c r="CG16" s="2657"/>
      <c r="CH16" s="2657"/>
      <c r="CI16" s="2657"/>
      <c r="CJ16" s="2657"/>
      <c r="CK16" s="2657"/>
      <c r="CL16" s="2657"/>
      <c r="CM16" s="2657"/>
      <c r="CN16" s="2657"/>
      <c r="CO16" s="2657"/>
      <c r="CP16" s="2657"/>
      <c r="CQ16" s="2657"/>
      <c r="CR16" s="2657"/>
      <c r="CS16" s="2657"/>
      <c r="CT16" s="2657"/>
      <c r="CU16" s="2657"/>
      <c r="CV16" s="2657"/>
      <c r="CW16" s="2657"/>
      <c r="CX16" s="2657"/>
      <c r="CY16" s="2657"/>
      <c r="CZ16" s="2657"/>
      <c r="DA16" s="2657"/>
      <c r="DB16" s="2657"/>
      <c r="DC16" s="2657"/>
      <c r="DD16" s="2657"/>
      <c r="DE16" s="2657"/>
      <c r="DF16" s="2657"/>
      <c r="DG16" s="2657"/>
      <c r="DH16" s="2657"/>
      <c r="DI16" s="2657"/>
      <c r="DJ16" s="2657"/>
      <c r="DK16" s="2657"/>
      <c r="DL16" s="2657"/>
      <c r="DM16" s="2657"/>
      <c r="DN16" s="2657"/>
      <c r="DO16" s="2657"/>
      <c r="DP16" s="2657"/>
      <c r="DQ16" s="2657"/>
      <c r="DR16" s="2657"/>
      <c r="DS16" s="2657"/>
      <c r="DT16" s="2657"/>
      <c r="DU16" s="2657"/>
      <c r="DV16" s="2657"/>
      <c r="DW16" s="2657"/>
      <c r="DX16" s="2657"/>
      <c r="DY16" s="2657"/>
      <c r="DZ16" s="2657"/>
      <c r="EA16" s="2657"/>
      <c r="EB16" s="2657"/>
      <c r="EC16" s="2657"/>
      <c r="ED16" s="2657"/>
      <c r="EE16" s="2657"/>
      <c r="EF16" s="2657"/>
      <c r="EG16" s="2657"/>
      <c r="EH16" s="2657"/>
      <c r="EI16" s="2657"/>
      <c r="EJ16" s="2657"/>
      <c r="EK16" s="2657"/>
      <c r="EL16" s="2657"/>
      <c r="EM16" s="2657"/>
      <c r="EN16" s="2657"/>
      <c r="EO16" s="2657"/>
      <c r="EP16" s="2657"/>
      <c r="EQ16" s="2657"/>
      <c r="ER16" s="2657"/>
      <c r="ES16" s="2657"/>
      <c r="ET16" s="2657"/>
      <c r="EU16" s="2657"/>
      <c r="EV16" s="2657"/>
      <c r="EW16" s="2657"/>
      <c r="EX16" s="2657"/>
      <c r="EY16" s="2657"/>
      <c r="EZ16" s="2657"/>
      <c r="FA16" s="2657"/>
      <c r="FB16" s="2657"/>
      <c r="FC16" s="2657"/>
      <c r="FD16" s="2657"/>
      <c r="FE16" s="2657"/>
    </row>
    <row r="17" spans="1:161" outlineLevel="2">
      <c r="B17" t="s">
        <v>255</v>
      </c>
      <c r="C17" t="s">
        <v>256</v>
      </c>
      <c r="D17" t="str">
        <f t="shared" si="0"/>
      </c>
      <c r="F17" s="2657"/>
      <c r="G17" s="2657"/>
      <c r="H17" s="2657"/>
      <c r="I17" s="2657"/>
      <c r="J17" s="2657"/>
      <c r="K17" s="2657"/>
      <c r="L17" s="2657"/>
      <c r="M17" s="2657"/>
      <c r="N17" s="2657"/>
      <c r="O17" s="2657"/>
      <c r="P17" s="2657"/>
      <c r="Q17" s="2657"/>
      <c r="R17" s="2657"/>
      <c r="S17" s="2657"/>
      <c r="T17" s="2657"/>
      <c r="U17" s="2657"/>
      <c r="V17" s="2657"/>
      <c r="W17" s="2657"/>
      <c r="X17" s="2657"/>
      <c r="Y17" s="2657"/>
      <c r="Z17" s="2657"/>
      <c r="AA17" s="2657"/>
      <c r="AB17" s="2657"/>
      <c r="AC17" s="2657"/>
      <c r="AD17" s="2657"/>
      <c r="AE17" s="2657"/>
      <c r="AF17" s="2657"/>
      <c r="AG17" s="2657"/>
      <c r="AH17" s="2657"/>
      <c r="AI17" s="2657"/>
      <c r="AJ17" s="2657"/>
      <c r="AK17" s="2657"/>
      <c r="AL17" s="2657"/>
      <c r="AM17" s="2657"/>
      <c r="AN17" s="2657"/>
      <c r="AO17" s="2657"/>
      <c r="AP17" s="2657"/>
      <c r="AQ17" s="2657"/>
      <c r="AR17" s="2657"/>
      <c r="AS17" s="2657"/>
      <c r="AT17" s="2657"/>
      <c r="AU17" s="2657"/>
      <c r="AV17" s="2657"/>
      <c r="AW17" s="2657"/>
      <c r="AX17" s="2657">
        <v>0</v>
      </c>
      <c r="AY17" s="2657">
        <v>0</v>
      </c>
      <c r="AZ17" s="2657">
        <v>0</v>
      </c>
      <c r="BA17" s="2657">
        <v>0</v>
      </c>
      <c r="BB17" s="2657">
        <v>0</v>
      </c>
      <c r="BC17" s="2657">
        <v>0</v>
      </c>
      <c r="BD17" s="2657">
        <v>0</v>
      </c>
      <c r="BE17" s="2657">
        <v>0</v>
      </c>
      <c r="BF17" s="2657">
        <v>0</v>
      </c>
      <c r="BG17" s="2657">
        <v>0</v>
      </c>
      <c r="BH17" s="2657">
        <v>0</v>
      </c>
      <c r="BI17" s="2657">
        <v>0</v>
      </c>
      <c r="BJ17" s="2657">
        <v>0</v>
      </c>
      <c r="BK17" s="2657">
        <v>0</v>
      </c>
      <c r="BL17" s="2657">
        <v>0</v>
      </c>
      <c r="BM17" s="2657">
        <v>0</v>
      </c>
      <c r="BN17" s="2657">
        <v>0</v>
      </c>
      <c r="BO17" s="2657">
        <v>0</v>
      </c>
      <c r="BP17" s="2657">
        <v>0</v>
      </c>
      <c r="BQ17" s="2657">
        <v>0</v>
      </c>
      <c r="BR17" s="2657">
        <v>0</v>
      </c>
      <c r="BS17" s="2657">
        <v>0</v>
      </c>
      <c r="BT17" s="2657">
        <v>0</v>
      </c>
      <c r="BU17" s="2657">
        <v>0</v>
      </c>
      <c r="BV17" s="2657">
        <v>0</v>
      </c>
      <c r="BW17" s="2657"/>
      <c r="BX17" s="2657"/>
      <c r="BY17" s="2657"/>
      <c r="BZ17" s="2657"/>
      <c r="CA17" s="2657"/>
      <c r="CB17" s="2657"/>
      <c r="CC17" s="2657"/>
      <c r="CD17" s="2657"/>
      <c r="CE17" s="2657"/>
      <c r="CF17" s="2657"/>
      <c r="CG17" s="2657"/>
      <c r="CH17" s="2657"/>
      <c r="CI17" s="2657"/>
      <c r="CJ17" s="2657"/>
      <c r="CK17" s="2657"/>
      <c r="CL17" s="2657"/>
      <c r="CM17" s="2657"/>
      <c r="CN17" s="2657"/>
      <c r="CO17" s="2657"/>
      <c r="CP17" s="2657"/>
      <c r="CQ17" s="2657"/>
      <c r="CR17" s="2657"/>
      <c r="CS17" s="2657"/>
      <c r="CT17" s="2657"/>
      <c r="CU17" s="2657"/>
      <c r="CV17" s="2657"/>
      <c r="CW17" s="2657"/>
      <c r="CX17" s="2657"/>
      <c r="CY17" s="2657"/>
      <c r="CZ17" s="2657"/>
      <c r="DA17" s="2657"/>
      <c r="DB17" s="2657"/>
      <c r="DC17" s="2657"/>
      <c r="DD17" s="2657"/>
      <c r="DE17" s="2657"/>
      <c r="DF17" s="2657"/>
      <c r="DG17" s="2657"/>
      <c r="DH17" s="2657"/>
      <c r="DI17" s="2657"/>
      <c r="DJ17" s="2657"/>
      <c r="DK17" s="2657"/>
      <c r="DL17" s="2657"/>
      <c r="DM17" s="2657"/>
      <c r="DN17" s="2657"/>
      <c r="DO17" s="2657"/>
      <c r="DP17" s="2657"/>
      <c r="DQ17" s="2657"/>
      <c r="DR17" s="2657"/>
      <c r="DS17" s="2657"/>
      <c r="DT17" s="2657"/>
      <c r="DU17" s="2657"/>
      <c r="DV17" s="2657"/>
      <c r="DW17" s="2657"/>
      <c r="DX17" s="2657"/>
      <c r="DY17" s="2657"/>
      <c r="DZ17" s="2657"/>
      <c r="EA17" s="2657"/>
      <c r="EB17" s="2657"/>
      <c r="EC17" s="2657"/>
      <c r="ED17" s="2657"/>
      <c r="EE17" s="2657"/>
      <c r="EF17" s="2657"/>
      <c r="EG17" s="2657"/>
      <c r="EH17" s="2657"/>
      <c r="EI17" s="2657"/>
      <c r="EJ17" s="2657"/>
      <c r="EK17" s="2657"/>
      <c r="EL17" s="2657"/>
      <c r="EM17" s="2657"/>
      <c r="EN17" s="2657"/>
      <c r="EO17" s="2657"/>
      <c r="EP17" s="2657"/>
      <c r="EQ17" s="2657"/>
      <c r="ER17" s="2657"/>
      <c r="ES17" s="2657"/>
      <c r="ET17" s="2657"/>
      <c r="EU17" s="2657"/>
      <c r="EV17" s="2657"/>
      <c r="EW17" s="2657"/>
      <c r="EX17" s="2657"/>
      <c r="EY17" s="2657"/>
      <c r="EZ17" s="2657"/>
      <c r="FA17" s="2657"/>
      <c r="FB17" s="2657"/>
      <c r="FC17" s="2657"/>
      <c r="FD17" s="2657"/>
      <c r="FE17" s="2657"/>
    </row>
    <row r="18" spans="1:161" outlineLevel="2">
      <c r="B18" t="s">
        <v>257</v>
      </c>
      <c r="C18" t="s">
        <v>258</v>
      </c>
      <c r="D18" t="str">
        <f t="shared" si="0"/>
      </c>
      <c r="F18" s="2657">
        <f>-('Income Statement'!EQ10+'Income Statement'!EQ14)</f>
      </c>
      <c r="G18" s="2657">
        <f>-('Income Statement'!ER10+'Income Statement'!ER14)</f>
      </c>
      <c r="H18" s="2657">
        <f>-('Income Statement'!ES10+'Income Statement'!ES14)</f>
      </c>
      <c r="I18" s="2657">
        <f>-('Income Statement'!ET10+'Income Statement'!ET14)</f>
      </c>
      <c r="J18" s="2657">
        <f>-('Income Statement'!EU10+'Income Statement'!EU14)</f>
      </c>
      <c r="K18" s="2657">
        <f>-('Income Statement'!EV10+'Income Statement'!EV14)</f>
      </c>
      <c r="L18" s="2657">
        <f>-('Income Statement'!EW10+'Income Statement'!EW14)</f>
      </c>
      <c r="M18" s="2657">
        <f>-('Income Statement'!EX10+'Income Statement'!EX14)</f>
      </c>
      <c r="N18" s="2657">
        <f>-('Income Statement'!EY10+'Income Statement'!EY14)</f>
      </c>
      <c r="O18" s="2657">
        <f>-('Income Statement'!EZ10+'Income Statement'!EZ14)</f>
      </c>
      <c r="P18" s="2657">
        <f>-('Income Statement'!FA10+'Income Statement'!FA14)</f>
      </c>
      <c r="Q18" s="2657">
        <f>-('Income Statement'!FB10+'Income Statement'!FB14)</f>
      </c>
      <c r="R18" s="2657">
        <f>-('Income Statement'!FC10+'Income Statement'!FC14)</f>
      </c>
      <c r="S18" s="2657">
        <f>-('Income Statement'!FD10+'Income Statement'!FD14)</f>
      </c>
      <c r="T18" s="2657">
        <f>-('Income Statement'!FE10+'Income Statement'!FE14)</f>
      </c>
      <c r="U18" s="2657">
        <f>-('Income Statement'!FF10+'Income Statement'!FF14)</f>
      </c>
      <c r="V18" s="2657">
        <f>-('Income Statement'!FG10+'Income Statement'!FG14)</f>
      </c>
      <c r="W18" s="2657">
        <f>-('Income Statement'!FH10+'Income Statement'!FH14)</f>
      </c>
      <c r="X18" s="2657">
        <f>-('Income Statement'!FI10+'Income Statement'!FI14)</f>
      </c>
      <c r="Y18" s="2657">
        <f>-('Income Statement'!FJ10+'Income Statement'!FJ14)</f>
      </c>
      <c r="Z18" s="2657">
        <f>-('Income Statement'!FK10+'Income Statement'!FK14)</f>
      </c>
      <c r="AA18" s="2657">
        <f>-('Income Statement'!FL10+'Income Statement'!FL14)</f>
      </c>
      <c r="AB18" s="2657">
        <f>-('Income Statement'!FM10+'Income Statement'!FM14)</f>
      </c>
      <c r="AC18" s="2657">
        <f>-('Income Statement'!FN10+'Income Statement'!FN14)</f>
      </c>
      <c r="AD18" s="2657">
        <f>-('Income Statement'!FO10+'Income Statement'!FO14)</f>
      </c>
      <c r="AE18" s="2657">
        <f>-('Income Statement'!FP10+'Income Statement'!FP14)</f>
      </c>
      <c r="AF18" s="2657">
        <f>-('Income Statement'!FQ10+'Income Statement'!FQ14)</f>
      </c>
      <c r="AG18" s="2657">
        <f>-('Income Statement'!FR10+'Income Statement'!FR14)</f>
      </c>
      <c r="AH18" s="2657">
        <f>-('Income Statement'!FS10+'Income Statement'!FS14)</f>
      </c>
      <c r="AI18" s="2657">
        <f>-('Income Statement'!FT10+'Income Statement'!FT14)</f>
      </c>
      <c r="AJ18" s="2657">
        <f>-('Income Statement'!FU10+'Income Statement'!FU14)</f>
      </c>
      <c r="AK18" s="2657"/>
      <c r="AL18" s="2657">
        <f>-('Income Statement'!R10+'Income Statement'!R14)</f>
      </c>
      <c r="AM18" s="2657">
        <f>-('Income Statement'!S10+'Income Statement'!S14)</f>
      </c>
      <c r="AN18" s="2657">
        <f>-('Income Statement'!T10+'Income Statement'!T14)</f>
      </c>
      <c r="AO18" s="2657">
        <f>-('Income Statement'!U10+'Income Statement'!U14)</f>
      </c>
      <c r="AP18" s="2657">
        <f>-('Income Statement'!V10+'Income Statement'!V14)</f>
      </c>
      <c r="AQ18" s="2657">
        <f>-('Income Statement'!W10+'Income Statement'!W14)</f>
      </c>
      <c r="AR18" s="2657">
        <f>-('Income Statement'!X10+'Income Statement'!X14)</f>
      </c>
      <c r="AS18" s="2657">
        <f>-('Income Statement'!Y10+'Income Statement'!Y14)</f>
      </c>
      <c r="AT18" s="2657">
        <f>-('Income Statement'!Z10+'Income Statement'!Z14)</f>
      </c>
      <c r="AU18" s="2657">
        <f>-('Income Statement'!AA10+'Income Statement'!AA14)</f>
      </c>
      <c r="AV18" s="2657">
        <f>-('Income Statement'!AB10+'Income Statement'!AB14)</f>
      </c>
      <c r="AW18" s="2657">
        <f>-('Income Statement'!AC10+'Income Statement'!AC14)</f>
      </c>
      <c r="AX18" s="2657">
        <f>-('Income Statement'!AD10+'Income Statement'!AD14)</f>
      </c>
      <c r="AY18" s="2657">
        <f>-('Income Statement'!AE10+'Income Statement'!AE14)</f>
      </c>
      <c r="AZ18" s="2657">
        <f>-('Income Statement'!AF10+'Income Statement'!AF14)</f>
      </c>
      <c r="BA18" s="2657">
        <f>-('Income Statement'!AG10+'Income Statement'!AG14)</f>
      </c>
      <c r="BB18" s="2657">
        <f>-('Income Statement'!AH10+'Income Statement'!AH14)</f>
      </c>
      <c r="BC18" s="2657">
        <f>-('Income Statement'!AI10+'Income Statement'!AI14)</f>
      </c>
      <c r="BD18" s="2657">
        <f>-('Income Statement'!AJ10+'Income Statement'!AJ14)</f>
      </c>
      <c r="BE18" s="2657">
        <f>-('Income Statement'!AK10+'Income Statement'!AK14)</f>
      </c>
      <c r="BF18" s="2657">
        <f>-('Income Statement'!AL10+'Income Statement'!AL14)</f>
      </c>
      <c r="BG18" s="2657">
        <f>-('Income Statement'!AM10+'Income Statement'!AM14)</f>
      </c>
      <c r="BH18" s="2657">
        <f>-('Income Statement'!AN10+'Income Statement'!AN14)</f>
      </c>
      <c r="BI18" s="2657">
        <f>-('Income Statement'!AO10+'Income Statement'!AO14)</f>
      </c>
      <c r="BJ18" s="2657">
        <f>-('Income Statement'!AP10+'Income Statement'!AP14)</f>
      </c>
      <c r="BK18" s="2657">
        <f>-('Income Statement'!AQ10+'Income Statement'!AQ14)</f>
      </c>
      <c r="BL18" s="2657">
        <f>-('Income Statement'!AR10+'Income Statement'!AR14)</f>
      </c>
      <c r="BM18" s="2657">
        <f>-('Income Statement'!AS10+'Income Statement'!AS14)</f>
      </c>
      <c r="BN18" s="2657">
        <f>-('Income Statement'!AT10+'Income Statement'!AT14)</f>
      </c>
      <c r="BO18" s="2657">
        <f>-('Income Statement'!AU10+'Income Statement'!AU14)</f>
      </c>
      <c r="BP18" s="2657">
        <f>-('Income Statement'!AV10+'Income Statement'!AV14)</f>
      </c>
      <c r="BQ18" s="2657">
        <f>-('Income Statement'!AW10+'Income Statement'!AW14)</f>
      </c>
      <c r="BR18" s="2657">
        <f>-('Income Statement'!AX10+'Income Statement'!AX14)</f>
      </c>
      <c r="BS18" s="2657">
        <f>-('Income Statement'!AY10+'Income Statement'!AY14)</f>
      </c>
      <c r="BT18" s="2657">
        <f>-('Income Statement'!AZ10+'Income Statement'!AZ14)</f>
      </c>
      <c r="BU18" s="2657">
        <f>-('Income Statement'!BA10+'Income Statement'!BA14)</f>
      </c>
      <c r="BV18" s="2657">
        <f>-('Income Statement'!BB10+'Income Statement'!BB14)</f>
      </c>
      <c r="BW18" s="2657">
        <f>-('Income Statement'!BC10+'Income Statement'!BC14)</f>
      </c>
      <c r="BX18" s="2657">
        <f>-('Income Statement'!BD10+'Income Statement'!BD14)</f>
      </c>
      <c r="BY18" s="2657">
        <f>-('Income Statement'!BE10+'Income Statement'!BE14)</f>
      </c>
      <c r="BZ18" s="2657">
        <f>-('Income Statement'!BF10+'Income Statement'!BF14)</f>
      </c>
      <c r="CA18" s="2657">
        <f>-('Income Statement'!BG10+'Income Statement'!BG14)</f>
      </c>
      <c r="CB18" s="2657">
        <f>-('Income Statement'!BH10+'Income Statement'!BH14)</f>
      </c>
      <c r="CC18" s="2657">
        <f>-('Income Statement'!BI10+'Income Statement'!BI14)</f>
      </c>
      <c r="CD18" s="2657">
        <f>-('Income Statement'!BJ10+'Income Statement'!BJ14)</f>
      </c>
      <c r="CE18" s="2657">
        <f>-('Income Statement'!BK10+'Income Statement'!BK14)</f>
      </c>
      <c r="CF18" s="2657">
        <f>-('Income Statement'!BL10+'Income Statement'!BL14)</f>
      </c>
      <c r="CG18" s="2657">
        <f>-('Income Statement'!BM10+'Income Statement'!BM14)</f>
      </c>
      <c r="CH18" s="2657">
        <f>-('Income Statement'!BN10+'Income Statement'!BN14)</f>
      </c>
      <c r="CI18" s="2657">
        <f>-('Income Statement'!BO10+'Income Statement'!BO14)</f>
      </c>
      <c r="CJ18" s="2657">
        <f>-('Income Statement'!BP10+'Income Statement'!BP14)</f>
      </c>
      <c r="CK18" s="2657">
        <f>-('Income Statement'!BQ10+'Income Statement'!BQ14)</f>
      </c>
      <c r="CL18" s="2657">
        <f>-('Income Statement'!BR10+'Income Statement'!BR14)</f>
      </c>
      <c r="CM18" s="2657">
        <f>-('Income Statement'!BS10+'Income Statement'!BS14)</f>
      </c>
      <c r="CN18" s="2657">
        <f>-('Income Statement'!BT10+'Income Statement'!BT14)</f>
      </c>
      <c r="CO18" s="2657">
        <f>-('Income Statement'!BU10+'Income Statement'!BU14)</f>
      </c>
      <c r="CP18" s="2657">
        <f>-('Income Statement'!BV10+'Income Statement'!BV14)</f>
      </c>
      <c r="CQ18" s="2657">
        <f>-('Income Statement'!BW10+'Income Statement'!BW14)</f>
      </c>
      <c r="CR18" s="2657">
        <f>-('Income Statement'!BX10+'Income Statement'!BX14)</f>
      </c>
      <c r="CS18" s="2657">
        <f>-('Income Statement'!BY10+'Income Statement'!BY14)</f>
      </c>
      <c r="CT18" s="2657">
        <f>-('Income Statement'!BZ10+'Income Statement'!BZ14)</f>
      </c>
      <c r="CU18" s="2657">
        <f>-('Income Statement'!CA10+'Income Statement'!CA14)</f>
      </c>
      <c r="CV18" s="2657">
        <f>-('Income Statement'!CB10+'Income Statement'!CB14)</f>
      </c>
      <c r="CW18" s="2657">
        <f>-('Income Statement'!CC10+'Income Statement'!CC14)</f>
      </c>
      <c r="CX18" s="2657">
        <f>-('Income Statement'!CD10+'Income Statement'!CD14)</f>
      </c>
      <c r="CY18" s="2657">
        <f>-('Income Statement'!CE10+'Income Statement'!CE14)</f>
      </c>
      <c r="CZ18" s="2657">
        <f>-('Income Statement'!CF10+'Income Statement'!CF14)</f>
      </c>
      <c r="DA18" s="2657">
        <f>-('Income Statement'!CG10+'Income Statement'!CG14)</f>
      </c>
      <c r="DB18" s="2657">
        <f>-('Income Statement'!CH10+'Income Statement'!CH14)</f>
      </c>
      <c r="DC18" s="2657">
        <f>-('Income Statement'!CI10+'Income Statement'!CI14)</f>
      </c>
      <c r="DD18" s="2657">
        <f>-('Income Statement'!CJ10+'Income Statement'!CJ14)</f>
      </c>
      <c r="DE18" s="2657">
        <f>-('Income Statement'!CK10+'Income Statement'!CK14)</f>
      </c>
      <c r="DF18" s="2657">
        <f>-('Income Statement'!CL10+'Income Statement'!CL14)</f>
      </c>
      <c r="DG18" s="2657">
        <f>-('Income Statement'!CM10+'Income Statement'!CM14)</f>
      </c>
      <c r="DH18" s="2657">
        <f>-('Income Statement'!CN10+'Income Statement'!CN14)</f>
      </c>
      <c r="DI18" s="2657">
        <f>-('Income Statement'!CO10+'Income Statement'!CO14)</f>
      </c>
      <c r="DJ18" s="2657">
        <f>-('Income Statement'!CP10+'Income Statement'!CP14)</f>
      </c>
      <c r="DK18" s="2657">
        <f>-('Income Statement'!CQ10+'Income Statement'!CQ14)</f>
      </c>
      <c r="DL18" s="2657">
        <f>-('Income Statement'!CR10+'Income Statement'!CR14)</f>
      </c>
      <c r="DM18" s="2657">
        <f>-('Income Statement'!CS10+'Income Statement'!CS14)</f>
      </c>
      <c r="DN18" s="2657">
        <f>-('Income Statement'!CT10+'Income Statement'!CT14)</f>
      </c>
      <c r="DO18" s="2657">
        <f>-('Income Statement'!CU10+'Income Statement'!CU14)</f>
      </c>
      <c r="DP18" s="2657">
        <f>-('Income Statement'!CV10+'Income Statement'!CV14)</f>
      </c>
      <c r="DQ18" s="2657">
        <f>-('Income Statement'!CW10+'Income Statement'!CW14)</f>
      </c>
      <c r="DR18" s="2657">
        <f>-('Income Statement'!CX10+'Income Statement'!CX14)</f>
      </c>
      <c r="DS18" s="2657">
        <f>-('Income Statement'!CY10+'Income Statement'!CY14)</f>
      </c>
      <c r="DT18" s="2657">
        <f>-('Income Statement'!CZ10+'Income Statement'!CZ14)</f>
      </c>
      <c r="DU18" s="2657">
        <f>-('Income Statement'!DA10+'Income Statement'!DA14)</f>
      </c>
      <c r="DV18" s="2657">
        <f>-('Income Statement'!DB10+'Income Statement'!DB14)</f>
      </c>
      <c r="DW18" s="2657">
        <f>-('Income Statement'!DC10+'Income Statement'!DC14)</f>
      </c>
      <c r="DX18" s="2657">
        <f>-('Income Statement'!DD10+'Income Statement'!DD14)</f>
      </c>
      <c r="DY18" s="2657">
        <f>-('Income Statement'!DE10+'Income Statement'!DE14)</f>
      </c>
      <c r="DZ18" s="2657">
        <f>-('Income Statement'!DF10+'Income Statement'!DF14)</f>
      </c>
      <c r="EA18" s="2657">
        <f>-('Income Statement'!DG10+'Income Statement'!DG14)</f>
      </c>
      <c r="EB18" s="2657">
        <f>-('Income Statement'!DH10+'Income Statement'!DH14)</f>
      </c>
      <c r="EC18" s="2657">
        <f>-('Income Statement'!DI10+'Income Statement'!DI14)</f>
      </c>
      <c r="ED18" s="2657">
        <f>-('Income Statement'!DJ10+'Income Statement'!DJ14)</f>
      </c>
      <c r="EE18" s="2657">
        <f>-('Income Statement'!DK10+'Income Statement'!DK14)</f>
      </c>
      <c r="EF18" s="2657">
        <f>-('Income Statement'!DL10+'Income Statement'!DL14)</f>
      </c>
      <c r="EG18" s="2657">
        <f>-('Income Statement'!DM10+'Income Statement'!DM14)</f>
      </c>
      <c r="EH18" s="2657">
        <f>-('Income Statement'!DN10+'Income Statement'!DN14)</f>
      </c>
      <c r="EI18" s="2657">
        <f>-('Income Statement'!DO10+'Income Statement'!DO14)</f>
      </c>
      <c r="EJ18" s="2657">
        <f>-('Income Statement'!DP10+'Income Statement'!DP14)</f>
      </c>
      <c r="EK18" s="2657">
        <f>-('Income Statement'!DQ10+'Income Statement'!DQ14)</f>
      </c>
      <c r="EL18" s="2657">
        <f>-('Income Statement'!DR10+'Income Statement'!DR14)</f>
      </c>
      <c r="EM18" s="2657">
        <f>-('Income Statement'!DS10+'Income Statement'!DS14)</f>
      </c>
      <c r="EN18" s="2657">
        <f>-('Income Statement'!DT10+'Income Statement'!DT14)</f>
      </c>
      <c r="EO18" s="2657">
        <f>-('Income Statement'!DU10+'Income Statement'!DU14)</f>
      </c>
      <c r="EP18" s="2657">
        <f>-('Income Statement'!DV10+'Income Statement'!DV14)</f>
      </c>
      <c r="EQ18" s="2657">
        <f>-('Income Statement'!DW10+'Income Statement'!DW14)</f>
      </c>
      <c r="ER18" s="2657">
        <f>-('Income Statement'!DX10+'Income Statement'!DX14)</f>
      </c>
      <c r="ES18" s="2657">
        <f>-('Income Statement'!DY10+'Income Statement'!DY14)</f>
      </c>
      <c r="ET18" s="2657">
        <f>-('Income Statement'!DZ10+'Income Statement'!DZ14)</f>
      </c>
      <c r="EU18" s="2657">
        <f>-('Income Statement'!EA10+'Income Statement'!EA14)</f>
      </c>
      <c r="EV18" s="2657">
        <f>-('Income Statement'!EB10+'Income Statement'!EB14)</f>
      </c>
      <c r="EW18" s="2657">
        <f>-('Income Statement'!EC10+'Income Statement'!EC14)</f>
      </c>
      <c r="EX18" s="2657">
        <f>-('Income Statement'!ED10+'Income Statement'!ED14)</f>
      </c>
      <c r="EY18" s="2657">
        <f>-('Income Statement'!EE10+'Income Statement'!EE14)</f>
      </c>
      <c r="EZ18" s="2657">
        <f>-('Income Statement'!EF10+'Income Statement'!EF14)</f>
      </c>
      <c r="FA18" s="2657">
        <f>-('Income Statement'!EG10+'Income Statement'!EG14)</f>
      </c>
      <c r="FB18" s="2657">
        <f>-('Income Statement'!EH10+'Income Statement'!EH14)</f>
      </c>
      <c r="FC18" s="2657">
        <f>-('Income Statement'!EI10+'Income Statement'!EI14)</f>
      </c>
      <c r="FD18" s="2657">
        <f>-('Income Statement'!EJ10+'Income Statement'!EJ14)</f>
      </c>
      <c r="FE18" s="2657">
        <f>-('Income Statement'!EK10+'Income Statement'!EK14)</f>
      </c>
    </row>
    <row r="19" spans="1:161" outlineLevel="2">
      <c r="B19" t="s">
        <v>259</v>
      </c>
      <c r="C19" t="s">
        <v>260</v>
      </c>
      <c r="D19" t="str">
        <f t="shared" si="0"/>
      </c>
      <c r="F19" s="2657">
        <f t="shared" ref="F19:AI19" si="1">+F18-SUM(F21:F22)</f>
      </c>
      <c r="G19" s="2657">
        <f t="shared" si="1"/>
      </c>
      <c r="H19" s="2657">
        <f t="shared" si="1"/>
      </c>
      <c r="I19" s="2657">
        <f t="shared" si="1"/>
      </c>
      <c r="J19" s="2657">
        <f t="shared" si="1"/>
      </c>
      <c r="K19" s="2657">
        <f t="shared" si="1"/>
      </c>
      <c r="L19" s="2657">
        <f t="shared" si="1"/>
      </c>
      <c r="M19" s="2657">
        <f t="shared" si="1"/>
      </c>
      <c r="N19" s="2657">
        <f t="shared" si="1"/>
      </c>
      <c r="O19" s="2657">
        <f t="shared" si="1"/>
      </c>
      <c r="P19" s="2657">
        <f t="shared" si="1"/>
      </c>
      <c r="Q19" s="2657">
        <f t="shared" si="1"/>
      </c>
      <c r="R19" s="2657">
        <f t="shared" si="1"/>
      </c>
      <c r="S19" s="2657">
        <f t="shared" si="1"/>
      </c>
      <c r="T19" s="2657">
        <f t="shared" si="1"/>
      </c>
      <c r="U19" s="2657">
        <f t="shared" si="1"/>
      </c>
      <c r="V19" s="2657">
        <f t="shared" si="1"/>
      </c>
      <c r="W19" s="2657">
        <f t="shared" si="1"/>
      </c>
      <c r="X19" s="2657">
        <f t="shared" si="1"/>
      </c>
      <c r="Y19" s="2657">
        <f t="shared" si="1"/>
      </c>
      <c r="Z19" s="2657">
        <f t="shared" si="1"/>
      </c>
      <c r="AA19" s="2657">
        <f t="shared" si="1"/>
      </c>
      <c r="AB19" s="2657">
        <f t="shared" si="1"/>
      </c>
      <c r="AC19" s="2657">
        <f t="shared" si="1"/>
      </c>
      <c r="AD19" s="2657">
        <f t="shared" si="1"/>
      </c>
      <c r="AE19" s="2657">
        <f t="shared" si="1"/>
      </c>
      <c r="AF19" s="2657">
        <f t="shared" si="1"/>
      </c>
      <c r="AG19" s="2657">
        <f t="shared" si="1"/>
      </c>
      <c r="AH19" s="2657">
        <f t="shared" si="1"/>
      </c>
      <c r="AI19" s="2657">
        <f t="shared" si="1"/>
      </c>
      <c r="AJ19" s="2657">
        <f>+AJ18-SUM(AJ21:AJ22)</f>
      </c>
      <c r="AK19" s="2657"/>
      <c r="AL19" s="2657">
        <f>+AL18-SUM(AL21:AL22)</f>
      </c>
      <c r="AM19" s="2657">
        <f t="shared" ref="AM19:CX19" si="2">+AM18-SUM(AM21:AM22)</f>
      </c>
      <c r="AN19" s="2657">
        <f t="shared" si="2"/>
      </c>
      <c r="AO19" s="2657">
        <f t="shared" si="2"/>
      </c>
      <c r="AP19" s="2657">
        <f t="shared" si="2"/>
      </c>
      <c r="AQ19" s="2657">
        <f t="shared" si="2"/>
      </c>
      <c r="AR19" s="2657">
        <f t="shared" si="2"/>
      </c>
      <c r="AS19" s="2657">
        <f t="shared" si="2"/>
      </c>
      <c r="AT19" s="2657">
        <f t="shared" si="2"/>
      </c>
      <c r="AU19" s="2657">
        <f t="shared" si="2"/>
      </c>
      <c r="AV19" s="2657">
        <f t="shared" si="2"/>
      </c>
      <c r="AW19" s="2657">
        <f t="shared" si="2"/>
      </c>
      <c r="AX19" s="2657">
        <f t="shared" si="2"/>
      </c>
      <c r="AY19" s="2657">
        <f t="shared" si="2"/>
      </c>
      <c r="AZ19" s="2657">
        <f t="shared" si="2"/>
      </c>
      <c r="BA19" s="2657">
        <f t="shared" si="2"/>
      </c>
      <c r="BB19" s="2657">
        <f t="shared" si="2"/>
      </c>
      <c r="BC19" s="2657">
        <f t="shared" si="2"/>
      </c>
      <c r="BD19" s="2657">
        <f t="shared" si="2"/>
      </c>
      <c r="BE19" s="2657">
        <f t="shared" si="2"/>
      </c>
      <c r="BF19" s="2657">
        <f t="shared" si="2"/>
      </c>
      <c r="BG19" s="2657">
        <f t="shared" si="2"/>
      </c>
      <c r="BH19" s="2657">
        <f t="shared" si="2"/>
      </c>
      <c r="BI19" s="2657">
        <f t="shared" si="2"/>
      </c>
      <c r="BJ19" s="2657">
        <f t="shared" si="2"/>
      </c>
      <c r="BK19" s="2657">
        <f t="shared" si="2"/>
      </c>
      <c r="BL19" s="2657">
        <f t="shared" si="2"/>
      </c>
      <c r="BM19" s="2657">
        <f t="shared" si="2"/>
      </c>
      <c r="BN19" s="2657">
        <f t="shared" si="2"/>
      </c>
      <c r="BO19" s="2657">
        <f t="shared" si="2"/>
      </c>
      <c r="BP19" s="2657">
        <f t="shared" si="2"/>
      </c>
      <c r="BQ19" s="2657">
        <f t="shared" si="2"/>
      </c>
      <c r="BR19" s="2657">
        <f t="shared" si="2"/>
      </c>
      <c r="BS19" s="2657">
        <f t="shared" si="2"/>
      </c>
      <c r="BT19" s="2657">
        <f t="shared" si="2"/>
      </c>
      <c r="BU19" s="2657">
        <f t="shared" si="2"/>
      </c>
      <c r="BV19" s="2657">
        <f t="shared" si="2"/>
      </c>
      <c r="BW19" s="2657">
        <f t="shared" si="2"/>
      </c>
      <c r="BX19" s="2657">
        <f t="shared" si="2"/>
      </c>
      <c r="BY19" s="2657">
        <f t="shared" si="2"/>
      </c>
      <c r="BZ19" s="2657">
        <f t="shared" si="2"/>
      </c>
      <c r="CA19" s="2657">
        <f t="shared" si="2"/>
      </c>
      <c r="CB19" s="2657">
        <f t="shared" si="2"/>
      </c>
      <c r="CC19" s="2657">
        <f t="shared" si="2"/>
      </c>
      <c r="CD19" s="2657">
        <f t="shared" si="2"/>
      </c>
      <c r="CE19" s="2657">
        <f t="shared" si="2"/>
      </c>
      <c r="CF19" s="2657">
        <f t="shared" si="2"/>
      </c>
      <c r="CG19" s="2657">
        <f t="shared" si="2"/>
      </c>
      <c r="CH19" s="2657">
        <f t="shared" si="2"/>
      </c>
      <c r="CI19" s="2657">
        <f t="shared" si="2"/>
      </c>
      <c r="CJ19" s="2657">
        <f t="shared" si="2"/>
      </c>
      <c r="CK19" s="2657">
        <f t="shared" si="2"/>
      </c>
      <c r="CL19" s="2657">
        <f t="shared" si="2"/>
      </c>
      <c r="CM19" s="2657">
        <f t="shared" si="2"/>
      </c>
      <c r="CN19" s="2657">
        <f t="shared" si="2"/>
      </c>
      <c r="CO19" s="2657">
        <f t="shared" si="2"/>
      </c>
      <c r="CP19" s="2657">
        <f t="shared" si="2"/>
      </c>
      <c r="CQ19" s="2657">
        <f t="shared" si="2"/>
      </c>
      <c r="CR19" s="2657">
        <f t="shared" si="2"/>
      </c>
      <c r="CS19" s="2657">
        <f t="shared" si="2"/>
      </c>
      <c r="CT19" s="2657">
        <f t="shared" si="2"/>
      </c>
      <c r="CU19" s="2657">
        <f t="shared" si="2"/>
      </c>
      <c r="CV19" s="2657">
        <f t="shared" si="2"/>
      </c>
      <c r="CW19" s="2657">
        <f t="shared" si="2"/>
      </c>
      <c r="CX19" s="2657">
        <f t="shared" si="2"/>
      </c>
      <c r="CY19" s="2657">
        <f t="shared" ref="CY19:EK19" si="3">+CY18-SUM(CY21:CY22)</f>
      </c>
      <c r="CZ19" s="2657">
        <f t="shared" si="3"/>
      </c>
      <c r="DA19" s="2657">
        <f t="shared" si="3"/>
      </c>
      <c r="DB19" s="2657">
        <f t="shared" si="3"/>
      </c>
      <c r="DC19" s="2657">
        <f t="shared" si="3"/>
      </c>
      <c r="DD19" s="2657">
        <f t="shared" si="3"/>
      </c>
      <c r="DE19" s="2657">
        <f t="shared" si="3"/>
      </c>
      <c r="DF19" s="2657">
        <f t="shared" si="3"/>
      </c>
      <c r="DG19" s="2657">
        <f t="shared" si="3"/>
      </c>
      <c r="DH19" s="2657">
        <f t="shared" si="3"/>
      </c>
      <c r="DI19" s="2657">
        <f t="shared" si="3"/>
      </c>
      <c r="DJ19" s="2657">
        <f t="shared" si="3"/>
      </c>
      <c r="DK19" s="2657">
        <f t="shared" si="3"/>
      </c>
      <c r="DL19" s="2657">
        <f t="shared" si="3"/>
      </c>
      <c r="DM19" s="2657">
        <f t="shared" si="3"/>
      </c>
      <c r="DN19" s="2657">
        <f t="shared" si="3"/>
      </c>
      <c r="DO19" s="2657">
        <f t="shared" si="3"/>
      </c>
      <c r="DP19" s="2657">
        <f t="shared" si="3"/>
      </c>
      <c r="DQ19" s="2657">
        <f t="shared" si="3"/>
      </c>
      <c r="DR19" s="2657">
        <f t="shared" si="3"/>
      </c>
      <c r="DS19" s="2657">
        <f t="shared" si="3"/>
      </c>
      <c r="DT19" s="2657">
        <f t="shared" si="3"/>
      </c>
      <c r="DU19" s="2657">
        <f t="shared" si="3"/>
      </c>
      <c r="DV19" s="2657">
        <f t="shared" si="3"/>
      </c>
      <c r="DW19" s="2657">
        <f t="shared" si="3"/>
      </c>
      <c r="DX19" s="2657">
        <f t="shared" si="3"/>
      </c>
      <c r="DY19" s="2657">
        <f t="shared" si="3"/>
      </c>
      <c r="DZ19" s="2657">
        <f t="shared" si="3"/>
      </c>
      <c r="EA19" s="2657">
        <f t="shared" si="3"/>
      </c>
      <c r="EB19" s="2657">
        <f t="shared" si="3"/>
      </c>
      <c r="EC19" s="2657">
        <f t="shared" si="3"/>
      </c>
      <c r="ED19" s="2657">
        <f t="shared" si="3"/>
      </c>
      <c r="EE19" s="2657">
        <f t="shared" si="3"/>
      </c>
      <c r="EF19" s="2657">
        <f t="shared" si="3"/>
      </c>
      <c r="EG19" s="2657">
        <f t="shared" si="3"/>
      </c>
      <c r="EH19" s="2657">
        <f t="shared" si="3"/>
      </c>
      <c r="EI19" s="2657">
        <f t="shared" si="3"/>
      </c>
      <c r="EJ19" s="2657">
        <f t="shared" si="3"/>
      </c>
      <c r="EK19" s="2657">
        <f t="shared" si="3"/>
      </c>
      <c r="EL19" s="2657">
        <f t="shared" ref="EL19:FE19" si="4">+EL18-SUM(EL21:EL22)</f>
      </c>
      <c r="EM19" s="2657">
        <f t="shared" si="4"/>
      </c>
      <c r="EN19" s="2657">
        <f t="shared" si="4"/>
      </c>
      <c r="EO19" s="2657">
        <f t="shared" si="4"/>
      </c>
      <c r="EP19" s="2657">
        <f t="shared" si="4"/>
      </c>
      <c r="EQ19" s="2657">
        <f t="shared" si="4"/>
      </c>
      <c r="ER19" s="2657">
        <f t="shared" si="4"/>
      </c>
      <c r="ES19" s="2657">
        <f t="shared" si="4"/>
      </c>
      <c r="ET19" s="2657">
        <f t="shared" si="4"/>
      </c>
      <c r="EU19" s="2657">
        <f t="shared" si="4"/>
      </c>
      <c r="EV19" s="2657">
        <f t="shared" si="4"/>
      </c>
      <c r="EW19" s="2657">
        <f t="shared" si="4"/>
      </c>
      <c r="EX19" s="2657">
        <f t="shared" si="4"/>
      </c>
      <c r="EY19" s="2657">
        <f t="shared" si="4"/>
      </c>
      <c r="EZ19" s="2657">
        <f t="shared" si="4"/>
      </c>
      <c r="FA19" s="2657">
        <f t="shared" si="4"/>
      </c>
      <c r="FB19" s="2657">
        <f t="shared" si="4"/>
      </c>
      <c r="FC19" s="2657">
        <f t="shared" si="4"/>
      </c>
      <c r="FD19" s="2657">
        <f t="shared" si="4"/>
      </c>
      <c r="FE19" s="2657">
        <f t="shared" si="4"/>
      </c>
    </row>
    <row r="20" spans="1:161" outlineLevel="2">
      <c r="B20" t="s">
        <v>261</v>
      </c>
      <c r="C20" t="s">
        <v>262</v>
      </c>
      <c r="D20" t="str">
        <f t="shared" si="0"/>
      </c>
      <c r="F20" s="2657">
        <f>'Income Statement'!EQ9-('Income Statement'!EQ10+'Income Statement'!EQ14-'Cash Flow Statement'!ER12)</f>
      </c>
      <c r="G20" s="2657">
        <f>'Income Statement'!ER9-('Income Statement'!ER10+'Income Statement'!ER14-'Cash Flow Statement'!ES12)</f>
      </c>
      <c r="H20" s="2657">
        <f>'Income Statement'!ES9-('Income Statement'!ES10+'Income Statement'!ES14-'Cash Flow Statement'!ET12)</f>
      </c>
      <c r="I20" s="2657">
        <f>'Income Statement'!ET9-('Income Statement'!ET10+'Income Statement'!ET14-'Cash Flow Statement'!EU12)</f>
      </c>
      <c r="J20" s="2657">
        <f>'Income Statement'!EU9-('Income Statement'!EU10+'Income Statement'!EU14-'Cash Flow Statement'!EV12)</f>
      </c>
      <c r="K20" s="2657">
        <f>'Income Statement'!EV9-('Income Statement'!EV10+'Income Statement'!EV14-'Cash Flow Statement'!EW12)</f>
      </c>
      <c r="L20" s="2657">
        <f>'Income Statement'!EW9-('Income Statement'!EW10+'Income Statement'!EW14-'Cash Flow Statement'!EX12)</f>
      </c>
      <c r="M20" s="2657">
        <f>'Income Statement'!EX9-('Income Statement'!EX10+'Income Statement'!EX14-'Cash Flow Statement'!EY12)</f>
      </c>
      <c r="N20" s="2657">
        <f>'Income Statement'!EY9-('Income Statement'!EY10+'Income Statement'!EY14-'Cash Flow Statement'!EZ12)</f>
      </c>
      <c r="O20" s="2657">
        <f>'Income Statement'!EZ9-('Income Statement'!EZ10+'Income Statement'!EZ14-'Cash Flow Statement'!FA12)</f>
      </c>
      <c r="P20" s="2657">
        <f>'Income Statement'!FA9-('Income Statement'!FA10+'Income Statement'!FA14-'Cash Flow Statement'!FB12)</f>
      </c>
      <c r="Q20" s="2657">
        <f>'Income Statement'!FB9-('Income Statement'!FB10+'Income Statement'!FB14-'Cash Flow Statement'!FC12)</f>
      </c>
      <c r="R20" s="2657">
        <f>'Income Statement'!FC9-('Income Statement'!FC10+'Income Statement'!FC14-'Cash Flow Statement'!FD12)</f>
      </c>
      <c r="S20" s="2657">
        <f>'Income Statement'!FD9-('Income Statement'!FD10+'Income Statement'!FD14-'Cash Flow Statement'!FE12)</f>
      </c>
      <c r="T20" s="2657">
        <f>'Income Statement'!FE9-('Income Statement'!FE10+'Income Statement'!FE14-'Cash Flow Statement'!FF12)</f>
      </c>
      <c r="U20" s="2657">
        <f>'Income Statement'!FF9-('Income Statement'!FF10+'Income Statement'!FF14-'Cash Flow Statement'!FG12)</f>
      </c>
      <c r="V20" s="2657">
        <f>+'Income Statement'!FG17</f>
      </c>
      <c r="W20" s="2657">
        <f>+'Income Statement'!FH17</f>
      </c>
      <c r="X20" s="2657">
        <f>+'Income Statement'!FI17</f>
      </c>
      <c r="Y20" s="2657">
        <f>+'Income Statement'!FJ17</f>
      </c>
      <c r="Z20" s="2657">
        <f>+'Income Statement'!FK17</f>
      </c>
      <c r="AA20" s="2657">
        <f>+'Income Statement'!FL17</f>
      </c>
      <c r="AB20" s="2657">
        <f>+'Income Statement'!FM17</f>
      </c>
      <c r="AC20" s="2657">
        <f>+'Income Statement'!FN17</f>
      </c>
      <c r="AD20" s="2657">
        <f>+'Income Statement'!FO17</f>
      </c>
      <c r="AE20" s="2657">
        <f>+'Income Statement'!FP17</f>
      </c>
      <c r="AF20" s="2657">
        <f>+'Income Statement'!FQ17</f>
      </c>
      <c r="AG20" s="2657">
        <f>+'Income Statement'!FR17</f>
      </c>
      <c r="AH20" s="2657">
        <f>+'Income Statement'!FS17</f>
      </c>
      <c r="AI20" s="2657">
        <f>+'Income Statement'!FT17</f>
      </c>
      <c r="AJ20" s="2657">
        <f>+'Income Statement'!FU17</f>
      </c>
      <c r="AK20" s="2657"/>
      <c r="AL20" s="2657">
        <f>+'Income Statement'!R17</f>
      </c>
      <c r="AM20" s="2657">
        <f>+'Income Statement'!S17</f>
      </c>
      <c r="AN20" s="2657">
        <f>+'Income Statement'!T17</f>
      </c>
      <c r="AO20" s="2657">
        <f>+'Income Statement'!U17</f>
      </c>
      <c r="AP20" s="2657">
        <f>+'Income Statement'!V17</f>
      </c>
      <c r="AQ20" s="2657">
        <f>+'Income Statement'!W17</f>
      </c>
      <c r="AR20" s="2657">
        <f>+'Income Statement'!X17</f>
      </c>
      <c r="AS20" s="2657">
        <f>+'Income Statement'!Y17</f>
      </c>
      <c r="AT20" s="2657">
        <f>+'Income Statement'!Z17</f>
      </c>
      <c r="AU20" s="2657">
        <f>+'Income Statement'!AA17</f>
      </c>
      <c r="AV20" s="2657">
        <f>+'Income Statement'!AB17</f>
      </c>
      <c r="AW20" s="2657">
        <f>+'Income Statement'!AC17</f>
      </c>
      <c r="AX20" s="2657">
        <f>+'Income Statement'!AD17</f>
      </c>
      <c r="AY20" s="2657">
        <f>+'Income Statement'!AE17</f>
      </c>
      <c r="AZ20" s="2657">
        <f>+'Income Statement'!AF17</f>
      </c>
      <c r="BA20" s="2657">
        <f>+'Income Statement'!AG17</f>
      </c>
      <c r="BB20" s="2657">
        <f>+'Income Statement'!AH17</f>
      </c>
      <c r="BC20" s="2657">
        <f>+'Income Statement'!AI17</f>
      </c>
      <c r="BD20" s="2657">
        <f>+'Income Statement'!AJ17</f>
      </c>
      <c r="BE20" s="2657">
        <f>+'Income Statement'!AK17</f>
      </c>
      <c r="BF20" s="2657">
        <f>+'Income Statement'!AL17</f>
      </c>
      <c r="BG20" s="2657">
        <f>+'Income Statement'!AM17</f>
      </c>
      <c r="BH20" s="2657">
        <f>+'Income Statement'!AN17</f>
      </c>
      <c r="BI20" s="2657">
        <f>+'Income Statement'!AO17</f>
      </c>
      <c r="BJ20" s="2657">
        <f>+'Income Statement'!AP17</f>
      </c>
      <c r="BK20" s="2657">
        <f>+'Income Statement'!AQ17</f>
      </c>
      <c r="BL20" s="2657">
        <f>+'Income Statement'!AR17</f>
      </c>
      <c r="BM20" s="2657">
        <f>+'Income Statement'!AS17</f>
      </c>
      <c r="BN20" s="2657">
        <f>+'Income Statement'!AT17</f>
      </c>
      <c r="BO20" s="2657">
        <f>+'Income Statement'!AU17</f>
      </c>
      <c r="BP20" s="2657">
        <f>+'Income Statement'!AV17</f>
      </c>
      <c r="BQ20" s="2657">
        <f>+'Income Statement'!AW17</f>
      </c>
      <c r="BR20" s="2657">
        <f>+'Income Statement'!AX17</f>
      </c>
      <c r="BS20" s="2657">
        <f>+'Income Statement'!AY17</f>
      </c>
      <c r="BT20" s="2657">
        <f>+'Income Statement'!AZ17</f>
      </c>
      <c r="BU20" s="2657">
        <f>+'Income Statement'!BA17</f>
      </c>
      <c r="BV20" s="2657">
        <f>+'Income Statement'!BB17</f>
      </c>
      <c r="BW20" s="2657">
        <f>+'Income Statement'!BC17</f>
      </c>
      <c r="BX20" s="2657">
        <f>+'Income Statement'!BD17</f>
      </c>
      <c r="BY20" s="2657">
        <f>+'Income Statement'!BE17</f>
      </c>
      <c r="BZ20" s="2657">
        <f>+'Income Statement'!BF17</f>
      </c>
      <c r="CA20" s="2657">
        <f>+'Income Statement'!BG17</f>
      </c>
      <c r="CB20" s="2657">
        <f>+'Income Statement'!BH17</f>
      </c>
      <c r="CC20" s="2657">
        <f>+'Income Statement'!BI17</f>
      </c>
      <c r="CD20" s="2657">
        <f>+'Income Statement'!BJ17</f>
      </c>
      <c r="CE20" s="2657">
        <f>+'Income Statement'!BK17</f>
      </c>
      <c r="CF20" s="2657">
        <f>+'Income Statement'!BL17</f>
      </c>
      <c r="CG20" s="2657">
        <f>+'Income Statement'!BM17</f>
      </c>
      <c r="CH20" s="2657">
        <f>+'Income Statement'!BN17</f>
      </c>
      <c r="CI20" s="2657">
        <f>+'Income Statement'!BO17</f>
      </c>
      <c r="CJ20" s="2657">
        <f>+'Income Statement'!BP17</f>
      </c>
      <c r="CK20" s="2657">
        <f>+'Income Statement'!BQ17</f>
      </c>
      <c r="CL20" s="2657">
        <f>+'Income Statement'!BR17</f>
      </c>
      <c r="CM20" s="2657">
        <f>+'Income Statement'!BS17</f>
      </c>
      <c r="CN20" s="2657">
        <f>+'Income Statement'!BT17</f>
      </c>
      <c r="CO20" s="2657">
        <f>+'Income Statement'!BU17</f>
      </c>
      <c r="CP20" s="2657">
        <f>+'Income Statement'!BV17</f>
      </c>
      <c r="CQ20" s="2657">
        <f>+'Income Statement'!BW17</f>
      </c>
      <c r="CR20" s="2657">
        <f>+'Income Statement'!BX17</f>
      </c>
      <c r="CS20" s="2657">
        <f>+'Income Statement'!BY17</f>
      </c>
      <c r="CT20" s="2657">
        <f>+'Income Statement'!BZ17</f>
      </c>
      <c r="CU20" s="2657">
        <f>+'Income Statement'!CA17</f>
      </c>
      <c r="CV20" s="2657">
        <f>+'Income Statement'!CB17</f>
      </c>
      <c r="CW20" s="2657">
        <f>+'Income Statement'!CC17</f>
      </c>
      <c r="CX20" s="2657">
        <f>+'Income Statement'!CD17</f>
      </c>
      <c r="CY20" s="2657">
        <f>+'Income Statement'!CE17</f>
      </c>
      <c r="CZ20" s="2657">
        <f>+'Income Statement'!CF17</f>
      </c>
      <c r="DA20" s="2657">
        <f>+'Income Statement'!CG17</f>
      </c>
      <c r="DB20" s="2657">
        <f>+'Income Statement'!CH17</f>
      </c>
      <c r="DC20" s="2657">
        <f>+'Income Statement'!CI17</f>
      </c>
      <c r="DD20" s="2657">
        <f>+'Income Statement'!CJ17</f>
      </c>
      <c r="DE20" s="2657">
        <f>+'Income Statement'!CK17</f>
      </c>
      <c r="DF20" s="2657">
        <f>+'Income Statement'!CL17</f>
      </c>
      <c r="DG20" s="2657">
        <f>+'Income Statement'!CM17</f>
      </c>
      <c r="DH20" s="2657">
        <f>+'Income Statement'!CN17</f>
      </c>
      <c r="DI20" s="2657">
        <f>+'Income Statement'!CO17</f>
      </c>
      <c r="DJ20" s="2657">
        <f>+'Income Statement'!CP17</f>
      </c>
      <c r="DK20" s="2657">
        <f>+'Income Statement'!CQ17</f>
      </c>
      <c r="DL20" s="2657">
        <f>+'Income Statement'!CR17</f>
      </c>
      <c r="DM20" s="2657">
        <f>+'Income Statement'!CS17</f>
      </c>
      <c r="DN20" s="2657">
        <f>+'Income Statement'!CT17</f>
      </c>
      <c r="DO20" s="2657">
        <f>+'Income Statement'!CU17</f>
      </c>
      <c r="DP20" s="2657">
        <f>+'Income Statement'!CV17</f>
      </c>
      <c r="DQ20" s="2657">
        <f>+'Income Statement'!CW17</f>
      </c>
      <c r="DR20" s="2657">
        <f>+'Income Statement'!CX17</f>
      </c>
      <c r="DS20" s="2657">
        <f>+'Income Statement'!CY17</f>
      </c>
      <c r="DT20" s="2657">
        <f>+'Income Statement'!CZ17</f>
      </c>
      <c r="DU20" s="2657">
        <f>+'Income Statement'!DA17</f>
      </c>
      <c r="DV20" s="2657">
        <f>+'Income Statement'!DB17</f>
      </c>
      <c r="DW20" s="2657">
        <f>+'Income Statement'!DC17</f>
      </c>
      <c r="DX20" s="2657">
        <f>+'Income Statement'!DD17</f>
      </c>
      <c r="DY20" s="2657">
        <f>+'Income Statement'!DE17</f>
      </c>
      <c r="DZ20" s="2657">
        <f>+'Income Statement'!DF17</f>
      </c>
      <c r="EA20" s="2657">
        <f>+'Income Statement'!DG17</f>
      </c>
      <c r="EB20" s="2657">
        <f>+'Income Statement'!DH17</f>
      </c>
      <c r="EC20" s="2657">
        <f>+'Income Statement'!DI17</f>
      </c>
      <c r="ED20" s="2657">
        <f>+'Income Statement'!DJ17</f>
      </c>
      <c r="EE20" s="2657">
        <f>+'Income Statement'!DK17</f>
      </c>
      <c r="EF20" s="2657">
        <f>+'Income Statement'!DL17</f>
      </c>
      <c r="EG20" s="2657">
        <f>+'Income Statement'!DM17</f>
      </c>
      <c r="EH20" s="2657">
        <f>+'Income Statement'!DN17</f>
      </c>
      <c r="EI20" s="2657">
        <f>+'Income Statement'!DO17</f>
      </c>
      <c r="EJ20" s="2657">
        <f>+'Income Statement'!DP17</f>
      </c>
      <c r="EK20" s="2657">
        <f>+'Income Statement'!DQ17</f>
      </c>
      <c r="EL20" s="2657">
        <f>+'Income Statement'!DR17</f>
      </c>
      <c r="EM20" s="2657">
        <f>+'Income Statement'!DS17</f>
      </c>
      <c r="EN20" s="2657">
        <f>+'Income Statement'!DT17</f>
      </c>
      <c r="EO20" s="2657">
        <f>+'Income Statement'!DU17</f>
      </c>
      <c r="EP20" s="2657">
        <f>+'Income Statement'!DV17</f>
      </c>
      <c r="EQ20" s="2657">
        <f>+'Income Statement'!DW17</f>
      </c>
      <c r="ER20" s="2657">
        <f>+'Income Statement'!DX17</f>
      </c>
      <c r="ES20" s="2657">
        <f>+'Income Statement'!DY17</f>
      </c>
      <c r="ET20" s="2657">
        <f>+'Income Statement'!DZ17</f>
      </c>
      <c r="EU20" s="2657">
        <f>+'Income Statement'!EA17</f>
      </c>
      <c r="EV20" s="2657">
        <f>+'Income Statement'!EB17</f>
      </c>
      <c r="EW20" s="2657">
        <f>+'Income Statement'!EC17</f>
      </c>
      <c r="EX20" s="2657">
        <f>+'Income Statement'!ED17</f>
      </c>
      <c r="EY20" s="2657">
        <f>+'Income Statement'!EE17</f>
      </c>
      <c r="EZ20" s="2657">
        <f>+'Income Statement'!EF17</f>
      </c>
      <c r="FA20" s="2657">
        <f>+'Income Statement'!EG17</f>
      </c>
      <c r="FB20" s="2657">
        <f>+'Income Statement'!EH17</f>
      </c>
      <c r="FC20" s="2657">
        <f>+'Income Statement'!EI17</f>
      </c>
      <c r="FD20" s="2657">
        <f>+'Income Statement'!EJ17</f>
      </c>
      <c r="FE20" s="2657">
        <f>+'Income Statement'!EK17</f>
      </c>
    </row>
    <row r="21" spans="1:161" outlineLevel="2">
      <c r="B21" t="s">
        <v>263</v>
      </c>
      <c r="C21" t="s">
        <v>264</v>
      </c>
      <c r="D21" t="str">
        <f t="shared" si="0"/>
      </c>
      <c r="F21" s="2657">
        <f>-'Cash Flow Statement'!ER12</f>
      </c>
      <c r="G21" s="2657">
        <f>-'Cash Flow Statement'!ES12</f>
      </c>
      <c r="H21" s="2657">
        <f>-'Cash Flow Statement'!ET12</f>
      </c>
      <c r="I21" s="2657">
        <f>-'Cash Flow Statement'!EU12</f>
      </c>
      <c r="J21" s="2657">
        <f>-'Cash Flow Statement'!EV12</f>
      </c>
      <c r="K21" s="2657">
        <f>-'Cash Flow Statement'!EW12</f>
      </c>
      <c r="L21" s="2657">
        <f>-'Cash Flow Statement'!EX12</f>
      </c>
      <c r="M21" s="2657">
        <f>-'Cash Flow Statement'!EY12</f>
      </c>
      <c r="N21" s="2657">
        <f>-'Cash Flow Statement'!EZ12</f>
      </c>
      <c r="O21" s="2657">
        <f>-'Cash Flow Statement'!FA12</f>
      </c>
      <c r="P21" s="2657">
        <f>-'Cash Flow Statement'!FB12</f>
      </c>
      <c r="Q21" s="2657">
        <f>-'Cash Flow Statement'!FC12</f>
      </c>
      <c r="R21" s="2657">
        <f>-'Cash Flow Statement'!FD12</f>
      </c>
      <c r="S21" s="2657">
        <f>-'Cash Flow Statement'!FE12</f>
      </c>
      <c r="T21" s="2657">
        <f>-'Cash Flow Statement'!FF12</f>
      </c>
      <c r="U21" s="2657">
        <f>-'Cash Flow Statement'!FG12</f>
      </c>
      <c r="V21" s="2657">
        <f>-'Income Statement'!FG16</f>
      </c>
      <c r="W21" s="2657">
        <f>-'Income Statement'!FH16</f>
      </c>
      <c r="X21" s="2657">
        <f>-'Income Statement'!FI16</f>
      </c>
      <c r="Y21" s="2657">
        <f>-'Income Statement'!FJ16</f>
      </c>
      <c r="Z21" s="2657">
        <f>-'Income Statement'!FK16</f>
      </c>
      <c r="AA21" s="2657">
        <f>-'Income Statement'!FL16</f>
      </c>
      <c r="AB21" s="2657">
        <f>-'Income Statement'!FM16</f>
      </c>
      <c r="AC21" s="2657">
        <f>-'Income Statement'!FN16</f>
      </c>
      <c r="AD21" s="2657">
        <f>-'Income Statement'!FO16</f>
      </c>
      <c r="AE21" s="2657">
        <f>-'Income Statement'!FP16</f>
      </c>
      <c r="AF21" s="2657">
        <f>-'Income Statement'!FQ16</f>
      </c>
      <c r="AG21" s="2657">
        <f>-'Income Statement'!FR16</f>
      </c>
      <c r="AH21" s="2657">
        <f>-'Income Statement'!FS16</f>
      </c>
      <c r="AI21" s="2657">
        <f>-'Income Statement'!FT16</f>
      </c>
      <c r="AJ21" s="2657">
        <f>-'Income Statement'!FU16</f>
      </c>
      <c r="AK21" s="2657"/>
      <c r="AL21" s="2657">
        <f>-'Income Statement'!R16</f>
      </c>
      <c r="AM21" s="2657">
        <f>-'Income Statement'!S16</f>
      </c>
      <c r="AN21" s="2657">
        <f>-'Income Statement'!T16</f>
      </c>
      <c r="AO21" s="2657">
        <f>-'Income Statement'!U16</f>
      </c>
      <c r="AP21" s="2657">
        <f>-'Income Statement'!V16</f>
      </c>
      <c r="AQ21" s="2657">
        <f>-'Income Statement'!W16</f>
      </c>
      <c r="AR21" s="2657">
        <f>-'Income Statement'!X16</f>
      </c>
      <c r="AS21" s="2657">
        <f>-'Income Statement'!Y16</f>
      </c>
      <c r="AT21" s="2657">
        <f>-'Income Statement'!Z16</f>
      </c>
      <c r="AU21" s="2657">
        <f>-'Income Statement'!AA16</f>
      </c>
      <c r="AV21" s="2657">
        <f>-'Income Statement'!AB16</f>
      </c>
      <c r="AW21" s="2657">
        <f>-'Income Statement'!AC16</f>
      </c>
      <c r="AX21" s="2657">
        <f>-'Income Statement'!AD16</f>
      </c>
      <c r="AY21" s="2657">
        <f>-'Income Statement'!AE16</f>
      </c>
      <c r="AZ21" s="2657">
        <f>-'Income Statement'!AF16</f>
      </c>
      <c r="BA21" s="2657">
        <f>-'Income Statement'!AG16</f>
      </c>
      <c r="BB21" s="2657">
        <f>-'Income Statement'!AH16</f>
      </c>
      <c r="BC21" s="2657">
        <f>-'Income Statement'!AI16</f>
      </c>
      <c r="BD21" s="2657">
        <f>-'Income Statement'!AJ16</f>
      </c>
      <c r="BE21" s="2657">
        <f>-'Income Statement'!AK16</f>
      </c>
      <c r="BF21" s="2657">
        <f>-'Income Statement'!AL16</f>
      </c>
      <c r="BG21" s="2657">
        <f>-'Income Statement'!AM16</f>
      </c>
      <c r="BH21" s="2657">
        <f>-'Income Statement'!AN16</f>
      </c>
      <c r="BI21" s="2657">
        <f>-'Income Statement'!AO16</f>
      </c>
      <c r="BJ21" s="2657">
        <f>-'Income Statement'!AP16</f>
      </c>
      <c r="BK21" s="2657">
        <f>-'Income Statement'!AQ16</f>
      </c>
      <c r="BL21" s="2657">
        <f>-'Income Statement'!AR16</f>
      </c>
      <c r="BM21" s="2657">
        <f>-'Income Statement'!AS16</f>
      </c>
      <c r="BN21" s="2657">
        <f>-'Income Statement'!AT16</f>
      </c>
      <c r="BO21" s="2657">
        <f>-'Income Statement'!AU16</f>
      </c>
      <c r="BP21" s="2657">
        <f>-'Income Statement'!AV16</f>
      </c>
      <c r="BQ21" s="2657">
        <f>-'Income Statement'!AW16</f>
      </c>
      <c r="BR21" s="2657">
        <f>-'Income Statement'!AX16</f>
      </c>
      <c r="BS21" s="2657">
        <f>-'Income Statement'!AY16</f>
      </c>
      <c r="BT21" s="2657">
        <f>-'Income Statement'!AZ16</f>
      </c>
      <c r="BU21" s="2657">
        <f>-'Income Statement'!BA16</f>
      </c>
      <c r="BV21" s="2657">
        <f>-'Income Statement'!BB16</f>
      </c>
      <c r="BW21" s="2657">
        <f>-'Income Statement'!BC16</f>
      </c>
      <c r="BX21" s="2657">
        <f>-'Income Statement'!BD16</f>
      </c>
      <c r="BY21" s="2657">
        <f>-'Income Statement'!BE16</f>
      </c>
      <c r="BZ21" s="2657">
        <f>-'Income Statement'!BF16</f>
      </c>
      <c r="CA21" s="2657">
        <f>-'Income Statement'!BG16</f>
      </c>
      <c r="CB21" s="2657">
        <f>-'Income Statement'!BH16</f>
      </c>
      <c r="CC21" s="2657">
        <f>-'Income Statement'!BI16</f>
      </c>
      <c r="CD21" s="2657">
        <f>-'Income Statement'!BJ16</f>
      </c>
      <c r="CE21" s="2657">
        <f>-'Income Statement'!BK16</f>
      </c>
      <c r="CF21" s="2657">
        <f>-'Income Statement'!BL16</f>
      </c>
      <c r="CG21" s="2657">
        <f>-'Income Statement'!BM16</f>
      </c>
      <c r="CH21" s="2657">
        <f>-'Income Statement'!BN16</f>
      </c>
      <c r="CI21" s="2657">
        <f>-'Income Statement'!BO16</f>
      </c>
      <c r="CJ21" s="2657">
        <f>-'Income Statement'!BP16</f>
      </c>
      <c r="CK21" s="2657">
        <f>-'Income Statement'!BQ16</f>
      </c>
      <c r="CL21" s="2657">
        <f>-'Income Statement'!BR16</f>
      </c>
      <c r="CM21" s="2657">
        <f>-'Income Statement'!BS16</f>
      </c>
      <c r="CN21" s="2657">
        <f>-'Income Statement'!BT16</f>
      </c>
      <c r="CO21" s="2657">
        <f>-'Income Statement'!BU16</f>
      </c>
      <c r="CP21" s="2657">
        <f>-'Income Statement'!BV16</f>
      </c>
      <c r="CQ21" s="2657">
        <f>-'Income Statement'!BW16</f>
      </c>
      <c r="CR21" s="2657">
        <f>-'Income Statement'!BX16</f>
      </c>
      <c r="CS21" s="2657">
        <f>-'Income Statement'!BY16</f>
      </c>
      <c r="CT21" s="2657">
        <f>-'Income Statement'!BZ16</f>
      </c>
      <c r="CU21" s="2657">
        <f>-'Income Statement'!CA16</f>
      </c>
      <c r="CV21" s="2657">
        <f>-'Income Statement'!CB16</f>
      </c>
      <c r="CW21" s="2657">
        <f>-'Income Statement'!CC16</f>
      </c>
      <c r="CX21" s="2657">
        <f>-'Income Statement'!CD16</f>
      </c>
      <c r="CY21" s="2657">
        <f>-'Income Statement'!CE16</f>
      </c>
      <c r="CZ21" s="2657">
        <f>-'Income Statement'!CF16</f>
      </c>
      <c r="DA21" s="2657">
        <f>-'Income Statement'!CG16</f>
      </c>
      <c r="DB21" s="2657">
        <f>-'Income Statement'!CH16</f>
      </c>
      <c r="DC21" s="2657">
        <f>-'Income Statement'!CI16</f>
      </c>
      <c r="DD21" s="2657">
        <f>-'Income Statement'!CJ16</f>
      </c>
      <c r="DE21" s="2657">
        <f>-'Income Statement'!CK16</f>
      </c>
      <c r="DF21" s="2657">
        <f>-'Income Statement'!CL16</f>
      </c>
      <c r="DG21" s="2657">
        <f>-'Income Statement'!CM16</f>
      </c>
      <c r="DH21" s="2657">
        <f>-'Income Statement'!CN16</f>
      </c>
      <c r="DI21" s="2657">
        <f>-'Income Statement'!CO16</f>
      </c>
      <c r="DJ21" s="2657">
        <f>-'Income Statement'!CP16</f>
      </c>
      <c r="DK21" s="2657">
        <f>-'Income Statement'!CQ16</f>
      </c>
      <c r="DL21" s="2657">
        <f>-'Income Statement'!CR16</f>
      </c>
      <c r="DM21" s="2657">
        <f>-'Income Statement'!CS16</f>
      </c>
      <c r="DN21" s="2657">
        <f>-'Income Statement'!CT16</f>
      </c>
      <c r="DO21" s="2657">
        <f>-'Income Statement'!CU16</f>
      </c>
      <c r="DP21" s="2657">
        <f>-'Income Statement'!CV16</f>
      </c>
      <c r="DQ21" s="2657">
        <f>-'Income Statement'!CW16</f>
      </c>
      <c r="DR21" s="2657">
        <f>-'Income Statement'!CX16</f>
      </c>
      <c r="DS21" s="2657">
        <f>-'Income Statement'!CY16</f>
      </c>
      <c r="DT21" s="2657">
        <f>-'Income Statement'!CZ16</f>
      </c>
      <c r="DU21" s="2657">
        <f>-'Income Statement'!DA16</f>
      </c>
      <c r="DV21" s="2657">
        <f>-'Income Statement'!DB16</f>
      </c>
      <c r="DW21" s="2657">
        <f>-'Income Statement'!DC16</f>
      </c>
      <c r="DX21" s="2657">
        <f>-'Income Statement'!DD16</f>
      </c>
      <c r="DY21" s="2657">
        <f>-'Income Statement'!DE16</f>
      </c>
      <c r="DZ21" s="2657">
        <f>-'Income Statement'!DF16</f>
      </c>
      <c r="EA21" s="2657">
        <f>-'Income Statement'!DG16</f>
      </c>
      <c r="EB21" s="2657">
        <f>-'Income Statement'!DH16</f>
      </c>
      <c r="EC21" s="2657">
        <f>-'Income Statement'!DI16</f>
      </c>
      <c r="ED21" s="2657">
        <f>-'Income Statement'!DJ16</f>
      </c>
      <c r="EE21" s="2657">
        <f>-'Income Statement'!DK16</f>
      </c>
      <c r="EF21" s="2657">
        <f>-'Income Statement'!DL16</f>
      </c>
      <c r="EG21" s="2657">
        <f>-'Income Statement'!DM16</f>
      </c>
      <c r="EH21" s="2657">
        <f>-'Income Statement'!DN16</f>
      </c>
      <c r="EI21" s="2657">
        <f>-'Income Statement'!DO16</f>
      </c>
      <c r="EJ21" s="2657">
        <f>-'Income Statement'!DP16</f>
      </c>
      <c r="EK21" s="2657">
        <f>-'Income Statement'!DQ16</f>
      </c>
      <c r="EL21" s="2657">
        <f>-'Income Statement'!DR16</f>
      </c>
      <c r="EM21" s="2657">
        <f>-'Income Statement'!DS16</f>
      </c>
      <c r="EN21" s="2657">
        <f>-'Income Statement'!DT16</f>
      </c>
      <c r="EO21" s="2657">
        <f>-'Income Statement'!DU16</f>
      </c>
      <c r="EP21" s="2657">
        <f>-'Income Statement'!DV16</f>
      </c>
      <c r="EQ21" s="2657">
        <f>-'Income Statement'!DW16</f>
      </c>
      <c r="ER21" s="2657">
        <f>-'Income Statement'!DX16</f>
      </c>
      <c r="ES21" s="2657">
        <f>-'Income Statement'!DY16</f>
      </c>
      <c r="ET21" s="2657">
        <f>-'Income Statement'!DZ16</f>
      </c>
      <c r="EU21" s="2657">
        <f>-'Income Statement'!EA16</f>
      </c>
      <c r="EV21" s="2657">
        <f>-'Income Statement'!EB16</f>
      </c>
      <c r="EW21" s="2657">
        <f>-'Income Statement'!EC16</f>
      </c>
      <c r="EX21" s="2657">
        <f>-'Income Statement'!ED16</f>
      </c>
      <c r="EY21" s="2657">
        <f>-'Income Statement'!EE16</f>
      </c>
      <c r="EZ21" s="2657">
        <f>-'Income Statement'!EF16</f>
      </c>
      <c r="FA21" s="2657">
        <f>-'Income Statement'!EG16</f>
      </c>
      <c r="FB21" s="2657">
        <f>-'Income Statement'!EH16</f>
      </c>
      <c r="FC21" s="2657">
        <f>-'Income Statement'!EI16</f>
      </c>
      <c r="FD21" s="2657">
        <f>-'Income Statement'!EJ16</f>
      </c>
      <c r="FE21" s="2657">
        <f>-'Income Statement'!EK16</f>
      </c>
    </row>
    <row r="22" spans="1:161" outlineLevel="2">
      <c r="B22" t="s">
        <v>265</v>
      </c>
      <c r="C22" t="s">
        <v>266</v>
      </c>
      <c r="D22" t="str">
        <f t="shared" si="0"/>
      </c>
      <c r="F22" s="2657">
        <v>0</v>
      </c>
      <c r="G22" s="2657">
        <v>0</v>
      </c>
      <c r="H22" s="2657">
        <v>0</v>
      </c>
      <c r="I22" s="2657">
        <v>0</v>
      </c>
      <c r="J22" s="2657">
        <v>0</v>
      </c>
      <c r="K22" s="2657">
        <v>0</v>
      </c>
      <c r="L22" s="2657">
        <v>0</v>
      </c>
      <c r="M22" s="2657">
        <v>0</v>
      </c>
      <c r="N22" s="2657">
        <v>0</v>
      </c>
      <c r="O22" s="2657">
        <v>0</v>
      </c>
      <c r="P22" s="2657">
        <v>0</v>
      </c>
      <c r="Q22" s="2657">
        <v>0</v>
      </c>
      <c r="R22" s="2657">
        <v>0</v>
      </c>
      <c r="S22" s="2657">
        <v>0</v>
      </c>
      <c r="T22" s="2657">
        <v>0</v>
      </c>
      <c r="U22" s="2657">
        <v>0</v>
      </c>
      <c r="V22" s="2657"/>
      <c r="W22" s="2657"/>
      <c r="X22" s="2657"/>
      <c r="Y22" s="2657"/>
      <c r="Z22" s="2657"/>
      <c r="AA22" s="2657"/>
      <c r="AB22" s="2657"/>
      <c r="AC22" s="2657"/>
      <c r="AD22" s="2657"/>
      <c r="AE22" s="2657"/>
      <c r="AF22" s="2657"/>
      <c r="AG22" s="2657"/>
      <c r="AH22" s="2657"/>
      <c r="AI22" s="2657"/>
      <c r="AJ22" s="2657"/>
      <c r="AK22" s="2657"/>
      <c r="AL22" s="2657"/>
      <c r="AM22" s="2657"/>
      <c r="AN22" s="2657"/>
      <c r="AO22" s="2657"/>
      <c r="AP22" s="2657"/>
      <c r="AQ22" s="2657"/>
      <c r="AR22" s="2657"/>
      <c r="AS22" s="2657"/>
      <c r="AT22" s="2657"/>
      <c r="AU22" s="2657"/>
      <c r="AV22" s="2657"/>
      <c r="AW22" s="2657"/>
      <c r="AX22" s="2657">
        <v>0</v>
      </c>
      <c r="AY22" s="2657">
        <v>0</v>
      </c>
      <c r="AZ22" s="2657">
        <v>0</v>
      </c>
      <c r="BA22" s="2657">
        <v>0</v>
      </c>
      <c r="BB22" s="2657">
        <v>0</v>
      </c>
      <c r="BC22" s="2657">
        <v>0</v>
      </c>
      <c r="BD22" s="2657">
        <v>0</v>
      </c>
      <c r="BE22" s="2657">
        <v>0</v>
      </c>
      <c r="BF22" s="2657">
        <v>0</v>
      </c>
      <c r="BG22" s="2657">
        <v>0</v>
      </c>
      <c r="BH22" s="2657">
        <v>0</v>
      </c>
      <c r="BI22" s="2657">
        <v>0</v>
      </c>
      <c r="BJ22" s="2657">
        <v>0</v>
      </c>
      <c r="BK22" s="2657">
        <v>0</v>
      </c>
      <c r="BL22" s="2657">
        <v>0</v>
      </c>
      <c r="BM22" s="2657">
        <v>0</v>
      </c>
      <c r="BN22" s="2657">
        <v>0</v>
      </c>
      <c r="BO22" s="2657">
        <v>0</v>
      </c>
      <c r="BP22" s="2657">
        <v>0</v>
      </c>
      <c r="BQ22" s="2657">
        <v>0</v>
      </c>
      <c r="BR22" s="2657">
        <v>0</v>
      </c>
      <c r="BS22" s="2657">
        <v>0</v>
      </c>
      <c r="BT22" s="2657">
        <v>0</v>
      </c>
      <c r="BU22" s="2657">
        <v>0</v>
      </c>
      <c r="BV22" s="2657">
        <v>0</v>
      </c>
      <c r="BW22" s="2657">
        <v>0</v>
      </c>
      <c r="BX22" s="2657">
        <v>0</v>
      </c>
      <c r="BY22" s="2657">
        <v>0</v>
      </c>
      <c r="BZ22" s="2657">
        <v>0</v>
      </c>
      <c r="CA22" s="2657">
        <v>0</v>
      </c>
      <c r="CB22" s="2657">
        <v>0</v>
      </c>
      <c r="CC22" s="2657">
        <v>0</v>
      </c>
      <c r="CD22" s="2657">
        <v>0</v>
      </c>
      <c r="CE22" s="2657">
        <v>0</v>
      </c>
      <c r="CF22" s="2657">
        <v>0</v>
      </c>
      <c r="CG22" s="2657">
        <v>0</v>
      </c>
      <c r="CH22" s="2657">
        <v>0</v>
      </c>
      <c r="CI22" s="2657">
        <v>0</v>
      </c>
      <c r="CJ22" s="2657">
        <v>0</v>
      </c>
      <c r="CK22" s="2657">
        <v>0</v>
      </c>
      <c r="CL22" s="2657">
        <v>0</v>
      </c>
      <c r="CM22" s="2657">
        <v>0</v>
      </c>
      <c r="CN22" s="2657">
        <v>0</v>
      </c>
      <c r="CO22" s="2657">
        <v>0</v>
      </c>
      <c r="CP22" s="2657">
        <v>0</v>
      </c>
      <c r="CQ22" s="2657">
        <v>0</v>
      </c>
      <c r="CR22" s="2657">
        <v>0</v>
      </c>
      <c r="CS22" s="2657">
        <v>0</v>
      </c>
      <c r="CT22" s="2657">
        <v>0</v>
      </c>
      <c r="CU22" s="2657">
        <v>0</v>
      </c>
      <c r="CV22" s="2657">
        <v>0</v>
      </c>
      <c r="CW22" s="2657">
        <v>0</v>
      </c>
      <c r="CX22" s="2657"/>
      <c r="CY22" s="2657"/>
      <c r="CZ22" s="2657"/>
      <c r="DA22" s="2657"/>
      <c r="DB22" s="2657"/>
      <c r="DC22" s="2657"/>
      <c r="DD22" s="2657"/>
      <c r="DE22" s="2657"/>
      <c r="DF22" s="2657"/>
      <c r="DG22" s="2657"/>
      <c r="DH22" s="2657"/>
      <c r="DI22" s="2657"/>
      <c r="DJ22" s="2657"/>
      <c r="DK22" s="2657"/>
      <c r="DL22" s="2657"/>
      <c r="DM22" s="2657"/>
      <c r="DN22" s="2657"/>
      <c r="DO22" s="2657"/>
      <c r="DP22" s="2657"/>
      <c r="DQ22" s="2657"/>
      <c r="DR22" s="2657"/>
      <c r="DS22" s="2657"/>
      <c r="DT22" s="2657"/>
      <c r="DU22" s="2657"/>
      <c r="DV22" s="2657"/>
      <c r="DW22" s="2657"/>
      <c r="DX22" s="2657"/>
      <c r="DY22" s="2657"/>
      <c r="DZ22" s="2657"/>
      <c r="EA22" s="2657"/>
      <c r="EB22" s="2657"/>
      <c r="EC22" s="2657"/>
      <c r="ED22" s="2657"/>
      <c r="EE22" s="2657"/>
      <c r="EF22" s="2657"/>
      <c r="EG22" s="2657"/>
      <c r="EH22" s="2657"/>
      <c r="EI22" s="2657"/>
      <c r="EJ22" s="2657"/>
      <c r="EK22" s="2657"/>
      <c r="EL22" s="2657"/>
      <c r="EM22" s="2657"/>
      <c r="EN22" s="2657"/>
      <c r="EO22" s="2657"/>
      <c r="EP22" s="2657"/>
      <c r="EQ22" s="2657"/>
      <c r="ER22" s="2657"/>
      <c r="ES22" s="2657"/>
      <c r="ET22" s="2657"/>
      <c r="EU22" s="2657"/>
      <c r="EV22" s="2657"/>
      <c r="EW22" s="2657"/>
      <c r="EX22" s="2657"/>
      <c r="EY22" s="2657"/>
      <c r="EZ22" s="2657"/>
      <c r="FA22" s="2657"/>
      <c r="FB22" s="2657"/>
      <c r="FC22" s="2657"/>
      <c r="FD22" s="2657"/>
      <c r="FE22" s="2657"/>
    </row>
    <row r="23" spans="1:161" outlineLevel="2">
      <c r="B23" t="s">
        <v>267</v>
      </c>
      <c r="C23" t="s">
        <v>268</v>
      </c>
      <c r="D23" t="str">
        <f t="shared" si="0"/>
      </c>
      <c r="F23" s="2657">
        <f>'Income Statement'!EQ15</f>
      </c>
      <c r="G23" s="2657">
        <f>'Income Statement'!ER15</f>
      </c>
      <c r="H23" s="2657">
        <f>'Income Statement'!ES15</f>
      </c>
      <c r="I23" s="2657">
        <f>'Income Statement'!ET15</f>
      </c>
      <c r="J23" s="2657">
        <f>'Income Statement'!EU15</f>
      </c>
      <c r="K23" s="2657">
        <f>'Income Statement'!EV15</f>
      </c>
      <c r="L23" s="2657">
        <f>'Income Statement'!EW15</f>
      </c>
      <c r="M23" s="2657">
        <f>'Income Statement'!EX15</f>
      </c>
      <c r="N23" s="2657">
        <f>'Income Statement'!EY15</f>
      </c>
      <c r="O23" s="2657">
        <f>'Income Statement'!EZ15</f>
      </c>
      <c r="P23" s="2657">
        <f>'Income Statement'!FA15</f>
      </c>
      <c r="Q23" s="2657">
        <f>'Income Statement'!FB15</f>
      </c>
      <c r="R23" s="2657">
        <f>'Income Statement'!FC15</f>
      </c>
      <c r="S23" s="2657">
        <f>'Income Statement'!FD15</f>
      </c>
      <c r="T23" s="2657">
        <f>'Income Statement'!FE15</f>
      </c>
      <c r="U23" s="2657">
        <f>'Income Statement'!FF15</f>
      </c>
      <c r="V23" s="2657">
        <f>'Income Statement'!FG15</f>
      </c>
      <c r="W23" s="2657">
        <f>'Income Statement'!FH15</f>
      </c>
      <c r="X23" s="2657">
        <f>'Income Statement'!FI15</f>
      </c>
      <c r="Y23" s="2657">
        <f>'Income Statement'!FJ15</f>
      </c>
      <c r="Z23" s="2657">
        <f>'Income Statement'!FK15</f>
      </c>
      <c r="AA23" s="2657">
        <f>'Income Statement'!FL15</f>
      </c>
      <c r="AB23" s="2657">
        <f>'Income Statement'!FM15</f>
      </c>
      <c r="AC23" s="2657">
        <f>'Income Statement'!FN15</f>
      </c>
      <c r="AD23" s="2657">
        <f>'Income Statement'!FO15</f>
      </c>
      <c r="AE23" s="2657">
        <f>'Income Statement'!FP15</f>
      </c>
      <c r="AF23" s="2657">
        <f>'Income Statement'!FQ15</f>
      </c>
      <c r="AG23" s="2657">
        <f>'Income Statement'!FR15</f>
      </c>
      <c r="AH23" s="2657">
        <f>'Income Statement'!FS15</f>
      </c>
      <c r="AI23" s="2657">
        <f>'Income Statement'!FT15</f>
      </c>
      <c r="AJ23" s="2657">
        <f>'Income Statement'!FU15</f>
      </c>
      <c r="AK23" s="2657"/>
      <c r="AL23" s="2657">
        <f>'Income Statement'!R15</f>
      </c>
      <c r="AM23" s="2657">
        <f>'Income Statement'!S15</f>
      </c>
      <c r="AN23" s="2657">
        <f>'Income Statement'!T15</f>
      </c>
      <c r="AO23" s="2657">
        <f>'Income Statement'!U15</f>
      </c>
      <c r="AP23" s="2657">
        <f>'Income Statement'!V15</f>
      </c>
      <c r="AQ23" s="2657">
        <f>'Income Statement'!W15</f>
      </c>
      <c r="AR23" s="2657">
        <f>'Income Statement'!X15</f>
      </c>
      <c r="AS23" s="2657">
        <f>'Income Statement'!Y15</f>
      </c>
      <c r="AT23" s="2657">
        <f>'Income Statement'!Z15</f>
      </c>
      <c r="AU23" s="2657">
        <f>'Income Statement'!AA15</f>
      </c>
      <c r="AV23" s="2657">
        <f>'Income Statement'!AB15</f>
      </c>
      <c r="AW23" s="2657">
        <f>'Income Statement'!AC15</f>
      </c>
      <c r="AX23" s="2657">
        <f>'Income Statement'!AD15</f>
      </c>
      <c r="AY23" s="2657">
        <f>'Income Statement'!AE15</f>
      </c>
      <c r="AZ23" s="2657">
        <f>'Income Statement'!AF15</f>
      </c>
      <c r="BA23" s="2657">
        <f>'Income Statement'!AG15</f>
      </c>
      <c r="BB23" s="2657">
        <f>'Income Statement'!AH15</f>
      </c>
      <c r="BC23" s="2657">
        <f>'Income Statement'!AI15</f>
      </c>
      <c r="BD23" s="2657">
        <f>'Income Statement'!AJ15</f>
      </c>
      <c r="BE23" s="2657">
        <f>'Income Statement'!AK15</f>
      </c>
      <c r="BF23" s="2657">
        <f>'Income Statement'!AL15</f>
      </c>
      <c r="BG23" s="2657">
        <f>'Income Statement'!AM15</f>
      </c>
      <c r="BH23" s="2657">
        <f>'Income Statement'!AN15</f>
      </c>
      <c r="BI23" s="2657">
        <f>'Income Statement'!AO15</f>
      </c>
      <c r="BJ23" s="2657">
        <f>'Income Statement'!AP15</f>
      </c>
      <c r="BK23" s="2657">
        <f>'Income Statement'!AQ15</f>
      </c>
      <c r="BL23" s="2657">
        <f>'Income Statement'!AR15</f>
      </c>
      <c r="BM23" s="2657">
        <f>'Income Statement'!AS15</f>
      </c>
      <c r="BN23" s="2657">
        <f>'Income Statement'!AT15</f>
      </c>
      <c r="BO23" s="2657">
        <f>'Income Statement'!AU15</f>
      </c>
      <c r="BP23" s="2657">
        <f>'Income Statement'!AV15</f>
      </c>
      <c r="BQ23" s="2657">
        <f>'Income Statement'!AW15</f>
      </c>
      <c r="BR23" s="2657">
        <f>'Income Statement'!AX15</f>
      </c>
      <c r="BS23" s="2657">
        <f>'Income Statement'!AY15</f>
      </c>
      <c r="BT23" s="2657">
        <f>'Income Statement'!AZ15</f>
      </c>
      <c r="BU23" s="2657">
        <f>'Income Statement'!BA15</f>
      </c>
      <c r="BV23" s="2657">
        <f>'Income Statement'!BB15</f>
      </c>
      <c r="BW23" s="2657">
        <f>'Income Statement'!BC15</f>
      </c>
      <c r="BX23" s="2657">
        <f>'Income Statement'!BD15</f>
      </c>
      <c r="BY23" s="2657">
        <f>'Income Statement'!BE15</f>
      </c>
      <c r="BZ23" s="2657">
        <f>'Income Statement'!BF15</f>
      </c>
      <c r="CA23" s="2657">
        <f>'Income Statement'!BG15</f>
      </c>
      <c r="CB23" s="2657">
        <f>'Income Statement'!BH15</f>
      </c>
      <c r="CC23" s="2657">
        <f>'Income Statement'!BI15</f>
      </c>
      <c r="CD23" s="2657">
        <f>'Income Statement'!BJ15</f>
      </c>
      <c r="CE23" s="2657">
        <f>'Income Statement'!BK15</f>
      </c>
      <c r="CF23" s="2657">
        <f>'Income Statement'!BL15</f>
      </c>
      <c r="CG23" s="2657">
        <f>'Income Statement'!BM15</f>
      </c>
      <c r="CH23" s="2657">
        <f>'Income Statement'!BN15</f>
      </c>
      <c r="CI23" s="2657">
        <f>'Income Statement'!BO15</f>
      </c>
      <c r="CJ23" s="2657">
        <f>'Income Statement'!BP15</f>
      </c>
      <c r="CK23" s="2657">
        <f>'Income Statement'!BQ15</f>
      </c>
      <c r="CL23" s="2657">
        <f>'Income Statement'!BR15</f>
      </c>
      <c r="CM23" s="2657">
        <f>'Income Statement'!BS15</f>
      </c>
      <c r="CN23" s="2657">
        <f>'Income Statement'!BT15</f>
      </c>
      <c r="CO23" s="2657">
        <f>'Income Statement'!BU15</f>
      </c>
      <c r="CP23" s="2657">
        <f>'Income Statement'!BV15</f>
      </c>
      <c r="CQ23" s="2657">
        <f>'Income Statement'!BW15</f>
      </c>
      <c r="CR23" s="2657">
        <f>'Income Statement'!BX15</f>
      </c>
      <c r="CS23" s="2657">
        <f>'Income Statement'!BY15</f>
      </c>
      <c r="CT23" s="2657">
        <f>'Income Statement'!BZ15</f>
      </c>
      <c r="CU23" s="2657">
        <f>'Income Statement'!CA15</f>
      </c>
      <c r="CV23" s="2657">
        <f>'Income Statement'!CB15</f>
      </c>
      <c r="CW23" s="2657">
        <f>'Income Statement'!CC15</f>
      </c>
      <c r="CX23" s="2657">
        <f>'Income Statement'!CD15</f>
      </c>
      <c r="CY23" s="2657">
        <f>'Income Statement'!CE15</f>
      </c>
      <c r="CZ23" s="2657">
        <f>'Income Statement'!CF15</f>
      </c>
      <c r="DA23" s="2657">
        <f>'Income Statement'!CG15</f>
      </c>
      <c r="DB23" s="2657">
        <f>'Income Statement'!CH15</f>
      </c>
      <c r="DC23" s="2657">
        <f>'Income Statement'!CI15</f>
      </c>
      <c r="DD23" s="2657">
        <f>'Income Statement'!CJ15</f>
      </c>
      <c r="DE23" s="2657">
        <f>'Income Statement'!CK15</f>
      </c>
      <c r="DF23" s="2657">
        <f>'Income Statement'!CL15</f>
      </c>
      <c r="DG23" s="2657">
        <f>'Income Statement'!CM15</f>
      </c>
      <c r="DH23" s="2657">
        <f>'Income Statement'!CN15</f>
      </c>
      <c r="DI23" s="2657">
        <f>'Income Statement'!CO15</f>
      </c>
      <c r="DJ23" s="2657">
        <f>'Income Statement'!CP15</f>
      </c>
      <c r="DK23" s="2657">
        <f>'Income Statement'!CQ15</f>
      </c>
      <c r="DL23" s="2657">
        <f>'Income Statement'!CR15</f>
      </c>
      <c r="DM23" s="2657">
        <f>'Income Statement'!CS15</f>
      </c>
      <c r="DN23" s="2657">
        <f>'Income Statement'!CT15</f>
      </c>
      <c r="DO23" s="2657">
        <f>'Income Statement'!CU15</f>
      </c>
      <c r="DP23" s="2657">
        <f>'Income Statement'!CV15</f>
      </c>
      <c r="DQ23" s="2657">
        <f>'Income Statement'!CW15</f>
      </c>
      <c r="DR23" s="2657">
        <f>'Income Statement'!CX15</f>
      </c>
      <c r="DS23" s="2657">
        <f>'Income Statement'!CY15</f>
      </c>
      <c r="DT23" s="2657">
        <f>'Income Statement'!CZ15</f>
      </c>
      <c r="DU23" s="2657">
        <f>'Income Statement'!DA15</f>
      </c>
      <c r="DV23" s="2657">
        <f>'Income Statement'!DB15</f>
      </c>
      <c r="DW23" s="2657">
        <f>'Income Statement'!DC15</f>
      </c>
      <c r="DX23" s="2657">
        <f>'Income Statement'!DD15</f>
      </c>
      <c r="DY23" s="2657">
        <f>'Income Statement'!DE15</f>
      </c>
      <c r="DZ23" s="2657">
        <f>'Income Statement'!DF15</f>
      </c>
      <c r="EA23" s="2657">
        <f>'Income Statement'!DG15</f>
      </c>
      <c r="EB23" s="2657">
        <f>'Income Statement'!DH15</f>
      </c>
      <c r="EC23" s="2657">
        <f>'Income Statement'!DI15</f>
      </c>
      <c r="ED23" s="2657">
        <f>'Income Statement'!DJ15</f>
      </c>
      <c r="EE23" s="2657">
        <f>'Income Statement'!DK15</f>
      </c>
      <c r="EF23" s="2657">
        <f>'Income Statement'!DL15</f>
      </c>
      <c r="EG23" s="2657">
        <f>'Income Statement'!DM15</f>
      </c>
      <c r="EH23" s="2657">
        <f>'Income Statement'!DN15</f>
      </c>
      <c r="EI23" s="2657">
        <f>'Income Statement'!DO15</f>
      </c>
      <c r="EJ23" s="2657">
        <f>'Income Statement'!DP15</f>
      </c>
      <c r="EK23" s="2657">
        <f>'Income Statement'!DQ15</f>
      </c>
      <c r="EL23" s="2657">
        <f>'Income Statement'!DR15</f>
      </c>
      <c r="EM23" s="2657">
        <f>'Income Statement'!DS15</f>
      </c>
      <c r="EN23" s="2657">
        <f>'Income Statement'!DT15</f>
      </c>
      <c r="EO23" s="2657">
        <f>'Income Statement'!DU15</f>
      </c>
      <c r="EP23" s="2657">
        <f>'Income Statement'!DV15</f>
      </c>
      <c r="EQ23" s="2657">
        <f>'Income Statement'!DW15</f>
      </c>
      <c r="ER23" s="2657">
        <f>'Income Statement'!DX15</f>
      </c>
      <c r="ES23" s="2657">
        <f>'Income Statement'!DY15</f>
      </c>
      <c r="ET23" s="2657">
        <f>'Income Statement'!DZ15</f>
      </c>
      <c r="EU23" s="2657">
        <f>'Income Statement'!EA15</f>
      </c>
      <c r="EV23" s="2657">
        <f>'Income Statement'!EB15</f>
      </c>
      <c r="EW23" s="2657">
        <f>'Income Statement'!EC15</f>
      </c>
      <c r="EX23" s="2657">
        <f>'Income Statement'!ED15</f>
      </c>
      <c r="EY23" s="2657">
        <f>'Income Statement'!EE15</f>
      </c>
      <c r="EZ23" s="2657">
        <f>'Income Statement'!EF15</f>
      </c>
      <c r="FA23" s="2657">
        <f>'Income Statement'!EG15</f>
      </c>
      <c r="FB23" s="2657">
        <f>'Income Statement'!EH15</f>
      </c>
      <c r="FC23" s="2657">
        <f>'Income Statement'!EI15</f>
      </c>
      <c r="FD23" s="2657">
        <f>'Income Statement'!EJ15</f>
      </c>
      <c r="FE23" s="2657">
        <f>'Income Statement'!EK15</f>
      </c>
    </row>
    <row r="24" spans="1:161" outlineLevel="2">
      <c r="B24" t="s">
        <v>269</v>
      </c>
      <c r="C24" t="s">
        <v>270</v>
      </c>
      <c r="D24" t="str">
        <f t="shared" si="0"/>
      </c>
      <c r="F24" s="2657">
        <f>'Income Statement'!EQ21</f>
      </c>
      <c r="G24" s="2657">
        <f>'Income Statement'!ER21</f>
      </c>
      <c r="H24" s="2657">
        <f>'Income Statement'!ES21</f>
      </c>
      <c r="I24" s="2657">
        <f>'Income Statement'!ET21</f>
      </c>
      <c r="J24" s="2657">
        <f>'Income Statement'!EU21</f>
      </c>
      <c r="K24" s="2657">
        <f>'Income Statement'!EV21</f>
      </c>
      <c r="L24" s="2657">
        <f>'Income Statement'!EW21</f>
      </c>
      <c r="M24" s="2657">
        <f>'Income Statement'!EX21</f>
      </c>
      <c r="N24" s="2657">
        <f>'Income Statement'!EY21</f>
      </c>
      <c r="O24" s="2657">
        <f>'Income Statement'!EZ21</f>
      </c>
      <c r="P24" s="2657">
        <f>'Income Statement'!FA21</f>
      </c>
      <c r="Q24" s="2657">
        <f>'Income Statement'!FB21</f>
      </c>
      <c r="R24" s="2657">
        <f>'Income Statement'!FC21</f>
      </c>
      <c r="S24" s="2657">
        <f>'Income Statement'!FD21</f>
      </c>
      <c r="T24" s="2657">
        <f>'Income Statement'!FE21</f>
      </c>
      <c r="U24" s="2657">
        <f>'Income Statement'!FF21</f>
      </c>
      <c r="V24" s="2657">
        <f>'Income Statement'!FG21</f>
      </c>
      <c r="W24" s="2657">
        <f>'Income Statement'!FH21</f>
      </c>
      <c r="X24" s="2657">
        <f>'Income Statement'!FI21</f>
      </c>
      <c r="Y24" s="2657">
        <f>'Income Statement'!FJ21</f>
      </c>
      <c r="Z24" s="2657">
        <f>'Income Statement'!FK21</f>
      </c>
      <c r="AA24" s="2657">
        <f>'Income Statement'!FL21</f>
      </c>
      <c r="AB24" s="2657">
        <f>'Income Statement'!FM21</f>
      </c>
      <c r="AC24" s="2657">
        <f>'Income Statement'!FN21</f>
      </c>
      <c r="AD24" s="2657">
        <f>'Income Statement'!FO21</f>
      </c>
      <c r="AE24" s="2657">
        <f>'Income Statement'!FP21</f>
      </c>
      <c r="AF24" s="2657">
        <f>'Income Statement'!FQ21</f>
      </c>
      <c r="AG24" s="2657">
        <f>'Income Statement'!FR21</f>
      </c>
      <c r="AH24" s="2657">
        <f>'Income Statement'!FS21</f>
      </c>
      <c r="AI24" s="2657">
        <f>'Income Statement'!FT21</f>
      </c>
      <c r="AJ24" s="2657">
        <f>'Income Statement'!FU21</f>
      </c>
      <c r="AK24" s="2657"/>
      <c r="AL24" s="2657">
        <f>'Income Statement'!R21</f>
      </c>
      <c r="AM24" s="2657">
        <f>'Income Statement'!S21</f>
      </c>
      <c r="AN24" s="2657">
        <f>'Income Statement'!T21</f>
      </c>
      <c r="AO24" s="2657">
        <f>'Income Statement'!U21</f>
      </c>
      <c r="AP24" s="2657">
        <f>'Income Statement'!V21</f>
      </c>
      <c r="AQ24" s="2657">
        <f>'Income Statement'!W21</f>
      </c>
      <c r="AR24" s="2657">
        <f>'Income Statement'!X21</f>
      </c>
      <c r="AS24" s="2657">
        <f>'Income Statement'!Y21</f>
      </c>
      <c r="AT24" s="2657">
        <f>'Income Statement'!Z21</f>
      </c>
      <c r="AU24" s="2657">
        <f>'Income Statement'!AA21</f>
      </c>
      <c r="AV24" s="2657">
        <f>'Income Statement'!AB21</f>
      </c>
      <c r="AW24" s="2657">
        <f>'Income Statement'!AC21</f>
      </c>
      <c r="AX24" s="2657">
        <f>'Income Statement'!AD21</f>
      </c>
      <c r="AY24" s="2657">
        <f>'Income Statement'!AE21</f>
      </c>
      <c r="AZ24" s="2657">
        <f>'Income Statement'!AF21</f>
      </c>
      <c r="BA24" s="2657">
        <f>'Income Statement'!AG21</f>
      </c>
      <c r="BB24" s="2657">
        <f>'Income Statement'!AH21</f>
      </c>
      <c r="BC24" s="2657">
        <f>'Income Statement'!AI21</f>
      </c>
      <c r="BD24" s="2657">
        <f>'Income Statement'!AJ21</f>
      </c>
      <c r="BE24" s="2657">
        <f>'Income Statement'!AK21</f>
      </c>
      <c r="BF24" s="2657">
        <f>'Income Statement'!AL21</f>
      </c>
      <c r="BG24" s="2657">
        <f>'Income Statement'!AM21</f>
      </c>
      <c r="BH24" s="2657">
        <f>'Income Statement'!AN21</f>
      </c>
      <c r="BI24" s="2657">
        <f>'Income Statement'!AO21</f>
      </c>
      <c r="BJ24" s="2657">
        <f>'Income Statement'!AP21</f>
      </c>
      <c r="BK24" s="2657">
        <f>'Income Statement'!AQ21</f>
      </c>
      <c r="BL24" s="2657">
        <f>'Income Statement'!AR21</f>
      </c>
      <c r="BM24" s="2657">
        <f>'Income Statement'!AS21</f>
      </c>
      <c r="BN24" s="2657">
        <f>'Income Statement'!AT21</f>
      </c>
      <c r="BO24" s="2657">
        <f>'Income Statement'!AU21</f>
      </c>
      <c r="BP24" s="2657">
        <f>'Income Statement'!AV21</f>
      </c>
      <c r="BQ24" s="2657">
        <f>'Income Statement'!AW21</f>
      </c>
      <c r="BR24" s="2657">
        <f>'Income Statement'!AX21</f>
      </c>
      <c r="BS24" s="2657">
        <f>'Income Statement'!AY21</f>
      </c>
      <c r="BT24" s="2657">
        <f>'Income Statement'!AZ21</f>
      </c>
      <c r="BU24" s="2657">
        <f>'Income Statement'!BA21</f>
      </c>
      <c r="BV24" s="2657">
        <f>'Income Statement'!BB21</f>
      </c>
      <c r="BW24" s="2657">
        <f>'Income Statement'!BC21</f>
      </c>
      <c r="BX24" s="2657">
        <f>'Income Statement'!BD21</f>
      </c>
      <c r="BY24" s="2657">
        <f>'Income Statement'!BE21</f>
      </c>
      <c r="BZ24" s="2657">
        <f>'Income Statement'!BF21</f>
      </c>
      <c r="CA24" s="2657">
        <f>'Income Statement'!BG21</f>
      </c>
      <c r="CB24" s="2657">
        <f>'Income Statement'!BH21</f>
      </c>
      <c r="CC24" s="2657">
        <f>'Income Statement'!BI21</f>
      </c>
      <c r="CD24" s="2657">
        <f>'Income Statement'!BJ21</f>
      </c>
      <c r="CE24" s="2657">
        <f>'Income Statement'!BK21</f>
      </c>
      <c r="CF24" s="2657">
        <f>'Income Statement'!BL21</f>
      </c>
      <c r="CG24" s="2657">
        <f>'Income Statement'!BM21</f>
      </c>
      <c r="CH24" s="2657">
        <f>'Income Statement'!BN21</f>
      </c>
      <c r="CI24" s="2657">
        <f>'Income Statement'!BO21</f>
      </c>
      <c r="CJ24" s="2657">
        <f>'Income Statement'!BP21</f>
      </c>
      <c r="CK24" s="2657">
        <f>'Income Statement'!BQ21</f>
      </c>
      <c r="CL24" s="2657">
        <f>'Income Statement'!BR21</f>
      </c>
      <c r="CM24" s="2657">
        <f>'Income Statement'!BS21</f>
      </c>
      <c r="CN24" s="2657">
        <f>'Income Statement'!BT21</f>
      </c>
      <c r="CO24" s="2657">
        <f>'Income Statement'!BU21</f>
      </c>
      <c r="CP24" s="2657">
        <f>'Income Statement'!BV21</f>
      </c>
      <c r="CQ24" s="2657">
        <f>'Income Statement'!BW21</f>
      </c>
      <c r="CR24" s="2657">
        <f>'Income Statement'!BX21</f>
      </c>
      <c r="CS24" s="2657">
        <f>'Income Statement'!BY21</f>
      </c>
      <c r="CT24" s="2657">
        <f>'Income Statement'!BZ21</f>
      </c>
      <c r="CU24" s="2657">
        <f>'Income Statement'!CA21</f>
      </c>
      <c r="CV24" s="2657">
        <f>'Income Statement'!CB21</f>
      </c>
      <c r="CW24" s="2657">
        <f>'Income Statement'!CC21</f>
      </c>
      <c r="CX24" s="2657">
        <f>'Income Statement'!CD21</f>
      </c>
      <c r="CY24" s="2657">
        <f>'Income Statement'!CE21</f>
      </c>
      <c r="CZ24" s="2657">
        <f>'Income Statement'!CF21</f>
      </c>
      <c r="DA24" s="2657">
        <f>'Income Statement'!CG21</f>
      </c>
      <c r="DB24" s="2657">
        <f>'Income Statement'!CH21</f>
      </c>
      <c r="DC24" s="2657">
        <f>'Income Statement'!CI21</f>
      </c>
      <c r="DD24" s="2657">
        <f>'Income Statement'!CJ21</f>
      </c>
      <c r="DE24" s="2657">
        <f>'Income Statement'!CK21</f>
      </c>
      <c r="DF24" s="2657">
        <f>'Income Statement'!CL21</f>
      </c>
      <c r="DG24" s="2657">
        <f>'Income Statement'!CM21</f>
      </c>
      <c r="DH24" s="2657">
        <f>'Income Statement'!CN21</f>
      </c>
      <c r="DI24" s="2657">
        <f>'Income Statement'!CO21</f>
      </c>
      <c r="DJ24" s="2657">
        <f>'Income Statement'!CP21</f>
      </c>
      <c r="DK24" s="2657">
        <f>'Income Statement'!CQ21</f>
      </c>
      <c r="DL24" s="2657">
        <f>'Income Statement'!CR21</f>
      </c>
      <c r="DM24" s="2657">
        <f>'Income Statement'!CS21</f>
      </c>
      <c r="DN24" s="2657">
        <f>'Income Statement'!CT21</f>
      </c>
      <c r="DO24" s="2657">
        <f>'Income Statement'!CU21</f>
      </c>
      <c r="DP24" s="2657">
        <f>'Income Statement'!CV21</f>
      </c>
      <c r="DQ24" s="2657">
        <f>'Income Statement'!CW21</f>
      </c>
      <c r="DR24" s="2657">
        <f>'Income Statement'!CX21</f>
      </c>
      <c r="DS24" s="2657">
        <f>'Income Statement'!CY21</f>
      </c>
      <c r="DT24" s="2657">
        <f>'Income Statement'!CZ21</f>
      </c>
      <c r="DU24" s="2657">
        <f>'Income Statement'!DA21</f>
      </c>
      <c r="DV24" s="2657">
        <f>'Income Statement'!DB21</f>
      </c>
      <c r="DW24" s="2657">
        <f>'Income Statement'!DC21</f>
      </c>
      <c r="DX24" s="2657">
        <f>'Income Statement'!DD21</f>
      </c>
      <c r="DY24" s="2657">
        <f>'Income Statement'!DE21</f>
      </c>
      <c r="DZ24" s="2657">
        <f>'Income Statement'!DF21</f>
      </c>
      <c r="EA24" s="2657">
        <f>'Income Statement'!DG21</f>
      </c>
      <c r="EB24" s="2657">
        <f>'Income Statement'!DH21</f>
      </c>
      <c r="EC24" s="2657">
        <f>'Income Statement'!DI21</f>
      </c>
      <c r="ED24" s="2657">
        <f>'Income Statement'!DJ21</f>
      </c>
      <c r="EE24" s="2657">
        <f>'Income Statement'!DK21</f>
      </c>
      <c r="EF24" s="2657">
        <f>'Income Statement'!DL21</f>
      </c>
      <c r="EG24" s="2657">
        <f>'Income Statement'!DM21</f>
      </c>
      <c r="EH24" s="2657">
        <f>'Income Statement'!DN21</f>
      </c>
      <c r="EI24" s="2657">
        <f>'Income Statement'!DO21</f>
      </c>
      <c r="EJ24" s="2657">
        <f>'Income Statement'!DP21</f>
      </c>
      <c r="EK24" s="2657">
        <f>'Income Statement'!DQ21</f>
      </c>
      <c r="EL24" s="2657">
        <f>'Income Statement'!DR21</f>
      </c>
      <c r="EM24" s="2657">
        <f>'Income Statement'!DS21</f>
      </c>
      <c r="EN24" s="2657">
        <f>'Income Statement'!DT21</f>
      </c>
      <c r="EO24" s="2657">
        <f>'Income Statement'!DU21</f>
      </c>
      <c r="EP24" s="2657">
        <f>'Income Statement'!DV21</f>
      </c>
      <c r="EQ24" s="2657">
        <f>'Income Statement'!DW21</f>
      </c>
      <c r="ER24" s="2657">
        <f>'Income Statement'!DX21</f>
      </c>
      <c r="ES24" s="2657">
        <f>'Income Statement'!DY21</f>
      </c>
      <c r="ET24" s="2657">
        <f>'Income Statement'!DZ21</f>
      </c>
      <c r="EU24" s="2657">
        <f>'Income Statement'!EA21</f>
      </c>
      <c r="EV24" s="2657">
        <f>'Income Statement'!EB21</f>
      </c>
      <c r="EW24" s="2657">
        <f>'Income Statement'!EC21</f>
      </c>
      <c r="EX24" s="2657">
        <f>'Income Statement'!ED21</f>
      </c>
      <c r="EY24" s="2657">
        <f>'Income Statement'!EE21</f>
      </c>
      <c r="EZ24" s="2657">
        <f>'Income Statement'!EF21</f>
      </c>
      <c r="FA24" s="2657">
        <f>'Income Statement'!EG21</f>
      </c>
      <c r="FB24" s="2657">
        <f>'Income Statement'!EH21</f>
      </c>
      <c r="FC24" s="2657">
        <f>'Income Statement'!EI21</f>
      </c>
      <c r="FD24" s="2657">
        <f>'Income Statement'!EJ21</f>
      </c>
      <c r="FE24" s="2657">
        <f>'Income Statement'!EK21</f>
      </c>
    </row>
    <row r="25" spans="1:161" outlineLevel="2">
      <c r="B25" t="s">
        <v>96</v>
      </c>
      <c r="C25" t="s">
        <v>271</v>
      </c>
      <c r="D25" t="str">
        <f t="shared" si="0"/>
      </c>
      <c r="F25" s="2657">
        <f>'Income Statement'!EQ22</f>
      </c>
      <c r="G25" s="2657">
        <f>'Income Statement'!ER22</f>
      </c>
      <c r="H25" s="2657">
        <f>'Income Statement'!ES22</f>
      </c>
      <c r="I25" s="2657">
        <f>'Income Statement'!ET22</f>
      </c>
      <c r="J25" s="2657">
        <f>'Income Statement'!EU22</f>
      </c>
      <c r="K25" s="2657">
        <f>'Income Statement'!EV22</f>
      </c>
      <c r="L25" s="2657">
        <f>'Income Statement'!EW22</f>
      </c>
      <c r="M25" s="2657">
        <f>'Income Statement'!EX22</f>
      </c>
      <c r="N25" s="2657">
        <f>'Income Statement'!EY22</f>
      </c>
      <c r="O25" s="2657">
        <f>'Income Statement'!EZ22</f>
      </c>
      <c r="P25" s="2657">
        <f>'Income Statement'!FA22</f>
      </c>
      <c r="Q25" s="2657">
        <f>'Income Statement'!FB22</f>
      </c>
      <c r="R25" s="2657">
        <f>'Income Statement'!FC22</f>
      </c>
      <c r="S25" s="2657">
        <f>'Income Statement'!FD22</f>
      </c>
      <c r="T25" s="2657">
        <f>'Income Statement'!FE22</f>
      </c>
      <c r="U25" s="2657">
        <f>'Income Statement'!FF22</f>
      </c>
      <c r="V25" s="2657">
        <f>'Income Statement'!FG22</f>
      </c>
      <c r="W25" s="2657">
        <f>'Income Statement'!FH22</f>
      </c>
      <c r="X25" s="2657">
        <f>'Income Statement'!FI22</f>
      </c>
      <c r="Y25" s="2657">
        <f>'Income Statement'!FJ22</f>
      </c>
      <c r="Z25" s="2657">
        <f>'Income Statement'!FK22</f>
      </c>
      <c r="AA25" s="2657">
        <f>'Income Statement'!FL22</f>
      </c>
      <c r="AB25" s="2657">
        <f>'Income Statement'!FM22</f>
      </c>
      <c r="AC25" s="2657">
        <f>'Income Statement'!FN22</f>
      </c>
      <c r="AD25" s="2657">
        <f>'Income Statement'!FO22</f>
      </c>
      <c r="AE25" s="2657">
        <f>'Income Statement'!FP22</f>
      </c>
      <c r="AF25" s="2657">
        <f>'Income Statement'!FQ22</f>
      </c>
      <c r="AG25" s="2657">
        <f>'Income Statement'!FR22</f>
      </c>
      <c r="AH25" s="2657">
        <f>'Income Statement'!FS22</f>
      </c>
      <c r="AI25" s="2657">
        <f>'Income Statement'!FT22</f>
      </c>
      <c r="AJ25" s="2657">
        <f>'Income Statement'!FU22</f>
      </c>
      <c r="AK25" s="2657"/>
      <c r="AL25" s="2657">
        <f>'Income Statement'!R22</f>
      </c>
      <c r="AM25" s="2657">
        <f>'Income Statement'!S22</f>
      </c>
      <c r="AN25" s="2657">
        <f>'Income Statement'!T22</f>
      </c>
      <c r="AO25" s="2657">
        <f>'Income Statement'!U22</f>
      </c>
      <c r="AP25" s="2657">
        <f>'Income Statement'!V22</f>
      </c>
      <c r="AQ25" s="2657">
        <f>'Income Statement'!W22</f>
      </c>
      <c r="AR25" s="2657">
        <f>'Income Statement'!X22</f>
      </c>
      <c r="AS25" s="2657">
        <f>'Income Statement'!Y22</f>
      </c>
      <c r="AT25" s="2657">
        <f>'Income Statement'!Z22</f>
      </c>
      <c r="AU25" s="2657">
        <f>'Income Statement'!AA22</f>
      </c>
      <c r="AV25" s="2657">
        <f>'Income Statement'!AB22</f>
      </c>
      <c r="AW25" s="2657">
        <f>'Income Statement'!AC22</f>
      </c>
      <c r="AX25" s="2657">
        <f>'Income Statement'!AD22</f>
      </c>
      <c r="AY25" s="2657">
        <f>'Income Statement'!AE22</f>
      </c>
      <c r="AZ25" s="2657">
        <f>'Income Statement'!AF22</f>
      </c>
      <c r="BA25" s="2657">
        <f>'Income Statement'!AG22</f>
      </c>
      <c r="BB25" s="2657">
        <f>'Income Statement'!AH22</f>
      </c>
      <c r="BC25" s="2657">
        <f>'Income Statement'!AI22</f>
      </c>
      <c r="BD25" s="2657">
        <f>'Income Statement'!AJ22</f>
      </c>
      <c r="BE25" s="2657">
        <f>'Income Statement'!AK22</f>
      </c>
      <c r="BF25" s="2657">
        <f>'Income Statement'!AL22</f>
      </c>
      <c r="BG25" s="2657">
        <f>'Income Statement'!AM22</f>
      </c>
      <c r="BH25" s="2657">
        <f>'Income Statement'!AN22</f>
      </c>
      <c r="BI25" s="2657">
        <f>'Income Statement'!AO22</f>
      </c>
      <c r="BJ25" s="2657">
        <f>'Income Statement'!AP22</f>
      </c>
      <c r="BK25" s="2657">
        <f>'Income Statement'!AQ22</f>
      </c>
      <c r="BL25" s="2657">
        <f>'Income Statement'!AR22</f>
      </c>
      <c r="BM25" s="2657">
        <f>'Income Statement'!AS22</f>
      </c>
      <c r="BN25" s="2657">
        <f>'Income Statement'!AT22</f>
      </c>
      <c r="BO25" s="2657">
        <f>'Income Statement'!AU22</f>
      </c>
      <c r="BP25" s="2657">
        <f>'Income Statement'!AV22</f>
      </c>
      <c r="BQ25" s="2657">
        <f>'Income Statement'!AW22</f>
      </c>
      <c r="BR25" s="2657">
        <f>'Income Statement'!AX22</f>
      </c>
      <c r="BS25" s="2657">
        <f>'Income Statement'!AY22</f>
      </c>
      <c r="BT25" s="2657">
        <f>'Income Statement'!AZ22</f>
      </c>
      <c r="BU25" s="2657">
        <f>'Income Statement'!BA22</f>
      </c>
      <c r="BV25" s="2657">
        <f>'Income Statement'!BB22</f>
      </c>
      <c r="BW25" s="2657">
        <f>'Income Statement'!BC22</f>
      </c>
      <c r="BX25" s="2657">
        <f>'Income Statement'!BD22</f>
      </c>
      <c r="BY25" s="2657">
        <f>'Income Statement'!BE22</f>
      </c>
      <c r="BZ25" s="2657">
        <f>'Income Statement'!BF22</f>
      </c>
      <c r="CA25" s="2657">
        <f>'Income Statement'!BG22</f>
      </c>
      <c r="CB25" s="2657">
        <f>'Income Statement'!BH22</f>
      </c>
      <c r="CC25" s="2657">
        <f>'Income Statement'!BI22</f>
      </c>
      <c r="CD25" s="2657">
        <f>'Income Statement'!BJ22</f>
      </c>
      <c r="CE25" s="2657">
        <f>'Income Statement'!BK22</f>
      </c>
      <c r="CF25" s="2657">
        <f>'Income Statement'!BL22</f>
      </c>
      <c r="CG25" s="2657">
        <f>'Income Statement'!BM22</f>
      </c>
      <c r="CH25" s="2657">
        <f>'Income Statement'!BN22</f>
      </c>
      <c r="CI25" s="2657">
        <f>'Income Statement'!BO22</f>
      </c>
      <c r="CJ25" s="2657">
        <f>'Income Statement'!BP22</f>
      </c>
      <c r="CK25" s="2657">
        <f>'Income Statement'!BQ22</f>
      </c>
      <c r="CL25" s="2657">
        <f>'Income Statement'!BR22</f>
      </c>
      <c r="CM25" s="2657">
        <f>'Income Statement'!BS22</f>
      </c>
      <c r="CN25" s="2657">
        <f>'Income Statement'!BT22</f>
      </c>
      <c r="CO25" s="2657">
        <f>'Income Statement'!BU22</f>
      </c>
      <c r="CP25" s="2657">
        <f>'Income Statement'!BV22</f>
      </c>
      <c r="CQ25" s="2657">
        <f>'Income Statement'!BW22</f>
      </c>
      <c r="CR25" s="2657">
        <f>'Income Statement'!BX22</f>
      </c>
      <c r="CS25" s="2657">
        <f>'Income Statement'!BY22</f>
      </c>
      <c r="CT25" s="2657">
        <f>'Income Statement'!BZ22</f>
      </c>
      <c r="CU25" s="2657">
        <f>'Income Statement'!CA22</f>
      </c>
      <c r="CV25" s="2657">
        <f>'Income Statement'!CB22</f>
      </c>
      <c r="CW25" s="2657">
        <f>'Income Statement'!CC22</f>
      </c>
      <c r="CX25" s="2657">
        <f>'Income Statement'!CD22</f>
      </c>
      <c r="CY25" s="2657">
        <f>'Income Statement'!CE22</f>
      </c>
      <c r="CZ25" s="2657">
        <f>'Income Statement'!CF22</f>
      </c>
      <c r="DA25" s="2657">
        <f>'Income Statement'!CG22</f>
      </c>
      <c r="DB25" s="2657">
        <f>'Income Statement'!CH22</f>
      </c>
      <c r="DC25" s="2657">
        <f>'Income Statement'!CI22</f>
      </c>
      <c r="DD25" s="2657">
        <f>'Income Statement'!CJ22</f>
      </c>
      <c r="DE25" s="2657">
        <f>'Income Statement'!CK22</f>
      </c>
      <c r="DF25" s="2657">
        <f>'Income Statement'!CL22</f>
      </c>
      <c r="DG25" s="2657">
        <f>'Income Statement'!CM22</f>
      </c>
      <c r="DH25" s="2657">
        <f>'Income Statement'!CN22</f>
      </c>
      <c r="DI25" s="2657">
        <f>'Income Statement'!CO22</f>
      </c>
      <c r="DJ25" s="2657">
        <f>'Income Statement'!CP22</f>
      </c>
      <c r="DK25" s="2657">
        <f>'Income Statement'!CQ22</f>
      </c>
      <c r="DL25" s="2657">
        <f>'Income Statement'!CR22</f>
      </c>
      <c r="DM25" s="2657">
        <f>'Income Statement'!CS22</f>
      </c>
      <c r="DN25" s="2657">
        <f>'Income Statement'!CT22</f>
      </c>
      <c r="DO25" s="2657">
        <f>'Income Statement'!CU22</f>
      </c>
      <c r="DP25" s="2657">
        <f>'Income Statement'!CV22</f>
      </c>
      <c r="DQ25" s="2657">
        <f>'Income Statement'!CW22</f>
      </c>
      <c r="DR25" s="2657">
        <f>'Income Statement'!CX22</f>
      </c>
      <c r="DS25" s="2657">
        <f>'Income Statement'!CY22</f>
      </c>
      <c r="DT25" s="2657">
        <f>'Income Statement'!CZ22</f>
      </c>
      <c r="DU25" s="2657">
        <f>'Income Statement'!DA22</f>
      </c>
      <c r="DV25" s="2657">
        <f>'Income Statement'!DB22</f>
      </c>
      <c r="DW25" s="2657">
        <f>'Income Statement'!DC22</f>
      </c>
      <c r="DX25" s="2657">
        <f>'Income Statement'!DD22</f>
      </c>
      <c r="DY25" s="2657">
        <f>'Income Statement'!DE22</f>
      </c>
      <c r="DZ25" s="2657">
        <f>'Income Statement'!DF22</f>
      </c>
      <c r="EA25" s="2657">
        <f>'Income Statement'!DG22</f>
      </c>
      <c r="EB25" s="2657">
        <f>'Income Statement'!DH22</f>
      </c>
      <c r="EC25" s="2657">
        <f>'Income Statement'!DI22</f>
      </c>
      <c r="ED25" s="2657">
        <f>'Income Statement'!DJ22</f>
      </c>
      <c r="EE25" s="2657">
        <f>'Income Statement'!DK22</f>
      </c>
      <c r="EF25" s="2657">
        <f>'Income Statement'!DL22</f>
      </c>
      <c r="EG25" s="2657">
        <f>'Income Statement'!DM22</f>
      </c>
      <c r="EH25" s="2657">
        <f>'Income Statement'!DN22</f>
      </c>
      <c r="EI25" s="2657">
        <f>'Income Statement'!DO22</f>
      </c>
      <c r="EJ25" s="2657">
        <f>'Income Statement'!DP22</f>
      </c>
      <c r="EK25" s="2657">
        <f>'Income Statement'!DQ22</f>
      </c>
      <c r="EL25" s="2657">
        <f>'Income Statement'!DR22</f>
      </c>
      <c r="EM25" s="2657">
        <f>'Income Statement'!DS22</f>
      </c>
      <c r="EN25" s="2657">
        <f>'Income Statement'!DT22</f>
      </c>
      <c r="EO25" s="2657">
        <f>'Income Statement'!DU22</f>
      </c>
      <c r="EP25" s="2657">
        <f>'Income Statement'!DV22</f>
      </c>
      <c r="EQ25" s="2657">
        <f>'Income Statement'!DW22</f>
      </c>
      <c r="ER25" s="2657">
        <f>'Income Statement'!DX22</f>
      </c>
      <c r="ES25" s="2657">
        <f>'Income Statement'!DY22</f>
      </c>
      <c r="ET25" s="2657">
        <f>'Income Statement'!DZ22</f>
      </c>
      <c r="EU25" s="2657">
        <f>'Income Statement'!EA22</f>
      </c>
      <c r="EV25" s="2657">
        <f>'Income Statement'!EB22</f>
      </c>
      <c r="EW25" s="2657">
        <f>'Income Statement'!EC22</f>
      </c>
      <c r="EX25" s="2657">
        <f>'Income Statement'!ED22</f>
      </c>
      <c r="EY25" s="2657">
        <f>'Income Statement'!EE22</f>
      </c>
      <c r="EZ25" s="2657">
        <f>'Income Statement'!EF22</f>
      </c>
      <c r="FA25" s="2657">
        <f>'Income Statement'!EG22</f>
      </c>
      <c r="FB25" s="2657">
        <f>'Income Statement'!EH22</f>
      </c>
      <c r="FC25" s="2657">
        <f>'Income Statement'!EI22</f>
      </c>
      <c r="FD25" s="2657">
        <f>'Income Statement'!EJ22</f>
      </c>
      <c r="FE25" s="2657">
        <f>'Income Statement'!EK22</f>
      </c>
    </row>
    <row r="26" spans="1:161" outlineLevel="2">
      <c r="B26" t="s">
        <v>272</v>
      </c>
      <c r="C26" t="s">
        <v>273</v>
      </c>
      <c r="D26" t="str">
        <f t="shared" si="0"/>
      </c>
      <c r="F26" s="2657">
        <f t="shared" ref="F26:AI26" si="5">+SUM(F24:F25)</f>
      </c>
      <c r="G26" s="2657">
        <f t="shared" si="5"/>
      </c>
      <c r="H26" s="2657">
        <f t="shared" si="5"/>
      </c>
      <c r="I26" s="2657">
        <f t="shared" si="5"/>
      </c>
      <c r="J26" s="2657">
        <f t="shared" si="5"/>
      </c>
      <c r="K26" s="2657">
        <f t="shared" si="5"/>
      </c>
      <c r="L26" s="2657">
        <f t="shared" si="5"/>
      </c>
      <c r="M26" s="2657">
        <f t="shared" si="5"/>
      </c>
      <c r="N26" s="2657">
        <f t="shared" si="5"/>
      </c>
      <c r="O26" s="2657">
        <f t="shared" si="5"/>
      </c>
      <c r="P26" s="2657">
        <f t="shared" si="5"/>
      </c>
      <c r="Q26" s="2657">
        <f t="shared" si="5"/>
      </c>
      <c r="R26" s="2657">
        <f t="shared" si="5"/>
      </c>
      <c r="S26" s="2657">
        <f t="shared" si="5"/>
      </c>
      <c r="T26" s="2657">
        <f t="shared" si="5"/>
      </c>
      <c r="U26" s="2657">
        <f t="shared" si="5"/>
      </c>
      <c r="V26" s="2657">
        <f t="shared" si="5"/>
      </c>
      <c r="W26" s="2657">
        <f t="shared" si="5"/>
      </c>
      <c r="X26" s="2657">
        <f t="shared" si="5"/>
      </c>
      <c r="Y26" s="2657">
        <f t="shared" si="5"/>
      </c>
      <c r="Z26" s="2657">
        <f t="shared" si="5"/>
      </c>
      <c r="AA26" s="2657">
        <f t="shared" si="5"/>
      </c>
      <c r="AB26" s="2657">
        <f t="shared" si="5"/>
      </c>
      <c r="AC26" s="2657">
        <f t="shared" si="5"/>
      </c>
      <c r="AD26" s="2657">
        <f t="shared" si="5"/>
      </c>
      <c r="AE26" s="2657">
        <f t="shared" si="5"/>
      </c>
      <c r="AF26" s="2657">
        <f t="shared" si="5"/>
      </c>
      <c r="AG26" s="2657">
        <f t="shared" si="5"/>
      </c>
      <c r="AH26" s="2657">
        <f t="shared" si="5"/>
      </c>
      <c r="AI26" s="2657">
        <f t="shared" si="5"/>
      </c>
      <c r="AJ26" s="2657">
        <f>+SUM(AJ24:AJ25)</f>
      </c>
      <c r="AK26" s="2657"/>
      <c r="AL26" s="2657">
        <f>+SUM(AL24:AL25)</f>
      </c>
      <c r="AM26" s="2657">
        <f t="shared" ref="AM26:CX26" si="6">+SUM(AM24:AM25)</f>
      </c>
      <c r="AN26" s="2657">
        <f t="shared" si="6"/>
      </c>
      <c r="AO26" s="2657">
        <f t="shared" si="6"/>
      </c>
      <c r="AP26" s="2657">
        <f t="shared" si="6"/>
      </c>
      <c r="AQ26" s="2657">
        <f t="shared" si="6"/>
      </c>
      <c r="AR26" s="2657">
        <f t="shared" si="6"/>
      </c>
      <c r="AS26" s="2657">
        <f t="shared" si="6"/>
      </c>
      <c r="AT26" s="2657">
        <f t="shared" si="6"/>
      </c>
      <c r="AU26" s="2657">
        <f t="shared" si="6"/>
      </c>
      <c r="AV26" s="2657">
        <f t="shared" si="6"/>
      </c>
      <c r="AW26" s="2657">
        <f t="shared" si="6"/>
      </c>
      <c r="AX26" s="2657">
        <f t="shared" si="6"/>
      </c>
      <c r="AY26" s="2657">
        <f t="shared" si="6"/>
      </c>
      <c r="AZ26" s="2657">
        <f t="shared" si="6"/>
      </c>
      <c r="BA26" s="2657">
        <f t="shared" si="6"/>
      </c>
      <c r="BB26" s="2657">
        <f t="shared" si="6"/>
      </c>
      <c r="BC26" s="2657">
        <f t="shared" si="6"/>
      </c>
      <c r="BD26" s="2657">
        <f t="shared" si="6"/>
      </c>
      <c r="BE26" s="2657">
        <f t="shared" si="6"/>
      </c>
      <c r="BF26" s="2657">
        <f t="shared" si="6"/>
      </c>
      <c r="BG26" s="2657">
        <f t="shared" si="6"/>
      </c>
      <c r="BH26" s="2657">
        <f t="shared" si="6"/>
      </c>
      <c r="BI26" s="2657">
        <f t="shared" si="6"/>
      </c>
      <c r="BJ26" s="2657">
        <f t="shared" si="6"/>
      </c>
      <c r="BK26" s="2657">
        <f t="shared" si="6"/>
      </c>
      <c r="BL26" s="2657">
        <f t="shared" si="6"/>
      </c>
      <c r="BM26" s="2657">
        <f t="shared" si="6"/>
      </c>
      <c r="BN26" s="2657">
        <f t="shared" si="6"/>
      </c>
      <c r="BO26" s="2657">
        <f t="shared" si="6"/>
      </c>
      <c r="BP26" s="2657">
        <f t="shared" si="6"/>
      </c>
      <c r="BQ26" s="2657">
        <f t="shared" si="6"/>
      </c>
      <c r="BR26" s="2657">
        <f t="shared" si="6"/>
      </c>
      <c r="BS26" s="2657">
        <f t="shared" si="6"/>
      </c>
      <c r="BT26" s="2657">
        <f t="shared" si="6"/>
      </c>
      <c r="BU26" s="2657">
        <f t="shared" si="6"/>
      </c>
      <c r="BV26" s="2657">
        <f t="shared" si="6"/>
      </c>
      <c r="BW26" s="2657">
        <f t="shared" si="6"/>
      </c>
      <c r="BX26" s="2657">
        <f t="shared" si="6"/>
      </c>
      <c r="BY26" s="2657">
        <f t="shared" si="6"/>
      </c>
      <c r="BZ26" s="2657">
        <f t="shared" si="6"/>
      </c>
      <c r="CA26" s="2657">
        <f t="shared" si="6"/>
      </c>
      <c r="CB26" s="2657">
        <f t="shared" si="6"/>
      </c>
      <c r="CC26" s="2657">
        <f t="shared" si="6"/>
      </c>
      <c r="CD26" s="2657">
        <f t="shared" si="6"/>
      </c>
      <c r="CE26" s="2657">
        <f t="shared" si="6"/>
      </c>
      <c r="CF26" s="2657">
        <f t="shared" si="6"/>
      </c>
      <c r="CG26" s="2657">
        <f t="shared" si="6"/>
      </c>
      <c r="CH26" s="2657">
        <f t="shared" si="6"/>
      </c>
      <c r="CI26" s="2657">
        <f t="shared" si="6"/>
      </c>
      <c r="CJ26" s="2657">
        <f t="shared" si="6"/>
      </c>
      <c r="CK26" s="2657">
        <f t="shared" si="6"/>
      </c>
      <c r="CL26" s="2657">
        <f t="shared" si="6"/>
      </c>
      <c r="CM26" s="2657">
        <f t="shared" si="6"/>
      </c>
      <c r="CN26" s="2657">
        <f t="shared" si="6"/>
      </c>
      <c r="CO26" s="2657">
        <f t="shared" si="6"/>
      </c>
      <c r="CP26" s="2657">
        <f t="shared" si="6"/>
      </c>
      <c r="CQ26" s="2657">
        <f t="shared" si="6"/>
      </c>
      <c r="CR26" s="2657">
        <f t="shared" si="6"/>
      </c>
      <c r="CS26" s="2657">
        <f t="shared" si="6"/>
      </c>
      <c r="CT26" s="2657">
        <f t="shared" si="6"/>
      </c>
      <c r="CU26" s="2657">
        <f t="shared" si="6"/>
      </c>
      <c r="CV26" s="2657">
        <f t="shared" si="6"/>
      </c>
      <c r="CW26" s="2657">
        <f t="shared" si="6"/>
      </c>
      <c r="CX26" s="2657">
        <f t="shared" si="6"/>
      </c>
      <c r="CY26" s="2657">
        <f t="shared" ref="CY26:EK26" si="7">+SUM(CY24:CY25)</f>
      </c>
      <c r="CZ26" s="2657">
        <f t="shared" si="7"/>
      </c>
      <c r="DA26" s="2657">
        <f t="shared" si="7"/>
      </c>
      <c r="DB26" s="2657">
        <f t="shared" si="7"/>
      </c>
      <c r="DC26" s="2657">
        <f t="shared" si="7"/>
      </c>
      <c r="DD26" s="2657">
        <f t="shared" si="7"/>
      </c>
      <c r="DE26" s="2657">
        <f t="shared" si="7"/>
      </c>
      <c r="DF26" s="2657">
        <f t="shared" si="7"/>
      </c>
      <c r="DG26" s="2657">
        <f t="shared" si="7"/>
      </c>
      <c r="DH26" s="2657">
        <f t="shared" si="7"/>
      </c>
      <c r="DI26" s="2657">
        <f t="shared" si="7"/>
      </c>
      <c r="DJ26" s="2657">
        <f t="shared" si="7"/>
      </c>
      <c r="DK26" s="2657">
        <f t="shared" si="7"/>
      </c>
      <c r="DL26" s="2657">
        <f t="shared" si="7"/>
      </c>
      <c r="DM26" s="2657">
        <f t="shared" si="7"/>
      </c>
      <c r="DN26" s="2657">
        <f t="shared" si="7"/>
      </c>
      <c r="DO26" s="2657">
        <f t="shared" si="7"/>
      </c>
      <c r="DP26" s="2657">
        <f t="shared" si="7"/>
      </c>
      <c r="DQ26" s="2657">
        <f t="shared" si="7"/>
      </c>
      <c r="DR26" s="2657">
        <f t="shared" si="7"/>
      </c>
      <c r="DS26" s="2657">
        <f t="shared" si="7"/>
      </c>
      <c r="DT26" s="2657">
        <f t="shared" si="7"/>
      </c>
      <c r="DU26" s="2657">
        <f t="shared" si="7"/>
      </c>
      <c r="DV26" s="2657">
        <f t="shared" si="7"/>
      </c>
      <c r="DW26" s="2657">
        <f t="shared" si="7"/>
      </c>
      <c r="DX26" s="2657">
        <f t="shared" si="7"/>
      </c>
      <c r="DY26" s="2657">
        <f t="shared" si="7"/>
      </c>
      <c r="DZ26" s="2657">
        <f t="shared" si="7"/>
      </c>
      <c r="EA26" s="2657">
        <f t="shared" si="7"/>
      </c>
      <c r="EB26" s="2657">
        <f t="shared" si="7"/>
      </c>
      <c r="EC26" s="2657">
        <f t="shared" si="7"/>
      </c>
      <c r="ED26" s="2657">
        <f t="shared" si="7"/>
      </c>
      <c r="EE26" s="2657">
        <f t="shared" si="7"/>
      </c>
      <c r="EF26" s="2657">
        <f t="shared" si="7"/>
      </c>
      <c r="EG26" s="2657">
        <f t="shared" si="7"/>
      </c>
      <c r="EH26" s="2657">
        <f t="shared" si="7"/>
      </c>
      <c r="EI26" s="2657">
        <f t="shared" si="7"/>
      </c>
      <c r="EJ26" s="2657">
        <f t="shared" si="7"/>
      </c>
      <c r="EK26" s="2657">
        <f t="shared" si="7"/>
      </c>
      <c r="EL26" s="2657">
        <f t="shared" ref="EL26:FE26" si="8">+SUM(EL24:EL25)</f>
      </c>
      <c r="EM26" s="2657">
        <f t="shared" si="8"/>
      </c>
      <c r="EN26" s="2657">
        <f t="shared" si="8"/>
      </c>
      <c r="EO26" s="2657">
        <f t="shared" si="8"/>
      </c>
      <c r="EP26" s="2657">
        <f t="shared" si="8"/>
      </c>
      <c r="EQ26" s="2657">
        <f t="shared" si="8"/>
      </c>
      <c r="ER26" s="2657">
        <f t="shared" si="8"/>
      </c>
      <c r="ES26" s="2657">
        <f t="shared" si="8"/>
      </c>
      <c r="ET26" s="2657">
        <f t="shared" si="8"/>
      </c>
      <c r="EU26" s="2657">
        <f t="shared" si="8"/>
      </c>
      <c r="EV26" s="2657">
        <f t="shared" si="8"/>
      </c>
      <c r="EW26" s="2657">
        <f t="shared" si="8"/>
      </c>
      <c r="EX26" s="2657">
        <f t="shared" si="8"/>
      </c>
      <c r="EY26" s="2657">
        <f t="shared" si="8"/>
      </c>
      <c r="EZ26" s="2657">
        <f t="shared" si="8"/>
      </c>
      <c r="FA26" s="2657">
        <f t="shared" si="8"/>
      </c>
      <c r="FB26" s="2657">
        <f t="shared" si="8"/>
      </c>
      <c r="FC26" s="2657">
        <f t="shared" si="8"/>
      </c>
      <c r="FD26" s="2657">
        <f t="shared" si="8"/>
      </c>
      <c r="FE26" s="2657">
        <f t="shared" si="8"/>
      </c>
    </row>
    <row r="27" spans="1:161" outlineLevel="2">
      <c r="B27" t="s">
        <v>274</v>
      </c>
      <c r="C27" t="s">
        <v>275</v>
      </c>
      <c r="D27" t="str">
        <f t="shared" si="0"/>
      </c>
      <c r="F27" s="2657">
        <v>0</v>
      </c>
      <c r="G27" s="2657">
        <v>0</v>
      </c>
      <c r="H27" s="2657">
        <v>0</v>
      </c>
      <c r="I27" s="2657">
        <v>0</v>
      </c>
      <c r="J27" s="2657">
        <v>0</v>
      </c>
      <c r="K27" s="2657">
        <v>0</v>
      </c>
      <c r="L27" s="2657">
        <v>0</v>
      </c>
      <c r="M27" s="2657">
        <v>0</v>
      </c>
      <c r="N27" s="2657">
        <v>0</v>
      </c>
      <c r="O27" s="2657">
        <v>0</v>
      </c>
      <c r="P27" s="2657"/>
      <c r="Q27" s="2657"/>
      <c r="R27" s="2657"/>
      <c r="S27" s="2657"/>
      <c r="T27" s="2657"/>
      <c r="U27" s="2657"/>
      <c r="V27" s="2657"/>
      <c r="W27" s="2657"/>
      <c r="X27" s="2657"/>
      <c r="Y27" s="2657"/>
      <c r="Z27" s="2657"/>
      <c r="AA27" s="2657"/>
      <c r="AB27" s="2657"/>
      <c r="AC27" s="2657"/>
      <c r="AD27" s="2657"/>
      <c r="AE27" s="2657"/>
      <c r="AF27" s="2657"/>
      <c r="AG27" s="2657"/>
      <c r="AH27" s="2657"/>
      <c r="AI27" s="2657"/>
      <c r="AJ27" s="2657"/>
      <c r="AK27" s="2657"/>
      <c r="AL27" s="2657"/>
      <c r="AM27" s="2657"/>
      <c r="AN27" s="2657"/>
      <c r="AO27" s="2657"/>
      <c r="AP27" s="2657"/>
      <c r="AQ27" s="2657"/>
      <c r="AR27" s="2657"/>
      <c r="AS27" s="2657"/>
      <c r="AT27" s="2657"/>
      <c r="AU27" s="2657"/>
      <c r="AV27" s="2657"/>
      <c r="AW27" s="2657"/>
      <c r="AX27" s="2657">
        <v>0</v>
      </c>
      <c r="AY27" s="2657">
        <v>0</v>
      </c>
      <c r="AZ27" s="2657">
        <v>0</v>
      </c>
      <c r="BA27" s="2657">
        <v>0</v>
      </c>
      <c r="BB27" s="2657">
        <v>0</v>
      </c>
      <c r="BC27" s="2657">
        <v>0</v>
      </c>
      <c r="BD27" s="2657">
        <v>0</v>
      </c>
      <c r="BE27" s="2657">
        <v>0</v>
      </c>
      <c r="BF27" s="2657">
        <v>0</v>
      </c>
      <c r="BG27" s="2657">
        <v>0</v>
      </c>
      <c r="BH27" s="2657">
        <v>0</v>
      </c>
      <c r="BI27" s="2657">
        <v>0</v>
      </c>
      <c r="BJ27" s="2657">
        <v>0</v>
      </c>
      <c r="BK27" s="2657">
        <v>0</v>
      </c>
      <c r="BL27" s="2657">
        <v>0</v>
      </c>
      <c r="BM27" s="2657">
        <v>0</v>
      </c>
      <c r="BN27" s="2657">
        <v>0</v>
      </c>
      <c r="BO27" s="2657">
        <v>0</v>
      </c>
      <c r="BP27" s="2657">
        <v>0</v>
      </c>
      <c r="BQ27" s="2657">
        <v>0</v>
      </c>
      <c r="BR27" s="2657">
        <v>0</v>
      </c>
      <c r="BS27" s="2657">
        <v>0</v>
      </c>
      <c r="BT27" s="2657">
        <v>0</v>
      </c>
      <c r="BU27" s="2657">
        <v>0</v>
      </c>
      <c r="BV27" s="2657">
        <v>0</v>
      </c>
      <c r="BW27" s="2657"/>
      <c r="BX27" s="2657"/>
      <c r="BY27" s="2657"/>
      <c r="BZ27" s="2657"/>
      <c r="CA27" s="2657"/>
      <c r="CB27" s="2657"/>
      <c r="CC27" s="2657"/>
      <c r="CD27" s="2657"/>
      <c r="CE27" s="2657"/>
      <c r="CF27" s="2657"/>
      <c r="CG27" s="2657"/>
      <c r="CH27" s="2657"/>
      <c r="CI27" s="2657"/>
      <c r="CJ27" s="2657"/>
      <c r="CK27" s="2657"/>
      <c r="CL27" s="2657"/>
      <c r="CM27" s="2657"/>
      <c r="CN27" s="2657"/>
      <c r="CO27" s="2657"/>
      <c r="CP27" s="2657"/>
      <c r="CQ27" s="2657"/>
      <c r="CR27" s="2657"/>
      <c r="CS27" s="2657"/>
      <c r="CT27" s="2657"/>
      <c r="CU27" s="2657"/>
      <c r="CV27" s="2657"/>
      <c r="CW27" s="2657"/>
      <c r="CX27" s="2657"/>
      <c r="CY27" s="2657"/>
      <c r="CZ27" s="2657"/>
      <c r="DA27" s="2657"/>
      <c r="DB27" s="2657"/>
      <c r="DC27" s="2657"/>
      <c r="DD27" s="2657"/>
      <c r="DE27" s="2657"/>
      <c r="DF27" s="2657"/>
      <c r="DG27" s="2657"/>
      <c r="DH27" s="2657"/>
      <c r="DI27" s="2657"/>
      <c r="DJ27" s="2657"/>
      <c r="DK27" s="2657"/>
      <c r="DL27" s="2657"/>
      <c r="DM27" s="2657"/>
      <c r="DN27" s="2657"/>
      <c r="DO27" s="2657"/>
      <c r="DP27" s="2657"/>
      <c r="DQ27" s="2657"/>
      <c r="DR27" s="2657"/>
      <c r="DS27" s="2657"/>
      <c r="DT27" s="2657"/>
      <c r="DU27" s="2657"/>
      <c r="DV27" s="2657"/>
      <c r="DW27" s="2657"/>
      <c r="DX27" s="2657"/>
      <c r="DY27" s="2657"/>
      <c r="DZ27" s="2657"/>
      <c r="EA27" s="2657"/>
      <c r="EB27" s="2657"/>
      <c r="EC27" s="2657"/>
      <c r="ED27" s="2657"/>
      <c r="EE27" s="2657"/>
      <c r="EF27" s="2657"/>
      <c r="EG27" s="2657"/>
      <c r="EH27" s="2657"/>
      <c r="EI27" s="2657"/>
      <c r="EJ27" s="2657"/>
      <c r="EK27" s="2657"/>
      <c r="EL27" s="2657"/>
      <c r="EM27" s="2657"/>
      <c r="EN27" s="2657"/>
      <c r="EO27" s="2657"/>
      <c r="EP27" s="2657"/>
      <c r="EQ27" s="2657"/>
      <c r="ER27" s="2657"/>
      <c r="ES27" s="2657"/>
      <c r="ET27" s="2657"/>
      <c r="EU27" s="2657"/>
      <c r="EV27" s="2657"/>
      <c r="EW27" s="2657"/>
      <c r="EX27" s="2657"/>
      <c r="EY27" s="2657"/>
      <c r="EZ27" s="2657"/>
      <c r="FA27" s="2657"/>
      <c r="FB27" s="2657"/>
      <c r="FC27" s="2657"/>
      <c r="FD27" s="2657"/>
      <c r="FE27" s="2657"/>
    </row>
    <row r="28" spans="1:161" outlineLevel="2">
      <c r="B28" t="s">
        <v>276</v>
      </c>
      <c r="C28" t="s">
        <v>277</v>
      </c>
      <c r="D28" t="str">
        <f t="shared" si="0"/>
      </c>
      <c r="F28" s="2657">
        <v>0</v>
      </c>
      <c r="G28" s="2657">
        <v>0</v>
      </c>
      <c r="H28" s="2657">
        <v>0</v>
      </c>
      <c r="I28" s="2657">
        <v>0</v>
      </c>
      <c r="J28" s="2657">
        <v>0</v>
      </c>
      <c r="K28" s="2657">
        <v>0</v>
      </c>
      <c r="L28" s="2657">
        <v>0</v>
      </c>
      <c r="M28" s="2657">
        <v>0</v>
      </c>
      <c r="N28" s="2657">
        <v>0</v>
      </c>
      <c r="O28" s="2657">
        <v>0</v>
      </c>
      <c r="P28" s="2657"/>
      <c r="Q28" s="2657"/>
      <c r="R28" s="2657"/>
      <c r="S28" s="2657"/>
      <c r="T28" s="2657"/>
      <c r="U28" s="2657"/>
      <c r="V28" s="2657"/>
      <c r="W28" s="2657"/>
      <c r="X28" s="2657"/>
      <c r="Y28" s="2657"/>
      <c r="Z28" s="2657"/>
      <c r="AA28" s="2657"/>
      <c r="AB28" s="2657"/>
      <c r="AC28" s="2657"/>
      <c r="AD28" s="2657"/>
      <c r="AE28" s="2657"/>
      <c r="AF28" s="2657"/>
      <c r="AG28" s="2657"/>
      <c r="AH28" s="2657"/>
      <c r="AI28" s="2657"/>
      <c r="AJ28" s="2657"/>
      <c r="AK28" s="2657"/>
      <c r="AL28" s="2657"/>
      <c r="AM28" s="2657"/>
      <c r="AN28" s="2657"/>
      <c r="AO28" s="2657"/>
      <c r="AP28" s="2657"/>
      <c r="AQ28" s="2657"/>
      <c r="AR28" s="2657"/>
      <c r="AS28" s="2657"/>
      <c r="AT28" s="2657"/>
      <c r="AU28" s="2657"/>
      <c r="AV28" s="2657"/>
      <c r="AW28" s="2657"/>
      <c r="AX28" s="2657">
        <v>0</v>
      </c>
      <c r="AY28" s="2657">
        <v>0</v>
      </c>
      <c r="AZ28" s="2657">
        <v>0</v>
      </c>
      <c r="BA28" s="2657">
        <v>0</v>
      </c>
      <c r="BB28" s="2657">
        <v>0</v>
      </c>
      <c r="BC28" s="2657">
        <v>0</v>
      </c>
      <c r="BD28" s="2657">
        <v>0</v>
      </c>
      <c r="BE28" s="2657">
        <v>0</v>
      </c>
      <c r="BF28" s="2657">
        <v>0</v>
      </c>
      <c r="BG28" s="2657">
        <v>0</v>
      </c>
      <c r="BH28" s="2657">
        <v>0</v>
      </c>
      <c r="BI28" s="2657">
        <v>0</v>
      </c>
      <c r="BJ28" s="2657">
        <v>0</v>
      </c>
      <c r="BK28" s="2657">
        <v>0</v>
      </c>
      <c r="BL28" s="2657">
        <v>0</v>
      </c>
      <c r="BM28" s="2657">
        <v>0</v>
      </c>
      <c r="BN28" s="2657">
        <v>0</v>
      </c>
      <c r="BO28" s="2657">
        <v>0</v>
      </c>
      <c r="BP28" s="2657">
        <v>0</v>
      </c>
      <c r="BQ28" s="2657">
        <v>0</v>
      </c>
      <c r="BR28" s="2657">
        <v>0</v>
      </c>
      <c r="BS28" s="2657">
        <v>0</v>
      </c>
      <c r="BT28" s="2657">
        <v>0</v>
      </c>
      <c r="BU28" s="2657">
        <v>0</v>
      </c>
      <c r="BV28" s="2657">
        <v>0</v>
      </c>
      <c r="BW28" s="2657"/>
      <c r="BX28" s="2657"/>
      <c r="BY28" s="2657"/>
      <c r="BZ28" s="2657"/>
      <c r="CA28" s="2657"/>
      <c r="CB28" s="2657"/>
      <c r="CC28" s="2657"/>
      <c r="CD28" s="2657"/>
      <c r="CE28" s="2657"/>
      <c r="CF28" s="2657"/>
      <c r="CG28" s="2657"/>
      <c r="CH28" s="2657"/>
      <c r="CI28" s="2657"/>
      <c r="CJ28" s="2657"/>
      <c r="CK28" s="2657"/>
      <c r="CL28" s="2657"/>
      <c r="CM28" s="2657"/>
      <c r="CN28" s="2657"/>
      <c r="CO28" s="2657"/>
      <c r="CP28" s="2657"/>
      <c r="CQ28" s="2657"/>
      <c r="CR28" s="2657"/>
      <c r="CS28" s="2657"/>
      <c r="CT28" s="2657"/>
      <c r="CU28" s="2657"/>
      <c r="CV28" s="2657"/>
      <c r="CW28" s="2657"/>
      <c r="CX28" s="2657"/>
      <c r="CY28" s="2657"/>
      <c r="CZ28" s="2657"/>
      <c r="DA28" s="2657"/>
      <c r="DB28" s="2657"/>
      <c r="DC28" s="2657"/>
      <c r="DD28" s="2657"/>
      <c r="DE28" s="2657"/>
      <c r="DF28" s="2657"/>
      <c r="DG28" s="2657"/>
      <c r="DH28" s="2657"/>
      <c r="DI28" s="2657"/>
      <c r="DJ28" s="2657"/>
      <c r="DK28" s="2657"/>
      <c r="DL28" s="2657"/>
      <c r="DM28" s="2657"/>
      <c r="DN28" s="2657"/>
      <c r="DO28" s="2657"/>
      <c r="DP28" s="2657"/>
      <c r="DQ28" s="2657"/>
      <c r="DR28" s="2657"/>
      <c r="DS28" s="2657"/>
      <c r="DT28" s="2657"/>
      <c r="DU28" s="2657"/>
      <c r="DV28" s="2657"/>
      <c r="DW28" s="2657"/>
      <c r="DX28" s="2657"/>
      <c r="DY28" s="2657"/>
      <c r="DZ28" s="2657"/>
      <c r="EA28" s="2657"/>
      <c r="EB28" s="2657"/>
      <c r="EC28" s="2657"/>
      <c r="ED28" s="2657"/>
      <c r="EE28" s="2657"/>
      <c r="EF28" s="2657"/>
      <c r="EG28" s="2657"/>
      <c r="EH28" s="2657"/>
      <c r="EI28" s="2657"/>
      <c r="EJ28" s="2657"/>
      <c r="EK28" s="2657"/>
      <c r="EL28" s="2657"/>
      <c r="EM28" s="2657"/>
      <c r="EN28" s="2657"/>
      <c r="EO28" s="2657"/>
      <c r="EP28" s="2657"/>
      <c r="EQ28" s="2657"/>
      <c r="ER28" s="2657"/>
      <c r="ES28" s="2657"/>
      <c r="ET28" s="2657"/>
      <c r="EU28" s="2657"/>
      <c r="EV28" s="2657"/>
      <c r="EW28" s="2657"/>
      <c r="EX28" s="2657"/>
      <c r="EY28" s="2657"/>
      <c r="EZ28" s="2657"/>
      <c r="FA28" s="2657"/>
      <c r="FB28" s="2657"/>
      <c r="FC28" s="2657"/>
      <c r="FD28" s="2657"/>
      <c r="FE28" s="2657"/>
    </row>
    <row r="29" spans="1:161" outlineLevel="2">
      <c r="B29" t="s">
        <v>278</v>
      </c>
      <c r="C29" t="s">
        <v>279</v>
      </c>
      <c r="D29" t="str">
        <f t="shared" si="0"/>
      </c>
      <c r="F29" s="2657">
        <v>0</v>
      </c>
      <c r="G29" s="2657">
        <v>0</v>
      </c>
      <c r="H29" s="2657">
        <v>0</v>
      </c>
      <c r="I29" s="2657">
        <v>0</v>
      </c>
      <c r="J29" s="2657">
        <v>0</v>
      </c>
      <c r="K29" s="2657">
        <v>0</v>
      </c>
      <c r="L29" s="2657">
        <v>0</v>
      </c>
      <c r="M29" s="2657">
        <v>0</v>
      </c>
      <c r="N29" s="2657">
        <v>0</v>
      </c>
      <c r="O29" s="2657">
        <v>0</v>
      </c>
      <c r="P29" s="2657"/>
      <c r="Q29" s="2657"/>
      <c r="R29" s="2657"/>
      <c r="S29" s="2657"/>
      <c r="T29" s="2657"/>
      <c r="U29" s="2657"/>
      <c r="V29" s="2657"/>
      <c r="W29" s="2657"/>
      <c r="X29" s="2657"/>
      <c r="Y29" s="2657"/>
      <c r="Z29" s="2657"/>
      <c r="AA29" s="2657"/>
      <c r="AB29" s="2657"/>
      <c r="AC29" s="2657"/>
      <c r="AD29" s="2657"/>
      <c r="AE29" s="2657"/>
      <c r="AF29" s="2657"/>
      <c r="AG29" s="2657"/>
      <c r="AH29" s="2657"/>
      <c r="AI29" s="2657"/>
      <c r="AJ29" s="2657"/>
      <c r="AK29" s="2657"/>
      <c r="AL29" s="2657"/>
      <c r="AM29" s="2657"/>
      <c r="AN29" s="2657"/>
      <c r="AO29" s="2657"/>
      <c r="AP29" s="2657"/>
      <c r="AQ29" s="2657"/>
      <c r="AR29" s="2657"/>
      <c r="AS29" s="2657"/>
      <c r="AT29" s="2657"/>
      <c r="AU29" s="2657"/>
      <c r="AV29" s="2657"/>
      <c r="AW29" s="2657"/>
      <c r="AX29" s="2657">
        <v>0</v>
      </c>
      <c r="AY29" s="2657">
        <v>0</v>
      </c>
      <c r="AZ29" s="2657">
        <v>0</v>
      </c>
      <c r="BA29" s="2657">
        <v>0</v>
      </c>
      <c r="BB29" s="2657">
        <v>0</v>
      </c>
      <c r="BC29" s="2657">
        <v>0</v>
      </c>
      <c r="BD29" s="2657">
        <v>0</v>
      </c>
      <c r="BE29" s="2657">
        <v>0</v>
      </c>
      <c r="BF29" s="2657">
        <v>0</v>
      </c>
      <c r="BG29" s="2657">
        <v>0</v>
      </c>
      <c r="BH29" s="2657">
        <v>0</v>
      </c>
      <c r="BI29" s="2657">
        <v>0</v>
      </c>
      <c r="BJ29" s="2657">
        <v>0</v>
      </c>
      <c r="BK29" s="2657">
        <v>0</v>
      </c>
      <c r="BL29" s="2657">
        <v>0</v>
      </c>
      <c r="BM29" s="2657">
        <v>0</v>
      </c>
      <c r="BN29" s="2657">
        <v>0</v>
      </c>
      <c r="BO29" s="2657">
        <v>0</v>
      </c>
      <c r="BP29" s="2657">
        <v>0</v>
      </c>
      <c r="BQ29" s="2657">
        <v>0</v>
      </c>
      <c r="BR29" s="2657">
        <v>0</v>
      </c>
      <c r="BS29" s="2657">
        <v>0</v>
      </c>
      <c r="BT29" s="2657">
        <v>0</v>
      </c>
      <c r="BU29" s="2657">
        <v>0</v>
      </c>
      <c r="BV29" s="2657">
        <v>0</v>
      </c>
      <c r="BW29" s="2657">
        <v>0</v>
      </c>
      <c r="BX29" s="2657">
        <v>0</v>
      </c>
      <c r="BY29" s="2657">
        <v>0</v>
      </c>
      <c r="BZ29" s="2657">
        <v>0</v>
      </c>
      <c r="CA29" s="2657">
        <v>0</v>
      </c>
      <c r="CB29" s="2657"/>
      <c r="CC29" s="2657"/>
      <c r="CD29" s="2657"/>
      <c r="CE29" s="2657"/>
      <c r="CF29" s="2657"/>
      <c r="CG29" s="2657"/>
      <c r="CH29" s="2657"/>
      <c r="CI29" s="2657"/>
      <c r="CJ29" s="2657"/>
      <c r="CK29" s="2657"/>
      <c r="CL29" s="2657"/>
      <c r="CM29" s="2657"/>
      <c r="CN29" s="2657"/>
      <c r="CO29" s="2657"/>
      <c r="CP29" s="2657"/>
      <c r="CQ29" s="2657"/>
      <c r="CR29" s="2657"/>
      <c r="CS29" s="2657"/>
      <c r="CT29" s="2657"/>
      <c r="CU29" s="2657"/>
      <c r="CV29" s="2657"/>
      <c r="CW29" s="2657"/>
      <c r="CX29" s="2657"/>
      <c r="CY29" s="2657"/>
      <c r="CZ29" s="2657"/>
      <c r="DA29" s="2657"/>
      <c r="DB29" s="2657"/>
      <c r="DC29" s="2657"/>
      <c r="DD29" s="2657"/>
      <c r="DE29" s="2657"/>
      <c r="DF29" s="2657"/>
      <c r="DG29" s="2657"/>
      <c r="DH29" s="2657"/>
      <c r="DI29" s="2657"/>
      <c r="DJ29" s="2657"/>
      <c r="DK29" s="2657"/>
      <c r="DL29" s="2657"/>
      <c r="DM29" s="2657"/>
      <c r="DN29" s="2657"/>
      <c r="DO29" s="2657"/>
      <c r="DP29" s="2657"/>
      <c r="DQ29" s="2657"/>
      <c r="DR29" s="2657"/>
      <c r="DS29" s="2657"/>
      <c r="DT29" s="2657"/>
      <c r="DU29" s="2657"/>
      <c r="DV29" s="2657"/>
      <c r="DW29" s="2657"/>
      <c r="DX29" s="2657"/>
      <c r="DY29" s="2657"/>
      <c r="DZ29" s="2657"/>
      <c r="EA29" s="2657"/>
      <c r="EB29" s="2657"/>
      <c r="EC29" s="2657"/>
      <c r="ED29" s="2657"/>
      <c r="EE29" s="2657"/>
      <c r="EF29" s="2657"/>
      <c r="EG29" s="2657"/>
      <c r="EH29" s="2657"/>
      <c r="EI29" s="2657"/>
      <c r="EJ29" s="2657"/>
      <c r="EK29" s="2657"/>
      <c r="EL29" s="2657"/>
      <c r="EM29" s="2657"/>
      <c r="EN29" s="2657"/>
      <c r="EO29" s="2657"/>
      <c r="EP29" s="2657"/>
      <c r="EQ29" s="2657"/>
      <c r="ER29" s="2657"/>
      <c r="ES29" s="2657"/>
      <c r="ET29" s="2657"/>
      <c r="EU29" s="2657"/>
      <c r="EV29" s="2657"/>
      <c r="EW29" s="2657"/>
      <c r="EX29" s="2657"/>
      <c r="EY29" s="2657"/>
      <c r="EZ29" s="2657"/>
      <c r="FA29" s="2657"/>
      <c r="FB29" s="2657"/>
      <c r="FC29" s="2657"/>
      <c r="FD29" s="2657"/>
      <c r="FE29" s="2657"/>
    </row>
    <row r="30" spans="1:161" outlineLevel="2">
      <c r="B30" t="s">
        <v>280</v>
      </c>
      <c r="C30" t="s">
        <v>281</v>
      </c>
      <c r="D30" t="str">
        <f t="shared" si="0"/>
      </c>
      <c r="F30" s="2657">
        <f>'Income Statement'!EQ23</f>
      </c>
      <c r="G30" s="2657">
        <f>'Income Statement'!ER23</f>
      </c>
      <c r="H30" s="2657">
        <f>'Income Statement'!ES23</f>
      </c>
      <c r="I30" s="2657">
        <f>'Income Statement'!ET23</f>
      </c>
      <c r="J30" s="2657">
        <f>'Income Statement'!EU23</f>
      </c>
      <c r="K30" s="2657">
        <f>'Income Statement'!EV23</f>
      </c>
      <c r="L30" s="2657">
        <f>'Income Statement'!EW23</f>
      </c>
      <c r="M30" s="2657">
        <f>'Income Statement'!EX23</f>
      </c>
      <c r="N30" s="2657">
        <f>'Income Statement'!EY23</f>
      </c>
      <c r="O30" s="2657">
        <f>'Income Statement'!EZ23</f>
      </c>
      <c r="P30" s="2657">
        <f>'Income Statement'!FA23</f>
      </c>
      <c r="Q30" s="2657">
        <f>'Income Statement'!FB23</f>
      </c>
      <c r="R30" s="2657">
        <f>'Income Statement'!FC23</f>
      </c>
      <c r="S30" s="2657">
        <f>'Income Statement'!FD23</f>
      </c>
      <c r="T30" s="2657">
        <f>'Income Statement'!FE23</f>
      </c>
      <c r="U30" s="2657">
        <f>'Income Statement'!FF23</f>
      </c>
      <c r="V30" s="2657">
        <f>'Income Statement'!FG23</f>
      </c>
      <c r="W30" s="2657">
        <f>'Income Statement'!FH23</f>
      </c>
      <c r="X30" s="2657">
        <f>'Income Statement'!FI23</f>
      </c>
      <c r="Y30" s="2657">
        <f>'Income Statement'!FJ23</f>
      </c>
      <c r="Z30" s="2657">
        <f>'Income Statement'!FK23</f>
      </c>
      <c r="AA30" s="2657">
        <f>'Income Statement'!FL23</f>
      </c>
      <c r="AB30" s="2657">
        <f>'Income Statement'!FM23</f>
      </c>
      <c r="AC30" s="2657">
        <f>'Income Statement'!FN23</f>
      </c>
      <c r="AD30" s="2657">
        <f>'Income Statement'!FO23</f>
      </c>
      <c r="AE30" s="2657">
        <f>'Income Statement'!FP23</f>
      </c>
      <c r="AF30" s="2657">
        <f>'Income Statement'!FQ23</f>
      </c>
      <c r="AG30" s="2657">
        <f>'Income Statement'!FR23</f>
      </c>
      <c r="AH30" s="2657">
        <f>'Income Statement'!FS23</f>
      </c>
      <c r="AI30" s="2657">
        <f>'Income Statement'!FT23</f>
      </c>
      <c r="AJ30" s="2657">
        <f>'Income Statement'!FU23</f>
      </c>
      <c r="AK30" s="2657"/>
      <c r="AL30" s="2657">
        <f>'Income Statement'!R23</f>
      </c>
      <c r="AM30" s="2657">
        <f>'Income Statement'!S23</f>
      </c>
      <c r="AN30" s="2657">
        <f>'Income Statement'!T23</f>
      </c>
      <c r="AO30" s="2657">
        <f>'Income Statement'!U23</f>
      </c>
      <c r="AP30" s="2657">
        <f>'Income Statement'!V23</f>
      </c>
      <c r="AQ30" s="2657">
        <f>'Income Statement'!W23</f>
      </c>
      <c r="AR30" s="2657">
        <f>'Income Statement'!X23</f>
      </c>
      <c r="AS30" s="2657">
        <f>'Income Statement'!Y23</f>
      </c>
      <c r="AT30" s="2657">
        <f>'Income Statement'!Z23</f>
      </c>
      <c r="AU30" s="2657">
        <f>'Income Statement'!AA23</f>
      </c>
      <c r="AV30" s="2657">
        <f>'Income Statement'!AB23</f>
      </c>
      <c r="AW30" s="2657">
        <f>'Income Statement'!AC23</f>
      </c>
      <c r="AX30" s="2657">
        <f>'Income Statement'!AD23</f>
      </c>
      <c r="AY30" s="2657">
        <f>'Income Statement'!AE23</f>
      </c>
      <c r="AZ30" s="2657">
        <f>'Income Statement'!AF23</f>
      </c>
      <c r="BA30" s="2657">
        <f>'Income Statement'!AG23</f>
      </c>
      <c r="BB30" s="2657">
        <f>'Income Statement'!AH23</f>
      </c>
      <c r="BC30" s="2657">
        <f>'Income Statement'!AI23</f>
      </c>
      <c r="BD30" s="2657">
        <f>'Income Statement'!AJ23</f>
      </c>
      <c r="BE30" s="2657">
        <f>'Income Statement'!AK23</f>
      </c>
      <c r="BF30" s="2657">
        <f>'Income Statement'!AL23</f>
      </c>
      <c r="BG30" s="2657">
        <f>'Income Statement'!AM23</f>
      </c>
      <c r="BH30" s="2657">
        <f>'Income Statement'!AN23</f>
      </c>
      <c r="BI30" s="2657">
        <f>'Income Statement'!AO23</f>
      </c>
      <c r="BJ30" s="2657">
        <f>'Income Statement'!AP23</f>
      </c>
      <c r="BK30" s="2657">
        <f>'Income Statement'!AQ23</f>
      </c>
      <c r="BL30" s="2657">
        <f>'Income Statement'!AR23</f>
      </c>
      <c r="BM30" s="2657">
        <f>'Income Statement'!AS23</f>
      </c>
      <c r="BN30" s="2657">
        <f>'Income Statement'!AT23</f>
      </c>
      <c r="BO30" s="2657">
        <f>'Income Statement'!AU23</f>
      </c>
      <c r="BP30" s="2657">
        <f>'Income Statement'!AV23</f>
      </c>
      <c r="BQ30" s="2657">
        <f>'Income Statement'!AW23</f>
      </c>
      <c r="BR30" s="2657">
        <f>'Income Statement'!AX23</f>
      </c>
      <c r="BS30" s="2657">
        <f>'Income Statement'!AY23</f>
      </c>
      <c r="BT30" s="2657">
        <f>'Income Statement'!AZ23</f>
      </c>
      <c r="BU30" s="2657">
        <f>'Income Statement'!BA23</f>
      </c>
      <c r="BV30" s="2657">
        <f>'Income Statement'!BB23</f>
      </c>
      <c r="BW30" s="2657">
        <f>'Income Statement'!BC23</f>
      </c>
      <c r="BX30" s="2657">
        <f>'Income Statement'!BD23</f>
      </c>
      <c r="BY30" s="2657">
        <f>'Income Statement'!BE23</f>
      </c>
      <c r="BZ30" s="2657">
        <f>'Income Statement'!BF23</f>
      </c>
      <c r="CA30" s="2657">
        <f>'Income Statement'!BG23</f>
      </c>
      <c r="CB30" s="2657">
        <f>'Income Statement'!BH23</f>
      </c>
      <c r="CC30" s="2657">
        <f>'Income Statement'!BI23</f>
      </c>
      <c r="CD30" s="2657">
        <f>'Income Statement'!BJ23</f>
      </c>
      <c r="CE30" s="2657">
        <f>'Income Statement'!BK23</f>
      </c>
      <c r="CF30" s="2657">
        <f>'Income Statement'!BL23</f>
      </c>
      <c r="CG30" s="2657">
        <f>'Income Statement'!BM23</f>
      </c>
      <c r="CH30" s="2657">
        <f>'Income Statement'!BN23</f>
      </c>
      <c r="CI30" s="2657">
        <f>'Income Statement'!BO23</f>
      </c>
      <c r="CJ30" s="2657">
        <f>'Income Statement'!BP23</f>
      </c>
      <c r="CK30" s="2657">
        <f>'Income Statement'!BQ23</f>
      </c>
      <c r="CL30" s="2657">
        <f>'Income Statement'!BR23</f>
      </c>
      <c r="CM30" s="2657">
        <f>'Income Statement'!BS23</f>
      </c>
      <c r="CN30" s="2657">
        <f>'Income Statement'!BT23</f>
      </c>
      <c r="CO30" s="2657">
        <f>'Income Statement'!BU23</f>
      </c>
      <c r="CP30" s="2657">
        <f>'Income Statement'!BV23</f>
      </c>
      <c r="CQ30" s="2657">
        <f>'Income Statement'!BW23</f>
      </c>
      <c r="CR30" s="2657">
        <f>'Income Statement'!BX23</f>
      </c>
      <c r="CS30" s="2657">
        <f>'Income Statement'!BY23</f>
      </c>
      <c r="CT30" s="2657">
        <f>'Income Statement'!BZ23</f>
      </c>
      <c r="CU30" s="2657">
        <f>'Income Statement'!CA23</f>
      </c>
      <c r="CV30" s="2657">
        <f>'Income Statement'!CB23</f>
      </c>
      <c r="CW30" s="2657">
        <f>'Income Statement'!CC23</f>
      </c>
      <c r="CX30" s="2657">
        <f>'Income Statement'!CD23</f>
      </c>
      <c r="CY30" s="2657">
        <f>'Income Statement'!CE23</f>
      </c>
      <c r="CZ30" s="2657">
        <f>'Income Statement'!CF23</f>
      </c>
      <c r="DA30" s="2657">
        <f>'Income Statement'!CG23</f>
      </c>
      <c r="DB30" s="2657">
        <f>'Income Statement'!CH23</f>
      </c>
      <c r="DC30" s="2657">
        <f>'Income Statement'!CI23</f>
      </c>
      <c r="DD30" s="2657">
        <f>'Income Statement'!CJ23</f>
      </c>
      <c r="DE30" s="2657">
        <f>'Income Statement'!CK23</f>
      </c>
      <c r="DF30" s="2657">
        <f>'Income Statement'!CL23</f>
      </c>
      <c r="DG30" s="2657">
        <f>'Income Statement'!CM23</f>
      </c>
      <c r="DH30" s="2657">
        <f>'Income Statement'!CN23</f>
      </c>
      <c r="DI30" s="2657">
        <f>'Income Statement'!CO23</f>
      </c>
      <c r="DJ30" s="2657">
        <f>'Income Statement'!CP23</f>
      </c>
      <c r="DK30" s="2657">
        <f>'Income Statement'!CQ23</f>
      </c>
      <c r="DL30" s="2657">
        <f>'Income Statement'!CR23</f>
      </c>
      <c r="DM30" s="2657">
        <f>'Income Statement'!CS23</f>
      </c>
      <c r="DN30" s="2657">
        <f>'Income Statement'!CT23</f>
      </c>
      <c r="DO30" s="2657">
        <f>'Income Statement'!CU23</f>
      </c>
      <c r="DP30" s="2657">
        <f>'Income Statement'!CV23</f>
      </c>
      <c r="DQ30" s="2657">
        <f>'Income Statement'!CW23</f>
      </c>
      <c r="DR30" s="2657">
        <f>'Income Statement'!CX23</f>
      </c>
      <c r="DS30" s="2657">
        <f>'Income Statement'!CY23</f>
      </c>
      <c r="DT30" s="2657">
        <f>'Income Statement'!CZ23</f>
      </c>
      <c r="DU30" s="2657">
        <f>'Income Statement'!DA23</f>
      </c>
      <c r="DV30" s="2657">
        <f>'Income Statement'!DB23</f>
      </c>
      <c r="DW30" s="2657">
        <f>'Income Statement'!DC23</f>
      </c>
      <c r="DX30" s="2657">
        <f>'Income Statement'!DD23</f>
      </c>
      <c r="DY30" s="2657">
        <f>'Income Statement'!DE23</f>
      </c>
      <c r="DZ30" s="2657">
        <f>'Income Statement'!DF23</f>
      </c>
      <c r="EA30" s="2657">
        <f>'Income Statement'!DG23</f>
      </c>
      <c r="EB30" s="2657">
        <f>'Income Statement'!DH23</f>
      </c>
      <c r="EC30" s="2657">
        <f>'Income Statement'!DI23</f>
      </c>
      <c r="ED30" s="2657">
        <f>'Income Statement'!DJ23</f>
      </c>
      <c r="EE30" s="2657">
        <f>'Income Statement'!DK23</f>
      </c>
      <c r="EF30" s="2657">
        <f>'Income Statement'!DL23</f>
      </c>
      <c r="EG30" s="2657">
        <f>'Income Statement'!DM23</f>
      </c>
      <c r="EH30" s="2657">
        <f>'Income Statement'!DN23</f>
      </c>
      <c r="EI30" s="2657">
        <f>'Income Statement'!DO23</f>
      </c>
      <c r="EJ30" s="2657">
        <f>'Income Statement'!DP23</f>
      </c>
      <c r="EK30" s="2657">
        <f>'Income Statement'!DQ23</f>
      </c>
      <c r="EL30" s="2657">
        <f>'Income Statement'!DR23</f>
      </c>
      <c r="EM30" s="2657">
        <f>'Income Statement'!DS23</f>
      </c>
      <c r="EN30" s="2657">
        <f>'Income Statement'!DT23</f>
      </c>
      <c r="EO30" s="2657">
        <f>'Income Statement'!DU23</f>
      </c>
      <c r="EP30" s="2657">
        <f>'Income Statement'!DV23</f>
      </c>
      <c r="EQ30" s="2657">
        <f>'Income Statement'!DW23</f>
      </c>
      <c r="ER30" s="2657">
        <f>'Income Statement'!DX23</f>
      </c>
      <c r="ES30" s="2657">
        <f>'Income Statement'!DY23</f>
      </c>
      <c r="ET30" s="2657">
        <f>'Income Statement'!DZ23</f>
      </c>
      <c r="EU30" s="2657">
        <f>'Income Statement'!EA23</f>
      </c>
      <c r="EV30" s="2657">
        <f>'Income Statement'!EB23</f>
      </c>
      <c r="EW30" s="2657">
        <f>'Income Statement'!EC23</f>
      </c>
      <c r="EX30" s="2657">
        <f>'Income Statement'!ED23</f>
      </c>
      <c r="EY30" s="2657">
        <f>'Income Statement'!EE23</f>
      </c>
      <c r="EZ30" s="2657">
        <f>'Income Statement'!EF23</f>
      </c>
      <c r="FA30" s="2657">
        <f>'Income Statement'!EG23</f>
      </c>
      <c r="FB30" s="2657">
        <f>'Income Statement'!EH23</f>
      </c>
      <c r="FC30" s="2657">
        <f>'Income Statement'!EI23</f>
      </c>
      <c r="FD30" s="2657">
        <f>'Income Statement'!EJ23</f>
      </c>
      <c r="FE30" s="2657">
        <f>'Income Statement'!EK23</f>
      </c>
    </row>
    <row r="31" spans="1:161" s="539" customFormat="1" outlineLevel="1">
      <c r="A31" s="540" t="s">
        <v>282</v>
      </c>
      <c r="B31" s="540"/>
      <c r="C31" s="540"/>
      <c r="D31" s="540"/>
    </row>
    <row r="32" spans="1:161" outlineLevel="2">
      <c r="B32" t="s">
        <v>1092</v>
      </c>
      <c r="C32" t="s">
        <v>283</v>
      </c>
      <c r="D32" t="str">
        <f t="shared" ref="D32:D38" si="9">E_CURRENCY_ISSR_208000149_REP</f>
      </c>
      <c r="F32" s="2657"/>
      <c r="G32" s="2657"/>
      <c r="H32" s="2657"/>
      <c r="I32" s="2657"/>
      <c r="J32" s="2657"/>
      <c r="K32" s="2657"/>
      <c r="L32" s="2657"/>
      <c r="M32" s="2657"/>
      <c r="N32" s="2657"/>
      <c r="O32" s="2657"/>
      <c r="P32" s="2657"/>
      <c r="Q32" s="2657"/>
      <c r="R32" s="2657"/>
      <c r="S32" s="2657"/>
      <c r="T32" s="2657"/>
      <c r="U32" s="2657"/>
      <c r="V32" s="2657"/>
      <c r="W32" s="2657"/>
      <c r="X32" s="2657"/>
      <c r="Y32" s="2657"/>
      <c r="Z32" s="2657"/>
      <c r="AA32" s="2657"/>
      <c r="AB32" s="2657"/>
      <c r="AC32" s="2657"/>
      <c r="AD32" s="2657"/>
      <c r="AE32" s="2657"/>
      <c r="AF32" s="2657"/>
      <c r="AG32" s="2657"/>
      <c r="AH32" s="2657"/>
      <c r="AI32" s="2657"/>
      <c r="AJ32" s="2657"/>
      <c r="AK32" s="2657"/>
      <c r="AL32" s="2657"/>
      <c r="AM32" s="2657"/>
      <c r="AN32" s="2657"/>
      <c r="AO32" s="2657"/>
      <c r="AP32" s="2657"/>
      <c r="AQ32" s="2657"/>
      <c r="AR32" s="2657"/>
      <c r="AS32" s="2657"/>
      <c r="AT32" s="2657"/>
      <c r="AU32" s="2657"/>
      <c r="AV32" s="2657"/>
      <c r="AW32" s="2657"/>
      <c r="AX32" s="2657">
        <v>0</v>
      </c>
      <c r="AY32" s="2657">
        <v>0</v>
      </c>
      <c r="AZ32" s="2657">
        <v>0</v>
      </c>
      <c r="BA32" s="2657">
        <v>0</v>
      </c>
      <c r="BB32" s="2657">
        <v>0</v>
      </c>
      <c r="BC32" s="2657">
        <v>0</v>
      </c>
      <c r="BD32" s="2657">
        <v>0</v>
      </c>
      <c r="BE32" s="2657">
        <v>0</v>
      </c>
      <c r="BF32" s="2657">
        <v>0</v>
      </c>
      <c r="BG32" s="2657">
        <v>0</v>
      </c>
      <c r="BH32" s="2657">
        <v>0</v>
      </c>
      <c r="BI32" s="2657">
        <v>0</v>
      </c>
      <c r="BJ32" s="2657">
        <v>0</v>
      </c>
      <c r="BK32" s="2657">
        <v>0</v>
      </c>
      <c r="BL32" s="2657">
        <v>0</v>
      </c>
      <c r="BM32" s="2657">
        <v>0</v>
      </c>
      <c r="BN32" s="2657">
        <v>0</v>
      </c>
      <c r="BO32" s="2657">
        <v>0</v>
      </c>
      <c r="BP32" s="2657">
        <v>0</v>
      </c>
      <c r="BQ32" s="2657">
        <v>0</v>
      </c>
      <c r="BR32" s="2657">
        <v>0</v>
      </c>
      <c r="BS32" s="2657">
        <v>0</v>
      </c>
      <c r="BT32" s="2657">
        <v>0</v>
      </c>
      <c r="BU32" s="2657">
        <v>0</v>
      </c>
      <c r="BV32" s="2657">
        <v>0</v>
      </c>
      <c r="BW32" s="2657">
        <v>0</v>
      </c>
      <c r="BX32" s="2657">
        <v>0</v>
      </c>
      <c r="BY32" s="2657">
        <v>0</v>
      </c>
      <c r="BZ32" s="2657">
        <v>0</v>
      </c>
      <c r="CA32" s="2657">
        <v>0</v>
      </c>
      <c r="CB32" s="2657"/>
      <c r="CC32" s="2657"/>
      <c r="CD32" s="2657"/>
      <c r="CE32" s="2657"/>
      <c r="CF32" s="2657"/>
      <c r="CG32" s="2657"/>
      <c r="CH32" s="2657"/>
      <c r="CI32" s="2657"/>
      <c r="CJ32" s="2657"/>
      <c r="CK32" s="2657"/>
      <c r="CL32" s="2657"/>
      <c r="CM32" s="2657"/>
      <c r="CN32" s="2657"/>
      <c r="CO32" s="2657"/>
      <c r="CP32" s="2657"/>
      <c r="CQ32" s="2657"/>
      <c r="CR32" s="2657"/>
      <c r="CS32" s="2657"/>
      <c r="CT32" s="2657"/>
      <c r="CU32" s="2657"/>
      <c r="CV32" s="2657"/>
      <c r="CW32" s="2657"/>
      <c r="CX32" s="2657"/>
      <c r="CY32" s="2657"/>
      <c r="CZ32" s="2657"/>
      <c r="DA32" s="2657"/>
      <c r="DB32" s="2657"/>
      <c r="DC32" s="2657"/>
      <c r="DD32" s="2657"/>
      <c r="DE32" s="2657"/>
      <c r="DF32" s="2657"/>
      <c r="DG32" s="2657"/>
      <c r="DH32" s="2657"/>
      <c r="DI32" s="2657"/>
      <c r="DJ32" s="2657"/>
      <c r="DK32" s="2657"/>
      <c r="DL32" s="2657"/>
      <c r="DM32" s="2657"/>
      <c r="DN32" s="2657"/>
      <c r="DO32" s="2657"/>
      <c r="DP32" s="2657"/>
      <c r="DQ32" s="2657"/>
      <c r="DR32" s="2657"/>
      <c r="DS32" s="2657"/>
      <c r="DT32" s="2657"/>
      <c r="DU32" s="2657"/>
      <c r="DV32" s="2657"/>
      <c r="DW32" s="2657"/>
      <c r="DX32" s="2657"/>
      <c r="DY32" s="2657"/>
      <c r="DZ32" s="2657"/>
      <c r="EA32" s="2657"/>
      <c r="EB32" s="2657"/>
      <c r="EC32" s="2657"/>
      <c r="ED32" s="2657"/>
      <c r="EE32" s="2657"/>
      <c r="EF32" s="2657"/>
      <c r="EG32" s="2657"/>
      <c r="EH32" s="2657"/>
      <c r="EI32" s="2657"/>
      <c r="EJ32" s="2657"/>
      <c r="EK32" s="2657"/>
      <c r="EL32" s="2657"/>
      <c r="EM32" s="2657"/>
      <c r="EN32" s="2657"/>
      <c r="EO32" s="2657"/>
      <c r="EP32" s="2657"/>
      <c r="EQ32" s="2657"/>
      <c r="ER32" s="2657"/>
      <c r="ES32" s="2657"/>
      <c r="ET32" s="2657"/>
      <c r="EU32" s="2657"/>
      <c r="EV32" s="2657"/>
      <c r="EW32" s="2657"/>
      <c r="EX32" s="2657"/>
      <c r="EY32" s="2657"/>
      <c r="EZ32" s="2657"/>
      <c r="FA32" s="2657"/>
      <c r="FB32" s="2657"/>
      <c r="FC32" s="2657"/>
      <c r="FD32" s="2657"/>
      <c r="FE32" s="2657"/>
    </row>
    <row r="33" spans="1:161" outlineLevel="2">
      <c r="B33" t="s">
        <v>284</v>
      </c>
      <c r="C33" t="s">
        <v>285</v>
      </c>
      <c r="D33" t="str">
        <f t="shared" si="9"/>
      </c>
      <c r="F33" s="2657"/>
      <c r="G33" s="2657"/>
      <c r="H33" s="2657"/>
      <c r="I33" s="2657"/>
      <c r="J33" s="2657"/>
      <c r="K33" s="2657"/>
      <c r="L33" s="2657"/>
      <c r="M33" s="2657"/>
      <c r="N33" s="2657"/>
      <c r="O33" s="2657"/>
      <c r="P33" s="2657"/>
      <c r="Q33" s="2657"/>
      <c r="R33" s="2657"/>
      <c r="S33" s="2657"/>
      <c r="T33" s="2657"/>
      <c r="U33" s="2657"/>
      <c r="V33" s="2657"/>
      <c r="W33" s="2657"/>
      <c r="X33" s="2657"/>
      <c r="Y33" s="2657"/>
      <c r="Z33" s="2657"/>
      <c r="AA33" s="2657"/>
      <c r="AB33" s="2657"/>
      <c r="AC33" s="2657"/>
      <c r="AD33" s="2657"/>
      <c r="AE33" s="2657"/>
      <c r="AF33" s="2657"/>
      <c r="AG33" s="2657"/>
      <c r="AH33" s="2657"/>
      <c r="AI33" s="2657"/>
      <c r="AJ33" s="2657"/>
      <c r="AK33" s="2657"/>
      <c r="AL33" s="2657"/>
      <c r="AM33" s="2657"/>
      <c r="AN33" s="2657"/>
      <c r="AO33" s="2657"/>
      <c r="AP33" s="2657"/>
      <c r="AQ33" s="2657"/>
      <c r="AR33" s="2657"/>
      <c r="AS33" s="2657"/>
      <c r="AT33" s="2657"/>
      <c r="AU33" s="2657"/>
      <c r="AV33" s="2657"/>
      <c r="AW33" s="2657"/>
      <c r="AX33" s="2657"/>
      <c r="AY33" s="2657"/>
      <c r="AZ33" s="2657"/>
      <c r="BA33" s="2657"/>
      <c r="BB33" s="2657"/>
      <c r="BC33" s="2657"/>
      <c r="BD33" s="2657"/>
      <c r="BE33" s="2657"/>
      <c r="BF33" s="2657"/>
      <c r="BG33" s="2657"/>
      <c r="BH33" s="2657"/>
      <c r="BI33" s="2657"/>
      <c r="BJ33" s="2657"/>
      <c r="BK33" s="2657"/>
      <c r="BL33" s="2657"/>
      <c r="BM33" s="2657"/>
      <c r="BN33" s="2657"/>
      <c r="BO33" s="2657"/>
      <c r="BP33" s="2657"/>
      <c r="BQ33" s="2657"/>
      <c r="BR33" s="2657"/>
      <c r="BS33" s="2657"/>
      <c r="BT33" s="2657"/>
      <c r="BU33" s="2657"/>
      <c r="BV33" s="2657"/>
      <c r="BW33" s="2657"/>
      <c r="BX33" s="2657"/>
      <c r="BY33" s="2657"/>
      <c r="BZ33" s="2657"/>
      <c r="CA33" s="2657"/>
      <c r="CB33" s="2657"/>
      <c r="CC33" s="2657"/>
      <c r="CD33" s="2657"/>
      <c r="CE33" s="2657"/>
      <c r="CF33" s="2657"/>
      <c r="CG33" s="2657"/>
      <c r="CH33" s="2657"/>
      <c r="CI33" s="2657"/>
      <c r="CJ33" s="2657"/>
      <c r="CK33" s="2657"/>
      <c r="CL33" s="2657"/>
      <c r="CM33" s="2657"/>
      <c r="CN33" s="2657"/>
      <c r="CO33" s="2657"/>
      <c r="CP33" s="2657"/>
      <c r="CQ33" s="2657"/>
      <c r="CR33" s="2657"/>
      <c r="CS33" s="2657"/>
      <c r="CT33" s="2657"/>
      <c r="CU33" s="2657"/>
      <c r="CV33" s="2657"/>
      <c r="CW33" s="2657"/>
      <c r="CX33" s="2657"/>
      <c r="CY33" s="2657"/>
      <c r="CZ33" s="2657"/>
      <c r="DA33" s="2657"/>
      <c r="DB33" s="2657"/>
      <c r="DC33" s="2657"/>
      <c r="DD33" s="2657"/>
      <c r="DE33" s="2657"/>
      <c r="DF33" s="2657"/>
      <c r="DG33" s="2657"/>
      <c r="DH33" s="2657"/>
      <c r="DI33" s="2657"/>
      <c r="DJ33" s="2657"/>
      <c r="DK33" s="2657"/>
      <c r="DL33" s="2657"/>
      <c r="DM33" s="2657"/>
      <c r="DN33" s="2657"/>
      <c r="DO33" s="2657"/>
      <c r="DP33" s="2657"/>
      <c r="DQ33" s="2657"/>
      <c r="DR33" s="2657"/>
      <c r="DS33" s="2657"/>
      <c r="DT33" s="2657"/>
      <c r="DU33" s="2657"/>
      <c r="DV33" s="2657"/>
      <c r="DW33" s="2657"/>
      <c r="DX33" s="2657"/>
      <c r="DY33" s="2657"/>
      <c r="DZ33" s="2657"/>
      <c r="EA33" s="2657"/>
      <c r="EB33" s="2657"/>
      <c r="EC33" s="2657"/>
      <c r="ED33" s="2657"/>
      <c r="EE33" s="2657"/>
      <c r="EF33" s="2657"/>
      <c r="EG33" s="2657"/>
      <c r="EH33" s="2657"/>
      <c r="EI33" s="2657"/>
      <c r="EJ33" s="2657"/>
      <c r="EK33" s="2657"/>
      <c r="EL33" s="2657"/>
      <c r="EM33" s="2657"/>
      <c r="EN33" s="2657"/>
      <c r="EO33" s="2657"/>
      <c r="EP33" s="2657"/>
      <c r="EQ33" s="2657"/>
      <c r="ER33" s="2657"/>
      <c r="ES33" s="2657"/>
      <c r="ET33" s="2657"/>
      <c r="EU33" s="2657"/>
      <c r="EV33" s="2657"/>
      <c r="EW33" s="2657"/>
      <c r="EX33" s="2657"/>
      <c r="EY33" s="2657"/>
      <c r="EZ33" s="2657"/>
      <c r="FA33" s="2657"/>
      <c r="FB33" s="2657"/>
      <c r="FC33" s="2657"/>
      <c r="FD33" s="2657"/>
      <c r="FE33" s="2657"/>
    </row>
    <row r="34" spans="1:161" outlineLevel="2">
      <c r="B34" t="s">
        <v>286</v>
      </c>
      <c r="C34" t="s">
        <v>287</v>
      </c>
      <c r="D34" t="str">
        <f t="shared" si="9"/>
      </c>
      <c r="F34" s="2657"/>
      <c r="G34" s="2657"/>
      <c r="H34" s="2657"/>
      <c r="I34" s="2657"/>
      <c r="J34" s="2657"/>
      <c r="K34" s="2657"/>
      <c r="L34" s="2657"/>
      <c r="M34" s="2657"/>
      <c r="N34" s="2657"/>
      <c r="O34" s="2657"/>
      <c r="P34" s="2657"/>
      <c r="Q34" s="2657"/>
      <c r="R34" s="2657"/>
      <c r="S34" s="2657"/>
      <c r="T34" s="2657"/>
      <c r="U34" s="2657"/>
      <c r="V34" s="2657"/>
      <c r="W34" s="2657"/>
      <c r="X34" s="2657"/>
      <c r="Y34" s="2657"/>
      <c r="Z34" s="2657"/>
      <c r="AA34" s="2657"/>
      <c r="AB34" s="2657"/>
      <c r="AC34" s="2657"/>
      <c r="AD34" s="2657"/>
      <c r="AE34" s="2657"/>
      <c r="AF34" s="2657"/>
      <c r="AG34" s="2657"/>
      <c r="AH34" s="2657"/>
      <c r="AI34" s="2657"/>
      <c r="AJ34" s="2657"/>
      <c r="AK34" s="2657"/>
      <c r="AL34" s="2657"/>
      <c r="AM34" s="2657"/>
      <c r="AN34" s="2657"/>
      <c r="AO34" s="2657"/>
      <c r="AP34" s="2657"/>
      <c r="AQ34" s="2657"/>
      <c r="AR34" s="2657"/>
      <c r="AS34" s="2657"/>
      <c r="AT34" s="2657"/>
      <c r="AU34" s="2657"/>
      <c r="AV34" s="2657"/>
      <c r="AW34" s="2657"/>
      <c r="AX34" s="2657"/>
      <c r="AY34" s="2657"/>
      <c r="AZ34" s="2657"/>
      <c r="BA34" s="2657"/>
      <c r="BB34" s="2657"/>
      <c r="BC34" s="2657"/>
      <c r="BD34" s="2657"/>
      <c r="BE34" s="2657"/>
      <c r="BF34" s="2657"/>
      <c r="BG34" s="2657"/>
      <c r="BH34" s="2657"/>
      <c r="BI34" s="2657"/>
      <c r="BJ34" s="2657"/>
      <c r="BK34" s="2657"/>
      <c r="BL34" s="2657"/>
      <c r="BM34" s="2657"/>
      <c r="BN34" s="2657"/>
      <c r="BO34" s="2657"/>
      <c r="BP34" s="2657"/>
      <c r="BQ34" s="2657"/>
      <c r="BR34" s="2657"/>
      <c r="BS34" s="2657"/>
      <c r="BT34" s="2657"/>
      <c r="BU34" s="2657"/>
      <c r="BV34" s="2657"/>
      <c r="BW34" s="2657"/>
      <c r="BX34" s="2657"/>
      <c r="BY34" s="2657"/>
      <c r="BZ34" s="2657"/>
      <c r="CA34" s="2657"/>
      <c r="CB34" s="2657"/>
      <c r="CC34" s="2657"/>
      <c r="CD34" s="2657"/>
      <c r="CE34" s="2657"/>
      <c r="CF34" s="2657"/>
      <c r="CG34" s="2657"/>
      <c r="CH34" s="2657"/>
      <c r="CI34" s="2657"/>
      <c r="CJ34" s="2657"/>
      <c r="CK34" s="2657"/>
      <c r="CL34" s="2657"/>
      <c r="CM34" s="2657"/>
      <c r="CN34" s="2657"/>
      <c r="CO34" s="2657"/>
      <c r="CP34" s="2657"/>
      <c r="CQ34" s="2657"/>
      <c r="CR34" s="2657"/>
      <c r="CS34" s="2657"/>
      <c r="CT34" s="2657"/>
      <c r="CU34" s="2657"/>
      <c r="CV34" s="2657"/>
      <c r="CW34" s="2657"/>
      <c r="CX34" s="2657"/>
      <c r="CY34" s="2657"/>
      <c r="CZ34" s="2657"/>
      <c r="DA34" s="2657"/>
      <c r="DB34" s="2657"/>
      <c r="DC34" s="2657"/>
      <c r="DD34" s="2657"/>
      <c r="DE34" s="2657"/>
      <c r="DF34" s="2657"/>
      <c r="DG34" s="2657"/>
      <c r="DH34" s="2657"/>
      <c r="DI34" s="2657"/>
      <c r="DJ34" s="2657"/>
      <c r="DK34" s="2657"/>
      <c r="DL34" s="2657"/>
      <c r="DM34" s="2657"/>
      <c r="DN34" s="2657"/>
      <c r="DO34" s="2657"/>
      <c r="DP34" s="2657"/>
      <c r="DQ34" s="2657"/>
      <c r="DR34" s="2657"/>
      <c r="DS34" s="2657"/>
      <c r="DT34" s="2657"/>
      <c r="DU34" s="2657"/>
      <c r="DV34" s="2657"/>
      <c r="DW34" s="2657"/>
      <c r="DX34" s="2657"/>
      <c r="DY34" s="2657"/>
      <c r="DZ34" s="2657"/>
      <c r="EA34" s="2657"/>
      <c r="EB34" s="2657"/>
      <c r="EC34" s="2657"/>
      <c r="ED34" s="2657"/>
      <c r="EE34" s="2657"/>
      <c r="EF34" s="2657"/>
      <c r="EG34" s="2657"/>
      <c r="EH34" s="2657"/>
      <c r="EI34" s="2657"/>
      <c r="EJ34" s="2657"/>
      <c r="EK34" s="2657"/>
      <c r="EL34" s="2657"/>
      <c r="EM34" s="2657"/>
      <c r="EN34" s="2657"/>
      <c r="EO34" s="2657"/>
      <c r="EP34" s="2657"/>
      <c r="EQ34" s="2657"/>
      <c r="ER34" s="2657"/>
      <c r="ES34" s="2657"/>
      <c r="ET34" s="2657"/>
      <c r="EU34" s="2657"/>
      <c r="EV34" s="2657"/>
      <c r="EW34" s="2657"/>
      <c r="EX34" s="2657"/>
      <c r="EY34" s="2657"/>
      <c r="EZ34" s="2657"/>
      <c r="FA34" s="2657"/>
      <c r="FB34" s="2657"/>
      <c r="FC34" s="2657"/>
      <c r="FD34" s="2657"/>
      <c r="FE34" s="2657"/>
    </row>
    <row r="35" spans="1:161" outlineLevel="2">
      <c r="B35" t="s">
        <v>288</v>
      </c>
      <c r="C35" t="s">
        <v>289</v>
      </c>
      <c r="D35" t="str">
        <f t="shared" si="9"/>
      </c>
      <c r="F35" s="2657"/>
      <c r="G35" s="2657"/>
      <c r="H35" s="2657"/>
      <c r="I35" s="2657"/>
      <c r="J35" s="2657"/>
      <c r="K35" s="2657"/>
      <c r="L35" s="2657"/>
      <c r="M35" s="2657"/>
      <c r="N35" s="2657"/>
      <c r="O35" s="2657"/>
      <c r="P35" s="2657"/>
      <c r="Q35" s="2657"/>
      <c r="R35" s="2657"/>
      <c r="S35" s="2657"/>
      <c r="T35" s="2657"/>
      <c r="U35" s="2657"/>
      <c r="V35" s="2657"/>
      <c r="W35" s="2657"/>
      <c r="X35" s="2657"/>
      <c r="Y35" s="2657"/>
      <c r="Z35" s="2657"/>
      <c r="AA35" s="2657"/>
      <c r="AB35" s="2657"/>
      <c r="AC35" s="2657"/>
      <c r="AD35" s="2657"/>
      <c r="AE35" s="2657"/>
      <c r="AF35" s="2657"/>
      <c r="AG35" s="2657"/>
      <c r="AH35" s="2657"/>
      <c r="AI35" s="2657"/>
      <c r="AJ35" s="2657"/>
      <c r="AK35" s="2657"/>
      <c r="AL35" s="2657"/>
      <c r="AM35" s="2657"/>
      <c r="AN35" s="2657"/>
      <c r="AO35" s="2657"/>
      <c r="AP35" s="2657"/>
      <c r="AQ35" s="2657"/>
      <c r="AR35" s="2657"/>
      <c r="AS35" s="2657"/>
      <c r="AT35" s="2657"/>
      <c r="AU35" s="2657"/>
      <c r="AV35" s="2657"/>
      <c r="AW35" s="2657"/>
      <c r="AX35" s="2657">
        <v>0</v>
      </c>
      <c r="AY35" s="2657">
        <v>0</v>
      </c>
      <c r="AZ35" s="2657">
        <v>0</v>
      </c>
      <c r="BA35" s="2657">
        <v>0</v>
      </c>
      <c r="BB35" s="2657">
        <v>0</v>
      </c>
      <c r="BC35" s="2657">
        <v>0</v>
      </c>
      <c r="BD35" s="2657">
        <v>0</v>
      </c>
      <c r="BE35" s="2657">
        <v>0</v>
      </c>
      <c r="BF35" s="2657">
        <v>0</v>
      </c>
      <c r="BG35" s="2657">
        <v>0</v>
      </c>
      <c r="BH35" s="2657">
        <v>0</v>
      </c>
      <c r="BI35" s="2657">
        <v>0</v>
      </c>
      <c r="BJ35" s="2657">
        <v>0</v>
      </c>
      <c r="BK35" s="2657">
        <v>0</v>
      </c>
      <c r="BL35" s="2657">
        <v>0</v>
      </c>
      <c r="BM35" s="2657">
        <v>0</v>
      </c>
      <c r="BN35" s="2657">
        <v>0</v>
      </c>
      <c r="BO35" s="2657">
        <v>0</v>
      </c>
      <c r="BP35" s="2657">
        <v>0</v>
      </c>
      <c r="BQ35" s="2657">
        <v>0</v>
      </c>
      <c r="BR35" s="2657">
        <v>0</v>
      </c>
      <c r="BS35" s="2657">
        <v>0</v>
      </c>
      <c r="BT35" s="2657">
        <v>0</v>
      </c>
      <c r="BU35" s="2657">
        <v>0</v>
      </c>
      <c r="BV35" s="2657">
        <v>0</v>
      </c>
      <c r="BW35" s="2657">
        <v>0</v>
      </c>
      <c r="BX35" s="2657">
        <v>0</v>
      </c>
      <c r="BY35" s="2657">
        <v>0</v>
      </c>
      <c r="BZ35" s="2657">
        <v>0</v>
      </c>
      <c r="CA35" s="2657">
        <v>0</v>
      </c>
      <c r="CB35" s="2657"/>
      <c r="CC35" s="2657"/>
      <c r="CD35" s="2657"/>
      <c r="CE35" s="2657"/>
      <c r="CF35" s="2657"/>
      <c r="CG35" s="2657"/>
      <c r="CH35" s="2657"/>
      <c r="CI35" s="2657"/>
      <c r="CJ35" s="2657"/>
      <c r="CK35" s="2657"/>
      <c r="CL35" s="2657"/>
      <c r="CM35" s="2657"/>
      <c r="CN35" s="2657"/>
      <c r="CO35" s="2657"/>
      <c r="CP35" s="2657"/>
      <c r="CQ35" s="2657"/>
      <c r="CR35" s="2657"/>
      <c r="CS35" s="2657"/>
      <c r="CT35" s="2657"/>
      <c r="CU35" s="2657"/>
      <c r="CV35" s="2657"/>
      <c r="CW35" s="2657"/>
      <c r="CX35" s="2657"/>
      <c r="CY35" s="2657"/>
      <c r="CZ35" s="2657"/>
      <c r="DA35" s="2657"/>
      <c r="DB35" s="2657"/>
      <c r="DC35" s="2657"/>
      <c r="DD35" s="2657"/>
      <c r="DE35" s="2657"/>
      <c r="DF35" s="2657"/>
      <c r="DG35" s="2657"/>
      <c r="DH35" s="2657"/>
      <c r="DI35" s="2657"/>
      <c r="DJ35" s="2657"/>
      <c r="DK35" s="2657"/>
      <c r="DL35" s="2657"/>
      <c r="DM35" s="2657"/>
      <c r="DN35" s="2657"/>
      <c r="DO35" s="2657"/>
      <c r="DP35" s="2657"/>
      <c r="DQ35" s="2657"/>
      <c r="DR35" s="2657"/>
      <c r="DS35" s="2657"/>
      <c r="DT35" s="2657"/>
      <c r="DU35" s="2657"/>
      <c r="DV35" s="2657"/>
      <c r="DW35" s="2657"/>
      <c r="DX35" s="2657"/>
      <c r="DY35" s="2657"/>
      <c r="DZ35" s="2657"/>
      <c r="EA35" s="2657"/>
      <c r="EB35" s="2657"/>
      <c r="EC35" s="2657"/>
      <c r="ED35" s="2657"/>
      <c r="EE35" s="2657"/>
      <c r="EF35" s="2657"/>
      <c r="EG35" s="2657"/>
      <c r="EH35" s="2657"/>
      <c r="EI35" s="2657"/>
      <c r="EJ35" s="2657"/>
      <c r="EK35" s="2657"/>
      <c r="EL35" s="2657"/>
      <c r="EM35" s="2657"/>
      <c r="EN35" s="2657"/>
      <c r="EO35" s="2657"/>
      <c r="EP35" s="2657"/>
      <c r="EQ35" s="2657"/>
      <c r="ER35" s="2657"/>
      <c r="ES35" s="2657"/>
      <c r="ET35" s="2657"/>
      <c r="EU35" s="2657"/>
      <c r="EV35" s="2657"/>
      <c r="EW35" s="2657"/>
      <c r="EX35" s="2657"/>
      <c r="EY35" s="2657"/>
      <c r="EZ35" s="2657"/>
      <c r="FA35" s="2657"/>
      <c r="FB35" s="2657"/>
      <c r="FC35" s="2657"/>
      <c r="FD35" s="2657"/>
      <c r="FE35" s="2657"/>
    </row>
    <row r="36" spans="1:161" outlineLevel="2">
      <c r="B36" t="s">
        <v>290</v>
      </c>
      <c r="C36" t="s">
        <v>291</v>
      </c>
      <c r="D36" t="str">
        <f t="shared" si="9"/>
      </c>
      <c r="F36" s="2657"/>
      <c r="G36" s="2657"/>
      <c r="H36" s="2657"/>
      <c r="I36" s="2657"/>
      <c r="J36" s="2657"/>
      <c r="K36" s="2657"/>
      <c r="L36" s="2657"/>
      <c r="M36" s="2657"/>
      <c r="N36" s="2657"/>
      <c r="O36" s="2657"/>
      <c r="P36" s="2657"/>
      <c r="Q36" s="2657"/>
      <c r="R36" s="2657"/>
      <c r="S36" s="2657"/>
      <c r="T36" s="2657"/>
      <c r="U36" s="2657"/>
      <c r="V36" s="2657"/>
      <c r="W36" s="2657"/>
      <c r="X36" s="2657"/>
      <c r="Y36" s="2657"/>
      <c r="Z36" s="2657"/>
      <c r="AA36" s="2657"/>
      <c r="AB36" s="2657"/>
      <c r="AC36" s="2657"/>
      <c r="AD36" s="2657"/>
      <c r="AE36" s="2657"/>
      <c r="AF36" s="2657"/>
      <c r="AG36" s="2657"/>
      <c r="AH36" s="2657"/>
      <c r="AI36" s="2657"/>
      <c r="AJ36" s="2657"/>
      <c r="AK36" s="2657"/>
      <c r="AL36" s="2657"/>
      <c r="AM36" s="2657"/>
      <c r="AN36" s="2657"/>
      <c r="AO36" s="2657"/>
      <c r="AP36" s="2657"/>
      <c r="AQ36" s="2657"/>
      <c r="AR36" s="2657"/>
      <c r="AS36" s="2657"/>
      <c r="AT36" s="2657"/>
      <c r="AU36" s="2657"/>
      <c r="AV36" s="2657"/>
      <c r="AW36" s="2657"/>
      <c r="AX36" s="2657">
        <v>0</v>
      </c>
      <c r="AY36" s="2657">
        <v>0</v>
      </c>
      <c r="AZ36" s="2657">
        <v>0</v>
      </c>
      <c r="BA36" s="2657">
        <v>0</v>
      </c>
      <c r="BB36" s="2657">
        <v>0</v>
      </c>
      <c r="BC36" s="2657">
        <v>0</v>
      </c>
      <c r="BD36" s="2657">
        <v>0</v>
      </c>
      <c r="BE36" s="2657">
        <v>0</v>
      </c>
      <c r="BF36" s="2657">
        <v>0</v>
      </c>
      <c r="BG36" s="2657">
        <v>0</v>
      </c>
      <c r="BH36" s="2657">
        <v>0</v>
      </c>
      <c r="BI36" s="2657">
        <v>0</v>
      </c>
      <c r="BJ36" s="2657">
        <v>0</v>
      </c>
      <c r="BK36" s="2657">
        <v>0</v>
      </c>
      <c r="BL36" s="2657">
        <v>0</v>
      </c>
      <c r="BM36" s="2657">
        <v>0</v>
      </c>
      <c r="BN36" s="2657">
        <v>0</v>
      </c>
      <c r="BO36" s="2657">
        <v>0</v>
      </c>
      <c r="BP36" s="2657">
        <v>0</v>
      </c>
      <c r="BQ36" s="2657">
        <v>0</v>
      </c>
      <c r="BR36" s="2657">
        <v>0</v>
      </c>
      <c r="BS36" s="2657">
        <v>0</v>
      </c>
      <c r="BT36" s="2657">
        <v>0</v>
      </c>
      <c r="BU36" s="2657">
        <v>0</v>
      </c>
      <c r="BV36" s="2657">
        <v>0</v>
      </c>
      <c r="BW36" s="2657"/>
      <c r="BX36" s="2657"/>
      <c r="BY36" s="2657"/>
      <c r="BZ36" s="2657"/>
      <c r="CA36" s="2657"/>
      <c r="CB36" s="2657"/>
      <c r="CC36" s="2657"/>
      <c r="CD36" s="2657"/>
      <c r="CE36" s="2657"/>
      <c r="CF36" s="2657"/>
      <c r="CG36" s="2657"/>
      <c r="CH36" s="2657"/>
      <c r="CI36" s="2657"/>
      <c r="CJ36" s="2657"/>
      <c r="CK36" s="2657"/>
      <c r="CL36" s="2657"/>
      <c r="CM36" s="2657"/>
      <c r="CN36" s="2657"/>
      <c r="CO36" s="2657"/>
      <c r="CP36" s="2657"/>
      <c r="CQ36" s="2657"/>
      <c r="CR36" s="2657"/>
      <c r="CS36" s="2657"/>
      <c r="CT36" s="2657"/>
      <c r="CU36" s="2657"/>
      <c r="CV36" s="2657"/>
      <c r="CW36" s="2657"/>
      <c r="CX36" s="2657"/>
      <c r="CY36" s="2657"/>
      <c r="CZ36" s="2657"/>
      <c r="DA36" s="2657"/>
      <c r="DB36" s="2657"/>
      <c r="DC36" s="2657"/>
      <c r="DD36" s="2657"/>
      <c r="DE36" s="2657"/>
      <c r="DF36" s="2657"/>
      <c r="DG36" s="2657"/>
      <c r="DH36" s="2657"/>
      <c r="DI36" s="2657"/>
      <c r="DJ36" s="2657"/>
      <c r="DK36" s="2657"/>
      <c r="DL36" s="2657"/>
      <c r="DM36" s="2657"/>
      <c r="DN36" s="2657"/>
      <c r="DO36" s="2657"/>
      <c r="DP36" s="2657"/>
      <c r="DQ36" s="2657"/>
      <c r="DR36" s="2657"/>
      <c r="DS36" s="2657"/>
      <c r="DT36" s="2657"/>
      <c r="DU36" s="2657"/>
      <c r="DV36" s="2657"/>
      <c r="DW36" s="2657"/>
      <c r="DX36" s="2657"/>
      <c r="DY36" s="2657"/>
      <c r="DZ36" s="2657"/>
      <c r="EA36" s="2657"/>
      <c r="EB36" s="2657"/>
      <c r="EC36" s="2657"/>
      <c r="ED36" s="2657"/>
      <c r="EE36" s="2657"/>
      <c r="EF36" s="2657"/>
      <c r="EG36" s="2657"/>
      <c r="EH36" s="2657"/>
      <c r="EI36" s="2657"/>
      <c r="EJ36" s="2657"/>
      <c r="EK36" s="2657"/>
      <c r="EL36" s="2657"/>
      <c r="EM36" s="2657"/>
      <c r="EN36" s="2657"/>
      <c r="EO36" s="2657"/>
      <c r="EP36" s="2657"/>
      <c r="EQ36" s="2657"/>
      <c r="ER36" s="2657"/>
      <c r="ES36" s="2657"/>
      <c r="ET36" s="2657"/>
      <c r="EU36" s="2657"/>
      <c r="EV36" s="2657"/>
      <c r="EW36" s="2657"/>
      <c r="EX36" s="2657"/>
      <c r="EY36" s="2657"/>
      <c r="EZ36" s="2657"/>
      <c r="FA36" s="2657"/>
      <c r="FB36" s="2657"/>
      <c r="FC36" s="2657"/>
      <c r="FD36" s="2657"/>
      <c r="FE36" s="2657"/>
    </row>
    <row r="37" spans="1:161" outlineLevel="2">
      <c r="B37" t="s">
        <v>1082</v>
      </c>
      <c r="C37" t="s">
        <v>1083</v>
      </c>
      <c r="D37" t="str">
        <f t="shared" si="9"/>
      </c>
      <c r="F37" s="2657"/>
      <c r="G37" s="2657"/>
      <c r="H37" s="2657"/>
      <c r="I37" s="2657"/>
      <c r="J37" s="2657"/>
      <c r="K37" s="2657"/>
      <c r="L37" s="2657"/>
      <c r="M37" s="2657"/>
      <c r="N37" s="2657"/>
      <c r="O37" s="2657"/>
      <c r="P37" s="2657"/>
      <c r="Q37" s="2657"/>
      <c r="R37" s="2657"/>
      <c r="S37" s="2657"/>
      <c r="T37" s="2657"/>
      <c r="U37" s="2657"/>
      <c r="V37" s="2657"/>
      <c r="W37" s="2657"/>
      <c r="X37" s="2657"/>
      <c r="Y37" s="2657"/>
      <c r="Z37" s="2657"/>
      <c r="AA37" s="2657"/>
      <c r="AB37" s="2657"/>
      <c r="AC37" s="2657"/>
      <c r="AD37" s="2657"/>
      <c r="AE37" s="2657"/>
      <c r="AF37" s="2657"/>
      <c r="AG37" s="2657"/>
      <c r="AH37" s="2657"/>
      <c r="AI37" s="2657"/>
      <c r="AJ37" s="2657"/>
      <c r="AK37" s="2657"/>
      <c r="AL37" s="2657"/>
      <c r="AM37" s="2657"/>
      <c r="AN37" s="2657"/>
      <c r="AO37" s="2657"/>
      <c r="AP37" s="2657"/>
      <c r="AQ37" s="2657"/>
      <c r="AR37" s="2657"/>
      <c r="AS37" s="2657"/>
      <c r="AT37" s="2657"/>
      <c r="AU37" s="2657"/>
      <c r="AV37" s="2657"/>
      <c r="AW37" s="2657"/>
      <c r="AX37" s="2657"/>
      <c r="AY37" s="2657"/>
      <c r="AZ37" s="2657"/>
      <c r="BA37" s="2657"/>
      <c r="BB37" s="2657"/>
      <c r="BC37" s="2657"/>
      <c r="BD37" s="2657"/>
      <c r="BE37" s="2657"/>
      <c r="BF37" s="2657"/>
      <c r="BG37" s="2657"/>
      <c r="BH37" s="2657"/>
      <c r="BI37" s="2657"/>
      <c r="BJ37" s="2657"/>
      <c r="BK37" s="2657"/>
      <c r="BL37" s="2657"/>
      <c r="BM37" s="2657"/>
      <c r="BN37" s="2657"/>
      <c r="BO37" s="2657"/>
      <c r="BP37" s="2657"/>
      <c r="BQ37" s="2657"/>
      <c r="BR37" s="2657"/>
      <c r="BS37" s="2657"/>
      <c r="BT37" s="2657"/>
      <c r="BU37" s="2657"/>
      <c r="BV37" s="2657"/>
      <c r="BW37" s="2657"/>
      <c r="BX37" s="2657"/>
      <c r="BY37" s="2657"/>
      <c r="BZ37" s="2657"/>
      <c r="CA37" s="2657"/>
      <c r="CB37" s="2657"/>
      <c r="CC37" s="2657"/>
      <c r="CD37" s="2657"/>
      <c r="CE37" s="2657"/>
      <c r="CF37" s="2657"/>
      <c r="CG37" s="2657"/>
      <c r="CH37" s="2657"/>
      <c r="CI37" s="2657"/>
      <c r="CJ37" s="2657"/>
      <c r="CK37" s="2657"/>
      <c r="CL37" s="2657"/>
      <c r="CM37" s="2657"/>
      <c r="CN37" s="2657"/>
      <c r="CO37" s="2657"/>
      <c r="CP37" s="2657"/>
      <c r="CQ37" s="2657"/>
      <c r="CR37" s="2657"/>
      <c r="CS37" s="2657"/>
      <c r="CT37" s="2657"/>
      <c r="CU37" s="2657"/>
      <c r="CV37" s="2657"/>
      <c r="CW37" s="2657"/>
      <c r="CX37" s="2657"/>
      <c r="CY37" s="2657"/>
      <c r="CZ37" s="2657"/>
      <c r="DA37" s="2657"/>
      <c r="DB37" s="2657"/>
      <c r="DC37" s="2657"/>
      <c r="DD37" s="2657"/>
      <c r="DE37" s="2657"/>
      <c r="DF37" s="2657"/>
      <c r="DG37" s="2657"/>
      <c r="DH37" s="2657"/>
      <c r="DI37" s="2657"/>
      <c r="DJ37" s="2657"/>
      <c r="DK37" s="2657"/>
      <c r="DL37" s="2657"/>
      <c r="DM37" s="2657"/>
      <c r="DN37" s="2657"/>
      <c r="DO37" s="2657"/>
      <c r="DP37" s="2657"/>
      <c r="DQ37" s="2657"/>
      <c r="DR37" s="2657"/>
      <c r="DS37" s="2657"/>
      <c r="DT37" s="2657"/>
      <c r="DU37" s="2657"/>
      <c r="DV37" s="2657"/>
      <c r="DW37" s="2657"/>
      <c r="DX37" s="2657"/>
      <c r="DY37" s="2657"/>
      <c r="DZ37" s="2657"/>
      <c r="EA37" s="2657"/>
      <c r="EB37" s="2657"/>
      <c r="EC37" s="2657"/>
      <c r="ED37" s="2657"/>
      <c r="EE37" s="2657"/>
      <c r="EF37" s="2657"/>
      <c r="EG37" s="2657"/>
      <c r="EH37" s="2657"/>
      <c r="EI37" s="2657"/>
      <c r="EJ37" s="2657"/>
      <c r="EK37" s="2657"/>
      <c r="EL37" s="2657"/>
      <c r="EM37" s="2657"/>
      <c r="EN37" s="2657"/>
      <c r="EO37" s="2657"/>
      <c r="EP37" s="2657"/>
      <c r="EQ37" s="2657"/>
      <c r="ER37" s="2657"/>
      <c r="ES37" s="2657"/>
      <c r="ET37" s="2657"/>
      <c r="EU37" s="2657"/>
      <c r="EV37" s="2657"/>
      <c r="EW37" s="2657"/>
      <c r="EX37" s="2657"/>
      <c r="EY37" s="2657"/>
      <c r="EZ37" s="2657"/>
      <c r="FA37" s="2657"/>
      <c r="FB37" s="2657"/>
      <c r="FC37" s="2657"/>
      <c r="FD37" s="2657"/>
      <c r="FE37" s="2657"/>
    </row>
    <row r="38" spans="1:161" outlineLevel="2">
      <c r="B38" t="s">
        <v>1088</v>
      </c>
      <c r="C38" t="s">
        <v>1089</v>
      </c>
      <c r="D38" t="str">
        <f t="shared" si="9"/>
      </c>
      <c r="F38" s="2657"/>
      <c r="G38" s="2657"/>
      <c r="H38" s="2657"/>
      <c r="I38" s="2657"/>
      <c r="J38" s="2657"/>
      <c r="K38" s="2657"/>
      <c r="L38" s="2657"/>
      <c r="M38" s="2657"/>
      <c r="N38" s="2657"/>
      <c r="O38" s="2657"/>
      <c r="P38" s="2657"/>
      <c r="Q38" s="2657"/>
      <c r="R38" s="2657"/>
      <c r="S38" s="2657"/>
      <c r="T38" s="2657"/>
      <c r="U38" s="2657"/>
      <c r="V38" s="2657"/>
      <c r="W38" s="2657"/>
      <c r="X38" s="2657"/>
      <c r="Y38" s="2657"/>
      <c r="Z38" s="2657"/>
      <c r="AA38" s="2657"/>
      <c r="AB38" s="2657"/>
      <c r="AC38" s="2657"/>
      <c r="AD38" s="2657"/>
      <c r="AE38" s="2657"/>
      <c r="AF38" s="2657"/>
      <c r="AG38" s="2657"/>
      <c r="AH38" s="2657"/>
      <c r="AI38" s="2657"/>
      <c r="AJ38" s="2657"/>
      <c r="AK38" s="2657"/>
      <c r="AL38" s="2657"/>
      <c r="AM38" s="2657"/>
      <c r="AN38" s="2657"/>
      <c r="AO38" s="2657"/>
      <c r="AP38" s="2657"/>
      <c r="AQ38" s="2657"/>
      <c r="AR38" s="2657"/>
      <c r="AS38" s="2657"/>
      <c r="AT38" s="2657"/>
      <c r="AU38" s="2657"/>
      <c r="AV38" s="2657"/>
      <c r="AW38" s="2657"/>
      <c r="AX38" s="2657"/>
      <c r="AY38" s="2657"/>
      <c r="AZ38" s="2657"/>
      <c r="BA38" s="2657"/>
      <c r="BB38" s="2657"/>
      <c r="BC38" s="2657"/>
      <c r="BD38" s="2657"/>
      <c r="BE38" s="2657"/>
      <c r="BF38" s="2657"/>
      <c r="BG38" s="2657"/>
      <c r="BH38" s="2657"/>
      <c r="BI38" s="2657"/>
      <c r="BJ38" s="2657"/>
      <c r="BK38" s="2657"/>
      <c r="BL38" s="2657"/>
      <c r="BM38" s="2657"/>
      <c r="BN38" s="2657"/>
      <c r="BO38" s="2657"/>
      <c r="BP38" s="2657"/>
      <c r="BQ38" s="2657"/>
      <c r="BR38" s="2657"/>
      <c r="BS38" s="2657"/>
      <c r="BT38" s="2657"/>
      <c r="BU38" s="2657"/>
      <c r="BV38" s="2657"/>
      <c r="BW38" s="2657"/>
      <c r="BX38" s="2657"/>
      <c r="BY38" s="2657"/>
      <c r="BZ38" s="2657"/>
      <c r="CA38" s="2657"/>
      <c r="CB38" s="2657"/>
      <c r="CC38" s="2657"/>
      <c r="CD38" s="2657"/>
      <c r="CE38" s="2657"/>
      <c r="CF38" s="2657"/>
      <c r="CG38" s="2657"/>
      <c r="CH38" s="2657"/>
      <c r="CI38" s="2657"/>
      <c r="CJ38" s="2657"/>
      <c r="CK38" s="2657"/>
      <c r="CL38" s="2657"/>
      <c r="CM38" s="2657"/>
      <c r="CN38" s="2657"/>
      <c r="CO38" s="2657"/>
      <c r="CP38" s="2657"/>
      <c r="CQ38" s="2657"/>
      <c r="CR38" s="2657"/>
      <c r="CS38" s="2657"/>
      <c r="CT38" s="2657"/>
      <c r="CU38" s="2657"/>
      <c r="CV38" s="2657"/>
      <c r="CW38" s="2657"/>
      <c r="CX38" s="2657"/>
      <c r="CY38" s="2657"/>
      <c r="CZ38" s="2657"/>
      <c r="DA38" s="2657"/>
      <c r="DB38" s="2657"/>
      <c r="DC38" s="2657"/>
      <c r="DD38" s="2657"/>
      <c r="DE38" s="2657"/>
      <c r="DF38" s="2657"/>
      <c r="DG38" s="2657"/>
      <c r="DH38" s="2657"/>
      <c r="DI38" s="2657"/>
      <c r="DJ38" s="2657"/>
      <c r="DK38" s="2657"/>
      <c r="DL38" s="2657"/>
      <c r="DM38" s="2657"/>
      <c r="DN38" s="2657"/>
      <c r="DO38" s="2657"/>
      <c r="DP38" s="2657"/>
      <c r="DQ38" s="2657"/>
      <c r="DR38" s="2657"/>
      <c r="DS38" s="2657"/>
      <c r="DT38" s="2657"/>
      <c r="DU38" s="2657"/>
      <c r="DV38" s="2657"/>
      <c r="DW38" s="2657"/>
      <c r="DX38" s="2657"/>
      <c r="DY38" s="2657"/>
      <c r="DZ38" s="2657"/>
      <c r="EA38" s="2657"/>
      <c r="EB38" s="2657"/>
      <c r="EC38" s="2657"/>
      <c r="ED38" s="2657"/>
      <c r="EE38" s="2657"/>
      <c r="EF38" s="2657"/>
      <c r="EG38" s="2657"/>
      <c r="EH38" s="2657"/>
      <c r="EI38" s="2657"/>
      <c r="EJ38" s="2657"/>
      <c r="EK38" s="2657"/>
      <c r="EL38" s="2657"/>
      <c r="EM38" s="2657"/>
      <c r="EN38" s="2657"/>
      <c r="EO38" s="2657"/>
      <c r="EP38" s="2657"/>
      <c r="EQ38" s="2657"/>
      <c r="ER38" s="2657"/>
      <c r="ES38" s="2657"/>
      <c r="ET38" s="2657"/>
      <c r="EU38" s="2657"/>
      <c r="EV38" s="2657"/>
      <c r="EW38" s="2657"/>
      <c r="EX38" s="2657"/>
      <c r="EY38" s="2657"/>
      <c r="EZ38" s="2657"/>
      <c r="FA38" s="2657"/>
      <c r="FB38" s="2657"/>
      <c r="FC38" s="2657"/>
      <c r="FD38" s="2657"/>
      <c r="FE38" s="2657"/>
    </row>
    <row r="39" spans="1:161" outlineLevel="2">
      <c r="B39" t="s">
        <v>1090</v>
      </c>
      <c r="C39" t="s">
        <v>1091</v>
      </c>
      <c r="E39" s="2658" t="s">
        <v>1660</v>
      </c>
    </row>
    <row r="40" spans="1:161" s="539" customFormat="1" outlineLevel="1">
      <c r="A40" s="540" t="s">
        <v>164</v>
      </c>
      <c r="B40" s="540"/>
      <c r="C40" s="540"/>
      <c r="D40" s="540"/>
    </row>
    <row r="41" spans="1:161" outlineLevel="2">
      <c r="B41" t="s">
        <v>292</v>
      </c>
      <c r="C41" t="s">
        <v>293</v>
      </c>
      <c r="D41" t="str">
        <f t="shared" ref="D41:D70" si="10">E_CURRENCY_ISSR_208000149_REP</f>
      </c>
      <c r="F41" s="2657">
        <f>'Balance Sheet'!ER11</f>
      </c>
      <c r="G41" s="2657">
        <f>'Balance Sheet'!ES11</f>
      </c>
      <c r="H41" s="2657">
        <f>'Balance Sheet'!ET11</f>
      </c>
      <c r="I41" s="2657">
        <f>'Balance Sheet'!EU11</f>
      </c>
      <c r="J41" s="2657">
        <f>'Balance Sheet'!EV11</f>
      </c>
      <c r="K41" s="2657">
        <f>'Balance Sheet'!EW11</f>
      </c>
      <c r="L41" s="2657">
        <f>'Balance Sheet'!EX11</f>
      </c>
      <c r="M41" s="2657">
        <f>'Balance Sheet'!EY11</f>
      </c>
      <c r="N41" s="2657">
        <f>'Balance Sheet'!EZ11</f>
      </c>
      <c r="O41" s="2657">
        <f>'Balance Sheet'!FA11</f>
      </c>
      <c r="P41" s="2657">
        <f>'Balance Sheet'!FB11</f>
      </c>
      <c r="Q41" s="2657">
        <f>'Balance Sheet'!FC11</f>
      </c>
      <c r="R41" s="2657">
        <f>'Balance Sheet'!FD11</f>
      </c>
      <c r="S41" s="2657">
        <f>'Balance Sheet'!FE11</f>
      </c>
      <c r="T41" s="2657">
        <f>'Balance Sheet'!FF11</f>
      </c>
      <c r="U41" s="2657">
        <f>'Balance Sheet'!FG11</f>
      </c>
      <c r="V41" s="2657">
        <f>'Balance Sheet'!FH11</f>
      </c>
      <c r="W41" s="2657">
        <f>'Balance Sheet'!FI11</f>
      </c>
      <c r="X41" s="2657">
        <f>'Balance Sheet'!FJ11</f>
      </c>
      <c r="Y41" s="2657">
        <f>'Balance Sheet'!FK11</f>
      </c>
      <c r="Z41" s="2657">
        <f>'Balance Sheet'!FL11</f>
      </c>
      <c r="AA41" s="2657">
        <f>'Balance Sheet'!FM11</f>
      </c>
      <c r="AB41" s="2657">
        <f>'Balance Sheet'!FN11</f>
      </c>
      <c r="AC41" s="2657">
        <f>'Balance Sheet'!FO11</f>
      </c>
      <c r="AD41" s="2657">
        <f>'Balance Sheet'!FP11</f>
      </c>
      <c r="AE41" s="2657">
        <f>'Balance Sheet'!FQ11</f>
      </c>
      <c r="AF41" s="2657">
        <f>'Balance Sheet'!FR11</f>
      </c>
      <c r="AG41" s="2657">
        <f>'Balance Sheet'!FS11</f>
      </c>
      <c r="AH41" s="2657">
        <f>'Balance Sheet'!FT11</f>
      </c>
      <c r="AI41" s="2657">
        <f>'Balance Sheet'!FU11</f>
      </c>
      <c r="AJ41" s="2657">
        <f>'Balance Sheet'!FV11</f>
      </c>
      <c r="AK41" s="2657" t="s">
        <v>1659</v>
      </c>
      <c r="AL41" s="2657">
        <f>'Balance Sheet'!R11</f>
      </c>
      <c r="AM41" s="2657">
        <f>'Balance Sheet'!S11</f>
      </c>
      <c r="AN41" s="2657">
        <f>'Balance Sheet'!T11</f>
      </c>
      <c r="AO41" s="2657">
        <f>'Balance Sheet'!U11</f>
      </c>
      <c r="AP41" s="2657">
        <f>'Balance Sheet'!V11</f>
      </c>
      <c r="AQ41" s="2657">
        <f>'Balance Sheet'!W11</f>
      </c>
      <c r="AR41" s="2657">
        <f>'Balance Sheet'!X11</f>
      </c>
      <c r="AS41" s="2657">
        <f>'Balance Sheet'!Y11</f>
      </c>
      <c r="AT41" s="2657">
        <f>'Balance Sheet'!Z11</f>
      </c>
      <c r="AU41" s="2657">
        <f>'Balance Sheet'!AA11</f>
      </c>
      <c r="AV41" s="2657">
        <f>'Balance Sheet'!AB11</f>
      </c>
      <c r="AW41" s="2657">
        <f>'Balance Sheet'!AC11</f>
      </c>
      <c r="AX41" s="2657">
        <f>'Balance Sheet'!AD11</f>
      </c>
      <c r="AY41" s="2657">
        <f>'Balance Sheet'!AE11</f>
      </c>
      <c r="AZ41" s="2657">
        <f>'Balance Sheet'!AF11</f>
      </c>
      <c r="BA41" s="2657">
        <f>'Balance Sheet'!AG11</f>
      </c>
      <c r="BB41" s="2657">
        <f>'Balance Sheet'!AH11</f>
      </c>
      <c r="BC41" s="2657">
        <f>'Balance Sheet'!AI11</f>
      </c>
      <c r="BD41" s="2657">
        <f>'Balance Sheet'!AJ11</f>
      </c>
      <c r="BE41" s="2657">
        <f>'Balance Sheet'!AK11</f>
      </c>
      <c r="BF41" s="2657">
        <f>'Balance Sheet'!AL11</f>
      </c>
      <c r="BG41" s="2657">
        <f>'Balance Sheet'!AM11</f>
      </c>
      <c r="BH41" s="2657">
        <f>'Balance Sheet'!AN11</f>
      </c>
      <c r="BI41" s="2657">
        <f>'Balance Sheet'!AO11</f>
      </c>
      <c r="BJ41" s="2657">
        <f>'Balance Sheet'!AP11</f>
      </c>
      <c r="BK41" s="2657">
        <f>'Balance Sheet'!AQ11</f>
      </c>
      <c r="BL41" s="2657">
        <f>'Balance Sheet'!AR11</f>
      </c>
      <c r="BM41" s="2657">
        <f>'Balance Sheet'!AS11</f>
      </c>
      <c r="BN41" s="2657">
        <f>'Balance Sheet'!AT11</f>
      </c>
      <c r="BO41" s="2657">
        <f>'Balance Sheet'!AU11</f>
      </c>
      <c r="BP41" s="2657">
        <f>'Balance Sheet'!AV11</f>
      </c>
      <c r="BQ41" s="2657">
        <f>'Balance Sheet'!AW11</f>
      </c>
      <c r="BR41" s="2657">
        <f>'Balance Sheet'!AX11</f>
      </c>
      <c r="BS41" s="2657">
        <f>'Balance Sheet'!AY11</f>
      </c>
      <c r="BT41" s="2657">
        <f>'Balance Sheet'!AZ11</f>
      </c>
      <c r="BU41" s="2657">
        <f>'Balance Sheet'!BA11</f>
      </c>
      <c r="BV41" s="2657">
        <f>'Balance Sheet'!BB11</f>
      </c>
      <c r="BW41" s="2657">
        <f>'Balance Sheet'!BC11</f>
      </c>
      <c r="BX41" s="2657">
        <f>'Balance Sheet'!BD11</f>
      </c>
      <c r="BY41" s="2657">
        <f>'Balance Sheet'!BE11</f>
      </c>
      <c r="BZ41" s="2657">
        <f>'Balance Sheet'!BF11</f>
      </c>
      <c r="CA41" s="2657">
        <f>'Balance Sheet'!BG11</f>
      </c>
      <c r="CB41" s="2657">
        <f>'Balance Sheet'!BH11</f>
      </c>
      <c r="CC41" s="2657">
        <f>'Balance Sheet'!BI11</f>
      </c>
      <c r="CD41" s="2657">
        <f>'Balance Sheet'!BJ11</f>
      </c>
      <c r="CE41" s="2657">
        <f>'Balance Sheet'!BK11</f>
      </c>
      <c r="CF41" s="2657">
        <f>'Balance Sheet'!BL11</f>
      </c>
      <c r="CG41" s="2657">
        <f>'Balance Sheet'!BM11</f>
      </c>
      <c r="CH41" s="2657">
        <f>'Balance Sheet'!BN11</f>
      </c>
      <c r="CI41" s="2657">
        <f>'Balance Sheet'!BO11</f>
      </c>
      <c r="CJ41" s="2657">
        <f>'Balance Sheet'!BP11</f>
      </c>
      <c r="CK41" s="2657">
        <f>'Balance Sheet'!BQ11</f>
      </c>
      <c r="CL41" s="2657">
        <f>'Balance Sheet'!BR11</f>
      </c>
      <c r="CM41" s="2657">
        <f>'Balance Sheet'!BS11</f>
      </c>
      <c r="CN41" s="2657">
        <f>'Balance Sheet'!BT11</f>
      </c>
      <c r="CO41" s="2657">
        <f>'Balance Sheet'!BU11</f>
      </c>
      <c r="CP41" s="2657">
        <f>'Balance Sheet'!BV11</f>
      </c>
      <c r="CQ41" s="2657">
        <f>'Balance Sheet'!BW11</f>
      </c>
      <c r="CR41" s="2657">
        <f>'Balance Sheet'!BX11</f>
      </c>
      <c r="CS41" s="2657">
        <f>'Balance Sheet'!BY11</f>
      </c>
      <c r="CT41" s="2657">
        <f>'Balance Sheet'!BZ11</f>
      </c>
      <c r="CU41" s="2657">
        <f>'Balance Sheet'!CA11</f>
      </c>
      <c r="CV41" s="2657">
        <f>'Balance Sheet'!CB11</f>
      </c>
      <c r="CW41" s="2657">
        <f>'Balance Sheet'!CC11</f>
      </c>
      <c r="CX41" s="2657">
        <f>'Balance Sheet'!CD11</f>
      </c>
      <c r="CY41" s="2657">
        <f>'Balance Sheet'!CE11</f>
      </c>
      <c r="CZ41" s="2657">
        <f>'Balance Sheet'!CF11</f>
      </c>
      <c r="DA41" s="2657">
        <f>'Balance Sheet'!CG11</f>
      </c>
      <c r="DB41" s="2657">
        <f>'Balance Sheet'!CH11</f>
      </c>
      <c r="DC41" s="2657">
        <f>'Balance Sheet'!CI11</f>
      </c>
      <c r="DD41" s="2657">
        <f>'Balance Sheet'!CJ11</f>
      </c>
      <c r="DE41" s="2657">
        <f>'Balance Sheet'!CK11</f>
      </c>
      <c r="DF41" s="2657">
        <f>'Balance Sheet'!CL11</f>
      </c>
      <c r="DG41" s="2657">
        <f>'Balance Sheet'!CM11</f>
      </c>
      <c r="DH41" s="2657">
        <f>'Balance Sheet'!CN11</f>
      </c>
      <c r="DI41" s="2657">
        <f>'Balance Sheet'!CO11</f>
      </c>
      <c r="DJ41" s="2657">
        <f>'Balance Sheet'!CP11</f>
      </c>
      <c r="DK41" s="2657">
        <f>'Balance Sheet'!CQ11</f>
      </c>
      <c r="DL41" s="2657">
        <f>'Balance Sheet'!CR11</f>
      </c>
      <c r="DM41" s="2657">
        <f>'Balance Sheet'!CS11</f>
      </c>
      <c r="DN41" s="2657">
        <f>'Balance Sheet'!CT11</f>
      </c>
      <c r="DO41" s="2657">
        <f>'Balance Sheet'!CU11</f>
      </c>
      <c r="DP41" s="2657">
        <f>'Balance Sheet'!CV11</f>
      </c>
      <c r="DQ41" s="2657">
        <f>'Balance Sheet'!CW11</f>
      </c>
      <c r="DR41" s="2657">
        <f>'Balance Sheet'!CX11</f>
      </c>
      <c r="DS41" s="2657">
        <f>'Balance Sheet'!CY11</f>
      </c>
      <c r="DT41" s="2657">
        <f>'Balance Sheet'!CZ11</f>
      </c>
      <c r="DU41" s="2657">
        <f>'Balance Sheet'!DA11</f>
      </c>
      <c r="DV41" s="2657">
        <f>'Balance Sheet'!DB11</f>
      </c>
      <c r="DW41" s="2657">
        <f>'Balance Sheet'!DC11</f>
      </c>
      <c r="DX41" s="2657">
        <f>'Balance Sheet'!DD11</f>
      </c>
      <c r="DY41" s="2657">
        <f>'Balance Sheet'!DE11</f>
      </c>
      <c r="DZ41" s="2657">
        <f>'Balance Sheet'!DF11</f>
      </c>
      <c r="EA41" s="2657">
        <f>'Balance Sheet'!DG11</f>
      </c>
      <c r="EB41" s="2657">
        <f>'Balance Sheet'!DH11</f>
      </c>
      <c r="EC41" s="2657">
        <f>'Balance Sheet'!DI11</f>
      </c>
      <c r="ED41" s="2657">
        <f>'Balance Sheet'!DJ11</f>
      </c>
      <c r="EE41" s="2657">
        <f>'Balance Sheet'!DK11</f>
      </c>
      <c r="EF41" s="2657">
        <f>'Balance Sheet'!DL11</f>
      </c>
      <c r="EG41" s="2657">
        <f>'Balance Sheet'!DM11</f>
      </c>
      <c r="EH41" s="2657">
        <f>'Balance Sheet'!DN11</f>
      </c>
      <c r="EI41" s="2657">
        <f>'Balance Sheet'!DO11</f>
      </c>
      <c r="EJ41" s="2657">
        <f>'Balance Sheet'!DP11</f>
      </c>
      <c r="EK41" s="2657">
        <f>'Balance Sheet'!DQ11</f>
      </c>
      <c r="EL41" s="2657">
        <f>'Balance Sheet'!DR11</f>
      </c>
      <c r="EM41" s="2657">
        <f>'Balance Sheet'!DS11</f>
      </c>
      <c r="EN41" s="2657">
        <f>'Balance Sheet'!DT11</f>
      </c>
      <c r="EO41" s="2657">
        <f>'Balance Sheet'!DU11</f>
      </c>
      <c r="EP41" s="2657">
        <f>'Balance Sheet'!DV11</f>
      </c>
      <c r="EQ41" s="2657">
        <f>'Balance Sheet'!DW11</f>
      </c>
      <c r="ER41" s="2657">
        <f>'Balance Sheet'!DX11</f>
      </c>
      <c r="ES41" s="2657">
        <f>'Balance Sheet'!DY11</f>
      </c>
      <c r="ET41" s="2657">
        <f>'Balance Sheet'!DZ11</f>
      </c>
      <c r="EU41" s="2657">
        <f>'Balance Sheet'!EA11</f>
      </c>
      <c r="EV41" s="2657">
        <f>'Balance Sheet'!EB11</f>
      </c>
      <c r="EW41" s="2657">
        <f>'Balance Sheet'!EC11</f>
      </c>
      <c r="EX41" s="2657">
        <f>'Balance Sheet'!ED11</f>
      </c>
      <c r="EY41" s="2657">
        <f>'Balance Sheet'!EE11</f>
      </c>
      <c r="EZ41" s="2657">
        <f>'Balance Sheet'!EF11</f>
      </c>
      <c r="FA41" s="2657">
        <f>'Balance Sheet'!EG11</f>
      </c>
      <c r="FB41" s="2657">
        <f>'Balance Sheet'!EH11</f>
      </c>
      <c r="FC41" s="2657">
        <f>'Balance Sheet'!EI11</f>
      </c>
      <c r="FD41" s="2657">
        <f>'Balance Sheet'!EJ11</f>
      </c>
      <c r="FE41" s="2657">
        <f>'Balance Sheet'!EK11</f>
      </c>
    </row>
    <row r="42" spans="1:161" outlineLevel="2">
      <c r="B42" t="s">
        <v>102</v>
      </c>
      <c r="C42" t="s">
        <v>294</v>
      </c>
      <c r="D42" t="str">
        <f t="shared" si="10"/>
      </c>
      <c r="F42" s="2657">
        <f>'Balance Sheet'!ER13</f>
      </c>
      <c r="G42" s="2657">
        <f>'Balance Sheet'!ES13</f>
      </c>
      <c r="H42" s="2657">
        <f>'Balance Sheet'!ET13</f>
      </c>
      <c r="I42" s="2657">
        <f>'Balance Sheet'!EU13</f>
      </c>
      <c r="J42" s="2657">
        <f>'Balance Sheet'!EV13</f>
      </c>
      <c r="K42" s="2657">
        <f>'Balance Sheet'!EW13</f>
      </c>
      <c r="L42" s="2657">
        <f>'Balance Sheet'!EX13</f>
      </c>
      <c r="M42" s="2657">
        <f>'Balance Sheet'!EY13</f>
      </c>
      <c r="N42" s="2657">
        <f>'Balance Sheet'!EZ13</f>
      </c>
      <c r="O42" s="2657">
        <f>'Balance Sheet'!FA13</f>
      </c>
      <c r="P42" s="2657">
        <f>'Balance Sheet'!FB13</f>
      </c>
      <c r="Q42" s="2657">
        <f>'Balance Sheet'!FC13</f>
      </c>
      <c r="R42" s="2657">
        <f>'Balance Sheet'!FD13</f>
      </c>
      <c r="S42" s="2657">
        <f>'Balance Sheet'!FE13</f>
      </c>
      <c r="T42" s="2657">
        <f>'Balance Sheet'!FF13</f>
      </c>
      <c r="U42" s="2657">
        <f>'Balance Sheet'!FG13</f>
      </c>
      <c r="V42" s="2657">
        <f>'Balance Sheet'!FH13</f>
      </c>
      <c r="W42" s="2657">
        <f>'Balance Sheet'!FI13</f>
      </c>
      <c r="X42" s="2657">
        <f>'Balance Sheet'!FJ13</f>
      </c>
      <c r="Y42" s="2657">
        <f>'Balance Sheet'!FK13</f>
      </c>
      <c r="Z42" s="2657">
        <f>'Balance Sheet'!FL13</f>
      </c>
      <c r="AA42" s="2657">
        <f>'Balance Sheet'!FM13</f>
      </c>
      <c r="AB42" s="2657">
        <f>'Balance Sheet'!FN13</f>
      </c>
      <c r="AC42" s="2657">
        <f>'Balance Sheet'!FO13</f>
      </c>
      <c r="AD42" s="2657">
        <f>'Balance Sheet'!FP13</f>
      </c>
      <c r="AE42" s="2657">
        <f>'Balance Sheet'!FQ13</f>
      </c>
      <c r="AF42" s="2657">
        <f>'Balance Sheet'!FR13</f>
      </c>
      <c r="AG42" s="2657">
        <f>'Balance Sheet'!FS13</f>
      </c>
      <c r="AH42" s="2657">
        <f>'Balance Sheet'!FT13</f>
      </c>
      <c r="AI42" s="2657">
        <f>'Balance Sheet'!FU13</f>
      </c>
      <c r="AJ42" s="2657">
        <f>'Balance Sheet'!FV13</f>
      </c>
      <c r="AK42" s="2657"/>
      <c r="AL42" s="2657">
        <f>'Balance Sheet'!R13</f>
      </c>
      <c r="AM42" s="2657">
        <f>'Balance Sheet'!S13</f>
      </c>
      <c r="AN42" s="2657">
        <f>'Balance Sheet'!T13</f>
      </c>
      <c r="AO42" s="2657">
        <f>'Balance Sheet'!U13</f>
      </c>
      <c r="AP42" s="2657">
        <f>'Balance Sheet'!V13</f>
      </c>
      <c r="AQ42" s="2657">
        <f>'Balance Sheet'!W13</f>
      </c>
      <c r="AR42" s="2657">
        <f>'Balance Sheet'!X13</f>
      </c>
      <c r="AS42" s="2657">
        <f>'Balance Sheet'!Y13</f>
      </c>
      <c r="AT42" s="2657">
        <f>'Balance Sheet'!Z13</f>
      </c>
      <c r="AU42" s="2657">
        <f>'Balance Sheet'!AA13</f>
      </c>
      <c r="AV42" s="2657">
        <f>'Balance Sheet'!AB13</f>
      </c>
      <c r="AW42" s="2657">
        <f>'Balance Sheet'!AC13</f>
      </c>
      <c r="AX42" s="2657">
        <f>'Balance Sheet'!AD13</f>
      </c>
      <c r="AY42" s="2657">
        <f>'Balance Sheet'!AE13</f>
      </c>
      <c r="AZ42" s="2657">
        <f>'Balance Sheet'!AF13</f>
      </c>
      <c r="BA42" s="2657">
        <f>'Balance Sheet'!AG13</f>
      </c>
      <c r="BB42" s="2657">
        <f>'Balance Sheet'!AH13</f>
      </c>
      <c r="BC42" s="2657">
        <f>'Balance Sheet'!AI13</f>
      </c>
      <c r="BD42" s="2657">
        <f>'Balance Sheet'!AJ13</f>
      </c>
      <c r="BE42" s="2657">
        <f>'Balance Sheet'!AK13</f>
      </c>
      <c r="BF42" s="2657">
        <f>'Balance Sheet'!AL13</f>
      </c>
      <c r="BG42" s="2657">
        <f>'Balance Sheet'!AM13</f>
      </c>
      <c r="BH42" s="2657">
        <f>'Balance Sheet'!AN13</f>
      </c>
      <c r="BI42" s="2657">
        <f>'Balance Sheet'!AO13</f>
      </c>
      <c r="BJ42" s="2657">
        <f>'Balance Sheet'!AP13</f>
      </c>
      <c r="BK42" s="2657">
        <f>'Balance Sheet'!AQ13</f>
      </c>
      <c r="BL42" s="2657">
        <f>'Balance Sheet'!AR13</f>
      </c>
      <c r="BM42" s="2657">
        <f>'Balance Sheet'!AS13</f>
      </c>
      <c r="BN42" s="2657">
        <f>'Balance Sheet'!AT13</f>
      </c>
      <c r="BO42" s="2657">
        <f>'Balance Sheet'!AU13</f>
      </c>
      <c r="BP42" s="2657">
        <f>'Balance Sheet'!AV13</f>
      </c>
      <c r="BQ42" s="2657">
        <f>'Balance Sheet'!AW13</f>
      </c>
      <c r="BR42" s="2657">
        <f>'Balance Sheet'!AX13</f>
      </c>
      <c r="BS42" s="2657">
        <f>'Balance Sheet'!AY13</f>
      </c>
      <c r="BT42" s="2657">
        <f>'Balance Sheet'!AZ13</f>
      </c>
      <c r="BU42" s="2657">
        <f>'Balance Sheet'!BA13</f>
      </c>
      <c r="BV42" s="2657">
        <f>'Balance Sheet'!BB13</f>
      </c>
      <c r="BW42" s="2657">
        <f>'Balance Sheet'!BC13</f>
      </c>
      <c r="BX42" s="2657">
        <f>'Balance Sheet'!BD13</f>
      </c>
      <c r="BY42" s="2657">
        <f>'Balance Sheet'!BE13</f>
      </c>
      <c r="BZ42" s="2657">
        <f>'Balance Sheet'!BF13</f>
      </c>
      <c r="CA42" s="2657">
        <f>'Balance Sheet'!BG13</f>
      </c>
      <c r="CB42" s="2657">
        <f>'Balance Sheet'!BH13</f>
      </c>
      <c r="CC42" s="2657">
        <f>'Balance Sheet'!BI13</f>
      </c>
      <c r="CD42" s="2657">
        <f>'Balance Sheet'!BJ13</f>
      </c>
      <c r="CE42" s="2657">
        <f>'Balance Sheet'!BK13</f>
      </c>
      <c r="CF42" s="2657">
        <f>'Balance Sheet'!BL13</f>
      </c>
      <c r="CG42" s="2657">
        <f>'Balance Sheet'!BM13</f>
      </c>
      <c r="CH42" s="2657">
        <f>'Balance Sheet'!BN13</f>
      </c>
      <c r="CI42" s="2657">
        <f>'Balance Sheet'!BO13</f>
      </c>
      <c r="CJ42" s="2657">
        <f>'Balance Sheet'!BP13</f>
      </c>
      <c r="CK42" s="2657">
        <f>'Balance Sheet'!BQ13</f>
      </c>
      <c r="CL42" s="2657">
        <f>'Balance Sheet'!BR13</f>
      </c>
      <c r="CM42" s="2657">
        <f>'Balance Sheet'!BS13</f>
      </c>
      <c r="CN42" s="2657">
        <f>'Balance Sheet'!BT13</f>
      </c>
      <c r="CO42" s="2657">
        <f>'Balance Sheet'!BU13</f>
      </c>
      <c r="CP42" s="2657">
        <f>'Balance Sheet'!BV13</f>
      </c>
      <c r="CQ42" s="2657">
        <f>'Balance Sheet'!BW13</f>
      </c>
      <c r="CR42" s="2657">
        <f>'Balance Sheet'!BX13</f>
      </c>
      <c r="CS42" s="2657">
        <f>'Balance Sheet'!BY13</f>
      </c>
      <c r="CT42" s="2657">
        <f>'Balance Sheet'!BZ13</f>
      </c>
      <c r="CU42" s="2657">
        <f>'Balance Sheet'!CA13</f>
      </c>
      <c r="CV42" s="2657">
        <f>'Balance Sheet'!CB13</f>
      </c>
      <c r="CW42" s="2657">
        <f>'Balance Sheet'!CC13</f>
      </c>
      <c r="CX42" s="2657">
        <f>'Balance Sheet'!CD13</f>
      </c>
      <c r="CY42" s="2657">
        <f>'Balance Sheet'!CE13</f>
      </c>
      <c r="CZ42" s="2657">
        <f>'Balance Sheet'!CF13</f>
      </c>
      <c r="DA42" s="2657">
        <f>'Balance Sheet'!CG13</f>
      </c>
      <c r="DB42" s="2657">
        <f>'Balance Sheet'!CH13</f>
      </c>
      <c r="DC42" s="2657">
        <f>'Balance Sheet'!CI13</f>
      </c>
      <c r="DD42" s="2657">
        <f>'Balance Sheet'!CJ13</f>
      </c>
      <c r="DE42" s="2657">
        <f>'Balance Sheet'!CK13</f>
      </c>
      <c r="DF42" s="2657">
        <f>'Balance Sheet'!CL13</f>
      </c>
      <c r="DG42" s="2657">
        <f>'Balance Sheet'!CM13</f>
      </c>
      <c r="DH42" s="2657">
        <f>'Balance Sheet'!CN13</f>
      </c>
      <c r="DI42" s="2657">
        <f>'Balance Sheet'!CO13</f>
      </c>
      <c r="DJ42" s="2657">
        <f>'Balance Sheet'!CP13</f>
      </c>
      <c r="DK42" s="2657">
        <f>'Balance Sheet'!CQ13</f>
      </c>
      <c r="DL42" s="2657">
        <f>'Balance Sheet'!CR13</f>
      </c>
      <c r="DM42" s="2657">
        <f>'Balance Sheet'!CS13</f>
      </c>
      <c r="DN42" s="2657">
        <f>'Balance Sheet'!CT13</f>
      </c>
      <c r="DO42" s="2657">
        <f>'Balance Sheet'!CU13</f>
      </c>
      <c r="DP42" s="2657">
        <f>'Balance Sheet'!CV13</f>
      </c>
      <c r="DQ42" s="2657">
        <f>'Balance Sheet'!CW13</f>
      </c>
      <c r="DR42" s="2657">
        <f>'Balance Sheet'!CX13</f>
      </c>
      <c r="DS42" s="2657">
        <f>'Balance Sheet'!CY13</f>
      </c>
      <c r="DT42" s="2657">
        <f>'Balance Sheet'!CZ13</f>
      </c>
      <c r="DU42" s="2657">
        <f>'Balance Sheet'!DA13</f>
      </c>
      <c r="DV42" s="2657">
        <f>'Balance Sheet'!DB13</f>
      </c>
      <c r="DW42" s="2657">
        <f>'Balance Sheet'!DC13</f>
      </c>
      <c r="DX42" s="2657">
        <f>'Balance Sheet'!DD13</f>
      </c>
      <c r="DY42" s="2657">
        <f>'Balance Sheet'!DE13</f>
      </c>
      <c r="DZ42" s="2657">
        <f>'Balance Sheet'!DF13</f>
      </c>
      <c r="EA42" s="2657">
        <f>'Balance Sheet'!DG13</f>
      </c>
      <c r="EB42" s="2657">
        <f>'Balance Sheet'!DH13</f>
      </c>
      <c r="EC42" s="2657">
        <f>'Balance Sheet'!DI13</f>
      </c>
      <c r="ED42" s="2657">
        <f>'Balance Sheet'!DJ13</f>
      </c>
      <c r="EE42" s="2657">
        <f>'Balance Sheet'!DK13</f>
      </c>
      <c r="EF42" s="2657">
        <f>'Balance Sheet'!DL13</f>
      </c>
      <c r="EG42" s="2657">
        <f>'Balance Sheet'!DM13</f>
      </c>
      <c r="EH42" s="2657">
        <f>'Balance Sheet'!DN13</f>
      </c>
      <c r="EI42" s="2657">
        <f>'Balance Sheet'!DO13</f>
      </c>
      <c r="EJ42" s="2657">
        <f>'Balance Sheet'!DP13</f>
      </c>
      <c r="EK42" s="2657">
        <f>'Balance Sheet'!DQ13</f>
      </c>
      <c r="EL42" s="2657">
        <f>'Balance Sheet'!DR13</f>
      </c>
      <c r="EM42" s="2657">
        <f>'Balance Sheet'!DS13</f>
      </c>
      <c r="EN42" s="2657">
        <f>'Balance Sheet'!DT13</f>
      </c>
      <c r="EO42" s="2657">
        <f>'Balance Sheet'!DU13</f>
      </c>
      <c r="EP42" s="2657">
        <f>'Balance Sheet'!DV13</f>
      </c>
      <c r="EQ42" s="2657">
        <f>'Balance Sheet'!DW13</f>
      </c>
      <c r="ER42" s="2657">
        <f>'Balance Sheet'!DX13</f>
      </c>
      <c r="ES42" s="2657">
        <f>'Balance Sheet'!DY13</f>
      </c>
      <c r="ET42" s="2657">
        <f>'Balance Sheet'!DZ13</f>
      </c>
      <c r="EU42" s="2657">
        <f>'Balance Sheet'!EA13</f>
      </c>
      <c r="EV42" s="2657">
        <f>'Balance Sheet'!EB13</f>
      </c>
      <c r="EW42" s="2657">
        <f>'Balance Sheet'!EC13</f>
      </c>
      <c r="EX42" s="2657">
        <f>'Balance Sheet'!ED13</f>
      </c>
      <c r="EY42" s="2657">
        <f>'Balance Sheet'!EE13</f>
      </c>
      <c r="EZ42" s="2657">
        <f>'Balance Sheet'!EF13</f>
      </c>
      <c r="FA42" s="2657">
        <f>'Balance Sheet'!EG13</f>
      </c>
      <c r="FB42" s="2657">
        <f>'Balance Sheet'!EH13</f>
      </c>
      <c r="FC42" s="2657">
        <f>'Balance Sheet'!EI13</f>
      </c>
      <c r="FD42" s="2657">
        <f>'Balance Sheet'!EJ13</f>
      </c>
      <c r="FE42" s="2657">
        <f>'Balance Sheet'!EK13</f>
      </c>
    </row>
    <row r="43" spans="1:161" outlineLevel="2">
      <c r="B43" t="s">
        <v>295</v>
      </c>
      <c r="C43" t="s">
        <v>296</v>
      </c>
      <c r="D43" t="str">
        <f t="shared" si="10"/>
      </c>
      <c r="F43" s="2657">
        <f>'Balance Sheet'!ER14</f>
      </c>
      <c r="G43" s="2657">
        <f>'Balance Sheet'!ES14</f>
      </c>
      <c r="H43" s="2657">
        <f>'Balance Sheet'!ET14</f>
      </c>
      <c r="I43" s="2657">
        <f>'Balance Sheet'!EU14</f>
      </c>
      <c r="J43" s="2657">
        <f>'Balance Sheet'!EV14</f>
      </c>
      <c r="K43" s="2657">
        <f>'Balance Sheet'!EW14</f>
      </c>
      <c r="L43" s="2657">
        <f>'Balance Sheet'!EX14</f>
      </c>
      <c r="M43" s="2657">
        <f>'Balance Sheet'!EY14</f>
      </c>
      <c r="N43" s="2657">
        <f>'Balance Sheet'!EZ14</f>
      </c>
      <c r="O43" s="2657">
        <f>'Balance Sheet'!FA14</f>
      </c>
      <c r="P43" s="2657">
        <f>'Balance Sheet'!FB14</f>
      </c>
      <c r="Q43" s="2657">
        <f>'Balance Sheet'!FC14</f>
      </c>
      <c r="R43" s="2657">
        <f>'Balance Sheet'!FD14</f>
      </c>
      <c r="S43" s="2657">
        <f>'Balance Sheet'!FE14</f>
      </c>
      <c r="T43" s="2657">
        <f>'Balance Sheet'!FF14</f>
      </c>
      <c r="U43" s="2657">
        <f>'Balance Sheet'!FG14</f>
      </c>
      <c r="V43" s="2657">
        <f>'Balance Sheet'!FH14</f>
      </c>
      <c r="W43" s="2657">
        <f>'Balance Sheet'!FI14</f>
      </c>
      <c r="X43" s="2657">
        <f>'Balance Sheet'!FJ14</f>
      </c>
      <c r="Y43" s="2657">
        <f>'Balance Sheet'!FK14</f>
      </c>
      <c r="Z43" s="2657">
        <f>'Balance Sheet'!FL14</f>
      </c>
      <c r="AA43" s="2657">
        <f>'Balance Sheet'!FM14</f>
      </c>
      <c r="AB43" s="2657">
        <f>'Balance Sheet'!FN14</f>
      </c>
      <c r="AC43" s="2657">
        <f>'Balance Sheet'!FO14</f>
      </c>
      <c r="AD43" s="2657">
        <f>'Balance Sheet'!FP14</f>
      </c>
      <c r="AE43" s="2657">
        <f>'Balance Sheet'!FQ14</f>
      </c>
      <c r="AF43" s="2657">
        <f>'Balance Sheet'!FR14</f>
      </c>
      <c r="AG43" s="2657">
        <f>'Balance Sheet'!FS14</f>
      </c>
      <c r="AH43" s="2657">
        <f>'Balance Sheet'!FT14</f>
      </c>
      <c r="AI43" s="2657">
        <f>'Balance Sheet'!FU14</f>
      </c>
      <c r="AJ43" s="2657">
        <f>'Balance Sheet'!FV14</f>
      </c>
      <c r="AK43" s="2657"/>
      <c r="AL43" s="2657">
        <f>'Balance Sheet'!R14</f>
      </c>
      <c r="AM43" s="2657">
        <f>'Balance Sheet'!S14</f>
      </c>
      <c r="AN43" s="2657">
        <f>'Balance Sheet'!T14</f>
      </c>
      <c r="AO43" s="2657">
        <f>'Balance Sheet'!U14</f>
      </c>
      <c r="AP43" s="2657">
        <f>'Balance Sheet'!V14</f>
      </c>
      <c r="AQ43" s="2657">
        <f>'Balance Sheet'!W14</f>
      </c>
      <c r="AR43" s="2657">
        <f>'Balance Sheet'!X14</f>
      </c>
      <c r="AS43" s="2657">
        <f>'Balance Sheet'!Y14</f>
      </c>
      <c r="AT43" s="2657">
        <f>'Balance Sheet'!Z14</f>
      </c>
      <c r="AU43" s="2657">
        <f>'Balance Sheet'!AA14</f>
      </c>
      <c r="AV43" s="2657">
        <f>'Balance Sheet'!AB14</f>
      </c>
      <c r="AW43" s="2657">
        <f>'Balance Sheet'!AC14</f>
      </c>
      <c r="AX43" s="2657">
        <f>'Balance Sheet'!AD14</f>
      </c>
      <c r="AY43" s="2657">
        <f>'Balance Sheet'!AE14</f>
      </c>
      <c r="AZ43" s="2657">
        <f>'Balance Sheet'!AF14</f>
      </c>
      <c r="BA43" s="2657">
        <f>'Balance Sheet'!AG14</f>
      </c>
      <c r="BB43" s="2657">
        <f>'Balance Sheet'!AH14</f>
      </c>
      <c r="BC43" s="2657">
        <f>'Balance Sheet'!AI14</f>
      </c>
      <c r="BD43" s="2657">
        <f>'Balance Sheet'!AJ14</f>
      </c>
      <c r="BE43" s="2657">
        <f>'Balance Sheet'!AK14</f>
      </c>
      <c r="BF43" s="2657">
        <f>'Balance Sheet'!AL14</f>
      </c>
      <c r="BG43" s="2657">
        <f>'Balance Sheet'!AM14</f>
      </c>
      <c r="BH43" s="2657">
        <f>'Balance Sheet'!AN14</f>
      </c>
      <c r="BI43" s="2657">
        <f>'Balance Sheet'!AO14</f>
      </c>
      <c r="BJ43" s="2657">
        <f>'Balance Sheet'!AP14</f>
      </c>
      <c r="BK43" s="2657">
        <f>'Balance Sheet'!AQ14</f>
      </c>
      <c r="BL43" s="2657">
        <f>'Balance Sheet'!AR14</f>
      </c>
      <c r="BM43" s="2657">
        <f>'Balance Sheet'!AS14</f>
      </c>
      <c r="BN43" s="2657">
        <f>'Balance Sheet'!AT14</f>
      </c>
      <c r="BO43" s="2657">
        <f>'Balance Sheet'!AU14</f>
      </c>
      <c r="BP43" s="2657">
        <f>'Balance Sheet'!AV14</f>
      </c>
      <c r="BQ43" s="2657">
        <f>'Balance Sheet'!AW14</f>
      </c>
      <c r="BR43" s="2657">
        <f>'Balance Sheet'!AX14</f>
      </c>
      <c r="BS43" s="2657">
        <f>'Balance Sheet'!AY14</f>
      </c>
      <c r="BT43" s="2657">
        <f>'Balance Sheet'!AZ14</f>
      </c>
      <c r="BU43" s="2657">
        <f>'Balance Sheet'!BA14</f>
      </c>
      <c r="BV43" s="2657">
        <f>'Balance Sheet'!BB14</f>
      </c>
      <c r="BW43" s="2657">
        <f>'Balance Sheet'!BC14</f>
      </c>
      <c r="BX43" s="2657">
        <f>'Balance Sheet'!BD14</f>
      </c>
      <c r="BY43" s="2657">
        <f>'Balance Sheet'!BE14</f>
      </c>
      <c r="BZ43" s="2657">
        <f>'Balance Sheet'!BF14</f>
      </c>
      <c r="CA43" s="2657">
        <f>'Balance Sheet'!BG14</f>
      </c>
      <c r="CB43" s="2657">
        <f>'Balance Sheet'!BH14</f>
      </c>
      <c r="CC43" s="2657">
        <f>'Balance Sheet'!BI14</f>
      </c>
      <c r="CD43" s="2657">
        <f>'Balance Sheet'!BJ14</f>
      </c>
      <c r="CE43" s="2657">
        <f>'Balance Sheet'!BK14</f>
      </c>
      <c r="CF43" s="2657">
        <f>'Balance Sheet'!BL14</f>
      </c>
      <c r="CG43" s="2657">
        <f>'Balance Sheet'!BM14</f>
      </c>
      <c r="CH43" s="2657">
        <f>'Balance Sheet'!BN14</f>
      </c>
      <c r="CI43" s="2657">
        <f>'Balance Sheet'!BO14</f>
      </c>
      <c r="CJ43" s="2657">
        <f>'Balance Sheet'!BP14</f>
      </c>
      <c r="CK43" s="2657">
        <f>'Balance Sheet'!BQ14</f>
      </c>
      <c r="CL43" s="2657">
        <f>'Balance Sheet'!BR14</f>
      </c>
      <c r="CM43" s="2657">
        <f>'Balance Sheet'!BS14</f>
      </c>
      <c r="CN43" s="2657">
        <f>'Balance Sheet'!BT14</f>
      </c>
      <c r="CO43" s="2657">
        <f>'Balance Sheet'!BU14</f>
      </c>
      <c r="CP43" s="2657">
        <f>'Balance Sheet'!BV14</f>
      </c>
      <c r="CQ43" s="2657">
        <f>'Balance Sheet'!BW14</f>
      </c>
      <c r="CR43" s="2657">
        <f>'Balance Sheet'!BX14</f>
      </c>
      <c r="CS43" s="2657">
        <f>'Balance Sheet'!BY14</f>
      </c>
      <c r="CT43" s="2657">
        <f>'Balance Sheet'!BZ14</f>
      </c>
      <c r="CU43" s="2657">
        <f>'Balance Sheet'!CA14</f>
      </c>
      <c r="CV43" s="2657">
        <f>'Balance Sheet'!CB14</f>
      </c>
      <c r="CW43" s="2657">
        <f>'Balance Sheet'!CC14</f>
      </c>
      <c r="CX43" s="2657">
        <f>'Balance Sheet'!CD14</f>
      </c>
      <c r="CY43" s="2657">
        <f>'Balance Sheet'!CE14</f>
      </c>
      <c r="CZ43" s="2657">
        <f>'Balance Sheet'!CF14</f>
      </c>
      <c r="DA43" s="2657">
        <f>'Balance Sheet'!CG14</f>
      </c>
      <c r="DB43" s="2657">
        <f>'Balance Sheet'!CH14</f>
      </c>
      <c r="DC43" s="2657">
        <f>'Balance Sheet'!CI14</f>
      </c>
      <c r="DD43" s="2657">
        <f>'Balance Sheet'!CJ14</f>
      </c>
      <c r="DE43" s="2657">
        <f>'Balance Sheet'!CK14</f>
      </c>
      <c r="DF43" s="2657">
        <f>'Balance Sheet'!CL14</f>
      </c>
      <c r="DG43" s="2657">
        <f>'Balance Sheet'!CM14</f>
      </c>
      <c r="DH43" s="2657">
        <f>'Balance Sheet'!CN14</f>
      </c>
      <c r="DI43" s="2657">
        <f>'Balance Sheet'!CO14</f>
      </c>
      <c r="DJ43" s="2657">
        <f>'Balance Sheet'!CP14</f>
      </c>
      <c r="DK43" s="2657">
        <f>'Balance Sheet'!CQ14</f>
      </c>
      <c r="DL43" s="2657">
        <f>'Balance Sheet'!CR14</f>
      </c>
      <c r="DM43" s="2657">
        <f>'Balance Sheet'!CS14</f>
      </c>
      <c r="DN43" s="2657">
        <f>'Balance Sheet'!CT14</f>
      </c>
      <c r="DO43" s="2657">
        <f>'Balance Sheet'!CU14</f>
      </c>
      <c r="DP43" s="2657">
        <f>'Balance Sheet'!CV14</f>
      </c>
      <c r="DQ43" s="2657">
        <f>'Balance Sheet'!CW14</f>
      </c>
      <c r="DR43" s="2657">
        <f>'Balance Sheet'!CX14</f>
      </c>
      <c r="DS43" s="2657">
        <f>'Balance Sheet'!CY14</f>
      </c>
      <c r="DT43" s="2657">
        <f>'Balance Sheet'!CZ14</f>
      </c>
      <c r="DU43" s="2657">
        <f>'Balance Sheet'!DA14</f>
      </c>
      <c r="DV43" s="2657">
        <f>'Balance Sheet'!DB14</f>
      </c>
      <c r="DW43" s="2657">
        <f>'Balance Sheet'!DC14</f>
      </c>
      <c r="DX43" s="2657">
        <f>'Balance Sheet'!DD14</f>
      </c>
      <c r="DY43" s="2657">
        <f>'Balance Sheet'!DE14</f>
      </c>
      <c r="DZ43" s="2657">
        <f>'Balance Sheet'!DF14</f>
      </c>
      <c r="EA43" s="2657">
        <f>'Balance Sheet'!DG14</f>
      </c>
      <c r="EB43" s="2657">
        <f>'Balance Sheet'!DH14</f>
      </c>
      <c r="EC43" s="2657">
        <f>'Balance Sheet'!DI14</f>
      </c>
      <c r="ED43" s="2657">
        <f>'Balance Sheet'!DJ14</f>
      </c>
      <c r="EE43" s="2657">
        <f>'Balance Sheet'!DK14</f>
      </c>
      <c r="EF43" s="2657">
        <f>'Balance Sheet'!DL14</f>
      </c>
      <c r="EG43" s="2657">
        <f>'Balance Sheet'!DM14</f>
      </c>
      <c r="EH43" s="2657">
        <f>'Balance Sheet'!DN14</f>
      </c>
      <c r="EI43" s="2657">
        <f>'Balance Sheet'!DO14</f>
      </c>
      <c r="EJ43" s="2657">
        <f>'Balance Sheet'!DP14</f>
      </c>
      <c r="EK43" s="2657">
        <f>'Balance Sheet'!DQ14</f>
      </c>
      <c r="EL43" s="2657">
        <f>'Balance Sheet'!DR14</f>
      </c>
      <c r="EM43" s="2657">
        <f>'Balance Sheet'!DS14</f>
      </c>
      <c r="EN43" s="2657">
        <f>'Balance Sheet'!DT14</f>
      </c>
      <c r="EO43" s="2657">
        <f>'Balance Sheet'!DU14</f>
      </c>
      <c r="EP43" s="2657">
        <f>'Balance Sheet'!DV14</f>
      </c>
      <c r="EQ43" s="2657">
        <f>'Balance Sheet'!DW14</f>
      </c>
      <c r="ER43" s="2657">
        <f>'Balance Sheet'!DX14</f>
      </c>
      <c r="ES43" s="2657">
        <f>'Balance Sheet'!DY14</f>
      </c>
      <c r="ET43" s="2657">
        <f>'Balance Sheet'!DZ14</f>
      </c>
      <c r="EU43" s="2657">
        <f>'Balance Sheet'!EA14</f>
      </c>
      <c r="EV43" s="2657">
        <f>'Balance Sheet'!EB14</f>
      </c>
      <c r="EW43" s="2657">
        <f>'Balance Sheet'!EC14</f>
      </c>
      <c r="EX43" s="2657">
        <f>'Balance Sheet'!ED14</f>
      </c>
      <c r="EY43" s="2657">
        <f>'Balance Sheet'!EE14</f>
      </c>
      <c r="EZ43" s="2657">
        <f>'Balance Sheet'!EF14</f>
      </c>
      <c r="FA43" s="2657">
        <f>'Balance Sheet'!EG14</f>
      </c>
      <c r="FB43" s="2657">
        <f>'Balance Sheet'!EH14</f>
      </c>
      <c r="FC43" s="2657">
        <f>'Balance Sheet'!EI14</f>
      </c>
      <c r="FD43" s="2657">
        <f>'Balance Sheet'!EJ14</f>
      </c>
      <c r="FE43" s="2657">
        <f>'Balance Sheet'!EK14</f>
      </c>
    </row>
    <row r="44" spans="1:161" outlineLevel="2">
      <c r="B44" t="s">
        <v>106</v>
      </c>
      <c r="C44" t="s">
        <v>297</v>
      </c>
      <c r="D44" t="str">
        <f t="shared" si="10"/>
      </c>
      <c r="F44" s="2657">
        <f>'Balance Sheet'!ER17+'Balance Sheet'!ER16+'Balance Sheet'!ER15+'Balance Sheet'!ER12</f>
      </c>
      <c r="G44" s="2657">
        <f>'Balance Sheet'!ES17+'Balance Sheet'!ES16+'Balance Sheet'!ES15+'Balance Sheet'!ES12</f>
      </c>
      <c r="H44" s="2657">
        <f>'Balance Sheet'!ET17+'Balance Sheet'!ET16+'Balance Sheet'!ET15+'Balance Sheet'!ET12</f>
      </c>
      <c r="I44" s="2657">
        <f>'Balance Sheet'!EU17+'Balance Sheet'!EU16+'Balance Sheet'!EU15+'Balance Sheet'!EU12</f>
      </c>
      <c r="J44" s="2657">
        <f>'Balance Sheet'!EV17+'Balance Sheet'!EV16+'Balance Sheet'!EV15+'Balance Sheet'!EV12</f>
      </c>
      <c r="K44" s="2657">
        <f>'Balance Sheet'!EW17+'Balance Sheet'!EW16+'Balance Sheet'!EW15+'Balance Sheet'!EW12</f>
      </c>
      <c r="L44" s="2657">
        <f>'Balance Sheet'!EX17+'Balance Sheet'!EX16+'Balance Sheet'!EX15+'Balance Sheet'!EX12</f>
      </c>
      <c r="M44" s="2657">
        <f>'Balance Sheet'!EY17+'Balance Sheet'!EY16+'Balance Sheet'!EY15+'Balance Sheet'!EY12</f>
      </c>
      <c r="N44" s="2657">
        <f>'Balance Sheet'!EZ17+'Balance Sheet'!EZ16+'Balance Sheet'!EZ15+'Balance Sheet'!EZ12</f>
      </c>
      <c r="O44" s="2657">
        <f>'Balance Sheet'!FA17+'Balance Sheet'!FA16+'Balance Sheet'!FA15+'Balance Sheet'!FA12</f>
      </c>
      <c r="P44" s="2657">
        <f>'Balance Sheet'!FB17+'Balance Sheet'!FB16+'Balance Sheet'!FB15+'Balance Sheet'!FB12</f>
      </c>
      <c r="Q44" s="2657">
        <f>'Balance Sheet'!FC17+'Balance Sheet'!FC16+'Balance Sheet'!FC15+'Balance Sheet'!FC12</f>
      </c>
      <c r="R44" s="2657">
        <f>'Balance Sheet'!FD17+'Balance Sheet'!FD16+'Balance Sheet'!FD15+'Balance Sheet'!FD12</f>
      </c>
      <c r="S44" s="2657">
        <f>'Balance Sheet'!FE17+'Balance Sheet'!FE16+'Balance Sheet'!FE15+'Balance Sheet'!FE12</f>
      </c>
      <c r="T44" s="2657">
        <f>'Balance Sheet'!FF17+'Balance Sheet'!FF16+'Balance Sheet'!FF15+'Balance Sheet'!FF12</f>
      </c>
      <c r="U44" s="2657">
        <f>'Balance Sheet'!FG17+'Balance Sheet'!FG16+'Balance Sheet'!FG15+'Balance Sheet'!FG12</f>
      </c>
      <c r="V44" s="2657">
        <f>'Balance Sheet'!FH17+'Balance Sheet'!FH16+'Balance Sheet'!FH15+'Balance Sheet'!FH12</f>
      </c>
      <c r="W44" s="2657">
        <f>'Balance Sheet'!FI17+'Balance Sheet'!FI16+'Balance Sheet'!FI15+'Balance Sheet'!FI12</f>
      </c>
      <c r="X44" s="2657">
        <f>'Balance Sheet'!FJ17+'Balance Sheet'!FJ16+'Balance Sheet'!FJ15+'Balance Sheet'!FJ12</f>
      </c>
      <c r="Y44" s="2657">
        <f>'Balance Sheet'!FK17+'Balance Sheet'!FK16+'Balance Sheet'!FK15+'Balance Sheet'!FK12</f>
      </c>
      <c r="Z44" s="2657">
        <f>'Balance Sheet'!FL17+'Balance Sheet'!FL16+'Balance Sheet'!FL15+'Balance Sheet'!FL12</f>
      </c>
      <c r="AA44" s="2657">
        <f>'Balance Sheet'!FM17+'Balance Sheet'!FM16+'Balance Sheet'!FM15+'Balance Sheet'!FM12</f>
      </c>
      <c r="AB44" s="2657">
        <f>'Balance Sheet'!FN17+'Balance Sheet'!FN16+'Balance Sheet'!FN15+'Balance Sheet'!FN12</f>
      </c>
      <c r="AC44" s="2657">
        <f>'Balance Sheet'!FO17+'Balance Sheet'!FO16+'Balance Sheet'!FO15+'Balance Sheet'!FO12</f>
      </c>
      <c r="AD44" s="2657">
        <f>'Balance Sheet'!FP17+'Balance Sheet'!FP16+'Balance Sheet'!FP15+'Balance Sheet'!FP12</f>
      </c>
      <c r="AE44" s="2657">
        <f>'Balance Sheet'!FQ17+'Balance Sheet'!FQ16+'Balance Sheet'!FQ15+'Balance Sheet'!FQ12</f>
      </c>
      <c r="AF44" s="2657">
        <f>'Balance Sheet'!FR17+'Balance Sheet'!FR16+'Balance Sheet'!FR15+'Balance Sheet'!FR12</f>
      </c>
      <c r="AG44" s="2657">
        <f>'Balance Sheet'!FS17+'Balance Sheet'!FS16+'Balance Sheet'!FS15+'Balance Sheet'!FS12</f>
      </c>
      <c r="AH44" s="2657">
        <f>'Balance Sheet'!FT17+'Balance Sheet'!FT16+'Balance Sheet'!FT15+'Balance Sheet'!FT12</f>
      </c>
      <c r="AI44" s="2657">
        <f>'Balance Sheet'!FU17+'Balance Sheet'!FU16+'Balance Sheet'!FU15+'Balance Sheet'!FU12</f>
      </c>
      <c r="AJ44" s="2657">
        <f>'Balance Sheet'!FV17+'Balance Sheet'!FV16+'Balance Sheet'!FV15+'Balance Sheet'!FV12</f>
      </c>
      <c r="AK44" s="2657" t="s">
        <v>1659</v>
      </c>
      <c r="AL44" s="2657">
        <f>'Balance Sheet'!R17+'Balance Sheet'!R16+'Balance Sheet'!R15+'Balance Sheet'!R12</f>
      </c>
      <c r="AM44" s="2657">
        <f>'Balance Sheet'!S17+'Balance Sheet'!S16+'Balance Sheet'!S15+'Balance Sheet'!S12</f>
      </c>
      <c r="AN44" s="2657">
        <f>'Balance Sheet'!T17+'Balance Sheet'!T16+'Balance Sheet'!T15+'Balance Sheet'!T12</f>
      </c>
      <c r="AO44" s="2657">
        <f>'Balance Sheet'!U17+'Balance Sheet'!U16+'Balance Sheet'!U15+'Balance Sheet'!U12</f>
      </c>
      <c r="AP44" s="2657">
        <f>'Balance Sheet'!V17+'Balance Sheet'!V16+'Balance Sheet'!V15+'Balance Sheet'!V12</f>
      </c>
      <c r="AQ44" s="2657">
        <f>'Balance Sheet'!W17+'Balance Sheet'!W16+'Balance Sheet'!W15+'Balance Sheet'!W12</f>
      </c>
      <c r="AR44" s="2657">
        <f>'Balance Sheet'!X17+'Balance Sheet'!X16+'Balance Sheet'!X15+'Balance Sheet'!X12</f>
      </c>
      <c r="AS44" s="2657">
        <f>'Balance Sheet'!Y17+'Balance Sheet'!Y16+'Balance Sheet'!Y15+'Balance Sheet'!Y12</f>
      </c>
      <c r="AT44" s="2657">
        <f>'Balance Sheet'!Z17+'Balance Sheet'!Z16+'Balance Sheet'!Z15+'Balance Sheet'!Z12</f>
      </c>
      <c r="AU44" s="2657">
        <f>'Balance Sheet'!AA17+'Balance Sheet'!AA16+'Balance Sheet'!AA15+'Balance Sheet'!AA12</f>
      </c>
      <c r="AV44" s="2657">
        <f>'Balance Sheet'!AB17+'Balance Sheet'!AB16+'Balance Sheet'!AB15+'Balance Sheet'!AB12</f>
      </c>
      <c r="AW44" s="2657">
        <f>'Balance Sheet'!AC17+'Balance Sheet'!AC16+'Balance Sheet'!AC15+'Balance Sheet'!AC12</f>
      </c>
      <c r="AX44" s="2657">
        <f>'Balance Sheet'!AD17+'Balance Sheet'!AD16+'Balance Sheet'!AD15+'Balance Sheet'!AD12</f>
      </c>
      <c r="AY44" s="2657">
        <f>'Balance Sheet'!AE17+'Balance Sheet'!AE16+'Balance Sheet'!AE15+'Balance Sheet'!AE12</f>
      </c>
      <c r="AZ44" s="2657">
        <f>'Balance Sheet'!AF17+'Balance Sheet'!AF16+'Balance Sheet'!AF15+'Balance Sheet'!AF12</f>
      </c>
      <c r="BA44" s="2657">
        <f>'Balance Sheet'!AG17+'Balance Sheet'!AG16+'Balance Sheet'!AG15+'Balance Sheet'!AG12</f>
      </c>
      <c r="BB44" s="2657">
        <f>'Balance Sheet'!AH17+'Balance Sheet'!AH16+'Balance Sheet'!AH15+'Balance Sheet'!AH12</f>
      </c>
      <c r="BC44" s="2657">
        <f>'Balance Sheet'!AI17+'Balance Sheet'!AI16+'Balance Sheet'!AI15+'Balance Sheet'!AI12</f>
      </c>
      <c r="BD44" s="2657">
        <f>'Balance Sheet'!AJ17+'Balance Sheet'!AJ16+'Balance Sheet'!AJ15+'Balance Sheet'!AJ12</f>
      </c>
      <c r="BE44" s="2657">
        <f>'Balance Sheet'!AK17+'Balance Sheet'!AK16+'Balance Sheet'!AK15+'Balance Sheet'!AK12</f>
      </c>
      <c r="BF44" s="2657">
        <f>'Balance Sheet'!AL17+'Balance Sheet'!AL16+'Balance Sheet'!AL15+'Balance Sheet'!AL12</f>
      </c>
      <c r="BG44" s="2657">
        <f>'Balance Sheet'!AM17+'Balance Sheet'!AM16+'Balance Sheet'!AM15+'Balance Sheet'!AM12</f>
      </c>
      <c r="BH44" s="2657">
        <f>'Balance Sheet'!AN17+'Balance Sheet'!AN16+'Balance Sheet'!AN15+'Balance Sheet'!AN12</f>
      </c>
      <c r="BI44" s="2657">
        <f>'Balance Sheet'!AO17+'Balance Sheet'!AO16+'Balance Sheet'!AO15+'Balance Sheet'!AO12</f>
      </c>
      <c r="BJ44" s="2657">
        <f>'Balance Sheet'!AP17+'Balance Sheet'!AP16+'Balance Sheet'!AP15+'Balance Sheet'!AP12</f>
      </c>
      <c r="BK44" s="2657">
        <f>'Balance Sheet'!AQ17+'Balance Sheet'!AQ16+'Balance Sheet'!AQ15+'Balance Sheet'!AQ12</f>
      </c>
      <c r="BL44" s="2657">
        <f>'Balance Sheet'!AR17+'Balance Sheet'!AR16+'Balance Sheet'!AR15+'Balance Sheet'!AR12</f>
      </c>
      <c r="BM44" s="2657">
        <f>'Balance Sheet'!AS17+'Balance Sheet'!AS16+'Balance Sheet'!AS15+'Balance Sheet'!AS12</f>
      </c>
      <c r="BN44" s="2657">
        <f>'Balance Sheet'!AT17+'Balance Sheet'!AT16+'Balance Sheet'!AT15+'Balance Sheet'!AT12</f>
      </c>
      <c r="BO44" s="2657">
        <f>'Balance Sheet'!AU17+'Balance Sheet'!AU16+'Balance Sheet'!AU15+'Balance Sheet'!AU12</f>
      </c>
      <c r="BP44" s="2657">
        <f>'Balance Sheet'!AV17+'Balance Sheet'!AV16+'Balance Sheet'!AV15+'Balance Sheet'!AV12</f>
      </c>
      <c r="BQ44" s="2657">
        <f>'Balance Sheet'!AW17+'Balance Sheet'!AW16+'Balance Sheet'!AW15+'Balance Sheet'!AW12</f>
      </c>
      <c r="BR44" s="2657">
        <f>'Balance Sheet'!AX17+'Balance Sheet'!AX16+'Balance Sheet'!AX15+'Balance Sheet'!AX12</f>
      </c>
      <c r="BS44" s="2657">
        <f>'Balance Sheet'!AY17+'Balance Sheet'!AY16+'Balance Sheet'!AY15+'Balance Sheet'!AY12</f>
      </c>
      <c r="BT44" s="2657">
        <f>'Balance Sheet'!AZ17+'Balance Sheet'!AZ16+'Balance Sheet'!AZ15+'Balance Sheet'!AZ12</f>
      </c>
      <c r="BU44" s="2657">
        <f>'Balance Sheet'!BA17+'Balance Sheet'!BA16+'Balance Sheet'!BA15+'Balance Sheet'!BA12</f>
      </c>
      <c r="BV44" s="2657">
        <f>'Balance Sheet'!BB17+'Balance Sheet'!BB16+'Balance Sheet'!BB15+'Balance Sheet'!BB12</f>
      </c>
      <c r="BW44" s="2657">
        <f>'Balance Sheet'!BC17+'Balance Sheet'!BC16+'Balance Sheet'!BC15+'Balance Sheet'!BC12</f>
      </c>
      <c r="BX44" s="2657">
        <f>'Balance Sheet'!BD17+'Balance Sheet'!BD16+'Balance Sheet'!BD15+'Balance Sheet'!BD12</f>
      </c>
      <c r="BY44" s="2657">
        <f>'Balance Sheet'!BE17+'Balance Sheet'!BE16+'Balance Sheet'!BE15+'Balance Sheet'!BE12</f>
      </c>
      <c r="BZ44" s="2657">
        <f>'Balance Sheet'!BF17+'Balance Sheet'!BF16+'Balance Sheet'!BF15+'Balance Sheet'!BF12</f>
      </c>
      <c r="CA44" s="2657">
        <f>'Balance Sheet'!BG17+'Balance Sheet'!BG16+'Balance Sheet'!BG15+'Balance Sheet'!BG12</f>
      </c>
      <c r="CB44" s="2657">
        <f>'Balance Sheet'!BH17+'Balance Sheet'!BH16+'Balance Sheet'!BH15+'Balance Sheet'!BH12</f>
      </c>
      <c r="CC44" s="2657">
        <f>'Balance Sheet'!BI17+'Balance Sheet'!BI16+'Balance Sheet'!BI15+'Balance Sheet'!BI12</f>
      </c>
      <c r="CD44" s="2657">
        <f>'Balance Sheet'!BJ17+'Balance Sheet'!BJ16+'Balance Sheet'!BJ15+'Balance Sheet'!BJ12</f>
      </c>
      <c r="CE44" s="2657">
        <f>'Balance Sheet'!BK17+'Balance Sheet'!BK16+'Balance Sheet'!BK15+'Balance Sheet'!BK12</f>
      </c>
      <c r="CF44" s="2657">
        <f>'Balance Sheet'!BL17+'Balance Sheet'!BL16+'Balance Sheet'!BL15+'Balance Sheet'!BL12</f>
      </c>
      <c r="CG44" s="2657">
        <f>'Balance Sheet'!BM17+'Balance Sheet'!BM16+'Balance Sheet'!BM15+'Balance Sheet'!BM12</f>
      </c>
      <c r="CH44" s="2657">
        <f>'Balance Sheet'!BN17+'Balance Sheet'!BN16+'Balance Sheet'!BN15+'Balance Sheet'!BN12</f>
      </c>
      <c r="CI44" s="2657">
        <f>'Balance Sheet'!BO17+'Balance Sheet'!BO16+'Balance Sheet'!BO15+'Balance Sheet'!BO12</f>
      </c>
      <c r="CJ44" s="2657">
        <f>'Balance Sheet'!BP17+'Balance Sheet'!BP16+'Balance Sheet'!BP15+'Balance Sheet'!BP12</f>
      </c>
      <c r="CK44" s="2657">
        <f>'Balance Sheet'!BQ17+'Balance Sheet'!BQ16+'Balance Sheet'!BQ15+'Balance Sheet'!BQ12</f>
      </c>
      <c r="CL44" s="2657">
        <f>'Balance Sheet'!BR17+'Balance Sheet'!BR16+'Balance Sheet'!BR15+'Balance Sheet'!BR12</f>
      </c>
      <c r="CM44" s="2657">
        <f>'Balance Sheet'!BS17+'Balance Sheet'!BS16+'Balance Sheet'!BS15+'Balance Sheet'!BS12</f>
      </c>
      <c r="CN44" s="2657">
        <f>'Balance Sheet'!BT17+'Balance Sheet'!BT16+'Balance Sheet'!BT15+'Balance Sheet'!BT12</f>
      </c>
      <c r="CO44" s="2657">
        <f>'Balance Sheet'!BU17+'Balance Sheet'!BU16+'Balance Sheet'!BU15+'Balance Sheet'!BU12</f>
      </c>
      <c r="CP44" s="2657">
        <f>'Balance Sheet'!BV17+'Balance Sheet'!BV16+'Balance Sheet'!BV15+'Balance Sheet'!BV12</f>
      </c>
      <c r="CQ44" s="2657">
        <f>'Balance Sheet'!BW17+'Balance Sheet'!BW16+'Balance Sheet'!BW15+'Balance Sheet'!BW12</f>
      </c>
      <c r="CR44" s="2657">
        <f>'Balance Sheet'!BX17+'Balance Sheet'!BX16+'Balance Sheet'!BX15+'Balance Sheet'!BX12</f>
      </c>
      <c r="CS44" s="2657">
        <f>'Balance Sheet'!BY17+'Balance Sheet'!BY16+'Balance Sheet'!BY15+'Balance Sheet'!BY12</f>
      </c>
      <c r="CT44" s="2657">
        <f>'Balance Sheet'!BZ17+'Balance Sheet'!BZ16+'Balance Sheet'!BZ15+'Balance Sheet'!BZ12</f>
      </c>
      <c r="CU44" s="2657">
        <f>'Balance Sheet'!CA17+'Balance Sheet'!CA16+'Balance Sheet'!CA15+'Balance Sheet'!CA12</f>
      </c>
      <c r="CV44" s="2657">
        <f>'Balance Sheet'!CB17+'Balance Sheet'!CB16+'Balance Sheet'!CB15+'Balance Sheet'!CB12</f>
      </c>
      <c r="CW44" s="2657">
        <f>'Balance Sheet'!CC17+'Balance Sheet'!CC16+'Balance Sheet'!CC15+'Balance Sheet'!CC12</f>
      </c>
      <c r="CX44" s="2657">
        <f>'Balance Sheet'!CD17+'Balance Sheet'!CD16+'Balance Sheet'!CD15+'Balance Sheet'!CD12</f>
      </c>
      <c r="CY44" s="2657">
        <f>'Balance Sheet'!CE17+'Balance Sheet'!CE16+'Balance Sheet'!CE15+'Balance Sheet'!CE12</f>
      </c>
      <c r="CZ44" s="2657">
        <f>'Balance Sheet'!CF17+'Balance Sheet'!CF16+'Balance Sheet'!CF15+'Balance Sheet'!CF12</f>
      </c>
      <c r="DA44" s="2657">
        <f>'Balance Sheet'!CG17+'Balance Sheet'!CG16+'Balance Sheet'!CG15+'Balance Sheet'!CG12</f>
      </c>
      <c r="DB44" s="2657">
        <f>'Balance Sheet'!CH17+'Balance Sheet'!CH16+'Balance Sheet'!CH15+'Balance Sheet'!CH12</f>
      </c>
      <c r="DC44" s="2657">
        <f>'Balance Sheet'!CI17+'Balance Sheet'!CI16+'Balance Sheet'!CI15+'Balance Sheet'!CI12</f>
      </c>
      <c r="DD44" s="2657">
        <f>'Balance Sheet'!CJ17+'Balance Sheet'!CJ16+'Balance Sheet'!CJ15+'Balance Sheet'!CJ12</f>
      </c>
      <c r="DE44" s="2657">
        <f>'Balance Sheet'!CK17+'Balance Sheet'!CK16+'Balance Sheet'!CK15+'Balance Sheet'!CK12</f>
      </c>
      <c r="DF44" s="2657">
        <f>'Balance Sheet'!CL17+'Balance Sheet'!CL16+'Balance Sheet'!CL15+'Balance Sheet'!CL12</f>
      </c>
      <c r="DG44" s="2657">
        <f>'Balance Sheet'!CM17+'Balance Sheet'!CM16+'Balance Sheet'!CM15+'Balance Sheet'!CM12</f>
      </c>
      <c r="DH44" s="2657">
        <f>'Balance Sheet'!CN17+'Balance Sheet'!CN16+'Balance Sheet'!CN15+'Balance Sheet'!CN12</f>
      </c>
      <c r="DI44" s="2657">
        <f>'Balance Sheet'!CO17+'Balance Sheet'!CO16+'Balance Sheet'!CO15+'Balance Sheet'!CO12</f>
      </c>
      <c r="DJ44" s="2657">
        <f>'Balance Sheet'!CP17+'Balance Sheet'!CP16+'Balance Sheet'!CP15+'Balance Sheet'!CP12</f>
      </c>
      <c r="DK44" s="2657">
        <f>'Balance Sheet'!CQ17+'Balance Sheet'!CQ16+'Balance Sheet'!CQ15+'Balance Sheet'!CQ12</f>
      </c>
      <c r="DL44" s="2657">
        <f>'Balance Sheet'!CR17+'Balance Sheet'!CR16+'Balance Sheet'!CR15+'Balance Sheet'!CR12</f>
      </c>
      <c r="DM44" s="2657">
        <f>'Balance Sheet'!CS17+'Balance Sheet'!CS16+'Balance Sheet'!CS15+'Balance Sheet'!CS12</f>
      </c>
      <c r="DN44" s="2657">
        <f>'Balance Sheet'!CT17+'Balance Sheet'!CT16+'Balance Sheet'!CT15+'Balance Sheet'!CT12</f>
      </c>
      <c r="DO44" s="2657">
        <f>'Balance Sheet'!CU17+'Balance Sheet'!CU16+'Balance Sheet'!CU15+'Balance Sheet'!CU12</f>
      </c>
      <c r="DP44" s="2657">
        <f>'Balance Sheet'!CV17+'Balance Sheet'!CV16+'Balance Sheet'!CV15+'Balance Sheet'!CV12</f>
      </c>
      <c r="DQ44" s="2657">
        <f>'Balance Sheet'!CW17+'Balance Sheet'!CW16+'Balance Sheet'!CW15+'Balance Sheet'!CW12</f>
      </c>
      <c r="DR44" s="2657">
        <f>'Balance Sheet'!CX17+'Balance Sheet'!CX16+'Balance Sheet'!CX15+'Balance Sheet'!CX12</f>
      </c>
      <c r="DS44" s="2657">
        <f>'Balance Sheet'!CY17+'Balance Sheet'!CY16+'Balance Sheet'!CY15+'Balance Sheet'!CY12</f>
      </c>
      <c r="DT44" s="2657">
        <f>'Balance Sheet'!CZ17+'Balance Sheet'!CZ16+'Balance Sheet'!CZ15+'Balance Sheet'!CZ12</f>
      </c>
      <c r="DU44" s="2657">
        <f>'Balance Sheet'!DA17+'Balance Sheet'!DA16+'Balance Sheet'!DA15+'Balance Sheet'!DA12</f>
      </c>
      <c r="DV44" s="2657">
        <f>'Balance Sheet'!DB17+'Balance Sheet'!DB16+'Balance Sheet'!DB15+'Balance Sheet'!DB12</f>
      </c>
      <c r="DW44" s="2657">
        <f>'Balance Sheet'!DC17+'Balance Sheet'!DC16+'Balance Sheet'!DC15+'Balance Sheet'!DC12</f>
      </c>
      <c r="DX44" s="2657">
        <f>'Balance Sheet'!DD17+'Balance Sheet'!DD16+'Balance Sheet'!DD15+'Balance Sheet'!DD12</f>
      </c>
      <c r="DY44" s="2657">
        <f>'Balance Sheet'!DE17+'Balance Sheet'!DE16+'Balance Sheet'!DE15+'Balance Sheet'!DE12</f>
      </c>
      <c r="DZ44" s="2657">
        <f>'Balance Sheet'!DF17+'Balance Sheet'!DF16+'Balance Sheet'!DF15+'Balance Sheet'!DF12</f>
      </c>
      <c r="EA44" s="2657">
        <f>'Balance Sheet'!DG17+'Balance Sheet'!DG16+'Balance Sheet'!DG15+'Balance Sheet'!DG12</f>
      </c>
      <c r="EB44" s="2657">
        <f>'Balance Sheet'!DH17+'Balance Sheet'!DH16+'Balance Sheet'!DH15+'Balance Sheet'!DH12</f>
      </c>
      <c r="EC44" s="2657">
        <f>'Balance Sheet'!DI17+'Balance Sheet'!DI16+'Balance Sheet'!DI15+'Balance Sheet'!DI12</f>
      </c>
      <c r="ED44" s="2657">
        <f>'Balance Sheet'!DJ17+'Balance Sheet'!DJ16+'Balance Sheet'!DJ15+'Balance Sheet'!DJ12</f>
      </c>
      <c r="EE44" s="2657">
        <f>'Balance Sheet'!DK17+'Balance Sheet'!DK16+'Balance Sheet'!DK15+'Balance Sheet'!DK12</f>
      </c>
      <c r="EF44" s="2657">
        <f>'Balance Sheet'!DL17+'Balance Sheet'!DL16+'Balance Sheet'!DL15+'Balance Sheet'!DL12</f>
      </c>
      <c r="EG44" s="2657">
        <f>'Balance Sheet'!DM17+'Balance Sheet'!DM16+'Balance Sheet'!DM15+'Balance Sheet'!DM12</f>
      </c>
      <c r="EH44" s="2657">
        <f>'Balance Sheet'!DN17+'Balance Sheet'!DN16+'Balance Sheet'!DN15+'Balance Sheet'!DN12</f>
      </c>
      <c r="EI44" s="2657">
        <f>'Balance Sheet'!DO17+'Balance Sheet'!DO16+'Balance Sheet'!DO15+'Balance Sheet'!DO12</f>
      </c>
      <c r="EJ44" s="2657">
        <f>'Balance Sheet'!DP17+'Balance Sheet'!DP16+'Balance Sheet'!DP15+'Balance Sheet'!DP12</f>
      </c>
      <c r="EK44" s="2657">
        <f>'Balance Sheet'!DQ17+'Balance Sheet'!DQ16+'Balance Sheet'!DQ15+'Balance Sheet'!DQ12</f>
      </c>
      <c r="EL44" s="2657">
        <f>'Balance Sheet'!DR17+'Balance Sheet'!DR16+'Balance Sheet'!DR15+'Balance Sheet'!DR12</f>
      </c>
      <c r="EM44" s="2657">
        <f>'Balance Sheet'!DS17+'Balance Sheet'!DS16+'Balance Sheet'!DS15+'Balance Sheet'!DS12</f>
      </c>
      <c r="EN44" s="2657">
        <f>'Balance Sheet'!DT17+'Balance Sheet'!DT16+'Balance Sheet'!DT15+'Balance Sheet'!DT12</f>
      </c>
      <c r="EO44" s="2657">
        <f>'Balance Sheet'!DU17+'Balance Sheet'!DU16+'Balance Sheet'!DU15+'Balance Sheet'!DU12</f>
      </c>
      <c r="EP44" s="2657">
        <f>'Balance Sheet'!DV17+'Balance Sheet'!DV16+'Balance Sheet'!DV15+'Balance Sheet'!DV12</f>
      </c>
      <c r="EQ44" s="2657">
        <f>'Balance Sheet'!DW17+'Balance Sheet'!DW16+'Balance Sheet'!DW15+'Balance Sheet'!DW12</f>
      </c>
      <c r="ER44" s="2657">
        <f>'Balance Sheet'!DX17+'Balance Sheet'!DX16+'Balance Sheet'!DX15+'Balance Sheet'!DX12</f>
      </c>
      <c r="ES44" s="2657">
        <f>'Balance Sheet'!DY17+'Balance Sheet'!DY16+'Balance Sheet'!DY15+'Balance Sheet'!DY12</f>
      </c>
      <c r="ET44" s="2657">
        <f>'Balance Sheet'!DZ17+'Balance Sheet'!DZ16+'Balance Sheet'!DZ15+'Balance Sheet'!DZ12</f>
      </c>
      <c r="EU44" s="2657">
        <f>'Balance Sheet'!EA17+'Balance Sheet'!EA16+'Balance Sheet'!EA15+'Balance Sheet'!EA12</f>
      </c>
      <c r="EV44" s="2657">
        <f>'Balance Sheet'!EB17+'Balance Sheet'!EB16+'Balance Sheet'!EB15+'Balance Sheet'!EB12</f>
      </c>
      <c r="EW44" s="2657">
        <f>'Balance Sheet'!EC17+'Balance Sheet'!EC16+'Balance Sheet'!EC15+'Balance Sheet'!EC12</f>
      </c>
      <c r="EX44" s="2657">
        <f>'Balance Sheet'!ED17+'Balance Sheet'!ED16+'Balance Sheet'!ED15+'Balance Sheet'!ED12</f>
      </c>
      <c r="EY44" s="2657">
        <f>'Balance Sheet'!EE17+'Balance Sheet'!EE16+'Balance Sheet'!EE15+'Balance Sheet'!EE12</f>
      </c>
      <c r="EZ44" s="2657">
        <f>'Balance Sheet'!EF17+'Balance Sheet'!EF16+'Balance Sheet'!EF15+'Balance Sheet'!EF12</f>
      </c>
      <c r="FA44" s="2657">
        <f>'Balance Sheet'!EG17+'Balance Sheet'!EG16+'Balance Sheet'!EG15+'Balance Sheet'!EG12</f>
      </c>
      <c r="FB44" s="2657">
        <f>'Balance Sheet'!EH17+'Balance Sheet'!EH16+'Balance Sheet'!EH15+'Balance Sheet'!EH12</f>
      </c>
      <c r="FC44" s="2657">
        <f>'Balance Sheet'!EI17+'Balance Sheet'!EI16+'Balance Sheet'!EI15+'Balance Sheet'!EI12</f>
      </c>
      <c r="FD44" s="2657">
        <f>'Balance Sheet'!EJ17+'Balance Sheet'!EJ16+'Balance Sheet'!EJ15+'Balance Sheet'!EJ12</f>
      </c>
      <c r="FE44" s="2657">
        <f>'Balance Sheet'!EK17+'Balance Sheet'!EK16+'Balance Sheet'!EK15+'Balance Sheet'!EK12</f>
      </c>
    </row>
    <row r="45" spans="1:161" outlineLevel="2">
      <c r="B45" t="s">
        <v>149</v>
      </c>
      <c r="C45" t="s">
        <v>298</v>
      </c>
      <c r="D45" t="str">
        <f t="shared" si="10"/>
      </c>
      <c r="F45" s="2657">
        <f>'Balance Sheet'!ER18</f>
      </c>
      <c r="G45" s="2657">
        <f>'Balance Sheet'!ES18</f>
      </c>
      <c r="H45" s="2657">
        <f>'Balance Sheet'!ET18</f>
      </c>
      <c r="I45" s="2657">
        <f>'Balance Sheet'!EU18</f>
      </c>
      <c r="J45" s="2657">
        <f>'Balance Sheet'!EV18</f>
      </c>
      <c r="K45" s="2657">
        <f>'Balance Sheet'!EW18</f>
      </c>
      <c r="L45" s="2657">
        <f>'Balance Sheet'!EX18</f>
      </c>
      <c r="M45" s="2657">
        <f>'Balance Sheet'!EY18</f>
      </c>
      <c r="N45" s="2657">
        <f>'Balance Sheet'!EZ18</f>
      </c>
      <c r="O45" s="2657">
        <f>'Balance Sheet'!FA18</f>
      </c>
      <c r="P45" s="2657">
        <f>'Balance Sheet'!FB18</f>
      </c>
      <c r="Q45" s="2657">
        <f>'Balance Sheet'!FC18</f>
      </c>
      <c r="R45" s="2657">
        <f>'Balance Sheet'!FD18</f>
      </c>
      <c r="S45" s="2657">
        <f>'Balance Sheet'!FE18</f>
      </c>
      <c r="T45" s="2657">
        <f>'Balance Sheet'!FF18</f>
      </c>
      <c r="U45" s="2657">
        <f>'Balance Sheet'!FG18</f>
      </c>
      <c r="V45" s="2657">
        <f>'Balance Sheet'!FH18</f>
      </c>
      <c r="W45" s="2657">
        <f>'Balance Sheet'!FI18</f>
      </c>
      <c r="X45" s="2657">
        <f>'Balance Sheet'!FJ18</f>
      </c>
      <c r="Y45" s="2657">
        <f>'Balance Sheet'!FK18</f>
      </c>
      <c r="Z45" s="2657">
        <f>'Balance Sheet'!FL18</f>
      </c>
      <c r="AA45" s="2657">
        <f>'Balance Sheet'!FM18</f>
      </c>
      <c r="AB45" s="2657">
        <f>'Balance Sheet'!FN18</f>
      </c>
      <c r="AC45" s="2657">
        <f>'Balance Sheet'!FO18</f>
      </c>
      <c r="AD45" s="2657">
        <f>'Balance Sheet'!FP18</f>
      </c>
      <c r="AE45" s="2657">
        <f>'Balance Sheet'!FQ18</f>
      </c>
      <c r="AF45" s="2657">
        <f>'Balance Sheet'!FR18</f>
      </c>
      <c r="AG45" s="2657">
        <f>'Balance Sheet'!FS18</f>
      </c>
      <c r="AH45" s="2657">
        <f>'Balance Sheet'!FT18</f>
      </c>
      <c r="AI45" s="2657">
        <f>'Balance Sheet'!FU18</f>
      </c>
      <c r="AJ45" s="2657">
        <f>'Balance Sheet'!FV18</f>
      </c>
      <c r="AK45" s="2657"/>
      <c r="AL45" s="2657">
        <f>'Balance Sheet'!R18</f>
      </c>
      <c r="AM45" s="2657">
        <f>'Balance Sheet'!S18</f>
      </c>
      <c r="AN45" s="2657">
        <f>'Balance Sheet'!T18</f>
      </c>
      <c r="AO45" s="2657">
        <f>'Balance Sheet'!U18</f>
      </c>
      <c r="AP45" s="2657">
        <f>'Balance Sheet'!V18</f>
      </c>
      <c r="AQ45" s="2657">
        <f>'Balance Sheet'!W18</f>
      </c>
      <c r="AR45" s="2657">
        <f>'Balance Sheet'!X18</f>
      </c>
      <c r="AS45" s="2657">
        <f>'Balance Sheet'!Y18</f>
      </c>
      <c r="AT45" s="2657">
        <f>'Balance Sheet'!Z18</f>
      </c>
      <c r="AU45" s="2657">
        <f>'Balance Sheet'!AA18</f>
      </c>
      <c r="AV45" s="2657">
        <f>'Balance Sheet'!AB18</f>
      </c>
      <c r="AW45" s="2657">
        <f>'Balance Sheet'!AC18</f>
      </c>
      <c r="AX45" s="2657">
        <f>'Balance Sheet'!AD18</f>
      </c>
      <c r="AY45" s="2657">
        <f>'Balance Sheet'!AE18</f>
      </c>
      <c r="AZ45" s="2657">
        <f>'Balance Sheet'!AF18</f>
      </c>
      <c r="BA45" s="2657">
        <f>'Balance Sheet'!AG18</f>
      </c>
      <c r="BB45" s="2657">
        <f>'Balance Sheet'!AH18</f>
      </c>
      <c r="BC45" s="2657">
        <f>'Balance Sheet'!AI18</f>
      </c>
      <c r="BD45" s="2657">
        <f>'Balance Sheet'!AJ18</f>
      </c>
      <c r="BE45" s="2657">
        <f>'Balance Sheet'!AK18</f>
      </c>
      <c r="BF45" s="2657">
        <f>'Balance Sheet'!AL18</f>
      </c>
      <c r="BG45" s="2657">
        <f>'Balance Sheet'!AM18</f>
      </c>
      <c r="BH45" s="2657">
        <f>'Balance Sheet'!AN18</f>
      </c>
      <c r="BI45" s="2657">
        <f>'Balance Sheet'!AO18</f>
      </c>
      <c r="BJ45" s="2657">
        <f>'Balance Sheet'!AP18</f>
      </c>
      <c r="BK45" s="2657">
        <f>'Balance Sheet'!AQ18</f>
      </c>
      <c r="BL45" s="2657">
        <f>'Balance Sheet'!AR18</f>
      </c>
      <c r="BM45" s="2657">
        <f>'Balance Sheet'!AS18</f>
      </c>
      <c r="BN45" s="2657">
        <f>'Balance Sheet'!AT18</f>
      </c>
      <c r="BO45" s="2657">
        <f>'Balance Sheet'!AU18</f>
      </c>
      <c r="BP45" s="2657">
        <f>'Balance Sheet'!AV18</f>
      </c>
      <c r="BQ45" s="2657">
        <f>'Balance Sheet'!AW18</f>
      </c>
      <c r="BR45" s="2657">
        <f>'Balance Sheet'!AX18</f>
      </c>
      <c r="BS45" s="2657">
        <f>'Balance Sheet'!AY18</f>
      </c>
      <c r="BT45" s="2657">
        <f>'Balance Sheet'!AZ18</f>
      </c>
      <c r="BU45" s="2657">
        <f>'Balance Sheet'!BA18</f>
      </c>
      <c r="BV45" s="2657">
        <f>'Balance Sheet'!BB18</f>
      </c>
      <c r="BW45" s="2657">
        <f>'Balance Sheet'!BC18</f>
      </c>
      <c r="BX45" s="2657">
        <f>'Balance Sheet'!BD18</f>
      </c>
      <c r="BY45" s="2657">
        <f>'Balance Sheet'!BE18</f>
      </c>
      <c r="BZ45" s="2657">
        <f>'Balance Sheet'!BF18</f>
      </c>
      <c r="CA45" s="2657">
        <f>'Balance Sheet'!BG18</f>
      </c>
      <c r="CB45" s="2657">
        <f>'Balance Sheet'!BH18</f>
      </c>
      <c r="CC45" s="2657">
        <f>'Balance Sheet'!BI18</f>
      </c>
      <c r="CD45" s="2657">
        <f>'Balance Sheet'!BJ18</f>
      </c>
      <c r="CE45" s="2657">
        <f>'Balance Sheet'!BK18</f>
      </c>
      <c r="CF45" s="2657">
        <f>'Balance Sheet'!BL18</f>
      </c>
      <c r="CG45" s="2657">
        <f>'Balance Sheet'!BM18</f>
      </c>
      <c r="CH45" s="2657">
        <f>'Balance Sheet'!BN18</f>
      </c>
      <c r="CI45" s="2657">
        <f>'Balance Sheet'!BO18</f>
      </c>
      <c r="CJ45" s="2657">
        <f>'Balance Sheet'!BP18</f>
      </c>
      <c r="CK45" s="2657">
        <f>'Balance Sheet'!BQ18</f>
      </c>
      <c r="CL45" s="2657">
        <f>'Balance Sheet'!BR18</f>
      </c>
      <c r="CM45" s="2657">
        <f>'Balance Sheet'!BS18</f>
      </c>
      <c r="CN45" s="2657">
        <f>'Balance Sheet'!BT18</f>
      </c>
      <c r="CO45" s="2657">
        <f>'Balance Sheet'!BU18</f>
      </c>
      <c r="CP45" s="2657">
        <f>'Balance Sheet'!BV18</f>
      </c>
      <c r="CQ45" s="2657">
        <f>'Balance Sheet'!BW18</f>
      </c>
      <c r="CR45" s="2657">
        <f>'Balance Sheet'!BX18</f>
      </c>
      <c r="CS45" s="2657">
        <f>'Balance Sheet'!BY18</f>
      </c>
      <c r="CT45" s="2657">
        <f>'Balance Sheet'!BZ18</f>
      </c>
      <c r="CU45" s="2657">
        <f>'Balance Sheet'!CA18</f>
      </c>
      <c r="CV45" s="2657">
        <f>'Balance Sheet'!CB18</f>
      </c>
      <c r="CW45" s="2657">
        <f>'Balance Sheet'!CC18</f>
      </c>
      <c r="CX45" s="2657">
        <f>'Balance Sheet'!CD18</f>
      </c>
      <c r="CY45" s="2657">
        <f>'Balance Sheet'!CE18</f>
      </c>
      <c r="CZ45" s="2657">
        <f>'Balance Sheet'!CF18</f>
      </c>
      <c r="DA45" s="2657">
        <f>'Balance Sheet'!CG18</f>
      </c>
      <c r="DB45" s="2657">
        <f>'Balance Sheet'!CH18</f>
      </c>
      <c r="DC45" s="2657">
        <f>'Balance Sheet'!CI18</f>
      </c>
      <c r="DD45" s="2657">
        <f>'Balance Sheet'!CJ18</f>
      </c>
      <c r="DE45" s="2657">
        <f>'Balance Sheet'!CK18</f>
      </c>
      <c r="DF45" s="2657">
        <f>'Balance Sheet'!CL18</f>
      </c>
      <c r="DG45" s="2657">
        <f>'Balance Sheet'!CM18</f>
      </c>
      <c r="DH45" s="2657">
        <f>'Balance Sheet'!CN18</f>
      </c>
      <c r="DI45" s="2657">
        <f>'Balance Sheet'!CO18</f>
      </c>
      <c r="DJ45" s="2657">
        <f>'Balance Sheet'!CP18</f>
      </c>
      <c r="DK45" s="2657">
        <f>'Balance Sheet'!CQ18</f>
      </c>
      <c r="DL45" s="2657">
        <f>'Balance Sheet'!CR18</f>
      </c>
      <c r="DM45" s="2657">
        <f>'Balance Sheet'!CS18</f>
      </c>
      <c r="DN45" s="2657">
        <f>'Balance Sheet'!CT18</f>
      </c>
      <c r="DO45" s="2657">
        <f>'Balance Sheet'!CU18</f>
      </c>
      <c r="DP45" s="2657">
        <f>'Balance Sheet'!CV18</f>
      </c>
      <c r="DQ45" s="2657">
        <f>'Balance Sheet'!CW18</f>
      </c>
      <c r="DR45" s="2657">
        <f>'Balance Sheet'!CX18</f>
      </c>
      <c r="DS45" s="2657">
        <f>'Balance Sheet'!CY18</f>
      </c>
      <c r="DT45" s="2657">
        <f>'Balance Sheet'!CZ18</f>
      </c>
      <c r="DU45" s="2657">
        <f>'Balance Sheet'!DA18</f>
      </c>
      <c r="DV45" s="2657">
        <f>'Balance Sheet'!DB18</f>
      </c>
      <c r="DW45" s="2657">
        <f>'Balance Sheet'!DC18</f>
      </c>
      <c r="DX45" s="2657">
        <f>'Balance Sheet'!DD18</f>
      </c>
      <c r="DY45" s="2657">
        <f>'Balance Sheet'!DE18</f>
      </c>
      <c r="DZ45" s="2657">
        <f>'Balance Sheet'!DF18</f>
      </c>
      <c r="EA45" s="2657">
        <f>'Balance Sheet'!DG18</f>
      </c>
      <c r="EB45" s="2657">
        <f>'Balance Sheet'!DH18</f>
      </c>
      <c r="EC45" s="2657">
        <f>'Balance Sheet'!DI18</f>
      </c>
      <c r="ED45" s="2657">
        <f>'Balance Sheet'!DJ18</f>
      </c>
      <c r="EE45" s="2657">
        <f>'Balance Sheet'!DK18</f>
      </c>
      <c r="EF45" s="2657">
        <f>'Balance Sheet'!DL18</f>
      </c>
      <c r="EG45" s="2657">
        <f>'Balance Sheet'!DM18</f>
      </c>
      <c r="EH45" s="2657">
        <f>'Balance Sheet'!DN18</f>
      </c>
      <c r="EI45" s="2657">
        <f>'Balance Sheet'!DO18</f>
      </c>
      <c r="EJ45" s="2657">
        <f>'Balance Sheet'!DP18</f>
      </c>
      <c r="EK45" s="2657">
        <f>'Balance Sheet'!DQ18</f>
      </c>
      <c r="EL45" s="2657">
        <f>'Balance Sheet'!DR18</f>
      </c>
      <c r="EM45" s="2657">
        <f>'Balance Sheet'!DS18</f>
      </c>
      <c r="EN45" s="2657">
        <f>'Balance Sheet'!DT18</f>
      </c>
      <c r="EO45" s="2657">
        <f>'Balance Sheet'!DU18</f>
      </c>
      <c r="EP45" s="2657">
        <f>'Balance Sheet'!DV18</f>
      </c>
      <c r="EQ45" s="2657">
        <f>'Balance Sheet'!DW18</f>
      </c>
      <c r="ER45" s="2657">
        <f>'Balance Sheet'!DX18</f>
      </c>
      <c r="ES45" s="2657">
        <f>'Balance Sheet'!DY18</f>
      </c>
      <c r="ET45" s="2657">
        <f>'Balance Sheet'!DZ18</f>
      </c>
      <c r="EU45" s="2657">
        <f>'Balance Sheet'!EA18</f>
      </c>
      <c r="EV45" s="2657">
        <f>'Balance Sheet'!EB18</f>
      </c>
      <c r="EW45" s="2657">
        <f>'Balance Sheet'!EC18</f>
      </c>
      <c r="EX45" s="2657">
        <f>'Balance Sheet'!ED18</f>
      </c>
      <c r="EY45" s="2657">
        <f>'Balance Sheet'!EE18</f>
      </c>
      <c r="EZ45" s="2657">
        <f>'Balance Sheet'!EF18</f>
      </c>
      <c r="FA45" s="2657">
        <f>'Balance Sheet'!EG18</f>
      </c>
      <c r="FB45" s="2657">
        <f>'Balance Sheet'!EH18</f>
      </c>
      <c r="FC45" s="2657">
        <f>'Balance Sheet'!EI18</f>
      </c>
      <c r="FD45" s="2657">
        <f>'Balance Sheet'!EJ18</f>
      </c>
      <c r="FE45" s="2657">
        <f>'Balance Sheet'!EK18</f>
      </c>
    </row>
    <row r="46" spans="1:161" outlineLevel="2">
      <c r="B46" t="s">
        <v>299</v>
      </c>
      <c r="C46" t="s">
        <v>300</v>
      </c>
      <c r="D46" t="str">
        <f t="shared" si="10"/>
      </c>
      <c r="F46" s="2657">
        <f t="shared" ref="F46:AI46" si="11">+F48-F47</f>
      </c>
      <c r="G46" s="2657">
        <f t="shared" si="11"/>
      </c>
      <c r="H46" s="2657">
        <f t="shared" si="11"/>
      </c>
      <c r="I46" s="2657">
        <f t="shared" si="11"/>
      </c>
      <c r="J46" s="2657">
        <f t="shared" si="11"/>
      </c>
      <c r="K46" s="2657">
        <f t="shared" si="11"/>
      </c>
      <c r="L46" s="2657">
        <f t="shared" si="11"/>
      </c>
      <c r="M46" s="2657">
        <f t="shared" si="11"/>
      </c>
      <c r="N46" s="2657">
        <f t="shared" si="11"/>
      </c>
      <c r="O46" s="2657">
        <f t="shared" si="11"/>
      </c>
      <c r="P46" s="2657">
        <f t="shared" si="11"/>
      </c>
      <c r="Q46" s="2657">
        <f t="shared" si="11"/>
      </c>
      <c r="R46" s="2657">
        <f t="shared" si="11"/>
      </c>
      <c r="S46" s="2657">
        <f t="shared" si="11"/>
      </c>
      <c r="T46" s="2657">
        <f t="shared" si="11"/>
      </c>
      <c r="U46" s="2657">
        <f t="shared" si="11"/>
      </c>
      <c r="V46" s="2657">
        <f t="shared" si="11"/>
      </c>
      <c r="W46" s="2657">
        <f t="shared" si="11"/>
      </c>
      <c r="X46" s="2657">
        <f t="shared" si="11"/>
      </c>
      <c r="Y46" s="2657">
        <f t="shared" si="11"/>
      </c>
      <c r="Z46" s="2657">
        <f t="shared" si="11"/>
      </c>
      <c r="AA46" s="2657">
        <f t="shared" si="11"/>
      </c>
      <c r="AB46" s="2657">
        <f t="shared" si="11"/>
      </c>
      <c r="AC46" s="2657">
        <f t="shared" si="11"/>
      </c>
      <c r="AD46" s="2657">
        <f t="shared" si="11"/>
      </c>
      <c r="AE46" s="2657">
        <f t="shared" si="11"/>
      </c>
      <c r="AF46" s="2657">
        <f t="shared" si="11"/>
      </c>
      <c r="AG46" s="2657">
        <f t="shared" si="11"/>
      </c>
      <c r="AH46" s="2657">
        <f t="shared" si="11"/>
      </c>
      <c r="AI46" s="2657">
        <f t="shared" si="11"/>
      </c>
      <c r="AJ46" s="2657">
        <f>+AJ48-AJ47</f>
      </c>
      <c r="AK46" s="2657"/>
      <c r="AL46" s="2657">
        <f>'Balance Sheet'!R87</f>
      </c>
      <c r="AM46" s="2657">
        <f>'Balance Sheet'!S87</f>
      </c>
      <c r="AN46" s="2657">
        <f>'Balance Sheet'!T87</f>
      </c>
      <c r="AO46" s="2657">
        <f>'Balance Sheet'!U87</f>
      </c>
      <c r="AP46" s="2657">
        <f>'Balance Sheet'!V87</f>
      </c>
      <c r="AQ46" s="2657">
        <f>'Balance Sheet'!W87</f>
      </c>
      <c r="AR46" s="2657">
        <f>'Balance Sheet'!X87</f>
      </c>
      <c r="AS46" s="2657">
        <f>'Balance Sheet'!Y87</f>
      </c>
      <c r="AT46" s="2657">
        <f>'Balance Sheet'!Z87</f>
      </c>
      <c r="AU46" s="2657">
        <f>'Balance Sheet'!AA87</f>
      </c>
      <c r="AV46" s="2657">
        <f>'Balance Sheet'!AB87</f>
      </c>
      <c r="AW46" s="2657">
        <f>'Balance Sheet'!AC87</f>
      </c>
      <c r="AX46" s="2657">
        <f>'Balance Sheet'!AD87</f>
      </c>
      <c r="AY46" s="2657">
        <f>'Balance Sheet'!AE87</f>
      </c>
      <c r="AZ46" s="2657">
        <f>'Balance Sheet'!AF87</f>
      </c>
      <c r="BA46" s="2657">
        <f>'Balance Sheet'!AG87</f>
      </c>
      <c r="BB46" s="2657">
        <f>'Balance Sheet'!AH87</f>
      </c>
      <c r="BC46" s="2657">
        <f>'Balance Sheet'!AI87</f>
      </c>
      <c r="BD46" s="2657">
        <f>'Balance Sheet'!AJ87</f>
      </c>
      <c r="BE46" s="2657">
        <f>'Balance Sheet'!AK87</f>
      </c>
      <c r="BF46" s="2657">
        <f>'Balance Sheet'!AL87</f>
      </c>
      <c r="BG46" s="2657">
        <f>'Balance Sheet'!AM87</f>
      </c>
      <c r="BH46" s="2657">
        <f>'Balance Sheet'!AN87</f>
      </c>
      <c r="BI46" s="2657">
        <f>'Balance Sheet'!AO87</f>
      </c>
      <c r="BJ46" s="2657">
        <f>'Balance Sheet'!AP87</f>
      </c>
      <c r="BK46" s="2657">
        <f>'Balance Sheet'!AQ87</f>
      </c>
      <c r="BL46" s="2657">
        <f>'Balance Sheet'!AR87</f>
      </c>
      <c r="BM46" s="2657">
        <f>'Balance Sheet'!AS87</f>
      </c>
      <c r="BN46" s="2657">
        <f>'Balance Sheet'!AT87</f>
      </c>
      <c r="BO46" s="2657">
        <f>'Balance Sheet'!AU87</f>
      </c>
      <c r="BP46" s="2657">
        <f>'Balance Sheet'!AV87</f>
      </c>
      <c r="BQ46" s="2657">
        <f>'Balance Sheet'!AW87</f>
      </c>
      <c r="BR46" s="2657">
        <f>'Balance Sheet'!AX87</f>
      </c>
      <c r="BS46" s="2657">
        <f>'Balance Sheet'!AY87</f>
      </c>
      <c r="BT46" s="2657">
        <f>'Balance Sheet'!AZ87</f>
      </c>
      <c r="BU46" s="2657">
        <f>'Balance Sheet'!BA87</f>
      </c>
      <c r="BV46" s="2657">
        <f>'Balance Sheet'!BB87</f>
      </c>
      <c r="BW46" s="2657">
        <f>'Balance Sheet'!BC87</f>
      </c>
      <c r="BX46" s="2657">
        <f>'Balance Sheet'!BD87</f>
      </c>
      <c r="BY46" s="2657">
        <f>'Balance Sheet'!BE87</f>
      </c>
      <c r="BZ46" s="2657">
        <f>'Balance Sheet'!BF87</f>
      </c>
      <c r="CA46" s="2657">
        <f>'Balance Sheet'!BG87</f>
      </c>
      <c r="CB46" s="2657">
        <f>'Balance Sheet'!BH87</f>
      </c>
      <c r="CC46" s="2657">
        <f>'Balance Sheet'!BI87</f>
      </c>
      <c r="CD46" s="2657">
        <f>'Balance Sheet'!BJ87</f>
      </c>
      <c r="CE46" s="2657">
        <f>'Balance Sheet'!BK87</f>
      </c>
      <c r="CF46" s="2657">
        <f>'Balance Sheet'!BL87</f>
      </c>
      <c r="CG46" s="2657">
        <f>'Balance Sheet'!BM87</f>
      </c>
      <c r="CH46" s="2657">
        <f>'Balance Sheet'!BN87</f>
      </c>
      <c r="CI46" s="2657">
        <f>'Balance Sheet'!BO87</f>
      </c>
      <c r="CJ46" s="2657">
        <f>'Balance Sheet'!BP87</f>
      </c>
      <c r="CK46" s="2657">
        <f>'Balance Sheet'!BQ87</f>
      </c>
      <c r="CL46" s="2657">
        <f>'Balance Sheet'!BR87</f>
      </c>
      <c r="CM46" s="2657">
        <f>'Balance Sheet'!BS87</f>
      </c>
      <c r="CN46" s="2657">
        <f>'Balance Sheet'!BT87</f>
      </c>
      <c r="CO46" s="2657">
        <f>'Balance Sheet'!BU87</f>
      </c>
      <c r="CP46" s="2657">
        <f>'Balance Sheet'!BV87</f>
      </c>
      <c r="CQ46" s="2657">
        <f>'Balance Sheet'!BW87</f>
      </c>
      <c r="CR46" s="2657">
        <f>'Balance Sheet'!BX87</f>
      </c>
      <c r="CS46" s="2657">
        <f>'Balance Sheet'!BY87</f>
      </c>
      <c r="CT46" s="2657">
        <f>'Balance Sheet'!BZ87</f>
      </c>
      <c r="CU46" s="2657">
        <f>'Balance Sheet'!CA87</f>
      </c>
      <c r="CV46" s="2657">
        <f>'Balance Sheet'!CB87</f>
      </c>
      <c r="CW46" s="2657">
        <f>'Balance Sheet'!CC87</f>
      </c>
      <c r="CX46" s="2657">
        <f>'Balance Sheet'!CD87</f>
      </c>
      <c r="CY46" s="2657">
        <f>'Balance Sheet'!CE87</f>
      </c>
      <c r="CZ46" s="2657">
        <f>'Balance Sheet'!CF87</f>
      </c>
      <c r="DA46" s="2657">
        <f>'Balance Sheet'!CG87</f>
      </c>
      <c r="DB46" s="2657">
        <f>'Balance Sheet'!CH87</f>
      </c>
      <c r="DC46" s="2657">
        <f>'Balance Sheet'!CI87</f>
      </c>
      <c r="DD46" s="2657">
        <f>'Balance Sheet'!CJ87</f>
      </c>
      <c r="DE46" s="2657">
        <f>'Balance Sheet'!CK87</f>
      </c>
      <c r="DF46" s="2657">
        <f>'Balance Sheet'!CL87</f>
      </c>
      <c r="DG46" s="2657">
        <f>'Balance Sheet'!CM87</f>
      </c>
      <c r="DH46" s="2657">
        <f>'Balance Sheet'!CN87</f>
      </c>
      <c r="DI46" s="2657">
        <f>'Balance Sheet'!CO87</f>
      </c>
      <c r="DJ46" s="2657">
        <f>'Balance Sheet'!CP87</f>
      </c>
      <c r="DK46" s="2657">
        <f>'Balance Sheet'!CQ87</f>
      </c>
      <c r="DL46" s="2657">
        <f>'Balance Sheet'!CR87</f>
      </c>
      <c r="DM46" s="2657">
        <f>'Balance Sheet'!CS87</f>
      </c>
      <c r="DN46" s="2657">
        <f>'Balance Sheet'!CT87</f>
      </c>
      <c r="DO46" s="2657">
        <f>'Balance Sheet'!CU87</f>
      </c>
      <c r="DP46" s="2657">
        <f>'Balance Sheet'!CV87</f>
      </c>
      <c r="DQ46" s="2657">
        <f>'Balance Sheet'!CW87</f>
      </c>
      <c r="DR46" s="2657">
        <f>'Balance Sheet'!CX87</f>
      </c>
      <c r="DS46" s="2657">
        <f>'Balance Sheet'!CY87</f>
      </c>
      <c r="DT46" s="2657">
        <f>'Balance Sheet'!CZ87</f>
      </c>
      <c r="DU46" s="2657">
        <f>'Balance Sheet'!DA87</f>
      </c>
      <c r="DV46" s="2657">
        <f>'Balance Sheet'!DB87</f>
      </c>
      <c r="DW46" s="2657">
        <f>'Balance Sheet'!DC87</f>
      </c>
      <c r="DX46" s="2657">
        <f>'Balance Sheet'!DD87</f>
      </c>
      <c r="DY46" s="2657">
        <f>'Balance Sheet'!DE87</f>
      </c>
      <c r="DZ46" s="2657">
        <f>'Balance Sheet'!DF87</f>
      </c>
      <c r="EA46" s="2657">
        <f>'Balance Sheet'!DG87</f>
      </c>
      <c r="EB46" s="2657">
        <f>'Balance Sheet'!DH87</f>
      </c>
      <c r="EC46" s="2657">
        <f>'Balance Sheet'!DI87</f>
      </c>
      <c r="ED46" s="2657">
        <f>'Balance Sheet'!DJ87</f>
      </c>
      <c r="EE46" s="2657">
        <f>'Balance Sheet'!DK87</f>
      </c>
      <c r="EF46" s="2657">
        <f>'Balance Sheet'!DL87</f>
      </c>
      <c r="EG46" s="2657">
        <f>'Balance Sheet'!DM87</f>
      </c>
      <c r="EH46" s="2657">
        <f>'Balance Sheet'!DN87</f>
      </c>
      <c r="EI46" s="2657">
        <f>'Balance Sheet'!DO87</f>
      </c>
      <c r="EJ46" s="2657">
        <f>'Balance Sheet'!DP87</f>
      </c>
      <c r="EK46" s="2657">
        <f>'Balance Sheet'!DQ87</f>
      </c>
      <c r="EL46" s="2657">
        <f>'Balance Sheet'!DR87</f>
      </c>
      <c r="EM46" s="2657">
        <f>'Balance Sheet'!DS87</f>
      </c>
      <c r="EN46" s="2657">
        <f>'Balance Sheet'!DT87</f>
      </c>
      <c r="EO46" s="2657">
        <f>'Balance Sheet'!DU87</f>
      </c>
      <c r="EP46" s="2657">
        <f>'Balance Sheet'!DV87</f>
      </c>
      <c r="EQ46" s="2657">
        <f>'Balance Sheet'!DW87</f>
      </c>
      <c r="ER46" s="2657">
        <f>'Balance Sheet'!DX87</f>
      </c>
      <c r="ES46" s="2657">
        <f>'Balance Sheet'!DY87</f>
      </c>
      <c r="ET46" s="2657">
        <f>'Balance Sheet'!DZ87</f>
      </c>
      <c r="EU46" s="2657">
        <f>'Balance Sheet'!EA87</f>
      </c>
      <c r="EV46" s="2657">
        <f>'Balance Sheet'!EB87</f>
      </c>
      <c r="EW46" s="2657">
        <f>'Balance Sheet'!EC87</f>
      </c>
      <c r="EX46" s="2657">
        <f>'Balance Sheet'!ED87</f>
      </c>
      <c r="EY46" s="2657">
        <f>'Balance Sheet'!EE87</f>
      </c>
      <c r="EZ46" s="2657">
        <f>'Balance Sheet'!EF87</f>
      </c>
      <c r="FA46" s="2657">
        <f>'Balance Sheet'!EG87</f>
      </c>
      <c r="FB46" s="2657">
        <f>'Balance Sheet'!EH87</f>
      </c>
      <c r="FC46" s="2657">
        <f>'Balance Sheet'!EI87</f>
      </c>
      <c r="FD46" s="2657">
        <f>'Balance Sheet'!EJ87</f>
      </c>
      <c r="FE46" s="2657">
        <f>'Balance Sheet'!EK87</f>
      </c>
    </row>
    <row r="47" spans="1:161" outlineLevel="2">
      <c r="B47" t="s">
        <v>301</v>
      </c>
      <c r="C47" t="s">
        <v>302</v>
      </c>
      <c r="D47" t="str">
        <f t="shared" si="10"/>
      </c>
      <c r="F47" s="2657">
        <f>'Balance Sheet'!ER88</f>
      </c>
      <c r="G47" s="2657">
        <f>'Balance Sheet'!ES88</f>
      </c>
      <c r="H47" s="2657">
        <f>'Balance Sheet'!ET88</f>
      </c>
      <c r="I47" s="2657">
        <f>'Balance Sheet'!EU88</f>
      </c>
      <c r="J47" s="2657">
        <f>'Balance Sheet'!EV88</f>
      </c>
      <c r="K47" s="2657">
        <f>'Balance Sheet'!EW88</f>
      </c>
      <c r="L47" s="2657">
        <f>'Balance Sheet'!EX88</f>
      </c>
      <c r="M47" s="2657">
        <f>'Balance Sheet'!EY88</f>
      </c>
      <c r="N47" s="2657">
        <f>'Balance Sheet'!EZ88</f>
      </c>
      <c r="O47" s="2657">
        <f>'Balance Sheet'!FA88</f>
      </c>
      <c r="P47" s="2657">
        <f>'Balance Sheet'!FB88</f>
      </c>
      <c r="Q47" s="2657">
        <f>'Balance Sheet'!FC88</f>
      </c>
      <c r="R47" s="2657">
        <f>'Balance Sheet'!FD88</f>
      </c>
      <c r="S47" s="2657">
        <f>'Balance Sheet'!FE88</f>
      </c>
      <c r="T47" s="2657">
        <f>'Balance Sheet'!FF88</f>
      </c>
      <c r="U47" s="2657">
        <f>'Balance Sheet'!FG88</f>
      </c>
      <c r="V47" s="2657">
        <f>'Balance Sheet'!FH88</f>
      </c>
      <c r="W47" s="2657">
        <f>'Balance Sheet'!FI88</f>
      </c>
      <c r="X47" s="2657">
        <f>'Balance Sheet'!FJ88</f>
      </c>
      <c r="Y47" s="2657">
        <f>'Balance Sheet'!FK88</f>
      </c>
      <c r="Z47" s="2657">
        <f>'Balance Sheet'!FL88</f>
      </c>
      <c r="AA47" s="2657">
        <f>'Balance Sheet'!FM88</f>
      </c>
      <c r="AB47" s="2657">
        <f>'Balance Sheet'!FN88</f>
      </c>
      <c r="AC47" s="2657">
        <f>'Balance Sheet'!FO88</f>
      </c>
      <c r="AD47" s="2657">
        <f>'Balance Sheet'!FP88</f>
      </c>
      <c r="AE47" s="2657">
        <f>'Balance Sheet'!FQ88</f>
      </c>
      <c r="AF47" s="2657">
        <f>'Balance Sheet'!FR88</f>
      </c>
      <c r="AG47" s="2657">
        <f>'Balance Sheet'!FS88</f>
      </c>
      <c r="AH47" s="2657">
        <f>'Balance Sheet'!FT88</f>
      </c>
      <c r="AI47" s="2657">
        <f>'Balance Sheet'!FU88</f>
      </c>
      <c r="AJ47" s="2657">
        <f>'Balance Sheet'!FV88</f>
      </c>
      <c r="AK47" s="2657"/>
      <c r="AL47" s="2657">
        <f>'Balance Sheet'!R88</f>
      </c>
      <c r="AM47" s="2657">
        <f>'Balance Sheet'!S88</f>
      </c>
      <c r="AN47" s="2657">
        <f>'Balance Sheet'!T88</f>
      </c>
      <c r="AO47" s="2657">
        <f>'Balance Sheet'!U88</f>
      </c>
      <c r="AP47" s="2657">
        <f>'Balance Sheet'!V88</f>
      </c>
      <c r="AQ47" s="2657">
        <f>'Balance Sheet'!W88</f>
      </c>
      <c r="AR47" s="2657">
        <f>'Balance Sheet'!X88</f>
      </c>
      <c r="AS47" s="2657">
        <f>'Balance Sheet'!Y88</f>
      </c>
      <c r="AT47" s="2657">
        <f>'Balance Sheet'!Z88</f>
      </c>
      <c r="AU47" s="2657">
        <f>'Balance Sheet'!AA88</f>
      </c>
      <c r="AV47" s="2657">
        <f>'Balance Sheet'!AB88</f>
      </c>
      <c r="AW47" s="2657">
        <f>'Balance Sheet'!AC88</f>
      </c>
      <c r="AX47" s="2657">
        <f>'Balance Sheet'!AD88</f>
      </c>
      <c r="AY47" s="2657">
        <f>'Balance Sheet'!AE88</f>
      </c>
      <c r="AZ47" s="2657">
        <f>'Balance Sheet'!AF88</f>
      </c>
      <c r="BA47" s="2657">
        <f>'Balance Sheet'!AG88</f>
      </c>
      <c r="BB47" s="2657">
        <f>'Balance Sheet'!AH88</f>
      </c>
      <c r="BC47" s="2657">
        <f>'Balance Sheet'!AI88</f>
      </c>
      <c r="BD47" s="2657">
        <f>'Balance Sheet'!AJ88</f>
      </c>
      <c r="BE47" s="2657">
        <f>'Balance Sheet'!AK88</f>
      </c>
      <c r="BF47" s="2657">
        <f>'Balance Sheet'!AL88</f>
      </c>
      <c r="BG47" s="2657">
        <f>'Balance Sheet'!AM88</f>
      </c>
      <c r="BH47" s="2657">
        <f>'Balance Sheet'!AN88</f>
      </c>
      <c r="BI47" s="2657">
        <f>'Balance Sheet'!AO88</f>
      </c>
      <c r="BJ47" s="2657">
        <f>'Balance Sheet'!AP88</f>
      </c>
      <c r="BK47" s="2657">
        <f>'Balance Sheet'!AQ88</f>
      </c>
      <c r="BL47" s="2657">
        <f>'Balance Sheet'!AR88</f>
      </c>
      <c r="BM47" s="2657">
        <f>'Balance Sheet'!AS88</f>
      </c>
      <c r="BN47" s="2657">
        <f>'Balance Sheet'!AT88</f>
      </c>
      <c r="BO47" s="2657">
        <f>'Balance Sheet'!AU88</f>
      </c>
      <c r="BP47" s="2657">
        <f>'Balance Sheet'!AV88</f>
      </c>
      <c r="BQ47" s="2657">
        <f>'Balance Sheet'!AW88</f>
      </c>
      <c r="BR47" s="2657">
        <f>'Balance Sheet'!AX88</f>
      </c>
      <c r="BS47" s="2657">
        <f>'Balance Sheet'!AY88</f>
      </c>
      <c r="BT47" s="2657">
        <f>'Balance Sheet'!AZ88</f>
      </c>
      <c r="BU47" s="2657">
        <f>'Balance Sheet'!BA88</f>
      </c>
      <c r="BV47" s="2657">
        <f>'Balance Sheet'!BB88</f>
      </c>
      <c r="BW47" s="2657">
        <f>'Balance Sheet'!BC88</f>
      </c>
      <c r="BX47" s="2657">
        <f>'Balance Sheet'!BD88</f>
      </c>
      <c r="BY47" s="2657">
        <f>'Balance Sheet'!BE88</f>
      </c>
      <c r="BZ47" s="2657">
        <f>'Balance Sheet'!BF88</f>
      </c>
      <c r="CA47" s="2657">
        <f>'Balance Sheet'!BG88</f>
      </c>
      <c r="CB47" s="2657">
        <f>'Balance Sheet'!BH88</f>
      </c>
      <c r="CC47" s="2657">
        <f>'Balance Sheet'!BI88</f>
      </c>
      <c r="CD47" s="2657">
        <f>'Balance Sheet'!BJ88</f>
      </c>
      <c r="CE47" s="2657">
        <f>'Balance Sheet'!BK88</f>
      </c>
      <c r="CF47" s="2657">
        <f>'Balance Sheet'!BL88</f>
      </c>
      <c r="CG47" s="2657">
        <f>'Balance Sheet'!BM88</f>
      </c>
      <c r="CH47" s="2657">
        <f>'Balance Sheet'!BN88</f>
      </c>
      <c r="CI47" s="2657">
        <f>'Balance Sheet'!BO88</f>
      </c>
      <c r="CJ47" s="2657">
        <f>'Balance Sheet'!BP88</f>
      </c>
      <c r="CK47" s="2657">
        <f>'Balance Sheet'!BQ88</f>
      </c>
      <c r="CL47" s="2657">
        <f>'Balance Sheet'!BR88</f>
      </c>
      <c r="CM47" s="2657">
        <f>'Balance Sheet'!BS88</f>
      </c>
      <c r="CN47" s="2657">
        <f>'Balance Sheet'!BT88</f>
      </c>
      <c r="CO47" s="2657">
        <f>'Balance Sheet'!BU88</f>
      </c>
      <c r="CP47" s="2657">
        <f>'Balance Sheet'!BV88</f>
      </c>
      <c r="CQ47" s="2657">
        <f>'Balance Sheet'!BW88</f>
      </c>
      <c r="CR47" s="2657">
        <f>'Balance Sheet'!BX88</f>
      </c>
      <c r="CS47" s="2657">
        <f>'Balance Sheet'!BY88</f>
      </c>
      <c r="CT47" s="2657">
        <f>'Balance Sheet'!BZ88</f>
      </c>
      <c r="CU47" s="2657">
        <f>'Balance Sheet'!CA88</f>
      </c>
      <c r="CV47" s="2657">
        <f>'Balance Sheet'!CB88</f>
      </c>
      <c r="CW47" s="2657">
        <f>'Balance Sheet'!CC88</f>
      </c>
      <c r="CX47" s="2657">
        <f>'Balance Sheet'!CD88</f>
      </c>
      <c r="CY47" s="2657">
        <f>'Balance Sheet'!CE88</f>
      </c>
      <c r="CZ47" s="2657">
        <f>'Balance Sheet'!CF88</f>
      </c>
      <c r="DA47" s="2657">
        <f>'Balance Sheet'!CG88</f>
      </c>
      <c r="DB47" s="2657">
        <f>'Balance Sheet'!CH88</f>
      </c>
      <c r="DC47" s="2657">
        <f>'Balance Sheet'!CI88</f>
      </c>
      <c r="DD47" s="2657">
        <f>'Balance Sheet'!CJ88</f>
      </c>
      <c r="DE47" s="2657">
        <f>'Balance Sheet'!CK88</f>
      </c>
      <c r="DF47" s="2657">
        <f>'Balance Sheet'!CL88</f>
      </c>
      <c r="DG47" s="2657">
        <f>'Balance Sheet'!CM88</f>
      </c>
      <c r="DH47" s="2657">
        <f>'Balance Sheet'!CN88</f>
      </c>
      <c r="DI47" s="2657">
        <f>'Balance Sheet'!CO88</f>
      </c>
      <c r="DJ47" s="2657">
        <f>'Balance Sheet'!CP88</f>
      </c>
      <c r="DK47" s="2657">
        <f>'Balance Sheet'!CQ88</f>
      </c>
      <c r="DL47" s="2657">
        <f>'Balance Sheet'!CR88</f>
      </c>
      <c r="DM47" s="2657">
        <f>'Balance Sheet'!CS88</f>
      </c>
      <c r="DN47" s="2657">
        <f>'Balance Sheet'!CT88</f>
      </c>
      <c r="DO47" s="2657">
        <f>'Balance Sheet'!CU88</f>
      </c>
      <c r="DP47" s="2657">
        <f>'Balance Sheet'!CV88</f>
      </c>
      <c r="DQ47" s="2657">
        <f>'Balance Sheet'!CW88</f>
      </c>
      <c r="DR47" s="2657">
        <f>'Balance Sheet'!CX88</f>
      </c>
      <c r="DS47" s="2657">
        <f>'Balance Sheet'!CY88</f>
      </c>
      <c r="DT47" s="2657">
        <f>'Balance Sheet'!CZ88</f>
      </c>
      <c r="DU47" s="2657">
        <f>'Balance Sheet'!DA88</f>
      </c>
      <c r="DV47" s="2657">
        <f>'Balance Sheet'!DB88</f>
      </c>
      <c r="DW47" s="2657">
        <f>'Balance Sheet'!DC88</f>
      </c>
      <c r="DX47" s="2657">
        <f>'Balance Sheet'!DD88</f>
      </c>
      <c r="DY47" s="2657">
        <f>'Balance Sheet'!DE88</f>
      </c>
      <c r="DZ47" s="2657">
        <f>'Balance Sheet'!DF88</f>
      </c>
      <c r="EA47" s="2657">
        <f>'Balance Sheet'!DG88</f>
      </c>
      <c r="EB47" s="2657">
        <f>'Balance Sheet'!DH88</f>
      </c>
      <c r="EC47" s="2657">
        <f>'Balance Sheet'!DI88</f>
      </c>
      <c r="ED47" s="2657">
        <f>'Balance Sheet'!DJ88</f>
      </c>
      <c r="EE47" s="2657">
        <f>'Balance Sheet'!DK88</f>
      </c>
      <c r="EF47" s="2657">
        <f>'Balance Sheet'!DL88</f>
      </c>
      <c r="EG47" s="2657">
        <f>'Balance Sheet'!DM88</f>
      </c>
      <c r="EH47" s="2657">
        <f>'Balance Sheet'!DN88</f>
      </c>
      <c r="EI47" s="2657">
        <f>'Balance Sheet'!DO88</f>
      </c>
      <c r="EJ47" s="2657">
        <f>'Balance Sheet'!DP88</f>
      </c>
      <c r="EK47" s="2657">
        <f>'Balance Sheet'!DQ88</f>
      </c>
      <c r="EL47" s="2657">
        <f>'Balance Sheet'!DR88</f>
      </c>
      <c r="EM47" s="2657">
        <f>'Balance Sheet'!DS88</f>
      </c>
      <c r="EN47" s="2657">
        <f>'Balance Sheet'!DT88</f>
      </c>
      <c r="EO47" s="2657">
        <f>'Balance Sheet'!DU88</f>
      </c>
      <c r="EP47" s="2657">
        <f>'Balance Sheet'!DV88</f>
      </c>
      <c r="EQ47" s="2657">
        <f>'Balance Sheet'!DW88</f>
      </c>
      <c r="ER47" s="2657">
        <f>'Balance Sheet'!DX88</f>
      </c>
      <c r="ES47" s="2657">
        <f>'Balance Sheet'!DY88</f>
      </c>
      <c r="ET47" s="2657">
        <f>'Balance Sheet'!DZ88</f>
      </c>
      <c r="EU47" s="2657">
        <f>'Balance Sheet'!EA88</f>
      </c>
      <c r="EV47" s="2657">
        <f>'Balance Sheet'!EB88</f>
      </c>
      <c r="EW47" s="2657">
        <f>'Balance Sheet'!EC88</f>
      </c>
      <c r="EX47" s="2657">
        <f>'Balance Sheet'!ED88</f>
      </c>
      <c r="EY47" s="2657">
        <f>'Balance Sheet'!EE88</f>
      </c>
      <c r="EZ47" s="2657">
        <f>'Balance Sheet'!EF88</f>
      </c>
      <c r="FA47" s="2657">
        <f>'Balance Sheet'!EG88</f>
      </c>
      <c r="FB47" s="2657">
        <f>'Balance Sheet'!EH88</f>
      </c>
      <c r="FC47" s="2657">
        <f>'Balance Sheet'!EI88</f>
      </c>
      <c r="FD47" s="2657">
        <f>'Balance Sheet'!EJ88</f>
      </c>
      <c r="FE47" s="2657">
        <f>'Balance Sheet'!EK88</f>
      </c>
    </row>
    <row r="48" spans="1:161" outlineLevel="2">
      <c r="B48" t="s">
        <v>303</v>
      </c>
      <c r="C48" t="s">
        <v>304</v>
      </c>
      <c r="D48" t="str">
        <f t="shared" si="10"/>
      </c>
      <c r="F48" s="2657">
        <f>+'Balance Sheet'!ER21</f>
      </c>
      <c r="G48" s="2657">
        <f>+'Balance Sheet'!ES21</f>
      </c>
      <c r="H48" s="2657">
        <f>+'Balance Sheet'!ET21</f>
      </c>
      <c r="I48" s="2657">
        <f>+'Balance Sheet'!EU21</f>
      </c>
      <c r="J48" s="2657">
        <f>+'Balance Sheet'!EV21</f>
      </c>
      <c r="K48" s="2657">
        <f>+'Balance Sheet'!EW21</f>
      </c>
      <c r="L48" s="2657">
        <f>+'Balance Sheet'!EX21</f>
      </c>
      <c r="M48" s="2657">
        <f>+'Balance Sheet'!EY21</f>
      </c>
      <c r="N48" s="2657">
        <f>+'Balance Sheet'!EZ21</f>
      </c>
      <c r="O48" s="2657">
        <f>+'Balance Sheet'!FA21</f>
      </c>
      <c r="P48" s="2657">
        <f>+'Balance Sheet'!FB21</f>
      </c>
      <c r="Q48" s="2657">
        <f>+'Balance Sheet'!FC21</f>
      </c>
      <c r="R48" s="2657">
        <f>+'Balance Sheet'!FD21</f>
      </c>
      <c r="S48" s="2657">
        <f>+'Balance Sheet'!FE21</f>
      </c>
      <c r="T48" s="2657">
        <f>+'Balance Sheet'!FF21</f>
      </c>
      <c r="U48" s="2657">
        <f>+'Balance Sheet'!FG21</f>
      </c>
      <c r="V48" s="2657">
        <f>+'Balance Sheet'!FH21</f>
      </c>
      <c r="W48" s="2657">
        <f>+'Balance Sheet'!FI21</f>
      </c>
      <c r="X48" s="2657">
        <f>+'Balance Sheet'!FJ21</f>
      </c>
      <c r="Y48" s="2657">
        <f>+'Balance Sheet'!FK21</f>
      </c>
      <c r="Z48" s="2657">
        <f>+'Balance Sheet'!FL21</f>
      </c>
      <c r="AA48" s="2657">
        <f>+'Balance Sheet'!FM21</f>
      </c>
      <c r="AB48" s="2657">
        <f>+'Balance Sheet'!FN21</f>
      </c>
      <c r="AC48" s="2657">
        <f>+'Balance Sheet'!FO21</f>
      </c>
      <c r="AD48" s="2657">
        <f>+'Balance Sheet'!FP21</f>
      </c>
      <c r="AE48" s="2657">
        <f>+'Balance Sheet'!FQ21</f>
      </c>
      <c r="AF48" s="2657">
        <f>+'Balance Sheet'!FR21</f>
      </c>
      <c r="AG48" s="2657">
        <f>+'Balance Sheet'!FS21</f>
      </c>
      <c r="AH48" s="2657">
        <f>+'Balance Sheet'!FT21</f>
      </c>
      <c r="AI48" s="2657">
        <f>+'Balance Sheet'!FU21</f>
      </c>
      <c r="AJ48" s="2657">
        <f>+'Balance Sheet'!FV21</f>
      </c>
      <c r="AK48" s="2657"/>
      <c r="AL48" s="2657">
        <f>+'Balance Sheet'!R21</f>
      </c>
      <c r="AM48" s="2657">
        <f>+'Balance Sheet'!S21</f>
      </c>
      <c r="AN48" s="2657">
        <f>+'Balance Sheet'!T21</f>
      </c>
      <c r="AO48" s="2657">
        <f>+'Balance Sheet'!U21</f>
      </c>
      <c r="AP48" s="2657">
        <f>+'Balance Sheet'!V21</f>
      </c>
      <c r="AQ48" s="2657">
        <f>+'Balance Sheet'!W21</f>
      </c>
      <c r="AR48" s="2657">
        <f>+'Balance Sheet'!X21</f>
      </c>
      <c r="AS48" s="2657">
        <f>+'Balance Sheet'!Y21</f>
      </c>
      <c r="AT48" s="2657">
        <f>+'Balance Sheet'!Z21</f>
      </c>
      <c r="AU48" s="2657">
        <f>+'Balance Sheet'!AA21</f>
      </c>
      <c r="AV48" s="2657">
        <f>+'Balance Sheet'!AB21</f>
      </c>
      <c r="AW48" s="2657">
        <f>+'Balance Sheet'!AC21</f>
      </c>
      <c r="AX48" s="2657">
        <f>+'Balance Sheet'!AD21</f>
      </c>
      <c r="AY48" s="2657">
        <f>+'Balance Sheet'!AE21</f>
      </c>
      <c r="AZ48" s="2657">
        <f>+'Balance Sheet'!AF21</f>
      </c>
      <c r="BA48" s="2657">
        <f>+'Balance Sheet'!AG21</f>
      </c>
      <c r="BB48" s="2657">
        <f>+'Balance Sheet'!AH21</f>
      </c>
      <c r="BC48" s="2657">
        <f>+'Balance Sheet'!AI21</f>
      </c>
      <c r="BD48" s="2657">
        <f>+'Balance Sheet'!AJ21</f>
      </c>
      <c r="BE48" s="2657">
        <f>+'Balance Sheet'!AK21</f>
      </c>
      <c r="BF48" s="2657">
        <f>+'Balance Sheet'!AL21</f>
      </c>
      <c r="BG48" s="2657">
        <f>+'Balance Sheet'!AM21</f>
      </c>
      <c r="BH48" s="2657">
        <f>+'Balance Sheet'!AN21</f>
      </c>
      <c r="BI48" s="2657">
        <f>+'Balance Sheet'!AO21</f>
      </c>
      <c r="BJ48" s="2657">
        <f>+'Balance Sheet'!AP21</f>
      </c>
      <c r="BK48" s="2657">
        <f>+'Balance Sheet'!AQ21</f>
      </c>
      <c r="BL48" s="2657">
        <f>+'Balance Sheet'!AR21</f>
      </c>
      <c r="BM48" s="2657">
        <f>+'Balance Sheet'!AS21</f>
      </c>
      <c r="BN48" s="2657">
        <f>+'Balance Sheet'!AT21</f>
      </c>
      <c r="BO48" s="2657">
        <f>+'Balance Sheet'!AU21</f>
      </c>
      <c r="BP48" s="2657">
        <f>+'Balance Sheet'!AV21</f>
      </c>
      <c r="BQ48" s="2657">
        <f>+'Balance Sheet'!AW21</f>
      </c>
      <c r="BR48" s="2657">
        <f>+'Balance Sheet'!AX21</f>
      </c>
      <c r="BS48" s="2657">
        <f>+'Balance Sheet'!AY21</f>
      </c>
      <c r="BT48" s="2657">
        <f>+'Balance Sheet'!AZ21</f>
      </c>
      <c r="BU48" s="2657">
        <f>+'Balance Sheet'!BA21</f>
      </c>
      <c r="BV48" s="2657">
        <f>+'Balance Sheet'!BB21</f>
      </c>
      <c r="BW48" s="2657">
        <f>+'Balance Sheet'!BC21</f>
      </c>
      <c r="BX48" s="2657">
        <f>+'Balance Sheet'!BD21</f>
      </c>
      <c r="BY48" s="2657">
        <f>+'Balance Sheet'!BE21</f>
      </c>
      <c r="BZ48" s="2657">
        <f>+'Balance Sheet'!BF21</f>
      </c>
      <c r="CA48" s="2657">
        <f>+'Balance Sheet'!BG21</f>
      </c>
      <c r="CB48" s="2657">
        <f>+'Balance Sheet'!BH21</f>
      </c>
      <c r="CC48" s="2657">
        <f>+'Balance Sheet'!BI21</f>
      </c>
      <c r="CD48" s="2657">
        <f>+'Balance Sheet'!BJ21</f>
      </c>
      <c r="CE48" s="2657">
        <f>+'Balance Sheet'!BK21</f>
      </c>
      <c r="CF48" s="2657">
        <f>+'Balance Sheet'!BL21</f>
      </c>
      <c r="CG48" s="2657">
        <f>+'Balance Sheet'!BM21</f>
      </c>
      <c r="CH48" s="2657">
        <f>+'Balance Sheet'!BN21</f>
      </c>
      <c r="CI48" s="2657">
        <f>+'Balance Sheet'!BO21</f>
      </c>
      <c r="CJ48" s="2657">
        <f>+'Balance Sheet'!BP21</f>
      </c>
      <c r="CK48" s="2657">
        <f>+'Balance Sheet'!BQ21</f>
      </c>
      <c r="CL48" s="2657">
        <f>+'Balance Sheet'!BR21</f>
      </c>
      <c r="CM48" s="2657">
        <f>+'Balance Sheet'!BS21</f>
      </c>
      <c r="CN48" s="2657">
        <f>+'Balance Sheet'!BT21</f>
      </c>
      <c r="CO48" s="2657">
        <f>+'Balance Sheet'!BU21</f>
      </c>
      <c r="CP48" s="2657">
        <f>+'Balance Sheet'!BV21</f>
      </c>
      <c r="CQ48" s="2657">
        <f>+'Balance Sheet'!BW21</f>
      </c>
      <c r="CR48" s="2657">
        <f>+'Balance Sheet'!BX21</f>
      </c>
      <c r="CS48" s="2657">
        <f>+'Balance Sheet'!BY21</f>
      </c>
      <c r="CT48" s="2657">
        <f>+'Balance Sheet'!BZ21</f>
      </c>
      <c r="CU48" s="2657">
        <f>+'Balance Sheet'!CA21</f>
      </c>
      <c r="CV48" s="2657">
        <f>+'Balance Sheet'!CB21</f>
      </c>
      <c r="CW48" s="2657">
        <f>+'Balance Sheet'!CC21</f>
      </c>
      <c r="CX48" s="2657">
        <f>+'Balance Sheet'!CD21</f>
      </c>
      <c r="CY48" s="2657">
        <f>+'Balance Sheet'!CE21</f>
      </c>
      <c r="CZ48" s="2657">
        <f>+'Balance Sheet'!CF21</f>
      </c>
      <c r="DA48" s="2657">
        <f>+'Balance Sheet'!CG21</f>
      </c>
      <c r="DB48" s="2657">
        <f>+'Balance Sheet'!CH21</f>
      </c>
      <c r="DC48" s="2657">
        <f>+'Balance Sheet'!CI21</f>
      </c>
      <c r="DD48" s="2657">
        <f>+'Balance Sheet'!CJ21</f>
      </c>
      <c r="DE48" s="2657">
        <f>+'Balance Sheet'!CK21</f>
      </c>
      <c r="DF48" s="2657">
        <f>+'Balance Sheet'!CL21</f>
      </c>
      <c r="DG48" s="2657">
        <f>+'Balance Sheet'!CM21</f>
      </c>
      <c r="DH48" s="2657">
        <f>+'Balance Sheet'!CN21</f>
      </c>
      <c r="DI48" s="2657">
        <f>+'Balance Sheet'!CO21</f>
      </c>
      <c r="DJ48" s="2657">
        <f>+'Balance Sheet'!CP21</f>
      </c>
      <c r="DK48" s="2657">
        <f>+'Balance Sheet'!CQ21</f>
      </c>
      <c r="DL48" s="2657">
        <f>+'Balance Sheet'!CR21</f>
      </c>
      <c r="DM48" s="2657">
        <f>+'Balance Sheet'!CS21</f>
      </c>
      <c r="DN48" s="2657">
        <f>+'Balance Sheet'!CT21</f>
      </c>
      <c r="DO48" s="2657">
        <f>+'Balance Sheet'!CU21</f>
      </c>
      <c r="DP48" s="2657">
        <f>+'Balance Sheet'!CV21</f>
      </c>
      <c r="DQ48" s="2657">
        <f>+'Balance Sheet'!CW21</f>
      </c>
      <c r="DR48" s="2657">
        <f>+'Balance Sheet'!CX21</f>
      </c>
      <c r="DS48" s="2657">
        <f>+'Balance Sheet'!CY21</f>
      </c>
      <c r="DT48" s="2657">
        <f>+'Balance Sheet'!CZ21</f>
      </c>
      <c r="DU48" s="2657">
        <f>+'Balance Sheet'!DA21</f>
      </c>
      <c r="DV48" s="2657">
        <f>+'Balance Sheet'!DB21</f>
      </c>
      <c r="DW48" s="2657">
        <f>+'Balance Sheet'!DC21</f>
      </c>
      <c r="DX48" s="2657">
        <f>+'Balance Sheet'!DD21</f>
      </c>
      <c r="DY48" s="2657">
        <f>+'Balance Sheet'!DE21</f>
      </c>
      <c r="DZ48" s="2657">
        <f>+'Balance Sheet'!DF21</f>
      </c>
      <c r="EA48" s="2657">
        <f>+'Balance Sheet'!DG21</f>
      </c>
      <c r="EB48" s="2657">
        <f>+'Balance Sheet'!DH21</f>
      </c>
      <c r="EC48" s="2657">
        <f>+'Balance Sheet'!DI21</f>
      </c>
      <c r="ED48" s="2657">
        <f>+'Balance Sheet'!DJ21</f>
      </c>
      <c r="EE48" s="2657">
        <f>+'Balance Sheet'!DK21</f>
      </c>
      <c r="EF48" s="2657">
        <f>+'Balance Sheet'!DL21</f>
      </c>
      <c r="EG48" s="2657">
        <f>+'Balance Sheet'!DM21</f>
      </c>
      <c r="EH48" s="2657">
        <f>+'Balance Sheet'!DN21</f>
      </c>
      <c r="EI48" s="2657">
        <f>+'Balance Sheet'!DO21</f>
      </c>
      <c r="EJ48" s="2657">
        <f>+'Balance Sheet'!DP21</f>
      </c>
      <c r="EK48" s="2657">
        <f>+'Balance Sheet'!DQ21</f>
      </c>
      <c r="EL48" s="2657">
        <f>+'Balance Sheet'!DR21</f>
      </c>
      <c r="EM48" s="2657">
        <f>+'Balance Sheet'!DS21</f>
      </c>
      <c r="EN48" s="2657">
        <f>+'Balance Sheet'!DT21</f>
      </c>
      <c r="EO48" s="2657">
        <f>+'Balance Sheet'!DU21</f>
      </c>
      <c r="EP48" s="2657">
        <f>+'Balance Sheet'!DV21</f>
      </c>
      <c r="EQ48" s="2657">
        <f>+'Balance Sheet'!DW21</f>
      </c>
      <c r="ER48" s="2657">
        <f>+'Balance Sheet'!DX21</f>
      </c>
      <c r="ES48" s="2657">
        <f>+'Balance Sheet'!DY21</f>
      </c>
      <c r="ET48" s="2657">
        <f>+'Balance Sheet'!DZ21</f>
      </c>
      <c r="EU48" s="2657">
        <f>+'Balance Sheet'!EA21</f>
      </c>
      <c r="EV48" s="2657">
        <f>+'Balance Sheet'!EB21</f>
      </c>
      <c r="EW48" s="2657">
        <f>+'Balance Sheet'!EC21</f>
      </c>
      <c r="EX48" s="2657">
        <f>+'Balance Sheet'!ED21</f>
      </c>
      <c r="EY48" s="2657">
        <f>+'Balance Sheet'!EE21</f>
      </c>
      <c r="EZ48" s="2657">
        <f>+'Balance Sheet'!EF21</f>
      </c>
      <c r="FA48" s="2657">
        <f>+'Balance Sheet'!EG21</f>
      </c>
      <c r="FB48" s="2657">
        <f>+'Balance Sheet'!EH21</f>
      </c>
      <c r="FC48" s="2657">
        <f>+'Balance Sheet'!EI21</f>
      </c>
      <c r="FD48" s="2657">
        <f>+'Balance Sheet'!EJ21</f>
      </c>
      <c r="FE48" s="2657">
        <f>+'Balance Sheet'!EK21</f>
      </c>
    </row>
    <row r="49" spans="2:161" outlineLevel="2">
      <c r="B49" t="s">
        <v>305</v>
      </c>
      <c r="C49" t="s">
        <v>306</v>
      </c>
      <c r="D49" t="str">
        <f t="shared" si="10"/>
      </c>
      <c r="F49" s="2657">
        <f t="shared" ref="F49:AI49" si="12">+F51-F50</f>
      </c>
      <c r="G49" s="2657">
        <f t="shared" si="12"/>
      </c>
      <c r="H49" s="2657">
        <f t="shared" si="12"/>
      </c>
      <c r="I49" s="2657">
        <f t="shared" si="12"/>
      </c>
      <c r="J49" s="2657">
        <f t="shared" si="12"/>
      </c>
      <c r="K49" s="2657">
        <f t="shared" si="12"/>
      </c>
      <c r="L49" s="2657">
        <f t="shared" si="12"/>
      </c>
      <c r="M49" s="2657">
        <f t="shared" si="12"/>
      </c>
      <c r="N49" s="2657">
        <f t="shared" si="12"/>
      </c>
      <c r="O49" s="2657">
        <f t="shared" si="12"/>
      </c>
      <c r="P49" s="2657">
        <f t="shared" si="12"/>
      </c>
      <c r="Q49" s="2657">
        <f t="shared" si="12"/>
      </c>
      <c r="R49" s="2657">
        <f t="shared" si="12"/>
      </c>
      <c r="S49" s="2657">
        <f t="shared" si="12"/>
      </c>
      <c r="T49" s="2657">
        <f t="shared" si="12"/>
      </c>
      <c r="U49" s="2657">
        <f t="shared" si="12"/>
      </c>
      <c r="V49" s="2657">
        <f t="shared" si="12"/>
      </c>
      <c r="W49" s="2657">
        <f t="shared" si="12"/>
      </c>
      <c r="X49" s="2657">
        <f t="shared" si="12"/>
      </c>
      <c r="Y49" s="2657">
        <f t="shared" si="12"/>
      </c>
      <c r="Z49" s="2657">
        <f t="shared" si="12"/>
      </c>
      <c r="AA49" s="2657">
        <f t="shared" si="12"/>
      </c>
      <c r="AB49" s="2657">
        <f t="shared" si="12"/>
      </c>
      <c r="AC49" s="2657">
        <f t="shared" si="12"/>
      </c>
      <c r="AD49" s="2657">
        <f t="shared" si="12"/>
      </c>
      <c r="AE49" s="2657">
        <f t="shared" si="12"/>
      </c>
      <c r="AF49" s="2657">
        <f t="shared" si="12"/>
      </c>
      <c r="AG49" s="2657">
        <f t="shared" si="12"/>
      </c>
      <c r="AH49" s="2657">
        <f t="shared" si="12"/>
      </c>
      <c r="AI49" s="2657">
        <f t="shared" si="12"/>
      </c>
      <c r="AJ49" s="2657">
        <f>+AJ51-AJ50</f>
      </c>
      <c r="AK49" s="2657"/>
      <c r="AL49" s="2657">
        <f>'Balance Sheet'!R91+'Balance Sheet'!R22</f>
      </c>
      <c r="AM49" s="2657">
        <f>'Balance Sheet'!S91+'Balance Sheet'!S22</f>
      </c>
      <c r="AN49" s="2657">
        <f>'Balance Sheet'!T91+'Balance Sheet'!T22</f>
      </c>
      <c r="AO49" s="2657">
        <f>'Balance Sheet'!U91+'Balance Sheet'!U22</f>
      </c>
      <c r="AP49" s="2657">
        <f>'Balance Sheet'!V91+'Balance Sheet'!V22</f>
      </c>
      <c r="AQ49" s="2657">
        <f>'Balance Sheet'!W91+'Balance Sheet'!W22</f>
      </c>
      <c r="AR49" s="2657">
        <f>'Balance Sheet'!X91+'Balance Sheet'!X22</f>
      </c>
      <c r="AS49" s="2657">
        <f>'Balance Sheet'!Y91+'Balance Sheet'!Y22</f>
      </c>
      <c r="AT49" s="2657">
        <f>'Balance Sheet'!Z91+'Balance Sheet'!Z22</f>
      </c>
      <c r="AU49" s="2657">
        <f>'Balance Sheet'!AA91+'Balance Sheet'!AA22</f>
      </c>
      <c r="AV49" s="2657">
        <f>'Balance Sheet'!AB91+'Balance Sheet'!AB22</f>
      </c>
      <c r="AW49" s="2657">
        <f>'Balance Sheet'!AC91+'Balance Sheet'!AC22</f>
      </c>
      <c r="AX49" s="2657">
        <f>'Balance Sheet'!AD91+'Balance Sheet'!AD22</f>
      </c>
      <c r="AY49" s="2657">
        <f>'Balance Sheet'!AE91+'Balance Sheet'!AE22</f>
      </c>
      <c r="AZ49" s="2657">
        <f>'Balance Sheet'!AF91+'Balance Sheet'!AF22</f>
      </c>
      <c r="BA49" s="2657">
        <f>'Balance Sheet'!AG91+'Balance Sheet'!AG22</f>
      </c>
      <c r="BB49" s="2657">
        <f>'Balance Sheet'!AH91+'Balance Sheet'!AH22</f>
      </c>
      <c r="BC49" s="2657">
        <f>'Balance Sheet'!AI91+'Balance Sheet'!AI22</f>
      </c>
      <c r="BD49" s="2657">
        <f>'Balance Sheet'!AJ91+'Balance Sheet'!AJ22</f>
      </c>
      <c r="BE49" s="2657">
        <f>'Balance Sheet'!AK91+'Balance Sheet'!AK22</f>
      </c>
      <c r="BF49" s="2657">
        <f>'Balance Sheet'!AL91+'Balance Sheet'!AL22</f>
      </c>
      <c r="BG49" s="2657">
        <f>'Balance Sheet'!AM91+'Balance Sheet'!AM22</f>
      </c>
      <c r="BH49" s="2657">
        <f>'Balance Sheet'!AN91+'Balance Sheet'!AN22</f>
      </c>
      <c r="BI49" s="2657">
        <f>'Balance Sheet'!AO91+'Balance Sheet'!AO22</f>
      </c>
      <c r="BJ49" s="2657">
        <f>'Balance Sheet'!AP91+'Balance Sheet'!AP22</f>
      </c>
      <c r="BK49" s="2657">
        <f>'Balance Sheet'!AQ91+'Balance Sheet'!AQ22</f>
      </c>
      <c r="BL49" s="2657">
        <f>'Balance Sheet'!AR91+'Balance Sheet'!AR22</f>
      </c>
      <c r="BM49" s="2657">
        <f>'Balance Sheet'!AS91+'Balance Sheet'!AS22</f>
      </c>
      <c r="BN49" s="2657">
        <f>'Balance Sheet'!AT91+'Balance Sheet'!AT22</f>
      </c>
      <c r="BO49" s="2657">
        <f>'Balance Sheet'!AU91+'Balance Sheet'!AU22</f>
      </c>
      <c r="BP49" s="2657">
        <f>'Balance Sheet'!AV91+'Balance Sheet'!AV22</f>
      </c>
      <c r="BQ49" s="2657">
        <f>'Balance Sheet'!AW91+'Balance Sheet'!AW22</f>
      </c>
      <c r="BR49" s="2657">
        <f>'Balance Sheet'!AX91+'Balance Sheet'!AX22</f>
      </c>
      <c r="BS49" s="2657">
        <f>'Balance Sheet'!AY91+'Balance Sheet'!AY22</f>
      </c>
      <c r="BT49" s="2657">
        <f>'Balance Sheet'!AZ91+'Balance Sheet'!AZ22</f>
      </c>
      <c r="BU49" s="2657">
        <f>'Balance Sheet'!BA91+'Balance Sheet'!BA22</f>
      </c>
      <c r="BV49" s="2657">
        <f>'Balance Sheet'!BB91+'Balance Sheet'!BB22</f>
      </c>
      <c r="BW49" s="2657">
        <f>'Balance Sheet'!BC91+'Balance Sheet'!BC22</f>
      </c>
      <c r="BX49" s="2657">
        <f>'Balance Sheet'!BD91+'Balance Sheet'!BD22</f>
      </c>
      <c r="BY49" s="2657">
        <f>'Balance Sheet'!BE91+'Balance Sheet'!BE22</f>
      </c>
      <c r="BZ49" s="2657">
        <f>'Balance Sheet'!BF91+'Balance Sheet'!BF22</f>
      </c>
      <c r="CA49" s="2657">
        <f>'Balance Sheet'!BG91+'Balance Sheet'!BG22</f>
      </c>
      <c r="CB49" s="2657">
        <f>'Balance Sheet'!BH91+'Balance Sheet'!BH22</f>
      </c>
      <c r="CC49" s="2657">
        <f>'Balance Sheet'!BI91+'Balance Sheet'!BI22</f>
      </c>
      <c r="CD49" s="2657">
        <f>'Balance Sheet'!BJ91+'Balance Sheet'!BJ22</f>
      </c>
      <c r="CE49" s="2657">
        <f>'Balance Sheet'!BK91+'Balance Sheet'!BK22</f>
      </c>
      <c r="CF49" s="2657">
        <f>'Balance Sheet'!BL91+'Balance Sheet'!BL22</f>
      </c>
      <c r="CG49" s="2657">
        <f>'Balance Sheet'!BM91+'Balance Sheet'!BM22</f>
      </c>
      <c r="CH49" s="2657">
        <f>'Balance Sheet'!BN91+'Balance Sheet'!BN22</f>
      </c>
      <c r="CI49" s="2657">
        <f>'Balance Sheet'!BO91+'Balance Sheet'!BO22</f>
      </c>
      <c r="CJ49" s="2657">
        <f>'Balance Sheet'!BP91+'Balance Sheet'!BP22</f>
      </c>
      <c r="CK49" s="2657">
        <f>'Balance Sheet'!BQ91+'Balance Sheet'!BQ22</f>
      </c>
      <c r="CL49" s="2657">
        <f>'Balance Sheet'!BR91+'Balance Sheet'!BR22</f>
      </c>
      <c r="CM49" s="2657">
        <f>'Balance Sheet'!BS91+'Balance Sheet'!BS22</f>
      </c>
      <c r="CN49" s="2657">
        <f>'Balance Sheet'!BT91+'Balance Sheet'!BT22</f>
      </c>
      <c r="CO49" s="2657">
        <f>'Balance Sheet'!BU91+'Balance Sheet'!BU22</f>
      </c>
      <c r="CP49" s="2657">
        <f>'Balance Sheet'!BV91+'Balance Sheet'!BV22</f>
      </c>
      <c r="CQ49" s="2657">
        <f>'Balance Sheet'!BW91+'Balance Sheet'!BW22</f>
      </c>
      <c r="CR49" s="2657">
        <f>'Balance Sheet'!BX91+'Balance Sheet'!BX22</f>
      </c>
      <c r="CS49" s="2657">
        <f>'Balance Sheet'!BY91+'Balance Sheet'!BY22</f>
      </c>
      <c r="CT49" s="2657">
        <f>'Balance Sheet'!BZ91+'Balance Sheet'!BZ22</f>
      </c>
      <c r="CU49" s="2657">
        <f>'Balance Sheet'!CA91+'Balance Sheet'!CA22</f>
      </c>
      <c r="CV49" s="2657">
        <f>'Balance Sheet'!CB91+'Balance Sheet'!CB22</f>
      </c>
      <c r="CW49" s="2657">
        <f>'Balance Sheet'!CC91+'Balance Sheet'!CC22</f>
      </c>
      <c r="CX49" s="2657">
        <f>'Balance Sheet'!CD91+'Balance Sheet'!CD22</f>
      </c>
      <c r="CY49" s="2657">
        <f>'Balance Sheet'!CE91+'Balance Sheet'!CE22</f>
      </c>
      <c r="CZ49" s="2657">
        <f>'Balance Sheet'!CF91+'Balance Sheet'!CF22</f>
      </c>
      <c r="DA49" s="2657">
        <f>'Balance Sheet'!CG91+'Balance Sheet'!CG22</f>
      </c>
      <c r="DB49" s="2657">
        <f>'Balance Sheet'!CH91+'Balance Sheet'!CH22</f>
      </c>
      <c r="DC49" s="2657">
        <f>'Balance Sheet'!CI91+'Balance Sheet'!CI22</f>
      </c>
      <c r="DD49" s="2657">
        <f>'Balance Sheet'!CJ91+'Balance Sheet'!CJ22</f>
      </c>
      <c r="DE49" s="2657">
        <f>'Balance Sheet'!CK91+'Balance Sheet'!CK22</f>
      </c>
      <c r="DF49" s="2657">
        <f>'Balance Sheet'!CL91+'Balance Sheet'!CL22</f>
      </c>
      <c r="DG49" s="2657">
        <f>'Balance Sheet'!CM91+'Balance Sheet'!CM22</f>
      </c>
      <c r="DH49" s="2657">
        <f>'Balance Sheet'!CN91+'Balance Sheet'!CN22</f>
      </c>
      <c r="DI49" s="2657">
        <f>'Balance Sheet'!CO91+'Balance Sheet'!CO22</f>
      </c>
      <c r="DJ49" s="2657">
        <f>'Balance Sheet'!CP91+'Balance Sheet'!CP22</f>
      </c>
      <c r="DK49" s="2657">
        <f>'Balance Sheet'!CQ91+'Balance Sheet'!CQ22</f>
      </c>
      <c r="DL49" s="2657">
        <f>'Balance Sheet'!CR91+'Balance Sheet'!CR22</f>
      </c>
      <c r="DM49" s="2657">
        <f>'Balance Sheet'!CS91+'Balance Sheet'!CS22</f>
      </c>
      <c r="DN49" s="2657">
        <f>'Balance Sheet'!CT91+'Balance Sheet'!CT22</f>
      </c>
      <c r="DO49" s="2657">
        <f>'Balance Sheet'!CU91+'Balance Sheet'!CU22</f>
      </c>
      <c r="DP49" s="2657">
        <f>'Balance Sheet'!CV91+'Balance Sheet'!CV22</f>
      </c>
      <c r="DQ49" s="2657">
        <f>'Balance Sheet'!CW91+'Balance Sheet'!CW22</f>
      </c>
      <c r="DR49" s="2657">
        <f>'Balance Sheet'!CX91+'Balance Sheet'!CX22</f>
      </c>
      <c r="DS49" s="2657">
        <f>'Balance Sheet'!CY91+'Balance Sheet'!CY22</f>
      </c>
      <c r="DT49" s="2657">
        <f>'Balance Sheet'!CZ91+'Balance Sheet'!CZ22</f>
      </c>
      <c r="DU49" s="2657">
        <f>'Balance Sheet'!DA91+'Balance Sheet'!DA22</f>
      </c>
      <c r="DV49" s="2657">
        <f>'Balance Sheet'!DB91+'Balance Sheet'!DB22</f>
      </c>
      <c r="DW49" s="2657">
        <f>'Balance Sheet'!DC91+'Balance Sheet'!DC22</f>
      </c>
      <c r="DX49" s="2657">
        <f>'Balance Sheet'!DD91+'Balance Sheet'!DD22</f>
      </c>
      <c r="DY49" s="2657">
        <f>'Balance Sheet'!DE91+'Balance Sheet'!DE22</f>
      </c>
      <c r="DZ49" s="2657">
        <f>'Balance Sheet'!DF91+'Balance Sheet'!DF22</f>
      </c>
      <c r="EA49" s="2657">
        <f>'Balance Sheet'!DG91+'Balance Sheet'!DG22</f>
      </c>
      <c r="EB49" s="2657">
        <f>'Balance Sheet'!DH91+'Balance Sheet'!DH22</f>
      </c>
      <c r="EC49" s="2657">
        <f>'Balance Sheet'!DI91+'Balance Sheet'!DI22</f>
      </c>
      <c r="ED49" s="2657">
        <f>'Balance Sheet'!DJ91+'Balance Sheet'!DJ22</f>
      </c>
      <c r="EE49" s="2657">
        <f>'Balance Sheet'!DK91+'Balance Sheet'!DK22</f>
      </c>
      <c r="EF49" s="2657">
        <f>'Balance Sheet'!DL91+'Balance Sheet'!DL22</f>
      </c>
      <c r="EG49" s="2657">
        <f>'Balance Sheet'!DM91+'Balance Sheet'!DM22</f>
      </c>
      <c r="EH49" s="2657">
        <f>'Balance Sheet'!DN91+'Balance Sheet'!DN22</f>
      </c>
      <c r="EI49" s="2657">
        <f>'Balance Sheet'!DO91+'Balance Sheet'!DO22</f>
      </c>
      <c r="EJ49" s="2657">
        <f>'Balance Sheet'!DP91+'Balance Sheet'!DP22</f>
      </c>
      <c r="EK49" s="2657">
        <f>'Balance Sheet'!DQ91+'Balance Sheet'!DQ22</f>
      </c>
      <c r="EL49" s="2657">
        <f>'Balance Sheet'!DR91+'Balance Sheet'!DR22</f>
      </c>
      <c r="EM49" s="2657">
        <f>'Balance Sheet'!DS91+'Balance Sheet'!DS22</f>
      </c>
      <c r="EN49" s="2657">
        <f>'Balance Sheet'!DT91+'Balance Sheet'!DT22</f>
      </c>
      <c r="EO49" s="2657">
        <f>'Balance Sheet'!DU91+'Balance Sheet'!DU22</f>
      </c>
      <c r="EP49" s="2657">
        <f>'Balance Sheet'!DV91+'Balance Sheet'!DV22</f>
      </c>
      <c r="EQ49" s="2657">
        <f>'Balance Sheet'!DW91+'Balance Sheet'!DW22</f>
      </c>
      <c r="ER49" s="2657">
        <f>'Balance Sheet'!DX91+'Balance Sheet'!DX22</f>
      </c>
      <c r="ES49" s="2657">
        <f>'Balance Sheet'!DY91+'Balance Sheet'!DY22</f>
      </c>
      <c r="ET49" s="2657">
        <f>'Balance Sheet'!DZ91+'Balance Sheet'!DZ22</f>
      </c>
      <c r="EU49" s="2657">
        <f>'Balance Sheet'!EA91+'Balance Sheet'!EA22</f>
      </c>
      <c r="EV49" s="2657">
        <f>'Balance Sheet'!EB91+'Balance Sheet'!EB22</f>
      </c>
      <c r="EW49" s="2657">
        <f>'Balance Sheet'!EC91+'Balance Sheet'!EC22</f>
      </c>
      <c r="EX49" s="2657">
        <f>'Balance Sheet'!ED91+'Balance Sheet'!ED22</f>
      </c>
      <c r="EY49" s="2657">
        <f>'Balance Sheet'!EE91+'Balance Sheet'!EE22</f>
      </c>
      <c r="EZ49" s="2657">
        <f>'Balance Sheet'!EF91+'Balance Sheet'!EF22</f>
      </c>
      <c r="FA49" s="2657">
        <f>'Balance Sheet'!EG91+'Balance Sheet'!EG22</f>
      </c>
      <c r="FB49" s="2657">
        <f>'Balance Sheet'!EH91+'Balance Sheet'!EH22</f>
      </c>
      <c r="FC49" s="2657">
        <f>'Balance Sheet'!EI91+'Balance Sheet'!EI22</f>
      </c>
      <c r="FD49" s="2657">
        <f>'Balance Sheet'!EJ91+'Balance Sheet'!EJ22</f>
      </c>
      <c r="FE49" s="2657">
        <f>'Balance Sheet'!EK91+'Balance Sheet'!EK22</f>
      </c>
    </row>
    <row r="50" spans="2:161" outlineLevel="2">
      <c r="B50" t="s">
        <v>307</v>
      </c>
      <c r="C50" t="s">
        <v>308</v>
      </c>
      <c r="D50" t="str">
        <f t="shared" si="10"/>
      </c>
      <c r="F50" s="2657">
        <f>'Balance Sheet'!ER92</f>
      </c>
      <c r="G50" s="2657">
        <f>'Balance Sheet'!ES92</f>
      </c>
      <c r="H50" s="2657">
        <f>'Balance Sheet'!ET92</f>
      </c>
      <c r="I50" s="2657">
        <f>'Balance Sheet'!EU92</f>
      </c>
      <c r="J50" s="2657">
        <f>'Balance Sheet'!EV92</f>
      </c>
      <c r="K50" s="2657">
        <f>'Balance Sheet'!EW92</f>
      </c>
      <c r="L50" s="2657">
        <f>'Balance Sheet'!EX92</f>
      </c>
      <c r="M50" s="2657">
        <f>'Balance Sheet'!EY92</f>
      </c>
      <c r="N50" s="2657">
        <f>'Balance Sheet'!EZ92</f>
      </c>
      <c r="O50" s="2657">
        <f>'Balance Sheet'!FA92</f>
      </c>
      <c r="P50" s="2657">
        <f>'Balance Sheet'!FB92</f>
      </c>
      <c r="Q50" s="2657">
        <f>'Balance Sheet'!FC92</f>
      </c>
      <c r="R50" s="2657">
        <f>'Balance Sheet'!FD92</f>
      </c>
      <c r="S50" s="2657">
        <f>'Balance Sheet'!FE92</f>
      </c>
      <c r="T50" s="2657">
        <f>'Balance Sheet'!FF92</f>
      </c>
      <c r="U50" s="2657">
        <f>'Balance Sheet'!FG92</f>
      </c>
      <c r="V50" s="2657">
        <f>'Balance Sheet'!FH92</f>
      </c>
      <c r="W50" s="2657">
        <f>'Balance Sheet'!FI92</f>
      </c>
      <c r="X50" s="2657">
        <f>'Balance Sheet'!FJ92</f>
      </c>
      <c r="Y50" s="2657">
        <f>'Balance Sheet'!FK92</f>
      </c>
      <c r="Z50" s="2657">
        <f>'Balance Sheet'!FL92</f>
      </c>
      <c r="AA50" s="2657">
        <f>'Balance Sheet'!FM92</f>
      </c>
      <c r="AB50" s="2657">
        <f>'Balance Sheet'!FN92</f>
      </c>
      <c r="AC50" s="2657">
        <f>'Balance Sheet'!FO92</f>
      </c>
      <c r="AD50" s="2657">
        <f>'Balance Sheet'!FP92</f>
      </c>
      <c r="AE50" s="2657">
        <f>'Balance Sheet'!FQ92</f>
      </c>
      <c r="AF50" s="2657">
        <f>'Balance Sheet'!FR92</f>
      </c>
      <c r="AG50" s="2657">
        <f>'Balance Sheet'!FS92</f>
      </c>
      <c r="AH50" s="2657">
        <f>'Balance Sheet'!FT92</f>
      </c>
      <c r="AI50" s="2657">
        <f>'Balance Sheet'!FU92</f>
      </c>
      <c r="AJ50" s="2657">
        <f>'Balance Sheet'!FV92</f>
      </c>
      <c r="AK50" s="2657"/>
      <c r="AL50" s="2657">
        <f>'Balance Sheet'!R92</f>
      </c>
      <c r="AM50" s="2657">
        <f>'Balance Sheet'!S92</f>
      </c>
      <c r="AN50" s="2657">
        <f>'Balance Sheet'!T92</f>
      </c>
      <c r="AO50" s="2657">
        <f>'Balance Sheet'!U92</f>
      </c>
      <c r="AP50" s="2657">
        <f>'Balance Sheet'!V92</f>
      </c>
      <c r="AQ50" s="2657">
        <f>'Balance Sheet'!W92</f>
      </c>
      <c r="AR50" s="2657">
        <f>'Balance Sheet'!X92</f>
      </c>
      <c r="AS50" s="2657">
        <f>'Balance Sheet'!Y92</f>
      </c>
      <c r="AT50" s="2657">
        <f>'Balance Sheet'!Z92</f>
      </c>
      <c r="AU50" s="2657">
        <f>'Balance Sheet'!AA92</f>
      </c>
      <c r="AV50" s="2657">
        <f>'Balance Sheet'!AB92</f>
      </c>
      <c r="AW50" s="2657">
        <f>'Balance Sheet'!AC92</f>
      </c>
      <c r="AX50" s="2657">
        <f>'Balance Sheet'!AD92</f>
      </c>
      <c r="AY50" s="2657">
        <f>'Balance Sheet'!AE92</f>
      </c>
      <c r="AZ50" s="2657">
        <f>'Balance Sheet'!AF92</f>
      </c>
      <c r="BA50" s="2657">
        <f>'Balance Sheet'!AG92</f>
      </c>
      <c r="BB50" s="2657">
        <f>'Balance Sheet'!AH92</f>
      </c>
      <c r="BC50" s="2657">
        <f>'Balance Sheet'!AI92</f>
      </c>
      <c r="BD50" s="2657">
        <f>'Balance Sheet'!AJ92</f>
      </c>
      <c r="BE50" s="2657">
        <f>'Balance Sheet'!AK92</f>
      </c>
      <c r="BF50" s="2657">
        <f>'Balance Sheet'!AL92</f>
      </c>
      <c r="BG50" s="2657">
        <f>'Balance Sheet'!AM92</f>
      </c>
      <c r="BH50" s="2657">
        <f>'Balance Sheet'!AN92</f>
      </c>
      <c r="BI50" s="2657">
        <f>'Balance Sheet'!AO92</f>
      </c>
      <c r="BJ50" s="2657">
        <f>'Balance Sheet'!AP92</f>
      </c>
      <c r="BK50" s="2657">
        <f>'Balance Sheet'!AQ92</f>
      </c>
      <c r="BL50" s="2657">
        <f>'Balance Sheet'!AR92</f>
      </c>
      <c r="BM50" s="2657">
        <f>'Balance Sheet'!AS92</f>
      </c>
      <c r="BN50" s="2657">
        <f>'Balance Sheet'!AT92</f>
      </c>
      <c r="BO50" s="2657">
        <f>'Balance Sheet'!AU92</f>
      </c>
      <c r="BP50" s="2657">
        <f>'Balance Sheet'!AV92</f>
      </c>
      <c r="BQ50" s="2657">
        <f>'Balance Sheet'!AW92</f>
      </c>
      <c r="BR50" s="2657">
        <f>'Balance Sheet'!AX92</f>
      </c>
      <c r="BS50" s="2657">
        <f>'Balance Sheet'!AY92</f>
      </c>
      <c r="BT50" s="2657">
        <f>'Balance Sheet'!AZ92</f>
      </c>
      <c r="BU50" s="2657">
        <f>'Balance Sheet'!BA92</f>
      </c>
      <c r="BV50" s="2657">
        <f>'Balance Sheet'!BB92</f>
      </c>
      <c r="BW50" s="2657">
        <f>'Balance Sheet'!BC92</f>
      </c>
      <c r="BX50" s="2657">
        <f>'Balance Sheet'!BD92</f>
      </c>
      <c r="BY50" s="2657">
        <f>'Balance Sheet'!BE92</f>
      </c>
      <c r="BZ50" s="2657">
        <f>'Balance Sheet'!BF92</f>
      </c>
      <c r="CA50" s="2657">
        <f>'Balance Sheet'!BG92</f>
      </c>
      <c r="CB50" s="2657">
        <f>'Balance Sheet'!BH92</f>
      </c>
      <c r="CC50" s="2657">
        <f>'Balance Sheet'!BI92</f>
      </c>
      <c r="CD50" s="2657">
        <f>'Balance Sheet'!BJ92</f>
      </c>
      <c r="CE50" s="2657">
        <f>'Balance Sheet'!BK92</f>
      </c>
      <c r="CF50" s="2657">
        <f>'Balance Sheet'!BL92</f>
      </c>
      <c r="CG50" s="2657">
        <f>'Balance Sheet'!BM92</f>
      </c>
      <c r="CH50" s="2657">
        <f>'Balance Sheet'!BN92</f>
      </c>
      <c r="CI50" s="2657">
        <f>'Balance Sheet'!BO92</f>
      </c>
      <c r="CJ50" s="2657">
        <f>'Balance Sheet'!BP92</f>
      </c>
      <c r="CK50" s="2657">
        <f>'Balance Sheet'!BQ92</f>
      </c>
      <c r="CL50" s="2657">
        <f>'Balance Sheet'!BR92</f>
      </c>
      <c r="CM50" s="2657">
        <f>'Balance Sheet'!BS92</f>
      </c>
      <c r="CN50" s="2657">
        <f>'Balance Sheet'!BT92</f>
      </c>
      <c r="CO50" s="2657">
        <f>'Balance Sheet'!BU92</f>
      </c>
      <c r="CP50" s="2657">
        <f>'Balance Sheet'!BV92</f>
      </c>
      <c r="CQ50" s="2657">
        <f>'Balance Sheet'!BW92</f>
      </c>
      <c r="CR50" s="2657">
        <f>'Balance Sheet'!BX92</f>
      </c>
      <c r="CS50" s="2657">
        <f>'Balance Sheet'!BY92</f>
      </c>
      <c r="CT50" s="2657">
        <f>'Balance Sheet'!BZ92</f>
      </c>
      <c r="CU50" s="2657">
        <f>'Balance Sheet'!CA92</f>
      </c>
      <c r="CV50" s="2657">
        <f>'Balance Sheet'!CB92</f>
      </c>
      <c r="CW50" s="2657">
        <f>'Balance Sheet'!CC92</f>
      </c>
      <c r="CX50" s="2657">
        <f>'Balance Sheet'!CD92</f>
      </c>
      <c r="CY50" s="2657">
        <f>'Balance Sheet'!CE92</f>
      </c>
      <c r="CZ50" s="2657">
        <f>'Balance Sheet'!CF92</f>
      </c>
      <c r="DA50" s="2657">
        <f>'Balance Sheet'!CG92</f>
      </c>
      <c r="DB50" s="2657">
        <f>'Balance Sheet'!CH92</f>
      </c>
      <c r="DC50" s="2657">
        <f>'Balance Sheet'!CI92</f>
      </c>
      <c r="DD50" s="2657">
        <f>'Balance Sheet'!CJ92</f>
      </c>
      <c r="DE50" s="2657">
        <f>'Balance Sheet'!CK92</f>
      </c>
      <c r="DF50" s="2657">
        <f>'Balance Sheet'!CL92</f>
      </c>
      <c r="DG50" s="2657">
        <f>'Balance Sheet'!CM92</f>
      </c>
      <c r="DH50" s="2657">
        <f>'Balance Sheet'!CN92</f>
      </c>
      <c r="DI50" s="2657">
        <f>'Balance Sheet'!CO92</f>
      </c>
      <c r="DJ50" s="2657">
        <f>'Balance Sheet'!CP92</f>
      </c>
      <c r="DK50" s="2657">
        <f>'Balance Sheet'!CQ92</f>
      </c>
      <c r="DL50" s="2657">
        <f>'Balance Sheet'!CR92</f>
      </c>
      <c r="DM50" s="2657">
        <f>'Balance Sheet'!CS92</f>
      </c>
      <c r="DN50" s="2657">
        <f>'Balance Sheet'!CT92</f>
      </c>
      <c r="DO50" s="2657">
        <f>'Balance Sheet'!CU92</f>
      </c>
      <c r="DP50" s="2657">
        <f>'Balance Sheet'!CV92</f>
      </c>
      <c r="DQ50" s="2657">
        <f>'Balance Sheet'!CW92</f>
      </c>
      <c r="DR50" s="2657">
        <f>'Balance Sheet'!CX92</f>
      </c>
      <c r="DS50" s="2657">
        <f>'Balance Sheet'!CY92</f>
      </c>
      <c r="DT50" s="2657">
        <f>'Balance Sheet'!CZ92</f>
      </c>
      <c r="DU50" s="2657">
        <f>'Balance Sheet'!DA92</f>
      </c>
      <c r="DV50" s="2657">
        <f>'Balance Sheet'!DB92</f>
      </c>
      <c r="DW50" s="2657">
        <f>'Balance Sheet'!DC92</f>
      </c>
      <c r="DX50" s="2657">
        <f>'Balance Sheet'!DD92</f>
      </c>
      <c r="DY50" s="2657">
        <f>'Balance Sheet'!DE92</f>
      </c>
      <c r="DZ50" s="2657">
        <f>'Balance Sheet'!DF92</f>
      </c>
      <c r="EA50" s="2657">
        <f>'Balance Sheet'!DG92</f>
      </c>
      <c r="EB50" s="2657">
        <f>'Balance Sheet'!DH92</f>
      </c>
      <c r="EC50" s="2657">
        <f>'Balance Sheet'!DI92</f>
      </c>
      <c r="ED50" s="2657">
        <f>'Balance Sheet'!DJ92</f>
      </c>
      <c r="EE50" s="2657">
        <f>'Balance Sheet'!DK92</f>
      </c>
      <c r="EF50" s="2657">
        <f>'Balance Sheet'!DL92</f>
      </c>
      <c r="EG50" s="2657">
        <f>'Balance Sheet'!DM92</f>
      </c>
      <c r="EH50" s="2657">
        <f>'Balance Sheet'!DN92</f>
      </c>
      <c r="EI50" s="2657">
        <f>'Balance Sheet'!DO92</f>
      </c>
      <c r="EJ50" s="2657">
        <f>'Balance Sheet'!DP92</f>
      </c>
      <c r="EK50" s="2657">
        <f>'Balance Sheet'!DQ92</f>
      </c>
      <c r="EL50" s="2657">
        <f>'Balance Sheet'!DR92</f>
      </c>
      <c r="EM50" s="2657">
        <f>'Balance Sheet'!DS92</f>
      </c>
      <c r="EN50" s="2657">
        <f>'Balance Sheet'!DT92</f>
      </c>
      <c r="EO50" s="2657">
        <f>'Balance Sheet'!DU92</f>
      </c>
      <c r="EP50" s="2657">
        <f>'Balance Sheet'!DV92</f>
      </c>
      <c r="EQ50" s="2657">
        <f>'Balance Sheet'!DW92</f>
      </c>
      <c r="ER50" s="2657">
        <f>'Balance Sheet'!DX92</f>
      </c>
      <c r="ES50" s="2657">
        <f>'Balance Sheet'!DY92</f>
      </c>
      <c r="ET50" s="2657">
        <f>'Balance Sheet'!DZ92</f>
      </c>
      <c r="EU50" s="2657">
        <f>'Balance Sheet'!EA92</f>
      </c>
      <c r="EV50" s="2657">
        <f>'Balance Sheet'!EB92</f>
      </c>
      <c r="EW50" s="2657">
        <f>'Balance Sheet'!EC92</f>
      </c>
      <c r="EX50" s="2657">
        <f>'Balance Sheet'!ED92</f>
      </c>
      <c r="EY50" s="2657">
        <f>'Balance Sheet'!EE92</f>
      </c>
      <c r="EZ50" s="2657">
        <f>'Balance Sheet'!EF92</f>
      </c>
      <c r="FA50" s="2657">
        <f>'Balance Sheet'!EG92</f>
      </c>
      <c r="FB50" s="2657">
        <f>'Balance Sheet'!EH92</f>
      </c>
      <c r="FC50" s="2657">
        <f>'Balance Sheet'!EI92</f>
      </c>
      <c r="FD50" s="2657">
        <f>'Balance Sheet'!EJ92</f>
      </c>
      <c r="FE50" s="2657">
        <f>'Balance Sheet'!EK92</f>
      </c>
    </row>
    <row r="51" spans="2:161" outlineLevel="2">
      <c r="B51" t="s">
        <v>309</v>
      </c>
      <c r="C51" t="s">
        <v>310</v>
      </c>
      <c r="D51" t="str">
        <f t="shared" si="10"/>
      </c>
      <c r="F51" s="2657">
        <f>+'Balance Sheet'!ER22+'Balance Sheet'!ER23</f>
      </c>
      <c r="G51" s="2657">
        <f>+'Balance Sheet'!ES22+'Balance Sheet'!ES23</f>
      </c>
      <c r="H51" s="2657">
        <f>+'Balance Sheet'!ET22+'Balance Sheet'!ET23</f>
      </c>
      <c r="I51" s="2657">
        <f>+'Balance Sheet'!EU22+'Balance Sheet'!EU23</f>
      </c>
      <c r="J51" s="2657">
        <f>+'Balance Sheet'!EV22+'Balance Sheet'!EV23</f>
      </c>
      <c r="K51" s="2657">
        <f>+'Balance Sheet'!EW22+'Balance Sheet'!EW23</f>
      </c>
      <c r="L51" s="2657">
        <f>+'Balance Sheet'!EX22+'Balance Sheet'!EX23</f>
      </c>
      <c r="M51" s="2657">
        <f>+'Balance Sheet'!EY22+'Balance Sheet'!EY23</f>
      </c>
      <c r="N51" s="2657">
        <f>+'Balance Sheet'!EZ22+'Balance Sheet'!EZ23</f>
      </c>
      <c r="O51" s="2657">
        <f>+'Balance Sheet'!FA22+'Balance Sheet'!FA23</f>
      </c>
      <c r="P51" s="2657">
        <f>+'Balance Sheet'!FB22+'Balance Sheet'!FB23</f>
      </c>
      <c r="Q51" s="2657">
        <f>+'Balance Sheet'!FC22+'Balance Sheet'!FC23</f>
      </c>
      <c r="R51" s="2657">
        <f>+'Balance Sheet'!FD22+'Balance Sheet'!FD23</f>
      </c>
      <c r="S51" s="2657">
        <f>+'Balance Sheet'!FE22+'Balance Sheet'!FE23</f>
      </c>
      <c r="T51" s="2657">
        <f>+'Balance Sheet'!FF22+'Balance Sheet'!FF23</f>
      </c>
      <c r="U51" s="2657">
        <f>+'Balance Sheet'!FG22+'Balance Sheet'!FG23</f>
      </c>
      <c r="V51" s="2657">
        <f>+'Balance Sheet'!FH22+'Balance Sheet'!FH23</f>
      </c>
      <c r="W51" s="2657">
        <f>+'Balance Sheet'!FI22+'Balance Sheet'!FI23</f>
      </c>
      <c r="X51" s="2657">
        <f>+'Balance Sheet'!FJ22+'Balance Sheet'!FJ23</f>
      </c>
      <c r="Y51" s="2657">
        <f>+'Balance Sheet'!FK22+'Balance Sheet'!FK23</f>
      </c>
      <c r="Z51" s="2657">
        <f>+'Balance Sheet'!FL22+'Balance Sheet'!FL23</f>
      </c>
      <c r="AA51" s="2657">
        <f>+'Balance Sheet'!FM22+'Balance Sheet'!FM23</f>
      </c>
      <c r="AB51" s="2657">
        <f>+'Balance Sheet'!FN22+'Balance Sheet'!FN23</f>
      </c>
      <c r="AC51" s="2657">
        <f>+'Balance Sheet'!FO22+'Balance Sheet'!FO23</f>
      </c>
      <c r="AD51" s="2657">
        <f>+'Balance Sheet'!FP22+'Balance Sheet'!FP23</f>
      </c>
      <c r="AE51" s="2657">
        <f>+'Balance Sheet'!FQ22+'Balance Sheet'!FQ23</f>
      </c>
      <c r="AF51" s="2657">
        <f>+'Balance Sheet'!FR22+'Balance Sheet'!FR23</f>
      </c>
      <c r="AG51" s="2657">
        <f>+'Balance Sheet'!FS22+'Balance Sheet'!FS23</f>
      </c>
      <c r="AH51" s="2657">
        <f>+'Balance Sheet'!FT22+'Balance Sheet'!FT23</f>
      </c>
      <c r="AI51" s="2657">
        <f>+'Balance Sheet'!FU22+'Balance Sheet'!FU23</f>
      </c>
      <c r="AJ51" s="2657">
        <f>+'Balance Sheet'!FV22+'Balance Sheet'!FV23</f>
      </c>
      <c r="AK51" s="2657"/>
      <c r="AL51" s="2657">
        <f>+'Balance Sheet'!R22+'Balance Sheet'!R23</f>
      </c>
      <c r="AM51" s="2657">
        <f>+'Balance Sheet'!S22+'Balance Sheet'!S23</f>
      </c>
      <c r="AN51" s="2657">
        <f>+'Balance Sheet'!T22+'Balance Sheet'!T23</f>
      </c>
      <c r="AO51" s="2657">
        <f>+'Balance Sheet'!U22+'Balance Sheet'!U23</f>
      </c>
      <c r="AP51" s="2657">
        <f>+'Balance Sheet'!V22+'Balance Sheet'!V23</f>
      </c>
      <c r="AQ51" s="2657">
        <f>+'Balance Sheet'!W22+'Balance Sheet'!W23</f>
      </c>
      <c r="AR51" s="2657">
        <f>+'Balance Sheet'!X22+'Balance Sheet'!X23</f>
      </c>
      <c r="AS51" s="2657">
        <f>+'Balance Sheet'!Y22+'Balance Sheet'!Y23</f>
      </c>
      <c r="AT51" s="2657">
        <f>+'Balance Sheet'!Z22+'Balance Sheet'!Z23</f>
      </c>
      <c r="AU51" s="2657">
        <f>+'Balance Sheet'!AA22+'Balance Sheet'!AA23</f>
      </c>
      <c r="AV51" s="2657">
        <f>+'Balance Sheet'!AB22+'Balance Sheet'!AB23</f>
      </c>
      <c r="AW51" s="2657">
        <f>+'Balance Sheet'!AC22+'Balance Sheet'!AC23</f>
      </c>
      <c r="AX51" s="2657">
        <f>+'Balance Sheet'!AD22+'Balance Sheet'!AD23</f>
      </c>
      <c r="AY51" s="2657">
        <f>+'Balance Sheet'!AE22+'Balance Sheet'!AE23</f>
      </c>
      <c r="AZ51" s="2657">
        <f>+'Balance Sheet'!AF22+'Balance Sheet'!AF23</f>
      </c>
      <c r="BA51" s="2657">
        <f>+'Balance Sheet'!AG22+'Balance Sheet'!AG23</f>
      </c>
      <c r="BB51" s="2657">
        <f>+'Balance Sheet'!AH22+'Balance Sheet'!AH23</f>
      </c>
      <c r="BC51" s="2657">
        <f>+'Balance Sheet'!AI22+'Balance Sheet'!AI23</f>
      </c>
      <c r="BD51" s="2657">
        <f>+'Balance Sheet'!AJ22+'Balance Sheet'!AJ23</f>
      </c>
      <c r="BE51" s="2657">
        <f>+'Balance Sheet'!AK22+'Balance Sheet'!AK23</f>
      </c>
      <c r="BF51" s="2657">
        <f>+'Balance Sheet'!AL22+'Balance Sheet'!AL23</f>
      </c>
      <c r="BG51" s="2657">
        <f>+'Balance Sheet'!AM22+'Balance Sheet'!AM23</f>
      </c>
      <c r="BH51" s="2657">
        <f>+'Balance Sheet'!AN22+'Balance Sheet'!AN23</f>
      </c>
      <c r="BI51" s="2657">
        <f>+'Balance Sheet'!AO22+'Balance Sheet'!AO23</f>
      </c>
      <c r="BJ51" s="2657">
        <f>+'Balance Sheet'!AP22+'Balance Sheet'!AP23</f>
      </c>
      <c r="BK51" s="2657">
        <f>+'Balance Sheet'!AQ22+'Balance Sheet'!AQ23</f>
      </c>
      <c r="BL51" s="2657">
        <f>+'Balance Sheet'!AR22+'Balance Sheet'!AR23</f>
      </c>
      <c r="BM51" s="2657">
        <f>+'Balance Sheet'!AS22+'Balance Sheet'!AS23</f>
      </c>
      <c r="BN51" s="2657">
        <f>+'Balance Sheet'!AT22+'Balance Sheet'!AT23</f>
      </c>
      <c r="BO51" s="2657">
        <f>+'Balance Sheet'!AU22+'Balance Sheet'!AU23</f>
      </c>
      <c r="BP51" s="2657">
        <f>+'Balance Sheet'!AV22+'Balance Sheet'!AV23</f>
      </c>
      <c r="BQ51" s="2657">
        <f>+'Balance Sheet'!AW22+'Balance Sheet'!AW23</f>
      </c>
      <c r="BR51" s="2657">
        <f>+'Balance Sheet'!AX22+'Balance Sheet'!AX23</f>
      </c>
      <c r="BS51" s="2657">
        <f>+'Balance Sheet'!AY22+'Balance Sheet'!AY23</f>
      </c>
      <c r="BT51" s="2657">
        <f>+'Balance Sheet'!AZ22+'Balance Sheet'!AZ23</f>
      </c>
      <c r="BU51" s="2657">
        <f>+'Balance Sheet'!BA22+'Balance Sheet'!BA23</f>
      </c>
      <c r="BV51" s="2657">
        <f>+'Balance Sheet'!BB22+'Balance Sheet'!BB23</f>
      </c>
      <c r="BW51" s="2657">
        <f>+'Balance Sheet'!BC22+'Balance Sheet'!BC23</f>
      </c>
      <c r="BX51" s="2657">
        <f>+'Balance Sheet'!BD22+'Balance Sheet'!BD23</f>
      </c>
      <c r="BY51" s="2657">
        <f>+'Balance Sheet'!BE22+'Balance Sheet'!BE23</f>
      </c>
      <c r="BZ51" s="2657">
        <f>+'Balance Sheet'!BF22+'Balance Sheet'!BF23</f>
      </c>
      <c r="CA51" s="2657">
        <f>+'Balance Sheet'!BG22+'Balance Sheet'!BG23</f>
      </c>
      <c r="CB51" s="2657">
        <f>+'Balance Sheet'!BH22+'Balance Sheet'!BH23</f>
      </c>
      <c r="CC51" s="2657">
        <f>+'Balance Sheet'!BI22+'Balance Sheet'!BI23</f>
      </c>
      <c r="CD51" s="2657">
        <f>+'Balance Sheet'!BJ22+'Balance Sheet'!BJ23</f>
      </c>
      <c r="CE51" s="2657">
        <f>+'Balance Sheet'!BK22+'Balance Sheet'!BK23</f>
      </c>
      <c r="CF51" s="2657">
        <f>+'Balance Sheet'!BL22+'Balance Sheet'!BL23</f>
      </c>
      <c r="CG51" s="2657">
        <f>+'Balance Sheet'!BM22+'Balance Sheet'!BM23</f>
      </c>
      <c r="CH51" s="2657">
        <f>+'Balance Sheet'!BN22+'Balance Sheet'!BN23</f>
      </c>
      <c r="CI51" s="2657">
        <f>+'Balance Sheet'!BO22+'Balance Sheet'!BO23</f>
      </c>
      <c r="CJ51" s="2657">
        <f>+'Balance Sheet'!BP22+'Balance Sheet'!BP23</f>
      </c>
      <c r="CK51" s="2657">
        <f>+'Balance Sheet'!BQ22+'Balance Sheet'!BQ23</f>
      </c>
      <c r="CL51" s="2657">
        <f>+'Balance Sheet'!BR22+'Balance Sheet'!BR23</f>
      </c>
      <c r="CM51" s="2657">
        <f>+'Balance Sheet'!BS22+'Balance Sheet'!BS23</f>
      </c>
      <c r="CN51" s="2657">
        <f>+'Balance Sheet'!BT22+'Balance Sheet'!BT23</f>
      </c>
      <c r="CO51" s="2657">
        <f>+'Balance Sheet'!BU22+'Balance Sheet'!BU23</f>
      </c>
      <c r="CP51" s="2657">
        <f>+'Balance Sheet'!BV22+'Balance Sheet'!BV23</f>
      </c>
      <c r="CQ51" s="2657">
        <f>+'Balance Sheet'!BW22+'Balance Sheet'!BW23</f>
      </c>
      <c r="CR51" s="2657">
        <f>+'Balance Sheet'!BX22+'Balance Sheet'!BX23</f>
      </c>
      <c r="CS51" s="2657">
        <f>+'Balance Sheet'!BY22+'Balance Sheet'!BY23</f>
      </c>
      <c r="CT51" s="2657">
        <f>+'Balance Sheet'!BZ22+'Balance Sheet'!BZ23</f>
      </c>
      <c r="CU51" s="2657">
        <f>+'Balance Sheet'!CA22+'Balance Sheet'!CA23</f>
      </c>
      <c r="CV51" s="2657">
        <f>+'Balance Sheet'!CB22+'Balance Sheet'!CB23</f>
      </c>
      <c r="CW51" s="2657">
        <f>+'Balance Sheet'!CC22+'Balance Sheet'!CC23</f>
      </c>
      <c r="CX51" s="2657">
        <f>+'Balance Sheet'!CD22+'Balance Sheet'!CD23</f>
      </c>
      <c r="CY51" s="2657">
        <f>+'Balance Sheet'!CE22+'Balance Sheet'!CE23</f>
      </c>
      <c r="CZ51" s="2657">
        <f>+'Balance Sheet'!CF22+'Balance Sheet'!CF23</f>
      </c>
      <c r="DA51" s="2657">
        <f>+'Balance Sheet'!CG22+'Balance Sheet'!CG23</f>
      </c>
      <c r="DB51" s="2657">
        <f>+'Balance Sheet'!CH22+'Balance Sheet'!CH23</f>
      </c>
      <c r="DC51" s="2657">
        <f>+'Balance Sheet'!CI22+'Balance Sheet'!CI23</f>
      </c>
      <c r="DD51" s="2657">
        <f>+'Balance Sheet'!CJ22+'Balance Sheet'!CJ23</f>
      </c>
      <c r="DE51" s="2657">
        <f>+'Balance Sheet'!CK22+'Balance Sheet'!CK23</f>
      </c>
      <c r="DF51" s="2657">
        <f>+'Balance Sheet'!CL22+'Balance Sheet'!CL23</f>
      </c>
      <c r="DG51" s="2657">
        <f>+'Balance Sheet'!CM22+'Balance Sheet'!CM23</f>
      </c>
      <c r="DH51" s="2657">
        <f>+'Balance Sheet'!CN22+'Balance Sheet'!CN23</f>
      </c>
      <c r="DI51" s="2657">
        <f>+'Balance Sheet'!CO22+'Balance Sheet'!CO23</f>
      </c>
      <c r="DJ51" s="2657">
        <f>+'Balance Sheet'!CP22+'Balance Sheet'!CP23</f>
      </c>
      <c r="DK51" s="2657">
        <f>+'Balance Sheet'!CQ22+'Balance Sheet'!CQ23</f>
      </c>
      <c r="DL51" s="2657">
        <f>+'Balance Sheet'!CR22+'Balance Sheet'!CR23</f>
      </c>
      <c r="DM51" s="2657">
        <f>+'Balance Sheet'!CS22+'Balance Sheet'!CS23</f>
      </c>
      <c r="DN51" s="2657">
        <f>+'Balance Sheet'!CT22+'Balance Sheet'!CT23</f>
      </c>
      <c r="DO51" s="2657">
        <f>+'Balance Sheet'!CU22+'Balance Sheet'!CU23</f>
      </c>
      <c r="DP51" s="2657">
        <f>+'Balance Sheet'!CV22+'Balance Sheet'!CV23</f>
      </c>
      <c r="DQ51" s="2657">
        <f>+'Balance Sheet'!CW22+'Balance Sheet'!CW23</f>
      </c>
      <c r="DR51" s="2657">
        <f>+'Balance Sheet'!CX22+'Balance Sheet'!CX23</f>
      </c>
      <c r="DS51" s="2657">
        <f>+'Balance Sheet'!CY22+'Balance Sheet'!CY23</f>
      </c>
      <c r="DT51" s="2657">
        <f>+'Balance Sheet'!CZ22+'Balance Sheet'!CZ23</f>
      </c>
      <c r="DU51" s="2657">
        <f>+'Balance Sheet'!DA22+'Balance Sheet'!DA23</f>
      </c>
      <c r="DV51" s="2657">
        <f>+'Balance Sheet'!DB22+'Balance Sheet'!DB23</f>
      </c>
      <c r="DW51" s="2657">
        <f>+'Balance Sheet'!DC22+'Balance Sheet'!DC23</f>
      </c>
      <c r="DX51" s="2657">
        <f>+'Balance Sheet'!DD22+'Balance Sheet'!DD23</f>
      </c>
      <c r="DY51" s="2657">
        <f>+'Balance Sheet'!DE22+'Balance Sheet'!DE23</f>
      </c>
      <c r="DZ51" s="2657">
        <f>+'Balance Sheet'!DF22+'Balance Sheet'!DF23</f>
      </c>
      <c r="EA51" s="2657">
        <f>+'Balance Sheet'!DG22+'Balance Sheet'!DG23</f>
      </c>
      <c r="EB51" s="2657">
        <f>+'Balance Sheet'!DH22+'Balance Sheet'!DH23</f>
      </c>
      <c r="EC51" s="2657">
        <f>+'Balance Sheet'!DI22+'Balance Sheet'!DI23</f>
      </c>
      <c r="ED51" s="2657">
        <f>+'Balance Sheet'!DJ22+'Balance Sheet'!DJ23</f>
      </c>
      <c r="EE51" s="2657">
        <f>+'Balance Sheet'!DK22+'Balance Sheet'!DK23</f>
      </c>
      <c r="EF51" s="2657">
        <f>+'Balance Sheet'!DL22+'Balance Sheet'!DL23</f>
      </c>
      <c r="EG51" s="2657">
        <f>+'Balance Sheet'!DM22+'Balance Sheet'!DM23</f>
      </c>
      <c r="EH51" s="2657">
        <f>+'Balance Sheet'!DN22+'Balance Sheet'!DN23</f>
      </c>
      <c r="EI51" s="2657">
        <f>+'Balance Sheet'!DO22+'Balance Sheet'!DO23</f>
      </c>
      <c r="EJ51" s="2657">
        <f>+'Balance Sheet'!DP22+'Balance Sheet'!DP23</f>
      </c>
      <c r="EK51" s="2657">
        <f>+'Balance Sheet'!DQ22+'Balance Sheet'!DQ23</f>
      </c>
      <c r="EL51" s="2657">
        <f>+'Balance Sheet'!DR22+'Balance Sheet'!DR23</f>
      </c>
      <c r="EM51" s="2657">
        <f>+'Balance Sheet'!DS22+'Balance Sheet'!DS23</f>
      </c>
      <c r="EN51" s="2657">
        <f>+'Balance Sheet'!DT22+'Balance Sheet'!DT23</f>
      </c>
      <c r="EO51" s="2657">
        <f>+'Balance Sheet'!DU22+'Balance Sheet'!DU23</f>
      </c>
      <c r="EP51" s="2657">
        <f>+'Balance Sheet'!DV22+'Balance Sheet'!DV23</f>
      </c>
      <c r="EQ51" s="2657">
        <f>+'Balance Sheet'!DW22+'Balance Sheet'!DW23</f>
      </c>
      <c r="ER51" s="2657">
        <f>+'Balance Sheet'!DX22+'Balance Sheet'!DX23</f>
      </c>
      <c r="ES51" s="2657">
        <f>+'Balance Sheet'!DY22+'Balance Sheet'!DY23</f>
      </c>
      <c r="ET51" s="2657">
        <f>+'Balance Sheet'!DZ22+'Balance Sheet'!DZ23</f>
      </c>
      <c r="EU51" s="2657">
        <f>+'Balance Sheet'!EA22+'Balance Sheet'!EA23</f>
      </c>
      <c r="EV51" s="2657">
        <f>+'Balance Sheet'!EB22+'Balance Sheet'!EB23</f>
      </c>
      <c r="EW51" s="2657">
        <f>+'Balance Sheet'!EC22+'Balance Sheet'!EC23</f>
      </c>
      <c r="EX51" s="2657">
        <f>+'Balance Sheet'!ED22+'Balance Sheet'!ED23</f>
      </c>
      <c r="EY51" s="2657">
        <f>+'Balance Sheet'!EE22+'Balance Sheet'!EE23</f>
      </c>
      <c r="EZ51" s="2657">
        <f>+'Balance Sheet'!EF22+'Balance Sheet'!EF23</f>
      </c>
      <c r="FA51" s="2657">
        <f>+'Balance Sheet'!EG22+'Balance Sheet'!EG23</f>
      </c>
      <c r="FB51" s="2657">
        <f>+'Balance Sheet'!EH22+'Balance Sheet'!EH23</f>
      </c>
      <c r="FC51" s="2657">
        <f>+'Balance Sheet'!EI22+'Balance Sheet'!EI23</f>
      </c>
      <c r="FD51" s="2657">
        <f>+'Balance Sheet'!EJ22+'Balance Sheet'!EJ23</f>
      </c>
      <c r="FE51" s="2657">
        <f>+'Balance Sheet'!EK22+'Balance Sheet'!EK23</f>
      </c>
    </row>
    <row r="52" spans="2:161" outlineLevel="2">
      <c r="B52" t="s">
        <v>311</v>
      </c>
      <c r="C52" t="s">
        <v>312</v>
      </c>
      <c r="D52" t="str">
        <f t="shared" si="10"/>
      </c>
      <c r="F52" s="2657"/>
      <c r="G52" s="2657"/>
      <c r="H52" s="2657"/>
      <c r="I52" s="2657"/>
      <c r="J52" s="2657"/>
      <c r="K52" s="2657"/>
      <c r="L52" s="2657"/>
      <c r="M52" s="2657"/>
      <c r="N52" s="2657"/>
      <c r="O52" s="2657"/>
      <c r="P52" s="2657"/>
      <c r="Q52" s="2657"/>
      <c r="R52" s="2657"/>
      <c r="S52" s="2657"/>
      <c r="T52" s="2657"/>
      <c r="U52" s="2657"/>
      <c r="V52" s="2657"/>
      <c r="W52" s="2657"/>
      <c r="X52" s="2657"/>
      <c r="Y52" s="2657"/>
      <c r="Z52" s="2657"/>
      <c r="AA52" s="2657"/>
      <c r="AB52" s="2657"/>
      <c r="AC52" s="2657"/>
      <c r="AD52" s="2657"/>
      <c r="AE52" s="2657"/>
      <c r="AF52" s="2657"/>
      <c r="AG52" s="2657"/>
      <c r="AH52" s="2657"/>
      <c r="AI52" s="2657"/>
      <c r="AJ52" s="2657"/>
      <c r="AK52" s="2657"/>
      <c r="AL52" s="2657"/>
      <c r="AM52" s="2657"/>
      <c r="AN52" s="2657"/>
      <c r="AO52" s="2657"/>
      <c r="AP52" s="2657"/>
      <c r="AQ52" s="2657"/>
      <c r="AR52" s="2657"/>
      <c r="AS52" s="2657"/>
      <c r="AT52" s="2657"/>
      <c r="AU52" s="2657"/>
      <c r="AV52" s="2657"/>
      <c r="AW52" s="2657"/>
      <c r="AX52" s="2657">
        <v>0</v>
      </c>
      <c r="AY52" s="2657">
        <v>0</v>
      </c>
      <c r="AZ52" s="2657">
        <v>0</v>
      </c>
      <c r="BA52" s="2657">
        <v>0</v>
      </c>
      <c r="BB52" s="2657">
        <v>0</v>
      </c>
      <c r="BC52" s="2657">
        <v>0</v>
      </c>
      <c r="BD52" s="2657">
        <v>0</v>
      </c>
      <c r="BE52" s="2657">
        <v>0</v>
      </c>
      <c r="BF52" s="2657">
        <v>0</v>
      </c>
      <c r="BG52" s="2657">
        <v>0</v>
      </c>
      <c r="BH52" s="2657">
        <v>0</v>
      </c>
      <c r="BI52" s="2657">
        <v>0</v>
      </c>
      <c r="BJ52" s="2657">
        <v>0</v>
      </c>
      <c r="BK52" s="2657">
        <v>0</v>
      </c>
      <c r="BL52" s="2657">
        <v>0</v>
      </c>
      <c r="BM52" s="2657">
        <v>0</v>
      </c>
      <c r="BN52" s="2657">
        <v>0</v>
      </c>
      <c r="BO52" s="2657">
        <v>0</v>
      </c>
      <c r="BP52" s="2657">
        <v>0</v>
      </c>
      <c r="BQ52" s="2657">
        <v>0</v>
      </c>
      <c r="BR52" s="2657">
        <v>0</v>
      </c>
      <c r="BS52" s="2657">
        <v>0</v>
      </c>
      <c r="BT52" s="2657">
        <v>0</v>
      </c>
      <c r="BU52" s="2657">
        <v>0</v>
      </c>
      <c r="BV52" s="2657">
        <v>0</v>
      </c>
      <c r="BW52" s="2657"/>
      <c r="BX52" s="2657"/>
      <c r="BY52" s="2657"/>
      <c r="BZ52" s="2657"/>
      <c r="CA52" s="2657"/>
      <c r="CB52" s="2657"/>
      <c r="CC52" s="2657"/>
      <c r="CD52" s="2657"/>
      <c r="CE52" s="2657"/>
      <c r="CF52" s="2657"/>
      <c r="CG52" s="2657"/>
      <c r="CH52" s="2657"/>
      <c r="CI52" s="2657"/>
      <c r="CJ52" s="2657"/>
      <c r="CK52" s="2657"/>
      <c r="CL52" s="2657"/>
      <c r="CM52" s="2657"/>
      <c r="CN52" s="2657"/>
      <c r="CO52" s="2657"/>
      <c r="CP52" s="2657"/>
      <c r="CQ52" s="2657"/>
      <c r="CR52" s="2657"/>
      <c r="CS52" s="2657"/>
      <c r="CT52" s="2657"/>
      <c r="CU52" s="2657"/>
      <c r="CV52" s="2657"/>
      <c r="CW52" s="2657"/>
      <c r="CX52" s="2657"/>
      <c r="CY52" s="2657"/>
      <c r="CZ52" s="2657"/>
      <c r="DA52" s="2657"/>
      <c r="DB52" s="2657"/>
      <c r="DC52" s="2657"/>
      <c r="DD52" s="2657"/>
      <c r="DE52" s="2657"/>
      <c r="DF52" s="2657"/>
      <c r="DG52" s="2657"/>
      <c r="DH52" s="2657"/>
      <c r="DI52" s="2657"/>
      <c r="DJ52" s="2657"/>
      <c r="DK52" s="2657"/>
      <c r="DL52" s="2657"/>
      <c r="DM52" s="2657"/>
      <c r="DN52" s="2657"/>
      <c r="DO52" s="2657"/>
      <c r="DP52" s="2657"/>
      <c r="DQ52" s="2657"/>
      <c r="DR52" s="2657"/>
      <c r="DS52" s="2657"/>
      <c r="DT52" s="2657"/>
      <c r="DU52" s="2657"/>
      <c r="DV52" s="2657"/>
      <c r="DW52" s="2657"/>
      <c r="DX52" s="2657"/>
      <c r="DY52" s="2657"/>
      <c r="DZ52" s="2657"/>
      <c r="EA52" s="2657"/>
      <c r="EB52" s="2657"/>
      <c r="EC52" s="2657"/>
      <c r="ED52" s="2657"/>
      <c r="EE52" s="2657"/>
      <c r="EF52" s="2657"/>
      <c r="EG52" s="2657"/>
      <c r="EH52" s="2657"/>
      <c r="EI52" s="2657"/>
      <c r="EJ52" s="2657"/>
      <c r="EK52" s="2657"/>
      <c r="EL52" s="2657"/>
      <c r="EM52" s="2657"/>
      <c r="EN52" s="2657"/>
      <c r="EO52" s="2657"/>
      <c r="EP52" s="2657"/>
      <c r="EQ52" s="2657"/>
      <c r="ER52" s="2657"/>
      <c r="ES52" s="2657"/>
      <c r="ET52" s="2657"/>
      <c r="EU52" s="2657"/>
      <c r="EV52" s="2657"/>
      <c r="EW52" s="2657"/>
      <c r="EX52" s="2657"/>
      <c r="EY52" s="2657"/>
      <c r="EZ52" s="2657"/>
      <c r="FA52" s="2657"/>
      <c r="FB52" s="2657"/>
      <c r="FC52" s="2657"/>
      <c r="FD52" s="2657"/>
      <c r="FE52" s="2657"/>
    </row>
    <row r="53" spans="2:161" outlineLevel="2">
      <c r="B53" t="s">
        <v>313</v>
      </c>
      <c r="C53" t="s">
        <v>314</v>
      </c>
      <c r="D53" t="str">
        <f t="shared" si="10"/>
      </c>
      <c r="F53" s="2657">
        <f>'Balance Sheet'!ER20</f>
      </c>
      <c r="G53" s="2657">
        <f>'Balance Sheet'!ES20</f>
      </c>
      <c r="H53" s="2657">
        <f>'Balance Sheet'!ET20</f>
      </c>
      <c r="I53" s="2657">
        <f>'Balance Sheet'!EU20</f>
      </c>
      <c r="J53" s="2657">
        <f>'Balance Sheet'!EV20</f>
      </c>
      <c r="K53" s="2657">
        <f>'Balance Sheet'!EW20</f>
      </c>
      <c r="L53" s="2657">
        <f>'Balance Sheet'!EX20</f>
      </c>
      <c r="M53" s="2657">
        <f>'Balance Sheet'!EY20</f>
      </c>
      <c r="N53" s="2657">
        <f>'Balance Sheet'!EZ20</f>
      </c>
      <c r="O53" s="2657">
        <f>'Balance Sheet'!FA20</f>
      </c>
      <c r="P53" s="2657">
        <f>'Balance Sheet'!FB20</f>
      </c>
      <c r="Q53" s="2657">
        <f>'Balance Sheet'!FC20</f>
      </c>
      <c r="R53" s="2657">
        <f>'Balance Sheet'!FD20</f>
      </c>
      <c r="S53" s="2657">
        <f>'Balance Sheet'!FE20</f>
      </c>
      <c r="T53" s="2657">
        <f>'Balance Sheet'!FF20</f>
      </c>
      <c r="U53" s="2657">
        <f>'Balance Sheet'!FG20</f>
      </c>
      <c r="V53" s="2657">
        <f>'Balance Sheet'!FH20</f>
      </c>
      <c r="W53" s="2657">
        <f>'Balance Sheet'!FI20</f>
      </c>
      <c r="X53" s="2657">
        <f>'Balance Sheet'!FJ20</f>
      </c>
      <c r="Y53" s="2657">
        <f>'Balance Sheet'!FK20</f>
      </c>
      <c r="Z53" s="2657">
        <f>'Balance Sheet'!FL20</f>
      </c>
      <c r="AA53" s="2657">
        <f>'Balance Sheet'!FM20</f>
      </c>
      <c r="AB53" s="2657">
        <f>'Balance Sheet'!FN20</f>
      </c>
      <c r="AC53" s="2657">
        <f>'Balance Sheet'!FO20</f>
      </c>
      <c r="AD53" s="2657">
        <f>'Balance Sheet'!FP20</f>
      </c>
      <c r="AE53" s="2657">
        <f>'Balance Sheet'!FQ20</f>
      </c>
      <c r="AF53" s="2657">
        <f>'Balance Sheet'!FR20</f>
      </c>
      <c r="AG53" s="2657">
        <f>'Balance Sheet'!FS20</f>
      </c>
      <c r="AH53" s="2657">
        <f>'Balance Sheet'!FT20</f>
      </c>
      <c r="AI53" s="2657">
        <f>'Balance Sheet'!FU20</f>
      </c>
      <c r="AJ53" s="2657">
        <f>'Balance Sheet'!FV20</f>
      </c>
      <c r="AK53" s="2657"/>
      <c r="AL53" s="2657">
        <f>'Balance Sheet'!R20</f>
      </c>
      <c r="AM53" s="2657">
        <f>'Balance Sheet'!S20</f>
      </c>
      <c r="AN53" s="2657">
        <f>'Balance Sheet'!T20</f>
      </c>
      <c r="AO53" s="2657">
        <f>'Balance Sheet'!U20</f>
      </c>
      <c r="AP53" s="2657">
        <f>'Balance Sheet'!V20</f>
      </c>
      <c r="AQ53" s="2657">
        <f>'Balance Sheet'!W20</f>
      </c>
      <c r="AR53" s="2657">
        <f>'Balance Sheet'!X20</f>
      </c>
      <c r="AS53" s="2657">
        <f>'Balance Sheet'!Y20</f>
      </c>
      <c r="AT53" s="2657">
        <f>'Balance Sheet'!Z20</f>
      </c>
      <c r="AU53" s="2657">
        <f>'Balance Sheet'!AA20</f>
      </c>
      <c r="AV53" s="2657">
        <f>'Balance Sheet'!AB20</f>
      </c>
      <c r="AW53" s="2657">
        <f>'Balance Sheet'!AC20</f>
      </c>
      <c r="AX53" s="2657">
        <f>'Balance Sheet'!AD20</f>
      </c>
      <c r="AY53" s="2657">
        <f>'Balance Sheet'!AE20</f>
      </c>
      <c r="AZ53" s="2657">
        <f>'Balance Sheet'!AF20</f>
      </c>
      <c r="BA53" s="2657">
        <f>'Balance Sheet'!AG20</f>
      </c>
      <c r="BB53" s="2657">
        <f>'Balance Sheet'!AH20</f>
      </c>
      <c r="BC53" s="2657">
        <f>'Balance Sheet'!AI20</f>
      </c>
      <c r="BD53" s="2657">
        <f>'Balance Sheet'!AJ20</f>
      </c>
      <c r="BE53" s="2657">
        <f>'Balance Sheet'!AK20</f>
      </c>
      <c r="BF53" s="2657">
        <f>'Balance Sheet'!AL20</f>
      </c>
      <c r="BG53" s="2657">
        <f>'Balance Sheet'!AM20</f>
      </c>
      <c r="BH53" s="2657">
        <f>'Balance Sheet'!AN20</f>
      </c>
      <c r="BI53" s="2657">
        <f>'Balance Sheet'!AO20</f>
      </c>
      <c r="BJ53" s="2657">
        <f>'Balance Sheet'!AP20</f>
      </c>
      <c r="BK53" s="2657">
        <f>'Balance Sheet'!AQ20</f>
      </c>
      <c r="BL53" s="2657">
        <f>'Balance Sheet'!AR20</f>
      </c>
      <c r="BM53" s="2657">
        <f>'Balance Sheet'!AS20</f>
      </c>
      <c r="BN53" s="2657">
        <f>'Balance Sheet'!AT20</f>
      </c>
      <c r="BO53" s="2657">
        <f>'Balance Sheet'!AU20</f>
      </c>
      <c r="BP53" s="2657">
        <f>'Balance Sheet'!AV20</f>
      </c>
      <c r="BQ53" s="2657">
        <f>'Balance Sheet'!AW20</f>
      </c>
      <c r="BR53" s="2657">
        <f>'Balance Sheet'!AX20</f>
      </c>
      <c r="BS53" s="2657">
        <f>'Balance Sheet'!AY20</f>
      </c>
      <c r="BT53" s="2657">
        <f>'Balance Sheet'!AZ20</f>
      </c>
      <c r="BU53" s="2657">
        <f>'Balance Sheet'!BA20</f>
      </c>
      <c r="BV53" s="2657">
        <f>'Balance Sheet'!BB20</f>
      </c>
      <c r="BW53" s="2657">
        <f>'Balance Sheet'!BC20</f>
      </c>
      <c r="BX53" s="2657">
        <f>'Balance Sheet'!BD20</f>
      </c>
      <c r="BY53" s="2657">
        <f>'Balance Sheet'!BE20</f>
      </c>
      <c r="BZ53" s="2657">
        <f>'Balance Sheet'!BF20</f>
      </c>
      <c r="CA53" s="2657">
        <f>'Balance Sheet'!BG20</f>
      </c>
      <c r="CB53" s="2657">
        <f>'Balance Sheet'!BH20</f>
      </c>
      <c r="CC53" s="2657">
        <f>'Balance Sheet'!BI20</f>
      </c>
      <c r="CD53" s="2657">
        <f>'Balance Sheet'!BJ20</f>
      </c>
      <c r="CE53" s="2657">
        <f>'Balance Sheet'!BK20</f>
      </c>
      <c r="CF53" s="2657">
        <f>'Balance Sheet'!BL20</f>
      </c>
      <c r="CG53" s="2657">
        <f>'Balance Sheet'!BM20</f>
      </c>
      <c r="CH53" s="2657">
        <f>'Balance Sheet'!BN20</f>
      </c>
      <c r="CI53" s="2657">
        <f>'Balance Sheet'!BO20</f>
      </c>
      <c r="CJ53" s="2657">
        <f>'Balance Sheet'!BP20</f>
      </c>
      <c r="CK53" s="2657">
        <f>'Balance Sheet'!BQ20</f>
      </c>
      <c r="CL53" s="2657">
        <f>'Balance Sheet'!BR20</f>
      </c>
      <c r="CM53" s="2657">
        <f>'Balance Sheet'!BS20</f>
      </c>
      <c r="CN53" s="2657">
        <f>'Balance Sheet'!BT20</f>
      </c>
      <c r="CO53" s="2657">
        <f>'Balance Sheet'!BU20</f>
      </c>
      <c r="CP53" s="2657">
        <f>'Balance Sheet'!BV20</f>
      </c>
      <c r="CQ53" s="2657">
        <f>'Balance Sheet'!BW20</f>
      </c>
      <c r="CR53" s="2657">
        <f>'Balance Sheet'!BX20</f>
      </c>
      <c r="CS53" s="2657">
        <f>'Balance Sheet'!BY20</f>
      </c>
      <c r="CT53" s="2657">
        <f>'Balance Sheet'!BZ20</f>
      </c>
      <c r="CU53" s="2657">
        <f>'Balance Sheet'!CA20</f>
      </c>
      <c r="CV53" s="2657">
        <f>'Balance Sheet'!CB20</f>
      </c>
      <c r="CW53" s="2657">
        <f>'Balance Sheet'!CC20</f>
      </c>
      <c r="CX53" s="2657">
        <f>'Balance Sheet'!CD20</f>
      </c>
      <c r="CY53" s="2657">
        <f>'Balance Sheet'!CE20</f>
      </c>
      <c r="CZ53" s="2657">
        <f>'Balance Sheet'!CF20</f>
      </c>
      <c r="DA53" s="2657">
        <f>'Balance Sheet'!CG20</f>
      </c>
      <c r="DB53" s="2657">
        <f>'Balance Sheet'!CH20</f>
      </c>
      <c r="DC53" s="2657">
        <f>'Balance Sheet'!CI20</f>
      </c>
      <c r="DD53" s="2657">
        <f>'Balance Sheet'!CJ20</f>
      </c>
      <c r="DE53" s="2657">
        <f>'Balance Sheet'!CK20</f>
      </c>
      <c r="DF53" s="2657">
        <f>'Balance Sheet'!CL20</f>
      </c>
      <c r="DG53" s="2657">
        <f>'Balance Sheet'!CM20</f>
      </c>
      <c r="DH53" s="2657">
        <f>'Balance Sheet'!CN20</f>
      </c>
      <c r="DI53" s="2657">
        <f>'Balance Sheet'!CO20</f>
      </c>
      <c r="DJ53" s="2657">
        <f>'Balance Sheet'!CP20</f>
      </c>
      <c r="DK53" s="2657">
        <f>'Balance Sheet'!CQ20</f>
      </c>
      <c r="DL53" s="2657">
        <f>'Balance Sheet'!CR20</f>
      </c>
      <c r="DM53" s="2657">
        <f>'Balance Sheet'!CS20</f>
      </c>
      <c r="DN53" s="2657">
        <f>'Balance Sheet'!CT20</f>
      </c>
      <c r="DO53" s="2657">
        <f>'Balance Sheet'!CU20</f>
      </c>
      <c r="DP53" s="2657">
        <f>'Balance Sheet'!CV20</f>
      </c>
      <c r="DQ53" s="2657">
        <f>'Balance Sheet'!CW20</f>
      </c>
      <c r="DR53" s="2657">
        <f>'Balance Sheet'!CX20</f>
      </c>
      <c r="DS53" s="2657">
        <f>'Balance Sheet'!CY20</f>
      </c>
      <c r="DT53" s="2657">
        <f>'Balance Sheet'!CZ20</f>
      </c>
      <c r="DU53" s="2657">
        <f>'Balance Sheet'!DA20</f>
      </c>
      <c r="DV53" s="2657">
        <f>'Balance Sheet'!DB20</f>
      </c>
      <c r="DW53" s="2657">
        <f>'Balance Sheet'!DC20</f>
      </c>
      <c r="DX53" s="2657">
        <f>'Balance Sheet'!DD20</f>
      </c>
      <c r="DY53" s="2657">
        <f>'Balance Sheet'!DE20</f>
      </c>
      <c r="DZ53" s="2657">
        <f>'Balance Sheet'!DF20</f>
      </c>
      <c r="EA53" s="2657">
        <f>'Balance Sheet'!DG20</f>
      </c>
      <c r="EB53" s="2657">
        <f>'Balance Sheet'!DH20</f>
      </c>
      <c r="EC53" s="2657">
        <f>'Balance Sheet'!DI20</f>
      </c>
      <c r="ED53" s="2657">
        <f>'Balance Sheet'!DJ20</f>
      </c>
      <c r="EE53" s="2657">
        <f>'Balance Sheet'!DK20</f>
      </c>
      <c r="EF53" s="2657">
        <f>'Balance Sheet'!DL20</f>
      </c>
      <c r="EG53" s="2657">
        <f>'Balance Sheet'!DM20</f>
      </c>
      <c r="EH53" s="2657">
        <f>'Balance Sheet'!DN20</f>
      </c>
      <c r="EI53" s="2657">
        <f>'Balance Sheet'!DO20</f>
      </c>
      <c r="EJ53" s="2657">
        <f>'Balance Sheet'!DP20</f>
      </c>
      <c r="EK53" s="2657">
        <f>'Balance Sheet'!DQ20</f>
      </c>
      <c r="EL53" s="2657">
        <f>'Balance Sheet'!DR20</f>
      </c>
      <c r="EM53" s="2657">
        <f>'Balance Sheet'!DS20</f>
      </c>
      <c r="EN53" s="2657">
        <f>'Balance Sheet'!DT20</f>
      </c>
      <c r="EO53" s="2657">
        <f>'Balance Sheet'!DU20</f>
      </c>
      <c r="EP53" s="2657">
        <f>'Balance Sheet'!DV20</f>
      </c>
      <c r="EQ53" s="2657">
        <f>'Balance Sheet'!DW20</f>
      </c>
      <c r="ER53" s="2657">
        <f>'Balance Sheet'!DX20</f>
      </c>
      <c r="ES53" s="2657">
        <f>'Balance Sheet'!DY20</f>
      </c>
      <c r="ET53" s="2657">
        <f>'Balance Sheet'!DZ20</f>
      </c>
      <c r="EU53" s="2657">
        <f>'Balance Sheet'!EA20</f>
      </c>
      <c r="EV53" s="2657">
        <f>'Balance Sheet'!EB20</f>
      </c>
      <c r="EW53" s="2657">
        <f>'Balance Sheet'!EC20</f>
      </c>
      <c r="EX53" s="2657">
        <f>'Balance Sheet'!ED20</f>
      </c>
      <c r="EY53" s="2657">
        <f>'Balance Sheet'!EE20</f>
      </c>
      <c r="EZ53" s="2657">
        <f>'Balance Sheet'!EF20</f>
      </c>
      <c r="FA53" s="2657">
        <f>'Balance Sheet'!EG20</f>
      </c>
      <c r="FB53" s="2657">
        <f>'Balance Sheet'!EH20</f>
      </c>
      <c r="FC53" s="2657">
        <f>'Balance Sheet'!EI20</f>
      </c>
      <c r="FD53" s="2657">
        <f>'Balance Sheet'!EJ20</f>
      </c>
      <c r="FE53" s="2657">
        <f>'Balance Sheet'!EK20</f>
      </c>
    </row>
    <row r="54" spans="2:161" outlineLevel="2">
      <c r="B54" t="s">
        <v>315</v>
      </c>
      <c r="C54" t="s">
        <v>316</v>
      </c>
      <c r="D54" t="str">
        <f t="shared" si="10"/>
      </c>
      <c r="F54" s="2657"/>
      <c r="G54" s="2657"/>
      <c r="H54" s="2657"/>
      <c r="I54" s="2657"/>
      <c r="J54" s="2657"/>
      <c r="K54" s="2657"/>
      <c r="L54" s="2657"/>
      <c r="M54" s="2657"/>
      <c r="N54" s="2657"/>
      <c r="O54" s="2657">
        <f>+'Balance Sheet'!FA24</f>
      </c>
      <c r="P54" s="2657">
        <f>+'Balance Sheet'!FB24</f>
      </c>
      <c r="Q54" s="2657">
        <f>+'Balance Sheet'!FC24</f>
      </c>
      <c r="R54" s="2657">
        <f>+'Balance Sheet'!FD24</f>
      </c>
      <c r="S54" s="2657">
        <f>+'Balance Sheet'!FE24</f>
      </c>
      <c r="T54" s="2657">
        <f>+'Balance Sheet'!FF24</f>
      </c>
      <c r="U54" s="2657">
        <f>+'Balance Sheet'!FG24</f>
      </c>
      <c r="V54" s="2657">
        <f>+'Balance Sheet'!FH24</f>
      </c>
      <c r="W54" s="2657">
        <f>+'Balance Sheet'!FI24</f>
      </c>
      <c r="X54" s="2657">
        <f>+'Balance Sheet'!FJ24</f>
      </c>
      <c r="Y54" s="2657">
        <f>+'Balance Sheet'!FK24</f>
      </c>
      <c r="Z54" s="2657">
        <f>+'Balance Sheet'!FL24</f>
      </c>
      <c r="AA54" s="2657">
        <f>+'Balance Sheet'!FM24</f>
      </c>
      <c r="AB54" s="2657">
        <f>+'Balance Sheet'!FN24</f>
      </c>
      <c r="AC54" s="2657">
        <f>+'Balance Sheet'!FO24</f>
      </c>
      <c r="AD54" s="2657">
        <f>+'Balance Sheet'!FP24</f>
      </c>
      <c r="AE54" s="2657">
        <f>+'Balance Sheet'!FQ24</f>
      </c>
      <c r="AF54" s="2657">
        <f>+'Balance Sheet'!FR24</f>
      </c>
      <c r="AG54" s="2657">
        <f>+'Balance Sheet'!FS24</f>
      </c>
      <c r="AH54" s="2657">
        <f>+'Balance Sheet'!FT24</f>
      </c>
      <c r="AI54" s="2657">
        <f>+'Balance Sheet'!FU24</f>
      </c>
      <c r="AJ54" s="2657">
        <f>+'Balance Sheet'!FV24</f>
      </c>
      <c r="AK54" s="2657"/>
      <c r="AL54" s="2657">
        <f>'Balance Sheet'!R24</f>
      </c>
      <c r="AM54" s="2657">
        <f>'Balance Sheet'!S24</f>
      </c>
      <c r="AN54" s="2657">
        <f>'Balance Sheet'!T24</f>
      </c>
      <c r="AO54" s="2657">
        <f>'Balance Sheet'!U24</f>
      </c>
      <c r="AP54" s="2657">
        <f>'Balance Sheet'!V24</f>
      </c>
      <c r="AQ54" s="2657">
        <f>'Balance Sheet'!W24</f>
      </c>
      <c r="AR54" s="2657">
        <f>'Balance Sheet'!X24</f>
      </c>
      <c r="AS54" s="2657">
        <f>'Balance Sheet'!Y24</f>
      </c>
      <c r="AT54" s="2657">
        <f>'Balance Sheet'!Z24</f>
      </c>
      <c r="AU54" s="2657">
        <f>'Balance Sheet'!AA24</f>
      </c>
      <c r="AV54" s="2657">
        <f>'Balance Sheet'!AB24</f>
      </c>
      <c r="AW54" s="2657">
        <f>'Balance Sheet'!AC24</f>
      </c>
      <c r="AX54" s="2657">
        <f>'Balance Sheet'!AD24</f>
      </c>
      <c r="AY54" s="2657">
        <f>'Balance Sheet'!AE24</f>
      </c>
      <c r="AZ54" s="2657">
        <f>'Balance Sheet'!AF24</f>
      </c>
      <c r="BA54" s="2657">
        <f>'Balance Sheet'!AG24</f>
      </c>
      <c r="BB54" s="2657">
        <f>'Balance Sheet'!AH24</f>
      </c>
      <c r="BC54" s="2657">
        <f>'Balance Sheet'!AI24</f>
      </c>
      <c r="BD54" s="2657">
        <f>'Balance Sheet'!AJ24</f>
      </c>
      <c r="BE54" s="2657">
        <f>'Balance Sheet'!AK24</f>
      </c>
      <c r="BF54" s="2657">
        <f>'Balance Sheet'!AL24</f>
      </c>
      <c r="BG54" s="2657">
        <f>'Balance Sheet'!AM24</f>
      </c>
      <c r="BH54" s="2657">
        <f>'Balance Sheet'!AN24</f>
      </c>
      <c r="BI54" s="2657">
        <f>'Balance Sheet'!AO24</f>
      </c>
      <c r="BJ54" s="2657">
        <f>'Balance Sheet'!AP24</f>
      </c>
      <c r="BK54" s="2657">
        <f>'Balance Sheet'!AQ24</f>
      </c>
      <c r="BL54" s="2657">
        <f>'Balance Sheet'!AR24</f>
      </c>
      <c r="BM54" s="2657">
        <f>'Balance Sheet'!AS24</f>
      </c>
      <c r="BN54" s="2657">
        <f>'Balance Sheet'!AT24</f>
      </c>
      <c r="BO54" s="2657">
        <f>'Balance Sheet'!AU24</f>
      </c>
      <c r="BP54" s="2657">
        <f>'Balance Sheet'!AV24</f>
      </c>
      <c r="BQ54" s="2657">
        <f>'Balance Sheet'!AW24</f>
      </c>
      <c r="BR54" s="2657">
        <f>'Balance Sheet'!AX24</f>
      </c>
      <c r="BS54" s="2657">
        <f>'Balance Sheet'!AY24</f>
      </c>
      <c r="BT54" s="2657">
        <f>'Balance Sheet'!AZ24</f>
      </c>
      <c r="BU54" s="2657">
        <f>'Balance Sheet'!BA24</f>
      </c>
      <c r="BV54" s="2657">
        <f>'Balance Sheet'!BB24</f>
      </c>
      <c r="BW54" s="2657">
        <f>'Balance Sheet'!BC24</f>
      </c>
      <c r="BX54" s="2657">
        <f>'Balance Sheet'!BD24</f>
      </c>
      <c r="BY54" s="2657">
        <f>'Balance Sheet'!BE24</f>
      </c>
      <c r="BZ54" s="2657">
        <f>'Balance Sheet'!BF24</f>
      </c>
      <c r="CA54" s="2657">
        <f>'Balance Sheet'!BG24</f>
      </c>
      <c r="CB54" s="2657">
        <f>'Balance Sheet'!BH24</f>
      </c>
      <c r="CC54" s="2657">
        <f>'Balance Sheet'!BI24</f>
      </c>
      <c r="CD54" s="2657">
        <f>'Balance Sheet'!BJ24</f>
      </c>
      <c r="CE54" s="2657">
        <f>'Balance Sheet'!BK24</f>
      </c>
      <c r="CF54" s="2657">
        <f>'Balance Sheet'!BL24</f>
      </c>
      <c r="CG54" s="2657">
        <f>'Balance Sheet'!BM24</f>
      </c>
      <c r="CH54" s="2657">
        <f>'Balance Sheet'!BN24</f>
      </c>
      <c r="CI54" s="2657">
        <f>'Balance Sheet'!BO24</f>
      </c>
      <c r="CJ54" s="2657">
        <f>'Balance Sheet'!BP24</f>
      </c>
      <c r="CK54" s="2657">
        <f>'Balance Sheet'!BQ24</f>
      </c>
      <c r="CL54" s="2657">
        <f>'Balance Sheet'!BR24</f>
      </c>
      <c r="CM54" s="2657">
        <f>'Balance Sheet'!BS24</f>
      </c>
      <c r="CN54" s="2657">
        <f>'Balance Sheet'!BT24</f>
      </c>
      <c r="CO54" s="2657">
        <f>'Balance Sheet'!BU24</f>
      </c>
      <c r="CP54" s="2657">
        <f>'Balance Sheet'!BV24</f>
      </c>
      <c r="CQ54" s="2657">
        <f>'Balance Sheet'!BW24</f>
      </c>
      <c r="CR54" s="2657">
        <f>'Balance Sheet'!BX24</f>
      </c>
      <c r="CS54" s="2657">
        <f>'Balance Sheet'!BY24</f>
      </c>
      <c r="CT54" s="2657">
        <f>'Balance Sheet'!BZ24</f>
      </c>
      <c r="CU54" s="2657">
        <f>'Balance Sheet'!CA24</f>
      </c>
      <c r="CV54" s="2657">
        <f>'Balance Sheet'!CB24</f>
      </c>
      <c r="CW54" s="2657">
        <f>'Balance Sheet'!CC24</f>
      </c>
      <c r="CX54" s="2657">
        <f>'Balance Sheet'!CD24</f>
      </c>
      <c r="CY54" s="2657">
        <f>'Balance Sheet'!CE24</f>
      </c>
      <c r="CZ54" s="2657">
        <f>'Balance Sheet'!CF24</f>
      </c>
      <c r="DA54" s="2657">
        <f>'Balance Sheet'!CG24</f>
      </c>
      <c r="DB54" s="2657">
        <f>'Balance Sheet'!CH24</f>
      </c>
      <c r="DC54" s="2657">
        <f>'Balance Sheet'!CI24</f>
      </c>
      <c r="DD54" s="2657">
        <f>'Balance Sheet'!CJ24</f>
      </c>
      <c r="DE54" s="2657">
        <f>'Balance Sheet'!CK24</f>
      </c>
      <c r="DF54" s="2657">
        <f>'Balance Sheet'!CL24</f>
      </c>
      <c r="DG54" s="2657">
        <f>'Balance Sheet'!CM24</f>
      </c>
      <c r="DH54" s="2657">
        <f>'Balance Sheet'!CN24</f>
      </c>
      <c r="DI54" s="2657">
        <f>'Balance Sheet'!CO24</f>
      </c>
      <c r="DJ54" s="2657">
        <f>'Balance Sheet'!CP24</f>
      </c>
      <c r="DK54" s="2657">
        <f>'Balance Sheet'!CQ24</f>
      </c>
      <c r="DL54" s="2657">
        <f>'Balance Sheet'!CR24</f>
      </c>
      <c r="DM54" s="2657">
        <f>'Balance Sheet'!CS24</f>
      </c>
      <c r="DN54" s="2657">
        <f>'Balance Sheet'!CT24</f>
      </c>
      <c r="DO54" s="2657">
        <f>'Balance Sheet'!CU24</f>
      </c>
      <c r="DP54" s="2657">
        <f>'Balance Sheet'!CV24</f>
      </c>
      <c r="DQ54" s="2657">
        <f>'Balance Sheet'!CW24</f>
      </c>
      <c r="DR54" s="2657">
        <f>'Balance Sheet'!CX24</f>
      </c>
      <c r="DS54" s="2657">
        <f>'Balance Sheet'!CY24</f>
      </c>
      <c r="DT54" s="2657">
        <f>'Balance Sheet'!CZ24</f>
      </c>
      <c r="DU54" s="2657">
        <f>'Balance Sheet'!DA24</f>
      </c>
      <c r="DV54" s="2657">
        <f>'Balance Sheet'!DB24</f>
      </c>
      <c r="DW54" s="2657">
        <f>'Balance Sheet'!DC24</f>
      </c>
      <c r="DX54" s="2657">
        <f>'Balance Sheet'!DD24</f>
      </c>
      <c r="DY54" s="2657">
        <f>'Balance Sheet'!DE24</f>
      </c>
      <c r="DZ54" s="2657">
        <f>'Balance Sheet'!DF24</f>
      </c>
      <c r="EA54" s="2657">
        <f>'Balance Sheet'!DG24</f>
      </c>
      <c r="EB54" s="2657">
        <f>'Balance Sheet'!DH24</f>
      </c>
      <c r="EC54" s="2657">
        <f>'Balance Sheet'!DI24</f>
      </c>
      <c r="ED54" s="2657">
        <f>'Balance Sheet'!DJ24</f>
      </c>
      <c r="EE54" s="2657">
        <f>'Balance Sheet'!DK24</f>
      </c>
      <c r="EF54" s="2657">
        <f>'Balance Sheet'!DL24</f>
      </c>
      <c r="EG54" s="2657">
        <f>'Balance Sheet'!DM24</f>
      </c>
      <c r="EH54" s="2657">
        <f>'Balance Sheet'!DN24</f>
      </c>
      <c r="EI54" s="2657">
        <f>'Balance Sheet'!DO24</f>
      </c>
      <c r="EJ54" s="2657">
        <f>'Balance Sheet'!DP24</f>
      </c>
      <c r="EK54" s="2657">
        <f>'Balance Sheet'!DQ24</f>
      </c>
      <c r="EL54" s="2657">
        <f>'Balance Sheet'!DR24</f>
      </c>
      <c r="EM54" s="2657">
        <f>'Balance Sheet'!DS24</f>
      </c>
      <c r="EN54" s="2657">
        <f>'Balance Sheet'!DT24</f>
      </c>
      <c r="EO54" s="2657">
        <f>'Balance Sheet'!DU24</f>
      </c>
      <c r="EP54" s="2657">
        <f>'Balance Sheet'!DV24</f>
      </c>
      <c r="EQ54" s="2657">
        <f>'Balance Sheet'!DW24</f>
      </c>
      <c r="ER54" s="2657">
        <f>'Balance Sheet'!DX24</f>
      </c>
      <c r="ES54" s="2657">
        <f>'Balance Sheet'!DY24</f>
      </c>
      <c r="ET54" s="2657">
        <f>'Balance Sheet'!DZ24</f>
      </c>
      <c r="EU54" s="2657">
        <f>'Balance Sheet'!EA24</f>
      </c>
      <c r="EV54" s="2657">
        <f>'Balance Sheet'!EB24</f>
      </c>
      <c r="EW54" s="2657">
        <f>'Balance Sheet'!EC24</f>
      </c>
      <c r="EX54" s="2657">
        <f>'Balance Sheet'!ED24</f>
      </c>
      <c r="EY54" s="2657">
        <f>'Balance Sheet'!EE24</f>
      </c>
      <c r="EZ54" s="2657">
        <f>'Balance Sheet'!EF24</f>
      </c>
      <c r="FA54" s="2657">
        <f>'Balance Sheet'!EG24</f>
      </c>
      <c r="FB54" s="2657">
        <f>'Balance Sheet'!EH24</f>
      </c>
      <c r="FC54" s="2657">
        <f>'Balance Sheet'!EI24</f>
      </c>
      <c r="FD54" s="2657">
        <f>'Balance Sheet'!EJ24</f>
      </c>
      <c r="FE54" s="2657">
        <f>'Balance Sheet'!EK24</f>
      </c>
    </row>
    <row r="55" spans="2:161" outlineLevel="2">
      <c r="B55" t="s">
        <v>317</v>
      </c>
      <c r="C55" t="s">
        <v>318</v>
      </c>
      <c r="D55" t="str">
        <f t="shared" si="10"/>
      </c>
      <c r="F55" s="2657">
        <f>'Balance Sheet'!ER27</f>
      </c>
      <c r="G55" s="2657">
        <f>'Balance Sheet'!ES27</f>
      </c>
      <c r="H55" s="2657">
        <f>'Balance Sheet'!ET27</f>
      </c>
      <c r="I55" s="2657">
        <f>'Balance Sheet'!EU27</f>
      </c>
      <c r="J55" s="2657">
        <f>'Balance Sheet'!EV27</f>
      </c>
      <c r="K55" s="2657">
        <f>'Balance Sheet'!EW27</f>
      </c>
      <c r="L55" s="2657">
        <f>'Balance Sheet'!EX27</f>
      </c>
      <c r="M55" s="2657">
        <f>'Balance Sheet'!EY27</f>
      </c>
      <c r="N55" s="2657">
        <f>'Balance Sheet'!EZ27</f>
      </c>
      <c r="O55" s="2657">
        <f>'Balance Sheet'!FA27</f>
      </c>
      <c r="P55" s="2657">
        <f>'Balance Sheet'!FB27</f>
      </c>
      <c r="Q55" s="2657">
        <f>'Balance Sheet'!FC27</f>
      </c>
      <c r="R55" s="2657">
        <f>'Balance Sheet'!FD27</f>
      </c>
      <c r="S55" s="2657">
        <f>'Balance Sheet'!FE27</f>
      </c>
      <c r="T55" s="2657">
        <f>'Balance Sheet'!FF27</f>
      </c>
      <c r="U55" s="2657">
        <f>'Balance Sheet'!FG27</f>
      </c>
      <c r="V55" s="2657">
        <f>'Balance Sheet'!FH27</f>
      </c>
      <c r="W55" s="2657">
        <f>'Balance Sheet'!FI27</f>
      </c>
      <c r="X55" s="2657">
        <f>'Balance Sheet'!FJ27</f>
      </c>
      <c r="Y55" s="2657">
        <f>'Balance Sheet'!FK27</f>
      </c>
      <c r="Z55" s="2657">
        <f>'Balance Sheet'!FL27</f>
      </c>
      <c r="AA55" s="2657">
        <f>'Balance Sheet'!FM27</f>
      </c>
      <c r="AB55" s="2657">
        <f>'Balance Sheet'!FN27</f>
      </c>
      <c r="AC55" s="2657">
        <f>'Balance Sheet'!FO27</f>
      </c>
      <c r="AD55" s="2657">
        <f>'Balance Sheet'!FP27</f>
      </c>
      <c r="AE55" s="2657">
        <f>'Balance Sheet'!FQ27</f>
      </c>
      <c r="AF55" s="2657">
        <f>'Balance Sheet'!FR27</f>
      </c>
      <c r="AG55" s="2657">
        <f>'Balance Sheet'!FS27</f>
      </c>
      <c r="AH55" s="2657">
        <f>'Balance Sheet'!FT27</f>
      </c>
      <c r="AI55" s="2657">
        <f>'Balance Sheet'!FU27</f>
      </c>
      <c r="AJ55" s="2657">
        <f>'Balance Sheet'!FV27</f>
      </c>
      <c r="AK55" s="2657"/>
      <c r="AL55" s="2657">
        <f>'Balance Sheet'!R27</f>
      </c>
      <c r="AM55" s="2657">
        <f>'Balance Sheet'!S27</f>
      </c>
      <c r="AN55" s="2657">
        <f>'Balance Sheet'!T27</f>
      </c>
      <c r="AO55" s="2657">
        <f>'Balance Sheet'!U27</f>
      </c>
      <c r="AP55" s="2657">
        <f>'Balance Sheet'!V27</f>
      </c>
      <c r="AQ55" s="2657">
        <f>'Balance Sheet'!W27</f>
      </c>
      <c r="AR55" s="2657">
        <f>'Balance Sheet'!X27</f>
      </c>
      <c r="AS55" s="2657">
        <f>'Balance Sheet'!Y27</f>
      </c>
      <c r="AT55" s="2657">
        <f>'Balance Sheet'!Z27</f>
      </c>
      <c r="AU55" s="2657">
        <f>'Balance Sheet'!AA27</f>
      </c>
      <c r="AV55" s="2657">
        <f>'Balance Sheet'!AB27</f>
      </c>
      <c r="AW55" s="2657">
        <f>'Balance Sheet'!AC27</f>
      </c>
      <c r="AX55" s="2657">
        <f>'Balance Sheet'!AD27</f>
      </c>
      <c r="AY55" s="2657">
        <f>'Balance Sheet'!AE27</f>
      </c>
      <c r="AZ55" s="2657">
        <f>'Balance Sheet'!AF27</f>
      </c>
      <c r="BA55" s="2657">
        <f>'Balance Sheet'!AG27</f>
      </c>
      <c r="BB55" s="2657">
        <f>'Balance Sheet'!AH27</f>
      </c>
      <c r="BC55" s="2657">
        <f>'Balance Sheet'!AI27</f>
      </c>
      <c r="BD55" s="2657">
        <f>'Balance Sheet'!AJ27</f>
      </c>
      <c r="BE55" s="2657">
        <f>'Balance Sheet'!AK27</f>
      </c>
      <c r="BF55" s="2657">
        <f>'Balance Sheet'!AL27</f>
      </c>
      <c r="BG55" s="2657">
        <f>'Balance Sheet'!AM27</f>
      </c>
      <c r="BH55" s="2657">
        <f>'Balance Sheet'!AN27</f>
      </c>
      <c r="BI55" s="2657">
        <f>'Balance Sheet'!AO27</f>
      </c>
      <c r="BJ55" s="2657">
        <f>'Balance Sheet'!AP27</f>
      </c>
      <c r="BK55" s="2657">
        <f>'Balance Sheet'!AQ27</f>
      </c>
      <c r="BL55" s="2657">
        <f>'Balance Sheet'!AR27</f>
      </c>
      <c r="BM55" s="2657">
        <f>'Balance Sheet'!AS27</f>
      </c>
      <c r="BN55" s="2657">
        <f>'Balance Sheet'!AT27</f>
      </c>
      <c r="BO55" s="2657">
        <f>'Balance Sheet'!AU27</f>
      </c>
      <c r="BP55" s="2657">
        <f>'Balance Sheet'!AV27</f>
      </c>
      <c r="BQ55" s="2657">
        <f>'Balance Sheet'!AW27</f>
      </c>
      <c r="BR55" s="2657">
        <f>'Balance Sheet'!AX27</f>
      </c>
      <c r="BS55" s="2657">
        <f>'Balance Sheet'!AY27</f>
      </c>
      <c r="BT55" s="2657">
        <f>'Balance Sheet'!AZ27</f>
      </c>
      <c r="BU55" s="2657">
        <f>'Balance Sheet'!BA27</f>
      </c>
      <c r="BV55" s="2657">
        <f>'Balance Sheet'!BB27</f>
      </c>
      <c r="BW55" s="2657">
        <f>'Balance Sheet'!BC27</f>
      </c>
      <c r="BX55" s="2657">
        <f>'Balance Sheet'!BD27</f>
      </c>
      <c r="BY55" s="2657">
        <f>'Balance Sheet'!BE27</f>
      </c>
      <c r="BZ55" s="2657">
        <f>'Balance Sheet'!BF27</f>
      </c>
      <c r="CA55" s="2657">
        <f>'Balance Sheet'!BG27</f>
      </c>
      <c r="CB55" s="2657">
        <f>'Balance Sheet'!BH27</f>
      </c>
      <c r="CC55" s="2657">
        <f>'Balance Sheet'!BI27</f>
      </c>
      <c r="CD55" s="2657">
        <f>'Balance Sheet'!BJ27</f>
      </c>
      <c r="CE55" s="2657">
        <f>'Balance Sheet'!BK27</f>
      </c>
      <c r="CF55" s="2657">
        <f>'Balance Sheet'!BL27</f>
      </c>
      <c r="CG55" s="2657">
        <f>'Balance Sheet'!BM27</f>
      </c>
      <c r="CH55" s="2657">
        <f>'Balance Sheet'!BN27</f>
      </c>
      <c r="CI55" s="2657">
        <f>'Balance Sheet'!BO27</f>
      </c>
      <c r="CJ55" s="2657">
        <f>'Balance Sheet'!BP27</f>
      </c>
      <c r="CK55" s="2657">
        <f>'Balance Sheet'!BQ27</f>
      </c>
      <c r="CL55" s="2657">
        <f>'Balance Sheet'!BR27</f>
      </c>
      <c r="CM55" s="2657">
        <f>'Balance Sheet'!BS27</f>
      </c>
      <c r="CN55" s="2657">
        <f>'Balance Sheet'!BT27</f>
      </c>
      <c r="CO55" s="2657">
        <f>'Balance Sheet'!BU27</f>
      </c>
      <c r="CP55" s="2657">
        <f>'Balance Sheet'!BV27</f>
      </c>
      <c r="CQ55" s="2657">
        <f>'Balance Sheet'!BW27</f>
      </c>
      <c r="CR55" s="2657">
        <f>'Balance Sheet'!BX27</f>
      </c>
      <c r="CS55" s="2657">
        <f>'Balance Sheet'!BY27</f>
      </c>
      <c r="CT55" s="2657">
        <f>'Balance Sheet'!BZ27</f>
      </c>
      <c r="CU55" s="2657">
        <f>'Balance Sheet'!CA27</f>
      </c>
      <c r="CV55" s="2657">
        <f>'Balance Sheet'!CB27</f>
      </c>
      <c r="CW55" s="2657">
        <f>'Balance Sheet'!CC27</f>
      </c>
      <c r="CX55" s="2657">
        <f>'Balance Sheet'!CD27</f>
      </c>
      <c r="CY55" s="2657">
        <f>'Balance Sheet'!CE27</f>
      </c>
      <c r="CZ55" s="2657">
        <f>'Balance Sheet'!CF27</f>
      </c>
      <c r="DA55" s="2657">
        <f>'Balance Sheet'!CG27</f>
      </c>
      <c r="DB55" s="2657">
        <f>'Balance Sheet'!CH27</f>
      </c>
      <c r="DC55" s="2657">
        <f>'Balance Sheet'!CI27</f>
      </c>
      <c r="DD55" s="2657">
        <f>'Balance Sheet'!CJ27</f>
      </c>
      <c r="DE55" s="2657">
        <f>'Balance Sheet'!CK27</f>
      </c>
      <c r="DF55" s="2657">
        <f>'Balance Sheet'!CL27</f>
      </c>
      <c r="DG55" s="2657">
        <f>'Balance Sheet'!CM27</f>
      </c>
      <c r="DH55" s="2657">
        <f>'Balance Sheet'!CN27</f>
      </c>
      <c r="DI55" s="2657">
        <f>'Balance Sheet'!CO27</f>
      </c>
      <c r="DJ55" s="2657">
        <f>'Balance Sheet'!CP27</f>
      </c>
      <c r="DK55" s="2657">
        <f>'Balance Sheet'!CQ27</f>
      </c>
      <c r="DL55" s="2657">
        <f>'Balance Sheet'!CR27</f>
      </c>
      <c r="DM55" s="2657">
        <f>'Balance Sheet'!CS27</f>
      </c>
      <c r="DN55" s="2657">
        <f>'Balance Sheet'!CT27</f>
      </c>
      <c r="DO55" s="2657">
        <f>'Balance Sheet'!CU27</f>
      </c>
      <c r="DP55" s="2657">
        <f>'Balance Sheet'!CV27</f>
      </c>
      <c r="DQ55" s="2657">
        <f>'Balance Sheet'!CW27</f>
      </c>
      <c r="DR55" s="2657">
        <f>'Balance Sheet'!CX27</f>
      </c>
      <c r="DS55" s="2657">
        <f>'Balance Sheet'!CY27</f>
      </c>
      <c r="DT55" s="2657">
        <f>'Balance Sheet'!CZ27</f>
      </c>
      <c r="DU55" s="2657">
        <f>'Balance Sheet'!DA27</f>
      </c>
      <c r="DV55" s="2657">
        <f>'Balance Sheet'!DB27</f>
      </c>
      <c r="DW55" s="2657">
        <f>'Balance Sheet'!DC27</f>
      </c>
      <c r="DX55" s="2657">
        <f>'Balance Sheet'!DD27</f>
      </c>
      <c r="DY55" s="2657">
        <f>'Balance Sheet'!DE27</f>
      </c>
      <c r="DZ55" s="2657">
        <f>'Balance Sheet'!DF27</f>
      </c>
      <c r="EA55" s="2657">
        <f>'Balance Sheet'!DG27</f>
      </c>
      <c r="EB55" s="2657">
        <f>'Balance Sheet'!DH27</f>
      </c>
      <c r="EC55" s="2657">
        <f>'Balance Sheet'!DI27</f>
      </c>
      <c r="ED55" s="2657">
        <f>'Balance Sheet'!DJ27</f>
      </c>
      <c r="EE55" s="2657">
        <f>'Balance Sheet'!DK27</f>
      </c>
      <c r="EF55" s="2657">
        <f>'Balance Sheet'!DL27</f>
      </c>
      <c r="EG55" s="2657">
        <f>'Balance Sheet'!DM27</f>
      </c>
      <c r="EH55" s="2657">
        <f>'Balance Sheet'!DN27</f>
      </c>
      <c r="EI55" s="2657">
        <f>'Balance Sheet'!DO27</f>
      </c>
      <c r="EJ55" s="2657">
        <f>'Balance Sheet'!DP27</f>
      </c>
      <c r="EK55" s="2657">
        <f>'Balance Sheet'!DQ27</f>
      </c>
      <c r="EL55" s="2657">
        <f>'Balance Sheet'!DR27</f>
      </c>
      <c r="EM55" s="2657">
        <f>'Balance Sheet'!DS27</f>
      </c>
      <c r="EN55" s="2657">
        <f>'Balance Sheet'!DT27</f>
      </c>
      <c r="EO55" s="2657">
        <f>'Balance Sheet'!DU27</f>
      </c>
      <c r="EP55" s="2657">
        <f>'Balance Sheet'!DV27</f>
      </c>
      <c r="EQ55" s="2657">
        <f>'Balance Sheet'!DW27</f>
      </c>
      <c r="ER55" s="2657">
        <f>'Balance Sheet'!DX27</f>
      </c>
      <c r="ES55" s="2657">
        <f>'Balance Sheet'!DY27</f>
      </c>
      <c r="ET55" s="2657">
        <f>'Balance Sheet'!DZ27</f>
      </c>
      <c r="EU55" s="2657">
        <f>'Balance Sheet'!EA27</f>
      </c>
      <c r="EV55" s="2657">
        <f>'Balance Sheet'!EB27</f>
      </c>
      <c r="EW55" s="2657">
        <f>'Balance Sheet'!EC27</f>
      </c>
      <c r="EX55" s="2657">
        <f>'Balance Sheet'!ED27</f>
      </c>
      <c r="EY55" s="2657">
        <f>'Balance Sheet'!EE27</f>
      </c>
      <c r="EZ55" s="2657">
        <f>'Balance Sheet'!EF27</f>
      </c>
      <c r="FA55" s="2657">
        <f>'Balance Sheet'!EG27</f>
      </c>
      <c r="FB55" s="2657">
        <f>'Balance Sheet'!EH27</f>
      </c>
      <c r="FC55" s="2657">
        <f>'Balance Sheet'!EI27</f>
      </c>
      <c r="FD55" s="2657">
        <f>'Balance Sheet'!EJ27</f>
      </c>
      <c r="FE55" s="2657">
        <f>'Balance Sheet'!EK27</f>
      </c>
    </row>
    <row r="56" spans="2:161" outlineLevel="2">
      <c r="B56" t="s">
        <v>112</v>
      </c>
      <c r="C56" t="s">
        <v>319</v>
      </c>
      <c r="D56" t="str">
        <f t="shared" si="10"/>
      </c>
      <c r="F56" s="2657">
        <f>'Balance Sheet'!ER30</f>
      </c>
      <c r="G56" s="2657">
        <f>'Balance Sheet'!ES30</f>
      </c>
      <c r="H56" s="2657">
        <f>'Balance Sheet'!ET30</f>
      </c>
      <c r="I56" s="2657">
        <f>'Balance Sheet'!EU30</f>
      </c>
      <c r="J56" s="2657">
        <f>'Balance Sheet'!EV30</f>
      </c>
      <c r="K56" s="2657">
        <f>'Balance Sheet'!EW30</f>
      </c>
      <c r="L56" s="2657">
        <f>'Balance Sheet'!EX30</f>
      </c>
      <c r="M56" s="2657">
        <f>'Balance Sheet'!EY30</f>
      </c>
      <c r="N56" s="2657">
        <f>'Balance Sheet'!EZ30</f>
      </c>
      <c r="O56" s="2657">
        <f>'Balance Sheet'!FA30</f>
      </c>
      <c r="P56" s="2657">
        <f>'Balance Sheet'!FB30</f>
      </c>
      <c r="Q56" s="2657">
        <f>'Balance Sheet'!FC30</f>
      </c>
      <c r="R56" s="2657">
        <f>'Balance Sheet'!FD30</f>
      </c>
      <c r="S56" s="2657">
        <f>'Balance Sheet'!FE30</f>
      </c>
      <c r="T56" s="2657">
        <f>'Balance Sheet'!FF30</f>
      </c>
      <c r="U56" s="2657">
        <f>'Balance Sheet'!FG30</f>
      </c>
      <c r="V56" s="2657">
        <f>'Balance Sheet'!FH30</f>
      </c>
      <c r="W56" s="2657">
        <f>'Balance Sheet'!FI30</f>
      </c>
      <c r="X56" s="2657">
        <f>'Balance Sheet'!FJ30</f>
      </c>
      <c r="Y56" s="2657">
        <f>'Balance Sheet'!FK30</f>
      </c>
      <c r="Z56" s="2657">
        <f>'Balance Sheet'!FL30</f>
      </c>
      <c r="AA56" s="2657">
        <f>'Balance Sheet'!FM30</f>
      </c>
      <c r="AB56" s="2657">
        <f>'Balance Sheet'!FN30</f>
      </c>
      <c r="AC56" s="2657">
        <f>'Balance Sheet'!FO30</f>
      </c>
      <c r="AD56" s="2657">
        <f>'Balance Sheet'!FP30</f>
      </c>
      <c r="AE56" s="2657">
        <f>'Balance Sheet'!FQ30</f>
      </c>
      <c r="AF56" s="2657">
        <f>'Balance Sheet'!FR30</f>
      </c>
      <c r="AG56" s="2657">
        <f>'Balance Sheet'!FS30</f>
      </c>
      <c r="AH56" s="2657">
        <f>'Balance Sheet'!FT30</f>
      </c>
      <c r="AI56" s="2657">
        <f>'Balance Sheet'!FU30</f>
      </c>
      <c r="AJ56" s="2657">
        <f>'Balance Sheet'!FV30</f>
      </c>
      <c r="AK56" s="2657"/>
      <c r="AL56" s="2657">
        <f>'Balance Sheet'!R30</f>
      </c>
      <c r="AM56" s="2657">
        <f>'Balance Sheet'!S30</f>
      </c>
      <c r="AN56" s="2657">
        <f>'Balance Sheet'!T30</f>
      </c>
      <c r="AO56" s="2657">
        <f>'Balance Sheet'!U30</f>
      </c>
      <c r="AP56" s="2657">
        <f>'Balance Sheet'!V30</f>
      </c>
      <c r="AQ56" s="2657">
        <f>'Balance Sheet'!W30</f>
      </c>
      <c r="AR56" s="2657">
        <f>'Balance Sheet'!X30</f>
      </c>
      <c r="AS56" s="2657">
        <f>'Balance Sheet'!Y30</f>
      </c>
      <c r="AT56" s="2657">
        <f>'Balance Sheet'!Z30</f>
      </c>
      <c r="AU56" s="2657">
        <f>'Balance Sheet'!AA30</f>
      </c>
      <c r="AV56" s="2657">
        <f>'Balance Sheet'!AB30</f>
      </c>
      <c r="AW56" s="2657">
        <f>'Balance Sheet'!AC30</f>
      </c>
      <c r="AX56" s="2657">
        <f>'Balance Sheet'!AD30</f>
      </c>
      <c r="AY56" s="2657">
        <f>'Balance Sheet'!AE30</f>
      </c>
      <c r="AZ56" s="2657">
        <f>'Balance Sheet'!AF30</f>
      </c>
      <c r="BA56" s="2657">
        <f>'Balance Sheet'!AG30</f>
      </c>
      <c r="BB56" s="2657">
        <f>'Balance Sheet'!AH30</f>
      </c>
      <c r="BC56" s="2657">
        <f>'Balance Sheet'!AI30</f>
      </c>
      <c r="BD56" s="2657">
        <f>'Balance Sheet'!AJ30</f>
      </c>
      <c r="BE56" s="2657">
        <f>'Balance Sheet'!AK30</f>
      </c>
      <c r="BF56" s="2657">
        <f>'Balance Sheet'!AL30</f>
      </c>
      <c r="BG56" s="2657">
        <f>'Balance Sheet'!AM30</f>
      </c>
      <c r="BH56" s="2657">
        <f>'Balance Sheet'!AN30</f>
      </c>
      <c r="BI56" s="2657">
        <f>'Balance Sheet'!AO30</f>
      </c>
      <c r="BJ56" s="2657">
        <f>'Balance Sheet'!AP30</f>
      </c>
      <c r="BK56" s="2657">
        <f>'Balance Sheet'!AQ30</f>
      </c>
      <c r="BL56" s="2657">
        <f>'Balance Sheet'!AR30</f>
      </c>
      <c r="BM56" s="2657">
        <f>'Balance Sheet'!AS30</f>
      </c>
      <c r="BN56" s="2657">
        <f>'Balance Sheet'!AT30</f>
      </c>
      <c r="BO56" s="2657">
        <f>'Balance Sheet'!AU30</f>
      </c>
      <c r="BP56" s="2657">
        <f>'Balance Sheet'!AV30</f>
      </c>
      <c r="BQ56" s="2657">
        <f>'Balance Sheet'!AW30</f>
      </c>
      <c r="BR56" s="2657">
        <f>'Balance Sheet'!AX30</f>
      </c>
      <c r="BS56" s="2657">
        <f>'Balance Sheet'!AY30</f>
      </c>
      <c r="BT56" s="2657">
        <f>'Balance Sheet'!AZ30</f>
      </c>
      <c r="BU56" s="2657">
        <f>'Balance Sheet'!BA30</f>
      </c>
      <c r="BV56" s="2657">
        <f>'Balance Sheet'!BB30</f>
      </c>
      <c r="BW56" s="2657">
        <f>'Balance Sheet'!BC30</f>
      </c>
      <c r="BX56" s="2657">
        <f>'Balance Sheet'!BD30</f>
      </c>
      <c r="BY56" s="2657">
        <f>'Balance Sheet'!BE30</f>
      </c>
      <c r="BZ56" s="2657">
        <f>'Balance Sheet'!BF30</f>
      </c>
      <c r="CA56" s="2657">
        <f>'Balance Sheet'!BG30</f>
      </c>
      <c r="CB56" s="2657">
        <f>'Balance Sheet'!BH30</f>
      </c>
      <c r="CC56" s="2657">
        <f>'Balance Sheet'!BI30</f>
      </c>
      <c r="CD56" s="2657">
        <f>'Balance Sheet'!BJ30</f>
      </c>
      <c r="CE56" s="2657">
        <f>'Balance Sheet'!BK30</f>
      </c>
      <c r="CF56" s="2657">
        <f>'Balance Sheet'!BL30</f>
      </c>
      <c r="CG56" s="2657">
        <f>'Balance Sheet'!BM30</f>
      </c>
      <c r="CH56" s="2657">
        <f>'Balance Sheet'!BN30</f>
      </c>
      <c r="CI56" s="2657">
        <f>'Balance Sheet'!BO30</f>
      </c>
      <c r="CJ56" s="2657">
        <f>'Balance Sheet'!BP30</f>
      </c>
      <c r="CK56" s="2657">
        <f>'Balance Sheet'!BQ30</f>
      </c>
      <c r="CL56" s="2657">
        <f>'Balance Sheet'!BR30</f>
      </c>
      <c r="CM56" s="2657">
        <f>'Balance Sheet'!BS30</f>
      </c>
      <c r="CN56" s="2657">
        <f>'Balance Sheet'!BT30</f>
      </c>
      <c r="CO56" s="2657">
        <f>'Balance Sheet'!BU30</f>
      </c>
      <c r="CP56" s="2657">
        <f>'Balance Sheet'!BV30</f>
      </c>
      <c r="CQ56" s="2657">
        <f>'Balance Sheet'!BW30</f>
      </c>
      <c r="CR56" s="2657">
        <f>'Balance Sheet'!BX30</f>
      </c>
      <c r="CS56" s="2657">
        <f>'Balance Sheet'!BY30</f>
      </c>
      <c r="CT56" s="2657">
        <f>'Balance Sheet'!BZ30</f>
      </c>
      <c r="CU56" s="2657">
        <f>'Balance Sheet'!CA30</f>
      </c>
      <c r="CV56" s="2657">
        <f>'Balance Sheet'!CB30</f>
      </c>
      <c r="CW56" s="2657">
        <f>'Balance Sheet'!CC30</f>
      </c>
      <c r="CX56" s="2657">
        <f>'Balance Sheet'!CD30</f>
      </c>
      <c r="CY56" s="2657">
        <f>'Balance Sheet'!CE30</f>
      </c>
      <c r="CZ56" s="2657">
        <f>'Balance Sheet'!CF30</f>
      </c>
      <c r="DA56" s="2657">
        <f>'Balance Sheet'!CG30</f>
      </c>
      <c r="DB56" s="2657">
        <f>'Balance Sheet'!CH30</f>
      </c>
      <c r="DC56" s="2657">
        <f>'Balance Sheet'!CI30</f>
      </c>
      <c r="DD56" s="2657">
        <f>'Balance Sheet'!CJ30</f>
      </c>
      <c r="DE56" s="2657">
        <f>'Balance Sheet'!CK30</f>
      </c>
      <c r="DF56" s="2657">
        <f>'Balance Sheet'!CL30</f>
      </c>
      <c r="DG56" s="2657">
        <f>'Balance Sheet'!CM30</f>
      </c>
      <c r="DH56" s="2657">
        <f>'Balance Sheet'!CN30</f>
      </c>
      <c r="DI56" s="2657">
        <f>'Balance Sheet'!CO30</f>
      </c>
      <c r="DJ56" s="2657">
        <f>'Balance Sheet'!CP30</f>
      </c>
      <c r="DK56" s="2657">
        <f>'Balance Sheet'!CQ30</f>
      </c>
      <c r="DL56" s="2657">
        <f>'Balance Sheet'!CR30</f>
      </c>
      <c r="DM56" s="2657">
        <f>'Balance Sheet'!CS30</f>
      </c>
      <c r="DN56" s="2657">
        <f>'Balance Sheet'!CT30</f>
      </c>
      <c r="DO56" s="2657">
        <f>'Balance Sheet'!CU30</f>
      </c>
      <c r="DP56" s="2657">
        <f>'Balance Sheet'!CV30</f>
      </c>
      <c r="DQ56" s="2657">
        <f>'Balance Sheet'!CW30</f>
      </c>
      <c r="DR56" s="2657">
        <f>'Balance Sheet'!CX30</f>
      </c>
      <c r="DS56" s="2657">
        <f>'Balance Sheet'!CY30</f>
      </c>
      <c r="DT56" s="2657">
        <f>'Balance Sheet'!CZ30</f>
      </c>
      <c r="DU56" s="2657">
        <f>'Balance Sheet'!DA30</f>
      </c>
      <c r="DV56" s="2657">
        <f>'Balance Sheet'!DB30</f>
      </c>
      <c r="DW56" s="2657">
        <f>'Balance Sheet'!DC30</f>
      </c>
      <c r="DX56" s="2657">
        <f>'Balance Sheet'!DD30</f>
      </c>
      <c r="DY56" s="2657">
        <f>'Balance Sheet'!DE30</f>
      </c>
      <c r="DZ56" s="2657">
        <f>'Balance Sheet'!DF30</f>
      </c>
      <c r="EA56" s="2657">
        <f>'Balance Sheet'!DG30</f>
      </c>
      <c r="EB56" s="2657">
        <f>'Balance Sheet'!DH30</f>
      </c>
      <c r="EC56" s="2657">
        <f>'Balance Sheet'!DI30</f>
      </c>
      <c r="ED56" s="2657">
        <f>'Balance Sheet'!DJ30</f>
      </c>
      <c r="EE56" s="2657">
        <f>'Balance Sheet'!DK30</f>
      </c>
      <c r="EF56" s="2657">
        <f>'Balance Sheet'!DL30</f>
      </c>
      <c r="EG56" s="2657">
        <f>'Balance Sheet'!DM30</f>
      </c>
      <c r="EH56" s="2657">
        <f>'Balance Sheet'!DN30</f>
      </c>
      <c r="EI56" s="2657">
        <f>'Balance Sheet'!DO30</f>
      </c>
      <c r="EJ56" s="2657">
        <f>'Balance Sheet'!DP30</f>
      </c>
      <c r="EK56" s="2657">
        <f>'Balance Sheet'!DQ30</f>
      </c>
      <c r="EL56" s="2657">
        <f>'Balance Sheet'!DR30</f>
      </c>
      <c r="EM56" s="2657">
        <f>'Balance Sheet'!DS30</f>
      </c>
      <c r="EN56" s="2657">
        <f>'Balance Sheet'!DT30</f>
      </c>
      <c r="EO56" s="2657">
        <f>'Balance Sheet'!DU30</f>
      </c>
      <c r="EP56" s="2657">
        <f>'Balance Sheet'!DV30</f>
      </c>
      <c r="EQ56" s="2657">
        <f>'Balance Sheet'!DW30</f>
      </c>
      <c r="ER56" s="2657">
        <f>'Balance Sheet'!DX30</f>
      </c>
      <c r="ES56" s="2657">
        <f>'Balance Sheet'!DY30</f>
      </c>
      <c r="ET56" s="2657">
        <f>'Balance Sheet'!DZ30</f>
      </c>
      <c r="EU56" s="2657">
        <f>'Balance Sheet'!EA30</f>
      </c>
      <c r="EV56" s="2657">
        <f>'Balance Sheet'!EB30</f>
      </c>
      <c r="EW56" s="2657">
        <f>'Balance Sheet'!EC30</f>
      </c>
      <c r="EX56" s="2657">
        <f>'Balance Sheet'!ED30</f>
      </c>
      <c r="EY56" s="2657">
        <f>'Balance Sheet'!EE30</f>
      </c>
      <c r="EZ56" s="2657">
        <f>'Balance Sheet'!EF30</f>
      </c>
      <c r="FA56" s="2657">
        <f>'Balance Sheet'!EG30</f>
      </c>
      <c r="FB56" s="2657">
        <f>'Balance Sheet'!EH30</f>
      </c>
      <c r="FC56" s="2657">
        <f>'Balance Sheet'!EI30</f>
      </c>
      <c r="FD56" s="2657">
        <f>'Balance Sheet'!EJ30</f>
      </c>
      <c r="FE56" s="2657">
        <f>'Balance Sheet'!EK30</f>
      </c>
    </row>
    <row r="57" spans="2:161" outlineLevel="2">
      <c r="B57" t="s">
        <v>97</v>
      </c>
      <c r="C57" t="s">
        <v>320</v>
      </c>
      <c r="D57" t="str">
        <f t="shared" si="10"/>
      </c>
      <c r="F57" s="2657"/>
      <c r="G57" s="2657"/>
      <c r="H57" s="2657"/>
      <c r="I57" s="2657">
        <f>'Balance Sheet'!EU33+'Balance Sheet'!EU34</f>
      </c>
      <c r="J57" s="2657"/>
      <c r="K57" s="2657"/>
      <c r="L57" s="2657"/>
      <c r="M57" s="2657"/>
      <c r="N57" s="2657"/>
      <c r="O57" s="2657"/>
      <c r="P57" s="2657"/>
      <c r="Q57" s="2657"/>
      <c r="R57" s="2657"/>
      <c r="S57" s="2657"/>
      <c r="T57" s="2657">
        <f>'Balance Sheet'!FF33+'Balance Sheet'!FF34</f>
      </c>
      <c r="U57" s="2657">
        <f>'Balance Sheet'!FG33+'Balance Sheet'!FG34</f>
      </c>
      <c r="V57" s="2657">
        <f>'Balance Sheet'!FH33+'Balance Sheet'!FH34</f>
      </c>
      <c r="W57" s="2657">
        <f>'Balance Sheet'!FI33+'Balance Sheet'!FI34</f>
      </c>
      <c r="X57" s="2657">
        <f>'Balance Sheet'!FJ33+'Balance Sheet'!FJ34</f>
      </c>
      <c r="Y57" s="2657">
        <f>'Balance Sheet'!FK33+'Balance Sheet'!FK34</f>
      </c>
      <c r="Z57" s="2657">
        <f>'Balance Sheet'!FL33+'Balance Sheet'!FL34</f>
      </c>
      <c r="AA57" s="2657">
        <f>'Balance Sheet'!FM33+'Balance Sheet'!FM34</f>
      </c>
      <c r="AB57" s="2657">
        <f>'Balance Sheet'!FN33+'Balance Sheet'!FN34</f>
      </c>
      <c r="AC57" s="2657">
        <f>'Balance Sheet'!FO33+'Balance Sheet'!FO34</f>
      </c>
      <c r="AD57" s="2657">
        <f>'Balance Sheet'!FP33+'Balance Sheet'!FP34</f>
      </c>
      <c r="AE57" s="2657">
        <f>'Balance Sheet'!FQ33+'Balance Sheet'!FQ34</f>
      </c>
      <c r="AF57" s="2657">
        <f>'Balance Sheet'!FR33+'Balance Sheet'!FR34</f>
      </c>
      <c r="AG57" s="2657">
        <f>'Balance Sheet'!FS33+'Balance Sheet'!FS34</f>
      </c>
      <c r="AH57" s="2657">
        <f>'Balance Sheet'!FT33+'Balance Sheet'!FT34</f>
      </c>
      <c r="AI57" s="2657">
        <f>'Balance Sheet'!FU33+'Balance Sheet'!FU34</f>
      </c>
      <c r="AJ57" s="2657">
        <f>'Balance Sheet'!FV33+'Balance Sheet'!FV34</f>
      </c>
      <c r="AK57" s="2657"/>
      <c r="AL57" s="2657">
        <f>'Balance Sheet'!R33+'Balance Sheet'!R34</f>
      </c>
      <c r="AM57" s="2657">
        <f>'Balance Sheet'!S33+'Balance Sheet'!S34</f>
      </c>
      <c r="AN57" s="2657">
        <f>'Balance Sheet'!T33+'Balance Sheet'!T34</f>
      </c>
      <c r="AO57" s="2657">
        <f>'Balance Sheet'!U33+'Balance Sheet'!U34</f>
      </c>
      <c r="AP57" s="2657">
        <f>'Balance Sheet'!V33+'Balance Sheet'!V34</f>
      </c>
      <c r="AQ57" s="2657">
        <f>'Balance Sheet'!W33+'Balance Sheet'!W34</f>
      </c>
      <c r="AR57" s="2657">
        <f>'Balance Sheet'!X33+'Balance Sheet'!X34</f>
      </c>
      <c r="AS57" s="2657">
        <f>'Balance Sheet'!Y33+'Balance Sheet'!Y34</f>
      </c>
      <c r="AT57" s="2657">
        <f>'Balance Sheet'!Z33+'Balance Sheet'!Z34</f>
      </c>
      <c r="AU57" s="2657">
        <f>'Balance Sheet'!AA33+'Balance Sheet'!AA34</f>
      </c>
      <c r="AV57" s="2657">
        <f>'Balance Sheet'!AB33+'Balance Sheet'!AB34</f>
      </c>
      <c r="AW57" s="2657">
        <f>'Balance Sheet'!AC33+'Balance Sheet'!AC34</f>
      </c>
      <c r="AX57" s="2657">
        <f>'Balance Sheet'!AD33+'Balance Sheet'!AD34</f>
      </c>
      <c r="AY57" s="2657">
        <f>'Balance Sheet'!AE33+'Balance Sheet'!AE34</f>
      </c>
      <c r="AZ57" s="2657">
        <f>'Balance Sheet'!AF33+'Balance Sheet'!AF34</f>
      </c>
      <c r="BA57" s="2657">
        <f>'Balance Sheet'!AG33+'Balance Sheet'!AG34</f>
      </c>
      <c r="BB57" s="2657">
        <f>'Balance Sheet'!AH33+'Balance Sheet'!AH34</f>
      </c>
      <c r="BC57" s="2657">
        <f>'Balance Sheet'!AI33+'Balance Sheet'!AI34</f>
      </c>
      <c r="BD57" s="2657">
        <f>'Balance Sheet'!AJ33+'Balance Sheet'!AJ34</f>
      </c>
      <c r="BE57" s="2657">
        <f>'Balance Sheet'!AK33+'Balance Sheet'!AK34</f>
      </c>
      <c r="BF57" s="2657">
        <f>'Balance Sheet'!AL33+'Balance Sheet'!AL34</f>
      </c>
      <c r="BG57" s="2657">
        <f>'Balance Sheet'!AM33+'Balance Sheet'!AM34</f>
      </c>
      <c r="BH57" s="2657">
        <f>'Balance Sheet'!AN33+'Balance Sheet'!AN34</f>
      </c>
      <c r="BI57" s="2657">
        <f>'Balance Sheet'!AO33+'Balance Sheet'!AO34</f>
      </c>
      <c r="BJ57" s="2657">
        <f>'Balance Sheet'!AP33+'Balance Sheet'!AP34</f>
      </c>
      <c r="BK57" s="2657">
        <f>'Balance Sheet'!AQ33+'Balance Sheet'!AQ34</f>
      </c>
      <c r="BL57" s="2657">
        <f>'Balance Sheet'!AR33+'Balance Sheet'!AR34</f>
      </c>
      <c r="BM57" s="2657">
        <f>'Balance Sheet'!AS33+'Balance Sheet'!AS34</f>
      </c>
      <c r="BN57" s="2657">
        <f>'Balance Sheet'!AT33+'Balance Sheet'!AT34</f>
      </c>
      <c r="BO57" s="2657">
        <f>'Balance Sheet'!AU33+'Balance Sheet'!AU34</f>
      </c>
      <c r="BP57" s="2657">
        <f>'Balance Sheet'!AV33+'Balance Sheet'!AV34</f>
      </c>
      <c r="BQ57" s="2657">
        <f>'Balance Sheet'!AW33+'Balance Sheet'!AW34</f>
      </c>
      <c r="BR57" s="2657">
        <f>'Balance Sheet'!AX33+'Balance Sheet'!AX34</f>
      </c>
      <c r="BS57" s="2657">
        <f>'Balance Sheet'!AY33+'Balance Sheet'!AY34</f>
      </c>
      <c r="BT57" s="2657">
        <f>'Balance Sheet'!AZ33+'Balance Sheet'!AZ34</f>
      </c>
      <c r="BU57" s="2657">
        <f>'Balance Sheet'!BA33+'Balance Sheet'!BA34</f>
      </c>
      <c r="BV57" s="2657">
        <f>'Balance Sheet'!BB33+'Balance Sheet'!BB34</f>
      </c>
      <c r="BW57" s="2657">
        <f>'Balance Sheet'!BC33+'Balance Sheet'!BC34</f>
      </c>
      <c r="BX57" s="2657">
        <f>'Balance Sheet'!BD33+'Balance Sheet'!BD34</f>
      </c>
      <c r="BY57" s="2657">
        <f>'Balance Sheet'!BE33+'Balance Sheet'!BE34</f>
      </c>
      <c r="BZ57" s="2657">
        <f>'Balance Sheet'!BF33+'Balance Sheet'!BF34</f>
      </c>
      <c r="CA57" s="2657">
        <f>'Balance Sheet'!BG33+'Balance Sheet'!BG34</f>
      </c>
      <c r="CB57" s="2657">
        <f>'Balance Sheet'!BH33+'Balance Sheet'!BH34</f>
      </c>
      <c r="CC57" s="2657">
        <f>'Balance Sheet'!BI33+'Balance Sheet'!BI34</f>
      </c>
      <c r="CD57" s="2657">
        <f>'Balance Sheet'!BJ33+'Balance Sheet'!BJ34</f>
      </c>
      <c r="CE57" s="2657">
        <f>'Balance Sheet'!BK33+'Balance Sheet'!BK34</f>
      </c>
      <c r="CF57" s="2657">
        <f>'Balance Sheet'!BL33+'Balance Sheet'!BL34</f>
      </c>
      <c r="CG57" s="2657">
        <f>'Balance Sheet'!BM33+'Balance Sheet'!BM34</f>
      </c>
      <c r="CH57" s="2657">
        <f>'Balance Sheet'!BN33+'Balance Sheet'!BN34</f>
      </c>
      <c r="CI57" s="2657">
        <f>'Balance Sheet'!BO33+'Balance Sheet'!BO34</f>
      </c>
      <c r="CJ57" s="2657">
        <f>'Balance Sheet'!BP33+'Balance Sheet'!BP34</f>
      </c>
      <c r="CK57" s="2657">
        <f>'Balance Sheet'!BQ33+'Balance Sheet'!BQ34</f>
      </c>
      <c r="CL57" s="2657">
        <f>'Balance Sheet'!BR33+'Balance Sheet'!BR34</f>
      </c>
      <c r="CM57" s="2657">
        <f>'Balance Sheet'!BS33+'Balance Sheet'!BS34</f>
      </c>
      <c r="CN57" s="2657">
        <f>'Balance Sheet'!BT33+'Balance Sheet'!BT34</f>
      </c>
      <c r="CO57" s="2657">
        <f>'Balance Sheet'!BU33+'Balance Sheet'!BU34</f>
      </c>
      <c r="CP57" s="2657">
        <f>'Balance Sheet'!BV33+'Balance Sheet'!BV34</f>
      </c>
      <c r="CQ57" s="2657">
        <f>'Balance Sheet'!BW33+'Balance Sheet'!BW34</f>
      </c>
      <c r="CR57" s="2657">
        <f>'Balance Sheet'!BX33+'Balance Sheet'!BX34</f>
      </c>
      <c r="CS57" s="2657">
        <f>'Balance Sheet'!BY33+'Balance Sheet'!BY34</f>
      </c>
      <c r="CT57" s="2657">
        <f>'Balance Sheet'!BZ33+'Balance Sheet'!BZ34</f>
      </c>
      <c r="CU57" s="2657">
        <f>'Balance Sheet'!CA33+'Balance Sheet'!CA34</f>
      </c>
      <c r="CV57" s="2657">
        <f>'Balance Sheet'!CB33+'Balance Sheet'!CB34</f>
      </c>
      <c r="CW57" s="2657">
        <f>'Balance Sheet'!CC33+'Balance Sheet'!CC34</f>
      </c>
      <c r="CX57" s="2657">
        <f>'Balance Sheet'!CD33+'Balance Sheet'!CD34</f>
      </c>
      <c r="CY57" s="2657">
        <f>'Balance Sheet'!CE33+'Balance Sheet'!CE34</f>
      </c>
      <c r="CZ57" s="2657">
        <f>'Balance Sheet'!CF33+'Balance Sheet'!CF34</f>
      </c>
      <c r="DA57" s="2657">
        <f>'Balance Sheet'!CG33+'Balance Sheet'!CG34</f>
      </c>
      <c r="DB57" s="2657">
        <f>'Balance Sheet'!CH33+'Balance Sheet'!CH34</f>
      </c>
      <c r="DC57" s="2657">
        <f>'Balance Sheet'!CI33+'Balance Sheet'!CI34</f>
      </c>
      <c r="DD57" s="2657">
        <f>'Balance Sheet'!CJ33+'Balance Sheet'!CJ34</f>
      </c>
      <c r="DE57" s="2657">
        <f>'Balance Sheet'!CK33+'Balance Sheet'!CK34</f>
      </c>
      <c r="DF57" s="2657">
        <f>'Balance Sheet'!CL33+'Balance Sheet'!CL34</f>
      </c>
      <c r="DG57" s="2657">
        <f>'Balance Sheet'!CM33+'Balance Sheet'!CM34</f>
      </c>
      <c r="DH57" s="2657">
        <f>'Balance Sheet'!CN33+'Balance Sheet'!CN34</f>
      </c>
      <c r="DI57" s="2657">
        <f>'Balance Sheet'!CO33+'Balance Sheet'!CO34</f>
      </c>
      <c r="DJ57" s="2657">
        <f>'Balance Sheet'!CP33+'Balance Sheet'!CP34</f>
      </c>
      <c r="DK57" s="2657">
        <f>'Balance Sheet'!CQ33+'Balance Sheet'!CQ34</f>
      </c>
      <c r="DL57" s="2657">
        <f>'Balance Sheet'!CR33+'Balance Sheet'!CR34</f>
      </c>
      <c r="DM57" s="2657">
        <f>'Balance Sheet'!CS33+'Balance Sheet'!CS34</f>
      </c>
      <c r="DN57" s="2657">
        <f>'Balance Sheet'!CT33+'Balance Sheet'!CT34</f>
      </c>
      <c r="DO57" s="2657">
        <f>'Balance Sheet'!CU33+'Balance Sheet'!CU34</f>
      </c>
      <c r="DP57" s="2657">
        <f>'Balance Sheet'!CV33+'Balance Sheet'!CV34</f>
      </c>
      <c r="DQ57" s="2657">
        <f>'Balance Sheet'!CW33+'Balance Sheet'!CW34</f>
      </c>
      <c r="DR57" s="2657">
        <f>'Balance Sheet'!CX33+'Balance Sheet'!CX34</f>
      </c>
      <c r="DS57" s="2657">
        <f>'Balance Sheet'!CY33+'Balance Sheet'!CY34</f>
      </c>
      <c r="DT57" s="2657">
        <f>'Balance Sheet'!CZ33+'Balance Sheet'!CZ34</f>
      </c>
      <c r="DU57" s="2657">
        <f>'Balance Sheet'!DA33+'Balance Sheet'!DA34</f>
      </c>
      <c r="DV57" s="2657">
        <f>'Balance Sheet'!DB33+'Balance Sheet'!DB34</f>
      </c>
      <c r="DW57" s="2657">
        <f>'Balance Sheet'!DC33+'Balance Sheet'!DC34</f>
      </c>
      <c r="DX57" s="2657">
        <f>'Balance Sheet'!DD33+'Balance Sheet'!DD34</f>
      </c>
      <c r="DY57" s="2657">
        <f>'Balance Sheet'!DE33+'Balance Sheet'!DE34</f>
      </c>
      <c r="DZ57" s="2657">
        <f>'Balance Sheet'!DF33+'Balance Sheet'!DF34</f>
      </c>
      <c r="EA57" s="2657">
        <f>'Balance Sheet'!DG33+'Balance Sheet'!DG34</f>
      </c>
      <c r="EB57" s="2657">
        <f>'Balance Sheet'!DH33+'Balance Sheet'!DH34</f>
      </c>
      <c r="EC57" s="2657">
        <f>'Balance Sheet'!DI33+'Balance Sheet'!DI34</f>
      </c>
      <c r="ED57" s="2657">
        <f>'Balance Sheet'!DJ33+'Balance Sheet'!DJ34</f>
      </c>
      <c r="EE57" s="2657">
        <f>'Balance Sheet'!DK33+'Balance Sheet'!DK34</f>
      </c>
      <c r="EF57" s="2657">
        <f>'Balance Sheet'!DL33+'Balance Sheet'!DL34</f>
      </c>
      <c r="EG57" s="2657">
        <f>'Balance Sheet'!DM33+'Balance Sheet'!DM34</f>
      </c>
      <c r="EH57" s="2657">
        <f>'Balance Sheet'!DN33+'Balance Sheet'!DN34</f>
      </c>
      <c r="EI57" s="2657">
        <f>'Balance Sheet'!DO33+'Balance Sheet'!DO34</f>
      </c>
      <c r="EJ57" s="2657">
        <f>'Balance Sheet'!DP33+'Balance Sheet'!DP34</f>
      </c>
      <c r="EK57" s="2657">
        <f>'Balance Sheet'!DQ33+'Balance Sheet'!DQ34</f>
      </c>
      <c r="EL57" s="2657">
        <f>'Balance Sheet'!DR33+'Balance Sheet'!DR34</f>
      </c>
      <c r="EM57" s="2657">
        <f>'Balance Sheet'!DS33+'Balance Sheet'!DS34</f>
      </c>
      <c r="EN57" s="2657">
        <f>'Balance Sheet'!DT33+'Balance Sheet'!DT34</f>
      </c>
      <c r="EO57" s="2657">
        <f>'Balance Sheet'!DU33+'Balance Sheet'!DU34</f>
      </c>
      <c r="EP57" s="2657">
        <f>'Balance Sheet'!DV33+'Balance Sheet'!DV34</f>
      </c>
      <c r="EQ57" s="2657">
        <f>'Balance Sheet'!DW33+'Balance Sheet'!DW34</f>
      </c>
      <c r="ER57" s="2657">
        <f>'Balance Sheet'!DX33+'Balance Sheet'!DX34</f>
      </c>
      <c r="ES57" s="2657">
        <f>'Balance Sheet'!DY33+'Balance Sheet'!DY34</f>
      </c>
      <c r="ET57" s="2657">
        <f>'Balance Sheet'!DZ33+'Balance Sheet'!DZ34</f>
      </c>
      <c r="EU57" s="2657">
        <f>'Balance Sheet'!EA33+'Balance Sheet'!EA34</f>
      </c>
      <c r="EV57" s="2657">
        <f>'Balance Sheet'!EB33+'Balance Sheet'!EB34</f>
      </c>
      <c r="EW57" s="2657">
        <f>'Balance Sheet'!EC33+'Balance Sheet'!EC34</f>
      </c>
      <c r="EX57" s="2657">
        <f>'Balance Sheet'!ED33+'Balance Sheet'!ED34</f>
      </c>
      <c r="EY57" s="2657">
        <f>'Balance Sheet'!EE33+'Balance Sheet'!EE34</f>
      </c>
      <c r="EZ57" s="2657">
        <f>'Balance Sheet'!EF33+'Balance Sheet'!EF34</f>
      </c>
      <c r="FA57" s="2657">
        <f>'Balance Sheet'!EG33+'Balance Sheet'!EG34</f>
      </c>
      <c r="FB57" s="2657">
        <f>'Balance Sheet'!EH33+'Balance Sheet'!EH34</f>
      </c>
      <c r="FC57" s="2657">
        <f>'Balance Sheet'!EI33+'Balance Sheet'!EI34</f>
      </c>
      <c r="FD57" s="2657">
        <f>'Balance Sheet'!EJ33+'Balance Sheet'!EJ34</f>
      </c>
      <c r="FE57" s="2657">
        <f>'Balance Sheet'!EK33+'Balance Sheet'!EK34</f>
      </c>
    </row>
    <row r="58" spans="2:161" outlineLevel="2">
      <c r="B58" t="s">
        <v>1084</v>
      </c>
      <c r="C58" t="s">
        <v>1085</v>
      </c>
      <c r="D58" t="str">
        <f t="shared" si="10"/>
      </c>
      <c r="F58" s="2657"/>
      <c r="G58" s="2657"/>
      <c r="H58" s="2657"/>
      <c r="I58" s="2657"/>
      <c r="J58" s="2657"/>
      <c r="K58" s="2657"/>
      <c r="L58" s="2657"/>
      <c r="M58" s="2657"/>
      <c r="N58" s="2657"/>
      <c r="O58" s="2657"/>
      <c r="P58" s="2657"/>
      <c r="Q58" s="2657"/>
      <c r="R58" s="2657"/>
      <c r="S58" s="2657"/>
      <c r="T58" s="2657"/>
      <c r="U58" s="2657"/>
      <c r="V58" s="2657"/>
      <c r="W58" s="2657"/>
      <c r="X58" s="2657"/>
      <c r="Y58" s="2657"/>
      <c r="Z58" s="2657"/>
      <c r="AA58" s="2657"/>
      <c r="AB58" s="2657"/>
      <c r="AC58" s="2657"/>
      <c r="AD58" s="2657"/>
      <c r="AE58" s="2657"/>
      <c r="AF58" s="2657"/>
      <c r="AG58" s="2657"/>
      <c r="AH58" s="2657"/>
      <c r="AI58" s="2657"/>
      <c r="AJ58" s="2657"/>
      <c r="AK58" s="2657"/>
      <c r="AL58" s="2657"/>
      <c r="AM58" s="2657"/>
      <c r="AN58" s="2657"/>
      <c r="AO58" s="2657"/>
      <c r="AP58" s="2657"/>
      <c r="AQ58" s="2657"/>
      <c r="AR58" s="2657"/>
      <c r="AS58" s="2657"/>
      <c r="AT58" s="2657"/>
      <c r="AU58" s="2657"/>
      <c r="AV58" s="2657"/>
      <c r="AW58" s="2657"/>
      <c r="AX58" s="2657"/>
      <c r="AY58" s="2657"/>
      <c r="AZ58" s="2657"/>
      <c r="BA58" s="2657"/>
      <c r="BB58" s="2657"/>
      <c r="BC58" s="2657"/>
      <c r="BD58" s="2657"/>
      <c r="BE58" s="2657"/>
      <c r="BF58" s="2657"/>
      <c r="BG58" s="2657"/>
      <c r="BH58" s="2657"/>
      <c r="BI58" s="2657"/>
      <c r="BJ58" s="2657"/>
      <c r="BK58" s="2657"/>
      <c r="BL58" s="2657"/>
      <c r="BM58" s="2657"/>
      <c r="BN58" s="2657"/>
      <c r="BO58" s="2657"/>
      <c r="BP58" s="2657"/>
      <c r="BQ58" s="2657"/>
      <c r="BR58" s="2657"/>
      <c r="BS58" s="2657"/>
      <c r="BT58" s="2657"/>
      <c r="BU58" s="2657"/>
      <c r="BV58" s="2657"/>
      <c r="BW58" s="2657"/>
      <c r="BX58" s="2657"/>
      <c r="BY58" s="2657"/>
      <c r="BZ58" s="2657"/>
      <c r="CA58" s="2657"/>
      <c r="CB58" s="2657"/>
      <c r="CC58" s="2657"/>
      <c r="CD58" s="2657"/>
      <c r="CE58" s="2657"/>
      <c r="CF58" s="2657"/>
      <c r="CG58" s="2657"/>
      <c r="CH58" s="2657"/>
      <c r="CI58" s="2657"/>
      <c r="CJ58" s="2657"/>
      <c r="CK58" s="2657"/>
      <c r="CL58" s="2657"/>
      <c r="CM58" s="2657"/>
      <c r="CN58" s="2657"/>
      <c r="CO58" s="2657"/>
      <c r="CP58" s="2657"/>
      <c r="CQ58" s="2657"/>
      <c r="CR58" s="2657"/>
      <c r="CS58" s="2657"/>
      <c r="CT58" s="2657"/>
      <c r="CU58" s="2657"/>
      <c r="CV58" s="2657"/>
      <c r="CW58" s="2657"/>
      <c r="CX58" s="2657"/>
      <c r="CY58" s="2657"/>
      <c r="CZ58" s="2657"/>
      <c r="DA58" s="2657"/>
      <c r="DB58" s="2657"/>
      <c r="DC58" s="2657"/>
      <c r="DD58" s="2657"/>
      <c r="DE58" s="2657"/>
      <c r="DF58" s="2657"/>
      <c r="DG58" s="2657"/>
      <c r="DH58" s="2657"/>
      <c r="DI58" s="2657"/>
      <c r="DJ58" s="2657"/>
      <c r="DK58" s="2657"/>
      <c r="DL58" s="2657"/>
      <c r="DM58" s="2657"/>
      <c r="DN58" s="2657"/>
      <c r="DO58" s="2657"/>
      <c r="DP58" s="2657"/>
      <c r="DQ58" s="2657"/>
      <c r="DR58" s="2657"/>
      <c r="DS58" s="2657"/>
      <c r="DT58" s="2657"/>
      <c r="DU58" s="2657"/>
      <c r="DV58" s="2657"/>
      <c r="DW58" s="2657"/>
      <c r="DX58" s="2657"/>
      <c r="DY58" s="2657"/>
      <c r="DZ58" s="2657"/>
      <c r="EA58" s="2657"/>
      <c r="EB58" s="2657"/>
      <c r="EC58" s="2657"/>
      <c r="ED58" s="2657"/>
      <c r="EE58" s="2657"/>
      <c r="EF58" s="2657"/>
      <c r="EG58" s="2657"/>
      <c r="EH58" s="2657"/>
      <c r="EI58" s="2657"/>
      <c r="EJ58" s="2657"/>
      <c r="EK58" s="2657"/>
      <c r="EL58" s="2657"/>
      <c r="EM58" s="2657"/>
      <c r="EN58" s="2657"/>
      <c r="EO58" s="2657"/>
      <c r="EP58" s="2657"/>
      <c r="EQ58" s="2657"/>
      <c r="ER58" s="2657"/>
      <c r="ES58" s="2657"/>
      <c r="ET58" s="2657"/>
      <c r="EU58" s="2657"/>
      <c r="EV58" s="2657"/>
      <c r="EW58" s="2657"/>
      <c r="EX58" s="2657"/>
      <c r="EY58" s="2657"/>
      <c r="EZ58" s="2657"/>
      <c r="FA58" s="2657"/>
      <c r="FB58" s="2657"/>
      <c r="FC58" s="2657"/>
      <c r="FD58" s="2657"/>
      <c r="FE58" s="2657"/>
    </row>
    <row r="59" spans="2:161" outlineLevel="2">
      <c r="B59" t="s">
        <v>321</v>
      </c>
      <c r="C59" t="s">
        <v>322</v>
      </c>
      <c r="D59" t="str">
        <f t="shared" si="10"/>
      </c>
      <c r="F59" s="2657">
        <f>'Balance Sheet'!ER32+'Balance Sheet'!ER31</f>
      </c>
      <c r="G59" s="2657">
        <f>'Balance Sheet'!ES32+'Balance Sheet'!ES31</f>
      </c>
      <c r="H59" s="2657">
        <f>'Balance Sheet'!ET32+'Balance Sheet'!ET31</f>
      </c>
      <c r="I59" s="2657">
        <f>'Balance Sheet'!EU32+'Balance Sheet'!EU31</f>
      </c>
      <c r="J59" s="2657">
        <f>'Balance Sheet'!EV32+'Balance Sheet'!EV31</f>
      </c>
      <c r="K59" s="2657">
        <f>'Balance Sheet'!EW32+'Balance Sheet'!EW31</f>
      </c>
      <c r="L59" s="2657">
        <f>'Balance Sheet'!EX32+'Balance Sheet'!EX31</f>
      </c>
      <c r="M59" s="2657">
        <f>'Balance Sheet'!EY32+'Balance Sheet'!EY31</f>
      </c>
      <c r="N59" s="2657">
        <f>'Balance Sheet'!EZ32+'Balance Sheet'!EZ31</f>
      </c>
      <c r="O59" s="2657">
        <f>'Balance Sheet'!FA32+'Balance Sheet'!FA31</f>
      </c>
      <c r="P59" s="2657">
        <f>'Balance Sheet'!FB32+'Balance Sheet'!FB31</f>
      </c>
      <c r="Q59" s="2657">
        <f>'Balance Sheet'!FC32+'Balance Sheet'!FC31</f>
      </c>
      <c r="R59" s="2657">
        <f>'Balance Sheet'!FD32+'Balance Sheet'!FD31</f>
      </c>
      <c r="S59" s="2657">
        <f>'Balance Sheet'!FE32+'Balance Sheet'!FE31</f>
      </c>
      <c r="T59" s="2657">
        <f>'Balance Sheet'!FF32+'Balance Sheet'!FF31</f>
      </c>
      <c r="U59" s="2657">
        <f>'Balance Sheet'!FG32+'Balance Sheet'!FG31</f>
      </c>
      <c r="V59" s="2657">
        <f>'Balance Sheet'!FH32+'Balance Sheet'!FH31</f>
      </c>
      <c r="W59" s="2657">
        <f>'Balance Sheet'!FI32+'Balance Sheet'!FI31</f>
      </c>
      <c r="X59" s="2657">
        <f>'Balance Sheet'!FJ32+'Balance Sheet'!FJ31</f>
      </c>
      <c r="Y59" s="2657">
        <f>'Balance Sheet'!FK32+'Balance Sheet'!FK31</f>
      </c>
      <c r="Z59" s="2657">
        <f>'Balance Sheet'!FL32+'Balance Sheet'!FL31</f>
      </c>
      <c r="AA59" s="2657">
        <f>'Balance Sheet'!FM32+'Balance Sheet'!FM31</f>
      </c>
      <c r="AB59" s="2657">
        <f>'Balance Sheet'!FN32+'Balance Sheet'!FN31</f>
      </c>
      <c r="AC59" s="2657">
        <f>'Balance Sheet'!FO32+'Balance Sheet'!FO31</f>
      </c>
      <c r="AD59" s="2657">
        <f>'Balance Sheet'!FP32+'Balance Sheet'!FP31</f>
      </c>
      <c r="AE59" s="2657">
        <f>'Balance Sheet'!FQ32+'Balance Sheet'!FQ31</f>
      </c>
      <c r="AF59" s="2657">
        <f>'Balance Sheet'!FR32+'Balance Sheet'!FR31</f>
      </c>
      <c r="AG59" s="2657">
        <f>'Balance Sheet'!FS32+'Balance Sheet'!FS31</f>
      </c>
      <c r="AH59" s="2657">
        <f>'Balance Sheet'!FT32+'Balance Sheet'!FT31</f>
      </c>
      <c r="AI59" s="2657">
        <f>'Balance Sheet'!FU32+'Balance Sheet'!FU31</f>
      </c>
      <c r="AJ59" s="2657">
        <f>'Balance Sheet'!FV32+'Balance Sheet'!FV31</f>
      </c>
      <c r="AK59" s="2657"/>
      <c r="AL59" s="2657">
        <f>'Balance Sheet'!R32+'Balance Sheet'!R31</f>
      </c>
      <c r="AM59" s="2657">
        <f>'Balance Sheet'!S32+'Balance Sheet'!S31</f>
      </c>
      <c r="AN59" s="2657">
        <f>'Balance Sheet'!T32+'Balance Sheet'!T31</f>
      </c>
      <c r="AO59" s="2657">
        <f>'Balance Sheet'!U32+'Balance Sheet'!U31</f>
      </c>
      <c r="AP59" s="2657">
        <f>'Balance Sheet'!V32+'Balance Sheet'!V31</f>
      </c>
      <c r="AQ59" s="2657">
        <f>'Balance Sheet'!W32+'Balance Sheet'!W31</f>
      </c>
      <c r="AR59" s="2657">
        <f>'Balance Sheet'!X32+'Balance Sheet'!X31</f>
      </c>
      <c r="AS59" s="2657">
        <f>'Balance Sheet'!Y32+'Balance Sheet'!Y31</f>
      </c>
      <c r="AT59" s="2657">
        <f>'Balance Sheet'!Z32+'Balance Sheet'!Z31</f>
      </c>
      <c r="AU59" s="2657">
        <f>'Balance Sheet'!AA32+'Balance Sheet'!AA31</f>
      </c>
      <c r="AV59" s="2657">
        <f>'Balance Sheet'!AB32+'Balance Sheet'!AB31</f>
      </c>
      <c r="AW59" s="2657">
        <f>'Balance Sheet'!AC32+'Balance Sheet'!AC31</f>
      </c>
      <c r="AX59" s="2657">
        <f>'Balance Sheet'!AD32+'Balance Sheet'!AD31</f>
      </c>
      <c r="AY59" s="2657">
        <f>'Balance Sheet'!AE32+'Balance Sheet'!AE31</f>
      </c>
      <c r="AZ59" s="2657">
        <f>'Balance Sheet'!AF32+'Balance Sheet'!AF31</f>
      </c>
      <c r="BA59" s="2657">
        <f>'Balance Sheet'!AG32+'Balance Sheet'!AG31</f>
      </c>
      <c r="BB59" s="2657">
        <f>'Balance Sheet'!AH32+'Balance Sheet'!AH31</f>
      </c>
      <c r="BC59" s="2657">
        <f>'Balance Sheet'!AI32+'Balance Sheet'!AI31</f>
      </c>
      <c r="BD59" s="2657">
        <f>'Balance Sheet'!AJ32+'Balance Sheet'!AJ31</f>
      </c>
      <c r="BE59" s="2657">
        <f>'Balance Sheet'!AK32+'Balance Sheet'!AK31</f>
      </c>
      <c r="BF59" s="2657">
        <f>'Balance Sheet'!AL32+'Balance Sheet'!AL31</f>
      </c>
      <c r="BG59" s="2657">
        <f>'Balance Sheet'!AM32+'Balance Sheet'!AM31</f>
      </c>
      <c r="BH59" s="2657">
        <f>'Balance Sheet'!AN32+'Balance Sheet'!AN31</f>
      </c>
      <c r="BI59" s="2657">
        <f>'Balance Sheet'!AO32+'Balance Sheet'!AO31</f>
      </c>
      <c r="BJ59" s="2657">
        <f>'Balance Sheet'!AP32+'Balance Sheet'!AP31</f>
      </c>
      <c r="BK59" s="2657">
        <f>'Balance Sheet'!AQ32+'Balance Sheet'!AQ31</f>
      </c>
      <c r="BL59" s="2657">
        <f>'Balance Sheet'!AR32+'Balance Sheet'!AR31</f>
      </c>
      <c r="BM59" s="2657">
        <f>'Balance Sheet'!AS32+'Balance Sheet'!AS31</f>
      </c>
      <c r="BN59" s="2657">
        <f>'Balance Sheet'!AT32+'Balance Sheet'!AT31</f>
      </c>
      <c r="BO59" s="2657">
        <f>'Balance Sheet'!AU32+'Balance Sheet'!AU31</f>
      </c>
      <c r="BP59" s="2657">
        <f>'Balance Sheet'!AV32+'Balance Sheet'!AV31</f>
      </c>
      <c r="BQ59" s="2657">
        <f>'Balance Sheet'!AW32+'Balance Sheet'!AW31</f>
      </c>
      <c r="BR59" s="2657">
        <f>'Balance Sheet'!AX32+'Balance Sheet'!AX31</f>
      </c>
      <c r="BS59" s="2657">
        <f>'Balance Sheet'!AY32+'Balance Sheet'!AY31</f>
      </c>
      <c r="BT59" s="2657">
        <f>'Balance Sheet'!AZ32+'Balance Sheet'!AZ31</f>
      </c>
      <c r="BU59" s="2657">
        <f>'Balance Sheet'!BA32+'Balance Sheet'!BA31</f>
      </c>
      <c r="BV59" s="2657">
        <f>'Balance Sheet'!BB32+'Balance Sheet'!BB31</f>
      </c>
      <c r="BW59" s="2657">
        <f>'Balance Sheet'!BC32+'Balance Sheet'!BC31</f>
      </c>
      <c r="BX59" s="2657">
        <f>'Balance Sheet'!BD32+'Balance Sheet'!BD31</f>
      </c>
      <c r="BY59" s="2657">
        <f>'Balance Sheet'!BE32+'Balance Sheet'!BE31</f>
      </c>
      <c r="BZ59" s="2657">
        <f>'Balance Sheet'!BF32+'Balance Sheet'!BF31</f>
      </c>
      <c r="CA59" s="2657">
        <f>'Balance Sheet'!BG32+'Balance Sheet'!BG31</f>
      </c>
      <c r="CB59" s="2657">
        <f>'Balance Sheet'!BH32+'Balance Sheet'!BH31</f>
      </c>
      <c r="CC59" s="2657">
        <f>'Balance Sheet'!BI32+'Balance Sheet'!BI31</f>
      </c>
      <c r="CD59" s="2657">
        <f>'Balance Sheet'!BJ32+'Balance Sheet'!BJ31</f>
      </c>
      <c r="CE59" s="2657">
        <f>'Balance Sheet'!BK32+'Balance Sheet'!BK31</f>
      </c>
      <c r="CF59" s="2657">
        <f>'Balance Sheet'!BL32+'Balance Sheet'!BL31</f>
      </c>
      <c r="CG59" s="2657">
        <f>'Balance Sheet'!BM32+'Balance Sheet'!BM31</f>
      </c>
      <c r="CH59" s="2657">
        <f>'Balance Sheet'!BN32+'Balance Sheet'!BN31</f>
      </c>
      <c r="CI59" s="2657">
        <f>'Balance Sheet'!BO32+'Balance Sheet'!BO31</f>
      </c>
      <c r="CJ59" s="2657">
        <f>'Balance Sheet'!BP32+'Balance Sheet'!BP31</f>
      </c>
      <c r="CK59" s="2657">
        <f>'Balance Sheet'!BQ32+'Balance Sheet'!BQ31</f>
      </c>
      <c r="CL59" s="2657">
        <f>'Balance Sheet'!BR32+'Balance Sheet'!BR31</f>
      </c>
      <c r="CM59" s="2657">
        <f>'Balance Sheet'!BS32+'Balance Sheet'!BS31</f>
      </c>
      <c r="CN59" s="2657">
        <f>'Balance Sheet'!BT32+'Balance Sheet'!BT31</f>
      </c>
      <c r="CO59" s="2657">
        <f>'Balance Sheet'!BU32+'Balance Sheet'!BU31</f>
      </c>
      <c r="CP59" s="2657">
        <f>'Balance Sheet'!BV32+'Balance Sheet'!BV31</f>
      </c>
      <c r="CQ59" s="2657">
        <f>'Balance Sheet'!BW32+'Balance Sheet'!BW31</f>
      </c>
      <c r="CR59" s="2657">
        <f>'Balance Sheet'!BX32+'Balance Sheet'!BX31</f>
      </c>
      <c r="CS59" s="2657">
        <f>'Balance Sheet'!BY32+'Balance Sheet'!BY31</f>
      </c>
      <c r="CT59" s="2657">
        <f>'Balance Sheet'!BZ32+'Balance Sheet'!BZ31</f>
      </c>
      <c r="CU59" s="2657">
        <f>'Balance Sheet'!CA32+'Balance Sheet'!CA31</f>
      </c>
      <c r="CV59" s="2657">
        <f>'Balance Sheet'!CB32+'Balance Sheet'!CB31</f>
      </c>
      <c r="CW59" s="2657">
        <f>'Balance Sheet'!CC32+'Balance Sheet'!CC31</f>
      </c>
      <c r="CX59" s="2657">
        <f>'Balance Sheet'!CD32+'Balance Sheet'!CD31</f>
      </c>
      <c r="CY59" s="2657">
        <f>'Balance Sheet'!CE32+'Balance Sheet'!CE31</f>
      </c>
      <c r="CZ59" s="2657">
        <f>'Balance Sheet'!CF32+'Balance Sheet'!CF31</f>
      </c>
      <c r="DA59" s="2657">
        <f>'Balance Sheet'!CG32+'Balance Sheet'!CG31</f>
      </c>
      <c r="DB59" s="2657">
        <f>'Balance Sheet'!CH32+'Balance Sheet'!CH31</f>
      </c>
      <c r="DC59" s="2657">
        <f>'Balance Sheet'!CI32+'Balance Sheet'!CI31</f>
      </c>
      <c r="DD59" s="2657">
        <f>'Balance Sheet'!CJ32+'Balance Sheet'!CJ31</f>
      </c>
      <c r="DE59" s="2657">
        <f>'Balance Sheet'!CK32+'Balance Sheet'!CK31</f>
      </c>
      <c r="DF59" s="2657">
        <f>'Balance Sheet'!CL32+'Balance Sheet'!CL31</f>
      </c>
      <c r="DG59" s="2657">
        <f>'Balance Sheet'!CM32+'Balance Sheet'!CM31</f>
      </c>
      <c r="DH59" s="2657">
        <f>'Balance Sheet'!CN32+'Balance Sheet'!CN31</f>
      </c>
      <c r="DI59" s="2657">
        <f>'Balance Sheet'!CO32+'Balance Sheet'!CO31</f>
      </c>
      <c r="DJ59" s="2657">
        <f>'Balance Sheet'!CP32+'Balance Sheet'!CP31</f>
      </c>
      <c r="DK59" s="2657">
        <f>'Balance Sheet'!CQ32+'Balance Sheet'!CQ31</f>
      </c>
      <c r="DL59" s="2657">
        <f>'Balance Sheet'!CR32+'Balance Sheet'!CR31</f>
      </c>
      <c r="DM59" s="2657">
        <f>'Balance Sheet'!CS32+'Balance Sheet'!CS31</f>
      </c>
      <c r="DN59" s="2657">
        <f>'Balance Sheet'!CT32+'Balance Sheet'!CT31</f>
      </c>
      <c r="DO59" s="2657">
        <f>'Balance Sheet'!CU32+'Balance Sheet'!CU31</f>
      </c>
      <c r="DP59" s="2657">
        <f>'Balance Sheet'!CV32+'Balance Sheet'!CV31</f>
      </c>
      <c r="DQ59" s="2657">
        <f>'Balance Sheet'!CW32+'Balance Sheet'!CW31</f>
      </c>
      <c r="DR59" s="2657">
        <f>'Balance Sheet'!CX32+'Balance Sheet'!CX31</f>
      </c>
      <c r="DS59" s="2657">
        <f>'Balance Sheet'!CY32+'Balance Sheet'!CY31</f>
      </c>
      <c r="DT59" s="2657">
        <f>'Balance Sheet'!CZ32+'Balance Sheet'!CZ31</f>
      </c>
      <c r="DU59" s="2657">
        <f>'Balance Sheet'!DA32+'Balance Sheet'!DA31</f>
      </c>
      <c r="DV59" s="2657">
        <f>'Balance Sheet'!DB32+'Balance Sheet'!DB31</f>
      </c>
      <c r="DW59" s="2657">
        <f>'Balance Sheet'!DC32+'Balance Sheet'!DC31</f>
      </c>
      <c r="DX59" s="2657">
        <f>'Balance Sheet'!DD32+'Balance Sheet'!DD31</f>
      </c>
      <c r="DY59" s="2657">
        <f>'Balance Sheet'!DE32+'Balance Sheet'!DE31</f>
      </c>
      <c r="DZ59" s="2657">
        <f>'Balance Sheet'!DF32+'Balance Sheet'!DF31</f>
      </c>
      <c r="EA59" s="2657">
        <f>'Balance Sheet'!DG32+'Balance Sheet'!DG31</f>
      </c>
      <c r="EB59" s="2657">
        <f>'Balance Sheet'!DH32+'Balance Sheet'!DH31</f>
      </c>
      <c r="EC59" s="2657">
        <f>'Balance Sheet'!DI32+'Balance Sheet'!DI31</f>
      </c>
      <c r="ED59" s="2657">
        <f>'Balance Sheet'!DJ32+'Balance Sheet'!DJ31</f>
      </c>
      <c r="EE59" s="2657">
        <f>'Balance Sheet'!DK32+'Balance Sheet'!DK31</f>
      </c>
      <c r="EF59" s="2657">
        <f>'Balance Sheet'!DL32+'Balance Sheet'!DL31</f>
      </c>
      <c r="EG59" s="2657">
        <f>'Balance Sheet'!DM32+'Balance Sheet'!DM31</f>
      </c>
      <c r="EH59" s="2657">
        <f>'Balance Sheet'!DN32+'Balance Sheet'!DN31</f>
      </c>
      <c r="EI59" s="2657">
        <f>'Balance Sheet'!DO32+'Balance Sheet'!DO31</f>
      </c>
      <c r="EJ59" s="2657">
        <f>'Balance Sheet'!DP32+'Balance Sheet'!DP31</f>
      </c>
      <c r="EK59" s="2657">
        <f>'Balance Sheet'!DQ32+'Balance Sheet'!DQ31</f>
      </c>
      <c r="EL59" s="2657">
        <f>'Balance Sheet'!DR32+'Balance Sheet'!DR31</f>
      </c>
      <c r="EM59" s="2657">
        <f>'Balance Sheet'!DS32+'Balance Sheet'!DS31</f>
      </c>
      <c r="EN59" s="2657">
        <f>'Balance Sheet'!DT32+'Balance Sheet'!DT31</f>
      </c>
      <c r="EO59" s="2657">
        <f>'Balance Sheet'!DU32+'Balance Sheet'!DU31</f>
      </c>
      <c r="EP59" s="2657">
        <f>'Balance Sheet'!DV32+'Balance Sheet'!DV31</f>
      </c>
      <c r="EQ59" s="2657">
        <f>'Balance Sheet'!DW32+'Balance Sheet'!DW31</f>
      </c>
      <c r="ER59" s="2657">
        <f>'Balance Sheet'!DX32+'Balance Sheet'!DX31</f>
      </c>
      <c r="ES59" s="2657">
        <f>'Balance Sheet'!DY32+'Balance Sheet'!DY31</f>
      </c>
      <c r="ET59" s="2657">
        <f>'Balance Sheet'!DZ32+'Balance Sheet'!DZ31</f>
      </c>
      <c r="EU59" s="2657">
        <f>'Balance Sheet'!EA32+'Balance Sheet'!EA31</f>
      </c>
      <c r="EV59" s="2657">
        <f>'Balance Sheet'!EB32+'Balance Sheet'!EB31</f>
      </c>
      <c r="EW59" s="2657">
        <f>'Balance Sheet'!EC32+'Balance Sheet'!EC31</f>
      </c>
      <c r="EX59" s="2657">
        <f>'Balance Sheet'!ED32+'Balance Sheet'!ED31</f>
      </c>
      <c r="EY59" s="2657">
        <f>'Balance Sheet'!EE32+'Balance Sheet'!EE31</f>
      </c>
      <c r="EZ59" s="2657">
        <f>'Balance Sheet'!EF32+'Balance Sheet'!EF31</f>
      </c>
      <c r="FA59" s="2657">
        <f>'Balance Sheet'!EG32+'Balance Sheet'!EG31</f>
      </c>
      <c r="FB59" s="2657">
        <f>'Balance Sheet'!EH32+'Balance Sheet'!EH31</f>
      </c>
      <c r="FC59" s="2657">
        <f>'Balance Sheet'!EI32+'Balance Sheet'!EI31</f>
      </c>
      <c r="FD59" s="2657">
        <f>'Balance Sheet'!EJ32+'Balance Sheet'!EJ31</f>
      </c>
      <c r="FE59" s="2657">
        <f>'Balance Sheet'!EK32+'Balance Sheet'!EK31</f>
      </c>
    </row>
    <row r="60" spans="2:161" outlineLevel="2">
      <c r="B60" t="s">
        <v>153</v>
      </c>
      <c r="C60" t="s">
        <v>323</v>
      </c>
      <c r="D60" t="str">
        <f t="shared" si="10"/>
      </c>
      <c r="F60" s="2657">
        <f>'Balance Sheet'!ER35</f>
      </c>
      <c r="G60" s="2657">
        <f>'Balance Sheet'!ES35</f>
      </c>
      <c r="H60" s="2657">
        <f>'Balance Sheet'!ET35</f>
      </c>
      <c r="I60" s="2657">
        <f>'Balance Sheet'!EU35</f>
      </c>
      <c r="J60" s="2657">
        <f>'Balance Sheet'!EV35</f>
      </c>
      <c r="K60" s="2657">
        <f>'Balance Sheet'!EW35</f>
      </c>
      <c r="L60" s="2657">
        <f>'Balance Sheet'!EX35</f>
      </c>
      <c r="M60" s="2657">
        <f>'Balance Sheet'!EY35</f>
      </c>
      <c r="N60" s="2657">
        <f>'Balance Sheet'!EZ35</f>
      </c>
      <c r="O60" s="2657">
        <f>'Balance Sheet'!FA35</f>
      </c>
      <c r="P60" s="2657">
        <f>'Balance Sheet'!FB35</f>
      </c>
      <c r="Q60" s="2657">
        <f>'Balance Sheet'!FC35</f>
      </c>
      <c r="R60" s="2657">
        <f>'Balance Sheet'!FD35</f>
      </c>
      <c r="S60" s="2657">
        <f>'Balance Sheet'!FE35</f>
      </c>
      <c r="T60" s="2657">
        <f>'Balance Sheet'!FF35</f>
      </c>
      <c r="U60" s="2657">
        <f>'Balance Sheet'!FG35</f>
      </c>
      <c r="V60" s="2657">
        <f>'Balance Sheet'!FH35</f>
      </c>
      <c r="W60" s="2657">
        <f>'Balance Sheet'!FI35</f>
      </c>
      <c r="X60" s="2657">
        <f>'Balance Sheet'!FJ35</f>
      </c>
      <c r="Y60" s="2657">
        <f>'Balance Sheet'!FK35</f>
      </c>
      <c r="Z60" s="2657">
        <f>'Balance Sheet'!FL35</f>
      </c>
      <c r="AA60" s="2657">
        <f>'Balance Sheet'!FM35</f>
      </c>
      <c r="AB60" s="2657">
        <f>'Balance Sheet'!FN35</f>
      </c>
      <c r="AC60" s="2657">
        <f>'Balance Sheet'!FO35</f>
      </c>
      <c r="AD60" s="2657">
        <f>'Balance Sheet'!FP35</f>
      </c>
      <c r="AE60" s="2657">
        <f>'Balance Sheet'!FQ35</f>
      </c>
      <c r="AF60" s="2657">
        <f>'Balance Sheet'!FR35</f>
      </c>
      <c r="AG60" s="2657">
        <f>'Balance Sheet'!FS35</f>
      </c>
      <c r="AH60" s="2657">
        <f>'Balance Sheet'!FT35</f>
      </c>
      <c r="AI60" s="2657">
        <f>'Balance Sheet'!FU35</f>
      </c>
      <c r="AJ60" s="2657">
        <f>'Balance Sheet'!FV35</f>
      </c>
      <c r="AK60" s="2657"/>
      <c r="AL60" s="2657">
        <f>'Balance Sheet'!R35</f>
      </c>
      <c r="AM60" s="2657">
        <f>'Balance Sheet'!S35</f>
      </c>
      <c r="AN60" s="2657">
        <f>'Balance Sheet'!T35</f>
      </c>
      <c r="AO60" s="2657">
        <f>'Balance Sheet'!U35</f>
      </c>
      <c r="AP60" s="2657">
        <f>'Balance Sheet'!V35</f>
      </c>
      <c r="AQ60" s="2657">
        <f>'Balance Sheet'!W35</f>
      </c>
      <c r="AR60" s="2657">
        <f>'Balance Sheet'!X35</f>
      </c>
      <c r="AS60" s="2657">
        <f>'Balance Sheet'!Y35</f>
      </c>
      <c r="AT60" s="2657">
        <f>'Balance Sheet'!Z35</f>
      </c>
      <c r="AU60" s="2657">
        <f>'Balance Sheet'!AA35</f>
      </c>
      <c r="AV60" s="2657">
        <f>'Balance Sheet'!AB35</f>
      </c>
      <c r="AW60" s="2657">
        <f>'Balance Sheet'!AC35</f>
      </c>
      <c r="AX60" s="2657">
        <f>'Balance Sheet'!AD35</f>
      </c>
      <c r="AY60" s="2657">
        <f>'Balance Sheet'!AE35</f>
      </c>
      <c r="AZ60" s="2657">
        <f>'Balance Sheet'!AF35</f>
      </c>
      <c r="BA60" s="2657">
        <f>'Balance Sheet'!AG35</f>
      </c>
      <c r="BB60" s="2657">
        <f>'Balance Sheet'!AH35</f>
      </c>
      <c r="BC60" s="2657">
        <f>'Balance Sheet'!AI35</f>
      </c>
      <c r="BD60" s="2657">
        <f>'Balance Sheet'!AJ35</f>
      </c>
      <c r="BE60" s="2657">
        <f>'Balance Sheet'!AK35</f>
      </c>
      <c r="BF60" s="2657">
        <f>'Balance Sheet'!AL35</f>
      </c>
      <c r="BG60" s="2657">
        <f>'Balance Sheet'!AM35</f>
      </c>
      <c r="BH60" s="2657">
        <f>'Balance Sheet'!AN35</f>
      </c>
      <c r="BI60" s="2657">
        <f>'Balance Sheet'!AO35</f>
      </c>
      <c r="BJ60" s="2657">
        <f>'Balance Sheet'!AP35</f>
      </c>
      <c r="BK60" s="2657">
        <f>'Balance Sheet'!AQ35</f>
      </c>
      <c r="BL60" s="2657">
        <f>'Balance Sheet'!AR35</f>
      </c>
      <c r="BM60" s="2657">
        <f>'Balance Sheet'!AS35</f>
      </c>
      <c r="BN60" s="2657">
        <f>'Balance Sheet'!AT35</f>
      </c>
      <c r="BO60" s="2657">
        <f>'Balance Sheet'!AU35</f>
      </c>
      <c r="BP60" s="2657">
        <f>'Balance Sheet'!AV35</f>
      </c>
      <c r="BQ60" s="2657">
        <f>'Balance Sheet'!AW35</f>
      </c>
      <c r="BR60" s="2657">
        <f>'Balance Sheet'!AX35</f>
      </c>
      <c r="BS60" s="2657">
        <f>'Balance Sheet'!AY35</f>
      </c>
      <c r="BT60" s="2657">
        <f>'Balance Sheet'!AZ35</f>
      </c>
      <c r="BU60" s="2657">
        <f>'Balance Sheet'!BA35</f>
      </c>
      <c r="BV60" s="2657">
        <f>'Balance Sheet'!BB35</f>
      </c>
      <c r="BW60" s="2657">
        <f>'Balance Sheet'!BC35</f>
      </c>
      <c r="BX60" s="2657">
        <f>'Balance Sheet'!BD35</f>
      </c>
      <c r="BY60" s="2657">
        <f>'Balance Sheet'!BE35</f>
      </c>
      <c r="BZ60" s="2657">
        <f>'Balance Sheet'!BF35</f>
      </c>
      <c r="CA60" s="2657">
        <f>'Balance Sheet'!BG35</f>
      </c>
      <c r="CB60" s="2657">
        <f>'Balance Sheet'!BH35</f>
      </c>
      <c r="CC60" s="2657">
        <f>'Balance Sheet'!BI35</f>
      </c>
      <c r="CD60" s="2657">
        <f>'Balance Sheet'!BJ35</f>
      </c>
      <c r="CE60" s="2657">
        <f>'Balance Sheet'!BK35</f>
      </c>
      <c r="CF60" s="2657">
        <f>'Balance Sheet'!BL35</f>
      </c>
      <c r="CG60" s="2657">
        <f>'Balance Sheet'!BM35</f>
      </c>
      <c r="CH60" s="2657">
        <f>'Balance Sheet'!BN35</f>
      </c>
      <c r="CI60" s="2657">
        <f>'Balance Sheet'!BO35</f>
      </c>
      <c r="CJ60" s="2657">
        <f>'Balance Sheet'!BP35</f>
      </c>
      <c r="CK60" s="2657">
        <f>'Balance Sheet'!BQ35</f>
      </c>
      <c r="CL60" s="2657">
        <f>'Balance Sheet'!BR35</f>
      </c>
      <c r="CM60" s="2657">
        <f>'Balance Sheet'!BS35</f>
      </c>
      <c r="CN60" s="2657">
        <f>'Balance Sheet'!BT35</f>
      </c>
      <c r="CO60" s="2657">
        <f>'Balance Sheet'!BU35</f>
      </c>
      <c r="CP60" s="2657">
        <f>'Balance Sheet'!BV35</f>
      </c>
      <c r="CQ60" s="2657">
        <f>'Balance Sheet'!BW35</f>
      </c>
      <c r="CR60" s="2657">
        <f>'Balance Sheet'!BX35</f>
      </c>
      <c r="CS60" s="2657">
        <f>'Balance Sheet'!BY35</f>
      </c>
      <c r="CT60" s="2657">
        <f>'Balance Sheet'!BZ35</f>
      </c>
      <c r="CU60" s="2657">
        <f>'Balance Sheet'!CA35</f>
      </c>
      <c r="CV60" s="2657">
        <f>'Balance Sheet'!CB35</f>
      </c>
      <c r="CW60" s="2657">
        <f>'Balance Sheet'!CC35</f>
      </c>
      <c r="CX60" s="2657">
        <f>'Balance Sheet'!CD35</f>
      </c>
      <c r="CY60" s="2657">
        <f>'Balance Sheet'!CE35</f>
      </c>
      <c r="CZ60" s="2657">
        <f>'Balance Sheet'!CF35</f>
      </c>
      <c r="DA60" s="2657">
        <f>'Balance Sheet'!CG35</f>
      </c>
      <c r="DB60" s="2657">
        <f>'Balance Sheet'!CH35</f>
      </c>
      <c r="DC60" s="2657">
        <f>'Balance Sheet'!CI35</f>
      </c>
      <c r="DD60" s="2657">
        <f>'Balance Sheet'!CJ35</f>
      </c>
      <c r="DE60" s="2657">
        <f>'Balance Sheet'!CK35</f>
      </c>
      <c r="DF60" s="2657">
        <f>'Balance Sheet'!CL35</f>
      </c>
      <c r="DG60" s="2657">
        <f>'Balance Sheet'!CM35</f>
      </c>
      <c r="DH60" s="2657">
        <f>'Balance Sheet'!CN35</f>
      </c>
      <c r="DI60" s="2657">
        <f>'Balance Sheet'!CO35</f>
      </c>
      <c r="DJ60" s="2657">
        <f>'Balance Sheet'!CP35</f>
      </c>
      <c r="DK60" s="2657">
        <f>'Balance Sheet'!CQ35</f>
      </c>
      <c r="DL60" s="2657">
        <f>'Balance Sheet'!CR35</f>
      </c>
      <c r="DM60" s="2657">
        <f>'Balance Sheet'!CS35</f>
      </c>
      <c r="DN60" s="2657">
        <f>'Balance Sheet'!CT35</f>
      </c>
      <c r="DO60" s="2657">
        <f>'Balance Sheet'!CU35</f>
      </c>
      <c r="DP60" s="2657">
        <f>'Balance Sheet'!CV35</f>
      </c>
      <c r="DQ60" s="2657">
        <f>'Balance Sheet'!CW35</f>
      </c>
      <c r="DR60" s="2657">
        <f>'Balance Sheet'!CX35</f>
      </c>
      <c r="DS60" s="2657">
        <f>'Balance Sheet'!CY35</f>
      </c>
      <c r="DT60" s="2657">
        <f>'Balance Sheet'!CZ35</f>
      </c>
      <c r="DU60" s="2657">
        <f>'Balance Sheet'!DA35</f>
      </c>
      <c r="DV60" s="2657">
        <f>'Balance Sheet'!DB35</f>
      </c>
      <c r="DW60" s="2657">
        <f>'Balance Sheet'!DC35</f>
      </c>
      <c r="DX60" s="2657">
        <f>'Balance Sheet'!DD35</f>
      </c>
      <c r="DY60" s="2657">
        <f>'Balance Sheet'!DE35</f>
      </c>
      <c r="DZ60" s="2657">
        <f>'Balance Sheet'!DF35</f>
      </c>
      <c r="EA60" s="2657">
        <f>'Balance Sheet'!DG35</f>
      </c>
      <c r="EB60" s="2657">
        <f>'Balance Sheet'!DH35</f>
      </c>
      <c r="EC60" s="2657">
        <f>'Balance Sheet'!DI35</f>
      </c>
      <c r="ED60" s="2657">
        <f>'Balance Sheet'!DJ35</f>
      </c>
      <c r="EE60" s="2657">
        <f>'Balance Sheet'!DK35</f>
      </c>
      <c r="EF60" s="2657">
        <f>'Balance Sheet'!DL35</f>
      </c>
      <c r="EG60" s="2657">
        <f>'Balance Sheet'!DM35</f>
      </c>
      <c r="EH60" s="2657">
        <f>'Balance Sheet'!DN35</f>
      </c>
      <c r="EI60" s="2657">
        <f>'Balance Sheet'!DO35</f>
      </c>
      <c r="EJ60" s="2657">
        <f>'Balance Sheet'!DP35</f>
      </c>
      <c r="EK60" s="2657">
        <f>'Balance Sheet'!DQ35</f>
      </c>
      <c r="EL60" s="2657">
        <f>'Balance Sheet'!DR35</f>
      </c>
      <c r="EM60" s="2657">
        <f>'Balance Sheet'!DS35</f>
      </c>
      <c r="EN60" s="2657">
        <f>'Balance Sheet'!DT35</f>
      </c>
      <c r="EO60" s="2657">
        <f>'Balance Sheet'!DU35</f>
      </c>
      <c r="EP60" s="2657">
        <f>'Balance Sheet'!DV35</f>
      </c>
      <c r="EQ60" s="2657">
        <f>'Balance Sheet'!DW35</f>
      </c>
      <c r="ER60" s="2657">
        <f>'Balance Sheet'!DX35</f>
      </c>
      <c r="ES60" s="2657">
        <f>'Balance Sheet'!DY35</f>
      </c>
      <c r="ET60" s="2657">
        <f>'Balance Sheet'!DZ35</f>
      </c>
      <c r="EU60" s="2657">
        <f>'Balance Sheet'!EA35</f>
      </c>
      <c r="EV60" s="2657">
        <f>'Balance Sheet'!EB35</f>
      </c>
      <c r="EW60" s="2657">
        <f>'Balance Sheet'!EC35</f>
      </c>
      <c r="EX60" s="2657">
        <f>'Balance Sheet'!ED35</f>
      </c>
      <c r="EY60" s="2657">
        <f>'Balance Sheet'!EE35</f>
      </c>
      <c r="EZ60" s="2657">
        <f>'Balance Sheet'!EF35</f>
      </c>
      <c r="FA60" s="2657">
        <f>'Balance Sheet'!EG35</f>
      </c>
      <c r="FB60" s="2657">
        <f>'Balance Sheet'!EH35</f>
      </c>
      <c r="FC60" s="2657">
        <f>'Balance Sheet'!EI35</f>
      </c>
      <c r="FD60" s="2657">
        <f>'Balance Sheet'!EJ35</f>
      </c>
      <c r="FE60" s="2657">
        <f>'Balance Sheet'!EK35</f>
      </c>
    </row>
    <row r="61" spans="2:161" outlineLevel="2">
      <c r="B61" t="s">
        <v>324</v>
      </c>
      <c r="C61" t="s">
        <v>325</v>
      </c>
      <c r="D61" t="str">
        <f t="shared" si="10"/>
      </c>
      <c r="F61" s="2657">
        <f>'Balance Sheet'!ER38</f>
      </c>
      <c r="G61" s="2657">
        <f>'Balance Sheet'!ES38</f>
      </c>
      <c r="H61" s="2657">
        <f>'Balance Sheet'!ET38</f>
      </c>
      <c r="I61" s="2657"/>
      <c r="J61" s="2657"/>
      <c r="K61" s="2657"/>
      <c r="L61" s="2657"/>
      <c r="M61" s="2657"/>
      <c r="N61" s="2657"/>
      <c r="O61" s="2657"/>
      <c r="P61" s="2657"/>
      <c r="Q61" s="2657"/>
      <c r="R61" s="2657"/>
      <c r="S61" s="2657">
        <f>'Balance Sheet'!FE38</f>
      </c>
      <c r="T61" s="2657">
        <f>'Balance Sheet'!FF38</f>
      </c>
      <c r="U61" s="2657">
        <f>'Balance Sheet'!FG38</f>
      </c>
      <c r="V61" s="2657">
        <f>'Balance Sheet'!FH38</f>
      </c>
      <c r="W61" s="2657">
        <f>'Balance Sheet'!FI38</f>
      </c>
      <c r="X61" s="2657">
        <f>'Balance Sheet'!FJ38</f>
      </c>
      <c r="Y61" s="2657">
        <f>'Balance Sheet'!FK38</f>
      </c>
      <c r="Z61" s="2657">
        <f>'Balance Sheet'!FL38</f>
      </c>
      <c r="AA61" s="2657">
        <f>'Balance Sheet'!FM38</f>
      </c>
      <c r="AB61" s="2657">
        <f>'Balance Sheet'!FN38</f>
      </c>
      <c r="AC61" s="2657">
        <f>'Balance Sheet'!FO38</f>
      </c>
      <c r="AD61" s="2657">
        <f>'Balance Sheet'!FP38</f>
      </c>
      <c r="AE61" s="2657">
        <f>'Balance Sheet'!FQ38</f>
      </c>
      <c r="AF61" s="2657">
        <f>'Balance Sheet'!FR38</f>
      </c>
      <c r="AG61" s="2657">
        <f>'Balance Sheet'!FS38</f>
      </c>
      <c r="AH61" s="2657">
        <f>'Balance Sheet'!FT38</f>
      </c>
      <c r="AI61" s="2657">
        <f>'Balance Sheet'!FU38</f>
      </c>
      <c r="AJ61" s="2657">
        <f>'Balance Sheet'!FV38</f>
      </c>
      <c r="AK61" s="2657"/>
      <c r="AL61" s="2657">
        <f>'Balance Sheet'!R38</f>
      </c>
      <c r="AM61" s="2657">
        <f>'Balance Sheet'!S38</f>
      </c>
      <c r="AN61" s="2657">
        <f>'Balance Sheet'!T38</f>
      </c>
      <c r="AO61" s="2657">
        <f>'Balance Sheet'!U38</f>
      </c>
      <c r="AP61" s="2657">
        <f>'Balance Sheet'!V38</f>
      </c>
      <c r="AQ61" s="2657">
        <f>'Balance Sheet'!W38</f>
      </c>
      <c r="AR61" s="2657">
        <f>'Balance Sheet'!X38</f>
      </c>
      <c r="AS61" s="2657">
        <f>'Balance Sheet'!Y38</f>
      </c>
      <c r="AT61" s="2657">
        <f>'Balance Sheet'!Z38</f>
      </c>
      <c r="AU61" s="2657">
        <f>'Balance Sheet'!AA38</f>
      </c>
      <c r="AV61" s="2657">
        <f>'Balance Sheet'!AB38</f>
      </c>
      <c r="AW61" s="2657">
        <f>'Balance Sheet'!AC38</f>
      </c>
      <c r="AX61" s="2657">
        <f>'Balance Sheet'!AD38</f>
      </c>
      <c r="AY61" s="2657">
        <f>'Balance Sheet'!AE38</f>
      </c>
      <c r="AZ61" s="2657">
        <f>'Balance Sheet'!AF38</f>
      </c>
      <c r="BA61" s="2657">
        <f>'Balance Sheet'!AG38</f>
      </c>
      <c r="BB61" s="2657">
        <f>'Balance Sheet'!AH38</f>
      </c>
      <c r="BC61" s="2657">
        <f>'Balance Sheet'!AI38</f>
      </c>
      <c r="BD61" s="2657">
        <f>'Balance Sheet'!AJ38</f>
      </c>
      <c r="BE61" s="2657">
        <f>'Balance Sheet'!AK38</f>
      </c>
      <c r="BF61" s="2657">
        <f>'Balance Sheet'!AL38</f>
      </c>
      <c r="BG61" s="2657">
        <f>'Balance Sheet'!AM38</f>
      </c>
      <c r="BH61" s="2657">
        <f>'Balance Sheet'!AN38</f>
      </c>
      <c r="BI61" s="2657">
        <f>'Balance Sheet'!AO38</f>
      </c>
      <c r="BJ61" s="2657">
        <f>'Balance Sheet'!AP38</f>
      </c>
      <c r="BK61" s="2657">
        <f>'Balance Sheet'!AQ38</f>
      </c>
      <c r="BL61" s="2657">
        <f>'Balance Sheet'!AR38</f>
      </c>
      <c r="BM61" s="2657">
        <f>'Balance Sheet'!AS38</f>
      </c>
      <c r="BN61" s="2657">
        <f>'Balance Sheet'!AT38</f>
      </c>
      <c r="BO61" s="2657">
        <f>'Balance Sheet'!AU38</f>
      </c>
      <c r="BP61" s="2657">
        <f>'Balance Sheet'!AV38</f>
      </c>
      <c r="BQ61" s="2657">
        <f>'Balance Sheet'!AW38</f>
      </c>
      <c r="BR61" s="2657">
        <f>'Balance Sheet'!AX38</f>
      </c>
      <c r="BS61" s="2657">
        <f>'Balance Sheet'!AY38</f>
      </c>
      <c r="BT61" s="2657">
        <f>'Balance Sheet'!AZ38</f>
      </c>
      <c r="BU61" s="2657">
        <f>'Balance Sheet'!BA38</f>
      </c>
      <c r="BV61" s="2657">
        <f>'Balance Sheet'!BB38</f>
      </c>
      <c r="BW61" s="2657">
        <f>'Balance Sheet'!BC38</f>
      </c>
      <c r="BX61" s="2657">
        <f>'Balance Sheet'!BD38</f>
      </c>
      <c r="BY61" s="2657">
        <f>'Balance Sheet'!BE38</f>
      </c>
      <c r="BZ61" s="2657">
        <f>'Balance Sheet'!BF38</f>
      </c>
      <c r="CA61" s="2657">
        <f>'Balance Sheet'!BG38</f>
      </c>
      <c r="CB61" s="2657">
        <f>'Balance Sheet'!BH38</f>
      </c>
      <c r="CC61" s="2657">
        <f>'Balance Sheet'!BI38</f>
      </c>
      <c r="CD61" s="2657">
        <f>'Balance Sheet'!BJ38</f>
      </c>
      <c r="CE61" s="2657">
        <f>'Balance Sheet'!BK38</f>
      </c>
      <c r="CF61" s="2657">
        <f>'Balance Sheet'!BL38</f>
      </c>
      <c r="CG61" s="2657">
        <f>'Balance Sheet'!BM38</f>
      </c>
      <c r="CH61" s="2657">
        <f>'Balance Sheet'!BN38</f>
      </c>
      <c r="CI61" s="2657">
        <f>'Balance Sheet'!BO38</f>
      </c>
      <c r="CJ61" s="2657">
        <f>'Balance Sheet'!BP38</f>
      </c>
      <c r="CK61" s="2657">
        <f>'Balance Sheet'!BQ38</f>
      </c>
      <c r="CL61" s="2657">
        <f>'Balance Sheet'!BR38</f>
      </c>
      <c r="CM61" s="2657">
        <f>'Balance Sheet'!BS38</f>
      </c>
      <c r="CN61" s="2657">
        <f>'Balance Sheet'!BT38</f>
      </c>
      <c r="CO61" s="2657">
        <f>'Balance Sheet'!BU38</f>
      </c>
      <c r="CP61" s="2657">
        <f>'Balance Sheet'!BV38</f>
      </c>
      <c r="CQ61" s="2657">
        <f>'Balance Sheet'!BW38</f>
      </c>
      <c r="CR61" s="2657">
        <f>'Balance Sheet'!BX38</f>
      </c>
      <c r="CS61" s="2657">
        <f>'Balance Sheet'!BY38</f>
      </c>
      <c r="CT61" s="2657">
        <f>'Balance Sheet'!BZ38</f>
      </c>
      <c r="CU61" s="2657">
        <f>'Balance Sheet'!CA38</f>
      </c>
      <c r="CV61" s="2657">
        <f>'Balance Sheet'!CB38</f>
      </c>
      <c r="CW61" s="2657">
        <f>'Balance Sheet'!CC38</f>
      </c>
      <c r="CX61" s="2657">
        <f>'Balance Sheet'!CD38</f>
      </c>
      <c r="CY61" s="2657">
        <f>'Balance Sheet'!CE38</f>
      </c>
      <c r="CZ61" s="2657">
        <f>'Balance Sheet'!CF38</f>
      </c>
      <c r="DA61" s="2657">
        <f>'Balance Sheet'!CG38</f>
      </c>
      <c r="DB61" s="2657">
        <f>'Balance Sheet'!CH38</f>
      </c>
      <c r="DC61" s="2657">
        <f>'Balance Sheet'!CI38</f>
      </c>
      <c r="DD61" s="2657">
        <f>'Balance Sheet'!CJ38</f>
      </c>
      <c r="DE61" s="2657">
        <f>'Balance Sheet'!CK38</f>
      </c>
      <c r="DF61" s="2657">
        <f>'Balance Sheet'!CL38</f>
      </c>
      <c r="DG61" s="2657">
        <f>'Balance Sheet'!CM38</f>
      </c>
      <c r="DH61" s="2657">
        <f>'Balance Sheet'!CN38</f>
      </c>
      <c r="DI61" s="2657">
        <f>'Balance Sheet'!CO38</f>
      </c>
      <c r="DJ61" s="2657">
        <f>'Balance Sheet'!CP38</f>
      </c>
      <c r="DK61" s="2657">
        <f>'Balance Sheet'!CQ38</f>
      </c>
      <c r="DL61" s="2657">
        <f>'Balance Sheet'!CR38</f>
      </c>
      <c r="DM61" s="2657">
        <f>'Balance Sheet'!CS38</f>
      </c>
      <c r="DN61" s="2657">
        <f>'Balance Sheet'!CT38</f>
      </c>
      <c r="DO61" s="2657">
        <f>'Balance Sheet'!CU38</f>
      </c>
      <c r="DP61" s="2657">
        <f>'Balance Sheet'!CV38</f>
      </c>
      <c r="DQ61" s="2657">
        <f>'Balance Sheet'!CW38</f>
      </c>
      <c r="DR61" s="2657">
        <f>'Balance Sheet'!CX38</f>
      </c>
      <c r="DS61" s="2657">
        <f>'Balance Sheet'!CY38</f>
      </c>
      <c r="DT61" s="2657">
        <f>'Balance Sheet'!CZ38</f>
      </c>
      <c r="DU61" s="2657">
        <f>'Balance Sheet'!DA38</f>
      </c>
      <c r="DV61" s="2657">
        <f>'Balance Sheet'!DB38</f>
      </c>
      <c r="DW61" s="2657">
        <f>'Balance Sheet'!DC38</f>
      </c>
      <c r="DX61" s="2657">
        <f>'Balance Sheet'!DD38</f>
      </c>
      <c r="DY61" s="2657">
        <f>'Balance Sheet'!DE38</f>
      </c>
      <c r="DZ61" s="2657">
        <f>'Balance Sheet'!DF38</f>
      </c>
      <c r="EA61" s="2657">
        <f>'Balance Sheet'!DG38</f>
      </c>
      <c r="EB61" s="2657">
        <f>'Balance Sheet'!DH38</f>
      </c>
      <c r="EC61" s="2657">
        <f>'Balance Sheet'!DI38</f>
      </c>
      <c r="ED61" s="2657">
        <f>'Balance Sheet'!DJ38</f>
      </c>
      <c r="EE61" s="2657">
        <f>'Balance Sheet'!DK38</f>
      </c>
      <c r="EF61" s="2657">
        <f>'Balance Sheet'!DL38</f>
      </c>
      <c r="EG61" s="2657">
        <f>'Balance Sheet'!DM38</f>
      </c>
      <c r="EH61" s="2657">
        <f>'Balance Sheet'!DN38</f>
      </c>
      <c r="EI61" s="2657">
        <f>'Balance Sheet'!DO38</f>
      </c>
      <c r="EJ61" s="2657">
        <f>'Balance Sheet'!DP38</f>
      </c>
      <c r="EK61" s="2657">
        <f>'Balance Sheet'!DQ38</f>
      </c>
      <c r="EL61" s="2657">
        <f>'Balance Sheet'!DR38</f>
      </c>
      <c r="EM61" s="2657">
        <f>'Balance Sheet'!DS38</f>
      </c>
      <c r="EN61" s="2657">
        <f>'Balance Sheet'!DT38</f>
      </c>
      <c r="EO61" s="2657">
        <f>'Balance Sheet'!DU38</f>
      </c>
      <c r="EP61" s="2657">
        <f>'Balance Sheet'!DV38</f>
      </c>
      <c r="EQ61" s="2657">
        <f>'Balance Sheet'!DW38</f>
      </c>
      <c r="ER61" s="2657">
        <f>'Balance Sheet'!DX38</f>
      </c>
      <c r="ES61" s="2657">
        <f>'Balance Sheet'!DY38</f>
      </c>
      <c r="ET61" s="2657">
        <f>'Balance Sheet'!DZ38</f>
      </c>
      <c r="EU61" s="2657">
        <f>'Balance Sheet'!EA38</f>
      </c>
      <c r="EV61" s="2657">
        <f>'Balance Sheet'!EB38</f>
      </c>
      <c r="EW61" s="2657">
        <f>'Balance Sheet'!EC38</f>
      </c>
      <c r="EX61" s="2657">
        <f>'Balance Sheet'!ED38</f>
      </c>
      <c r="EY61" s="2657">
        <f>'Balance Sheet'!EE38</f>
      </c>
      <c r="EZ61" s="2657">
        <f>'Balance Sheet'!EF38</f>
      </c>
      <c r="FA61" s="2657">
        <f>'Balance Sheet'!EG38</f>
      </c>
      <c r="FB61" s="2657">
        <f>'Balance Sheet'!EH38</f>
      </c>
      <c r="FC61" s="2657">
        <f>'Balance Sheet'!EI38</f>
      </c>
      <c r="FD61" s="2657">
        <f>'Balance Sheet'!EJ38</f>
      </c>
      <c r="FE61" s="2657">
        <f>'Balance Sheet'!EK38</f>
      </c>
    </row>
    <row r="62" spans="2:161" outlineLevel="2">
      <c r="B62" t="s">
        <v>1086</v>
      </c>
      <c r="C62" t="s">
        <v>1087</v>
      </c>
      <c r="D62" t="str">
        <f t="shared" si="10"/>
      </c>
      <c r="F62" s="2657"/>
      <c r="G62" s="2657"/>
      <c r="H62" s="2657"/>
      <c r="I62" s="2657"/>
      <c r="J62" s="2657"/>
      <c r="K62" s="2657"/>
      <c r="L62" s="2657"/>
      <c r="M62" s="2657"/>
      <c r="N62" s="2657"/>
      <c r="O62" s="2657"/>
      <c r="P62" s="2657"/>
      <c r="Q62" s="2657"/>
      <c r="R62" s="2657"/>
      <c r="S62" s="2657"/>
      <c r="T62" s="2657"/>
      <c r="U62" s="2657"/>
      <c r="V62" s="2657"/>
      <c r="W62" s="2657"/>
      <c r="X62" s="2657"/>
      <c r="Y62" s="2657"/>
      <c r="Z62" s="2657"/>
      <c r="AA62" s="2657"/>
      <c r="AB62" s="2657"/>
      <c r="AC62" s="2657"/>
      <c r="AD62" s="2657"/>
      <c r="AE62" s="2657"/>
      <c r="AF62" s="2657"/>
      <c r="AG62" s="2657"/>
      <c r="AH62" s="2657"/>
      <c r="AI62" s="2657"/>
      <c r="AJ62" s="2657"/>
      <c r="AK62" s="2657"/>
      <c r="AL62" s="2657"/>
      <c r="AM62" s="2657"/>
      <c r="AN62" s="2657"/>
      <c r="AO62" s="2657"/>
      <c r="AP62" s="2657"/>
      <c r="AQ62" s="2657"/>
      <c r="AR62" s="2657"/>
      <c r="AS62" s="2657"/>
      <c r="AT62" s="2657"/>
      <c r="AU62" s="2657"/>
      <c r="AV62" s="2657"/>
      <c r="AW62" s="2657"/>
      <c r="AX62" s="2657"/>
      <c r="AY62" s="2657"/>
      <c r="AZ62" s="2657"/>
      <c r="BA62" s="2657"/>
      <c r="BB62" s="2657"/>
      <c r="BC62" s="2657"/>
      <c r="BD62" s="2657"/>
      <c r="BE62" s="2657"/>
      <c r="BF62" s="2657"/>
      <c r="BG62" s="2657"/>
      <c r="BH62" s="2657"/>
      <c r="BI62" s="2657"/>
      <c r="BJ62" s="2657"/>
      <c r="BK62" s="2657"/>
      <c r="BL62" s="2657"/>
      <c r="BM62" s="2657"/>
      <c r="BN62" s="2657"/>
      <c r="BO62" s="2657"/>
      <c r="BP62" s="2657"/>
      <c r="BQ62" s="2657"/>
      <c r="BR62" s="2657"/>
      <c r="BS62" s="2657"/>
      <c r="BT62" s="2657"/>
      <c r="BU62" s="2657"/>
      <c r="BV62" s="2657"/>
      <c r="BW62" s="2657"/>
      <c r="BX62" s="2657"/>
      <c r="BY62" s="2657"/>
      <c r="BZ62" s="2657"/>
      <c r="CA62" s="2657"/>
      <c r="CB62" s="2657"/>
      <c r="CC62" s="2657"/>
      <c r="CD62" s="2657"/>
      <c r="CE62" s="2657"/>
      <c r="CF62" s="2657"/>
      <c r="CG62" s="2657"/>
      <c r="CH62" s="2657"/>
      <c r="CI62" s="2657"/>
      <c r="CJ62" s="2657"/>
      <c r="CK62" s="2657"/>
      <c r="CL62" s="2657"/>
      <c r="CM62" s="2657"/>
      <c r="CN62" s="2657"/>
      <c r="CO62" s="2657"/>
      <c r="CP62" s="2657"/>
      <c r="CQ62" s="2657"/>
      <c r="CR62" s="2657"/>
      <c r="CS62" s="2657"/>
      <c r="CT62" s="2657"/>
      <c r="CU62" s="2657"/>
      <c r="CV62" s="2657"/>
      <c r="CW62" s="2657"/>
      <c r="CX62" s="2657"/>
      <c r="CY62" s="2657"/>
      <c r="CZ62" s="2657"/>
      <c r="DA62" s="2657"/>
      <c r="DB62" s="2657"/>
      <c r="DC62" s="2657"/>
      <c r="DD62" s="2657"/>
      <c r="DE62" s="2657"/>
      <c r="DF62" s="2657"/>
      <c r="DG62" s="2657"/>
      <c r="DH62" s="2657"/>
      <c r="DI62" s="2657"/>
      <c r="DJ62" s="2657"/>
      <c r="DK62" s="2657"/>
      <c r="DL62" s="2657"/>
      <c r="DM62" s="2657"/>
      <c r="DN62" s="2657"/>
      <c r="DO62" s="2657"/>
      <c r="DP62" s="2657"/>
      <c r="DQ62" s="2657"/>
      <c r="DR62" s="2657"/>
      <c r="DS62" s="2657"/>
      <c r="DT62" s="2657"/>
      <c r="DU62" s="2657"/>
      <c r="DV62" s="2657"/>
      <c r="DW62" s="2657"/>
      <c r="DX62" s="2657"/>
      <c r="DY62" s="2657"/>
      <c r="DZ62" s="2657"/>
      <c r="EA62" s="2657"/>
      <c r="EB62" s="2657"/>
      <c r="EC62" s="2657"/>
      <c r="ED62" s="2657"/>
      <c r="EE62" s="2657"/>
      <c r="EF62" s="2657"/>
      <c r="EG62" s="2657"/>
      <c r="EH62" s="2657"/>
      <c r="EI62" s="2657"/>
      <c r="EJ62" s="2657"/>
      <c r="EK62" s="2657"/>
      <c r="EL62" s="2657"/>
      <c r="EM62" s="2657"/>
      <c r="EN62" s="2657"/>
      <c r="EO62" s="2657"/>
      <c r="EP62" s="2657"/>
      <c r="EQ62" s="2657"/>
      <c r="ER62" s="2657"/>
      <c r="ES62" s="2657"/>
      <c r="ET62" s="2657"/>
      <c r="EU62" s="2657"/>
      <c r="EV62" s="2657"/>
      <c r="EW62" s="2657"/>
      <c r="EX62" s="2657"/>
      <c r="EY62" s="2657"/>
      <c r="EZ62" s="2657"/>
      <c r="FA62" s="2657"/>
      <c r="FB62" s="2657"/>
      <c r="FC62" s="2657"/>
      <c r="FD62" s="2657"/>
      <c r="FE62" s="2657"/>
    </row>
    <row r="63" spans="2:161" outlineLevel="2">
      <c r="B63" t="s">
        <v>326</v>
      </c>
      <c r="C63" t="s">
        <v>327</v>
      </c>
      <c r="D63" t="str">
        <f t="shared" si="10"/>
      </c>
      <c r="F63" s="2657">
        <f>'Balance Sheet'!ER37+'Balance Sheet'!ER39</f>
      </c>
      <c r="G63" s="2657">
        <f>'Balance Sheet'!ES37+'Balance Sheet'!ES39</f>
      </c>
      <c r="H63" s="2657">
        <f>'Balance Sheet'!ET37+'Balance Sheet'!ET39</f>
      </c>
      <c r="I63" s="2657">
        <f>'Balance Sheet'!EU37+'Balance Sheet'!EU39</f>
      </c>
      <c r="J63" s="2657">
        <f>'Balance Sheet'!EV37+'Balance Sheet'!EV39</f>
      </c>
      <c r="K63" s="2657">
        <f>'Balance Sheet'!EW37+'Balance Sheet'!EW39</f>
      </c>
      <c r="L63" s="2657">
        <f>'Balance Sheet'!EX37+'Balance Sheet'!EX39</f>
      </c>
      <c r="M63" s="2657">
        <f>'Balance Sheet'!EY37+'Balance Sheet'!EY39</f>
      </c>
      <c r="N63" s="2657">
        <f>'Balance Sheet'!EZ37+'Balance Sheet'!EZ39</f>
      </c>
      <c r="O63" s="2657">
        <f>'Balance Sheet'!FA37+'Balance Sheet'!FA39</f>
      </c>
      <c r="P63" s="2657">
        <f>'Balance Sheet'!FB37+'Balance Sheet'!FB39</f>
      </c>
      <c r="Q63" s="2657">
        <f>'Balance Sheet'!FC37+'Balance Sheet'!FC39</f>
      </c>
      <c r="R63" s="2657">
        <f>'Balance Sheet'!FD37+'Balance Sheet'!FD39</f>
      </c>
      <c r="S63" s="2657">
        <f>'Balance Sheet'!FE37+'Balance Sheet'!FE39</f>
      </c>
      <c r="T63" s="2657">
        <f>'Balance Sheet'!FF37+'Balance Sheet'!FF39</f>
      </c>
      <c r="U63" s="2657">
        <f>'Balance Sheet'!FG37+'Balance Sheet'!FG39</f>
      </c>
      <c r="V63" s="2657">
        <f>'Balance Sheet'!FH37+'Balance Sheet'!FH39</f>
      </c>
      <c r="W63" s="2657">
        <f>'Balance Sheet'!FI37+'Balance Sheet'!FI39</f>
      </c>
      <c r="X63" s="2657">
        <f>'Balance Sheet'!FJ37+'Balance Sheet'!FJ39</f>
      </c>
      <c r="Y63" s="2657">
        <f>'Balance Sheet'!FK37+'Balance Sheet'!FK39</f>
      </c>
      <c r="Z63" s="2657">
        <f>'Balance Sheet'!FL37+'Balance Sheet'!FL39</f>
      </c>
      <c r="AA63" s="2657">
        <f>'Balance Sheet'!FM37+'Balance Sheet'!FM39</f>
      </c>
      <c r="AB63" s="2657">
        <f>'Balance Sheet'!FN37+'Balance Sheet'!FN39</f>
      </c>
      <c r="AC63" s="2657">
        <f>'Balance Sheet'!FO37+'Balance Sheet'!FO39</f>
      </c>
      <c r="AD63" s="2657">
        <f>'Balance Sheet'!FP37+'Balance Sheet'!FP39</f>
      </c>
      <c r="AE63" s="2657">
        <f>'Balance Sheet'!FQ37+'Balance Sheet'!FQ39</f>
      </c>
      <c r="AF63" s="2657">
        <f>'Balance Sheet'!FR37+'Balance Sheet'!FR39</f>
      </c>
      <c r="AG63" s="2657">
        <f>'Balance Sheet'!FS37+'Balance Sheet'!FS39</f>
      </c>
      <c r="AH63" s="2657">
        <f>'Balance Sheet'!FT37+'Balance Sheet'!FT39</f>
      </c>
      <c r="AI63" s="2657">
        <f>'Balance Sheet'!FU37+'Balance Sheet'!FU39</f>
      </c>
      <c r="AJ63" s="2657">
        <f>'Balance Sheet'!FV37+'Balance Sheet'!FV39</f>
      </c>
      <c r="AK63" s="2657"/>
      <c r="AL63" s="2657">
        <f>'Balance Sheet'!R37+'Balance Sheet'!R39</f>
      </c>
      <c r="AM63" s="2657">
        <f>'Balance Sheet'!S37+'Balance Sheet'!S39</f>
      </c>
      <c r="AN63" s="2657">
        <f>'Balance Sheet'!T37+'Balance Sheet'!T39</f>
      </c>
      <c r="AO63" s="2657">
        <f>'Balance Sheet'!U37+'Balance Sheet'!U39</f>
      </c>
      <c r="AP63" s="2657">
        <f>'Balance Sheet'!V37+'Balance Sheet'!V39</f>
      </c>
      <c r="AQ63" s="2657">
        <f>'Balance Sheet'!W37+'Balance Sheet'!W39</f>
      </c>
      <c r="AR63" s="2657">
        <f>'Balance Sheet'!X37+'Balance Sheet'!X39</f>
      </c>
      <c r="AS63" s="2657">
        <f>'Balance Sheet'!Y37+'Balance Sheet'!Y39</f>
      </c>
      <c r="AT63" s="2657">
        <f>'Balance Sheet'!Z37+'Balance Sheet'!Z39</f>
      </c>
      <c r="AU63" s="2657">
        <f>'Balance Sheet'!AA37+'Balance Sheet'!AA39</f>
      </c>
      <c r="AV63" s="2657">
        <f>'Balance Sheet'!AB37+'Balance Sheet'!AB39</f>
      </c>
      <c r="AW63" s="2657">
        <f>'Balance Sheet'!AC37+'Balance Sheet'!AC39</f>
      </c>
      <c r="AX63" s="2657">
        <f>'Balance Sheet'!AD37+'Balance Sheet'!AD39</f>
      </c>
      <c r="AY63" s="2657">
        <f>'Balance Sheet'!AE37+'Balance Sheet'!AE39</f>
      </c>
      <c r="AZ63" s="2657">
        <f>'Balance Sheet'!AF37+'Balance Sheet'!AF39</f>
      </c>
      <c r="BA63" s="2657">
        <f>'Balance Sheet'!AG37+'Balance Sheet'!AG39</f>
      </c>
      <c r="BB63" s="2657">
        <f>'Balance Sheet'!AH37+'Balance Sheet'!AH39</f>
      </c>
      <c r="BC63" s="2657">
        <f>'Balance Sheet'!AI37+'Balance Sheet'!AI39</f>
      </c>
      <c r="BD63" s="2657">
        <f>'Balance Sheet'!AJ37+'Balance Sheet'!AJ39</f>
      </c>
      <c r="BE63" s="2657">
        <f>'Balance Sheet'!AK37+'Balance Sheet'!AK39</f>
      </c>
      <c r="BF63" s="2657">
        <f>'Balance Sheet'!AL37+'Balance Sheet'!AL39</f>
      </c>
      <c r="BG63" s="2657">
        <f>'Balance Sheet'!AM37+'Balance Sheet'!AM39</f>
      </c>
      <c r="BH63" s="2657">
        <f>'Balance Sheet'!AN37+'Balance Sheet'!AN39</f>
      </c>
      <c r="BI63" s="2657">
        <f>'Balance Sheet'!AO37+'Balance Sheet'!AO39</f>
      </c>
      <c r="BJ63" s="2657">
        <f>'Balance Sheet'!AP37+'Balance Sheet'!AP39</f>
      </c>
      <c r="BK63" s="2657">
        <f>'Balance Sheet'!AQ37+'Balance Sheet'!AQ39</f>
      </c>
      <c r="BL63" s="2657">
        <f>'Balance Sheet'!AR37+'Balance Sheet'!AR39</f>
      </c>
      <c r="BM63" s="2657">
        <f>'Balance Sheet'!AS37+'Balance Sheet'!AS39</f>
      </c>
      <c r="BN63" s="2657">
        <f>'Balance Sheet'!AT37+'Balance Sheet'!AT39</f>
      </c>
      <c r="BO63" s="2657">
        <f>'Balance Sheet'!AU37+'Balance Sheet'!AU39</f>
      </c>
      <c r="BP63" s="2657">
        <f>'Balance Sheet'!AV37+'Balance Sheet'!AV39</f>
      </c>
      <c r="BQ63" s="2657">
        <f>'Balance Sheet'!AW37+'Balance Sheet'!AW39</f>
      </c>
      <c r="BR63" s="2657">
        <f>'Balance Sheet'!AX37+'Balance Sheet'!AX39</f>
      </c>
      <c r="BS63" s="2657">
        <f>'Balance Sheet'!AY37+'Balance Sheet'!AY39</f>
      </c>
      <c r="BT63" s="2657">
        <f>'Balance Sheet'!AZ37+'Balance Sheet'!AZ39</f>
      </c>
      <c r="BU63" s="2657">
        <f>'Balance Sheet'!BA37+'Balance Sheet'!BA39</f>
      </c>
      <c r="BV63" s="2657">
        <f>'Balance Sheet'!BB37+'Balance Sheet'!BB39</f>
      </c>
      <c r="BW63" s="2657">
        <f>'Balance Sheet'!BC37+'Balance Sheet'!BC39</f>
      </c>
      <c r="BX63" s="2657">
        <f>'Balance Sheet'!BD37+'Balance Sheet'!BD39</f>
      </c>
      <c r="BY63" s="2657">
        <f>'Balance Sheet'!BE37+'Balance Sheet'!BE39</f>
      </c>
      <c r="BZ63" s="2657">
        <f>'Balance Sheet'!BF37+'Balance Sheet'!BF39</f>
      </c>
      <c r="CA63" s="2657">
        <f>'Balance Sheet'!BG37+'Balance Sheet'!BG39</f>
      </c>
      <c r="CB63" s="2657">
        <f>'Balance Sheet'!BH37+'Balance Sheet'!BH39</f>
      </c>
      <c r="CC63" s="2657">
        <f>'Balance Sheet'!BI37+'Balance Sheet'!BI39</f>
      </c>
      <c r="CD63" s="2657">
        <f>'Balance Sheet'!BJ37+'Balance Sheet'!BJ39</f>
      </c>
      <c r="CE63" s="2657">
        <f>'Balance Sheet'!BK37+'Balance Sheet'!BK39</f>
      </c>
      <c r="CF63" s="2657">
        <f>'Balance Sheet'!BL37+'Balance Sheet'!BL39</f>
      </c>
      <c r="CG63" s="2657">
        <f>'Balance Sheet'!BM37+'Balance Sheet'!BM39</f>
      </c>
      <c r="CH63" s="2657">
        <f>'Balance Sheet'!BN37+'Balance Sheet'!BN39</f>
      </c>
      <c r="CI63" s="2657">
        <f>'Balance Sheet'!BO37+'Balance Sheet'!BO39</f>
      </c>
      <c r="CJ63" s="2657">
        <f>'Balance Sheet'!BP37+'Balance Sheet'!BP39</f>
      </c>
      <c r="CK63" s="2657">
        <f>'Balance Sheet'!BQ37+'Balance Sheet'!BQ39</f>
      </c>
      <c r="CL63" s="2657">
        <f>'Balance Sheet'!BR37+'Balance Sheet'!BR39</f>
      </c>
      <c r="CM63" s="2657">
        <f>'Balance Sheet'!BS37+'Balance Sheet'!BS39</f>
      </c>
      <c r="CN63" s="2657">
        <f>'Balance Sheet'!BT37+'Balance Sheet'!BT39</f>
      </c>
      <c r="CO63" s="2657">
        <f>'Balance Sheet'!BU37+'Balance Sheet'!BU39</f>
      </c>
      <c r="CP63" s="2657">
        <f>'Balance Sheet'!BV37+'Balance Sheet'!BV39</f>
      </c>
      <c r="CQ63" s="2657">
        <f>'Balance Sheet'!BW37+'Balance Sheet'!BW39</f>
      </c>
      <c r="CR63" s="2657">
        <f>'Balance Sheet'!BX37+'Balance Sheet'!BX39</f>
      </c>
      <c r="CS63" s="2657">
        <f>'Balance Sheet'!BY37+'Balance Sheet'!BY39</f>
      </c>
      <c r="CT63" s="2657">
        <f>'Balance Sheet'!BZ37+'Balance Sheet'!BZ39</f>
      </c>
      <c r="CU63" s="2657">
        <f>'Balance Sheet'!CA37+'Balance Sheet'!CA39</f>
      </c>
      <c r="CV63" s="2657">
        <f>'Balance Sheet'!CB37+'Balance Sheet'!CB39</f>
      </c>
      <c r="CW63" s="2657">
        <f>'Balance Sheet'!CC37+'Balance Sheet'!CC39</f>
      </c>
      <c r="CX63" s="2657">
        <f>'Balance Sheet'!CD37+'Balance Sheet'!CD39</f>
      </c>
      <c r="CY63" s="2657">
        <f>'Balance Sheet'!CE37+'Balance Sheet'!CE39</f>
      </c>
      <c r="CZ63" s="2657">
        <f>'Balance Sheet'!CF37+'Balance Sheet'!CF39</f>
      </c>
      <c r="DA63" s="2657">
        <f>'Balance Sheet'!CG37+'Balance Sheet'!CG39</f>
      </c>
      <c r="DB63" s="2657">
        <f>'Balance Sheet'!CH37+'Balance Sheet'!CH39</f>
      </c>
      <c r="DC63" s="2657">
        <f>'Balance Sheet'!CI37+'Balance Sheet'!CI39</f>
      </c>
      <c r="DD63" s="2657">
        <f>'Balance Sheet'!CJ37+'Balance Sheet'!CJ39</f>
      </c>
      <c r="DE63" s="2657">
        <f>'Balance Sheet'!CK37+'Balance Sheet'!CK39</f>
      </c>
      <c r="DF63" s="2657">
        <f>'Balance Sheet'!CL37+'Balance Sheet'!CL39</f>
      </c>
      <c r="DG63" s="2657">
        <f>'Balance Sheet'!CM37+'Balance Sheet'!CM39</f>
      </c>
      <c r="DH63" s="2657">
        <f>'Balance Sheet'!CN37+'Balance Sheet'!CN39</f>
      </c>
      <c r="DI63" s="2657">
        <f>'Balance Sheet'!CO37+'Balance Sheet'!CO39</f>
      </c>
      <c r="DJ63" s="2657">
        <f>'Balance Sheet'!CP37+'Balance Sheet'!CP39</f>
      </c>
      <c r="DK63" s="2657">
        <f>'Balance Sheet'!CQ37+'Balance Sheet'!CQ39</f>
      </c>
      <c r="DL63" s="2657">
        <f>'Balance Sheet'!CR37+'Balance Sheet'!CR39</f>
      </c>
      <c r="DM63" s="2657">
        <f>'Balance Sheet'!CS37+'Balance Sheet'!CS39</f>
      </c>
      <c r="DN63" s="2657">
        <f>'Balance Sheet'!CT37+'Balance Sheet'!CT39</f>
      </c>
      <c r="DO63" s="2657">
        <f>'Balance Sheet'!CU37+'Balance Sheet'!CU39</f>
      </c>
      <c r="DP63" s="2657">
        <f>'Balance Sheet'!CV37+'Balance Sheet'!CV39</f>
      </c>
      <c r="DQ63" s="2657">
        <f>'Balance Sheet'!CW37+'Balance Sheet'!CW39</f>
      </c>
      <c r="DR63" s="2657">
        <f>'Balance Sheet'!CX37+'Balance Sheet'!CX39</f>
      </c>
      <c r="DS63" s="2657">
        <f>'Balance Sheet'!CY37+'Balance Sheet'!CY39</f>
      </c>
      <c r="DT63" s="2657">
        <f>'Balance Sheet'!CZ37+'Balance Sheet'!CZ39</f>
      </c>
      <c r="DU63" s="2657">
        <f>'Balance Sheet'!DA37+'Balance Sheet'!DA39</f>
      </c>
      <c r="DV63" s="2657">
        <f>'Balance Sheet'!DB37+'Balance Sheet'!DB39</f>
      </c>
      <c r="DW63" s="2657">
        <f>'Balance Sheet'!DC37+'Balance Sheet'!DC39</f>
      </c>
      <c r="DX63" s="2657">
        <f>'Balance Sheet'!DD37+'Balance Sheet'!DD39</f>
      </c>
      <c r="DY63" s="2657">
        <f>'Balance Sheet'!DE37+'Balance Sheet'!DE39</f>
      </c>
      <c r="DZ63" s="2657">
        <f>'Balance Sheet'!DF37+'Balance Sheet'!DF39</f>
      </c>
      <c r="EA63" s="2657">
        <f>'Balance Sheet'!DG37+'Balance Sheet'!DG39</f>
      </c>
      <c r="EB63" s="2657">
        <f>'Balance Sheet'!DH37+'Balance Sheet'!DH39</f>
      </c>
      <c r="EC63" s="2657">
        <f>'Balance Sheet'!DI37+'Balance Sheet'!DI39</f>
      </c>
      <c r="ED63" s="2657">
        <f>'Balance Sheet'!DJ37+'Balance Sheet'!DJ39</f>
      </c>
      <c r="EE63" s="2657">
        <f>'Balance Sheet'!DK37+'Balance Sheet'!DK39</f>
      </c>
      <c r="EF63" s="2657">
        <f>'Balance Sheet'!DL37+'Balance Sheet'!DL39</f>
      </c>
      <c r="EG63" s="2657">
        <f>'Balance Sheet'!DM37+'Balance Sheet'!DM39</f>
      </c>
      <c r="EH63" s="2657">
        <f>'Balance Sheet'!DN37+'Balance Sheet'!DN39</f>
      </c>
      <c r="EI63" s="2657">
        <f>'Balance Sheet'!DO37+'Balance Sheet'!DO39</f>
      </c>
      <c r="EJ63" s="2657">
        <f>'Balance Sheet'!DP37+'Balance Sheet'!DP39</f>
      </c>
      <c r="EK63" s="2657">
        <f>'Balance Sheet'!DQ37+'Balance Sheet'!DQ39</f>
      </c>
      <c r="EL63" s="2657">
        <f>'Balance Sheet'!DR37+'Balance Sheet'!DR39</f>
      </c>
      <c r="EM63" s="2657">
        <f>'Balance Sheet'!DS37+'Balance Sheet'!DS39</f>
      </c>
      <c r="EN63" s="2657">
        <f>'Balance Sheet'!DT37+'Balance Sheet'!DT39</f>
      </c>
      <c r="EO63" s="2657">
        <f>'Balance Sheet'!DU37+'Balance Sheet'!DU39</f>
      </c>
      <c r="EP63" s="2657">
        <f>'Balance Sheet'!DV37+'Balance Sheet'!DV39</f>
      </c>
      <c r="EQ63" s="2657">
        <f>'Balance Sheet'!DW37+'Balance Sheet'!DW39</f>
      </c>
      <c r="ER63" s="2657">
        <f>'Balance Sheet'!DX37+'Balance Sheet'!DX39</f>
      </c>
      <c r="ES63" s="2657">
        <f>'Balance Sheet'!DY37+'Balance Sheet'!DY39</f>
      </c>
      <c r="ET63" s="2657">
        <f>'Balance Sheet'!DZ37+'Balance Sheet'!DZ39</f>
      </c>
      <c r="EU63" s="2657">
        <f>'Balance Sheet'!EA37+'Balance Sheet'!EA39</f>
      </c>
      <c r="EV63" s="2657">
        <f>'Balance Sheet'!EB37+'Balance Sheet'!EB39</f>
      </c>
      <c r="EW63" s="2657">
        <f>'Balance Sheet'!EC37+'Balance Sheet'!EC39</f>
      </c>
      <c r="EX63" s="2657">
        <f>'Balance Sheet'!ED37+'Balance Sheet'!ED39</f>
      </c>
      <c r="EY63" s="2657">
        <f>'Balance Sheet'!EE37+'Balance Sheet'!EE39</f>
      </c>
      <c r="EZ63" s="2657">
        <f>'Balance Sheet'!EF37+'Balance Sheet'!EF39</f>
      </c>
      <c r="FA63" s="2657">
        <f>'Balance Sheet'!EG37+'Balance Sheet'!EG39</f>
      </c>
      <c r="FB63" s="2657">
        <f>'Balance Sheet'!EH37+'Balance Sheet'!EH39</f>
      </c>
      <c r="FC63" s="2657">
        <f>'Balance Sheet'!EI37+'Balance Sheet'!EI39</f>
      </c>
      <c r="FD63" s="2657">
        <f>'Balance Sheet'!EJ37+'Balance Sheet'!EJ39</f>
      </c>
      <c r="FE63" s="2657">
        <f>'Balance Sheet'!EK37+'Balance Sheet'!EK39</f>
      </c>
    </row>
    <row r="64" spans="2:161" outlineLevel="2">
      <c r="B64" t="s">
        <v>328</v>
      </c>
      <c r="C64" t="s">
        <v>329</v>
      </c>
      <c r="D64" t="str">
        <f t="shared" si="10"/>
      </c>
      <c r="F64" s="2657">
        <f>SUM('Balance Sheet'!ER37:ER39)</f>
      </c>
      <c r="G64" s="2657">
        <f>SUM('Balance Sheet'!ES37:ES39)</f>
      </c>
      <c r="H64" s="2657">
        <f>SUM('Balance Sheet'!ET37:ET39)</f>
      </c>
      <c r="I64" s="2657">
        <f>SUM('Balance Sheet'!EU37:EU39)</f>
      </c>
      <c r="J64" s="2657">
        <f>SUM('Balance Sheet'!EV37:EV39)</f>
      </c>
      <c r="K64" s="2657">
        <f>SUM('Balance Sheet'!EW37:EW39)</f>
      </c>
      <c r="L64" s="2657">
        <f>SUM('Balance Sheet'!EX37:EX39)</f>
      </c>
      <c r="M64" s="2657">
        <f>SUM('Balance Sheet'!EY37:EY39)</f>
      </c>
      <c r="N64" s="2657">
        <f>SUM('Balance Sheet'!EZ37:EZ39)</f>
      </c>
      <c r="O64" s="2657">
        <f>SUM('Balance Sheet'!FA37:FA39)</f>
      </c>
      <c r="P64" s="2657">
        <f>SUM('Balance Sheet'!FB37:FB39)</f>
      </c>
      <c r="Q64" s="2657">
        <f>SUM('Balance Sheet'!FC37:FC39)</f>
      </c>
      <c r="R64" s="2657">
        <f>SUM('Balance Sheet'!FD37:FD39)</f>
      </c>
      <c r="S64" s="2657">
        <f>SUM('Balance Sheet'!FE37:FE39)</f>
      </c>
      <c r="T64" s="2657">
        <f>SUM('Balance Sheet'!FF37:FF39)</f>
      </c>
      <c r="U64" s="2657">
        <f>SUM('Balance Sheet'!FG37:FG39)</f>
      </c>
      <c r="V64" s="2657">
        <f>SUM('Balance Sheet'!FH37:FH39)</f>
      </c>
      <c r="W64" s="2657">
        <f>SUM('Balance Sheet'!FI37:FI39)</f>
      </c>
      <c r="X64" s="2657">
        <f>SUM('Balance Sheet'!FJ37:FJ39)</f>
      </c>
      <c r="Y64" s="2657">
        <f>SUM('Balance Sheet'!FK37:FK39)</f>
      </c>
      <c r="Z64" s="2657">
        <f>SUM('Balance Sheet'!FL37:FL39)</f>
      </c>
      <c r="AA64" s="2657">
        <f>SUM('Balance Sheet'!FM37:FM39)</f>
      </c>
      <c r="AB64" s="2657">
        <f>SUM('Balance Sheet'!FN37:FN39)</f>
      </c>
      <c r="AC64" s="2657">
        <f>SUM('Balance Sheet'!FO37:FO39)</f>
      </c>
      <c r="AD64" s="2657">
        <f>SUM('Balance Sheet'!FP37:FP39)</f>
      </c>
      <c r="AE64" s="2657">
        <f>SUM('Balance Sheet'!FQ37:FQ39)</f>
      </c>
      <c r="AF64" s="2657">
        <f>SUM('Balance Sheet'!FR37:FR39)</f>
      </c>
      <c r="AG64" s="2657">
        <f>SUM('Balance Sheet'!FS37:FS39)</f>
      </c>
      <c r="AH64" s="2657">
        <f>SUM('Balance Sheet'!FT37:FT39)</f>
      </c>
      <c r="AI64" s="2657">
        <f>SUM('Balance Sheet'!FU37:FU39)</f>
      </c>
      <c r="AJ64" s="2657">
        <f>SUM('Balance Sheet'!FV37:FV39)</f>
      </c>
      <c r="AK64" s="2657"/>
      <c r="AL64" s="2657">
        <f>SUM('Balance Sheet'!R37:R39)</f>
      </c>
      <c r="AM64" s="2657">
        <f>SUM('Balance Sheet'!S37:S39)</f>
      </c>
      <c r="AN64" s="2657">
        <f>SUM('Balance Sheet'!T37:T39)</f>
      </c>
      <c r="AO64" s="2657">
        <f>SUM('Balance Sheet'!U37:U39)</f>
      </c>
      <c r="AP64" s="2657">
        <f>SUM('Balance Sheet'!V37:V39)</f>
      </c>
      <c r="AQ64" s="2657">
        <f>SUM('Balance Sheet'!W37:W39)</f>
      </c>
      <c r="AR64" s="2657">
        <f>SUM('Balance Sheet'!X37:X39)</f>
      </c>
      <c r="AS64" s="2657">
        <f>SUM('Balance Sheet'!Y37:Y39)</f>
      </c>
      <c r="AT64" s="2657">
        <f>SUM('Balance Sheet'!Z37:Z39)</f>
      </c>
      <c r="AU64" s="2657">
        <f>SUM('Balance Sheet'!AA37:AA39)</f>
      </c>
      <c r="AV64" s="2657">
        <f>SUM('Balance Sheet'!AB37:AB39)</f>
      </c>
      <c r="AW64" s="2657">
        <f>SUM('Balance Sheet'!AC37:AC39)</f>
      </c>
      <c r="AX64" s="2657">
        <f>SUM('Balance Sheet'!AD37:AD39)</f>
      </c>
      <c r="AY64" s="2657">
        <f>SUM('Balance Sheet'!AE37:AE39)</f>
      </c>
      <c r="AZ64" s="2657">
        <f>SUM('Balance Sheet'!AF37:AF39)</f>
      </c>
      <c r="BA64" s="2657">
        <f>SUM('Balance Sheet'!AG37:AG39)</f>
      </c>
      <c r="BB64" s="2657">
        <f>SUM('Balance Sheet'!AH37:AH39)</f>
      </c>
      <c r="BC64" s="2657">
        <f>SUM('Balance Sheet'!AI37:AI39)</f>
      </c>
      <c r="BD64" s="2657">
        <f>SUM('Balance Sheet'!AJ37:AJ39)</f>
      </c>
      <c r="BE64" s="2657">
        <f>SUM('Balance Sheet'!AK37:AK39)</f>
      </c>
      <c r="BF64" s="2657">
        <f>SUM('Balance Sheet'!AL37:AL39)</f>
      </c>
      <c r="BG64" s="2657">
        <f>SUM('Balance Sheet'!AM37:AM39)</f>
      </c>
      <c r="BH64" s="2657">
        <f>SUM('Balance Sheet'!AN37:AN39)</f>
      </c>
      <c r="BI64" s="2657">
        <f>SUM('Balance Sheet'!AO37:AO39)</f>
      </c>
      <c r="BJ64" s="2657">
        <f>SUM('Balance Sheet'!AP37:AP39)</f>
      </c>
      <c r="BK64" s="2657">
        <f>SUM('Balance Sheet'!AQ37:AQ39)</f>
      </c>
      <c r="BL64" s="2657">
        <f>SUM('Balance Sheet'!AR37:AR39)</f>
      </c>
      <c r="BM64" s="2657">
        <f>SUM('Balance Sheet'!AS37:AS39)</f>
      </c>
      <c r="BN64" s="2657">
        <f>SUM('Balance Sheet'!AT37:AT39)</f>
      </c>
      <c r="BO64" s="2657">
        <f>SUM('Balance Sheet'!AU37:AU39)</f>
      </c>
      <c r="BP64" s="2657">
        <f>SUM('Balance Sheet'!AV37:AV39)</f>
      </c>
      <c r="BQ64" s="2657">
        <f>SUM('Balance Sheet'!AW37:AW39)</f>
      </c>
      <c r="BR64" s="2657">
        <f>SUM('Balance Sheet'!AX37:AX39)</f>
      </c>
      <c r="BS64" s="2657">
        <f>SUM('Balance Sheet'!AY37:AY39)</f>
      </c>
      <c r="BT64" s="2657">
        <f>SUM('Balance Sheet'!AZ37:AZ39)</f>
      </c>
      <c r="BU64" s="2657">
        <f>SUM('Balance Sheet'!BA37:BA39)</f>
      </c>
      <c r="BV64" s="2657">
        <f>SUM('Balance Sheet'!BB37:BB39)</f>
      </c>
      <c r="BW64" s="2657">
        <f>SUM('Balance Sheet'!BC37:BC39)</f>
      </c>
      <c r="BX64" s="2657">
        <f>SUM('Balance Sheet'!BD37:BD39)</f>
      </c>
      <c r="BY64" s="2657">
        <f>SUM('Balance Sheet'!BE37:BE39)</f>
      </c>
      <c r="BZ64" s="2657">
        <f>SUM('Balance Sheet'!BF37:BF39)</f>
      </c>
      <c r="CA64" s="2657">
        <f>SUM('Balance Sheet'!BG37:BG39)</f>
      </c>
      <c r="CB64" s="2657">
        <f>SUM('Balance Sheet'!BH37:BH39)</f>
      </c>
      <c r="CC64" s="2657">
        <f>SUM('Balance Sheet'!BI37:BI39)</f>
      </c>
      <c r="CD64" s="2657">
        <f>SUM('Balance Sheet'!BJ37:BJ39)</f>
      </c>
      <c r="CE64" s="2657">
        <f>SUM('Balance Sheet'!BK37:BK39)</f>
      </c>
      <c r="CF64" s="2657">
        <f>SUM('Balance Sheet'!BL37:BL39)</f>
      </c>
      <c r="CG64" s="2657">
        <f>SUM('Balance Sheet'!BM37:BM39)</f>
      </c>
      <c r="CH64" s="2657">
        <f>SUM('Balance Sheet'!BN37:BN39)</f>
      </c>
      <c r="CI64" s="2657">
        <f>SUM('Balance Sheet'!BO37:BO39)</f>
      </c>
      <c r="CJ64" s="2657">
        <f>SUM('Balance Sheet'!BP37:BP39)</f>
      </c>
      <c r="CK64" s="2657">
        <f>SUM('Balance Sheet'!BQ37:BQ39)</f>
      </c>
      <c r="CL64" s="2657">
        <f>SUM('Balance Sheet'!BR37:BR39)</f>
      </c>
      <c r="CM64" s="2657">
        <f>SUM('Balance Sheet'!BS37:BS39)</f>
      </c>
      <c r="CN64" s="2657">
        <f>SUM('Balance Sheet'!BT37:BT39)</f>
      </c>
      <c r="CO64" s="2657">
        <f>SUM('Balance Sheet'!BU37:BU39)</f>
      </c>
      <c r="CP64" s="2657">
        <f>SUM('Balance Sheet'!BV37:BV39)</f>
      </c>
      <c r="CQ64" s="2657">
        <f>SUM('Balance Sheet'!BW37:BW39)</f>
      </c>
      <c r="CR64" s="2657">
        <f>SUM('Balance Sheet'!BX37:BX39)</f>
      </c>
      <c r="CS64" s="2657">
        <f>SUM('Balance Sheet'!BY37:BY39)</f>
      </c>
      <c r="CT64" s="2657">
        <f>SUM('Balance Sheet'!BZ37:BZ39)</f>
      </c>
      <c r="CU64" s="2657">
        <f>SUM('Balance Sheet'!CA37:CA39)</f>
      </c>
      <c r="CV64" s="2657">
        <f>SUM('Balance Sheet'!CB37:CB39)</f>
      </c>
      <c r="CW64" s="2657">
        <f>SUM('Balance Sheet'!CC37:CC39)</f>
      </c>
      <c r="CX64" s="2657">
        <f>SUM('Balance Sheet'!CD37:CD39)</f>
      </c>
      <c r="CY64" s="2657">
        <f>SUM('Balance Sheet'!CE37:CE39)</f>
      </c>
      <c r="CZ64" s="2657">
        <f>SUM('Balance Sheet'!CF37:CF39)</f>
      </c>
      <c r="DA64" s="2657">
        <f>SUM('Balance Sheet'!CG37:CG39)</f>
      </c>
      <c r="DB64" s="2657">
        <f>SUM('Balance Sheet'!CH37:CH39)</f>
      </c>
      <c r="DC64" s="2657">
        <f>SUM('Balance Sheet'!CI37:CI39)</f>
      </c>
      <c r="DD64" s="2657">
        <f>SUM('Balance Sheet'!CJ37:CJ39)</f>
      </c>
      <c r="DE64" s="2657">
        <f>SUM('Balance Sheet'!CK37:CK39)</f>
      </c>
      <c r="DF64" s="2657">
        <f>SUM('Balance Sheet'!CL37:CL39)</f>
      </c>
      <c r="DG64" s="2657">
        <f>SUM('Balance Sheet'!CM37:CM39)</f>
      </c>
      <c r="DH64" s="2657">
        <f>SUM('Balance Sheet'!CN37:CN39)</f>
      </c>
      <c r="DI64" s="2657">
        <f>SUM('Balance Sheet'!CO37:CO39)</f>
      </c>
      <c r="DJ64" s="2657">
        <f>SUM('Balance Sheet'!CP37:CP39)</f>
      </c>
      <c r="DK64" s="2657">
        <f>SUM('Balance Sheet'!CQ37:CQ39)</f>
      </c>
      <c r="DL64" s="2657">
        <f>SUM('Balance Sheet'!CR37:CR39)</f>
      </c>
      <c r="DM64" s="2657">
        <f>SUM('Balance Sheet'!CS37:CS39)</f>
      </c>
      <c r="DN64" s="2657">
        <f>SUM('Balance Sheet'!CT37:CT39)</f>
      </c>
      <c r="DO64" s="2657">
        <f>SUM('Balance Sheet'!CU37:CU39)</f>
      </c>
      <c r="DP64" s="2657">
        <f>SUM('Balance Sheet'!CV37:CV39)</f>
      </c>
      <c r="DQ64" s="2657">
        <f>SUM('Balance Sheet'!CW37:CW39)</f>
      </c>
      <c r="DR64" s="2657">
        <f>SUM('Balance Sheet'!CX37:CX39)</f>
      </c>
      <c r="DS64" s="2657">
        <f>SUM('Balance Sheet'!CY37:CY39)</f>
      </c>
      <c r="DT64" s="2657">
        <f>SUM('Balance Sheet'!CZ37:CZ39)</f>
      </c>
      <c r="DU64" s="2657">
        <f>SUM('Balance Sheet'!DA37:DA39)</f>
      </c>
      <c r="DV64" s="2657">
        <f>SUM('Balance Sheet'!DB37:DB39)</f>
      </c>
      <c r="DW64" s="2657">
        <f>SUM('Balance Sheet'!DC37:DC39)</f>
      </c>
      <c r="DX64" s="2657">
        <f>SUM('Balance Sheet'!DD37:DD39)</f>
      </c>
      <c r="DY64" s="2657">
        <f>SUM('Balance Sheet'!DE37:DE39)</f>
      </c>
      <c r="DZ64" s="2657">
        <f>SUM('Balance Sheet'!DF37:DF39)</f>
      </c>
      <c r="EA64" s="2657">
        <f>SUM('Balance Sheet'!DG37:DG39)</f>
      </c>
      <c r="EB64" s="2657">
        <f>SUM('Balance Sheet'!DH37:DH39)</f>
      </c>
      <c r="EC64" s="2657">
        <f>SUM('Balance Sheet'!DI37:DI39)</f>
      </c>
      <c r="ED64" s="2657">
        <f>SUM('Balance Sheet'!DJ37:DJ39)</f>
      </c>
      <c r="EE64" s="2657">
        <f>SUM('Balance Sheet'!DK37:DK39)</f>
      </c>
      <c r="EF64" s="2657">
        <f>SUM('Balance Sheet'!DL37:DL39)</f>
      </c>
      <c r="EG64" s="2657">
        <f>SUM('Balance Sheet'!DM37:DM39)</f>
      </c>
      <c r="EH64" s="2657">
        <f>SUM('Balance Sheet'!DN37:DN39)</f>
      </c>
      <c r="EI64" s="2657">
        <f>SUM('Balance Sheet'!DO37:DO39)</f>
      </c>
      <c r="EJ64" s="2657">
        <f>SUM('Balance Sheet'!DP37:DP39)</f>
      </c>
      <c r="EK64" s="2657">
        <f>SUM('Balance Sheet'!DQ37:DQ39)</f>
      </c>
      <c r="EL64" s="2657">
        <f>SUM('Balance Sheet'!DR37:DR39)</f>
      </c>
      <c r="EM64" s="2657">
        <f>SUM('Balance Sheet'!DS37:DS39)</f>
      </c>
      <c r="EN64" s="2657">
        <f>SUM('Balance Sheet'!DT37:DT39)</f>
      </c>
      <c r="EO64" s="2657">
        <f>SUM('Balance Sheet'!DU37:DU39)</f>
      </c>
      <c r="EP64" s="2657">
        <f>SUM('Balance Sheet'!DV37:DV39)</f>
      </c>
      <c r="EQ64" s="2657">
        <f>SUM('Balance Sheet'!DW37:DW39)</f>
      </c>
      <c r="ER64" s="2657">
        <f>SUM('Balance Sheet'!DX37:DX39)</f>
      </c>
      <c r="ES64" s="2657">
        <f>SUM('Balance Sheet'!DY37:DY39)</f>
      </c>
      <c r="ET64" s="2657">
        <f>SUM('Balance Sheet'!DZ37:DZ39)</f>
      </c>
      <c r="EU64" s="2657">
        <f>SUM('Balance Sheet'!EA37:EA39)</f>
      </c>
      <c r="EV64" s="2657">
        <f>SUM('Balance Sheet'!EB37:EB39)</f>
      </c>
      <c r="EW64" s="2657">
        <f>SUM('Balance Sheet'!EC37:EC39)</f>
      </c>
      <c r="EX64" s="2657">
        <f>SUM('Balance Sheet'!ED37:ED39)</f>
      </c>
      <c r="EY64" s="2657">
        <f>SUM('Balance Sheet'!EE37:EE39)</f>
      </c>
      <c r="EZ64" s="2657">
        <f>SUM('Balance Sheet'!EF37:EF39)</f>
      </c>
      <c r="FA64" s="2657">
        <f>SUM('Balance Sheet'!EG37:EG39)</f>
      </c>
      <c r="FB64" s="2657">
        <f>SUM('Balance Sheet'!EH37:EH39)</f>
      </c>
      <c r="FC64" s="2657">
        <f>SUM('Balance Sheet'!EI37:EI39)</f>
      </c>
      <c r="FD64" s="2657">
        <f>SUM('Balance Sheet'!EJ37:EJ39)</f>
      </c>
      <c r="FE64" s="2657">
        <f>SUM('Balance Sheet'!EK37:EK39)</f>
      </c>
    </row>
    <row r="65" spans="1:161" outlineLevel="2">
      <c r="B65" t="s">
        <v>330</v>
      </c>
      <c r="C65" t="s">
        <v>331</v>
      </c>
      <c r="D65" t="str">
        <f t="shared" si="10"/>
      </c>
      <c r="F65" s="2657">
        <f>'Balance Sheet'!ER44</f>
      </c>
      <c r="G65" s="2657">
        <f>'Balance Sheet'!ES44</f>
      </c>
      <c r="H65" s="2657">
        <f>'Balance Sheet'!ET44</f>
      </c>
      <c r="I65" s="2657">
        <f>'Balance Sheet'!EU44</f>
      </c>
      <c r="J65" s="2657">
        <f>'Balance Sheet'!EV44</f>
      </c>
      <c r="K65" s="2657">
        <f>'Balance Sheet'!EW44</f>
      </c>
      <c r="L65" s="2657">
        <f>'Balance Sheet'!EX44</f>
      </c>
      <c r="M65" s="2657">
        <f>'Balance Sheet'!EY44</f>
      </c>
      <c r="N65" s="2657">
        <f>'Balance Sheet'!EZ44</f>
      </c>
      <c r="O65" s="2657">
        <f>'Balance Sheet'!FA44</f>
      </c>
      <c r="P65" s="2657">
        <f>'Balance Sheet'!FB44</f>
      </c>
      <c r="Q65" s="2657">
        <f>'Balance Sheet'!FC44</f>
      </c>
      <c r="R65" s="2657">
        <f>'Balance Sheet'!FD44</f>
      </c>
      <c r="S65" s="2657">
        <f>'Balance Sheet'!FE44</f>
      </c>
      <c r="T65" s="2657">
        <f>'Balance Sheet'!FF44</f>
      </c>
      <c r="U65" s="2657">
        <f>'Balance Sheet'!FG44</f>
      </c>
      <c r="V65" s="2657">
        <f>'Balance Sheet'!FH44</f>
      </c>
      <c r="W65" s="2657">
        <f>'Balance Sheet'!FI44</f>
      </c>
      <c r="X65" s="2657">
        <f>'Balance Sheet'!FJ44</f>
      </c>
      <c r="Y65" s="2657">
        <f>'Balance Sheet'!FK44</f>
      </c>
      <c r="Z65" s="2657">
        <f>'Balance Sheet'!FL44</f>
      </c>
      <c r="AA65" s="2657">
        <f>'Balance Sheet'!FM44</f>
      </c>
      <c r="AB65" s="2657">
        <f>'Balance Sheet'!FN44</f>
      </c>
      <c r="AC65" s="2657">
        <f>'Balance Sheet'!FO44</f>
      </c>
      <c r="AD65" s="2657">
        <f>'Balance Sheet'!FP44</f>
      </c>
      <c r="AE65" s="2657">
        <f>'Balance Sheet'!FQ44</f>
      </c>
      <c r="AF65" s="2657">
        <f>'Balance Sheet'!FR44</f>
      </c>
      <c r="AG65" s="2657">
        <f>'Balance Sheet'!FS44</f>
      </c>
      <c r="AH65" s="2657">
        <f>'Balance Sheet'!FT44</f>
      </c>
      <c r="AI65" s="2657">
        <f>'Balance Sheet'!FU44</f>
      </c>
      <c r="AJ65" s="2657">
        <f>'Balance Sheet'!FV44</f>
      </c>
      <c r="AK65" s="2657"/>
      <c r="AL65" s="2657">
        <f>'Balance Sheet'!R44</f>
      </c>
      <c r="AM65" s="2657">
        <f>'Balance Sheet'!S44</f>
      </c>
      <c r="AN65" s="2657">
        <f>'Balance Sheet'!T44</f>
      </c>
      <c r="AO65" s="2657">
        <f>'Balance Sheet'!U44</f>
      </c>
      <c r="AP65" s="2657">
        <f>'Balance Sheet'!V44</f>
      </c>
      <c r="AQ65" s="2657">
        <f>'Balance Sheet'!W44</f>
      </c>
      <c r="AR65" s="2657">
        <f>'Balance Sheet'!X44</f>
      </c>
      <c r="AS65" s="2657">
        <f>'Balance Sheet'!Y44</f>
      </c>
      <c r="AT65" s="2657">
        <f>'Balance Sheet'!Z44</f>
      </c>
      <c r="AU65" s="2657">
        <f>'Balance Sheet'!AA44</f>
      </c>
      <c r="AV65" s="2657">
        <f>'Balance Sheet'!AB44</f>
      </c>
      <c r="AW65" s="2657">
        <f>'Balance Sheet'!AC44</f>
      </c>
      <c r="AX65" s="2657">
        <f>'Balance Sheet'!AD44</f>
      </c>
      <c r="AY65" s="2657">
        <f>'Balance Sheet'!AE44</f>
      </c>
      <c r="AZ65" s="2657">
        <f>'Balance Sheet'!AF44</f>
      </c>
      <c r="BA65" s="2657">
        <f>'Balance Sheet'!AG44</f>
      </c>
      <c r="BB65" s="2657">
        <f>'Balance Sheet'!AH44</f>
      </c>
      <c r="BC65" s="2657">
        <f>'Balance Sheet'!AI44</f>
      </c>
      <c r="BD65" s="2657">
        <f>'Balance Sheet'!AJ44</f>
      </c>
      <c r="BE65" s="2657">
        <f>'Balance Sheet'!AK44</f>
      </c>
      <c r="BF65" s="2657">
        <f>'Balance Sheet'!AL44</f>
      </c>
      <c r="BG65" s="2657">
        <f>'Balance Sheet'!AM44</f>
      </c>
      <c r="BH65" s="2657">
        <f>'Balance Sheet'!AN44</f>
      </c>
      <c r="BI65" s="2657">
        <f>'Balance Sheet'!AO44</f>
      </c>
      <c r="BJ65" s="2657">
        <f>'Balance Sheet'!AP44</f>
      </c>
      <c r="BK65" s="2657">
        <f>'Balance Sheet'!AQ44</f>
      </c>
      <c r="BL65" s="2657">
        <f>'Balance Sheet'!AR44</f>
      </c>
      <c r="BM65" s="2657">
        <f>'Balance Sheet'!AS44</f>
      </c>
      <c r="BN65" s="2657">
        <f>'Balance Sheet'!AT44</f>
      </c>
      <c r="BO65" s="2657">
        <f>'Balance Sheet'!AU44</f>
      </c>
      <c r="BP65" s="2657">
        <f>'Balance Sheet'!AV44</f>
      </c>
      <c r="BQ65" s="2657">
        <f>'Balance Sheet'!AW44</f>
      </c>
      <c r="BR65" s="2657">
        <f>'Balance Sheet'!AX44</f>
      </c>
      <c r="BS65" s="2657">
        <f>'Balance Sheet'!AY44</f>
      </c>
      <c r="BT65" s="2657">
        <f>'Balance Sheet'!AZ44</f>
      </c>
      <c r="BU65" s="2657">
        <f>'Balance Sheet'!BA44</f>
      </c>
      <c r="BV65" s="2657">
        <f>'Balance Sheet'!BB44</f>
      </c>
      <c r="BW65" s="2657">
        <f>'Balance Sheet'!BC44</f>
      </c>
      <c r="BX65" s="2657">
        <f>'Balance Sheet'!BD44</f>
      </c>
      <c r="BY65" s="2657">
        <f>'Balance Sheet'!BE44</f>
      </c>
      <c r="BZ65" s="2657">
        <f>'Balance Sheet'!BF44</f>
      </c>
      <c r="CA65" s="2657">
        <f>'Balance Sheet'!BG44</f>
      </c>
      <c r="CB65" s="2657">
        <f>'Balance Sheet'!BH44</f>
      </c>
      <c r="CC65" s="2657">
        <f>'Balance Sheet'!BI44</f>
      </c>
      <c r="CD65" s="2657">
        <f>'Balance Sheet'!BJ44</f>
      </c>
      <c r="CE65" s="2657">
        <f>'Balance Sheet'!BK44</f>
      </c>
      <c r="CF65" s="2657">
        <f>'Balance Sheet'!BL44</f>
      </c>
      <c r="CG65" s="2657">
        <f>'Balance Sheet'!BM44</f>
      </c>
      <c r="CH65" s="2657">
        <f>'Balance Sheet'!BN44</f>
      </c>
      <c r="CI65" s="2657">
        <f>'Balance Sheet'!BO44</f>
      </c>
      <c r="CJ65" s="2657">
        <f>'Balance Sheet'!BP44</f>
      </c>
      <c r="CK65" s="2657">
        <f>'Balance Sheet'!BQ44</f>
      </c>
      <c r="CL65" s="2657">
        <f>'Balance Sheet'!BR44</f>
      </c>
      <c r="CM65" s="2657">
        <f>'Balance Sheet'!BS44</f>
      </c>
      <c r="CN65" s="2657">
        <f>'Balance Sheet'!BT44</f>
      </c>
      <c r="CO65" s="2657">
        <f>'Balance Sheet'!BU44</f>
      </c>
      <c r="CP65" s="2657">
        <f>'Balance Sheet'!BV44</f>
      </c>
      <c r="CQ65" s="2657">
        <f>'Balance Sheet'!BW44</f>
      </c>
      <c r="CR65" s="2657">
        <f>'Balance Sheet'!BX44</f>
      </c>
      <c r="CS65" s="2657">
        <f>'Balance Sheet'!BY44</f>
      </c>
      <c r="CT65" s="2657">
        <f>'Balance Sheet'!BZ44</f>
      </c>
      <c r="CU65" s="2657">
        <f>'Balance Sheet'!CA44</f>
      </c>
      <c r="CV65" s="2657">
        <f>'Balance Sheet'!CB44</f>
      </c>
      <c r="CW65" s="2657">
        <f>'Balance Sheet'!CC44</f>
      </c>
      <c r="CX65" s="2657">
        <f>'Balance Sheet'!CD44</f>
      </c>
      <c r="CY65" s="2657">
        <f>'Balance Sheet'!CE44</f>
      </c>
      <c r="CZ65" s="2657">
        <f>'Balance Sheet'!CF44</f>
      </c>
      <c r="DA65" s="2657">
        <f>'Balance Sheet'!CG44</f>
      </c>
      <c r="DB65" s="2657">
        <f>'Balance Sheet'!CH44</f>
      </c>
      <c r="DC65" s="2657">
        <f>'Balance Sheet'!CI44</f>
      </c>
      <c r="DD65" s="2657">
        <f>'Balance Sheet'!CJ44</f>
      </c>
      <c r="DE65" s="2657">
        <f>'Balance Sheet'!CK44</f>
      </c>
      <c r="DF65" s="2657">
        <f>'Balance Sheet'!CL44</f>
      </c>
      <c r="DG65" s="2657">
        <f>'Balance Sheet'!CM44</f>
      </c>
      <c r="DH65" s="2657">
        <f>'Balance Sheet'!CN44</f>
      </c>
      <c r="DI65" s="2657">
        <f>'Balance Sheet'!CO44</f>
      </c>
      <c r="DJ65" s="2657">
        <f>'Balance Sheet'!CP44</f>
      </c>
      <c r="DK65" s="2657">
        <f>'Balance Sheet'!CQ44</f>
      </c>
      <c r="DL65" s="2657">
        <f>'Balance Sheet'!CR44</f>
      </c>
      <c r="DM65" s="2657">
        <f>'Balance Sheet'!CS44</f>
      </c>
      <c r="DN65" s="2657">
        <f>'Balance Sheet'!CT44</f>
      </c>
      <c r="DO65" s="2657">
        <f>'Balance Sheet'!CU44</f>
      </c>
      <c r="DP65" s="2657">
        <f>'Balance Sheet'!CV44</f>
      </c>
      <c r="DQ65" s="2657">
        <f>'Balance Sheet'!CW44</f>
      </c>
      <c r="DR65" s="2657">
        <f>'Balance Sheet'!CX44</f>
      </c>
      <c r="DS65" s="2657">
        <f>'Balance Sheet'!CY44</f>
      </c>
      <c r="DT65" s="2657">
        <f>'Balance Sheet'!CZ44</f>
      </c>
      <c r="DU65" s="2657">
        <f>'Balance Sheet'!DA44</f>
      </c>
      <c r="DV65" s="2657">
        <f>'Balance Sheet'!DB44</f>
      </c>
      <c r="DW65" s="2657">
        <f>'Balance Sheet'!DC44</f>
      </c>
      <c r="DX65" s="2657">
        <f>'Balance Sheet'!DD44</f>
      </c>
      <c r="DY65" s="2657">
        <f>'Balance Sheet'!DE44</f>
      </c>
      <c r="DZ65" s="2657">
        <f>'Balance Sheet'!DF44</f>
      </c>
      <c r="EA65" s="2657">
        <f>'Balance Sheet'!DG44</f>
      </c>
      <c r="EB65" s="2657">
        <f>'Balance Sheet'!DH44</f>
      </c>
      <c r="EC65" s="2657">
        <f>'Balance Sheet'!DI44</f>
      </c>
      <c r="ED65" s="2657">
        <f>'Balance Sheet'!DJ44</f>
      </c>
      <c r="EE65" s="2657">
        <f>'Balance Sheet'!DK44</f>
      </c>
      <c r="EF65" s="2657">
        <f>'Balance Sheet'!DL44</f>
      </c>
      <c r="EG65" s="2657">
        <f>'Balance Sheet'!DM44</f>
      </c>
      <c r="EH65" s="2657">
        <f>'Balance Sheet'!DN44</f>
      </c>
      <c r="EI65" s="2657">
        <f>'Balance Sheet'!DO44</f>
      </c>
      <c r="EJ65" s="2657">
        <f>'Balance Sheet'!DP44</f>
      </c>
      <c r="EK65" s="2657">
        <f>'Balance Sheet'!DQ44</f>
      </c>
      <c r="EL65" s="2657">
        <f>'Balance Sheet'!DR44</f>
      </c>
      <c r="EM65" s="2657">
        <f>'Balance Sheet'!DS44</f>
      </c>
      <c r="EN65" s="2657">
        <f>'Balance Sheet'!DT44</f>
      </c>
      <c r="EO65" s="2657">
        <f>'Balance Sheet'!DU44</f>
      </c>
      <c r="EP65" s="2657">
        <f>'Balance Sheet'!DV44</f>
      </c>
      <c r="EQ65" s="2657">
        <f>'Balance Sheet'!DW44</f>
      </c>
      <c r="ER65" s="2657">
        <f>'Balance Sheet'!DX44</f>
      </c>
      <c r="ES65" s="2657">
        <f>'Balance Sheet'!DY44</f>
      </c>
      <c r="ET65" s="2657">
        <f>'Balance Sheet'!DZ44</f>
      </c>
      <c r="EU65" s="2657">
        <f>'Balance Sheet'!EA44</f>
      </c>
      <c r="EV65" s="2657">
        <f>'Balance Sheet'!EB44</f>
      </c>
      <c r="EW65" s="2657">
        <f>'Balance Sheet'!EC44</f>
      </c>
      <c r="EX65" s="2657">
        <f>'Balance Sheet'!ED44</f>
      </c>
      <c r="EY65" s="2657">
        <f>'Balance Sheet'!EE44</f>
      </c>
      <c r="EZ65" s="2657">
        <f>'Balance Sheet'!EF44</f>
      </c>
      <c r="FA65" s="2657">
        <f>'Balance Sheet'!EG44</f>
      </c>
      <c r="FB65" s="2657">
        <f>'Balance Sheet'!EH44</f>
      </c>
      <c r="FC65" s="2657">
        <f>'Balance Sheet'!EI44</f>
      </c>
      <c r="FD65" s="2657">
        <f>'Balance Sheet'!EJ44</f>
      </c>
      <c r="FE65" s="2657">
        <f>'Balance Sheet'!EK44</f>
      </c>
    </row>
    <row r="66" spans="1:161" outlineLevel="2">
      <c r="B66" t="s">
        <v>332</v>
      </c>
      <c r="C66" t="s">
        <v>333</v>
      </c>
      <c r="D66" t="str">
        <f t="shared" si="10"/>
      </c>
      <c r="F66" s="2657"/>
      <c r="G66" s="2657"/>
      <c r="H66" s="2657"/>
      <c r="I66" s="2657"/>
      <c r="J66" s="2657"/>
      <c r="K66" s="2657"/>
      <c r="L66" s="2657"/>
      <c r="M66" s="2657"/>
      <c r="N66" s="2657"/>
      <c r="O66" s="2657"/>
      <c r="P66" s="2657"/>
      <c r="Q66" s="2657"/>
      <c r="R66" s="2657"/>
      <c r="S66" s="2657"/>
      <c r="T66" s="2657"/>
      <c r="U66" s="2657"/>
      <c r="V66" s="2657"/>
      <c r="W66" s="2657"/>
      <c r="X66" s="2657"/>
      <c r="Y66" s="2657"/>
      <c r="Z66" s="2657"/>
      <c r="AA66" s="2657"/>
      <c r="AB66" s="2657"/>
      <c r="AC66" s="2657"/>
      <c r="AD66" s="2657"/>
      <c r="AE66" s="2657"/>
      <c r="AF66" s="2657"/>
      <c r="AG66" s="2657"/>
      <c r="AH66" s="2657"/>
      <c r="AI66" s="2657"/>
      <c r="AJ66" s="2657"/>
      <c r="AK66" s="2657"/>
      <c r="AL66" s="2657"/>
      <c r="AM66" s="2657"/>
      <c r="AN66" s="2657"/>
      <c r="AO66" s="2657"/>
      <c r="AP66" s="2657"/>
      <c r="AQ66" s="2657"/>
      <c r="AR66" s="2657"/>
      <c r="AS66" s="2657"/>
      <c r="AT66" s="2657"/>
      <c r="AU66" s="2657"/>
      <c r="AV66" s="2657"/>
      <c r="AW66" s="2657"/>
      <c r="AX66" s="2657"/>
      <c r="AY66" s="2657"/>
      <c r="AZ66" s="2657"/>
      <c r="BA66" s="2657"/>
      <c r="BB66" s="2657"/>
      <c r="BC66" s="2657"/>
      <c r="BD66" s="2657"/>
      <c r="BE66" s="2657"/>
      <c r="BF66" s="2657"/>
      <c r="BG66" s="2657"/>
      <c r="BH66" s="2657"/>
      <c r="BI66" s="2657"/>
      <c r="BJ66" s="2657"/>
      <c r="BK66" s="2657"/>
      <c r="BL66" s="2657"/>
      <c r="BM66" s="2657"/>
      <c r="BN66" s="2657"/>
      <c r="BO66" s="2657"/>
      <c r="BP66" s="2657"/>
      <c r="BQ66" s="2657"/>
      <c r="BR66" s="2657"/>
      <c r="BS66" s="2657"/>
      <c r="BT66" s="2657"/>
      <c r="BU66" s="2657"/>
      <c r="BV66" s="2657"/>
      <c r="BW66" s="2657"/>
      <c r="BX66" s="2657"/>
      <c r="BY66" s="2657"/>
      <c r="BZ66" s="2657"/>
      <c r="CA66" s="2657"/>
      <c r="CB66" s="2657"/>
      <c r="CC66" s="2657"/>
      <c r="CD66" s="2657"/>
      <c r="CE66" s="2657"/>
      <c r="CF66" s="2657"/>
      <c r="CG66" s="2657"/>
      <c r="CH66" s="2657"/>
      <c r="CI66" s="2657"/>
      <c r="CJ66" s="2657"/>
      <c r="CK66" s="2657"/>
      <c r="CL66" s="2657"/>
      <c r="CM66" s="2657"/>
      <c r="CN66" s="2657"/>
      <c r="CO66" s="2657"/>
      <c r="CP66" s="2657"/>
      <c r="CQ66" s="2657"/>
      <c r="CR66" s="2657"/>
      <c r="CS66" s="2657"/>
      <c r="CT66" s="2657"/>
      <c r="CU66" s="2657"/>
      <c r="CV66" s="2657"/>
      <c r="CW66" s="2657"/>
      <c r="CX66" s="2657"/>
      <c r="CY66" s="2657"/>
      <c r="CZ66" s="2657"/>
      <c r="DA66" s="2657"/>
      <c r="DB66" s="2657"/>
      <c r="DC66" s="2657"/>
      <c r="DD66" s="2657"/>
      <c r="DE66" s="2657"/>
      <c r="DF66" s="2657"/>
      <c r="DG66" s="2657"/>
      <c r="DH66" s="2657"/>
      <c r="DI66" s="2657"/>
      <c r="DJ66" s="2657"/>
      <c r="DK66" s="2657"/>
      <c r="DL66" s="2657"/>
      <c r="DM66" s="2657"/>
      <c r="DN66" s="2657"/>
      <c r="DO66" s="2657"/>
      <c r="DP66" s="2657"/>
      <c r="DQ66" s="2657"/>
      <c r="DR66" s="2657"/>
      <c r="DS66" s="2657"/>
      <c r="DT66" s="2657"/>
      <c r="DU66" s="2657"/>
      <c r="DV66" s="2657"/>
      <c r="DW66" s="2657"/>
      <c r="DX66" s="2657"/>
      <c r="DY66" s="2657"/>
      <c r="DZ66" s="2657"/>
      <c r="EA66" s="2657"/>
      <c r="EB66" s="2657"/>
      <c r="EC66" s="2657"/>
      <c r="ED66" s="2657"/>
      <c r="EE66" s="2657"/>
      <c r="EF66" s="2657"/>
      <c r="EG66" s="2657"/>
      <c r="EH66" s="2657"/>
      <c r="EI66" s="2657"/>
      <c r="EJ66" s="2657"/>
      <c r="EK66" s="2657"/>
      <c r="EL66" s="2657"/>
      <c r="EM66" s="2657"/>
      <c r="EN66" s="2657"/>
      <c r="EO66" s="2657"/>
      <c r="EP66" s="2657"/>
      <c r="EQ66" s="2657"/>
      <c r="ER66" s="2657"/>
      <c r="ES66" s="2657"/>
      <c r="ET66" s="2657"/>
      <c r="EU66" s="2657"/>
      <c r="EV66" s="2657"/>
      <c r="EW66" s="2657"/>
      <c r="EX66" s="2657"/>
      <c r="EY66" s="2657"/>
      <c r="EZ66" s="2657"/>
      <c r="FA66" s="2657"/>
      <c r="FB66" s="2657"/>
      <c r="FC66" s="2657"/>
      <c r="FD66" s="2657"/>
      <c r="FE66" s="2657"/>
    </row>
    <row r="67" spans="1:161" outlineLevel="2">
      <c r="B67" t="s">
        <v>334</v>
      </c>
      <c r="C67" t="s">
        <v>335</v>
      </c>
      <c r="D67" t="str">
        <f t="shared" si="10"/>
      </c>
      <c r="F67" s="2657">
        <f>'Balance Sheet'!ER49</f>
      </c>
      <c r="G67" s="2657">
        <f>'Balance Sheet'!ES49</f>
      </c>
      <c r="H67" s="2657">
        <f>'Balance Sheet'!ET49</f>
      </c>
      <c r="I67" s="2657">
        <f>'Balance Sheet'!EU49</f>
      </c>
      <c r="J67" s="2657">
        <f>'Balance Sheet'!EV49</f>
      </c>
      <c r="K67" s="2657">
        <f>'Balance Sheet'!EW49</f>
      </c>
      <c r="L67" s="2657">
        <f>'Balance Sheet'!EX49</f>
      </c>
      <c r="M67" s="2657">
        <f>'Balance Sheet'!EY49</f>
      </c>
      <c r="N67" s="2657">
        <f>'Balance Sheet'!EZ49</f>
      </c>
      <c r="O67" s="2657">
        <f>'Balance Sheet'!FA49</f>
      </c>
      <c r="P67" s="2657">
        <f>'Balance Sheet'!FB49</f>
      </c>
      <c r="Q67" s="2657">
        <f>'Balance Sheet'!FC49</f>
      </c>
      <c r="R67" s="2657">
        <f>'Balance Sheet'!FD49</f>
      </c>
      <c r="S67" s="2657">
        <f>'Balance Sheet'!FE49</f>
      </c>
      <c r="T67" s="2657">
        <f>'Balance Sheet'!FF49</f>
      </c>
      <c r="U67" s="2657">
        <f>'Balance Sheet'!FG49</f>
      </c>
      <c r="V67" s="2657">
        <f>'Balance Sheet'!FH49</f>
      </c>
      <c r="W67" s="2657">
        <f>'Balance Sheet'!FI49</f>
      </c>
      <c r="X67" s="2657">
        <f>'Balance Sheet'!FJ49</f>
      </c>
      <c r="Y67" s="2657">
        <f>'Balance Sheet'!FK49</f>
      </c>
      <c r="Z67" s="2657">
        <f>'Balance Sheet'!FL49</f>
      </c>
      <c r="AA67" s="2657">
        <f>'Balance Sheet'!FM49</f>
      </c>
      <c r="AB67" s="2657">
        <f>'Balance Sheet'!FN49</f>
      </c>
      <c r="AC67" s="2657">
        <f>'Balance Sheet'!FO49</f>
      </c>
      <c r="AD67" s="2657">
        <f>'Balance Sheet'!FP49</f>
      </c>
      <c r="AE67" s="2657">
        <f>'Balance Sheet'!FQ49</f>
      </c>
      <c r="AF67" s="2657">
        <f>'Balance Sheet'!FR49</f>
      </c>
      <c r="AG67" s="2657">
        <f>'Balance Sheet'!FS49</f>
      </c>
      <c r="AH67" s="2657">
        <f>'Balance Sheet'!FT49</f>
      </c>
      <c r="AI67" s="2657">
        <f>'Balance Sheet'!FU49</f>
      </c>
      <c r="AJ67" s="2657">
        <f>'Balance Sheet'!FV49</f>
      </c>
      <c r="AK67" s="2657"/>
      <c r="AL67" s="2657">
        <f>'Balance Sheet'!R49</f>
      </c>
      <c r="AM67" s="2657">
        <f>'Balance Sheet'!S49</f>
      </c>
      <c r="AN67" s="2657">
        <f>'Balance Sheet'!T49</f>
      </c>
      <c r="AO67" s="2657">
        <f>'Balance Sheet'!U49</f>
      </c>
      <c r="AP67" s="2657">
        <f>'Balance Sheet'!V49</f>
      </c>
      <c r="AQ67" s="2657">
        <f>'Balance Sheet'!W49</f>
      </c>
      <c r="AR67" s="2657">
        <f>'Balance Sheet'!X49</f>
      </c>
      <c r="AS67" s="2657">
        <f>'Balance Sheet'!Y49</f>
      </c>
      <c r="AT67" s="2657">
        <f>'Balance Sheet'!Z49</f>
      </c>
      <c r="AU67" s="2657">
        <f>'Balance Sheet'!AA49</f>
      </c>
      <c r="AV67" s="2657">
        <f>'Balance Sheet'!AB49</f>
      </c>
      <c r="AW67" s="2657">
        <f>'Balance Sheet'!AC49</f>
      </c>
      <c r="AX67" s="2657">
        <f>'Balance Sheet'!AD49</f>
      </c>
      <c r="AY67" s="2657">
        <f>'Balance Sheet'!AE49</f>
      </c>
      <c r="AZ67" s="2657">
        <f>'Balance Sheet'!AF49</f>
      </c>
      <c r="BA67" s="2657">
        <f>'Balance Sheet'!AG49</f>
      </c>
      <c r="BB67" s="2657">
        <f>'Balance Sheet'!AH49</f>
      </c>
      <c r="BC67" s="2657">
        <f>'Balance Sheet'!AI49</f>
      </c>
      <c r="BD67" s="2657">
        <f>'Balance Sheet'!AJ49</f>
      </c>
      <c r="BE67" s="2657">
        <f>'Balance Sheet'!AK49</f>
      </c>
      <c r="BF67" s="2657">
        <f>'Balance Sheet'!AL49</f>
      </c>
      <c r="BG67" s="2657">
        <f>'Balance Sheet'!AM49</f>
      </c>
      <c r="BH67" s="2657">
        <f>'Balance Sheet'!AN49</f>
      </c>
      <c r="BI67" s="2657">
        <f>'Balance Sheet'!AO49</f>
      </c>
      <c r="BJ67" s="2657">
        <f>'Balance Sheet'!AP49</f>
      </c>
      <c r="BK67" s="2657">
        <f>'Balance Sheet'!AQ49</f>
      </c>
      <c r="BL67" s="2657">
        <f>'Balance Sheet'!AR49</f>
      </c>
      <c r="BM67" s="2657">
        <f>'Balance Sheet'!AS49</f>
      </c>
      <c r="BN67" s="2657">
        <f>'Balance Sheet'!AT49</f>
      </c>
      <c r="BO67" s="2657">
        <f>'Balance Sheet'!AU49</f>
      </c>
      <c r="BP67" s="2657">
        <f>'Balance Sheet'!AV49</f>
      </c>
      <c r="BQ67" s="2657">
        <f>'Balance Sheet'!AW49</f>
      </c>
      <c r="BR67" s="2657">
        <f>'Balance Sheet'!AX49</f>
      </c>
      <c r="BS67" s="2657">
        <f>'Balance Sheet'!AY49</f>
      </c>
      <c r="BT67" s="2657">
        <f>'Balance Sheet'!AZ49</f>
      </c>
      <c r="BU67" s="2657">
        <f>'Balance Sheet'!BA49</f>
      </c>
      <c r="BV67" s="2657">
        <f>'Balance Sheet'!BB49</f>
      </c>
      <c r="BW67" s="2657">
        <f>'Balance Sheet'!BC49</f>
      </c>
      <c r="BX67" s="2657">
        <f>'Balance Sheet'!BD49</f>
      </c>
      <c r="BY67" s="2657">
        <f>'Balance Sheet'!BE49</f>
      </c>
      <c r="BZ67" s="2657">
        <f>'Balance Sheet'!BF49</f>
      </c>
      <c r="CA67" s="2657">
        <f>'Balance Sheet'!BG49</f>
      </c>
      <c r="CB67" s="2657">
        <f>'Balance Sheet'!BH49</f>
      </c>
      <c r="CC67" s="2657">
        <f>'Balance Sheet'!BI49</f>
      </c>
      <c r="CD67" s="2657">
        <f>'Balance Sheet'!BJ49</f>
      </c>
      <c r="CE67" s="2657">
        <f>'Balance Sheet'!BK49</f>
      </c>
      <c r="CF67" s="2657">
        <f>'Balance Sheet'!BL49</f>
      </c>
      <c r="CG67" s="2657">
        <f>'Balance Sheet'!BM49</f>
      </c>
      <c r="CH67" s="2657">
        <f>'Balance Sheet'!BN49</f>
      </c>
      <c r="CI67" s="2657">
        <f>'Balance Sheet'!BO49</f>
      </c>
      <c r="CJ67" s="2657">
        <f>'Balance Sheet'!BP49</f>
      </c>
      <c r="CK67" s="2657">
        <f>'Balance Sheet'!BQ49</f>
      </c>
      <c r="CL67" s="2657">
        <f>'Balance Sheet'!BR49</f>
      </c>
      <c r="CM67" s="2657">
        <f>'Balance Sheet'!BS49</f>
      </c>
      <c r="CN67" s="2657">
        <f>'Balance Sheet'!BT49</f>
      </c>
      <c r="CO67" s="2657">
        <f>'Balance Sheet'!BU49</f>
      </c>
      <c r="CP67" s="2657">
        <f>'Balance Sheet'!BV49</f>
      </c>
      <c r="CQ67" s="2657">
        <f>'Balance Sheet'!BW49</f>
      </c>
      <c r="CR67" s="2657">
        <f>'Balance Sheet'!BX49</f>
      </c>
      <c r="CS67" s="2657">
        <f>'Balance Sheet'!BY49</f>
      </c>
      <c r="CT67" s="2657">
        <f>'Balance Sheet'!BZ49</f>
      </c>
      <c r="CU67" s="2657">
        <f>'Balance Sheet'!CA49</f>
      </c>
      <c r="CV67" s="2657">
        <f>'Balance Sheet'!CB49</f>
      </c>
      <c r="CW67" s="2657">
        <f>'Balance Sheet'!CC49</f>
      </c>
      <c r="CX67" s="2657">
        <f>'Balance Sheet'!CD49</f>
      </c>
      <c r="CY67" s="2657">
        <f>'Balance Sheet'!CE49</f>
      </c>
      <c r="CZ67" s="2657">
        <f>'Balance Sheet'!CF49</f>
      </c>
      <c r="DA67" s="2657">
        <f>'Balance Sheet'!CG49</f>
      </c>
      <c r="DB67" s="2657">
        <f>'Balance Sheet'!CH49</f>
      </c>
      <c r="DC67" s="2657">
        <f>'Balance Sheet'!CI49</f>
      </c>
      <c r="DD67" s="2657">
        <f>'Balance Sheet'!CJ49</f>
      </c>
      <c r="DE67" s="2657">
        <f>'Balance Sheet'!CK49</f>
      </c>
      <c r="DF67" s="2657">
        <f>'Balance Sheet'!CL49</f>
      </c>
      <c r="DG67" s="2657">
        <f>'Balance Sheet'!CM49</f>
      </c>
      <c r="DH67" s="2657">
        <f>'Balance Sheet'!CN49</f>
      </c>
      <c r="DI67" s="2657">
        <f>'Balance Sheet'!CO49</f>
      </c>
      <c r="DJ67" s="2657">
        <f>'Balance Sheet'!CP49</f>
      </c>
      <c r="DK67" s="2657">
        <f>'Balance Sheet'!CQ49</f>
      </c>
      <c r="DL67" s="2657">
        <f>'Balance Sheet'!CR49</f>
      </c>
      <c r="DM67" s="2657">
        <f>'Balance Sheet'!CS49</f>
      </c>
      <c r="DN67" s="2657">
        <f>'Balance Sheet'!CT49</f>
      </c>
      <c r="DO67" s="2657">
        <f>'Balance Sheet'!CU49</f>
      </c>
      <c r="DP67" s="2657">
        <f>'Balance Sheet'!CV49</f>
      </c>
      <c r="DQ67" s="2657">
        <f>'Balance Sheet'!CW49</f>
      </c>
      <c r="DR67" s="2657">
        <f>'Balance Sheet'!CX49</f>
      </c>
      <c r="DS67" s="2657">
        <f>'Balance Sheet'!CY49</f>
      </c>
      <c r="DT67" s="2657">
        <f>'Balance Sheet'!CZ49</f>
      </c>
      <c r="DU67" s="2657">
        <f>'Balance Sheet'!DA49</f>
      </c>
      <c r="DV67" s="2657">
        <f>'Balance Sheet'!DB49</f>
      </c>
      <c r="DW67" s="2657">
        <f>'Balance Sheet'!DC49</f>
      </c>
      <c r="DX67" s="2657">
        <f>'Balance Sheet'!DD49</f>
      </c>
      <c r="DY67" s="2657">
        <f>'Balance Sheet'!DE49</f>
      </c>
      <c r="DZ67" s="2657">
        <f>'Balance Sheet'!DF49</f>
      </c>
      <c r="EA67" s="2657">
        <f>'Balance Sheet'!DG49</f>
      </c>
      <c r="EB67" s="2657">
        <f>'Balance Sheet'!DH49</f>
      </c>
      <c r="EC67" s="2657">
        <f>'Balance Sheet'!DI49</f>
      </c>
      <c r="ED67" s="2657">
        <f>'Balance Sheet'!DJ49</f>
      </c>
      <c r="EE67" s="2657">
        <f>'Balance Sheet'!DK49</f>
      </c>
      <c r="EF67" s="2657">
        <f>'Balance Sheet'!DL49</f>
      </c>
      <c r="EG67" s="2657">
        <f>'Balance Sheet'!DM49</f>
      </c>
      <c r="EH67" s="2657">
        <f>'Balance Sheet'!DN49</f>
      </c>
      <c r="EI67" s="2657">
        <f>'Balance Sheet'!DO49</f>
      </c>
      <c r="EJ67" s="2657">
        <f>'Balance Sheet'!DP49</f>
      </c>
      <c r="EK67" s="2657">
        <f>'Balance Sheet'!DQ49</f>
      </c>
      <c r="EL67" s="2657">
        <f>'Balance Sheet'!DR49</f>
      </c>
      <c r="EM67" s="2657">
        <f>'Balance Sheet'!DS49</f>
      </c>
      <c r="EN67" s="2657">
        <f>'Balance Sheet'!DT49</f>
      </c>
      <c r="EO67" s="2657">
        <f>'Balance Sheet'!DU49</f>
      </c>
      <c r="EP67" s="2657">
        <f>'Balance Sheet'!DV49</f>
      </c>
      <c r="EQ67" s="2657">
        <f>'Balance Sheet'!DW49</f>
      </c>
      <c r="ER67" s="2657">
        <f>'Balance Sheet'!DX49</f>
      </c>
      <c r="ES67" s="2657">
        <f>'Balance Sheet'!DY49</f>
      </c>
      <c r="ET67" s="2657">
        <f>'Balance Sheet'!DZ49</f>
      </c>
      <c r="EU67" s="2657">
        <f>'Balance Sheet'!EA49</f>
      </c>
      <c r="EV67" s="2657">
        <f>'Balance Sheet'!EB49</f>
      </c>
      <c r="EW67" s="2657">
        <f>'Balance Sheet'!EC49</f>
      </c>
      <c r="EX67" s="2657">
        <f>'Balance Sheet'!ED49</f>
      </c>
      <c r="EY67" s="2657">
        <f>'Balance Sheet'!EE49</f>
      </c>
      <c r="EZ67" s="2657">
        <f>'Balance Sheet'!EF49</f>
      </c>
      <c r="FA67" s="2657">
        <f>'Balance Sheet'!EG49</f>
      </c>
      <c r="FB67" s="2657">
        <f>'Balance Sheet'!EH49</f>
      </c>
      <c r="FC67" s="2657">
        <f>'Balance Sheet'!EI49</f>
      </c>
      <c r="FD67" s="2657">
        <f>'Balance Sheet'!EJ49</f>
      </c>
      <c r="FE67" s="2657">
        <f>'Balance Sheet'!EK49</f>
      </c>
    </row>
    <row r="68" spans="1:161" outlineLevel="2">
      <c r="B68" t="s">
        <v>336</v>
      </c>
      <c r="C68" t="s">
        <v>337</v>
      </c>
      <c r="D68" t="str">
        <f t="shared" si="10"/>
      </c>
      <c r="F68" s="2657"/>
      <c r="G68" s="2657"/>
      <c r="H68" s="2657"/>
      <c r="I68" s="2657"/>
      <c r="J68" s="2657"/>
      <c r="K68" s="2657"/>
      <c r="L68" s="2657"/>
      <c r="M68" s="2657"/>
      <c r="N68" s="2657"/>
      <c r="O68" s="2657"/>
      <c r="P68" s="2657"/>
      <c r="Q68" s="2657"/>
      <c r="R68" s="2657"/>
      <c r="S68" s="2657"/>
      <c r="T68" s="2657"/>
      <c r="U68" s="2657"/>
      <c r="V68" s="2657"/>
      <c r="W68" s="2657"/>
      <c r="X68" s="2657"/>
      <c r="Y68" s="2657"/>
      <c r="Z68" s="2657"/>
      <c r="AA68" s="2657"/>
      <c r="AB68" s="2657"/>
      <c r="AC68" s="2657"/>
      <c r="AD68" s="2657"/>
      <c r="AE68" s="2657"/>
      <c r="AF68" s="2657"/>
      <c r="AG68" s="2657"/>
      <c r="AH68" s="2657"/>
      <c r="AI68" s="2657"/>
      <c r="AJ68" s="2657"/>
      <c r="AK68" s="2657"/>
      <c r="AL68" s="2657"/>
      <c r="AM68" s="2657"/>
      <c r="AN68" s="2657"/>
      <c r="AO68" s="2657"/>
      <c r="AP68" s="2657"/>
      <c r="AQ68" s="2657"/>
      <c r="AR68" s="2657"/>
      <c r="AS68" s="2657"/>
      <c r="AT68" s="2657"/>
      <c r="AU68" s="2657"/>
      <c r="AV68" s="2657"/>
      <c r="AW68" s="2657"/>
      <c r="AX68" s="2657"/>
      <c r="AY68" s="2657"/>
      <c r="AZ68" s="2657"/>
      <c r="BA68" s="2657"/>
      <c r="BB68" s="2657"/>
      <c r="BC68" s="2657"/>
      <c r="BD68" s="2657"/>
      <c r="BE68" s="2657"/>
      <c r="BF68" s="2657"/>
      <c r="BG68" s="2657"/>
      <c r="BH68" s="2657"/>
      <c r="BI68" s="2657"/>
      <c r="BJ68" s="2657"/>
      <c r="BK68" s="2657"/>
      <c r="BL68" s="2657"/>
      <c r="BM68" s="2657"/>
      <c r="BN68" s="2657"/>
      <c r="BO68" s="2657"/>
      <c r="BP68" s="2657"/>
      <c r="BQ68" s="2657"/>
      <c r="BR68" s="2657"/>
      <c r="BS68" s="2657"/>
      <c r="BT68" s="2657"/>
      <c r="BU68" s="2657"/>
      <c r="BV68" s="2657"/>
      <c r="BW68" s="2657"/>
      <c r="BX68" s="2657"/>
      <c r="BY68" s="2657"/>
      <c r="BZ68" s="2657"/>
      <c r="CA68" s="2657"/>
      <c r="CB68" s="2657"/>
      <c r="CC68" s="2657"/>
      <c r="CD68" s="2657"/>
      <c r="CE68" s="2657"/>
      <c r="CF68" s="2657"/>
      <c r="CG68" s="2657"/>
      <c r="CH68" s="2657"/>
      <c r="CI68" s="2657"/>
      <c r="CJ68" s="2657"/>
      <c r="CK68" s="2657"/>
      <c r="CL68" s="2657"/>
      <c r="CM68" s="2657"/>
      <c r="CN68" s="2657"/>
      <c r="CO68" s="2657"/>
      <c r="CP68" s="2657"/>
      <c r="CQ68" s="2657"/>
      <c r="CR68" s="2657"/>
      <c r="CS68" s="2657"/>
      <c r="CT68" s="2657"/>
      <c r="CU68" s="2657"/>
      <c r="CV68" s="2657"/>
      <c r="CW68" s="2657"/>
      <c r="CX68" s="2657"/>
      <c r="CY68" s="2657"/>
      <c r="CZ68" s="2657"/>
      <c r="DA68" s="2657"/>
      <c r="DB68" s="2657"/>
      <c r="DC68" s="2657"/>
      <c r="DD68" s="2657"/>
      <c r="DE68" s="2657"/>
      <c r="DF68" s="2657"/>
      <c r="DG68" s="2657"/>
      <c r="DH68" s="2657"/>
      <c r="DI68" s="2657"/>
      <c r="DJ68" s="2657"/>
      <c r="DK68" s="2657"/>
      <c r="DL68" s="2657"/>
      <c r="DM68" s="2657"/>
      <c r="DN68" s="2657"/>
      <c r="DO68" s="2657"/>
      <c r="DP68" s="2657"/>
      <c r="DQ68" s="2657"/>
      <c r="DR68" s="2657"/>
      <c r="DS68" s="2657"/>
      <c r="DT68" s="2657"/>
      <c r="DU68" s="2657"/>
      <c r="DV68" s="2657"/>
      <c r="DW68" s="2657"/>
      <c r="DX68" s="2657"/>
      <c r="DY68" s="2657"/>
      <c r="DZ68" s="2657"/>
      <c r="EA68" s="2657"/>
      <c r="EB68" s="2657"/>
      <c r="EC68" s="2657"/>
      <c r="ED68" s="2657"/>
      <c r="EE68" s="2657"/>
      <c r="EF68" s="2657"/>
      <c r="EG68" s="2657"/>
      <c r="EH68" s="2657"/>
      <c r="EI68" s="2657"/>
      <c r="EJ68" s="2657"/>
      <c r="EK68" s="2657"/>
      <c r="EL68" s="2657"/>
      <c r="EM68" s="2657"/>
      <c r="EN68" s="2657"/>
      <c r="EO68" s="2657"/>
      <c r="EP68" s="2657"/>
      <c r="EQ68" s="2657"/>
      <c r="ER68" s="2657"/>
      <c r="ES68" s="2657"/>
      <c r="ET68" s="2657"/>
      <c r="EU68" s="2657"/>
      <c r="EV68" s="2657"/>
      <c r="EW68" s="2657"/>
      <c r="EX68" s="2657"/>
      <c r="EY68" s="2657"/>
      <c r="EZ68" s="2657"/>
      <c r="FA68" s="2657"/>
      <c r="FB68" s="2657"/>
      <c r="FC68" s="2657"/>
      <c r="FD68" s="2657"/>
      <c r="FE68" s="2657"/>
    </row>
    <row r="69" spans="1:161" outlineLevel="2">
      <c r="B69" t="s">
        <v>338</v>
      </c>
      <c r="C69" t="s">
        <v>339</v>
      </c>
      <c r="D69" t="str">
        <f t="shared" si="10"/>
      </c>
      <c r="F69" s="2657">
        <f>'Balance Sheet'!ER49</f>
      </c>
      <c r="G69" s="2657">
        <f>'Balance Sheet'!ES49</f>
      </c>
      <c r="H69" s="2657">
        <f>'Balance Sheet'!ET49</f>
      </c>
      <c r="I69" s="2657">
        <f>'Balance Sheet'!EU49</f>
      </c>
      <c r="J69" s="2657">
        <f>'Balance Sheet'!EV49</f>
      </c>
      <c r="K69" s="2657">
        <f>'Balance Sheet'!EW49</f>
      </c>
      <c r="L69" s="2657">
        <f>'Balance Sheet'!EX49</f>
      </c>
      <c r="M69" s="2657">
        <f>'Balance Sheet'!EY49</f>
      </c>
      <c r="N69" s="2657">
        <f>'Balance Sheet'!EZ49</f>
      </c>
      <c r="O69" s="2657">
        <f>'Balance Sheet'!FA49</f>
      </c>
      <c r="P69" s="2657">
        <f>'Balance Sheet'!FB49</f>
      </c>
      <c r="Q69" s="2657">
        <f>'Balance Sheet'!FC49</f>
      </c>
      <c r="R69" s="2657">
        <f>'Balance Sheet'!FD49</f>
      </c>
      <c r="S69" s="2657">
        <f>'Balance Sheet'!FE49</f>
      </c>
      <c r="T69" s="2657">
        <f>'Balance Sheet'!FF49</f>
      </c>
      <c r="U69" s="2657">
        <f>'Balance Sheet'!FG49</f>
      </c>
      <c r="V69" s="2657">
        <f>'Balance Sheet'!FH49</f>
      </c>
      <c r="W69" s="2657">
        <f>'Balance Sheet'!FI49</f>
      </c>
      <c r="X69" s="2657">
        <f>'Balance Sheet'!FJ49</f>
      </c>
      <c r="Y69" s="2657">
        <f>'Balance Sheet'!FK49</f>
      </c>
      <c r="Z69" s="2657">
        <f>'Balance Sheet'!FL49</f>
      </c>
      <c r="AA69" s="2657">
        <f>'Balance Sheet'!FM49</f>
      </c>
      <c r="AB69" s="2657">
        <f>'Balance Sheet'!FN49</f>
      </c>
      <c r="AC69" s="2657">
        <f>'Balance Sheet'!FO49</f>
      </c>
      <c r="AD69" s="2657">
        <f>'Balance Sheet'!FP49</f>
      </c>
      <c r="AE69" s="2657">
        <f>'Balance Sheet'!FQ49</f>
      </c>
      <c r="AF69" s="2657">
        <f>'Balance Sheet'!FR49</f>
      </c>
      <c r="AG69" s="2657">
        <f>'Balance Sheet'!FS49</f>
      </c>
      <c r="AH69" s="2657">
        <f>'Balance Sheet'!FT49</f>
      </c>
      <c r="AI69" s="2657">
        <f>'Balance Sheet'!FU49</f>
      </c>
      <c r="AJ69" s="2657">
        <f>'Balance Sheet'!FV49</f>
      </c>
      <c r="AK69" s="2657"/>
      <c r="AL69" s="2657">
        <f>'Balance Sheet'!R49</f>
      </c>
      <c r="AM69" s="2657">
        <f>'Balance Sheet'!S49</f>
      </c>
      <c r="AN69" s="2657">
        <f>'Balance Sheet'!T49</f>
      </c>
      <c r="AO69" s="2657">
        <f>'Balance Sheet'!U49</f>
      </c>
      <c r="AP69" s="2657">
        <f>'Balance Sheet'!V49</f>
      </c>
      <c r="AQ69" s="2657">
        <f>'Balance Sheet'!W49</f>
      </c>
      <c r="AR69" s="2657">
        <f>'Balance Sheet'!X49</f>
      </c>
      <c r="AS69" s="2657">
        <f>'Balance Sheet'!Y49</f>
      </c>
      <c r="AT69" s="2657">
        <f>'Balance Sheet'!Z49</f>
      </c>
      <c r="AU69" s="2657">
        <f>'Balance Sheet'!AA49</f>
      </c>
      <c r="AV69" s="2657">
        <f>'Balance Sheet'!AB49</f>
      </c>
      <c r="AW69" s="2657">
        <f>'Balance Sheet'!AC49</f>
      </c>
      <c r="AX69" s="2657">
        <f>'Balance Sheet'!AD49</f>
      </c>
      <c r="AY69" s="2657">
        <f>'Balance Sheet'!AE49</f>
      </c>
      <c r="AZ69" s="2657">
        <f>'Balance Sheet'!AF49</f>
      </c>
      <c r="BA69" s="2657">
        <f>'Balance Sheet'!AG49</f>
      </c>
      <c r="BB69" s="2657">
        <f>'Balance Sheet'!AH49</f>
      </c>
      <c r="BC69" s="2657">
        <f>'Balance Sheet'!AI49</f>
      </c>
      <c r="BD69" s="2657">
        <f>'Balance Sheet'!AJ49</f>
      </c>
      <c r="BE69" s="2657">
        <f>'Balance Sheet'!AK49</f>
      </c>
      <c r="BF69" s="2657">
        <f>'Balance Sheet'!AL49</f>
      </c>
      <c r="BG69" s="2657">
        <f>'Balance Sheet'!AM49</f>
      </c>
      <c r="BH69" s="2657">
        <f>'Balance Sheet'!AN49</f>
      </c>
      <c r="BI69" s="2657">
        <f>'Balance Sheet'!AO49</f>
      </c>
      <c r="BJ69" s="2657">
        <f>'Balance Sheet'!AP49</f>
      </c>
      <c r="BK69" s="2657">
        <f>'Balance Sheet'!AQ49</f>
      </c>
      <c r="BL69" s="2657">
        <f>'Balance Sheet'!AR49</f>
      </c>
      <c r="BM69" s="2657">
        <f>'Balance Sheet'!AS49</f>
      </c>
      <c r="BN69" s="2657">
        <f>'Balance Sheet'!AT49</f>
      </c>
      <c r="BO69" s="2657">
        <f>'Balance Sheet'!AU49</f>
      </c>
      <c r="BP69" s="2657">
        <f>'Balance Sheet'!AV49</f>
      </c>
      <c r="BQ69" s="2657">
        <f>'Balance Sheet'!AW49</f>
      </c>
      <c r="BR69" s="2657">
        <f>'Balance Sheet'!AX49</f>
      </c>
      <c r="BS69" s="2657">
        <f>'Balance Sheet'!AY49</f>
      </c>
      <c r="BT69" s="2657">
        <f>'Balance Sheet'!AZ49</f>
      </c>
      <c r="BU69" s="2657">
        <f>'Balance Sheet'!BA49</f>
      </c>
      <c r="BV69" s="2657">
        <f>'Balance Sheet'!BB49</f>
      </c>
      <c r="BW69" s="2657">
        <f>'Balance Sheet'!BC49</f>
      </c>
      <c r="BX69" s="2657">
        <f>'Balance Sheet'!BD49</f>
      </c>
      <c r="BY69" s="2657">
        <f>'Balance Sheet'!BE49</f>
      </c>
      <c r="BZ69" s="2657">
        <f>'Balance Sheet'!BF49</f>
      </c>
      <c r="CA69" s="2657">
        <f>'Balance Sheet'!BG49</f>
      </c>
      <c r="CB69" s="2657">
        <f>'Balance Sheet'!BH49</f>
      </c>
      <c r="CC69" s="2657">
        <f>'Balance Sheet'!BI49</f>
      </c>
      <c r="CD69" s="2657">
        <f>'Balance Sheet'!BJ49</f>
      </c>
      <c r="CE69" s="2657">
        <f>'Balance Sheet'!BK49</f>
      </c>
      <c r="CF69" s="2657">
        <f>'Balance Sheet'!BL49</f>
      </c>
      <c r="CG69" s="2657">
        <f>'Balance Sheet'!BM49</f>
      </c>
      <c r="CH69" s="2657">
        <f>'Balance Sheet'!BN49</f>
      </c>
      <c r="CI69" s="2657">
        <f>'Balance Sheet'!BO49</f>
      </c>
      <c r="CJ69" s="2657">
        <f>'Balance Sheet'!BP49</f>
      </c>
      <c r="CK69" s="2657">
        <f>'Balance Sheet'!BQ49</f>
      </c>
      <c r="CL69" s="2657">
        <f>'Balance Sheet'!BR49</f>
      </c>
      <c r="CM69" s="2657">
        <f>'Balance Sheet'!BS49</f>
      </c>
      <c r="CN69" s="2657">
        <f>'Balance Sheet'!BT49</f>
      </c>
      <c r="CO69" s="2657">
        <f>'Balance Sheet'!BU49</f>
      </c>
      <c r="CP69" s="2657">
        <f>'Balance Sheet'!BV49</f>
      </c>
      <c r="CQ69" s="2657">
        <f>'Balance Sheet'!BW49</f>
      </c>
      <c r="CR69" s="2657">
        <f>'Balance Sheet'!BX49</f>
      </c>
      <c r="CS69" s="2657">
        <f>'Balance Sheet'!BY49</f>
      </c>
      <c r="CT69" s="2657">
        <f>'Balance Sheet'!BZ49</f>
      </c>
      <c r="CU69" s="2657">
        <f>'Balance Sheet'!CA49</f>
      </c>
      <c r="CV69" s="2657">
        <f>'Balance Sheet'!CB49</f>
      </c>
      <c r="CW69" s="2657">
        <f>'Balance Sheet'!CC49</f>
      </c>
      <c r="CX69" s="2657">
        <f>'Balance Sheet'!CD49</f>
      </c>
      <c r="CY69" s="2657">
        <f>'Balance Sheet'!CE49</f>
      </c>
      <c r="CZ69" s="2657">
        <f>'Balance Sheet'!CF49</f>
      </c>
      <c r="DA69" s="2657">
        <f>'Balance Sheet'!CG49</f>
      </c>
      <c r="DB69" s="2657">
        <f>'Balance Sheet'!CH49</f>
      </c>
      <c r="DC69" s="2657">
        <f>'Balance Sheet'!CI49</f>
      </c>
      <c r="DD69" s="2657">
        <f>'Balance Sheet'!CJ49</f>
      </c>
      <c r="DE69" s="2657">
        <f>'Balance Sheet'!CK49</f>
      </c>
      <c r="DF69" s="2657">
        <f>'Balance Sheet'!CL49</f>
      </c>
      <c r="DG69" s="2657">
        <f>'Balance Sheet'!CM49</f>
      </c>
      <c r="DH69" s="2657">
        <f>'Balance Sheet'!CN49</f>
      </c>
      <c r="DI69" s="2657">
        <f>'Balance Sheet'!CO49</f>
      </c>
      <c r="DJ69" s="2657">
        <f>'Balance Sheet'!CP49</f>
      </c>
      <c r="DK69" s="2657">
        <f>'Balance Sheet'!CQ49</f>
      </c>
      <c r="DL69" s="2657">
        <f>'Balance Sheet'!CR49</f>
      </c>
      <c r="DM69" s="2657">
        <f>'Balance Sheet'!CS49</f>
      </c>
      <c r="DN69" s="2657">
        <f>'Balance Sheet'!CT49</f>
      </c>
      <c r="DO69" s="2657">
        <f>'Balance Sheet'!CU49</f>
      </c>
      <c r="DP69" s="2657">
        <f>'Balance Sheet'!CV49</f>
      </c>
      <c r="DQ69" s="2657">
        <f>'Balance Sheet'!CW49</f>
      </c>
      <c r="DR69" s="2657">
        <f>'Balance Sheet'!CX49</f>
      </c>
      <c r="DS69" s="2657">
        <f>'Balance Sheet'!CY49</f>
      </c>
      <c r="DT69" s="2657">
        <f>'Balance Sheet'!CZ49</f>
      </c>
      <c r="DU69" s="2657">
        <f>'Balance Sheet'!DA49</f>
      </c>
      <c r="DV69" s="2657">
        <f>'Balance Sheet'!DB49</f>
      </c>
      <c r="DW69" s="2657">
        <f>'Balance Sheet'!DC49</f>
      </c>
      <c r="DX69" s="2657">
        <f>'Balance Sheet'!DD49</f>
      </c>
      <c r="DY69" s="2657">
        <f>'Balance Sheet'!DE49</f>
      </c>
      <c r="DZ69" s="2657">
        <f>'Balance Sheet'!DF49</f>
      </c>
      <c r="EA69" s="2657">
        <f>'Balance Sheet'!DG49</f>
      </c>
      <c r="EB69" s="2657">
        <f>'Balance Sheet'!DH49</f>
      </c>
      <c r="EC69" s="2657">
        <f>'Balance Sheet'!DI49</f>
      </c>
      <c r="ED69" s="2657">
        <f>'Balance Sheet'!DJ49</f>
      </c>
      <c r="EE69" s="2657">
        <f>'Balance Sheet'!DK49</f>
      </c>
      <c r="EF69" s="2657">
        <f>'Balance Sheet'!DL49</f>
      </c>
      <c r="EG69" s="2657">
        <f>'Balance Sheet'!DM49</f>
      </c>
      <c r="EH69" s="2657">
        <f>'Balance Sheet'!DN49</f>
      </c>
      <c r="EI69" s="2657">
        <f>'Balance Sheet'!DO49</f>
      </c>
      <c r="EJ69" s="2657">
        <f>'Balance Sheet'!DP49</f>
      </c>
      <c r="EK69" s="2657">
        <f>'Balance Sheet'!DQ49</f>
      </c>
      <c r="EL69" s="2657">
        <f>'Balance Sheet'!DR49</f>
      </c>
      <c r="EM69" s="2657">
        <f>'Balance Sheet'!DS49</f>
      </c>
      <c r="EN69" s="2657">
        <f>'Balance Sheet'!DT49</f>
      </c>
      <c r="EO69" s="2657">
        <f>'Balance Sheet'!DU49</f>
      </c>
      <c r="EP69" s="2657">
        <f>'Balance Sheet'!DV49</f>
      </c>
      <c r="EQ69" s="2657">
        <f>'Balance Sheet'!DW49</f>
      </c>
      <c r="ER69" s="2657">
        <f>'Balance Sheet'!DX49</f>
      </c>
      <c r="ES69" s="2657">
        <f>'Balance Sheet'!DY49</f>
      </c>
      <c r="ET69" s="2657">
        <f>'Balance Sheet'!DZ49</f>
      </c>
      <c r="EU69" s="2657">
        <f>'Balance Sheet'!EA49</f>
      </c>
      <c r="EV69" s="2657">
        <f>'Balance Sheet'!EB49</f>
      </c>
      <c r="EW69" s="2657">
        <f>'Balance Sheet'!EC49</f>
      </c>
      <c r="EX69" s="2657">
        <f>'Balance Sheet'!ED49</f>
      </c>
      <c r="EY69" s="2657">
        <f>'Balance Sheet'!EE49</f>
      </c>
      <c r="EZ69" s="2657">
        <f>'Balance Sheet'!EF49</f>
      </c>
      <c r="FA69" s="2657">
        <f>'Balance Sheet'!EG49</f>
      </c>
      <c r="FB69" s="2657">
        <f>'Balance Sheet'!EH49</f>
      </c>
      <c r="FC69" s="2657">
        <f>'Balance Sheet'!EI49</f>
      </c>
      <c r="FD69" s="2657">
        <f>'Balance Sheet'!EJ49</f>
      </c>
      <c r="FE69" s="2657">
        <f>'Balance Sheet'!EK49</f>
      </c>
    </row>
    <row r="70" spans="1:161" outlineLevel="2">
      <c r="B70" t="s">
        <v>340</v>
      </c>
      <c r="C70" t="s">
        <v>341</v>
      </c>
      <c r="D70" t="str">
        <f t="shared" si="10"/>
      </c>
      <c r="F70" s="2657">
        <f>'Balance Sheet'!ER51</f>
      </c>
      <c r="G70" s="2657">
        <f>'Balance Sheet'!ES51</f>
      </c>
      <c r="H70" s="2657">
        <f>'Balance Sheet'!ET51</f>
      </c>
      <c r="I70" s="2657">
        <f>'Balance Sheet'!EU51</f>
      </c>
      <c r="J70" s="2657">
        <f>'Balance Sheet'!EV51</f>
      </c>
      <c r="K70" s="2657">
        <f>'Balance Sheet'!EW51</f>
      </c>
      <c r="L70" s="2657">
        <f>'Balance Sheet'!EX51</f>
      </c>
      <c r="M70" s="2657">
        <f>'Balance Sheet'!EY51</f>
      </c>
      <c r="N70" s="2657">
        <f>'Balance Sheet'!EZ51</f>
      </c>
      <c r="O70" s="2657">
        <f>'Balance Sheet'!FA51</f>
      </c>
      <c r="P70" s="2657">
        <f>'Balance Sheet'!FB51</f>
      </c>
      <c r="Q70" s="2657">
        <f>'Balance Sheet'!FC51</f>
      </c>
      <c r="R70" s="2657">
        <f>'Balance Sheet'!FD51</f>
      </c>
      <c r="S70" s="2657">
        <f>'Balance Sheet'!FE51</f>
      </c>
      <c r="T70" s="2657">
        <f>'Balance Sheet'!FF51</f>
      </c>
      <c r="U70" s="2657">
        <f>'Balance Sheet'!FG51</f>
      </c>
      <c r="V70" s="2657">
        <f>'Balance Sheet'!FH51</f>
      </c>
      <c r="W70" s="2657">
        <f>'Balance Sheet'!FI51</f>
      </c>
      <c r="X70" s="2657">
        <f>'Balance Sheet'!FJ51</f>
      </c>
      <c r="Y70" s="2657">
        <f>'Balance Sheet'!FK51</f>
      </c>
      <c r="Z70" s="2657">
        <f>'Balance Sheet'!FL51</f>
      </c>
      <c r="AA70" s="2657">
        <f>'Balance Sheet'!FM51</f>
      </c>
      <c r="AB70" s="2657">
        <f>'Balance Sheet'!FN51</f>
      </c>
      <c r="AC70" s="2657">
        <f>'Balance Sheet'!FO51</f>
      </c>
      <c r="AD70" s="2657">
        <f>'Balance Sheet'!FP51</f>
      </c>
      <c r="AE70" s="2657">
        <f>'Balance Sheet'!FQ51</f>
      </c>
      <c r="AF70" s="2657">
        <f>'Balance Sheet'!FR51</f>
      </c>
      <c r="AG70" s="2657">
        <f>'Balance Sheet'!FS51</f>
      </c>
      <c r="AH70" s="2657">
        <f>'Balance Sheet'!FT51</f>
      </c>
      <c r="AI70" s="2657">
        <f>'Balance Sheet'!FU51</f>
      </c>
      <c r="AJ70" s="2657">
        <f>'Balance Sheet'!FV51</f>
      </c>
      <c r="AK70" s="2657"/>
      <c r="AL70" s="2657">
        <f>'Balance Sheet'!R51</f>
      </c>
      <c r="AM70" s="2657">
        <f>'Balance Sheet'!S51</f>
      </c>
      <c r="AN70" s="2657">
        <f>'Balance Sheet'!T51</f>
      </c>
      <c r="AO70" s="2657">
        <f>'Balance Sheet'!U51</f>
      </c>
      <c r="AP70" s="2657">
        <f>'Balance Sheet'!V51</f>
      </c>
      <c r="AQ70" s="2657">
        <f>'Balance Sheet'!W51</f>
      </c>
      <c r="AR70" s="2657">
        <f>'Balance Sheet'!X51</f>
      </c>
      <c r="AS70" s="2657">
        <f>'Balance Sheet'!Y51</f>
      </c>
      <c r="AT70" s="2657">
        <f>'Balance Sheet'!Z51</f>
      </c>
      <c r="AU70" s="2657">
        <f>'Balance Sheet'!AA51</f>
      </c>
      <c r="AV70" s="2657">
        <f>'Balance Sheet'!AB51</f>
      </c>
      <c r="AW70" s="2657">
        <f>'Balance Sheet'!AC51</f>
      </c>
      <c r="AX70" s="2657">
        <f>'Balance Sheet'!AD51</f>
      </c>
      <c r="AY70" s="2657">
        <f>'Balance Sheet'!AE51</f>
      </c>
      <c r="AZ70" s="2657">
        <f>'Balance Sheet'!AF51</f>
      </c>
      <c r="BA70" s="2657">
        <f>'Balance Sheet'!AG51</f>
      </c>
      <c r="BB70" s="2657">
        <f>'Balance Sheet'!AH51</f>
      </c>
      <c r="BC70" s="2657">
        <f>'Balance Sheet'!AI51</f>
      </c>
      <c r="BD70" s="2657">
        <f>'Balance Sheet'!AJ51</f>
      </c>
      <c r="BE70" s="2657">
        <f>'Balance Sheet'!AK51</f>
      </c>
      <c r="BF70" s="2657">
        <f>'Balance Sheet'!AL51</f>
      </c>
      <c r="BG70" s="2657">
        <f>'Balance Sheet'!AM51</f>
      </c>
      <c r="BH70" s="2657">
        <f>'Balance Sheet'!AN51</f>
      </c>
      <c r="BI70" s="2657">
        <f>'Balance Sheet'!AO51</f>
      </c>
      <c r="BJ70" s="2657">
        <f>'Balance Sheet'!AP51</f>
      </c>
      <c r="BK70" s="2657">
        <f>'Balance Sheet'!AQ51</f>
      </c>
      <c r="BL70" s="2657">
        <f>'Balance Sheet'!AR51</f>
      </c>
      <c r="BM70" s="2657">
        <f>'Balance Sheet'!AS51</f>
      </c>
      <c r="BN70" s="2657">
        <f>'Balance Sheet'!AT51</f>
      </c>
      <c r="BO70" s="2657">
        <f>'Balance Sheet'!AU51</f>
      </c>
      <c r="BP70" s="2657">
        <f>'Balance Sheet'!AV51</f>
      </c>
      <c r="BQ70" s="2657">
        <f>'Balance Sheet'!AW51</f>
      </c>
      <c r="BR70" s="2657">
        <f>'Balance Sheet'!AX51</f>
      </c>
      <c r="BS70" s="2657">
        <f>'Balance Sheet'!AY51</f>
      </c>
      <c r="BT70" s="2657">
        <f>'Balance Sheet'!AZ51</f>
      </c>
      <c r="BU70" s="2657">
        <f>'Balance Sheet'!BA51</f>
      </c>
      <c r="BV70" s="2657">
        <f>'Balance Sheet'!BB51</f>
      </c>
      <c r="BW70" s="2657">
        <f>'Balance Sheet'!BC51</f>
      </c>
      <c r="BX70" s="2657">
        <f>'Balance Sheet'!BD51</f>
      </c>
      <c r="BY70" s="2657">
        <f>'Balance Sheet'!BE51</f>
      </c>
      <c r="BZ70" s="2657">
        <f>'Balance Sheet'!BF51</f>
      </c>
      <c r="CA70" s="2657">
        <f>'Balance Sheet'!BG51</f>
      </c>
      <c r="CB70" s="2657">
        <f>'Balance Sheet'!BH51</f>
      </c>
      <c r="CC70" s="2657">
        <f>'Balance Sheet'!BI51</f>
      </c>
      <c r="CD70" s="2657">
        <f>'Balance Sheet'!BJ51</f>
      </c>
      <c r="CE70" s="2657">
        <f>'Balance Sheet'!BK51</f>
      </c>
      <c r="CF70" s="2657">
        <f>'Balance Sheet'!BL51</f>
      </c>
      <c r="CG70" s="2657">
        <f>'Balance Sheet'!BM51</f>
      </c>
      <c r="CH70" s="2657">
        <f>'Balance Sheet'!BN51</f>
      </c>
      <c r="CI70" s="2657">
        <f>'Balance Sheet'!BO51</f>
      </c>
      <c r="CJ70" s="2657">
        <f>'Balance Sheet'!BP51</f>
      </c>
      <c r="CK70" s="2657">
        <f>'Balance Sheet'!BQ51</f>
      </c>
      <c r="CL70" s="2657">
        <f>'Balance Sheet'!BR51</f>
      </c>
      <c r="CM70" s="2657">
        <f>'Balance Sheet'!BS51</f>
      </c>
      <c r="CN70" s="2657">
        <f>'Balance Sheet'!BT51</f>
      </c>
      <c r="CO70" s="2657">
        <f>'Balance Sheet'!BU51</f>
      </c>
      <c r="CP70" s="2657">
        <f>'Balance Sheet'!BV51</f>
      </c>
      <c r="CQ70" s="2657">
        <f>'Balance Sheet'!BW51</f>
      </c>
      <c r="CR70" s="2657">
        <f>'Balance Sheet'!BX51</f>
      </c>
      <c r="CS70" s="2657">
        <f>'Balance Sheet'!BY51</f>
      </c>
      <c r="CT70" s="2657">
        <f>'Balance Sheet'!BZ51</f>
      </c>
      <c r="CU70" s="2657">
        <f>'Balance Sheet'!CA51</f>
      </c>
      <c r="CV70" s="2657">
        <f>'Balance Sheet'!CB51</f>
      </c>
      <c r="CW70" s="2657">
        <f>'Balance Sheet'!CC51</f>
      </c>
      <c r="CX70" s="2657">
        <f>'Balance Sheet'!CD51</f>
      </c>
      <c r="CY70" s="2657">
        <f>'Balance Sheet'!CE51</f>
      </c>
      <c r="CZ70" s="2657">
        <f>'Balance Sheet'!CF51</f>
      </c>
      <c r="DA70" s="2657">
        <f>'Balance Sheet'!CG51</f>
      </c>
      <c r="DB70" s="2657">
        <f>'Balance Sheet'!CH51</f>
      </c>
      <c r="DC70" s="2657">
        <f>'Balance Sheet'!CI51</f>
      </c>
      <c r="DD70" s="2657">
        <f>'Balance Sheet'!CJ51</f>
      </c>
      <c r="DE70" s="2657">
        <f>'Balance Sheet'!CK51</f>
      </c>
      <c r="DF70" s="2657">
        <f>'Balance Sheet'!CL51</f>
      </c>
      <c r="DG70" s="2657">
        <f>'Balance Sheet'!CM51</f>
      </c>
      <c r="DH70" s="2657">
        <f>'Balance Sheet'!CN51</f>
      </c>
      <c r="DI70" s="2657">
        <f>'Balance Sheet'!CO51</f>
      </c>
      <c r="DJ70" s="2657">
        <f>'Balance Sheet'!CP51</f>
      </c>
      <c r="DK70" s="2657">
        <f>'Balance Sheet'!CQ51</f>
      </c>
      <c r="DL70" s="2657">
        <f>'Balance Sheet'!CR51</f>
      </c>
      <c r="DM70" s="2657">
        <f>'Balance Sheet'!CS51</f>
      </c>
      <c r="DN70" s="2657">
        <f>'Balance Sheet'!CT51</f>
      </c>
      <c r="DO70" s="2657">
        <f>'Balance Sheet'!CU51</f>
      </c>
      <c r="DP70" s="2657">
        <f>'Balance Sheet'!CV51</f>
      </c>
      <c r="DQ70" s="2657">
        <f>'Balance Sheet'!CW51</f>
      </c>
      <c r="DR70" s="2657">
        <f>'Balance Sheet'!CX51</f>
      </c>
      <c r="DS70" s="2657">
        <f>'Balance Sheet'!CY51</f>
      </c>
      <c r="DT70" s="2657">
        <f>'Balance Sheet'!CZ51</f>
      </c>
      <c r="DU70" s="2657">
        <f>'Balance Sheet'!DA51</f>
      </c>
      <c r="DV70" s="2657">
        <f>'Balance Sheet'!DB51</f>
      </c>
      <c r="DW70" s="2657">
        <f>'Balance Sheet'!DC51</f>
      </c>
      <c r="DX70" s="2657">
        <f>'Balance Sheet'!DD51</f>
      </c>
      <c r="DY70" s="2657">
        <f>'Balance Sheet'!DE51</f>
      </c>
      <c r="DZ70" s="2657">
        <f>'Balance Sheet'!DF51</f>
      </c>
      <c r="EA70" s="2657">
        <f>'Balance Sheet'!DG51</f>
      </c>
      <c r="EB70" s="2657">
        <f>'Balance Sheet'!DH51</f>
      </c>
      <c r="EC70" s="2657">
        <f>'Balance Sheet'!DI51</f>
      </c>
      <c r="ED70" s="2657">
        <f>'Balance Sheet'!DJ51</f>
      </c>
      <c r="EE70" s="2657">
        <f>'Balance Sheet'!DK51</f>
      </c>
      <c r="EF70" s="2657">
        <f>'Balance Sheet'!DL51</f>
      </c>
      <c r="EG70" s="2657">
        <f>'Balance Sheet'!DM51</f>
      </c>
      <c r="EH70" s="2657">
        <f>'Balance Sheet'!DN51</f>
      </c>
      <c r="EI70" s="2657">
        <f>'Balance Sheet'!DO51</f>
      </c>
      <c r="EJ70" s="2657">
        <f>'Balance Sheet'!DP51</f>
      </c>
      <c r="EK70" s="2657">
        <f>'Balance Sheet'!DQ51</f>
      </c>
      <c r="EL70" s="2657">
        <f>'Balance Sheet'!DR51</f>
      </c>
      <c r="EM70" s="2657">
        <f>'Balance Sheet'!DS51</f>
      </c>
      <c r="EN70" s="2657">
        <f>'Balance Sheet'!DT51</f>
      </c>
      <c r="EO70" s="2657">
        <f>'Balance Sheet'!DU51</f>
      </c>
      <c r="EP70" s="2657">
        <f>'Balance Sheet'!DV51</f>
      </c>
      <c r="EQ70" s="2657">
        <f>'Balance Sheet'!DW51</f>
      </c>
      <c r="ER70" s="2657">
        <f>'Balance Sheet'!DX51</f>
      </c>
      <c r="ES70" s="2657">
        <f>'Balance Sheet'!DY51</f>
      </c>
      <c r="ET70" s="2657">
        <f>'Balance Sheet'!DZ51</f>
      </c>
      <c r="EU70" s="2657">
        <f>'Balance Sheet'!EA51</f>
      </c>
      <c r="EV70" s="2657">
        <f>'Balance Sheet'!EB51</f>
      </c>
      <c r="EW70" s="2657">
        <f>'Balance Sheet'!EC51</f>
      </c>
      <c r="EX70" s="2657">
        <f>'Balance Sheet'!ED51</f>
      </c>
      <c r="EY70" s="2657">
        <f>'Balance Sheet'!EE51</f>
      </c>
      <c r="EZ70" s="2657">
        <f>'Balance Sheet'!EF51</f>
      </c>
      <c r="FA70" s="2657">
        <f>'Balance Sheet'!EG51</f>
      </c>
      <c r="FB70" s="2657">
        <f>'Balance Sheet'!EH51</f>
      </c>
      <c r="FC70" s="2657">
        <f>'Balance Sheet'!EI51</f>
      </c>
      <c r="FD70" s="2657">
        <f>'Balance Sheet'!EJ51</f>
      </c>
      <c r="FE70" s="2657">
        <f>'Balance Sheet'!EK51</f>
      </c>
    </row>
    <row r="71" spans="1:161" s="539" customFormat="1" outlineLevel="1">
      <c r="A71" s="540" t="s">
        <v>342</v>
      </c>
      <c r="B71" s="540"/>
      <c r="C71" s="540"/>
      <c r="D71" s="540"/>
    </row>
    <row r="72" spans="1:161" outlineLevel="2">
      <c r="B72" t="s">
        <v>843</v>
      </c>
      <c r="C72" t="s">
        <v>844</v>
      </c>
      <c r="F72" s="2657"/>
      <c r="G72" s="2657"/>
      <c r="H72" s="2657"/>
      <c r="I72" s="2657"/>
      <c r="J72" s="2657"/>
      <c r="K72" s="2657"/>
      <c r="L72" s="2657"/>
      <c r="M72" s="2657"/>
      <c r="N72" s="2657"/>
      <c r="O72" s="2657"/>
      <c r="P72" s="2657"/>
      <c r="Q72" s="2657"/>
      <c r="R72" s="2657"/>
      <c r="S72" s="2657"/>
      <c r="T72" s="2657"/>
      <c r="U72" s="2657"/>
      <c r="V72" s="2657"/>
      <c r="W72" s="2657"/>
      <c r="X72" s="2657"/>
      <c r="Y72" s="2657"/>
      <c r="Z72" s="2657"/>
      <c r="AA72" s="2657"/>
      <c r="AB72" s="2657"/>
      <c r="AC72" s="2657"/>
      <c r="AD72" s="2657"/>
      <c r="AE72" s="2657"/>
      <c r="AF72" s="2657"/>
      <c r="AG72" s="2657"/>
      <c r="AH72" s="2657"/>
      <c r="AI72" s="2657"/>
      <c r="AJ72" s="2657"/>
      <c r="AK72" s="2657"/>
      <c r="AL72" s="2657"/>
      <c r="AM72" s="2657"/>
      <c r="AN72" s="2657"/>
      <c r="AO72" s="2657"/>
      <c r="AP72" s="2657"/>
      <c r="AQ72" s="2657"/>
      <c r="AR72" s="2657"/>
      <c r="AS72" s="2657"/>
      <c r="AT72" s="2657"/>
      <c r="AU72" s="2657"/>
      <c r="AV72" s="2657"/>
      <c r="AW72" s="2657"/>
      <c r="AX72" s="2657"/>
      <c r="AY72" s="2657"/>
      <c r="AZ72" s="2657"/>
      <c r="BA72" s="2657"/>
      <c r="BB72" s="2657"/>
      <c r="BC72" s="2657"/>
      <c r="BD72" s="2657"/>
      <c r="BE72" s="2657"/>
      <c r="BF72" s="2657"/>
      <c r="BG72" s="2657"/>
      <c r="BH72" s="2657"/>
      <c r="BI72" s="2657"/>
      <c r="BJ72" s="2657"/>
      <c r="BK72" s="2657"/>
      <c r="BL72" s="2657"/>
      <c r="BM72" s="2657"/>
      <c r="BN72" s="2657"/>
      <c r="BO72" s="2657"/>
      <c r="BP72" s="2657"/>
      <c r="BQ72" s="2657"/>
      <c r="BR72" s="2657"/>
      <c r="BS72" s="2657"/>
      <c r="BT72" s="2657"/>
      <c r="BU72" s="2657"/>
      <c r="BV72" s="2657"/>
      <c r="BW72" s="2657"/>
      <c r="BX72" s="2657"/>
      <c r="BY72" s="2657"/>
      <c r="BZ72" s="2657"/>
      <c r="CA72" s="2657"/>
      <c r="CB72" s="2657"/>
      <c r="CC72" s="2657"/>
      <c r="CD72" s="2657"/>
      <c r="CE72" s="2657"/>
      <c r="CF72" s="2657"/>
      <c r="CG72" s="2657"/>
      <c r="CH72" s="2657"/>
      <c r="CI72" s="2657"/>
      <c r="CJ72" s="2657"/>
      <c r="CK72" s="2657"/>
      <c r="CL72" s="2657"/>
      <c r="CM72" s="2657"/>
      <c r="CN72" s="2657"/>
      <c r="CO72" s="2657"/>
      <c r="CP72" s="2657"/>
      <c r="CQ72" s="2657"/>
      <c r="CR72" s="2657"/>
      <c r="CS72" s="2657"/>
      <c r="CT72" s="2657"/>
      <c r="CU72" s="2657"/>
      <c r="CV72" s="2657"/>
      <c r="CW72" s="2657"/>
      <c r="CX72" s="2657"/>
      <c r="CY72" s="2657"/>
      <c r="CZ72" s="2657"/>
      <c r="DA72" s="2657"/>
      <c r="DB72" s="2657"/>
      <c r="DC72" s="2657"/>
      <c r="DD72" s="2657"/>
      <c r="DE72" s="2657"/>
      <c r="DF72" s="2657"/>
      <c r="DG72" s="2657"/>
      <c r="DH72" s="2657"/>
      <c r="DI72" s="2657"/>
      <c r="DJ72" s="2657"/>
      <c r="DK72" s="2657"/>
      <c r="DL72" s="2657"/>
      <c r="DM72" s="2657"/>
      <c r="DN72" s="2657"/>
      <c r="DO72" s="2657"/>
      <c r="DP72" s="2657"/>
      <c r="DQ72" s="2657"/>
      <c r="DR72" s="2657"/>
      <c r="DS72" s="2657"/>
      <c r="DT72" s="2657"/>
      <c r="DU72" s="2657"/>
      <c r="DV72" s="2657"/>
      <c r="DW72" s="2657"/>
      <c r="DX72" s="2657"/>
      <c r="DY72" s="2657"/>
      <c r="DZ72" s="2657"/>
      <c r="EA72" s="2657"/>
      <c r="EB72" s="2657"/>
      <c r="EC72" s="2657"/>
      <c r="ED72" s="2657"/>
      <c r="EE72" s="2657"/>
      <c r="EF72" s="2657"/>
      <c r="EG72" s="2657"/>
      <c r="EH72" s="2657"/>
      <c r="EI72" s="2657"/>
      <c r="EJ72" s="2657"/>
      <c r="EK72" s="2657"/>
      <c r="EL72" s="2657"/>
      <c r="EM72" s="2657"/>
      <c r="EN72" s="2657"/>
      <c r="EO72" s="2657"/>
      <c r="EP72" s="2657"/>
      <c r="EQ72" s="2657"/>
      <c r="ER72" s="2657"/>
      <c r="ES72" s="2657"/>
      <c r="ET72" s="2657"/>
      <c r="EU72" s="2657"/>
      <c r="EV72" s="2657"/>
      <c r="EW72" s="2657"/>
      <c r="EX72" s="2657"/>
      <c r="EY72" s="2657"/>
      <c r="EZ72" s="2657"/>
      <c r="FA72" s="2657"/>
      <c r="FB72" s="2657"/>
      <c r="FC72" s="2657"/>
      <c r="FD72" s="2657"/>
      <c r="FE72" s="2657"/>
    </row>
    <row r="73" spans="1:161" outlineLevel="2">
      <c r="B73" t="s">
        <v>845</v>
      </c>
      <c r="C73" t="s">
        <v>846</v>
      </c>
      <c r="F73" s="2659"/>
      <c r="G73" s="2659"/>
      <c r="H73" s="2659"/>
      <c r="I73" s="2659"/>
      <c r="J73" s="2659"/>
      <c r="K73" s="2659"/>
      <c r="L73" s="2659"/>
      <c r="M73" s="2659"/>
      <c r="N73" s="2659"/>
      <c r="O73" s="2659"/>
      <c r="P73" s="2659"/>
      <c r="Q73" s="2659"/>
      <c r="R73" s="2659"/>
      <c r="S73" s="2659"/>
      <c r="T73" s="2659"/>
      <c r="U73" s="2659"/>
      <c r="V73" s="2659"/>
      <c r="W73" s="2659"/>
      <c r="X73" s="2659"/>
      <c r="Y73" s="2659"/>
      <c r="Z73" s="2659"/>
      <c r="AA73" s="2659"/>
      <c r="AB73" s="2659"/>
      <c r="AC73" s="2659"/>
      <c r="AD73" s="2659"/>
      <c r="AE73" s="2659"/>
      <c r="AF73" s="2659"/>
      <c r="AG73" s="2659"/>
      <c r="AH73" s="2659"/>
      <c r="AI73" s="2659"/>
      <c r="AJ73" s="2659"/>
      <c r="AK73" s="2659"/>
      <c r="AL73" s="2659"/>
      <c r="AM73" s="2659"/>
      <c r="AN73" s="2659"/>
      <c r="AO73" s="2659"/>
      <c r="AP73" s="2659"/>
      <c r="AQ73" s="2659"/>
      <c r="AR73" s="2659"/>
      <c r="AS73" s="2659"/>
      <c r="AT73" s="2659"/>
      <c r="AU73" s="2659"/>
      <c r="AV73" s="2659"/>
      <c r="AW73" s="2659"/>
      <c r="AX73" s="2659"/>
      <c r="AY73" s="2659"/>
      <c r="AZ73" s="2659"/>
      <c r="BA73" s="2659"/>
      <c r="BB73" s="2659"/>
      <c r="BC73" s="2659"/>
      <c r="BD73" s="2659"/>
      <c r="BE73" s="2659"/>
      <c r="BF73" s="2659"/>
      <c r="BG73" s="2659"/>
      <c r="BH73" s="2659"/>
      <c r="BI73" s="2659"/>
      <c r="BJ73" s="2659"/>
      <c r="BK73" s="2659"/>
      <c r="BL73" s="2659"/>
      <c r="BM73" s="2659"/>
      <c r="BN73" s="2659"/>
      <c r="BO73" s="2659"/>
      <c r="BP73" s="2659"/>
      <c r="BQ73" s="2659"/>
      <c r="BR73" s="2659"/>
      <c r="BS73" s="2659"/>
      <c r="BT73" s="2659"/>
      <c r="BU73" s="2659"/>
      <c r="BV73" s="2659"/>
      <c r="BW73" s="2659"/>
      <c r="BX73" s="2659"/>
      <c r="BY73" s="2659"/>
      <c r="BZ73" s="2659"/>
      <c r="CA73" s="2659"/>
      <c r="CB73" s="2659"/>
      <c r="CC73" s="2659"/>
      <c r="CD73" s="2659"/>
      <c r="CE73" s="2659"/>
      <c r="CF73" s="2659"/>
      <c r="CG73" s="2659"/>
      <c r="CH73" s="2659"/>
      <c r="CI73" s="2659"/>
      <c r="CJ73" s="2659"/>
      <c r="CK73" s="2659"/>
      <c r="CL73" s="2659"/>
      <c r="CM73" s="2659"/>
      <c r="CN73" s="2659"/>
      <c r="CO73" s="2659"/>
      <c r="CP73" s="2659"/>
      <c r="CQ73" s="2659"/>
      <c r="CR73" s="2659"/>
      <c r="CS73" s="2659"/>
      <c r="CT73" s="2659"/>
      <c r="CU73" s="2659"/>
      <c r="CV73" s="2659"/>
      <c r="CW73" s="2659"/>
      <c r="CX73" s="2659"/>
      <c r="CY73" s="2659"/>
      <c r="CZ73" s="2659"/>
      <c r="DA73" s="2659"/>
      <c r="DB73" s="2659"/>
      <c r="DC73" s="2659"/>
      <c r="DD73" s="2659"/>
      <c r="DE73" s="2659"/>
      <c r="DF73" s="2659"/>
      <c r="DG73" s="2659"/>
      <c r="DH73" s="2659"/>
      <c r="DI73" s="2659"/>
      <c r="DJ73" s="2659"/>
      <c r="DK73" s="2659"/>
      <c r="DL73" s="2659"/>
      <c r="DM73" s="2659"/>
      <c r="DN73" s="2659"/>
      <c r="DO73" s="2659"/>
      <c r="DP73" s="2659"/>
      <c r="DQ73" s="2659"/>
      <c r="DR73" s="2659"/>
      <c r="DS73" s="2659"/>
      <c r="DT73" s="2659"/>
      <c r="DU73" s="2659"/>
      <c r="DV73" s="2659"/>
      <c r="DW73" s="2659"/>
      <c r="DX73" s="2659"/>
      <c r="DY73" s="2659"/>
      <c r="DZ73" s="2659"/>
      <c r="EA73" s="2659"/>
      <c r="EB73" s="2659"/>
      <c r="EC73" s="2659"/>
      <c r="ED73" s="2659"/>
      <c r="EE73" s="2659"/>
      <c r="EF73" s="2659"/>
      <c r="EG73" s="2659"/>
      <c r="EH73" s="2659"/>
      <c r="EI73" s="2659"/>
      <c r="EJ73" s="2659"/>
      <c r="EK73" s="2659"/>
      <c r="EL73" s="2659"/>
      <c r="EM73" s="2659"/>
      <c r="EN73" s="2659"/>
      <c r="EO73" s="2659"/>
      <c r="EP73" s="2659"/>
      <c r="EQ73" s="2659"/>
      <c r="ER73" s="2659"/>
      <c r="ES73" s="2659"/>
      <c r="ET73" s="2659"/>
      <c r="EU73" s="2659"/>
      <c r="EV73" s="2659"/>
      <c r="EW73" s="2659"/>
      <c r="EX73" s="2659"/>
      <c r="EY73" s="2659"/>
      <c r="EZ73" s="2659"/>
      <c r="FA73" s="2659"/>
      <c r="FB73" s="2659"/>
      <c r="FC73" s="2659"/>
      <c r="FD73" s="2659"/>
      <c r="FE73" s="2659"/>
    </row>
    <row r="74" spans="1:161" outlineLevel="2">
      <c r="B74" t="s">
        <v>847</v>
      </c>
      <c r="C74" t="s">
        <v>848</v>
      </c>
      <c r="F74" s="2659"/>
      <c r="G74" s="2659"/>
      <c r="H74" s="2659"/>
      <c r="I74" s="2659"/>
      <c r="J74" s="2659"/>
      <c r="K74" s="2659"/>
      <c r="L74" s="2659"/>
      <c r="M74" s="2659"/>
      <c r="N74" s="2659"/>
      <c r="O74" s="2659"/>
      <c r="P74" s="2659"/>
      <c r="Q74" s="2659"/>
      <c r="R74" s="2659"/>
      <c r="S74" s="2659"/>
      <c r="T74" s="2659"/>
      <c r="U74" s="2659"/>
      <c r="V74" s="2659">
        <v>0</v>
      </c>
      <c r="W74" s="2659">
        <v>0</v>
      </c>
      <c r="X74" s="2659">
        <v>0</v>
      </c>
      <c r="Y74" s="2659">
        <v>0</v>
      </c>
      <c r="Z74" s="2659">
        <v>0</v>
      </c>
      <c r="AA74" s="2659">
        <v>0</v>
      </c>
      <c r="AB74" s="2659">
        <v>0</v>
      </c>
      <c r="AC74" s="2659">
        <v>0</v>
      </c>
      <c r="AD74" s="2659">
        <v>0</v>
      </c>
      <c r="AE74" s="2659">
        <v>0</v>
      </c>
      <c r="AF74" s="2659">
        <v>0</v>
      </c>
      <c r="AG74" s="2659">
        <v>0</v>
      </c>
      <c r="AH74" s="2659">
        <v>0</v>
      </c>
      <c r="AI74" s="2659">
        <v>0</v>
      </c>
      <c r="AJ74" s="2659">
        <v>0</v>
      </c>
      <c r="AK74" s="2659"/>
      <c r="AL74" s="2659"/>
      <c r="AM74" s="2659"/>
      <c r="AN74" s="2659"/>
      <c r="AO74" s="2659"/>
      <c r="AP74" s="2659"/>
      <c r="AQ74" s="2659"/>
      <c r="AR74" s="2659"/>
      <c r="AS74" s="2659"/>
      <c r="AT74" s="2659"/>
      <c r="AU74" s="2659"/>
      <c r="AV74" s="2659"/>
      <c r="AW74" s="2659"/>
      <c r="AX74" s="2659"/>
      <c r="AY74" s="2659"/>
      <c r="AZ74" s="2659"/>
      <c r="BA74" s="2659"/>
      <c r="BB74" s="2659"/>
      <c r="BC74" s="2659"/>
      <c r="BD74" s="2659"/>
      <c r="BE74" s="2659"/>
      <c r="BF74" s="2659"/>
      <c r="BG74" s="2659"/>
      <c r="BH74" s="2659"/>
      <c r="BI74" s="2659"/>
      <c r="BJ74" s="2659"/>
      <c r="BK74" s="2659"/>
      <c r="BL74" s="2659"/>
      <c r="BM74" s="2659"/>
      <c r="BN74" s="2659"/>
      <c r="BO74" s="2659"/>
      <c r="BP74" s="2659"/>
      <c r="BQ74" s="2659"/>
      <c r="BR74" s="2659"/>
      <c r="BS74" s="2659"/>
      <c r="BT74" s="2659"/>
      <c r="BU74" s="2659"/>
      <c r="BV74" s="2659"/>
      <c r="BW74" s="2659"/>
      <c r="BX74" s="2659"/>
      <c r="BY74" s="2659"/>
      <c r="BZ74" s="2659"/>
      <c r="CA74" s="2659"/>
      <c r="CB74" s="2659"/>
      <c r="CC74" s="2659"/>
      <c r="CD74" s="2659"/>
      <c r="CE74" s="2659"/>
      <c r="CF74" s="2659"/>
      <c r="CG74" s="2659"/>
      <c r="CH74" s="2659"/>
      <c r="CI74" s="2659"/>
      <c r="CJ74" s="2659"/>
      <c r="CK74" s="2659"/>
      <c r="CL74" s="2659"/>
      <c r="CM74" s="2659"/>
      <c r="CN74" s="2659"/>
      <c r="CO74" s="2659"/>
      <c r="CP74" s="2659"/>
      <c r="CQ74" s="2659"/>
      <c r="CR74" s="2659"/>
      <c r="CS74" s="2659"/>
      <c r="CT74" s="2659"/>
      <c r="CU74" s="2659"/>
      <c r="CV74" s="2659"/>
      <c r="CW74" s="2659"/>
      <c r="CX74" s="2659"/>
      <c r="CY74" s="2659"/>
      <c r="CZ74" s="2659"/>
      <c r="DA74" s="2659"/>
      <c r="DB74" s="2659"/>
      <c r="DC74" s="2659"/>
      <c r="DD74" s="2659"/>
      <c r="DE74" s="2659"/>
      <c r="DF74" s="2659"/>
      <c r="DG74" s="2659"/>
      <c r="DH74" s="2659"/>
      <c r="DI74" s="2659"/>
      <c r="DJ74" s="2659"/>
      <c r="DK74" s="2659"/>
      <c r="DL74" s="2659"/>
      <c r="DM74" s="2659"/>
      <c r="DN74" s="2659"/>
      <c r="DO74" s="2659"/>
      <c r="DP74" s="2659"/>
      <c r="DQ74" s="2659"/>
      <c r="DR74" s="2659"/>
      <c r="DS74" s="2659"/>
      <c r="DT74" s="2659"/>
      <c r="DU74" s="2659"/>
      <c r="DV74" s="2659"/>
      <c r="DW74" s="2659"/>
      <c r="DX74" s="2659"/>
      <c r="DY74" s="2659"/>
      <c r="DZ74" s="2659"/>
      <c r="EA74" s="2659"/>
      <c r="EB74" s="2659"/>
      <c r="EC74" s="2659"/>
      <c r="ED74" s="2659"/>
      <c r="EE74" s="2659"/>
      <c r="EF74" s="2659"/>
      <c r="EG74" s="2659"/>
      <c r="EH74" s="2659"/>
      <c r="EI74" s="2659"/>
      <c r="EJ74" s="2659"/>
      <c r="EK74" s="2659"/>
      <c r="EL74" s="2659"/>
      <c r="EM74" s="2659"/>
      <c r="EN74" s="2659"/>
      <c r="EO74" s="2659"/>
      <c r="EP74" s="2659"/>
      <c r="EQ74" s="2659"/>
      <c r="ER74" s="2659"/>
      <c r="ES74" s="2659"/>
      <c r="ET74" s="2659"/>
      <c r="EU74" s="2659"/>
      <c r="EV74" s="2659"/>
      <c r="EW74" s="2659"/>
      <c r="EX74" s="2659"/>
      <c r="EY74" s="2659"/>
      <c r="EZ74" s="2659"/>
      <c r="FA74" s="2659"/>
      <c r="FB74" s="2659"/>
      <c r="FC74" s="2659"/>
      <c r="FD74" s="2659"/>
      <c r="FE74" s="2659"/>
    </row>
    <row r="75" spans="1:161" outlineLevel="2">
      <c r="B75" t="s">
        <v>849</v>
      </c>
      <c r="C75" t="s">
        <v>850</v>
      </c>
      <c r="F75" s="2659"/>
      <c r="G75" s="2659"/>
      <c r="H75" s="2659"/>
      <c r="I75" s="2659"/>
      <c r="J75" s="2659"/>
      <c r="K75" s="2659"/>
      <c r="L75" s="2659"/>
      <c r="M75" s="2659"/>
      <c r="N75" s="2659"/>
      <c r="O75" s="2659"/>
      <c r="P75" s="2659"/>
      <c r="Q75" s="2659"/>
      <c r="R75" s="2659"/>
      <c r="S75" s="2659"/>
      <c r="T75" s="2659"/>
      <c r="U75" s="2659"/>
      <c r="V75" s="2659">
        <v>0</v>
      </c>
      <c r="W75" s="2659">
        <v>0</v>
      </c>
      <c r="X75" s="2659">
        <v>0</v>
      </c>
      <c r="Y75" s="2659">
        <v>0</v>
      </c>
      <c r="Z75" s="2659">
        <v>0</v>
      </c>
      <c r="AA75" s="2659">
        <v>0</v>
      </c>
      <c r="AB75" s="2659">
        <v>0</v>
      </c>
      <c r="AC75" s="2659">
        <v>0</v>
      </c>
      <c r="AD75" s="2659">
        <v>0</v>
      </c>
      <c r="AE75" s="2659">
        <v>0</v>
      </c>
      <c r="AF75" s="2659">
        <v>0</v>
      </c>
      <c r="AG75" s="2659">
        <v>0</v>
      </c>
      <c r="AH75" s="2659">
        <v>0</v>
      </c>
      <c r="AI75" s="2659">
        <v>0</v>
      </c>
      <c r="AJ75" s="2659">
        <v>0</v>
      </c>
      <c r="AK75" s="2659"/>
      <c r="AL75" s="2659"/>
      <c r="AM75" s="2659"/>
      <c r="AN75" s="2659"/>
      <c r="AO75" s="2659"/>
      <c r="AP75" s="2659"/>
      <c r="AQ75" s="2659"/>
      <c r="AR75" s="2659"/>
      <c r="AS75" s="2659"/>
      <c r="AT75" s="2659"/>
      <c r="AU75" s="2659"/>
      <c r="AV75" s="2659"/>
      <c r="AW75" s="2659"/>
      <c r="AX75" s="2659"/>
      <c r="AY75" s="2659"/>
      <c r="AZ75" s="2659"/>
      <c r="BA75" s="2659"/>
      <c r="BB75" s="2659"/>
      <c r="BC75" s="2659"/>
      <c r="BD75" s="2659"/>
      <c r="BE75" s="2659"/>
      <c r="BF75" s="2659"/>
      <c r="BG75" s="2659"/>
      <c r="BH75" s="2659"/>
      <c r="BI75" s="2659"/>
      <c r="BJ75" s="2659"/>
      <c r="BK75" s="2659"/>
      <c r="BL75" s="2659"/>
      <c r="BM75" s="2659"/>
      <c r="BN75" s="2659"/>
      <c r="BO75" s="2659"/>
      <c r="BP75" s="2659"/>
      <c r="BQ75" s="2659"/>
      <c r="BR75" s="2659"/>
      <c r="BS75" s="2659"/>
      <c r="BT75" s="2659"/>
      <c r="BU75" s="2659"/>
      <c r="BV75" s="2659"/>
      <c r="BW75" s="2659"/>
      <c r="BX75" s="2659"/>
      <c r="BY75" s="2659"/>
      <c r="BZ75" s="2659"/>
      <c r="CA75" s="2659"/>
      <c r="CB75" s="2659"/>
      <c r="CC75" s="2659"/>
      <c r="CD75" s="2659"/>
      <c r="CE75" s="2659"/>
      <c r="CF75" s="2659"/>
      <c r="CG75" s="2659"/>
      <c r="CH75" s="2659"/>
      <c r="CI75" s="2659"/>
      <c r="CJ75" s="2659"/>
      <c r="CK75" s="2659"/>
      <c r="CL75" s="2659"/>
      <c r="CM75" s="2659"/>
      <c r="CN75" s="2659"/>
      <c r="CO75" s="2659"/>
      <c r="CP75" s="2659"/>
      <c r="CQ75" s="2659"/>
      <c r="CR75" s="2659"/>
      <c r="CS75" s="2659"/>
      <c r="CT75" s="2659"/>
      <c r="CU75" s="2659"/>
      <c r="CV75" s="2659"/>
      <c r="CW75" s="2659"/>
      <c r="CX75" s="2659"/>
      <c r="CY75" s="2659"/>
      <c r="CZ75" s="2659"/>
      <c r="DA75" s="2659"/>
      <c r="DB75" s="2659"/>
      <c r="DC75" s="2659"/>
      <c r="DD75" s="2659"/>
      <c r="DE75" s="2659"/>
      <c r="DF75" s="2659"/>
      <c r="DG75" s="2659"/>
      <c r="DH75" s="2659"/>
      <c r="DI75" s="2659"/>
      <c r="DJ75" s="2659"/>
      <c r="DK75" s="2659"/>
      <c r="DL75" s="2659"/>
      <c r="DM75" s="2659"/>
      <c r="DN75" s="2659"/>
      <c r="DO75" s="2659"/>
      <c r="DP75" s="2659"/>
      <c r="DQ75" s="2659"/>
      <c r="DR75" s="2659"/>
      <c r="DS75" s="2659"/>
      <c r="DT75" s="2659"/>
      <c r="DU75" s="2659"/>
      <c r="DV75" s="2659"/>
      <c r="DW75" s="2659"/>
      <c r="DX75" s="2659"/>
      <c r="DY75" s="2659"/>
      <c r="DZ75" s="2659"/>
      <c r="EA75" s="2659"/>
      <c r="EB75" s="2659"/>
      <c r="EC75" s="2659"/>
      <c r="ED75" s="2659"/>
      <c r="EE75" s="2659"/>
      <c r="EF75" s="2659"/>
      <c r="EG75" s="2659"/>
      <c r="EH75" s="2659"/>
      <c r="EI75" s="2659"/>
      <c r="EJ75" s="2659"/>
      <c r="EK75" s="2659"/>
      <c r="EL75" s="2659"/>
      <c r="EM75" s="2659"/>
      <c r="EN75" s="2659"/>
      <c r="EO75" s="2659"/>
      <c r="EP75" s="2659"/>
      <c r="EQ75" s="2659"/>
      <c r="ER75" s="2659"/>
      <c r="ES75" s="2659"/>
      <c r="ET75" s="2659"/>
      <c r="EU75" s="2659"/>
      <c r="EV75" s="2659"/>
      <c r="EW75" s="2659"/>
      <c r="EX75" s="2659"/>
      <c r="EY75" s="2659"/>
      <c r="EZ75" s="2659"/>
      <c r="FA75" s="2659"/>
      <c r="FB75" s="2659"/>
      <c r="FC75" s="2659"/>
      <c r="FD75" s="2659"/>
      <c r="FE75" s="2659"/>
    </row>
    <row r="76" spans="1:161" outlineLevel="2">
      <c r="B76" t="s">
        <v>343</v>
      </c>
      <c r="C76" t="s">
        <v>344</v>
      </c>
      <c r="D76" t="str">
        <f t="shared" ref="D76:D81" si="13">E_CURRENCY_ISSR_208000149_REP</f>
      </c>
      <c r="F76" s="2657">
        <f>-'Balance Sheet'!ER58</f>
      </c>
      <c r="G76" s="2657">
        <f>-'Balance Sheet'!ES58</f>
      </c>
      <c r="H76" s="2657">
        <f>-'Balance Sheet'!ET58</f>
      </c>
      <c r="I76" s="2657">
        <f>-'Balance Sheet'!EU58</f>
      </c>
      <c r="J76" s="2657">
        <f>-'Balance Sheet'!EV58</f>
      </c>
      <c r="K76" s="2657">
        <f>-'Balance Sheet'!EW58</f>
      </c>
      <c r="L76" s="2657">
        <f>-'Balance Sheet'!EX58</f>
      </c>
      <c r="M76" s="2657">
        <f>-'Balance Sheet'!EY58</f>
      </c>
      <c r="N76" s="2657">
        <f>-'Balance Sheet'!EZ58</f>
      </c>
      <c r="O76" s="2657">
        <f>-'Balance Sheet'!FA58</f>
      </c>
      <c r="P76" s="2657">
        <f>-'Balance Sheet'!FB58</f>
      </c>
      <c r="Q76" s="2657">
        <f>-'Balance Sheet'!FC58</f>
      </c>
      <c r="R76" s="2657">
        <f>-'Balance Sheet'!FD58</f>
      </c>
      <c r="S76" s="2657">
        <f>-'Balance Sheet'!FE58</f>
      </c>
      <c r="T76" s="2657">
        <f>-'Balance Sheet'!FF58</f>
      </c>
      <c r="U76" s="2657">
        <f>-'Balance Sheet'!FG58</f>
      </c>
      <c r="V76" s="2657">
        <f>-'Balance Sheet'!FH58</f>
      </c>
      <c r="W76" s="2657">
        <f>-'Balance Sheet'!FI58</f>
      </c>
      <c r="X76" s="2657">
        <f>-'Balance Sheet'!FJ58</f>
      </c>
      <c r="Y76" s="2657">
        <f>-'Balance Sheet'!FK58</f>
      </c>
      <c r="Z76" s="2657">
        <f>-'Balance Sheet'!FL58</f>
      </c>
      <c r="AA76" s="2657">
        <f>-'Balance Sheet'!FM58</f>
      </c>
      <c r="AB76" s="2657">
        <f>-'Balance Sheet'!FN58</f>
      </c>
      <c r="AC76" s="2657">
        <f>-'Balance Sheet'!FO58</f>
      </c>
      <c r="AD76" s="2657">
        <f>-'Balance Sheet'!FP58</f>
      </c>
      <c r="AE76" s="2657">
        <f>-'Balance Sheet'!FQ58</f>
      </c>
      <c r="AF76" s="2657">
        <f>-'Balance Sheet'!FR58</f>
      </c>
      <c r="AG76" s="2657">
        <f>-'Balance Sheet'!FS58</f>
      </c>
      <c r="AH76" s="2657">
        <f>-'Balance Sheet'!FT58</f>
      </c>
      <c r="AI76" s="2657">
        <f>-'Balance Sheet'!FU58</f>
      </c>
      <c r="AJ76" s="2657">
        <f>-'Balance Sheet'!FV58</f>
      </c>
      <c r="AK76" s="2657"/>
      <c r="AL76" s="2657">
        <f>-'Balance Sheet'!R58</f>
      </c>
      <c r="AM76" s="2657">
        <f>-'Balance Sheet'!S58</f>
      </c>
      <c r="AN76" s="2657">
        <f>-'Balance Sheet'!T58</f>
      </c>
      <c r="AO76" s="2657">
        <f>-'Balance Sheet'!U58</f>
      </c>
      <c r="AP76" s="2657">
        <f>-'Balance Sheet'!V58</f>
      </c>
      <c r="AQ76" s="2657">
        <f>-'Balance Sheet'!W58</f>
      </c>
      <c r="AR76" s="2657">
        <f>-'Balance Sheet'!X58</f>
      </c>
      <c r="AS76" s="2657">
        <f>-'Balance Sheet'!Y58</f>
      </c>
      <c r="AT76" s="2657">
        <f>-'Balance Sheet'!Z58</f>
      </c>
      <c r="AU76" s="2657">
        <f>-'Balance Sheet'!AA58</f>
      </c>
      <c r="AV76" s="2657">
        <f>-'Balance Sheet'!AB58</f>
      </c>
      <c r="AW76" s="2657">
        <f>-'Balance Sheet'!AC58</f>
      </c>
      <c r="AX76" s="2657">
        <f>-'Balance Sheet'!AD58</f>
      </c>
      <c r="AY76" s="2657">
        <f>-'Balance Sheet'!AE58</f>
      </c>
      <c r="AZ76" s="2657">
        <f>-'Balance Sheet'!AF58</f>
      </c>
      <c r="BA76" s="2657">
        <f>-'Balance Sheet'!AG58</f>
      </c>
      <c r="BB76" s="2657">
        <f>-'Balance Sheet'!AH58</f>
      </c>
      <c r="BC76" s="2657">
        <f>-'Balance Sheet'!AI58</f>
      </c>
      <c r="BD76" s="2657">
        <f>-'Balance Sheet'!AJ58</f>
      </c>
      <c r="BE76" s="2657">
        <f>-'Balance Sheet'!AK58</f>
      </c>
      <c r="BF76" s="2657">
        <f>-'Balance Sheet'!AL58</f>
      </c>
      <c r="BG76" s="2657">
        <f>-'Balance Sheet'!AM58</f>
      </c>
      <c r="BH76" s="2657">
        <f>-'Balance Sheet'!AN58</f>
      </c>
      <c r="BI76" s="2657">
        <f>-'Balance Sheet'!AO58</f>
      </c>
      <c r="BJ76" s="2657">
        <f>-'Balance Sheet'!AP58</f>
      </c>
      <c r="BK76" s="2657">
        <f>-'Balance Sheet'!AQ58</f>
      </c>
      <c r="BL76" s="2657">
        <f>-'Balance Sheet'!AR58</f>
      </c>
      <c r="BM76" s="2657">
        <f>-'Balance Sheet'!AS58</f>
      </c>
      <c r="BN76" s="2657">
        <f>-'Balance Sheet'!AT58</f>
      </c>
      <c r="BO76" s="2657">
        <f>-'Balance Sheet'!AU58</f>
      </c>
      <c r="BP76" s="2657">
        <f>-'Balance Sheet'!AV58</f>
      </c>
      <c r="BQ76" s="2657">
        <f>-'Balance Sheet'!AW58</f>
      </c>
      <c r="BR76" s="2657">
        <f>-'Balance Sheet'!AX58</f>
      </c>
      <c r="BS76" s="2657">
        <f>-'Balance Sheet'!AY58</f>
      </c>
      <c r="BT76" s="2657">
        <f>-'Balance Sheet'!AZ58</f>
      </c>
      <c r="BU76" s="2657">
        <f>-'Balance Sheet'!BA58</f>
      </c>
      <c r="BV76" s="2657">
        <f>-'Balance Sheet'!BB58</f>
      </c>
      <c r="BW76" s="2657">
        <f>-'Balance Sheet'!BC58</f>
      </c>
      <c r="BX76" s="2657">
        <f>-'Balance Sheet'!BD58</f>
      </c>
      <c r="BY76" s="2657">
        <f>-'Balance Sheet'!BE58</f>
      </c>
      <c r="BZ76" s="2657">
        <f>-'Balance Sheet'!BF58</f>
      </c>
      <c r="CA76" s="2657">
        <f>-'Balance Sheet'!BG58</f>
      </c>
      <c r="CB76" s="2657">
        <f>-'Balance Sheet'!BH58</f>
      </c>
      <c r="CC76" s="2657">
        <f>-'Balance Sheet'!BI58</f>
      </c>
      <c r="CD76" s="2657">
        <f>-'Balance Sheet'!BJ58</f>
      </c>
      <c r="CE76" s="2657">
        <f>-'Balance Sheet'!BK58</f>
      </c>
      <c r="CF76" s="2657">
        <f>-'Balance Sheet'!BL58</f>
      </c>
      <c r="CG76" s="2657">
        <f>-'Balance Sheet'!BM58</f>
      </c>
      <c r="CH76" s="2657">
        <f>-'Balance Sheet'!BN58</f>
      </c>
      <c r="CI76" s="2657">
        <f>-'Balance Sheet'!BO58</f>
      </c>
      <c r="CJ76" s="2657">
        <f>-'Balance Sheet'!BP58</f>
      </c>
      <c r="CK76" s="2657">
        <f>-'Balance Sheet'!BQ58</f>
      </c>
      <c r="CL76" s="2657">
        <f>-'Balance Sheet'!BR58</f>
      </c>
      <c r="CM76" s="2657">
        <f>-'Balance Sheet'!BS58</f>
      </c>
      <c r="CN76" s="2657">
        <f>-'Balance Sheet'!BT58</f>
      </c>
      <c r="CO76" s="2657">
        <f>-'Balance Sheet'!BU58</f>
      </c>
      <c r="CP76" s="2657">
        <f>-'Balance Sheet'!BV58</f>
      </c>
      <c r="CQ76" s="2657">
        <f>-'Balance Sheet'!BW58</f>
      </c>
      <c r="CR76" s="2657">
        <f>-'Balance Sheet'!BX58</f>
      </c>
      <c r="CS76" s="2657">
        <f>-'Balance Sheet'!BY58</f>
      </c>
      <c r="CT76" s="2657">
        <f>-'Balance Sheet'!BZ58</f>
      </c>
      <c r="CU76" s="2657">
        <f>-'Balance Sheet'!CA58</f>
      </c>
      <c r="CV76" s="2657">
        <f>-'Balance Sheet'!CB58</f>
      </c>
      <c r="CW76" s="2657">
        <f>-'Balance Sheet'!CC58</f>
      </c>
      <c r="CX76" s="2657">
        <f>-'Balance Sheet'!CD58</f>
      </c>
      <c r="CY76" s="2657">
        <f>-'Balance Sheet'!CE58</f>
      </c>
      <c r="CZ76" s="2657">
        <f>-'Balance Sheet'!CF58</f>
      </c>
      <c r="DA76" s="2657">
        <f>-'Balance Sheet'!CG58</f>
      </c>
      <c r="DB76" s="2657">
        <f>-'Balance Sheet'!CH58</f>
      </c>
      <c r="DC76" s="2657">
        <f>-'Balance Sheet'!CI58</f>
      </c>
      <c r="DD76" s="2657">
        <f>-'Balance Sheet'!CJ58</f>
      </c>
      <c r="DE76" s="2657">
        <f>-'Balance Sheet'!CK58</f>
      </c>
      <c r="DF76" s="2657">
        <f>-'Balance Sheet'!CL58</f>
      </c>
      <c r="DG76" s="2657">
        <f>-'Balance Sheet'!CM58</f>
      </c>
      <c r="DH76" s="2657">
        <f>-'Balance Sheet'!CN58</f>
      </c>
      <c r="DI76" s="2657">
        <f>-'Balance Sheet'!CO58</f>
      </c>
      <c r="DJ76" s="2657">
        <f>-'Balance Sheet'!CP58</f>
      </c>
      <c r="DK76" s="2657">
        <f>-'Balance Sheet'!CQ58</f>
      </c>
      <c r="DL76" s="2657">
        <f>-'Balance Sheet'!CR58</f>
      </c>
      <c r="DM76" s="2657">
        <f>-'Balance Sheet'!CS58</f>
      </c>
      <c r="DN76" s="2657">
        <f>-'Balance Sheet'!CT58</f>
      </c>
      <c r="DO76" s="2657">
        <f>-'Balance Sheet'!CU58</f>
      </c>
      <c r="DP76" s="2657">
        <f>-'Balance Sheet'!CV58</f>
      </c>
      <c r="DQ76" s="2657">
        <f>-'Balance Sheet'!CW58</f>
      </c>
      <c r="DR76" s="2657">
        <f>-'Balance Sheet'!CX58</f>
      </c>
      <c r="DS76" s="2657">
        <f>-'Balance Sheet'!CY58</f>
      </c>
      <c r="DT76" s="2657">
        <f>-'Balance Sheet'!CZ58</f>
      </c>
      <c r="DU76" s="2657">
        <f>-'Balance Sheet'!DA58</f>
      </c>
      <c r="DV76" s="2657">
        <f>-'Balance Sheet'!DB58</f>
      </c>
      <c r="DW76" s="2657">
        <f>-'Balance Sheet'!DC58</f>
      </c>
      <c r="DX76" s="2657">
        <f>-'Balance Sheet'!DD58</f>
      </c>
      <c r="DY76" s="2657">
        <f>-'Balance Sheet'!DE58</f>
      </c>
      <c r="DZ76" s="2657">
        <f>-'Balance Sheet'!DF58</f>
      </c>
      <c r="EA76" s="2657">
        <f>-'Balance Sheet'!DG58</f>
      </c>
      <c r="EB76" s="2657">
        <f>-'Balance Sheet'!DH58</f>
      </c>
      <c r="EC76" s="2657">
        <f>-'Balance Sheet'!DI58</f>
      </c>
      <c r="ED76" s="2657">
        <f>-'Balance Sheet'!DJ58</f>
      </c>
      <c r="EE76" s="2657">
        <f>-'Balance Sheet'!DK58</f>
      </c>
      <c r="EF76" s="2657">
        <f>-'Balance Sheet'!DL58</f>
      </c>
      <c r="EG76" s="2657">
        <f>-'Balance Sheet'!DM58</f>
      </c>
      <c r="EH76" s="2657">
        <f>-'Balance Sheet'!DN58</f>
      </c>
      <c r="EI76" s="2657">
        <f>-'Balance Sheet'!DO58</f>
      </c>
      <c r="EJ76" s="2657">
        <f>-'Balance Sheet'!DP58</f>
      </c>
      <c r="EK76" s="2657">
        <f>-'Balance Sheet'!DQ58</f>
      </c>
      <c r="EL76" s="2657">
        <f>-'Balance Sheet'!DR58</f>
      </c>
      <c r="EM76" s="2657">
        <f>-'Balance Sheet'!DS58</f>
      </c>
      <c r="EN76" s="2657">
        <f>-'Balance Sheet'!DT58</f>
      </c>
      <c r="EO76" s="2657">
        <f>-'Balance Sheet'!DU58</f>
      </c>
      <c r="EP76" s="2657">
        <f>-'Balance Sheet'!DV58</f>
      </c>
      <c r="EQ76" s="2657">
        <f>-'Balance Sheet'!DW58</f>
      </c>
      <c r="ER76" s="2657">
        <f>-'Balance Sheet'!DX58</f>
      </c>
      <c r="ES76" s="2657">
        <f>-'Balance Sheet'!DY58</f>
      </c>
      <c r="ET76" s="2657">
        <f>-'Balance Sheet'!DZ58</f>
      </c>
      <c r="EU76" s="2657">
        <f>-'Balance Sheet'!EA58</f>
      </c>
      <c r="EV76" s="2657">
        <f>-'Balance Sheet'!EB58</f>
      </c>
      <c r="EW76" s="2657">
        <f>-'Balance Sheet'!EC58</f>
      </c>
      <c r="EX76" s="2657">
        <f>-'Balance Sheet'!ED58</f>
      </c>
      <c r="EY76" s="2657">
        <f>-'Balance Sheet'!EE58</f>
      </c>
      <c r="EZ76" s="2657">
        <f>-'Balance Sheet'!EF58</f>
      </c>
      <c r="FA76" s="2657">
        <f>-'Balance Sheet'!EG58</f>
      </c>
      <c r="FB76" s="2657">
        <f>-'Balance Sheet'!EH58</f>
      </c>
      <c r="FC76" s="2657">
        <f>-'Balance Sheet'!EI58</f>
      </c>
      <c r="FD76" s="2657">
        <f>-'Balance Sheet'!EJ58</f>
      </c>
      <c r="FE76" s="2657">
        <f>-'Balance Sheet'!EK58</f>
      </c>
    </row>
    <row r="77" spans="1:161" outlineLevel="2">
      <c r="B77" t="s">
        <v>1093</v>
      </c>
      <c r="C77" t="s">
        <v>345</v>
      </c>
      <c r="D77" t="str">
        <f t="shared" si="13"/>
      </c>
      <c r="F77" s="2657"/>
      <c r="G77" s="2657"/>
      <c r="H77" s="2657"/>
      <c r="I77" s="2657"/>
      <c r="J77" s="2657"/>
      <c r="K77" s="2657"/>
      <c r="L77" s="2657"/>
      <c r="M77" s="2657"/>
      <c r="N77" s="2657"/>
      <c r="O77" s="2657"/>
      <c r="P77" s="2657"/>
      <c r="Q77" s="2657"/>
      <c r="R77" s="2657"/>
      <c r="S77" s="2657"/>
      <c r="T77" s="2657"/>
      <c r="U77" s="2657"/>
      <c r="V77" s="2657"/>
      <c r="W77" s="2657"/>
      <c r="X77" s="2657"/>
      <c r="Y77" s="2657"/>
      <c r="Z77" s="2657"/>
      <c r="AA77" s="2657"/>
      <c r="AB77" s="2657"/>
      <c r="AC77" s="2657"/>
      <c r="AD77" s="2657"/>
      <c r="AE77" s="2657"/>
      <c r="AF77" s="2657"/>
      <c r="AG77" s="2657"/>
      <c r="AH77" s="2657"/>
      <c r="AI77" s="2657"/>
      <c r="AJ77" s="2657"/>
      <c r="AK77" s="2657"/>
      <c r="AL77" s="2657"/>
      <c r="AM77" s="2657"/>
      <c r="AN77" s="2657"/>
      <c r="AO77" s="2657"/>
      <c r="AP77" s="2657"/>
      <c r="AQ77" s="2657"/>
      <c r="AR77" s="2657"/>
      <c r="AS77" s="2657"/>
      <c r="AT77" s="2657"/>
      <c r="AU77" s="2657"/>
      <c r="AV77" s="2657"/>
      <c r="AW77" s="2657"/>
      <c r="AX77" s="2657"/>
      <c r="AY77" s="2657"/>
      <c r="AZ77" s="2657"/>
      <c r="BA77" s="2657"/>
      <c r="BB77" s="2657"/>
      <c r="BC77" s="2657"/>
      <c r="BD77" s="2657"/>
      <c r="BE77" s="2657"/>
      <c r="BF77" s="2657"/>
      <c r="BG77" s="2657"/>
      <c r="BH77" s="2657"/>
      <c r="BI77" s="2657"/>
      <c r="BJ77" s="2657"/>
      <c r="BK77" s="2657"/>
      <c r="BL77" s="2657"/>
      <c r="BM77" s="2657"/>
      <c r="BN77" s="2657"/>
      <c r="BO77" s="2657"/>
      <c r="BP77" s="2657"/>
      <c r="BQ77" s="2657"/>
      <c r="BR77" s="2657"/>
      <c r="BS77" s="2657"/>
      <c r="BT77" s="2657"/>
      <c r="BU77" s="2657"/>
      <c r="BV77" s="2657"/>
      <c r="BW77" s="2657"/>
      <c r="BX77" s="2657"/>
      <c r="BY77" s="2657"/>
      <c r="BZ77" s="2657"/>
      <c r="CA77" s="2657"/>
      <c r="CB77" s="2657"/>
      <c r="CC77" s="2657"/>
      <c r="CD77" s="2657"/>
      <c r="CE77" s="2657"/>
      <c r="CF77" s="2657"/>
      <c r="CG77" s="2657"/>
      <c r="CH77" s="2657"/>
      <c r="CI77" s="2657"/>
      <c r="CJ77" s="2657"/>
      <c r="CK77" s="2657"/>
      <c r="CL77" s="2657"/>
      <c r="CM77" s="2657"/>
      <c r="CN77" s="2657"/>
      <c r="CO77" s="2657"/>
      <c r="CP77" s="2657"/>
      <c r="CQ77" s="2657"/>
      <c r="CR77" s="2657"/>
      <c r="CS77" s="2657"/>
      <c r="CT77" s="2657"/>
      <c r="CU77" s="2657"/>
      <c r="CV77" s="2657"/>
      <c r="CW77" s="2657"/>
      <c r="CX77" s="2657"/>
      <c r="CY77" s="2657"/>
      <c r="CZ77" s="2657"/>
      <c r="DA77" s="2657"/>
      <c r="DB77" s="2657"/>
      <c r="DC77" s="2657"/>
      <c r="DD77" s="2657"/>
      <c r="DE77" s="2657"/>
      <c r="DF77" s="2657"/>
      <c r="DG77" s="2657"/>
      <c r="DH77" s="2657"/>
      <c r="DI77" s="2657"/>
      <c r="DJ77" s="2657"/>
      <c r="DK77" s="2657"/>
      <c r="DL77" s="2657"/>
      <c r="DM77" s="2657"/>
      <c r="DN77" s="2657"/>
      <c r="DO77" s="2657"/>
      <c r="DP77" s="2657"/>
      <c r="DQ77" s="2657"/>
      <c r="DR77" s="2657"/>
      <c r="DS77" s="2657"/>
      <c r="DT77" s="2657"/>
      <c r="DU77" s="2657"/>
      <c r="DV77" s="2657"/>
      <c r="DW77" s="2657"/>
      <c r="DX77" s="2657"/>
      <c r="DY77" s="2657"/>
      <c r="DZ77" s="2657"/>
      <c r="EA77" s="2657"/>
      <c r="EB77" s="2657"/>
      <c r="EC77" s="2657"/>
      <c r="ED77" s="2657"/>
      <c r="EE77" s="2657"/>
      <c r="EF77" s="2657"/>
      <c r="EG77" s="2657"/>
      <c r="EH77" s="2657"/>
      <c r="EI77" s="2657"/>
      <c r="EJ77" s="2657"/>
      <c r="EK77" s="2657"/>
      <c r="EL77" s="2657"/>
      <c r="EM77" s="2657"/>
      <c r="EN77" s="2657"/>
      <c r="EO77" s="2657"/>
      <c r="EP77" s="2657"/>
      <c r="EQ77" s="2657"/>
      <c r="ER77" s="2657"/>
      <c r="ES77" s="2657"/>
      <c r="ET77" s="2657"/>
      <c r="EU77" s="2657"/>
      <c r="EV77" s="2657"/>
      <c r="EW77" s="2657"/>
      <c r="EX77" s="2657"/>
      <c r="EY77" s="2657"/>
      <c r="EZ77" s="2657"/>
      <c r="FA77" s="2657"/>
      <c r="FB77" s="2657"/>
      <c r="FC77" s="2657"/>
      <c r="FD77" s="2657"/>
      <c r="FE77" s="2657"/>
    </row>
    <row r="78" spans="1:161" outlineLevel="2">
      <c r="B78" t="s">
        <v>346</v>
      </c>
      <c r="C78" t="s">
        <v>347</v>
      </c>
      <c r="D78" t="str">
        <f t="shared" si="13"/>
      </c>
      <c r="F78" s="2657"/>
      <c r="G78" s="2657"/>
      <c r="H78" s="2657"/>
      <c r="I78" s="2657"/>
      <c r="J78" s="2657"/>
      <c r="K78" s="2657"/>
      <c r="L78" s="2657"/>
      <c r="M78" s="2657"/>
      <c r="N78" s="2657"/>
      <c r="O78" s="2657"/>
      <c r="P78" s="2657"/>
      <c r="Q78" s="2657"/>
      <c r="R78" s="2657"/>
      <c r="S78" s="2657"/>
      <c r="T78" s="2657"/>
      <c r="U78" s="2657"/>
      <c r="V78" s="2657"/>
      <c r="W78" s="2657"/>
      <c r="X78" s="2657"/>
      <c r="Y78" s="2657"/>
      <c r="Z78" s="2657"/>
      <c r="AA78" s="2657"/>
      <c r="AB78" s="2657"/>
      <c r="AC78" s="2657"/>
      <c r="AD78" s="2657"/>
      <c r="AE78" s="2657"/>
      <c r="AF78" s="2657"/>
      <c r="AG78" s="2657"/>
      <c r="AH78" s="2657"/>
      <c r="AI78" s="2657"/>
      <c r="AJ78" s="2657"/>
      <c r="AK78" s="2657"/>
      <c r="AL78" s="2657"/>
      <c r="AM78" s="2657"/>
      <c r="AN78" s="2657"/>
      <c r="AO78" s="2657"/>
      <c r="AP78" s="2657"/>
      <c r="AQ78" s="2657"/>
      <c r="AR78" s="2657"/>
      <c r="AS78" s="2657"/>
      <c r="AT78" s="2657"/>
      <c r="AU78" s="2657"/>
      <c r="AV78" s="2657"/>
      <c r="AW78" s="2657"/>
      <c r="AX78" s="2657"/>
      <c r="AY78" s="2657"/>
      <c r="AZ78" s="2657"/>
      <c r="BA78" s="2657"/>
      <c r="BB78" s="2657"/>
      <c r="BC78" s="2657"/>
      <c r="BD78" s="2657"/>
      <c r="BE78" s="2657"/>
      <c r="BF78" s="2657"/>
      <c r="BG78" s="2657"/>
      <c r="BH78" s="2657"/>
      <c r="BI78" s="2657"/>
      <c r="BJ78" s="2657"/>
      <c r="BK78" s="2657"/>
      <c r="BL78" s="2657"/>
      <c r="BM78" s="2657"/>
      <c r="BN78" s="2657"/>
      <c r="BO78" s="2657"/>
      <c r="BP78" s="2657"/>
      <c r="BQ78" s="2657"/>
      <c r="BR78" s="2657"/>
      <c r="BS78" s="2657"/>
      <c r="BT78" s="2657"/>
      <c r="BU78" s="2657"/>
      <c r="BV78" s="2657"/>
      <c r="BW78" s="2657"/>
      <c r="BX78" s="2657"/>
      <c r="BY78" s="2657"/>
      <c r="BZ78" s="2657"/>
      <c r="CA78" s="2657"/>
      <c r="CB78" s="2657"/>
      <c r="CC78" s="2657"/>
      <c r="CD78" s="2657"/>
      <c r="CE78" s="2657"/>
      <c r="CF78" s="2657"/>
      <c r="CG78" s="2657"/>
      <c r="CH78" s="2657"/>
      <c r="CI78" s="2657"/>
      <c r="CJ78" s="2657"/>
      <c r="CK78" s="2657"/>
      <c r="CL78" s="2657"/>
      <c r="CM78" s="2657"/>
      <c r="CN78" s="2657"/>
      <c r="CO78" s="2657"/>
      <c r="CP78" s="2657"/>
      <c r="CQ78" s="2657"/>
      <c r="CR78" s="2657"/>
      <c r="CS78" s="2657"/>
      <c r="CT78" s="2657"/>
      <c r="CU78" s="2657"/>
      <c r="CV78" s="2657"/>
      <c r="CW78" s="2657"/>
      <c r="CX78" s="2657"/>
      <c r="CY78" s="2657"/>
      <c r="CZ78" s="2657"/>
      <c r="DA78" s="2657"/>
      <c r="DB78" s="2657"/>
      <c r="DC78" s="2657"/>
      <c r="DD78" s="2657"/>
      <c r="DE78" s="2657"/>
      <c r="DF78" s="2657"/>
      <c r="DG78" s="2657"/>
      <c r="DH78" s="2657"/>
      <c r="DI78" s="2657"/>
      <c r="DJ78" s="2657"/>
      <c r="DK78" s="2657"/>
      <c r="DL78" s="2657"/>
      <c r="DM78" s="2657"/>
      <c r="DN78" s="2657"/>
      <c r="DO78" s="2657"/>
      <c r="DP78" s="2657"/>
      <c r="DQ78" s="2657"/>
      <c r="DR78" s="2657"/>
      <c r="DS78" s="2657"/>
      <c r="DT78" s="2657"/>
      <c r="DU78" s="2657"/>
      <c r="DV78" s="2657"/>
      <c r="DW78" s="2657"/>
      <c r="DX78" s="2657"/>
      <c r="DY78" s="2657"/>
      <c r="DZ78" s="2657"/>
      <c r="EA78" s="2657"/>
      <c r="EB78" s="2657"/>
      <c r="EC78" s="2657"/>
      <c r="ED78" s="2657"/>
      <c r="EE78" s="2657"/>
      <c r="EF78" s="2657"/>
      <c r="EG78" s="2657"/>
      <c r="EH78" s="2657"/>
      <c r="EI78" s="2657"/>
      <c r="EJ78" s="2657"/>
      <c r="EK78" s="2657"/>
      <c r="EL78" s="2657"/>
      <c r="EM78" s="2657"/>
      <c r="EN78" s="2657"/>
      <c r="EO78" s="2657"/>
      <c r="EP78" s="2657"/>
      <c r="EQ78" s="2657"/>
      <c r="ER78" s="2657"/>
      <c r="ES78" s="2657"/>
      <c r="ET78" s="2657"/>
      <c r="EU78" s="2657"/>
      <c r="EV78" s="2657"/>
      <c r="EW78" s="2657"/>
      <c r="EX78" s="2657"/>
      <c r="EY78" s="2657"/>
      <c r="EZ78" s="2657"/>
      <c r="FA78" s="2657"/>
      <c r="FB78" s="2657"/>
      <c r="FC78" s="2657"/>
      <c r="FD78" s="2657"/>
      <c r="FE78" s="2657"/>
    </row>
    <row r="79" spans="1:161" outlineLevel="2">
      <c r="B79" t="s">
        <v>348</v>
      </c>
      <c r="C79" t="s">
        <v>349</v>
      </c>
      <c r="D79" t="str">
        <f t="shared" si="13"/>
      </c>
      <c r="F79" s="2657"/>
      <c r="G79" s="2657"/>
      <c r="H79" s="2657"/>
      <c r="I79" s="2657"/>
      <c r="J79" s="2657"/>
      <c r="K79" s="2657"/>
      <c r="L79" s="2657"/>
      <c r="M79" s="2657"/>
      <c r="N79" s="2657"/>
      <c r="O79" s="2657"/>
      <c r="P79" s="2657"/>
      <c r="Q79" s="2657"/>
      <c r="R79" s="2657"/>
      <c r="S79" s="2657"/>
      <c r="T79" s="2657"/>
      <c r="U79" s="2657"/>
      <c r="V79" s="2657"/>
      <c r="W79" s="2657"/>
      <c r="X79" s="2657"/>
      <c r="Y79" s="2657"/>
      <c r="Z79" s="2657"/>
      <c r="AA79" s="2657"/>
      <c r="AB79" s="2657"/>
      <c r="AC79" s="2657"/>
      <c r="AD79" s="2657"/>
      <c r="AE79" s="2657"/>
      <c r="AF79" s="2657"/>
      <c r="AG79" s="2657"/>
      <c r="AH79" s="2657"/>
      <c r="AI79" s="2657"/>
      <c r="AJ79" s="2657"/>
      <c r="AK79" s="2657"/>
      <c r="AL79" s="2657"/>
      <c r="AM79" s="2657"/>
      <c r="AN79" s="2657"/>
      <c r="AO79" s="2657"/>
      <c r="AP79" s="2657"/>
      <c r="AQ79" s="2657"/>
      <c r="AR79" s="2657"/>
      <c r="AS79" s="2657"/>
      <c r="AT79" s="2657"/>
      <c r="AU79" s="2657"/>
      <c r="AV79" s="2657"/>
      <c r="AW79" s="2657"/>
      <c r="AX79" s="2657"/>
      <c r="AY79" s="2657"/>
      <c r="AZ79" s="2657"/>
      <c r="BA79" s="2657"/>
      <c r="BB79" s="2657"/>
      <c r="BC79" s="2657"/>
      <c r="BD79" s="2657"/>
      <c r="BE79" s="2657"/>
      <c r="BF79" s="2657"/>
      <c r="BG79" s="2657"/>
      <c r="BH79" s="2657"/>
      <c r="BI79" s="2657"/>
      <c r="BJ79" s="2657"/>
      <c r="BK79" s="2657"/>
      <c r="BL79" s="2657"/>
      <c r="BM79" s="2657"/>
      <c r="BN79" s="2657"/>
      <c r="BO79" s="2657"/>
      <c r="BP79" s="2657"/>
      <c r="BQ79" s="2657"/>
      <c r="BR79" s="2657"/>
      <c r="BS79" s="2657"/>
      <c r="BT79" s="2657"/>
      <c r="BU79" s="2657"/>
      <c r="BV79" s="2657"/>
      <c r="BW79" s="2657"/>
      <c r="BX79" s="2657"/>
      <c r="BY79" s="2657"/>
      <c r="BZ79" s="2657"/>
      <c r="CA79" s="2657"/>
      <c r="CB79" s="2657"/>
      <c r="CC79" s="2657"/>
      <c r="CD79" s="2657"/>
      <c r="CE79" s="2657"/>
      <c r="CF79" s="2657"/>
      <c r="CG79" s="2657"/>
      <c r="CH79" s="2657"/>
      <c r="CI79" s="2657"/>
      <c r="CJ79" s="2657"/>
      <c r="CK79" s="2657"/>
      <c r="CL79" s="2657"/>
      <c r="CM79" s="2657"/>
      <c r="CN79" s="2657"/>
      <c r="CO79" s="2657"/>
      <c r="CP79" s="2657"/>
      <c r="CQ79" s="2657"/>
      <c r="CR79" s="2657"/>
      <c r="CS79" s="2657"/>
      <c r="CT79" s="2657"/>
      <c r="CU79" s="2657"/>
      <c r="CV79" s="2657"/>
      <c r="CW79" s="2657"/>
      <c r="CX79" s="2657"/>
      <c r="CY79" s="2657"/>
      <c r="CZ79" s="2657"/>
      <c r="DA79" s="2657"/>
      <c r="DB79" s="2657"/>
      <c r="DC79" s="2657"/>
      <c r="DD79" s="2657"/>
      <c r="DE79" s="2657"/>
      <c r="DF79" s="2657"/>
      <c r="DG79" s="2657"/>
      <c r="DH79" s="2657"/>
      <c r="DI79" s="2657"/>
      <c r="DJ79" s="2657"/>
      <c r="DK79" s="2657"/>
      <c r="DL79" s="2657"/>
      <c r="DM79" s="2657"/>
      <c r="DN79" s="2657"/>
      <c r="DO79" s="2657"/>
      <c r="DP79" s="2657"/>
      <c r="DQ79" s="2657"/>
      <c r="DR79" s="2657"/>
      <c r="DS79" s="2657"/>
      <c r="DT79" s="2657"/>
      <c r="DU79" s="2657"/>
      <c r="DV79" s="2657"/>
      <c r="DW79" s="2657"/>
      <c r="DX79" s="2657"/>
      <c r="DY79" s="2657"/>
      <c r="DZ79" s="2657"/>
      <c r="EA79" s="2657"/>
      <c r="EB79" s="2657"/>
      <c r="EC79" s="2657"/>
      <c r="ED79" s="2657"/>
      <c r="EE79" s="2657"/>
      <c r="EF79" s="2657"/>
      <c r="EG79" s="2657"/>
      <c r="EH79" s="2657"/>
      <c r="EI79" s="2657"/>
      <c r="EJ79" s="2657"/>
      <c r="EK79" s="2657"/>
      <c r="EL79" s="2657"/>
      <c r="EM79" s="2657"/>
      <c r="EN79" s="2657"/>
      <c r="EO79" s="2657"/>
      <c r="EP79" s="2657"/>
      <c r="EQ79" s="2657"/>
      <c r="ER79" s="2657"/>
      <c r="ES79" s="2657"/>
      <c r="ET79" s="2657"/>
      <c r="EU79" s="2657"/>
      <c r="EV79" s="2657"/>
      <c r="EW79" s="2657"/>
      <c r="EX79" s="2657"/>
      <c r="EY79" s="2657"/>
      <c r="EZ79" s="2657"/>
      <c r="FA79" s="2657"/>
      <c r="FB79" s="2657"/>
      <c r="FC79" s="2657"/>
      <c r="FD79" s="2657"/>
      <c r="FE79" s="2657"/>
    </row>
    <row r="80" spans="1:161" outlineLevel="2">
      <c r="B80" t="s">
        <v>350</v>
      </c>
      <c r="C80" t="s">
        <v>351</v>
      </c>
      <c r="D80" t="str">
        <f t="shared" si="13"/>
      </c>
      <c r="F80" s="2657"/>
      <c r="G80" s="2657"/>
      <c r="H80" s="2657"/>
      <c r="I80" s="2657"/>
      <c r="J80" s="2657"/>
      <c r="K80" s="2657"/>
      <c r="L80" s="2657"/>
      <c r="M80" s="2657"/>
      <c r="N80" s="2657"/>
      <c r="O80" s="2657"/>
      <c r="P80" s="2657"/>
      <c r="Q80" s="2657"/>
      <c r="R80" s="2657"/>
      <c r="S80" s="2657"/>
      <c r="T80" s="2657"/>
      <c r="U80" s="2657"/>
      <c r="V80" s="2657"/>
      <c r="W80" s="2657"/>
      <c r="X80" s="2657"/>
      <c r="Y80" s="2657"/>
      <c r="Z80" s="2657"/>
      <c r="AA80" s="2657"/>
      <c r="AB80" s="2657"/>
      <c r="AC80" s="2657"/>
      <c r="AD80" s="2657"/>
      <c r="AE80" s="2657"/>
      <c r="AF80" s="2657"/>
      <c r="AG80" s="2657"/>
      <c r="AH80" s="2657"/>
      <c r="AI80" s="2657"/>
      <c r="AJ80" s="2657"/>
      <c r="AK80" s="2657"/>
      <c r="AL80" s="2657"/>
      <c r="AM80" s="2657"/>
      <c r="AN80" s="2657"/>
      <c r="AO80" s="2657"/>
      <c r="AP80" s="2657"/>
      <c r="AQ80" s="2657"/>
      <c r="AR80" s="2657"/>
      <c r="AS80" s="2657"/>
      <c r="AT80" s="2657"/>
      <c r="AU80" s="2657"/>
      <c r="AV80" s="2657"/>
      <c r="AW80" s="2657"/>
      <c r="AX80" s="2657"/>
      <c r="AY80" s="2657"/>
      <c r="AZ80" s="2657"/>
      <c r="BA80" s="2657"/>
      <c r="BB80" s="2657"/>
      <c r="BC80" s="2657"/>
      <c r="BD80" s="2657"/>
      <c r="BE80" s="2657"/>
      <c r="BF80" s="2657"/>
      <c r="BG80" s="2657"/>
      <c r="BH80" s="2657"/>
      <c r="BI80" s="2657"/>
      <c r="BJ80" s="2657"/>
      <c r="BK80" s="2657"/>
      <c r="BL80" s="2657"/>
      <c r="BM80" s="2657"/>
      <c r="BN80" s="2657"/>
      <c r="BO80" s="2657"/>
      <c r="BP80" s="2657"/>
      <c r="BQ80" s="2657"/>
      <c r="BR80" s="2657"/>
      <c r="BS80" s="2657"/>
      <c r="BT80" s="2657"/>
      <c r="BU80" s="2657"/>
      <c r="BV80" s="2657"/>
      <c r="BW80" s="2657"/>
      <c r="BX80" s="2657"/>
      <c r="BY80" s="2657"/>
      <c r="BZ80" s="2657"/>
      <c r="CA80" s="2657"/>
      <c r="CB80" s="2657"/>
      <c r="CC80" s="2657"/>
      <c r="CD80" s="2657"/>
      <c r="CE80" s="2657"/>
      <c r="CF80" s="2657"/>
      <c r="CG80" s="2657"/>
      <c r="CH80" s="2657"/>
      <c r="CI80" s="2657"/>
      <c r="CJ80" s="2657"/>
      <c r="CK80" s="2657"/>
      <c r="CL80" s="2657"/>
      <c r="CM80" s="2657"/>
      <c r="CN80" s="2657"/>
      <c r="CO80" s="2657"/>
      <c r="CP80" s="2657"/>
      <c r="CQ80" s="2657"/>
      <c r="CR80" s="2657"/>
      <c r="CS80" s="2657"/>
      <c r="CT80" s="2657"/>
      <c r="CU80" s="2657"/>
      <c r="CV80" s="2657"/>
      <c r="CW80" s="2657"/>
      <c r="CX80" s="2657"/>
      <c r="CY80" s="2657"/>
      <c r="CZ80" s="2657"/>
      <c r="DA80" s="2657"/>
      <c r="DB80" s="2657"/>
      <c r="DC80" s="2657"/>
      <c r="DD80" s="2657"/>
      <c r="DE80" s="2657"/>
      <c r="DF80" s="2657"/>
      <c r="DG80" s="2657"/>
      <c r="DH80" s="2657"/>
      <c r="DI80" s="2657"/>
      <c r="DJ80" s="2657"/>
      <c r="DK80" s="2657"/>
      <c r="DL80" s="2657"/>
      <c r="DM80" s="2657"/>
      <c r="DN80" s="2657"/>
      <c r="DO80" s="2657"/>
      <c r="DP80" s="2657"/>
      <c r="DQ80" s="2657"/>
      <c r="DR80" s="2657"/>
      <c r="DS80" s="2657"/>
      <c r="DT80" s="2657"/>
      <c r="DU80" s="2657"/>
      <c r="DV80" s="2657"/>
      <c r="DW80" s="2657"/>
      <c r="DX80" s="2657"/>
      <c r="DY80" s="2657"/>
      <c r="DZ80" s="2657"/>
      <c r="EA80" s="2657"/>
      <c r="EB80" s="2657"/>
      <c r="EC80" s="2657"/>
      <c r="ED80" s="2657"/>
      <c r="EE80" s="2657"/>
      <c r="EF80" s="2657"/>
      <c r="EG80" s="2657"/>
      <c r="EH80" s="2657"/>
      <c r="EI80" s="2657"/>
      <c r="EJ80" s="2657"/>
      <c r="EK80" s="2657"/>
      <c r="EL80" s="2657"/>
      <c r="EM80" s="2657"/>
      <c r="EN80" s="2657"/>
      <c r="EO80" s="2657"/>
      <c r="EP80" s="2657"/>
      <c r="EQ80" s="2657"/>
      <c r="ER80" s="2657"/>
      <c r="ES80" s="2657"/>
      <c r="ET80" s="2657"/>
      <c r="EU80" s="2657"/>
      <c r="EV80" s="2657"/>
      <c r="EW80" s="2657"/>
      <c r="EX80" s="2657"/>
      <c r="EY80" s="2657"/>
      <c r="EZ80" s="2657"/>
      <c r="FA80" s="2657"/>
      <c r="FB80" s="2657"/>
      <c r="FC80" s="2657"/>
      <c r="FD80" s="2657"/>
      <c r="FE80" s="2657"/>
    </row>
    <row r="81" spans="1:161" outlineLevel="2">
      <c r="B81" t="s">
        <v>352</v>
      </c>
      <c r="C81" t="s">
        <v>353</v>
      </c>
      <c r="D81" t="str">
        <f t="shared" si="13"/>
      </c>
      <c r="F81" s="2657">
        <f>-'Balance Sheet'!ER12-'Balance Sheet'!ER20</f>
      </c>
      <c r="G81" s="2657">
        <f>-'Balance Sheet'!ES12-'Balance Sheet'!ES20</f>
      </c>
      <c r="H81" s="2657">
        <f>-'Balance Sheet'!ET12-'Balance Sheet'!ET20</f>
      </c>
      <c r="I81" s="2657">
        <f>-'Balance Sheet'!EU12-'Balance Sheet'!EU20</f>
      </c>
      <c r="J81" s="2657">
        <f>-'Balance Sheet'!EV12-'Balance Sheet'!EV20</f>
      </c>
      <c r="K81" s="2657">
        <f>-'Balance Sheet'!EW12-'Balance Sheet'!EW20</f>
      </c>
      <c r="L81" s="2657">
        <f>-'Balance Sheet'!EX12-'Balance Sheet'!EX20</f>
      </c>
      <c r="M81" s="2657">
        <f>-'Balance Sheet'!EY12-'Balance Sheet'!EY20</f>
      </c>
      <c r="N81" s="2657">
        <f>-'Balance Sheet'!EZ12-'Balance Sheet'!EZ20</f>
      </c>
      <c r="O81" s="2657">
        <f>-'Balance Sheet'!FA12-'Balance Sheet'!FA20</f>
      </c>
      <c r="P81" s="2657">
        <f>-'Balance Sheet'!FB12-'Balance Sheet'!FB20</f>
      </c>
      <c r="Q81" s="2657">
        <f>-'Balance Sheet'!FC12-'Balance Sheet'!FC20</f>
      </c>
      <c r="R81" s="2657">
        <f>-'Balance Sheet'!FD12-'Balance Sheet'!FD20</f>
      </c>
      <c r="S81" s="2657">
        <f>-'Balance Sheet'!FE12-'Balance Sheet'!FE20</f>
      </c>
      <c r="T81" s="2657">
        <f>-'Balance Sheet'!FF12-'Balance Sheet'!FF20</f>
      </c>
      <c r="U81" s="2657">
        <f>-'Balance Sheet'!FG12-'Balance Sheet'!FG20</f>
      </c>
      <c r="V81" s="2657">
        <f>-'Balance Sheet'!FH12-'Balance Sheet'!FH20</f>
      </c>
      <c r="W81" s="2657">
        <f>-'Balance Sheet'!FI12-'Balance Sheet'!FI20</f>
      </c>
      <c r="X81" s="2657">
        <f>-'Balance Sheet'!FJ12-'Balance Sheet'!FJ20</f>
      </c>
      <c r="Y81" s="2657">
        <f>-'Balance Sheet'!FK12-'Balance Sheet'!FK20</f>
      </c>
      <c r="Z81" s="2657">
        <f>-'Balance Sheet'!FL12-'Balance Sheet'!FL20</f>
      </c>
      <c r="AA81" s="2657">
        <f>-'Balance Sheet'!FM12-'Balance Sheet'!FM20</f>
      </c>
      <c r="AB81" s="2657">
        <f>-'Balance Sheet'!FN12-'Balance Sheet'!FN20</f>
      </c>
      <c r="AC81" s="2657">
        <f>-'Balance Sheet'!FO12-'Balance Sheet'!FO20</f>
      </c>
      <c r="AD81" s="2657">
        <f>-'Balance Sheet'!FP12-'Balance Sheet'!FP20</f>
      </c>
      <c r="AE81" s="2657">
        <f>-'Balance Sheet'!FQ12-'Balance Sheet'!FQ20</f>
      </c>
      <c r="AF81" s="2657">
        <f>-'Balance Sheet'!FR12-'Balance Sheet'!FR20</f>
      </c>
      <c r="AG81" s="2657">
        <f>-'Balance Sheet'!FS12-'Balance Sheet'!FS20</f>
      </c>
      <c r="AH81" s="2657">
        <f>-'Balance Sheet'!FT12-'Balance Sheet'!FT20</f>
      </c>
      <c r="AI81" s="2657">
        <f>-'Balance Sheet'!FU12-'Balance Sheet'!FU20</f>
      </c>
      <c r="AJ81" s="2657">
        <f>-'Balance Sheet'!FV12-'Balance Sheet'!FV20</f>
      </c>
      <c r="AK81" s="2657" t="s">
        <v>1659</v>
      </c>
      <c r="AL81" s="2657">
        <f>-'Balance Sheet'!R12-'Balance Sheet'!R20</f>
      </c>
      <c r="AM81" s="2657">
        <f>-'Balance Sheet'!S12-'Balance Sheet'!S20</f>
      </c>
      <c r="AN81" s="2657">
        <f>-'Balance Sheet'!T12-'Balance Sheet'!T20</f>
      </c>
      <c r="AO81" s="2657">
        <f>-'Balance Sheet'!U12-'Balance Sheet'!U20</f>
      </c>
      <c r="AP81" s="2657">
        <f>-'Balance Sheet'!V12-'Balance Sheet'!V20</f>
      </c>
      <c r="AQ81" s="2657">
        <f>-'Balance Sheet'!W12-'Balance Sheet'!W20</f>
      </c>
      <c r="AR81" s="2657">
        <f>-'Balance Sheet'!X12-'Balance Sheet'!X20</f>
      </c>
      <c r="AS81" s="2657">
        <f>-'Balance Sheet'!Y12-'Balance Sheet'!Y20</f>
      </c>
      <c r="AT81" s="2657">
        <f>-'Balance Sheet'!Z12-'Balance Sheet'!Z20</f>
      </c>
      <c r="AU81" s="2657">
        <f>-'Balance Sheet'!AA12-'Balance Sheet'!AA20</f>
      </c>
      <c r="AV81" s="2657">
        <f>-'Balance Sheet'!AB12-'Balance Sheet'!AB20</f>
      </c>
      <c r="AW81" s="2657">
        <f>-'Balance Sheet'!AC12-'Balance Sheet'!AC20</f>
      </c>
      <c r="AX81" s="2657">
        <f>-'Balance Sheet'!AD12-'Balance Sheet'!AD20</f>
      </c>
      <c r="AY81" s="2657">
        <f>-'Balance Sheet'!AE12-'Balance Sheet'!AE20</f>
      </c>
      <c r="AZ81" s="2657">
        <f>-'Balance Sheet'!AF12-'Balance Sheet'!AF20</f>
      </c>
      <c r="BA81" s="2657">
        <f>-'Balance Sheet'!AG12-'Balance Sheet'!AG20</f>
      </c>
      <c r="BB81" s="2657">
        <f>-'Balance Sheet'!AH12-'Balance Sheet'!AH20</f>
      </c>
      <c r="BC81" s="2657">
        <f>-'Balance Sheet'!AI12-'Balance Sheet'!AI20</f>
      </c>
      <c r="BD81" s="2657">
        <f>-'Balance Sheet'!AJ12-'Balance Sheet'!AJ20</f>
      </c>
      <c r="BE81" s="2657">
        <f>-'Balance Sheet'!AK12-'Balance Sheet'!AK20</f>
      </c>
      <c r="BF81" s="2657">
        <f>-'Balance Sheet'!AL12-'Balance Sheet'!AL20</f>
      </c>
      <c r="BG81" s="2657">
        <f>-'Balance Sheet'!AM12-'Balance Sheet'!AM20</f>
      </c>
      <c r="BH81" s="2657">
        <f>-'Balance Sheet'!AN12-'Balance Sheet'!AN20</f>
      </c>
      <c r="BI81" s="2657">
        <f>-'Balance Sheet'!AO12-'Balance Sheet'!AO20</f>
      </c>
      <c r="BJ81" s="2657">
        <f>-'Balance Sheet'!AP12-'Balance Sheet'!AP20</f>
      </c>
      <c r="BK81" s="2657">
        <f>-'Balance Sheet'!AQ12-'Balance Sheet'!AQ20</f>
      </c>
      <c r="BL81" s="2657">
        <f>-'Balance Sheet'!AR12-'Balance Sheet'!AR20</f>
      </c>
      <c r="BM81" s="2657">
        <f>-'Balance Sheet'!AS12-'Balance Sheet'!AS20</f>
      </c>
      <c r="BN81" s="2657">
        <f>-'Balance Sheet'!AT12-'Balance Sheet'!AT20</f>
      </c>
      <c r="BO81" s="2657">
        <f>-'Balance Sheet'!AU12-'Balance Sheet'!AU20</f>
      </c>
      <c r="BP81" s="2657">
        <f>-'Balance Sheet'!AV12-'Balance Sheet'!AV20</f>
      </c>
      <c r="BQ81" s="2657">
        <f>-'Balance Sheet'!AW12-'Balance Sheet'!AW20</f>
      </c>
      <c r="BR81" s="2657">
        <f>-'Balance Sheet'!AX12-'Balance Sheet'!AX20</f>
      </c>
      <c r="BS81" s="2657">
        <f>-'Balance Sheet'!AY12-'Balance Sheet'!AY20</f>
      </c>
      <c r="BT81" s="2657">
        <f>-'Balance Sheet'!AZ12-'Balance Sheet'!AZ20</f>
      </c>
      <c r="BU81" s="2657">
        <f>-'Balance Sheet'!BA12-'Balance Sheet'!BA20</f>
      </c>
      <c r="BV81" s="2657">
        <f>-'Balance Sheet'!BB12-'Balance Sheet'!BB20</f>
      </c>
      <c r="BW81" s="2657">
        <f>-'Balance Sheet'!BC12-'Balance Sheet'!BC20</f>
      </c>
      <c r="BX81" s="2657">
        <f>-'Balance Sheet'!BD12-'Balance Sheet'!BD20</f>
      </c>
      <c r="BY81" s="2657">
        <f>-'Balance Sheet'!BE12-'Balance Sheet'!BE20</f>
      </c>
      <c r="BZ81" s="2657">
        <f>-'Balance Sheet'!BF12-'Balance Sheet'!BF20</f>
      </c>
      <c r="CA81" s="2657">
        <f>-'Balance Sheet'!BG12-'Balance Sheet'!BG20</f>
      </c>
      <c r="CB81" s="2657">
        <f>-'Balance Sheet'!BH12-'Balance Sheet'!BH20</f>
      </c>
      <c r="CC81" s="2657">
        <f>-'Balance Sheet'!BI12-'Balance Sheet'!BI20</f>
      </c>
      <c r="CD81" s="2657">
        <f>-'Balance Sheet'!BJ12-'Balance Sheet'!BJ20</f>
      </c>
      <c r="CE81" s="2657">
        <f>-'Balance Sheet'!BK12-'Balance Sheet'!BK20</f>
      </c>
      <c r="CF81" s="2657">
        <f>-'Balance Sheet'!BL12-'Balance Sheet'!BL20</f>
      </c>
      <c r="CG81" s="2657">
        <f>-'Balance Sheet'!BM12-'Balance Sheet'!BM20</f>
      </c>
      <c r="CH81" s="2657">
        <f>-'Balance Sheet'!BN12-'Balance Sheet'!BN20</f>
      </c>
      <c r="CI81" s="2657">
        <f>-'Balance Sheet'!BO12-'Balance Sheet'!BO20</f>
      </c>
      <c r="CJ81" s="2657">
        <f>-'Balance Sheet'!BP12-'Balance Sheet'!BP20</f>
      </c>
      <c r="CK81" s="2657">
        <f>-'Balance Sheet'!BQ12-'Balance Sheet'!BQ20</f>
      </c>
      <c r="CL81" s="2657">
        <f>-'Balance Sheet'!BR12-'Balance Sheet'!BR20</f>
      </c>
      <c r="CM81" s="2657">
        <f>-'Balance Sheet'!BS12-'Balance Sheet'!BS20</f>
      </c>
      <c r="CN81" s="2657">
        <f>-'Balance Sheet'!BT12-'Balance Sheet'!BT20</f>
      </c>
      <c r="CO81" s="2657">
        <f>-'Balance Sheet'!BU12-'Balance Sheet'!BU20</f>
      </c>
      <c r="CP81" s="2657">
        <f>-'Balance Sheet'!BV12-'Balance Sheet'!BV20</f>
      </c>
      <c r="CQ81" s="2657">
        <f>-'Balance Sheet'!BW12-'Balance Sheet'!BW20</f>
      </c>
      <c r="CR81" s="2657">
        <f>-'Balance Sheet'!BX12-'Balance Sheet'!BX20</f>
      </c>
      <c r="CS81" s="2657">
        <f>-'Balance Sheet'!BY12-'Balance Sheet'!BY20</f>
      </c>
      <c r="CT81" s="2657">
        <f>-'Balance Sheet'!BZ12-'Balance Sheet'!BZ20</f>
      </c>
      <c r="CU81" s="2657">
        <f>-'Balance Sheet'!CA12-'Balance Sheet'!CA20</f>
      </c>
      <c r="CV81" s="2657">
        <f>-'Balance Sheet'!CB12-'Balance Sheet'!CB20</f>
      </c>
      <c r="CW81" s="2657">
        <f>-'Balance Sheet'!CC12-'Balance Sheet'!CC20</f>
      </c>
      <c r="CX81" s="2657">
        <f>-'Balance Sheet'!CD12-'Balance Sheet'!CD20</f>
      </c>
      <c r="CY81" s="2657">
        <f>-'Balance Sheet'!CE12-'Balance Sheet'!CE20</f>
      </c>
      <c r="CZ81" s="2657">
        <f>-'Balance Sheet'!CF12-'Balance Sheet'!CF20</f>
      </c>
      <c r="DA81" s="2657">
        <f>-'Balance Sheet'!CG12-'Balance Sheet'!CG20</f>
      </c>
      <c r="DB81" s="2657">
        <f>-'Balance Sheet'!CH12-'Balance Sheet'!CH20</f>
      </c>
      <c r="DC81" s="2657">
        <f>-'Balance Sheet'!CI12-'Balance Sheet'!CI20</f>
      </c>
      <c r="DD81" s="2657">
        <f>-'Balance Sheet'!CJ12-'Balance Sheet'!CJ20</f>
      </c>
      <c r="DE81" s="2657">
        <f>-'Balance Sheet'!CK12-'Balance Sheet'!CK20</f>
      </c>
      <c r="DF81" s="2657">
        <f>-'Balance Sheet'!CL12-'Balance Sheet'!CL20</f>
      </c>
      <c r="DG81" s="2657">
        <f>-'Balance Sheet'!CM12-'Balance Sheet'!CM20</f>
      </c>
      <c r="DH81" s="2657">
        <f>-'Balance Sheet'!CN12-'Balance Sheet'!CN20</f>
      </c>
      <c r="DI81" s="2657">
        <f>-'Balance Sheet'!CO12-'Balance Sheet'!CO20</f>
      </c>
      <c r="DJ81" s="2657">
        <f>-'Balance Sheet'!CP12-'Balance Sheet'!CP20</f>
      </c>
      <c r="DK81" s="2657">
        <f>-'Balance Sheet'!CQ12-'Balance Sheet'!CQ20</f>
      </c>
      <c r="DL81" s="2657">
        <f>-'Balance Sheet'!CR12-'Balance Sheet'!CR20</f>
      </c>
      <c r="DM81" s="2657">
        <f>-'Balance Sheet'!CS12-'Balance Sheet'!CS20</f>
      </c>
      <c r="DN81" s="2657">
        <f>-'Balance Sheet'!CT12-'Balance Sheet'!CT20</f>
      </c>
      <c r="DO81" s="2657">
        <f>-'Balance Sheet'!CU12-'Balance Sheet'!CU20</f>
      </c>
      <c r="DP81" s="2657">
        <f>-'Balance Sheet'!CV12-'Balance Sheet'!CV20</f>
      </c>
      <c r="DQ81" s="2657">
        <f>-'Balance Sheet'!CW12-'Balance Sheet'!CW20</f>
      </c>
      <c r="DR81" s="2657">
        <f>-'Balance Sheet'!CX12-'Balance Sheet'!CX20</f>
      </c>
      <c r="DS81" s="2657">
        <f>-'Balance Sheet'!CY12-'Balance Sheet'!CY20</f>
      </c>
      <c r="DT81" s="2657">
        <f>-'Balance Sheet'!CZ12-'Balance Sheet'!CZ20</f>
      </c>
      <c r="DU81" s="2657">
        <f>-'Balance Sheet'!DA12-'Balance Sheet'!DA20</f>
      </c>
      <c r="DV81" s="2657">
        <f>-'Balance Sheet'!DB12-'Balance Sheet'!DB20</f>
      </c>
      <c r="DW81" s="2657">
        <f>-'Balance Sheet'!DC12-'Balance Sheet'!DC20</f>
      </c>
      <c r="DX81" s="2657">
        <f>-'Balance Sheet'!DD12-'Balance Sheet'!DD20</f>
      </c>
      <c r="DY81" s="2657">
        <f>-'Balance Sheet'!DE12-'Balance Sheet'!DE20</f>
      </c>
      <c r="DZ81" s="2657">
        <f>-'Balance Sheet'!DF12-'Balance Sheet'!DF20</f>
      </c>
      <c r="EA81" s="2657">
        <f>-'Balance Sheet'!DG12-'Balance Sheet'!DG20</f>
      </c>
      <c r="EB81" s="2657">
        <f>-'Balance Sheet'!DH12-'Balance Sheet'!DH20</f>
      </c>
      <c r="EC81" s="2657">
        <f>-'Balance Sheet'!DI12-'Balance Sheet'!DI20</f>
      </c>
      <c r="ED81" s="2657">
        <f>-'Balance Sheet'!DJ12-'Balance Sheet'!DJ20</f>
      </c>
      <c r="EE81" s="2657">
        <f>-'Balance Sheet'!DK12-'Balance Sheet'!DK20</f>
      </c>
      <c r="EF81" s="2657">
        <f>-'Balance Sheet'!DL12-'Balance Sheet'!DL20</f>
      </c>
      <c r="EG81" s="2657">
        <f>-'Balance Sheet'!DM12-'Balance Sheet'!DM20</f>
      </c>
      <c r="EH81" s="2657">
        <f>-'Balance Sheet'!DN12-'Balance Sheet'!DN20</f>
      </c>
      <c r="EI81" s="2657">
        <f>-'Balance Sheet'!DO12-'Balance Sheet'!DO20</f>
      </c>
      <c r="EJ81" s="2657">
        <f>-'Balance Sheet'!DP12-'Balance Sheet'!DP20</f>
      </c>
      <c r="EK81" s="2657">
        <f>-'Balance Sheet'!DQ12-'Balance Sheet'!DQ20</f>
      </c>
      <c r="EL81" s="2657">
        <f>-'Balance Sheet'!DR12-'Balance Sheet'!DR20</f>
      </c>
      <c r="EM81" s="2657">
        <f>-'Balance Sheet'!DS12-'Balance Sheet'!DS20</f>
      </c>
      <c r="EN81" s="2657">
        <f>-'Balance Sheet'!DT12-'Balance Sheet'!DT20</f>
      </c>
      <c r="EO81" s="2657">
        <f>-'Balance Sheet'!DU12-'Balance Sheet'!DU20</f>
      </c>
      <c r="EP81" s="2657">
        <f>-'Balance Sheet'!DV12-'Balance Sheet'!DV20</f>
      </c>
      <c r="EQ81" s="2657">
        <f>-'Balance Sheet'!DW12-'Balance Sheet'!DW20</f>
      </c>
      <c r="ER81" s="2657">
        <f>-'Balance Sheet'!DX12-'Balance Sheet'!DX20</f>
      </c>
      <c r="ES81" s="2657">
        <f>-'Balance Sheet'!DY12-'Balance Sheet'!DY20</f>
      </c>
      <c r="ET81" s="2657">
        <f>-'Balance Sheet'!DZ12-'Balance Sheet'!DZ20</f>
      </c>
      <c r="EU81" s="2657">
        <f>-'Balance Sheet'!EA12-'Balance Sheet'!EA20</f>
      </c>
      <c r="EV81" s="2657">
        <f>-'Balance Sheet'!EB12-'Balance Sheet'!EB20</f>
      </c>
      <c r="EW81" s="2657">
        <f>-'Balance Sheet'!EC12-'Balance Sheet'!EC20</f>
      </c>
      <c r="EX81" s="2657">
        <f>-'Balance Sheet'!ED12-'Balance Sheet'!ED20</f>
      </c>
      <c r="EY81" s="2657">
        <f>-'Balance Sheet'!EE12-'Balance Sheet'!EE20</f>
      </c>
      <c r="EZ81" s="2657">
        <f>-'Balance Sheet'!EF12-'Balance Sheet'!EF20</f>
      </c>
      <c r="FA81" s="2657">
        <f>-'Balance Sheet'!EG12-'Balance Sheet'!EG20</f>
      </c>
      <c r="FB81" s="2657">
        <f>-'Balance Sheet'!EH12-'Balance Sheet'!EH20</f>
      </c>
      <c r="FC81" s="2657">
        <f>-'Balance Sheet'!EI12-'Balance Sheet'!EI20</f>
      </c>
      <c r="FD81" s="2657">
        <f>-'Balance Sheet'!EJ12-'Balance Sheet'!EJ20</f>
      </c>
      <c r="FE81" s="2657">
        <f>-'Balance Sheet'!EK12-'Balance Sheet'!EK20</f>
      </c>
    </row>
    <row r="82" spans="1:161" outlineLevel="2">
      <c r="B82" t="s">
        <v>354</v>
      </c>
      <c r="C82" t="s">
        <v>355</v>
      </c>
      <c r="F82" s="542"/>
      <c r="G82" s="542"/>
      <c r="H82" s="542"/>
      <c r="I82" s="542"/>
      <c r="J82" s="542"/>
      <c r="K82" s="542"/>
      <c r="L82" s="542"/>
      <c r="M82" s="542"/>
      <c r="N82" s="542"/>
      <c r="O82" s="542"/>
      <c r="P82" s="542"/>
      <c r="Q82" s="542"/>
      <c r="R82" s="542"/>
      <c r="S82" s="542"/>
      <c r="T82" s="542"/>
      <c r="U82" s="542"/>
      <c r="V82" s="542"/>
      <c r="W82" s="542"/>
      <c r="X82" s="542"/>
      <c r="Y82" s="542"/>
      <c r="Z82" s="542"/>
      <c r="AA82" s="542"/>
      <c r="AB82" s="542"/>
      <c r="AC82" s="542"/>
      <c r="AD82" s="542"/>
      <c r="AE82" s="542"/>
      <c r="AF82" s="542"/>
      <c r="AG82" s="542"/>
      <c r="AH82" s="542"/>
      <c r="AI82" s="542"/>
      <c r="AJ82" s="542"/>
      <c r="AK82" s="542"/>
      <c r="AL82" s="542"/>
      <c r="AM82" s="542"/>
      <c r="AN82" s="542"/>
      <c r="AO82" s="542"/>
      <c r="AP82" s="542"/>
      <c r="AQ82" s="542"/>
      <c r="AR82" s="542"/>
      <c r="AS82" s="542"/>
      <c r="AT82" s="542"/>
      <c r="AU82" s="542"/>
      <c r="AV82" s="542"/>
      <c r="AW82" s="542"/>
      <c r="AX82" s="542"/>
      <c r="AY82" s="542"/>
      <c r="AZ82" s="542"/>
      <c r="BA82" s="542"/>
      <c r="BB82" s="542"/>
      <c r="BC82" s="542"/>
      <c r="BD82" s="542"/>
      <c r="BE82" s="542"/>
      <c r="BF82" s="542"/>
      <c r="BG82" s="542"/>
      <c r="BH82" s="542"/>
      <c r="BI82" s="542"/>
      <c r="BJ82" s="542"/>
      <c r="BK82" s="542"/>
      <c r="BL82" s="542"/>
      <c r="BM82" s="542"/>
      <c r="BN82" s="542"/>
      <c r="BO82" s="542"/>
      <c r="BP82" s="542"/>
      <c r="BQ82" s="542"/>
      <c r="BR82" s="542"/>
      <c r="BS82" s="542"/>
      <c r="BT82" s="542"/>
      <c r="BU82" s="542"/>
      <c r="BV82" s="542"/>
      <c r="BW82" s="542"/>
      <c r="BX82" s="542"/>
      <c r="BY82" s="542"/>
      <c r="BZ82" s="542"/>
      <c r="CA82" s="542"/>
      <c r="CB82" s="542"/>
      <c r="CC82" s="542"/>
      <c r="CD82" s="542"/>
      <c r="CE82" s="542"/>
      <c r="CF82" s="542"/>
      <c r="CG82" s="542"/>
      <c r="CH82" s="542"/>
      <c r="CI82" s="542"/>
      <c r="CJ82" s="542"/>
      <c r="CK82" s="542"/>
      <c r="CL82" s="542"/>
      <c r="CM82" s="542"/>
      <c r="CN82" s="542"/>
      <c r="CO82" s="542"/>
      <c r="CP82" s="542"/>
      <c r="CQ82" s="542"/>
      <c r="CR82" s="542"/>
      <c r="CS82" s="542"/>
      <c r="CT82" s="542"/>
      <c r="CU82" s="542"/>
      <c r="CV82" s="542"/>
      <c r="CW82" s="542"/>
      <c r="CX82" s="542"/>
      <c r="CY82" s="542"/>
      <c r="CZ82" s="542"/>
      <c r="DA82" s="542"/>
      <c r="DB82" s="542"/>
      <c r="DC82" s="542"/>
      <c r="DD82" s="542"/>
      <c r="DE82" s="542"/>
      <c r="DF82" s="542"/>
      <c r="DG82" s="542"/>
      <c r="DH82" s="542"/>
      <c r="DI82" s="542"/>
      <c r="DJ82" s="542"/>
      <c r="DK82" s="542"/>
      <c r="DL82" s="542"/>
      <c r="DM82" s="542"/>
      <c r="DN82" s="542"/>
      <c r="DO82" s="542"/>
      <c r="DP82" s="542"/>
      <c r="DQ82" s="542"/>
      <c r="DR82" s="542"/>
      <c r="DS82" s="542"/>
      <c r="DT82" s="542"/>
      <c r="DU82" s="542"/>
      <c r="DV82" s="542"/>
      <c r="DW82" s="542"/>
      <c r="DX82" s="542"/>
      <c r="DY82" s="542"/>
      <c r="DZ82" s="542"/>
      <c r="EA82" s="542"/>
      <c r="EB82" s="542"/>
      <c r="EC82" s="542"/>
      <c r="ED82" s="542"/>
      <c r="EE82" s="542"/>
      <c r="EF82" s="542"/>
      <c r="EG82" s="542"/>
      <c r="EH82" s="542"/>
      <c r="EI82" s="542"/>
      <c r="EJ82" s="542"/>
      <c r="EK82" s="542"/>
      <c r="EL82" s="542"/>
      <c r="EM82" s="542"/>
      <c r="EN82" s="542"/>
      <c r="EO82" s="542"/>
      <c r="EP82" s="542"/>
      <c r="EQ82" s="542"/>
      <c r="ER82" s="542"/>
      <c r="ES82" s="542"/>
      <c r="ET82" s="542"/>
      <c r="EU82" s="542"/>
      <c r="EV82" s="542"/>
      <c r="EW82" s="542"/>
      <c r="EX82" s="542"/>
      <c r="EY82" s="542"/>
      <c r="EZ82" s="542"/>
      <c r="FA82" s="542"/>
      <c r="FB82" s="542"/>
      <c r="FC82" s="542"/>
      <c r="FD82" s="542"/>
      <c r="FE82" s="542"/>
    </row>
    <row r="83" spans="1:161" outlineLevel="2">
      <c r="B83" t="s">
        <v>356</v>
      </c>
      <c r="C83" t="s">
        <v>357</v>
      </c>
      <c r="D83" t="str">
        <f>E_CURRENCY_ISSR_208000149_REP</f>
      </c>
      <c r="F83" s="2657"/>
      <c r="G83" s="2657"/>
      <c r="H83" s="2657"/>
      <c r="I83" s="2657"/>
      <c r="J83" s="2657"/>
      <c r="K83" s="2657"/>
      <c r="L83" s="2657"/>
      <c r="M83" s="2657"/>
      <c r="N83" s="2657"/>
      <c r="O83" s="2657"/>
      <c r="P83" s="2657"/>
      <c r="Q83" s="2657"/>
      <c r="R83" s="2657"/>
      <c r="S83" s="2657"/>
      <c r="T83" s="2657"/>
      <c r="U83" s="2657"/>
      <c r="V83" s="2657"/>
      <c r="W83" s="2657"/>
      <c r="X83" s="2657"/>
      <c r="Y83" s="2657"/>
      <c r="Z83" s="2657"/>
      <c r="AA83" s="2657"/>
      <c r="AB83" s="2657"/>
      <c r="AC83" s="2657"/>
      <c r="AD83" s="2657"/>
      <c r="AE83" s="2657"/>
      <c r="AF83" s="2657"/>
      <c r="AG83" s="2657"/>
      <c r="AH83" s="2657"/>
      <c r="AI83" s="2657"/>
      <c r="AJ83" s="2657"/>
      <c r="AK83" s="2657"/>
      <c r="AL83" s="2657"/>
      <c r="AM83" s="2657"/>
      <c r="AN83" s="2657"/>
      <c r="AO83" s="2657"/>
      <c r="AP83" s="2657"/>
      <c r="AQ83" s="2657"/>
      <c r="AR83" s="2657"/>
      <c r="AS83" s="2657"/>
      <c r="AT83" s="2657"/>
      <c r="AU83" s="2657"/>
      <c r="AV83" s="2657"/>
      <c r="AW83" s="2657"/>
      <c r="AX83" s="2657"/>
      <c r="AY83" s="2657"/>
      <c r="AZ83" s="2657"/>
      <c r="BA83" s="2657"/>
      <c r="BB83" s="2657"/>
      <c r="BC83" s="2657"/>
      <c r="BD83" s="2657"/>
      <c r="BE83" s="2657"/>
      <c r="BF83" s="2657"/>
      <c r="BG83" s="2657"/>
      <c r="BH83" s="2657"/>
      <c r="BI83" s="2657"/>
      <c r="BJ83" s="2657"/>
      <c r="BK83" s="2657"/>
      <c r="BL83" s="2657"/>
      <c r="BM83" s="2657"/>
      <c r="BN83" s="2657"/>
      <c r="BO83" s="2657"/>
      <c r="BP83" s="2657"/>
      <c r="BQ83" s="2657"/>
      <c r="BR83" s="2657"/>
      <c r="BS83" s="2657"/>
      <c r="BT83" s="2657"/>
      <c r="BU83" s="2657"/>
      <c r="BV83" s="2657"/>
      <c r="BW83" s="2657"/>
      <c r="BX83" s="2657"/>
      <c r="BY83" s="2657"/>
      <c r="BZ83" s="2657"/>
      <c r="CA83" s="2657"/>
      <c r="CB83" s="2657"/>
      <c r="CC83" s="2657"/>
      <c r="CD83" s="2657"/>
      <c r="CE83" s="2657"/>
      <c r="CF83" s="2657"/>
      <c r="CG83" s="2657"/>
      <c r="CH83" s="2657"/>
      <c r="CI83" s="2657"/>
      <c r="CJ83" s="2657"/>
      <c r="CK83" s="2657"/>
      <c r="CL83" s="2657"/>
      <c r="CM83" s="2657"/>
      <c r="CN83" s="2657"/>
      <c r="CO83" s="2657"/>
      <c r="CP83" s="2657"/>
      <c r="CQ83" s="2657"/>
      <c r="CR83" s="2657"/>
      <c r="CS83" s="2657"/>
      <c r="CT83" s="2657"/>
      <c r="CU83" s="2657"/>
      <c r="CV83" s="2657"/>
      <c r="CW83" s="2657"/>
      <c r="CX83" s="2657"/>
      <c r="CY83" s="2657"/>
      <c r="CZ83" s="2657"/>
      <c r="DA83" s="2657"/>
      <c r="DB83" s="2657"/>
      <c r="DC83" s="2657"/>
      <c r="DD83" s="2657"/>
      <c r="DE83" s="2657"/>
      <c r="DF83" s="2657"/>
      <c r="DG83" s="2657"/>
      <c r="DH83" s="2657"/>
      <c r="DI83" s="2657"/>
      <c r="DJ83" s="2657"/>
      <c r="DK83" s="2657"/>
      <c r="DL83" s="2657"/>
      <c r="DM83" s="2657"/>
      <c r="DN83" s="2657"/>
      <c r="DO83" s="2657"/>
      <c r="DP83" s="2657"/>
      <c r="DQ83" s="2657"/>
      <c r="DR83" s="2657"/>
      <c r="DS83" s="2657"/>
      <c r="DT83" s="2657"/>
      <c r="DU83" s="2657"/>
      <c r="DV83" s="2657"/>
      <c r="DW83" s="2657"/>
      <c r="DX83" s="2657"/>
      <c r="DY83" s="2657"/>
      <c r="DZ83" s="2657"/>
      <c r="EA83" s="2657"/>
      <c r="EB83" s="2657"/>
      <c r="EC83" s="2657"/>
      <c r="ED83" s="2657"/>
      <c r="EE83" s="2657"/>
      <c r="EF83" s="2657"/>
      <c r="EG83" s="2657"/>
      <c r="EH83" s="2657"/>
      <c r="EI83" s="2657"/>
      <c r="EJ83" s="2657"/>
      <c r="EK83" s="2657"/>
      <c r="EL83" s="2657"/>
      <c r="EM83" s="2657"/>
      <c r="EN83" s="2657"/>
      <c r="EO83" s="2657"/>
      <c r="EP83" s="2657"/>
      <c r="EQ83" s="2657"/>
      <c r="ER83" s="2657"/>
      <c r="ES83" s="2657"/>
      <c r="ET83" s="2657"/>
      <c r="EU83" s="2657"/>
      <c r="EV83" s="2657"/>
      <c r="EW83" s="2657"/>
      <c r="EX83" s="2657"/>
      <c r="EY83" s="2657"/>
      <c r="EZ83" s="2657"/>
      <c r="FA83" s="2657"/>
      <c r="FB83" s="2657"/>
      <c r="FC83" s="2657"/>
      <c r="FD83" s="2657"/>
      <c r="FE83" s="2657"/>
    </row>
    <row r="84" spans="1:161" outlineLevel="2">
      <c r="B84" t="s">
        <v>358</v>
      </c>
      <c r="C84" t="s">
        <v>359</v>
      </c>
      <c r="D84" t="str">
        <f>E_CURRENCY_ISSR_208000149_REP</f>
      </c>
      <c r="F84" s="2657"/>
      <c r="G84" s="2657"/>
      <c r="H84" s="2657"/>
      <c r="I84" s="2657"/>
      <c r="J84" s="2657"/>
      <c r="K84" s="2657"/>
      <c r="L84" s="2657"/>
      <c r="M84" s="2657"/>
      <c r="N84" s="2657"/>
      <c r="O84" s="2657"/>
      <c r="P84" s="2657"/>
      <c r="Q84" s="2657"/>
      <c r="R84" s="2657"/>
      <c r="S84" s="2657"/>
      <c r="T84" s="2657"/>
      <c r="U84" s="2657"/>
      <c r="V84" s="2657"/>
      <c r="W84" s="2657"/>
      <c r="X84" s="2657"/>
      <c r="Y84" s="2657"/>
      <c r="Z84" s="2657"/>
      <c r="AA84" s="2657"/>
      <c r="AB84" s="2657"/>
      <c r="AC84" s="2657"/>
      <c r="AD84" s="2657"/>
      <c r="AE84" s="2657"/>
      <c r="AF84" s="2657"/>
      <c r="AG84" s="2657"/>
      <c r="AH84" s="2657"/>
      <c r="AI84" s="2657"/>
      <c r="AJ84" s="2657"/>
      <c r="AK84" s="2657"/>
      <c r="AL84" s="2657"/>
      <c r="AM84" s="2657"/>
      <c r="AN84" s="2657"/>
      <c r="AO84" s="2657"/>
      <c r="AP84" s="2657"/>
      <c r="AQ84" s="2657"/>
      <c r="AR84" s="2657"/>
      <c r="AS84" s="2657"/>
      <c r="AT84" s="2657"/>
      <c r="AU84" s="2657"/>
      <c r="AV84" s="2657"/>
      <c r="AW84" s="2657"/>
      <c r="AX84" s="2657"/>
      <c r="AY84" s="2657"/>
      <c r="AZ84" s="2657"/>
      <c r="BA84" s="2657"/>
      <c r="BB84" s="2657"/>
      <c r="BC84" s="2657"/>
      <c r="BD84" s="2657"/>
      <c r="BE84" s="2657"/>
      <c r="BF84" s="2657"/>
      <c r="BG84" s="2657"/>
      <c r="BH84" s="2657"/>
      <c r="BI84" s="2657"/>
      <c r="BJ84" s="2657"/>
      <c r="BK84" s="2657"/>
      <c r="BL84" s="2657"/>
      <c r="BM84" s="2657"/>
      <c r="BN84" s="2657"/>
      <c r="BO84" s="2657"/>
      <c r="BP84" s="2657"/>
      <c r="BQ84" s="2657"/>
      <c r="BR84" s="2657"/>
      <c r="BS84" s="2657"/>
      <c r="BT84" s="2657"/>
      <c r="BU84" s="2657"/>
      <c r="BV84" s="2657"/>
      <c r="BW84" s="2657"/>
      <c r="BX84" s="2657"/>
      <c r="BY84" s="2657"/>
      <c r="BZ84" s="2657"/>
      <c r="CA84" s="2657"/>
      <c r="CB84" s="2657"/>
      <c r="CC84" s="2657"/>
      <c r="CD84" s="2657"/>
      <c r="CE84" s="2657"/>
      <c r="CF84" s="2657"/>
      <c r="CG84" s="2657"/>
      <c r="CH84" s="2657"/>
      <c r="CI84" s="2657"/>
      <c r="CJ84" s="2657"/>
      <c r="CK84" s="2657"/>
      <c r="CL84" s="2657"/>
      <c r="CM84" s="2657"/>
      <c r="CN84" s="2657"/>
      <c r="CO84" s="2657"/>
      <c r="CP84" s="2657"/>
      <c r="CQ84" s="2657"/>
      <c r="CR84" s="2657"/>
      <c r="CS84" s="2657"/>
      <c r="CT84" s="2657"/>
      <c r="CU84" s="2657"/>
      <c r="CV84" s="2657"/>
      <c r="CW84" s="2657"/>
      <c r="CX84" s="2657"/>
      <c r="CY84" s="2657"/>
      <c r="CZ84" s="2657"/>
      <c r="DA84" s="2657"/>
      <c r="DB84" s="2657"/>
      <c r="DC84" s="2657"/>
      <c r="DD84" s="2657"/>
      <c r="DE84" s="2657"/>
      <c r="DF84" s="2657"/>
      <c r="DG84" s="2657"/>
      <c r="DH84" s="2657"/>
      <c r="DI84" s="2657"/>
      <c r="DJ84" s="2657"/>
      <c r="DK84" s="2657"/>
      <c r="DL84" s="2657"/>
      <c r="DM84" s="2657"/>
      <c r="DN84" s="2657"/>
      <c r="DO84" s="2657"/>
      <c r="DP84" s="2657"/>
      <c r="DQ84" s="2657"/>
      <c r="DR84" s="2657"/>
      <c r="DS84" s="2657"/>
      <c r="DT84" s="2657"/>
      <c r="DU84" s="2657"/>
      <c r="DV84" s="2657"/>
      <c r="DW84" s="2657"/>
      <c r="DX84" s="2657"/>
      <c r="DY84" s="2657"/>
      <c r="DZ84" s="2657"/>
      <c r="EA84" s="2657"/>
      <c r="EB84" s="2657"/>
      <c r="EC84" s="2657"/>
      <c r="ED84" s="2657"/>
      <c r="EE84" s="2657"/>
      <c r="EF84" s="2657"/>
      <c r="EG84" s="2657"/>
      <c r="EH84" s="2657"/>
      <c r="EI84" s="2657"/>
      <c r="EJ84" s="2657"/>
      <c r="EK84" s="2657"/>
      <c r="EL84" s="2657"/>
      <c r="EM84" s="2657"/>
      <c r="EN84" s="2657"/>
      <c r="EO84" s="2657"/>
      <c r="EP84" s="2657"/>
      <c r="EQ84" s="2657"/>
      <c r="ER84" s="2657"/>
      <c r="ES84" s="2657"/>
      <c r="ET84" s="2657"/>
      <c r="EU84" s="2657"/>
      <c r="EV84" s="2657"/>
      <c r="EW84" s="2657"/>
      <c r="EX84" s="2657"/>
      <c r="EY84" s="2657"/>
      <c r="EZ84" s="2657"/>
      <c r="FA84" s="2657"/>
      <c r="FB84" s="2657"/>
      <c r="FC84" s="2657"/>
      <c r="FD84" s="2657"/>
      <c r="FE84" s="2657"/>
    </row>
    <row r="85" spans="1:161" outlineLevel="2">
      <c r="B85" t="s">
        <v>360</v>
      </c>
      <c r="C85" t="s">
        <v>361</v>
      </c>
      <c r="D85" t="str">
        <f>E_CURRENCY_ISSR_208000149_REP</f>
      </c>
      <c r="F85" s="2657"/>
      <c r="G85" s="2657"/>
      <c r="H85" s="2657"/>
      <c r="I85" s="2657"/>
      <c r="J85" s="2657"/>
      <c r="K85" s="2657"/>
      <c r="L85" s="2657"/>
      <c r="M85" s="2657"/>
      <c r="N85" s="2657"/>
      <c r="O85" s="2657"/>
      <c r="P85" s="2657"/>
      <c r="Q85" s="2657"/>
      <c r="R85" s="2657"/>
      <c r="S85" s="2657"/>
      <c r="T85" s="2657"/>
      <c r="U85" s="2657"/>
      <c r="V85" s="2657"/>
      <c r="W85" s="2657"/>
      <c r="X85" s="2657"/>
      <c r="Y85" s="2657"/>
      <c r="Z85" s="2657"/>
      <c r="AA85" s="2657"/>
      <c r="AB85" s="2657"/>
      <c r="AC85" s="2657"/>
      <c r="AD85" s="2657"/>
      <c r="AE85" s="2657"/>
      <c r="AF85" s="2657"/>
      <c r="AG85" s="2657"/>
      <c r="AH85" s="2657"/>
      <c r="AI85" s="2657"/>
      <c r="AJ85" s="2657"/>
      <c r="AK85" s="2657"/>
      <c r="AL85" s="2657"/>
      <c r="AM85" s="2657"/>
      <c r="AN85" s="2657"/>
      <c r="AO85" s="2657"/>
      <c r="AP85" s="2657"/>
      <c r="AQ85" s="2657"/>
      <c r="AR85" s="2657"/>
      <c r="AS85" s="2657"/>
      <c r="AT85" s="2657"/>
      <c r="AU85" s="2657"/>
      <c r="AV85" s="2657"/>
      <c r="AW85" s="2657"/>
      <c r="AX85" s="2657"/>
      <c r="AY85" s="2657"/>
      <c r="AZ85" s="2657"/>
      <c r="BA85" s="2657"/>
      <c r="BB85" s="2657"/>
      <c r="BC85" s="2657"/>
      <c r="BD85" s="2657"/>
      <c r="BE85" s="2657"/>
      <c r="BF85" s="2657"/>
      <c r="BG85" s="2657"/>
      <c r="BH85" s="2657"/>
      <c r="BI85" s="2657"/>
      <c r="BJ85" s="2657"/>
      <c r="BK85" s="2657"/>
      <c r="BL85" s="2657"/>
      <c r="BM85" s="2657"/>
      <c r="BN85" s="2657"/>
      <c r="BO85" s="2657"/>
      <c r="BP85" s="2657"/>
      <c r="BQ85" s="2657"/>
      <c r="BR85" s="2657"/>
      <c r="BS85" s="2657"/>
      <c r="BT85" s="2657"/>
      <c r="BU85" s="2657"/>
      <c r="BV85" s="2657"/>
      <c r="BW85" s="2657"/>
      <c r="BX85" s="2657"/>
      <c r="BY85" s="2657"/>
      <c r="BZ85" s="2657"/>
      <c r="CA85" s="2657"/>
      <c r="CB85" s="2657"/>
      <c r="CC85" s="2657"/>
      <c r="CD85" s="2657"/>
      <c r="CE85" s="2657"/>
      <c r="CF85" s="2657"/>
      <c r="CG85" s="2657"/>
      <c r="CH85" s="2657"/>
      <c r="CI85" s="2657"/>
      <c r="CJ85" s="2657"/>
      <c r="CK85" s="2657"/>
      <c r="CL85" s="2657"/>
      <c r="CM85" s="2657"/>
      <c r="CN85" s="2657"/>
      <c r="CO85" s="2657"/>
      <c r="CP85" s="2657"/>
      <c r="CQ85" s="2657"/>
      <c r="CR85" s="2657"/>
      <c r="CS85" s="2657"/>
      <c r="CT85" s="2657"/>
      <c r="CU85" s="2657"/>
      <c r="CV85" s="2657"/>
      <c r="CW85" s="2657"/>
      <c r="CX85" s="2657"/>
      <c r="CY85" s="2657"/>
      <c r="CZ85" s="2657"/>
      <c r="DA85" s="2657"/>
      <c r="DB85" s="2657"/>
      <c r="DC85" s="2657"/>
      <c r="DD85" s="2657"/>
      <c r="DE85" s="2657"/>
      <c r="DF85" s="2657"/>
      <c r="DG85" s="2657"/>
      <c r="DH85" s="2657"/>
      <c r="DI85" s="2657"/>
      <c r="DJ85" s="2657"/>
      <c r="DK85" s="2657"/>
      <c r="DL85" s="2657"/>
      <c r="DM85" s="2657"/>
      <c r="DN85" s="2657"/>
      <c r="DO85" s="2657"/>
      <c r="DP85" s="2657"/>
      <c r="DQ85" s="2657"/>
      <c r="DR85" s="2657"/>
      <c r="DS85" s="2657"/>
      <c r="DT85" s="2657"/>
      <c r="DU85" s="2657"/>
      <c r="DV85" s="2657"/>
      <c r="DW85" s="2657"/>
      <c r="DX85" s="2657"/>
      <c r="DY85" s="2657"/>
      <c r="DZ85" s="2657"/>
      <c r="EA85" s="2657"/>
      <c r="EB85" s="2657"/>
      <c r="EC85" s="2657"/>
      <c r="ED85" s="2657"/>
      <c r="EE85" s="2657"/>
      <c r="EF85" s="2657"/>
      <c r="EG85" s="2657"/>
      <c r="EH85" s="2657"/>
      <c r="EI85" s="2657"/>
      <c r="EJ85" s="2657"/>
      <c r="EK85" s="2657"/>
      <c r="EL85" s="2657"/>
      <c r="EM85" s="2657"/>
      <c r="EN85" s="2657"/>
      <c r="EO85" s="2657"/>
      <c r="EP85" s="2657"/>
      <c r="EQ85" s="2657"/>
      <c r="ER85" s="2657"/>
      <c r="ES85" s="2657"/>
      <c r="ET85" s="2657"/>
      <c r="EU85" s="2657"/>
      <c r="EV85" s="2657"/>
      <c r="EW85" s="2657"/>
      <c r="EX85" s="2657"/>
      <c r="EY85" s="2657"/>
      <c r="EZ85" s="2657"/>
      <c r="FA85" s="2657"/>
      <c r="FB85" s="2657"/>
      <c r="FC85" s="2657"/>
      <c r="FD85" s="2657"/>
      <c r="FE85" s="2657"/>
    </row>
    <row r="86" spans="1:161" outlineLevel="2">
      <c r="B86" t="s">
        <v>362</v>
      </c>
      <c r="C86" t="s">
        <v>363</v>
      </c>
      <c r="D86" t="str">
        <f>E_CURRENCY_ISSR_208000149_REP</f>
      </c>
      <c r="F86" s="2657"/>
      <c r="G86" s="2657"/>
      <c r="H86" s="2657"/>
      <c r="I86" s="2657"/>
      <c r="J86" s="2657"/>
      <c r="K86" s="2657"/>
      <c r="L86" s="2657"/>
      <c r="M86" s="2657"/>
      <c r="N86" s="2657"/>
      <c r="O86" s="2657"/>
      <c r="P86" s="2657"/>
      <c r="Q86" s="2657"/>
      <c r="R86" s="2657"/>
      <c r="S86" s="2657"/>
      <c r="T86" s="2657"/>
      <c r="U86" s="2657"/>
      <c r="V86" s="2657"/>
      <c r="W86" s="2657"/>
      <c r="X86" s="2657"/>
      <c r="Y86" s="2657"/>
      <c r="Z86" s="2657"/>
      <c r="AA86" s="2657"/>
      <c r="AB86" s="2657"/>
      <c r="AC86" s="2657"/>
      <c r="AD86" s="2657"/>
      <c r="AE86" s="2657"/>
      <c r="AF86" s="2657"/>
      <c r="AG86" s="2657"/>
      <c r="AH86" s="2657"/>
      <c r="AI86" s="2657"/>
      <c r="AJ86" s="2657"/>
      <c r="AK86" s="2657"/>
      <c r="AL86" s="2657"/>
      <c r="AM86" s="2657"/>
      <c r="AN86" s="2657"/>
      <c r="AO86" s="2657"/>
      <c r="AP86" s="2657"/>
      <c r="AQ86" s="2657"/>
      <c r="AR86" s="2657"/>
      <c r="AS86" s="2657"/>
      <c r="AT86" s="2657"/>
      <c r="AU86" s="2657"/>
      <c r="AV86" s="2657"/>
      <c r="AW86" s="2657"/>
      <c r="AX86" s="2657"/>
      <c r="AY86" s="2657"/>
      <c r="AZ86" s="2657"/>
      <c r="BA86" s="2657"/>
      <c r="BB86" s="2657"/>
      <c r="BC86" s="2657"/>
      <c r="BD86" s="2657"/>
      <c r="BE86" s="2657"/>
      <c r="BF86" s="2657"/>
      <c r="BG86" s="2657"/>
      <c r="BH86" s="2657"/>
      <c r="BI86" s="2657"/>
      <c r="BJ86" s="2657"/>
      <c r="BK86" s="2657"/>
      <c r="BL86" s="2657"/>
      <c r="BM86" s="2657"/>
      <c r="BN86" s="2657"/>
      <c r="BO86" s="2657"/>
      <c r="BP86" s="2657"/>
      <c r="BQ86" s="2657"/>
      <c r="BR86" s="2657"/>
      <c r="BS86" s="2657"/>
      <c r="BT86" s="2657"/>
      <c r="BU86" s="2657"/>
      <c r="BV86" s="2657"/>
      <c r="BW86" s="2657"/>
      <c r="BX86" s="2657"/>
      <c r="BY86" s="2657"/>
      <c r="BZ86" s="2657"/>
      <c r="CA86" s="2657"/>
      <c r="CB86" s="2657"/>
      <c r="CC86" s="2657"/>
      <c r="CD86" s="2657"/>
      <c r="CE86" s="2657"/>
      <c r="CF86" s="2657"/>
      <c r="CG86" s="2657"/>
      <c r="CH86" s="2657"/>
      <c r="CI86" s="2657"/>
      <c r="CJ86" s="2657"/>
      <c r="CK86" s="2657"/>
      <c r="CL86" s="2657"/>
      <c r="CM86" s="2657"/>
      <c r="CN86" s="2657"/>
      <c r="CO86" s="2657"/>
      <c r="CP86" s="2657"/>
      <c r="CQ86" s="2657"/>
      <c r="CR86" s="2657"/>
      <c r="CS86" s="2657"/>
      <c r="CT86" s="2657"/>
      <c r="CU86" s="2657"/>
      <c r="CV86" s="2657"/>
      <c r="CW86" s="2657"/>
      <c r="CX86" s="2657"/>
      <c r="CY86" s="2657"/>
      <c r="CZ86" s="2657"/>
      <c r="DA86" s="2657"/>
      <c r="DB86" s="2657"/>
      <c r="DC86" s="2657"/>
      <c r="DD86" s="2657"/>
      <c r="DE86" s="2657"/>
      <c r="DF86" s="2657"/>
      <c r="DG86" s="2657"/>
      <c r="DH86" s="2657"/>
      <c r="DI86" s="2657"/>
      <c r="DJ86" s="2657"/>
      <c r="DK86" s="2657"/>
      <c r="DL86" s="2657"/>
      <c r="DM86" s="2657"/>
      <c r="DN86" s="2657"/>
      <c r="DO86" s="2657"/>
      <c r="DP86" s="2657"/>
      <c r="DQ86" s="2657"/>
      <c r="DR86" s="2657"/>
      <c r="DS86" s="2657"/>
      <c r="DT86" s="2657"/>
      <c r="DU86" s="2657"/>
      <c r="DV86" s="2657"/>
      <c r="DW86" s="2657"/>
      <c r="DX86" s="2657"/>
      <c r="DY86" s="2657"/>
      <c r="DZ86" s="2657"/>
      <c r="EA86" s="2657"/>
      <c r="EB86" s="2657"/>
      <c r="EC86" s="2657"/>
      <c r="ED86" s="2657"/>
      <c r="EE86" s="2657"/>
      <c r="EF86" s="2657"/>
      <c r="EG86" s="2657"/>
      <c r="EH86" s="2657"/>
      <c r="EI86" s="2657"/>
      <c r="EJ86" s="2657"/>
      <c r="EK86" s="2657"/>
      <c r="EL86" s="2657"/>
      <c r="EM86" s="2657"/>
      <c r="EN86" s="2657"/>
      <c r="EO86" s="2657"/>
      <c r="EP86" s="2657"/>
      <c r="EQ86" s="2657"/>
      <c r="ER86" s="2657"/>
      <c r="ES86" s="2657"/>
      <c r="ET86" s="2657"/>
      <c r="EU86" s="2657"/>
      <c r="EV86" s="2657"/>
      <c r="EW86" s="2657"/>
      <c r="EX86" s="2657"/>
      <c r="EY86" s="2657"/>
      <c r="EZ86" s="2657"/>
      <c r="FA86" s="2657"/>
      <c r="FB86" s="2657"/>
      <c r="FC86" s="2657"/>
      <c r="FD86" s="2657"/>
      <c r="FE86" s="2657"/>
    </row>
    <row r="87" spans="1:161" outlineLevel="2">
      <c r="B87" t="s">
        <v>364</v>
      </c>
      <c r="C87" t="s">
        <v>365</v>
      </c>
      <c r="D87" t="str">
        <f>E_CURRENCY_ISSR_208000149_REP</f>
      </c>
      <c r="F87" s="2657">
        <f>-'Balance Sheet'!ER12</f>
      </c>
      <c r="G87" s="2657">
        <f>-'Balance Sheet'!ES12</f>
      </c>
      <c r="H87" s="2657">
        <f>-'Balance Sheet'!ET12</f>
      </c>
      <c r="I87" s="2657">
        <f>-'Balance Sheet'!EU12</f>
      </c>
      <c r="J87" s="2657">
        <f>-'Balance Sheet'!EV12</f>
      </c>
      <c r="K87" s="2657">
        <f>-'Balance Sheet'!EW12</f>
      </c>
      <c r="L87" s="2657">
        <f>-'Balance Sheet'!EX12</f>
      </c>
      <c r="M87" s="2657">
        <f>-'Balance Sheet'!EY12</f>
      </c>
      <c r="N87" s="2657">
        <f>-'Balance Sheet'!EZ12</f>
      </c>
      <c r="O87" s="2657">
        <f>-'Balance Sheet'!FA12</f>
      </c>
      <c r="P87" s="2657">
        <f>-'Balance Sheet'!FB12</f>
      </c>
      <c r="Q87" s="2657">
        <f>-'Balance Sheet'!FC12</f>
      </c>
      <c r="R87" s="2657">
        <f>-'Balance Sheet'!FD12</f>
      </c>
      <c r="S87" s="2657">
        <f>-'Balance Sheet'!FE12</f>
      </c>
      <c r="T87" s="2657">
        <f>-'Balance Sheet'!FF12</f>
      </c>
      <c r="U87" s="2657">
        <f>-'Balance Sheet'!FG12</f>
      </c>
      <c r="V87" s="2657">
        <f>-'Balance Sheet'!FH12</f>
      </c>
      <c r="W87" s="2657">
        <f>-'Balance Sheet'!FI12</f>
      </c>
      <c r="X87" s="2657">
        <f>-'Balance Sheet'!FJ12</f>
      </c>
      <c r="Y87" s="2657">
        <f>-'Balance Sheet'!FK12</f>
      </c>
      <c r="Z87" s="2657">
        <f>-'Balance Sheet'!FL12</f>
      </c>
      <c r="AA87" s="2657">
        <f>-'Balance Sheet'!FM12</f>
      </c>
      <c r="AB87" s="2657">
        <f>-'Balance Sheet'!FN12</f>
      </c>
      <c r="AC87" s="2657">
        <f>-'Balance Sheet'!FO12</f>
      </c>
      <c r="AD87" s="2657">
        <f>-'Balance Sheet'!FP12</f>
      </c>
      <c r="AE87" s="2657">
        <f>-'Balance Sheet'!FQ12</f>
      </c>
      <c r="AF87" s="2657">
        <f>-'Balance Sheet'!FR12</f>
      </c>
      <c r="AG87" s="2657">
        <f>-'Balance Sheet'!FS12</f>
      </c>
      <c r="AH87" s="2657">
        <f>-'Balance Sheet'!FT12</f>
      </c>
      <c r="AI87" s="2657">
        <f>-'Balance Sheet'!FU12</f>
      </c>
      <c r="AJ87" s="2657">
        <f>-'Balance Sheet'!FV12</f>
      </c>
      <c r="AK87" s="2657"/>
      <c r="AL87" s="2657">
        <f>-'Balance Sheet'!R12</f>
      </c>
      <c r="AM87" s="2657">
        <f>-'Balance Sheet'!S12</f>
      </c>
      <c r="AN87" s="2657">
        <f>-'Balance Sheet'!T12</f>
      </c>
      <c r="AO87" s="2657">
        <f>-'Balance Sheet'!U12</f>
      </c>
      <c r="AP87" s="2657">
        <f>-'Balance Sheet'!V12</f>
      </c>
      <c r="AQ87" s="2657">
        <f>-'Balance Sheet'!W12</f>
      </c>
      <c r="AR87" s="2657">
        <f>-'Balance Sheet'!X12</f>
      </c>
      <c r="AS87" s="2657">
        <f>-'Balance Sheet'!Y12</f>
      </c>
      <c r="AT87" s="2657">
        <f>-'Balance Sheet'!Z12</f>
      </c>
      <c r="AU87" s="2657">
        <f>-'Balance Sheet'!AA12</f>
      </c>
      <c r="AV87" s="2657">
        <f>-'Balance Sheet'!AB12</f>
      </c>
      <c r="AW87" s="2657">
        <f>-'Balance Sheet'!AC12</f>
      </c>
      <c r="AX87" s="2657">
        <f>-'Balance Sheet'!AD12</f>
      </c>
      <c r="AY87" s="2657">
        <f>-'Balance Sheet'!AE12</f>
      </c>
      <c r="AZ87" s="2657">
        <f>-'Balance Sheet'!AF12</f>
      </c>
      <c r="BA87" s="2657">
        <f>-'Balance Sheet'!AG12</f>
      </c>
      <c r="BB87" s="2657">
        <f>-'Balance Sheet'!AH12</f>
      </c>
      <c r="BC87" s="2657">
        <f>-'Balance Sheet'!AI12</f>
      </c>
      <c r="BD87" s="2657">
        <f>-'Balance Sheet'!AJ12</f>
      </c>
      <c r="BE87" s="2657">
        <f>-'Balance Sheet'!AK12</f>
      </c>
      <c r="BF87" s="2657">
        <f>-'Balance Sheet'!AL12</f>
      </c>
      <c r="BG87" s="2657">
        <f>-'Balance Sheet'!AM12</f>
      </c>
      <c r="BH87" s="2657">
        <f>-'Balance Sheet'!AN12</f>
      </c>
      <c r="BI87" s="2657">
        <f>-'Balance Sheet'!AO12</f>
      </c>
      <c r="BJ87" s="2657">
        <f>-'Balance Sheet'!AP12</f>
      </c>
      <c r="BK87" s="2657">
        <f>-'Balance Sheet'!AQ12</f>
      </c>
      <c r="BL87" s="2657">
        <f>-'Balance Sheet'!AR12</f>
      </c>
      <c r="BM87" s="2657">
        <f>-'Balance Sheet'!AS12</f>
      </c>
      <c r="BN87" s="2657">
        <f>-'Balance Sheet'!AT12</f>
      </c>
      <c r="BO87" s="2657">
        <f>-'Balance Sheet'!AU12</f>
      </c>
      <c r="BP87" s="2657">
        <f>-'Balance Sheet'!AV12</f>
      </c>
      <c r="BQ87" s="2657">
        <f>-'Balance Sheet'!AW12</f>
      </c>
      <c r="BR87" s="2657">
        <f>-'Balance Sheet'!AX12</f>
      </c>
      <c r="BS87" s="2657">
        <f>-'Balance Sheet'!AY12</f>
      </c>
      <c r="BT87" s="2657">
        <f>-'Balance Sheet'!AZ12</f>
      </c>
      <c r="BU87" s="2657">
        <f>-'Balance Sheet'!BA12</f>
      </c>
      <c r="BV87" s="2657">
        <f>-'Balance Sheet'!BB12</f>
      </c>
      <c r="BW87" s="2657">
        <f>-'Balance Sheet'!BC12</f>
      </c>
      <c r="BX87" s="2657">
        <f>-'Balance Sheet'!BD12</f>
      </c>
      <c r="BY87" s="2657">
        <f>-'Balance Sheet'!BE12</f>
      </c>
      <c r="BZ87" s="2657">
        <f>-'Balance Sheet'!BF12</f>
      </c>
      <c r="CA87" s="2657">
        <f>-'Balance Sheet'!BG12</f>
      </c>
      <c r="CB87" s="2657">
        <f>-'Balance Sheet'!BH12</f>
      </c>
      <c r="CC87" s="2657">
        <f>-'Balance Sheet'!BI12</f>
      </c>
      <c r="CD87" s="2657">
        <f>-'Balance Sheet'!BJ12</f>
      </c>
      <c r="CE87" s="2657">
        <f>-'Balance Sheet'!BK12</f>
      </c>
      <c r="CF87" s="2657">
        <f>-'Balance Sheet'!BL12</f>
      </c>
      <c r="CG87" s="2657">
        <f>-'Balance Sheet'!BM12</f>
      </c>
      <c r="CH87" s="2657">
        <f>-'Balance Sheet'!BN12</f>
      </c>
      <c r="CI87" s="2657">
        <f>-'Balance Sheet'!BO12</f>
      </c>
      <c r="CJ87" s="2657">
        <f>-'Balance Sheet'!BP12</f>
      </c>
      <c r="CK87" s="2657">
        <f>-'Balance Sheet'!BQ12</f>
      </c>
      <c r="CL87" s="2657">
        <f>-'Balance Sheet'!BR12</f>
      </c>
      <c r="CM87" s="2657">
        <f>-'Balance Sheet'!BS12</f>
      </c>
      <c r="CN87" s="2657">
        <f>-'Balance Sheet'!BT12</f>
      </c>
      <c r="CO87" s="2657">
        <f>-'Balance Sheet'!BU12</f>
      </c>
      <c r="CP87" s="2657">
        <f>-'Balance Sheet'!BV12</f>
      </c>
      <c r="CQ87" s="2657">
        <f>-'Balance Sheet'!BW12</f>
      </c>
      <c r="CR87" s="2657">
        <f>-'Balance Sheet'!BX12</f>
      </c>
      <c r="CS87" s="2657">
        <f>-'Balance Sheet'!BY12</f>
      </c>
      <c r="CT87" s="2657">
        <f>-'Balance Sheet'!BZ12</f>
      </c>
      <c r="CU87" s="2657">
        <f>-'Balance Sheet'!CA12</f>
      </c>
      <c r="CV87" s="2657">
        <f>-'Balance Sheet'!CB12</f>
      </c>
      <c r="CW87" s="2657">
        <f>-'Balance Sheet'!CC12</f>
      </c>
      <c r="CX87" s="2657">
        <f>-'Balance Sheet'!CD12</f>
      </c>
      <c r="CY87" s="2657">
        <f>-'Balance Sheet'!CE12</f>
      </c>
      <c r="CZ87" s="2657">
        <f>-'Balance Sheet'!CF12</f>
      </c>
      <c r="DA87" s="2657">
        <f>-'Balance Sheet'!CG12</f>
      </c>
      <c r="DB87" s="2657">
        <f>-'Balance Sheet'!CH12</f>
      </c>
      <c r="DC87" s="2657">
        <f>-'Balance Sheet'!CI12</f>
      </c>
      <c r="DD87" s="2657">
        <f>-'Balance Sheet'!CJ12</f>
      </c>
      <c r="DE87" s="2657">
        <f>-'Balance Sheet'!CK12</f>
      </c>
      <c r="DF87" s="2657">
        <f>-'Balance Sheet'!CL12</f>
      </c>
      <c r="DG87" s="2657">
        <f>-'Balance Sheet'!CM12</f>
      </c>
      <c r="DH87" s="2657">
        <f>-'Balance Sheet'!CN12</f>
      </c>
      <c r="DI87" s="2657">
        <f>-'Balance Sheet'!CO12</f>
      </c>
      <c r="DJ87" s="2657">
        <f>-'Balance Sheet'!CP12</f>
      </c>
      <c r="DK87" s="2657">
        <f>-'Balance Sheet'!CQ12</f>
      </c>
      <c r="DL87" s="2657">
        <f>-'Balance Sheet'!CR12</f>
      </c>
      <c r="DM87" s="2657">
        <f>-'Balance Sheet'!CS12</f>
      </c>
      <c r="DN87" s="2657">
        <f>-'Balance Sheet'!CT12</f>
      </c>
      <c r="DO87" s="2657">
        <f>-'Balance Sheet'!CU12</f>
      </c>
      <c r="DP87" s="2657">
        <f>-'Balance Sheet'!CV12</f>
      </c>
      <c r="DQ87" s="2657">
        <f>-'Balance Sheet'!CW12</f>
      </c>
      <c r="DR87" s="2657">
        <f>-'Balance Sheet'!CX12</f>
      </c>
      <c r="DS87" s="2657">
        <f>-'Balance Sheet'!CY12</f>
      </c>
      <c r="DT87" s="2657">
        <f>-'Balance Sheet'!CZ12</f>
      </c>
      <c r="DU87" s="2657">
        <f>-'Balance Sheet'!DA12</f>
      </c>
      <c r="DV87" s="2657">
        <f>-'Balance Sheet'!DB12</f>
      </c>
      <c r="DW87" s="2657">
        <f>-'Balance Sheet'!DC12</f>
      </c>
      <c r="DX87" s="2657">
        <f>-'Balance Sheet'!DD12</f>
      </c>
      <c r="DY87" s="2657">
        <f>-'Balance Sheet'!DE12</f>
      </c>
      <c r="DZ87" s="2657">
        <f>-'Balance Sheet'!DF12</f>
      </c>
      <c r="EA87" s="2657">
        <f>-'Balance Sheet'!DG12</f>
      </c>
      <c r="EB87" s="2657">
        <f>-'Balance Sheet'!DH12</f>
      </c>
      <c r="EC87" s="2657">
        <f>-'Balance Sheet'!DI12</f>
      </c>
      <c r="ED87" s="2657">
        <f>-'Balance Sheet'!DJ12</f>
      </c>
      <c r="EE87" s="2657">
        <f>-'Balance Sheet'!DK12</f>
      </c>
      <c r="EF87" s="2657">
        <f>-'Balance Sheet'!DL12</f>
      </c>
      <c r="EG87" s="2657">
        <f>-'Balance Sheet'!DM12</f>
      </c>
      <c r="EH87" s="2657">
        <f>-'Balance Sheet'!DN12</f>
      </c>
      <c r="EI87" s="2657">
        <f>-'Balance Sheet'!DO12</f>
      </c>
      <c r="EJ87" s="2657">
        <f>-'Balance Sheet'!DP12</f>
      </c>
      <c r="EK87" s="2657">
        <f>-'Balance Sheet'!DQ12</f>
      </c>
      <c r="EL87" s="2657">
        <f>-'Balance Sheet'!DR12</f>
      </c>
      <c r="EM87" s="2657">
        <f>-'Balance Sheet'!DS12</f>
      </c>
      <c r="EN87" s="2657">
        <f>-'Balance Sheet'!DT12</f>
      </c>
      <c r="EO87" s="2657">
        <f>-'Balance Sheet'!DU12</f>
      </c>
      <c r="EP87" s="2657">
        <f>-'Balance Sheet'!DV12</f>
      </c>
      <c r="EQ87" s="2657">
        <f>-'Balance Sheet'!DW12</f>
      </c>
      <c r="ER87" s="2657">
        <f>-'Balance Sheet'!DX12</f>
      </c>
      <c r="ES87" s="2657">
        <f>-'Balance Sheet'!DY12</f>
      </c>
      <c r="ET87" s="2657">
        <f>-'Balance Sheet'!DZ12</f>
      </c>
      <c r="EU87" s="2657">
        <f>-'Balance Sheet'!EA12</f>
      </c>
      <c r="EV87" s="2657">
        <f>-'Balance Sheet'!EB12</f>
      </c>
      <c r="EW87" s="2657">
        <f>-'Balance Sheet'!EC12</f>
      </c>
      <c r="EX87" s="2657">
        <f>-'Balance Sheet'!ED12</f>
      </c>
      <c r="EY87" s="2657">
        <f>-'Balance Sheet'!EE12</f>
      </c>
      <c r="EZ87" s="2657">
        <f>-'Balance Sheet'!EF12</f>
      </c>
      <c r="FA87" s="2657">
        <f>-'Balance Sheet'!EG12</f>
      </c>
      <c r="FB87" s="2657">
        <f>-'Balance Sheet'!EH12</f>
      </c>
      <c r="FC87" s="2657">
        <f>-'Balance Sheet'!EI12</f>
      </c>
      <c r="FD87" s="2657">
        <f>-'Balance Sheet'!EJ12</f>
      </c>
      <c r="FE87" s="2657">
        <f>-'Balance Sheet'!EK12</f>
      </c>
    </row>
    <row r="88" spans="1:161" outlineLevel="2">
      <c r="B88" t="s">
        <v>366</v>
      </c>
      <c r="C88" t="s">
        <v>367</v>
      </c>
      <c r="F88" s="2657"/>
      <c r="G88" s="2657"/>
      <c r="H88" s="2657"/>
      <c r="I88" s="2657"/>
      <c r="J88" s="2657"/>
      <c r="K88" s="2657"/>
      <c r="L88" s="2657"/>
      <c r="M88" s="2657"/>
      <c r="N88" s="2657"/>
      <c r="O88" s="2657"/>
      <c r="P88" s="2657"/>
      <c r="Q88" s="2657"/>
      <c r="R88" s="2657"/>
      <c r="S88" s="2657"/>
      <c r="T88" s="2657"/>
      <c r="U88" s="2657"/>
      <c r="V88" s="2657"/>
      <c r="W88" s="2657"/>
      <c r="X88" s="2657"/>
      <c r="Y88" s="2657"/>
      <c r="Z88" s="2657"/>
      <c r="AA88" s="2657"/>
      <c r="AB88" s="2657"/>
      <c r="AC88" s="2657"/>
      <c r="AD88" s="2657"/>
      <c r="AE88" s="2657"/>
      <c r="AF88" s="2657"/>
      <c r="AG88" s="2657"/>
      <c r="AH88" s="2657"/>
      <c r="AI88" s="2657"/>
      <c r="AJ88" s="2657"/>
      <c r="AK88" s="2657"/>
      <c r="AL88" s="2657"/>
      <c r="AM88" s="2657"/>
      <c r="AN88" s="2657"/>
      <c r="AO88" s="2657"/>
      <c r="AP88" s="2657"/>
      <c r="AQ88" s="2657"/>
      <c r="AR88" s="2657"/>
      <c r="AS88" s="2657"/>
      <c r="AT88" s="2657"/>
      <c r="AU88" s="2657"/>
      <c r="AV88" s="2657"/>
      <c r="AW88" s="2657"/>
      <c r="AX88" s="2657"/>
      <c r="AY88" s="2657"/>
      <c r="AZ88" s="2657"/>
      <c r="BA88" s="2657"/>
      <c r="BB88" s="2657"/>
      <c r="BC88" s="2657"/>
      <c r="BD88" s="2657"/>
      <c r="BE88" s="2657"/>
      <c r="BF88" s="2657"/>
      <c r="BG88" s="2657"/>
      <c r="BH88" s="2657"/>
      <c r="BI88" s="2657"/>
      <c r="BJ88" s="2657"/>
      <c r="BK88" s="2657"/>
      <c r="BL88" s="2657"/>
      <c r="BM88" s="2657"/>
      <c r="BN88" s="2657"/>
      <c r="BO88" s="2657"/>
      <c r="BP88" s="2657"/>
      <c r="BQ88" s="2657"/>
      <c r="BR88" s="2657"/>
      <c r="BS88" s="2657"/>
      <c r="BT88" s="2657"/>
      <c r="BU88" s="2657"/>
      <c r="BV88" s="2657"/>
      <c r="BW88" s="2657"/>
      <c r="BX88" s="2657"/>
      <c r="BY88" s="2657"/>
      <c r="BZ88" s="2657"/>
      <c r="CA88" s="2657"/>
      <c r="CB88" s="2657"/>
      <c r="CC88" s="2657"/>
      <c r="CD88" s="2657"/>
      <c r="CE88" s="2657"/>
      <c r="CF88" s="2657"/>
      <c r="CG88" s="2657"/>
      <c r="CH88" s="2657"/>
      <c r="CI88" s="2657"/>
      <c r="CJ88" s="2657"/>
      <c r="CK88" s="2657"/>
      <c r="CL88" s="2657"/>
      <c r="CM88" s="2657"/>
      <c r="CN88" s="2657"/>
      <c r="CO88" s="2657"/>
      <c r="CP88" s="2657"/>
      <c r="CQ88" s="2657"/>
      <c r="CR88" s="2657"/>
      <c r="CS88" s="2657"/>
      <c r="CT88" s="2657"/>
      <c r="CU88" s="2657"/>
      <c r="CV88" s="2657"/>
      <c r="CW88" s="2657"/>
      <c r="CX88" s="2657"/>
      <c r="CY88" s="2657"/>
      <c r="CZ88" s="2657"/>
      <c r="DA88" s="2657"/>
      <c r="DB88" s="2657"/>
      <c r="DC88" s="2657"/>
      <c r="DD88" s="2657"/>
      <c r="DE88" s="2657"/>
      <c r="DF88" s="2657"/>
      <c r="DG88" s="2657"/>
      <c r="DH88" s="2657"/>
      <c r="DI88" s="2657"/>
      <c r="DJ88" s="2657"/>
      <c r="DK88" s="2657"/>
      <c r="DL88" s="2657"/>
      <c r="DM88" s="2657"/>
      <c r="DN88" s="2657"/>
      <c r="DO88" s="2657"/>
      <c r="DP88" s="2657"/>
      <c r="DQ88" s="2657"/>
      <c r="DR88" s="2657"/>
      <c r="DS88" s="2657"/>
      <c r="DT88" s="2657"/>
      <c r="DU88" s="2657"/>
      <c r="DV88" s="2657"/>
      <c r="DW88" s="2657"/>
      <c r="DX88" s="2657"/>
      <c r="DY88" s="2657"/>
      <c r="DZ88" s="2657"/>
      <c r="EA88" s="2657"/>
      <c r="EB88" s="2657"/>
      <c r="EC88" s="2657"/>
      <c r="ED88" s="2657"/>
      <c r="EE88" s="2657"/>
      <c r="EF88" s="2657"/>
      <c r="EG88" s="2657"/>
      <c r="EH88" s="2657"/>
      <c r="EI88" s="2657"/>
      <c r="EJ88" s="2657"/>
      <c r="EK88" s="2657"/>
      <c r="EL88" s="2657"/>
      <c r="EM88" s="2657"/>
      <c r="EN88" s="2657"/>
      <c r="EO88" s="2657"/>
      <c r="EP88" s="2657"/>
      <c r="EQ88" s="2657"/>
      <c r="ER88" s="2657"/>
      <c r="ES88" s="2657"/>
      <c r="ET88" s="2657"/>
      <c r="EU88" s="2657"/>
      <c r="EV88" s="2657"/>
      <c r="EW88" s="2657"/>
      <c r="EX88" s="2657"/>
      <c r="EY88" s="2657"/>
      <c r="EZ88" s="2657"/>
      <c r="FA88" s="2657"/>
      <c r="FB88" s="2657"/>
      <c r="FC88" s="2657"/>
      <c r="FD88" s="2657"/>
      <c r="FE88" s="2657"/>
    </row>
    <row r="89" spans="1:161" outlineLevel="2">
      <c r="B89" t="s">
        <v>336</v>
      </c>
      <c r="C89" t="s">
        <v>368</v>
      </c>
      <c r="D89" t="str">
        <f>E_CURRENCY_ISSR_208000149_REP</f>
      </c>
      <c r="F89" s="2657"/>
      <c r="G89" s="2657"/>
      <c r="H89" s="2657"/>
      <c r="I89" s="2657"/>
      <c r="J89" s="2657"/>
      <c r="K89" s="2657"/>
      <c r="L89" s="2657"/>
      <c r="M89" s="2657"/>
      <c r="N89" s="2657"/>
      <c r="O89" s="2657"/>
      <c r="P89" s="2657"/>
      <c r="Q89" s="2657"/>
      <c r="R89" s="2657"/>
      <c r="S89" s="2657"/>
      <c r="T89" s="2657"/>
      <c r="U89" s="2657"/>
      <c r="V89" s="2657"/>
      <c r="W89" s="2657"/>
      <c r="X89" s="2657"/>
      <c r="Y89" s="2657"/>
      <c r="Z89" s="2657"/>
      <c r="AA89" s="2657"/>
      <c r="AB89" s="2657"/>
      <c r="AC89" s="2657"/>
      <c r="AD89" s="2657"/>
      <c r="AE89" s="2657"/>
      <c r="AF89" s="2657"/>
      <c r="AG89" s="2657"/>
      <c r="AH89" s="2657"/>
      <c r="AI89" s="2657"/>
      <c r="AJ89" s="2657"/>
      <c r="AK89" s="2657"/>
      <c r="AL89" s="2657"/>
      <c r="AM89" s="2657"/>
      <c r="AN89" s="2657"/>
      <c r="AO89" s="2657"/>
      <c r="AP89" s="2657"/>
      <c r="AQ89" s="2657"/>
      <c r="AR89" s="2657"/>
      <c r="AS89" s="2657"/>
      <c r="AT89" s="2657"/>
      <c r="AU89" s="2657"/>
      <c r="AV89" s="2657"/>
      <c r="AW89" s="2657"/>
      <c r="AX89" s="2657"/>
      <c r="AY89" s="2657"/>
      <c r="AZ89" s="2657"/>
      <c r="BA89" s="2657"/>
      <c r="BB89" s="2657"/>
      <c r="BC89" s="2657"/>
      <c r="BD89" s="2657"/>
      <c r="BE89" s="2657"/>
      <c r="BF89" s="2657"/>
      <c r="BG89" s="2657"/>
      <c r="BH89" s="2657"/>
      <c r="BI89" s="2657"/>
      <c r="BJ89" s="2657"/>
      <c r="BK89" s="2657"/>
      <c r="BL89" s="2657"/>
      <c r="BM89" s="2657"/>
      <c r="BN89" s="2657"/>
      <c r="BO89" s="2657"/>
      <c r="BP89" s="2657"/>
      <c r="BQ89" s="2657"/>
      <c r="BR89" s="2657"/>
      <c r="BS89" s="2657"/>
      <c r="BT89" s="2657"/>
      <c r="BU89" s="2657"/>
      <c r="BV89" s="2657"/>
      <c r="BW89" s="2657"/>
      <c r="BX89" s="2657"/>
      <c r="BY89" s="2657"/>
      <c r="BZ89" s="2657"/>
      <c r="CA89" s="2657"/>
      <c r="CB89" s="2657"/>
      <c r="CC89" s="2657"/>
      <c r="CD89" s="2657"/>
      <c r="CE89" s="2657"/>
      <c r="CF89" s="2657"/>
      <c r="CG89" s="2657"/>
      <c r="CH89" s="2657"/>
      <c r="CI89" s="2657"/>
      <c r="CJ89" s="2657"/>
      <c r="CK89" s="2657"/>
      <c r="CL89" s="2657"/>
      <c r="CM89" s="2657"/>
      <c r="CN89" s="2657"/>
      <c r="CO89" s="2657"/>
      <c r="CP89" s="2657"/>
      <c r="CQ89" s="2657"/>
      <c r="CR89" s="2657"/>
      <c r="CS89" s="2657"/>
      <c r="CT89" s="2657"/>
      <c r="CU89" s="2657"/>
      <c r="CV89" s="2657"/>
      <c r="CW89" s="2657"/>
      <c r="CX89" s="2657"/>
      <c r="CY89" s="2657"/>
      <c r="CZ89" s="2657"/>
      <c r="DA89" s="2657"/>
      <c r="DB89" s="2657"/>
      <c r="DC89" s="2657"/>
      <c r="DD89" s="2657"/>
      <c r="DE89" s="2657"/>
      <c r="DF89" s="2657"/>
      <c r="DG89" s="2657"/>
      <c r="DH89" s="2657"/>
      <c r="DI89" s="2657"/>
      <c r="DJ89" s="2657"/>
      <c r="DK89" s="2657"/>
      <c r="DL89" s="2657"/>
      <c r="DM89" s="2657"/>
      <c r="DN89" s="2657"/>
      <c r="DO89" s="2657"/>
      <c r="DP89" s="2657"/>
      <c r="DQ89" s="2657"/>
      <c r="DR89" s="2657"/>
      <c r="DS89" s="2657"/>
      <c r="DT89" s="2657"/>
      <c r="DU89" s="2657"/>
      <c r="DV89" s="2657"/>
      <c r="DW89" s="2657"/>
      <c r="DX89" s="2657"/>
      <c r="DY89" s="2657"/>
      <c r="DZ89" s="2657"/>
      <c r="EA89" s="2657"/>
      <c r="EB89" s="2657"/>
      <c r="EC89" s="2657"/>
      <c r="ED89" s="2657"/>
      <c r="EE89" s="2657"/>
      <c r="EF89" s="2657"/>
      <c r="EG89" s="2657"/>
      <c r="EH89" s="2657"/>
      <c r="EI89" s="2657"/>
      <c r="EJ89" s="2657"/>
      <c r="EK89" s="2657"/>
      <c r="EL89" s="2657"/>
      <c r="EM89" s="2657"/>
      <c r="EN89" s="2657"/>
      <c r="EO89" s="2657"/>
      <c r="EP89" s="2657"/>
      <c r="EQ89" s="2657"/>
      <c r="ER89" s="2657"/>
      <c r="ES89" s="2657"/>
      <c r="ET89" s="2657"/>
      <c r="EU89" s="2657"/>
      <c r="EV89" s="2657"/>
      <c r="EW89" s="2657"/>
      <c r="EX89" s="2657"/>
      <c r="EY89" s="2657"/>
      <c r="EZ89" s="2657"/>
      <c r="FA89" s="2657"/>
      <c r="FB89" s="2657"/>
      <c r="FC89" s="2657"/>
      <c r="FD89" s="2657"/>
      <c r="FE89" s="2657"/>
    </row>
    <row r="90" spans="1:161" outlineLevel="2">
      <c r="B90" t="s">
        <v>1078</v>
      </c>
      <c r="C90" t="s">
        <v>1079</v>
      </c>
      <c r="D90" t="str">
        <f>E_CURRENCY_ISSR_208000149_REP</f>
      </c>
      <c r="F90" s="2657"/>
      <c r="G90" s="2657"/>
      <c r="H90" s="2657"/>
      <c r="I90" s="2657"/>
      <c r="J90" s="2657"/>
      <c r="K90" s="2657"/>
      <c r="L90" s="2657"/>
      <c r="M90" s="2657"/>
      <c r="N90" s="2657"/>
      <c r="O90" s="2657"/>
      <c r="P90" s="2657"/>
      <c r="Q90" s="2657"/>
      <c r="R90" s="2657"/>
      <c r="S90" s="2657"/>
      <c r="T90" s="2657"/>
      <c r="U90" s="2657"/>
      <c r="V90" s="2657"/>
      <c r="W90" s="2657"/>
      <c r="X90" s="2657"/>
      <c r="Y90" s="2657"/>
      <c r="Z90" s="2657"/>
      <c r="AA90" s="2657"/>
      <c r="AB90" s="2657"/>
      <c r="AC90" s="2657"/>
      <c r="AD90" s="2657"/>
      <c r="AE90" s="2657"/>
      <c r="AF90" s="2657"/>
      <c r="AG90" s="2657"/>
      <c r="AH90" s="2657"/>
      <c r="AI90" s="2657"/>
      <c r="AJ90" s="2657"/>
      <c r="AK90" s="2657"/>
      <c r="AL90" s="2657"/>
      <c r="AM90" s="2657"/>
      <c r="AN90" s="2657"/>
      <c r="AO90" s="2657"/>
      <c r="AP90" s="2657"/>
      <c r="AQ90" s="2657"/>
      <c r="AR90" s="2657"/>
      <c r="AS90" s="2657"/>
      <c r="AT90" s="2657"/>
      <c r="AU90" s="2657"/>
      <c r="AV90" s="2657"/>
      <c r="AW90" s="2657"/>
      <c r="AX90" s="2657"/>
      <c r="AY90" s="2657"/>
      <c r="AZ90" s="2657"/>
      <c r="BA90" s="2657"/>
      <c r="BB90" s="2657"/>
      <c r="BC90" s="2657"/>
      <c r="BD90" s="2657"/>
      <c r="BE90" s="2657"/>
      <c r="BF90" s="2657"/>
      <c r="BG90" s="2657"/>
      <c r="BH90" s="2657"/>
      <c r="BI90" s="2657"/>
      <c r="BJ90" s="2657"/>
      <c r="BK90" s="2657"/>
      <c r="BL90" s="2657"/>
      <c r="BM90" s="2657"/>
      <c r="BN90" s="2657"/>
      <c r="BO90" s="2657"/>
      <c r="BP90" s="2657"/>
      <c r="BQ90" s="2657"/>
      <c r="BR90" s="2657"/>
      <c r="BS90" s="2657"/>
      <c r="BT90" s="2657"/>
      <c r="BU90" s="2657"/>
      <c r="BV90" s="2657"/>
      <c r="BW90" s="2657"/>
      <c r="BX90" s="2657"/>
      <c r="BY90" s="2657"/>
      <c r="BZ90" s="2657"/>
      <c r="CA90" s="2657"/>
      <c r="CB90" s="2657"/>
      <c r="CC90" s="2657"/>
      <c r="CD90" s="2657"/>
      <c r="CE90" s="2657"/>
      <c r="CF90" s="2657"/>
      <c r="CG90" s="2657"/>
      <c r="CH90" s="2657"/>
      <c r="CI90" s="2657"/>
      <c r="CJ90" s="2657"/>
      <c r="CK90" s="2657"/>
      <c r="CL90" s="2657"/>
      <c r="CM90" s="2657"/>
      <c r="CN90" s="2657"/>
      <c r="CO90" s="2657"/>
      <c r="CP90" s="2657"/>
      <c r="CQ90" s="2657"/>
      <c r="CR90" s="2657"/>
      <c r="CS90" s="2657"/>
      <c r="CT90" s="2657"/>
      <c r="CU90" s="2657"/>
      <c r="CV90" s="2657"/>
      <c r="CW90" s="2657"/>
      <c r="CX90" s="2657"/>
      <c r="CY90" s="2657"/>
      <c r="CZ90" s="2657"/>
      <c r="DA90" s="2657"/>
      <c r="DB90" s="2657"/>
      <c r="DC90" s="2657"/>
      <c r="DD90" s="2657"/>
      <c r="DE90" s="2657"/>
      <c r="DF90" s="2657"/>
      <c r="DG90" s="2657"/>
      <c r="DH90" s="2657"/>
      <c r="DI90" s="2657"/>
      <c r="DJ90" s="2657"/>
      <c r="DK90" s="2657"/>
      <c r="DL90" s="2657"/>
      <c r="DM90" s="2657"/>
      <c r="DN90" s="2657"/>
      <c r="DO90" s="2657"/>
      <c r="DP90" s="2657"/>
      <c r="DQ90" s="2657"/>
      <c r="DR90" s="2657"/>
      <c r="DS90" s="2657"/>
      <c r="DT90" s="2657"/>
      <c r="DU90" s="2657"/>
      <c r="DV90" s="2657"/>
      <c r="DW90" s="2657"/>
      <c r="DX90" s="2657"/>
      <c r="DY90" s="2657"/>
      <c r="DZ90" s="2657"/>
      <c r="EA90" s="2657"/>
      <c r="EB90" s="2657"/>
      <c r="EC90" s="2657"/>
      <c r="ED90" s="2657"/>
      <c r="EE90" s="2657"/>
      <c r="EF90" s="2657"/>
      <c r="EG90" s="2657"/>
      <c r="EH90" s="2657"/>
      <c r="EI90" s="2657"/>
      <c r="EJ90" s="2657"/>
      <c r="EK90" s="2657"/>
      <c r="EL90" s="2657"/>
      <c r="EM90" s="2657"/>
      <c r="EN90" s="2657"/>
      <c r="EO90" s="2657"/>
      <c r="EP90" s="2657"/>
      <c r="EQ90" s="2657"/>
      <c r="ER90" s="2657"/>
      <c r="ES90" s="2657"/>
      <c r="ET90" s="2657"/>
      <c r="EU90" s="2657"/>
      <c r="EV90" s="2657"/>
      <c r="EW90" s="2657"/>
      <c r="EX90" s="2657"/>
      <c r="EY90" s="2657"/>
      <c r="EZ90" s="2657"/>
      <c r="FA90" s="2657"/>
      <c r="FB90" s="2657"/>
      <c r="FC90" s="2657"/>
      <c r="FD90" s="2657"/>
      <c r="FE90" s="2657"/>
    </row>
    <row r="91" spans="1:161" s="539" customFormat="1" outlineLevel="1">
      <c r="A91" s="540" t="s">
        <v>369</v>
      </c>
      <c r="B91" s="540"/>
      <c r="C91" s="540"/>
      <c r="D91" s="540"/>
    </row>
    <row r="92" spans="1:161" outlineLevel="2">
      <c r="B92" t="s">
        <v>370</v>
      </c>
      <c r="C92" t="s">
        <v>371</v>
      </c>
      <c r="D92" t="str">
        <f t="shared" ref="D92:D108" si="14">E_CURRENCY_ISSR_208000149_REP</f>
      </c>
      <c r="F92" s="2657">
        <v>0</v>
      </c>
      <c r="G92" s="2657">
        <v>0</v>
      </c>
      <c r="H92" s="2657">
        <v>0</v>
      </c>
      <c r="I92" s="2657">
        <v>0</v>
      </c>
      <c r="J92" s="2657">
        <v>0</v>
      </c>
      <c r="K92" s="2657">
        <v>0</v>
      </c>
      <c r="L92" s="2657">
        <v>0</v>
      </c>
      <c r="M92" s="2657">
        <v>0</v>
      </c>
      <c r="N92" s="2657">
        <v>0</v>
      </c>
      <c r="O92" s="2657">
        <v>0</v>
      </c>
      <c r="P92" s="2657"/>
      <c r="Q92" s="2657"/>
      <c r="R92" s="2657"/>
      <c r="S92" s="2657"/>
      <c r="T92" s="2657"/>
      <c r="U92" s="2657"/>
      <c r="V92" s="2657"/>
      <c r="W92" s="2657"/>
      <c r="X92" s="2657"/>
      <c r="Y92" s="2657"/>
      <c r="Z92" s="2657"/>
      <c r="AA92" s="2657"/>
      <c r="AB92" s="2657"/>
      <c r="AC92" s="2657"/>
      <c r="AD92" s="2657"/>
      <c r="AE92" s="2657"/>
      <c r="AF92" s="2657"/>
      <c r="AG92" s="2657"/>
      <c r="AH92" s="2657"/>
      <c r="AI92" s="2657"/>
      <c r="AJ92" s="2657"/>
      <c r="AK92" s="2657"/>
      <c r="AL92" s="2657"/>
      <c r="AM92" s="2657"/>
      <c r="AN92" s="2657"/>
      <c r="AO92" s="2657"/>
      <c r="AP92" s="2657"/>
      <c r="AQ92" s="2657"/>
      <c r="AR92" s="2657"/>
      <c r="AS92" s="2657"/>
      <c r="AT92" s="2657"/>
      <c r="AU92" s="2657"/>
      <c r="AV92" s="2657"/>
      <c r="AW92" s="2657"/>
      <c r="AX92" s="2657">
        <v>0</v>
      </c>
      <c r="AY92" s="2657">
        <v>0</v>
      </c>
      <c r="AZ92" s="2657">
        <v>0</v>
      </c>
      <c r="BA92" s="2657">
        <v>0</v>
      </c>
      <c r="BB92" s="2657">
        <v>0</v>
      </c>
      <c r="BC92" s="2657">
        <v>0</v>
      </c>
      <c r="BD92" s="2657">
        <v>0</v>
      </c>
      <c r="BE92" s="2657">
        <v>0</v>
      </c>
      <c r="BF92" s="2657">
        <v>0</v>
      </c>
      <c r="BG92" s="2657">
        <v>0</v>
      </c>
      <c r="BH92" s="2657">
        <v>0</v>
      </c>
      <c r="BI92" s="2657">
        <v>0</v>
      </c>
      <c r="BJ92" s="2657">
        <v>0</v>
      </c>
      <c r="BK92" s="2657">
        <v>0</v>
      </c>
      <c r="BL92" s="2657">
        <v>0</v>
      </c>
      <c r="BM92" s="2657">
        <v>0</v>
      </c>
      <c r="BN92" s="2657">
        <v>0</v>
      </c>
      <c r="BO92" s="2657">
        <v>0</v>
      </c>
      <c r="BP92" s="2657">
        <v>0</v>
      </c>
      <c r="BQ92" s="2657">
        <v>0</v>
      </c>
      <c r="BR92" s="2657">
        <v>0</v>
      </c>
      <c r="BS92" s="2657">
        <v>0</v>
      </c>
      <c r="BT92" s="2657">
        <v>0</v>
      </c>
      <c r="BU92" s="2657">
        <v>0</v>
      </c>
      <c r="BV92" s="2657">
        <v>0</v>
      </c>
      <c r="BW92" s="2657"/>
      <c r="BX92" s="2657"/>
      <c r="BY92" s="2657"/>
      <c r="BZ92" s="2657"/>
      <c r="CA92" s="2657"/>
      <c r="CB92" s="2657"/>
      <c r="CC92" s="2657"/>
      <c r="CD92" s="2657"/>
      <c r="CE92" s="2657"/>
      <c r="CF92" s="2657"/>
      <c r="CG92" s="2657"/>
      <c r="CH92" s="2657"/>
      <c r="CI92" s="2657"/>
      <c r="CJ92" s="2657"/>
      <c r="CK92" s="2657"/>
      <c r="CL92" s="2657"/>
      <c r="CM92" s="2657"/>
      <c r="CN92" s="2657"/>
      <c r="CO92" s="2657"/>
      <c r="CP92" s="2657"/>
      <c r="CQ92" s="2657"/>
      <c r="CR92" s="2657"/>
      <c r="CS92" s="2657"/>
      <c r="CT92" s="2657"/>
      <c r="CU92" s="2657"/>
      <c r="CV92" s="2657"/>
      <c r="CW92" s="2657"/>
      <c r="CX92" s="2657"/>
      <c r="CY92" s="2657"/>
      <c r="CZ92" s="2657"/>
      <c r="DA92" s="2657"/>
      <c r="DB92" s="2657"/>
      <c r="DC92" s="2657"/>
      <c r="DD92" s="2657"/>
      <c r="DE92" s="2657"/>
      <c r="DF92" s="2657"/>
      <c r="DG92" s="2657"/>
      <c r="DH92" s="2657"/>
      <c r="DI92" s="2657"/>
      <c r="DJ92" s="2657"/>
      <c r="DK92" s="2657"/>
      <c r="DL92" s="2657"/>
      <c r="DM92" s="2657"/>
      <c r="DN92" s="2657"/>
      <c r="DO92" s="2657"/>
      <c r="DP92" s="2657"/>
      <c r="DQ92" s="2657"/>
      <c r="DR92" s="2657"/>
      <c r="DS92" s="2657"/>
      <c r="DT92" s="2657"/>
      <c r="DU92" s="2657"/>
      <c r="DV92" s="2657"/>
      <c r="DW92" s="2657"/>
      <c r="DX92" s="2657"/>
      <c r="DY92" s="2657"/>
      <c r="DZ92" s="2657"/>
      <c r="EA92" s="2657"/>
      <c r="EB92" s="2657"/>
      <c r="EC92" s="2657"/>
      <c r="ED92" s="2657"/>
      <c r="EE92" s="2657"/>
      <c r="EF92" s="2657"/>
      <c r="EG92" s="2657"/>
      <c r="EH92" s="2657"/>
      <c r="EI92" s="2657"/>
      <c r="EJ92" s="2657"/>
      <c r="EK92" s="2657"/>
      <c r="EL92" s="2657"/>
      <c r="EM92" s="2657"/>
      <c r="EN92" s="2657"/>
      <c r="EO92" s="2657"/>
      <c r="EP92" s="2657"/>
      <c r="EQ92" s="2657"/>
      <c r="ER92" s="2657"/>
      <c r="ES92" s="2657"/>
      <c r="ET92" s="2657"/>
      <c r="EU92" s="2657"/>
      <c r="EV92" s="2657"/>
      <c r="EW92" s="2657"/>
      <c r="EX92" s="2657"/>
      <c r="EY92" s="2657"/>
      <c r="EZ92" s="2657"/>
      <c r="FA92" s="2657"/>
      <c r="FB92" s="2657"/>
      <c r="FC92" s="2657"/>
      <c r="FD92" s="2657"/>
      <c r="FE92" s="2657"/>
    </row>
    <row r="93" spans="1:161" outlineLevel="2">
      <c r="B93" t="s">
        <v>372</v>
      </c>
      <c r="C93" t="s">
        <v>373</v>
      </c>
      <c r="D93" t="str">
        <f t="shared" si="14"/>
      </c>
      <c r="F93" s="2657">
        <f>'Cash Flow Statement'!ER12</f>
      </c>
      <c r="G93" s="2657">
        <f>'Cash Flow Statement'!ES12</f>
      </c>
      <c r="H93" s="2657">
        <f>'Cash Flow Statement'!ET12</f>
      </c>
      <c r="I93" s="2657">
        <f>'Cash Flow Statement'!EU12</f>
      </c>
      <c r="J93" s="2657">
        <f>'Cash Flow Statement'!EV12</f>
      </c>
      <c r="K93" s="2657">
        <f>'Cash Flow Statement'!EW12</f>
      </c>
      <c r="L93" s="2657">
        <f>'Cash Flow Statement'!EX12</f>
      </c>
      <c r="M93" s="2657">
        <f>'Cash Flow Statement'!EY12</f>
      </c>
      <c r="N93" s="2657">
        <f>'Cash Flow Statement'!EZ12</f>
      </c>
      <c r="O93" s="2657">
        <f>'Cash Flow Statement'!FA12</f>
      </c>
      <c r="P93" s="2657">
        <f>'Cash Flow Statement'!FB12</f>
      </c>
      <c r="Q93" s="2657">
        <f>'Cash Flow Statement'!FC12</f>
      </c>
      <c r="R93" s="2657">
        <f>'Cash Flow Statement'!FD12</f>
      </c>
      <c r="S93" s="2657">
        <f>'Cash Flow Statement'!FE12</f>
      </c>
      <c r="T93" s="2657">
        <f>'Cash Flow Statement'!FF12</f>
      </c>
      <c r="U93" s="2657">
        <f>'Cash Flow Statement'!FG12</f>
      </c>
      <c r="V93" s="2657">
        <f>'Cash Flow Statement'!FH12</f>
      </c>
      <c r="W93" s="2657">
        <f>'Cash Flow Statement'!FI12</f>
      </c>
      <c r="X93" s="2657">
        <f>'Cash Flow Statement'!FJ12</f>
      </c>
      <c r="Y93" s="2657">
        <f>'Cash Flow Statement'!FK12</f>
      </c>
      <c r="Z93" s="2657">
        <f>'Cash Flow Statement'!FL12</f>
      </c>
      <c r="AA93" s="2657">
        <f>'Cash Flow Statement'!FM12</f>
      </c>
      <c r="AB93" s="2657">
        <f>'Cash Flow Statement'!FN12</f>
      </c>
      <c r="AC93" s="2657">
        <f>'Cash Flow Statement'!FO12</f>
      </c>
      <c r="AD93" s="2657">
        <f>'Cash Flow Statement'!FP12</f>
      </c>
      <c r="AE93" s="2657">
        <f>'Cash Flow Statement'!FQ12</f>
      </c>
      <c r="AF93" s="2657">
        <f>'Cash Flow Statement'!FR12</f>
      </c>
      <c r="AG93" s="2657">
        <f>'Cash Flow Statement'!FS12</f>
      </c>
      <c r="AH93" s="2657">
        <f>'Cash Flow Statement'!FT12</f>
      </c>
      <c r="AI93" s="2657">
        <f>'Cash Flow Statement'!FU12</f>
      </c>
      <c r="AJ93" s="2657">
        <f>'Cash Flow Statement'!FV12</f>
      </c>
      <c r="AK93" s="2657"/>
      <c r="AL93" s="2657">
        <f>'Cash Flow Statement'!R12</f>
      </c>
      <c r="AM93" s="2657">
        <f>'Cash Flow Statement'!S12</f>
      </c>
      <c r="AN93" s="2657">
        <f>'Cash Flow Statement'!T12</f>
      </c>
      <c r="AO93" s="2657">
        <f>'Cash Flow Statement'!U12</f>
      </c>
      <c r="AP93" s="2657">
        <f>'Cash Flow Statement'!V12</f>
      </c>
      <c r="AQ93" s="2657">
        <f>'Cash Flow Statement'!W12</f>
      </c>
      <c r="AR93" s="2657">
        <f>'Cash Flow Statement'!X12</f>
      </c>
      <c r="AS93" s="2657">
        <f>'Cash Flow Statement'!Y12</f>
      </c>
      <c r="AT93" s="2657">
        <f>'Cash Flow Statement'!Z12</f>
      </c>
      <c r="AU93" s="2657">
        <f>'Cash Flow Statement'!AA12</f>
      </c>
      <c r="AV93" s="2657">
        <f>'Cash Flow Statement'!AB12</f>
      </c>
      <c r="AW93" s="2657">
        <f>'Cash Flow Statement'!AC12</f>
      </c>
      <c r="AX93" s="2657">
        <f>'Cash Flow Statement'!AD12</f>
      </c>
      <c r="AY93" s="2657">
        <f>'Cash Flow Statement'!AE12</f>
      </c>
      <c r="AZ93" s="2657">
        <f>'Cash Flow Statement'!AF12</f>
      </c>
      <c r="BA93" s="2657">
        <f>'Cash Flow Statement'!AG12</f>
      </c>
      <c r="BB93" s="2657">
        <f>'Cash Flow Statement'!AH12</f>
      </c>
      <c r="BC93" s="2657">
        <f>'Cash Flow Statement'!AI12</f>
      </c>
      <c r="BD93" s="2657">
        <f>'Cash Flow Statement'!AJ12</f>
      </c>
      <c r="BE93" s="2657">
        <f>'Cash Flow Statement'!AK12</f>
      </c>
      <c r="BF93" s="2657">
        <f>'Cash Flow Statement'!AL12</f>
      </c>
      <c r="BG93" s="2657">
        <f>'Cash Flow Statement'!AM12</f>
      </c>
      <c r="BH93" s="2657">
        <f>'Cash Flow Statement'!AN12</f>
      </c>
      <c r="BI93" s="2657">
        <f>'Cash Flow Statement'!AO12</f>
      </c>
      <c r="BJ93" s="2657">
        <f>'Cash Flow Statement'!AP12</f>
      </c>
      <c r="BK93" s="2657">
        <f>'Cash Flow Statement'!AQ12</f>
      </c>
      <c r="BL93" s="2657">
        <f>'Cash Flow Statement'!AR12</f>
      </c>
      <c r="BM93" s="2657">
        <f>'Cash Flow Statement'!AS12</f>
      </c>
      <c r="BN93" s="2657">
        <f>'Cash Flow Statement'!AT12</f>
      </c>
      <c r="BO93" s="2657">
        <f>'Cash Flow Statement'!AU12</f>
      </c>
      <c r="BP93" s="2657">
        <f>'Cash Flow Statement'!AV12</f>
      </c>
      <c r="BQ93" s="2657">
        <f>'Cash Flow Statement'!AW12</f>
      </c>
      <c r="BR93" s="2657">
        <f>'Cash Flow Statement'!AX12</f>
      </c>
      <c r="BS93" s="2657">
        <f>'Cash Flow Statement'!AY12</f>
      </c>
      <c r="BT93" s="2657">
        <f>'Cash Flow Statement'!AZ12</f>
      </c>
      <c r="BU93" s="2657">
        <f>'Cash Flow Statement'!BA12</f>
      </c>
      <c r="BV93" s="2657">
        <f>'Cash Flow Statement'!BB12</f>
      </c>
      <c r="BW93" s="2657">
        <f>'Cash Flow Statement'!BC12</f>
      </c>
      <c r="BX93" s="2657">
        <f>'Cash Flow Statement'!BD12</f>
      </c>
      <c r="BY93" s="2657">
        <f>'Cash Flow Statement'!BE12</f>
      </c>
      <c r="BZ93" s="2657">
        <f>'Cash Flow Statement'!BF12</f>
      </c>
      <c r="CA93" s="2657">
        <f>'Cash Flow Statement'!BG12</f>
      </c>
      <c r="CB93" s="2657">
        <f>'Cash Flow Statement'!BH12</f>
      </c>
      <c r="CC93" s="2657">
        <f>'Cash Flow Statement'!BI12</f>
      </c>
      <c r="CD93" s="2657">
        <f>'Cash Flow Statement'!BJ12</f>
      </c>
      <c r="CE93" s="2657">
        <f>'Cash Flow Statement'!BK12</f>
      </c>
      <c r="CF93" s="2657">
        <f>'Cash Flow Statement'!BL12</f>
      </c>
      <c r="CG93" s="2657">
        <f>'Cash Flow Statement'!BM12</f>
      </c>
      <c r="CH93" s="2657">
        <f>'Cash Flow Statement'!BN12</f>
      </c>
      <c r="CI93" s="2657">
        <f>'Cash Flow Statement'!BO12</f>
      </c>
      <c r="CJ93" s="2657">
        <f>'Cash Flow Statement'!BP12</f>
      </c>
      <c r="CK93" s="2657">
        <f>'Cash Flow Statement'!BQ12</f>
      </c>
      <c r="CL93" s="2657">
        <f>'Cash Flow Statement'!BR12</f>
      </c>
      <c r="CM93" s="2657">
        <f>'Cash Flow Statement'!BS12</f>
      </c>
      <c r="CN93" s="2657">
        <f>'Cash Flow Statement'!BT12</f>
      </c>
      <c r="CO93" s="2657">
        <f>'Cash Flow Statement'!BU12</f>
      </c>
      <c r="CP93" s="2657">
        <f>'Cash Flow Statement'!BV12</f>
      </c>
      <c r="CQ93" s="2657">
        <f>'Cash Flow Statement'!BW12</f>
      </c>
      <c r="CR93" s="2657">
        <f>'Cash Flow Statement'!BX12</f>
      </c>
      <c r="CS93" s="2657">
        <f>'Cash Flow Statement'!BY12</f>
      </c>
      <c r="CT93" s="2657">
        <f>'Cash Flow Statement'!BZ12</f>
      </c>
      <c r="CU93" s="2657">
        <f>'Cash Flow Statement'!CA12</f>
      </c>
      <c r="CV93" s="2657">
        <f>'Cash Flow Statement'!CB12</f>
      </c>
      <c r="CW93" s="2657">
        <f>'Cash Flow Statement'!CC12</f>
      </c>
      <c r="CX93" s="2657">
        <f>'Cash Flow Statement'!CD12</f>
      </c>
      <c r="CY93" s="2657">
        <f>'Cash Flow Statement'!CE12</f>
      </c>
      <c r="CZ93" s="2657">
        <f>'Cash Flow Statement'!CF12</f>
      </c>
      <c r="DA93" s="2657">
        <f>'Cash Flow Statement'!CG12</f>
      </c>
      <c r="DB93" s="2657">
        <f>'Cash Flow Statement'!CH12</f>
      </c>
      <c r="DC93" s="2657">
        <f>'Cash Flow Statement'!CI12</f>
      </c>
      <c r="DD93" s="2657">
        <f>'Cash Flow Statement'!CJ12</f>
      </c>
      <c r="DE93" s="2657">
        <f>'Cash Flow Statement'!CK12</f>
      </c>
      <c r="DF93" s="2657">
        <f>'Cash Flow Statement'!CL12</f>
      </c>
      <c r="DG93" s="2657">
        <f>'Cash Flow Statement'!CM12</f>
      </c>
      <c r="DH93" s="2657">
        <f>'Cash Flow Statement'!CN12</f>
      </c>
      <c r="DI93" s="2657">
        <f>'Cash Flow Statement'!CO12</f>
      </c>
      <c r="DJ93" s="2657">
        <f>'Cash Flow Statement'!CP12</f>
      </c>
      <c r="DK93" s="2657">
        <f>'Cash Flow Statement'!CQ12</f>
      </c>
      <c r="DL93" s="2657">
        <f>'Cash Flow Statement'!CR12</f>
      </c>
      <c r="DM93" s="2657">
        <f>'Cash Flow Statement'!CS12</f>
      </c>
      <c r="DN93" s="2657">
        <f>'Cash Flow Statement'!CT12</f>
      </c>
      <c r="DO93" s="2657">
        <f>'Cash Flow Statement'!CU12</f>
      </c>
      <c r="DP93" s="2657">
        <f>'Cash Flow Statement'!CV12</f>
      </c>
      <c r="DQ93" s="2657">
        <f>'Cash Flow Statement'!CW12</f>
      </c>
      <c r="DR93" s="2657">
        <f>'Cash Flow Statement'!CX12</f>
      </c>
      <c r="DS93" s="2657">
        <f>'Cash Flow Statement'!CY12</f>
      </c>
      <c r="DT93" s="2657">
        <f>'Cash Flow Statement'!CZ12</f>
      </c>
      <c r="DU93" s="2657">
        <f>'Cash Flow Statement'!DA12</f>
      </c>
      <c r="DV93" s="2657">
        <f>'Cash Flow Statement'!DB12</f>
      </c>
      <c r="DW93" s="2657">
        <f>'Cash Flow Statement'!DC12</f>
      </c>
      <c r="DX93" s="2657">
        <f>'Cash Flow Statement'!DD12</f>
      </c>
      <c r="DY93" s="2657">
        <f>'Cash Flow Statement'!DE12</f>
      </c>
      <c r="DZ93" s="2657">
        <f>'Cash Flow Statement'!DF12</f>
      </c>
      <c r="EA93" s="2657">
        <f>'Cash Flow Statement'!DG12</f>
      </c>
      <c r="EB93" s="2657">
        <f>'Cash Flow Statement'!DH12</f>
      </c>
      <c r="EC93" s="2657">
        <f>'Cash Flow Statement'!DI12</f>
      </c>
      <c r="ED93" s="2657">
        <f>'Cash Flow Statement'!DJ12</f>
      </c>
      <c r="EE93" s="2657">
        <f>'Cash Flow Statement'!DK12</f>
      </c>
      <c r="EF93" s="2657">
        <f>'Cash Flow Statement'!DL12</f>
      </c>
      <c r="EG93" s="2657">
        <f>'Cash Flow Statement'!DM12</f>
      </c>
      <c r="EH93" s="2657">
        <f>'Cash Flow Statement'!DN12</f>
      </c>
      <c r="EI93" s="2657">
        <f>'Cash Flow Statement'!DO12</f>
      </c>
      <c r="EJ93" s="2657">
        <f>'Cash Flow Statement'!DP12</f>
      </c>
      <c r="EK93" s="2657">
        <f>'Cash Flow Statement'!DQ12</f>
      </c>
      <c r="EL93" s="2657">
        <f>'Cash Flow Statement'!DR12</f>
      </c>
      <c r="EM93" s="2657">
        <f>'Cash Flow Statement'!DS12</f>
      </c>
      <c r="EN93" s="2657">
        <f>'Cash Flow Statement'!DT12</f>
      </c>
      <c r="EO93" s="2657">
        <f>'Cash Flow Statement'!DU12</f>
      </c>
      <c r="EP93" s="2657">
        <f>'Cash Flow Statement'!DV12</f>
      </c>
      <c r="EQ93" s="2657">
        <f>'Cash Flow Statement'!DW12</f>
      </c>
      <c r="ER93" s="2657">
        <f>'Cash Flow Statement'!DX12</f>
      </c>
      <c r="ES93" s="2657">
        <f>'Cash Flow Statement'!DY12</f>
      </c>
      <c r="ET93" s="2657">
        <f>'Cash Flow Statement'!DZ12</f>
      </c>
      <c r="EU93" s="2657">
        <f>'Cash Flow Statement'!EA12</f>
      </c>
      <c r="EV93" s="2657">
        <f>'Cash Flow Statement'!EB12</f>
      </c>
      <c r="EW93" s="2657">
        <f>'Cash Flow Statement'!EC12</f>
      </c>
      <c r="EX93" s="2657">
        <f>'Cash Flow Statement'!ED12</f>
      </c>
      <c r="EY93" s="2657">
        <f>'Cash Flow Statement'!EE12</f>
      </c>
      <c r="EZ93" s="2657">
        <f>'Cash Flow Statement'!EF12</f>
      </c>
      <c r="FA93" s="2657">
        <f>'Cash Flow Statement'!EG12</f>
      </c>
      <c r="FB93" s="2657">
        <f>'Cash Flow Statement'!EH12</f>
      </c>
      <c r="FC93" s="2657">
        <f>'Cash Flow Statement'!EI12</f>
      </c>
      <c r="FD93" s="2657">
        <f>'Cash Flow Statement'!EJ12</f>
      </c>
      <c r="FE93" s="2657">
        <f>'Cash Flow Statement'!EK12</f>
      </c>
    </row>
    <row r="94" spans="1:161" outlineLevel="2">
      <c r="B94" t="s">
        <v>374</v>
      </c>
      <c r="C94" t="s">
        <v>375</v>
      </c>
      <c r="D94" t="str">
        <f t="shared" si="14"/>
      </c>
      <c r="F94" s="2657">
        <f>'Cash Flow Statement'!ER24</f>
      </c>
      <c r="G94" s="2657">
        <f>'Cash Flow Statement'!ES24</f>
      </c>
      <c r="H94" s="2657">
        <f>'Cash Flow Statement'!ET24</f>
      </c>
      <c r="I94" s="2657">
        <f>'Cash Flow Statement'!EU24</f>
      </c>
      <c r="J94" s="2657">
        <f>'Cash Flow Statement'!EV24</f>
      </c>
      <c r="K94" s="2657">
        <f>'Cash Flow Statement'!EW24</f>
      </c>
      <c r="L94" s="2657">
        <f>'Cash Flow Statement'!EX24</f>
      </c>
      <c r="M94" s="2657">
        <f>'Cash Flow Statement'!EY24</f>
      </c>
      <c r="N94" s="2657">
        <f>'Cash Flow Statement'!EZ24</f>
      </c>
      <c r="O94" s="2657">
        <f>'Cash Flow Statement'!FA24</f>
      </c>
      <c r="P94" s="2657">
        <f>'Cash Flow Statement'!FB24</f>
      </c>
      <c r="Q94" s="2657">
        <f>'Cash Flow Statement'!FC24</f>
      </c>
      <c r="R94" s="2657">
        <f>'Cash Flow Statement'!FD24</f>
      </c>
      <c r="S94" s="2657">
        <f>'Cash Flow Statement'!FE24</f>
      </c>
      <c r="T94" s="2657">
        <f>'Cash Flow Statement'!FF24</f>
      </c>
      <c r="U94" s="2657">
        <f>'Cash Flow Statement'!FG24</f>
      </c>
      <c r="V94" s="2657">
        <f>'Cash Flow Statement'!FH24</f>
      </c>
      <c r="W94" s="2657">
        <f>'Cash Flow Statement'!FI24</f>
      </c>
      <c r="X94" s="2657">
        <f>'Cash Flow Statement'!FJ24</f>
      </c>
      <c r="Y94" s="2657">
        <f>'Cash Flow Statement'!FK24</f>
      </c>
      <c r="Z94" s="2657">
        <f>'Cash Flow Statement'!FL24</f>
      </c>
      <c r="AA94" s="2657">
        <f>'Cash Flow Statement'!FM24</f>
      </c>
      <c r="AB94" s="2657">
        <f>'Cash Flow Statement'!FN24</f>
      </c>
      <c r="AC94" s="2657">
        <f>'Cash Flow Statement'!FO24</f>
      </c>
      <c r="AD94" s="2657">
        <f>'Cash Flow Statement'!FP24</f>
      </c>
      <c r="AE94" s="2657">
        <f>'Cash Flow Statement'!FQ24</f>
      </c>
      <c r="AF94" s="2657">
        <f>'Cash Flow Statement'!FR24</f>
      </c>
      <c r="AG94" s="2657">
        <f>'Cash Flow Statement'!FS24</f>
      </c>
      <c r="AH94" s="2657">
        <f>'Cash Flow Statement'!FT24</f>
      </c>
      <c r="AI94" s="2657">
        <f>'Cash Flow Statement'!FU24</f>
      </c>
      <c r="AJ94" s="2657">
        <f>'Cash Flow Statement'!FV24</f>
      </c>
      <c r="AK94" s="2657"/>
      <c r="AL94" s="2657">
        <f>'Cash Flow Statement'!R24</f>
      </c>
      <c r="AM94" s="2657">
        <f>'Cash Flow Statement'!S24</f>
      </c>
      <c r="AN94" s="2657">
        <f>'Cash Flow Statement'!T24</f>
      </c>
      <c r="AO94" s="2657">
        <f>'Cash Flow Statement'!U24</f>
      </c>
      <c r="AP94" s="2657">
        <f>'Cash Flow Statement'!V24</f>
      </c>
      <c r="AQ94" s="2657">
        <f>'Cash Flow Statement'!W24</f>
      </c>
      <c r="AR94" s="2657">
        <f>'Cash Flow Statement'!X24</f>
      </c>
      <c r="AS94" s="2657">
        <f>'Cash Flow Statement'!Y24</f>
      </c>
      <c r="AT94" s="2657">
        <f>'Cash Flow Statement'!Z24</f>
      </c>
      <c r="AU94" s="2657">
        <f>'Cash Flow Statement'!AA24</f>
      </c>
      <c r="AV94" s="2657">
        <f>'Cash Flow Statement'!AB24</f>
      </c>
      <c r="AW94" s="2657">
        <f>'Cash Flow Statement'!AC24</f>
      </c>
      <c r="AX94" s="2657">
        <f>'Cash Flow Statement'!AD24</f>
      </c>
      <c r="AY94" s="2657">
        <f>'Cash Flow Statement'!AE24</f>
      </c>
      <c r="AZ94" s="2657">
        <f>'Cash Flow Statement'!AF24</f>
      </c>
      <c r="BA94" s="2657">
        <f>'Cash Flow Statement'!AG24</f>
      </c>
      <c r="BB94" s="2657">
        <f>'Cash Flow Statement'!AH24</f>
      </c>
      <c r="BC94" s="2657">
        <f>'Cash Flow Statement'!AI24</f>
      </c>
      <c r="BD94" s="2657">
        <f>'Cash Flow Statement'!AJ24</f>
      </c>
      <c r="BE94" s="2657">
        <f>'Cash Flow Statement'!AK24</f>
      </c>
      <c r="BF94" s="2657">
        <f>'Cash Flow Statement'!AL24</f>
      </c>
      <c r="BG94" s="2657">
        <f>'Cash Flow Statement'!AM24</f>
      </c>
      <c r="BH94" s="2657">
        <f>'Cash Flow Statement'!AN24</f>
      </c>
      <c r="BI94" s="2657">
        <f>'Cash Flow Statement'!AO24</f>
      </c>
      <c r="BJ94" s="2657">
        <f>'Cash Flow Statement'!AP24</f>
      </c>
      <c r="BK94" s="2657">
        <f>'Cash Flow Statement'!AQ24</f>
      </c>
      <c r="BL94" s="2657">
        <f>'Cash Flow Statement'!AR24</f>
      </c>
      <c r="BM94" s="2657">
        <f>'Cash Flow Statement'!AS24</f>
      </c>
      <c r="BN94" s="2657">
        <f>'Cash Flow Statement'!AT24</f>
      </c>
      <c r="BO94" s="2657">
        <f>'Cash Flow Statement'!AU24</f>
      </c>
      <c r="BP94" s="2657">
        <f>'Cash Flow Statement'!AV24</f>
      </c>
      <c r="BQ94" s="2657">
        <f>'Cash Flow Statement'!AW24</f>
      </c>
      <c r="BR94" s="2657">
        <f>'Cash Flow Statement'!AX24</f>
      </c>
      <c r="BS94" s="2657">
        <f>'Cash Flow Statement'!AY24</f>
      </c>
      <c r="BT94" s="2657">
        <f>'Cash Flow Statement'!AZ24</f>
      </c>
      <c r="BU94" s="2657">
        <f>'Cash Flow Statement'!BA24</f>
      </c>
      <c r="BV94" s="2657">
        <f>'Cash Flow Statement'!BB24</f>
      </c>
      <c r="BW94" s="2657">
        <f>'Cash Flow Statement'!BC24</f>
      </c>
      <c r="BX94" s="2657">
        <f>'Cash Flow Statement'!BD24</f>
      </c>
      <c r="BY94" s="2657">
        <f>'Cash Flow Statement'!BE24</f>
      </c>
      <c r="BZ94" s="2657">
        <f>'Cash Flow Statement'!BF24</f>
      </c>
      <c r="CA94" s="2657">
        <f>'Cash Flow Statement'!BG24</f>
      </c>
      <c r="CB94" s="2657">
        <f>'Cash Flow Statement'!BH24</f>
      </c>
      <c r="CC94" s="2657">
        <f>'Cash Flow Statement'!BI24</f>
      </c>
      <c r="CD94" s="2657">
        <f>'Cash Flow Statement'!BJ24</f>
      </c>
      <c r="CE94" s="2657">
        <f>'Cash Flow Statement'!BK24</f>
      </c>
      <c r="CF94" s="2657">
        <f>'Cash Flow Statement'!BL24</f>
      </c>
      <c r="CG94" s="2657">
        <f>'Cash Flow Statement'!BM24</f>
      </c>
      <c r="CH94" s="2657">
        <f>'Cash Flow Statement'!BN24</f>
      </c>
      <c r="CI94" s="2657">
        <f>'Cash Flow Statement'!BO24</f>
      </c>
      <c r="CJ94" s="2657">
        <f>'Cash Flow Statement'!BP24</f>
      </c>
      <c r="CK94" s="2657">
        <f>'Cash Flow Statement'!BQ24</f>
      </c>
      <c r="CL94" s="2657">
        <f>'Cash Flow Statement'!BR24</f>
      </c>
      <c r="CM94" s="2657">
        <f>'Cash Flow Statement'!BS24</f>
      </c>
      <c r="CN94" s="2657">
        <f>'Cash Flow Statement'!BT24</f>
      </c>
      <c r="CO94" s="2657">
        <f>'Cash Flow Statement'!BU24</f>
      </c>
      <c r="CP94" s="2657">
        <f>'Cash Flow Statement'!BV24</f>
      </c>
      <c r="CQ94" s="2657">
        <f>'Cash Flow Statement'!BW24</f>
      </c>
      <c r="CR94" s="2657">
        <f>'Cash Flow Statement'!BX24</f>
      </c>
      <c r="CS94" s="2657">
        <f>'Cash Flow Statement'!BY24</f>
      </c>
      <c r="CT94" s="2657">
        <f>'Cash Flow Statement'!BZ24</f>
      </c>
      <c r="CU94" s="2657">
        <f>'Cash Flow Statement'!CA24</f>
      </c>
      <c r="CV94" s="2657">
        <f>'Cash Flow Statement'!CB24</f>
      </c>
      <c r="CW94" s="2657">
        <f>'Cash Flow Statement'!CC24</f>
      </c>
      <c r="CX94" s="2657">
        <f>'Cash Flow Statement'!CD24</f>
      </c>
      <c r="CY94" s="2657">
        <f>'Cash Flow Statement'!CE24</f>
      </c>
      <c r="CZ94" s="2657">
        <f>'Cash Flow Statement'!CF24</f>
      </c>
      <c r="DA94" s="2657">
        <f>'Cash Flow Statement'!CG24</f>
      </c>
      <c r="DB94" s="2657">
        <f>'Cash Flow Statement'!CH24</f>
      </c>
      <c r="DC94" s="2657">
        <f>'Cash Flow Statement'!CI24</f>
      </c>
      <c r="DD94" s="2657">
        <f>'Cash Flow Statement'!CJ24</f>
      </c>
      <c r="DE94" s="2657">
        <f>'Cash Flow Statement'!CK24</f>
      </c>
      <c r="DF94" s="2657">
        <f>'Cash Flow Statement'!CL24</f>
      </c>
      <c r="DG94" s="2657">
        <f>'Cash Flow Statement'!CM24</f>
      </c>
      <c r="DH94" s="2657">
        <f>'Cash Flow Statement'!CN24</f>
      </c>
      <c r="DI94" s="2657">
        <f>'Cash Flow Statement'!CO24</f>
      </c>
      <c r="DJ94" s="2657">
        <f>'Cash Flow Statement'!CP24</f>
      </c>
      <c r="DK94" s="2657">
        <f>'Cash Flow Statement'!CQ24</f>
      </c>
      <c r="DL94" s="2657">
        <f>'Cash Flow Statement'!CR24</f>
      </c>
      <c r="DM94" s="2657">
        <f>'Cash Flow Statement'!CS24</f>
      </c>
      <c r="DN94" s="2657">
        <f>'Cash Flow Statement'!CT24</f>
      </c>
      <c r="DO94" s="2657">
        <f>'Cash Flow Statement'!CU24</f>
      </c>
      <c r="DP94" s="2657">
        <f>'Cash Flow Statement'!CV24</f>
      </c>
      <c r="DQ94" s="2657">
        <f>'Cash Flow Statement'!CW24</f>
      </c>
      <c r="DR94" s="2657">
        <f>'Cash Flow Statement'!CX24</f>
      </c>
      <c r="DS94" s="2657">
        <f>'Cash Flow Statement'!CY24</f>
      </c>
      <c r="DT94" s="2657">
        <f>'Cash Flow Statement'!CZ24</f>
      </c>
      <c r="DU94" s="2657">
        <f>'Cash Flow Statement'!DA24</f>
      </c>
      <c r="DV94" s="2657">
        <f>'Cash Flow Statement'!DB24</f>
      </c>
      <c r="DW94" s="2657">
        <f>'Cash Flow Statement'!DC24</f>
      </c>
      <c r="DX94" s="2657">
        <f>'Cash Flow Statement'!DD24</f>
      </c>
      <c r="DY94" s="2657">
        <f>'Cash Flow Statement'!DE24</f>
      </c>
      <c r="DZ94" s="2657">
        <f>'Cash Flow Statement'!DF24</f>
      </c>
      <c r="EA94" s="2657">
        <f>'Cash Flow Statement'!DG24</f>
      </c>
      <c r="EB94" s="2657">
        <f>'Cash Flow Statement'!DH24</f>
      </c>
      <c r="EC94" s="2657">
        <f>'Cash Flow Statement'!DI24</f>
      </c>
      <c r="ED94" s="2657">
        <f>'Cash Flow Statement'!DJ24</f>
      </c>
      <c r="EE94" s="2657">
        <f>'Cash Flow Statement'!DK24</f>
      </c>
      <c r="EF94" s="2657">
        <f>'Cash Flow Statement'!DL24</f>
      </c>
      <c r="EG94" s="2657">
        <f>'Cash Flow Statement'!DM24</f>
      </c>
      <c r="EH94" s="2657">
        <f>'Cash Flow Statement'!DN24</f>
      </c>
      <c r="EI94" s="2657">
        <f>'Cash Flow Statement'!DO24</f>
      </c>
      <c r="EJ94" s="2657">
        <f>'Cash Flow Statement'!DP24</f>
      </c>
      <c r="EK94" s="2657">
        <f>'Cash Flow Statement'!DQ24</f>
      </c>
      <c r="EL94" s="2657">
        <f>'Cash Flow Statement'!DR24</f>
      </c>
      <c r="EM94" s="2657">
        <f>'Cash Flow Statement'!DS24</f>
      </c>
      <c r="EN94" s="2657">
        <f>'Cash Flow Statement'!DT24</f>
      </c>
      <c r="EO94" s="2657">
        <f>'Cash Flow Statement'!DU24</f>
      </c>
      <c r="EP94" s="2657">
        <f>'Cash Flow Statement'!DV24</f>
      </c>
      <c r="EQ94" s="2657">
        <f>'Cash Flow Statement'!DW24</f>
      </c>
      <c r="ER94" s="2657">
        <f>'Cash Flow Statement'!DX24</f>
      </c>
      <c r="ES94" s="2657">
        <f>'Cash Flow Statement'!DY24</f>
      </c>
      <c r="ET94" s="2657">
        <f>'Cash Flow Statement'!DZ24</f>
      </c>
      <c r="EU94" s="2657">
        <f>'Cash Flow Statement'!EA24</f>
      </c>
      <c r="EV94" s="2657">
        <f>'Cash Flow Statement'!EB24</f>
      </c>
      <c r="EW94" s="2657">
        <f>'Cash Flow Statement'!EC24</f>
      </c>
      <c r="EX94" s="2657">
        <f>'Cash Flow Statement'!ED24</f>
      </c>
      <c r="EY94" s="2657">
        <f>'Cash Flow Statement'!EE24</f>
      </c>
      <c r="EZ94" s="2657">
        <f>'Cash Flow Statement'!EF24</f>
      </c>
      <c r="FA94" s="2657">
        <f>'Cash Flow Statement'!EG24</f>
      </c>
      <c r="FB94" s="2657">
        <f>'Cash Flow Statement'!EH24</f>
      </c>
      <c r="FC94" s="2657">
        <f>'Cash Flow Statement'!EI24</f>
      </c>
      <c r="FD94" s="2657">
        <f>'Cash Flow Statement'!EJ24</f>
      </c>
      <c r="FE94" s="2657">
        <f>'Cash Flow Statement'!EK24</f>
      </c>
    </row>
    <row r="95" spans="1:161" outlineLevel="2">
      <c r="B95" t="s">
        <v>376</v>
      </c>
      <c r="C95" t="s">
        <v>377</v>
      </c>
      <c r="D95" t="str">
        <f t="shared" si="14"/>
      </c>
      <c r="F95" s="2657">
        <f>SUM('Cash Flow Statement'!ER13:ER15)</f>
      </c>
      <c r="G95" s="2657">
        <f>SUM('Cash Flow Statement'!ES13:ES15)</f>
      </c>
      <c r="H95" s="2657">
        <f>SUM('Cash Flow Statement'!ET13:ET15)</f>
      </c>
      <c r="I95" s="2657">
        <f>SUM('Cash Flow Statement'!EU13:EU15)</f>
      </c>
      <c r="J95" s="2657">
        <f>SUM('Cash Flow Statement'!EV13:EV15)</f>
      </c>
      <c r="K95" s="2657">
        <f>SUM('Cash Flow Statement'!EW13:EW15)</f>
      </c>
      <c r="L95" s="2657">
        <f>SUM('Cash Flow Statement'!EX13:EX15)</f>
      </c>
      <c r="M95" s="2657">
        <f>SUM('Cash Flow Statement'!EY13:EY15)</f>
      </c>
      <c r="N95" s="2657">
        <f>SUM('Cash Flow Statement'!EZ13:EZ15)</f>
      </c>
      <c r="O95" s="2657">
        <f>SUM('Cash Flow Statement'!FA13:FA15)</f>
      </c>
      <c r="P95" s="2657">
        <f>SUM('Cash Flow Statement'!FB13:FB15)</f>
      </c>
      <c r="Q95" s="2657">
        <f>SUM('Cash Flow Statement'!FC13:FC15)</f>
      </c>
      <c r="R95" s="2657">
        <f>SUM('Cash Flow Statement'!FD13:FD15)</f>
      </c>
      <c r="S95" s="2657">
        <f>SUM('Cash Flow Statement'!FE13:FE15)</f>
      </c>
      <c r="T95" s="2657">
        <f>SUM('Cash Flow Statement'!FF13:FF15)</f>
      </c>
      <c r="U95" s="2657">
        <f>SUM('Cash Flow Statement'!FG13:FG15)</f>
      </c>
      <c r="V95" s="2657">
        <f>SUM('Cash Flow Statement'!FH13:FH15)</f>
      </c>
      <c r="W95" s="2657">
        <f>SUM('Cash Flow Statement'!FI13:FI15)</f>
      </c>
      <c r="X95" s="2657">
        <f>SUM('Cash Flow Statement'!FJ13:FJ15)</f>
      </c>
      <c r="Y95" s="2657">
        <f>SUM('Cash Flow Statement'!FK13:FK15)</f>
      </c>
      <c r="Z95" s="2657">
        <f>SUM('Cash Flow Statement'!FL13:FL15)</f>
      </c>
      <c r="AA95" s="2657">
        <f>SUM('Cash Flow Statement'!FM13:FM15)</f>
      </c>
      <c r="AB95" s="2657">
        <f>SUM('Cash Flow Statement'!FN13:FN15)</f>
      </c>
      <c r="AC95" s="2657">
        <f>SUM('Cash Flow Statement'!FO13:FO15)</f>
      </c>
      <c r="AD95" s="2657">
        <f>SUM('Cash Flow Statement'!FP13:FP15)</f>
      </c>
      <c r="AE95" s="2657">
        <f>SUM('Cash Flow Statement'!FQ13:FQ15)</f>
      </c>
      <c r="AF95" s="2657">
        <f>SUM('Cash Flow Statement'!FR13:FR15)</f>
      </c>
      <c r="AG95" s="2657">
        <f>SUM('Cash Flow Statement'!FS13:FS15)</f>
      </c>
      <c r="AH95" s="2657">
        <f>SUM('Cash Flow Statement'!FT13:FT15)</f>
      </c>
      <c r="AI95" s="2657">
        <f>SUM('Cash Flow Statement'!FU13:FU15)</f>
      </c>
      <c r="AJ95" s="2657">
        <f>SUM('Cash Flow Statement'!FV13:FV15)</f>
      </c>
      <c r="AK95" s="2657"/>
      <c r="AL95" s="2657">
        <f>SUM('Cash Flow Statement'!R13:R15)</f>
      </c>
      <c r="AM95" s="2657">
        <f>SUM('Cash Flow Statement'!S13:S15)</f>
      </c>
      <c r="AN95" s="2657">
        <f>SUM('Cash Flow Statement'!T13:T15)</f>
      </c>
      <c r="AO95" s="2657">
        <f>SUM('Cash Flow Statement'!U13:U15)</f>
      </c>
      <c r="AP95" s="2657">
        <f>SUM('Cash Flow Statement'!V13:V15)</f>
      </c>
      <c r="AQ95" s="2657">
        <f>SUM('Cash Flow Statement'!W13:W15)</f>
      </c>
      <c r="AR95" s="2657">
        <f>SUM('Cash Flow Statement'!X13:X15)</f>
      </c>
      <c r="AS95" s="2657">
        <f>SUM('Cash Flow Statement'!Y13:Y15)</f>
      </c>
      <c r="AT95" s="2657">
        <f>SUM('Cash Flow Statement'!Z13:Z15)</f>
      </c>
      <c r="AU95" s="2657">
        <f>SUM('Cash Flow Statement'!AA13:AA15)</f>
      </c>
      <c r="AV95" s="2657">
        <f>SUM('Cash Flow Statement'!AB13:AB15)</f>
      </c>
      <c r="AW95" s="2657">
        <f>SUM('Cash Flow Statement'!AC13:AC15)</f>
      </c>
      <c r="AX95" s="2657">
        <f>SUM('Cash Flow Statement'!AD13:AD15)</f>
      </c>
      <c r="AY95" s="2657">
        <f>SUM('Cash Flow Statement'!AE13:AE15)</f>
      </c>
      <c r="AZ95" s="2657">
        <f>SUM('Cash Flow Statement'!AF13:AF15)</f>
      </c>
      <c r="BA95" s="2657">
        <f>SUM('Cash Flow Statement'!AG13:AG15)</f>
      </c>
      <c r="BB95" s="2657">
        <f>SUM('Cash Flow Statement'!AH13:AH15)</f>
      </c>
      <c r="BC95" s="2657">
        <f>SUM('Cash Flow Statement'!AI13:AI15)</f>
      </c>
      <c r="BD95" s="2657">
        <f>SUM('Cash Flow Statement'!AJ13:AJ15)</f>
      </c>
      <c r="BE95" s="2657">
        <f>SUM('Cash Flow Statement'!AK13:AK15)</f>
      </c>
      <c r="BF95" s="2657">
        <f>SUM('Cash Flow Statement'!AL13:AL15)</f>
      </c>
      <c r="BG95" s="2657">
        <f>SUM('Cash Flow Statement'!AM13:AM15)</f>
      </c>
      <c r="BH95" s="2657">
        <f>SUM('Cash Flow Statement'!AN13:AN15)</f>
      </c>
      <c r="BI95" s="2657">
        <f>SUM('Cash Flow Statement'!AO13:AO15)</f>
      </c>
      <c r="BJ95" s="2657">
        <f>SUM('Cash Flow Statement'!AP13:AP15)</f>
      </c>
      <c r="BK95" s="2657">
        <f>SUM('Cash Flow Statement'!AQ13:AQ15)</f>
      </c>
      <c r="BL95" s="2657">
        <f>SUM('Cash Flow Statement'!AR13:AR15)</f>
      </c>
      <c r="BM95" s="2657">
        <f>SUM('Cash Flow Statement'!AS13:AS15)</f>
      </c>
      <c r="BN95" s="2657">
        <f>SUM('Cash Flow Statement'!AT13:AT15)</f>
      </c>
      <c r="BO95" s="2657">
        <f>SUM('Cash Flow Statement'!AU13:AU15)</f>
      </c>
      <c r="BP95" s="2657">
        <f>SUM('Cash Flow Statement'!AV13:AV15)</f>
      </c>
      <c r="BQ95" s="2657">
        <f>SUM('Cash Flow Statement'!AW13:AW15)</f>
      </c>
      <c r="BR95" s="2657">
        <f>SUM('Cash Flow Statement'!AX13:AX15)</f>
      </c>
      <c r="BS95" s="2657">
        <f>SUM('Cash Flow Statement'!AY13:AY15)</f>
      </c>
      <c r="BT95" s="2657">
        <f>SUM('Cash Flow Statement'!AZ13:AZ15)</f>
      </c>
      <c r="BU95" s="2657">
        <f>SUM('Cash Flow Statement'!BA13:BA15)</f>
      </c>
      <c r="BV95" s="2657">
        <f>SUM('Cash Flow Statement'!BB13:BB15)</f>
      </c>
      <c r="BW95" s="2657">
        <f>SUM('Cash Flow Statement'!BC13:BC15)</f>
      </c>
      <c r="BX95" s="2657">
        <f>SUM('Cash Flow Statement'!BD13:BD15)</f>
      </c>
      <c r="BY95" s="2657">
        <f>SUM('Cash Flow Statement'!BE13:BE15)</f>
      </c>
      <c r="BZ95" s="2657">
        <f>SUM('Cash Flow Statement'!BF13:BF15)</f>
      </c>
      <c r="CA95" s="2657">
        <f>SUM('Cash Flow Statement'!BG13:BG15)</f>
      </c>
      <c r="CB95" s="2657">
        <f>SUM('Cash Flow Statement'!BH13:BH15)</f>
      </c>
      <c r="CC95" s="2657">
        <f>SUM('Cash Flow Statement'!BI13:BI15)</f>
      </c>
      <c r="CD95" s="2657">
        <f>SUM('Cash Flow Statement'!BJ13:BJ15)</f>
      </c>
      <c r="CE95" s="2657">
        <f>SUM('Cash Flow Statement'!BK13:BK15)</f>
      </c>
      <c r="CF95" s="2657">
        <f>SUM('Cash Flow Statement'!BL13:BL15)</f>
      </c>
      <c r="CG95" s="2657">
        <f>SUM('Cash Flow Statement'!BM13:BM15)</f>
      </c>
      <c r="CH95" s="2657">
        <f>SUM('Cash Flow Statement'!BN13:BN15)</f>
      </c>
      <c r="CI95" s="2657">
        <f>SUM('Cash Flow Statement'!BO13:BO15)</f>
      </c>
      <c r="CJ95" s="2657">
        <f>SUM('Cash Flow Statement'!BP13:BP15)</f>
      </c>
      <c r="CK95" s="2657">
        <f>SUM('Cash Flow Statement'!BQ13:BQ15)</f>
      </c>
      <c r="CL95" s="2657">
        <f>SUM('Cash Flow Statement'!BR13:BR15)</f>
      </c>
      <c r="CM95" s="2657">
        <f>SUM('Cash Flow Statement'!BS13:BS15)</f>
      </c>
      <c r="CN95" s="2657">
        <f>SUM('Cash Flow Statement'!BT13:BT15)</f>
      </c>
      <c r="CO95" s="2657">
        <f>SUM('Cash Flow Statement'!BU13:BU15)</f>
      </c>
      <c r="CP95" s="2657">
        <f>SUM('Cash Flow Statement'!BV13:BV15)</f>
      </c>
      <c r="CQ95" s="2657">
        <f>SUM('Cash Flow Statement'!BW13:BW15)</f>
      </c>
      <c r="CR95" s="2657">
        <f>SUM('Cash Flow Statement'!BX13:BX15)</f>
      </c>
      <c r="CS95" s="2657">
        <f>SUM('Cash Flow Statement'!BY13:BY15)</f>
      </c>
      <c r="CT95" s="2657">
        <f>SUM('Cash Flow Statement'!BZ13:BZ15)</f>
      </c>
      <c r="CU95" s="2657">
        <f>SUM('Cash Flow Statement'!CA13:CA15)</f>
      </c>
      <c r="CV95" s="2657">
        <f>SUM('Cash Flow Statement'!CB13:CB15)</f>
      </c>
      <c r="CW95" s="2657">
        <f>SUM('Cash Flow Statement'!CC13:CC15)</f>
      </c>
      <c r="CX95" s="2657">
        <f>SUM('Cash Flow Statement'!CD13:CD15)</f>
      </c>
      <c r="CY95" s="2657">
        <f>SUM('Cash Flow Statement'!CE13:CE15)</f>
      </c>
      <c r="CZ95" s="2657">
        <f>SUM('Cash Flow Statement'!CF13:CF15)</f>
      </c>
      <c r="DA95" s="2657">
        <f>SUM('Cash Flow Statement'!CG13:CG15)</f>
      </c>
      <c r="DB95" s="2657">
        <f>SUM('Cash Flow Statement'!CH13:CH15)</f>
      </c>
      <c r="DC95" s="2657">
        <f>SUM('Cash Flow Statement'!CI13:CI15)</f>
      </c>
      <c r="DD95" s="2657">
        <f>SUM('Cash Flow Statement'!CJ13:CJ15)</f>
      </c>
      <c r="DE95" s="2657">
        <f>SUM('Cash Flow Statement'!CK13:CK15)</f>
      </c>
      <c r="DF95" s="2657">
        <f>SUM('Cash Flow Statement'!CL13:CL15)</f>
      </c>
      <c r="DG95" s="2657">
        <f>SUM('Cash Flow Statement'!CM13:CM15)</f>
      </c>
      <c r="DH95" s="2657">
        <f>SUM('Cash Flow Statement'!CN13:CN15)</f>
      </c>
      <c r="DI95" s="2657">
        <f>SUM('Cash Flow Statement'!CO13:CO15)</f>
      </c>
      <c r="DJ95" s="2657">
        <f>SUM('Cash Flow Statement'!CP13:CP15)</f>
      </c>
      <c r="DK95" s="2657">
        <f>SUM('Cash Flow Statement'!CQ13:CQ15)</f>
      </c>
      <c r="DL95" s="2657">
        <f>SUM('Cash Flow Statement'!CR13:CR15)</f>
      </c>
      <c r="DM95" s="2657">
        <f>SUM('Cash Flow Statement'!CS13:CS15)</f>
      </c>
      <c r="DN95" s="2657">
        <f>SUM('Cash Flow Statement'!CT13:CT15)</f>
      </c>
      <c r="DO95" s="2657">
        <f>SUM('Cash Flow Statement'!CU13:CU15)</f>
      </c>
      <c r="DP95" s="2657">
        <f>SUM('Cash Flow Statement'!CV13:CV15)</f>
      </c>
      <c r="DQ95" s="2657">
        <f>SUM('Cash Flow Statement'!CW13:CW15)</f>
      </c>
      <c r="DR95" s="2657">
        <f>SUM('Cash Flow Statement'!CX13:CX15)</f>
      </c>
      <c r="DS95" s="2657">
        <f>SUM('Cash Flow Statement'!CY13:CY15)</f>
      </c>
      <c r="DT95" s="2657">
        <f>SUM('Cash Flow Statement'!CZ13:CZ15)</f>
      </c>
      <c r="DU95" s="2657">
        <f>SUM('Cash Flow Statement'!DA13:DA15)</f>
      </c>
      <c r="DV95" s="2657">
        <f>SUM('Cash Flow Statement'!DB13:DB15)</f>
      </c>
      <c r="DW95" s="2657">
        <f>SUM('Cash Flow Statement'!DC13:DC15)</f>
      </c>
      <c r="DX95" s="2657">
        <f>SUM('Cash Flow Statement'!DD13:DD15)</f>
      </c>
      <c r="DY95" s="2657">
        <f>SUM('Cash Flow Statement'!DE13:DE15)</f>
      </c>
      <c r="DZ95" s="2657">
        <f>SUM('Cash Flow Statement'!DF13:DF15)</f>
      </c>
      <c r="EA95" s="2657">
        <f>SUM('Cash Flow Statement'!DG13:DG15)</f>
      </c>
      <c r="EB95" s="2657">
        <f>SUM('Cash Flow Statement'!DH13:DH15)</f>
      </c>
      <c r="EC95" s="2657">
        <f>SUM('Cash Flow Statement'!DI13:DI15)</f>
      </c>
      <c r="ED95" s="2657">
        <f>SUM('Cash Flow Statement'!DJ13:DJ15)</f>
      </c>
      <c r="EE95" s="2657">
        <f>SUM('Cash Flow Statement'!DK13:DK15)</f>
      </c>
      <c r="EF95" s="2657">
        <f>SUM('Cash Flow Statement'!DL13:DL15)</f>
      </c>
      <c r="EG95" s="2657">
        <f>SUM('Cash Flow Statement'!DM13:DM15)</f>
      </c>
      <c r="EH95" s="2657">
        <f>SUM('Cash Flow Statement'!DN13:DN15)</f>
      </c>
      <c r="EI95" s="2657">
        <f>SUM('Cash Flow Statement'!DO13:DO15)</f>
      </c>
      <c r="EJ95" s="2657">
        <f>SUM('Cash Flow Statement'!DP13:DP15)</f>
      </c>
      <c r="EK95" s="2657">
        <f>SUM('Cash Flow Statement'!DQ13:DQ15)</f>
      </c>
      <c r="EL95" s="2657">
        <f>SUM('Cash Flow Statement'!DR13:DR15)</f>
      </c>
      <c r="EM95" s="2657">
        <f>SUM('Cash Flow Statement'!DS13:DS15)</f>
      </c>
      <c r="EN95" s="2657">
        <f>SUM('Cash Flow Statement'!DT13:DT15)</f>
      </c>
      <c r="EO95" s="2657">
        <f>SUM('Cash Flow Statement'!DU13:DU15)</f>
      </c>
      <c r="EP95" s="2657">
        <f>SUM('Cash Flow Statement'!DV13:DV15)</f>
      </c>
      <c r="EQ95" s="2657">
        <f>SUM('Cash Flow Statement'!DW13:DW15)</f>
      </c>
      <c r="ER95" s="2657">
        <f>SUM('Cash Flow Statement'!DX13:DX15)</f>
      </c>
      <c r="ES95" s="2657">
        <f>SUM('Cash Flow Statement'!DY13:DY15)</f>
      </c>
      <c r="ET95" s="2657">
        <f>SUM('Cash Flow Statement'!DZ13:DZ15)</f>
      </c>
      <c r="EU95" s="2657">
        <f>SUM('Cash Flow Statement'!EA13:EA15)</f>
      </c>
      <c r="EV95" s="2657">
        <f>SUM('Cash Flow Statement'!EB13:EB15)</f>
      </c>
      <c r="EW95" s="2657">
        <f>SUM('Cash Flow Statement'!EC13:EC15)</f>
      </c>
      <c r="EX95" s="2657">
        <f>SUM('Cash Flow Statement'!ED13:ED15)</f>
      </c>
      <c r="EY95" s="2657">
        <f>SUM('Cash Flow Statement'!EE13:EE15)</f>
      </c>
      <c r="EZ95" s="2657">
        <f>SUM('Cash Flow Statement'!EF13:EF15)</f>
      </c>
      <c r="FA95" s="2657">
        <f>SUM('Cash Flow Statement'!EG13:EG15)</f>
      </c>
      <c r="FB95" s="2657">
        <f>SUM('Cash Flow Statement'!EH13:EH15)</f>
      </c>
      <c r="FC95" s="2657">
        <f>SUM('Cash Flow Statement'!EI13:EI15)</f>
      </c>
      <c r="FD95" s="2657">
        <f>SUM('Cash Flow Statement'!EJ13:EJ15)</f>
      </c>
      <c r="FE95" s="2657">
        <f>SUM('Cash Flow Statement'!EK13:EK15)</f>
      </c>
    </row>
    <row r="96" spans="1:161" outlineLevel="2">
      <c r="B96" t="s">
        <v>378</v>
      </c>
      <c r="C96" t="s">
        <v>379</v>
      </c>
      <c r="D96" t="str">
        <f t="shared" si="14"/>
      </c>
      <c r="F96" s="2657">
        <f>'Cash Flow Statement'!ER25</f>
      </c>
      <c r="G96" s="2657">
        <f>'Cash Flow Statement'!ES25</f>
      </c>
      <c r="H96" s="2657">
        <f>'Cash Flow Statement'!ET25</f>
      </c>
      <c r="I96" s="2657">
        <f>'Cash Flow Statement'!EU25</f>
      </c>
      <c r="J96" s="2657">
        <f>'Cash Flow Statement'!EV25</f>
      </c>
      <c r="K96" s="2657">
        <f>'Cash Flow Statement'!EW25</f>
      </c>
      <c r="L96" s="2657">
        <f>'Cash Flow Statement'!EX25</f>
      </c>
      <c r="M96" s="2657">
        <f>'Cash Flow Statement'!EY25</f>
      </c>
      <c r="N96" s="2657">
        <f>'Cash Flow Statement'!EZ25</f>
      </c>
      <c r="O96" s="2657">
        <f>'Cash Flow Statement'!FA25</f>
      </c>
      <c r="P96" s="2657">
        <f>'Cash Flow Statement'!FB25</f>
      </c>
      <c r="Q96" s="2657">
        <f>'Cash Flow Statement'!FC25</f>
      </c>
      <c r="R96" s="2657">
        <f>'Cash Flow Statement'!FD25</f>
      </c>
      <c r="S96" s="2657">
        <f>'Cash Flow Statement'!FE25</f>
      </c>
      <c r="T96" s="2657">
        <f>'Cash Flow Statement'!FF25</f>
      </c>
      <c r="U96" s="2657">
        <f>'Cash Flow Statement'!FG25</f>
      </c>
      <c r="V96" s="2657">
        <f>'Cash Flow Statement'!FH25</f>
      </c>
      <c r="W96" s="2657">
        <f>'Cash Flow Statement'!FI25</f>
      </c>
      <c r="X96" s="2657">
        <f>'Cash Flow Statement'!FJ25</f>
      </c>
      <c r="Y96" s="2657">
        <f>'Cash Flow Statement'!FK25</f>
      </c>
      <c r="Z96" s="2657">
        <f>'Cash Flow Statement'!FL25</f>
      </c>
      <c r="AA96" s="2657">
        <f>'Cash Flow Statement'!FM25</f>
      </c>
      <c r="AB96" s="2657">
        <f>'Cash Flow Statement'!FN25</f>
      </c>
      <c r="AC96" s="2657">
        <f>'Cash Flow Statement'!FO25</f>
      </c>
      <c r="AD96" s="2657">
        <f>'Cash Flow Statement'!FP25</f>
      </c>
      <c r="AE96" s="2657">
        <f>'Cash Flow Statement'!FQ25</f>
      </c>
      <c r="AF96" s="2657">
        <f>'Cash Flow Statement'!FR25</f>
      </c>
      <c r="AG96" s="2657">
        <f>'Cash Flow Statement'!FS25</f>
      </c>
      <c r="AH96" s="2657">
        <f>'Cash Flow Statement'!FT25</f>
      </c>
      <c r="AI96" s="2657">
        <f>'Cash Flow Statement'!FU25</f>
      </c>
      <c r="AJ96" s="2657">
        <f>'Cash Flow Statement'!FV25</f>
      </c>
      <c r="AK96" s="2657"/>
      <c r="AL96" s="2657">
        <f>'Cash Flow Statement'!R25</f>
      </c>
      <c r="AM96" s="2657">
        <f>'Cash Flow Statement'!S25</f>
      </c>
      <c r="AN96" s="2657">
        <f>'Cash Flow Statement'!T25</f>
      </c>
      <c r="AO96" s="2657">
        <f>'Cash Flow Statement'!U25</f>
      </c>
      <c r="AP96" s="2657">
        <f>'Cash Flow Statement'!V25</f>
      </c>
      <c r="AQ96" s="2657">
        <f>'Cash Flow Statement'!W25</f>
      </c>
      <c r="AR96" s="2657">
        <f>'Cash Flow Statement'!X25</f>
      </c>
      <c r="AS96" s="2657">
        <f>'Cash Flow Statement'!Y25</f>
      </c>
      <c r="AT96" s="2657">
        <f>'Cash Flow Statement'!Z25</f>
      </c>
      <c r="AU96" s="2657">
        <f>'Cash Flow Statement'!AA25</f>
      </c>
      <c r="AV96" s="2657">
        <f>'Cash Flow Statement'!AB25</f>
      </c>
      <c r="AW96" s="2657">
        <f>'Cash Flow Statement'!AC25</f>
      </c>
      <c r="AX96" s="2657">
        <f>'Cash Flow Statement'!AD25</f>
      </c>
      <c r="AY96" s="2657">
        <f>'Cash Flow Statement'!AE25</f>
      </c>
      <c r="AZ96" s="2657">
        <f>'Cash Flow Statement'!AF25</f>
      </c>
      <c r="BA96" s="2657">
        <f>'Cash Flow Statement'!AG25</f>
      </c>
      <c r="BB96" s="2657">
        <f>'Cash Flow Statement'!AH25</f>
      </c>
      <c r="BC96" s="2657">
        <f>'Cash Flow Statement'!AI25</f>
      </c>
      <c r="BD96" s="2657">
        <f>'Cash Flow Statement'!AJ25</f>
      </c>
      <c r="BE96" s="2657">
        <f>'Cash Flow Statement'!AK25</f>
      </c>
      <c r="BF96" s="2657">
        <f>'Cash Flow Statement'!AL25</f>
      </c>
      <c r="BG96" s="2657">
        <f>'Cash Flow Statement'!AM25</f>
      </c>
      <c r="BH96" s="2657">
        <f>'Cash Flow Statement'!AN25</f>
      </c>
      <c r="BI96" s="2657">
        <f>'Cash Flow Statement'!AO25</f>
      </c>
      <c r="BJ96" s="2657">
        <f>'Cash Flow Statement'!AP25</f>
      </c>
      <c r="BK96" s="2657">
        <f>'Cash Flow Statement'!AQ25</f>
      </c>
      <c r="BL96" s="2657">
        <f>'Cash Flow Statement'!AR25</f>
      </c>
      <c r="BM96" s="2657">
        <f>'Cash Flow Statement'!AS25</f>
      </c>
      <c r="BN96" s="2657">
        <f>'Cash Flow Statement'!AT25</f>
      </c>
      <c r="BO96" s="2657">
        <f>'Cash Flow Statement'!AU25</f>
      </c>
      <c r="BP96" s="2657">
        <f>'Cash Flow Statement'!AV25</f>
      </c>
      <c r="BQ96" s="2657">
        <f>'Cash Flow Statement'!AW25</f>
      </c>
      <c r="BR96" s="2657">
        <f>'Cash Flow Statement'!AX25</f>
      </c>
      <c r="BS96" s="2657">
        <f>'Cash Flow Statement'!AY25</f>
      </c>
      <c r="BT96" s="2657">
        <f>'Cash Flow Statement'!AZ25</f>
      </c>
      <c r="BU96" s="2657">
        <f>'Cash Flow Statement'!BA25</f>
      </c>
      <c r="BV96" s="2657">
        <f>'Cash Flow Statement'!BB25</f>
      </c>
      <c r="BW96" s="2657">
        <f>'Cash Flow Statement'!BC25</f>
      </c>
      <c r="BX96" s="2657">
        <f>'Cash Flow Statement'!BD25</f>
      </c>
      <c r="BY96" s="2657">
        <f>'Cash Flow Statement'!BE25</f>
      </c>
      <c r="BZ96" s="2657">
        <f>'Cash Flow Statement'!BF25</f>
      </c>
      <c r="CA96" s="2657">
        <f>'Cash Flow Statement'!BG25</f>
      </c>
      <c r="CB96" s="2657">
        <f>'Cash Flow Statement'!BH25</f>
      </c>
      <c r="CC96" s="2657">
        <f>'Cash Flow Statement'!BI25</f>
      </c>
      <c r="CD96" s="2657">
        <f>'Cash Flow Statement'!BJ25</f>
      </c>
      <c r="CE96" s="2657">
        <f>'Cash Flow Statement'!BK25</f>
      </c>
      <c r="CF96" s="2657">
        <f>'Cash Flow Statement'!BL25</f>
      </c>
      <c r="CG96" s="2657">
        <f>'Cash Flow Statement'!BM25</f>
      </c>
      <c r="CH96" s="2657">
        <f>'Cash Flow Statement'!BN25</f>
      </c>
      <c r="CI96" s="2657">
        <f>'Cash Flow Statement'!BO25</f>
      </c>
      <c r="CJ96" s="2657">
        <f>'Cash Flow Statement'!BP25</f>
      </c>
      <c r="CK96" s="2657">
        <f>'Cash Flow Statement'!BQ25</f>
      </c>
      <c r="CL96" s="2657">
        <f>'Cash Flow Statement'!BR25</f>
      </c>
      <c r="CM96" s="2657">
        <f>'Cash Flow Statement'!BS25</f>
      </c>
      <c r="CN96" s="2657">
        <f>'Cash Flow Statement'!BT25</f>
      </c>
      <c r="CO96" s="2657">
        <f>'Cash Flow Statement'!BU25</f>
      </c>
      <c r="CP96" s="2657">
        <f>'Cash Flow Statement'!BV25</f>
      </c>
      <c r="CQ96" s="2657">
        <f>'Cash Flow Statement'!BW25</f>
      </c>
      <c r="CR96" s="2657">
        <f>'Cash Flow Statement'!BX25</f>
      </c>
      <c r="CS96" s="2657">
        <f>'Cash Flow Statement'!BY25</f>
      </c>
      <c r="CT96" s="2657">
        <f>'Cash Flow Statement'!BZ25</f>
      </c>
      <c r="CU96" s="2657">
        <f>'Cash Flow Statement'!CA25</f>
      </c>
      <c r="CV96" s="2657">
        <f>'Cash Flow Statement'!CB25</f>
      </c>
      <c r="CW96" s="2657">
        <f>'Cash Flow Statement'!CC25</f>
      </c>
      <c r="CX96" s="2657">
        <f>'Cash Flow Statement'!CD25</f>
      </c>
      <c r="CY96" s="2657">
        <f>'Cash Flow Statement'!CE25</f>
      </c>
      <c r="CZ96" s="2657">
        <f>'Cash Flow Statement'!CF25</f>
      </c>
      <c r="DA96" s="2657">
        <f>'Cash Flow Statement'!CG25</f>
      </c>
      <c r="DB96" s="2657">
        <f>'Cash Flow Statement'!CH25</f>
      </c>
      <c r="DC96" s="2657">
        <f>'Cash Flow Statement'!CI25</f>
      </c>
      <c r="DD96" s="2657">
        <f>'Cash Flow Statement'!CJ25</f>
      </c>
      <c r="DE96" s="2657">
        <f>'Cash Flow Statement'!CK25</f>
      </c>
      <c r="DF96" s="2657">
        <f>'Cash Flow Statement'!CL25</f>
      </c>
      <c r="DG96" s="2657">
        <f>'Cash Flow Statement'!CM25</f>
      </c>
      <c r="DH96" s="2657">
        <f>'Cash Flow Statement'!CN25</f>
      </c>
      <c r="DI96" s="2657">
        <f>'Cash Flow Statement'!CO25</f>
      </c>
      <c r="DJ96" s="2657">
        <f>'Cash Flow Statement'!CP25</f>
      </c>
      <c r="DK96" s="2657">
        <f>'Cash Flow Statement'!CQ25</f>
      </c>
      <c r="DL96" s="2657">
        <f>'Cash Flow Statement'!CR25</f>
      </c>
      <c r="DM96" s="2657">
        <f>'Cash Flow Statement'!CS25</f>
      </c>
      <c r="DN96" s="2657">
        <f>'Cash Flow Statement'!CT25</f>
      </c>
      <c r="DO96" s="2657">
        <f>'Cash Flow Statement'!CU25</f>
      </c>
      <c r="DP96" s="2657">
        <f>'Cash Flow Statement'!CV25</f>
      </c>
      <c r="DQ96" s="2657">
        <f>'Cash Flow Statement'!CW25</f>
      </c>
      <c r="DR96" s="2657">
        <f>'Cash Flow Statement'!CX25</f>
      </c>
      <c r="DS96" s="2657">
        <f>'Cash Flow Statement'!CY25</f>
      </c>
      <c r="DT96" s="2657">
        <f>'Cash Flow Statement'!CZ25</f>
      </c>
      <c r="DU96" s="2657">
        <f>'Cash Flow Statement'!DA25</f>
      </c>
      <c r="DV96" s="2657">
        <f>'Cash Flow Statement'!DB25</f>
      </c>
      <c r="DW96" s="2657">
        <f>'Cash Flow Statement'!DC25</f>
      </c>
      <c r="DX96" s="2657">
        <f>'Cash Flow Statement'!DD25</f>
      </c>
      <c r="DY96" s="2657">
        <f>'Cash Flow Statement'!DE25</f>
      </c>
      <c r="DZ96" s="2657">
        <f>'Cash Flow Statement'!DF25</f>
      </c>
      <c r="EA96" s="2657">
        <f>'Cash Flow Statement'!DG25</f>
      </c>
      <c r="EB96" s="2657">
        <f>'Cash Flow Statement'!DH25</f>
      </c>
      <c r="EC96" s="2657">
        <f>'Cash Flow Statement'!DI25</f>
      </c>
      <c r="ED96" s="2657">
        <f>'Cash Flow Statement'!DJ25</f>
      </c>
      <c r="EE96" s="2657">
        <f>'Cash Flow Statement'!DK25</f>
      </c>
      <c r="EF96" s="2657">
        <f>'Cash Flow Statement'!DL25</f>
      </c>
      <c r="EG96" s="2657">
        <f>'Cash Flow Statement'!DM25</f>
      </c>
      <c r="EH96" s="2657">
        <f>'Cash Flow Statement'!DN25</f>
      </c>
      <c r="EI96" s="2657">
        <f>'Cash Flow Statement'!DO25</f>
      </c>
      <c r="EJ96" s="2657">
        <f>'Cash Flow Statement'!DP25</f>
      </c>
      <c r="EK96" s="2657">
        <f>'Cash Flow Statement'!DQ25</f>
      </c>
      <c r="EL96" s="2657">
        <f>'Cash Flow Statement'!DR25</f>
      </c>
      <c r="EM96" s="2657">
        <f>'Cash Flow Statement'!DS25</f>
      </c>
      <c r="EN96" s="2657">
        <f>'Cash Flow Statement'!DT25</f>
      </c>
      <c r="EO96" s="2657">
        <f>'Cash Flow Statement'!DU25</f>
      </c>
      <c r="EP96" s="2657">
        <f>'Cash Flow Statement'!DV25</f>
      </c>
      <c r="EQ96" s="2657">
        <f>'Cash Flow Statement'!DW25</f>
      </c>
      <c r="ER96" s="2657">
        <f>'Cash Flow Statement'!DX25</f>
      </c>
      <c r="ES96" s="2657">
        <f>'Cash Flow Statement'!DY25</f>
      </c>
      <c r="ET96" s="2657">
        <f>'Cash Flow Statement'!DZ25</f>
      </c>
      <c r="EU96" s="2657">
        <f>'Cash Flow Statement'!EA25</f>
      </c>
      <c r="EV96" s="2657">
        <f>'Cash Flow Statement'!EB25</f>
      </c>
      <c r="EW96" s="2657">
        <f>'Cash Flow Statement'!EC25</f>
      </c>
      <c r="EX96" s="2657">
        <f>'Cash Flow Statement'!ED25</f>
      </c>
      <c r="EY96" s="2657">
        <f>'Cash Flow Statement'!EE25</f>
      </c>
      <c r="EZ96" s="2657">
        <f>'Cash Flow Statement'!EF25</f>
      </c>
      <c r="FA96" s="2657">
        <f>'Cash Flow Statement'!EG25</f>
      </c>
      <c r="FB96" s="2657">
        <f>'Cash Flow Statement'!EH25</f>
      </c>
      <c r="FC96" s="2657">
        <f>'Cash Flow Statement'!EI25</f>
      </c>
      <c r="FD96" s="2657">
        <f>'Cash Flow Statement'!EJ25</f>
      </c>
      <c r="FE96" s="2657">
        <f>'Cash Flow Statement'!EK25</f>
      </c>
    </row>
    <row r="97" spans="1:161" outlineLevel="2">
      <c r="B97" t="s">
        <v>380</v>
      </c>
      <c r="C97" t="s">
        <v>381</v>
      </c>
      <c r="D97" t="str">
        <f t="shared" si="14"/>
      </c>
      <c r="F97" s="2657">
        <f>'Cash Flow Statement'!ER32</f>
      </c>
      <c r="G97" s="2657">
        <f>'Cash Flow Statement'!ES32</f>
      </c>
      <c r="H97" s="2657">
        <f>'Cash Flow Statement'!ET32</f>
      </c>
      <c r="I97" s="2657">
        <f>'Cash Flow Statement'!EU32</f>
      </c>
      <c r="J97" s="2657">
        <f>'Cash Flow Statement'!EV32</f>
      </c>
      <c r="K97" s="2657">
        <f>'Cash Flow Statement'!EW32</f>
      </c>
      <c r="L97" s="2657">
        <f>'Cash Flow Statement'!EX32</f>
      </c>
      <c r="M97" s="2657">
        <f>'Cash Flow Statement'!EY32</f>
      </c>
      <c r="N97" s="2657">
        <f>'Cash Flow Statement'!EZ32</f>
      </c>
      <c r="O97" s="2657">
        <f>'Cash Flow Statement'!FA32</f>
      </c>
      <c r="P97" s="2657">
        <f>'Cash Flow Statement'!FB32</f>
      </c>
      <c r="Q97" s="2657">
        <f>'Cash Flow Statement'!FC32</f>
      </c>
      <c r="R97" s="2657">
        <f>'Cash Flow Statement'!FD32</f>
      </c>
      <c r="S97" s="2657">
        <f>'Cash Flow Statement'!FE32</f>
      </c>
      <c r="T97" s="2657">
        <f>'Cash Flow Statement'!FF32</f>
      </c>
      <c r="U97" s="2657">
        <f>'Cash Flow Statement'!FG32</f>
      </c>
      <c r="V97" s="2657">
        <f>'Cash Flow Statement'!FH32</f>
      </c>
      <c r="W97" s="2657">
        <f>'Cash Flow Statement'!FI32</f>
      </c>
      <c r="X97" s="2657">
        <f>'Cash Flow Statement'!FJ32</f>
      </c>
      <c r="Y97" s="2657">
        <f>'Cash Flow Statement'!FK32</f>
      </c>
      <c r="Z97" s="2657">
        <f>'Cash Flow Statement'!FL32</f>
      </c>
      <c r="AA97" s="2657">
        <f>'Cash Flow Statement'!FM32</f>
      </c>
      <c r="AB97" s="2657">
        <f>'Cash Flow Statement'!FN32</f>
      </c>
      <c r="AC97" s="2657">
        <f>'Cash Flow Statement'!FO32</f>
      </c>
      <c r="AD97" s="2657">
        <f>'Cash Flow Statement'!FP32</f>
      </c>
      <c r="AE97" s="2657">
        <f>'Cash Flow Statement'!FQ32</f>
      </c>
      <c r="AF97" s="2657">
        <f>'Cash Flow Statement'!FR32</f>
      </c>
      <c r="AG97" s="2657">
        <f>'Cash Flow Statement'!FS32</f>
      </c>
      <c r="AH97" s="2657">
        <f>'Cash Flow Statement'!FT32</f>
      </c>
      <c r="AI97" s="2657">
        <f>'Cash Flow Statement'!FU32</f>
      </c>
      <c r="AJ97" s="2657">
        <f>'Cash Flow Statement'!FV32</f>
      </c>
      <c r="AK97" s="2657"/>
      <c r="AL97" s="2657">
        <f>'Cash Flow Statement'!R32</f>
      </c>
      <c r="AM97" s="2657">
        <f>'Cash Flow Statement'!S32</f>
      </c>
      <c r="AN97" s="2657"/>
      <c r="AO97" s="2657">
        <f>'Cash Flow Statement'!U32</f>
      </c>
      <c r="AP97" s="2657">
        <f>'Cash Flow Statement'!V32</f>
      </c>
      <c r="AQ97" s="2657">
        <f>'Cash Flow Statement'!W32</f>
      </c>
      <c r="AR97" s="2657">
        <f>'Cash Flow Statement'!X32</f>
      </c>
      <c r="AS97" s="2657">
        <f>'Cash Flow Statement'!Y32</f>
      </c>
      <c r="AT97" s="2657">
        <f>'Cash Flow Statement'!Z32</f>
      </c>
      <c r="AU97" s="2657">
        <f>'Cash Flow Statement'!AA32</f>
      </c>
      <c r="AV97" s="2657">
        <f>'Cash Flow Statement'!AB32</f>
      </c>
      <c r="AW97" s="2657">
        <f>'Cash Flow Statement'!AC32</f>
      </c>
      <c r="AX97" s="2657">
        <f>'Cash Flow Statement'!AD32</f>
      </c>
      <c r="AY97" s="2657">
        <f>'Cash Flow Statement'!AE32</f>
      </c>
      <c r="AZ97" s="2657">
        <f>'Cash Flow Statement'!AF32</f>
      </c>
      <c r="BA97" s="2657">
        <f>'Cash Flow Statement'!AG32</f>
      </c>
      <c r="BB97" s="2657">
        <f>'Cash Flow Statement'!AH32</f>
      </c>
      <c r="BC97" s="2657">
        <f>'Cash Flow Statement'!AI32</f>
      </c>
      <c r="BD97" s="2657">
        <f>'Cash Flow Statement'!AJ32</f>
      </c>
      <c r="BE97" s="2657">
        <f>'Cash Flow Statement'!AK32</f>
      </c>
      <c r="BF97" s="2657">
        <f>'Cash Flow Statement'!AL32</f>
      </c>
      <c r="BG97" s="2657">
        <f>'Cash Flow Statement'!AM32</f>
      </c>
      <c r="BH97" s="2657">
        <f>'Cash Flow Statement'!AN32</f>
      </c>
      <c r="BI97" s="2657">
        <f>'Cash Flow Statement'!AO32</f>
      </c>
      <c r="BJ97" s="2657">
        <f>'Cash Flow Statement'!AP32</f>
      </c>
      <c r="BK97" s="2657">
        <f>'Cash Flow Statement'!AQ32</f>
      </c>
      <c r="BL97" s="2657">
        <f>'Cash Flow Statement'!AR32</f>
      </c>
      <c r="BM97" s="2657">
        <f>'Cash Flow Statement'!AS32</f>
      </c>
      <c r="BN97" s="2657">
        <f>'Cash Flow Statement'!AT32</f>
      </c>
      <c r="BO97" s="2657">
        <f>'Cash Flow Statement'!AU32</f>
      </c>
      <c r="BP97" s="2657">
        <f>'Cash Flow Statement'!AV32</f>
      </c>
      <c r="BQ97" s="2657">
        <f>'Cash Flow Statement'!AW32</f>
      </c>
      <c r="BR97" s="2657">
        <f>'Cash Flow Statement'!AX32</f>
      </c>
      <c r="BS97" s="2657">
        <f>'Cash Flow Statement'!AY32</f>
      </c>
      <c r="BT97" s="2657">
        <f>'Cash Flow Statement'!AZ32</f>
      </c>
      <c r="BU97" s="2657">
        <f>'Cash Flow Statement'!BA32</f>
      </c>
      <c r="BV97" s="2657">
        <f>'Cash Flow Statement'!BB32</f>
      </c>
      <c r="BW97" s="2657">
        <f>'Cash Flow Statement'!BC32</f>
      </c>
      <c r="BX97" s="2657">
        <f>'Cash Flow Statement'!BD32</f>
      </c>
      <c r="BY97" s="2657">
        <f>'Cash Flow Statement'!BE32</f>
      </c>
      <c r="BZ97" s="2657">
        <f>'Cash Flow Statement'!BF32</f>
      </c>
      <c r="CA97" s="2657">
        <f>'Cash Flow Statement'!BG32</f>
      </c>
      <c r="CB97" s="2657">
        <f>'Cash Flow Statement'!BH32</f>
      </c>
      <c r="CC97" s="2657">
        <f>'Cash Flow Statement'!BI32</f>
      </c>
      <c r="CD97" s="2657">
        <f>'Cash Flow Statement'!BJ32</f>
      </c>
      <c r="CE97" s="2657">
        <f>'Cash Flow Statement'!BK32</f>
      </c>
      <c r="CF97" s="2657">
        <f>'Cash Flow Statement'!BL32</f>
      </c>
      <c r="CG97" s="2657">
        <f>'Cash Flow Statement'!BM32</f>
      </c>
      <c r="CH97" s="2657">
        <f>'Cash Flow Statement'!BN32</f>
      </c>
      <c r="CI97" s="2657">
        <f>'Cash Flow Statement'!BO32</f>
      </c>
      <c r="CJ97" s="2657">
        <f>'Cash Flow Statement'!BP32</f>
      </c>
      <c r="CK97" s="2657">
        <f>'Cash Flow Statement'!BQ32</f>
      </c>
      <c r="CL97" s="2657">
        <f>'Cash Flow Statement'!BR32</f>
      </c>
      <c r="CM97" s="2657">
        <f>'Cash Flow Statement'!BS32</f>
      </c>
      <c r="CN97" s="2657">
        <f>'Cash Flow Statement'!BT32</f>
      </c>
      <c r="CO97" s="2657">
        <f>'Cash Flow Statement'!BU32</f>
      </c>
      <c r="CP97" s="2657">
        <f>'Cash Flow Statement'!BV32</f>
      </c>
      <c r="CQ97" s="2657">
        <f>'Cash Flow Statement'!BW32</f>
      </c>
      <c r="CR97" s="2657">
        <f>'Cash Flow Statement'!BX32</f>
      </c>
      <c r="CS97" s="2657">
        <f>'Cash Flow Statement'!BY32</f>
      </c>
      <c r="CT97" s="2657">
        <f>'Cash Flow Statement'!BZ32</f>
      </c>
      <c r="CU97" s="2657">
        <f>'Cash Flow Statement'!CA32</f>
      </c>
      <c r="CV97" s="2657">
        <f>'Cash Flow Statement'!CB32</f>
      </c>
      <c r="CW97" s="2657">
        <f>'Cash Flow Statement'!CC32</f>
      </c>
      <c r="CX97" s="2657">
        <f>'Cash Flow Statement'!CD32</f>
      </c>
      <c r="CY97" s="2657">
        <f>'Cash Flow Statement'!CE32</f>
      </c>
      <c r="CZ97" s="2657">
        <f>'Cash Flow Statement'!CF32</f>
      </c>
      <c r="DA97" s="2657">
        <f>'Cash Flow Statement'!CG32</f>
      </c>
      <c r="DB97" s="2657">
        <f>'Cash Flow Statement'!CH32</f>
      </c>
      <c r="DC97" s="2657">
        <f>'Cash Flow Statement'!CI32</f>
      </c>
      <c r="DD97" s="2657">
        <f>'Cash Flow Statement'!CJ32</f>
      </c>
      <c r="DE97" s="2657">
        <f>'Cash Flow Statement'!CK32</f>
      </c>
      <c r="DF97" s="2657">
        <f>'Cash Flow Statement'!CL32</f>
      </c>
      <c r="DG97" s="2657">
        <f>'Cash Flow Statement'!CM32</f>
      </c>
      <c r="DH97" s="2657">
        <f>'Cash Flow Statement'!CN32</f>
      </c>
      <c r="DI97" s="2657">
        <f>'Cash Flow Statement'!CO32</f>
      </c>
      <c r="DJ97" s="2657">
        <f>'Cash Flow Statement'!CP32</f>
      </c>
      <c r="DK97" s="2657">
        <f>'Cash Flow Statement'!CQ32</f>
      </c>
      <c r="DL97" s="2657">
        <f>'Cash Flow Statement'!CR32</f>
      </c>
      <c r="DM97" s="2657">
        <f>'Cash Flow Statement'!CS32</f>
      </c>
      <c r="DN97" s="2657">
        <f>'Cash Flow Statement'!CT32</f>
      </c>
      <c r="DO97" s="2657">
        <f>'Cash Flow Statement'!CU32</f>
      </c>
      <c r="DP97" s="2657">
        <f>'Cash Flow Statement'!CV32</f>
      </c>
      <c r="DQ97" s="2657">
        <f>'Cash Flow Statement'!CW32</f>
      </c>
      <c r="DR97" s="2657">
        <f>'Cash Flow Statement'!CX32</f>
      </c>
      <c r="DS97" s="2657">
        <f>'Cash Flow Statement'!CY32</f>
      </c>
      <c r="DT97" s="2657">
        <f>'Cash Flow Statement'!CZ32</f>
      </c>
      <c r="DU97" s="2657">
        <f>'Cash Flow Statement'!DA32</f>
      </c>
      <c r="DV97" s="2657">
        <f>'Cash Flow Statement'!DB32</f>
      </c>
      <c r="DW97" s="2657">
        <f>'Cash Flow Statement'!DC32</f>
      </c>
      <c r="DX97" s="2657">
        <f>'Cash Flow Statement'!DD32</f>
      </c>
      <c r="DY97" s="2657">
        <f>'Cash Flow Statement'!DE32</f>
      </c>
      <c r="DZ97" s="2657">
        <f>'Cash Flow Statement'!DF32</f>
      </c>
      <c r="EA97" s="2657">
        <f>'Cash Flow Statement'!DG32</f>
      </c>
      <c r="EB97" s="2657">
        <f>'Cash Flow Statement'!DH32</f>
      </c>
      <c r="EC97" s="2657">
        <f>'Cash Flow Statement'!DI32</f>
      </c>
      <c r="ED97" s="2657">
        <f>'Cash Flow Statement'!DJ32</f>
      </c>
      <c r="EE97" s="2657">
        <f>'Cash Flow Statement'!DK32</f>
      </c>
      <c r="EF97" s="2657">
        <f>'Cash Flow Statement'!DL32</f>
      </c>
      <c r="EG97" s="2657">
        <f>'Cash Flow Statement'!DM32</f>
      </c>
      <c r="EH97" s="2657">
        <f>'Cash Flow Statement'!DN32</f>
      </c>
      <c r="EI97" s="2657">
        <f>'Cash Flow Statement'!DO32</f>
      </c>
      <c r="EJ97" s="2657">
        <f>'Cash Flow Statement'!DP32</f>
      </c>
      <c r="EK97" s="2657">
        <f>'Cash Flow Statement'!DQ32</f>
      </c>
      <c r="EL97" s="2657">
        <f>'Cash Flow Statement'!DR32</f>
      </c>
      <c r="EM97" s="2657">
        <f>'Cash Flow Statement'!DS32</f>
      </c>
      <c r="EN97" s="2657">
        <f>'Cash Flow Statement'!DT32</f>
      </c>
      <c r="EO97" s="2657">
        <f>'Cash Flow Statement'!DU32</f>
      </c>
      <c r="EP97" s="2657">
        <f>'Cash Flow Statement'!DV32</f>
      </c>
      <c r="EQ97" s="2657">
        <f>'Cash Flow Statement'!DW32</f>
      </c>
      <c r="ER97" s="2657">
        <f>'Cash Flow Statement'!DX32</f>
      </c>
      <c r="ES97" s="2657">
        <f>'Cash Flow Statement'!DY32</f>
      </c>
      <c r="ET97" s="2657">
        <f>'Cash Flow Statement'!DZ32</f>
      </c>
      <c r="EU97" s="2657">
        <f>'Cash Flow Statement'!EA32</f>
      </c>
      <c r="EV97" s="2657">
        <f>'Cash Flow Statement'!EB32</f>
      </c>
      <c r="EW97" s="2657">
        <f>'Cash Flow Statement'!EC32</f>
      </c>
      <c r="EX97" s="2657">
        <f>'Cash Flow Statement'!ED32</f>
      </c>
      <c r="EY97" s="2657">
        <f>'Cash Flow Statement'!EE32</f>
      </c>
      <c r="EZ97" s="2657">
        <f>'Cash Flow Statement'!EF32</f>
      </c>
      <c r="FA97" s="2657">
        <f>'Cash Flow Statement'!EG32</f>
      </c>
      <c r="FB97" s="2657">
        <f>'Cash Flow Statement'!EH32</f>
      </c>
      <c r="FC97" s="2657">
        <f>'Cash Flow Statement'!EI32</f>
      </c>
      <c r="FD97" s="2657">
        <f>'Cash Flow Statement'!EJ32</f>
      </c>
      <c r="FE97" s="2657">
        <f>'Cash Flow Statement'!EK32</f>
      </c>
    </row>
    <row r="98" spans="1:161" outlineLevel="2">
      <c r="B98" t="s">
        <v>382</v>
      </c>
      <c r="C98" t="s">
        <v>383</v>
      </c>
      <c r="D98" t="str">
        <f t="shared" si="14"/>
      </c>
      <c r="F98" s="2657">
        <f>'Cash Flow Statement'!ER33+'Cash Flow Statement'!ER31</f>
      </c>
      <c r="G98" s="2657">
        <f>'Cash Flow Statement'!ES33+'Cash Flow Statement'!ES31</f>
      </c>
      <c r="H98" s="2657">
        <f>'Cash Flow Statement'!ET33+'Cash Flow Statement'!ET31</f>
      </c>
      <c r="I98" s="2657">
        <f>'Cash Flow Statement'!EU33+'Cash Flow Statement'!EU31</f>
      </c>
      <c r="J98" s="2657">
        <f>'Cash Flow Statement'!EV33+'Cash Flow Statement'!EV31</f>
      </c>
      <c r="K98" s="2657">
        <f>'Cash Flow Statement'!EW33+'Cash Flow Statement'!EW31</f>
      </c>
      <c r="L98" s="2657">
        <f>'Cash Flow Statement'!EX33+'Cash Flow Statement'!EX31</f>
      </c>
      <c r="M98" s="2657">
        <f>'Cash Flow Statement'!EY33+'Cash Flow Statement'!EY31</f>
      </c>
      <c r="N98" s="2657">
        <f>'Cash Flow Statement'!EZ33+'Cash Flow Statement'!EZ31</f>
      </c>
      <c r="O98" s="2657">
        <f>'Cash Flow Statement'!FA33+'Cash Flow Statement'!FA31</f>
      </c>
      <c r="P98" s="2657">
        <f>'Cash Flow Statement'!FB33+'Cash Flow Statement'!FB31</f>
      </c>
      <c r="Q98" s="2657">
        <f>'Cash Flow Statement'!FC33+'Cash Flow Statement'!FC31</f>
      </c>
      <c r="R98" s="2657">
        <f>'Cash Flow Statement'!FD33+'Cash Flow Statement'!FD31</f>
      </c>
      <c r="S98" s="2657">
        <f>'Cash Flow Statement'!FE33+'Cash Flow Statement'!FE31</f>
      </c>
      <c r="T98" s="2657">
        <f>'Cash Flow Statement'!FF33+'Cash Flow Statement'!FF31</f>
      </c>
      <c r="U98" s="2657">
        <f>'Cash Flow Statement'!FG33+'Cash Flow Statement'!FG31</f>
      </c>
      <c r="V98" s="2657">
        <f>'Cash Flow Statement'!FH33+'Cash Flow Statement'!FH31</f>
      </c>
      <c r="W98" s="2657">
        <f>'Cash Flow Statement'!FI33+'Cash Flow Statement'!FI31</f>
      </c>
      <c r="X98" s="2657">
        <f>'Cash Flow Statement'!FJ33+'Cash Flow Statement'!FJ31</f>
      </c>
      <c r="Y98" s="2657">
        <f>'Cash Flow Statement'!FK33+'Cash Flow Statement'!FK31</f>
      </c>
      <c r="Z98" s="2657">
        <f>'Cash Flow Statement'!FL33+'Cash Flow Statement'!FL31</f>
      </c>
      <c r="AA98" s="2657">
        <f>'Cash Flow Statement'!FM33+'Cash Flow Statement'!FM31</f>
      </c>
      <c r="AB98" s="2657">
        <f>'Cash Flow Statement'!FN33+'Cash Flow Statement'!FN31</f>
      </c>
      <c r="AC98" s="2657"/>
      <c r="AD98" s="2657"/>
      <c r="AE98" s="2657"/>
      <c r="AF98" s="2657"/>
      <c r="AG98" s="2657"/>
      <c r="AH98" s="2657"/>
      <c r="AI98" s="2657"/>
      <c r="AJ98" s="2657"/>
      <c r="AK98" s="2657"/>
      <c r="AL98" s="2657"/>
      <c r="AM98" s="2657"/>
      <c r="AN98" s="2657"/>
      <c r="AO98" s="2657"/>
      <c r="AP98" s="2657"/>
      <c r="AQ98" s="2657"/>
      <c r="AR98" s="2657"/>
      <c r="AS98" s="2657">
        <f>'Cash Flow Statement'!Y33+'Cash Flow Statement'!Y31</f>
      </c>
      <c r="AT98" s="2657"/>
      <c r="AU98" s="2657"/>
      <c r="AV98" s="2657"/>
      <c r="AW98" s="2657">
        <f>'Cash Flow Statement'!AC33+'Cash Flow Statement'!AC31</f>
      </c>
      <c r="AX98" s="2657"/>
      <c r="AY98" s="2657"/>
      <c r="AZ98" s="2657"/>
      <c r="BA98" s="2657"/>
      <c r="BB98" s="2657"/>
      <c r="BC98" s="2657"/>
      <c r="BD98" s="2657"/>
      <c r="BE98" s="2657"/>
      <c r="BF98" s="2657"/>
      <c r="BG98" s="2657"/>
      <c r="BH98" s="2657"/>
      <c r="BI98" s="2657"/>
      <c r="BJ98" s="2657"/>
      <c r="BK98" s="2657"/>
      <c r="BL98" s="2657"/>
      <c r="BM98" s="2657"/>
      <c r="BN98" s="2657">
        <f>'Cash Flow Statement'!AT33+'Cash Flow Statement'!AT31</f>
      </c>
      <c r="BO98" s="2657">
        <f>'Cash Flow Statement'!AU33+'Cash Flow Statement'!AU31</f>
      </c>
      <c r="BP98" s="2657">
        <f>'Cash Flow Statement'!AV33+'Cash Flow Statement'!AV31</f>
      </c>
      <c r="BQ98" s="2657">
        <f>'Cash Flow Statement'!AW33+'Cash Flow Statement'!AW31</f>
      </c>
      <c r="BR98" s="2657">
        <f>'Cash Flow Statement'!AX33+'Cash Flow Statement'!AX31</f>
      </c>
      <c r="BS98" s="2657">
        <f>'Cash Flow Statement'!AY33+'Cash Flow Statement'!AY31</f>
      </c>
      <c r="BT98" s="2657">
        <f>'Cash Flow Statement'!AZ33+'Cash Flow Statement'!AZ31</f>
      </c>
      <c r="BU98" s="2657">
        <f>'Cash Flow Statement'!BA33+'Cash Flow Statement'!BA31</f>
      </c>
      <c r="BV98" s="2657">
        <f>'Cash Flow Statement'!BB33+'Cash Flow Statement'!BB31</f>
      </c>
      <c r="BW98" s="2657">
        <f>'Cash Flow Statement'!BC33+'Cash Flow Statement'!BC31</f>
      </c>
      <c r="BX98" s="2657">
        <f>'Cash Flow Statement'!BD33+'Cash Flow Statement'!BD31</f>
      </c>
      <c r="BY98" s="2657">
        <f>'Cash Flow Statement'!BE33+'Cash Flow Statement'!BE31</f>
      </c>
      <c r="BZ98" s="2657">
        <f>'Cash Flow Statement'!BF33+'Cash Flow Statement'!BF31</f>
      </c>
      <c r="CA98" s="2657">
        <f>'Cash Flow Statement'!BG33+'Cash Flow Statement'!BG31</f>
      </c>
      <c r="CB98" s="2657">
        <f>'Cash Flow Statement'!BH33+'Cash Flow Statement'!BH31</f>
      </c>
      <c r="CC98" s="2657">
        <f>'Cash Flow Statement'!BI33+'Cash Flow Statement'!BI31</f>
      </c>
      <c r="CD98" s="2657">
        <f>'Cash Flow Statement'!BJ33+'Cash Flow Statement'!BJ31</f>
      </c>
      <c r="CE98" s="2657">
        <f>'Cash Flow Statement'!BK33+'Cash Flow Statement'!BK31</f>
      </c>
      <c r="CF98" s="2657">
        <f>'Cash Flow Statement'!BL33+'Cash Flow Statement'!BL31</f>
      </c>
      <c r="CG98" s="2657">
        <f>'Cash Flow Statement'!BM33+'Cash Flow Statement'!BM31</f>
      </c>
      <c r="CH98" s="2657">
        <f>'Cash Flow Statement'!BN33+'Cash Flow Statement'!BN31</f>
      </c>
      <c r="CI98" s="2657">
        <f>'Cash Flow Statement'!BO33+'Cash Flow Statement'!BO31</f>
      </c>
      <c r="CJ98" s="2657">
        <f>'Cash Flow Statement'!BP33+'Cash Flow Statement'!BP31</f>
      </c>
      <c r="CK98" s="2657">
        <f>'Cash Flow Statement'!BQ33+'Cash Flow Statement'!BQ31</f>
      </c>
      <c r="CL98" s="2657">
        <f>'Cash Flow Statement'!BR33+'Cash Flow Statement'!BR31</f>
      </c>
      <c r="CM98" s="2657">
        <f>'Cash Flow Statement'!BS33+'Cash Flow Statement'!BS31</f>
      </c>
      <c r="CN98" s="2657">
        <f>'Cash Flow Statement'!BT33+'Cash Flow Statement'!BT31</f>
      </c>
      <c r="CO98" s="2657">
        <f>'Cash Flow Statement'!BU33+'Cash Flow Statement'!BU31</f>
      </c>
      <c r="CP98" s="2657">
        <f>'Cash Flow Statement'!BV33+'Cash Flow Statement'!BV31</f>
      </c>
      <c r="CQ98" s="2657">
        <f>'Cash Flow Statement'!BW33+'Cash Flow Statement'!BW31</f>
      </c>
      <c r="CR98" s="2657">
        <f>'Cash Flow Statement'!BX33+'Cash Flow Statement'!BX31</f>
      </c>
      <c r="CS98" s="2657">
        <f>'Cash Flow Statement'!BY33+'Cash Flow Statement'!BY31</f>
      </c>
      <c r="CT98" s="2657">
        <f>'Cash Flow Statement'!BZ33+'Cash Flow Statement'!BZ31</f>
      </c>
      <c r="CU98" s="2657">
        <f>'Cash Flow Statement'!CA33+'Cash Flow Statement'!CA31</f>
      </c>
      <c r="CV98" s="2657">
        <f>'Cash Flow Statement'!CB33+'Cash Flow Statement'!CB31</f>
      </c>
      <c r="CW98" s="2657">
        <f>'Cash Flow Statement'!CC33+'Cash Flow Statement'!CC31</f>
      </c>
      <c r="CX98" s="2657">
        <f>'Cash Flow Statement'!CD33+'Cash Flow Statement'!CD31</f>
      </c>
      <c r="CY98" s="2657">
        <f>'Cash Flow Statement'!CE33+'Cash Flow Statement'!CE31</f>
      </c>
      <c r="CZ98" s="2657">
        <f>'Cash Flow Statement'!CF33+'Cash Flow Statement'!CF31</f>
      </c>
      <c r="DA98" s="2657">
        <f>'Cash Flow Statement'!CG33+'Cash Flow Statement'!CG31</f>
      </c>
      <c r="DB98" s="2657">
        <f>'Cash Flow Statement'!CH33+'Cash Flow Statement'!CH31</f>
      </c>
      <c r="DC98" s="2657">
        <f>'Cash Flow Statement'!CI33+'Cash Flow Statement'!CI31</f>
      </c>
      <c r="DD98" s="2657">
        <f>'Cash Flow Statement'!CJ33+'Cash Flow Statement'!CJ31</f>
      </c>
      <c r="DE98" s="2657">
        <f>'Cash Flow Statement'!CK33+'Cash Flow Statement'!CK31</f>
      </c>
      <c r="DF98" s="2657">
        <f>'Cash Flow Statement'!CL33+'Cash Flow Statement'!CL31</f>
      </c>
      <c r="DG98" s="2657">
        <f>'Cash Flow Statement'!CM33+'Cash Flow Statement'!CM31</f>
      </c>
      <c r="DH98" s="2657">
        <f>'Cash Flow Statement'!CN33+'Cash Flow Statement'!CN31</f>
      </c>
      <c r="DI98" s="2657">
        <f>'Cash Flow Statement'!CO33+'Cash Flow Statement'!CO31</f>
      </c>
      <c r="DJ98" s="2657">
        <f>'Cash Flow Statement'!CP33+'Cash Flow Statement'!CP31</f>
      </c>
      <c r="DK98" s="2657">
        <f>'Cash Flow Statement'!CQ33+'Cash Flow Statement'!CQ31</f>
      </c>
      <c r="DL98" s="2657">
        <f>'Cash Flow Statement'!CR33+'Cash Flow Statement'!CR31</f>
      </c>
      <c r="DM98" s="2657">
        <f>'Cash Flow Statement'!CS33+'Cash Flow Statement'!CS31</f>
      </c>
      <c r="DN98" s="2657">
        <f>'Cash Flow Statement'!CT33+'Cash Flow Statement'!CT31</f>
      </c>
      <c r="DO98" s="2657">
        <f>'Cash Flow Statement'!CU33+'Cash Flow Statement'!CU31</f>
      </c>
      <c r="DP98" s="2657">
        <f>'Cash Flow Statement'!CV33+'Cash Flow Statement'!CV31</f>
      </c>
      <c r="DQ98" s="2657">
        <f>'Cash Flow Statement'!CW33+'Cash Flow Statement'!CW31</f>
      </c>
      <c r="DR98" s="2657">
        <f>'Cash Flow Statement'!CX33+'Cash Flow Statement'!CX31</f>
      </c>
      <c r="DS98" s="2657">
        <f>'Cash Flow Statement'!CY33+'Cash Flow Statement'!CY31</f>
      </c>
      <c r="DT98" s="2657">
        <f>'Cash Flow Statement'!CZ33+'Cash Flow Statement'!CZ31</f>
      </c>
      <c r="DU98" s="2657">
        <f>'Cash Flow Statement'!DA33+'Cash Flow Statement'!DA31</f>
      </c>
      <c r="DV98" s="2657">
        <f>'Cash Flow Statement'!DB33+'Cash Flow Statement'!DB31</f>
      </c>
      <c r="DW98" s="2657">
        <f>'Cash Flow Statement'!DC33+'Cash Flow Statement'!DC31</f>
      </c>
      <c r="DX98" s="2657">
        <f>'Cash Flow Statement'!DD33+'Cash Flow Statement'!DD31</f>
      </c>
      <c r="DY98" s="2657">
        <f>'Cash Flow Statement'!DE33+'Cash Flow Statement'!DE31</f>
      </c>
      <c r="DZ98" s="2657"/>
      <c r="EA98" s="2657"/>
      <c r="EB98" s="2657"/>
      <c r="EC98" s="2657"/>
      <c r="ED98" s="2657"/>
      <c r="EE98" s="2657"/>
      <c r="EF98" s="2657"/>
      <c r="EG98" s="2657"/>
      <c r="EH98" s="2657"/>
      <c r="EI98" s="2657"/>
      <c r="EJ98" s="2657"/>
      <c r="EK98" s="2657"/>
      <c r="EL98" s="2657"/>
      <c r="EM98" s="2657"/>
      <c r="EN98" s="2657"/>
      <c r="EO98" s="2657"/>
      <c r="EP98" s="2657"/>
      <c r="EQ98" s="2657"/>
      <c r="ER98" s="2657"/>
      <c r="ES98" s="2657"/>
      <c r="ET98" s="2657"/>
      <c r="EU98" s="2657"/>
      <c r="EV98" s="2657"/>
      <c r="EW98" s="2657"/>
      <c r="EX98" s="2657"/>
      <c r="EY98" s="2657"/>
      <c r="EZ98" s="2657"/>
      <c r="FA98" s="2657"/>
      <c r="FB98" s="2657"/>
      <c r="FC98" s="2657"/>
      <c r="FD98" s="2657"/>
      <c r="FE98" s="2657"/>
    </row>
    <row r="99" spans="1:161" outlineLevel="2">
      <c r="B99" t="s">
        <v>384</v>
      </c>
      <c r="C99" t="s">
        <v>385</v>
      </c>
      <c r="D99" t="str">
        <f t="shared" si="14"/>
      </c>
      <c r="F99" s="2657">
        <v>0</v>
      </c>
      <c r="G99" s="2657">
        <v>0</v>
      </c>
      <c r="H99" s="2657">
        <v>0</v>
      </c>
      <c r="I99" s="2657">
        <v>0</v>
      </c>
      <c r="J99" s="2657">
        <v>0</v>
      </c>
      <c r="K99" s="2657">
        <v>0</v>
      </c>
      <c r="L99" s="2657">
        <v>0</v>
      </c>
      <c r="M99" s="2657">
        <v>0</v>
      </c>
      <c r="N99" s="2657">
        <v>0</v>
      </c>
      <c r="O99" s="2657">
        <v>0</v>
      </c>
      <c r="P99" s="2657"/>
      <c r="Q99" s="2657"/>
      <c r="R99" s="2657"/>
      <c r="S99" s="2657"/>
      <c r="T99" s="2657"/>
      <c r="U99" s="2657"/>
      <c r="V99" s="2657"/>
      <c r="W99" s="2657"/>
      <c r="X99" s="2657"/>
      <c r="Y99" s="2657"/>
      <c r="Z99" s="2657"/>
      <c r="AA99" s="2657"/>
      <c r="AB99" s="2657"/>
      <c r="AC99" s="2657"/>
      <c r="AD99" s="2657"/>
      <c r="AE99" s="2657"/>
      <c r="AF99" s="2657"/>
      <c r="AG99" s="2657"/>
      <c r="AH99" s="2657"/>
      <c r="AI99" s="2657"/>
      <c r="AJ99" s="2657"/>
      <c r="AK99" s="2657"/>
      <c r="AL99" s="2657"/>
      <c r="AM99" s="2657"/>
      <c r="AN99" s="2657"/>
      <c r="AO99" s="2657"/>
      <c r="AP99" s="2657"/>
      <c r="AQ99" s="2657"/>
      <c r="AR99" s="2657"/>
      <c r="AS99" s="2657"/>
      <c r="AT99" s="2657"/>
      <c r="AU99" s="2657"/>
      <c r="AV99" s="2657"/>
      <c r="AW99" s="2657"/>
      <c r="AX99" s="2657"/>
      <c r="AY99" s="2657"/>
      <c r="AZ99" s="2657"/>
      <c r="BA99" s="2657"/>
      <c r="BB99" s="2657"/>
      <c r="BC99" s="2657"/>
      <c r="BD99" s="2657"/>
      <c r="BE99" s="2657"/>
      <c r="BF99" s="2657"/>
      <c r="BG99" s="2657"/>
      <c r="BH99" s="2657"/>
      <c r="BI99" s="2657"/>
      <c r="BJ99" s="2657"/>
      <c r="BK99" s="2657"/>
      <c r="BL99" s="2657"/>
      <c r="BM99" s="2657"/>
      <c r="BN99" s="2657"/>
      <c r="BO99" s="2657"/>
      <c r="BP99" s="2657"/>
      <c r="BQ99" s="2657"/>
      <c r="BR99" s="2657"/>
      <c r="BS99" s="2657"/>
      <c r="BT99" s="2657"/>
      <c r="BU99" s="2657"/>
      <c r="BV99" s="2657"/>
      <c r="BW99" s="2657"/>
      <c r="BX99" s="2657"/>
      <c r="BY99" s="2657"/>
      <c r="BZ99" s="2657"/>
      <c r="CA99" s="2657"/>
      <c r="CB99" s="2657"/>
      <c r="CC99" s="2657"/>
      <c r="CD99" s="2657"/>
      <c r="CE99" s="2657"/>
      <c r="CF99" s="2657"/>
      <c r="CG99" s="2657"/>
      <c r="CH99" s="2657"/>
      <c r="CI99" s="2657"/>
      <c r="CJ99" s="2657"/>
      <c r="CK99" s="2657"/>
      <c r="CL99" s="2657"/>
      <c r="CM99" s="2657"/>
      <c r="CN99" s="2657"/>
      <c r="CO99" s="2657"/>
      <c r="CP99" s="2657"/>
      <c r="CQ99" s="2657"/>
      <c r="CR99" s="2657"/>
      <c r="CS99" s="2657"/>
      <c r="CT99" s="2657"/>
      <c r="CU99" s="2657"/>
      <c r="CV99" s="2657"/>
      <c r="CW99" s="2657"/>
      <c r="CX99" s="2657"/>
      <c r="CY99" s="2657"/>
      <c r="CZ99" s="2657"/>
      <c r="DA99" s="2657"/>
      <c r="DB99" s="2657"/>
      <c r="DC99" s="2657"/>
      <c r="DD99" s="2657"/>
      <c r="DE99" s="2657"/>
      <c r="DF99" s="2657"/>
      <c r="DG99" s="2657"/>
      <c r="DH99" s="2657"/>
      <c r="DI99" s="2657"/>
      <c r="DJ99" s="2657"/>
      <c r="DK99" s="2657"/>
      <c r="DL99" s="2657"/>
      <c r="DM99" s="2657"/>
      <c r="DN99" s="2657"/>
      <c r="DO99" s="2657"/>
      <c r="DP99" s="2657"/>
      <c r="DQ99" s="2657"/>
      <c r="DR99" s="2657"/>
      <c r="DS99" s="2657"/>
      <c r="DT99" s="2657"/>
      <c r="DU99" s="2657"/>
      <c r="DV99" s="2657"/>
      <c r="DW99" s="2657"/>
      <c r="DX99" s="2657"/>
      <c r="DY99" s="2657"/>
      <c r="DZ99" s="2657"/>
      <c r="EA99" s="2657"/>
      <c r="EB99" s="2657"/>
      <c r="EC99" s="2657"/>
      <c r="ED99" s="2657"/>
      <c r="EE99" s="2657"/>
      <c r="EF99" s="2657"/>
      <c r="EG99" s="2657"/>
      <c r="EH99" s="2657"/>
      <c r="EI99" s="2657"/>
      <c r="EJ99" s="2657"/>
      <c r="EK99" s="2657"/>
      <c r="EL99" s="2657"/>
      <c r="EM99" s="2657"/>
      <c r="EN99" s="2657"/>
      <c r="EO99" s="2657"/>
      <c r="EP99" s="2657"/>
      <c r="EQ99" s="2657"/>
      <c r="ER99" s="2657"/>
      <c r="ES99" s="2657"/>
      <c r="ET99" s="2657"/>
      <c r="EU99" s="2657"/>
      <c r="EV99" s="2657"/>
      <c r="EW99" s="2657"/>
      <c r="EX99" s="2657"/>
      <c r="EY99" s="2657"/>
      <c r="EZ99" s="2657"/>
      <c r="FA99" s="2657"/>
      <c r="FB99" s="2657"/>
      <c r="FC99" s="2657"/>
      <c r="FD99" s="2657"/>
      <c r="FE99" s="2657"/>
    </row>
    <row r="100" spans="1:161" outlineLevel="2">
      <c r="B100" t="s">
        <v>386</v>
      </c>
      <c r="C100" t="s">
        <v>387</v>
      </c>
      <c r="D100" t="str">
        <f t="shared" si="14"/>
      </c>
      <c r="F100" s="2657">
        <f>SUM('Cash Flow Statement'!ER28:ER30,'Cash Flow Statement'!ER34)</f>
      </c>
      <c r="G100" s="2657">
        <f>SUM('Cash Flow Statement'!ES28:ES30,'Cash Flow Statement'!ES34)</f>
      </c>
      <c r="H100" s="2657">
        <f>SUM('Cash Flow Statement'!ET28:ET30,'Cash Flow Statement'!ET34)</f>
      </c>
      <c r="I100" s="2657">
        <f>SUM('Cash Flow Statement'!EU28:EU30,'Cash Flow Statement'!EU34)</f>
      </c>
      <c r="J100" s="2657">
        <f>SUM('Cash Flow Statement'!EV28:EV30,'Cash Flow Statement'!EV34)</f>
      </c>
      <c r="K100" s="2657">
        <f>SUM('Cash Flow Statement'!EW28:EW30,'Cash Flow Statement'!EW34)</f>
      </c>
      <c r="L100" s="2657">
        <f>SUM('Cash Flow Statement'!EX28:EX30,'Cash Flow Statement'!EX34)</f>
      </c>
      <c r="M100" s="2657">
        <f>SUM('Cash Flow Statement'!EY28:EY30,'Cash Flow Statement'!EY34)</f>
      </c>
      <c r="N100" s="2657">
        <f>SUM('Cash Flow Statement'!EZ28:EZ30,'Cash Flow Statement'!EZ34)</f>
      </c>
      <c r="O100" s="2657">
        <f>SUM('Cash Flow Statement'!FA28:FA30,'Cash Flow Statement'!FA34)</f>
      </c>
      <c r="P100" s="2657">
        <f>SUM('Cash Flow Statement'!FB28:FB30,'Cash Flow Statement'!FB34)</f>
      </c>
      <c r="Q100" s="2657">
        <f>SUM('Cash Flow Statement'!FC28:FC30,'Cash Flow Statement'!FC34)</f>
      </c>
      <c r="R100" s="2657">
        <f>SUM('Cash Flow Statement'!FD28:FD30,'Cash Flow Statement'!FD34)</f>
      </c>
      <c r="S100" s="2657">
        <f>SUM('Cash Flow Statement'!FE28:FE30,'Cash Flow Statement'!FE34)</f>
      </c>
      <c r="T100" s="2657">
        <f>SUM('Cash Flow Statement'!FF28:FF30,'Cash Flow Statement'!FF34)</f>
      </c>
      <c r="U100" s="2657">
        <f>SUM('Cash Flow Statement'!FG28:FG30,'Cash Flow Statement'!FG34)</f>
      </c>
      <c r="V100" s="2657">
        <f>SUM('Cash Flow Statement'!FH28:FH30,'Cash Flow Statement'!FH34)</f>
      </c>
      <c r="W100" s="2657">
        <f>SUM('Cash Flow Statement'!FI28:FI30,'Cash Flow Statement'!FI34)</f>
      </c>
      <c r="X100" s="2657">
        <f>SUM('Cash Flow Statement'!FJ28:FJ30,'Cash Flow Statement'!FJ34)</f>
      </c>
      <c r="Y100" s="2657">
        <f>SUM('Cash Flow Statement'!FK28:FK30,'Cash Flow Statement'!FK34)</f>
      </c>
      <c r="Z100" s="2657">
        <f>SUM('Cash Flow Statement'!FL28:FL30,'Cash Flow Statement'!FL34)</f>
      </c>
      <c r="AA100" s="2657">
        <f>SUM('Cash Flow Statement'!FM28:FM30,'Cash Flow Statement'!FM34)</f>
      </c>
      <c r="AB100" s="2657">
        <f>SUM('Cash Flow Statement'!FN28:FN30,'Cash Flow Statement'!FN34)</f>
      </c>
      <c r="AC100" s="2657"/>
      <c r="AD100" s="2657"/>
      <c r="AE100" s="2657"/>
      <c r="AF100" s="2657"/>
      <c r="AG100" s="2657"/>
      <c r="AH100" s="2657"/>
      <c r="AI100" s="2657"/>
      <c r="AJ100" s="2657"/>
      <c r="AK100" s="2657"/>
      <c r="AL100" s="2657">
        <f>SUM('Cash Flow Statement'!R28:R30,'Cash Flow Statement'!R34)</f>
      </c>
      <c r="AM100" s="2657">
        <f>SUM('Cash Flow Statement'!S28:S30,'Cash Flow Statement'!S34)</f>
      </c>
      <c r="AN100" s="2657">
        <f>SUM('Cash Flow Statement'!T28:T30,'Cash Flow Statement'!T34)</f>
      </c>
      <c r="AO100" s="2657">
        <f>SUM('Cash Flow Statement'!U28:U30,'Cash Flow Statement'!U34)</f>
      </c>
      <c r="AP100" s="2657">
        <f>SUM('Cash Flow Statement'!V28:V30,'Cash Flow Statement'!V34)</f>
      </c>
      <c r="AQ100" s="2657">
        <f>SUM('Cash Flow Statement'!W28:W30,'Cash Flow Statement'!W34)</f>
      </c>
      <c r="AR100" s="2657">
        <f>SUM('Cash Flow Statement'!X28:X30,'Cash Flow Statement'!X34)</f>
      </c>
      <c r="AS100" s="2657">
        <f>SUM('Cash Flow Statement'!Y28:Y30,'Cash Flow Statement'!Y34)</f>
      </c>
      <c r="AT100" s="2657">
        <f>SUM('Cash Flow Statement'!Z28:Z30,'Cash Flow Statement'!Z34)</f>
      </c>
      <c r="AU100" s="2657">
        <f>SUM('Cash Flow Statement'!AA28:AA30,'Cash Flow Statement'!AA34)</f>
      </c>
      <c r="AV100" s="2657">
        <f>SUM('Cash Flow Statement'!AB28:AB30,'Cash Flow Statement'!AB34)</f>
      </c>
      <c r="AW100" s="2657">
        <f>SUM('Cash Flow Statement'!AC28:AC30,'Cash Flow Statement'!AC34)</f>
      </c>
      <c r="AX100" s="2657">
        <f>SUM('Cash Flow Statement'!AD28:AD30,'Cash Flow Statement'!AD34)</f>
      </c>
      <c r="AY100" s="2657">
        <f>SUM('Cash Flow Statement'!AE28:AE30,'Cash Flow Statement'!AE34)</f>
      </c>
      <c r="AZ100" s="2657">
        <f>SUM('Cash Flow Statement'!AF28:AF30,'Cash Flow Statement'!AF34)</f>
      </c>
      <c r="BA100" s="2657">
        <f>SUM('Cash Flow Statement'!AG28:AG30,'Cash Flow Statement'!AG34)</f>
      </c>
      <c r="BB100" s="2657">
        <f>SUM('Cash Flow Statement'!AH28:AH30,'Cash Flow Statement'!AH34)</f>
      </c>
      <c r="BC100" s="2657">
        <f>SUM('Cash Flow Statement'!AI28:AI30,'Cash Flow Statement'!AI34)</f>
      </c>
      <c r="BD100" s="2657">
        <f>SUM('Cash Flow Statement'!AJ28:AJ30,'Cash Flow Statement'!AJ34)</f>
      </c>
      <c r="BE100" s="2657">
        <f>SUM('Cash Flow Statement'!AK28:AK30,'Cash Flow Statement'!AK34)</f>
      </c>
      <c r="BF100" s="2657">
        <f>SUM('Cash Flow Statement'!AL28:AL30,'Cash Flow Statement'!AL34)</f>
      </c>
      <c r="BG100" s="2657">
        <f>SUM('Cash Flow Statement'!AM28:AM30,'Cash Flow Statement'!AM34)</f>
      </c>
      <c r="BH100" s="2657">
        <f>SUM('Cash Flow Statement'!AN28:AN30,'Cash Flow Statement'!AN34)</f>
      </c>
      <c r="BI100" s="2657">
        <f>SUM('Cash Flow Statement'!AO28:AO30,'Cash Flow Statement'!AO34)</f>
      </c>
      <c r="BJ100" s="2657">
        <f>SUM('Cash Flow Statement'!AP28:AP30,'Cash Flow Statement'!AP34)</f>
      </c>
      <c r="BK100" s="2657">
        <f>SUM('Cash Flow Statement'!AQ28:AQ30,'Cash Flow Statement'!AQ34)</f>
      </c>
      <c r="BL100" s="2657">
        <f>SUM('Cash Flow Statement'!AR28:AR30,'Cash Flow Statement'!AR34)</f>
      </c>
      <c r="BM100" s="2657">
        <f>SUM('Cash Flow Statement'!AS28:AS30,'Cash Flow Statement'!AS34)</f>
      </c>
      <c r="BN100" s="2657">
        <f>SUM('Cash Flow Statement'!AT28:AT30,'Cash Flow Statement'!AT34)</f>
      </c>
      <c r="BO100" s="2657">
        <f>SUM('Cash Flow Statement'!AU28:AU30,'Cash Flow Statement'!AU34)</f>
      </c>
      <c r="BP100" s="2657">
        <f>SUM('Cash Flow Statement'!AV28:AV30,'Cash Flow Statement'!AV34)</f>
      </c>
      <c r="BQ100" s="2657">
        <f>SUM('Cash Flow Statement'!AW28:AW30,'Cash Flow Statement'!AW34)</f>
      </c>
      <c r="BR100" s="2657">
        <f>SUM('Cash Flow Statement'!AX28:AX30,'Cash Flow Statement'!AX34)</f>
      </c>
      <c r="BS100" s="2657">
        <f>SUM('Cash Flow Statement'!AY28:AY30,'Cash Flow Statement'!AY34)</f>
      </c>
      <c r="BT100" s="2657">
        <f>SUM('Cash Flow Statement'!AZ28:AZ30,'Cash Flow Statement'!AZ34)</f>
      </c>
      <c r="BU100" s="2657">
        <f>SUM('Cash Flow Statement'!BA28:BA30,'Cash Flow Statement'!BA34)</f>
      </c>
      <c r="BV100" s="2657">
        <f>SUM('Cash Flow Statement'!BB28:BB30,'Cash Flow Statement'!BB34)</f>
      </c>
      <c r="BW100" s="2657">
        <f>SUM('Cash Flow Statement'!BC28:BC30,'Cash Flow Statement'!BC34)</f>
      </c>
      <c r="BX100" s="2657">
        <f>SUM('Cash Flow Statement'!BD28:BD30,'Cash Flow Statement'!BD34)</f>
      </c>
      <c r="BY100" s="2657">
        <f>SUM('Cash Flow Statement'!BE28:BE30,'Cash Flow Statement'!BE34)</f>
      </c>
      <c r="BZ100" s="2657">
        <f>SUM('Cash Flow Statement'!BF28:BF30,'Cash Flow Statement'!BF34)</f>
      </c>
      <c r="CA100" s="2657">
        <f>SUM('Cash Flow Statement'!BG28:BG30,'Cash Flow Statement'!BG34)</f>
      </c>
      <c r="CB100" s="2657">
        <f>SUM('Cash Flow Statement'!BH28:BH30,'Cash Flow Statement'!BH34)</f>
      </c>
      <c r="CC100" s="2657">
        <f>SUM('Cash Flow Statement'!BI28:BI30,'Cash Flow Statement'!BI34)</f>
      </c>
      <c r="CD100" s="2657">
        <f>SUM('Cash Flow Statement'!BJ28:BJ30,'Cash Flow Statement'!BJ34)</f>
      </c>
      <c r="CE100" s="2657">
        <f>SUM('Cash Flow Statement'!BK28:BK30,'Cash Flow Statement'!BK34)</f>
      </c>
      <c r="CF100" s="2657">
        <f>SUM('Cash Flow Statement'!BL28:BL30,'Cash Flow Statement'!BL34)</f>
      </c>
      <c r="CG100" s="2657">
        <f>SUM('Cash Flow Statement'!BM28:BM30,'Cash Flow Statement'!BM34)</f>
      </c>
      <c r="CH100" s="2657">
        <f>SUM('Cash Flow Statement'!BN28:BN30,'Cash Flow Statement'!BN34)</f>
      </c>
      <c r="CI100" s="2657">
        <f>SUM('Cash Flow Statement'!BO28:BO30,'Cash Flow Statement'!BO34)</f>
      </c>
      <c r="CJ100" s="2657">
        <f>SUM('Cash Flow Statement'!BP28:BP30,'Cash Flow Statement'!BP34)</f>
      </c>
      <c r="CK100" s="2657">
        <f>SUM('Cash Flow Statement'!BQ28:BQ30,'Cash Flow Statement'!BQ34)</f>
      </c>
      <c r="CL100" s="2657">
        <f>SUM('Cash Flow Statement'!BR28:BR30,'Cash Flow Statement'!BR34)</f>
      </c>
      <c r="CM100" s="2657">
        <f>SUM('Cash Flow Statement'!BS28:BS30,'Cash Flow Statement'!BS34)</f>
      </c>
      <c r="CN100" s="2657">
        <f>SUM('Cash Flow Statement'!BT28:BT30,'Cash Flow Statement'!BT34)</f>
      </c>
      <c r="CO100" s="2657">
        <f>SUM('Cash Flow Statement'!BU28:BU30,'Cash Flow Statement'!BU34)</f>
      </c>
      <c r="CP100" s="2657">
        <f>SUM('Cash Flow Statement'!BV28:BV30,'Cash Flow Statement'!BV34)</f>
      </c>
      <c r="CQ100" s="2657">
        <f>SUM('Cash Flow Statement'!BW28:BW30,'Cash Flow Statement'!BW34)</f>
      </c>
      <c r="CR100" s="2657">
        <f>SUM('Cash Flow Statement'!BX28:BX30,'Cash Flow Statement'!BX34)</f>
      </c>
      <c r="CS100" s="2657">
        <f>SUM('Cash Flow Statement'!BY28:BY30,'Cash Flow Statement'!BY34)</f>
      </c>
      <c r="CT100" s="2657">
        <f>SUM('Cash Flow Statement'!BZ28:BZ30,'Cash Flow Statement'!BZ34)</f>
      </c>
      <c r="CU100" s="2657">
        <f>SUM('Cash Flow Statement'!CA28:CA30,'Cash Flow Statement'!CA34)</f>
      </c>
      <c r="CV100" s="2657">
        <f>SUM('Cash Flow Statement'!CB28:CB30,'Cash Flow Statement'!CB34)</f>
      </c>
      <c r="CW100" s="2657">
        <f>SUM('Cash Flow Statement'!CC28:CC30,'Cash Flow Statement'!CC34)</f>
      </c>
      <c r="CX100" s="2657">
        <f>SUM('Cash Flow Statement'!CD28:CD30,'Cash Flow Statement'!CD34)</f>
      </c>
      <c r="CY100" s="2657">
        <f>SUM('Cash Flow Statement'!CE28:CE30,'Cash Flow Statement'!CE34)</f>
      </c>
      <c r="CZ100" s="2657">
        <f>SUM('Cash Flow Statement'!CF28:CF30,'Cash Flow Statement'!CF34)</f>
      </c>
      <c r="DA100" s="2657">
        <f>SUM('Cash Flow Statement'!CG28:CG30,'Cash Flow Statement'!CG34)</f>
      </c>
      <c r="DB100" s="2657">
        <f>SUM('Cash Flow Statement'!CH28:CH30,'Cash Flow Statement'!CH34)</f>
      </c>
      <c r="DC100" s="2657">
        <f>SUM('Cash Flow Statement'!CI28:CI30,'Cash Flow Statement'!CI34)</f>
      </c>
      <c r="DD100" s="2657">
        <f>SUM('Cash Flow Statement'!CJ28:CJ30,'Cash Flow Statement'!CJ34)</f>
      </c>
      <c r="DE100" s="2657">
        <f>SUM('Cash Flow Statement'!CK28:CK30,'Cash Flow Statement'!CK34)</f>
      </c>
      <c r="DF100" s="2657">
        <f>SUM('Cash Flow Statement'!CL28:CL30,'Cash Flow Statement'!CL34)</f>
      </c>
      <c r="DG100" s="2657">
        <f>SUM('Cash Flow Statement'!CM28:CM30,'Cash Flow Statement'!CM34)</f>
      </c>
      <c r="DH100" s="2657">
        <f>SUM('Cash Flow Statement'!CN28:CN30,'Cash Flow Statement'!CN34)</f>
      </c>
      <c r="DI100" s="2657">
        <f>SUM('Cash Flow Statement'!CO28:CO30,'Cash Flow Statement'!CO34)</f>
      </c>
      <c r="DJ100" s="2657">
        <f>SUM('Cash Flow Statement'!CP28:CP30,'Cash Flow Statement'!CP34)</f>
      </c>
      <c r="DK100" s="2657">
        <f>SUM('Cash Flow Statement'!CQ28:CQ30,'Cash Flow Statement'!CQ34)</f>
      </c>
      <c r="DL100" s="2657">
        <f>SUM('Cash Flow Statement'!CR28:CR30,'Cash Flow Statement'!CR34)</f>
      </c>
      <c r="DM100" s="2657">
        <f>SUM('Cash Flow Statement'!CS28:CS30,'Cash Flow Statement'!CS34)</f>
      </c>
      <c r="DN100" s="2657">
        <f>SUM('Cash Flow Statement'!CT28:CT30,'Cash Flow Statement'!CT34)</f>
      </c>
      <c r="DO100" s="2657">
        <f>SUM('Cash Flow Statement'!CU28:CU30,'Cash Flow Statement'!CU34)</f>
      </c>
      <c r="DP100" s="2657">
        <f>SUM('Cash Flow Statement'!CV28:CV30,'Cash Flow Statement'!CV34)</f>
      </c>
      <c r="DQ100" s="2657">
        <f>SUM('Cash Flow Statement'!CW28:CW30,'Cash Flow Statement'!CW34)</f>
      </c>
      <c r="DR100" s="2657">
        <f>SUM('Cash Flow Statement'!CX28:CX30,'Cash Flow Statement'!CX34)</f>
      </c>
      <c r="DS100" s="2657">
        <f>SUM('Cash Flow Statement'!CY28:CY30,'Cash Flow Statement'!CY34)</f>
      </c>
      <c r="DT100" s="2657">
        <f>SUM('Cash Flow Statement'!CZ28:CZ30,'Cash Flow Statement'!CZ34)</f>
      </c>
      <c r="DU100" s="2657">
        <f>SUM('Cash Flow Statement'!DA28:DA30,'Cash Flow Statement'!DA34)</f>
      </c>
      <c r="DV100" s="2657">
        <f>SUM('Cash Flow Statement'!DB28:DB30,'Cash Flow Statement'!DB34)</f>
      </c>
      <c r="DW100" s="2657">
        <f>SUM('Cash Flow Statement'!DC28:DC30,'Cash Flow Statement'!DC34)</f>
      </c>
      <c r="DX100" s="2657">
        <f>SUM('Cash Flow Statement'!DD28:DD30,'Cash Flow Statement'!DD34)</f>
      </c>
      <c r="DY100" s="2657">
        <f>SUM('Cash Flow Statement'!DE28:DE30,'Cash Flow Statement'!DE34)</f>
      </c>
      <c r="DZ100" s="2657"/>
      <c r="EA100" s="2657"/>
      <c r="EB100" s="2657"/>
      <c r="EC100" s="2657"/>
      <c r="ED100" s="2657"/>
      <c r="EE100" s="2657"/>
      <c r="EF100" s="2657"/>
      <c r="EG100" s="2657"/>
      <c r="EH100" s="2657"/>
      <c r="EI100" s="2657"/>
      <c r="EJ100" s="2657"/>
      <c r="EK100" s="2657"/>
      <c r="EL100" s="2657"/>
      <c r="EM100" s="2657"/>
      <c r="EN100" s="2657"/>
      <c r="EO100" s="2657"/>
      <c r="EP100" s="2657"/>
      <c r="EQ100" s="2657"/>
      <c r="ER100" s="2657"/>
      <c r="ES100" s="2657"/>
      <c r="ET100" s="2657"/>
      <c r="EU100" s="2657"/>
      <c r="EV100" s="2657"/>
      <c r="EW100" s="2657"/>
      <c r="EX100" s="2657"/>
      <c r="EY100" s="2657"/>
      <c r="EZ100" s="2657"/>
      <c r="FA100" s="2657"/>
      <c r="FB100" s="2657"/>
      <c r="FC100" s="2657"/>
      <c r="FD100" s="2657"/>
      <c r="FE100" s="2657"/>
    </row>
    <row r="101" spans="1:161" outlineLevel="2">
      <c r="B101" t="s">
        <v>388</v>
      </c>
      <c r="C101" t="s">
        <v>389</v>
      </c>
      <c r="D101" t="str">
        <f t="shared" si="14"/>
      </c>
      <c r="F101" s="2657">
        <f>'Cash Flow Statement'!ER35</f>
      </c>
      <c r="G101" s="2657">
        <f>'Cash Flow Statement'!ES35</f>
      </c>
      <c r="H101" s="2657">
        <f>'Cash Flow Statement'!ET35</f>
      </c>
      <c r="I101" s="2657">
        <f>'Cash Flow Statement'!EU35</f>
      </c>
      <c r="J101" s="2657">
        <f>'Cash Flow Statement'!EV35</f>
      </c>
      <c r="K101" s="2657">
        <f>'Cash Flow Statement'!EW35</f>
      </c>
      <c r="L101" s="2657">
        <f>'Cash Flow Statement'!EX35</f>
      </c>
      <c r="M101" s="2657">
        <f>'Cash Flow Statement'!EY35</f>
      </c>
      <c r="N101" s="2657">
        <f>'Cash Flow Statement'!EZ35</f>
      </c>
      <c r="O101" s="2657">
        <f>'Cash Flow Statement'!FA35</f>
      </c>
      <c r="P101" s="2657">
        <f>'Cash Flow Statement'!FB35</f>
      </c>
      <c r="Q101" s="2657">
        <f>'Cash Flow Statement'!FC35</f>
      </c>
      <c r="R101" s="2657">
        <f>'Cash Flow Statement'!FD35</f>
      </c>
      <c r="S101" s="2657">
        <f>'Cash Flow Statement'!FE35</f>
      </c>
      <c r="T101" s="2657">
        <f>'Cash Flow Statement'!FF35</f>
      </c>
      <c r="U101" s="2657">
        <f>'Cash Flow Statement'!FG35</f>
      </c>
      <c r="V101" s="2657">
        <f>'Cash Flow Statement'!FH35</f>
      </c>
      <c r="W101" s="2657">
        <f>'Cash Flow Statement'!FI35</f>
      </c>
      <c r="X101" s="2657">
        <f>'Cash Flow Statement'!FJ35</f>
      </c>
      <c r="Y101" s="2657">
        <f>'Cash Flow Statement'!FK35</f>
      </c>
      <c r="Z101" s="2657">
        <f>'Cash Flow Statement'!FL35</f>
      </c>
      <c r="AA101" s="2657">
        <f>'Cash Flow Statement'!FM35</f>
      </c>
      <c r="AB101" s="2657">
        <f>'Cash Flow Statement'!FN35</f>
      </c>
      <c r="AC101" s="2657">
        <f>'Cash Flow Statement'!FO35</f>
      </c>
      <c r="AD101" s="2657">
        <f>'Cash Flow Statement'!FP35</f>
      </c>
      <c r="AE101" s="2657">
        <f>'Cash Flow Statement'!FQ35</f>
      </c>
      <c r="AF101" s="2657">
        <f>'Cash Flow Statement'!FR35</f>
      </c>
      <c r="AG101" s="2657">
        <f>'Cash Flow Statement'!FS35</f>
      </c>
      <c r="AH101" s="2657">
        <f>'Cash Flow Statement'!FT35</f>
      </c>
      <c r="AI101" s="2657">
        <f>'Cash Flow Statement'!FU35</f>
      </c>
      <c r="AJ101" s="2657">
        <f>'Cash Flow Statement'!FV35</f>
      </c>
      <c r="AK101" s="2657"/>
      <c r="AL101" s="2657">
        <f>'Cash Flow Statement'!R35</f>
      </c>
      <c r="AM101" s="2657">
        <f>'Cash Flow Statement'!S35</f>
      </c>
      <c r="AN101" s="2657">
        <f>'Cash Flow Statement'!T35</f>
      </c>
      <c r="AO101" s="2657">
        <f>'Cash Flow Statement'!U35</f>
      </c>
      <c r="AP101" s="2657">
        <f>'Cash Flow Statement'!V35</f>
      </c>
      <c r="AQ101" s="2657">
        <f>'Cash Flow Statement'!W35</f>
      </c>
      <c r="AR101" s="2657">
        <f>'Cash Flow Statement'!X35</f>
      </c>
      <c r="AS101" s="2657">
        <f>'Cash Flow Statement'!Y35</f>
      </c>
      <c r="AT101" s="2657">
        <f>'Cash Flow Statement'!Z35</f>
      </c>
      <c r="AU101" s="2657">
        <f>'Cash Flow Statement'!AA35</f>
      </c>
      <c r="AV101" s="2657">
        <f>'Cash Flow Statement'!AB35</f>
      </c>
      <c r="AW101" s="2657">
        <f>'Cash Flow Statement'!AC35</f>
      </c>
      <c r="AX101" s="2657">
        <f>'Cash Flow Statement'!AD35</f>
      </c>
      <c r="AY101" s="2657">
        <f>'Cash Flow Statement'!AE35</f>
      </c>
      <c r="AZ101" s="2657">
        <f>'Cash Flow Statement'!AF35</f>
      </c>
      <c r="BA101" s="2657">
        <f>'Cash Flow Statement'!AG35</f>
      </c>
      <c r="BB101" s="2657">
        <f>'Cash Flow Statement'!AH35</f>
      </c>
      <c r="BC101" s="2657">
        <f>'Cash Flow Statement'!AI35</f>
      </c>
      <c r="BD101" s="2657">
        <f>'Cash Flow Statement'!AJ35</f>
      </c>
      <c r="BE101" s="2657">
        <f>'Cash Flow Statement'!AK35</f>
      </c>
      <c r="BF101" s="2657">
        <f>'Cash Flow Statement'!AL35</f>
      </c>
      <c r="BG101" s="2657">
        <f>'Cash Flow Statement'!AM35</f>
      </c>
      <c r="BH101" s="2657">
        <f>'Cash Flow Statement'!AN35</f>
      </c>
      <c r="BI101" s="2657">
        <f>'Cash Flow Statement'!AO35</f>
      </c>
      <c r="BJ101" s="2657">
        <f>'Cash Flow Statement'!AP35</f>
      </c>
      <c r="BK101" s="2657">
        <f>'Cash Flow Statement'!AQ35</f>
      </c>
      <c r="BL101" s="2657">
        <f>'Cash Flow Statement'!AR35</f>
      </c>
      <c r="BM101" s="2657">
        <f>'Cash Flow Statement'!AS35</f>
      </c>
      <c r="BN101" s="2657">
        <f>'Cash Flow Statement'!AT35</f>
      </c>
      <c r="BO101" s="2657">
        <f>'Cash Flow Statement'!AU35</f>
      </c>
      <c r="BP101" s="2657">
        <f>'Cash Flow Statement'!AV35</f>
      </c>
      <c r="BQ101" s="2657">
        <f>'Cash Flow Statement'!AW35</f>
      </c>
      <c r="BR101" s="2657">
        <f>'Cash Flow Statement'!AX35</f>
      </c>
      <c r="BS101" s="2657">
        <f>'Cash Flow Statement'!AY35</f>
      </c>
      <c r="BT101" s="2657">
        <f>'Cash Flow Statement'!AZ35</f>
      </c>
      <c r="BU101" s="2657">
        <f>'Cash Flow Statement'!BA35</f>
      </c>
      <c r="BV101" s="2657">
        <f>'Cash Flow Statement'!BB35</f>
      </c>
      <c r="BW101" s="2657">
        <f>'Cash Flow Statement'!BC35</f>
      </c>
      <c r="BX101" s="2657">
        <f>'Cash Flow Statement'!BD35</f>
      </c>
      <c r="BY101" s="2657">
        <f>'Cash Flow Statement'!BE35</f>
      </c>
      <c r="BZ101" s="2657">
        <f>'Cash Flow Statement'!BF35</f>
      </c>
      <c r="CA101" s="2657">
        <f>'Cash Flow Statement'!BG35</f>
      </c>
      <c r="CB101" s="2657">
        <f>'Cash Flow Statement'!BH35</f>
      </c>
      <c r="CC101" s="2657">
        <f>'Cash Flow Statement'!BI35</f>
      </c>
      <c r="CD101" s="2657">
        <f>'Cash Flow Statement'!BJ35</f>
      </c>
      <c r="CE101" s="2657">
        <f>'Cash Flow Statement'!BK35</f>
      </c>
      <c r="CF101" s="2657">
        <f>'Cash Flow Statement'!BL35</f>
      </c>
      <c r="CG101" s="2657">
        <f>'Cash Flow Statement'!BM35</f>
      </c>
      <c r="CH101" s="2657">
        <f>'Cash Flow Statement'!BN35</f>
      </c>
      <c r="CI101" s="2657">
        <f>'Cash Flow Statement'!BO35</f>
      </c>
      <c r="CJ101" s="2657">
        <f>'Cash Flow Statement'!BP35</f>
      </c>
      <c r="CK101" s="2657">
        <f>'Cash Flow Statement'!BQ35</f>
      </c>
      <c r="CL101" s="2657">
        <f>'Cash Flow Statement'!BR35</f>
      </c>
      <c r="CM101" s="2657">
        <f>'Cash Flow Statement'!BS35</f>
      </c>
      <c r="CN101" s="2657">
        <f>'Cash Flow Statement'!BT35</f>
      </c>
      <c r="CO101" s="2657">
        <f>'Cash Flow Statement'!BU35</f>
      </c>
      <c r="CP101" s="2657">
        <f>'Cash Flow Statement'!BV35</f>
      </c>
      <c r="CQ101" s="2657">
        <f>'Cash Flow Statement'!BW35</f>
      </c>
      <c r="CR101" s="2657">
        <f>'Cash Flow Statement'!BX35</f>
      </c>
      <c r="CS101" s="2657">
        <f>'Cash Flow Statement'!BY35</f>
      </c>
      <c r="CT101" s="2657">
        <f>'Cash Flow Statement'!BZ35</f>
      </c>
      <c r="CU101" s="2657">
        <f>'Cash Flow Statement'!CA35</f>
      </c>
      <c r="CV101" s="2657">
        <f>'Cash Flow Statement'!CB35</f>
      </c>
      <c r="CW101" s="2657">
        <f>'Cash Flow Statement'!CC35</f>
      </c>
      <c r="CX101" s="2657">
        <f>'Cash Flow Statement'!CD35</f>
      </c>
      <c r="CY101" s="2657">
        <f>'Cash Flow Statement'!CE35</f>
      </c>
      <c r="CZ101" s="2657">
        <f>'Cash Flow Statement'!CF35</f>
      </c>
      <c r="DA101" s="2657">
        <f>'Cash Flow Statement'!CG35</f>
      </c>
      <c r="DB101" s="2657">
        <f>'Cash Flow Statement'!CH35</f>
      </c>
      <c r="DC101" s="2657">
        <f>'Cash Flow Statement'!CI35</f>
      </c>
      <c r="DD101" s="2657">
        <f>'Cash Flow Statement'!CJ35</f>
      </c>
      <c r="DE101" s="2657">
        <f>'Cash Flow Statement'!CK35</f>
      </c>
      <c r="DF101" s="2657">
        <f>'Cash Flow Statement'!CL35</f>
      </c>
      <c r="DG101" s="2657">
        <f>'Cash Flow Statement'!CM35</f>
      </c>
      <c r="DH101" s="2657">
        <f>'Cash Flow Statement'!CN35</f>
      </c>
      <c r="DI101" s="2657">
        <f>'Cash Flow Statement'!CO35</f>
      </c>
      <c r="DJ101" s="2657">
        <f>'Cash Flow Statement'!CP35</f>
      </c>
      <c r="DK101" s="2657">
        <f>'Cash Flow Statement'!CQ35</f>
      </c>
      <c r="DL101" s="2657">
        <f>'Cash Flow Statement'!CR35</f>
      </c>
      <c r="DM101" s="2657">
        <f>'Cash Flow Statement'!CS35</f>
      </c>
      <c r="DN101" s="2657">
        <f>'Cash Flow Statement'!CT35</f>
      </c>
      <c r="DO101" s="2657">
        <f>'Cash Flow Statement'!CU35</f>
      </c>
      <c r="DP101" s="2657">
        <f>'Cash Flow Statement'!CV35</f>
      </c>
      <c r="DQ101" s="2657">
        <f>'Cash Flow Statement'!CW35</f>
      </c>
      <c r="DR101" s="2657">
        <f>'Cash Flow Statement'!CX35</f>
      </c>
      <c r="DS101" s="2657">
        <f>'Cash Flow Statement'!CY35</f>
      </c>
      <c r="DT101" s="2657">
        <f>'Cash Flow Statement'!CZ35</f>
      </c>
      <c r="DU101" s="2657">
        <f>'Cash Flow Statement'!DA35</f>
      </c>
      <c r="DV101" s="2657">
        <f>'Cash Flow Statement'!DB35</f>
      </c>
      <c r="DW101" s="2657">
        <f>'Cash Flow Statement'!DC35</f>
      </c>
      <c r="DX101" s="2657">
        <f>'Cash Flow Statement'!DD35</f>
      </c>
      <c r="DY101" s="2657">
        <f>'Cash Flow Statement'!DE35</f>
      </c>
      <c r="DZ101" s="2657">
        <f>'Cash Flow Statement'!DF35</f>
      </c>
      <c r="EA101" s="2657">
        <f>'Cash Flow Statement'!DG35</f>
      </c>
      <c r="EB101" s="2657">
        <f>'Cash Flow Statement'!DH35</f>
      </c>
      <c r="EC101" s="2657">
        <f>'Cash Flow Statement'!DI35</f>
      </c>
      <c r="ED101" s="2657">
        <f>'Cash Flow Statement'!DJ35</f>
      </c>
      <c r="EE101" s="2657">
        <f>'Cash Flow Statement'!DK35</f>
      </c>
      <c r="EF101" s="2657">
        <f>'Cash Flow Statement'!DL35</f>
      </c>
      <c r="EG101" s="2657">
        <f>'Cash Flow Statement'!DM35</f>
      </c>
      <c r="EH101" s="2657">
        <f>'Cash Flow Statement'!DN35</f>
      </c>
      <c r="EI101" s="2657">
        <f>'Cash Flow Statement'!DO35</f>
      </c>
      <c r="EJ101" s="2657">
        <f>'Cash Flow Statement'!DP35</f>
      </c>
      <c r="EK101" s="2657">
        <f>'Cash Flow Statement'!DQ35</f>
      </c>
      <c r="EL101" s="2657">
        <f>'Cash Flow Statement'!DR35</f>
      </c>
      <c r="EM101" s="2657">
        <f>'Cash Flow Statement'!DS35</f>
      </c>
      <c r="EN101" s="2657">
        <f>'Cash Flow Statement'!DT35</f>
      </c>
      <c r="EO101" s="2657">
        <f>'Cash Flow Statement'!DU35</f>
      </c>
      <c r="EP101" s="2657">
        <f>'Cash Flow Statement'!DV35</f>
      </c>
      <c r="EQ101" s="2657">
        <f>'Cash Flow Statement'!DW35</f>
      </c>
      <c r="ER101" s="2657">
        <f>'Cash Flow Statement'!DX35</f>
      </c>
      <c r="ES101" s="2657">
        <f>'Cash Flow Statement'!DY35</f>
      </c>
      <c r="ET101" s="2657">
        <f>'Cash Flow Statement'!DZ35</f>
      </c>
      <c r="EU101" s="2657">
        <f>'Cash Flow Statement'!EA35</f>
      </c>
      <c r="EV101" s="2657">
        <f>'Cash Flow Statement'!EB35</f>
      </c>
      <c r="EW101" s="2657">
        <f>'Cash Flow Statement'!EC35</f>
      </c>
      <c r="EX101" s="2657">
        <f>'Cash Flow Statement'!ED35</f>
      </c>
      <c r="EY101" s="2657">
        <f>'Cash Flow Statement'!EE35</f>
      </c>
      <c r="EZ101" s="2657">
        <f>'Cash Flow Statement'!EF35</f>
      </c>
      <c r="FA101" s="2657">
        <f>'Cash Flow Statement'!EG35</f>
      </c>
      <c r="FB101" s="2657">
        <f>'Cash Flow Statement'!EH35</f>
      </c>
      <c r="FC101" s="2657">
        <f>'Cash Flow Statement'!EI35</f>
      </c>
      <c r="FD101" s="2657">
        <f>'Cash Flow Statement'!EJ35</f>
      </c>
      <c r="FE101" s="2657">
        <f>'Cash Flow Statement'!EK35</f>
      </c>
    </row>
    <row r="102" spans="1:161" outlineLevel="2">
      <c r="B102" t="s">
        <v>390</v>
      </c>
      <c r="C102" t="s">
        <v>391</v>
      </c>
      <c r="D102" t="str">
        <f t="shared" si="14"/>
      </c>
      <c r="F102" s="2657">
        <f>'Cash Flow Statement'!ER41</f>
      </c>
      <c r="G102" s="2657">
        <f>'Cash Flow Statement'!ES41</f>
      </c>
      <c r="H102" s="2657">
        <f>'Cash Flow Statement'!ET41</f>
      </c>
      <c r="I102" s="2657">
        <f>'Cash Flow Statement'!EU41</f>
      </c>
      <c r="J102" s="2657">
        <f>'Cash Flow Statement'!EV41</f>
      </c>
      <c r="K102" s="2657">
        <f>'Cash Flow Statement'!EW41</f>
      </c>
      <c r="L102" s="2657">
        <f>'Cash Flow Statement'!EX41</f>
      </c>
      <c r="M102" s="2657">
        <f>'Cash Flow Statement'!EY41</f>
      </c>
      <c r="N102" s="2657">
        <f>'Cash Flow Statement'!EZ41</f>
      </c>
      <c r="O102" s="2657">
        <f>'Cash Flow Statement'!FA41</f>
      </c>
      <c r="P102" s="2657">
        <f>'Cash Flow Statement'!FB41</f>
      </c>
      <c r="Q102" s="2657">
        <f>'Cash Flow Statement'!FC41</f>
      </c>
      <c r="R102" s="2657">
        <f>'Cash Flow Statement'!FD41</f>
      </c>
      <c r="S102" s="2657">
        <f>'Cash Flow Statement'!FE41</f>
      </c>
      <c r="T102" s="2657">
        <f>'Cash Flow Statement'!FF41</f>
      </c>
      <c r="U102" s="2657">
        <f>'Cash Flow Statement'!FG41</f>
      </c>
      <c r="V102" s="2657">
        <f>'Cash Flow Statement'!FH41</f>
      </c>
      <c r="W102" s="2657">
        <f>'Cash Flow Statement'!FI41</f>
      </c>
      <c r="X102" s="2657">
        <f>'Cash Flow Statement'!FJ41</f>
      </c>
      <c r="Y102" s="2657">
        <f>'Cash Flow Statement'!FK41</f>
      </c>
      <c r="Z102" s="2657">
        <f>'Cash Flow Statement'!FL41</f>
      </c>
      <c r="AA102" s="2657">
        <f>'Cash Flow Statement'!FM41</f>
      </c>
      <c r="AB102" s="2657">
        <f>'Cash Flow Statement'!FN41</f>
      </c>
      <c r="AC102" s="2657">
        <f>'Cash Flow Statement'!FO41</f>
      </c>
      <c r="AD102" s="2657">
        <f>'Cash Flow Statement'!FP41</f>
      </c>
      <c r="AE102" s="2657">
        <f>'Cash Flow Statement'!FQ41</f>
      </c>
      <c r="AF102" s="2657">
        <f>'Cash Flow Statement'!FR41</f>
      </c>
      <c r="AG102" s="2657">
        <f>'Cash Flow Statement'!FS41</f>
      </c>
      <c r="AH102" s="2657">
        <f>'Cash Flow Statement'!FT41</f>
      </c>
      <c r="AI102" s="2657">
        <f>'Cash Flow Statement'!FU41</f>
      </c>
      <c r="AJ102" s="2657">
        <f>'Cash Flow Statement'!FV41</f>
      </c>
      <c r="AK102" s="2657"/>
      <c r="AL102" s="2657"/>
      <c r="AM102" s="2657"/>
      <c r="AN102" s="2657"/>
      <c r="AO102" s="2657"/>
      <c r="AP102" s="2657"/>
      <c r="AQ102" s="2657"/>
      <c r="AR102" s="2657"/>
      <c r="AS102" s="2657"/>
      <c r="AT102" s="2657"/>
      <c r="AU102" s="2657"/>
      <c r="AV102" s="2657"/>
      <c r="AW102" s="2657"/>
      <c r="AX102" s="2657"/>
      <c r="AY102" s="2657"/>
      <c r="AZ102" s="2657"/>
      <c r="BA102" s="2657"/>
      <c r="BB102" s="2657"/>
      <c r="BC102" s="2657"/>
      <c r="BD102" s="2657"/>
      <c r="BE102" s="2657"/>
      <c r="BF102" s="2657"/>
      <c r="BG102" s="2657"/>
      <c r="BH102" s="2657"/>
      <c r="BI102" s="2657"/>
      <c r="BJ102" s="2657"/>
      <c r="BK102" s="2657"/>
      <c r="BL102" s="2657"/>
      <c r="BM102" s="2657"/>
      <c r="BN102" s="2657"/>
      <c r="BO102" s="2657"/>
      <c r="BP102" s="2657"/>
      <c r="BQ102" s="2657"/>
      <c r="BR102" s="2657"/>
      <c r="BS102" s="2657"/>
      <c r="BT102" s="2657"/>
      <c r="BU102" s="2657"/>
      <c r="BV102" s="2657"/>
      <c r="BW102" s="2657"/>
      <c r="BX102" s="2657"/>
      <c r="BY102" s="2657"/>
      <c r="BZ102" s="2657"/>
      <c r="CA102" s="2657"/>
      <c r="CB102" s="2657"/>
      <c r="CC102" s="2657"/>
      <c r="CD102" s="2657"/>
      <c r="CE102" s="2657"/>
      <c r="CF102" s="2657"/>
      <c r="CG102" s="2657"/>
      <c r="CH102" s="2657"/>
      <c r="CI102" s="2657"/>
      <c r="CJ102" s="2657"/>
      <c r="CK102" s="2657">
        <f>'Cash Flow Statement'!BQ41</f>
      </c>
      <c r="CL102" s="2657">
        <f>'Cash Flow Statement'!BR41</f>
      </c>
      <c r="CM102" s="2657">
        <f>'Cash Flow Statement'!BS41</f>
      </c>
      <c r="CN102" s="2657">
        <f>'Cash Flow Statement'!BT41</f>
      </c>
      <c r="CO102" s="2657">
        <f>'Cash Flow Statement'!BU41</f>
      </c>
      <c r="CP102" s="2657">
        <f>'Cash Flow Statement'!BV41</f>
      </c>
      <c r="CQ102" s="2657">
        <f>'Cash Flow Statement'!BW41</f>
      </c>
      <c r="CR102" s="2657">
        <f>'Cash Flow Statement'!BX41</f>
      </c>
      <c r="CS102" s="2657">
        <f>'Cash Flow Statement'!BY41</f>
      </c>
      <c r="CT102" s="2657">
        <f>'Cash Flow Statement'!BZ41</f>
      </c>
      <c r="CU102" s="2657">
        <f>'Cash Flow Statement'!CA41</f>
      </c>
      <c r="CV102" s="2657">
        <f>'Cash Flow Statement'!CB41</f>
      </c>
      <c r="CW102" s="2657">
        <f>'Cash Flow Statement'!CC41</f>
      </c>
      <c r="CX102" s="2657">
        <f>'Cash Flow Statement'!CD41</f>
      </c>
      <c r="CY102" s="2657">
        <f>'Cash Flow Statement'!CE41</f>
      </c>
      <c r="CZ102" s="2657">
        <f>'Cash Flow Statement'!CF41</f>
      </c>
      <c r="DA102" s="2657">
        <f>'Cash Flow Statement'!CG41</f>
      </c>
      <c r="DB102" s="2657">
        <f>'Cash Flow Statement'!CH41</f>
      </c>
      <c r="DC102" s="2657">
        <f>'Cash Flow Statement'!CI41</f>
      </c>
      <c r="DD102" s="2657">
        <f>'Cash Flow Statement'!CJ41</f>
      </c>
      <c r="DE102" s="2657">
        <f>'Cash Flow Statement'!CK41</f>
      </c>
      <c r="DF102" s="2657">
        <f>'Cash Flow Statement'!CL41</f>
      </c>
      <c r="DG102" s="2657">
        <f>'Cash Flow Statement'!CM41</f>
      </c>
      <c r="DH102" s="2657">
        <f>'Cash Flow Statement'!CN41</f>
      </c>
      <c r="DI102" s="2657">
        <f>'Cash Flow Statement'!CO41</f>
      </c>
      <c r="DJ102" s="2657">
        <f>'Cash Flow Statement'!CP41</f>
      </c>
      <c r="DK102" s="2657">
        <f>'Cash Flow Statement'!CQ41</f>
      </c>
      <c r="DL102" s="2657">
        <f>'Cash Flow Statement'!CR41</f>
      </c>
      <c r="DM102" s="2657">
        <f>'Cash Flow Statement'!CS41</f>
      </c>
      <c r="DN102" s="2657">
        <f>'Cash Flow Statement'!CT41</f>
      </c>
      <c r="DO102" s="2657">
        <f>'Cash Flow Statement'!CU41</f>
      </c>
      <c r="DP102" s="2657">
        <f>'Cash Flow Statement'!CV41</f>
      </c>
      <c r="DQ102" s="2657">
        <f>'Cash Flow Statement'!CW41</f>
      </c>
      <c r="DR102" s="2657">
        <f>'Cash Flow Statement'!CX41</f>
      </c>
      <c r="DS102" s="2657">
        <f>'Cash Flow Statement'!CY41</f>
      </c>
      <c r="DT102" s="2657">
        <f>'Cash Flow Statement'!CZ41</f>
      </c>
      <c r="DU102" s="2657">
        <f>'Cash Flow Statement'!DA41</f>
      </c>
      <c r="DV102" s="2657">
        <f>'Cash Flow Statement'!DB41</f>
      </c>
      <c r="DW102" s="2657">
        <f>'Cash Flow Statement'!DC41</f>
      </c>
      <c r="DX102" s="2657">
        <f>'Cash Flow Statement'!DD41</f>
      </c>
      <c r="DY102" s="2657">
        <f>'Cash Flow Statement'!DE41</f>
      </c>
      <c r="DZ102" s="2657">
        <f>'Cash Flow Statement'!DF41</f>
      </c>
      <c r="EA102" s="2657">
        <f>'Cash Flow Statement'!DG41</f>
      </c>
      <c r="EB102" s="2657">
        <f>'Cash Flow Statement'!DH41</f>
      </c>
      <c r="EC102" s="2657">
        <f>'Cash Flow Statement'!DI41</f>
      </c>
      <c r="ED102" s="2657">
        <f>'Cash Flow Statement'!DJ41</f>
      </c>
      <c r="EE102" s="2657">
        <f>'Cash Flow Statement'!DK41</f>
      </c>
      <c r="EF102" s="2657">
        <f>'Cash Flow Statement'!DL41</f>
      </c>
      <c r="EG102" s="2657">
        <f>'Cash Flow Statement'!DM41</f>
      </c>
      <c r="EH102" s="2657">
        <f>'Cash Flow Statement'!DN41</f>
      </c>
      <c r="EI102" s="2657">
        <f>'Cash Flow Statement'!DO41</f>
      </c>
      <c r="EJ102" s="2657">
        <f>'Cash Flow Statement'!DP41</f>
      </c>
      <c r="EK102" s="2657">
        <f>'Cash Flow Statement'!DQ41</f>
      </c>
      <c r="EL102" s="2657">
        <f>'Cash Flow Statement'!DR41</f>
      </c>
      <c r="EM102" s="2657">
        <f>'Cash Flow Statement'!DS41</f>
      </c>
      <c r="EN102" s="2657">
        <f>'Cash Flow Statement'!DT41</f>
      </c>
      <c r="EO102" s="2657">
        <f>'Cash Flow Statement'!DU41</f>
      </c>
      <c r="EP102" s="2657">
        <f>'Cash Flow Statement'!DV41</f>
      </c>
      <c r="EQ102" s="2657">
        <f>'Cash Flow Statement'!DW41</f>
      </c>
      <c r="ER102" s="2657">
        <f>'Cash Flow Statement'!DX41</f>
      </c>
      <c r="ES102" s="2657">
        <f>'Cash Flow Statement'!DY41</f>
      </c>
      <c r="ET102" s="2657">
        <f>'Cash Flow Statement'!DZ41</f>
      </c>
      <c r="EU102" s="2657">
        <f>'Cash Flow Statement'!EA41</f>
      </c>
      <c r="EV102" s="2657">
        <f>'Cash Flow Statement'!EB41</f>
      </c>
      <c r="EW102" s="2657">
        <f>'Cash Flow Statement'!EC41</f>
      </c>
      <c r="EX102" s="2657">
        <f>'Cash Flow Statement'!ED41</f>
      </c>
      <c r="EY102" s="2657">
        <f>'Cash Flow Statement'!EE41</f>
      </c>
      <c r="EZ102" s="2657">
        <f>'Cash Flow Statement'!EF41</f>
      </c>
      <c r="FA102" s="2657">
        <f>'Cash Flow Statement'!EG41</f>
      </c>
      <c r="FB102" s="2657">
        <f>'Cash Flow Statement'!EH41</f>
      </c>
      <c r="FC102" s="2657">
        <f>'Cash Flow Statement'!EI41</f>
      </c>
      <c r="FD102" s="2657">
        <f>'Cash Flow Statement'!EJ41</f>
      </c>
      <c r="FE102" s="2657">
        <f>'Cash Flow Statement'!EK41</f>
      </c>
    </row>
    <row r="103" spans="1:161" outlineLevel="2">
      <c r="B103" t="s">
        <v>392</v>
      </c>
      <c r="C103" t="s">
        <v>393</v>
      </c>
      <c r="D103" t="str">
        <f t="shared" si="14"/>
      </c>
      <c r="F103" s="2657">
        <f>SUM('Cash Flow Statement'!ER38:ER40,'Cash Flow Statement'!ER42)</f>
      </c>
      <c r="G103" s="2657">
        <f>SUM('Cash Flow Statement'!ES38:ES40,'Cash Flow Statement'!ES42)</f>
      </c>
      <c r="H103" s="2657">
        <f>SUM('Cash Flow Statement'!ET38:ET40,'Cash Flow Statement'!ET42)</f>
      </c>
      <c r="I103" s="2657">
        <f>SUM('Cash Flow Statement'!EU38:EU40,'Cash Flow Statement'!EU42)</f>
      </c>
      <c r="J103" s="2657">
        <f>SUM('Cash Flow Statement'!EV38:EV40,'Cash Flow Statement'!EV42)</f>
      </c>
      <c r="K103" s="2657">
        <f>SUM('Cash Flow Statement'!EW38:EW40,'Cash Flow Statement'!EW42)</f>
      </c>
      <c r="L103" s="2657">
        <f>SUM('Cash Flow Statement'!EX38:EX40,'Cash Flow Statement'!EX42)</f>
      </c>
      <c r="M103" s="2657">
        <f>SUM('Cash Flow Statement'!EY38:EY40,'Cash Flow Statement'!EY42)</f>
      </c>
      <c r="N103" s="2657">
        <f>SUM('Cash Flow Statement'!EZ38:EZ40,'Cash Flow Statement'!EZ42)</f>
      </c>
      <c r="O103" s="2657">
        <f>SUM('Cash Flow Statement'!FA38:FA40,'Cash Flow Statement'!FA42)</f>
      </c>
      <c r="P103" s="2657">
        <f>SUM('Cash Flow Statement'!FB38:FB40,'Cash Flow Statement'!FB42)</f>
      </c>
      <c r="Q103" s="2657">
        <f>SUM('Cash Flow Statement'!FC38:FC40,'Cash Flow Statement'!FC42)</f>
      </c>
      <c r="R103" s="2657">
        <f>SUM('Cash Flow Statement'!FD38:FD40,'Cash Flow Statement'!FD42)</f>
      </c>
      <c r="S103" s="2657">
        <f>SUM('Cash Flow Statement'!FE38:FE40,'Cash Flow Statement'!FE42)</f>
      </c>
      <c r="T103" s="2657">
        <f>SUM('Cash Flow Statement'!FF38:FF40,'Cash Flow Statement'!FF42)</f>
      </c>
      <c r="U103" s="2657">
        <f>SUM('Cash Flow Statement'!FG38:FG40,'Cash Flow Statement'!FG42)</f>
      </c>
      <c r="V103" s="2657">
        <f>SUM('Cash Flow Statement'!FH38:FH40,'Cash Flow Statement'!FH42)</f>
      </c>
      <c r="W103" s="2657">
        <f>SUM('Cash Flow Statement'!FI38:FI40,'Cash Flow Statement'!FI42)</f>
      </c>
      <c r="X103" s="2657">
        <f>SUM('Cash Flow Statement'!FJ38:FJ40,'Cash Flow Statement'!FJ42)</f>
      </c>
      <c r="Y103" s="2657">
        <f>SUM('Cash Flow Statement'!FK38:FK40,'Cash Flow Statement'!FK42)</f>
      </c>
      <c r="Z103" s="2657">
        <f>SUM('Cash Flow Statement'!FL38:FL40,'Cash Flow Statement'!FL42)</f>
      </c>
      <c r="AA103" s="2657">
        <f>SUM('Cash Flow Statement'!FM38:FM40,'Cash Flow Statement'!FM42)</f>
      </c>
      <c r="AB103" s="2657">
        <f>SUM('Cash Flow Statement'!FN38:FN40,'Cash Flow Statement'!FN42)</f>
      </c>
      <c r="AC103" s="2657">
        <f>SUM('Cash Flow Statement'!FO38:FO40,'Cash Flow Statement'!FO42)</f>
      </c>
      <c r="AD103" s="2657">
        <f>SUM('Cash Flow Statement'!FP38:FP40,'Cash Flow Statement'!FP42)</f>
      </c>
      <c r="AE103" s="2657">
        <f>SUM('Cash Flow Statement'!FQ38:FQ40,'Cash Flow Statement'!FQ42)</f>
      </c>
      <c r="AF103" s="2657">
        <f>SUM('Cash Flow Statement'!FR38:FR40,'Cash Flow Statement'!FR42)</f>
      </c>
      <c r="AG103" s="2657">
        <f>SUM('Cash Flow Statement'!FS38:FS40,'Cash Flow Statement'!FS42)</f>
      </c>
      <c r="AH103" s="2657">
        <f>SUM('Cash Flow Statement'!FT38:FT40,'Cash Flow Statement'!FT42)</f>
      </c>
      <c r="AI103" s="2657">
        <f>SUM('Cash Flow Statement'!FU38:FU40,'Cash Flow Statement'!FU42)</f>
      </c>
      <c r="AJ103" s="2657">
        <f>SUM('Cash Flow Statement'!FV38:FV40,'Cash Flow Statement'!FV42)</f>
      </c>
      <c r="AK103" s="2657"/>
      <c r="AL103" s="2657">
        <f>SUM('Cash Flow Statement'!R38:R40,'Cash Flow Statement'!R42)</f>
      </c>
      <c r="AM103" s="2657">
        <f>SUM('Cash Flow Statement'!S38:S40,'Cash Flow Statement'!S42)</f>
      </c>
      <c r="AN103" s="2657">
        <f>SUM('Cash Flow Statement'!T38:T40,'Cash Flow Statement'!T42)</f>
      </c>
      <c r="AO103" s="2657">
        <f>SUM('Cash Flow Statement'!U38:U40,'Cash Flow Statement'!U42)</f>
      </c>
      <c r="AP103" s="2657">
        <f>SUM('Cash Flow Statement'!V38:V40,'Cash Flow Statement'!V42)</f>
      </c>
      <c r="AQ103" s="2657">
        <f>SUM('Cash Flow Statement'!W38:W40,'Cash Flow Statement'!W42)</f>
      </c>
      <c r="AR103" s="2657">
        <f>SUM('Cash Flow Statement'!X38:X40,'Cash Flow Statement'!X42)</f>
      </c>
      <c r="AS103" s="2657">
        <f>SUM('Cash Flow Statement'!Y38:Y40,'Cash Flow Statement'!Y42)</f>
      </c>
      <c r="AT103" s="2657">
        <f>SUM('Cash Flow Statement'!Z38:Z40,'Cash Flow Statement'!Z42)</f>
      </c>
      <c r="AU103" s="2657">
        <f>SUM('Cash Flow Statement'!AA38:AA40,'Cash Flow Statement'!AA42)</f>
      </c>
      <c r="AV103" s="2657">
        <f>SUM('Cash Flow Statement'!AB38:AB40,'Cash Flow Statement'!AB42)</f>
      </c>
      <c r="AW103" s="2657">
        <f>SUM('Cash Flow Statement'!AC38:AC40,'Cash Flow Statement'!AC42)</f>
      </c>
      <c r="AX103" s="2657">
        <f>SUM('Cash Flow Statement'!AD38:AD40,'Cash Flow Statement'!AD42)</f>
      </c>
      <c r="AY103" s="2657">
        <f>SUM('Cash Flow Statement'!AE38:AE40,'Cash Flow Statement'!AE42)</f>
      </c>
      <c r="AZ103" s="2657">
        <f>SUM('Cash Flow Statement'!AF38:AF40,'Cash Flow Statement'!AF42)</f>
      </c>
      <c r="BA103" s="2657">
        <f>SUM('Cash Flow Statement'!AG38:AG40,'Cash Flow Statement'!AG42)</f>
      </c>
      <c r="BB103" s="2657">
        <f>SUM('Cash Flow Statement'!AH38:AH40,'Cash Flow Statement'!AH42)</f>
      </c>
      <c r="BC103" s="2657">
        <f>SUM('Cash Flow Statement'!AI38:AI40,'Cash Flow Statement'!AI42)</f>
      </c>
      <c r="BD103" s="2657">
        <f>SUM('Cash Flow Statement'!AJ38:AJ40,'Cash Flow Statement'!AJ42)</f>
      </c>
      <c r="BE103" s="2657">
        <f>SUM('Cash Flow Statement'!AK38:AK40,'Cash Flow Statement'!AK42)</f>
      </c>
      <c r="BF103" s="2657">
        <f>SUM('Cash Flow Statement'!AL38:AL40,'Cash Flow Statement'!AL42)</f>
      </c>
      <c r="BG103" s="2657">
        <f>SUM('Cash Flow Statement'!AM38:AM40,'Cash Flow Statement'!AM42)</f>
      </c>
      <c r="BH103" s="2657">
        <f>SUM('Cash Flow Statement'!AN38:AN40,'Cash Flow Statement'!AN42)</f>
      </c>
      <c r="BI103" s="2657">
        <f>SUM('Cash Flow Statement'!AO38:AO40,'Cash Flow Statement'!AO42)</f>
      </c>
      <c r="BJ103" s="2657">
        <f>SUM('Cash Flow Statement'!AP38:AP40,'Cash Flow Statement'!AP42)</f>
      </c>
      <c r="BK103" s="2657">
        <f>SUM('Cash Flow Statement'!AQ38:AQ40,'Cash Flow Statement'!AQ42)</f>
      </c>
      <c r="BL103" s="2657">
        <f>SUM('Cash Flow Statement'!AR38:AR40,'Cash Flow Statement'!AR42)</f>
      </c>
      <c r="BM103" s="2657">
        <f>SUM('Cash Flow Statement'!AS38:AS40,'Cash Flow Statement'!AS42)</f>
      </c>
      <c r="BN103" s="2657">
        <f>SUM('Cash Flow Statement'!AT38:AT40,'Cash Flow Statement'!AT42)</f>
      </c>
      <c r="BO103" s="2657">
        <f>SUM('Cash Flow Statement'!AU38:AU40,'Cash Flow Statement'!AU42)</f>
      </c>
      <c r="BP103" s="2657">
        <f>SUM('Cash Flow Statement'!AV38:AV40,'Cash Flow Statement'!AV42)</f>
      </c>
      <c r="BQ103" s="2657">
        <f>SUM('Cash Flow Statement'!AW38:AW40,'Cash Flow Statement'!AW42)</f>
      </c>
      <c r="BR103" s="2657">
        <f>SUM('Cash Flow Statement'!AX38:AX40,'Cash Flow Statement'!AX42)</f>
      </c>
      <c r="BS103" s="2657">
        <f>SUM('Cash Flow Statement'!AY38:AY40,'Cash Flow Statement'!AY42)</f>
      </c>
      <c r="BT103" s="2657">
        <f>SUM('Cash Flow Statement'!AZ38:AZ40,'Cash Flow Statement'!AZ42)</f>
      </c>
      <c r="BU103" s="2657">
        <f>SUM('Cash Flow Statement'!BA38:BA40,'Cash Flow Statement'!BA42)</f>
      </c>
      <c r="BV103" s="2657">
        <f>SUM('Cash Flow Statement'!BB38:BB40,'Cash Flow Statement'!BB42)</f>
      </c>
      <c r="BW103" s="2657">
        <f>SUM('Cash Flow Statement'!BC38:BC40,'Cash Flow Statement'!BC42)</f>
      </c>
      <c r="BX103" s="2657">
        <f>SUM('Cash Flow Statement'!BD38:BD40,'Cash Flow Statement'!BD42)</f>
      </c>
      <c r="BY103" s="2657">
        <f>SUM('Cash Flow Statement'!BE38:BE40,'Cash Flow Statement'!BE42)</f>
      </c>
      <c r="BZ103" s="2657">
        <f>SUM('Cash Flow Statement'!BF38:BF40,'Cash Flow Statement'!BF42)</f>
      </c>
      <c r="CA103" s="2657">
        <f>SUM('Cash Flow Statement'!BG38:BG40,'Cash Flow Statement'!BG42)</f>
      </c>
      <c r="CB103" s="2657">
        <f>SUM('Cash Flow Statement'!BH38:BH40,'Cash Flow Statement'!BH42)</f>
      </c>
      <c r="CC103" s="2657">
        <f>SUM('Cash Flow Statement'!BI38:BI40,'Cash Flow Statement'!BI42)</f>
      </c>
      <c r="CD103" s="2657">
        <f>SUM('Cash Flow Statement'!BJ38:BJ40,'Cash Flow Statement'!BJ42)</f>
      </c>
      <c r="CE103" s="2657">
        <f>SUM('Cash Flow Statement'!BK38:BK40,'Cash Flow Statement'!BK42)</f>
      </c>
      <c r="CF103" s="2657">
        <f>SUM('Cash Flow Statement'!BL38:BL40,'Cash Flow Statement'!BL42)</f>
      </c>
      <c r="CG103" s="2657">
        <f>SUM('Cash Flow Statement'!BM38:BM40,'Cash Flow Statement'!BM42)</f>
      </c>
      <c r="CH103" s="2657">
        <f>SUM('Cash Flow Statement'!BN38:BN40,'Cash Flow Statement'!BN42)</f>
      </c>
      <c r="CI103" s="2657">
        <f>SUM('Cash Flow Statement'!BO38:BO40,'Cash Flow Statement'!BO42)</f>
      </c>
      <c r="CJ103" s="2657">
        <f>SUM('Cash Flow Statement'!BP38:BP40,'Cash Flow Statement'!BP42)</f>
      </c>
      <c r="CK103" s="2657">
        <f>SUM('Cash Flow Statement'!BQ38:BQ40,'Cash Flow Statement'!BQ42)</f>
      </c>
      <c r="CL103" s="2657">
        <f>SUM('Cash Flow Statement'!BR38:BR40,'Cash Flow Statement'!BR42)</f>
      </c>
      <c r="CM103" s="2657">
        <f>SUM('Cash Flow Statement'!BS38:BS40,'Cash Flow Statement'!BS42)</f>
      </c>
      <c r="CN103" s="2657">
        <f>SUM('Cash Flow Statement'!BT38:BT40,'Cash Flow Statement'!BT42)</f>
      </c>
      <c r="CO103" s="2657">
        <f>SUM('Cash Flow Statement'!BU38:BU40,'Cash Flow Statement'!BU42)</f>
      </c>
      <c r="CP103" s="2657">
        <f>SUM('Cash Flow Statement'!BV38:BV40,'Cash Flow Statement'!BV42)</f>
      </c>
      <c r="CQ103" s="2657">
        <f>SUM('Cash Flow Statement'!BW38:BW40,'Cash Flow Statement'!BW42)</f>
      </c>
      <c r="CR103" s="2657">
        <f>SUM('Cash Flow Statement'!BX38:BX40,'Cash Flow Statement'!BX42)</f>
      </c>
      <c r="CS103" s="2657">
        <f>SUM('Cash Flow Statement'!BY38:BY40,'Cash Flow Statement'!BY42)</f>
      </c>
      <c r="CT103" s="2657">
        <f>SUM('Cash Flow Statement'!BZ38:BZ40,'Cash Flow Statement'!BZ42)</f>
      </c>
      <c r="CU103" s="2657">
        <f>SUM('Cash Flow Statement'!CA38:CA40,'Cash Flow Statement'!CA42)</f>
      </c>
      <c r="CV103" s="2657">
        <f>SUM('Cash Flow Statement'!CB38:CB40,'Cash Flow Statement'!CB42)</f>
      </c>
      <c r="CW103" s="2657">
        <f>SUM('Cash Flow Statement'!CC38:CC40,'Cash Flow Statement'!CC42)</f>
      </c>
      <c r="CX103" s="2657">
        <f>SUM('Cash Flow Statement'!CD38:CD40,'Cash Flow Statement'!CD42)</f>
      </c>
      <c r="CY103" s="2657">
        <f>SUM('Cash Flow Statement'!CE38:CE40,'Cash Flow Statement'!CE42)</f>
      </c>
      <c r="CZ103" s="2657">
        <f>SUM('Cash Flow Statement'!CF38:CF40,'Cash Flow Statement'!CF42)</f>
      </c>
      <c r="DA103" s="2657">
        <f>SUM('Cash Flow Statement'!CG38:CG40,'Cash Flow Statement'!CG42)</f>
      </c>
      <c r="DB103" s="2657">
        <f>SUM('Cash Flow Statement'!CH38:CH40,'Cash Flow Statement'!CH42)</f>
      </c>
      <c r="DC103" s="2657">
        <f>SUM('Cash Flow Statement'!CI38:CI40,'Cash Flow Statement'!CI42)</f>
      </c>
      <c r="DD103" s="2657">
        <f>SUM('Cash Flow Statement'!CJ38:CJ40,'Cash Flow Statement'!CJ42)</f>
      </c>
      <c r="DE103" s="2657">
        <f>SUM('Cash Flow Statement'!CK38:CK40,'Cash Flow Statement'!CK42)</f>
      </c>
      <c r="DF103" s="2657">
        <f>SUM('Cash Flow Statement'!CL38:CL40,'Cash Flow Statement'!CL42)</f>
      </c>
      <c r="DG103" s="2657">
        <f>SUM('Cash Flow Statement'!CM38:CM40,'Cash Flow Statement'!CM42)</f>
      </c>
      <c r="DH103" s="2657">
        <f>SUM('Cash Flow Statement'!CN38:CN40,'Cash Flow Statement'!CN42)</f>
      </c>
      <c r="DI103" s="2657">
        <f>SUM('Cash Flow Statement'!CO38:CO40,'Cash Flow Statement'!CO42)</f>
      </c>
      <c r="DJ103" s="2657">
        <f>SUM('Cash Flow Statement'!CP38:CP40,'Cash Flow Statement'!CP42)</f>
      </c>
      <c r="DK103" s="2657">
        <f>SUM('Cash Flow Statement'!CQ38:CQ40,'Cash Flow Statement'!CQ42)</f>
      </c>
      <c r="DL103" s="2657">
        <f>SUM('Cash Flow Statement'!CR38:CR40,'Cash Flow Statement'!CR42)</f>
      </c>
      <c r="DM103" s="2657">
        <f>SUM('Cash Flow Statement'!CS38:CS40,'Cash Flow Statement'!CS42)</f>
      </c>
      <c r="DN103" s="2657">
        <f>SUM('Cash Flow Statement'!CT38:CT40,'Cash Flow Statement'!CT42)</f>
      </c>
      <c r="DO103" s="2657">
        <f>SUM('Cash Flow Statement'!CU38:CU40,'Cash Flow Statement'!CU42)</f>
      </c>
      <c r="DP103" s="2657">
        <f>SUM('Cash Flow Statement'!CV38:CV40,'Cash Flow Statement'!CV42)</f>
      </c>
      <c r="DQ103" s="2657">
        <f>SUM('Cash Flow Statement'!CW38:CW40,'Cash Flow Statement'!CW42)</f>
      </c>
      <c r="DR103" s="2657">
        <f>SUM('Cash Flow Statement'!CX38:CX40,'Cash Flow Statement'!CX42)</f>
      </c>
      <c r="DS103" s="2657">
        <f>SUM('Cash Flow Statement'!CY38:CY40,'Cash Flow Statement'!CY42)</f>
      </c>
      <c r="DT103" s="2657">
        <f>SUM('Cash Flow Statement'!CZ38:CZ40,'Cash Flow Statement'!CZ42)</f>
      </c>
      <c r="DU103" s="2657">
        <f>SUM('Cash Flow Statement'!DA38:DA40,'Cash Flow Statement'!DA42)</f>
      </c>
      <c r="DV103" s="2657">
        <f>SUM('Cash Flow Statement'!DB38:DB40,'Cash Flow Statement'!DB42)</f>
      </c>
      <c r="DW103" s="2657">
        <f>SUM('Cash Flow Statement'!DC38:DC40,'Cash Flow Statement'!DC42)</f>
      </c>
      <c r="DX103" s="2657">
        <f>SUM('Cash Flow Statement'!DD38:DD40,'Cash Flow Statement'!DD42)</f>
      </c>
      <c r="DY103" s="2657">
        <f>SUM('Cash Flow Statement'!DE38:DE40,'Cash Flow Statement'!DE42)</f>
      </c>
      <c r="DZ103" s="2657">
        <f>SUM('Cash Flow Statement'!DF38:DF40,'Cash Flow Statement'!DF42)</f>
      </c>
      <c r="EA103" s="2657">
        <f>SUM('Cash Flow Statement'!DG38:DG40,'Cash Flow Statement'!DG42)</f>
      </c>
      <c r="EB103" s="2657">
        <f>SUM('Cash Flow Statement'!DH38:DH40,'Cash Flow Statement'!DH42)</f>
      </c>
      <c r="EC103" s="2657">
        <f>SUM('Cash Flow Statement'!DI38:DI40,'Cash Flow Statement'!DI42)</f>
      </c>
      <c r="ED103" s="2657">
        <f>SUM('Cash Flow Statement'!DJ38:DJ40,'Cash Flow Statement'!DJ42)</f>
      </c>
      <c r="EE103" s="2657">
        <f>SUM('Cash Flow Statement'!DK38:DK40,'Cash Flow Statement'!DK42)</f>
      </c>
      <c r="EF103" s="2657">
        <f>SUM('Cash Flow Statement'!DL38:DL40,'Cash Flow Statement'!DL42)</f>
      </c>
      <c r="EG103" s="2657">
        <f>SUM('Cash Flow Statement'!DM38:DM40,'Cash Flow Statement'!DM42)</f>
      </c>
      <c r="EH103" s="2657">
        <f>SUM('Cash Flow Statement'!DN38:DN40,'Cash Flow Statement'!DN42)</f>
      </c>
      <c r="EI103" s="2657">
        <f>SUM('Cash Flow Statement'!DO38:DO40,'Cash Flow Statement'!DO42)</f>
      </c>
      <c r="EJ103" s="2657">
        <f>SUM('Cash Flow Statement'!DP38:DP40,'Cash Flow Statement'!DP42)</f>
      </c>
      <c r="EK103" s="2657">
        <f>SUM('Cash Flow Statement'!DQ38:DQ40,'Cash Flow Statement'!DQ42)</f>
      </c>
      <c r="EL103" s="2657">
        <f>SUM('Cash Flow Statement'!DR38:DR40,'Cash Flow Statement'!DR42)</f>
      </c>
      <c r="EM103" s="2657">
        <f>SUM('Cash Flow Statement'!DS38:DS40,'Cash Flow Statement'!DS42)</f>
      </c>
      <c r="EN103" s="2657">
        <f>SUM('Cash Flow Statement'!DT38:DT40,'Cash Flow Statement'!DT42)</f>
      </c>
      <c r="EO103" s="2657">
        <f>SUM('Cash Flow Statement'!DU38:DU40,'Cash Flow Statement'!DU42)</f>
      </c>
      <c r="EP103" s="2657">
        <f>SUM('Cash Flow Statement'!DV38:DV40,'Cash Flow Statement'!DV42)</f>
      </c>
      <c r="EQ103" s="2657">
        <f>SUM('Cash Flow Statement'!DW38:DW40,'Cash Flow Statement'!DW42)</f>
      </c>
      <c r="ER103" s="2657">
        <f>SUM('Cash Flow Statement'!DX38:DX40,'Cash Flow Statement'!DX42)</f>
      </c>
      <c r="ES103" s="2657">
        <f>SUM('Cash Flow Statement'!DY38:DY40,'Cash Flow Statement'!DY42)</f>
      </c>
      <c r="ET103" s="2657">
        <f>SUM('Cash Flow Statement'!DZ38:DZ40,'Cash Flow Statement'!DZ42)</f>
      </c>
      <c r="EU103" s="2657">
        <f>SUM('Cash Flow Statement'!EA38:EA40,'Cash Flow Statement'!EA42)</f>
      </c>
      <c r="EV103" s="2657">
        <f>SUM('Cash Flow Statement'!EB38:EB40,'Cash Flow Statement'!EB42)</f>
      </c>
      <c r="EW103" s="2657">
        <f>SUM('Cash Flow Statement'!EC38:EC40,'Cash Flow Statement'!EC42)</f>
      </c>
      <c r="EX103" s="2657">
        <f>SUM('Cash Flow Statement'!ED38:ED40,'Cash Flow Statement'!ED42)</f>
      </c>
      <c r="EY103" s="2657">
        <f>SUM('Cash Flow Statement'!EE38:EE40,'Cash Flow Statement'!EE42)</f>
      </c>
      <c r="EZ103" s="2657">
        <f>SUM('Cash Flow Statement'!EF38:EF40,'Cash Flow Statement'!EF42)</f>
      </c>
      <c r="FA103" s="2657">
        <f>SUM('Cash Flow Statement'!EG38:EG40,'Cash Flow Statement'!EG42)</f>
      </c>
      <c r="FB103" s="2657">
        <f>SUM('Cash Flow Statement'!EH38:EH40,'Cash Flow Statement'!EH42)</f>
      </c>
      <c r="FC103" s="2657">
        <f>SUM('Cash Flow Statement'!EI38:EI40,'Cash Flow Statement'!EI42)</f>
      </c>
      <c r="FD103" s="2657">
        <f>SUM('Cash Flow Statement'!EJ38:EJ40,'Cash Flow Statement'!EJ42)</f>
      </c>
      <c r="FE103" s="2657">
        <f>SUM('Cash Flow Statement'!EK38:EK40,'Cash Flow Statement'!EK42)</f>
      </c>
    </row>
    <row r="104" spans="1:161" outlineLevel="2">
      <c r="B104" t="s">
        <v>394</v>
      </c>
      <c r="C104" t="s">
        <v>395</v>
      </c>
      <c r="D104" t="str">
        <f t="shared" si="14"/>
      </c>
      <c r="F104" s="2657">
        <f>'Cash Flow Statement'!ER43+'Cash Flow Statement'!ER44+'Cash Flow Statement'!ER45</f>
      </c>
      <c r="G104" s="2657">
        <f>'Cash Flow Statement'!ES43+'Cash Flow Statement'!ES44+'Cash Flow Statement'!ES45</f>
      </c>
      <c r="H104" s="2657">
        <f>'Cash Flow Statement'!ET43+'Cash Flow Statement'!ET44+'Cash Flow Statement'!ET45</f>
      </c>
      <c r="I104" s="2657">
        <f>'Cash Flow Statement'!EU43+'Cash Flow Statement'!EU44+'Cash Flow Statement'!EU45</f>
      </c>
      <c r="J104" s="2657">
        <f>'Cash Flow Statement'!EV43+'Cash Flow Statement'!EV44+'Cash Flow Statement'!EV45</f>
      </c>
      <c r="K104" s="2657">
        <f>'Cash Flow Statement'!EW43+'Cash Flow Statement'!EW44+'Cash Flow Statement'!EW45</f>
      </c>
      <c r="L104" s="2657">
        <f>'Cash Flow Statement'!EX43+'Cash Flow Statement'!EX44+'Cash Flow Statement'!EX45</f>
      </c>
      <c r="M104" s="2657">
        <f>'Cash Flow Statement'!EY43+'Cash Flow Statement'!EY44+'Cash Flow Statement'!EY45</f>
      </c>
      <c r="N104" s="2657">
        <f>'Cash Flow Statement'!EZ43+'Cash Flow Statement'!EZ44+'Cash Flow Statement'!EZ45</f>
      </c>
      <c r="O104" s="2657">
        <f>'Cash Flow Statement'!FA43+'Cash Flow Statement'!FA44+'Cash Flow Statement'!FA45</f>
      </c>
      <c r="P104" s="2657">
        <f>'Cash Flow Statement'!FB43+'Cash Flow Statement'!FB44+'Cash Flow Statement'!FB45</f>
      </c>
      <c r="Q104" s="2657">
        <f>'Cash Flow Statement'!FC43+'Cash Flow Statement'!FC44+'Cash Flow Statement'!FC45</f>
      </c>
      <c r="R104" s="2657">
        <f>'Cash Flow Statement'!FD43+'Cash Flow Statement'!FD44+'Cash Flow Statement'!FD45</f>
      </c>
      <c r="S104" s="2657">
        <f>'Cash Flow Statement'!FE43+'Cash Flow Statement'!FE44+'Cash Flow Statement'!FE45</f>
      </c>
      <c r="T104" s="2657">
        <f>'Cash Flow Statement'!FF43+'Cash Flow Statement'!FF44+'Cash Flow Statement'!FF45</f>
      </c>
      <c r="U104" s="2657">
        <f>'Cash Flow Statement'!FG43+'Cash Flow Statement'!FG44+'Cash Flow Statement'!FG45</f>
      </c>
      <c r="V104" s="2657">
        <f>'Cash Flow Statement'!FH43+'Cash Flow Statement'!FH44+'Cash Flow Statement'!FH45</f>
      </c>
      <c r="W104" s="2657">
        <f>'Cash Flow Statement'!FI43+'Cash Flow Statement'!FI44+'Cash Flow Statement'!FI45</f>
      </c>
      <c r="X104" s="2657">
        <f>'Cash Flow Statement'!FJ43+'Cash Flow Statement'!FJ44+'Cash Flow Statement'!FJ45</f>
      </c>
      <c r="Y104" s="2657">
        <f>'Cash Flow Statement'!FK43+'Cash Flow Statement'!FK44+'Cash Flow Statement'!FK45</f>
      </c>
      <c r="Z104" s="2657">
        <f>'Cash Flow Statement'!FL43+'Cash Flow Statement'!FL44+'Cash Flow Statement'!FL45</f>
      </c>
      <c r="AA104" s="2657">
        <f>'Cash Flow Statement'!FM43+'Cash Flow Statement'!FM44+'Cash Flow Statement'!FM45</f>
      </c>
      <c r="AB104" s="2657">
        <f>'Cash Flow Statement'!FN43+'Cash Flow Statement'!FN44+'Cash Flow Statement'!FN45</f>
      </c>
      <c r="AC104" s="2657">
        <f>'Cash Flow Statement'!FO43+'Cash Flow Statement'!FO44+'Cash Flow Statement'!FO45</f>
      </c>
      <c r="AD104" s="2657"/>
      <c r="AE104" s="2657"/>
      <c r="AF104" s="2657"/>
      <c r="AG104" s="2657"/>
      <c r="AH104" s="2657"/>
      <c r="AI104" s="2657"/>
      <c r="AJ104" s="2657"/>
      <c r="AK104" s="2657"/>
      <c r="AL104" s="2657"/>
      <c r="AM104" s="2657"/>
      <c r="AN104" s="2657"/>
      <c r="AO104" s="2657"/>
      <c r="AP104" s="2657"/>
      <c r="AQ104" s="2657"/>
      <c r="AR104" s="2657"/>
      <c r="AS104" s="2657"/>
      <c r="AT104" s="2657"/>
      <c r="AU104" s="2657"/>
      <c r="AV104" s="2657"/>
      <c r="AW104" s="2657"/>
      <c r="AX104" s="2657"/>
      <c r="AY104" s="2657"/>
      <c r="AZ104" s="2657"/>
      <c r="BA104" s="2657"/>
      <c r="BB104" s="2657"/>
      <c r="BC104" s="2657">
        <f>'Cash Flow Statement'!AI43+'Cash Flow Statement'!AI44+'Cash Flow Statement'!AI45</f>
      </c>
      <c r="BD104" s="2657"/>
      <c r="BE104" s="2657"/>
      <c r="BF104" s="2657"/>
      <c r="BG104" s="2657"/>
      <c r="BH104" s="2657"/>
      <c r="BI104" s="2657"/>
      <c r="BJ104" s="2657"/>
      <c r="BK104" s="2657"/>
      <c r="BL104" s="2657"/>
      <c r="BM104" s="2657"/>
      <c r="BN104" s="2657"/>
      <c r="BO104" s="2657"/>
      <c r="BP104" s="2657"/>
      <c r="BQ104" s="2657"/>
      <c r="BR104" s="2657"/>
      <c r="BS104" s="2657"/>
      <c r="BT104" s="2657"/>
      <c r="BU104" s="2657"/>
      <c r="BV104" s="2657"/>
      <c r="BW104" s="2657"/>
      <c r="BX104" s="2657"/>
      <c r="BY104" s="2657"/>
      <c r="BZ104" s="2657"/>
      <c r="CA104" s="2657"/>
      <c r="CB104" s="2657"/>
      <c r="CC104" s="2657"/>
      <c r="CD104" s="2657"/>
      <c r="CE104" s="2657"/>
      <c r="CF104" s="2657"/>
      <c r="CG104" s="2657"/>
      <c r="CH104" s="2657"/>
      <c r="CI104" s="2657"/>
      <c r="CJ104" s="2657"/>
      <c r="CK104" s="2657"/>
      <c r="CL104" s="2657"/>
      <c r="CM104" s="2657"/>
      <c r="CN104" s="2657">
        <f>'Cash Flow Statement'!BT43+'Cash Flow Statement'!BT44+'Cash Flow Statement'!BT45</f>
      </c>
      <c r="CO104" s="2657"/>
      <c r="CP104" s="2657"/>
      <c r="CQ104" s="2657"/>
      <c r="CR104" s="2657">
        <f>'Cash Flow Statement'!BX43+'Cash Flow Statement'!BX44+'Cash Flow Statement'!BX45</f>
      </c>
      <c r="CS104" s="2657">
        <f>'Cash Flow Statement'!BY43+'Cash Flow Statement'!BY44+'Cash Flow Statement'!BY45</f>
      </c>
      <c r="CT104" s="2657">
        <f>'Cash Flow Statement'!BZ43+'Cash Flow Statement'!BZ44+'Cash Flow Statement'!BZ45</f>
      </c>
      <c r="CU104" s="2657">
        <f>'Cash Flow Statement'!CA43+'Cash Flow Statement'!CA44+'Cash Flow Statement'!CA45</f>
      </c>
      <c r="CV104" s="2657">
        <f>'Cash Flow Statement'!CB43+'Cash Flow Statement'!CB44+'Cash Flow Statement'!CB45</f>
      </c>
      <c r="CW104" s="2657">
        <f>'Cash Flow Statement'!CC43+'Cash Flow Statement'!CC44+'Cash Flow Statement'!CC45</f>
      </c>
      <c r="CX104" s="2657">
        <f>'Cash Flow Statement'!CD43+'Cash Flow Statement'!CD44+'Cash Flow Statement'!CD45</f>
      </c>
      <c r="CY104" s="2657">
        <f>'Cash Flow Statement'!CE43+'Cash Flow Statement'!CE44+'Cash Flow Statement'!CE45</f>
      </c>
      <c r="CZ104" s="2657">
        <f>'Cash Flow Statement'!CF43+'Cash Flow Statement'!CF44+'Cash Flow Statement'!CF45</f>
      </c>
      <c r="DA104" s="2657">
        <f>'Cash Flow Statement'!CG43+'Cash Flow Statement'!CG44+'Cash Flow Statement'!CG45</f>
      </c>
      <c r="DB104" s="2657">
        <f>'Cash Flow Statement'!CH43+'Cash Flow Statement'!CH44+'Cash Flow Statement'!CH45</f>
      </c>
      <c r="DC104" s="2657">
        <f>'Cash Flow Statement'!CI43+'Cash Flow Statement'!CI44+'Cash Flow Statement'!CI45</f>
      </c>
      <c r="DD104" s="2657">
        <f>'Cash Flow Statement'!CJ43+'Cash Flow Statement'!CJ44+'Cash Flow Statement'!CJ45</f>
      </c>
      <c r="DE104" s="2657">
        <f>'Cash Flow Statement'!CK43+'Cash Flow Statement'!CK44+'Cash Flow Statement'!CK45</f>
      </c>
      <c r="DF104" s="2657">
        <f>'Cash Flow Statement'!CL43+'Cash Flow Statement'!CL44+'Cash Flow Statement'!CL45</f>
      </c>
      <c r="DG104" s="2657">
        <f>'Cash Flow Statement'!CM43+'Cash Flow Statement'!CM44+'Cash Flow Statement'!CM45</f>
      </c>
      <c r="DH104" s="2657">
        <f>'Cash Flow Statement'!CN43+'Cash Flow Statement'!CN44+'Cash Flow Statement'!CN45</f>
      </c>
      <c r="DI104" s="2657">
        <f>'Cash Flow Statement'!CO43+'Cash Flow Statement'!CO44+'Cash Flow Statement'!CO45</f>
      </c>
      <c r="DJ104" s="2657">
        <f>'Cash Flow Statement'!CP43+'Cash Flow Statement'!CP44+'Cash Flow Statement'!CP45</f>
      </c>
      <c r="DK104" s="2657">
        <f>'Cash Flow Statement'!CQ43+'Cash Flow Statement'!CQ44+'Cash Flow Statement'!CQ45</f>
      </c>
      <c r="DL104" s="2657">
        <f>'Cash Flow Statement'!CR43+'Cash Flow Statement'!CR44+'Cash Flow Statement'!CR45</f>
      </c>
      <c r="DM104" s="2657">
        <f>'Cash Flow Statement'!CS43+'Cash Flow Statement'!CS44+'Cash Flow Statement'!CS45</f>
      </c>
      <c r="DN104" s="2657">
        <f>'Cash Flow Statement'!CT43+'Cash Flow Statement'!CT44+'Cash Flow Statement'!CT45</f>
      </c>
      <c r="DO104" s="2657">
        <f>'Cash Flow Statement'!CU43+'Cash Flow Statement'!CU44+'Cash Flow Statement'!CU45</f>
      </c>
      <c r="DP104" s="2657">
        <f>'Cash Flow Statement'!CV43+'Cash Flow Statement'!CV44+'Cash Flow Statement'!CV45</f>
      </c>
      <c r="DQ104" s="2657">
        <f>'Cash Flow Statement'!CW43+'Cash Flow Statement'!CW44+'Cash Flow Statement'!CW45</f>
      </c>
      <c r="DR104" s="2657">
        <f>'Cash Flow Statement'!CX43+'Cash Flow Statement'!CX44+'Cash Flow Statement'!CX45</f>
      </c>
      <c r="DS104" s="2657">
        <f>'Cash Flow Statement'!CY43+'Cash Flow Statement'!CY44+'Cash Flow Statement'!CY45</f>
      </c>
      <c r="DT104" s="2657"/>
      <c r="DU104" s="2657">
        <f>'Cash Flow Statement'!DA43+'Cash Flow Statement'!DA44+'Cash Flow Statement'!DA45</f>
      </c>
      <c r="DV104" s="2657">
        <f>'Cash Flow Statement'!DB43+'Cash Flow Statement'!DB44+'Cash Flow Statement'!DB45</f>
      </c>
      <c r="DW104" s="2657">
        <f>'Cash Flow Statement'!DC43+'Cash Flow Statement'!DC44+'Cash Flow Statement'!DC45</f>
      </c>
      <c r="DX104" s="2657">
        <f>'Cash Flow Statement'!DD43+'Cash Flow Statement'!DD44+'Cash Flow Statement'!DD45</f>
      </c>
      <c r="DY104" s="2657">
        <f>'Cash Flow Statement'!DE43+'Cash Flow Statement'!DE44+'Cash Flow Statement'!DE45</f>
      </c>
      <c r="DZ104" s="2657"/>
      <c r="EA104" s="2657"/>
      <c r="EB104" s="2657">
        <f>'Cash Flow Statement'!DH43+'Cash Flow Statement'!DH44+'Cash Flow Statement'!DH45</f>
      </c>
      <c r="EC104" s="2657"/>
      <c r="ED104" s="2657"/>
      <c r="EE104" s="2657"/>
      <c r="EF104" s="2657"/>
      <c r="EG104" s="2657"/>
      <c r="EH104" s="2657"/>
      <c r="EI104" s="2657"/>
      <c r="EJ104" s="2657"/>
      <c r="EK104" s="2657"/>
      <c r="EL104" s="2657"/>
      <c r="EM104" s="2657"/>
      <c r="EN104" s="2657"/>
      <c r="EO104" s="2657"/>
      <c r="EP104" s="2657"/>
      <c r="EQ104" s="2657"/>
      <c r="ER104" s="2657"/>
      <c r="ES104" s="2657"/>
      <c r="ET104" s="2657"/>
      <c r="EU104" s="2657"/>
      <c r="EV104" s="2657"/>
      <c r="EW104" s="2657"/>
      <c r="EX104" s="2657"/>
      <c r="EY104" s="2657"/>
      <c r="EZ104" s="2657"/>
      <c r="FA104" s="2657"/>
      <c r="FB104" s="2657"/>
      <c r="FC104" s="2657"/>
      <c r="FD104" s="2657"/>
      <c r="FE104" s="2657"/>
    </row>
    <row r="105" spans="1:161" outlineLevel="2">
      <c r="B105" t="s">
        <v>1080</v>
      </c>
      <c r="C105" t="s">
        <v>1081</v>
      </c>
      <c r="D105" t="str">
        <f t="shared" si="14"/>
      </c>
      <c r="F105" s="2657"/>
      <c r="G105" s="2657"/>
      <c r="H105" s="2657"/>
      <c r="I105" s="2657"/>
      <c r="J105" s="2657"/>
      <c r="K105" s="2657"/>
      <c r="L105" s="2657"/>
      <c r="M105" s="2657"/>
      <c r="N105" s="2657"/>
      <c r="O105" s="2657"/>
      <c r="P105" s="2657"/>
      <c r="Q105" s="2657"/>
      <c r="R105" s="2657"/>
      <c r="S105" s="2657"/>
      <c r="T105" s="2657"/>
      <c r="U105" s="2657"/>
      <c r="V105" s="2657"/>
      <c r="W105" s="2657"/>
      <c r="X105" s="2657"/>
      <c r="Y105" s="2657"/>
      <c r="Z105" s="2657"/>
      <c r="AA105" s="2657"/>
      <c r="AB105" s="2657"/>
      <c r="AC105" s="2657"/>
      <c r="AD105" s="2657"/>
      <c r="AE105" s="2657"/>
      <c r="AF105" s="2657"/>
      <c r="AG105" s="2657"/>
      <c r="AH105" s="2657"/>
      <c r="AI105" s="2657"/>
      <c r="AJ105" s="2657"/>
      <c r="AK105" s="2657"/>
      <c r="AL105" s="2657"/>
      <c r="AM105" s="2657"/>
      <c r="AN105" s="2657"/>
      <c r="AO105" s="2657"/>
      <c r="AP105" s="2657"/>
      <c r="AQ105" s="2657"/>
      <c r="AR105" s="2657"/>
      <c r="AS105" s="2657"/>
      <c r="AT105" s="2657"/>
      <c r="AU105" s="2657"/>
      <c r="AV105" s="2657"/>
      <c r="AW105" s="2657"/>
      <c r="AX105" s="2657"/>
      <c r="AY105" s="2657"/>
      <c r="AZ105" s="2657"/>
      <c r="BA105" s="2657"/>
      <c r="BB105" s="2657"/>
      <c r="BC105" s="2657"/>
      <c r="BD105" s="2657"/>
      <c r="BE105" s="2657"/>
      <c r="BF105" s="2657"/>
      <c r="BG105" s="2657"/>
      <c r="BH105" s="2657"/>
      <c r="BI105" s="2657"/>
      <c r="BJ105" s="2657"/>
      <c r="BK105" s="2657"/>
      <c r="BL105" s="2657"/>
      <c r="BM105" s="2657"/>
      <c r="BN105" s="2657"/>
      <c r="BO105" s="2657"/>
      <c r="BP105" s="2657"/>
      <c r="BQ105" s="2657"/>
      <c r="BR105" s="2657"/>
      <c r="BS105" s="2657"/>
      <c r="BT105" s="2657"/>
      <c r="BU105" s="2657"/>
      <c r="BV105" s="2657"/>
      <c r="BW105" s="2657"/>
      <c r="BX105" s="2657"/>
      <c r="BY105" s="2657"/>
      <c r="BZ105" s="2657"/>
      <c r="CA105" s="2657"/>
      <c r="CB105" s="2657"/>
      <c r="CC105" s="2657"/>
      <c r="CD105" s="2657"/>
      <c r="CE105" s="2657"/>
      <c r="CF105" s="2657"/>
      <c r="CG105" s="2657"/>
      <c r="CH105" s="2657"/>
      <c r="CI105" s="2657"/>
      <c r="CJ105" s="2657"/>
      <c r="CK105" s="2657"/>
      <c r="CL105" s="2657"/>
      <c r="CM105" s="2657"/>
      <c r="CN105" s="2657"/>
      <c r="CO105" s="2657"/>
      <c r="CP105" s="2657"/>
      <c r="CQ105" s="2657"/>
      <c r="CR105" s="2657"/>
      <c r="CS105" s="2657"/>
      <c r="CT105" s="2657"/>
      <c r="CU105" s="2657"/>
      <c r="CV105" s="2657"/>
      <c r="CW105" s="2657"/>
      <c r="CX105" s="2657"/>
      <c r="CY105" s="2657"/>
      <c r="CZ105" s="2657"/>
      <c r="DA105" s="2657"/>
      <c r="DB105" s="2657"/>
      <c r="DC105" s="2657"/>
      <c r="DD105" s="2657"/>
      <c r="DE105" s="2657"/>
      <c r="DF105" s="2657"/>
      <c r="DG105" s="2657"/>
      <c r="DH105" s="2657"/>
      <c r="DI105" s="2657"/>
      <c r="DJ105" s="2657"/>
      <c r="DK105" s="2657"/>
      <c r="DL105" s="2657"/>
      <c r="DM105" s="2657"/>
      <c r="DN105" s="2657"/>
      <c r="DO105" s="2657"/>
      <c r="DP105" s="2657"/>
      <c r="DQ105" s="2657"/>
      <c r="DR105" s="2657"/>
      <c r="DS105" s="2657"/>
      <c r="DT105" s="2657"/>
      <c r="DU105" s="2657"/>
      <c r="DV105" s="2657"/>
      <c r="DW105" s="2657"/>
      <c r="DX105" s="2657"/>
      <c r="DY105" s="2657"/>
      <c r="DZ105" s="2657"/>
      <c r="EA105" s="2657"/>
      <c r="EB105" s="2657"/>
      <c r="EC105" s="2657"/>
      <c r="ED105" s="2657"/>
      <c r="EE105" s="2657"/>
      <c r="EF105" s="2657"/>
      <c r="EG105" s="2657"/>
      <c r="EH105" s="2657"/>
      <c r="EI105" s="2657"/>
      <c r="EJ105" s="2657"/>
      <c r="EK105" s="2657"/>
      <c r="EL105" s="2657"/>
      <c r="EM105" s="2657"/>
      <c r="EN105" s="2657"/>
      <c r="EO105" s="2657"/>
      <c r="EP105" s="2657"/>
      <c r="EQ105" s="2657"/>
      <c r="ER105" s="2657"/>
      <c r="ES105" s="2657"/>
      <c r="ET105" s="2657"/>
      <c r="EU105" s="2657"/>
      <c r="EV105" s="2657"/>
      <c r="EW105" s="2657"/>
      <c r="EX105" s="2657"/>
      <c r="EY105" s="2657"/>
      <c r="EZ105" s="2657"/>
      <c r="FA105" s="2657"/>
      <c r="FB105" s="2657"/>
      <c r="FC105" s="2657"/>
      <c r="FD105" s="2657"/>
      <c r="FE105" s="2657"/>
    </row>
    <row r="106" spans="1:161" outlineLevel="2">
      <c r="B106" t="s">
        <v>396</v>
      </c>
      <c r="C106" t="s">
        <v>397</v>
      </c>
      <c r="D106" t="str">
        <f t="shared" si="14"/>
      </c>
      <c r="F106" s="2657"/>
      <c r="G106" s="2657"/>
      <c r="H106" s="2657"/>
      <c r="I106" s="2657"/>
      <c r="J106" s="2657"/>
      <c r="K106" s="2657"/>
      <c r="L106" s="2657"/>
      <c r="M106" s="2657"/>
      <c r="N106" s="2657"/>
      <c r="O106" s="2657"/>
      <c r="P106" s="2657"/>
      <c r="Q106" s="2657"/>
      <c r="R106" s="2657"/>
      <c r="S106" s="2657"/>
      <c r="T106" s="2657"/>
      <c r="U106" s="2657"/>
      <c r="V106" s="2657">
        <f>+'Cash Flow Statement'!FH46+'Cash Flow Statement'!FH47-'Cash Flow Statement'!FH57+'Cash Flow Statement'!FG57</f>
      </c>
      <c r="W106" s="2657"/>
      <c r="X106" s="2657"/>
      <c r="Y106" s="2657">
        <f>+'Cash Flow Statement'!FK46+'Cash Flow Statement'!FK47-'Cash Flow Statement'!FK57+'Cash Flow Statement'!FJ57</f>
      </c>
      <c r="Z106" s="2657">
        <f>+'Cash Flow Statement'!FL46+'Cash Flow Statement'!FL47-'Cash Flow Statement'!FL57+'Cash Flow Statement'!FK57</f>
      </c>
      <c r="AA106" s="2657">
        <f>+'Cash Flow Statement'!FM46+'Cash Flow Statement'!FM47-'Cash Flow Statement'!FM57+'Cash Flow Statement'!FL57</f>
      </c>
      <c r="AB106" s="2657">
        <f>+'Cash Flow Statement'!FN46+'Cash Flow Statement'!FN47-'Cash Flow Statement'!FN57+'Cash Flow Statement'!FM57</f>
      </c>
      <c r="AC106" s="2657"/>
      <c r="AD106" s="2657"/>
      <c r="AE106" s="2657"/>
      <c r="AF106" s="2657"/>
      <c r="AG106" s="2657"/>
      <c r="AH106" s="2657"/>
      <c r="AI106" s="2657"/>
      <c r="AJ106" s="2657"/>
      <c r="AK106" s="2657" t="s">
        <v>1659</v>
      </c>
      <c r="AL106" s="2657"/>
      <c r="AM106" s="2657"/>
      <c r="AN106" s="2657"/>
      <c r="AO106" s="2657"/>
      <c r="AP106" s="2657"/>
      <c r="AQ106" s="2657"/>
      <c r="AR106" s="2657"/>
      <c r="AS106" s="2657"/>
      <c r="AT106" s="2657"/>
      <c r="AU106" s="2657"/>
      <c r="AV106" s="2657"/>
      <c r="AW106" s="2657"/>
      <c r="AX106" s="2657"/>
      <c r="AY106" s="2657"/>
      <c r="AZ106" s="2657"/>
      <c r="BA106" s="2657"/>
      <c r="BB106" s="2657"/>
      <c r="BC106" s="2657"/>
      <c r="BD106" s="2657"/>
      <c r="BE106" s="2657"/>
      <c r="BF106" s="2657"/>
      <c r="BG106" s="2657"/>
      <c r="BH106" s="2657"/>
      <c r="BI106" s="2657"/>
      <c r="BJ106" s="2657"/>
      <c r="BK106" s="2657"/>
      <c r="BL106" s="2657"/>
      <c r="BM106" s="2657"/>
      <c r="BN106" s="2657"/>
      <c r="BO106" s="2657"/>
      <c r="BP106" s="2657"/>
      <c r="BQ106" s="2657"/>
      <c r="BR106" s="2657"/>
      <c r="BS106" s="2657"/>
      <c r="BT106" s="2657"/>
      <c r="BU106" s="2657"/>
      <c r="BV106" s="2657"/>
      <c r="BW106" s="2657"/>
      <c r="BX106" s="2657"/>
      <c r="BY106" s="2657"/>
      <c r="BZ106" s="2657"/>
      <c r="CA106" s="2657"/>
      <c r="CB106" s="2657"/>
      <c r="CC106" s="2657"/>
      <c r="CD106" s="2657"/>
      <c r="CE106" s="2657"/>
      <c r="CF106" s="2657"/>
      <c r="CG106" s="2657"/>
      <c r="CH106" s="2657"/>
      <c r="CI106" s="2657"/>
      <c r="CJ106" s="2657"/>
      <c r="CK106" s="2657"/>
      <c r="CL106" s="2657"/>
      <c r="CM106" s="2657"/>
      <c r="CN106" s="2657"/>
      <c r="CO106" s="2657"/>
      <c r="CP106" s="2657"/>
      <c r="CQ106" s="2657"/>
      <c r="CR106" s="2657"/>
      <c r="CS106" s="2657"/>
      <c r="CT106" s="2657"/>
      <c r="CU106" s="2657"/>
      <c r="CV106" s="2657"/>
      <c r="CW106" s="2657"/>
      <c r="CX106" s="2657">
        <f>+SUM('Cash Flow Statement'!CD46:CD47)-'Cash Flow Statement'!CD57+'Cash Flow Statement'!CC57</f>
      </c>
      <c r="CY106" s="2657"/>
      <c r="CZ106" s="2657"/>
      <c r="DA106" s="2657"/>
      <c r="DB106" s="2657"/>
      <c r="DC106" s="2657"/>
      <c r="DD106" s="2657"/>
      <c r="DE106" s="2657"/>
      <c r="DF106" s="2657"/>
      <c r="DG106" s="2657"/>
      <c r="DH106" s="2657"/>
      <c r="DI106" s="2657"/>
      <c r="DJ106" s="2657"/>
      <c r="DK106" s="2657">
        <f>+SUM('Cash Flow Statement'!CQ46:CQ47)-'Cash Flow Statement'!CQ57+'Cash Flow Statement'!CP57</f>
      </c>
      <c r="DL106" s="2657">
        <f>+SUM('Cash Flow Statement'!CR46:CR47)-'Cash Flow Statement'!CR57+'Cash Flow Statement'!CQ57</f>
      </c>
      <c r="DM106" s="2657">
        <f>+SUM('Cash Flow Statement'!CS46:CS47)-'Cash Flow Statement'!CS57+'Cash Flow Statement'!CR57</f>
      </c>
      <c r="DN106" s="2657">
        <f>+SUM('Cash Flow Statement'!CT46:CT47)-'Cash Flow Statement'!CT57+'Cash Flow Statement'!CS57</f>
      </c>
      <c r="DO106" s="2657">
        <f>+SUM('Cash Flow Statement'!CU46:CU47)-'Cash Flow Statement'!CU57+'Cash Flow Statement'!CT57</f>
      </c>
      <c r="DP106" s="2657">
        <f>+SUM('Cash Flow Statement'!CV46:CV47)-'Cash Flow Statement'!CV57+'Cash Flow Statement'!CU57</f>
      </c>
      <c r="DQ106" s="2657">
        <f>+SUM('Cash Flow Statement'!CW46:CW47)-'Cash Flow Statement'!CW57+'Cash Flow Statement'!CV57</f>
      </c>
      <c r="DR106" s="2657">
        <f>+SUM('Cash Flow Statement'!CX46:CX47)-'Cash Flow Statement'!CX57+'Cash Flow Statement'!CW57</f>
      </c>
      <c r="DS106" s="2657">
        <f>+SUM('Cash Flow Statement'!CY46:CY47)-'Cash Flow Statement'!CY57+'Cash Flow Statement'!CX57</f>
      </c>
      <c r="DT106" s="2657">
        <f>+SUM('Cash Flow Statement'!CZ46:CZ47)-'Cash Flow Statement'!CZ57+'Cash Flow Statement'!CY57</f>
      </c>
      <c r="DU106" s="2657">
        <f>+SUM('Cash Flow Statement'!DA46:DA47)-'Cash Flow Statement'!DA57+'Cash Flow Statement'!CZ57</f>
      </c>
      <c r="DV106" s="2657">
        <f>+SUM('Cash Flow Statement'!DB46:DB47)-'Cash Flow Statement'!DB57+'Cash Flow Statement'!DA57</f>
      </c>
      <c r="DW106" s="2657">
        <f>+SUM('Cash Flow Statement'!DC46:DC47)-'Cash Flow Statement'!DC57+'Cash Flow Statement'!DB57</f>
      </c>
      <c r="DX106" s="2657">
        <f>+SUM('Cash Flow Statement'!DD46:DD47)-'Cash Flow Statement'!DD57+'Cash Flow Statement'!DC57</f>
      </c>
      <c r="DY106" s="2657">
        <f>+SUM('Cash Flow Statement'!DE46:DE47)-'Cash Flow Statement'!DE57+'Cash Flow Statement'!DD57</f>
      </c>
      <c r="DZ106" s="2657"/>
      <c r="EA106" s="2657"/>
      <c r="EB106" s="2657"/>
      <c r="EC106" s="2657"/>
      <c r="ED106" s="2657"/>
      <c r="EE106" s="2657"/>
      <c r="EF106" s="2657"/>
      <c r="EG106" s="2657"/>
      <c r="EH106" s="2657"/>
      <c r="EI106" s="2657"/>
      <c r="EJ106" s="2657"/>
      <c r="EK106" s="2657"/>
      <c r="EL106" s="2657"/>
      <c r="EM106" s="2657"/>
      <c r="EN106" s="2657"/>
      <c r="EO106" s="2657"/>
      <c r="EP106" s="2657"/>
      <c r="EQ106" s="2657"/>
      <c r="ER106" s="2657"/>
      <c r="ES106" s="2657"/>
      <c r="ET106" s="2657"/>
      <c r="EU106" s="2657"/>
      <c r="EV106" s="2657"/>
      <c r="EW106" s="2657"/>
      <c r="EX106" s="2657"/>
      <c r="EY106" s="2657"/>
      <c r="EZ106" s="2657"/>
      <c r="FA106" s="2657"/>
      <c r="FB106" s="2657"/>
      <c r="FC106" s="2657"/>
      <c r="FD106" s="2657"/>
      <c r="FE106" s="2657"/>
    </row>
    <row r="107" spans="1:161" outlineLevel="2">
      <c r="B107" t="s">
        <v>398</v>
      </c>
      <c r="C107" t="s">
        <v>399</v>
      </c>
      <c r="D107" t="str">
        <f t="shared" si="14"/>
      </c>
      <c r="F107" s="2657">
        <f>'Cash Flow Statement'!ER48-'Cash Flow Statement'!ER57+'Cash Flow Statement'!EQ57</f>
      </c>
      <c r="G107" s="2657">
        <f>'Cash Flow Statement'!ES48-'Cash Flow Statement'!ES57+'Cash Flow Statement'!ER57</f>
      </c>
      <c r="H107" s="2657">
        <f>'Cash Flow Statement'!ET48-'Cash Flow Statement'!ET57+'Cash Flow Statement'!ES57</f>
      </c>
      <c r="I107" s="2657">
        <f>'Cash Flow Statement'!EU48-'Cash Flow Statement'!EU57+'Cash Flow Statement'!ET57</f>
      </c>
      <c r="J107" s="2657">
        <f>'Cash Flow Statement'!EV48-'Cash Flow Statement'!EV57+'Cash Flow Statement'!EU57</f>
      </c>
      <c r="K107" s="2657">
        <f>'Cash Flow Statement'!EW48-'Cash Flow Statement'!EW57+'Cash Flow Statement'!EV57</f>
      </c>
      <c r="L107" s="2657">
        <f>'Cash Flow Statement'!EX48-'Cash Flow Statement'!EX57+'Cash Flow Statement'!EW57</f>
      </c>
      <c r="M107" s="2657">
        <f>'Cash Flow Statement'!EY48-'Cash Flow Statement'!EY57+'Cash Flow Statement'!EX57</f>
      </c>
      <c r="N107" s="2657">
        <f>'Cash Flow Statement'!EZ48-'Cash Flow Statement'!EZ57+'Cash Flow Statement'!EY57</f>
      </c>
      <c r="O107" s="2657">
        <f>'Cash Flow Statement'!FA48-'Cash Flow Statement'!FA57+'Cash Flow Statement'!EZ57</f>
      </c>
      <c r="P107" s="2657">
        <f>'Cash Flow Statement'!FB48-'Cash Flow Statement'!FB57+'Cash Flow Statement'!FA57</f>
      </c>
      <c r="Q107" s="2657">
        <f>'Cash Flow Statement'!FC48-'Cash Flow Statement'!FC57+'Cash Flow Statement'!FB57</f>
      </c>
      <c r="R107" s="2657">
        <f>'Cash Flow Statement'!FD48-'Cash Flow Statement'!FD57+'Cash Flow Statement'!FC57</f>
      </c>
      <c r="S107" s="2657">
        <f>'Cash Flow Statement'!FE48-'Cash Flow Statement'!FE57+'Cash Flow Statement'!FD57</f>
      </c>
      <c r="T107" s="2657">
        <f>'Cash Flow Statement'!FF48-'Cash Flow Statement'!FF57+'Cash Flow Statement'!FE57</f>
      </c>
      <c r="U107" s="2657">
        <f>'Cash Flow Statement'!FG48-'Cash Flow Statement'!FG57+'Cash Flow Statement'!FF57</f>
      </c>
      <c r="V107" s="2657">
        <f>'Cash Flow Statement'!FH48-'Cash Flow Statement'!FH57+'Cash Flow Statement'!FG57</f>
      </c>
      <c r="W107" s="2657">
        <f>'Cash Flow Statement'!FI48-'Cash Flow Statement'!FI57+'Cash Flow Statement'!FH57</f>
      </c>
      <c r="X107" s="2657">
        <f>'Cash Flow Statement'!FJ48-'Cash Flow Statement'!FJ57+'Cash Flow Statement'!FI57</f>
      </c>
      <c r="Y107" s="2657">
        <f>'Cash Flow Statement'!FK48-'Cash Flow Statement'!FK57+'Cash Flow Statement'!FJ57</f>
      </c>
      <c r="Z107" s="2657">
        <f>'Cash Flow Statement'!FL48-'Cash Flow Statement'!FL57+'Cash Flow Statement'!FK57</f>
      </c>
      <c r="AA107" s="2657">
        <f>'Cash Flow Statement'!FM48-'Cash Flow Statement'!FM57+'Cash Flow Statement'!FL57</f>
      </c>
      <c r="AB107" s="2657">
        <f>'Cash Flow Statement'!FN48-'Cash Flow Statement'!FN57+'Cash Flow Statement'!FM57</f>
      </c>
      <c r="AC107" s="2657">
        <f>'Cash Flow Statement'!FO48-'Cash Flow Statement'!FO57+'Cash Flow Statement'!FN57</f>
      </c>
      <c r="AD107" s="2657">
        <f>'Cash Flow Statement'!FP48-'Cash Flow Statement'!FP57+'Cash Flow Statement'!FO57</f>
      </c>
      <c r="AE107" s="2657">
        <f>'Cash Flow Statement'!FQ48-'Cash Flow Statement'!FQ57+'Cash Flow Statement'!FP57</f>
      </c>
      <c r="AF107" s="2657">
        <f>'Cash Flow Statement'!FR48-'Cash Flow Statement'!FR57+'Cash Flow Statement'!FQ57</f>
      </c>
      <c r="AG107" s="2657">
        <f>'Cash Flow Statement'!FS48-'Cash Flow Statement'!FS57+'Cash Flow Statement'!FR57</f>
      </c>
      <c r="AH107" s="2657">
        <f>'Cash Flow Statement'!FT48-'Cash Flow Statement'!FT57+'Cash Flow Statement'!FS57</f>
      </c>
      <c r="AI107" s="2657">
        <f>'Cash Flow Statement'!FU48-'Cash Flow Statement'!FU57+'Cash Flow Statement'!FT57</f>
      </c>
      <c r="AJ107" s="2657">
        <f>'Cash Flow Statement'!FV48-'Cash Flow Statement'!FV57+'Cash Flow Statement'!FU57</f>
      </c>
      <c r="AK107" s="2657" t="s">
        <v>1659</v>
      </c>
      <c r="AL107" s="2657">
        <f>'Cash Flow Statement'!R48-'Cash Flow Statement'!R57+'Cash Flow Statement'!Q57</f>
      </c>
      <c r="AM107" s="2657">
        <f>'Cash Flow Statement'!S48-'Cash Flow Statement'!S57+'Cash Flow Statement'!R57</f>
      </c>
      <c r="AN107" s="2657">
        <f>'Cash Flow Statement'!T48-'Cash Flow Statement'!T57+'Cash Flow Statement'!S57</f>
      </c>
      <c r="AO107" s="2657">
        <f>'Cash Flow Statement'!U48-'Cash Flow Statement'!U57+'Cash Flow Statement'!T57</f>
      </c>
      <c r="AP107" s="2657">
        <f>'Cash Flow Statement'!V48-'Cash Flow Statement'!V57+'Cash Flow Statement'!U57</f>
      </c>
      <c r="AQ107" s="2657">
        <f>'Cash Flow Statement'!W48-'Cash Flow Statement'!W57+'Cash Flow Statement'!V57</f>
      </c>
      <c r="AR107" s="2657">
        <f>'Cash Flow Statement'!X48-'Cash Flow Statement'!X57+'Cash Flow Statement'!W57</f>
      </c>
      <c r="AS107" s="2657">
        <f>'Cash Flow Statement'!Y48-'Cash Flow Statement'!Y57+'Cash Flow Statement'!X57</f>
      </c>
      <c r="AT107" s="2657">
        <f>'Cash Flow Statement'!Z48-'Cash Flow Statement'!Z57+'Cash Flow Statement'!Y57</f>
      </c>
      <c r="AU107" s="2657">
        <f>'Cash Flow Statement'!AA48-'Cash Flow Statement'!AA57+'Cash Flow Statement'!Z57</f>
      </c>
      <c r="AV107" s="2657">
        <f>'Cash Flow Statement'!AB48-'Cash Flow Statement'!AB57+'Cash Flow Statement'!AA57</f>
      </c>
      <c r="AW107" s="2657">
        <f>'Cash Flow Statement'!AC48-'Cash Flow Statement'!AC57+'Cash Flow Statement'!AB57</f>
      </c>
      <c r="AX107" s="2657">
        <f>'Cash Flow Statement'!AD48-'Cash Flow Statement'!AD57+'Cash Flow Statement'!AC57</f>
      </c>
      <c r="AY107" s="2657">
        <f>'Cash Flow Statement'!AE48-'Cash Flow Statement'!AE57+'Cash Flow Statement'!AD57</f>
      </c>
      <c r="AZ107" s="2657">
        <f>'Cash Flow Statement'!AF48-'Cash Flow Statement'!AF57+'Cash Flow Statement'!AE57</f>
      </c>
      <c r="BA107" s="2657">
        <f>'Cash Flow Statement'!AG48-'Cash Flow Statement'!AG57+'Cash Flow Statement'!AF57</f>
      </c>
      <c r="BB107" s="2657">
        <f>'Cash Flow Statement'!AH48-'Cash Flow Statement'!AH57+'Cash Flow Statement'!AG57</f>
      </c>
      <c r="BC107" s="2657">
        <f>'Cash Flow Statement'!AI48-'Cash Flow Statement'!AI57+'Cash Flow Statement'!AH57</f>
      </c>
      <c r="BD107" s="2657">
        <f>'Cash Flow Statement'!AJ48-'Cash Flow Statement'!AJ57+'Cash Flow Statement'!AI57</f>
      </c>
      <c r="BE107" s="2657">
        <f>'Cash Flow Statement'!AK48-'Cash Flow Statement'!AK57+'Cash Flow Statement'!AJ57</f>
      </c>
      <c r="BF107" s="2657">
        <f>'Cash Flow Statement'!AL48-'Cash Flow Statement'!AL57+'Cash Flow Statement'!AK57</f>
      </c>
      <c r="BG107" s="2657">
        <f>'Cash Flow Statement'!AM48-'Cash Flow Statement'!AM57+'Cash Flow Statement'!AL57</f>
      </c>
      <c r="BH107" s="2657">
        <f>'Cash Flow Statement'!AN48-'Cash Flow Statement'!AN57+'Cash Flow Statement'!AM57</f>
      </c>
      <c r="BI107" s="2657">
        <f>'Cash Flow Statement'!AO48-'Cash Flow Statement'!AO57+'Cash Flow Statement'!AN57</f>
      </c>
      <c r="BJ107" s="2657">
        <f>'Cash Flow Statement'!AP48-'Cash Flow Statement'!AP57+'Cash Flow Statement'!AO57</f>
      </c>
      <c r="BK107" s="2657">
        <f>'Cash Flow Statement'!AQ48-'Cash Flow Statement'!AQ57+'Cash Flow Statement'!AP57</f>
      </c>
      <c r="BL107" s="2657">
        <f>'Cash Flow Statement'!AR48-'Cash Flow Statement'!AR57+'Cash Flow Statement'!AQ57</f>
      </c>
      <c r="BM107" s="2657">
        <f>'Cash Flow Statement'!AS48-'Cash Flow Statement'!AS57+'Cash Flow Statement'!AR57</f>
      </c>
      <c r="BN107" s="2657">
        <f>'Cash Flow Statement'!AT48-'Cash Flow Statement'!AT57+'Cash Flow Statement'!AS57</f>
      </c>
      <c r="BO107" s="2657">
        <f>'Cash Flow Statement'!AU48-'Cash Flow Statement'!AU57+'Cash Flow Statement'!AT57</f>
      </c>
      <c r="BP107" s="2657">
        <f>'Cash Flow Statement'!AV48-'Cash Flow Statement'!AV57+'Cash Flow Statement'!AU57</f>
      </c>
      <c r="BQ107" s="2657">
        <f>'Cash Flow Statement'!AW48-'Cash Flow Statement'!AW57+'Cash Flow Statement'!AV57</f>
      </c>
      <c r="BR107" s="2657">
        <f>'Cash Flow Statement'!AX48-'Cash Flow Statement'!AX57+'Cash Flow Statement'!AW57</f>
      </c>
      <c r="BS107" s="2657">
        <f>'Cash Flow Statement'!AY48-'Cash Flow Statement'!AY57+'Cash Flow Statement'!AX57</f>
      </c>
      <c r="BT107" s="2657">
        <f>'Cash Flow Statement'!AZ48-'Cash Flow Statement'!AZ57+'Cash Flow Statement'!AY57</f>
      </c>
      <c r="BU107" s="2657">
        <f>'Cash Flow Statement'!BA48-'Cash Flow Statement'!BA57+'Cash Flow Statement'!AZ57</f>
      </c>
      <c r="BV107" s="2657">
        <f>'Cash Flow Statement'!BB48-'Cash Flow Statement'!BB57+'Cash Flow Statement'!BA57</f>
      </c>
      <c r="BW107" s="2657">
        <f>'Cash Flow Statement'!BC48-'Cash Flow Statement'!BC57+'Cash Flow Statement'!BB57</f>
      </c>
      <c r="BX107" s="2657">
        <f>'Cash Flow Statement'!BD48-'Cash Flow Statement'!BD57+'Cash Flow Statement'!BC57</f>
      </c>
      <c r="BY107" s="2657">
        <f>'Cash Flow Statement'!BE48-'Cash Flow Statement'!BE57+'Cash Flow Statement'!BD57</f>
      </c>
      <c r="BZ107" s="2657">
        <f>'Cash Flow Statement'!BF48-'Cash Flow Statement'!BF57+'Cash Flow Statement'!BE57</f>
      </c>
      <c r="CA107" s="2657">
        <f>'Cash Flow Statement'!BG48-'Cash Flow Statement'!BG57+'Cash Flow Statement'!BF57</f>
      </c>
      <c r="CB107" s="2657">
        <f>'Cash Flow Statement'!BH48-'Cash Flow Statement'!BH57+'Cash Flow Statement'!BG57</f>
      </c>
      <c r="CC107" s="2657">
        <f>'Cash Flow Statement'!BI48-'Cash Flow Statement'!BI57+'Cash Flow Statement'!BH57</f>
      </c>
      <c r="CD107" s="2657">
        <f>'Cash Flow Statement'!BJ48-'Cash Flow Statement'!BJ57+'Cash Flow Statement'!BI57</f>
      </c>
      <c r="CE107" s="2657">
        <f>'Cash Flow Statement'!BK48-'Cash Flow Statement'!BK57+'Cash Flow Statement'!BJ57</f>
      </c>
      <c r="CF107" s="2657">
        <f>'Cash Flow Statement'!BL48-'Cash Flow Statement'!BL57+'Cash Flow Statement'!BK57</f>
      </c>
      <c r="CG107" s="2657">
        <f>'Cash Flow Statement'!BM48-'Cash Flow Statement'!BM57+'Cash Flow Statement'!BL57</f>
      </c>
      <c r="CH107" s="2657">
        <f>'Cash Flow Statement'!BN48-'Cash Flow Statement'!BN57+'Cash Flow Statement'!BM57</f>
      </c>
      <c r="CI107" s="2657">
        <f>'Cash Flow Statement'!BO48-'Cash Flow Statement'!BO57+'Cash Flow Statement'!BN57</f>
      </c>
      <c r="CJ107" s="2657">
        <f>'Cash Flow Statement'!BP48-'Cash Flow Statement'!BP57+'Cash Flow Statement'!BO57</f>
      </c>
      <c r="CK107" s="2657">
        <f>'Cash Flow Statement'!BQ48-'Cash Flow Statement'!BQ57+'Cash Flow Statement'!BP57</f>
      </c>
      <c r="CL107" s="2657">
        <f>'Cash Flow Statement'!BR48-'Cash Flow Statement'!BR57+'Cash Flow Statement'!BQ57</f>
      </c>
      <c r="CM107" s="2657">
        <f>'Cash Flow Statement'!BS48-'Cash Flow Statement'!BS57+'Cash Flow Statement'!BR57</f>
      </c>
      <c r="CN107" s="2657">
        <f>'Cash Flow Statement'!BT48-'Cash Flow Statement'!BT57+'Cash Flow Statement'!BS57</f>
      </c>
      <c r="CO107" s="2657">
        <f>'Cash Flow Statement'!BU48-'Cash Flow Statement'!BU57+'Cash Flow Statement'!BT57</f>
      </c>
      <c r="CP107" s="2657">
        <f>'Cash Flow Statement'!BV48-'Cash Flow Statement'!BV57+'Cash Flow Statement'!BU57</f>
      </c>
      <c r="CQ107" s="2657">
        <f>'Cash Flow Statement'!BW48-'Cash Flow Statement'!BW57+'Cash Flow Statement'!BV57</f>
      </c>
      <c r="CR107" s="2657">
        <f>'Cash Flow Statement'!BX48-'Cash Flow Statement'!BX57+'Cash Flow Statement'!BW57</f>
      </c>
      <c r="CS107" s="2657">
        <f>'Cash Flow Statement'!BY48-'Cash Flow Statement'!BY57+'Cash Flow Statement'!BX57</f>
      </c>
      <c r="CT107" s="2657">
        <f>'Cash Flow Statement'!BZ48-'Cash Flow Statement'!BZ57+'Cash Flow Statement'!BY57</f>
      </c>
      <c r="CU107" s="2657">
        <f>'Cash Flow Statement'!CA48-'Cash Flow Statement'!CA57+'Cash Flow Statement'!BZ57</f>
      </c>
      <c r="CV107" s="2657">
        <f>'Cash Flow Statement'!CB48-'Cash Flow Statement'!CB57+'Cash Flow Statement'!CA57</f>
      </c>
      <c r="CW107" s="2657">
        <f>'Cash Flow Statement'!CC48-'Cash Flow Statement'!CC57+'Cash Flow Statement'!CB57</f>
      </c>
      <c r="CX107" s="2657">
        <f>'Cash Flow Statement'!CD48-'Cash Flow Statement'!CD57+'Cash Flow Statement'!CC57</f>
      </c>
      <c r="CY107" s="2657">
        <f>'Cash Flow Statement'!CE48-'Cash Flow Statement'!CE57+'Cash Flow Statement'!CD57</f>
      </c>
      <c r="CZ107" s="2657">
        <f>'Cash Flow Statement'!CF48-'Cash Flow Statement'!CF57+'Cash Flow Statement'!CE57</f>
      </c>
      <c r="DA107" s="2657">
        <f>'Cash Flow Statement'!CG48-'Cash Flow Statement'!CG57+'Cash Flow Statement'!CF57</f>
      </c>
      <c r="DB107" s="2657">
        <f>'Cash Flow Statement'!CH48-'Cash Flow Statement'!CH57+'Cash Flow Statement'!CG57</f>
      </c>
      <c r="DC107" s="2657">
        <f>'Cash Flow Statement'!CI48-'Cash Flow Statement'!CI57+'Cash Flow Statement'!CH57</f>
      </c>
      <c r="DD107" s="2657">
        <f>'Cash Flow Statement'!CJ48-'Cash Flow Statement'!CJ57+'Cash Flow Statement'!CI57</f>
      </c>
      <c r="DE107" s="2657">
        <f>'Cash Flow Statement'!CK48-'Cash Flow Statement'!CK57+'Cash Flow Statement'!CJ57</f>
      </c>
      <c r="DF107" s="2657">
        <f>'Cash Flow Statement'!CL48-'Cash Flow Statement'!CL57+'Cash Flow Statement'!CK57</f>
      </c>
      <c r="DG107" s="2657">
        <f>'Cash Flow Statement'!CM48-'Cash Flow Statement'!CM57+'Cash Flow Statement'!CL57</f>
      </c>
      <c r="DH107" s="2657">
        <f>'Cash Flow Statement'!CN48-'Cash Flow Statement'!CN57+'Cash Flow Statement'!CM57</f>
      </c>
      <c r="DI107" s="2657">
        <f>'Cash Flow Statement'!CO48-'Cash Flow Statement'!CO57+'Cash Flow Statement'!CN57</f>
      </c>
      <c r="DJ107" s="2657">
        <f>'Cash Flow Statement'!CP48-'Cash Flow Statement'!CP57+'Cash Flow Statement'!CO57</f>
      </c>
      <c r="DK107" s="2657">
        <f>'Cash Flow Statement'!CQ48-'Cash Flow Statement'!CQ57+'Cash Flow Statement'!CP57</f>
      </c>
      <c r="DL107" s="2657">
        <f>'Cash Flow Statement'!CR48-'Cash Flow Statement'!CR57+'Cash Flow Statement'!CQ57</f>
      </c>
      <c r="DM107" s="2657">
        <f>'Cash Flow Statement'!CS48-'Cash Flow Statement'!CS57+'Cash Flow Statement'!CR57</f>
      </c>
      <c r="DN107" s="2657">
        <f>'Cash Flow Statement'!CT48-'Cash Flow Statement'!CT57+'Cash Flow Statement'!CS57</f>
      </c>
      <c r="DO107" s="2657">
        <f>'Cash Flow Statement'!CU48-'Cash Flow Statement'!CU57+'Cash Flow Statement'!CT57</f>
      </c>
      <c r="DP107" s="2657">
        <f>'Cash Flow Statement'!CV48-'Cash Flow Statement'!CV57+'Cash Flow Statement'!CU57</f>
      </c>
      <c r="DQ107" s="2657">
        <f>'Cash Flow Statement'!CW48-'Cash Flow Statement'!CW57+'Cash Flow Statement'!CV57</f>
      </c>
      <c r="DR107" s="2657">
        <f>'Cash Flow Statement'!CX48-'Cash Flow Statement'!CX57+'Cash Flow Statement'!CW57</f>
      </c>
      <c r="DS107" s="2657">
        <f>'Cash Flow Statement'!CY48-'Cash Flow Statement'!CY57+'Cash Flow Statement'!CX57</f>
      </c>
      <c r="DT107" s="2657">
        <f>'Cash Flow Statement'!CZ48-'Cash Flow Statement'!CZ57+'Cash Flow Statement'!CY57</f>
      </c>
      <c r="DU107" s="2657">
        <f>'Cash Flow Statement'!DA48-'Cash Flow Statement'!DA57+'Cash Flow Statement'!CZ57</f>
      </c>
      <c r="DV107" s="2657">
        <f>'Cash Flow Statement'!DB48-'Cash Flow Statement'!DB57+'Cash Flow Statement'!DA57</f>
      </c>
      <c r="DW107" s="2657">
        <f>'Cash Flow Statement'!DC48-'Cash Flow Statement'!DC57+'Cash Flow Statement'!DB57</f>
      </c>
      <c r="DX107" s="2657">
        <f>'Cash Flow Statement'!DD48-'Cash Flow Statement'!DD57+'Cash Flow Statement'!DC57</f>
      </c>
      <c r="DY107" s="2657">
        <f>'Cash Flow Statement'!DE48-'Cash Flow Statement'!DE57+'Cash Flow Statement'!DD57</f>
      </c>
      <c r="DZ107" s="2657">
        <f>'Cash Flow Statement'!DF48-'Cash Flow Statement'!DF57+'Cash Flow Statement'!DE57</f>
      </c>
      <c r="EA107" s="2657">
        <f>'Cash Flow Statement'!DG48-'Cash Flow Statement'!DG57+'Cash Flow Statement'!DF57</f>
      </c>
      <c r="EB107" s="2657">
        <f>'Cash Flow Statement'!DH48-'Cash Flow Statement'!DH57+'Cash Flow Statement'!DG57</f>
      </c>
      <c r="EC107" s="2657">
        <f>'Cash Flow Statement'!DI48-'Cash Flow Statement'!DI57+'Cash Flow Statement'!DH57</f>
      </c>
      <c r="ED107" s="2657">
        <f>'Cash Flow Statement'!DJ48-'Cash Flow Statement'!DJ57+'Cash Flow Statement'!DI57</f>
      </c>
      <c r="EE107" s="2657">
        <f>'Cash Flow Statement'!DK48-'Cash Flow Statement'!DK57+'Cash Flow Statement'!DJ57</f>
      </c>
      <c r="EF107" s="2657">
        <f>'Cash Flow Statement'!DL48-'Cash Flow Statement'!DL57+'Cash Flow Statement'!DK57</f>
      </c>
      <c r="EG107" s="2657">
        <f>'Cash Flow Statement'!DM48-'Cash Flow Statement'!DM57+'Cash Flow Statement'!DL57</f>
      </c>
      <c r="EH107" s="2657">
        <f>'Cash Flow Statement'!DN48-'Cash Flow Statement'!DN57+'Cash Flow Statement'!DM57</f>
      </c>
      <c r="EI107" s="2657">
        <f>'Cash Flow Statement'!DO48-'Cash Flow Statement'!DO57+'Cash Flow Statement'!DN57</f>
      </c>
      <c r="EJ107" s="2657">
        <f>'Cash Flow Statement'!DP48-'Cash Flow Statement'!DP57+'Cash Flow Statement'!DO57</f>
      </c>
      <c r="EK107" s="2657">
        <f>'Cash Flow Statement'!DQ48-'Cash Flow Statement'!DQ57+'Cash Flow Statement'!DP57</f>
      </c>
      <c r="EL107" s="2657">
        <f>'Cash Flow Statement'!DR48-'Cash Flow Statement'!DR57+'Cash Flow Statement'!DQ57</f>
      </c>
      <c r="EM107" s="2657">
        <f>'Cash Flow Statement'!DS48-'Cash Flow Statement'!DS57+'Cash Flow Statement'!DR57</f>
      </c>
      <c r="EN107" s="2657">
        <f>'Cash Flow Statement'!DT48-'Cash Flow Statement'!DT57+'Cash Flow Statement'!DS57</f>
      </c>
      <c r="EO107" s="2657">
        <f>'Cash Flow Statement'!DU48-'Cash Flow Statement'!DU57+'Cash Flow Statement'!DT57</f>
      </c>
      <c r="EP107" s="2657">
        <f>'Cash Flow Statement'!DV48-'Cash Flow Statement'!DV57+'Cash Flow Statement'!DU57</f>
      </c>
      <c r="EQ107" s="2657">
        <f>'Cash Flow Statement'!DW48-'Cash Flow Statement'!DW57+'Cash Flow Statement'!DV57</f>
      </c>
      <c r="ER107" s="2657">
        <f>'Cash Flow Statement'!DX48-'Cash Flow Statement'!DX57+'Cash Flow Statement'!DW57</f>
      </c>
      <c r="ES107" s="2657">
        <f>'Cash Flow Statement'!DY48-'Cash Flow Statement'!DY57+'Cash Flow Statement'!DX57</f>
      </c>
      <c r="ET107" s="2657">
        <f>'Cash Flow Statement'!DZ48-'Cash Flow Statement'!DZ57+'Cash Flow Statement'!DY57</f>
      </c>
      <c r="EU107" s="2657">
        <f>'Cash Flow Statement'!EA48-'Cash Flow Statement'!EA57+'Cash Flow Statement'!DZ57</f>
      </c>
      <c r="EV107" s="2657">
        <f>'Cash Flow Statement'!EB48-'Cash Flow Statement'!EB57+'Cash Flow Statement'!EA57</f>
      </c>
      <c r="EW107" s="2657">
        <f>'Cash Flow Statement'!EC48-'Cash Flow Statement'!EC57+'Cash Flow Statement'!EB57</f>
      </c>
      <c r="EX107" s="2657">
        <f>'Cash Flow Statement'!ED48-'Cash Flow Statement'!ED57+'Cash Flow Statement'!EC57</f>
      </c>
      <c r="EY107" s="2657">
        <f>'Cash Flow Statement'!EE48-'Cash Flow Statement'!EE57+'Cash Flow Statement'!ED57</f>
      </c>
      <c r="EZ107" s="2657">
        <f>'Cash Flow Statement'!EF48-'Cash Flow Statement'!EF57+'Cash Flow Statement'!EE57</f>
      </c>
      <c r="FA107" s="2657">
        <f>'Cash Flow Statement'!EG48-'Cash Flow Statement'!EG57+'Cash Flow Statement'!EF57</f>
      </c>
      <c r="FB107" s="2657">
        <f>'Cash Flow Statement'!EH48-'Cash Flow Statement'!EH57+'Cash Flow Statement'!EG57</f>
      </c>
      <c r="FC107" s="2657">
        <f>'Cash Flow Statement'!EI48-'Cash Flow Statement'!EI57+'Cash Flow Statement'!EH57</f>
      </c>
      <c r="FD107" s="2657">
        <f>'Cash Flow Statement'!EJ48-'Cash Flow Statement'!EJ57+'Cash Flow Statement'!EI57</f>
      </c>
      <c r="FE107" s="2657">
        <f>'Cash Flow Statement'!EK48-'Cash Flow Statement'!EK57+'Cash Flow Statement'!EJ57</f>
      </c>
    </row>
    <row r="108" spans="1:161" outlineLevel="2">
      <c r="B108" t="s">
        <v>400</v>
      </c>
      <c r="C108" t="s">
        <v>401</v>
      </c>
      <c r="D108" t="str">
        <f t="shared" si="14"/>
      </c>
      <c r="F108" s="2657">
        <f>'Cash Flow Statement'!ER50-'Cash Flow Statement'!ER57+'Cash Flow Statement'!EQ57</f>
      </c>
      <c r="G108" s="2657">
        <f>'Cash Flow Statement'!ES50-'Cash Flow Statement'!ES57+'Cash Flow Statement'!ER57</f>
      </c>
      <c r="H108" s="2657">
        <f>'Cash Flow Statement'!ET50-'Cash Flow Statement'!ET57+'Cash Flow Statement'!ES57</f>
      </c>
      <c r="I108" s="2657">
        <f>'Cash Flow Statement'!EU50-'Cash Flow Statement'!EU57+'Cash Flow Statement'!ET57</f>
      </c>
      <c r="J108" s="2657">
        <f>'Cash Flow Statement'!EV50-'Cash Flow Statement'!EV57+'Cash Flow Statement'!EU57</f>
      </c>
      <c r="K108" s="2657">
        <f>'Cash Flow Statement'!EW50-'Cash Flow Statement'!EW57+'Cash Flow Statement'!EV57</f>
      </c>
      <c r="L108" s="2657">
        <f>'Cash Flow Statement'!EX50-'Cash Flow Statement'!EX57+'Cash Flow Statement'!EW57</f>
      </c>
      <c r="M108" s="2657">
        <f>'Cash Flow Statement'!EY50-'Cash Flow Statement'!EY57+'Cash Flow Statement'!EX57</f>
      </c>
      <c r="N108" s="2657">
        <f>'Cash Flow Statement'!EZ50-'Cash Flow Statement'!EZ57+'Cash Flow Statement'!EY57</f>
      </c>
      <c r="O108" s="2657">
        <f>'Cash Flow Statement'!FA50-'Cash Flow Statement'!FA57+'Cash Flow Statement'!EZ57</f>
      </c>
      <c r="P108" s="2657">
        <f>'Cash Flow Statement'!FB50-'Cash Flow Statement'!FB57+'Cash Flow Statement'!FA57</f>
      </c>
      <c r="Q108" s="2657">
        <f>'Cash Flow Statement'!FC50-'Cash Flow Statement'!FC57+'Cash Flow Statement'!FB57</f>
      </c>
      <c r="R108" s="2657">
        <f>'Cash Flow Statement'!FD50-'Cash Flow Statement'!FD57+'Cash Flow Statement'!FC57</f>
      </c>
      <c r="S108" s="2657">
        <f>'Cash Flow Statement'!FE50-'Cash Flow Statement'!FE57+'Cash Flow Statement'!FD57</f>
      </c>
      <c r="T108" s="2657">
        <f>'Cash Flow Statement'!FF50-'Cash Flow Statement'!FF57+'Cash Flow Statement'!FE57</f>
      </c>
      <c r="U108" s="2657">
        <f>'Cash Flow Statement'!FG50-'Cash Flow Statement'!FG57+'Cash Flow Statement'!FF57</f>
      </c>
      <c r="V108" s="2657">
        <f>'Cash Flow Statement'!FH50-'Cash Flow Statement'!FH57+'Cash Flow Statement'!FG57</f>
      </c>
      <c r="W108" s="2657">
        <f>'Cash Flow Statement'!FI50-'Cash Flow Statement'!FI57+'Cash Flow Statement'!FH57</f>
      </c>
      <c r="X108" s="2657">
        <f>'Cash Flow Statement'!FJ50-'Cash Flow Statement'!FJ57+'Cash Flow Statement'!FI57</f>
      </c>
      <c r="Y108" s="2657">
        <f>'Cash Flow Statement'!FK50-'Cash Flow Statement'!FK57+'Cash Flow Statement'!FJ57</f>
      </c>
      <c r="Z108" s="2657">
        <f>'Cash Flow Statement'!FL50-'Cash Flow Statement'!FL57+'Cash Flow Statement'!FK57</f>
      </c>
      <c r="AA108" s="2657">
        <f>'Cash Flow Statement'!FM50-'Cash Flow Statement'!FM57+'Cash Flow Statement'!FL57</f>
      </c>
      <c r="AB108" s="2657">
        <f>'Cash Flow Statement'!FN50-'Cash Flow Statement'!FN57+'Cash Flow Statement'!FM57</f>
      </c>
      <c r="AC108" s="2657">
        <f>'Cash Flow Statement'!FO50-'Cash Flow Statement'!FO57+'Cash Flow Statement'!FN57</f>
      </c>
      <c r="AD108" s="2657">
        <f>'Cash Flow Statement'!FP50-'Cash Flow Statement'!FP57+'Cash Flow Statement'!FO57</f>
      </c>
      <c r="AE108" s="2657">
        <f>'Cash Flow Statement'!FQ50-'Cash Flow Statement'!FQ57+'Cash Flow Statement'!FP57</f>
      </c>
      <c r="AF108" s="2657">
        <f>'Cash Flow Statement'!FR50-'Cash Flow Statement'!FR57+'Cash Flow Statement'!FQ57</f>
      </c>
      <c r="AG108" s="2657">
        <f>'Cash Flow Statement'!FS50-'Cash Flow Statement'!FS57+'Cash Flow Statement'!FR57</f>
      </c>
      <c r="AH108" s="2657">
        <f>'Cash Flow Statement'!FT50-'Cash Flow Statement'!FT57+'Cash Flow Statement'!FS57</f>
      </c>
      <c r="AI108" s="2657">
        <f>'Cash Flow Statement'!FU50-'Cash Flow Statement'!FU57+'Cash Flow Statement'!FT57</f>
      </c>
      <c r="AJ108" s="2657">
        <f>'Cash Flow Statement'!FV50-'Cash Flow Statement'!FV57+'Cash Flow Statement'!FU57</f>
      </c>
      <c r="AK108" s="2657" t="s">
        <v>1659</v>
      </c>
      <c r="AL108" s="2657">
        <f>'Cash Flow Statement'!R50-'Cash Flow Statement'!R57+'Cash Flow Statement'!Q57</f>
      </c>
      <c r="AM108" s="2657">
        <f>'Cash Flow Statement'!S50-'Cash Flow Statement'!S57+'Cash Flow Statement'!R57</f>
      </c>
      <c r="AN108" s="2657">
        <f>'Cash Flow Statement'!T50-'Cash Flow Statement'!T57+'Cash Flow Statement'!S57</f>
      </c>
      <c r="AO108" s="2657">
        <f>'Cash Flow Statement'!U50-'Cash Flow Statement'!U57+'Cash Flow Statement'!T57</f>
      </c>
      <c r="AP108" s="2657">
        <f>'Cash Flow Statement'!V50-'Cash Flow Statement'!V57+'Cash Flow Statement'!U57</f>
      </c>
      <c r="AQ108" s="2657">
        <f>'Cash Flow Statement'!W50-'Cash Flow Statement'!W57+'Cash Flow Statement'!V57</f>
      </c>
      <c r="AR108" s="2657">
        <f>'Cash Flow Statement'!X50-'Cash Flow Statement'!X57+'Cash Flow Statement'!W57</f>
      </c>
      <c r="AS108" s="2657">
        <f>'Cash Flow Statement'!Y50-'Cash Flow Statement'!Y57+'Cash Flow Statement'!X57</f>
      </c>
      <c r="AT108" s="2657">
        <f>'Cash Flow Statement'!Z50-'Cash Flow Statement'!Z57+'Cash Flow Statement'!Y57</f>
      </c>
      <c r="AU108" s="2657">
        <f>'Cash Flow Statement'!AA50-'Cash Flow Statement'!AA57+'Cash Flow Statement'!Z57</f>
      </c>
      <c r="AV108" s="2657">
        <f>'Cash Flow Statement'!AB50-'Cash Flow Statement'!AB57+'Cash Flow Statement'!AA57</f>
      </c>
      <c r="AW108" s="2657">
        <f>'Cash Flow Statement'!AC50-'Cash Flow Statement'!AC57+'Cash Flow Statement'!AB57</f>
      </c>
      <c r="AX108" s="2657">
        <f>'Cash Flow Statement'!AD50-'Cash Flow Statement'!AD57+'Cash Flow Statement'!AC57</f>
      </c>
      <c r="AY108" s="2657">
        <f>'Cash Flow Statement'!AE50-'Cash Flow Statement'!AE57+'Cash Flow Statement'!AD57</f>
      </c>
      <c r="AZ108" s="2657">
        <f>'Cash Flow Statement'!AF50-'Cash Flow Statement'!AF57+'Cash Flow Statement'!AE57</f>
      </c>
      <c r="BA108" s="2657">
        <f>'Cash Flow Statement'!AG50-'Cash Flow Statement'!AG57+'Cash Flow Statement'!AF57</f>
      </c>
      <c r="BB108" s="2657">
        <f>'Cash Flow Statement'!AH50-'Cash Flow Statement'!AH57+'Cash Flow Statement'!AG57</f>
      </c>
      <c r="BC108" s="2657">
        <f>'Cash Flow Statement'!AI50-'Cash Flow Statement'!AI57+'Cash Flow Statement'!AH57</f>
      </c>
      <c r="BD108" s="2657">
        <f>'Cash Flow Statement'!AJ50-'Cash Flow Statement'!AJ57+'Cash Flow Statement'!AI57</f>
      </c>
      <c r="BE108" s="2657">
        <f>'Cash Flow Statement'!AK50-'Cash Flow Statement'!AK57+'Cash Flow Statement'!AJ57</f>
      </c>
      <c r="BF108" s="2657">
        <f>'Cash Flow Statement'!AL50-'Cash Flow Statement'!AL57+'Cash Flow Statement'!AK57</f>
      </c>
      <c r="BG108" s="2657">
        <f>'Cash Flow Statement'!AM50-'Cash Flow Statement'!AM57+'Cash Flow Statement'!AL57</f>
      </c>
      <c r="BH108" s="2657">
        <f>'Cash Flow Statement'!AN50-'Cash Flow Statement'!AN57+'Cash Flow Statement'!AM57</f>
      </c>
      <c r="BI108" s="2657">
        <f>'Cash Flow Statement'!AO50-'Cash Flow Statement'!AO57+'Cash Flow Statement'!AN57</f>
      </c>
      <c r="BJ108" s="2657">
        <f>'Cash Flow Statement'!AP50-'Cash Flow Statement'!AP57+'Cash Flow Statement'!AO57</f>
      </c>
      <c r="BK108" s="2657">
        <f>'Cash Flow Statement'!AQ50-'Cash Flow Statement'!AQ57+'Cash Flow Statement'!AP57</f>
      </c>
      <c r="BL108" s="2657">
        <f>'Cash Flow Statement'!AR50-'Cash Flow Statement'!AR57+'Cash Flow Statement'!AQ57</f>
      </c>
      <c r="BM108" s="2657">
        <f>'Cash Flow Statement'!AS50-'Cash Flow Statement'!AS57+'Cash Flow Statement'!AR57</f>
      </c>
      <c r="BN108" s="2657">
        <f>'Cash Flow Statement'!AT50-'Cash Flow Statement'!AT57+'Cash Flow Statement'!AS57</f>
      </c>
      <c r="BO108" s="2657">
        <f>'Cash Flow Statement'!AU50-'Cash Flow Statement'!AU57+'Cash Flow Statement'!AT57</f>
      </c>
      <c r="BP108" s="2657">
        <f>'Cash Flow Statement'!AV50-'Cash Flow Statement'!AV57+'Cash Flow Statement'!AU57</f>
      </c>
      <c r="BQ108" s="2657">
        <f>'Cash Flow Statement'!AW50-'Cash Flow Statement'!AW57+'Cash Flow Statement'!AV57</f>
      </c>
      <c r="BR108" s="2657">
        <f>'Cash Flow Statement'!AX50-'Cash Flow Statement'!AX57+'Cash Flow Statement'!AW57</f>
      </c>
      <c r="BS108" s="2657">
        <f>'Cash Flow Statement'!AY50-'Cash Flow Statement'!AY57+'Cash Flow Statement'!AX57</f>
      </c>
      <c r="BT108" s="2657">
        <f>'Cash Flow Statement'!AZ50-'Cash Flow Statement'!AZ57+'Cash Flow Statement'!AY57</f>
      </c>
      <c r="BU108" s="2657">
        <f>'Cash Flow Statement'!BA50-'Cash Flow Statement'!BA57+'Cash Flow Statement'!AZ57</f>
      </c>
      <c r="BV108" s="2657">
        <f>'Cash Flow Statement'!BB50-'Cash Flow Statement'!BB57+'Cash Flow Statement'!BA57</f>
      </c>
      <c r="BW108" s="2657">
        <f>'Cash Flow Statement'!BC50-'Cash Flow Statement'!BC57+'Cash Flow Statement'!BB57</f>
      </c>
      <c r="BX108" s="2657">
        <f>'Cash Flow Statement'!BD50-'Cash Flow Statement'!BD57+'Cash Flow Statement'!BC57</f>
      </c>
      <c r="BY108" s="2657">
        <f>'Cash Flow Statement'!BE50-'Cash Flow Statement'!BE57+'Cash Flow Statement'!BD57</f>
      </c>
      <c r="BZ108" s="2657">
        <f>'Cash Flow Statement'!BF50-'Cash Flow Statement'!BF57+'Cash Flow Statement'!BE57</f>
      </c>
      <c r="CA108" s="2657">
        <f>'Cash Flow Statement'!BG50-'Cash Flow Statement'!BG57+'Cash Flow Statement'!BF57</f>
      </c>
      <c r="CB108" s="2657">
        <f>'Cash Flow Statement'!BH50-'Cash Flow Statement'!BH57+'Cash Flow Statement'!BG57</f>
      </c>
      <c r="CC108" s="2657">
        <f>'Cash Flow Statement'!BI50-'Cash Flow Statement'!BI57+'Cash Flow Statement'!BH57</f>
      </c>
      <c r="CD108" s="2657">
        <f>'Cash Flow Statement'!BJ50-'Cash Flow Statement'!BJ57+'Cash Flow Statement'!BI57</f>
      </c>
      <c r="CE108" s="2657">
        <f>'Cash Flow Statement'!BK50-'Cash Flow Statement'!BK57+'Cash Flow Statement'!BJ57</f>
      </c>
      <c r="CF108" s="2657">
        <f>'Cash Flow Statement'!BL50-'Cash Flow Statement'!BL57+'Cash Flow Statement'!BK57</f>
      </c>
      <c r="CG108" s="2657">
        <f>'Cash Flow Statement'!BM50-'Cash Flow Statement'!BM57+'Cash Flow Statement'!BL57</f>
      </c>
      <c r="CH108" s="2657">
        <f>'Cash Flow Statement'!BN50-'Cash Flow Statement'!BN57+'Cash Flow Statement'!BM57</f>
      </c>
      <c r="CI108" s="2657">
        <f>'Cash Flow Statement'!BO50-'Cash Flow Statement'!BO57+'Cash Flow Statement'!BN57</f>
      </c>
      <c r="CJ108" s="2657">
        <f>'Cash Flow Statement'!BP50-'Cash Flow Statement'!BP57+'Cash Flow Statement'!BO57</f>
      </c>
      <c r="CK108" s="2657">
        <f>'Cash Flow Statement'!BQ50-'Cash Flow Statement'!BQ57+'Cash Flow Statement'!BP57</f>
      </c>
      <c r="CL108" s="2657">
        <f>'Cash Flow Statement'!BR50-'Cash Flow Statement'!BR57+'Cash Flow Statement'!BQ57</f>
      </c>
      <c r="CM108" s="2657">
        <f>'Cash Flow Statement'!BS50-'Cash Flow Statement'!BS57+'Cash Flow Statement'!BR57</f>
      </c>
      <c r="CN108" s="2657">
        <f>'Cash Flow Statement'!BT50-'Cash Flow Statement'!BT57+'Cash Flow Statement'!BS57</f>
      </c>
      <c r="CO108" s="2657">
        <f>'Cash Flow Statement'!BU50-'Cash Flow Statement'!BU57+'Cash Flow Statement'!BT57</f>
      </c>
      <c r="CP108" s="2657">
        <f>'Cash Flow Statement'!BV50-'Cash Flow Statement'!BV57+'Cash Flow Statement'!BU57</f>
      </c>
      <c r="CQ108" s="2657">
        <f>'Cash Flow Statement'!BW50-'Cash Flow Statement'!BW57+'Cash Flow Statement'!BV57</f>
      </c>
      <c r="CR108" s="2657">
        <f>'Cash Flow Statement'!BX50-'Cash Flow Statement'!BX57+'Cash Flow Statement'!BW57</f>
      </c>
      <c r="CS108" s="2657">
        <f>'Cash Flow Statement'!BY50-'Cash Flow Statement'!BY57+'Cash Flow Statement'!BX57</f>
      </c>
      <c r="CT108" s="2657">
        <f>'Cash Flow Statement'!BZ50-'Cash Flow Statement'!BZ57+'Cash Flow Statement'!BY57</f>
      </c>
      <c r="CU108" s="2657">
        <f>'Cash Flow Statement'!CA50-'Cash Flow Statement'!CA57+'Cash Flow Statement'!BZ57</f>
      </c>
      <c r="CV108" s="2657">
        <f>'Cash Flow Statement'!CB50-'Cash Flow Statement'!CB57+'Cash Flow Statement'!CA57</f>
      </c>
      <c r="CW108" s="2657">
        <f>'Cash Flow Statement'!CC50-'Cash Flow Statement'!CC57+'Cash Flow Statement'!CB57</f>
      </c>
      <c r="CX108" s="2657">
        <f>'Cash Flow Statement'!CD50-'Cash Flow Statement'!CD57+'Cash Flow Statement'!CC57</f>
      </c>
      <c r="CY108" s="2657">
        <f>'Cash Flow Statement'!CE50-'Cash Flow Statement'!CE57+'Cash Flow Statement'!CD57</f>
      </c>
      <c r="CZ108" s="2657">
        <f>'Cash Flow Statement'!CF50-'Cash Flow Statement'!CF57+'Cash Flow Statement'!CE57</f>
      </c>
      <c r="DA108" s="2657">
        <f>'Cash Flow Statement'!CG50-'Cash Flow Statement'!CG57+'Cash Flow Statement'!CF57</f>
      </c>
      <c r="DB108" s="2657">
        <f>'Cash Flow Statement'!CH50-'Cash Flow Statement'!CH57+'Cash Flow Statement'!CG57</f>
      </c>
      <c r="DC108" s="2657">
        <f>'Cash Flow Statement'!CI50-'Cash Flow Statement'!CI57+'Cash Flow Statement'!CH57</f>
      </c>
      <c r="DD108" s="2657">
        <f>'Cash Flow Statement'!CJ50-'Cash Flow Statement'!CJ57+'Cash Flow Statement'!CI57</f>
      </c>
      <c r="DE108" s="2657">
        <f>'Cash Flow Statement'!CK50-'Cash Flow Statement'!CK57+'Cash Flow Statement'!CJ57</f>
      </c>
      <c r="DF108" s="2657">
        <f>'Cash Flow Statement'!CL50-'Cash Flow Statement'!CL57+'Cash Flow Statement'!CK57</f>
      </c>
      <c r="DG108" s="2657">
        <f>'Cash Flow Statement'!CM50-'Cash Flow Statement'!CM57+'Cash Flow Statement'!CL57</f>
      </c>
      <c r="DH108" s="2657">
        <f>'Cash Flow Statement'!CN50-'Cash Flow Statement'!CN57+'Cash Flow Statement'!CM57</f>
      </c>
      <c r="DI108" s="2657">
        <f>'Cash Flow Statement'!CO50-'Cash Flow Statement'!CO57+'Cash Flow Statement'!CN57</f>
      </c>
      <c r="DJ108" s="2657">
        <f>'Cash Flow Statement'!CP50-'Cash Flow Statement'!CP57+'Cash Flow Statement'!CO57</f>
      </c>
      <c r="DK108" s="2657">
        <f>'Cash Flow Statement'!CQ50-'Cash Flow Statement'!CQ57+'Cash Flow Statement'!CP57</f>
      </c>
      <c r="DL108" s="2657">
        <f>'Cash Flow Statement'!CR50-'Cash Flow Statement'!CR57+'Cash Flow Statement'!CQ57</f>
      </c>
      <c r="DM108" s="2657">
        <f>'Cash Flow Statement'!CS50-'Cash Flow Statement'!CS57+'Cash Flow Statement'!CR57</f>
      </c>
      <c r="DN108" s="2657">
        <f>'Cash Flow Statement'!CT50-'Cash Flow Statement'!CT57+'Cash Flow Statement'!CS57</f>
      </c>
      <c r="DO108" s="2657">
        <f>'Cash Flow Statement'!CU50-'Cash Flow Statement'!CU57+'Cash Flow Statement'!CT57</f>
      </c>
      <c r="DP108" s="2657">
        <f>'Cash Flow Statement'!CV50-'Cash Flow Statement'!CV57+'Cash Flow Statement'!CU57</f>
      </c>
      <c r="DQ108" s="2657">
        <f>'Cash Flow Statement'!CW50-'Cash Flow Statement'!CW57+'Cash Flow Statement'!CV57</f>
      </c>
      <c r="DR108" s="2657">
        <f>'Cash Flow Statement'!CX50-'Cash Flow Statement'!CX57+'Cash Flow Statement'!CW57</f>
      </c>
      <c r="DS108" s="2657">
        <f>'Cash Flow Statement'!CY50-'Cash Flow Statement'!CY57+'Cash Flow Statement'!CX57</f>
      </c>
      <c r="DT108" s="2657">
        <f>'Cash Flow Statement'!CZ50-'Cash Flow Statement'!CZ57+'Cash Flow Statement'!CY57</f>
      </c>
      <c r="DU108" s="2657">
        <f>'Cash Flow Statement'!DA50-'Cash Flow Statement'!DA57+'Cash Flow Statement'!CZ57</f>
      </c>
      <c r="DV108" s="2657">
        <f>'Cash Flow Statement'!DB50-'Cash Flow Statement'!DB57+'Cash Flow Statement'!DA57</f>
      </c>
      <c r="DW108" s="2657">
        <f>'Cash Flow Statement'!DC50-'Cash Flow Statement'!DC57+'Cash Flow Statement'!DB57</f>
      </c>
      <c r="DX108" s="2657">
        <f>'Cash Flow Statement'!DD50-'Cash Flow Statement'!DD57+'Cash Flow Statement'!DC57</f>
      </c>
      <c r="DY108" s="2657">
        <f>'Cash Flow Statement'!DE50-'Cash Flow Statement'!DE57+'Cash Flow Statement'!DD57</f>
      </c>
      <c r="DZ108" s="2657">
        <f>'Cash Flow Statement'!DF50-'Cash Flow Statement'!DF57+'Cash Flow Statement'!DE57</f>
      </c>
      <c r="EA108" s="2657">
        <f>'Cash Flow Statement'!DG50-'Cash Flow Statement'!DG57+'Cash Flow Statement'!DF57</f>
      </c>
      <c r="EB108" s="2657">
        <f>'Cash Flow Statement'!DH50-'Cash Flow Statement'!DH57+'Cash Flow Statement'!DG57</f>
      </c>
      <c r="EC108" s="2657">
        <f>'Cash Flow Statement'!DI50-'Cash Flow Statement'!DI57+'Cash Flow Statement'!DH57</f>
      </c>
      <c r="ED108" s="2657">
        <f>'Cash Flow Statement'!DJ50-'Cash Flow Statement'!DJ57+'Cash Flow Statement'!DI57</f>
      </c>
      <c r="EE108" s="2657">
        <f>'Cash Flow Statement'!DK50-'Cash Flow Statement'!DK57+'Cash Flow Statement'!DJ57</f>
      </c>
      <c r="EF108" s="2657">
        <f>'Cash Flow Statement'!DL50-'Cash Flow Statement'!DL57+'Cash Flow Statement'!DK57</f>
      </c>
      <c r="EG108" s="2657">
        <f>'Cash Flow Statement'!DM50-'Cash Flow Statement'!DM57+'Cash Flow Statement'!DL57</f>
      </c>
      <c r="EH108" s="2657">
        <f>'Cash Flow Statement'!DN50-'Cash Flow Statement'!DN57+'Cash Flow Statement'!DM57</f>
      </c>
      <c r="EI108" s="2657">
        <f>'Cash Flow Statement'!DO50-'Cash Flow Statement'!DO57+'Cash Flow Statement'!DN57</f>
      </c>
      <c r="EJ108" s="2657">
        <f>'Cash Flow Statement'!DP50-'Cash Flow Statement'!DP57+'Cash Flow Statement'!DO57</f>
      </c>
      <c r="EK108" s="2657">
        <f>'Cash Flow Statement'!DQ50-'Cash Flow Statement'!DQ57+'Cash Flow Statement'!DP57</f>
      </c>
      <c r="EL108" s="2657">
        <f>'Cash Flow Statement'!DR50-'Cash Flow Statement'!DR57+'Cash Flow Statement'!DQ57</f>
      </c>
      <c r="EM108" s="2657">
        <f>'Cash Flow Statement'!DS50-'Cash Flow Statement'!DS57+'Cash Flow Statement'!DR57</f>
      </c>
      <c r="EN108" s="2657">
        <f>'Cash Flow Statement'!DT50-'Cash Flow Statement'!DT57+'Cash Flow Statement'!DS57</f>
      </c>
      <c r="EO108" s="2657">
        <f>'Cash Flow Statement'!DU50-'Cash Flow Statement'!DU57+'Cash Flow Statement'!DT57</f>
      </c>
      <c r="EP108" s="2657">
        <f>'Cash Flow Statement'!DV50-'Cash Flow Statement'!DV57+'Cash Flow Statement'!DU57</f>
      </c>
      <c r="EQ108" s="2657">
        <f>'Cash Flow Statement'!DW50-'Cash Flow Statement'!DW57+'Cash Flow Statement'!DV57</f>
      </c>
      <c r="ER108" s="2657">
        <f>'Cash Flow Statement'!DX50-'Cash Flow Statement'!DX57+'Cash Flow Statement'!DW57</f>
      </c>
      <c r="ES108" s="2657">
        <f>'Cash Flow Statement'!DY50-'Cash Flow Statement'!DY57+'Cash Flow Statement'!DX57</f>
      </c>
      <c r="ET108" s="2657">
        <f>'Cash Flow Statement'!DZ50-'Cash Flow Statement'!DZ57+'Cash Flow Statement'!DY57</f>
      </c>
      <c r="EU108" s="2657">
        <f>'Cash Flow Statement'!EA50-'Cash Flow Statement'!EA57+'Cash Flow Statement'!DZ57</f>
      </c>
      <c r="EV108" s="2657">
        <f>'Cash Flow Statement'!EB50-'Cash Flow Statement'!EB57+'Cash Flow Statement'!EA57</f>
      </c>
      <c r="EW108" s="2657">
        <f>'Cash Flow Statement'!EC50-'Cash Flow Statement'!EC57+'Cash Flow Statement'!EB57</f>
      </c>
      <c r="EX108" s="2657">
        <f>'Cash Flow Statement'!ED50-'Cash Flow Statement'!ED57+'Cash Flow Statement'!EC57</f>
      </c>
      <c r="EY108" s="2657">
        <f>'Cash Flow Statement'!EE50-'Cash Flow Statement'!EE57+'Cash Flow Statement'!ED57</f>
      </c>
      <c r="EZ108" s="2657">
        <f>'Cash Flow Statement'!EF50-'Cash Flow Statement'!EF57+'Cash Flow Statement'!EE57</f>
      </c>
      <c r="FA108" s="2657">
        <f>'Cash Flow Statement'!EG50-'Cash Flow Statement'!EG57+'Cash Flow Statement'!EF57</f>
      </c>
      <c r="FB108" s="2657">
        <f>'Cash Flow Statement'!EH50-'Cash Flow Statement'!EH57+'Cash Flow Statement'!EG57</f>
      </c>
      <c r="FC108" s="2657">
        <f>'Cash Flow Statement'!EI50-'Cash Flow Statement'!EI57+'Cash Flow Statement'!EH57</f>
      </c>
      <c r="FD108" s="2657">
        <f>'Cash Flow Statement'!EJ50-'Cash Flow Statement'!EJ57+'Cash Flow Statement'!EI57</f>
      </c>
      <c r="FE108" s="2657">
        <f>'Cash Flow Statement'!EK50-'Cash Flow Statement'!EK57+'Cash Flow Statement'!EJ57</f>
      </c>
    </row>
    <row r="109" spans="1:161" s="539" customFormat="1" outlineLevel="1">
      <c r="A109" s="540" t="s">
        <v>402</v>
      </c>
      <c r="B109" s="540"/>
      <c r="C109" s="540"/>
      <c r="D109" s="540"/>
    </row>
    <row r="110" spans="1:161" outlineLevel="2">
      <c r="B110" t="s">
        <v>403</v>
      </c>
      <c r="C110" t="s">
        <v>404</v>
      </c>
      <c r="D110" t="str">
        <f t="shared" ref="D110:D122" si="15">E_CURRENCY_ISSR_208000149_REP</f>
      </c>
      <c r="F110" s="2657"/>
      <c r="G110" s="2657"/>
      <c r="H110" s="2657"/>
      <c r="I110" s="2657"/>
      <c r="J110" s="2657"/>
      <c r="K110" s="2657"/>
      <c r="L110" s="2657"/>
      <c r="M110" s="2657"/>
      <c r="N110" s="2657"/>
      <c r="O110" s="2657"/>
      <c r="P110" s="2657"/>
      <c r="Q110" s="2657"/>
      <c r="R110" s="2657"/>
      <c r="S110" s="2657"/>
      <c r="T110" s="2657"/>
      <c r="U110" s="2657"/>
      <c r="V110" s="2657"/>
      <c r="W110" s="2657"/>
      <c r="X110" s="2657"/>
      <c r="Y110" s="2657"/>
      <c r="Z110" s="2657"/>
      <c r="AA110" s="2657"/>
      <c r="AB110" s="2657"/>
      <c r="AC110" s="2657"/>
      <c r="AD110" s="2657"/>
      <c r="AE110" s="2657"/>
      <c r="AF110" s="2657"/>
      <c r="AG110" s="2657"/>
      <c r="AH110" s="2657"/>
      <c r="AI110" s="2657"/>
      <c r="AJ110" s="2657"/>
      <c r="AK110" s="2657"/>
      <c r="AL110" s="2657"/>
      <c r="AM110" s="2657"/>
      <c r="AN110" s="2657"/>
      <c r="AO110" s="2657"/>
      <c r="AP110" s="2657"/>
      <c r="AQ110" s="2657"/>
      <c r="AR110" s="2657"/>
      <c r="AS110" s="2657"/>
      <c r="AT110" s="2657"/>
      <c r="AU110" s="2657"/>
      <c r="AV110" s="2657"/>
      <c r="AW110" s="2657"/>
      <c r="AX110" s="2657"/>
      <c r="AY110" s="2657"/>
      <c r="AZ110" s="2657"/>
      <c r="BA110" s="2657"/>
      <c r="BB110" s="2657"/>
      <c r="BC110" s="2657"/>
      <c r="BD110" s="2657"/>
      <c r="BE110" s="2657"/>
      <c r="BF110" s="2657"/>
      <c r="BG110" s="2657"/>
      <c r="BH110" s="2657"/>
      <c r="BI110" s="2657"/>
      <c r="BJ110" s="2657"/>
      <c r="BK110" s="2657"/>
      <c r="BL110" s="2657"/>
      <c r="BM110" s="2657"/>
      <c r="BN110" s="2657"/>
      <c r="BO110" s="2657"/>
      <c r="BP110" s="2657"/>
      <c r="BQ110" s="2657"/>
      <c r="BR110" s="2657"/>
      <c r="BS110" s="2657"/>
      <c r="BT110" s="2657"/>
      <c r="BU110" s="2657"/>
      <c r="BV110" s="2657"/>
      <c r="BW110" s="2657"/>
      <c r="BX110" s="2657"/>
      <c r="BY110" s="2657"/>
      <c r="BZ110" s="2657"/>
      <c r="CA110" s="2657"/>
      <c r="CB110" s="2657"/>
      <c r="CC110" s="2657"/>
      <c r="CD110" s="2657"/>
      <c r="CE110" s="2657"/>
      <c r="CF110" s="2657"/>
      <c r="CG110" s="2657"/>
      <c r="CH110" s="2657"/>
      <c r="CI110" s="2657"/>
      <c r="CJ110" s="2657"/>
      <c r="CK110" s="2657"/>
      <c r="CL110" s="2657"/>
      <c r="CM110" s="2657"/>
      <c r="CN110" s="2657"/>
      <c r="CO110" s="2657"/>
      <c r="CP110" s="2657"/>
      <c r="CQ110" s="2657"/>
      <c r="CR110" s="2657"/>
      <c r="CS110" s="2657"/>
      <c r="CT110" s="2657"/>
      <c r="CU110" s="2657"/>
      <c r="CV110" s="2657"/>
      <c r="CW110" s="2657"/>
      <c r="CX110" s="2657"/>
      <c r="CY110" s="2657"/>
      <c r="CZ110" s="2657"/>
      <c r="DA110" s="2657"/>
      <c r="DB110" s="2657"/>
      <c r="DC110" s="2657"/>
      <c r="DD110" s="2657"/>
      <c r="DE110" s="2657"/>
      <c r="DF110" s="2657"/>
      <c r="DG110" s="2657"/>
      <c r="DH110" s="2657"/>
      <c r="DI110" s="2657"/>
      <c r="DJ110" s="2657"/>
      <c r="DK110" s="2657"/>
      <c r="DL110" s="2657"/>
      <c r="DM110" s="2657"/>
      <c r="DN110" s="2657"/>
      <c r="DO110" s="2657"/>
      <c r="DP110" s="2657"/>
      <c r="DQ110" s="2657"/>
      <c r="DR110" s="2657"/>
      <c r="DS110" s="2657"/>
      <c r="DT110" s="2657"/>
      <c r="DU110" s="2657"/>
      <c r="DV110" s="2657"/>
      <c r="DW110" s="2657"/>
      <c r="DX110" s="2657"/>
      <c r="DY110" s="2657"/>
      <c r="DZ110" s="2657"/>
      <c r="EA110" s="2657"/>
      <c r="EB110" s="2657"/>
      <c r="EC110" s="2657"/>
      <c r="ED110" s="2657"/>
      <c r="EE110" s="2657"/>
      <c r="EF110" s="2657"/>
      <c r="EG110" s="2657"/>
      <c r="EH110" s="2657"/>
      <c r="EI110" s="2657"/>
      <c r="EJ110" s="2657"/>
      <c r="EK110" s="2657"/>
      <c r="EL110" s="2657"/>
      <c r="EM110" s="2657"/>
      <c r="EN110" s="2657"/>
      <c r="EO110" s="2657"/>
      <c r="EP110" s="2657"/>
      <c r="EQ110" s="2657"/>
      <c r="ER110" s="2657"/>
      <c r="ES110" s="2657"/>
      <c r="ET110" s="2657"/>
      <c r="EU110" s="2657"/>
      <c r="EV110" s="2657"/>
      <c r="EW110" s="2657"/>
      <c r="EX110" s="2657"/>
      <c r="EY110" s="2657"/>
      <c r="EZ110" s="2657"/>
      <c r="FA110" s="2657"/>
      <c r="FB110" s="2657"/>
      <c r="FC110" s="2657"/>
      <c r="FD110" s="2657"/>
      <c r="FE110" s="2657"/>
    </row>
    <row r="111" spans="1:161" outlineLevel="2">
      <c r="B111" t="s">
        <v>405</v>
      </c>
      <c r="C111" t="s">
        <v>406</v>
      </c>
      <c r="D111" t="str">
        <f t="shared" si="15"/>
      </c>
      <c r="F111" s="2657"/>
      <c r="G111" s="2657"/>
      <c r="H111" s="2657"/>
      <c r="I111" s="2657"/>
      <c r="J111" s="2657"/>
      <c r="K111" s="2657"/>
      <c r="L111" s="2657"/>
      <c r="M111" s="2657"/>
      <c r="N111" s="2657"/>
      <c r="O111" s="2657"/>
      <c r="P111" s="2657"/>
      <c r="Q111" s="2657"/>
      <c r="R111" s="2657"/>
      <c r="S111" s="2657"/>
      <c r="T111" s="2657"/>
      <c r="U111" s="2657"/>
      <c r="V111" s="2657"/>
      <c r="W111" s="2657"/>
      <c r="X111" s="2657"/>
      <c r="Y111" s="2657"/>
      <c r="Z111" s="2657"/>
      <c r="AA111" s="2657"/>
      <c r="AB111" s="2657"/>
      <c r="AC111" s="2657"/>
      <c r="AD111" s="2657"/>
      <c r="AE111" s="2657"/>
      <c r="AF111" s="2657"/>
      <c r="AG111" s="2657"/>
      <c r="AH111" s="2657"/>
      <c r="AI111" s="2657"/>
      <c r="AJ111" s="2657"/>
      <c r="AK111" s="2657"/>
      <c r="AL111" s="2657"/>
      <c r="AM111" s="2657"/>
      <c r="AN111" s="2657"/>
      <c r="AO111" s="2657"/>
      <c r="AP111" s="2657"/>
      <c r="AQ111" s="2657"/>
      <c r="AR111" s="2657"/>
      <c r="AS111" s="2657"/>
      <c r="AT111" s="2657"/>
      <c r="AU111" s="2657"/>
      <c r="AV111" s="2657"/>
      <c r="AW111" s="2657"/>
      <c r="AX111" s="2657"/>
      <c r="AY111" s="2657"/>
      <c r="AZ111" s="2657"/>
      <c r="BA111" s="2657"/>
      <c r="BB111" s="2657"/>
      <c r="BC111" s="2657"/>
      <c r="BD111" s="2657"/>
      <c r="BE111" s="2657"/>
      <c r="BF111" s="2657"/>
      <c r="BG111" s="2657"/>
      <c r="BH111" s="2657"/>
      <c r="BI111" s="2657"/>
      <c r="BJ111" s="2657"/>
      <c r="BK111" s="2657"/>
      <c r="BL111" s="2657"/>
      <c r="BM111" s="2657"/>
      <c r="BN111" s="2657"/>
      <c r="BO111" s="2657"/>
      <c r="BP111" s="2657"/>
      <c r="BQ111" s="2657"/>
      <c r="BR111" s="2657"/>
      <c r="BS111" s="2657"/>
      <c r="BT111" s="2657"/>
      <c r="BU111" s="2657"/>
      <c r="BV111" s="2657"/>
      <c r="BW111" s="2657"/>
      <c r="BX111" s="2657"/>
      <c r="BY111" s="2657"/>
      <c r="BZ111" s="2657"/>
      <c r="CA111" s="2657"/>
      <c r="CB111" s="2657"/>
      <c r="CC111" s="2657"/>
      <c r="CD111" s="2657"/>
      <c r="CE111" s="2657"/>
      <c r="CF111" s="2657"/>
      <c r="CG111" s="2657"/>
      <c r="CH111" s="2657"/>
      <c r="CI111" s="2657"/>
      <c r="CJ111" s="2657"/>
      <c r="CK111" s="2657"/>
      <c r="CL111" s="2657"/>
      <c r="CM111" s="2657"/>
      <c r="CN111" s="2657"/>
      <c r="CO111" s="2657"/>
      <c r="CP111" s="2657"/>
      <c r="CQ111" s="2657"/>
      <c r="CR111" s="2657"/>
      <c r="CS111" s="2657"/>
      <c r="CT111" s="2657"/>
      <c r="CU111" s="2657"/>
      <c r="CV111" s="2657"/>
      <c r="CW111" s="2657"/>
      <c r="CX111" s="2657"/>
      <c r="CY111" s="2657"/>
      <c r="CZ111" s="2657"/>
      <c r="DA111" s="2657"/>
      <c r="DB111" s="2657"/>
      <c r="DC111" s="2657"/>
      <c r="DD111" s="2657"/>
      <c r="DE111" s="2657"/>
      <c r="DF111" s="2657"/>
      <c r="DG111" s="2657"/>
      <c r="DH111" s="2657"/>
      <c r="DI111" s="2657"/>
      <c r="DJ111" s="2657"/>
      <c r="DK111" s="2657"/>
      <c r="DL111" s="2657"/>
      <c r="DM111" s="2657"/>
      <c r="DN111" s="2657"/>
      <c r="DO111" s="2657"/>
      <c r="DP111" s="2657"/>
      <c r="DQ111" s="2657"/>
      <c r="DR111" s="2657"/>
      <c r="DS111" s="2657"/>
      <c r="DT111" s="2657"/>
      <c r="DU111" s="2657"/>
      <c r="DV111" s="2657"/>
      <c r="DW111" s="2657"/>
      <c r="DX111" s="2657"/>
      <c r="DY111" s="2657"/>
      <c r="DZ111" s="2657"/>
      <c r="EA111" s="2657"/>
      <c r="EB111" s="2657"/>
      <c r="EC111" s="2657"/>
      <c r="ED111" s="2657"/>
      <c r="EE111" s="2657"/>
      <c r="EF111" s="2657"/>
      <c r="EG111" s="2657"/>
      <c r="EH111" s="2657"/>
      <c r="EI111" s="2657"/>
      <c r="EJ111" s="2657"/>
      <c r="EK111" s="2657"/>
      <c r="EL111" s="2657"/>
      <c r="EM111" s="2657"/>
      <c r="EN111" s="2657"/>
      <c r="EO111" s="2657"/>
      <c r="EP111" s="2657"/>
      <c r="EQ111" s="2657"/>
      <c r="ER111" s="2657"/>
      <c r="ES111" s="2657"/>
      <c r="ET111" s="2657"/>
      <c r="EU111" s="2657"/>
      <c r="EV111" s="2657"/>
      <c r="EW111" s="2657"/>
      <c r="EX111" s="2657"/>
      <c r="EY111" s="2657"/>
      <c r="EZ111" s="2657"/>
      <c r="FA111" s="2657"/>
      <c r="FB111" s="2657"/>
      <c r="FC111" s="2657"/>
      <c r="FD111" s="2657"/>
      <c r="FE111" s="2657"/>
    </row>
    <row r="112" spans="1:161" outlineLevel="2">
      <c r="B112" t="s">
        <v>407</v>
      </c>
      <c r="C112" t="s">
        <v>408</v>
      </c>
      <c r="D112" t="str">
        <f t="shared" si="15"/>
      </c>
      <c r="F112" s="2657"/>
      <c r="G112" s="2657"/>
      <c r="H112" s="2657"/>
      <c r="I112" s="2657"/>
      <c r="J112" s="2657"/>
      <c r="K112" s="2657"/>
      <c r="L112" s="2657"/>
      <c r="M112" s="2657"/>
      <c r="N112" s="2657"/>
      <c r="O112" s="2657"/>
      <c r="P112" s="2657"/>
      <c r="Q112" s="2657"/>
      <c r="R112" s="2657"/>
      <c r="S112" s="2657"/>
      <c r="T112" s="2657"/>
      <c r="U112" s="2657"/>
      <c r="V112" s="2657"/>
      <c r="W112" s="2657"/>
      <c r="X112" s="2657"/>
      <c r="Y112" s="2657"/>
      <c r="Z112" s="2657"/>
      <c r="AA112" s="2657"/>
      <c r="AB112" s="2657"/>
      <c r="AC112" s="2657"/>
      <c r="AD112" s="2657"/>
      <c r="AE112" s="2657"/>
      <c r="AF112" s="2657"/>
      <c r="AG112" s="2657"/>
      <c r="AH112" s="2657"/>
      <c r="AI112" s="2657"/>
      <c r="AJ112" s="2657"/>
      <c r="AK112" s="2657"/>
      <c r="AL112" s="2657"/>
      <c r="AM112" s="2657"/>
      <c r="AN112" s="2657"/>
      <c r="AO112" s="2657"/>
      <c r="AP112" s="2657"/>
      <c r="AQ112" s="2657"/>
      <c r="AR112" s="2657"/>
      <c r="AS112" s="2657"/>
      <c r="AT112" s="2657"/>
      <c r="AU112" s="2657"/>
      <c r="AV112" s="2657"/>
      <c r="AW112" s="2657"/>
      <c r="AX112" s="2657"/>
      <c r="AY112" s="2657"/>
      <c r="AZ112" s="2657"/>
      <c r="BA112" s="2657"/>
      <c r="BB112" s="2657"/>
      <c r="BC112" s="2657"/>
      <c r="BD112" s="2657"/>
      <c r="BE112" s="2657"/>
      <c r="BF112" s="2657"/>
      <c r="BG112" s="2657"/>
      <c r="BH112" s="2657"/>
      <c r="BI112" s="2657"/>
      <c r="BJ112" s="2657"/>
      <c r="BK112" s="2657"/>
      <c r="BL112" s="2657"/>
      <c r="BM112" s="2657"/>
      <c r="BN112" s="2657"/>
      <c r="BO112" s="2657"/>
      <c r="BP112" s="2657"/>
      <c r="BQ112" s="2657"/>
      <c r="BR112" s="2657"/>
      <c r="BS112" s="2657"/>
      <c r="BT112" s="2657"/>
      <c r="BU112" s="2657"/>
      <c r="BV112" s="2657"/>
      <c r="BW112" s="2657"/>
      <c r="BX112" s="2657"/>
      <c r="BY112" s="2657"/>
      <c r="BZ112" s="2657"/>
      <c r="CA112" s="2657"/>
      <c r="CB112" s="2657"/>
      <c r="CC112" s="2657"/>
      <c r="CD112" s="2657"/>
      <c r="CE112" s="2657"/>
      <c r="CF112" s="2657"/>
      <c r="CG112" s="2657"/>
      <c r="CH112" s="2657"/>
      <c r="CI112" s="2657"/>
      <c r="CJ112" s="2657"/>
      <c r="CK112" s="2657"/>
      <c r="CL112" s="2657"/>
      <c r="CM112" s="2657"/>
      <c r="CN112" s="2657"/>
      <c r="CO112" s="2657"/>
      <c r="CP112" s="2657"/>
      <c r="CQ112" s="2657"/>
      <c r="CR112" s="2657"/>
      <c r="CS112" s="2657"/>
      <c r="CT112" s="2657"/>
      <c r="CU112" s="2657"/>
      <c r="CV112" s="2657"/>
      <c r="CW112" s="2657"/>
      <c r="CX112" s="2657"/>
      <c r="CY112" s="2657"/>
      <c r="CZ112" s="2657"/>
      <c r="DA112" s="2657"/>
      <c r="DB112" s="2657"/>
      <c r="DC112" s="2657"/>
      <c r="DD112" s="2657"/>
      <c r="DE112" s="2657"/>
      <c r="DF112" s="2657"/>
      <c r="DG112" s="2657"/>
      <c r="DH112" s="2657"/>
      <c r="DI112" s="2657"/>
      <c r="DJ112" s="2657"/>
      <c r="DK112" s="2657"/>
      <c r="DL112" s="2657"/>
      <c r="DM112" s="2657"/>
      <c r="DN112" s="2657"/>
      <c r="DO112" s="2657"/>
      <c r="DP112" s="2657"/>
      <c r="DQ112" s="2657"/>
      <c r="DR112" s="2657"/>
      <c r="DS112" s="2657"/>
      <c r="DT112" s="2657"/>
      <c r="DU112" s="2657"/>
      <c r="DV112" s="2657"/>
      <c r="DW112" s="2657"/>
      <c r="DX112" s="2657"/>
      <c r="DY112" s="2657"/>
      <c r="DZ112" s="2657"/>
      <c r="EA112" s="2657"/>
      <c r="EB112" s="2657"/>
      <c r="EC112" s="2657"/>
      <c r="ED112" s="2657"/>
      <c r="EE112" s="2657"/>
      <c r="EF112" s="2657"/>
      <c r="EG112" s="2657"/>
      <c r="EH112" s="2657"/>
      <c r="EI112" s="2657"/>
      <c r="EJ112" s="2657"/>
      <c r="EK112" s="2657"/>
      <c r="EL112" s="2657"/>
      <c r="EM112" s="2657"/>
      <c r="EN112" s="2657"/>
      <c r="EO112" s="2657"/>
      <c r="EP112" s="2657"/>
      <c r="EQ112" s="2657"/>
      <c r="ER112" s="2657"/>
      <c r="ES112" s="2657"/>
      <c r="ET112" s="2657"/>
      <c r="EU112" s="2657"/>
      <c r="EV112" s="2657"/>
      <c r="EW112" s="2657"/>
      <c r="EX112" s="2657"/>
      <c r="EY112" s="2657"/>
      <c r="EZ112" s="2657"/>
      <c r="FA112" s="2657"/>
      <c r="FB112" s="2657"/>
      <c r="FC112" s="2657"/>
      <c r="FD112" s="2657"/>
      <c r="FE112" s="2657"/>
    </row>
    <row r="113" spans="1:161" outlineLevel="2">
      <c r="B113" t="s">
        <v>409</v>
      </c>
      <c r="C113" t="s">
        <v>410</v>
      </c>
      <c r="D113" t="str">
        <f t="shared" si="15"/>
      </c>
      <c r="F113" s="2657"/>
      <c r="G113" s="2657"/>
      <c r="H113" s="2657"/>
      <c r="I113" s="2657"/>
      <c r="J113" s="2657"/>
      <c r="K113" s="2657"/>
      <c r="L113" s="2657"/>
      <c r="M113" s="2657"/>
      <c r="N113" s="2657"/>
      <c r="O113" s="2657"/>
      <c r="P113" s="2657"/>
      <c r="Q113" s="2657"/>
      <c r="R113" s="2657"/>
      <c r="S113" s="2657"/>
      <c r="T113" s="2657"/>
      <c r="U113" s="2657"/>
      <c r="V113" s="2657"/>
      <c r="W113" s="2657"/>
      <c r="X113" s="2657"/>
      <c r="Y113" s="2657"/>
      <c r="Z113" s="2657"/>
      <c r="AA113" s="2657"/>
      <c r="AB113" s="2657"/>
      <c r="AC113" s="2657"/>
      <c r="AD113" s="2657"/>
      <c r="AE113" s="2657"/>
      <c r="AF113" s="2657"/>
      <c r="AG113" s="2657"/>
      <c r="AH113" s="2657"/>
      <c r="AI113" s="2657"/>
      <c r="AJ113" s="2657"/>
      <c r="AK113" s="2657"/>
      <c r="AL113" s="2657"/>
      <c r="AM113" s="2657"/>
      <c r="AN113" s="2657"/>
      <c r="AO113" s="2657"/>
      <c r="AP113" s="2657"/>
      <c r="AQ113" s="2657"/>
      <c r="AR113" s="2657"/>
      <c r="AS113" s="2657"/>
      <c r="AT113" s="2657"/>
      <c r="AU113" s="2657"/>
      <c r="AV113" s="2657"/>
      <c r="AW113" s="2657"/>
      <c r="AX113" s="2657"/>
      <c r="AY113" s="2657"/>
      <c r="AZ113" s="2657"/>
      <c r="BA113" s="2657"/>
      <c r="BB113" s="2657"/>
      <c r="BC113" s="2657"/>
      <c r="BD113" s="2657"/>
      <c r="BE113" s="2657"/>
      <c r="BF113" s="2657"/>
      <c r="BG113" s="2657"/>
      <c r="BH113" s="2657"/>
      <c r="BI113" s="2657"/>
      <c r="BJ113" s="2657"/>
      <c r="BK113" s="2657"/>
      <c r="BL113" s="2657"/>
      <c r="BM113" s="2657"/>
      <c r="BN113" s="2657"/>
      <c r="BO113" s="2657"/>
      <c r="BP113" s="2657"/>
      <c r="BQ113" s="2657"/>
      <c r="BR113" s="2657"/>
      <c r="BS113" s="2657"/>
      <c r="BT113" s="2657"/>
      <c r="BU113" s="2657"/>
      <c r="BV113" s="2657"/>
      <c r="BW113" s="2657"/>
      <c r="BX113" s="2657"/>
      <c r="BY113" s="2657"/>
      <c r="BZ113" s="2657"/>
      <c r="CA113" s="2657"/>
      <c r="CB113" s="2657"/>
      <c r="CC113" s="2657"/>
      <c r="CD113" s="2657"/>
      <c r="CE113" s="2657"/>
      <c r="CF113" s="2657"/>
      <c r="CG113" s="2657"/>
      <c r="CH113" s="2657"/>
      <c r="CI113" s="2657"/>
      <c r="CJ113" s="2657"/>
      <c r="CK113" s="2657"/>
      <c r="CL113" s="2657"/>
      <c r="CM113" s="2657"/>
      <c r="CN113" s="2657"/>
      <c r="CO113" s="2657"/>
      <c r="CP113" s="2657"/>
      <c r="CQ113" s="2657"/>
      <c r="CR113" s="2657"/>
      <c r="CS113" s="2657"/>
      <c r="CT113" s="2657"/>
      <c r="CU113" s="2657"/>
      <c r="CV113" s="2657"/>
      <c r="CW113" s="2657"/>
      <c r="CX113" s="2657"/>
      <c r="CY113" s="2657"/>
      <c r="CZ113" s="2657"/>
      <c r="DA113" s="2657"/>
      <c r="DB113" s="2657"/>
      <c r="DC113" s="2657"/>
      <c r="DD113" s="2657"/>
      <c r="DE113" s="2657"/>
      <c r="DF113" s="2657"/>
      <c r="DG113" s="2657"/>
      <c r="DH113" s="2657"/>
      <c r="DI113" s="2657"/>
      <c r="DJ113" s="2657"/>
      <c r="DK113" s="2657"/>
      <c r="DL113" s="2657"/>
      <c r="DM113" s="2657"/>
      <c r="DN113" s="2657"/>
      <c r="DO113" s="2657"/>
      <c r="DP113" s="2657"/>
      <c r="DQ113" s="2657"/>
      <c r="DR113" s="2657"/>
      <c r="DS113" s="2657"/>
      <c r="DT113" s="2657"/>
      <c r="DU113" s="2657"/>
      <c r="DV113" s="2657"/>
      <c r="DW113" s="2657"/>
      <c r="DX113" s="2657"/>
      <c r="DY113" s="2657"/>
      <c r="DZ113" s="2657"/>
      <c r="EA113" s="2657"/>
      <c r="EB113" s="2657"/>
      <c r="EC113" s="2657"/>
      <c r="ED113" s="2657"/>
      <c r="EE113" s="2657"/>
      <c r="EF113" s="2657"/>
      <c r="EG113" s="2657"/>
      <c r="EH113" s="2657"/>
      <c r="EI113" s="2657"/>
      <c r="EJ113" s="2657"/>
      <c r="EK113" s="2657"/>
      <c r="EL113" s="2657"/>
      <c r="EM113" s="2657"/>
      <c r="EN113" s="2657"/>
      <c r="EO113" s="2657"/>
      <c r="EP113" s="2657"/>
      <c r="EQ113" s="2657"/>
      <c r="ER113" s="2657"/>
      <c r="ES113" s="2657"/>
      <c r="ET113" s="2657"/>
      <c r="EU113" s="2657"/>
      <c r="EV113" s="2657"/>
      <c r="EW113" s="2657"/>
      <c r="EX113" s="2657"/>
      <c r="EY113" s="2657"/>
      <c r="EZ113" s="2657"/>
      <c r="FA113" s="2657"/>
      <c r="FB113" s="2657"/>
      <c r="FC113" s="2657"/>
      <c r="FD113" s="2657"/>
      <c r="FE113" s="2657"/>
    </row>
    <row r="114" spans="1:161" outlineLevel="2">
      <c r="B114" t="s">
        <v>411</v>
      </c>
      <c r="C114" t="s">
        <v>412</v>
      </c>
      <c r="D114" t="str">
        <f t="shared" si="15"/>
      </c>
      <c r="F114" s="2657"/>
      <c r="G114" s="2657"/>
      <c r="H114" s="2657"/>
      <c r="I114" s="2657"/>
      <c r="J114" s="2657"/>
      <c r="K114" s="2657"/>
      <c r="L114" s="2657"/>
      <c r="M114" s="2657"/>
      <c r="N114" s="2657"/>
      <c r="O114" s="2657"/>
      <c r="P114" s="2657"/>
      <c r="Q114" s="2657"/>
      <c r="R114" s="2657"/>
      <c r="S114" s="2657"/>
      <c r="T114" s="2657"/>
      <c r="U114" s="2657"/>
      <c r="V114" s="2657"/>
      <c r="W114" s="2657"/>
      <c r="X114" s="2657"/>
      <c r="Y114" s="2657"/>
      <c r="Z114" s="2657"/>
      <c r="AA114" s="2657"/>
      <c r="AB114" s="2657"/>
      <c r="AC114" s="2657"/>
      <c r="AD114" s="2657"/>
      <c r="AE114" s="2657"/>
      <c r="AF114" s="2657"/>
      <c r="AG114" s="2657"/>
      <c r="AH114" s="2657"/>
      <c r="AI114" s="2657"/>
      <c r="AJ114" s="2657"/>
      <c r="AK114" s="2657"/>
      <c r="AL114" s="2657"/>
      <c r="AM114" s="2657"/>
      <c r="AN114" s="2657"/>
      <c r="AO114" s="2657"/>
      <c r="AP114" s="2657"/>
      <c r="AQ114" s="2657"/>
      <c r="AR114" s="2657"/>
      <c r="AS114" s="2657"/>
      <c r="AT114" s="2657"/>
      <c r="AU114" s="2657"/>
      <c r="AV114" s="2657"/>
      <c r="AW114" s="2657"/>
      <c r="AX114" s="2657"/>
      <c r="AY114" s="2657"/>
      <c r="AZ114" s="2657"/>
      <c r="BA114" s="2657"/>
      <c r="BB114" s="2657"/>
      <c r="BC114" s="2657"/>
      <c r="BD114" s="2657"/>
      <c r="BE114" s="2657"/>
      <c r="BF114" s="2657"/>
      <c r="BG114" s="2657"/>
      <c r="BH114" s="2657"/>
      <c r="BI114" s="2657"/>
      <c r="BJ114" s="2657"/>
      <c r="BK114" s="2657"/>
      <c r="BL114" s="2657"/>
      <c r="BM114" s="2657"/>
      <c r="BN114" s="2657"/>
      <c r="BO114" s="2657"/>
      <c r="BP114" s="2657"/>
      <c r="BQ114" s="2657"/>
      <c r="BR114" s="2657"/>
      <c r="BS114" s="2657"/>
      <c r="BT114" s="2657"/>
      <c r="BU114" s="2657"/>
      <c r="BV114" s="2657"/>
      <c r="BW114" s="2657"/>
      <c r="BX114" s="2657"/>
      <c r="BY114" s="2657"/>
      <c r="BZ114" s="2657"/>
      <c r="CA114" s="2657"/>
      <c r="CB114" s="2657"/>
      <c r="CC114" s="2657"/>
      <c r="CD114" s="2657"/>
      <c r="CE114" s="2657"/>
      <c r="CF114" s="2657"/>
      <c r="CG114" s="2657"/>
      <c r="CH114" s="2657"/>
      <c r="CI114" s="2657"/>
      <c r="CJ114" s="2657"/>
      <c r="CK114" s="2657"/>
      <c r="CL114" s="2657"/>
      <c r="CM114" s="2657"/>
      <c r="CN114" s="2657"/>
      <c r="CO114" s="2657"/>
      <c r="CP114" s="2657"/>
      <c r="CQ114" s="2657"/>
      <c r="CR114" s="2657"/>
      <c r="CS114" s="2657"/>
      <c r="CT114" s="2657"/>
      <c r="CU114" s="2657"/>
      <c r="CV114" s="2657"/>
      <c r="CW114" s="2657"/>
      <c r="CX114" s="2657"/>
      <c r="CY114" s="2657"/>
      <c r="CZ114" s="2657"/>
      <c r="DA114" s="2657"/>
      <c r="DB114" s="2657"/>
      <c r="DC114" s="2657"/>
      <c r="DD114" s="2657"/>
      <c r="DE114" s="2657"/>
      <c r="DF114" s="2657"/>
      <c r="DG114" s="2657"/>
      <c r="DH114" s="2657"/>
      <c r="DI114" s="2657"/>
      <c r="DJ114" s="2657"/>
      <c r="DK114" s="2657"/>
      <c r="DL114" s="2657"/>
      <c r="DM114" s="2657"/>
      <c r="DN114" s="2657"/>
      <c r="DO114" s="2657"/>
      <c r="DP114" s="2657"/>
      <c r="DQ114" s="2657"/>
      <c r="DR114" s="2657"/>
      <c r="DS114" s="2657"/>
      <c r="DT114" s="2657"/>
      <c r="DU114" s="2657"/>
      <c r="DV114" s="2657"/>
      <c r="DW114" s="2657"/>
      <c r="DX114" s="2657"/>
      <c r="DY114" s="2657"/>
      <c r="DZ114" s="2657"/>
      <c r="EA114" s="2657"/>
      <c r="EB114" s="2657"/>
      <c r="EC114" s="2657"/>
      <c r="ED114" s="2657"/>
      <c r="EE114" s="2657"/>
      <c r="EF114" s="2657"/>
      <c r="EG114" s="2657"/>
      <c r="EH114" s="2657"/>
      <c r="EI114" s="2657"/>
      <c r="EJ114" s="2657"/>
      <c r="EK114" s="2657"/>
      <c r="EL114" s="2657"/>
      <c r="EM114" s="2657"/>
      <c r="EN114" s="2657"/>
      <c r="EO114" s="2657"/>
      <c r="EP114" s="2657"/>
      <c r="EQ114" s="2657"/>
      <c r="ER114" s="2657"/>
      <c r="ES114" s="2657"/>
      <c r="ET114" s="2657"/>
      <c r="EU114" s="2657"/>
      <c r="EV114" s="2657"/>
      <c r="EW114" s="2657"/>
      <c r="EX114" s="2657"/>
      <c r="EY114" s="2657"/>
      <c r="EZ114" s="2657"/>
      <c r="FA114" s="2657"/>
      <c r="FB114" s="2657"/>
      <c r="FC114" s="2657"/>
      <c r="FD114" s="2657"/>
      <c r="FE114" s="2657"/>
    </row>
    <row r="115" spans="1:161" outlineLevel="2">
      <c r="B115" t="s">
        <v>413</v>
      </c>
      <c r="C115" t="s">
        <v>414</v>
      </c>
      <c r="D115" t="str">
        <f t="shared" si="15"/>
      </c>
      <c r="F115" s="2657"/>
      <c r="G115" s="2657"/>
      <c r="H115" s="2657"/>
      <c r="I115" s="2657"/>
      <c r="J115" s="2657"/>
      <c r="K115" s="2657"/>
      <c r="L115" s="2657"/>
      <c r="M115" s="2657"/>
      <c r="N115" s="2657"/>
      <c r="O115" s="2657"/>
      <c r="P115" s="2657"/>
      <c r="Q115" s="2657"/>
      <c r="R115" s="2657"/>
      <c r="S115" s="2657"/>
      <c r="T115" s="2657"/>
      <c r="U115" s="2657"/>
      <c r="V115" s="2657"/>
      <c r="W115" s="2657"/>
      <c r="X115" s="2657"/>
      <c r="Y115" s="2657"/>
      <c r="Z115" s="2657"/>
      <c r="AA115" s="2657"/>
      <c r="AB115" s="2657"/>
      <c r="AC115" s="2657"/>
      <c r="AD115" s="2657"/>
      <c r="AE115" s="2657"/>
      <c r="AF115" s="2657"/>
      <c r="AG115" s="2657"/>
      <c r="AH115" s="2657"/>
      <c r="AI115" s="2657"/>
      <c r="AJ115" s="2657"/>
      <c r="AK115" s="2657"/>
      <c r="AL115" s="2657"/>
      <c r="AM115" s="2657"/>
      <c r="AN115" s="2657"/>
      <c r="AO115" s="2657"/>
      <c r="AP115" s="2657"/>
      <c r="AQ115" s="2657"/>
      <c r="AR115" s="2657"/>
      <c r="AS115" s="2657"/>
      <c r="AT115" s="2657"/>
      <c r="AU115" s="2657"/>
      <c r="AV115" s="2657"/>
      <c r="AW115" s="2657"/>
      <c r="AX115" s="2657"/>
      <c r="AY115" s="2657"/>
      <c r="AZ115" s="2657"/>
      <c r="BA115" s="2657"/>
      <c r="BB115" s="2657"/>
      <c r="BC115" s="2657"/>
      <c r="BD115" s="2657"/>
      <c r="BE115" s="2657"/>
      <c r="BF115" s="2657"/>
      <c r="BG115" s="2657"/>
      <c r="BH115" s="2657"/>
      <c r="BI115" s="2657"/>
      <c r="BJ115" s="2657"/>
      <c r="BK115" s="2657"/>
      <c r="BL115" s="2657"/>
      <c r="BM115" s="2657"/>
      <c r="BN115" s="2657"/>
      <c r="BO115" s="2657"/>
      <c r="BP115" s="2657"/>
      <c r="BQ115" s="2657"/>
      <c r="BR115" s="2657"/>
      <c r="BS115" s="2657"/>
      <c r="BT115" s="2657"/>
      <c r="BU115" s="2657"/>
      <c r="BV115" s="2657"/>
      <c r="BW115" s="2657"/>
      <c r="BX115" s="2657"/>
      <c r="BY115" s="2657"/>
      <c r="BZ115" s="2657"/>
      <c r="CA115" s="2657"/>
      <c r="CB115" s="2657"/>
      <c r="CC115" s="2657"/>
      <c r="CD115" s="2657"/>
      <c r="CE115" s="2657"/>
      <c r="CF115" s="2657"/>
      <c r="CG115" s="2657"/>
      <c r="CH115" s="2657"/>
      <c r="CI115" s="2657"/>
      <c r="CJ115" s="2657"/>
      <c r="CK115" s="2657"/>
      <c r="CL115" s="2657"/>
      <c r="CM115" s="2657"/>
      <c r="CN115" s="2657"/>
      <c r="CO115" s="2657"/>
      <c r="CP115" s="2657"/>
      <c r="CQ115" s="2657"/>
      <c r="CR115" s="2657"/>
      <c r="CS115" s="2657"/>
      <c r="CT115" s="2657"/>
      <c r="CU115" s="2657"/>
      <c r="CV115" s="2657"/>
      <c r="CW115" s="2657"/>
      <c r="CX115" s="2657"/>
      <c r="CY115" s="2657"/>
      <c r="CZ115" s="2657"/>
      <c r="DA115" s="2657"/>
      <c r="DB115" s="2657"/>
      <c r="DC115" s="2657"/>
      <c r="DD115" s="2657"/>
      <c r="DE115" s="2657"/>
      <c r="DF115" s="2657"/>
      <c r="DG115" s="2657"/>
      <c r="DH115" s="2657"/>
      <c r="DI115" s="2657"/>
      <c r="DJ115" s="2657"/>
      <c r="DK115" s="2657"/>
      <c r="DL115" s="2657"/>
      <c r="DM115" s="2657"/>
      <c r="DN115" s="2657"/>
      <c r="DO115" s="2657"/>
      <c r="DP115" s="2657"/>
      <c r="DQ115" s="2657"/>
      <c r="DR115" s="2657"/>
      <c r="DS115" s="2657"/>
      <c r="DT115" s="2657"/>
      <c r="DU115" s="2657"/>
      <c r="DV115" s="2657"/>
      <c r="DW115" s="2657"/>
      <c r="DX115" s="2657"/>
      <c r="DY115" s="2657"/>
      <c r="DZ115" s="2657"/>
      <c r="EA115" s="2657"/>
      <c r="EB115" s="2657"/>
      <c r="EC115" s="2657"/>
      <c r="ED115" s="2657"/>
      <c r="EE115" s="2657"/>
      <c r="EF115" s="2657"/>
      <c r="EG115" s="2657"/>
      <c r="EH115" s="2657"/>
      <c r="EI115" s="2657"/>
      <c r="EJ115" s="2657"/>
      <c r="EK115" s="2657"/>
      <c r="EL115" s="2657"/>
      <c r="EM115" s="2657"/>
      <c r="EN115" s="2657"/>
      <c r="EO115" s="2657"/>
      <c r="EP115" s="2657"/>
      <c r="EQ115" s="2657"/>
      <c r="ER115" s="2657"/>
      <c r="ES115" s="2657"/>
      <c r="ET115" s="2657"/>
      <c r="EU115" s="2657"/>
      <c r="EV115" s="2657"/>
      <c r="EW115" s="2657"/>
      <c r="EX115" s="2657"/>
      <c r="EY115" s="2657"/>
      <c r="EZ115" s="2657"/>
      <c r="FA115" s="2657"/>
      <c r="FB115" s="2657"/>
      <c r="FC115" s="2657"/>
      <c r="FD115" s="2657"/>
      <c r="FE115" s="2657"/>
    </row>
    <row r="116" spans="1:161" outlineLevel="2">
      <c r="B116" t="s">
        <v>415</v>
      </c>
      <c r="C116" t="s">
        <v>416</v>
      </c>
      <c r="D116" t="str">
        <f t="shared" si="15"/>
      </c>
      <c r="F116" s="2657"/>
      <c r="G116" s="2657"/>
      <c r="H116" s="2657"/>
      <c r="I116" s="2657"/>
      <c r="J116" s="2657"/>
      <c r="K116" s="2657"/>
      <c r="L116" s="2657"/>
      <c r="M116" s="2657"/>
      <c r="N116" s="2657"/>
      <c r="O116" s="2657"/>
      <c r="P116" s="2657"/>
      <c r="Q116" s="2657"/>
      <c r="R116" s="2657"/>
      <c r="S116" s="2657"/>
      <c r="T116" s="2657"/>
      <c r="U116" s="2657"/>
      <c r="V116" s="2657"/>
      <c r="W116" s="2657"/>
      <c r="X116" s="2657"/>
      <c r="Y116" s="2657"/>
      <c r="Z116" s="2657"/>
      <c r="AA116" s="2657"/>
      <c r="AB116" s="2657"/>
      <c r="AC116" s="2657"/>
      <c r="AD116" s="2657"/>
      <c r="AE116" s="2657"/>
      <c r="AF116" s="2657"/>
      <c r="AG116" s="2657"/>
      <c r="AH116" s="2657"/>
      <c r="AI116" s="2657"/>
      <c r="AJ116" s="2657"/>
      <c r="AK116" s="2657"/>
      <c r="AL116" s="2657"/>
      <c r="AM116" s="2657"/>
      <c r="AN116" s="2657"/>
      <c r="AO116" s="2657"/>
      <c r="AP116" s="2657"/>
      <c r="AQ116" s="2657"/>
      <c r="AR116" s="2657"/>
      <c r="AS116" s="2657"/>
      <c r="AT116" s="2657"/>
      <c r="AU116" s="2657"/>
      <c r="AV116" s="2657"/>
      <c r="AW116" s="2657"/>
      <c r="AX116" s="2657"/>
      <c r="AY116" s="2657"/>
      <c r="AZ116" s="2657"/>
      <c r="BA116" s="2657"/>
      <c r="BB116" s="2657"/>
      <c r="BC116" s="2657"/>
      <c r="BD116" s="2657"/>
      <c r="BE116" s="2657"/>
      <c r="BF116" s="2657"/>
      <c r="BG116" s="2657"/>
      <c r="BH116" s="2657"/>
      <c r="BI116" s="2657"/>
      <c r="BJ116" s="2657"/>
      <c r="BK116" s="2657"/>
      <c r="BL116" s="2657"/>
      <c r="BM116" s="2657"/>
      <c r="BN116" s="2657"/>
      <c r="BO116" s="2657"/>
      <c r="BP116" s="2657"/>
      <c r="BQ116" s="2657"/>
      <c r="BR116" s="2657"/>
      <c r="BS116" s="2657"/>
      <c r="BT116" s="2657"/>
      <c r="BU116" s="2657"/>
      <c r="BV116" s="2657"/>
      <c r="BW116" s="2657"/>
      <c r="BX116" s="2657"/>
      <c r="BY116" s="2657"/>
      <c r="BZ116" s="2657"/>
      <c r="CA116" s="2657"/>
      <c r="CB116" s="2657"/>
      <c r="CC116" s="2657"/>
      <c r="CD116" s="2657"/>
      <c r="CE116" s="2657"/>
      <c r="CF116" s="2657"/>
      <c r="CG116" s="2657"/>
      <c r="CH116" s="2657"/>
      <c r="CI116" s="2657"/>
      <c r="CJ116" s="2657"/>
      <c r="CK116" s="2657"/>
      <c r="CL116" s="2657"/>
      <c r="CM116" s="2657"/>
      <c r="CN116" s="2657"/>
      <c r="CO116" s="2657"/>
      <c r="CP116" s="2657"/>
      <c r="CQ116" s="2657"/>
      <c r="CR116" s="2657"/>
      <c r="CS116" s="2657"/>
      <c r="CT116" s="2657"/>
      <c r="CU116" s="2657"/>
      <c r="CV116" s="2657"/>
      <c r="CW116" s="2657"/>
      <c r="CX116" s="2657"/>
      <c r="CY116" s="2657"/>
      <c r="CZ116" s="2657"/>
      <c r="DA116" s="2657"/>
      <c r="DB116" s="2657"/>
      <c r="DC116" s="2657"/>
      <c r="DD116" s="2657"/>
      <c r="DE116" s="2657"/>
      <c r="DF116" s="2657"/>
      <c r="DG116" s="2657"/>
      <c r="DH116" s="2657"/>
      <c r="DI116" s="2657"/>
      <c r="DJ116" s="2657"/>
      <c r="DK116" s="2657"/>
      <c r="DL116" s="2657"/>
      <c r="DM116" s="2657"/>
      <c r="DN116" s="2657"/>
      <c r="DO116" s="2657"/>
      <c r="DP116" s="2657"/>
      <c r="DQ116" s="2657"/>
      <c r="DR116" s="2657"/>
      <c r="DS116" s="2657"/>
      <c r="DT116" s="2657"/>
      <c r="DU116" s="2657"/>
      <c r="DV116" s="2657"/>
      <c r="DW116" s="2657"/>
      <c r="DX116" s="2657"/>
      <c r="DY116" s="2657"/>
      <c r="DZ116" s="2657"/>
      <c r="EA116" s="2657"/>
      <c r="EB116" s="2657"/>
      <c r="EC116" s="2657"/>
      <c r="ED116" s="2657"/>
      <c r="EE116" s="2657"/>
      <c r="EF116" s="2657"/>
      <c r="EG116" s="2657"/>
      <c r="EH116" s="2657"/>
      <c r="EI116" s="2657"/>
      <c r="EJ116" s="2657"/>
      <c r="EK116" s="2657"/>
      <c r="EL116" s="2657"/>
      <c r="EM116" s="2657"/>
      <c r="EN116" s="2657"/>
      <c r="EO116" s="2657"/>
      <c r="EP116" s="2657"/>
      <c r="EQ116" s="2657"/>
      <c r="ER116" s="2657"/>
      <c r="ES116" s="2657"/>
      <c r="ET116" s="2657"/>
      <c r="EU116" s="2657"/>
      <c r="EV116" s="2657"/>
      <c r="EW116" s="2657"/>
      <c r="EX116" s="2657"/>
      <c r="EY116" s="2657"/>
      <c r="EZ116" s="2657"/>
      <c r="FA116" s="2657"/>
      <c r="FB116" s="2657"/>
      <c r="FC116" s="2657"/>
      <c r="FD116" s="2657"/>
      <c r="FE116" s="2657"/>
    </row>
    <row r="117" spans="1:161" outlineLevel="2">
      <c r="B117" t="s">
        <v>417</v>
      </c>
      <c r="C117" t="s">
        <v>418</v>
      </c>
      <c r="D117" t="str">
        <f t="shared" si="15"/>
      </c>
      <c r="F117" s="2657"/>
      <c r="G117" s="2657"/>
      <c r="H117" s="2657"/>
      <c r="I117" s="2657"/>
      <c r="J117" s="2657"/>
      <c r="K117" s="2657"/>
      <c r="L117" s="2657"/>
      <c r="M117" s="2657"/>
      <c r="N117" s="2657"/>
      <c r="O117" s="2657"/>
      <c r="P117" s="2657"/>
      <c r="Q117" s="2657"/>
      <c r="R117" s="2657"/>
      <c r="S117" s="2657"/>
      <c r="T117" s="2657"/>
      <c r="U117" s="2657"/>
      <c r="V117" s="2657"/>
      <c r="W117" s="2657"/>
      <c r="X117" s="2657"/>
      <c r="Y117" s="2657"/>
      <c r="Z117" s="2657"/>
      <c r="AA117" s="2657"/>
      <c r="AB117" s="2657"/>
      <c r="AC117" s="2657"/>
      <c r="AD117" s="2657"/>
      <c r="AE117" s="2657"/>
      <c r="AF117" s="2657"/>
      <c r="AG117" s="2657"/>
      <c r="AH117" s="2657"/>
      <c r="AI117" s="2657"/>
      <c r="AJ117" s="2657"/>
      <c r="AK117" s="2657"/>
      <c r="AL117" s="2657"/>
      <c r="AM117" s="2657"/>
      <c r="AN117" s="2657"/>
      <c r="AO117" s="2657"/>
      <c r="AP117" s="2657"/>
      <c r="AQ117" s="2657"/>
      <c r="AR117" s="2657"/>
      <c r="AS117" s="2657"/>
      <c r="AT117" s="2657"/>
      <c r="AU117" s="2657"/>
      <c r="AV117" s="2657"/>
      <c r="AW117" s="2657"/>
      <c r="AX117" s="2657"/>
      <c r="AY117" s="2657"/>
      <c r="AZ117" s="2657"/>
      <c r="BA117" s="2657"/>
      <c r="BB117" s="2657"/>
      <c r="BC117" s="2657"/>
      <c r="BD117" s="2657"/>
      <c r="BE117" s="2657"/>
      <c r="BF117" s="2657"/>
      <c r="BG117" s="2657"/>
      <c r="BH117" s="2657"/>
      <c r="BI117" s="2657"/>
      <c r="BJ117" s="2657"/>
      <c r="BK117" s="2657"/>
      <c r="BL117" s="2657"/>
      <c r="BM117" s="2657"/>
      <c r="BN117" s="2657"/>
      <c r="BO117" s="2657"/>
      <c r="BP117" s="2657"/>
      <c r="BQ117" s="2657"/>
      <c r="BR117" s="2657"/>
      <c r="BS117" s="2657"/>
      <c r="BT117" s="2657"/>
      <c r="BU117" s="2657"/>
      <c r="BV117" s="2657"/>
      <c r="BW117" s="2657"/>
      <c r="BX117" s="2657"/>
      <c r="BY117" s="2657"/>
      <c r="BZ117" s="2657"/>
      <c r="CA117" s="2657"/>
      <c r="CB117" s="2657"/>
      <c r="CC117" s="2657"/>
      <c r="CD117" s="2657"/>
      <c r="CE117" s="2657"/>
      <c r="CF117" s="2657"/>
      <c r="CG117" s="2657"/>
      <c r="CH117" s="2657"/>
      <c r="CI117" s="2657"/>
      <c r="CJ117" s="2657"/>
      <c r="CK117" s="2657"/>
      <c r="CL117" s="2657"/>
      <c r="CM117" s="2657"/>
      <c r="CN117" s="2657"/>
      <c r="CO117" s="2657"/>
      <c r="CP117" s="2657"/>
      <c r="CQ117" s="2657"/>
      <c r="CR117" s="2657"/>
      <c r="CS117" s="2657"/>
      <c r="CT117" s="2657"/>
      <c r="CU117" s="2657"/>
      <c r="CV117" s="2657"/>
      <c r="CW117" s="2657"/>
      <c r="CX117" s="2657"/>
      <c r="CY117" s="2657"/>
      <c r="CZ117" s="2657"/>
      <c r="DA117" s="2657"/>
      <c r="DB117" s="2657"/>
      <c r="DC117" s="2657"/>
      <c r="DD117" s="2657"/>
      <c r="DE117" s="2657"/>
      <c r="DF117" s="2657"/>
      <c r="DG117" s="2657"/>
      <c r="DH117" s="2657"/>
      <c r="DI117" s="2657"/>
      <c r="DJ117" s="2657"/>
      <c r="DK117" s="2657"/>
      <c r="DL117" s="2657"/>
      <c r="DM117" s="2657"/>
      <c r="DN117" s="2657"/>
      <c r="DO117" s="2657"/>
      <c r="DP117" s="2657"/>
      <c r="DQ117" s="2657"/>
      <c r="DR117" s="2657"/>
      <c r="DS117" s="2657"/>
      <c r="DT117" s="2657"/>
      <c r="DU117" s="2657"/>
      <c r="DV117" s="2657"/>
      <c r="DW117" s="2657"/>
      <c r="DX117" s="2657"/>
      <c r="DY117" s="2657"/>
      <c r="DZ117" s="2657"/>
      <c r="EA117" s="2657"/>
      <c r="EB117" s="2657"/>
      <c r="EC117" s="2657"/>
      <c r="ED117" s="2657"/>
      <c r="EE117" s="2657"/>
      <c r="EF117" s="2657"/>
      <c r="EG117" s="2657"/>
      <c r="EH117" s="2657"/>
      <c r="EI117" s="2657"/>
      <c r="EJ117" s="2657"/>
      <c r="EK117" s="2657"/>
      <c r="EL117" s="2657"/>
      <c r="EM117" s="2657"/>
      <c r="EN117" s="2657"/>
      <c r="EO117" s="2657"/>
      <c r="EP117" s="2657"/>
      <c r="EQ117" s="2657"/>
      <c r="ER117" s="2657"/>
      <c r="ES117" s="2657"/>
      <c r="ET117" s="2657"/>
      <c r="EU117" s="2657"/>
      <c r="EV117" s="2657"/>
      <c r="EW117" s="2657"/>
      <c r="EX117" s="2657"/>
      <c r="EY117" s="2657"/>
      <c r="EZ117" s="2657"/>
      <c r="FA117" s="2657"/>
      <c r="FB117" s="2657"/>
      <c r="FC117" s="2657"/>
      <c r="FD117" s="2657"/>
      <c r="FE117" s="2657"/>
    </row>
    <row r="118" spans="1:161" outlineLevel="2">
      <c r="B118" t="s">
        <v>419</v>
      </c>
      <c r="C118" t="s">
        <v>420</v>
      </c>
      <c r="D118" t="str">
        <f t="shared" si="15"/>
      </c>
      <c r="F118" s="2657"/>
      <c r="G118" s="2657"/>
      <c r="H118" s="2657"/>
      <c r="I118" s="2657"/>
      <c r="J118" s="2657"/>
      <c r="K118" s="2657"/>
      <c r="L118" s="2657"/>
      <c r="M118" s="2657"/>
      <c r="N118" s="2657"/>
      <c r="O118" s="2657"/>
      <c r="P118" s="2657"/>
      <c r="Q118" s="2657"/>
      <c r="R118" s="2657"/>
      <c r="S118" s="2657"/>
      <c r="T118" s="2657"/>
      <c r="U118" s="2657"/>
      <c r="V118" s="2657"/>
      <c r="W118" s="2657"/>
      <c r="X118" s="2657"/>
      <c r="Y118" s="2657"/>
      <c r="Z118" s="2657"/>
      <c r="AA118" s="2657"/>
      <c r="AB118" s="2657"/>
      <c r="AC118" s="2657"/>
      <c r="AD118" s="2657"/>
      <c r="AE118" s="2657"/>
      <c r="AF118" s="2657"/>
      <c r="AG118" s="2657"/>
      <c r="AH118" s="2657"/>
      <c r="AI118" s="2657"/>
      <c r="AJ118" s="2657"/>
      <c r="AK118" s="2657"/>
      <c r="AL118" s="2657"/>
      <c r="AM118" s="2657"/>
      <c r="AN118" s="2657"/>
      <c r="AO118" s="2657"/>
      <c r="AP118" s="2657"/>
      <c r="AQ118" s="2657"/>
      <c r="AR118" s="2657"/>
      <c r="AS118" s="2657"/>
      <c r="AT118" s="2657"/>
      <c r="AU118" s="2657"/>
      <c r="AV118" s="2657"/>
      <c r="AW118" s="2657"/>
      <c r="AX118" s="2657"/>
      <c r="AY118" s="2657"/>
      <c r="AZ118" s="2657"/>
      <c r="BA118" s="2657"/>
      <c r="BB118" s="2657"/>
      <c r="BC118" s="2657"/>
      <c r="BD118" s="2657"/>
      <c r="BE118" s="2657"/>
      <c r="BF118" s="2657"/>
      <c r="BG118" s="2657"/>
      <c r="BH118" s="2657"/>
      <c r="BI118" s="2657"/>
      <c r="BJ118" s="2657"/>
      <c r="BK118" s="2657"/>
      <c r="BL118" s="2657"/>
      <c r="BM118" s="2657"/>
      <c r="BN118" s="2657"/>
      <c r="BO118" s="2657"/>
      <c r="BP118" s="2657"/>
      <c r="BQ118" s="2657"/>
      <c r="BR118" s="2657"/>
      <c r="BS118" s="2657"/>
      <c r="BT118" s="2657"/>
      <c r="BU118" s="2657"/>
      <c r="BV118" s="2657"/>
      <c r="BW118" s="2657"/>
      <c r="BX118" s="2657"/>
      <c r="BY118" s="2657"/>
      <c r="BZ118" s="2657"/>
      <c r="CA118" s="2657"/>
      <c r="CB118" s="2657"/>
      <c r="CC118" s="2657"/>
      <c r="CD118" s="2657"/>
      <c r="CE118" s="2657"/>
      <c r="CF118" s="2657"/>
      <c r="CG118" s="2657"/>
      <c r="CH118" s="2657"/>
      <c r="CI118" s="2657"/>
      <c r="CJ118" s="2657"/>
      <c r="CK118" s="2657"/>
      <c r="CL118" s="2657"/>
      <c r="CM118" s="2657"/>
      <c r="CN118" s="2657"/>
      <c r="CO118" s="2657"/>
      <c r="CP118" s="2657"/>
      <c r="CQ118" s="2657"/>
      <c r="CR118" s="2657"/>
      <c r="CS118" s="2657"/>
      <c r="CT118" s="2657"/>
      <c r="CU118" s="2657"/>
      <c r="CV118" s="2657"/>
      <c r="CW118" s="2657"/>
      <c r="CX118" s="2657"/>
      <c r="CY118" s="2657"/>
      <c r="CZ118" s="2657"/>
      <c r="DA118" s="2657"/>
      <c r="DB118" s="2657"/>
      <c r="DC118" s="2657"/>
      <c r="DD118" s="2657"/>
      <c r="DE118" s="2657"/>
      <c r="DF118" s="2657"/>
      <c r="DG118" s="2657"/>
      <c r="DH118" s="2657"/>
      <c r="DI118" s="2657"/>
      <c r="DJ118" s="2657"/>
      <c r="DK118" s="2657"/>
      <c r="DL118" s="2657"/>
      <c r="DM118" s="2657"/>
      <c r="DN118" s="2657"/>
      <c r="DO118" s="2657"/>
      <c r="DP118" s="2657"/>
      <c r="DQ118" s="2657"/>
      <c r="DR118" s="2657"/>
      <c r="DS118" s="2657"/>
      <c r="DT118" s="2657"/>
      <c r="DU118" s="2657"/>
      <c r="DV118" s="2657"/>
      <c r="DW118" s="2657"/>
      <c r="DX118" s="2657"/>
      <c r="DY118" s="2657"/>
      <c r="DZ118" s="2657"/>
      <c r="EA118" s="2657"/>
      <c r="EB118" s="2657"/>
      <c r="EC118" s="2657"/>
      <c r="ED118" s="2657"/>
      <c r="EE118" s="2657"/>
      <c r="EF118" s="2657"/>
      <c r="EG118" s="2657"/>
      <c r="EH118" s="2657"/>
      <c r="EI118" s="2657"/>
      <c r="EJ118" s="2657"/>
      <c r="EK118" s="2657"/>
      <c r="EL118" s="2657"/>
      <c r="EM118" s="2657"/>
      <c r="EN118" s="2657"/>
      <c r="EO118" s="2657"/>
      <c r="EP118" s="2657"/>
      <c r="EQ118" s="2657"/>
      <c r="ER118" s="2657"/>
      <c r="ES118" s="2657"/>
      <c r="ET118" s="2657"/>
      <c r="EU118" s="2657"/>
      <c r="EV118" s="2657"/>
      <c r="EW118" s="2657"/>
      <c r="EX118" s="2657"/>
      <c r="EY118" s="2657"/>
      <c r="EZ118" s="2657"/>
      <c r="FA118" s="2657"/>
      <c r="FB118" s="2657"/>
      <c r="FC118" s="2657"/>
      <c r="FD118" s="2657"/>
      <c r="FE118" s="2657"/>
    </row>
    <row r="119" spans="1:161" outlineLevel="2">
      <c r="B119" t="s">
        <v>421</v>
      </c>
      <c r="C119" t="s">
        <v>422</v>
      </c>
      <c r="D119" t="str">
        <f t="shared" si="15"/>
      </c>
      <c r="F119" s="2657"/>
      <c r="G119" s="2657"/>
      <c r="H119" s="2657"/>
      <c r="I119" s="2657"/>
      <c r="J119" s="2657"/>
      <c r="K119" s="2657"/>
      <c r="L119" s="2657"/>
      <c r="M119" s="2657"/>
      <c r="N119" s="2657"/>
      <c r="O119" s="2657"/>
      <c r="P119" s="2657"/>
      <c r="Q119" s="2657"/>
      <c r="R119" s="2657"/>
      <c r="S119" s="2657"/>
      <c r="T119" s="2657"/>
      <c r="U119" s="2657"/>
      <c r="V119" s="2657"/>
      <c r="W119" s="2657"/>
      <c r="X119" s="2657"/>
      <c r="Y119" s="2657"/>
      <c r="Z119" s="2657"/>
      <c r="AA119" s="2657"/>
      <c r="AB119" s="2657"/>
      <c r="AC119" s="2657"/>
      <c r="AD119" s="2657"/>
      <c r="AE119" s="2657"/>
      <c r="AF119" s="2657"/>
      <c r="AG119" s="2657"/>
      <c r="AH119" s="2657"/>
      <c r="AI119" s="2657"/>
      <c r="AJ119" s="2657"/>
      <c r="AK119" s="2657"/>
      <c r="AL119" s="2657"/>
      <c r="AM119" s="2657"/>
      <c r="AN119" s="2657"/>
      <c r="AO119" s="2657"/>
      <c r="AP119" s="2657"/>
      <c r="AQ119" s="2657"/>
      <c r="AR119" s="2657"/>
      <c r="AS119" s="2657"/>
      <c r="AT119" s="2657"/>
      <c r="AU119" s="2657"/>
      <c r="AV119" s="2657"/>
      <c r="AW119" s="2657"/>
      <c r="AX119" s="2657"/>
      <c r="AY119" s="2657"/>
      <c r="AZ119" s="2657"/>
      <c r="BA119" s="2657"/>
      <c r="BB119" s="2657"/>
      <c r="BC119" s="2657"/>
      <c r="BD119" s="2657"/>
      <c r="BE119" s="2657"/>
      <c r="BF119" s="2657"/>
      <c r="BG119" s="2657"/>
      <c r="BH119" s="2657"/>
      <c r="BI119" s="2657"/>
      <c r="BJ119" s="2657"/>
      <c r="BK119" s="2657"/>
      <c r="BL119" s="2657"/>
      <c r="BM119" s="2657"/>
      <c r="BN119" s="2657"/>
      <c r="BO119" s="2657"/>
      <c r="BP119" s="2657"/>
      <c r="BQ119" s="2657"/>
      <c r="BR119" s="2657"/>
      <c r="BS119" s="2657"/>
      <c r="BT119" s="2657"/>
      <c r="BU119" s="2657"/>
      <c r="BV119" s="2657"/>
      <c r="BW119" s="2657"/>
      <c r="BX119" s="2657"/>
      <c r="BY119" s="2657"/>
      <c r="BZ119" s="2657"/>
      <c r="CA119" s="2657"/>
      <c r="CB119" s="2657"/>
      <c r="CC119" s="2657"/>
      <c r="CD119" s="2657"/>
      <c r="CE119" s="2657"/>
      <c r="CF119" s="2657"/>
      <c r="CG119" s="2657"/>
      <c r="CH119" s="2657"/>
      <c r="CI119" s="2657"/>
      <c r="CJ119" s="2657"/>
      <c r="CK119" s="2657"/>
      <c r="CL119" s="2657"/>
      <c r="CM119" s="2657"/>
      <c r="CN119" s="2657"/>
      <c r="CO119" s="2657"/>
      <c r="CP119" s="2657"/>
      <c r="CQ119" s="2657"/>
      <c r="CR119" s="2657"/>
      <c r="CS119" s="2657"/>
      <c r="CT119" s="2657"/>
      <c r="CU119" s="2657"/>
      <c r="CV119" s="2657"/>
      <c r="CW119" s="2657"/>
      <c r="CX119" s="2657"/>
      <c r="CY119" s="2657"/>
      <c r="CZ119" s="2657"/>
      <c r="DA119" s="2657"/>
      <c r="DB119" s="2657"/>
      <c r="DC119" s="2657"/>
      <c r="DD119" s="2657"/>
      <c r="DE119" s="2657"/>
      <c r="DF119" s="2657"/>
      <c r="DG119" s="2657"/>
      <c r="DH119" s="2657"/>
      <c r="DI119" s="2657"/>
      <c r="DJ119" s="2657"/>
      <c r="DK119" s="2657"/>
      <c r="DL119" s="2657"/>
      <c r="DM119" s="2657"/>
      <c r="DN119" s="2657"/>
      <c r="DO119" s="2657"/>
      <c r="DP119" s="2657"/>
      <c r="DQ119" s="2657"/>
      <c r="DR119" s="2657"/>
      <c r="DS119" s="2657"/>
      <c r="DT119" s="2657"/>
      <c r="DU119" s="2657"/>
      <c r="DV119" s="2657"/>
      <c r="DW119" s="2657"/>
      <c r="DX119" s="2657"/>
      <c r="DY119" s="2657"/>
      <c r="DZ119" s="2657"/>
      <c r="EA119" s="2657"/>
      <c r="EB119" s="2657"/>
      <c r="EC119" s="2657"/>
      <c r="ED119" s="2657"/>
      <c r="EE119" s="2657"/>
      <c r="EF119" s="2657"/>
      <c r="EG119" s="2657"/>
      <c r="EH119" s="2657"/>
      <c r="EI119" s="2657"/>
      <c r="EJ119" s="2657"/>
      <c r="EK119" s="2657"/>
      <c r="EL119" s="2657"/>
      <c r="EM119" s="2657"/>
      <c r="EN119" s="2657"/>
      <c r="EO119" s="2657"/>
      <c r="EP119" s="2657"/>
      <c r="EQ119" s="2657"/>
      <c r="ER119" s="2657"/>
      <c r="ES119" s="2657"/>
      <c r="ET119" s="2657"/>
      <c r="EU119" s="2657"/>
      <c r="EV119" s="2657"/>
      <c r="EW119" s="2657"/>
      <c r="EX119" s="2657"/>
      <c r="EY119" s="2657"/>
      <c r="EZ119" s="2657"/>
      <c r="FA119" s="2657"/>
      <c r="FB119" s="2657"/>
      <c r="FC119" s="2657"/>
      <c r="FD119" s="2657"/>
      <c r="FE119" s="2657"/>
    </row>
    <row r="120" spans="1:161" outlineLevel="2">
      <c r="B120" t="s">
        <v>423</v>
      </c>
      <c r="C120" t="s">
        <v>424</v>
      </c>
      <c r="D120" t="str">
        <f t="shared" si="15"/>
      </c>
      <c r="F120" s="2657"/>
      <c r="G120" s="2657"/>
      <c r="H120" s="2657"/>
      <c r="I120" s="2657"/>
      <c r="J120" s="2657"/>
      <c r="K120" s="2657"/>
      <c r="L120" s="2657"/>
      <c r="M120" s="2657"/>
      <c r="N120" s="2657"/>
      <c r="O120" s="2657"/>
      <c r="P120" s="2657"/>
      <c r="Q120" s="2657"/>
      <c r="R120" s="2657"/>
      <c r="S120" s="2657"/>
      <c r="T120" s="2657"/>
      <c r="U120" s="2657"/>
      <c r="V120" s="2657"/>
      <c r="W120" s="2657"/>
      <c r="X120" s="2657"/>
      <c r="Y120" s="2657"/>
      <c r="Z120" s="2657"/>
      <c r="AA120" s="2657"/>
      <c r="AB120" s="2657"/>
      <c r="AC120" s="2657"/>
      <c r="AD120" s="2657"/>
      <c r="AE120" s="2657"/>
      <c r="AF120" s="2657"/>
      <c r="AG120" s="2657"/>
      <c r="AH120" s="2657"/>
      <c r="AI120" s="2657"/>
      <c r="AJ120" s="2657"/>
      <c r="AK120" s="2657"/>
      <c r="AL120" s="2657"/>
      <c r="AM120" s="2657"/>
      <c r="AN120" s="2657"/>
      <c r="AO120" s="2657"/>
      <c r="AP120" s="2657"/>
      <c r="AQ120" s="2657"/>
      <c r="AR120" s="2657"/>
      <c r="AS120" s="2657"/>
      <c r="AT120" s="2657"/>
      <c r="AU120" s="2657"/>
      <c r="AV120" s="2657"/>
      <c r="AW120" s="2657"/>
      <c r="AX120" s="2657"/>
      <c r="AY120" s="2657"/>
      <c r="AZ120" s="2657"/>
      <c r="BA120" s="2657"/>
      <c r="BB120" s="2657"/>
      <c r="BC120" s="2657"/>
      <c r="BD120" s="2657"/>
      <c r="BE120" s="2657"/>
      <c r="BF120" s="2657"/>
      <c r="BG120" s="2657"/>
      <c r="BH120" s="2657"/>
      <c r="BI120" s="2657"/>
      <c r="BJ120" s="2657"/>
      <c r="BK120" s="2657"/>
      <c r="BL120" s="2657"/>
      <c r="BM120" s="2657"/>
      <c r="BN120" s="2657"/>
      <c r="BO120" s="2657"/>
      <c r="BP120" s="2657"/>
      <c r="BQ120" s="2657"/>
      <c r="BR120" s="2657"/>
      <c r="BS120" s="2657"/>
      <c r="BT120" s="2657"/>
      <c r="BU120" s="2657"/>
      <c r="BV120" s="2657"/>
      <c r="BW120" s="2657"/>
      <c r="BX120" s="2657"/>
      <c r="BY120" s="2657"/>
      <c r="BZ120" s="2657"/>
      <c r="CA120" s="2657"/>
      <c r="CB120" s="2657"/>
      <c r="CC120" s="2657"/>
      <c r="CD120" s="2657"/>
      <c r="CE120" s="2657"/>
      <c r="CF120" s="2657"/>
      <c r="CG120" s="2657"/>
      <c r="CH120" s="2657"/>
      <c r="CI120" s="2657"/>
      <c r="CJ120" s="2657"/>
      <c r="CK120" s="2657"/>
      <c r="CL120" s="2657"/>
      <c r="CM120" s="2657"/>
      <c r="CN120" s="2657"/>
      <c r="CO120" s="2657"/>
      <c r="CP120" s="2657"/>
      <c r="CQ120" s="2657"/>
      <c r="CR120" s="2657"/>
      <c r="CS120" s="2657"/>
      <c r="CT120" s="2657"/>
      <c r="CU120" s="2657"/>
      <c r="CV120" s="2657"/>
      <c r="CW120" s="2657"/>
      <c r="CX120" s="2657"/>
      <c r="CY120" s="2657"/>
      <c r="CZ120" s="2657"/>
      <c r="DA120" s="2657"/>
      <c r="DB120" s="2657"/>
      <c r="DC120" s="2657"/>
      <c r="DD120" s="2657"/>
      <c r="DE120" s="2657"/>
      <c r="DF120" s="2657"/>
      <c r="DG120" s="2657"/>
      <c r="DH120" s="2657"/>
      <c r="DI120" s="2657"/>
      <c r="DJ120" s="2657"/>
      <c r="DK120" s="2657"/>
      <c r="DL120" s="2657"/>
      <c r="DM120" s="2657"/>
      <c r="DN120" s="2657"/>
      <c r="DO120" s="2657"/>
      <c r="DP120" s="2657"/>
      <c r="DQ120" s="2657"/>
      <c r="DR120" s="2657"/>
      <c r="DS120" s="2657"/>
      <c r="DT120" s="2657"/>
      <c r="DU120" s="2657"/>
      <c r="DV120" s="2657"/>
      <c r="DW120" s="2657"/>
      <c r="DX120" s="2657"/>
      <c r="DY120" s="2657"/>
      <c r="DZ120" s="2657"/>
      <c r="EA120" s="2657"/>
      <c r="EB120" s="2657"/>
      <c r="EC120" s="2657"/>
      <c r="ED120" s="2657"/>
      <c r="EE120" s="2657"/>
      <c r="EF120" s="2657"/>
      <c r="EG120" s="2657"/>
      <c r="EH120" s="2657"/>
      <c r="EI120" s="2657"/>
      <c r="EJ120" s="2657"/>
      <c r="EK120" s="2657"/>
      <c r="EL120" s="2657"/>
      <c r="EM120" s="2657"/>
      <c r="EN120" s="2657"/>
      <c r="EO120" s="2657"/>
      <c r="EP120" s="2657"/>
      <c r="EQ120" s="2657"/>
      <c r="ER120" s="2657"/>
      <c r="ES120" s="2657"/>
      <c r="ET120" s="2657"/>
      <c r="EU120" s="2657"/>
      <c r="EV120" s="2657"/>
      <c r="EW120" s="2657"/>
      <c r="EX120" s="2657"/>
      <c r="EY120" s="2657"/>
      <c r="EZ120" s="2657"/>
      <c r="FA120" s="2657"/>
      <c r="FB120" s="2657"/>
      <c r="FC120" s="2657"/>
      <c r="FD120" s="2657"/>
      <c r="FE120" s="2657"/>
    </row>
    <row r="121" spans="1:161" outlineLevel="2">
      <c r="B121" t="s">
        <v>425</v>
      </c>
      <c r="C121" t="s">
        <v>426</v>
      </c>
      <c r="D121" t="str">
        <f t="shared" si="15"/>
      </c>
      <c r="F121" s="2657"/>
      <c r="G121" s="2657"/>
      <c r="H121" s="2657"/>
      <c r="I121" s="2657"/>
      <c r="J121" s="2657"/>
      <c r="K121" s="2657"/>
      <c r="L121" s="2657"/>
      <c r="M121" s="2657"/>
      <c r="N121" s="2657"/>
      <c r="O121" s="2657"/>
      <c r="P121" s="2657"/>
      <c r="Q121" s="2657"/>
      <c r="R121" s="2657"/>
      <c r="S121" s="2657"/>
      <c r="T121" s="2657"/>
      <c r="U121" s="2657"/>
      <c r="V121" s="2657"/>
      <c r="W121" s="2657"/>
      <c r="X121" s="2657"/>
      <c r="Y121" s="2657"/>
      <c r="Z121" s="2657"/>
      <c r="AA121" s="2657"/>
      <c r="AB121" s="2657"/>
      <c r="AC121" s="2657"/>
      <c r="AD121" s="2657"/>
      <c r="AE121" s="2657"/>
      <c r="AF121" s="2657"/>
      <c r="AG121" s="2657"/>
      <c r="AH121" s="2657"/>
      <c r="AI121" s="2657"/>
      <c r="AJ121" s="2657"/>
      <c r="AK121" s="2657"/>
      <c r="AL121" s="2657"/>
      <c r="AM121" s="2657"/>
      <c r="AN121" s="2657"/>
      <c r="AO121" s="2657"/>
      <c r="AP121" s="2657"/>
      <c r="AQ121" s="2657"/>
      <c r="AR121" s="2657"/>
      <c r="AS121" s="2657"/>
      <c r="AT121" s="2657"/>
      <c r="AU121" s="2657"/>
      <c r="AV121" s="2657"/>
      <c r="AW121" s="2657"/>
      <c r="AX121" s="2657"/>
      <c r="AY121" s="2657"/>
      <c r="AZ121" s="2657"/>
      <c r="BA121" s="2657"/>
      <c r="BB121" s="2657"/>
      <c r="BC121" s="2657"/>
      <c r="BD121" s="2657"/>
      <c r="BE121" s="2657"/>
      <c r="BF121" s="2657"/>
      <c r="BG121" s="2657"/>
      <c r="BH121" s="2657"/>
      <c r="BI121" s="2657"/>
      <c r="BJ121" s="2657"/>
      <c r="BK121" s="2657"/>
      <c r="BL121" s="2657"/>
      <c r="BM121" s="2657"/>
      <c r="BN121" s="2657"/>
      <c r="BO121" s="2657"/>
      <c r="BP121" s="2657"/>
      <c r="BQ121" s="2657"/>
      <c r="BR121" s="2657"/>
      <c r="BS121" s="2657"/>
      <c r="BT121" s="2657"/>
      <c r="BU121" s="2657"/>
      <c r="BV121" s="2657"/>
      <c r="BW121" s="2657"/>
      <c r="BX121" s="2657"/>
      <c r="BY121" s="2657"/>
      <c r="BZ121" s="2657"/>
      <c r="CA121" s="2657"/>
      <c r="CB121" s="2657"/>
      <c r="CC121" s="2657"/>
      <c r="CD121" s="2657"/>
      <c r="CE121" s="2657"/>
      <c r="CF121" s="2657"/>
      <c r="CG121" s="2657"/>
      <c r="CH121" s="2657"/>
      <c r="CI121" s="2657"/>
      <c r="CJ121" s="2657"/>
      <c r="CK121" s="2657"/>
      <c r="CL121" s="2657"/>
      <c r="CM121" s="2657"/>
      <c r="CN121" s="2657"/>
      <c r="CO121" s="2657"/>
      <c r="CP121" s="2657"/>
      <c r="CQ121" s="2657"/>
      <c r="CR121" s="2657"/>
      <c r="CS121" s="2657"/>
      <c r="CT121" s="2657"/>
      <c r="CU121" s="2657"/>
      <c r="CV121" s="2657"/>
      <c r="CW121" s="2657"/>
      <c r="CX121" s="2657"/>
      <c r="CY121" s="2657"/>
      <c r="CZ121" s="2657"/>
      <c r="DA121" s="2657"/>
      <c r="DB121" s="2657"/>
      <c r="DC121" s="2657"/>
      <c r="DD121" s="2657"/>
      <c r="DE121" s="2657"/>
      <c r="DF121" s="2657"/>
      <c r="DG121" s="2657"/>
      <c r="DH121" s="2657"/>
      <c r="DI121" s="2657"/>
      <c r="DJ121" s="2657"/>
      <c r="DK121" s="2657"/>
      <c r="DL121" s="2657"/>
      <c r="DM121" s="2657"/>
      <c r="DN121" s="2657"/>
      <c r="DO121" s="2657"/>
      <c r="DP121" s="2657"/>
      <c r="DQ121" s="2657"/>
      <c r="DR121" s="2657"/>
      <c r="DS121" s="2657"/>
      <c r="DT121" s="2657"/>
      <c r="DU121" s="2657"/>
      <c r="DV121" s="2657"/>
      <c r="DW121" s="2657"/>
      <c r="DX121" s="2657"/>
      <c r="DY121" s="2657"/>
      <c r="DZ121" s="2657"/>
      <c r="EA121" s="2657"/>
      <c r="EB121" s="2657"/>
      <c r="EC121" s="2657"/>
      <c r="ED121" s="2657"/>
      <c r="EE121" s="2657"/>
      <c r="EF121" s="2657"/>
      <c r="EG121" s="2657"/>
      <c r="EH121" s="2657"/>
      <c r="EI121" s="2657"/>
      <c r="EJ121" s="2657"/>
      <c r="EK121" s="2657"/>
      <c r="EL121" s="2657"/>
      <c r="EM121" s="2657"/>
      <c r="EN121" s="2657"/>
      <c r="EO121" s="2657"/>
      <c r="EP121" s="2657"/>
      <c r="EQ121" s="2657"/>
      <c r="ER121" s="2657"/>
      <c r="ES121" s="2657"/>
      <c r="ET121" s="2657"/>
      <c r="EU121" s="2657"/>
      <c r="EV121" s="2657"/>
      <c r="EW121" s="2657"/>
      <c r="EX121" s="2657"/>
      <c r="EY121" s="2657"/>
      <c r="EZ121" s="2657"/>
      <c r="FA121" s="2657"/>
      <c r="FB121" s="2657"/>
      <c r="FC121" s="2657"/>
      <c r="FD121" s="2657"/>
      <c r="FE121" s="2657"/>
    </row>
    <row r="122" spans="1:161" outlineLevel="2">
      <c r="B122" t="s">
        <v>427</v>
      </c>
      <c r="C122" t="s">
        <v>428</v>
      </c>
      <c r="D122" t="str">
        <f t="shared" si="15"/>
      </c>
      <c r="F122" s="2657"/>
      <c r="G122" s="2657"/>
      <c r="H122" s="2657"/>
      <c r="I122" s="2657"/>
      <c r="J122" s="2657"/>
      <c r="K122" s="2657"/>
      <c r="L122" s="2657"/>
      <c r="M122" s="2657"/>
      <c r="N122" s="2657"/>
      <c r="O122" s="2657"/>
      <c r="P122" s="2657"/>
      <c r="Q122" s="2657"/>
      <c r="R122" s="2657"/>
      <c r="S122" s="2657"/>
      <c r="T122" s="2657"/>
      <c r="U122" s="2657"/>
      <c r="V122" s="2657"/>
      <c r="W122" s="2657"/>
      <c r="X122" s="2657"/>
      <c r="Y122" s="2657"/>
      <c r="Z122" s="2657"/>
      <c r="AA122" s="2657"/>
      <c r="AB122" s="2657"/>
      <c r="AC122" s="2657"/>
      <c r="AD122" s="2657"/>
      <c r="AE122" s="2657"/>
      <c r="AF122" s="2657"/>
      <c r="AG122" s="2657"/>
      <c r="AH122" s="2657"/>
      <c r="AI122" s="2657"/>
      <c r="AJ122" s="2657"/>
      <c r="AK122" s="2657"/>
      <c r="AL122" s="2657"/>
      <c r="AM122" s="2657"/>
      <c r="AN122" s="2657"/>
      <c r="AO122" s="2657"/>
      <c r="AP122" s="2657"/>
      <c r="AQ122" s="2657"/>
      <c r="AR122" s="2657"/>
      <c r="AS122" s="2657"/>
      <c r="AT122" s="2657"/>
      <c r="AU122" s="2657"/>
      <c r="AV122" s="2657"/>
      <c r="AW122" s="2657"/>
      <c r="AX122" s="2657"/>
      <c r="AY122" s="2657"/>
      <c r="AZ122" s="2657"/>
      <c r="BA122" s="2657"/>
      <c r="BB122" s="2657"/>
      <c r="BC122" s="2657"/>
      <c r="BD122" s="2657"/>
      <c r="BE122" s="2657"/>
      <c r="BF122" s="2657"/>
      <c r="BG122" s="2657"/>
      <c r="BH122" s="2657"/>
      <c r="BI122" s="2657"/>
      <c r="BJ122" s="2657"/>
      <c r="BK122" s="2657"/>
      <c r="BL122" s="2657"/>
      <c r="BM122" s="2657"/>
      <c r="BN122" s="2657"/>
      <c r="BO122" s="2657"/>
      <c r="BP122" s="2657"/>
      <c r="BQ122" s="2657"/>
      <c r="BR122" s="2657"/>
      <c r="BS122" s="2657"/>
      <c r="BT122" s="2657"/>
      <c r="BU122" s="2657"/>
      <c r="BV122" s="2657"/>
      <c r="BW122" s="2657"/>
      <c r="BX122" s="2657"/>
      <c r="BY122" s="2657"/>
      <c r="BZ122" s="2657"/>
      <c r="CA122" s="2657"/>
      <c r="CB122" s="2657"/>
      <c r="CC122" s="2657"/>
      <c r="CD122" s="2657"/>
      <c r="CE122" s="2657"/>
      <c r="CF122" s="2657"/>
      <c r="CG122" s="2657"/>
      <c r="CH122" s="2657"/>
      <c r="CI122" s="2657"/>
      <c r="CJ122" s="2657"/>
      <c r="CK122" s="2657"/>
      <c r="CL122" s="2657"/>
      <c r="CM122" s="2657"/>
      <c r="CN122" s="2657"/>
      <c r="CO122" s="2657"/>
      <c r="CP122" s="2657"/>
      <c r="CQ122" s="2657"/>
      <c r="CR122" s="2657"/>
      <c r="CS122" s="2657"/>
      <c r="CT122" s="2657"/>
      <c r="CU122" s="2657"/>
      <c r="CV122" s="2657"/>
      <c r="CW122" s="2657"/>
      <c r="CX122" s="2657"/>
      <c r="CY122" s="2657"/>
      <c r="CZ122" s="2657"/>
      <c r="DA122" s="2657"/>
      <c r="DB122" s="2657"/>
      <c r="DC122" s="2657"/>
      <c r="DD122" s="2657"/>
      <c r="DE122" s="2657"/>
      <c r="DF122" s="2657"/>
      <c r="DG122" s="2657"/>
      <c r="DH122" s="2657"/>
      <c r="DI122" s="2657"/>
      <c r="DJ122" s="2657"/>
      <c r="DK122" s="2657"/>
      <c r="DL122" s="2657"/>
      <c r="DM122" s="2657"/>
      <c r="DN122" s="2657"/>
      <c r="DO122" s="2657"/>
      <c r="DP122" s="2657"/>
      <c r="DQ122" s="2657"/>
      <c r="DR122" s="2657"/>
      <c r="DS122" s="2657"/>
      <c r="DT122" s="2657"/>
      <c r="DU122" s="2657"/>
      <c r="DV122" s="2657"/>
      <c r="DW122" s="2657"/>
      <c r="DX122" s="2657"/>
      <c r="DY122" s="2657"/>
      <c r="DZ122" s="2657"/>
      <c r="EA122" s="2657"/>
      <c r="EB122" s="2657"/>
      <c r="EC122" s="2657"/>
      <c r="ED122" s="2657"/>
      <c r="EE122" s="2657"/>
      <c r="EF122" s="2657"/>
      <c r="EG122" s="2657"/>
      <c r="EH122" s="2657"/>
      <c r="EI122" s="2657"/>
      <c r="EJ122" s="2657"/>
      <c r="EK122" s="2657"/>
      <c r="EL122" s="2657"/>
      <c r="EM122" s="2657"/>
      <c r="EN122" s="2657"/>
      <c r="EO122" s="2657"/>
      <c r="EP122" s="2657"/>
      <c r="EQ122" s="2657"/>
      <c r="ER122" s="2657"/>
      <c r="ES122" s="2657"/>
      <c r="ET122" s="2657"/>
      <c r="EU122" s="2657"/>
      <c r="EV122" s="2657"/>
      <c r="EW122" s="2657"/>
      <c r="EX122" s="2657"/>
      <c r="EY122" s="2657"/>
      <c r="EZ122" s="2657"/>
      <c r="FA122" s="2657"/>
      <c r="FB122" s="2657"/>
      <c r="FC122" s="2657"/>
      <c r="FD122" s="2657"/>
      <c r="FE122" s="2657"/>
    </row>
    <row r="123" spans="1:161" s="539" customFormat="1" outlineLevel="1">
      <c r="A123" s="540" t="s">
        <v>429</v>
      </c>
      <c r="B123" s="540"/>
      <c r="C123" s="540"/>
      <c r="D123" s="540"/>
    </row>
    <row r="124" spans="1:161" outlineLevel="2">
      <c r="B124" t="s">
        <v>430</v>
      </c>
      <c r="C124" t="s">
        <v>431</v>
      </c>
      <c r="F124" s="2657"/>
      <c r="G124" s="2657"/>
      <c r="H124" s="2657"/>
      <c r="I124" s="2657"/>
      <c r="J124" s="2657"/>
      <c r="K124" s="2657"/>
      <c r="L124" s="2657"/>
      <c r="M124" s="2657"/>
      <c r="N124" s="2657"/>
      <c r="O124" s="2657"/>
      <c r="P124" s="2657"/>
      <c r="Q124" s="2657"/>
      <c r="R124" s="2657"/>
      <c r="S124" s="2657"/>
      <c r="T124" s="2657"/>
      <c r="U124" s="2657"/>
      <c r="V124" s="2657"/>
      <c r="W124" s="2657"/>
      <c r="X124" s="2657"/>
      <c r="Y124" s="2657"/>
      <c r="Z124" s="2657"/>
      <c r="AA124" s="2657"/>
      <c r="AB124" s="2657">
        <v>164</v>
      </c>
      <c r="AC124" s="2657"/>
      <c r="AD124" s="2657"/>
      <c r="AE124" s="2657"/>
      <c r="AF124" s="2657"/>
      <c r="AG124" s="2657"/>
      <c r="AH124" s="2657"/>
      <c r="AI124" s="2657"/>
      <c r="AJ124" s="2657"/>
      <c r="AK124" s="2657"/>
      <c r="AL124" s="2657"/>
      <c r="AM124" s="2657"/>
      <c r="AN124" s="2657"/>
      <c r="AO124" s="2657"/>
      <c r="AP124" s="2657"/>
      <c r="AQ124" s="2657"/>
      <c r="AR124" s="2657"/>
      <c r="AS124" s="2657"/>
      <c r="AT124" s="2657"/>
      <c r="AU124" s="2657"/>
      <c r="AV124" s="2657"/>
      <c r="AW124" s="2657"/>
      <c r="AX124" s="2657"/>
      <c r="AY124" s="2657"/>
      <c r="AZ124" s="2657"/>
      <c r="BA124" s="2657">
        <v>10.912000000000001</v>
      </c>
      <c r="BB124" s="2657"/>
      <c r="BC124" s="2657"/>
      <c r="BD124" s="2657"/>
      <c r="BE124" s="2657">
        <v>11.695</v>
      </c>
      <c r="BF124" s="2657"/>
      <c r="BG124" s="2657"/>
      <c r="BH124" s="2657"/>
      <c r="BI124" s="2657">
        <v>14.8</v>
      </c>
      <c r="BJ124" s="2657"/>
      <c r="BK124" s="2657"/>
      <c r="BL124" s="2657"/>
      <c r="BM124" s="2657">
        <v>17.786999999999999</v>
      </c>
      <c r="BN124" s="2657"/>
      <c r="BO124" s="2657"/>
      <c r="BP124" s="2657"/>
      <c r="BQ124" s="2657">
        <v>21.6</v>
      </c>
      <c r="BR124" s="2657"/>
      <c r="BS124" s="2657"/>
      <c r="BT124" s="2657"/>
      <c r="BU124" s="2657">
        <v>32</v>
      </c>
      <c r="BV124" s="2657"/>
      <c r="BW124" s="2657"/>
      <c r="BX124" s="2657"/>
      <c r="BY124" s="2657">
        <v>34.299999999999997</v>
      </c>
      <c r="BZ124" s="2657"/>
      <c r="CA124" s="2657"/>
      <c r="CB124" s="2657"/>
      <c r="CC124" s="2657">
        <v>46.6</v>
      </c>
      <c r="CD124" s="2657"/>
      <c r="CE124" s="2657"/>
      <c r="CF124" s="2657"/>
      <c r="CG124" s="2657"/>
      <c r="CH124" s="2657"/>
      <c r="CI124" s="2657"/>
      <c r="CJ124" s="2657"/>
      <c r="CK124" s="2657"/>
      <c r="CL124" s="2657"/>
      <c r="CM124" s="2657"/>
      <c r="CN124" s="2657"/>
      <c r="CO124" s="2657"/>
      <c r="CP124" s="2657"/>
      <c r="CQ124" s="2657"/>
      <c r="CR124" s="2657"/>
      <c r="CS124" s="2657"/>
      <c r="CT124" s="2657"/>
      <c r="CU124" s="2657"/>
      <c r="CV124" s="2657"/>
      <c r="CW124" s="2657"/>
      <c r="CX124" s="2657"/>
      <c r="CY124" s="2657"/>
      <c r="CZ124" s="2657"/>
      <c r="DA124" s="2657"/>
      <c r="DB124" s="2657"/>
      <c r="DC124" s="2657"/>
      <c r="DD124" s="2657"/>
      <c r="DE124" s="2657"/>
      <c r="DF124" s="2657"/>
      <c r="DG124" s="2657"/>
      <c r="DH124" s="2657"/>
      <c r="DI124" s="2657"/>
      <c r="DJ124" s="2657"/>
      <c r="DK124" s="2657"/>
      <c r="DL124" s="2657"/>
      <c r="DM124" s="2657"/>
      <c r="DN124" s="2657"/>
      <c r="DO124" s="2657"/>
      <c r="DP124" s="2657"/>
      <c r="DQ124" s="2657"/>
      <c r="DR124" s="2657"/>
      <c r="DS124" s="2657"/>
      <c r="DT124" s="2657"/>
      <c r="DU124" s="2657"/>
      <c r="DV124" s="2657"/>
      <c r="DW124" s="2657"/>
      <c r="DX124" s="2657"/>
      <c r="DY124" s="2657">
        <v>164</v>
      </c>
      <c r="DZ124" s="2657"/>
      <c r="EA124" s="2657"/>
      <c r="EB124" s="2657"/>
      <c r="EC124" s="2657"/>
      <c r="ED124" s="2657"/>
      <c r="EE124" s="2657"/>
      <c r="EF124" s="2657"/>
      <c r="EG124" s="2657"/>
      <c r="EH124" s="2657"/>
      <c r="EI124" s="2657"/>
      <c r="EJ124" s="2657"/>
      <c r="EK124" s="2657"/>
      <c r="EL124" s="2657"/>
      <c r="EM124" s="2657"/>
      <c r="EN124" s="2657"/>
      <c r="EO124" s="2657"/>
      <c r="EP124" s="2657"/>
      <c r="EQ124" s="2657"/>
      <c r="ER124" s="2657"/>
      <c r="ES124" s="2657"/>
      <c r="ET124" s="2657"/>
      <c r="EU124" s="2657"/>
      <c r="EV124" s="2657"/>
      <c r="EW124" s="2657"/>
      <c r="EX124" s="2657"/>
      <c r="EY124" s="2657"/>
      <c r="EZ124" s="2657"/>
      <c r="FA124" s="2657"/>
      <c r="FB124" s="2657"/>
      <c r="FC124" s="2657"/>
      <c r="FD124" s="2657"/>
      <c r="FE124" s="2657"/>
    </row>
    <row r="125" spans="1:161" outlineLevel="2">
      <c r="B125" t="s">
        <v>2195</v>
      </c>
      <c r="C125" t="s">
        <v>2196</v>
      </c>
      <c r="F125" s="2732"/>
      <c r="G125" s="2732"/>
      <c r="H125" s="2732"/>
      <c r="I125" s="2732"/>
      <c r="J125" s="2732"/>
      <c r="K125" s="2732"/>
      <c r="L125" s="2732"/>
      <c r="M125" s="2732"/>
      <c r="N125" s="2732"/>
      <c r="O125" s="2732"/>
      <c r="P125" s="2732"/>
      <c r="Q125" s="2732"/>
      <c r="R125" s="2732"/>
      <c r="S125" s="2732"/>
      <c r="T125" s="2732"/>
      <c r="U125" s="2732"/>
      <c r="V125" s="2732"/>
      <c r="W125" s="2732"/>
      <c r="X125" s="2732"/>
      <c r="Y125" s="2732"/>
      <c r="Z125" s="2732"/>
      <c r="AA125" s="2732"/>
      <c r="AB125" s="2732"/>
      <c r="AC125" s="2732"/>
      <c r="AD125" s="2732"/>
      <c r="AE125" s="2732"/>
      <c r="AF125" s="2732"/>
      <c r="AG125" s="2732"/>
      <c r="AH125" s="2732"/>
      <c r="AI125" s="2732"/>
      <c r="AJ125" s="2732"/>
      <c r="AK125" s="2732"/>
      <c r="AL125" s="2732"/>
      <c r="AM125" s="2732"/>
      <c r="AN125" s="2732"/>
      <c r="AO125" s="2732"/>
      <c r="AP125" s="2732"/>
      <c r="AQ125" s="2732"/>
      <c r="AR125" s="2732"/>
      <c r="AS125" s="2732"/>
      <c r="AT125" s="2732"/>
      <c r="AU125" s="2732"/>
      <c r="AV125" s="2732"/>
      <c r="AW125" s="2732"/>
      <c r="AX125" s="2732"/>
      <c r="AY125" s="2732"/>
      <c r="AZ125" s="2732"/>
      <c r="BA125" s="2732"/>
      <c r="BB125" s="2732"/>
      <c r="BC125" s="2732"/>
      <c r="BD125" s="2732"/>
      <c r="BE125" s="2732"/>
      <c r="BF125" s="2732"/>
      <c r="BG125" s="2732"/>
      <c r="BH125" s="2732"/>
      <c r="BI125" s="2732"/>
      <c r="BJ125" s="2732"/>
      <c r="BK125" s="2732"/>
      <c r="BL125" s="2732"/>
      <c r="BM125" s="2732"/>
      <c r="BN125" s="2732"/>
      <c r="BO125" s="2732"/>
      <c r="BP125" s="2732"/>
      <c r="BQ125" s="2732"/>
      <c r="BR125" s="2732"/>
      <c r="BS125" s="2732"/>
      <c r="BT125" s="2732"/>
      <c r="BU125" s="2732"/>
      <c r="BV125" s="2732"/>
      <c r="BW125" s="2732"/>
      <c r="BX125" s="2732"/>
      <c r="BY125" s="2732"/>
      <c r="BZ125" s="2732"/>
      <c r="CA125" s="2732"/>
      <c r="CB125" s="2732"/>
      <c r="CC125" s="2732"/>
      <c r="CD125" s="2732"/>
      <c r="CE125" s="2732"/>
      <c r="CF125" s="2732"/>
      <c r="CG125" s="2732"/>
      <c r="CH125" s="2732"/>
      <c r="CI125" s="2732"/>
      <c r="CJ125" s="2732"/>
      <c r="CK125" s="2732"/>
      <c r="CL125" s="2732"/>
      <c r="CM125" s="2732"/>
      <c r="CN125" s="2732"/>
      <c r="CO125" s="2732"/>
      <c r="CP125" s="2732"/>
      <c r="CQ125" s="2732"/>
      <c r="CR125" s="2732"/>
      <c r="CS125" s="2732"/>
      <c r="CT125" s="2732"/>
      <c r="CU125" s="2732"/>
      <c r="CV125" s="2732"/>
      <c r="CW125" s="2732"/>
      <c r="CX125" s="2732"/>
      <c r="CY125" s="2732"/>
      <c r="CZ125" s="2732"/>
      <c r="DA125" s="2732"/>
      <c r="DB125" s="2732"/>
      <c r="DC125" s="2732"/>
      <c r="DD125" s="2732"/>
      <c r="DE125" s="2732"/>
      <c r="DF125" s="2732"/>
      <c r="DG125" s="2732"/>
      <c r="DH125" s="2732"/>
      <c r="DI125" s="2732"/>
      <c r="DJ125" s="2732"/>
      <c r="DK125" s="2732"/>
      <c r="DL125" s="2732"/>
      <c r="DM125" s="2732"/>
      <c r="DN125" s="2732"/>
      <c r="DO125" s="2732"/>
      <c r="DP125" s="2732"/>
      <c r="DQ125" s="2732"/>
      <c r="DR125" s="2732"/>
      <c r="DS125" s="2732"/>
      <c r="DT125" s="2732"/>
      <c r="DU125" s="2732"/>
      <c r="DV125" s="2732"/>
      <c r="DW125" s="2732"/>
      <c r="DX125" s="2732"/>
      <c r="DY125" s="2732"/>
      <c r="DZ125" s="2732"/>
      <c r="EA125" s="2732"/>
      <c r="EB125" s="2732"/>
      <c r="EC125" s="2732"/>
      <c r="ED125" s="2732"/>
      <c r="EE125" s="2732"/>
      <c r="EF125" s="2732"/>
      <c r="EG125" s="2732"/>
      <c r="EH125" s="2732"/>
      <c r="EI125" s="2732"/>
      <c r="EJ125" s="2732"/>
      <c r="EK125" s="2732"/>
      <c r="EL125" s="2732"/>
      <c r="EM125" s="2732"/>
      <c r="EN125" s="2732"/>
      <c r="EO125" s="2732"/>
      <c r="EP125" s="2732"/>
      <c r="EQ125" s="2732"/>
      <c r="ER125" s="2732"/>
      <c r="ES125" s="2732"/>
      <c r="ET125" s="2732"/>
      <c r="EU125" s="2732"/>
      <c r="EV125" s="2732"/>
      <c r="EW125" s="2732"/>
      <c r="EX125" s="2732"/>
      <c r="EY125" s="2732"/>
      <c r="EZ125" s="2732"/>
      <c r="FA125" s="2732"/>
      <c r="FB125" s="2732"/>
      <c r="FC125" s="2732"/>
      <c r="FD125" s="2732"/>
      <c r="FE125" s="2732"/>
    </row>
    <row r="126" spans="1:161" outlineLevel="2">
      <c r="B126" t="s">
        <v>2199</v>
      </c>
      <c r="C126" t="s">
        <v>2200</v>
      </c>
      <c r="F126" s="2732"/>
      <c r="G126" s="2732"/>
      <c r="H126" s="2732"/>
      <c r="I126" s="2732"/>
      <c r="J126" s="2732"/>
      <c r="K126" s="2732"/>
      <c r="L126" s="2732"/>
      <c r="M126" s="2732"/>
      <c r="N126" s="2732"/>
      <c r="O126" s="2732"/>
      <c r="P126" s="2732"/>
      <c r="Q126" s="2732"/>
      <c r="R126" s="2732"/>
      <c r="S126" s="2732"/>
      <c r="T126" s="2732"/>
      <c r="U126" s="2732"/>
      <c r="V126" s="2732"/>
      <c r="W126" s="2732"/>
      <c r="X126" s="2732"/>
      <c r="Y126" s="2732"/>
      <c r="Z126" s="2732"/>
      <c r="AA126" s="2732"/>
      <c r="AB126" s="2732"/>
      <c r="AC126" s="2732"/>
      <c r="AD126" s="2732"/>
      <c r="AE126" s="2732"/>
      <c r="AF126" s="2732"/>
      <c r="AG126" s="2732"/>
      <c r="AH126" s="2732"/>
      <c r="AI126" s="2732"/>
      <c r="AJ126" s="2732"/>
      <c r="AK126" s="2732"/>
      <c r="AL126" s="2732"/>
      <c r="AM126" s="2732"/>
      <c r="AN126" s="2732"/>
      <c r="AO126" s="2732"/>
      <c r="AP126" s="2732"/>
      <c r="AQ126" s="2732"/>
      <c r="AR126" s="2732"/>
      <c r="AS126" s="2732"/>
      <c r="AT126" s="2732"/>
      <c r="AU126" s="2732"/>
      <c r="AV126" s="2732"/>
      <c r="AW126" s="2732"/>
      <c r="AX126" s="2732"/>
      <c r="AY126" s="2732"/>
      <c r="AZ126" s="2732"/>
      <c r="BA126" s="2732"/>
      <c r="BB126" s="2732"/>
      <c r="BC126" s="2732"/>
      <c r="BD126" s="2732"/>
      <c r="BE126" s="2732"/>
      <c r="BF126" s="2732"/>
      <c r="BG126" s="2732"/>
      <c r="BH126" s="2732"/>
      <c r="BI126" s="2732"/>
      <c r="BJ126" s="2732"/>
      <c r="BK126" s="2732"/>
      <c r="BL126" s="2732"/>
      <c r="BM126" s="2732"/>
      <c r="BN126" s="2732"/>
      <c r="BO126" s="2732"/>
      <c r="BP126" s="2732"/>
      <c r="BQ126" s="2732"/>
      <c r="BR126" s="2732"/>
      <c r="BS126" s="2732"/>
      <c r="BT126" s="2732"/>
      <c r="BU126" s="2732"/>
      <c r="BV126" s="2732"/>
      <c r="BW126" s="2732"/>
      <c r="BX126" s="2732"/>
      <c r="BY126" s="2732"/>
      <c r="BZ126" s="2732"/>
      <c r="CA126" s="2732"/>
      <c r="CB126" s="2732"/>
      <c r="CC126" s="2732"/>
      <c r="CD126" s="2732"/>
      <c r="CE126" s="2732"/>
      <c r="CF126" s="2732"/>
      <c r="CG126" s="2732"/>
      <c r="CH126" s="2732"/>
      <c r="CI126" s="2732"/>
      <c r="CJ126" s="2732"/>
      <c r="CK126" s="2732"/>
      <c r="CL126" s="2732"/>
      <c r="CM126" s="2732"/>
      <c r="CN126" s="2732"/>
      <c r="CO126" s="2732"/>
      <c r="CP126" s="2732"/>
      <c r="CQ126" s="2732"/>
      <c r="CR126" s="2732"/>
      <c r="CS126" s="2732"/>
      <c r="CT126" s="2732"/>
      <c r="CU126" s="2732"/>
      <c r="CV126" s="2732"/>
      <c r="CW126" s="2732"/>
      <c r="CX126" s="2732"/>
      <c r="CY126" s="2732"/>
      <c r="CZ126" s="2732"/>
      <c r="DA126" s="2732"/>
      <c r="DB126" s="2732"/>
      <c r="DC126" s="2732"/>
      <c r="DD126" s="2732"/>
      <c r="DE126" s="2732"/>
      <c r="DF126" s="2732"/>
      <c r="DG126" s="2732"/>
      <c r="DH126" s="2732"/>
      <c r="DI126" s="2732"/>
      <c r="DJ126" s="2732"/>
      <c r="DK126" s="2732"/>
      <c r="DL126" s="2732"/>
      <c r="DM126" s="2732"/>
      <c r="DN126" s="2732"/>
      <c r="DO126" s="2732"/>
      <c r="DP126" s="2732"/>
      <c r="DQ126" s="2732"/>
      <c r="DR126" s="2732"/>
      <c r="DS126" s="2732"/>
      <c r="DT126" s="2732"/>
      <c r="DU126" s="2732"/>
      <c r="DV126" s="2732"/>
      <c r="DW126" s="2732"/>
      <c r="DX126" s="2732"/>
      <c r="DY126" s="2732"/>
      <c r="DZ126" s="2732"/>
      <c r="EA126" s="2732"/>
      <c r="EB126" s="2732"/>
      <c r="EC126" s="2732"/>
      <c r="ED126" s="2732"/>
      <c r="EE126" s="2732"/>
      <c r="EF126" s="2732"/>
      <c r="EG126" s="2732"/>
      <c r="EH126" s="2732"/>
      <c r="EI126" s="2732"/>
      <c r="EJ126" s="2732"/>
      <c r="EK126" s="2732"/>
      <c r="EL126" s="2732"/>
      <c r="EM126" s="2732"/>
      <c r="EN126" s="2732"/>
      <c r="EO126" s="2732"/>
      <c r="EP126" s="2732"/>
      <c r="EQ126" s="2732"/>
      <c r="ER126" s="2732"/>
      <c r="ES126" s="2732"/>
      <c r="ET126" s="2732"/>
      <c r="EU126" s="2732"/>
      <c r="EV126" s="2732"/>
      <c r="EW126" s="2732"/>
      <c r="EX126" s="2732"/>
      <c r="EY126" s="2732"/>
      <c r="EZ126" s="2732"/>
      <c r="FA126" s="2732"/>
      <c r="FB126" s="2732"/>
      <c r="FC126" s="2732"/>
      <c r="FD126" s="2732"/>
      <c r="FE126" s="2732"/>
    </row>
    <row r="127" spans="1:161" s="539" customFormat="1" outlineLevel="1">
      <c r="A127" s="540" t="s">
        <v>432</v>
      </c>
      <c r="B127" s="540"/>
      <c r="C127" s="540"/>
      <c r="D127" s="540"/>
    </row>
    <row r="128" spans="1:161" outlineLevel="2">
      <c r="B128" t="s">
        <v>439</v>
      </c>
      <c r="C128" t="s">
        <v>440</v>
      </c>
      <c r="F128" s="2660"/>
      <c r="G128" s="2660">
        <f>Geo!DS80-G129-G135</f>
      </c>
      <c r="H128" s="2660">
        <f>Geo!DT80-H129-H135</f>
      </c>
      <c r="I128" s="2660">
        <f>Geo!DU80-I129-I135</f>
      </c>
      <c r="J128" s="2660">
        <f>Geo!DV80-J129-J135</f>
      </c>
      <c r="K128" s="2660">
        <f>Geo!DW80-K129-K135</f>
      </c>
      <c r="L128" s="2660">
        <f>Geo!DX80-L129-L135</f>
      </c>
      <c r="M128" s="2660">
        <f>Geo!DY80-M129-M135</f>
      </c>
      <c r="N128" s="2660">
        <f>Geo!DZ80-N129-N135</f>
      </c>
      <c r="O128" s="2660">
        <f>Geo!EA80-O129-O135</f>
      </c>
      <c r="P128" s="2660">
        <f>Geo!EB80-P129-P135</f>
      </c>
      <c r="Q128" s="2660">
        <f>Geo!EC80-Q129-Q135</f>
      </c>
      <c r="R128" s="2660">
        <f>Geo!ED80-R129-R135</f>
      </c>
      <c r="S128" s="2660">
        <f>Geo!EE80-S129-S135</f>
      </c>
      <c r="T128" s="2660">
        <f>Geo!EF80-T129-T135</f>
      </c>
      <c r="U128" s="2660">
        <f>Geo!EG80-U129-U135</f>
      </c>
      <c r="V128" s="2660">
        <f>Geo!EH80-V129-V135</f>
      </c>
      <c r="W128" s="2660">
        <f>Geo!EI80-W129-W135</f>
      </c>
      <c r="X128" s="2660">
        <f>Geo!EJ80-X129-X135</f>
      </c>
      <c r="Y128" s="2660">
        <f>Geo!EK80-Y129-Y135</f>
      </c>
      <c r="Z128" s="2660">
        <f>Geo!EL80-Z129-Z135</f>
      </c>
      <c r="AA128" s="2660">
        <f>Geo!EM80-AA129-AA135</f>
      </c>
      <c r="AB128" s="2660">
        <f>Geo!EN80-AB129-AB135</f>
      </c>
      <c r="AC128" s="2660">
        <f>Geo!EO80-AC129-AC135</f>
      </c>
      <c r="AD128" s="2660">
        <f>Geo!EP80-AD129-AD135</f>
      </c>
      <c r="AE128" s="2660">
        <f>Geo!EQ80-AE129-AE135</f>
      </c>
      <c r="AF128" s="2660">
        <f>Geo!ER80-AF129-AF135</f>
      </c>
      <c r="AG128" s="2660">
        <f>Geo!ES80-AG129-AG135</f>
      </c>
      <c r="AH128" s="2660">
        <f>Geo!ET80-AH129-AH135</f>
      </c>
      <c r="AI128" s="2660">
        <f>Geo!EU80-AI129-AI135</f>
      </c>
      <c r="AJ128" s="2660">
        <f>Geo!EV80-AJ129-AJ135</f>
      </c>
      <c r="AK128" s="2660"/>
      <c r="AL128" s="2660"/>
      <c r="AM128" s="2660"/>
      <c r="AN128" s="2660"/>
      <c r="AO128" s="2660"/>
      <c r="AP128" s="2660">
        <f>Geo!B80-AP129-AP135</f>
      </c>
      <c r="AQ128" s="2660">
        <f>Geo!C80-AQ129-AQ135</f>
      </c>
      <c r="AR128" s="2660">
        <f>Geo!D80-AR129-AR135</f>
      </c>
      <c r="AS128" s="2660">
        <f>Geo!E80-AS129-AS135</f>
      </c>
      <c r="AT128" s="2660">
        <f>Geo!F80-AT129-AT135</f>
      </c>
      <c r="AU128" s="2660">
        <f>Geo!G80-AU129-AU135</f>
      </c>
      <c r="AV128" s="2660">
        <f>Geo!H80-AV129-AV135</f>
      </c>
      <c r="AW128" s="2660">
        <f>Geo!I80-AW129-AW135</f>
      </c>
      <c r="AX128" s="2660">
        <f>Geo!J80-AX129-AX135</f>
      </c>
      <c r="AY128" s="2660">
        <f>Geo!K80-AY129-AY135</f>
      </c>
      <c r="AZ128" s="2660">
        <f>Geo!L80-AZ129-AZ135</f>
      </c>
      <c r="BA128" s="2660">
        <f>Geo!M80-BA129-BA135</f>
      </c>
      <c r="BB128" s="2660">
        <f>Geo!N80-BB129-BB135</f>
      </c>
      <c r="BC128" s="2660">
        <f>Geo!O80-BC129-BC135</f>
      </c>
      <c r="BD128" s="2660">
        <f>Geo!P80-BD129-BD135</f>
      </c>
      <c r="BE128" s="2660">
        <f>Geo!Q80-BE129-BE135</f>
      </c>
      <c r="BF128" s="2660">
        <f>Geo!R80-BF129-BF135</f>
      </c>
      <c r="BG128" s="2660">
        <f>Geo!S80-BG129-BG135</f>
      </c>
      <c r="BH128" s="2660">
        <f>Geo!T80-BH129-BH135</f>
      </c>
      <c r="BI128" s="2660">
        <f>Geo!U80-BI129-BI135</f>
      </c>
      <c r="BJ128" s="2660">
        <f>Geo!V80-BJ129-BJ135</f>
      </c>
      <c r="BK128" s="2660">
        <f>Geo!W80-BK129-BK135</f>
      </c>
      <c r="BL128" s="2660">
        <f>Geo!X80-BL129-BL135</f>
      </c>
      <c r="BM128" s="2660">
        <f>Geo!Y80-BM129-BM135</f>
      </c>
      <c r="BN128" s="2660">
        <f>Geo!Z80-BN129-BN135</f>
      </c>
      <c r="BO128" s="2660">
        <f>Geo!AA80-BO129-BO135</f>
      </c>
      <c r="BP128" s="2660">
        <f>Geo!AB80-BP129-BP135</f>
      </c>
      <c r="BQ128" s="2660">
        <f>Geo!AC80-BQ129-BQ135</f>
      </c>
      <c r="BR128" s="2660">
        <f>Geo!AD80-BR129-BR135</f>
      </c>
      <c r="BS128" s="2660">
        <f>Geo!AE80-BS129-BS135</f>
      </c>
      <c r="BT128" s="2660">
        <f>Geo!AF80-BT129-BT135</f>
      </c>
      <c r="BU128" s="2660">
        <f>Geo!AG80-BU129-BU135</f>
      </c>
      <c r="BV128" s="2660">
        <f>Geo!AH80-BV129-BV135</f>
      </c>
      <c r="BW128" s="2660">
        <f>Geo!AI80-BW129-BW135</f>
      </c>
      <c r="BX128" s="2660">
        <f>Geo!AJ80-BX129-BX135</f>
      </c>
      <c r="BY128" s="2660">
        <f>Geo!AK80-BY129-BY135</f>
      </c>
      <c r="BZ128" s="2660">
        <f>Geo!AL80-BZ129-BZ135</f>
      </c>
      <c r="CA128" s="2660">
        <f>Geo!AM80-CA129-CA135</f>
      </c>
      <c r="CB128" s="2660">
        <f>Geo!AN80-CB129-CB135</f>
      </c>
      <c r="CC128" s="2660">
        <f>Geo!AO80-CC129-CC135</f>
      </c>
      <c r="CD128" s="2660">
        <f>Geo!AP80-CD129-CD135</f>
      </c>
      <c r="CE128" s="2660">
        <f>Geo!AQ80-CE129-CE135</f>
      </c>
      <c r="CF128" s="2660">
        <f>Geo!AR80-CF129-CF135</f>
      </c>
      <c r="CG128" s="2660">
        <f>Geo!AS80-CG129-CG135</f>
      </c>
      <c r="CH128" s="2660">
        <f>Geo!AT80-CH129-CH135</f>
      </c>
      <c r="CI128" s="2660">
        <f>Geo!AU80-CI129-CI135</f>
      </c>
      <c r="CJ128" s="2660">
        <f>Geo!AV80-CJ129-CJ135</f>
      </c>
      <c r="CK128" s="2660">
        <f>Geo!AW80-CK129-CK135</f>
      </c>
      <c r="CL128" s="2660">
        <f>Geo!AX80-CL129-CL135</f>
      </c>
      <c r="CM128" s="2660">
        <f>Geo!AY80-CM129-CM135</f>
      </c>
      <c r="CN128" s="2660">
        <f>Geo!AZ80-CN129-CN135</f>
      </c>
      <c r="CO128" s="2660">
        <f>Geo!BA80-CO129-CO135</f>
      </c>
      <c r="CP128" s="2660">
        <f>Geo!BB80-CP129-CP135</f>
      </c>
      <c r="CQ128" s="2660">
        <f>Geo!BC80-CQ129-CQ135</f>
      </c>
      <c r="CR128" s="2660">
        <f>Geo!BD80-CR129-CR135</f>
      </c>
      <c r="CS128" s="2660">
        <f>Geo!BE80-CS129-CS135</f>
      </c>
      <c r="CT128" s="2660">
        <f>Geo!BF80-CT129-CT135</f>
      </c>
      <c r="CU128" s="2660">
        <f>Geo!BG80-CU129-CU135</f>
      </c>
      <c r="CV128" s="2660">
        <f>Geo!BH80-CV129-CV135</f>
      </c>
      <c r="CW128" s="2660">
        <f>Geo!BI80-CW129-CW135</f>
      </c>
      <c r="CX128" s="2660">
        <f>Geo!BJ80-CX129-CX135</f>
      </c>
      <c r="CY128" s="2660">
        <f>Geo!BK80-CY129-CY135</f>
      </c>
      <c r="CZ128" s="2660">
        <f>Geo!BL80-CZ129-CZ135</f>
      </c>
      <c r="DA128" s="2660">
        <f>Geo!BM80-DA129-DA135</f>
      </c>
      <c r="DB128" s="2660">
        <f>Geo!BN80-DB129-DB135</f>
      </c>
      <c r="DC128" s="2660">
        <f>Geo!BO80-DC129-DC135</f>
      </c>
      <c r="DD128" s="2660">
        <f>Geo!BP80-DD129-DD135</f>
      </c>
      <c r="DE128" s="2660">
        <f>Geo!BQ80-DE129-DE135</f>
      </c>
      <c r="DF128" s="2660">
        <f>Geo!BR80-DF129-DF135</f>
      </c>
      <c r="DG128" s="2660">
        <f>Geo!BS80-DG129-DG135</f>
      </c>
      <c r="DH128" s="2660">
        <f>Geo!BT80-DH129-DH135</f>
      </c>
      <c r="DI128" s="2660">
        <f>Geo!BU80-DI129-DI135</f>
      </c>
      <c r="DJ128" s="2660">
        <f>Geo!BV80-DJ129-DJ135</f>
      </c>
      <c r="DK128" s="2660">
        <f>Geo!BW80-DK129-DK135</f>
      </c>
      <c r="DL128" s="2660">
        <f>Geo!BX80-DL129-DL135</f>
      </c>
      <c r="DM128" s="2660">
        <f>Geo!BY80-DM129-DM135</f>
      </c>
      <c r="DN128" s="2660">
        <f>Geo!BZ80-DN129-DN135</f>
      </c>
      <c r="DO128" s="2660">
        <f>Geo!CA80-DO129-DO135</f>
      </c>
      <c r="DP128" s="2660">
        <f>Geo!CB80-DP129-DP135</f>
      </c>
      <c r="DQ128" s="2660">
        <f>Geo!CC80-DQ129-DQ135</f>
      </c>
      <c r="DR128" s="2660">
        <f>Geo!CD80-DR129-DR135</f>
      </c>
      <c r="DS128" s="2660">
        <f>Geo!CE80-DS129-DS135</f>
      </c>
      <c r="DT128" s="2660">
        <f>Geo!CF80-DT129-DT135</f>
      </c>
      <c r="DU128" s="2660">
        <f>Geo!CG80-DU129-DU135</f>
      </c>
      <c r="DV128" s="2660">
        <f>Geo!CH80-DV129-DV135</f>
      </c>
      <c r="DW128" s="2660">
        <f>Geo!CI80-DW129-DW135</f>
      </c>
      <c r="DX128" s="2660">
        <f>Geo!CJ80-DX129-DX135</f>
      </c>
      <c r="DY128" s="2660">
        <f>Geo!CK80-DY129-DY135</f>
      </c>
      <c r="DZ128" s="2660">
        <f>Geo!CL80-DZ129-DZ135</f>
      </c>
      <c r="EA128" s="2660">
        <f>Geo!CM80-EA129-EA135</f>
      </c>
      <c r="EB128" s="2660">
        <f>Geo!CN80-EB129-EB135</f>
      </c>
      <c r="EC128" s="2660">
        <f>Geo!CO80-EC129-EC135</f>
      </c>
      <c r="ED128" s="2660">
        <f>Geo!CP80-ED129-ED135</f>
      </c>
      <c r="EE128" s="2660">
        <f>Geo!CQ80-EE129-EE135</f>
      </c>
      <c r="EF128" s="2660">
        <f>Geo!CR80-EF129-EF135</f>
      </c>
      <c r="EG128" s="2660">
        <f>Geo!CS80-EG129-EG135</f>
      </c>
      <c r="EH128" s="2660">
        <f>Geo!CT80-EH129-EH135</f>
      </c>
      <c r="EI128" s="2660">
        <f>Geo!CU80-EI129-EI135</f>
      </c>
      <c r="EJ128" s="2660">
        <f>Geo!CV80-EJ129-EJ135</f>
      </c>
      <c r="EK128" s="2660">
        <f>Geo!CW80-EK129-EK135</f>
      </c>
      <c r="EL128" s="2660">
        <f>Geo!CX80-EL129-EL135</f>
      </c>
      <c r="EM128" s="2660">
        <f>Geo!CY80-EM129-EM135</f>
      </c>
      <c r="EN128" s="2660">
        <f>Geo!CZ80-EN129-EN135</f>
      </c>
      <c r="EO128" s="2660">
        <f>Geo!DA80-EO129-EO135</f>
      </c>
      <c r="EP128" s="2660">
        <f>Geo!DB80-EP129-EP135</f>
      </c>
      <c r="EQ128" s="2660">
        <f>Geo!DC80-EQ129-EQ135</f>
      </c>
      <c r="ER128" s="2660">
        <f>Geo!DD80-ER129-ER135</f>
      </c>
      <c r="ES128" s="2660">
        <f>Geo!DE80-ES129-ES135</f>
      </c>
      <c r="ET128" s="2660">
        <f>Geo!DF80-ET129-ET135</f>
      </c>
      <c r="EU128" s="2660">
        <f>Geo!DG80-EU129-EU135</f>
      </c>
      <c r="EV128" s="2660">
        <f>Geo!DH80-EV129-EV135</f>
      </c>
      <c r="EW128" s="2660">
        <f>Geo!DI80-EW129-EW135</f>
      </c>
      <c r="EX128" s="2660">
        <f>Geo!DJ80-EX129-EX135</f>
      </c>
      <c r="EY128" s="2660">
        <f>Geo!DK80-EY129-EY135</f>
      </c>
      <c r="EZ128" s="2660">
        <f>Geo!DL80-EZ129-EZ135</f>
      </c>
      <c r="FA128" s="2660">
        <f>Geo!DM80-FA129-FA135</f>
      </c>
      <c r="FB128" s="2660">
        <f>Geo!DN80-FB129-FB135</f>
      </c>
      <c r="FC128" s="2660">
        <f>Geo!DO80-FC129-FC135</f>
      </c>
      <c r="FD128" s="2660">
        <f>Geo!DP80-FD129-FD135</f>
      </c>
      <c r="FE128" s="2660">
        <f>Geo!DQ80-FE129-FE135</f>
      </c>
    </row>
    <row r="129" spans="2:161" outlineLevel="2">
      <c r="B129" t="s">
        <v>437</v>
      </c>
      <c r="C129" t="s">
        <v>438</v>
      </c>
      <c r="F129" s="2660"/>
      <c r="G129" s="2660">
        <f>Geo!DS80*0.9</f>
      </c>
      <c r="H129" s="2660">
        <f>Geo!DT80*0.9</f>
      </c>
      <c r="I129" s="2660">
        <f>Geo!DU80*0.9</f>
      </c>
      <c r="J129" s="2660">
        <f>Geo!DV80*0.9</f>
      </c>
      <c r="K129" s="2660">
        <f>Geo!DW80*0.9</f>
      </c>
      <c r="L129" s="2660">
        <f>Geo!DX80*0.9</f>
      </c>
      <c r="M129" s="2660">
        <f>Geo!DY80*0.9</f>
      </c>
      <c r="N129" s="2660">
        <f>Geo!DZ80*0.9</f>
      </c>
      <c r="O129" s="2660">
        <f>Geo!EA80*0.9</f>
      </c>
      <c r="P129" s="2660">
        <f>Geo!EB80*0.9</f>
      </c>
      <c r="Q129" s="2660">
        <f>Geo!EC80*0.9</f>
      </c>
      <c r="R129" s="2660">
        <f>Geo!ED80*0.9</f>
      </c>
      <c r="S129" s="2660">
        <f>Geo!EE80*0.9</f>
      </c>
      <c r="T129" s="2660">
        <f>Geo!EF80*0.9</f>
      </c>
      <c r="U129" s="2660">
        <f>Geo!EG80*0.9</f>
      </c>
      <c r="V129" s="2660">
        <f>Geo!EH80*0.9</f>
      </c>
      <c r="W129" s="2660">
        <f>Geo!EI80*0.9</f>
      </c>
      <c r="X129" s="2660">
        <f>Geo!EJ80*0.9</f>
      </c>
      <c r="Y129" s="2660">
        <f>Geo!EK80*0.9</f>
      </c>
      <c r="Z129" s="2660">
        <f>Geo!EL80*0.9</f>
      </c>
      <c r="AA129" s="2660">
        <f>Geo!EM80*0.9</f>
      </c>
      <c r="AB129" s="2660">
        <f>Geo!EN80*0.9</f>
      </c>
      <c r="AC129" s="2660">
        <f>Geo!EO80*0.9</f>
      </c>
      <c r="AD129" s="2660">
        <f>Geo!EP80*0.9</f>
      </c>
      <c r="AE129" s="2660">
        <f>Geo!EQ80*0.9</f>
      </c>
      <c r="AF129" s="2660">
        <f>Geo!ER80*0.9</f>
      </c>
      <c r="AG129" s="2660">
        <f>Geo!ES80*0.9</f>
      </c>
      <c r="AH129" s="2660">
        <f>Geo!ET80*0.9</f>
      </c>
      <c r="AI129" s="2660">
        <f>Geo!EU80*0.9</f>
      </c>
      <c r="AJ129" s="2660">
        <f>Geo!EV80*0.9</f>
      </c>
      <c r="AK129" s="2660"/>
      <c r="AL129" s="2660"/>
      <c r="AM129" s="2660"/>
      <c r="AN129" s="2660"/>
      <c r="AO129" s="2660"/>
      <c r="AP129" s="2660">
        <f>Geo!B80*0.9</f>
      </c>
      <c r="AQ129" s="2660">
        <f>Geo!C80*0.9</f>
      </c>
      <c r="AR129" s="2660">
        <f>Geo!D80*0.9</f>
      </c>
      <c r="AS129" s="2660">
        <f>Geo!E80*0.9</f>
      </c>
      <c r="AT129" s="2660">
        <f>Geo!F80*0.9</f>
      </c>
      <c r="AU129" s="2660">
        <f>Geo!G80*0.9</f>
      </c>
      <c r="AV129" s="2660">
        <f>Geo!H80*0.9</f>
      </c>
      <c r="AW129" s="2660">
        <f>Geo!I80*0.9</f>
      </c>
      <c r="AX129" s="2660">
        <f>Geo!J80*0.9</f>
      </c>
      <c r="AY129" s="2660">
        <f>Geo!K80*0.9</f>
      </c>
      <c r="AZ129" s="2660">
        <f>Geo!L80*0.9</f>
      </c>
      <c r="BA129" s="2660">
        <f>Geo!M80*0.9</f>
      </c>
      <c r="BB129" s="2660">
        <f>Geo!N80*0.9</f>
      </c>
      <c r="BC129" s="2660">
        <f>Geo!O80*0.9</f>
      </c>
      <c r="BD129" s="2660">
        <f>Geo!P80*0.9</f>
      </c>
      <c r="BE129" s="2660">
        <f>Geo!Q80*0.9</f>
      </c>
      <c r="BF129" s="2660">
        <f>Geo!R80*0.9</f>
      </c>
      <c r="BG129" s="2660">
        <f>Geo!S80*0.9</f>
      </c>
      <c r="BH129" s="2660">
        <f>Geo!T80*0.9</f>
      </c>
      <c r="BI129" s="2660">
        <f>Geo!U80*0.9</f>
      </c>
      <c r="BJ129" s="2660">
        <f>Geo!V80*0.9</f>
      </c>
      <c r="BK129" s="2660">
        <f>Geo!W80*0.9</f>
      </c>
      <c r="BL129" s="2660">
        <f>Geo!X80*0.9</f>
      </c>
      <c r="BM129" s="2660">
        <f>Geo!Y80*0.9</f>
      </c>
      <c r="BN129" s="2660">
        <f>Geo!Z80*0.9</f>
      </c>
      <c r="BO129" s="2660">
        <f>Geo!AA80*0.9</f>
      </c>
      <c r="BP129" s="2660">
        <f>Geo!AB80*0.9</f>
      </c>
      <c r="BQ129" s="2660">
        <f>Geo!AC80*0.9</f>
      </c>
      <c r="BR129" s="2660">
        <f>Geo!AD80*0.9</f>
      </c>
      <c r="BS129" s="2660">
        <f>Geo!AE80*0.9</f>
      </c>
      <c r="BT129" s="2660">
        <f>Geo!AF80*0.9</f>
      </c>
      <c r="BU129" s="2660">
        <f>Geo!AG80*0.9</f>
      </c>
      <c r="BV129" s="2660">
        <f>Geo!AH80*0.9</f>
      </c>
      <c r="BW129" s="2660">
        <f>Geo!AI80*0.9</f>
      </c>
      <c r="BX129" s="2660">
        <f>Geo!AJ80*0.9</f>
      </c>
      <c r="BY129" s="2660">
        <f>Geo!AK80*0.9</f>
      </c>
      <c r="BZ129" s="2660">
        <f>Geo!AL80*0.9</f>
      </c>
      <c r="CA129" s="2660">
        <f>Geo!AM80*0.9</f>
      </c>
      <c r="CB129" s="2660">
        <f>Geo!AN80*0.9</f>
      </c>
      <c r="CC129" s="2660">
        <f>Geo!AO80*0.9</f>
      </c>
      <c r="CD129" s="2660">
        <f>Geo!AP80*0.9</f>
      </c>
      <c r="CE129" s="2660">
        <f>Geo!AQ80*0.9</f>
      </c>
      <c r="CF129" s="2660">
        <f>Geo!AR80*0.9</f>
      </c>
      <c r="CG129" s="2660">
        <f>Geo!AS80*0.9</f>
      </c>
      <c r="CH129" s="2660">
        <f>Geo!AT80*0.9</f>
      </c>
      <c r="CI129" s="2660">
        <f>Geo!AU80*0.9</f>
      </c>
      <c r="CJ129" s="2660">
        <f>Geo!AV80*0.9</f>
      </c>
      <c r="CK129" s="2660">
        <f>Geo!AW80*0.9</f>
      </c>
      <c r="CL129" s="2660">
        <f>Geo!AX80*0.9</f>
      </c>
      <c r="CM129" s="2660">
        <f>Geo!AY80*0.9</f>
      </c>
      <c r="CN129" s="2660">
        <f>Geo!AZ80*0.9</f>
      </c>
      <c r="CO129" s="2660">
        <f>Geo!BA80*0.9</f>
      </c>
      <c r="CP129" s="2660">
        <f>Geo!BB80*0.9</f>
      </c>
      <c r="CQ129" s="2660">
        <f>Geo!BC80*0.9</f>
      </c>
      <c r="CR129" s="2660">
        <f>Geo!BD80*0.9</f>
      </c>
      <c r="CS129" s="2660">
        <f>Geo!BE80*0.9</f>
      </c>
      <c r="CT129" s="2660">
        <f>Geo!BF80*0.9</f>
      </c>
      <c r="CU129" s="2660">
        <f>Geo!BG80*0.9</f>
      </c>
      <c r="CV129" s="2660">
        <f>Geo!BH80*0.9</f>
      </c>
      <c r="CW129" s="2660">
        <f>Geo!BI80*0.9</f>
      </c>
      <c r="CX129" s="2660">
        <f>Geo!BJ80*0.9</f>
      </c>
      <c r="CY129" s="2660">
        <f>Geo!BK80*0.9</f>
      </c>
      <c r="CZ129" s="2660">
        <f>Geo!BL80*0.9</f>
      </c>
      <c r="DA129" s="2660">
        <f>Geo!BM80*0.9</f>
      </c>
      <c r="DB129" s="2660">
        <f>Geo!BN80*0.9</f>
      </c>
      <c r="DC129" s="2660">
        <f>Geo!BO80*0.9</f>
      </c>
      <c r="DD129" s="2660">
        <f>Geo!BP80*0.9</f>
      </c>
      <c r="DE129" s="2660">
        <f>Geo!BQ80*0.9</f>
      </c>
      <c r="DF129" s="2660">
        <f>Geo!BR80*0.9</f>
      </c>
      <c r="DG129" s="2660">
        <f>Geo!BS80*0.9</f>
      </c>
      <c r="DH129" s="2660">
        <f>Geo!BT80*0.9</f>
      </c>
      <c r="DI129" s="2660">
        <f>Geo!BU80*0.9</f>
      </c>
      <c r="DJ129" s="2660">
        <f>Geo!BV80*0.9</f>
      </c>
      <c r="DK129" s="2660">
        <f>Geo!BW80*0.9</f>
      </c>
      <c r="DL129" s="2660">
        <f>Geo!BX80*0.9</f>
      </c>
      <c r="DM129" s="2660">
        <f>Geo!BY80*0.9</f>
      </c>
      <c r="DN129" s="2660">
        <f>Geo!BZ80*0.9</f>
      </c>
      <c r="DO129" s="2660">
        <f>Geo!CA80*0.9</f>
      </c>
      <c r="DP129" s="2660">
        <f>Geo!CB80*0.9</f>
      </c>
      <c r="DQ129" s="2660">
        <f>Geo!CC80*0.9</f>
      </c>
      <c r="DR129" s="2660">
        <f>Geo!CD80*0.9</f>
      </c>
      <c r="DS129" s="2660">
        <f>Geo!CE80*0.9</f>
      </c>
      <c r="DT129" s="2660">
        <f>Geo!CF80*0.9</f>
      </c>
      <c r="DU129" s="2660">
        <f>Geo!CG80*0.9</f>
      </c>
      <c r="DV129" s="2660">
        <f>Geo!CH80*0.9</f>
      </c>
      <c r="DW129" s="2660">
        <f>Geo!CI80*0.9</f>
      </c>
      <c r="DX129" s="2660">
        <f>Geo!CJ80*0.9</f>
      </c>
      <c r="DY129" s="2660">
        <f>Geo!CK80*0.9</f>
      </c>
      <c r="DZ129" s="2660">
        <f>Geo!CL80*0.9</f>
      </c>
      <c r="EA129" s="2660">
        <f>Geo!CM80*0.9</f>
      </c>
      <c r="EB129" s="2660">
        <f>Geo!CN80*0.9</f>
      </c>
      <c r="EC129" s="2660">
        <f>Geo!CO80*0.9</f>
      </c>
      <c r="ED129" s="2660">
        <f>Geo!CP80*0.9</f>
      </c>
      <c r="EE129" s="2660">
        <f>Geo!CQ80*0.9</f>
      </c>
      <c r="EF129" s="2660">
        <f>Geo!CR80*0.9</f>
      </c>
      <c r="EG129" s="2660">
        <f>Geo!CS80*0.9</f>
      </c>
      <c r="EH129" s="2660">
        <f>Geo!CT80*0.9</f>
      </c>
      <c r="EI129" s="2660">
        <f>Geo!CU80*0.9</f>
      </c>
      <c r="EJ129" s="2660">
        <f>Geo!CV80*0.9</f>
      </c>
      <c r="EK129" s="2660">
        <f>Geo!CW80*0.9</f>
      </c>
      <c r="EL129" s="2660">
        <f>Geo!CX80*0.9</f>
      </c>
      <c r="EM129" s="2660">
        <f>Geo!CY80*0.9</f>
      </c>
      <c r="EN129" s="2660">
        <f>Geo!CZ80*0.9</f>
      </c>
      <c r="EO129" s="2660">
        <f>Geo!DA80*0.9</f>
      </c>
      <c r="EP129" s="2660">
        <f>Geo!DB80*0.9</f>
      </c>
      <c r="EQ129" s="2660">
        <f>Geo!DC80*0.9</f>
      </c>
      <c r="ER129" s="2660">
        <f>Geo!DD80*0.9</f>
      </c>
      <c r="ES129" s="2660">
        <f>Geo!DE80*0.9</f>
      </c>
      <c r="ET129" s="2660">
        <f>Geo!DF80*0.9</f>
      </c>
      <c r="EU129" s="2660">
        <f>Geo!DG80*0.9</f>
      </c>
      <c r="EV129" s="2660">
        <f>Geo!DH80*0.9</f>
      </c>
      <c r="EW129" s="2660">
        <f>Geo!DI80*0.9</f>
      </c>
      <c r="EX129" s="2660">
        <f>Geo!DJ80*0.9</f>
      </c>
      <c r="EY129" s="2660">
        <f>Geo!DK80*0.9</f>
      </c>
      <c r="EZ129" s="2660">
        <f>Geo!DL80*0.9</f>
      </c>
      <c r="FA129" s="2660">
        <f>Geo!DM80*0.9</f>
      </c>
      <c r="FB129" s="2660">
        <f>Geo!DN80*0.9</f>
      </c>
      <c r="FC129" s="2660">
        <f>Geo!DO80*0.9</f>
      </c>
      <c r="FD129" s="2660">
        <f>Geo!DP80*0.9</f>
      </c>
      <c r="FE129" s="2660">
        <f>Geo!DQ80*0.9</f>
      </c>
    </row>
    <row r="130" spans="2:161" outlineLevel="2">
      <c r="B130" t="s">
        <v>743</v>
      </c>
      <c r="C130" t="s">
        <v>744</v>
      </c>
      <c r="F130" s="2660"/>
      <c r="G130" s="2660"/>
      <c r="H130" s="2660"/>
      <c r="I130" s="2660"/>
      <c r="J130" s="2660"/>
      <c r="K130" s="2660"/>
      <c r="L130" s="2660"/>
      <c r="M130" s="2660"/>
      <c r="N130" s="2660"/>
      <c r="O130" s="2660"/>
      <c r="P130" s="2660"/>
      <c r="Q130" s="2660"/>
      <c r="R130" s="2660"/>
      <c r="S130" s="2660"/>
      <c r="T130" s="2660"/>
      <c r="U130" s="2660"/>
      <c r="V130" s="2660"/>
      <c r="W130" s="2660"/>
      <c r="X130" s="2660"/>
      <c r="Y130" s="2660"/>
      <c r="Z130" s="2660"/>
      <c r="AA130" s="2660"/>
      <c r="AB130" s="2660"/>
      <c r="AC130" s="2660"/>
      <c r="AD130" s="2660"/>
      <c r="AE130" s="2660"/>
      <c r="AF130" s="2660"/>
      <c r="AG130" s="2660"/>
      <c r="AH130" s="2660"/>
      <c r="AI130" s="2660"/>
      <c r="AJ130" s="2660"/>
      <c r="AK130" s="2660"/>
      <c r="AL130" s="2660"/>
      <c r="AM130" s="2660"/>
      <c r="AN130" s="2660"/>
      <c r="AO130" s="2660"/>
      <c r="AP130" s="2660"/>
      <c r="AQ130" s="2660"/>
      <c r="AR130" s="2660"/>
      <c r="AS130" s="2660"/>
      <c r="AT130" s="2660"/>
      <c r="AU130" s="2660"/>
      <c r="AV130" s="2660"/>
      <c r="AW130" s="2660"/>
      <c r="AX130" s="2660"/>
      <c r="AY130" s="2660"/>
      <c r="AZ130" s="2660"/>
      <c r="BA130" s="2660"/>
      <c r="BB130" s="2660"/>
      <c r="BC130" s="2660"/>
      <c r="BD130" s="2660"/>
      <c r="BE130" s="2660"/>
      <c r="BF130" s="2660"/>
      <c r="BG130" s="2660"/>
      <c r="BH130" s="2660"/>
      <c r="BI130" s="2660"/>
      <c r="BJ130" s="2660"/>
      <c r="BK130" s="2660"/>
      <c r="BL130" s="2660"/>
      <c r="BM130" s="2660"/>
      <c r="BN130" s="2660"/>
      <c r="BO130" s="2660"/>
      <c r="BP130" s="2660"/>
      <c r="BQ130" s="2660"/>
      <c r="BR130" s="2660"/>
      <c r="BS130" s="2660"/>
      <c r="BT130" s="2660"/>
      <c r="BU130" s="2660"/>
      <c r="BV130" s="2660"/>
      <c r="BW130" s="2660"/>
      <c r="BX130" s="2660"/>
      <c r="BY130" s="2660"/>
      <c r="BZ130" s="2660"/>
      <c r="CA130" s="2660"/>
      <c r="CB130" s="2660"/>
      <c r="CC130" s="2660"/>
      <c r="CD130" s="2660"/>
      <c r="CE130" s="2660"/>
      <c r="CF130" s="2660"/>
      <c r="CG130" s="2660"/>
      <c r="CH130" s="2660"/>
      <c r="CI130" s="2660"/>
      <c r="CJ130" s="2660"/>
      <c r="CK130" s="2660"/>
      <c r="CL130" s="2660"/>
      <c r="CM130" s="2660"/>
      <c r="CN130" s="2660"/>
      <c r="CO130" s="2660"/>
      <c r="CP130" s="2660"/>
      <c r="CQ130" s="2660"/>
      <c r="CR130" s="2660"/>
      <c r="CS130" s="2660"/>
      <c r="CT130" s="2660"/>
      <c r="CU130" s="2660"/>
      <c r="CV130" s="2660"/>
      <c r="CW130" s="2660"/>
      <c r="CX130" s="2660"/>
      <c r="CY130" s="2660"/>
      <c r="CZ130" s="2660"/>
      <c r="DA130" s="2660"/>
      <c r="DB130" s="2660"/>
      <c r="DC130" s="2660"/>
      <c r="DD130" s="2660"/>
      <c r="DE130" s="2660"/>
      <c r="DF130" s="2660"/>
      <c r="DG130" s="2660"/>
      <c r="DH130" s="2660"/>
      <c r="DI130" s="2660"/>
      <c r="DJ130" s="2660"/>
      <c r="DK130" s="2660"/>
      <c r="DL130" s="2660"/>
      <c r="DM130" s="2660"/>
      <c r="DN130" s="2660"/>
      <c r="DO130" s="2660"/>
      <c r="DP130" s="2660"/>
      <c r="DQ130" s="2660"/>
      <c r="DR130" s="2660"/>
      <c r="DS130" s="2660"/>
      <c r="DT130" s="2660"/>
      <c r="DU130" s="2660"/>
      <c r="DV130" s="2660"/>
      <c r="DW130" s="2660"/>
      <c r="DX130" s="2660"/>
      <c r="DY130" s="2660"/>
      <c r="DZ130" s="2660"/>
      <c r="EA130" s="2660"/>
      <c r="EB130" s="2660"/>
      <c r="EC130" s="2660"/>
      <c r="ED130" s="2660"/>
      <c r="EE130" s="2660"/>
      <c r="EF130" s="2660"/>
      <c r="EG130" s="2660"/>
      <c r="EH130" s="2660"/>
      <c r="EI130" s="2660"/>
      <c r="EJ130" s="2660"/>
      <c r="EK130" s="2660"/>
      <c r="EL130" s="2660"/>
      <c r="EM130" s="2660"/>
      <c r="EN130" s="2660"/>
      <c r="EO130" s="2660"/>
      <c r="EP130" s="2660"/>
      <c r="EQ130" s="2660"/>
      <c r="ER130" s="2660"/>
      <c r="ES130" s="2660"/>
      <c r="ET130" s="2660"/>
      <c r="EU130" s="2660"/>
      <c r="EV130" s="2660"/>
      <c r="EW130" s="2660"/>
      <c r="EX130" s="2660"/>
      <c r="EY130" s="2660"/>
      <c r="EZ130" s="2660"/>
      <c r="FA130" s="2660"/>
      <c r="FB130" s="2660"/>
      <c r="FC130" s="2660"/>
      <c r="FD130" s="2660"/>
      <c r="FE130" s="2660"/>
    </row>
    <row r="131" spans="2:161" outlineLevel="2">
      <c r="B131" t="s">
        <v>441</v>
      </c>
      <c r="C131" t="s">
        <v>442</v>
      </c>
      <c r="F131" s="2660"/>
      <c r="G131" s="2660"/>
      <c r="H131" s="2660"/>
      <c r="I131" s="2660"/>
      <c r="J131" s="2660"/>
      <c r="K131" s="2660"/>
      <c r="L131" s="2660"/>
      <c r="M131" s="2660"/>
      <c r="N131" s="2660"/>
      <c r="O131" s="2660"/>
      <c r="P131" s="2660"/>
      <c r="Q131" s="2660"/>
      <c r="R131" s="2660"/>
      <c r="S131" s="2660"/>
      <c r="T131" s="2660"/>
      <c r="U131" s="2660"/>
      <c r="V131" s="2660"/>
      <c r="W131" s="2660"/>
      <c r="X131" s="2660"/>
      <c r="Y131" s="2660"/>
      <c r="Z131" s="2660"/>
      <c r="AA131" s="2660"/>
      <c r="AB131" s="2660"/>
      <c r="AC131" s="2660"/>
      <c r="AD131" s="2660"/>
      <c r="AE131" s="2660"/>
      <c r="AF131" s="2660"/>
      <c r="AG131" s="2660"/>
      <c r="AH131" s="2660"/>
      <c r="AI131" s="2660"/>
      <c r="AJ131" s="2660"/>
      <c r="AK131" s="2660"/>
      <c r="AL131" s="2660"/>
      <c r="AM131" s="2660"/>
      <c r="AN131" s="2660"/>
      <c r="AO131" s="2660"/>
      <c r="AP131" s="2660"/>
      <c r="AQ131" s="2660"/>
      <c r="AR131" s="2660"/>
      <c r="AS131" s="2660"/>
      <c r="AT131" s="2660"/>
      <c r="AU131" s="2660"/>
      <c r="AV131" s="2660"/>
      <c r="AW131" s="2660"/>
      <c r="AX131" s="2660"/>
      <c r="AY131" s="2660"/>
      <c r="AZ131" s="2660"/>
      <c r="BA131" s="2660"/>
      <c r="BB131" s="2660"/>
      <c r="BC131" s="2660"/>
      <c r="BD131" s="2660"/>
      <c r="BE131" s="2660"/>
      <c r="BF131" s="2660"/>
      <c r="BG131" s="2660"/>
      <c r="BH131" s="2660"/>
      <c r="BI131" s="2660"/>
      <c r="BJ131" s="2660"/>
      <c r="BK131" s="2660"/>
      <c r="BL131" s="2660"/>
      <c r="BM131" s="2660"/>
      <c r="BN131" s="2660"/>
      <c r="BO131" s="2660"/>
      <c r="BP131" s="2660"/>
      <c r="BQ131" s="2660"/>
      <c r="BR131" s="2660"/>
      <c r="BS131" s="2660"/>
      <c r="BT131" s="2660"/>
      <c r="BU131" s="2660"/>
      <c r="BV131" s="2660"/>
      <c r="BW131" s="2660"/>
      <c r="BX131" s="2660"/>
      <c r="BY131" s="2660"/>
      <c r="BZ131" s="2660"/>
      <c r="CA131" s="2660"/>
      <c r="CB131" s="2660"/>
      <c r="CC131" s="2660"/>
      <c r="CD131" s="2660"/>
      <c r="CE131" s="2660"/>
      <c r="CF131" s="2660"/>
      <c r="CG131" s="2660"/>
      <c r="CH131" s="2660"/>
      <c r="CI131" s="2660"/>
      <c r="CJ131" s="2660"/>
      <c r="CK131" s="2660"/>
      <c r="CL131" s="2660"/>
      <c r="CM131" s="2660"/>
      <c r="CN131" s="2660"/>
      <c r="CO131" s="2660"/>
      <c r="CP131" s="2660"/>
      <c r="CQ131" s="2660"/>
      <c r="CR131" s="2660"/>
      <c r="CS131" s="2660"/>
      <c r="CT131" s="2660"/>
      <c r="CU131" s="2660"/>
      <c r="CV131" s="2660"/>
      <c r="CW131" s="2660"/>
      <c r="CX131" s="2660"/>
      <c r="CY131" s="2660"/>
      <c r="CZ131" s="2660"/>
      <c r="DA131" s="2660"/>
      <c r="DB131" s="2660"/>
      <c r="DC131" s="2660"/>
      <c r="DD131" s="2660"/>
      <c r="DE131" s="2660"/>
      <c r="DF131" s="2660"/>
      <c r="DG131" s="2660"/>
      <c r="DH131" s="2660"/>
      <c r="DI131" s="2660"/>
      <c r="DJ131" s="2660"/>
      <c r="DK131" s="2660"/>
      <c r="DL131" s="2660"/>
      <c r="DM131" s="2660"/>
      <c r="DN131" s="2660"/>
      <c r="DO131" s="2660"/>
      <c r="DP131" s="2660"/>
      <c r="DQ131" s="2660"/>
      <c r="DR131" s="2660"/>
      <c r="DS131" s="2660"/>
      <c r="DT131" s="2660"/>
      <c r="DU131" s="2660"/>
      <c r="DV131" s="2660"/>
      <c r="DW131" s="2660"/>
      <c r="DX131" s="2660"/>
      <c r="DY131" s="2660"/>
      <c r="DZ131" s="2660"/>
      <c r="EA131" s="2660"/>
      <c r="EB131" s="2660"/>
      <c r="EC131" s="2660"/>
      <c r="ED131" s="2660"/>
      <c r="EE131" s="2660"/>
      <c r="EF131" s="2660"/>
      <c r="EG131" s="2660"/>
      <c r="EH131" s="2660"/>
      <c r="EI131" s="2660"/>
      <c r="EJ131" s="2660"/>
      <c r="EK131" s="2660"/>
      <c r="EL131" s="2660"/>
      <c r="EM131" s="2660"/>
      <c r="EN131" s="2660"/>
      <c r="EO131" s="2660"/>
      <c r="EP131" s="2660"/>
      <c r="EQ131" s="2660"/>
      <c r="ER131" s="2660"/>
      <c r="ES131" s="2660"/>
      <c r="ET131" s="2660"/>
      <c r="EU131" s="2660"/>
      <c r="EV131" s="2660"/>
      <c r="EW131" s="2660"/>
      <c r="EX131" s="2660"/>
      <c r="EY131" s="2660"/>
      <c r="EZ131" s="2660"/>
      <c r="FA131" s="2660"/>
      <c r="FB131" s="2660"/>
      <c r="FC131" s="2660"/>
      <c r="FD131" s="2660"/>
      <c r="FE131" s="2660"/>
    </row>
    <row r="132" spans="2:161" outlineLevel="2">
      <c r="B132" t="s">
        <v>443</v>
      </c>
      <c r="C132" t="s">
        <v>444</v>
      </c>
      <c r="F132" s="2660"/>
      <c r="G132" s="2660"/>
      <c r="H132" s="2660"/>
      <c r="I132" s="2660"/>
      <c r="J132" s="2660"/>
      <c r="K132" s="2660"/>
      <c r="L132" s="2660"/>
      <c r="M132" s="2660"/>
      <c r="N132" s="2660"/>
      <c r="O132" s="2660"/>
      <c r="P132" s="2660"/>
      <c r="Q132" s="2660"/>
      <c r="R132" s="2660"/>
      <c r="S132" s="2660"/>
      <c r="T132" s="2660"/>
      <c r="U132" s="2660"/>
      <c r="V132" s="2660"/>
      <c r="W132" s="2660"/>
      <c r="X132" s="2660"/>
      <c r="Y132" s="2660"/>
      <c r="Z132" s="2660"/>
      <c r="AA132" s="2660"/>
      <c r="AB132" s="2660"/>
      <c r="AC132" s="2660"/>
      <c r="AD132" s="2660"/>
      <c r="AE132" s="2660"/>
      <c r="AF132" s="2660"/>
      <c r="AG132" s="2660"/>
      <c r="AH132" s="2660"/>
      <c r="AI132" s="2660"/>
      <c r="AJ132" s="2660"/>
      <c r="AK132" s="2660"/>
      <c r="AL132" s="2660"/>
      <c r="AM132" s="2660"/>
      <c r="AN132" s="2660"/>
      <c r="AO132" s="2660"/>
      <c r="AP132" s="2660"/>
      <c r="AQ132" s="2660"/>
      <c r="AR132" s="2660"/>
      <c r="AS132" s="2660"/>
      <c r="AT132" s="2660"/>
      <c r="AU132" s="2660"/>
      <c r="AV132" s="2660"/>
      <c r="AW132" s="2660"/>
      <c r="AX132" s="2660"/>
      <c r="AY132" s="2660"/>
      <c r="AZ132" s="2660"/>
      <c r="BA132" s="2660"/>
      <c r="BB132" s="2660"/>
      <c r="BC132" s="2660"/>
      <c r="BD132" s="2660"/>
      <c r="BE132" s="2660"/>
      <c r="BF132" s="2660"/>
      <c r="BG132" s="2660"/>
      <c r="BH132" s="2660"/>
      <c r="BI132" s="2660"/>
      <c r="BJ132" s="2660"/>
      <c r="BK132" s="2660"/>
      <c r="BL132" s="2660"/>
      <c r="BM132" s="2660"/>
      <c r="BN132" s="2660"/>
      <c r="BO132" s="2660"/>
      <c r="BP132" s="2660"/>
      <c r="BQ132" s="2660"/>
      <c r="BR132" s="2660"/>
      <c r="BS132" s="2660"/>
      <c r="BT132" s="2660"/>
      <c r="BU132" s="2660"/>
      <c r="BV132" s="2660"/>
      <c r="BW132" s="2660"/>
      <c r="BX132" s="2660"/>
      <c r="BY132" s="2660"/>
      <c r="BZ132" s="2660"/>
      <c r="CA132" s="2660"/>
      <c r="CB132" s="2660"/>
      <c r="CC132" s="2660"/>
      <c r="CD132" s="2660"/>
      <c r="CE132" s="2660"/>
      <c r="CF132" s="2660"/>
      <c r="CG132" s="2660"/>
      <c r="CH132" s="2660"/>
      <c r="CI132" s="2660"/>
      <c r="CJ132" s="2660"/>
      <c r="CK132" s="2660"/>
      <c r="CL132" s="2660"/>
      <c r="CM132" s="2660"/>
      <c r="CN132" s="2660"/>
      <c r="CO132" s="2660"/>
      <c r="CP132" s="2660"/>
      <c r="CQ132" s="2660"/>
      <c r="CR132" s="2660"/>
      <c r="CS132" s="2660"/>
      <c r="CT132" s="2660"/>
      <c r="CU132" s="2660"/>
      <c r="CV132" s="2660"/>
      <c r="CW132" s="2660"/>
      <c r="CX132" s="2660"/>
      <c r="CY132" s="2660"/>
      <c r="CZ132" s="2660"/>
      <c r="DA132" s="2660"/>
      <c r="DB132" s="2660"/>
      <c r="DC132" s="2660"/>
      <c r="DD132" s="2660"/>
      <c r="DE132" s="2660"/>
      <c r="DF132" s="2660"/>
      <c r="DG132" s="2660"/>
      <c r="DH132" s="2660"/>
      <c r="DI132" s="2660"/>
      <c r="DJ132" s="2660"/>
      <c r="DK132" s="2660"/>
      <c r="DL132" s="2660"/>
      <c r="DM132" s="2660"/>
      <c r="DN132" s="2660"/>
      <c r="DO132" s="2660"/>
      <c r="DP132" s="2660"/>
      <c r="DQ132" s="2660"/>
      <c r="DR132" s="2660"/>
      <c r="DS132" s="2660"/>
      <c r="DT132" s="2660"/>
      <c r="DU132" s="2660"/>
      <c r="DV132" s="2660"/>
      <c r="DW132" s="2660"/>
      <c r="DX132" s="2660"/>
      <c r="DY132" s="2660"/>
      <c r="DZ132" s="2660"/>
      <c r="EA132" s="2660"/>
      <c r="EB132" s="2660"/>
      <c r="EC132" s="2660"/>
      <c r="ED132" s="2660"/>
      <c r="EE132" s="2660"/>
      <c r="EF132" s="2660"/>
      <c r="EG132" s="2660"/>
      <c r="EH132" s="2660"/>
      <c r="EI132" s="2660"/>
      <c r="EJ132" s="2660"/>
      <c r="EK132" s="2660"/>
      <c r="EL132" s="2660"/>
      <c r="EM132" s="2660"/>
      <c r="EN132" s="2660"/>
      <c r="EO132" s="2660"/>
      <c r="EP132" s="2660"/>
      <c r="EQ132" s="2660"/>
      <c r="ER132" s="2660"/>
      <c r="ES132" s="2660"/>
      <c r="ET132" s="2660"/>
      <c r="EU132" s="2660"/>
      <c r="EV132" s="2660"/>
      <c r="EW132" s="2660"/>
      <c r="EX132" s="2660"/>
      <c r="EY132" s="2660"/>
      <c r="EZ132" s="2660"/>
      <c r="FA132" s="2660"/>
      <c r="FB132" s="2660"/>
      <c r="FC132" s="2660"/>
      <c r="FD132" s="2660"/>
      <c r="FE132" s="2660"/>
    </row>
    <row r="133" spans="2:161" outlineLevel="2">
      <c r="B133" t="s">
        <v>445</v>
      </c>
      <c r="C133" t="s">
        <v>446</v>
      </c>
      <c r="F133" s="2660"/>
      <c r="G133" s="2660"/>
      <c r="H133" s="2660"/>
      <c r="I133" s="2660"/>
      <c r="J133" s="2660"/>
      <c r="K133" s="2660"/>
      <c r="L133" s="2660"/>
      <c r="M133" s="2660"/>
      <c r="N133" s="2660"/>
      <c r="O133" s="2660"/>
      <c r="P133" s="2660"/>
      <c r="Q133" s="2660"/>
      <c r="R133" s="2660"/>
      <c r="S133" s="2660"/>
      <c r="T133" s="2660"/>
      <c r="U133" s="2660"/>
      <c r="V133" s="2660"/>
      <c r="W133" s="2660"/>
      <c r="X133" s="2660"/>
      <c r="Y133" s="2660"/>
      <c r="Z133" s="2660"/>
      <c r="AA133" s="2660"/>
      <c r="AB133" s="2660"/>
      <c r="AC133" s="2660"/>
      <c r="AD133" s="2660"/>
      <c r="AE133" s="2660"/>
      <c r="AF133" s="2660"/>
      <c r="AG133" s="2660"/>
      <c r="AH133" s="2660"/>
      <c r="AI133" s="2660"/>
      <c r="AJ133" s="2660"/>
      <c r="AK133" s="2660"/>
      <c r="AL133" s="2660"/>
      <c r="AM133" s="2660"/>
      <c r="AN133" s="2660"/>
      <c r="AO133" s="2660"/>
      <c r="AP133" s="2660"/>
      <c r="AQ133" s="2660"/>
      <c r="AR133" s="2660"/>
      <c r="AS133" s="2660"/>
      <c r="AT133" s="2660"/>
      <c r="AU133" s="2660"/>
      <c r="AV133" s="2660"/>
      <c r="AW133" s="2660"/>
      <c r="AX133" s="2660"/>
      <c r="AY133" s="2660"/>
      <c r="AZ133" s="2660"/>
      <c r="BA133" s="2660"/>
      <c r="BB133" s="2660"/>
      <c r="BC133" s="2660"/>
      <c r="BD133" s="2660"/>
      <c r="BE133" s="2660"/>
      <c r="BF133" s="2660"/>
      <c r="BG133" s="2660"/>
      <c r="BH133" s="2660"/>
      <c r="BI133" s="2660"/>
      <c r="BJ133" s="2660"/>
      <c r="BK133" s="2660"/>
      <c r="BL133" s="2660"/>
      <c r="BM133" s="2660"/>
      <c r="BN133" s="2660"/>
      <c r="BO133" s="2660"/>
      <c r="BP133" s="2660"/>
      <c r="BQ133" s="2660"/>
      <c r="BR133" s="2660"/>
      <c r="BS133" s="2660"/>
      <c r="BT133" s="2660"/>
      <c r="BU133" s="2660"/>
      <c r="BV133" s="2660"/>
      <c r="BW133" s="2660"/>
      <c r="BX133" s="2660"/>
      <c r="BY133" s="2660"/>
      <c r="BZ133" s="2660"/>
      <c r="CA133" s="2660"/>
      <c r="CB133" s="2660"/>
      <c r="CC133" s="2660"/>
      <c r="CD133" s="2660"/>
      <c r="CE133" s="2660"/>
      <c r="CF133" s="2660"/>
      <c r="CG133" s="2660"/>
      <c r="CH133" s="2660"/>
      <c r="CI133" s="2660"/>
      <c r="CJ133" s="2660"/>
      <c r="CK133" s="2660"/>
      <c r="CL133" s="2660"/>
      <c r="CM133" s="2660"/>
      <c r="CN133" s="2660"/>
      <c r="CO133" s="2660"/>
      <c r="CP133" s="2660"/>
      <c r="CQ133" s="2660"/>
      <c r="CR133" s="2660"/>
      <c r="CS133" s="2660"/>
      <c r="CT133" s="2660"/>
      <c r="CU133" s="2660"/>
      <c r="CV133" s="2660"/>
      <c r="CW133" s="2660"/>
      <c r="CX133" s="2660"/>
      <c r="CY133" s="2660"/>
      <c r="CZ133" s="2660"/>
      <c r="DA133" s="2660"/>
      <c r="DB133" s="2660"/>
      <c r="DC133" s="2660"/>
      <c r="DD133" s="2660"/>
      <c r="DE133" s="2660"/>
      <c r="DF133" s="2660"/>
      <c r="DG133" s="2660"/>
      <c r="DH133" s="2660"/>
      <c r="DI133" s="2660"/>
      <c r="DJ133" s="2660"/>
      <c r="DK133" s="2660"/>
      <c r="DL133" s="2660"/>
      <c r="DM133" s="2660"/>
      <c r="DN133" s="2660"/>
      <c r="DO133" s="2660"/>
      <c r="DP133" s="2660"/>
      <c r="DQ133" s="2660"/>
      <c r="DR133" s="2660"/>
      <c r="DS133" s="2660"/>
      <c r="DT133" s="2660"/>
      <c r="DU133" s="2660"/>
      <c r="DV133" s="2660"/>
      <c r="DW133" s="2660"/>
      <c r="DX133" s="2660"/>
      <c r="DY133" s="2660"/>
      <c r="DZ133" s="2660"/>
      <c r="EA133" s="2660"/>
      <c r="EB133" s="2660"/>
      <c r="EC133" s="2660"/>
      <c r="ED133" s="2660"/>
      <c r="EE133" s="2660"/>
      <c r="EF133" s="2660"/>
      <c r="EG133" s="2660"/>
      <c r="EH133" s="2660"/>
      <c r="EI133" s="2660"/>
      <c r="EJ133" s="2660"/>
      <c r="EK133" s="2660"/>
      <c r="EL133" s="2660"/>
      <c r="EM133" s="2660"/>
      <c r="EN133" s="2660"/>
      <c r="EO133" s="2660"/>
      <c r="EP133" s="2660"/>
      <c r="EQ133" s="2660"/>
      <c r="ER133" s="2660"/>
      <c r="ES133" s="2660"/>
      <c r="ET133" s="2660"/>
      <c r="EU133" s="2660"/>
      <c r="EV133" s="2660"/>
      <c r="EW133" s="2660"/>
      <c r="EX133" s="2660"/>
      <c r="EY133" s="2660"/>
      <c r="EZ133" s="2660"/>
      <c r="FA133" s="2660"/>
      <c r="FB133" s="2660"/>
      <c r="FC133" s="2660"/>
      <c r="FD133" s="2660"/>
      <c r="FE133" s="2660"/>
    </row>
    <row r="134" spans="2:161" outlineLevel="2">
      <c r="B134" t="s">
        <v>447</v>
      </c>
      <c r="C134" t="s">
        <v>448</v>
      </c>
      <c r="F134" s="2660"/>
      <c r="G134" s="2660"/>
      <c r="H134" s="2660"/>
      <c r="I134" s="2660"/>
      <c r="J134" s="2660"/>
      <c r="K134" s="2660"/>
      <c r="L134" s="2660"/>
      <c r="M134" s="2660"/>
      <c r="N134" s="2660"/>
      <c r="O134" s="2660"/>
      <c r="P134" s="2660"/>
      <c r="Q134" s="2660"/>
      <c r="R134" s="2660"/>
      <c r="S134" s="2660"/>
      <c r="T134" s="2660"/>
      <c r="U134" s="2660"/>
      <c r="V134" s="2660"/>
      <c r="W134" s="2660"/>
      <c r="X134" s="2660"/>
      <c r="Y134" s="2660"/>
      <c r="Z134" s="2660"/>
      <c r="AA134" s="2660"/>
      <c r="AB134" s="2660"/>
      <c r="AC134" s="2660"/>
      <c r="AD134" s="2660"/>
      <c r="AE134" s="2660"/>
      <c r="AF134" s="2660"/>
      <c r="AG134" s="2660"/>
      <c r="AH134" s="2660"/>
      <c r="AI134" s="2660"/>
      <c r="AJ134" s="2660"/>
      <c r="AK134" s="2660"/>
      <c r="AL134" s="2660"/>
      <c r="AM134" s="2660"/>
      <c r="AN134" s="2660"/>
      <c r="AO134" s="2660"/>
      <c r="AP134" s="2660"/>
      <c r="AQ134" s="2660"/>
      <c r="AR134" s="2660"/>
      <c r="AS134" s="2660"/>
      <c r="AT134" s="2660"/>
      <c r="AU134" s="2660"/>
      <c r="AV134" s="2660"/>
      <c r="AW134" s="2660"/>
      <c r="AX134" s="2660"/>
      <c r="AY134" s="2660"/>
      <c r="AZ134" s="2660"/>
      <c r="BA134" s="2660"/>
      <c r="BB134" s="2660"/>
      <c r="BC134" s="2660"/>
      <c r="BD134" s="2660"/>
      <c r="BE134" s="2660"/>
      <c r="BF134" s="2660"/>
      <c r="BG134" s="2660"/>
      <c r="BH134" s="2660"/>
      <c r="BI134" s="2660"/>
      <c r="BJ134" s="2660"/>
      <c r="BK134" s="2660"/>
      <c r="BL134" s="2660"/>
      <c r="BM134" s="2660"/>
      <c r="BN134" s="2660"/>
      <c r="BO134" s="2660"/>
      <c r="BP134" s="2660"/>
      <c r="BQ134" s="2660"/>
      <c r="BR134" s="2660"/>
      <c r="BS134" s="2660"/>
      <c r="BT134" s="2660"/>
      <c r="BU134" s="2660"/>
      <c r="BV134" s="2660"/>
      <c r="BW134" s="2660"/>
      <c r="BX134" s="2660"/>
      <c r="BY134" s="2660"/>
      <c r="BZ134" s="2660"/>
      <c r="CA134" s="2660"/>
      <c r="CB134" s="2660"/>
      <c r="CC134" s="2660"/>
      <c r="CD134" s="2660"/>
      <c r="CE134" s="2660"/>
      <c r="CF134" s="2660"/>
      <c r="CG134" s="2660"/>
      <c r="CH134" s="2660"/>
      <c r="CI134" s="2660"/>
      <c r="CJ134" s="2660"/>
      <c r="CK134" s="2660"/>
      <c r="CL134" s="2660"/>
      <c r="CM134" s="2660"/>
      <c r="CN134" s="2660"/>
      <c r="CO134" s="2660"/>
      <c r="CP134" s="2660"/>
      <c r="CQ134" s="2660"/>
      <c r="CR134" s="2660"/>
      <c r="CS134" s="2660"/>
      <c r="CT134" s="2660"/>
      <c r="CU134" s="2660"/>
      <c r="CV134" s="2660"/>
      <c r="CW134" s="2660"/>
      <c r="CX134" s="2660"/>
      <c r="CY134" s="2660"/>
      <c r="CZ134" s="2660"/>
      <c r="DA134" s="2660"/>
      <c r="DB134" s="2660"/>
      <c r="DC134" s="2660"/>
      <c r="DD134" s="2660"/>
      <c r="DE134" s="2660"/>
      <c r="DF134" s="2660"/>
      <c r="DG134" s="2660"/>
      <c r="DH134" s="2660"/>
      <c r="DI134" s="2660"/>
      <c r="DJ134" s="2660"/>
      <c r="DK134" s="2660"/>
      <c r="DL134" s="2660"/>
      <c r="DM134" s="2660"/>
      <c r="DN134" s="2660"/>
      <c r="DO134" s="2660"/>
      <c r="DP134" s="2660"/>
      <c r="DQ134" s="2660"/>
      <c r="DR134" s="2660"/>
      <c r="DS134" s="2660"/>
      <c r="DT134" s="2660"/>
      <c r="DU134" s="2660"/>
      <c r="DV134" s="2660"/>
      <c r="DW134" s="2660"/>
      <c r="DX134" s="2660"/>
      <c r="DY134" s="2660"/>
      <c r="DZ134" s="2660"/>
      <c r="EA134" s="2660"/>
      <c r="EB134" s="2660"/>
      <c r="EC134" s="2660"/>
      <c r="ED134" s="2660"/>
      <c r="EE134" s="2660"/>
      <c r="EF134" s="2660"/>
      <c r="EG134" s="2660"/>
      <c r="EH134" s="2660"/>
      <c r="EI134" s="2660"/>
      <c r="EJ134" s="2660"/>
      <c r="EK134" s="2660"/>
      <c r="EL134" s="2660"/>
      <c r="EM134" s="2660"/>
      <c r="EN134" s="2660"/>
      <c r="EO134" s="2660"/>
      <c r="EP134" s="2660"/>
      <c r="EQ134" s="2660"/>
      <c r="ER134" s="2660"/>
      <c r="ES134" s="2660"/>
      <c r="ET134" s="2660"/>
      <c r="EU134" s="2660"/>
      <c r="EV134" s="2660"/>
      <c r="EW134" s="2660"/>
      <c r="EX134" s="2660"/>
      <c r="EY134" s="2660"/>
      <c r="EZ134" s="2660"/>
      <c r="FA134" s="2660"/>
      <c r="FB134" s="2660"/>
      <c r="FC134" s="2660"/>
      <c r="FD134" s="2660"/>
      <c r="FE134" s="2660"/>
    </row>
    <row r="135" spans="2:161" outlineLevel="2">
      <c r="B135" t="s">
        <v>449</v>
      </c>
      <c r="C135" t="s">
        <v>450</v>
      </c>
      <c r="F135" s="2660"/>
      <c r="G135" s="2660">
        <f>Geo!DS80*0.01</f>
      </c>
      <c r="H135" s="2660">
        <f>Geo!DT80*0.01</f>
      </c>
      <c r="I135" s="2660">
        <f>Geo!DU80*0.01</f>
      </c>
      <c r="J135" s="2660">
        <f>Geo!DV80*0.01</f>
      </c>
      <c r="K135" s="2660">
        <f>Geo!DW80*0.01</f>
      </c>
      <c r="L135" s="2660">
        <f>Geo!DX80*0.01</f>
      </c>
      <c r="M135" s="2660">
        <f>Geo!DY80*0.01</f>
      </c>
      <c r="N135" s="2660">
        <f>Geo!DZ80*0.01</f>
      </c>
      <c r="O135" s="2660">
        <f>Geo!EA80*0.01</f>
      </c>
      <c r="P135" s="2660">
        <f>Geo!EB80*0.01</f>
      </c>
      <c r="Q135" s="2660">
        <f>Geo!EC80*0.01</f>
      </c>
      <c r="R135" s="2660">
        <f>Geo!ED80*0.01</f>
      </c>
      <c r="S135" s="2660">
        <f>Geo!EE80*0.01</f>
      </c>
      <c r="T135" s="2660">
        <f>Geo!EF80*0.01</f>
      </c>
      <c r="U135" s="2660">
        <f>Geo!EG80*0.01</f>
      </c>
      <c r="V135" s="2660">
        <f>Geo!EH80*0.01</f>
      </c>
      <c r="W135" s="2660">
        <f>Geo!EI80*0.01</f>
      </c>
      <c r="X135" s="2660">
        <f>Geo!EJ80*0.01</f>
      </c>
      <c r="Y135" s="2660">
        <f>Geo!EK80*0.01</f>
      </c>
      <c r="Z135" s="2660">
        <f>Geo!EL80*0.01</f>
      </c>
      <c r="AA135" s="2660">
        <f>Geo!EM80*0.01</f>
      </c>
      <c r="AB135" s="2660">
        <f>Geo!EN80*0.01</f>
      </c>
      <c r="AC135" s="2660">
        <f>Geo!EO80*0.01</f>
      </c>
      <c r="AD135" s="2660">
        <f>Geo!EP80*0.01</f>
      </c>
      <c r="AE135" s="2660">
        <f>Geo!EQ80*0.01</f>
      </c>
      <c r="AF135" s="2660">
        <f>Geo!ER80*0.01</f>
      </c>
      <c r="AG135" s="2660">
        <f>Geo!ES80*0.01</f>
      </c>
      <c r="AH135" s="2660">
        <f>Geo!ET80*0.01</f>
      </c>
      <c r="AI135" s="2660">
        <f>Geo!EU80*0.01</f>
      </c>
      <c r="AJ135" s="2660">
        <f>Geo!EV80*0.01</f>
      </c>
      <c r="AK135" s="2660"/>
      <c r="AL135" s="2660"/>
      <c r="AM135" s="2660"/>
      <c r="AN135" s="2660"/>
      <c r="AO135" s="2660"/>
      <c r="AP135" s="2660">
        <f>Geo!B80*0.01</f>
      </c>
      <c r="AQ135" s="2660">
        <f>Geo!C80*0.01</f>
      </c>
      <c r="AR135" s="2660">
        <f>Geo!D80*0.01</f>
      </c>
      <c r="AS135" s="2660">
        <f>Geo!E80*0.01</f>
      </c>
      <c r="AT135" s="2660">
        <f>Geo!F80*0.01</f>
      </c>
      <c r="AU135" s="2660">
        <f>Geo!G80*0.01</f>
      </c>
      <c r="AV135" s="2660">
        <f>Geo!H80*0.01</f>
      </c>
      <c r="AW135" s="2660">
        <f>Geo!I80*0.01</f>
      </c>
      <c r="AX135" s="2660">
        <f>Geo!J80*0.01</f>
      </c>
      <c r="AY135" s="2660">
        <f>Geo!K80*0.01</f>
      </c>
      <c r="AZ135" s="2660">
        <f>Geo!L80*0.01</f>
      </c>
      <c r="BA135" s="2660">
        <f>Geo!M80*0.01</f>
      </c>
      <c r="BB135" s="2660">
        <f>Geo!N80*0.01</f>
      </c>
      <c r="BC135" s="2660">
        <f>Geo!O80*0.01</f>
      </c>
      <c r="BD135" s="2660">
        <f>Geo!P80*0.01</f>
      </c>
      <c r="BE135" s="2660">
        <f>Geo!Q80*0.01</f>
      </c>
      <c r="BF135" s="2660">
        <f>Geo!R80*0.01</f>
      </c>
      <c r="BG135" s="2660">
        <f>Geo!S80*0.01</f>
      </c>
      <c r="BH135" s="2660">
        <f>Geo!T80*0.01</f>
      </c>
      <c r="BI135" s="2660">
        <f>Geo!U80*0.01</f>
      </c>
      <c r="BJ135" s="2660">
        <f>Geo!V80*0.01</f>
      </c>
      <c r="BK135" s="2660">
        <f>Geo!W80*0.01</f>
      </c>
      <c r="BL135" s="2660">
        <f>Geo!X80*0.01</f>
      </c>
      <c r="BM135" s="2660">
        <f>Geo!Y80*0.01</f>
      </c>
      <c r="BN135" s="2660">
        <f>Geo!Z80*0.01</f>
      </c>
      <c r="BO135" s="2660">
        <f>Geo!AA80*0.01</f>
      </c>
      <c r="BP135" s="2660">
        <f>Geo!AB80*0.01</f>
      </c>
      <c r="BQ135" s="2660">
        <f>Geo!AC80*0.01</f>
      </c>
      <c r="BR135" s="2660">
        <f>Geo!AD80*0.01</f>
      </c>
      <c r="BS135" s="2660">
        <f>Geo!AE80*0.01</f>
      </c>
      <c r="BT135" s="2660">
        <f>Geo!AF80*0.01</f>
      </c>
      <c r="BU135" s="2660">
        <f>Geo!AG80*0.01</f>
      </c>
      <c r="BV135" s="2660">
        <f>Geo!AH80*0.01</f>
      </c>
      <c r="BW135" s="2660">
        <f>Geo!AI80*0.01</f>
      </c>
      <c r="BX135" s="2660">
        <f>Geo!AJ80*0.01</f>
      </c>
      <c r="BY135" s="2660">
        <f>Geo!AK80*0.01</f>
      </c>
      <c r="BZ135" s="2660">
        <f>Geo!AL80*0.01</f>
      </c>
      <c r="CA135" s="2660">
        <f>Geo!AM80*0.01</f>
      </c>
      <c r="CB135" s="2660">
        <f>Geo!AN80*0.01</f>
      </c>
      <c r="CC135" s="2660">
        <f>Geo!AO80*0.01</f>
      </c>
      <c r="CD135" s="2660">
        <f>Geo!AP80*0.01</f>
      </c>
      <c r="CE135" s="2660">
        <f>Geo!AQ80*0.01</f>
      </c>
      <c r="CF135" s="2660">
        <f>Geo!AR80*0.01</f>
      </c>
      <c r="CG135" s="2660">
        <f>Geo!AS80*0.01</f>
      </c>
      <c r="CH135" s="2660">
        <f>Geo!AT80*0.01</f>
      </c>
      <c r="CI135" s="2660">
        <f>Geo!AU80*0.01</f>
      </c>
      <c r="CJ135" s="2660">
        <f>Geo!AV80*0.01</f>
      </c>
      <c r="CK135" s="2660">
        <f>Geo!AW80*0.01</f>
      </c>
      <c r="CL135" s="2660">
        <f>Geo!AX80*0.01</f>
      </c>
      <c r="CM135" s="2660">
        <f>Geo!AY80*0.01</f>
      </c>
      <c r="CN135" s="2660">
        <f>Geo!AZ80*0.01</f>
      </c>
      <c r="CO135" s="2660">
        <f>Geo!BA80*0.01</f>
      </c>
      <c r="CP135" s="2660">
        <f>Geo!BB80*0.01</f>
      </c>
      <c r="CQ135" s="2660">
        <f>Geo!BC80*0.01</f>
      </c>
      <c r="CR135" s="2660">
        <f>Geo!BD80*0.01</f>
      </c>
      <c r="CS135" s="2660">
        <f>Geo!BE80*0.01</f>
      </c>
      <c r="CT135" s="2660">
        <f>Geo!BF80*0.01</f>
      </c>
      <c r="CU135" s="2660">
        <f>Geo!BG80*0.01</f>
      </c>
      <c r="CV135" s="2660">
        <f>Geo!BH80*0.01</f>
      </c>
      <c r="CW135" s="2660">
        <f>Geo!BI80*0.01</f>
      </c>
      <c r="CX135" s="2660">
        <f>Geo!BJ80*0.01</f>
      </c>
      <c r="CY135" s="2660">
        <f>Geo!BK80*0.01</f>
      </c>
      <c r="CZ135" s="2660">
        <f>Geo!BL80*0.01</f>
      </c>
      <c r="DA135" s="2660">
        <f>Geo!BM80*0.01</f>
      </c>
      <c r="DB135" s="2660">
        <f>Geo!BN80*0.01</f>
      </c>
      <c r="DC135" s="2660">
        <f>Geo!BO80*0.01</f>
      </c>
      <c r="DD135" s="2660">
        <f>Geo!BP80*0.01</f>
      </c>
      <c r="DE135" s="2660">
        <f>Geo!BQ80*0.01</f>
      </c>
      <c r="DF135" s="2660">
        <f>Geo!BR80*0.01</f>
      </c>
      <c r="DG135" s="2660">
        <f>Geo!BS80*0.01</f>
      </c>
      <c r="DH135" s="2660">
        <f>Geo!BT80*0.01</f>
      </c>
      <c r="DI135" s="2660">
        <f>Geo!BU80*0.01</f>
      </c>
      <c r="DJ135" s="2660">
        <f>Geo!BV80*0.01</f>
      </c>
      <c r="DK135" s="2660">
        <f>Geo!BW80*0.01</f>
      </c>
      <c r="DL135" s="2660">
        <f>Geo!BX80*0.01</f>
      </c>
      <c r="DM135" s="2660">
        <f>Geo!BY80*0.01</f>
      </c>
      <c r="DN135" s="2660">
        <f>Geo!BZ80*0.01</f>
      </c>
      <c r="DO135" s="2660">
        <f>Geo!CA80*0.01</f>
      </c>
      <c r="DP135" s="2660">
        <f>Geo!CB80*0.01</f>
      </c>
      <c r="DQ135" s="2660">
        <f>Geo!CC80*0.01</f>
      </c>
      <c r="DR135" s="2660">
        <f>Geo!CD80*0.01</f>
      </c>
      <c r="DS135" s="2660">
        <f>Geo!CE80*0.01</f>
      </c>
      <c r="DT135" s="2660">
        <f>Geo!CF80*0.01</f>
      </c>
      <c r="DU135" s="2660">
        <f>Geo!CG80*0.01</f>
      </c>
      <c r="DV135" s="2660">
        <f>Geo!CH80*0.01</f>
      </c>
      <c r="DW135" s="2660">
        <f>Geo!CI80*0.01</f>
      </c>
      <c r="DX135" s="2660">
        <f>Geo!CJ80*0.01</f>
      </c>
      <c r="DY135" s="2660">
        <f>Geo!CK80*0.01</f>
      </c>
      <c r="DZ135" s="2660">
        <f>Geo!CL80*0.01</f>
      </c>
      <c r="EA135" s="2660">
        <f>Geo!CM80*0.01</f>
      </c>
      <c r="EB135" s="2660">
        <f>Geo!CN80*0.01</f>
      </c>
      <c r="EC135" s="2660">
        <f>Geo!CO80*0.01</f>
      </c>
      <c r="ED135" s="2660">
        <f>Geo!CP80*0.01</f>
      </c>
      <c r="EE135" s="2660">
        <f>Geo!CQ80*0.01</f>
      </c>
      <c r="EF135" s="2660">
        <f>Geo!CR80*0.01</f>
      </c>
      <c r="EG135" s="2660">
        <f>Geo!CS80*0.01</f>
      </c>
      <c r="EH135" s="2660">
        <f>Geo!CT80*0.01</f>
      </c>
      <c r="EI135" s="2660">
        <f>Geo!CU80*0.01</f>
      </c>
      <c r="EJ135" s="2660">
        <f>Geo!CV80*0.01</f>
      </c>
      <c r="EK135" s="2660">
        <f>Geo!CW80*0.01</f>
      </c>
      <c r="EL135" s="2660">
        <f>Geo!CX80*0.01</f>
      </c>
      <c r="EM135" s="2660">
        <f>Geo!CY80*0.01</f>
      </c>
      <c r="EN135" s="2660">
        <f>Geo!CZ80*0.01</f>
      </c>
      <c r="EO135" s="2660">
        <f>Geo!DA80*0.01</f>
      </c>
      <c r="EP135" s="2660">
        <f>Geo!DB80*0.01</f>
      </c>
      <c r="EQ135" s="2660">
        <f>Geo!DC80*0.01</f>
      </c>
      <c r="ER135" s="2660">
        <f>Geo!DD80*0.01</f>
      </c>
      <c r="ES135" s="2660">
        <f>Geo!DE80*0.01</f>
      </c>
      <c r="ET135" s="2660">
        <f>Geo!DF80*0.01</f>
      </c>
      <c r="EU135" s="2660">
        <f>Geo!DG80*0.01</f>
      </c>
      <c r="EV135" s="2660">
        <f>Geo!DH80*0.01</f>
      </c>
      <c r="EW135" s="2660">
        <f>Geo!DI80*0.01</f>
      </c>
      <c r="EX135" s="2660">
        <f>Geo!DJ80*0.01</f>
      </c>
      <c r="EY135" s="2660">
        <f>Geo!DK80*0.01</f>
      </c>
      <c r="EZ135" s="2660">
        <f>Geo!DL80*0.01</f>
      </c>
      <c r="FA135" s="2660">
        <f>Geo!DM80*0.01</f>
      </c>
      <c r="FB135" s="2660">
        <f>Geo!DN80*0.01</f>
      </c>
      <c r="FC135" s="2660">
        <f>Geo!DO80*0.01</f>
      </c>
      <c r="FD135" s="2660">
        <f>Geo!DP80*0.01</f>
      </c>
      <c r="FE135" s="2660">
        <f>Geo!DQ80*0.01</f>
      </c>
    </row>
    <row r="136" spans="2:161" outlineLevel="2">
      <c r="B136" t="s">
        <v>451</v>
      </c>
      <c r="C136" t="s">
        <v>452</v>
      </c>
      <c r="F136" s="2660"/>
      <c r="G136" s="2660"/>
      <c r="H136" s="2660"/>
      <c r="I136" s="2660"/>
      <c r="J136" s="2660"/>
      <c r="K136" s="2660"/>
      <c r="L136" s="2660"/>
      <c r="M136" s="2660"/>
      <c r="N136" s="2660"/>
      <c r="O136" s="2660"/>
      <c r="P136" s="2660"/>
      <c r="Q136" s="2660"/>
      <c r="R136" s="2660"/>
      <c r="S136" s="2660"/>
      <c r="T136" s="2660"/>
      <c r="U136" s="2660"/>
      <c r="V136" s="2660"/>
      <c r="W136" s="2660"/>
      <c r="X136" s="2660"/>
      <c r="Y136" s="2660"/>
      <c r="Z136" s="2660"/>
      <c r="AA136" s="2660"/>
      <c r="AB136" s="2660"/>
      <c r="AC136" s="2660"/>
      <c r="AD136" s="2660"/>
      <c r="AE136" s="2660"/>
      <c r="AF136" s="2660"/>
      <c r="AG136" s="2660"/>
      <c r="AH136" s="2660"/>
      <c r="AI136" s="2660"/>
      <c r="AJ136" s="2660"/>
      <c r="AK136" s="2660"/>
      <c r="AL136" s="2660"/>
      <c r="AM136" s="2660"/>
      <c r="AN136" s="2660"/>
      <c r="AO136" s="2660"/>
      <c r="AP136" s="2660"/>
      <c r="AQ136" s="2660"/>
      <c r="AR136" s="2660"/>
      <c r="AS136" s="2660"/>
      <c r="AT136" s="2660"/>
      <c r="AU136" s="2660"/>
      <c r="AV136" s="2660"/>
      <c r="AW136" s="2660"/>
      <c r="AX136" s="2660"/>
      <c r="AY136" s="2660"/>
      <c r="AZ136" s="2660"/>
      <c r="BA136" s="2660"/>
      <c r="BB136" s="2660"/>
      <c r="BC136" s="2660"/>
      <c r="BD136" s="2660"/>
      <c r="BE136" s="2660"/>
      <c r="BF136" s="2660"/>
      <c r="BG136" s="2660"/>
      <c r="BH136" s="2660"/>
      <c r="BI136" s="2660"/>
      <c r="BJ136" s="2660"/>
      <c r="BK136" s="2660"/>
      <c r="BL136" s="2660"/>
      <c r="BM136" s="2660"/>
      <c r="BN136" s="2660"/>
      <c r="BO136" s="2660"/>
      <c r="BP136" s="2660"/>
      <c r="BQ136" s="2660"/>
      <c r="BR136" s="2660"/>
      <c r="BS136" s="2660"/>
      <c r="BT136" s="2660"/>
      <c r="BU136" s="2660"/>
      <c r="BV136" s="2660"/>
      <c r="BW136" s="2660"/>
      <c r="BX136" s="2660"/>
      <c r="BY136" s="2660"/>
      <c r="BZ136" s="2660"/>
      <c r="CA136" s="2660"/>
      <c r="CB136" s="2660"/>
      <c r="CC136" s="2660"/>
      <c r="CD136" s="2660"/>
      <c r="CE136" s="2660"/>
      <c r="CF136" s="2660"/>
      <c r="CG136" s="2660"/>
      <c r="CH136" s="2660"/>
      <c r="CI136" s="2660"/>
      <c r="CJ136" s="2660"/>
      <c r="CK136" s="2660"/>
      <c r="CL136" s="2660"/>
      <c r="CM136" s="2660"/>
      <c r="CN136" s="2660"/>
      <c r="CO136" s="2660"/>
      <c r="CP136" s="2660"/>
      <c r="CQ136" s="2660"/>
      <c r="CR136" s="2660"/>
      <c r="CS136" s="2660"/>
      <c r="CT136" s="2660"/>
      <c r="CU136" s="2660"/>
      <c r="CV136" s="2660"/>
      <c r="CW136" s="2660"/>
      <c r="CX136" s="2660"/>
      <c r="CY136" s="2660"/>
      <c r="CZ136" s="2660"/>
      <c r="DA136" s="2660"/>
      <c r="DB136" s="2660"/>
      <c r="DC136" s="2660"/>
      <c r="DD136" s="2660"/>
      <c r="DE136" s="2660"/>
      <c r="DF136" s="2660"/>
      <c r="DG136" s="2660"/>
      <c r="DH136" s="2660"/>
      <c r="DI136" s="2660"/>
      <c r="DJ136" s="2660"/>
      <c r="DK136" s="2660"/>
      <c r="DL136" s="2660"/>
      <c r="DM136" s="2660"/>
      <c r="DN136" s="2660"/>
      <c r="DO136" s="2660"/>
      <c r="DP136" s="2660"/>
      <c r="DQ136" s="2660"/>
      <c r="DR136" s="2660"/>
      <c r="DS136" s="2660"/>
      <c r="DT136" s="2660"/>
      <c r="DU136" s="2660"/>
      <c r="DV136" s="2660"/>
      <c r="DW136" s="2660"/>
      <c r="DX136" s="2660"/>
      <c r="DY136" s="2660"/>
      <c r="DZ136" s="2660"/>
      <c r="EA136" s="2660"/>
      <c r="EB136" s="2660"/>
      <c r="EC136" s="2660"/>
      <c r="ED136" s="2660"/>
      <c r="EE136" s="2660"/>
      <c r="EF136" s="2660"/>
      <c r="EG136" s="2660"/>
      <c r="EH136" s="2660"/>
      <c r="EI136" s="2660"/>
      <c r="EJ136" s="2660"/>
      <c r="EK136" s="2660"/>
      <c r="EL136" s="2660"/>
      <c r="EM136" s="2660"/>
      <c r="EN136" s="2660"/>
      <c r="EO136" s="2660"/>
      <c r="EP136" s="2660"/>
      <c r="EQ136" s="2660"/>
      <c r="ER136" s="2660"/>
      <c r="ES136" s="2660"/>
      <c r="ET136" s="2660"/>
      <c r="EU136" s="2660"/>
      <c r="EV136" s="2660"/>
      <c r="EW136" s="2660"/>
      <c r="EX136" s="2660"/>
      <c r="EY136" s="2660"/>
      <c r="EZ136" s="2660"/>
      <c r="FA136" s="2660"/>
      <c r="FB136" s="2660"/>
      <c r="FC136" s="2660"/>
      <c r="FD136" s="2660"/>
      <c r="FE136" s="2660"/>
    </row>
    <row r="137" spans="2:161" outlineLevel="2">
      <c r="B137" t="s">
        <v>745</v>
      </c>
      <c r="C137" t="s">
        <v>746</v>
      </c>
      <c r="F137" s="2660"/>
      <c r="G137" s="2660"/>
      <c r="H137" s="2660"/>
      <c r="I137" s="2660"/>
      <c r="J137" s="2660"/>
      <c r="K137" s="2660"/>
      <c r="L137" s="2660"/>
      <c r="M137" s="2660"/>
      <c r="N137" s="2660"/>
      <c r="O137" s="2660"/>
      <c r="P137" s="2660"/>
      <c r="Q137" s="2660"/>
      <c r="R137" s="2660"/>
      <c r="S137" s="2660"/>
      <c r="T137" s="2660"/>
      <c r="U137" s="2660"/>
      <c r="V137" s="2660"/>
      <c r="W137" s="2660"/>
      <c r="X137" s="2660"/>
      <c r="Y137" s="2660"/>
      <c r="Z137" s="2660"/>
      <c r="AA137" s="2660"/>
      <c r="AB137" s="2660"/>
      <c r="AC137" s="2660"/>
      <c r="AD137" s="2660"/>
      <c r="AE137" s="2660"/>
      <c r="AF137" s="2660"/>
      <c r="AG137" s="2660"/>
      <c r="AH137" s="2660"/>
      <c r="AI137" s="2660"/>
      <c r="AJ137" s="2660"/>
      <c r="AK137" s="2660"/>
      <c r="AL137" s="2660"/>
      <c r="AM137" s="2660"/>
      <c r="AN137" s="2660"/>
      <c r="AO137" s="2660"/>
      <c r="AP137" s="2660"/>
      <c r="AQ137" s="2660"/>
      <c r="AR137" s="2660"/>
      <c r="AS137" s="2660"/>
      <c r="AT137" s="2660"/>
      <c r="AU137" s="2660"/>
      <c r="AV137" s="2660"/>
      <c r="AW137" s="2660"/>
      <c r="AX137" s="2660"/>
      <c r="AY137" s="2660"/>
      <c r="AZ137" s="2660"/>
      <c r="BA137" s="2660"/>
      <c r="BB137" s="2660"/>
      <c r="BC137" s="2660"/>
      <c r="BD137" s="2660"/>
      <c r="BE137" s="2660"/>
      <c r="BF137" s="2660"/>
      <c r="BG137" s="2660"/>
      <c r="BH137" s="2660"/>
      <c r="BI137" s="2660"/>
      <c r="BJ137" s="2660"/>
      <c r="BK137" s="2660"/>
      <c r="BL137" s="2660"/>
      <c r="BM137" s="2660"/>
      <c r="BN137" s="2660"/>
      <c r="BO137" s="2660"/>
      <c r="BP137" s="2660"/>
      <c r="BQ137" s="2660"/>
      <c r="BR137" s="2660"/>
      <c r="BS137" s="2660"/>
      <c r="BT137" s="2660"/>
      <c r="BU137" s="2660"/>
      <c r="BV137" s="2660"/>
      <c r="BW137" s="2660"/>
      <c r="BX137" s="2660"/>
      <c r="BY137" s="2660"/>
      <c r="BZ137" s="2660"/>
      <c r="CA137" s="2660"/>
      <c r="CB137" s="2660"/>
      <c r="CC137" s="2660"/>
      <c r="CD137" s="2660"/>
      <c r="CE137" s="2660"/>
      <c r="CF137" s="2660"/>
      <c r="CG137" s="2660"/>
      <c r="CH137" s="2660"/>
      <c r="CI137" s="2660"/>
      <c r="CJ137" s="2660"/>
      <c r="CK137" s="2660"/>
      <c r="CL137" s="2660"/>
      <c r="CM137" s="2660"/>
      <c r="CN137" s="2660"/>
      <c r="CO137" s="2660"/>
      <c r="CP137" s="2660"/>
      <c r="CQ137" s="2660"/>
      <c r="CR137" s="2660"/>
      <c r="CS137" s="2660"/>
      <c r="CT137" s="2660"/>
      <c r="CU137" s="2660"/>
      <c r="CV137" s="2660"/>
      <c r="CW137" s="2660"/>
      <c r="CX137" s="2660"/>
      <c r="CY137" s="2660"/>
      <c r="CZ137" s="2660"/>
      <c r="DA137" s="2660"/>
      <c r="DB137" s="2660"/>
      <c r="DC137" s="2660"/>
      <c r="DD137" s="2660"/>
      <c r="DE137" s="2660"/>
      <c r="DF137" s="2660"/>
      <c r="DG137" s="2660"/>
      <c r="DH137" s="2660"/>
      <c r="DI137" s="2660"/>
      <c r="DJ137" s="2660"/>
      <c r="DK137" s="2660"/>
      <c r="DL137" s="2660"/>
      <c r="DM137" s="2660"/>
      <c r="DN137" s="2660"/>
      <c r="DO137" s="2660"/>
      <c r="DP137" s="2660"/>
      <c r="DQ137" s="2660"/>
      <c r="DR137" s="2660"/>
      <c r="DS137" s="2660"/>
      <c r="DT137" s="2660"/>
      <c r="DU137" s="2660"/>
      <c r="DV137" s="2660"/>
      <c r="DW137" s="2660"/>
      <c r="DX137" s="2660"/>
      <c r="DY137" s="2660"/>
      <c r="DZ137" s="2660"/>
      <c r="EA137" s="2660"/>
      <c r="EB137" s="2660"/>
      <c r="EC137" s="2660"/>
      <c r="ED137" s="2660"/>
      <c r="EE137" s="2660"/>
      <c r="EF137" s="2660"/>
      <c r="EG137" s="2660"/>
      <c r="EH137" s="2660"/>
      <c r="EI137" s="2660"/>
      <c r="EJ137" s="2660"/>
      <c r="EK137" s="2660"/>
      <c r="EL137" s="2660"/>
      <c r="EM137" s="2660"/>
      <c r="EN137" s="2660"/>
      <c r="EO137" s="2660"/>
      <c r="EP137" s="2660"/>
      <c r="EQ137" s="2660"/>
      <c r="ER137" s="2660"/>
      <c r="ES137" s="2660"/>
      <c r="ET137" s="2660"/>
      <c r="EU137" s="2660"/>
      <c r="EV137" s="2660"/>
      <c r="EW137" s="2660"/>
      <c r="EX137" s="2660"/>
      <c r="EY137" s="2660"/>
      <c r="EZ137" s="2660"/>
      <c r="FA137" s="2660"/>
      <c r="FB137" s="2660"/>
      <c r="FC137" s="2660"/>
      <c r="FD137" s="2660"/>
      <c r="FE137" s="2660"/>
    </row>
    <row r="138" spans="2:161" outlineLevel="2">
      <c r="B138" t="s">
        <v>747</v>
      </c>
      <c r="C138" t="s">
        <v>748</v>
      </c>
      <c r="F138" s="2660"/>
      <c r="G138" s="2660">
        <f>Geo!DS$81*0.05</f>
      </c>
      <c r="H138" s="2660">
        <f>Geo!DT$81*0.05</f>
      </c>
      <c r="I138" s="2660">
        <f>Geo!DU$81*0.05</f>
      </c>
      <c r="J138" s="2660">
        <f>Geo!DV$81*0.05</f>
      </c>
      <c r="K138" s="2660">
        <f>Geo!DW$81*0.05</f>
      </c>
      <c r="L138" s="2660">
        <f>Geo!DX$81*0.05</f>
      </c>
      <c r="M138" s="2660">
        <f>Geo!DY$81*0.05</f>
      </c>
      <c r="N138" s="2660">
        <f>Geo!DZ$81*0.05</f>
      </c>
      <c r="O138" s="2660">
        <f>Geo!EA$81*0.05</f>
      </c>
      <c r="P138" s="2660">
        <f>Geo!EB$81*0.05</f>
      </c>
      <c r="Q138" s="2660">
        <f>Geo!EC$81*0.05</f>
      </c>
      <c r="R138" s="2660">
        <f>Geo!ED$81*0.05</f>
      </c>
      <c r="S138" s="2660">
        <f>Geo!EE$81*0.05</f>
      </c>
      <c r="T138" s="2660">
        <f>Geo!EF$81*0.05</f>
      </c>
      <c r="U138" s="2660">
        <f>Geo!EG$81*0.05</f>
      </c>
      <c r="V138" s="2660">
        <f>Geo!EH$81*0.05</f>
      </c>
      <c r="W138" s="2660">
        <f>Geo!EI$81*0.05</f>
      </c>
      <c r="X138" s="2660">
        <f>Geo!EJ$81*0.05</f>
      </c>
      <c r="Y138" s="2660">
        <f>Geo!EK$81*0.05</f>
      </c>
      <c r="Z138" s="2660">
        <f>Geo!EL$81*0.05</f>
      </c>
      <c r="AA138" s="2660">
        <f>Geo!EM$81*0.05</f>
      </c>
      <c r="AB138" s="2660">
        <f>Geo!EN$81*0.05</f>
      </c>
      <c r="AC138" s="2660">
        <f>Geo!EO$81*0.05</f>
      </c>
      <c r="AD138" s="2660">
        <f>Geo!EP$81*0.05</f>
      </c>
      <c r="AE138" s="2660">
        <f>Geo!EQ$81*0.05</f>
      </c>
      <c r="AF138" s="2660">
        <f>Geo!ER$81*0.05</f>
      </c>
      <c r="AG138" s="2660">
        <f>Geo!ES$81*0.05</f>
      </c>
      <c r="AH138" s="2660">
        <f>Geo!ET$81*0.05</f>
      </c>
      <c r="AI138" s="2660">
        <f>Geo!EU$81*0.05</f>
      </c>
      <c r="AJ138" s="2660">
        <f>Geo!EV$81*0.05</f>
      </c>
      <c r="AK138" s="2660"/>
      <c r="AL138" s="2660"/>
      <c r="AM138" s="2660"/>
      <c r="AN138" s="2660"/>
      <c r="AO138" s="2660"/>
      <c r="AP138" s="2660">
        <f>Geo!B$81*0.05</f>
      </c>
      <c r="AQ138" s="2660">
        <f>Geo!C$81*0.05</f>
      </c>
      <c r="AR138" s="2660">
        <f>Geo!D$81*0.05</f>
      </c>
      <c r="AS138" s="2660">
        <f>Geo!E$81*0.05</f>
      </c>
      <c r="AT138" s="2660">
        <f>Geo!F$81*0.05</f>
      </c>
      <c r="AU138" s="2660">
        <f>Geo!G$81*0.05</f>
      </c>
      <c r="AV138" s="2660">
        <f>Geo!H$81*0.05</f>
      </c>
      <c r="AW138" s="2660">
        <f>Geo!I$81*0.05</f>
      </c>
      <c r="AX138" s="2660">
        <f>Geo!J$81*0.05</f>
      </c>
      <c r="AY138" s="2660">
        <f>Geo!K$81*0.05</f>
      </c>
      <c r="AZ138" s="2660">
        <f>Geo!L$81*0.05</f>
      </c>
      <c r="BA138" s="2660">
        <f>Geo!M$81*0.05</f>
      </c>
      <c r="BB138" s="2660">
        <f>Geo!N$81*0.05</f>
      </c>
      <c r="BC138" s="2660">
        <f>Geo!O$81*0.05</f>
      </c>
      <c r="BD138" s="2660">
        <f>Geo!P$81*0.05</f>
      </c>
      <c r="BE138" s="2660">
        <f>Geo!Q$81*0.05</f>
      </c>
      <c r="BF138" s="2660">
        <f>Geo!R$81*0.05</f>
      </c>
      <c r="BG138" s="2660">
        <f>Geo!S$81*0.05</f>
      </c>
      <c r="BH138" s="2660">
        <f>Geo!T$81*0.05</f>
      </c>
      <c r="BI138" s="2660">
        <f>Geo!U$81*0.05</f>
      </c>
      <c r="BJ138" s="2660">
        <f>Geo!V$81*0.05</f>
      </c>
      <c r="BK138" s="2660">
        <f>Geo!W$81*0.05</f>
      </c>
      <c r="BL138" s="2660">
        <f>Geo!X$81*0.05</f>
      </c>
      <c r="BM138" s="2660">
        <f>Geo!Y$81*0.05</f>
      </c>
      <c r="BN138" s="2660">
        <f>Geo!Z$81*0.05</f>
      </c>
      <c r="BO138" s="2660">
        <f>Geo!AA$81*0.05</f>
      </c>
      <c r="BP138" s="2660">
        <f>Geo!AB$81*0.05</f>
      </c>
      <c r="BQ138" s="2660">
        <f>Geo!AC$81*0.05</f>
      </c>
      <c r="BR138" s="2660">
        <f>Geo!AD$81*0.05</f>
      </c>
      <c r="BS138" s="2660">
        <f>Geo!AE$81*0.05</f>
      </c>
      <c r="BT138" s="2660">
        <f>Geo!AF$81*0.05</f>
      </c>
      <c r="BU138" s="2660">
        <f>Geo!AG$81*0.05</f>
      </c>
      <c r="BV138" s="2660">
        <f>Geo!AH$81*0.05</f>
      </c>
      <c r="BW138" s="2660">
        <f>Geo!AI$81*0.05</f>
      </c>
      <c r="BX138" s="2660">
        <f>Geo!AJ$81*0.05</f>
      </c>
      <c r="BY138" s="2660">
        <f>Geo!AK$81*0.05</f>
      </c>
      <c r="BZ138" s="2660">
        <f>Geo!AL$81*0.05</f>
      </c>
      <c r="CA138" s="2660">
        <f>Geo!AM$81*0.05</f>
      </c>
      <c r="CB138" s="2660">
        <f>Geo!AN$81*0.05</f>
      </c>
      <c r="CC138" s="2660">
        <f>Geo!AO$81*0.05</f>
      </c>
      <c r="CD138" s="2660">
        <f>Geo!AP$81*0.05</f>
      </c>
      <c r="CE138" s="2660">
        <f>Geo!AQ$81*0.05</f>
      </c>
      <c r="CF138" s="2660">
        <f>Geo!AR$81*0.05</f>
      </c>
      <c r="CG138" s="2660">
        <f>Geo!AS$81*0.05</f>
      </c>
      <c r="CH138" s="2660">
        <f>Geo!AT$81*0.05</f>
      </c>
      <c r="CI138" s="2660">
        <f>Geo!AU$81*0.05</f>
      </c>
      <c r="CJ138" s="2660">
        <f>Geo!AV$81*0.05</f>
      </c>
      <c r="CK138" s="2660">
        <f>Geo!AW$81*0.05</f>
      </c>
      <c r="CL138" s="2660">
        <f>Geo!AX$81*0.05</f>
      </c>
      <c r="CM138" s="2660">
        <f>Geo!AY$81*0.05</f>
      </c>
      <c r="CN138" s="2660">
        <f>Geo!AZ$81*0.05</f>
      </c>
      <c r="CO138" s="2660">
        <f>Geo!BA$81*0.05</f>
      </c>
      <c r="CP138" s="2660">
        <f>Geo!BB$81*0.05</f>
      </c>
      <c r="CQ138" s="2660">
        <f>Geo!BC$81*0.05</f>
      </c>
      <c r="CR138" s="2660">
        <f>Geo!BD$81*0.05</f>
      </c>
      <c r="CS138" s="2660">
        <f>Geo!BE$81*0.05</f>
      </c>
      <c r="CT138" s="2660">
        <f>Geo!BF$81*0.05</f>
      </c>
      <c r="CU138" s="2660">
        <f>Geo!BG$81*0.05</f>
      </c>
      <c r="CV138" s="2660">
        <f>Geo!BH$81*0.05</f>
      </c>
      <c r="CW138" s="2660">
        <f>Geo!BI$81*0.05</f>
      </c>
      <c r="CX138" s="2660">
        <f>Geo!BJ$81*0.05</f>
      </c>
      <c r="CY138" s="2660">
        <f>Geo!BK$81*0.05</f>
      </c>
      <c r="CZ138" s="2660">
        <f>Geo!BL$81*0.05</f>
      </c>
      <c r="DA138" s="2660">
        <f>Geo!BM$81*0.05</f>
      </c>
      <c r="DB138" s="2660">
        <f>Geo!BN$81*0.05</f>
      </c>
      <c r="DC138" s="2660">
        <f>Geo!BO$81*0.05</f>
      </c>
      <c r="DD138" s="2660">
        <f>Geo!BP$81*0.05</f>
      </c>
      <c r="DE138" s="2660">
        <f>Geo!BQ$81*0.05</f>
      </c>
      <c r="DF138" s="2660">
        <f>Geo!BR$81*0.05</f>
      </c>
      <c r="DG138" s="2660">
        <f>Geo!BS$81*0.05</f>
      </c>
      <c r="DH138" s="2660">
        <f>Geo!BT$81*0.05</f>
      </c>
      <c r="DI138" s="2660">
        <f>Geo!BU$81*0.05</f>
      </c>
      <c r="DJ138" s="2660">
        <f>Geo!BV$81*0.05</f>
      </c>
      <c r="DK138" s="2660">
        <f>Geo!BW$81*0.05</f>
      </c>
      <c r="DL138" s="2660">
        <f>Geo!BX$81*0.05</f>
      </c>
      <c r="DM138" s="2660">
        <f>Geo!BY$81*0.05</f>
      </c>
      <c r="DN138" s="2660">
        <f>Geo!BZ$81*0.05</f>
      </c>
      <c r="DO138" s="2660">
        <f>Geo!CA$81*0.05</f>
      </c>
      <c r="DP138" s="2660">
        <f>Geo!CB$81*0.05</f>
      </c>
      <c r="DQ138" s="2660">
        <f>Geo!CC$81*0.05</f>
      </c>
      <c r="DR138" s="2660">
        <f>Geo!CD$81*0.05</f>
      </c>
      <c r="DS138" s="2660">
        <f>Geo!CE$81*0.05</f>
      </c>
      <c r="DT138" s="2660">
        <f>Geo!CF$81*0.05</f>
      </c>
      <c r="DU138" s="2660">
        <f>Geo!CG$81*0.05</f>
      </c>
      <c r="DV138" s="2660">
        <f>Geo!CH$81*0.05</f>
      </c>
      <c r="DW138" s="2660">
        <f>Geo!CI$81*0.05</f>
      </c>
      <c r="DX138" s="2660">
        <f>Geo!CJ$81*0.05</f>
      </c>
      <c r="DY138" s="2660">
        <f>Geo!CK$81*0.05</f>
      </c>
      <c r="DZ138" s="2660">
        <f>Geo!CL$81*0.05</f>
      </c>
      <c r="EA138" s="2660">
        <f>Geo!CM$81*0.05</f>
      </c>
      <c r="EB138" s="2660">
        <f>Geo!CN$81*0.05</f>
      </c>
      <c r="EC138" s="2660">
        <f>Geo!CO$81*0.05</f>
      </c>
      <c r="ED138" s="2660">
        <f>Geo!CP$81*0.05</f>
      </c>
      <c r="EE138" s="2660">
        <f>Geo!CQ$81*0.05</f>
      </c>
      <c r="EF138" s="2660">
        <f>Geo!CR$81*0.05</f>
      </c>
      <c r="EG138" s="2660">
        <f>Geo!CS$81*0.05</f>
      </c>
      <c r="EH138" s="2660">
        <f>Geo!CT$81*0.05</f>
      </c>
      <c r="EI138" s="2660">
        <f>Geo!CU$81*0.05</f>
      </c>
      <c r="EJ138" s="2660">
        <f>Geo!CV$81*0.05</f>
      </c>
      <c r="EK138" s="2660">
        <f>Geo!CW$81*0.05</f>
      </c>
      <c r="EL138" s="2660">
        <f>Geo!CX$81*0.05</f>
      </c>
      <c r="EM138" s="2660">
        <f>Geo!CY$81*0.05</f>
      </c>
      <c r="EN138" s="2660">
        <f>Geo!CZ$81*0.05</f>
      </c>
      <c r="EO138" s="2660">
        <f>Geo!DA$81*0.05</f>
      </c>
      <c r="EP138" s="2660">
        <f>Geo!DB$81*0.05</f>
      </c>
      <c r="EQ138" s="2660">
        <f>Geo!DC$81*0.05</f>
      </c>
      <c r="ER138" s="2660">
        <f>Geo!DD$81*0.05</f>
      </c>
      <c r="ES138" s="2660">
        <f>Geo!DE$81*0.05</f>
      </c>
      <c r="ET138" s="2660">
        <f>Geo!DF$81*0.05</f>
      </c>
      <c r="EU138" s="2660">
        <f>Geo!DG$81*0.05</f>
      </c>
      <c r="EV138" s="2660">
        <f>Geo!DH$81*0.05</f>
      </c>
      <c r="EW138" s="2660">
        <f>Geo!DI$81*0.05</f>
      </c>
      <c r="EX138" s="2660">
        <f>Geo!DJ$81*0.05</f>
      </c>
      <c r="EY138" s="2660">
        <f>Geo!DK$81*0.05</f>
      </c>
      <c r="EZ138" s="2660">
        <f>Geo!DL$81*0.05</f>
      </c>
      <c r="FA138" s="2660">
        <f>Geo!DM$81*0.05</f>
      </c>
      <c r="FB138" s="2660">
        <f>Geo!DN$81*0.05</f>
      </c>
      <c r="FC138" s="2660">
        <f>Geo!DO$81*0.05</f>
      </c>
      <c r="FD138" s="2660">
        <f>Geo!DP$81*0.05</f>
      </c>
      <c r="FE138" s="2660">
        <f>Geo!DQ$81*0.05</f>
      </c>
    </row>
    <row r="139" spans="2:161" outlineLevel="2">
      <c r="B139" t="s">
        <v>749</v>
      </c>
      <c r="C139" t="s">
        <v>750</v>
      </c>
      <c r="F139" s="2660"/>
      <c r="G139" s="2660">
        <f>Geo!DS$81*0.05</f>
      </c>
      <c r="H139" s="2660">
        <f>Geo!DT$81*0.05</f>
      </c>
      <c r="I139" s="2660">
        <f>Geo!DU$81*0.05</f>
      </c>
      <c r="J139" s="2660">
        <f>Geo!DV$81*0.05</f>
      </c>
      <c r="K139" s="2660">
        <f>Geo!DW$81*0.05</f>
      </c>
      <c r="L139" s="2660">
        <f>Geo!DX$81*0.05</f>
      </c>
      <c r="M139" s="2660">
        <f>Geo!DY$81*0.05</f>
      </c>
      <c r="N139" s="2660">
        <f>Geo!DZ$81*0.05</f>
      </c>
      <c r="O139" s="2660">
        <f>Geo!EA$81*0.05</f>
      </c>
      <c r="P139" s="2660">
        <f>Geo!EB$81*0.05</f>
      </c>
      <c r="Q139" s="2660">
        <f>Geo!EC$81*0.05</f>
      </c>
      <c r="R139" s="2660">
        <f>Geo!ED$81*0.05</f>
      </c>
      <c r="S139" s="2660">
        <f>Geo!EE$81*0.05</f>
      </c>
      <c r="T139" s="2660">
        <f>Geo!EF$81*0.05</f>
      </c>
      <c r="U139" s="2660">
        <f>Geo!EG$81*0.05</f>
      </c>
      <c r="V139" s="2660">
        <f>Geo!EH$81*0.05</f>
      </c>
      <c r="W139" s="2660">
        <f>Geo!EI$81*0.05</f>
      </c>
      <c r="X139" s="2660">
        <f>Geo!EJ$81*0.05</f>
      </c>
      <c r="Y139" s="2660">
        <f>Geo!EK$81*0.05</f>
      </c>
      <c r="Z139" s="2660">
        <f>Geo!EL$81*0.05</f>
      </c>
      <c r="AA139" s="2660">
        <f>Geo!EM$81*0.05</f>
      </c>
      <c r="AB139" s="2660">
        <f>Geo!EN$81*0.05</f>
      </c>
      <c r="AC139" s="2660">
        <f>Geo!EO$81*0.05</f>
      </c>
      <c r="AD139" s="2660">
        <f>Geo!EP$81*0.05</f>
      </c>
      <c r="AE139" s="2660">
        <f>Geo!EQ$81*0.05</f>
      </c>
      <c r="AF139" s="2660">
        <f>Geo!ER$81*0.05</f>
      </c>
      <c r="AG139" s="2660">
        <f>Geo!ES$81*0.05</f>
      </c>
      <c r="AH139" s="2660">
        <f>Geo!ET$81*0.05</f>
      </c>
      <c r="AI139" s="2660">
        <f>Geo!EU$81*0.05</f>
      </c>
      <c r="AJ139" s="2660">
        <f>Geo!EV$81*0.05</f>
      </c>
      <c r="AK139" s="2660"/>
      <c r="AL139" s="2660"/>
      <c r="AM139" s="2660"/>
      <c r="AN139" s="2660"/>
      <c r="AO139" s="2660"/>
      <c r="AP139" s="2660">
        <f>Geo!B$81*0.05</f>
      </c>
      <c r="AQ139" s="2660">
        <f>Geo!C$81*0.05</f>
      </c>
      <c r="AR139" s="2660">
        <f>Geo!D$81*0.05</f>
      </c>
      <c r="AS139" s="2660">
        <f>Geo!E$81*0.05</f>
      </c>
      <c r="AT139" s="2660">
        <f>Geo!F$81*0.05</f>
      </c>
      <c r="AU139" s="2660">
        <f>Geo!G$81*0.05</f>
      </c>
      <c r="AV139" s="2660">
        <f>Geo!H$81*0.05</f>
      </c>
      <c r="AW139" s="2660">
        <f>Geo!I$81*0.05</f>
      </c>
      <c r="AX139" s="2660">
        <f>Geo!J$81*0.05</f>
      </c>
      <c r="AY139" s="2660">
        <f>Geo!K$81*0.05</f>
      </c>
      <c r="AZ139" s="2660">
        <f>Geo!L$81*0.05</f>
      </c>
      <c r="BA139" s="2660">
        <f>Geo!M$81*0.05</f>
      </c>
      <c r="BB139" s="2660">
        <f>Geo!N$81*0.05</f>
      </c>
      <c r="BC139" s="2660">
        <f>Geo!O$81*0.05</f>
      </c>
      <c r="BD139" s="2660">
        <f>Geo!P$81*0.05</f>
      </c>
      <c r="BE139" s="2660">
        <f>Geo!Q$81*0.05</f>
      </c>
      <c r="BF139" s="2660">
        <f>Geo!R$81*0.05</f>
      </c>
      <c r="BG139" s="2660">
        <f>Geo!S$81*0.05</f>
      </c>
      <c r="BH139" s="2660">
        <f>Geo!T$81*0.05</f>
      </c>
      <c r="BI139" s="2660">
        <f>Geo!U$81*0.05</f>
      </c>
      <c r="BJ139" s="2660">
        <f>Geo!V$81*0.05</f>
      </c>
      <c r="BK139" s="2660">
        <f>Geo!W$81*0.05</f>
      </c>
      <c r="BL139" s="2660">
        <f>Geo!X$81*0.05</f>
      </c>
      <c r="BM139" s="2660">
        <f>Geo!Y$81*0.05</f>
      </c>
      <c r="BN139" s="2660">
        <f>Geo!Z$81*0.05</f>
      </c>
      <c r="BO139" s="2660">
        <f>Geo!AA$81*0.05</f>
      </c>
      <c r="BP139" s="2660">
        <f>Geo!AB$81*0.05</f>
      </c>
      <c r="BQ139" s="2660">
        <f>Geo!AC$81*0.05</f>
      </c>
      <c r="BR139" s="2660">
        <f>Geo!AD$81*0.05</f>
      </c>
      <c r="BS139" s="2660">
        <f>Geo!AE$81*0.05</f>
      </c>
      <c r="BT139" s="2660">
        <f>Geo!AF$81*0.05</f>
      </c>
      <c r="BU139" s="2660">
        <f>Geo!AG$81*0.05</f>
      </c>
      <c r="BV139" s="2660">
        <f>Geo!AH$81*0.05</f>
      </c>
      <c r="BW139" s="2660">
        <f>Geo!AI$81*0.05</f>
      </c>
      <c r="BX139" s="2660">
        <f>Geo!AJ$81*0.05</f>
      </c>
      <c r="BY139" s="2660">
        <f>Geo!AK$81*0.05</f>
      </c>
      <c r="BZ139" s="2660">
        <f>Geo!AL$81*0.05</f>
      </c>
      <c r="CA139" s="2660">
        <f>Geo!AM$81*0.05</f>
      </c>
      <c r="CB139" s="2660">
        <f>Geo!AN$81*0.05</f>
      </c>
      <c r="CC139" s="2660">
        <f>Geo!AO$81*0.05</f>
      </c>
      <c r="CD139" s="2660">
        <f>Geo!AP$81*0.05</f>
      </c>
      <c r="CE139" s="2660">
        <f>Geo!AQ$81*0.05</f>
      </c>
      <c r="CF139" s="2660">
        <f>Geo!AR$81*0.05</f>
      </c>
      <c r="CG139" s="2660">
        <f>Geo!AS$81*0.05</f>
      </c>
      <c r="CH139" s="2660">
        <f>Geo!AT$81*0.05</f>
      </c>
      <c r="CI139" s="2660">
        <f>Geo!AU$81*0.05</f>
      </c>
      <c r="CJ139" s="2660">
        <f>Geo!AV$81*0.05</f>
      </c>
      <c r="CK139" s="2660">
        <f>Geo!AW$81*0.05</f>
      </c>
      <c r="CL139" s="2660">
        <f>Geo!AX$81*0.05</f>
      </c>
      <c r="CM139" s="2660">
        <f>Geo!AY$81*0.05</f>
      </c>
      <c r="CN139" s="2660">
        <f>Geo!AZ$81*0.05</f>
      </c>
      <c r="CO139" s="2660">
        <f>Geo!BA$81*0.05</f>
      </c>
      <c r="CP139" s="2660">
        <f>Geo!BB$81*0.05</f>
      </c>
      <c r="CQ139" s="2660">
        <f>Geo!BC$81*0.05</f>
      </c>
      <c r="CR139" s="2660">
        <f>Geo!BD$81*0.05</f>
      </c>
      <c r="CS139" s="2660">
        <f>Geo!BE$81*0.05</f>
      </c>
      <c r="CT139" s="2660">
        <f>Geo!BF$81*0.05</f>
      </c>
      <c r="CU139" s="2660">
        <f>Geo!BG$81*0.05</f>
      </c>
      <c r="CV139" s="2660">
        <f>Geo!BH$81*0.05</f>
      </c>
      <c r="CW139" s="2660">
        <f>Geo!BI$81*0.05</f>
      </c>
      <c r="CX139" s="2660">
        <f>Geo!BJ$81*0.05</f>
      </c>
      <c r="CY139" s="2660">
        <f>Geo!BK$81*0.05</f>
      </c>
      <c r="CZ139" s="2660">
        <f>Geo!BL$81*0.05</f>
      </c>
      <c r="DA139" s="2660">
        <f>Geo!BM$81*0.05</f>
      </c>
      <c r="DB139" s="2660">
        <f>Geo!BN$81*0.05</f>
      </c>
      <c r="DC139" s="2660">
        <f>Geo!BO$81*0.05</f>
      </c>
      <c r="DD139" s="2660">
        <f>Geo!BP$81*0.05</f>
      </c>
      <c r="DE139" s="2660">
        <f>Geo!BQ$81*0.05</f>
      </c>
      <c r="DF139" s="2660">
        <f>Geo!BR$81*0.05</f>
      </c>
      <c r="DG139" s="2660">
        <f>Geo!BS$81*0.05</f>
      </c>
      <c r="DH139" s="2660">
        <f>Geo!BT$81*0.05</f>
      </c>
      <c r="DI139" s="2660">
        <f>Geo!BU$81*0.05</f>
      </c>
      <c r="DJ139" s="2660">
        <f>Geo!BV$81*0.05</f>
      </c>
      <c r="DK139" s="2660">
        <f>Geo!BW$81*0.05</f>
      </c>
      <c r="DL139" s="2660">
        <f>Geo!BX$81*0.05</f>
      </c>
      <c r="DM139" s="2660">
        <f>Geo!BY$81*0.05</f>
      </c>
      <c r="DN139" s="2660">
        <f>Geo!BZ$81*0.05</f>
      </c>
      <c r="DO139" s="2660">
        <f>Geo!CA$81*0.05</f>
      </c>
      <c r="DP139" s="2660">
        <f>Geo!CB$81*0.05</f>
      </c>
      <c r="DQ139" s="2660">
        <f>Geo!CC$81*0.05</f>
      </c>
      <c r="DR139" s="2660">
        <f>Geo!CD$81*0.05</f>
      </c>
      <c r="DS139" s="2660">
        <f>Geo!CE$81*0.05</f>
      </c>
      <c r="DT139" s="2660">
        <f>Geo!CF$81*0.05</f>
      </c>
      <c r="DU139" s="2660">
        <f>Geo!CG$81*0.05</f>
      </c>
      <c r="DV139" s="2660">
        <f>Geo!CH$81*0.05</f>
      </c>
      <c r="DW139" s="2660">
        <f>Geo!CI$81*0.05</f>
      </c>
      <c r="DX139" s="2660">
        <f>Geo!CJ$81*0.05</f>
      </c>
      <c r="DY139" s="2660">
        <f>Geo!CK$81*0.05</f>
      </c>
      <c r="DZ139" s="2660">
        <f>Geo!CL$81*0.05</f>
      </c>
      <c r="EA139" s="2660">
        <f>Geo!CM$81*0.05</f>
      </c>
      <c r="EB139" s="2660">
        <f>Geo!CN$81*0.05</f>
      </c>
      <c r="EC139" s="2660">
        <f>Geo!CO$81*0.05</f>
      </c>
      <c r="ED139" s="2660">
        <f>Geo!CP$81*0.05</f>
      </c>
      <c r="EE139" s="2660">
        <f>Geo!CQ$81*0.05</f>
      </c>
      <c r="EF139" s="2660">
        <f>Geo!CR$81*0.05</f>
      </c>
      <c r="EG139" s="2660">
        <f>Geo!CS$81*0.05</f>
      </c>
      <c r="EH139" s="2660">
        <f>Geo!CT$81*0.05</f>
      </c>
      <c r="EI139" s="2660">
        <f>Geo!CU$81*0.05</f>
      </c>
      <c r="EJ139" s="2660">
        <f>Geo!CV$81*0.05</f>
      </c>
      <c r="EK139" s="2660">
        <f>Geo!CW$81*0.05</f>
      </c>
      <c r="EL139" s="2660">
        <f>Geo!CX$81*0.05</f>
      </c>
      <c r="EM139" s="2660">
        <f>Geo!CY$81*0.05</f>
      </c>
      <c r="EN139" s="2660">
        <f>Geo!CZ$81*0.05</f>
      </c>
      <c r="EO139" s="2660">
        <f>Geo!DA$81*0.05</f>
      </c>
      <c r="EP139" s="2660">
        <f>Geo!DB$81*0.05</f>
      </c>
      <c r="EQ139" s="2660">
        <f>Geo!DC$81*0.05</f>
      </c>
      <c r="ER139" s="2660">
        <f>Geo!DD$81*0.05</f>
      </c>
      <c r="ES139" s="2660">
        <f>Geo!DE$81*0.05</f>
      </c>
      <c r="ET139" s="2660">
        <f>Geo!DF$81*0.05</f>
      </c>
      <c r="EU139" s="2660">
        <f>Geo!DG$81*0.05</f>
      </c>
      <c r="EV139" s="2660">
        <f>Geo!DH$81*0.05</f>
      </c>
      <c r="EW139" s="2660">
        <f>Geo!DI$81*0.05</f>
      </c>
      <c r="EX139" s="2660">
        <f>Geo!DJ$81*0.05</f>
      </c>
      <c r="EY139" s="2660">
        <f>Geo!DK$81*0.05</f>
      </c>
      <c r="EZ139" s="2660">
        <f>Geo!DL$81*0.05</f>
      </c>
      <c r="FA139" s="2660">
        <f>Geo!DM$81*0.05</f>
      </c>
      <c r="FB139" s="2660">
        <f>Geo!DN$81*0.05</f>
      </c>
      <c r="FC139" s="2660">
        <f>Geo!DO$81*0.05</f>
      </c>
      <c r="FD139" s="2660">
        <f>Geo!DP$81*0.05</f>
      </c>
      <c r="FE139" s="2660">
        <f>Geo!DQ$81*0.05</f>
      </c>
    </row>
    <row r="140" spans="2:161" outlineLevel="2">
      <c r="B140" t="s">
        <v>751</v>
      </c>
      <c r="C140" t="s">
        <v>752</v>
      </c>
      <c r="F140" s="2660"/>
      <c r="G140" s="2660">
        <f>Geo!DS$81*0.05</f>
      </c>
      <c r="H140" s="2660">
        <f>Geo!DT$81*0.05</f>
      </c>
      <c r="I140" s="2660">
        <f>Geo!DU$81*0.05</f>
      </c>
      <c r="J140" s="2660">
        <f>Geo!DV$81*0.05</f>
      </c>
      <c r="K140" s="2660">
        <f>Geo!DW$81*0.05</f>
      </c>
      <c r="L140" s="2660">
        <f>Geo!DX$81*0.05</f>
      </c>
      <c r="M140" s="2660">
        <f>Geo!DY$81*0.05</f>
      </c>
      <c r="N140" s="2660">
        <f>Geo!DZ$81*0.05</f>
      </c>
      <c r="O140" s="2660">
        <f>Geo!EA$81*0.05</f>
      </c>
      <c r="P140" s="2660">
        <f>Geo!EB$81*0.05</f>
      </c>
      <c r="Q140" s="2660">
        <f>Geo!EC$81*0.05</f>
      </c>
      <c r="R140" s="2660">
        <f>Geo!ED$81*0.05</f>
      </c>
      <c r="S140" s="2660">
        <f>Geo!EE$81*0.05</f>
      </c>
      <c r="T140" s="2660">
        <f>Geo!EF$81*0.05</f>
      </c>
      <c r="U140" s="2660">
        <f>Geo!EG$81*0.05</f>
      </c>
      <c r="V140" s="2660">
        <f>Geo!EH$81*0.05</f>
      </c>
      <c r="W140" s="2660">
        <f>Geo!EI$81*0.05</f>
      </c>
      <c r="X140" s="2660">
        <f>Geo!EJ$81*0.05</f>
      </c>
      <c r="Y140" s="2660">
        <f>Geo!EK$81*0.05</f>
      </c>
      <c r="Z140" s="2660">
        <f>Geo!EL$81*0.05</f>
      </c>
      <c r="AA140" s="2660">
        <f>Geo!EM$81*0.05</f>
      </c>
      <c r="AB140" s="2660">
        <f>Geo!EN$81*0.05</f>
      </c>
      <c r="AC140" s="2660">
        <f>Geo!EO$81*0.05</f>
      </c>
      <c r="AD140" s="2660">
        <f>Geo!EP$81*0.05</f>
      </c>
      <c r="AE140" s="2660">
        <f>Geo!EQ$81*0.05</f>
      </c>
      <c r="AF140" s="2660">
        <f>Geo!ER$81*0.05</f>
      </c>
      <c r="AG140" s="2660">
        <f>Geo!ES$81*0.05</f>
      </c>
      <c r="AH140" s="2660">
        <f>Geo!ET$81*0.05</f>
      </c>
      <c r="AI140" s="2660">
        <f>Geo!EU$81*0.05</f>
      </c>
      <c r="AJ140" s="2660">
        <f>Geo!EV$81*0.05</f>
      </c>
      <c r="AK140" s="2660"/>
      <c r="AL140" s="2660"/>
      <c r="AM140" s="2660"/>
      <c r="AN140" s="2660"/>
      <c r="AO140" s="2660"/>
      <c r="AP140" s="2660">
        <f>Geo!B$81*0.05</f>
      </c>
      <c r="AQ140" s="2660">
        <f>Geo!C$81*0.05</f>
      </c>
      <c r="AR140" s="2660">
        <f>Geo!D$81*0.05</f>
      </c>
      <c r="AS140" s="2660">
        <f>Geo!E$81*0.05</f>
      </c>
      <c r="AT140" s="2660">
        <f>Geo!F$81*0.05</f>
      </c>
      <c r="AU140" s="2660">
        <f>Geo!G$81*0.05</f>
      </c>
      <c r="AV140" s="2660">
        <f>Geo!H$81*0.05</f>
      </c>
      <c r="AW140" s="2660">
        <f>Geo!I$81*0.05</f>
      </c>
      <c r="AX140" s="2660">
        <f>Geo!J$81*0.05</f>
      </c>
      <c r="AY140" s="2660">
        <f>Geo!K$81*0.05</f>
      </c>
      <c r="AZ140" s="2660">
        <f>Geo!L$81*0.05</f>
      </c>
      <c r="BA140" s="2660">
        <f>Geo!M$81*0.05</f>
      </c>
      <c r="BB140" s="2660">
        <f>Geo!N$81*0.05</f>
      </c>
      <c r="BC140" s="2660">
        <f>Geo!O$81*0.05</f>
      </c>
      <c r="BD140" s="2660">
        <f>Geo!P$81*0.05</f>
      </c>
      <c r="BE140" s="2660">
        <f>Geo!Q$81*0.05</f>
      </c>
      <c r="BF140" s="2660">
        <f>Geo!R$81*0.05</f>
      </c>
      <c r="BG140" s="2660">
        <f>Geo!S$81*0.05</f>
      </c>
      <c r="BH140" s="2660">
        <f>Geo!T$81*0.05</f>
      </c>
      <c r="BI140" s="2660">
        <f>Geo!U$81*0.05</f>
      </c>
      <c r="BJ140" s="2660">
        <f>Geo!V$81*0.05</f>
      </c>
      <c r="BK140" s="2660">
        <f>Geo!W$81*0.05</f>
      </c>
      <c r="BL140" s="2660">
        <f>Geo!X$81*0.05</f>
      </c>
      <c r="BM140" s="2660">
        <f>Geo!Y$81*0.05</f>
      </c>
      <c r="BN140" s="2660">
        <f>Geo!Z$81*0.05</f>
      </c>
      <c r="BO140" s="2660">
        <f>Geo!AA$81*0.05</f>
      </c>
      <c r="BP140" s="2660">
        <f>Geo!AB$81*0.05</f>
      </c>
      <c r="BQ140" s="2660">
        <f>Geo!AC$81*0.05</f>
      </c>
      <c r="BR140" s="2660">
        <f>Geo!AD$81*0.05</f>
      </c>
      <c r="BS140" s="2660">
        <f>Geo!AE$81*0.05</f>
      </c>
      <c r="BT140" s="2660">
        <f>Geo!AF$81*0.05</f>
      </c>
      <c r="BU140" s="2660">
        <f>Geo!AG$81*0.05</f>
      </c>
      <c r="BV140" s="2660">
        <f>Geo!AH$81*0.05</f>
      </c>
      <c r="BW140" s="2660">
        <f>Geo!AI$81*0.05</f>
      </c>
      <c r="BX140" s="2660">
        <f>Geo!AJ$81*0.05</f>
      </c>
      <c r="BY140" s="2660">
        <f>Geo!AK$81*0.05</f>
      </c>
      <c r="BZ140" s="2660">
        <f>Geo!AL$81*0.05</f>
      </c>
      <c r="CA140" s="2660">
        <f>Geo!AM$81*0.05</f>
      </c>
      <c r="CB140" s="2660">
        <f>Geo!AN$81*0.05</f>
      </c>
      <c r="CC140" s="2660">
        <f>Geo!AO$81*0.05</f>
      </c>
      <c r="CD140" s="2660">
        <f>Geo!AP$81*0.05</f>
      </c>
      <c r="CE140" s="2660">
        <f>Geo!AQ$81*0.05</f>
      </c>
      <c r="CF140" s="2660">
        <f>Geo!AR$81*0.05</f>
      </c>
      <c r="CG140" s="2660">
        <f>Geo!AS$81*0.05</f>
      </c>
      <c r="CH140" s="2660">
        <f>Geo!AT$81*0.05</f>
      </c>
      <c r="CI140" s="2660">
        <f>Geo!AU$81*0.05</f>
      </c>
      <c r="CJ140" s="2660">
        <f>Geo!AV$81*0.05</f>
      </c>
      <c r="CK140" s="2660">
        <f>Geo!AW$81*0.05</f>
      </c>
      <c r="CL140" s="2660">
        <f>Geo!AX$81*0.05</f>
      </c>
      <c r="CM140" s="2660">
        <f>Geo!AY$81*0.05</f>
      </c>
      <c r="CN140" s="2660">
        <f>Geo!AZ$81*0.05</f>
      </c>
      <c r="CO140" s="2660">
        <f>Geo!BA$81*0.05</f>
      </c>
      <c r="CP140" s="2660">
        <f>Geo!BB$81*0.05</f>
      </c>
      <c r="CQ140" s="2660">
        <f>Geo!BC$81*0.05</f>
      </c>
      <c r="CR140" s="2660">
        <f>Geo!BD$81*0.05</f>
      </c>
      <c r="CS140" s="2660">
        <f>Geo!BE$81*0.05</f>
      </c>
      <c r="CT140" s="2660">
        <f>Geo!BF$81*0.05</f>
      </c>
      <c r="CU140" s="2660">
        <f>Geo!BG$81*0.05</f>
      </c>
      <c r="CV140" s="2660">
        <f>Geo!BH$81*0.05</f>
      </c>
      <c r="CW140" s="2660">
        <f>Geo!BI$81*0.05</f>
      </c>
      <c r="CX140" s="2660">
        <f>Geo!BJ$81*0.05</f>
      </c>
      <c r="CY140" s="2660">
        <f>Geo!BK$81*0.05</f>
      </c>
      <c r="CZ140" s="2660">
        <f>Geo!BL$81*0.05</f>
      </c>
      <c r="DA140" s="2660">
        <f>Geo!BM$81*0.05</f>
      </c>
      <c r="DB140" s="2660">
        <f>Geo!BN$81*0.05</f>
      </c>
      <c r="DC140" s="2660">
        <f>Geo!BO$81*0.05</f>
      </c>
      <c r="DD140" s="2660">
        <f>Geo!BP$81*0.05</f>
      </c>
      <c r="DE140" s="2660">
        <f>Geo!BQ$81*0.05</f>
      </c>
      <c r="DF140" s="2660">
        <f>Geo!BR$81*0.05</f>
      </c>
      <c r="DG140" s="2660">
        <f>Geo!BS$81*0.05</f>
      </c>
      <c r="DH140" s="2660">
        <f>Geo!BT$81*0.05</f>
      </c>
      <c r="DI140" s="2660">
        <f>Geo!BU$81*0.05</f>
      </c>
      <c r="DJ140" s="2660">
        <f>Geo!BV$81*0.05</f>
      </c>
      <c r="DK140" s="2660">
        <f>Geo!BW$81*0.05</f>
      </c>
      <c r="DL140" s="2660">
        <f>Geo!BX$81*0.05</f>
      </c>
      <c r="DM140" s="2660">
        <f>Geo!BY$81*0.05</f>
      </c>
      <c r="DN140" s="2660">
        <f>Geo!BZ$81*0.05</f>
      </c>
      <c r="DO140" s="2660">
        <f>Geo!CA$81*0.05</f>
      </c>
      <c r="DP140" s="2660">
        <f>Geo!CB$81*0.05</f>
      </c>
      <c r="DQ140" s="2660">
        <f>Geo!CC$81*0.05</f>
      </c>
      <c r="DR140" s="2660">
        <f>Geo!CD$81*0.05</f>
      </c>
      <c r="DS140" s="2660">
        <f>Geo!CE$81*0.05</f>
      </c>
      <c r="DT140" s="2660">
        <f>Geo!CF$81*0.05</f>
      </c>
      <c r="DU140" s="2660">
        <f>Geo!CG$81*0.05</f>
      </c>
      <c r="DV140" s="2660">
        <f>Geo!CH$81*0.05</f>
      </c>
      <c r="DW140" s="2660">
        <f>Geo!CI$81*0.05</f>
      </c>
      <c r="DX140" s="2660">
        <f>Geo!CJ$81*0.05</f>
      </c>
      <c r="DY140" s="2660">
        <f>Geo!CK$81*0.05</f>
      </c>
      <c r="DZ140" s="2660">
        <f>Geo!CL$81*0.05</f>
      </c>
      <c r="EA140" s="2660">
        <f>Geo!CM$81*0.05</f>
      </c>
      <c r="EB140" s="2660">
        <f>Geo!CN$81*0.05</f>
      </c>
      <c r="EC140" s="2660">
        <f>Geo!CO$81*0.05</f>
      </c>
      <c r="ED140" s="2660">
        <f>Geo!CP$81*0.05</f>
      </c>
      <c r="EE140" s="2660">
        <f>Geo!CQ$81*0.05</f>
      </c>
      <c r="EF140" s="2660">
        <f>Geo!CR$81*0.05</f>
      </c>
      <c r="EG140" s="2660">
        <f>Geo!CS$81*0.05</f>
      </c>
      <c r="EH140" s="2660">
        <f>Geo!CT$81*0.05</f>
      </c>
      <c r="EI140" s="2660">
        <f>Geo!CU$81*0.05</f>
      </c>
      <c r="EJ140" s="2660">
        <f>Geo!CV$81*0.05</f>
      </c>
      <c r="EK140" s="2660">
        <f>Geo!CW$81*0.05</f>
      </c>
      <c r="EL140" s="2660">
        <f>Geo!CX$81*0.05</f>
      </c>
      <c r="EM140" s="2660">
        <f>Geo!CY$81*0.05</f>
      </c>
      <c r="EN140" s="2660">
        <f>Geo!CZ$81*0.05</f>
      </c>
      <c r="EO140" s="2660">
        <f>Geo!DA$81*0.05</f>
      </c>
      <c r="EP140" s="2660">
        <f>Geo!DB$81*0.05</f>
      </c>
      <c r="EQ140" s="2660">
        <f>Geo!DC$81*0.05</f>
      </c>
      <c r="ER140" s="2660">
        <f>Geo!DD$81*0.05</f>
      </c>
      <c r="ES140" s="2660">
        <f>Geo!DE$81*0.05</f>
      </c>
      <c r="ET140" s="2660">
        <f>Geo!DF$81*0.05</f>
      </c>
      <c r="EU140" s="2660">
        <f>Geo!DG$81*0.05</f>
      </c>
      <c r="EV140" s="2660">
        <f>Geo!DH$81*0.05</f>
      </c>
      <c r="EW140" s="2660">
        <f>Geo!DI$81*0.05</f>
      </c>
      <c r="EX140" s="2660">
        <f>Geo!DJ$81*0.05</f>
      </c>
      <c r="EY140" s="2660">
        <f>Geo!DK$81*0.05</f>
      </c>
      <c r="EZ140" s="2660">
        <f>Geo!DL$81*0.05</f>
      </c>
      <c r="FA140" s="2660">
        <f>Geo!DM$81*0.05</f>
      </c>
      <c r="FB140" s="2660">
        <f>Geo!DN$81*0.05</f>
      </c>
      <c r="FC140" s="2660">
        <f>Geo!DO$81*0.05</f>
      </c>
      <c r="FD140" s="2660">
        <f>Geo!DP$81*0.05</f>
      </c>
      <c r="FE140" s="2660">
        <f>Geo!DQ$81*0.05</f>
      </c>
    </row>
    <row r="141" spans="2:161" outlineLevel="2">
      <c r="B141" t="s">
        <v>753</v>
      </c>
      <c r="C141" t="s">
        <v>754</v>
      </c>
      <c r="F141" s="2660"/>
      <c r="G141" s="2660">
        <f>Geo!DS$81*0.1</f>
      </c>
      <c r="H141" s="2660">
        <f>Geo!DT$81*0.1</f>
      </c>
      <c r="I141" s="2660">
        <f>Geo!DU$81*0.1</f>
      </c>
      <c r="J141" s="2660">
        <f>Geo!DV$81*0.1</f>
      </c>
      <c r="K141" s="2660">
        <f>Geo!DW$81*0.1</f>
      </c>
      <c r="L141" s="2660">
        <f>Geo!DX$81*0.1</f>
      </c>
      <c r="M141" s="2660">
        <f>Geo!DY$81*0.1</f>
      </c>
      <c r="N141" s="2660">
        <f>Geo!DZ$81*0.1</f>
      </c>
      <c r="O141" s="2660">
        <f>Geo!EA$81*0.1</f>
      </c>
      <c r="P141" s="2660">
        <f>Geo!EB$81*0.1</f>
      </c>
      <c r="Q141" s="2660">
        <f>Geo!EC$81*0.1</f>
      </c>
      <c r="R141" s="2660">
        <f>Geo!ED$81*0.1</f>
      </c>
      <c r="S141" s="2660">
        <f>Geo!EE$81*0.1</f>
      </c>
      <c r="T141" s="2660">
        <f>Geo!EF$81*0.1</f>
      </c>
      <c r="U141" s="2660">
        <f>Geo!EG$81*0.1</f>
      </c>
      <c r="V141" s="2660">
        <f>Geo!EH$81*0.1</f>
      </c>
      <c r="W141" s="2660">
        <f>Geo!EI$81*0.1</f>
      </c>
      <c r="X141" s="2660">
        <f>Geo!EJ$81*0.1</f>
      </c>
      <c r="Y141" s="2660">
        <f>Geo!EK$81*0.1</f>
      </c>
      <c r="Z141" s="2660">
        <f>Geo!EL$81*0.1</f>
      </c>
      <c r="AA141" s="2660">
        <f>Geo!EM$81*0.1</f>
      </c>
      <c r="AB141" s="2660">
        <f>Geo!EN$81*0.1</f>
      </c>
      <c r="AC141" s="2660">
        <f>Geo!EO$81*0.1</f>
      </c>
      <c r="AD141" s="2660">
        <f>Geo!EP$81*0.1</f>
      </c>
      <c r="AE141" s="2660">
        <f>Geo!EQ$81*0.1</f>
      </c>
      <c r="AF141" s="2660">
        <f>Geo!ER$81*0.1</f>
      </c>
      <c r="AG141" s="2660">
        <f>Geo!ES$81*0.1</f>
      </c>
      <c r="AH141" s="2660">
        <f>Geo!ET$81*0.1</f>
      </c>
      <c r="AI141" s="2660">
        <f>Geo!EU$81*0.1</f>
      </c>
      <c r="AJ141" s="2660">
        <f>Geo!EV$81*0.1</f>
      </c>
      <c r="AK141" s="2660"/>
      <c r="AL141" s="2660"/>
      <c r="AM141" s="2660"/>
      <c r="AN141" s="2660"/>
      <c r="AO141" s="2660"/>
      <c r="AP141" s="2660">
        <f>Geo!B$81*0.1</f>
      </c>
      <c r="AQ141" s="2660">
        <f>Geo!C$81*0.1</f>
      </c>
      <c r="AR141" s="2660">
        <f>Geo!D$81*0.1</f>
      </c>
      <c r="AS141" s="2660">
        <f>Geo!E$81*0.1</f>
      </c>
      <c r="AT141" s="2660">
        <f>Geo!F$81*0.1</f>
      </c>
      <c r="AU141" s="2660">
        <f>Geo!G$81*0.1</f>
      </c>
      <c r="AV141" s="2660">
        <f>Geo!H$81*0.1</f>
      </c>
      <c r="AW141" s="2660">
        <f>Geo!I$81*0.1</f>
      </c>
      <c r="AX141" s="2660">
        <f>Geo!J$81*0.1</f>
      </c>
      <c r="AY141" s="2660">
        <f>Geo!K$81*0.1</f>
      </c>
      <c r="AZ141" s="2660">
        <f>Geo!L$81*0.1</f>
      </c>
      <c r="BA141" s="2660">
        <f>Geo!M$81*0.1</f>
      </c>
      <c r="BB141" s="2660">
        <f>Geo!N$81*0.1</f>
      </c>
      <c r="BC141" s="2660">
        <f>Geo!O$81*0.1</f>
      </c>
      <c r="BD141" s="2660">
        <f>Geo!P$81*0.1</f>
      </c>
      <c r="BE141" s="2660">
        <f>Geo!Q$81*0.1</f>
      </c>
      <c r="BF141" s="2660">
        <f>Geo!R$81*0.1</f>
      </c>
      <c r="BG141" s="2660">
        <f>Geo!S$81*0.1</f>
      </c>
      <c r="BH141" s="2660">
        <f>Geo!T$81*0.1</f>
      </c>
      <c r="BI141" s="2660">
        <f>Geo!U$81*0.1</f>
      </c>
      <c r="BJ141" s="2660">
        <f>Geo!V$81*0.1</f>
      </c>
      <c r="BK141" s="2660">
        <f>Geo!W$81*0.1</f>
      </c>
      <c r="BL141" s="2660">
        <f>Geo!X$81*0.1</f>
      </c>
      <c r="BM141" s="2660">
        <f>Geo!Y$81*0.1</f>
      </c>
      <c r="BN141" s="2660">
        <f>Geo!Z$81*0.1</f>
      </c>
      <c r="BO141" s="2660">
        <f>Geo!AA$81*0.1</f>
      </c>
      <c r="BP141" s="2660">
        <f>Geo!AB$81*0.1</f>
      </c>
      <c r="BQ141" s="2660">
        <f>Geo!AC$81*0.1</f>
      </c>
      <c r="BR141" s="2660">
        <f>Geo!AD$81*0.1</f>
      </c>
      <c r="BS141" s="2660">
        <f>Geo!AE$81*0.1</f>
      </c>
      <c r="BT141" s="2660">
        <f>Geo!AF$81*0.1</f>
      </c>
      <c r="BU141" s="2660">
        <f>Geo!AG$81*0.1</f>
      </c>
      <c r="BV141" s="2660">
        <f>Geo!AH$81*0.1</f>
      </c>
      <c r="BW141" s="2660">
        <f>Geo!AI$81*0.1</f>
      </c>
      <c r="BX141" s="2660">
        <f>Geo!AJ$81*0.1</f>
      </c>
      <c r="BY141" s="2660">
        <f>Geo!AK$81*0.1</f>
      </c>
      <c r="BZ141" s="2660">
        <f>Geo!AL$81*0.1</f>
      </c>
      <c r="CA141" s="2660">
        <f>Geo!AM$81*0.1</f>
      </c>
      <c r="CB141" s="2660">
        <f>Geo!AN$81*0.1</f>
      </c>
      <c r="CC141" s="2660">
        <f>Geo!AO$81*0.1</f>
      </c>
      <c r="CD141" s="2660">
        <f>Geo!AP$81*0.1</f>
      </c>
      <c r="CE141" s="2660">
        <f>Geo!AQ$81*0.1</f>
      </c>
      <c r="CF141" s="2660">
        <f>Geo!AR$81*0.1</f>
      </c>
      <c r="CG141" s="2660">
        <f>Geo!AS$81*0.1</f>
      </c>
      <c r="CH141" s="2660">
        <f>Geo!AT$81*0.1</f>
      </c>
      <c r="CI141" s="2660">
        <f>Geo!AU$81*0.1</f>
      </c>
      <c r="CJ141" s="2660">
        <f>Geo!AV$81*0.1</f>
      </c>
      <c r="CK141" s="2660">
        <f>Geo!AW$81*0.1</f>
      </c>
      <c r="CL141" s="2660">
        <f>Geo!AX$81*0.1</f>
      </c>
      <c r="CM141" s="2660">
        <f>Geo!AY$81*0.1</f>
      </c>
      <c r="CN141" s="2660">
        <f>Geo!AZ$81*0.1</f>
      </c>
      <c r="CO141" s="2660">
        <f>Geo!BA$81*0.1</f>
      </c>
      <c r="CP141" s="2660">
        <f>Geo!BB$81*0.1</f>
      </c>
      <c r="CQ141" s="2660">
        <f>Geo!BC$81*0.1</f>
      </c>
      <c r="CR141" s="2660">
        <f>Geo!BD$81*0.1</f>
      </c>
      <c r="CS141" s="2660">
        <f>Geo!BE$81*0.1</f>
      </c>
      <c r="CT141" s="2660">
        <f>Geo!BF$81*0.1</f>
      </c>
      <c r="CU141" s="2660">
        <f>Geo!BG$81*0.1</f>
      </c>
      <c r="CV141" s="2660">
        <f>Geo!BH$81*0.1</f>
      </c>
      <c r="CW141" s="2660">
        <f>Geo!BI$81*0.1</f>
      </c>
      <c r="CX141" s="2660">
        <f>Geo!BJ$81*0.1</f>
      </c>
      <c r="CY141" s="2660">
        <f>Geo!BK$81*0.1</f>
      </c>
      <c r="CZ141" s="2660">
        <f>Geo!BL$81*0.1</f>
      </c>
      <c r="DA141" s="2660">
        <f>Geo!BM$81*0.1</f>
      </c>
      <c r="DB141" s="2660">
        <f>Geo!BN$81*0.1</f>
      </c>
      <c r="DC141" s="2660">
        <f>Geo!BO$81*0.1</f>
      </c>
      <c r="DD141" s="2660">
        <f>Geo!BP$81*0.1</f>
      </c>
      <c r="DE141" s="2660">
        <f>Geo!BQ$81*0.1</f>
      </c>
      <c r="DF141" s="2660">
        <f>Geo!BR$81*0.1</f>
      </c>
      <c r="DG141" s="2660">
        <f>Geo!BS$81*0.1</f>
      </c>
      <c r="DH141" s="2660">
        <f>Geo!BT$81*0.1</f>
      </c>
      <c r="DI141" s="2660">
        <f>Geo!BU$81*0.1</f>
      </c>
      <c r="DJ141" s="2660">
        <f>Geo!BV$81*0.1</f>
      </c>
      <c r="DK141" s="2660">
        <f>Geo!BW$81*0.1</f>
      </c>
      <c r="DL141" s="2660">
        <f>Geo!BX$81*0.1</f>
      </c>
      <c r="DM141" s="2660">
        <f>Geo!BY$81*0.1</f>
      </c>
      <c r="DN141" s="2660">
        <f>Geo!BZ$81*0.1</f>
      </c>
      <c r="DO141" s="2660">
        <f>Geo!CA$81*0.1</f>
      </c>
      <c r="DP141" s="2660">
        <f>Geo!CB$81*0.1</f>
      </c>
      <c r="DQ141" s="2660">
        <f>Geo!CC$81*0.1</f>
      </c>
      <c r="DR141" s="2660">
        <f>Geo!CD$81*0.1</f>
      </c>
      <c r="DS141" s="2660">
        <f>Geo!CE$81*0.1</f>
      </c>
      <c r="DT141" s="2660">
        <f>Geo!CF$81*0.1</f>
      </c>
      <c r="DU141" s="2660">
        <f>Geo!CG$81*0.1</f>
      </c>
      <c r="DV141" s="2660">
        <f>Geo!CH$81*0.1</f>
      </c>
      <c r="DW141" s="2660">
        <f>Geo!CI$81*0.1</f>
      </c>
      <c r="DX141" s="2660">
        <f>Geo!CJ$81*0.1</f>
      </c>
      <c r="DY141" s="2660">
        <f>Geo!CK$81*0.1</f>
      </c>
      <c r="DZ141" s="2660">
        <f>Geo!CL$81*0.1</f>
      </c>
      <c r="EA141" s="2660">
        <f>Geo!CM$81*0.1</f>
      </c>
      <c r="EB141" s="2660">
        <f>Geo!CN$81*0.1</f>
      </c>
      <c r="EC141" s="2660">
        <f>Geo!CO$81*0.1</f>
      </c>
      <c r="ED141" s="2660">
        <f>Geo!CP$81*0.1</f>
      </c>
      <c r="EE141" s="2660">
        <f>Geo!CQ$81*0.1</f>
      </c>
      <c r="EF141" s="2660">
        <f>Geo!CR$81*0.1</f>
      </c>
      <c r="EG141" s="2660">
        <f>Geo!CS$81*0.1</f>
      </c>
      <c r="EH141" s="2660">
        <f>Geo!CT$81*0.1</f>
      </c>
      <c r="EI141" s="2660">
        <f>Geo!CU$81*0.1</f>
      </c>
      <c r="EJ141" s="2660">
        <f>Geo!CV$81*0.1</f>
      </c>
      <c r="EK141" s="2660">
        <f>Geo!CW$81*0.1</f>
      </c>
      <c r="EL141" s="2660">
        <f>Geo!CX$81*0.1</f>
      </c>
      <c r="EM141" s="2660">
        <f>Geo!CY$81*0.1</f>
      </c>
      <c r="EN141" s="2660">
        <f>Geo!CZ$81*0.1</f>
      </c>
      <c r="EO141" s="2660">
        <f>Geo!DA$81*0.1</f>
      </c>
      <c r="EP141" s="2660">
        <f>Geo!DB$81*0.1</f>
      </c>
      <c r="EQ141" s="2660">
        <f>Geo!DC$81*0.1</f>
      </c>
      <c r="ER141" s="2660">
        <f>Geo!DD$81*0.1</f>
      </c>
      <c r="ES141" s="2660">
        <f>Geo!DE$81*0.1</f>
      </c>
      <c r="ET141" s="2660">
        <f>Geo!DF$81*0.1</f>
      </c>
      <c r="EU141" s="2660">
        <f>Geo!DG$81*0.1</f>
      </c>
      <c r="EV141" s="2660">
        <f>Geo!DH$81*0.1</f>
      </c>
      <c r="EW141" s="2660">
        <f>Geo!DI$81*0.1</f>
      </c>
      <c r="EX141" s="2660">
        <f>Geo!DJ$81*0.1</f>
      </c>
      <c r="EY141" s="2660">
        <f>Geo!DK$81*0.1</f>
      </c>
      <c r="EZ141" s="2660">
        <f>Geo!DL$81*0.1</f>
      </c>
      <c r="FA141" s="2660">
        <f>Geo!DM$81*0.1</f>
      </c>
      <c r="FB141" s="2660">
        <f>Geo!DN$81*0.1</f>
      </c>
      <c r="FC141" s="2660">
        <f>Geo!DO$81*0.1</f>
      </c>
      <c r="FD141" s="2660">
        <f>Geo!DP$81*0.1</f>
      </c>
      <c r="FE141" s="2660">
        <f>Geo!DQ$81*0.1</f>
      </c>
    </row>
    <row r="142" spans="2:161" outlineLevel="2">
      <c r="B142" t="s">
        <v>755</v>
      </c>
      <c r="C142" t="s">
        <v>756</v>
      </c>
      <c r="F142" s="2660"/>
      <c r="G142" s="2660">
        <f>Geo!DS$81*0.01</f>
      </c>
      <c r="H142" s="2660">
        <f>Geo!DT$81*0.01</f>
      </c>
      <c r="I142" s="2660">
        <f>Geo!DU$81*0.01</f>
      </c>
      <c r="J142" s="2660">
        <f>Geo!DV$81*0.01</f>
      </c>
      <c r="K142" s="2660">
        <f>Geo!DW$81*0.01</f>
      </c>
      <c r="L142" s="2660">
        <f>Geo!DX$81*0.01</f>
      </c>
      <c r="M142" s="2660">
        <f>Geo!DY$81*0.01</f>
      </c>
      <c r="N142" s="2660">
        <f>Geo!DZ$81*0.01</f>
      </c>
      <c r="O142" s="2660">
        <f>Geo!EA$81*0.01</f>
      </c>
      <c r="P142" s="2660">
        <f>Geo!EB$81*0.01</f>
      </c>
      <c r="Q142" s="2660">
        <f>Geo!EC$81*0.01</f>
      </c>
      <c r="R142" s="2660">
        <f>Geo!ED$81*0.01</f>
      </c>
      <c r="S142" s="2660">
        <f>Geo!EE$81*0.01</f>
      </c>
      <c r="T142" s="2660">
        <f>Geo!EF$81*0.01</f>
      </c>
      <c r="U142" s="2660">
        <f>Geo!EG$81*0.01</f>
      </c>
      <c r="V142" s="2660">
        <f>Geo!EH$81*0.01</f>
      </c>
      <c r="W142" s="2660">
        <f>Geo!EI$81*0.01</f>
      </c>
      <c r="X142" s="2660">
        <f>Geo!EJ$81*0.01</f>
      </c>
      <c r="Y142" s="2660">
        <f>Geo!EK$81*0.01</f>
      </c>
      <c r="Z142" s="2660">
        <f>Geo!EL$81*0.01</f>
      </c>
      <c r="AA142" s="2660">
        <f>Geo!EM$81*0.01</f>
      </c>
      <c r="AB142" s="2660">
        <f>Geo!EN$81*0.01</f>
      </c>
      <c r="AC142" s="2660">
        <f>Geo!EO$81*0.01</f>
      </c>
      <c r="AD142" s="2660">
        <f>Geo!EP$81*0.01</f>
      </c>
      <c r="AE142" s="2660">
        <f>Geo!EQ$81*0.01</f>
      </c>
      <c r="AF142" s="2660">
        <f>Geo!ER$81*0.01</f>
      </c>
      <c r="AG142" s="2660">
        <f>Geo!ES$81*0.01</f>
      </c>
      <c r="AH142" s="2660">
        <f>Geo!ET$81*0.01</f>
      </c>
      <c r="AI142" s="2660">
        <f>Geo!EU$81*0.01</f>
      </c>
      <c r="AJ142" s="2660">
        <f>Geo!EV$81*0.01</f>
      </c>
      <c r="AK142" s="2660"/>
      <c r="AL142" s="2660"/>
      <c r="AM142" s="2660"/>
      <c r="AN142" s="2660"/>
      <c r="AO142" s="2660"/>
      <c r="AP142" s="2660">
        <f>Geo!B$81*0.01</f>
      </c>
      <c r="AQ142" s="2660">
        <f>Geo!C$81*0.01</f>
      </c>
      <c r="AR142" s="2660">
        <f>Geo!D$81*0.01</f>
      </c>
      <c r="AS142" s="2660">
        <f>Geo!E$81*0.01</f>
      </c>
      <c r="AT142" s="2660">
        <f>Geo!F$81*0.01</f>
      </c>
      <c r="AU142" s="2660">
        <f>Geo!G$81*0.01</f>
      </c>
      <c r="AV142" s="2660">
        <f>Geo!H$81*0.01</f>
      </c>
      <c r="AW142" s="2660">
        <f>Geo!I$81*0.01</f>
      </c>
      <c r="AX142" s="2660">
        <f>Geo!J$81*0.01</f>
      </c>
      <c r="AY142" s="2660">
        <f>Geo!K$81*0.01</f>
      </c>
      <c r="AZ142" s="2660">
        <f>Geo!L$81*0.01</f>
      </c>
      <c r="BA142" s="2660">
        <f>Geo!M$81*0.01</f>
      </c>
      <c r="BB142" s="2660">
        <f>Geo!N$81*0.01</f>
      </c>
      <c r="BC142" s="2660">
        <f>Geo!O$81*0.01</f>
      </c>
      <c r="BD142" s="2660">
        <f>Geo!P$81*0.01</f>
      </c>
      <c r="BE142" s="2660">
        <f>Geo!Q$81*0.01</f>
      </c>
      <c r="BF142" s="2660">
        <f>Geo!R$81*0.01</f>
      </c>
      <c r="BG142" s="2660">
        <f>Geo!S$81*0.01</f>
      </c>
      <c r="BH142" s="2660">
        <f>Geo!T$81*0.01</f>
      </c>
      <c r="BI142" s="2660">
        <f>Geo!U$81*0.01</f>
      </c>
      <c r="BJ142" s="2660">
        <f>Geo!V$81*0.01</f>
      </c>
      <c r="BK142" s="2660">
        <f>Geo!W$81*0.01</f>
      </c>
      <c r="BL142" s="2660">
        <f>Geo!X$81*0.01</f>
      </c>
      <c r="BM142" s="2660">
        <f>Geo!Y$81*0.01</f>
      </c>
      <c r="BN142" s="2660">
        <f>Geo!Z$81*0.01</f>
      </c>
      <c r="BO142" s="2660">
        <f>Geo!AA$81*0.01</f>
      </c>
      <c r="BP142" s="2660">
        <f>Geo!AB$81*0.01</f>
      </c>
      <c r="BQ142" s="2660">
        <f>Geo!AC$81*0.01</f>
      </c>
      <c r="BR142" s="2660">
        <f>Geo!AD$81*0.01</f>
      </c>
      <c r="BS142" s="2660">
        <f>Geo!AE$81*0.01</f>
      </c>
      <c r="BT142" s="2660">
        <f>Geo!AF$81*0.01</f>
      </c>
      <c r="BU142" s="2660">
        <f>Geo!AG$81*0.01</f>
      </c>
      <c r="BV142" s="2660">
        <f>Geo!AH$81*0.01</f>
      </c>
      <c r="BW142" s="2660">
        <f>Geo!AI$81*0.01</f>
      </c>
      <c r="BX142" s="2660">
        <f>Geo!AJ$81*0.01</f>
      </c>
      <c r="BY142" s="2660">
        <f>Geo!AK$81*0.01</f>
      </c>
      <c r="BZ142" s="2660">
        <f>Geo!AL$81*0.01</f>
      </c>
      <c r="CA142" s="2660">
        <f>Geo!AM$81*0.01</f>
      </c>
      <c r="CB142" s="2660">
        <f>Geo!AN$81*0.01</f>
      </c>
      <c r="CC142" s="2660">
        <f>Geo!AO$81*0.01</f>
      </c>
      <c r="CD142" s="2660">
        <f>Geo!AP$81*0.01</f>
      </c>
      <c r="CE142" s="2660">
        <f>Geo!AQ$81*0.01</f>
      </c>
      <c r="CF142" s="2660">
        <f>Geo!AR$81*0.01</f>
      </c>
      <c r="CG142" s="2660">
        <f>Geo!AS$81*0.01</f>
      </c>
      <c r="CH142" s="2660">
        <f>Geo!AT$81*0.01</f>
      </c>
      <c r="CI142" s="2660">
        <f>Geo!AU$81*0.01</f>
      </c>
      <c r="CJ142" s="2660">
        <f>Geo!AV$81*0.01</f>
      </c>
      <c r="CK142" s="2660">
        <f>Geo!AW$81*0.01</f>
      </c>
      <c r="CL142" s="2660">
        <f>Geo!AX$81*0.01</f>
      </c>
      <c r="CM142" s="2660">
        <f>Geo!AY$81*0.01</f>
      </c>
      <c r="CN142" s="2660">
        <f>Geo!AZ$81*0.01</f>
      </c>
      <c r="CO142" s="2660">
        <f>Geo!BA$81*0.01</f>
      </c>
      <c r="CP142" s="2660">
        <f>Geo!BB$81*0.01</f>
      </c>
      <c r="CQ142" s="2660">
        <f>Geo!BC$81*0.01</f>
      </c>
      <c r="CR142" s="2660">
        <f>Geo!BD$81*0.01</f>
      </c>
      <c r="CS142" s="2660">
        <f>Geo!BE$81*0.01</f>
      </c>
      <c r="CT142" s="2660">
        <f>Geo!BF$81*0.01</f>
      </c>
      <c r="CU142" s="2660">
        <f>Geo!BG$81*0.01</f>
      </c>
      <c r="CV142" s="2660">
        <f>Geo!BH$81*0.01</f>
      </c>
      <c r="CW142" s="2660">
        <f>Geo!BI$81*0.01</f>
      </c>
      <c r="CX142" s="2660">
        <f>Geo!BJ$81*0.01</f>
      </c>
      <c r="CY142" s="2660">
        <f>Geo!BK$81*0.01</f>
      </c>
      <c r="CZ142" s="2660">
        <f>Geo!BL$81*0.01</f>
      </c>
      <c r="DA142" s="2660">
        <f>Geo!BM$81*0.01</f>
      </c>
      <c r="DB142" s="2660">
        <f>Geo!BN$81*0.01</f>
      </c>
      <c r="DC142" s="2660">
        <f>Geo!BO$81*0.01</f>
      </c>
      <c r="DD142" s="2660">
        <f>Geo!BP$81*0.01</f>
      </c>
      <c r="DE142" s="2660">
        <f>Geo!BQ$81*0.01</f>
      </c>
      <c r="DF142" s="2660">
        <f>Geo!BR$81*0.01</f>
      </c>
      <c r="DG142" s="2660">
        <f>Geo!BS$81*0.01</f>
      </c>
      <c r="DH142" s="2660">
        <f>Geo!BT$81*0.01</f>
      </c>
      <c r="DI142" s="2660">
        <f>Geo!BU$81*0.01</f>
      </c>
      <c r="DJ142" s="2660">
        <f>Geo!BV$81*0.01</f>
      </c>
      <c r="DK142" s="2660">
        <f>Geo!BW$81*0.01</f>
      </c>
      <c r="DL142" s="2660">
        <f>Geo!BX$81*0.01</f>
      </c>
      <c r="DM142" s="2660">
        <f>Geo!BY$81*0.01</f>
      </c>
      <c r="DN142" s="2660">
        <f>Geo!BZ$81*0.01</f>
      </c>
      <c r="DO142" s="2660">
        <f>Geo!CA$81*0.01</f>
      </c>
      <c r="DP142" s="2660">
        <f>Geo!CB$81*0.01</f>
      </c>
      <c r="DQ142" s="2660">
        <f>Geo!CC$81*0.01</f>
      </c>
      <c r="DR142" s="2660">
        <f>Geo!CD$81*0.01</f>
      </c>
      <c r="DS142" s="2660">
        <f>Geo!CE$81*0.01</f>
      </c>
      <c r="DT142" s="2660">
        <f>Geo!CF$81*0.01</f>
      </c>
      <c r="DU142" s="2660">
        <f>Geo!CG$81*0.01</f>
      </c>
      <c r="DV142" s="2660">
        <f>Geo!CH$81*0.01</f>
      </c>
      <c r="DW142" s="2660">
        <f>Geo!CI$81*0.01</f>
      </c>
      <c r="DX142" s="2660">
        <f>Geo!CJ$81*0.01</f>
      </c>
      <c r="DY142" s="2660">
        <f>Geo!CK$81*0.01</f>
      </c>
      <c r="DZ142" s="2660">
        <f>Geo!CL$81*0.01</f>
      </c>
      <c r="EA142" s="2660">
        <f>Geo!CM$81*0.01</f>
      </c>
      <c r="EB142" s="2660">
        <f>Geo!CN$81*0.01</f>
      </c>
      <c r="EC142" s="2660">
        <f>Geo!CO$81*0.01</f>
      </c>
      <c r="ED142" s="2660">
        <f>Geo!CP$81*0.01</f>
      </c>
      <c r="EE142" s="2660">
        <f>Geo!CQ$81*0.01</f>
      </c>
      <c r="EF142" s="2660">
        <f>Geo!CR$81*0.01</f>
      </c>
      <c r="EG142" s="2660">
        <f>Geo!CS$81*0.01</f>
      </c>
      <c r="EH142" s="2660">
        <f>Geo!CT$81*0.01</f>
      </c>
      <c r="EI142" s="2660">
        <f>Geo!CU$81*0.01</f>
      </c>
      <c r="EJ142" s="2660">
        <f>Geo!CV$81*0.01</f>
      </c>
      <c r="EK142" s="2660">
        <f>Geo!CW$81*0.01</f>
      </c>
      <c r="EL142" s="2660">
        <f>Geo!CX$81*0.01</f>
      </c>
      <c r="EM142" s="2660">
        <f>Geo!CY$81*0.01</f>
      </c>
      <c r="EN142" s="2660">
        <f>Geo!CZ$81*0.01</f>
      </c>
      <c r="EO142" s="2660">
        <f>Geo!DA$81*0.01</f>
      </c>
      <c r="EP142" s="2660">
        <f>Geo!DB$81*0.01</f>
      </c>
      <c r="EQ142" s="2660">
        <f>Geo!DC$81*0.01</f>
      </c>
      <c r="ER142" s="2660">
        <f>Geo!DD$81*0.01</f>
      </c>
      <c r="ES142" s="2660">
        <f>Geo!DE$81*0.01</f>
      </c>
      <c r="ET142" s="2660">
        <f>Geo!DF$81*0.01</f>
      </c>
      <c r="EU142" s="2660">
        <f>Geo!DG$81*0.01</f>
      </c>
      <c r="EV142" s="2660">
        <f>Geo!DH$81*0.01</f>
      </c>
      <c r="EW142" s="2660">
        <f>Geo!DI$81*0.01</f>
      </c>
      <c r="EX142" s="2660">
        <f>Geo!DJ$81*0.01</f>
      </c>
      <c r="EY142" s="2660">
        <f>Geo!DK$81*0.01</f>
      </c>
      <c r="EZ142" s="2660">
        <f>Geo!DL$81*0.01</f>
      </c>
      <c r="FA142" s="2660">
        <f>Geo!DM$81*0.01</f>
      </c>
      <c r="FB142" s="2660">
        <f>Geo!DN$81*0.01</f>
      </c>
      <c r="FC142" s="2660">
        <f>Geo!DO$81*0.01</f>
      </c>
      <c r="FD142" s="2660">
        <f>Geo!DP$81*0.01</f>
      </c>
      <c r="FE142" s="2660">
        <f>Geo!DQ$81*0.01</f>
      </c>
    </row>
    <row r="143" spans="2:161" outlineLevel="2">
      <c r="B143" t="s">
        <v>757</v>
      </c>
      <c r="C143" t="s">
        <v>758</v>
      </c>
      <c r="F143" s="2660"/>
      <c r="G143" s="2660">
        <f>Geo!DS$81*0.01</f>
      </c>
      <c r="H143" s="2660">
        <f>Geo!DT$81*0.01</f>
      </c>
      <c r="I143" s="2660">
        <f>Geo!DU$81*0.01</f>
      </c>
      <c r="J143" s="2660">
        <f>Geo!DV$81*0.01</f>
      </c>
      <c r="K143" s="2660">
        <f>Geo!DW$81*0.01</f>
      </c>
      <c r="L143" s="2660">
        <f>Geo!DX$81*0.01</f>
      </c>
      <c r="M143" s="2660">
        <f>Geo!DY$81*0.01</f>
      </c>
      <c r="N143" s="2660">
        <f>Geo!DZ$81*0.01</f>
      </c>
      <c r="O143" s="2660">
        <f>Geo!EA$81*0.01</f>
      </c>
      <c r="P143" s="2660">
        <f>Geo!EB$81*0.01</f>
      </c>
      <c r="Q143" s="2660">
        <f>Geo!EC$81*0.01</f>
      </c>
      <c r="R143" s="2660">
        <f>Geo!ED$81*0.01</f>
      </c>
      <c r="S143" s="2660">
        <f>Geo!EE$81*0.01</f>
      </c>
      <c r="T143" s="2660">
        <f>Geo!EF$81*0.01</f>
      </c>
      <c r="U143" s="2660">
        <f>Geo!EG$81*0.01</f>
      </c>
      <c r="V143" s="2660">
        <f>Geo!EH$81*0.01</f>
      </c>
      <c r="W143" s="2660">
        <f>Geo!EI$81*0.01</f>
      </c>
      <c r="X143" s="2660">
        <f>Geo!EJ$81*0.01</f>
      </c>
      <c r="Y143" s="2660">
        <f>Geo!EK$81*0.01</f>
      </c>
      <c r="Z143" s="2660">
        <f>Geo!EL$81*0.01</f>
      </c>
      <c r="AA143" s="2660">
        <f>Geo!EM$81*0.01</f>
      </c>
      <c r="AB143" s="2660">
        <f>Geo!EN$81*0.01</f>
      </c>
      <c r="AC143" s="2660">
        <f>Geo!EO$81*0.01</f>
      </c>
      <c r="AD143" s="2660">
        <f>Geo!EP$81*0.01</f>
      </c>
      <c r="AE143" s="2660">
        <f>Geo!EQ$81*0.01</f>
      </c>
      <c r="AF143" s="2660">
        <f>Geo!ER$81*0.01</f>
      </c>
      <c r="AG143" s="2660">
        <f>Geo!ES$81*0.01</f>
      </c>
      <c r="AH143" s="2660">
        <f>Geo!ET$81*0.01</f>
      </c>
      <c r="AI143" s="2660">
        <f>Geo!EU$81*0.01</f>
      </c>
      <c r="AJ143" s="2660">
        <f>Geo!EV$81*0.01</f>
      </c>
      <c r="AK143" s="2660"/>
      <c r="AL143" s="2660"/>
      <c r="AM143" s="2660"/>
      <c r="AN143" s="2660"/>
      <c r="AO143" s="2660"/>
      <c r="AP143" s="2660">
        <f>Geo!B$81*0.01</f>
      </c>
      <c r="AQ143" s="2660">
        <f>Geo!C$81*0.01</f>
      </c>
      <c r="AR143" s="2660">
        <f>Geo!D$81*0.01</f>
      </c>
      <c r="AS143" s="2660">
        <f>Geo!E$81*0.01</f>
      </c>
      <c r="AT143" s="2660">
        <f>Geo!F$81*0.01</f>
      </c>
      <c r="AU143" s="2660">
        <f>Geo!G$81*0.01</f>
      </c>
      <c r="AV143" s="2660">
        <f>Geo!H$81*0.01</f>
      </c>
      <c r="AW143" s="2660">
        <f>Geo!I$81*0.01</f>
      </c>
      <c r="AX143" s="2660">
        <f>Geo!J$81*0.01</f>
      </c>
      <c r="AY143" s="2660">
        <f>Geo!K$81*0.01</f>
      </c>
      <c r="AZ143" s="2660">
        <f>Geo!L$81*0.01</f>
      </c>
      <c r="BA143" s="2660">
        <f>Geo!M$81*0.01</f>
      </c>
      <c r="BB143" s="2660">
        <f>Geo!N$81*0.01</f>
      </c>
      <c r="BC143" s="2660">
        <f>Geo!O$81*0.01</f>
      </c>
      <c r="BD143" s="2660">
        <f>Geo!P$81*0.01</f>
      </c>
      <c r="BE143" s="2660">
        <f>Geo!Q$81*0.01</f>
      </c>
      <c r="BF143" s="2660">
        <f>Geo!R$81*0.01</f>
      </c>
      <c r="BG143" s="2660">
        <f>Geo!S$81*0.01</f>
      </c>
      <c r="BH143" s="2660">
        <f>Geo!T$81*0.01</f>
      </c>
      <c r="BI143" s="2660">
        <f>Geo!U$81*0.01</f>
      </c>
      <c r="BJ143" s="2660">
        <f>Geo!V$81*0.01</f>
      </c>
      <c r="BK143" s="2660">
        <f>Geo!W$81*0.01</f>
      </c>
      <c r="BL143" s="2660">
        <f>Geo!X$81*0.01</f>
      </c>
      <c r="BM143" s="2660">
        <f>Geo!Y$81*0.01</f>
      </c>
      <c r="BN143" s="2660">
        <f>Geo!Z$81*0.01</f>
      </c>
      <c r="BO143" s="2660">
        <f>Geo!AA$81*0.01</f>
      </c>
      <c r="BP143" s="2660">
        <f>Geo!AB$81*0.01</f>
      </c>
      <c r="BQ143" s="2660">
        <f>Geo!AC$81*0.01</f>
      </c>
      <c r="BR143" s="2660">
        <f>Geo!AD$81*0.01</f>
      </c>
      <c r="BS143" s="2660">
        <f>Geo!AE$81*0.01</f>
      </c>
      <c r="BT143" s="2660">
        <f>Geo!AF$81*0.01</f>
      </c>
      <c r="BU143" s="2660">
        <f>Geo!AG$81*0.01</f>
      </c>
      <c r="BV143" s="2660">
        <f>Geo!AH$81*0.01</f>
      </c>
      <c r="BW143" s="2660">
        <f>Geo!AI$81*0.01</f>
      </c>
      <c r="BX143" s="2660">
        <f>Geo!AJ$81*0.01</f>
      </c>
      <c r="BY143" s="2660">
        <f>Geo!AK$81*0.01</f>
      </c>
      <c r="BZ143" s="2660">
        <f>Geo!AL$81*0.01</f>
      </c>
      <c r="CA143" s="2660">
        <f>Geo!AM$81*0.01</f>
      </c>
      <c r="CB143" s="2660">
        <f>Geo!AN$81*0.01</f>
      </c>
      <c r="CC143" s="2660">
        <f>Geo!AO$81*0.01</f>
      </c>
      <c r="CD143" s="2660">
        <f>Geo!AP$81*0.01</f>
      </c>
      <c r="CE143" s="2660">
        <f>Geo!AQ$81*0.01</f>
      </c>
      <c r="CF143" s="2660">
        <f>Geo!AR$81*0.01</f>
      </c>
      <c r="CG143" s="2660">
        <f>Geo!AS$81*0.01</f>
      </c>
      <c r="CH143" s="2660">
        <f>Geo!AT$81*0.01</f>
      </c>
      <c r="CI143" s="2660">
        <f>Geo!AU$81*0.01</f>
      </c>
      <c r="CJ143" s="2660">
        <f>Geo!AV$81*0.01</f>
      </c>
      <c r="CK143" s="2660">
        <f>Geo!AW$81*0.01</f>
      </c>
      <c r="CL143" s="2660">
        <f>Geo!AX$81*0.01</f>
      </c>
      <c r="CM143" s="2660">
        <f>Geo!AY$81*0.01</f>
      </c>
      <c r="CN143" s="2660">
        <f>Geo!AZ$81*0.01</f>
      </c>
      <c r="CO143" s="2660">
        <f>Geo!BA$81*0.01</f>
      </c>
      <c r="CP143" s="2660">
        <f>Geo!BB$81*0.01</f>
      </c>
      <c r="CQ143" s="2660">
        <f>Geo!BC$81*0.01</f>
      </c>
      <c r="CR143" s="2660">
        <f>Geo!BD$81*0.01</f>
      </c>
      <c r="CS143" s="2660">
        <f>Geo!BE$81*0.01</f>
      </c>
      <c r="CT143" s="2660">
        <f>Geo!BF$81*0.01</f>
      </c>
      <c r="CU143" s="2660">
        <f>Geo!BG$81*0.01</f>
      </c>
      <c r="CV143" s="2660">
        <f>Geo!BH$81*0.01</f>
      </c>
      <c r="CW143" s="2660">
        <f>Geo!BI$81*0.01</f>
      </c>
      <c r="CX143" s="2660">
        <f>Geo!BJ$81*0.01</f>
      </c>
      <c r="CY143" s="2660">
        <f>Geo!BK$81*0.01</f>
      </c>
      <c r="CZ143" s="2660">
        <f>Geo!BL$81*0.01</f>
      </c>
      <c r="DA143" s="2660">
        <f>Geo!BM$81*0.01</f>
      </c>
      <c r="DB143" s="2660">
        <f>Geo!BN$81*0.01</f>
      </c>
      <c r="DC143" s="2660">
        <f>Geo!BO$81*0.01</f>
      </c>
      <c r="DD143" s="2660">
        <f>Geo!BP$81*0.01</f>
      </c>
      <c r="DE143" s="2660">
        <f>Geo!BQ$81*0.01</f>
      </c>
      <c r="DF143" s="2660">
        <f>Geo!BR$81*0.01</f>
      </c>
      <c r="DG143" s="2660">
        <f>Geo!BS$81*0.01</f>
      </c>
      <c r="DH143" s="2660">
        <f>Geo!BT$81*0.01</f>
      </c>
      <c r="DI143" s="2660">
        <f>Geo!BU$81*0.01</f>
      </c>
      <c r="DJ143" s="2660">
        <f>Geo!BV$81*0.01</f>
      </c>
      <c r="DK143" s="2660">
        <f>Geo!BW$81*0.01</f>
      </c>
      <c r="DL143" s="2660">
        <f>Geo!BX$81*0.01</f>
      </c>
      <c r="DM143" s="2660">
        <f>Geo!BY$81*0.01</f>
      </c>
      <c r="DN143" s="2660">
        <f>Geo!BZ$81*0.01</f>
      </c>
      <c r="DO143" s="2660">
        <f>Geo!CA$81*0.01</f>
      </c>
      <c r="DP143" s="2660">
        <f>Geo!CB$81*0.01</f>
      </c>
      <c r="DQ143" s="2660">
        <f>Geo!CC$81*0.01</f>
      </c>
      <c r="DR143" s="2660">
        <f>Geo!CD$81*0.01</f>
      </c>
      <c r="DS143" s="2660">
        <f>Geo!CE$81*0.01</f>
      </c>
      <c r="DT143" s="2660">
        <f>Geo!CF$81*0.01</f>
      </c>
      <c r="DU143" s="2660">
        <f>Geo!CG$81*0.01</f>
      </c>
      <c r="DV143" s="2660">
        <f>Geo!CH$81*0.01</f>
      </c>
      <c r="DW143" s="2660">
        <f>Geo!CI$81*0.01</f>
      </c>
      <c r="DX143" s="2660">
        <f>Geo!CJ$81*0.01</f>
      </c>
      <c r="DY143" s="2660">
        <f>Geo!CK$81*0.01</f>
      </c>
      <c r="DZ143" s="2660">
        <f>Geo!CL$81*0.01</f>
      </c>
      <c r="EA143" s="2660">
        <f>Geo!CM$81*0.01</f>
      </c>
      <c r="EB143" s="2660">
        <f>Geo!CN$81*0.01</f>
      </c>
      <c r="EC143" s="2660">
        <f>Geo!CO$81*0.01</f>
      </c>
      <c r="ED143" s="2660">
        <f>Geo!CP$81*0.01</f>
      </c>
      <c r="EE143" s="2660">
        <f>Geo!CQ$81*0.01</f>
      </c>
      <c r="EF143" s="2660">
        <f>Geo!CR$81*0.01</f>
      </c>
      <c r="EG143" s="2660">
        <f>Geo!CS$81*0.01</f>
      </c>
      <c r="EH143" s="2660">
        <f>Geo!CT$81*0.01</f>
      </c>
      <c r="EI143" s="2660">
        <f>Geo!CU$81*0.01</f>
      </c>
      <c r="EJ143" s="2660">
        <f>Geo!CV$81*0.01</f>
      </c>
      <c r="EK143" s="2660">
        <f>Geo!CW$81*0.01</f>
      </c>
      <c r="EL143" s="2660">
        <f>Geo!CX$81*0.01</f>
      </c>
      <c r="EM143" s="2660">
        <f>Geo!CY$81*0.01</f>
      </c>
      <c r="EN143" s="2660">
        <f>Geo!CZ$81*0.01</f>
      </c>
      <c r="EO143" s="2660">
        <f>Geo!DA$81*0.01</f>
      </c>
      <c r="EP143" s="2660">
        <f>Geo!DB$81*0.01</f>
      </c>
      <c r="EQ143" s="2660">
        <f>Geo!DC$81*0.01</f>
      </c>
      <c r="ER143" s="2660">
        <f>Geo!DD$81*0.01</f>
      </c>
      <c r="ES143" s="2660">
        <f>Geo!DE$81*0.01</f>
      </c>
      <c r="ET143" s="2660">
        <f>Geo!DF$81*0.01</f>
      </c>
      <c r="EU143" s="2660">
        <f>Geo!DG$81*0.01</f>
      </c>
      <c r="EV143" s="2660">
        <f>Geo!DH$81*0.01</f>
      </c>
      <c r="EW143" s="2660">
        <f>Geo!DI$81*0.01</f>
      </c>
      <c r="EX143" s="2660">
        <f>Geo!DJ$81*0.01</f>
      </c>
      <c r="EY143" s="2660">
        <f>Geo!DK$81*0.01</f>
      </c>
      <c r="EZ143" s="2660">
        <f>Geo!DL$81*0.01</f>
      </c>
      <c r="FA143" s="2660">
        <f>Geo!DM$81*0.01</f>
      </c>
      <c r="FB143" s="2660">
        <f>Geo!DN$81*0.01</f>
      </c>
      <c r="FC143" s="2660">
        <f>Geo!DO$81*0.01</f>
      </c>
      <c r="FD143" s="2660">
        <f>Geo!DP$81*0.01</f>
      </c>
      <c r="FE143" s="2660">
        <f>Geo!DQ$81*0.01</f>
      </c>
    </row>
    <row r="144" spans="2:161" outlineLevel="2">
      <c r="B144" t="s">
        <v>759</v>
      </c>
      <c r="C144" t="s">
        <v>760</v>
      </c>
      <c r="F144" s="2660"/>
      <c r="G144" s="2660">
        <f>Geo!DS$81*0.01</f>
      </c>
      <c r="H144" s="2660">
        <f>Geo!DT$81*0.01</f>
      </c>
      <c r="I144" s="2660">
        <f>Geo!DU$81*0.01</f>
      </c>
      <c r="J144" s="2660">
        <f>Geo!DV$81*0.01</f>
      </c>
      <c r="K144" s="2660">
        <f>Geo!DW$81*0.01</f>
      </c>
      <c r="L144" s="2660">
        <f>Geo!DX$81*0.01</f>
      </c>
      <c r="M144" s="2660">
        <f>Geo!DY$81*0.01</f>
      </c>
      <c r="N144" s="2660">
        <f>Geo!DZ$81*0.01</f>
      </c>
      <c r="O144" s="2660">
        <f>Geo!EA$81*0.01</f>
      </c>
      <c r="P144" s="2660">
        <f>Geo!EB$81*0.01</f>
      </c>
      <c r="Q144" s="2660">
        <f>Geo!EC$81*0.01</f>
      </c>
      <c r="R144" s="2660">
        <f>Geo!ED$81*0.01</f>
      </c>
      <c r="S144" s="2660">
        <f>Geo!EE$81*0.01</f>
      </c>
      <c r="T144" s="2660">
        <f>Geo!EF$81*0.01</f>
      </c>
      <c r="U144" s="2660">
        <f>Geo!EG$81*0.01</f>
      </c>
      <c r="V144" s="2660">
        <f>Geo!EH$81*0.01</f>
      </c>
      <c r="W144" s="2660">
        <f>Geo!EI$81*0.01</f>
      </c>
      <c r="X144" s="2660">
        <f>Geo!EJ$81*0.01</f>
      </c>
      <c r="Y144" s="2660">
        <f>Geo!EK$81*0.01</f>
      </c>
      <c r="Z144" s="2660">
        <f>Geo!EL$81*0.01</f>
      </c>
      <c r="AA144" s="2660">
        <f>Geo!EM$81*0.01</f>
      </c>
      <c r="AB144" s="2660">
        <f>Geo!EN$81*0.01</f>
      </c>
      <c r="AC144" s="2660">
        <f>Geo!EO$81*0.01</f>
      </c>
      <c r="AD144" s="2660">
        <f>Geo!EP$81*0.01</f>
      </c>
      <c r="AE144" s="2660">
        <f>Geo!EQ$81*0.01</f>
      </c>
      <c r="AF144" s="2660">
        <f>Geo!ER$81*0.01</f>
      </c>
      <c r="AG144" s="2660">
        <f>Geo!ES$81*0.01</f>
      </c>
      <c r="AH144" s="2660">
        <f>Geo!ET$81*0.01</f>
      </c>
      <c r="AI144" s="2660">
        <f>Geo!EU$81*0.01</f>
      </c>
      <c r="AJ144" s="2660">
        <f>Geo!EV$81*0.01</f>
      </c>
      <c r="AK144" s="2660"/>
      <c r="AL144" s="2660"/>
      <c r="AM144" s="2660"/>
      <c r="AN144" s="2660"/>
      <c r="AO144" s="2660"/>
      <c r="AP144" s="2660">
        <f>Geo!B$81*0.01</f>
      </c>
      <c r="AQ144" s="2660">
        <f>Geo!C$81*0.01</f>
      </c>
      <c r="AR144" s="2660">
        <f>Geo!D$81*0.01</f>
      </c>
      <c r="AS144" s="2660">
        <f>Geo!E$81*0.01</f>
      </c>
      <c r="AT144" s="2660">
        <f>Geo!F$81*0.01</f>
      </c>
      <c r="AU144" s="2660">
        <f>Geo!G$81*0.01</f>
      </c>
      <c r="AV144" s="2660">
        <f>Geo!H$81*0.01</f>
      </c>
      <c r="AW144" s="2660">
        <f>Geo!I$81*0.01</f>
      </c>
      <c r="AX144" s="2660">
        <f>Geo!J$81*0.01</f>
      </c>
      <c r="AY144" s="2660">
        <f>Geo!K$81*0.01</f>
      </c>
      <c r="AZ144" s="2660">
        <f>Geo!L$81*0.01</f>
      </c>
      <c r="BA144" s="2660">
        <f>Geo!M$81*0.01</f>
      </c>
      <c r="BB144" s="2660">
        <f>Geo!N$81*0.01</f>
      </c>
      <c r="BC144" s="2660">
        <f>Geo!O$81*0.01</f>
      </c>
      <c r="BD144" s="2660">
        <f>Geo!P$81*0.01</f>
      </c>
      <c r="BE144" s="2660">
        <f>Geo!Q$81*0.01</f>
      </c>
      <c r="BF144" s="2660">
        <f>Geo!R$81*0.01</f>
      </c>
      <c r="BG144" s="2660">
        <f>Geo!S$81*0.01</f>
      </c>
      <c r="BH144" s="2660">
        <f>Geo!T$81*0.01</f>
      </c>
      <c r="BI144" s="2660">
        <f>Geo!U$81*0.01</f>
      </c>
      <c r="BJ144" s="2660">
        <f>Geo!V$81*0.01</f>
      </c>
      <c r="BK144" s="2660">
        <f>Geo!W$81*0.01</f>
      </c>
      <c r="BL144" s="2660">
        <f>Geo!X$81*0.01</f>
      </c>
      <c r="BM144" s="2660">
        <f>Geo!Y$81*0.01</f>
      </c>
      <c r="BN144" s="2660">
        <f>Geo!Z$81*0.01</f>
      </c>
      <c r="BO144" s="2660">
        <f>Geo!AA$81*0.01</f>
      </c>
      <c r="BP144" s="2660">
        <f>Geo!AB$81*0.01</f>
      </c>
      <c r="BQ144" s="2660">
        <f>Geo!AC$81*0.01</f>
      </c>
      <c r="BR144" s="2660">
        <f>Geo!AD$81*0.01</f>
      </c>
      <c r="BS144" s="2660">
        <f>Geo!AE$81*0.01</f>
      </c>
      <c r="BT144" s="2660">
        <f>Geo!AF$81*0.01</f>
      </c>
      <c r="BU144" s="2660">
        <f>Geo!AG$81*0.01</f>
      </c>
      <c r="BV144" s="2660">
        <f>Geo!AH$81*0.01</f>
      </c>
      <c r="BW144" s="2660">
        <f>Geo!AI$81*0.01</f>
      </c>
      <c r="BX144" s="2660">
        <f>Geo!AJ$81*0.01</f>
      </c>
      <c r="BY144" s="2660">
        <f>Geo!AK$81*0.01</f>
      </c>
      <c r="BZ144" s="2660">
        <f>Geo!AL$81*0.01</f>
      </c>
      <c r="CA144" s="2660">
        <f>Geo!AM$81*0.01</f>
      </c>
      <c r="CB144" s="2660">
        <f>Geo!AN$81*0.01</f>
      </c>
      <c r="CC144" s="2660">
        <f>Geo!AO$81*0.01</f>
      </c>
      <c r="CD144" s="2660">
        <f>Geo!AP$81*0.01</f>
      </c>
      <c r="CE144" s="2660">
        <f>Geo!AQ$81*0.01</f>
      </c>
      <c r="CF144" s="2660">
        <f>Geo!AR$81*0.01</f>
      </c>
      <c r="CG144" s="2660">
        <f>Geo!AS$81*0.01</f>
      </c>
      <c r="CH144" s="2660">
        <f>Geo!AT$81*0.01</f>
      </c>
      <c r="CI144" s="2660">
        <f>Geo!AU$81*0.01</f>
      </c>
      <c r="CJ144" s="2660">
        <f>Geo!AV$81*0.01</f>
      </c>
      <c r="CK144" s="2660">
        <f>Geo!AW$81*0.01</f>
      </c>
      <c r="CL144" s="2660">
        <f>Geo!AX$81*0.01</f>
      </c>
      <c r="CM144" s="2660">
        <f>Geo!AY$81*0.01</f>
      </c>
      <c r="CN144" s="2660">
        <f>Geo!AZ$81*0.01</f>
      </c>
      <c r="CO144" s="2660">
        <f>Geo!BA$81*0.01</f>
      </c>
      <c r="CP144" s="2660">
        <f>Geo!BB$81*0.01</f>
      </c>
      <c r="CQ144" s="2660">
        <f>Geo!BC$81*0.01</f>
      </c>
      <c r="CR144" s="2660">
        <f>Geo!BD$81*0.01</f>
      </c>
      <c r="CS144" s="2660">
        <f>Geo!BE$81*0.01</f>
      </c>
      <c r="CT144" s="2660">
        <f>Geo!BF$81*0.01</f>
      </c>
      <c r="CU144" s="2660">
        <f>Geo!BG$81*0.01</f>
      </c>
      <c r="CV144" s="2660">
        <f>Geo!BH$81*0.01</f>
      </c>
      <c r="CW144" s="2660">
        <f>Geo!BI$81*0.01</f>
      </c>
      <c r="CX144" s="2660">
        <f>Geo!BJ$81*0.01</f>
      </c>
      <c r="CY144" s="2660">
        <f>Geo!BK$81*0.01</f>
      </c>
      <c r="CZ144" s="2660">
        <f>Geo!BL$81*0.01</f>
      </c>
      <c r="DA144" s="2660">
        <f>Geo!BM$81*0.01</f>
      </c>
      <c r="DB144" s="2660">
        <f>Geo!BN$81*0.01</f>
      </c>
      <c r="DC144" s="2660">
        <f>Geo!BO$81*0.01</f>
      </c>
      <c r="DD144" s="2660">
        <f>Geo!BP$81*0.01</f>
      </c>
      <c r="DE144" s="2660">
        <f>Geo!BQ$81*0.01</f>
      </c>
      <c r="DF144" s="2660">
        <f>Geo!BR$81*0.01</f>
      </c>
      <c r="DG144" s="2660">
        <f>Geo!BS$81*0.01</f>
      </c>
      <c r="DH144" s="2660">
        <f>Geo!BT$81*0.01</f>
      </c>
      <c r="DI144" s="2660">
        <f>Geo!BU$81*0.01</f>
      </c>
      <c r="DJ144" s="2660">
        <f>Geo!BV$81*0.01</f>
      </c>
      <c r="DK144" s="2660">
        <f>Geo!BW$81*0.01</f>
      </c>
      <c r="DL144" s="2660">
        <f>Geo!BX$81*0.01</f>
      </c>
      <c r="DM144" s="2660">
        <f>Geo!BY$81*0.01</f>
      </c>
      <c r="DN144" s="2660">
        <f>Geo!BZ$81*0.01</f>
      </c>
      <c r="DO144" s="2660">
        <f>Geo!CA$81*0.01</f>
      </c>
      <c r="DP144" s="2660">
        <f>Geo!CB$81*0.01</f>
      </c>
      <c r="DQ144" s="2660">
        <f>Geo!CC$81*0.01</f>
      </c>
      <c r="DR144" s="2660">
        <f>Geo!CD$81*0.01</f>
      </c>
      <c r="DS144" s="2660">
        <f>Geo!CE$81*0.01</f>
      </c>
      <c r="DT144" s="2660">
        <f>Geo!CF$81*0.01</f>
      </c>
      <c r="DU144" s="2660">
        <f>Geo!CG$81*0.01</f>
      </c>
      <c r="DV144" s="2660">
        <f>Geo!CH$81*0.01</f>
      </c>
      <c r="DW144" s="2660">
        <f>Geo!CI$81*0.01</f>
      </c>
      <c r="DX144" s="2660">
        <f>Geo!CJ$81*0.01</f>
      </c>
      <c r="DY144" s="2660">
        <f>Geo!CK$81*0.01</f>
      </c>
      <c r="DZ144" s="2660">
        <f>Geo!CL$81*0.01</f>
      </c>
      <c r="EA144" s="2660">
        <f>Geo!CM$81*0.01</f>
      </c>
      <c r="EB144" s="2660">
        <f>Geo!CN$81*0.01</f>
      </c>
      <c r="EC144" s="2660">
        <f>Geo!CO$81*0.01</f>
      </c>
      <c r="ED144" s="2660">
        <f>Geo!CP$81*0.01</f>
      </c>
      <c r="EE144" s="2660">
        <f>Geo!CQ$81*0.01</f>
      </c>
      <c r="EF144" s="2660">
        <f>Geo!CR$81*0.01</f>
      </c>
      <c r="EG144" s="2660">
        <f>Geo!CS$81*0.01</f>
      </c>
      <c r="EH144" s="2660">
        <f>Geo!CT$81*0.01</f>
      </c>
      <c r="EI144" s="2660">
        <f>Geo!CU$81*0.01</f>
      </c>
      <c r="EJ144" s="2660">
        <f>Geo!CV$81*0.01</f>
      </c>
      <c r="EK144" s="2660">
        <f>Geo!CW$81*0.01</f>
      </c>
      <c r="EL144" s="2660">
        <f>Geo!CX$81*0.01</f>
      </c>
      <c r="EM144" s="2660">
        <f>Geo!CY$81*0.01</f>
      </c>
      <c r="EN144" s="2660">
        <f>Geo!CZ$81*0.01</f>
      </c>
      <c r="EO144" s="2660">
        <f>Geo!DA$81*0.01</f>
      </c>
      <c r="EP144" s="2660">
        <f>Geo!DB$81*0.01</f>
      </c>
      <c r="EQ144" s="2660">
        <f>Geo!DC$81*0.01</f>
      </c>
      <c r="ER144" s="2660">
        <f>Geo!DD$81*0.01</f>
      </c>
      <c r="ES144" s="2660">
        <f>Geo!DE$81*0.01</f>
      </c>
      <c r="ET144" s="2660">
        <f>Geo!DF$81*0.01</f>
      </c>
      <c r="EU144" s="2660">
        <f>Geo!DG$81*0.01</f>
      </c>
      <c r="EV144" s="2660">
        <f>Geo!DH$81*0.01</f>
      </c>
      <c r="EW144" s="2660">
        <f>Geo!DI$81*0.01</f>
      </c>
      <c r="EX144" s="2660">
        <f>Geo!DJ$81*0.01</f>
      </c>
      <c r="EY144" s="2660">
        <f>Geo!DK$81*0.01</f>
      </c>
      <c r="EZ144" s="2660">
        <f>Geo!DL$81*0.01</f>
      </c>
      <c r="FA144" s="2660">
        <f>Geo!DM$81*0.01</f>
      </c>
      <c r="FB144" s="2660">
        <f>Geo!DN$81*0.01</f>
      </c>
      <c r="FC144" s="2660">
        <f>Geo!DO$81*0.01</f>
      </c>
      <c r="FD144" s="2660">
        <f>Geo!DP$81*0.01</f>
      </c>
      <c r="FE144" s="2660">
        <f>Geo!DQ$81*0.01</f>
      </c>
    </row>
    <row r="145" spans="2:161" outlineLevel="2">
      <c r="B145" t="s">
        <v>761</v>
      </c>
      <c r="C145" t="s">
        <v>762</v>
      </c>
      <c r="F145" s="2660"/>
      <c r="G145" s="2660">
        <f>Geo!DS$81*0.05</f>
      </c>
      <c r="H145" s="2660">
        <f>Geo!DT$81*0.05</f>
      </c>
      <c r="I145" s="2660">
        <f>Geo!DU$81*0.05</f>
      </c>
      <c r="J145" s="2660">
        <f>Geo!DV$81*0.05</f>
      </c>
      <c r="K145" s="2660">
        <f>Geo!DW$81*0.05</f>
      </c>
      <c r="L145" s="2660">
        <f>Geo!DX$81*0.05</f>
      </c>
      <c r="M145" s="2660">
        <f>Geo!DY$81*0.05</f>
      </c>
      <c r="N145" s="2660">
        <f>Geo!DZ$81*0.05</f>
      </c>
      <c r="O145" s="2660">
        <f>Geo!EA$81*0.05</f>
      </c>
      <c r="P145" s="2660">
        <f>Geo!EB$81*0.05</f>
      </c>
      <c r="Q145" s="2660">
        <f>Geo!EC$81*0.05</f>
      </c>
      <c r="R145" s="2660">
        <f>Geo!ED$81*0.05</f>
      </c>
      <c r="S145" s="2660">
        <f>Geo!EE$81*0.05</f>
      </c>
      <c r="T145" s="2660">
        <f>Geo!EF$81*0.05</f>
      </c>
      <c r="U145" s="2660">
        <f>Geo!EG$81*0.05</f>
      </c>
      <c r="V145" s="2660">
        <f>Geo!EH$81*0.05</f>
      </c>
      <c r="W145" s="2660">
        <f>Geo!EI$81*0.05</f>
      </c>
      <c r="X145" s="2660">
        <f>Geo!EJ$81*0.05</f>
      </c>
      <c r="Y145" s="2660">
        <f>Geo!EK$81*0.05</f>
      </c>
      <c r="Z145" s="2660">
        <f>Geo!EL$81*0.05</f>
      </c>
      <c r="AA145" s="2660">
        <f>Geo!EM$81*0.05</f>
      </c>
      <c r="AB145" s="2660">
        <f>Geo!EN$81*0.05</f>
      </c>
      <c r="AC145" s="2660">
        <f>Geo!EO$81*0.05</f>
      </c>
      <c r="AD145" s="2660">
        <f>Geo!EP$81*0.05</f>
      </c>
      <c r="AE145" s="2660">
        <f>Geo!EQ$81*0.05</f>
      </c>
      <c r="AF145" s="2660">
        <f>Geo!ER$81*0.05</f>
      </c>
      <c r="AG145" s="2660">
        <f>Geo!ES$81*0.05</f>
      </c>
      <c r="AH145" s="2660">
        <f>Geo!ET$81*0.05</f>
      </c>
      <c r="AI145" s="2660">
        <f>Geo!EU$81*0.05</f>
      </c>
      <c r="AJ145" s="2660">
        <f>Geo!EV$81*0.05</f>
      </c>
      <c r="AK145" s="2660"/>
      <c r="AL145" s="2660"/>
      <c r="AM145" s="2660"/>
      <c r="AN145" s="2660"/>
      <c r="AO145" s="2660"/>
      <c r="AP145" s="2660">
        <f>Geo!B$81*0.05</f>
      </c>
      <c r="AQ145" s="2660">
        <f>Geo!C$81*0.05</f>
      </c>
      <c r="AR145" s="2660">
        <f>Geo!D$81*0.05</f>
      </c>
      <c r="AS145" s="2660">
        <f>Geo!E$81*0.05</f>
      </c>
      <c r="AT145" s="2660">
        <f>Geo!F$81*0.05</f>
      </c>
      <c r="AU145" s="2660">
        <f>Geo!G$81*0.05</f>
      </c>
      <c r="AV145" s="2660">
        <f>Geo!H$81*0.05</f>
      </c>
      <c r="AW145" s="2660">
        <f>Geo!I$81*0.05</f>
      </c>
      <c r="AX145" s="2660">
        <f>Geo!J$81*0.05</f>
      </c>
      <c r="AY145" s="2660">
        <f>Geo!K$81*0.05</f>
      </c>
      <c r="AZ145" s="2660">
        <f>Geo!L$81*0.05</f>
      </c>
      <c r="BA145" s="2660">
        <f>Geo!M$81*0.05</f>
      </c>
      <c r="BB145" s="2660">
        <f>Geo!N$81*0.05</f>
      </c>
      <c r="BC145" s="2660">
        <f>Geo!O$81*0.05</f>
      </c>
      <c r="BD145" s="2660">
        <f>Geo!P$81*0.05</f>
      </c>
      <c r="BE145" s="2660">
        <f>Geo!Q$81*0.05</f>
      </c>
      <c r="BF145" s="2660">
        <f>Geo!R$81*0.05</f>
      </c>
      <c r="BG145" s="2660">
        <f>Geo!S$81*0.05</f>
      </c>
      <c r="BH145" s="2660">
        <f>Geo!T$81*0.05</f>
      </c>
      <c r="BI145" s="2660">
        <f>Geo!U$81*0.05</f>
      </c>
      <c r="BJ145" s="2660">
        <f>Geo!V$81*0.05</f>
      </c>
      <c r="BK145" s="2660">
        <f>Geo!W$81*0.05</f>
      </c>
      <c r="BL145" s="2660">
        <f>Geo!X$81*0.05</f>
      </c>
      <c r="BM145" s="2660">
        <f>Geo!Y$81*0.05</f>
      </c>
      <c r="BN145" s="2660">
        <f>Geo!Z$81*0.05</f>
      </c>
      <c r="BO145" s="2660">
        <f>Geo!AA$81*0.05</f>
      </c>
      <c r="BP145" s="2660">
        <f>Geo!AB$81*0.05</f>
      </c>
      <c r="BQ145" s="2660">
        <f>Geo!AC$81*0.05</f>
      </c>
      <c r="BR145" s="2660">
        <f>Geo!AD$81*0.05</f>
      </c>
      <c r="BS145" s="2660">
        <f>Geo!AE$81*0.05</f>
      </c>
      <c r="BT145" s="2660">
        <f>Geo!AF$81*0.05</f>
      </c>
      <c r="BU145" s="2660">
        <f>Geo!AG$81*0.05</f>
      </c>
      <c r="BV145" s="2660">
        <f>Geo!AH$81*0.05</f>
      </c>
      <c r="BW145" s="2660">
        <f>Geo!AI$81*0.05</f>
      </c>
      <c r="BX145" s="2660">
        <f>Geo!AJ$81*0.05</f>
      </c>
      <c r="BY145" s="2660">
        <f>Geo!AK$81*0.05</f>
      </c>
      <c r="BZ145" s="2660">
        <f>Geo!AL$81*0.05</f>
      </c>
      <c r="CA145" s="2660">
        <f>Geo!AM$81*0.05</f>
      </c>
      <c r="CB145" s="2660">
        <f>Geo!AN$81*0.05</f>
      </c>
      <c r="CC145" s="2660">
        <f>Geo!AO$81*0.05</f>
      </c>
      <c r="CD145" s="2660">
        <f>Geo!AP$81*0.05</f>
      </c>
      <c r="CE145" s="2660">
        <f>Geo!AQ$81*0.05</f>
      </c>
      <c r="CF145" s="2660">
        <f>Geo!AR$81*0.05</f>
      </c>
      <c r="CG145" s="2660">
        <f>Geo!AS$81*0.05</f>
      </c>
      <c r="CH145" s="2660">
        <f>Geo!AT$81*0.05</f>
      </c>
      <c r="CI145" s="2660">
        <f>Geo!AU$81*0.05</f>
      </c>
      <c r="CJ145" s="2660">
        <f>Geo!AV$81*0.05</f>
      </c>
      <c r="CK145" s="2660">
        <f>Geo!AW$81*0.05</f>
      </c>
      <c r="CL145" s="2660">
        <f>Geo!AX$81*0.05</f>
      </c>
      <c r="CM145" s="2660">
        <f>Geo!AY$81*0.05</f>
      </c>
      <c r="CN145" s="2660">
        <f>Geo!AZ$81*0.05</f>
      </c>
      <c r="CO145" s="2660">
        <f>Geo!BA$81*0.05</f>
      </c>
      <c r="CP145" s="2660">
        <f>Geo!BB$81*0.05</f>
      </c>
      <c r="CQ145" s="2660">
        <f>Geo!BC$81*0.05</f>
      </c>
      <c r="CR145" s="2660">
        <f>Geo!BD$81*0.05</f>
      </c>
      <c r="CS145" s="2660">
        <f>Geo!BE$81*0.05</f>
      </c>
      <c r="CT145" s="2660">
        <f>Geo!BF$81*0.05</f>
      </c>
      <c r="CU145" s="2660">
        <f>Geo!BG$81*0.05</f>
      </c>
      <c r="CV145" s="2660">
        <f>Geo!BH$81*0.05</f>
      </c>
      <c r="CW145" s="2660">
        <f>Geo!BI$81*0.05</f>
      </c>
      <c r="CX145" s="2660">
        <f>Geo!BJ$81*0.05</f>
      </c>
      <c r="CY145" s="2660">
        <f>Geo!BK$81*0.05</f>
      </c>
      <c r="CZ145" s="2660">
        <f>Geo!BL$81*0.05</f>
      </c>
      <c r="DA145" s="2660">
        <f>Geo!BM$81*0.05</f>
      </c>
      <c r="DB145" s="2660">
        <f>Geo!BN$81*0.05</f>
      </c>
      <c r="DC145" s="2660">
        <f>Geo!BO$81*0.05</f>
      </c>
      <c r="DD145" s="2660">
        <f>Geo!BP$81*0.05</f>
      </c>
      <c r="DE145" s="2660">
        <f>Geo!BQ$81*0.05</f>
      </c>
      <c r="DF145" s="2660">
        <f>Geo!BR$81*0.05</f>
      </c>
      <c r="DG145" s="2660">
        <f>Geo!BS$81*0.05</f>
      </c>
      <c r="DH145" s="2660">
        <f>Geo!BT$81*0.05</f>
      </c>
      <c r="DI145" s="2660">
        <f>Geo!BU$81*0.05</f>
      </c>
      <c r="DJ145" s="2660">
        <f>Geo!BV$81*0.05</f>
      </c>
      <c r="DK145" s="2660">
        <f>Geo!BW$81*0.05</f>
      </c>
      <c r="DL145" s="2660">
        <f>Geo!BX$81*0.05</f>
      </c>
      <c r="DM145" s="2660">
        <f>Geo!BY$81*0.05</f>
      </c>
      <c r="DN145" s="2660">
        <f>Geo!BZ$81*0.05</f>
      </c>
      <c r="DO145" s="2660">
        <f>Geo!CA$81*0.05</f>
      </c>
      <c r="DP145" s="2660">
        <f>Geo!CB$81*0.05</f>
      </c>
      <c r="DQ145" s="2660">
        <f>Geo!CC$81*0.05</f>
      </c>
      <c r="DR145" s="2660">
        <f>Geo!CD$81*0.05</f>
      </c>
      <c r="DS145" s="2660">
        <f>Geo!CE$81*0.05</f>
      </c>
      <c r="DT145" s="2660">
        <f>Geo!CF$81*0.05</f>
      </c>
      <c r="DU145" s="2660">
        <f>Geo!CG$81*0.05</f>
      </c>
      <c r="DV145" s="2660">
        <f>Geo!CH$81*0.05</f>
      </c>
      <c r="DW145" s="2660">
        <f>Geo!CI$81*0.05</f>
      </c>
      <c r="DX145" s="2660">
        <f>Geo!CJ$81*0.05</f>
      </c>
      <c r="DY145" s="2660">
        <f>Geo!CK$81*0.05</f>
      </c>
      <c r="DZ145" s="2660">
        <f>Geo!CL$81*0.05</f>
      </c>
      <c r="EA145" s="2660">
        <f>Geo!CM$81*0.05</f>
      </c>
      <c r="EB145" s="2660">
        <f>Geo!CN$81*0.05</f>
      </c>
      <c r="EC145" s="2660">
        <f>Geo!CO$81*0.05</f>
      </c>
      <c r="ED145" s="2660">
        <f>Geo!CP$81*0.05</f>
      </c>
      <c r="EE145" s="2660">
        <f>Geo!CQ$81*0.05</f>
      </c>
      <c r="EF145" s="2660">
        <f>Geo!CR$81*0.05</f>
      </c>
      <c r="EG145" s="2660">
        <f>Geo!CS$81*0.05</f>
      </c>
      <c r="EH145" s="2660">
        <f>Geo!CT$81*0.05</f>
      </c>
      <c r="EI145" s="2660">
        <f>Geo!CU$81*0.05</f>
      </c>
      <c r="EJ145" s="2660">
        <f>Geo!CV$81*0.05</f>
      </c>
      <c r="EK145" s="2660">
        <f>Geo!CW$81*0.05</f>
      </c>
      <c r="EL145" s="2660">
        <f>Geo!CX$81*0.05</f>
      </c>
      <c r="EM145" s="2660">
        <f>Geo!CY$81*0.05</f>
      </c>
      <c r="EN145" s="2660">
        <f>Geo!CZ$81*0.05</f>
      </c>
      <c r="EO145" s="2660">
        <f>Geo!DA$81*0.05</f>
      </c>
      <c r="EP145" s="2660">
        <f>Geo!DB$81*0.05</f>
      </c>
      <c r="EQ145" s="2660">
        <f>Geo!DC$81*0.05</f>
      </c>
      <c r="ER145" s="2660">
        <f>Geo!DD$81*0.05</f>
      </c>
      <c r="ES145" s="2660">
        <f>Geo!DE$81*0.05</f>
      </c>
      <c r="ET145" s="2660">
        <f>Geo!DF$81*0.05</f>
      </c>
      <c r="EU145" s="2660">
        <f>Geo!DG$81*0.05</f>
      </c>
      <c r="EV145" s="2660">
        <f>Geo!DH$81*0.05</f>
      </c>
      <c r="EW145" s="2660">
        <f>Geo!DI$81*0.05</f>
      </c>
      <c r="EX145" s="2660">
        <f>Geo!DJ$81*0.05</f>
      </c>
      <c r="EY145" s="2660">
        <f>Geo!DK$81*0.05</f>
      </c>
      <c r="EZ145" s="2660">
        <f>Geo!DL$81*0.05</f>
      </c>
      <c r="FA145" s="2660">
        <f>Geo!DM$81*0.05</f>
      </c>
      <c r="FB145" s="2660">
        <f>Geo!DN$81*0.05</f>
      </c>
      <c r="FC145" s="2660">
        <f>Geo!DO$81*0.05</f>
      </c>
      <c r="FD145" s="2660">
        <f>Geo!DP$81*0.05</f>
      </c>
      <c r="FE145" s="2660">
        <f>Geo!DQ$81*0.05</f>
      </c>
    </row>
    <row r="146" spans="2:161" outlineLevel="2">
      <c r="B146" t="s">
        <v>763</v>
      </c>
      <c r="C146" t="s">
        <v>764</v>
      </c>
      <c r="F146" s="2660"/>
      <c r="G146" s="2660">
        <f>Geo!DS$81*0.05</f>
      </c>
      <c r="H146" s="2660">
        <f>Geo!DT$81*0.05</f>
      </c>
      <c r="I146" s="2660">
        <f>Geo!DU$81*0.05</f>
      </c>
      <c r="J146" s="2660">
        <f>Geo!DV$81*0.05</f>
      </c>
      <c r="K146" s="2660">
        <f>Geo!DW$81*0.05</f>
      </c>
      <c r="L146" s="2660">
        <f>Geo!DX$81*0.05</f>
      </c>
      <c r="M146" s="2660">
        <f>Geo!DY$81*0.05</f>
      </c>
      <c r="N146" s="2660">
        <f>Geo!DZ$81*0.05</f>
      </c>
      <c r="O146" s="2660">
        <f>Geo!EA$81*0.05</f>
      </c>
      <c r="P146" s="2660">
        <f>Geo!EB$81*0.05</f>
      </c>
      <c r="Q146" s="2660">
        <f>Geo!EC$81*0.05</f>
      </c>
      <c r="R146" s="2660">
        <f>Geo!ED$81*0.05</f>
      </c>
      <c r="S146" s="2660">
        <f>Geo!EE$81*0.05</f>
      </c>
      <c r="T146" s="2660">
        <f>Geo!EF$81*0.05</f>
      </c>
      <c r="U146" s="2660">
        <f>Geo!EG$81*0.05</f>
      </c>
      <c r="V146" s="2660">
        <f>Geo!EH$81*0.05</f>
      </c>
      <c r="W146" s="2660">
        <f>Geo!EI$81*0.05</f>
      </c>
      <c r="X146" s="2660">
        <f>Geo!EJ$81*0.05</f>
      </c>
      <c r="Y146" s="2660">
        <f>Geo!EK$81*0.05</f>
      </c>
      <c r="Z146" s="2660">
        <f>Geo!EL$81*0.05</f>
      </c>
      <c r="AA146" s="2660">
        <f>Geo!EM$81*0.05</f>
      </c>
      <c r="AB146" s="2660">
        <f>Geo!EN$81*0.05</f>
      </c>
      <c r="AC146" s="2660">
        <f>Geo!EO$81*0.05</f>
      </c>
      <c r="AD146" s="2660">
        <f>Geo!EP$81*0.05</f>
      </c>
      <c r="AE146" s="2660">
        <f>Geo!EQ$81*0.05</f>
      </c>
      <c r="AF146" s="2660">
        <f>Geo!ER$81*0.05</f>
      </c>
      <c r="AG146" s="2660">
        <f>Geo!ES$81*0.05</f>
      </c>
      <c r="AH146" s="2660">
        <f>Geo!ET$81*0.05</f>
      </c>
      <c r="AI146" s="2660">
        <f>Geo!EU$81*0.05</f>
      </c>
      <c r="AJ146" s="2660">
        <f>Geo!EV$81*0.05</f>
      </c>
      <c r="AK146" s="2660"/>
      <c r="AL146" s="2660"/>
      <c r="AM146" s="2660"/>
      <c r="AN146" s="2660"/>
      <c r="AO146" s="2660"/>
      <c r="AP146" s="2660">
        <f>Geo!B$81*0.05</f>
      </c>
      <c r="AQ146" s="2660">
        <f>Geo!C$81*0.05</f>
      </c>
      <c r="AR146" s="2660">
        <f>Geo!D$81*0.05</f>
      </c>
      <c r="AS146" s="2660">
        <f>Geo!E$81*0.05</f>
      </c>
      <c r="AT146" s="2660">
        <f>Geo!F$81*0.05</f>
      </c>
      <c r="AU146" s="2660">
        <f>Geo!G$81*0.05</f>
      </c>
      <c r="AV146" s="2660">
        <f>Geo!H$81*0.05</f>
      </c>
      <c r="AW146" s="2660">
        <f>Geo!I$81*0.05</f>
      </c>
      <c r="AX146" s="2660">
        <f>Geo!J$81*0.05</f>
      </c>
      <c r="AY146" s="2660">
        <f>Geo!K$81*0.05</f>
      </c>
      <c r="AZ146" s="2660">
        <f>Geo!L$81*0.05</f>
      </c>
      <c r="BA146" s="2660">
        <f>Geo!M$81*0.05</f>
      </c>
      <c r="BB146" s="2660">
        <f>Geo!N$81*0.05</f>
      </c>
      <c r="BC146" s="2660">
        <f>Geo!O$81*0.05</f>
      </c>
      <c r="BD146" s="2660">
        <f>Geo!P$81*0.05</f>
      </c>
      <c r="BE146" s="2660">
        <f>Geo!Q$81*0.05</f>
      </c>
      <c r="BF146" s="2660">
        <f>Geo!R$81*0.05</f>
      </c>
      <c r="BG146" s="2660">
        <f>Geo!S$81*0.05</f>
      </c>
      <c r="BH146" s="2660">
        <f>Geo!T$81*0.05</f>
      </c>
      <c r="BI146" s="2660">
        <f>Geo!U$81*0.05</f>
      </c>
      <c r="BJ146" s="2660">
        <f>Geo!V$81*0.05</f>
      </c>
      <c r="BK146" s="2660">
        <f>Geo!W$81*0.05</f>
      </c>
      <c r="BL146" s="2660">
        <f>Geo!X$81*0.05</f>
      </c>
      <c r="BM146" s="2660">
        <f>Geo!Y$81*0.05</f>
      </c>
      <c r="BN146" s="2660">
        <f>Geo!Z$81*0.05</f>
      </c>
      <c r="BO146" s="2660">
        <f>Geo!AA$81*0.05</f>
      </c>
      <c r="BP146" s="2660">
        <f>Geo!AB$81*0.05</f>
      </c>
      <c r="BQ146" s="2660">
        <f>Geo!AC$81*0.05</f>
      </c>
      <c r="BR146" s="2660">
        <f>Geo!AD$81*0.05</f>
      </c>
      <c r="BS146" s="2660">
        <f>Geo!AE$81*0.05</f>
      </c>
      <c r="BT146" s="2660">
        <f>Geo!AF$81*0.05</f>
      </c>
      <c r="BU146" s="2660">
        <f>Geo!AG$81*0.05</f>
      </c>
      <c r="BV146" s="2660">
        <f>Geo!AH$81*0.05</f>
      </c>
      <c r="BW146" s="2660">
        <f>Geo!AI$81*0.05</f>
      </c>
      <c r="BX146" s="2660">
        <f>Geo!AJ$81*0.05</f>
      </c>
      <c r="BY146" s="2660">
        <f>Geo!AK$81*0.05</f>
      </c>
      <c r="BZ146" s="2660">
        <f>Geo!AL$81*0.05</f>
      </c>
      <c r="CA146" s="2660">
        <f>Geo!AM$81*0.05</f>
      </c>
      <c r="CB146" s="2660">
        <f>Geo!AN$81*0.05</f>
      </c>
      <c r="CC146" s="2660">
        <f>Geo!AO$81*0.05</f>
      </c>
      <c r="CD146" s="2660">
        <f>Geo!AP$81*0.05</f>
      </c>
      <c r="CE146" s="2660">
        <f>Geo!AQ$81*0.05</f>
      </c>
      <c r="CF146" s="2660">
        <f>Geo!AR$81*0.05</f>
      </c>
      <c r="CG146" s="2660">
        <f>Geo!AS$81*0.05</f>
      </c>
      <c r="CH146" s="2660">
        <f>Geo!AT$81*0.05</f>
      </c>
      <c r="CI146" s="2660">
        <f>Geo!AU$81*0.05</f>
      </c>
      <c r="CJ146" s="2660">
        <f>Geo!AV$81*0.05</f>
      </c>
      <c r="CK146" s="2660">
        <f>Geo!AW$81*0.05</f>
      </c>
      <c r="CL146" s="2660">
        <f>Geo!AX$81*0.05</f>
      </c>
      <c r="CM146" s="2660">
        <f>Geo!AY$81*0.05</f>
      </c>
      <c r="CN146" s="2660">
        <f>Geo!AZ$81*0.05</f>
      </c>
      <c r="CO146" s="2660">
        <f>Geo!BA$81*0.05</f>
      </c>
      <c r="CP146" s="2660">
        <f>Geo!BB$81*0.05</f>
      </c>
      <c r="CQ146" s="2660">
        <f>Geo!BC$81*0.05</f>
      </c>
      <c r="CR146" s="2660">
        <f>Geo!BD$81*0.05</f>
      </c>
      <c r="CS146" s="2660">
        <f>Geo!BE$81*0.05</f>
      </c>
      <c r="CT146" s="2660">
        <f>Geo!BF$81*0.05</f>
      </c>
      <c r="CU146" s="2660">
        <f>Geo!BG$81*0.05</f>
      </c>
      <c r="CV146" s="2660">
        <f>Geo!BH$81*0.05</f>
      </c>
      <c r="CW146" s="2660">
        <f>Geo!BI$81*0.05</f>
      </c>
      <c r="CX146" s="2660">
        <f>Geo!BJ$81*0.05</f>
      </c>
      <c r="CY146" s="2660">
        <f>Geo!BK$81*0.05</f>
      </c>
      <c r="CZ146" s="2660">
        <f>Geo!BL$81*0.05</f>
      </c>
      <c r="DA146" s="2660">
        <f>Geo!BM$81*0.05</f>
      </c>
      <c r="DB146" s="2660">
        <f>Geo!BN$81*0.05</f>
      </c>
      <c r="DC146" s="2660">
        <f>Geo!BO$81*0.05</f>
      </c>
      <c r="DD146" s="2660">
        <f>Geo!BP$81*0.05</f>
      </c>
      <c r="DE146" s="2660">
        <f>Geo!BQ$81*0.05</f>
      </c>
      <c r="DF146" s="2660">
        <f>Geo!BR$81*0.05</f>
      </c>
      <c r="DG146" s="2660">
        <f>Geo!BS$81*0.05</f>
      </c>
      <c r="DH146" s="2660">
        <f>Geo!BT$81*0.05</f>
      </c>
      <c r="DI146" s="2660">
        <f>Geo!BU$81*0.05</f>
      </c>
      <c r="DJ146" s="2660">
        <f>Geo!BV$81*0.05</f>
      </c>
      <c r="DK146" s="2660">
        <f>Geo!BW$81*0.05</f>
      </c>
      <c r="DL146" s="2660">
        <f>Geo!BX$81*0.05</f>
      </c>
      <c r="DM146" s="2660">
        <f>Geo!BY$81*0.05</f>
      </c>
      <c r="DN146" s="2660">
        <f>Geo!BZ$81*0.05</f>
      </c>
      <c r="DO146" s="2660">
        <f>Geo!CA$81*0.05</f>
      </c>
      <c r="DP146" s="2660">
        <f>Geo!CB$81*0.05</f>
      </c>
      <c r="DQ146" s="2660">
        <f>Geo!CC$81*0.05</f>
      </c>
      <c r="DR146" s="2660">
        <f>Geo!CD$81*0.05</f>
      </c>
      <c r="DS146" s="2660">
        <f>Geo!CE$81*0.05</f>
      </c>
      <c r="DT146" s="2660">
        <f>Geo!CF$81*0.05</f>
      </c>
      <c r="DU146" s="2660">
        <f>Geo!CG$81*0.05</f>
      </c>
      <c r="DV146" s="2660">
        <f>Geo!CH$81*0.05</f>
      </c>
      <c r="DW146" s="2660">
        <f>Geo!CI$81*0.05</f>
      </c>
      <c r="DX146" s="2660">
        <f>Geo!CJ$81*0.05</f>
      </c>
      <c r="DY146" s="2660">
        <f>Geo!CK$81*0.05</f>
      </c>
      <c r="DZ146" s="2660">
        <f>Geo!CL$81*0.05</f>
      </c>
      <c r="EA146" s="2660">
        <f>Geo!CM$81*0.05</f>
      </c>
      <c r="EB146" s="2660">
        <f>Geo!CN$81*0.05</f>
      </c>
      <c r="EC146" s="2660">
        <f>Geo!CO$81*0.05</f>
      </c>
      <c r="ED146" s="2660">
        <f>Geo!CP$81*0.05</f>
      </c>
      <c r="EE146" s="2660">
        <f>Geo!CQ$81*0.05</f>
      </c>
      <c r="EF146" s="2660">
        <f>Geo!CR$81*0.05</f>
      </c>
      <c r="EG146" s="2660">
        <f>Geo!CS$81*0.05</f>
      </c>
      <c r="EH146" s="2660">
        <f>Geo!CT$81*0.05</f>
      </c>
      <c r="EI146" s="2660">
        <f>Geo!CU$81*0.05</f>
      </c>
      <c r="EJ146" s="2660">
        <f>Geo!CV$81*0.05</f>
      </c>
      <c r="EK146" s="2660">
        <f>Geo!CW$81*0.05</f>
      </c>
      <c r="EL146" s="2660">
        <f>Geo!CX$81*0.05</f>
      </c>
      <c r="EM146" s="2660">
        <f>Geo!CY$81*0.05</f>
      </c>
      <c r="EN146" s="2660">
        <f>Geo!CZ$81*0.05</f>
      </c>
      <c r="EO146" s="2660">
        <f>Geo!DA$81*0.05</f>
      </c>
      <c r="EP146" s="2660">
        <f>Geo!DB$81*0.05</f>
      </c>
      <c r="EQ146" s="2660">
        <f>Geo!DC$81*0.05</f>
      </c>
      <c r="ER146" s="2660">
        <f>Geo!DD$81*0.05</f>
      </c>
      <c r="ES146" s="2660">
        <f>Geo!DE$81*0.05</f>
      </c>
      <c r="ET146" s="2660">
        <f>Geo!DF$81*0.05</f>
      </c>
      <c r="EU146" s="2660">
        <f>Geo!DG$81*0.05</f>
      </c>
      <c r="EV146" s="2660">
        <f>Geo!DH$81*0.05</f>
      </c>
      <c r="EW146" s="2660">
        <f>Geo!DI$81*0.05</f>
      </c>
      <c r="EX146" s="2660">
        <f>Geo!DJ$81*0.05</f>
      </c>
      <c r="EY146" s="2660">
        <f>Geo!DK$81*0.05</f>
      </c>
      <c r="EZ146" s="2660">
        <f>Geo!DL$81*0.05</f>
      </c>
      <c r="FA146" s="2660">
        <f>Geo!DM$81*0.05</f>
      </c>
      <c r="FB146" s="2660">
        <f>Geo!DN$81*0.05</f>
      </c>
      <c r="FC146" s="2660">
        <f>Geo!DO$81*0.05</f>
      </c>
      <c r="FD146" s="2660">
        <f>Geo!DP$81*0.05</f>
      </c>
      <c r="FE146" s="2660">
        <f>Geo!DQ$81*0.05</f>
      </c>
    </row>
    <row r="147" spans="2:161" outlineLevel="2">
      <c r="B147" t="s">
        <v>765</v>
      </c>
      <c r="C147" t="s">
        <v>766</v>
      </c>
      <c r="F147" s="2660"/>
      <c r="G147" s="2660">
        <f>Geo!DS$81*0.05</f>
      </c>
      <c r="H147" s="2660">
        <f>Geo!DT$81*0.05</f>
      </c>
      <c r="I147" s="2660">
        <f>Geo!DU$81*0.05</f>
      </c>
      <c r="J147" s="2660">
        <f>Geo!DV$81*0.05</f>
      </c>
      <c r="K147" s="2660">
        <f>Geo!DW$81*0.05</f>
      </c>
      <c r="L147" s="2660">
        <f>Geo!DX$81*0.05</f>
      </c>
      <c r="M147" s="2660">
        <f>Geo!DY$81*0.05</f>
      </c>
      <c r="N147" s="2660">
        <f>Geo!DZ$81*0.05</f>
      </c>
      <c r="O147" s="2660">
        <f>Geo!EA$81*0.05</f>
      </c>
      <c r="P147" s="2660">
        <f>Geo!EB$81*0.05</f>
      </c>
      <c r="Q147" s="2660">
        <f>Geo!EC$81*0.05</f>
      </c>
      <c r="R147" s="2660">
        <f>Geo!ED$81*0.05</f>
      </c>
      <c r="S147" s="2660">
        <f>Geo!EE$81*0.05</f>
      </c>
      <c r="T147" s="2660">
        <f>Geo!EF$81*0.05</f>
      </c>
      <c r="U147" s="2660">
        <f>Geo!EG$81*0.05</f>
      </c>
      <c r="V147" s="2660">
        <f>Geo!EH$81*0.05</f>
      </c>
      <c r="W147" s="2660">
        <f>Geo!EI$81*0.05</f>
      </c>
      <c r="X147" s="2660">
        <f>Geo!EJ$81*0.05</f>
      </c>
      <c r="Y147" s="2660">
        <f>Geo!EK$81*0.05</f>
      </c>
      <c r="Z147" s="2660">
        <f>Geo!EL$81*0.05</f>
      </c>
      <c r="AA147" s="2660">
        <f>Geo!EM$81*0.05</f>
      </c>
      <c r="AB147" s="2660">
        <f>Geo!EN$81*0.05</f>
      </c>
      <c r="AC147" s="2660">
        <f>Geo!EO$81*0.05</f>
      </c>
      <c r="AD147" s="2660">
        <f>Geo!EP$81*0.05</f>
      </c>
      <c r="AE147" s="2660">
        <f>Geo!EQ$81*0.05</f>
      </c>
      <c r="AF147" s="2660">
        <f>Geo!ER$81*0.05</f>
      </c>
      <c r="AG147" s="2660">
        <f>Geo!ES$81*0.05</f>
      </c>
      <c r="AH147" s="2660">
        <f>Geo!ET$81*0.05</f>
      </c>
      <c r="AI147" s="2660">
        <f>Geo!EU$81*0.05</f>
      </c>
      <c r="AJ147" s="2660">
        <f>Geo!EV$81*0.05</f>
      </c>
      <c r="AK147" s="2660"/>
      <c r="AL147" s="2660"/>
      <c r="AM147" s="2660"/>
      <c r="AN147" s="2660"/>
      <c r="AO147" s="2660"/>
      <c r="AP147" s="2660">
        <f>Geo!B$81*0.05</f>
      </c>
      <c r="AQ147" s="2660">
        <f>Geo!C$81*0.05</f>
      </c>
      <c r="AR147" s="2660">
        <f>Geo!D$81*0.05</f>
      </c>
      <c r="AS147" s="2660">
        <f>Geo!E$81*0.05</f>
      </c>
      <c r="AT147" s="2660">
        <f>Geo!F$81*0.05</f>
      </c>
      <c r="AU147" s="2660">
        <f>Geo!G$81*0.05</f>
      </c>
      <c r="AV147" s="2660">
        <f>Geo!H$81*0.05</f>
      </c>
      <c r="AW147" s="2660">
        <f>Geo!I$81*0.05</f>
      </c>
      <c r="AX147" s="2660">
        <f>Geo!J$81*0.05</f>
      </c>
      <c r="AY147" s="2660">
        <f>Geo!K$81*0.05</f>
      </c>
      <c r="AZ147" s="2660">
        <f>Geo!L$81*0.05</f>
      </c>
      <c r="BA147" s="2660">
        <f>Geo!M$81*0.05</f>
      </c>
      <c r="BB147" s="2660">
        <f>Geo!N$81*0.05</f>
      </c>
      <c r="BC147" s="2660">
        <f>Geo!O$81*0.05</f>
      </c>
      <c r="BD147" s="2660">
        <f>Geo!P$81*0.05</f>
      </c>
      <c r="BE147" s="2660">
        <f>Geo!Q$81*0.05</f>
      </c>
      <c r="BF147" s="2660">
        <f>Geo!R$81*0.05</f>
      </c>
      <c r="BG147" s="2660">
        <f>Geo!S$81*0.05</f>
      </c>
      <c r="BH147" s="2660">
        <f>Geo!T$81*0.05</f>
      </c>
      <c r="BI147" s="2660">
        <f>Geo!U$81*0.05</f>
      </c>
      <c r="BJ147" s="2660">
        <f>Geo!V$81*0.05</f>
      </c>
      <c r="BK147" s="2660">
        <f>Geo!W$81*0.05</f>
      </c>
      <c r="BL147" s="2660">
        <f>Geo!X$81*0.05</f>
      </c>
      <c r="BM147" s="2660">
        <f>Geo!Y$81*0.05</f>
      </c>
      <c r="BN147" s="2660">
        <f>Geo!Z$81*0.05</f>
      </c>
      <c r="BO147" s="2660">
        <f>Geo!AA$81*0.05</f>
      </c>
      <c r="BP147" s="2660">
        <f>Geo!AB$81*0.05</f>
      </c>
      <c r="BQ147" s="2660">
        <f>Geo!AC$81*0.05</f>
      </c>
      <c r="BR147" s="2660">
        <f>Geo!AD$81*0.05</f>
      </c>
      <c r="BS147" s="2660">
        <f>Geo!AE$81*0.05</f>
      </c>
      <c r="BT147" s="2660">
        <f>Geo!AF$81*0.05</f>
      </c>
      <c r="BU147" s="2660">
        <f>Geo!AG$81*0.05</f>
      </c>
      <c r="BV147" s="2660">
        <f>Geo!AH$81*0.05</f>
      </c>
      <c r="BW147" s="2660">
        <f>Geo!AI$81*0.05</f>
      </c>
      <c r="BX147" s="2660">
        <f>Geo!AJ$81*0.05</f>
      </c>
      <c r="BY147" s="2660">
        <f>Geo!AK$81*0.05</f>
      </c>
      <c r="BZ147" s="2660">
        <f>Geo!AL$81*0.05</f>
      </c>
      <c r="CA147" s="2660">
        <f>Geo!AM$81*0.05</f>
      </c>
      <c r="CB147" s="2660">
        <f>Geo!AN$81*0.05</f>
      </c>
      <c r="CC147" s="2660">
        <f>Geo!AO$81*0.05</f>
      </c>
      <c r="CD147" s="2660">
        <f>Geo!AP$81*0.05</f>
      </c>
      <c r="CE147" s="2660">
        <f>Geo!AQ$81*0.05</f>
      </c>
      <c r="CF147" s="2660">
        <f>Geo!AR$81*0.05</f>
      </c>
      <c r="CG147" s="2660">
        <f>Geo!AS$81*0.05</f>
      </c>
      <c r="CH147" s="2660">
        <f>Geo!AT$81*0.05</f>
      </c>
      <c r="CI147" s="2660">
        <f>Geo!AU$81*0.05</f>
      </c>
      <c r="CJ147" s="2660">
        <f>Geo!AV$81*0.05</f>
      </c>
      <c r="CK147" s="2660">
        <f>Geo!AW$81*0.05</f>
      </c>
      <c r="CL147" s="2660">
        <f>Geo!AX$81*0.05</f>
      </c>
      <c r="CM147" s="2660">
        <f>Geo!AY$81*0.05</f>
      </c>
      <c r="CN147" s="2660">
        <f>Geo!AZ$81*0.05</f>
      </c>
      <c r="CO147" s="2660">
        <f>Geo!BA$81*0.05</f>
      </c>
      <c r="CP147" s="2660">
        <f>Geo!BB$81*0.05</f>
      </c>
      <c r="CQ147" s="2660">
        <f>Geo!BC$81*0.05</f>
      </c>
      <c r="CR147" s="2660">
        <f>Geo!BD$81*0.05</f>
      </c>
      <c r="CS147" s="2660">
        <f>Geo!BE$81*0.05</f>
      </c>
      <c r="CT147" s="2660">
        <f>Geo!BF$81*0.05</f>
      </c>
      <c r="CU147" s="2660">
        <f>Geo!BG$81*0.05</f>
      </c>
      <c r="CV147" s="2660">
        <f>Geo!BH$81*0.05</f>
      </c>
      <c r="CW147" s="2660">
        <f>Geo!BI$81*0.05</f>
      </c>
      <c r="CX147" s="2660">
        <f>Geo!BJ$81*0.05</f>
      </c>
      <c r="CY147" s="2660">
        <f>Geo!BK$81*0.05</f>
      </c>
      <c r="CZ147" s="2660">
        <f>Geo!BL$81*0.05</f>
      </c>
      <c r="DA147" s="2660">
        <f>Geo!BM$81*0.05</f>
      </c>
      <c r="DB147" s="2660">
        <f>Geo!BN$81*0.05</f>
      </c>
      <c r="DC147" s="2660">
        <f>Geo!BO$81*0.05</f>
      </c>
      <c r="DD147" s="2660">
        <f>Geo!BP$81*0.05</f>
      </c>
      <c r="DE147" s="2660">
        <f>Geo!BQ$81*0.05</f>
      </c>
      <c r="DF147" s="2660">
        <f>Geo!BR$81*0.05</f>
      </c>
      <c r="DG147" s="2660">
        <f>Geo!BS$81*0.05</f>
      </c>
      <c r="DH147" s="2660">
        <f>Geo!BT$81*0.05</f>
      </c>
      <c r="DI147" s="2660">
        <f>Geo!BU$81*0.05</f>
      </c>
      <c r="DJ147" s="2660">
        <f>Geo!BV$81*0.05</f>
      </c>
      <c r="DK147" s="2660">
        <f>Geo!BW$81*0.05</f>
      </c>
      <c r="DL147" s="2660">
        <f>Geo!BX$81*0.05</f>
      </c>
      <c r="DM147" s="2660">
        <f>Geo!BY$81*0.05</f>
      </c>
      <c r="DN147" s="2660">
        <f>Geo!BZ$81*0.05</f>
      </c>
      <c r="DO147" s="2660">
        <f>Geo!CA$81*0.05</f>
      </c>
      <c r="DP147" s="2660">
        <f>Geo!CB$81*0.05</f>
      </c>
      <c r="DQ147" s="2660">
        <f>Geo!CC$81*0.05</f>
      </c>
      <c r="DR147" s="2660">
        <f>Geo!CD$81*0.05</f>
      </c>
      <c r="DS147" s="2660">
        <f>Geo!CE$81*0.05</f>
      </c>
      <c r="DT147" s="2660">
        <f>Geo!CF$81*0.05</f>
      </c>
      <c r="DU147" s="2660">
        <f>Geo!CG$81*0.05</f>
      </c>
      <c r="DV147" s="2660">
        <f>Geo!CH$81*0.05</f>
      </c>
      <c r="DW147" s="2660">
        <f>Geo!CI$81*0.05</f>
      </c>
      <c r="DX147" s="2660">
        <f>Geo!CJ$81*0.05</f>
      </c>
      <c r="DY147" s="2660">
        <f>Geo!CK$81*0.05</f>
      </c>
      <c r="DZ147" s="2660">
        <f>Geo!CL$81*0.05</f>
      </c>
      <c r="EA147" s="2660">
        <f>Geo!CM$81*0.05</f>
      </c>
      <c r="EB147" s="2660">
        <f>Geo!CN$81*0.05</f>
      </c>
      <c r="EC147" s="2660">
        <f>Geo!CO$81*0.05</f>
      </c>
      <c r="ED147" s="2660">
        <f>Geo!CP$81*0.05</f>
      </c>
      <c r="EE147" s="2660">
        <f>Geo!CQ$81*0.05</f>
      </c>
      <c r="EF147" s="2660">
        <f>Geo!CR$81*0.05</f>
      </c>
      <c r="EG147" s="2660">
        <f>Geo!CS$81*0.05</f>
      </c>
      <c r="EH147" s="2660">
        <f>Geo!CT$81*0.05</f>
      </c>
      <c r="EI147" s="2660">
        <f>Geo!CU$81*0.05</f>
      </c>
      <c r="EJ147" s="2660">
        <f>Geo!CV$81*0.05</f>
      </c>
      <c r="EK147" s="2660">
        <f>Geo!CW$81*0.05</f>
      </c>
      <c r="EL147" s="2660">
        <f>Geo!CX$81*0.05</f>
      </c>
      <c r="EM147" s="2660">
        <f>Geo!CY$81*0.05</f>
      </c>
      <c r="EN147" s="2660">
        <f>Geo!CZ$81*0.05</f>
      </c>
      <c r="EO147" s="2660">
        <f>Geo!DA$81*0.05</f>
      </c>
      <c r="EP147" s="2660">
        <f>Geo!DB$81*0.05</f>
      </c>
      <c r="EQ147" s="2660">
        <f>Geo!DC$81*0.05</f>
      </c>
      <c r="ER147" s="2660">
        <f>Geo!DD$81*0.05</f>
      </c>
      <c r="ES147" s="2660">
        <f>Geo!DE$81*0.05</f>
      </c>
      <c r="ET147" s="2660">
        <f>Geo!DF$81*0.05</f>
      </c>
      <c r="EU147" s="2660">
        <f>Geo!DG$81*0.05</f>
      </c>
      <c r="EV147" s="2660">
        <f>Geo!DH$81*0.05</f>
      </c>
      <c r="EW147" s="2660">
        <f>Geo!DI$81*0.05</f>
      </c>
      <c r="EX147" s="2660">
        <f>Geo!DJ$81*0.05</f>
      </c>
      <c r="EY147" s="2660">
        <f>Geo!DK$81*0.05</f>
      </c>
      <c r="EZ147" s="2660">
        <f>Geo!DL$81*0.05</f>
      </c>
      <c r="FA147" s="2660">
        <f>Geo!DM$81*0.05</f>
      </c>
      <c r="FB147" s="2660">
        <f>Geo!DN$81*0.05</f>
      </c>
      <c r="FC147" s="2660">
        <f>Geo!DO$81*0.05</f>
      </c>
      <c r="FD147" s="2660">
        <f>Geo!DP$81*0.05</f>
      </c>
      <c r="FE147" s="2660">
        <f>Geo!DQ$81*0.05</f>
      </c>
    </row>
    <row r="148" spans="2:161" outlineLevel="2">
      <c r="B148" t="s">
        <v>767</v>
      </c>
      <c r="C148" t="s">
        <v>768</v>
      </c>
      <c r="F148" s="2660"/>
      <c r="G148" s="2660">
        <f>Geo!DS$81*0.05</f>
      </c>
      <c r="H148" s="2660">
        <f>Geo!DT$81*0.05</f>
      </c>
      <c r="I148" s="2660">
        <f>Geo!DU$81*0.05</f>
      </c>
      <c r="J148" s="2660">
        <f>Geo!DV$81*0.05</f>
      </c>
      <c r="K148" s="2660">
        <f>Geo!DW$81*0.05</f>
      </c>
      <c r="L148" s="2660">
        <f>Geo!DX$81*0.05</f>
      </c>
      <c r="M148" s="2660">
        <f>Geo!DY$81*0.05</f>
      </c>
      <c r="N148" s="2660">
        <f>Geo!DZ$81*0.05</f>
      </c>
      <c r="O148" s="2660">
        <f>Geo!EA$81*0.05</f>
      </c>
      <c r="P148" s="2660">
        <f>Geo!EB$81*0.05</f>
      </c>
      <c r="Q148" s="2660">
        <f>Geo!EC$81*0.05</f>
      </c>
      <c r="R148" s="2660">
        <f>Geo!ED$81*0.05</f>
      </c>
      <c r="S148" s="2660">
        <f>Geo!EE$81*0.05</f>
      </c>
      <c r="T148" s="2660">
        <f>Geo!EF$81*0.05</f>
      </c>
      <c r="U148" s="2660">
        <f>Geo!EG$81*0.05</f>
      </c>
      <c r="V148" s="2660">
        <f>Geo!EH$81*0.05</f>
      </c>
      <c r="W148" s="2660">
        <f>Geo!EI$81*0.05</f>
      </c>
      <c r="X148" s="2660">
        <f>Geo!EJ$81*0.05</f>
      </c>
      <c r="Y148" s="2660">
        <f>Geo!EK$81*0.05</f>
      </c>
      <c r="Z148" s="2660">
        <f>Geo!EL$81*0.05</f>
      </c>
      <c r="AA148" s="2660">
        <f>Geo!EM$81*0.05</f>
      </c>
      <c r="AB148" s="2660">
        <f>Geo!EN$81*0.05</f>
      </c>
      <c r="AC148" s="2660">
        <f>Geo!EO$81*0.05</f>
      </c>
      <c r="AD148" s="2660">
        <f>Geo!EP$81*0.05</f>
      </c>
      <c r="AE148" s="2660">
        <f>Geo!EQ$81*0.05</f>
      </c>
      <c r="AF148" s="2660">
        <f>Geo!ER$81*0.05</f>
      </c>
      <c r="AG148" s="2660">
        <f>Geo!ES$81*0.05</f>
      </c>
      <c r="AH148" s="2660">
        <f>Geo!ET$81*0.05</f>
      </c>
      <c r="AI148" s="2660">
        <f>Geo!EU$81*0.05</f>
      </c>
      <c r="AJ148" s="2660">
        <f>Geo!EV$81*0.05</f>
      </c>
      <c r="AK148" s="2660"/>
      <c r="AL148" s="2660"/>
      <c r="AM148" s="2660"/>
      <c r="AN148" s="2660"/>
      <c r="AO148" s="2660"/>
      <c r="AP148" s="2660">
        <f>Geo!B$81*0.05</f>
      </c>
      <c r="AQ148" s="2660">
        <f>Geo!C$81*0.05</f>
      </c>
      <c r="AR148" s="2660">
        <f>Geo!D$81*0.05</f>
      </c>
      <c r="AS148" s="2660">
        <f>Geo!E$81*0.05</f>
      </c>
      <c r="AT148" s="2660">
        <f>Geo!F$81*0.05</f>
      </c>
      <c r="AU148" s="2660">
        <f>Geo!G$81*0.05</f>
      </c>
      <c r="AV148" s="2660">
        <f>Geo!H$81*0.05</f>
      </c>
      <c r="AW148" s="2660">
        <f>Geo!I$81*0.05</f>
      </c>
      <c r="AX148" s="2660">
        <f>Geo!J$81*0.05</f>
      </c>
      <c r="AY148" s="2660">
        <f>Geo!K$81*0.05</f>
      </c>
      <c r="AZ148" s="2660">
        <f>Geo!L$81*0.05</f>
      </c>
      <c r="BA148" s="2660">
        <f>Geo!M$81*0.05</f>
      </c>
      <c r="BB148" s="2660">
        <f>Geo!N$81*0.05</f>
      </c>
      <c r="BC148" s="2660">
        <f>Geo!O$81*0.05</f>
      </c>
      <c r="BD148" s="2660">
        <f>Geo!P$81*0.05</f>
      </c>
      <c r="BE148" s="2660">
        <f>Geo!Q$81*0.05</f>
      </c>
      <c r="BF148" s="2660">
        <f>Geo!R$81*0.05</f>
      </c>
      <c r="BG148" s="2660">
        <f>Geo!S$81*0.05</f>
      </c>
      <c r="BH148" s="2660">
        <f>Geo!T$81*0.05</f>
      </c>
      <c r="BI148" s="2660">
        <f>Geo!U$81*0.05</f>
      </c>
      <c r="BJ148" s="2660">
        <f>Geo!V$81*0.05</f>
      </c>
      <c r="BK148" s="2660">
        <f>Geo!W$81*0.05</f>
      </c>
      <c r="BL148" s="2660">
        <f>Geo!X$81*0.05</f>
      </c>
      <c r="BM148" s="2660">
        <f>Geo!Y$81*0.05</f>
      </c>
      <c r="BN148" s="2660">
        <f>Geo!Z$81*0.05</f>
      </c>
      <c r="BO148" s="2660">
        <f>Geo!AA$81*0.05</f>
      </c>
      <c r="BP148" s="2660">
        <f>Geo!AB$81*0.05</f>
      </c>
      <c r="BQ148" s="2660">
        <f>Geo!AC$81*0.05</f>
      </c>
      <c r="BR148" s="2660">
        <f>Geo!AD$81*0.05</f>
      </c>
      <c r="BS148" s="2660">
        <f>Geo!AE$81*0.05</f>
      </c>
      <c r="BT148" s="2660">
        <f>Geo!AF$81*0.05</f>
      </c>
      <c r="BU148" s="2660">
        <f>Geo!AG$81*0.05</f>
      </c>
      <c r="BV148" s="2660">
        <f>Geo!AH$81*0.05</f>
      </c>
      <c r="BW148" s="2660">
        <f>Geo!AI$81*0.05</f>
      </c>
      <c r="BX148" s="2660">
        <f>Geo!AJ$81*0.05</f>
      </c>
      <c r="BY148" s="2660">
        <f>Geo!AK$81*0.05</f>
      </c>
      <c r="BZ148" s="2660">
        <f>Geo!AL$81*0.05</f>
      </c>
      <c r="CA148" s="2660">
        <f>Geo!AM$81*0.05</f>
      </c>
      <c r="CB148" s="2660">
        <f>Geo!AN$81*0.05</f>
      </c>
      <c r="CC148" s="2660">
        <f>Geo!AO$81*0.05</f>
      </c>
      <c r="CD148" s="2660">
        <f>Geo!AP$81*0.05</f>
      </c>
      <c r="CE148" s="2660">
        <f>Geo!AQ$81*0.05</f>
      </c>
      <c r="CF148" s="2660">
        <f>Geo!AR$81*0.05</f>
      </c>
      <c r="CG148" s="2660">
        <f>Geo!AS$81*0.05</f>
      </c>
      <c r="CH148" s="2660">
        <f>Geo!AT$81*0.05</f>
      </c>
      <c r="CI148" s="2660">
        <f>Geo!AU$81*0.05</f>
      </c>
      <c r="CJ148" s="2660">
        <f>Geo!AV$81*0.05</f>
      </c>
      <c r="CK148" s="2660">
        <f>Geo!AW$81*0.05</f>
      </c>
      <c r="CL148" s="2660">
        <f>Geo!AX$81*0.05</f>
      </c>
      <c r="CM148" s="2660">
        <f>Geo!AY$81*0.05</f>
      </c>
      <c r="CN148" s="2660">
        <f>Geo!AZ$81*0.05</f>
      </c>
      <c r="CO148" s="2660">
        <f>Geo!BA$81*0.05</f>
      </c>
      <c r="CP148" s="2660">
        <f>Geo!BB$81*0.05</f>
      </c>
      <c r="CQ148" s="2660">
        <f>Geo!BC$81*0.05</f>
      </c>
      <c r="CR148" s="2660">
        <f>Geo!BD$81*0.05</f>
      </c>
      <c r="CS148" s="2660">
        <f>Geo!BE$81*0.05</f>
      </c>
      <c r="CT148" s="2660">
        <f>Geo!BF$81*0.05</f>
      </c>
      <c r="CU148" s="2660">
        <f>Geo!BG$81*0.05</f>
      </c>
      <c r="CV148" s="2660">
        <f>Geo!BH$81*0.05</f>
      </c>
      <c r="CW148" s="2660">
        <f>Geo!BI$81*0.05</f>
      </c>
      <c r="CX148" s="2660">
        <f>Geo!BJ$81*0.05</f>
      </c>
      <c r="CY148" s="2660">
        <f>Geo!BK$81*0.05</f>
      </c>
      <c r="CZ148" s="2660">
        <f>Geo!BL$81*0.05</f>
      </c>
      <c r="DA148" s="2660">
        <f>Geo!BM$81*0.05</f>
      </c>
      <c r="DB148" s="2660">
        <f>Geo!BN$81*0.05</f>
      </c>
      <c r="DC148" s="2660">
        <f>Geo!BO$81*0.05</f>
      </c>
      <c r="DD148" s="2660">
        <f>Geo!BP$81*0.05</f>
      </c>
      <c r="DE148" s="2660">
        <f>Geo!BQ$81*0.05</f>
      </c>
      <c r="DF148" s="2660">
        <f>Geo!BR$81*0.05</f>
      </c>
      <c r="DG148" s="2660">
        <f>Geo!BS$81*0.05</f>
      </c>
      <c r="DH148" s="2660">
        <f>Geo!BT$81*0.05</f>
      </c>
      <c r="DI148" s="2660">
        <f>Geo!BU$81*0.05</f>
      </c>
      <c r="DJ148" s="2660">
        <f>Geo!BV$81*0.05</f>
      </c>
      <c r="DK148" s="2660">
        <f>Geo!BW$81*0.05</f>
      </c>
      <c r="DL148" s="2660">
        <f>Geo!BX$81*0.05</f>
      </c>
      <c r="DM148" s="2660">
        <f>Geo!BY$81*0.05</f>
      </c>
      <c r="DN148" s="2660">
        <f>Geo!BZ$81*0.05</f>
      </c>
      <c r="DO148" s="2660">
        <f>Geo!CA$81*0.05</f>
      </c>
      <c r="DP148" s="2660">
        <f>Geo!CB$81*0.05</f>
      </c>
      <c r="DQ148" s="2660">
        <f>Geo!CC$81*0.05</f>
      </c>
      <c r="DR148" s="2660">
        <f>Geo!CD$81*0.05</f>
      </c>
      <c r="DS148" s="2660">
        <f>Geo!CE$81*0.05</f>
      </c>
      <c r="DT148" s="2660">
        <f>Geo!CF$81*0.05</f>
      </c>
      <c r="DU148" s="2660">
        <f>Geo!CG$81*0.05</f>
      </c>
      <c r="DV148" s="2660">
        <f>Geo!CH$81*0.05</f>
      </c>
      <c r="DW148" s="2660">
        <f>Geo!CI$81*0.05</f>
      </c>
      <c r="DX148" s="2660">
        <f>Geo!CJ$81*0.05</f>
      </c>
      <c r="DY148" s="2660">
        <f>Geo!CK$81*0.05</f>
      </c>
      <c r="DZ148" s="2660">
        <f>Geo!CL$81*0.05</f>
      </c>
      <c r="EA148" s="2660">
        <f>Geo!CM$81*0.05</f>
      </c>
      <c r="EB148" s="2660">
        <f>Geo!CN$81*0.05</f>
      </c>
      <c r="EC148" s="2660">
        <f>Geo!CO$81*0.05</f>
      </c>
      <c r="ED148" s="2660">
        <f>Geo!CP$81*0.05</f>
      </c>
      <c r="EE148" s="2660">
        <f>Geo!CQ$81*0.05</f>
      </c>
      <c r="EF148" s="2660">
        <f>Geo!CR$81*0.05</f>
      </c>
      <c r="EG148" s="2660">
        <f>Geo!CS$81*0.05</f>
      </c>
      <c r="EH148" s="2660">
        <f>Geo!CT$81*0.05</f>
      </c>
      <c r="EI148" s="2660">
        <f>Geo!CU$81*0.05</f>
      </c>
      <c r="EJ148" s="2660">
        <f>Geo!CV$81*0.05</f>
      </c>
      <c r="EK148" s="2660">
        <f>Geo!CW$81*0.05</f>
      </c>
      <c r="EL148" s="2660">
        <f>Geo!CX$81*0.05</f>
      </c>
      <c r="EM148" s="2660">
        <f>Geo!CY$81*0.05</f>
      </c>
      <c r="EN148" s="2660">
        <f>Geo!CZ$81*0.05</f>
      </c>
      <c r="EO148" s="2660">
        <f>Geo!DA$81*0.05</f>
      </c>
      <c r="EP148" s="2660">
        <f>Geo!DB$81*0.05</f>
      </c>
      <c r="EQ148" s="2660">
        <f>Geo!DC$81*0.05</f>
      </c>
      <c r="ER148" s="2660">
        <f>Geo!DD$81*0.05</f>
      </c>
      <c r="ES148" s="2660">
        <f>Geo!DE$81*0.05</f>
      </c>
      <c r="ET148" s="2660">
        <f>Geo!DF$81*0.05</f>
      </c>
      <c r="EU148" s="2660">
        <f>Geo!DG$81*0.05</f>
      </c>
      <c r="EV148" s="2660">
        <f>Geo!DH$81*0.05</f>
      </c>
      <c r="EW148" s="2660">
        <f>Geo!DI$81*0.05</f>
      </c>
      <c r="EX148" s="2660">
        <f>Geo!DJ$81*0.05</f>
      </c>
      <c r="EY148" s="2660">
        <f>Geo!DK$81*0.05</f>
      </c>
      <c r="EZ148" s="2660">
        <f>Geo!DL$81*0.05</f>
      </c>
      <c r="FA148" s="2660">
        <f>Geo!DM$81*0.05</f>
      </c>
      <c r="FB148" s="2660">
        <f>Geo!DN$81*0.05</f>
      </c>
      <c r="FC148" s="2660">
        <f>Geo!DO$81*0.05</f>
      </c>
      <c r="FD148" s="2660">
        <f>Geo!DP$81*0.05</f>
      </c>
      <c r="FE148" s="2660">
        <f>Geo!DQ$81*0.05</f>
      </c>
    </row>
    <row r="149" spans="2:161" outlineLevel="2">
      <c r="B149" t="s">
        <v>769</v>
      </c>
      <c r="C149" t="s">
        <v>770</v>
      </c>
      <c r="F149" s="2660"/>
      <c r="G149" s="2660">
        <f>Geo!DS$81*0.05</f>
      </c>
      <c r="H149" s="2660">
        <f>Geo!DT$81*0.05</f>
      </c>
      <c r="I149" s="2660">
        <f>Geo!DU$81*0.05</f>
      </c>
      <c r="J149" s="2660">
        <f>Geo!DV$81*0.05</f>
      </c>
      <c r="K149" s="2660">
        <f>Geo!DW$81*0.05</f>
      </c>
      <c r="L149" s="2660">
        <f>Geo!DX$81*0.05</f>
      </c>
      <c r="M149" s="2660">
        <f>Geo!DY$81*0.05</f>
      </c>
      <c r="N149" s="2660">
        <f>Geo!DZ$81*0.05</f>
      </c>
      <c r="O149" s="2660">
        <f>Geo!EA$81*0.05</f>
      </c>
      <c r="P149" s="2660">
        <f>Geo!EB$81*0.05</f>
      </c>
      <c r="Q149" s="2660">
        <f>Geo!EC$81*0.05</f>
      </c>
      <c r="R149" s="2660">
        <f>Geo!ED$81*0.05</f>
      </c>
      <c r="S149" s="2660">
        <f>Geo!EE$81*0.05</f>
      </c>
      <c r="T149" s="2660">
        <f>Geo!EF$81*0.05</f>
      </c>
      <c r="U149" s="2660">
        <f>Geo!EG$81*0.05</f>
      </c>
      <c r="V149" s="2660">
        <f>Geo!EH$81*0.05</f>
      </c>
      <c r="W149" s="2660">
        <f>Geo!EI$81*0.05</f>
      </c>
      <c r="X149" s="2660">
        <f>Geo!EJ$81*0.05</f>
      </c>
      <c r="Y149" s="2660">
        <f>Geo!EK$81*0.05</f>
      </c>
      <c r="Z149" s="2660">
        <f>Geo!EL$81*0.05</f>
      </c>
      <c r="AA149" s="2660">
        <f>Geo!EM$81*0.05</f>
      </c>
      <c r="AB149" s="2660">
        <f>Geo!EN$81*0.05</f>
      </c>
      <c r="AC149" s="2660">
        <f>Geo!EO$81*0.05</f>
      </c>
      <c r="AD149" s="2660">
        <f>Geo!EP$81*0.05</f>
      </c>
      <c r="AE149" s="2660">
        <f>Geo!EQ$81*0.05</f>
      </c>
      <c r="AF149" s="2660">
        <f>Geo!ER$81*0.05</f>
      </c>
      <c r="AG149" s="2660">
        <f>Geo!ES$81*0.05</f>
      </c>
      <c r="AH149" s="2660">
        <f>Geo!ET$81*0.05</f>
      </c>
      <c r="AI149" s="2660">
        <f>Geo!EU$81*0.05</f>
      </c>
      <c r="AJ149" s="2660">
        <f>Geo!EV$81*0.05</f>
      </c>
      <c r="AK149" s="2660"/>
      <c r="AL149" s="2660"/>
      <c r="AM149" s="2660"/>
      <c r="AN149" s="2660"/>
      <c r="AO149" s="2660"/>
      <c r="AP149" s="2660">
        <f>Geo!B$81*0.05</f>
      </c>
      <c r="AQ149" s="2660">
        <f>Geo!C$81*0.05</f>
      </c>
      <c r="AR149" s="2660">
        <f>Geo!D$81*0.05</f>
      </c>
      <c r="AS149" s="2660">
        <f>Geo!E$81*0.05</f>
      </c>
      <c r="AT149" s="2660">
        <f>Geo!F$81*0.05</f>
      </c>
      <c r="AU149" s="2660">
        <f>Geo!G$81*0.05</f>
      </c>
      <c r="AV149" s="2660">
        <f>Geo!H$81*0.05</f>
      </c>
      <c r="AW149" s="2660">
        <f>Geo!I$81*0.05</f>
      </c>
      <c r="AX149" s="2660">
        <f>Geo!J$81*0.05</f>
      </c>
      <c r="AY149" s="2660">
        <f>Geo!K$81*0.05</f>
      </c>
      <c r="AZ149" s="2660">
        <f>Geo!L$81*0.05</f>
      </c>
      <c r="BA149" s="2660">
        <f>Geo!M$81*0.05</f>
      </c>
      <c r="BB149" s="2660">
        <f>Geo!N$81*0.05</f>
      </c>
      <c r="BC149" s="2660">
        <f>Geo!O$81*0.05</f>
      </c>
      <c r="BD149" s="2660">
        <f>Geo!P$81*0.05</f>
      </c>
      <c r="BE149" s="2660">
        <f>Geo!Q$81*0.05</f>
      </c>
      <c r="BF149" s="2660">
        <f>Geo!R$81*0.05</f>
      </c>
      <c r="BG149" s="2660">
        <f>Geo!S$81*0.05</f>
      </c>
      <c r="BH149" s="2660">
        <f>Geo!T$81*0.05</f>
      </c>
      <c r="BI149" s="2660">
        <f>Geo!U$81*0.05</f>
      </c>
      <c r="BJ149" s="2660">
        <f>Geo!V$81*0.05</f>
      </c>
      <c r="BK149" s="2660">
        <f>Geo!W$81*0.05</f>
      </c>
      <c r="BL149" s="2660">
        <f>Geo!X$81*0.05</f>
      </c>
      <c r="BM149" s="2660">
        <f>Geo!Y$81*0.05</f>
      </c>
      <c r="BN149" s="2660">
        <f>Geo!Z$81*0.05</f>
      </c>
      <c r="BO149" s="2660">
        <f>Geo!AA$81*0.05</f>
      </c>
      <c r="BP149" s="2660">
        <f>Geo!AB$81*0.05</f>
      </c>
      <c r="BQ149" s="2660">
        <f>Geo!AC$81*0.05</f>
      </c>
      <c r="BR149" s="2660">
        <f>Geo!AD$81*0.05</f>
      </c>
      <c r="BS149" s="2660">
        <f>Geo!AE$81*0.05</f>
      </c>
      <c r="BT149" s="2660">
        <f>Geo!AF$81*0.05</f>
      </c>
      <c r="BU149" s="2660">
        <f>Geo!AG$81*0.05</f>
      </c>
      <c r="BV149" s="2660">
        <f>Geo!AH$81*0.05</f>
      </c>
      <c r="BW149" s="2660">
        <f>Geo!AI$81*0.05</f>
      </c>
      <c r="BX149" s="2660">
        <f>Geo!AJ$81*0.05</f>
      </c>
      <c r="BY149" s="2660">
        <f>Geo!AK$81*0.05</f>
      </c>
      <c r="BZ149" s="2660">
        <f>Geo!AL$81*0.05</f>
      </c>
      <c r="CA149" s="2660">
        <f>Geo!AM$81*0.05</f>
      </c>
      <c r="CB149" s="2660">
        <f>Geo!AN$81*0.05</f>
      </c>
      <c r="CC149" s="2660">
        <f>Geo!AO$81*0.05</f>
      </c>
      <c r="CD149" s="2660">
        <f>Geo!AP$81*0.05</f>
      </c>
      <c r="CE149" s="2660">
        <f>Geo!AQ$81*0.05</f>
      </c>
      <c r="CF149" s="2660">
        <f>Geo!AR$81*0.05</f>
      </c>
      <c r="CG149" s="2660">
        <f>Geo!AS$81*0.05</f>
      </c>
      <c r="CH149" s="2660">
        <f>Geo!AT$81*0.05</f>
      </c>
      <c r="CI149" s="2660">
        <f>Geo!AU$81*0.05</f>
      </c>
      <c r="CJ149" s="2660">
        <f>Geo!AV$81*0.05</f>
      </c>
      <c r="CK149" s="2660">
        <f>Geo!AW$81*0.05</f>
      </c>
      <c r="CL149" s="2660">
        <f>Geo!AX$81*0.05</f>
      </c>
      <c r="CM149" s="2660">
        <f>Geo!AY$81*0.05</f>
      </c>
      <c r="CN149" s="2660">
        <f>Geo!AZ$81*0.05</f>
      </c>
      <c r="CO149" s="2660">
        <f>Geo!BA$81*0.05</f>
      </c>
      <c r="CP149" s="2660">
        <f>Geo!BB$81*0.05</f>
      </c>
      <c r="CQ149" s="2660">
        <f>Geo!BC$81*0.05</f>
      </c>
      <c r="CR149" s="2660">
        <f>Geo!BD$81*0.05</f>
      </c>
      <c r="CS149" s="2660">
        <f>Geo!BE$81*0.05</f>
      </c>
      <c r="CT149" s="2660">
        <f>Geo!BF$81*0.05</f>
      </c>
      <c r="CU149" s="2660">
        <f>Geo!BG$81*0.05</f>
      </c>
      <c r="CV149" s="2660">
        <f>Geo!BH$81*0.05</f>
      </c>
      <c r="CW149" s="2660">
        <f>Geo!BI$81*0.05</f>
      </c>
      <c r="CX149" s="2660">
        <f>Geo!BJ$81*0.05</f>
      </c>
      <c r="CY149" s="2660">
        <f>Geo!BK$81*0.05</f>
      </c>
      <c r="CZ149" s="2660">
        <f>Geo!BL$81*0.05</f>
      </c>
      <c r="DA149" s="2660">
        <f>Geo!BM$81*0.05</f>
      </c>
      <c r="DB149" s="2660">
        <f>Geo!BN$81*0.05</f>
      </c>
      <c r="DC149" s="2660">
        <f>Geo!BO$81*0.05</f>
      </c>
      <c r="DD149" s="2660">
        <f>Geo!BP$81*0.05</f>
      </c>
      <c r="DE149" s="2660">
        <f>Geo!BQ$81*0.05</f>
      </c>
      <c r="DF149" s="2660">
        <f>Geo!BR$81*0.05</f>
      </c>
      <c r="DG149" s="2660">
        <f>Geo!BS$81*0.05</f>
      </c>
      <c r="DH149" s="2660">
        <f>Geo!BT$81*0.05</f>
      </c>
      <c r="DI149" s="2660">
        <f>Geo!BU$81*0.05</f>
      </c>
      <c r="DJ149" s="2660">
        <f>Geo!BV$81*0.05</f>
      </c>
      <c r="DK149" s="2660">
        <f>Geo!BW$81*0.05</f>
      </c>
      <c r="DL149" s="2660">
        <f>Geo!BX$81*0.05</f>
      </c>
      <c r="DM149" s="2660">
        <f>Geo!BY$81*0.05</f>
      </c>
      <c r="DN149" s="2660">
        <f>Geo!BZ$81*0.05</f>
      </c>
      <c r="DO149" s="2660">
        <f>Geo!CA$81*0.05</f>
      </c>
      <c r="DP149" s="2660">
        <f>Geo!CB$81*0.05</f>
      </c>
      <c r="DQ149" s="2660">
        <f>Geo!CC$81*0.05</f>
      </c>
      <c r="DR149" s="2660">
        <f>Geo!CD$81*0.05</f>
      </c>
      <c r="DS149" s="2660">
        <f>Geo!CE$81*0.05</f>
      </c>
      <c r="DT149" s="2660">
        <f>Geo!CF$81*0.05</f>
      </c>
      <c r="DU149" s="2660">
        <f>Geo!CG$81*0.05</f>
      </c>
      <c r="DV149" s="2660">
        <f>Geo!CH$81*0.05</f>
      </c>
      <c r="DW149" s="2660">
        <f>Geo!CI$81*0.05</f>
      </c>
      <c r="DX149" s="2660">
        <f>Geo!CJ$81*0.05</f>
      </c>
      <c r="DY149" s="2660">
        <f>Geo!CK$81*0.05</f>
      </c>
      <c r="DZ149" s="2660">
        <f>Geo!CL$81*0.05</f>
      </c>
      <c r="EA149" s="2660">
        <f>Geo!CM$81*0.05</f>
      </c>
      <c r="EB149" s="2660">
        <f>Geo!CN$81*0.05</f>
      </c>
      <c r="EC149" s="2660">
        <f>Geo!CO$81*0.05</f>
      </c>
      <c r="ED149" s="2660">
        <f>Geo!CP$81*0.05</f>
      </c>
      <c r="EE149" s="2660">
        <f>Geo!CQ$81*0.05</f>
      </c>
      <c r="EF149" s="2660">
        <f>Geo!CR$81*0.05</f>
      </c>
      <c r="EG149" s="2660">
        <f>Geo!CS$81*0.05</f>
      </c>
      <c r="EH149" s="2660">
        <f>Geo!CT$81*0.05</f>
      </c>
      <c r="EI149" s="2660">
        <f>Geo!CU$81*0.05</f>
      </c>
      <c r="EJ149" s="2660">
        <f>Geo!CV$81*0.05</f>
      </c>
      <c r="EK149" s="2660">
        <f>Geo!CW$81*0.05</f>
      </c>
      <c r="EL149" s="2660">
        <f>Geo!CX$81*0.05</f>
      </c>
      <c r="EM149" s="2660">
        <f>Geo!CY$81*0.05</f>
      </c>
      <c r="EN149" s="2660">
        <f>Geo!CZ$81*0.05</f>
      </c>
      <c r="EO149" s="2660">
        <f>Geo!DA$81*0.05</f>
      </c>
      <c r="EP149" s="2660">
        <f>Geo!DB$81*0.05</f>
      </c>
      <c r="EQ149" s="2660">
        <f>Geo!DC$81*0.05</f>
      </c>
      <c r="ER149" s="2660">
        <f>Geo!DD$81*0.05</f>
      </c>
      <c r="ES149" s="2660">
        <f>Geo!DE$81*0.05</f>
      </c>
      <c r="ET149" s="2660">
        <f>Geo!DF$81*0.05</f>
      </c>
      <c r="EU149" s="2660">
        <f>Geo!DG$81*0.05</f>
      </c>
      <c r="EV149" s="2660">
        <f>Geo!DH$81*0.05</f>
      </c>
      <c r="EW149" s="2660">
        <f>Geo!DI$81*0.05</f>
      </c>
      <c r="EX149" s="2660">
        <f>Geo!DJ$81*0.05</f>
      </c>
      <c r="EY149" s="2660">
        <f>Geo!DK$81*0.05</f>
      </c>
      <c r="EZ149" s="2660">
        <f>Geo!DL$81*0.05</f>
      </c>
      <c r="FA149" s="2660">
        <f>Geo!DM$81*0.05</f>
      </c>
      <c r="FB149" s="2660">
        <f>Geo!DN$81*0.05</f>
      </c>
      <c r="FC149" s="2660">
        <f>Geo!DO$81*0.05</f>
      </c>
      <c r="FD149" s="2660">
        <f>Geo!DP$81*0.05</f>
      </c>
      <c r="FE149" s="2660">
        <f>Geo!DQ$81*0.05</f>
      </c>
    </row>
    <row r="150" spans="2:161" outlineLevel="2">
      <c r="B150" t="s">
        <v>771</v>
      </c>
      <c r="C150" t="s">
        <v>772</v>
      </c>
      <c r="F150" s="2660"/>
      <c r="G150" s="2660">
        <f>Geo!DS$81*0.05</f>
      </c>
      <c r="H150" s="2660">
        <f>Geo!DT$81*0.05</f>
      </c>
      <c r="I150" s="2660">
        <f>Geo!DU$81*0.05</f>
      </c>
      <c r="J150" s="2660">
        <f>Geo!DV$81*0.05</f>
      </c>
      <c r="K150" s="2660">
        <f>Geo!DW$81*0.05</f>
      </c>
      <c r="L150" s="2660">
        <f>Geo!DX$81*0.05</f>
      </c>
      <c r="M150" s="2660">
        <f>Geo!DY$81*0.05</f>
      </c>
      <c r="N150" s="2660">
        <f>Geo!DZ$81*0.05</f>
      </c>
      <c r="O150" s="2660">
        <f>Geo!EA$81*0.05</f>
      </c>
      <c r="P150" s="2660">
        <f>Geo!EB$81*0.05</f>
      </c>
      <c r="Q150" s="2660">
        <f>Geo!EC$81*0.05</f>
      </c>
      <c r="R150" s="2660">
        <f>Geo!ED$81*0.05</f>
      </c>
      <c r="S150" s="2660">
        <f>Geo!EE$81*0.05</f>
      </c>
      <c r="T150" s="2660">
        <f>Geo!EF$81*0.05</f>
      </c>
      <c r="U150" s="2660">
        <f>Geo!EG$81*0.05</f>
      </c>
      <c r="V150" s="2660">
        <f>Geo!EH$81*0.05</f>
      </c>
      <c r="W150" s="2660">
        <f>Geo!EI$81*0.05</f>
      </c>
      <c r="X150" s="2660">
        <f>Geo!EJ$81*0.05</f>
      </c>
      <c r="Y150" s="2660">
        <f>Geo!EK$81*0.05</f>
      </c>
      <c r="Z150" s="2660">
        <f>Geo!EL$81*0.05</f>
      </c>
      <c r="AA150" s="2660">
        <f>Geo!EM$81*0.05</f>
      </c>
      <c r="AB150" s="2660">
        <f>Geo!EN$81*0.05</f>
      </c>
      <c r="AC150" s="2660">
        <f>Geo!EO$81*0.05</f>
      </c>
      <c r="AD150" s="2660">
        <f>Geo!EP$81*0.05</f>
      </c>
      <c r="AE150" s="2660">
        <f>Geo!EQ$81*0.05</f>
      </c>
      <c r="AF150" s="2660">
        <f>Geo!ER$81*0.05</f>
      </c>
      <c r="AG150" s="2660">
        <f>Geo!ES$81*0.05</f>
      </c>
      <c r="AH150" s="2660">
        <f>Geo!ET$81*0.05</f>
      </c>
      <c r="AI150" s="2660">
        <f>Geo!EU$81*0.05</f>
      </c>
      <c r="AJ150" s="2660">
        <f>Geo!EV$81*0.05</f>
      </c>
      <c r="AK150" s="2660"/>
      <c r="AL150" s="2660"/>
      <c r="AM150" s="2660"/>
      <c r="AN150" s="2660"/>
      <c r="AO150" s="2660"/>
      <c r="AP150" s="2660">
        <f>Geo!B$81*0.05</f>
      </c>
      <c r="AQ150" s="2660">
        <f>Geo!C$81*0.05</f>
      </c>
      <c r="AR150" s="2660">
        <f>Geo!D$81*0.05</f>
      </c>
      <c r="AS150" s="2660">
        <f>Geo!E$81*0.05</f>
      </c>
      <c r="AT150" s="2660">
        <f>Geo!F$81*0.05</f>
      </c>
      <c r="AU150" s="2660">
        <f>Geo!G$81*0.05</f>
      </c>
      <c r="AV150" s="2660">
        <f>Geo!H$81*0.05</f>
      </c>
      <c r="AW150" s="2660">
        <f>Geo!I$81*0.05</f>
      </c>
      <c r="AX150" s="2660">
        <f>Geo!J$81*0.05</f>
      </c>
      <c r="AY150" s="2660">
        <f>Geo!K$81*0.05</f>
      </c>
      <c r="AZ150" s="2660">
        <f>Geo!L$81*0.05</f>
      </c>
      <c r="BA150" s="2660">
        <f>Geo!M$81*0.05</f>
      </c>
      <c r="BB150" s="2660">
        <f>Geo!N$81*0.05</f>
      </c>
      <c r="BC150" s="2660">
        <f>Geo!O$81*0.05</f>
      </c>
      <c r="BD150" s="2660">
        <f>Geo!P$81*0.05</f>
      </c>
      <c r="BE150" s="2660">
        <f>Geo!Q$81*0.05</f>
      </c>
      <c r="BF150" s="2660">
        <f>Geo!R$81*0.05</f>
      </c>
      <c r="BG150" s="2660">
        <f>Geo!S$81*0.05</f>
      </c>
      <c r="BH150" s="2660">
        <f>Geo!T$81*0.05</f>
      </c>
      <c r="BI150" s="2660">
        <f>Geo!U$81*0.05</f>
      </c>
      <c r="BJ150" s="2660">
        <f>Geo!V$81*0.05</f>
      </c>
      <c r="BK150" s="2660">
        <f>Geo!W$81*0.05</f>
      </c>
      <c r="BL150" s="2660">
        <f>Geo!X$81*0.05</f>
      </c>
      <c r="BM150" s="2660">
        <f>Geo!Y$81*0.05</f>
      </c>
      <c r="BN150" s="2660">
        <f>Geo!Z$81*0.05</f>
      </c>
      <c r="BO150" s="2660">
        <f>Geo!AA$81*0.05</f>
      </c>
      <c r="BP150" s="2660">
        <f>Geo!AB$81*0.05</f>
      </c>
      <c r="BQ150" s="2660">
        <f>Geo!AC$81*0.05</f>
      </c>
      <c r="BR150" s="2660">
        <f>Geo!AD$81*0.05</f>
      </c>
      <c r="BS150" s="2660">
        <f>Geo!AE$81*0.05</f>
      </c>
      <c r="BT150" s="2660">
        <f>Geo!AF$81*0.05</f>
      </c>
      <c r="BU150" s="2660">
        <f>Geo!AG$81*0.05</f>
      </c>
      <c r="BV150" s="2660">
        <f>Geo!AH$81*0.05</f>
      </c>
      <c r="BW150" s="2660">
        <f>Geo!AI$81*0.05</f>
      </c>
      <c r="BX150" s="2660">
        <f>Geo!AJ$81*0.05</f>
      </c>
      <c r="BY150" s="2660">
        <f>Geo!AK$81*0.05</f>
      </c>
      <c r="BZ150" s="2660">
        <f>Geo!AL$81*0.05</f>
      </c>
      <c r="CA150" s="2660">
        <f>Geo!AM$81*0.05</f>
      </c>
      <c r="CB150" s="2660">
        <f>Geo!AN$81*0.05</f>
      </c>
      <c r="CC150" s="2660">
        <f>Geo!AO$81*0.05</f>
      </c>
      <c r="CD150" s="2660">
        <f>Geo!AP$81*0.05</f>
      </c>
      <c r="CE150" s="2660">
        <f>Geo!AQ$81*0.05</f>
      </c>
      <c r="CF150" s="2660">
        <f>Geo!AR$81*0.05</f>
      </c>
      <c r="CG150" s="2660">
        <f>Geo!AS$81*0.05</f>
      </c>
      <c r="CH150" s="2660">
        <f>Geo!AT$81*0.05</f>
      </c>
      <c r="CI150" s="2660">
        <f>Geo!AU$81*0.05</f>
      </c>
      <c r="CJ150" s="2660">
        <f>Geo!AV$81*0.05</f>
      </c>
      <c r="CK150" s="2660">
        <f>Geo!AW$81*0.05</f>
      </c>
      <c r="CL150" s="2660">
        <f>Geo!AX$81*0.05</f>
      </c>
      <c r="CM150" s="2660">
        <f>Geo!AY$81*0.05</f>
      </c>
      <c r="CN150" s="2660">
        <f>Geo!AZ$81*0.05</f>
      </c>
      <c r="CO150" s="2660">
        <f>Geo!BA$81*0.05</f>
      </c>
      <c r="CP150" s="2660">
        <f>Geo!BB$81*0.05</f>
      </c>
      <c r="CQ150" s="2660">
        <f>Geo!BC$81*0.05</f>
      </c>
      <c r="CR150" s="2660">
        <f>Geo!BD$81*0.05</f>
      </c>
      <c r="CS150" s="2660">
        <f>Geo!BE$81*0.05</f>
      </c>
      <c r="CT150" s="2660">
        <f>Geo!BF$81*0.05</f>
      </c>
      <c r="CU150" s="2660">
        <f>Geo!BG$81*0.05</f>
      </c>
      <c r="CV150" s="2660">
        <f>Geo!BH$81*0.05</f>
      </c>
      <c r="CW150" s="2660">
        <f>Geo!BI$81*0.05</f>
      </c>
      <c r="CX150" s="2660">
        <f>Geo!BJ$81*0.05</f>
      </c>
      <c r="CY150" s="2660">
        <f>Geo!BK$81*0.05</f>
      </c>
      <c r="CZ150" s="2660">
        <f>Geo!BL$81*0.05</f>
      </c>
      <c r="DA150" s="2660">
        <f>Geo!BM$81*0.05</f>
      </c>
      <c r="DB150" s="2660">
        <f>Geo!BN$81*0.05</f>
      </c>
      <c r="DC150" s="2660">
        <f>Geo!BO$81*0.05</f>
      </c>
      <c r="DD150" s="2660">
        <f>Geo!BP$81*0.05</f>
      </c>
      <c r="DE150" s="2660">
        <f>Geo!BQ$81*0.05</f>
      </c>
      <c r="DF150" s="2660">
        <f>Geo!BR$81*0.05</f>
      </c>
      <c r="DG150" s="2660">
        <f>Geo!BS$81*0.05</f>
      </c>
      <c r="DH150" s="2660">
        <f>Geo!BT$81*0.05</f>
      </c>
      <c r="DI150" s="2660">
        <f>Geo!BU$81*0.05</f>
      </c>
      <c r="DJ150" s="2660">
        <f>Geo!BV$81*0.05</f>
      </c>
      <c r="DK150" s="2660">
        <f>Geo!BW$81*0.05</f>
      </c>
      <c r="DL150" s="2660">
        <f>Geo!BX$81*0.05</f>
      </c>
      <c r="DM150" s="2660">
        <f>Geo!BY$81*0.05</f>
      </c>
      <c r="DN150" s="2660">
        <f>Geo!BZ$81*0.05</f>
      </c>
      <c r="DO150" s="2660">
        <f>Geo!CA$81*0.05</f>
      </c>
      <c r="DP150" s="2660">
        <f>Geo!CB$81*0.05</f>
      </c>
      <c r="DQ150" s="2660">
        <f>Geo!CC$81*0.05</f>
      </c>
      <c r="DR150" s="2660">
        <f>Geo!CD$81*0.05</f>
      </c>
      <c r="DS150" s="2660">
        <f>Geo!CE$81*0.05</f>
      </c>
      <c r="DT150" s="2660">
        <f>Geo!CF$81*0.05</f>
      </c>
      <c r="DU150" s="2660">
        <f>Geo!CG$81*0.05</f>
      </c>
      <c r="DV150" s="2660">
        <f>Geo!CH$81*0.05</f>
      </c>
      <c r="DW150" s="2660">
        <f>Geo!CI$81*0.05</f>
      </c>
      <c r="DX150" s="2660">
        <f>Geo!CJ$81*0.05</f>
      </c>
      <c r="DY150" s="2660">
        <f>Geo!CK$81*0.05</f>
      </c>
      <c r="DZ150" s="2660">
        <f>Geo!CL$81*0.05</f>
      </c>
      <c r="EA150" s="2660">
        <f>Geo!CM$81*0.05</f>
      </c>
      <c r="EB150" s="2660">
        <f>Geo!CN$81*0.05</f>
      </c>
      <c r="EC150" s="2660">
        <f>Geo!CO$81*0.05</f>
      </c>
      <c r="ED150" s="2660">
        <f>Geo!CP$81*0.05</f>
      </c>
      <c r="EE150" s="2660">
        <f>Geo!CQ$81*0.05</f>
      </c>
      <c r="EF150" s="2660">
        <f>Geo!CR$81*0.05</f>
      </c>
      <c r="EG150" s="2660">
        <f>Geo!CS$81*0.05</f>
      </c>
      <c r="EH150" s="2660">
        <f>Geo!CT$81*0.05</f>
      </c>
      <c r="EI150" s="2660">
        <f>Geo!CU$81*0.05</f>
      </c>
      <c r="EJ150" s="2660">
        <f>Geo!CV$81*0.05</f>
      </c>
      <c r="EK150" s="2660">
        <f>Geo!CW$81*0.05</f>
      </c>
      <c r="EL150" s="2660">
        <f>Geo!CX$81*0.05</f>
      </c>
      <c r="EM150" s="2660">
        <f>Geo!CY$81*0.05</f>
      </c>
      <c r="EN150" s="2660">
        <f>Geo!CZ$81*0.05</f>
      </c>
      <c r="EO150" s="2660">
        <f>Geo!DA$81*0.05</f>
      </c>
      <c r="EP150" s="2660">
        <f>Geo!DB$81*0.05</f>
      </c>
      <c r="EQ150" s="2660">
        <f>Geo!DC$81*0.05</f>
      </c>
      <c r="ER150" s="2660">
        <f>Geo!DD$81*0.05</f>
      </c>
      <c r="ES150" s="2660">
        <f>Geo!DE$81*0.05</f>
      </c>
      <c r="ET150" s="2660">
        <f>Geo!DF$81*0.05</f>
      </c>
      <c r="EU150" s="2660">
        <f>Geo!DG$81*0.05</f>
      </c>
      <c r="EV150" s="2660">
        <f>Geo!DH$81*0.05</f>
      </c>
      <c r="EW150" s="2660">
        <f>Geo!DI$81*0.05</f>
      </c>
      <c r="EX150" s="2660">
        <f>Geo!DJ$81*0.05</f>
      </c>
      <c r="EY150" s="2660">
        <f>Geo!DK$81*0.05</f>
      </c>
      <c r="EZ150" s="2660">
        <f>Geo!DL$81*0.05</f>
      </c>
      <c r="FA150" s="2660">
        <f>Geo!DM$81*0.05</f>
      </c>
      <c r="FB150" s="2660">
        <f>Geo!DN$81*0.05</f>
      </c>
      <c r="FC150" s="2660">
        <f>Geo!DO$81*0.05</f>
      </c>
      <c r="FD150" s="2660">
        <f>Geo!DP$81*0.05</f>
      </c>
      <c r="FE150" s="2660">
        <f>Geo!DQ$81*0.05</f>
      </c>
    </row>
    <row r="151" spans="2:161" outlineLevel="2">
      <c r="B151" t="s">
        <v>457</v>
      </c>
      <c r="C151" t="s">
        <v>458</v>
      </c>
      <c r="F151" s="2660"/>
      <c r="G151" s="2660">
        <f>Geo!DS$81*0.1</f>
      </c>
      <c r="H151" s="2660">
        <f>Geo!DT$81*0.1</f>
      </c>
      <c r="I151" s="2660">
        <f>Geo!DU$81*0.1</f>
      </c>
      <c r="J151" s="2660">
        <f>Geo!DV$81*0.1</f>
      </c>
      <c r="K151" s="2660">
        <f>Geo!DW$81*0.1</f>
      </c>
      <c r="L151" s="2660">
        <f>Geo!DX$81*0.1</f>
      </c>
      <c r="M151" s="2660">
        <f>Geo!DY$81*0.1</f>
      </c>
      <c r="N151" s="2660">
        <f>Geo!DZ$81*0.1</f>
      </c>
      <c r="O151" s="2660">
        <f>Geo!EA$81*0.1</f>
      </c>
      <c r="P151" s="2660">
        <f>Geo!EB$81*0.1</f>
      </c>
      <c r="Q151" s="2660">
        <f>Geo!EC$81*0.1</f>
      </c>
      <c r="R151" s="2660">
        <f>Geo!ED$81*0.1</f>
      </c>
      <c r="S151" s="2660">
        <f>Geo!EE$81*0.1</f>
      </c>
      <c r="T151" s="2660">
        <f>Geo!EF$81*0.1</f>
      </c>
      <c r="U151" s="2660">
        <f>Geo!EG$81*0.1</f>
      </c>
      <c r="V151" s="2660">
        <f>Geo!EH$81*0.1</f>
      </c>
      <c r="W151" s="2660">
        <f>Geo!EI$81*0.1</f>
      </c>
      <c r="X151" s="2660">
        <f>Geo!EJ$81*0.1</f>
      </c>
      <c r="Y151" s="2660">
        <f>Geo!EK$81*0.1</f>
      </c>
      <c r="Z151" s="2660">
        <f>Geo!EL$81*0.1</f>
      </c>
      <c r="AA151" s="2660">
        <f>Geo!EM$81*0.1</f>
      </c>
      <c r="AB151" s="2660">
        <f>Geo!EN$81*0.1</f>
      </c>
      <c r="AC151" s="2660">
        <f>Geo!EO$81*0.1</f>
      </c>
      <c r="AD151" s="2660">
        <f>Geo!EP$81*0.1</f>
      </c>
      <c r="AE151" s="2660">
        <f>Geo!EQ$81*0.1</f>
      </c>
      <c r="AF151" s="2660">
        <f>Geo!ER$81*0.1</f>
      </c>
      <c r="AG151" s="2660">
        <f>Geo!ES$81*0.1</f>
      </c>
      <c r="AH151" s="2660">
        <f>Geo!ET$81*0.1</f>
      </c>
      <c r="AI151" s="2660">
        <f>Geo!EU$81*0.1</f>
      </c>
      <c r="AJ151" s="2660">
        <f>Geo!EV$81*0.1</f>
      </c>
      <c r="AK151" s="2660"/>
      <c r="AL151" s="2660"/>
      <c r="AM151" s="2660"/>
      <c r="AN151" s="2660"/>
      <c r="AO151" s="2660"/>
      <c r="AP151" s="2660">
        <f>Geo!B$81*0.1</f>
      </c>
      <c r="AQ151" s="2660">
        <f>Geo!C$81*0.1</f>
      </c>
      <c r="AR151" s="2660">
        <f>Geo!D$81*0.1</f>
      </c>
      <c r="AS151" s="2660">
        <f>Geo!E$81*0.1</f>
      </c>
      <c r="AT151" s="2660">
        <f>Geo!F$81*0.1</f>
      </c>
      <c r="AU151" s="2660">
        <f>Geo!G$81*0.1</f>
      </c>
      <c r="AV151" s="2660">
        <f>Geo!H$81*0.1</f>
      </c>
      <c r="AW151" s="2660">
        <f>Geo!I$81*0.1</f>
      </c>
      <c r="AX151" s="2660">
        <f>Geo!J$81*0.1</f>
      </c>
      <c r="AY151" s="2660">
        <f>Geo!K$81*0.1</f>
      </c>
      <c r="AZ151" s="2660">
        <f>Geo!L$81*0.1</f>
      </c>
      <c r="BA151" s="2660">
        <f>Geo!M$81*0.1</f>
      </c>
      <c r="BB151" s="2660">
        <f>Geo!N$81*0.1</f>
      </c>
      <c r="BC151" s="2660">
        <f>Geo!O$81*0.1</f>
      </c>
      <c r="BD151" s="2660">
        <f>Geo!P$81*0.1</f>
      </c>
      <c r="BE151" s="2660">
        <f>Geo!Q$81*0.1</f>
      </c>
      <c r="BF151" s="2660">
        <f>Geo!R$81*0.1</f>
      </c>
      <c r="BG151" s="2660">
        <f>Geo!S$81*0.1</f>
      </c>
      <c r="BH151" s="2660">
        <f>Geo!T$81*0.1</f>
      </c>
      <c r="BI151" s="2660">
        <f>Geo!U$81*0.1</f>
      </c>
      <c r="BJ151" s="2660">
        <f>Geo!V$81*0.1</f>
      </c>
      <c r="BK151" s="2660">
        <f>Geo!W$81*0.1</f>
      </c>
      <c r="BL151" s="2660">
        <f>Geo!X$81*0.1</f>
      </c>
      <c r="BM151" s="2660">
        <f>Geo!Y$81*0.1</f>
      </c>
      <c r="BN151" s="2660">
        <f>Geo!Z$81*0.1</f>
      </c>
      <c r="BO151" s="2660">
        <f>Geo!AA$81*0.1</f>
      </c>
      <c r="BP151" s="2660">
        <f>Geo!AB$81*0.1</f>
      </c>
      <c r="BQ151" s="2660">
        <f>Geo!AC$81*0.1</f>
      </c>
      <c r="BR151" s="2660">
        <f>Geo!AD$81*0.1</f>
      </c>
      <c r="BS151" s="2660">
        <f>Geo!AE$81*0.1</f>
      </c>
      <c r="BT151" s="2660">
        <f>Geo!AF$81*0.1</f>
      </c>
      <c r="BU151" s="2660">
        <f>Geo!AG$81*0.1</f>
      </c>
      <c r="BV151" s="2660">
        <f>Geo!AH$81*0.1</f>
      </c>
      <c r="BW151" s="2660">
        <f>Geo!AI$81*0.1</f>
      </c>
      <c r="BX151" s="2660">
        <f>Geo!AJ$81*0.1</f>
      </c>
      <c r="BY151" s="2660">
        <f>Geo!AK$81*0.1</f>
      </c>
      <c r="BZ151" s="2660">
        <f>Geo!AL$81*0.1</f>
      </c>
      <c r="CA151" s="2660">
        <f>Geo!AM$81*0.1</f>
      </c>
      <c r="CB151" s="2660">
        <f>Geo!AN$81*0.1</f>
      </c>
      <c r="CC151" s="2660">
        <f>Geo!AO$81*0.1</f>
      </c>
      <c r="CD151" s="2660">
        <f>Geo!AP$81*0.1</f>
      </c>
      <c r="CE151" s="2660">
        <f>Geo!AQ$81*0.1</f>
      </c>
      <c r="CF151" s="2660">
        <f>Geo!AR$81*0.1</f>
      </c>
      <c r="CG151" s="2660">
        <f>Geo!AS$81*0.1</f>
      </c>
      <c r="CH151" s="2660">
        <f>Geo!AT$81*0.1</f>
      </c>
      <c r="CI151" s="2660">
        <f>Geo!AU$81*0.1</f>
      </c>
      <c r="CJ151" s="2660">
        <f>Geo!AV$81*0.1</f>
      </c>
      <c r="CK151" s="2660">
        <f>Geo!AW$81*0.1</f>
      </c>
      <c r="CL151" s="2660">
        <f>Geo!AX$81*0.1</f>
      </c>
      <c r="CM151" s="2660">
        <f>Geo!AY$81*0.1</f>
      </c>
      <c r="CN151" s="2660">
        <f>Geo!AZ$81*0.1</f>
      </c>
      <c r="CO151" s="2660">
        <f>Geo!BA$81*0.1</f>
      </c>
      <c r="CP151" s="2660">
        <f>Geo!BB$81*0.1</f>
      </c>
      <c r="CQ151" s="2660">
        <f>Geo!BC$81*0.1</f>
      </c>
      <c r="CR151" s="2660">
        <f>Geo!BD$81*0.1</f>
      </c>
      <c r="CS151" s="2660">
        <f>Geo!BE$81*0.1</f>
      </c>
      <c r="CT151" s="2660">
        <f>Geo!BF$81*0.1</f>
      </c>
      <c r="CU151" s="2660">
        <f>Geo!BG$81*0.1</f>
      </c>
      <c r="CV151" s="2660">
        <f>Geo!BH$81*0.1</f>
      </c>
      <c r="CW151" s="2660">
        <f>Geo!BI$81*0.1</f>
      </c>
      <c r="CX151" s="2660">
        <f>Geo!BJ$81*0.1</f>
      </c>
      <c r="CY151" s="2660">
        <f>Geo!BK$81*0.1</f>
      </c>
      <c r="CZ151" s="2660">
        <f>Geo!BL$81*0.1</f>
      </c>
      <c r="DA151" s="2660">
        <f>Geo!BM$81*0.1</f>
      </c>
      <c r="DB151" s="2660">
        <f>Geo!BN$81*0.1</f>
      </c>
      <c r="DC151" s="2660">
        <f>Geo!BO$81*0.1</f>
      </c>
      <c r="DD151" s="2660">
        <f>Geo!BP$81*0.1</f>
      </c>
      <c r="DE151" s="2660">
        <f>Geo!BQ$81*0.1</f>
      </c>
      <c r="DF151" s="2660">
        <f>Geo!BR$81*0.1</f>
      </c>
      <c r="DG151" s="2660">
        <f>Geo!BS$81*0.1</f>
      </c>
      <c r="DH151" s="2660">
        <f>Geo!BT$81*0.1</f>
      </c>
      <c r="DI151" s="2660">
        <f>Geo!BU$81*0.1</f>
      </c>
      <c r="DJ151" s="2660">
        <f>Geo!BV$81*0.1</f>
      </c>
      <c r="DK151" s="2660">
        <f>Geo!BW$81*0.1</f>
      </c>
      <c r="DL151" s="2660">
        <f>Geo!BX$81*0.1</f>
      </c>
      <c r="DM151" s="2660">
        <f>Geo!BY$81*0.1</f>
      </c>
      <c r="DN151" s="2660">
        <f>Geo!BZ$81*0.1</f>
      </c>
      <c r="DO151" s="2660">
        <f>Geo!CA$81*0.1</f>
      </c>
      <c r="DP151" s="2660">
        <f>Geo!CB$81*0.1</f>
      </c>
      <c r="DQ151" s="2660">
        <f>Geo!CC$81*0.1</f>
      </c>
      <c r="DR151" s="2660">
        <f>Geo!CD$81*0.1</f>
      </c>
      <c r="DS151" s="2660">
        <f>Geo!CE$81*0.1</f>
      </c>
      <c r="DT151" s="2660">
        <f>Geo!CF$81*0.1</f>
      </c>
      <c r="DU151" s="2660">
        <f>Geo!CG$81*0.1</f>
      </c>
      <c r="DV151" s="2660">
        <f>Geo!CH$81*0.1</f>
      </c>
      <c r="DW151" s="2660">
        <f>Geo!CI$81*0.1</f>
      </c>
      <c r="DX151" s="2660">
        <f>Geo!CJ$81*0.1</f>
      </c>
      <c r="DY151" s="2660">
        <f>Geo!CK$81*0.1</f>
      </c>
      <c r="DZ151" s="2660">
        <f>Geo!CL$81*0.1</f>
      </c>
      <c r="EA151" s="2660">
        <f>Geo!CM$81*0.1</f>
      </c>
      <c r="EB151" s="2660">
        <f>Geo!CN$81*0.1</f>
      </c>
      <c r="EC151" s="2660">
        <f>Geo!CO$81*0.1</f>
      </c>
      <c r="ED151" s="2660">
        <f>Geo!CP$81*0.1</f>
      </c>
      <c r="EE151" s="2660">
        <f>Geo!CQ$81*0.1</f>
      </c>
      <c r="EF151" s="2660">
        <f>Geo!CR$81*0.1</f>
      </c>
      <c r="EG151" s="2660">
        <f>Geo!CS$81*0.1</f>
      </c>
      <c r="EH151" s="2660">
        <f>Geo!CT$81*0.1</f>
      </c>
      <c r="EI151" s="2660">
        <f>Geo!CU$81*0.1</f>
      </c>
      <c r="EJ151" s="2660">
        <f>Geo!CV$81*0.1</f>
      </c>
      <c r="EK151" s="2660">
        <f>Geo!CW$81*0.1</f>
      </c>
      <c r="EL151" s="2660">
        <f>Geo!CX$81*0.1</f>
      </c>
      <c r="EM151" s="2660">
        <f>Geo!CY$81*0.1</f>
      </c>
      <c r="EN151" s="2660">
        <f>Geo!CZ$81*0.1</f>
      </c>
      <c r="EO151" s="2660">
        <f>Geo!DA$81*0.1</f>
      </c>
      <c r="EP151" s="2660">
        <f>Geo!DB$81*0.1</f>
      </c>
      <c r="EQ151" s="2660">
        <f>Geo!DC$81*0.1</f>
      </c>
      <c r="ER151" s="2660">
        <f>Geo!DD$81*0.1</f>
      </c>
      <c r="ES151" s="2660">
        <f>Geo!DE$81*0.1</f>
      </c>
      <c r="ET151" s="2660">
        <f>Geo!DF$81*0.1</f>
      </c>
      <c r="EU151" s="2660">
        <f>Geo!DG$81*0.1</f>
      </c>
      <c r="EV151" s="2660">
        <f>Geo!DH$81*0.1</f>
      </c>
      <c r="EW151" s="2660">
        <f>Geo!DI$81*0.1</f>
      </c>
      <c r="EX151" s="2660">
        <f>Geo!DJ$81*0.1</f>
      </c>
      <c r="EY151" s="2660">
        <f>Geo!DK$81*0.1</f>
      </c>
      <c r="EZ151" s="2660">
        <f>Geo!DL$81*0.1</f>
      </c>
      <c r="FA151" s="2660">
        <f>Geo!DM$81*0.1</f>
      </c>
      <c r="FB151" s="2660">
        <f>Geo!DN$81*0.1</f>
      </c>
      <c r="FC151" s="2660">
        <f>Geo!DO$81*0.1</f>
      </c>
      <c r="FD151" s="2660">
        <f>Geo!DP$81*0.1</f>
      </c>
      <c r="FE151" s="2660">
        <f>Geo!DQ$81*0.1</f>
      </c>
    </row>
    <row r="152" spans="2:161" outlineLevel="2">
      <c r="B152" t="s">
        <v>773</v>
      </c>
      <c r="C152" t="s">
        <v>774</v>
      </c>
      <c r="F152" s="2660"/>
      <c r="G152" s="2660">
        <f>Geo!DS$81-G138-G139-G140-G141-G142-G143-G144-G145-G153-G146-G147-G148-G149-G150-G151-G154</f>
      </c>
      <c r="H152" s="2660">
        <f>Geo!DT$81-H138-H139-H140-H141-H142-H143-H144-H145-H153-H146-H147-H148-H149-H150-H151-H154</f>
      </c>
      <c r="I152" s="2660">
        <f>Geo!DU$81-I138-I139-I140-I141-I142-I143-I144-I145-I153-I146-I147-I148-I149-I150-I151-I154</f>
      </c>
      <c r="J152" s="2660">
        <f>Geo!DV$81-J138-J139-J140-J141-J142-J143-J144-J145-J153-J146-J147-J148-J149-J150-J151-J154</f>
      </c>
      <c r="K152" s="2660">
        <f>Geo!DW$81-K138-K139-K140-K141-K142-K143-K144-K145-K153-K146-K147-K148-K149-K150-K151-K154</f>
      </c>
      <c r="L152" s="2660">
        <f>Geo!DX$81-L138-L139-L140-L141-L142-L143-L144-L145-L153-L146-L147-L148-L149-L150-L151-L154</f>
      </c>
      <c r="M152" s="2660">
        <f>Geo!DY$81-M138-M139-M140-M141-M142-M143-M144-M145-M153-M146-M147-M148-M149-M150-M151-M154</f>
      </c>
      <c r="N152" s="2660">
        <f>Geo!DZ$81-N138-N139-N140-N141-N142-N143-N144-N145-N153-N146-N147-N148-N149-N150-N151-N154</f>
      </c>
      <c r="O152" s="2660">
        <f>Geo!EA$81-O138-O139-O140-O141-O142-O143-O144-O145-O153-O146-O147-O148-O149-O150-O151-O154</f>
      </c>
      <c r="P152" s="2660">
        <f>Geo!EB$81-P138-P139-P140-P141-P142-P143-P144-P145-P153-P146-P147-P148-P149-P150-P151-P154</f>
      </c>
      <c r="Q152" s="2660">
        <f>Geo!EC$81-Q138-Q139-Q140-Q141-Q142-Q143-Q144-Q145-Q153-Q146-Q147-Q148-Q149-Q150-Q151-Q154</f>
      </c>
      <c r="R152" s="2660">
        <f>Geo!ED$81-R138-R139-R140-R141-R142-R143-R144-R145-R153-R146-R147-R148-R149-R150-R151-R154</f>
      </c>
      <c r="S152" s="2660">
        <f>Geo!EE$81-S138-S139-S140-S141-S142-S143-S144-S145-S153-S146-S147-S148-S149-S150-S151-S154</f>
      </c>
      <c r="T152" s="2660">
        <f>Geo!EF$81-T138-T139-T140-T141-T142-T143-T144-T145-T153-T146-T147-T148-T149-T150-T151-T154</f>
      </c>
      <c r="U152" s="2660">
        <f>Geo!EG$81-U138-U139-U140-U141-U142-U143-U144-U145-U153-U146-U147-U148-U149-U150-U151-U154</f>
      </c>
      <c r="V152" s="2660">
        <f>Geo!EH$81-V138-V139-V140-V141-V142-V143-V144-V145-V153-V146-V147-V148-V149-V150-V151-V154</f>
      </c>
      <c r="W152" s="2660">
        <f>Geo!EI$81-W138-W139-W140-W141-W142-W143-W144-W145-W153-W146-W147-W148-W149-W150-W151-W154</f>
      </c>
      <c r="X152" s="2660">
        <f>Geo!EJ$81-X138-X139-X140-X141-X142-X143-X144-X145-X153-X146-X147-X148-X149-X150-X151-X154</f>
      </c>
      <c r="Y152" s="2660">
        <f>Geo!EK$81-Y138-Y139-Y140-Y141-Y142-Y143-Y144-Y145-Y153-Y146-Y147-Y148-Y149-Y150-Y151-Y154</f>
      </c>
      <c r="Z152" s="2660">
        <f>Geo!EL$81-Z138-Z139-Z140-Z141-Z142-Z143-Z144-Z145-Z153-Z146-Z147-Z148-Z149-Z150-Z151-Z154</f>
      </c>
      <c r="AA152" s="2660">
        <f>Geo!EM$81-AA138-AA139-AA140-AA141-AA142-AA143-AA144-AA145-AA153-AA146-AA147-AA148-AA149-AA150-AA151-AA154</f>
      </c>
      <c r="AB152" s="2660">
        <f>Geo!EN$81-AB138-AB139-AB140-AB141-AB142-AB143-AB144-AB145-AB153-AB146-AB147-AB148-AB149-AB150-AB151-AB154</f>
      </c>
      <c r="AC152" s="2660">
        <f>Geo!EO$81-AC138-AC139-AC140-AC141-AC142-AC143-AC144-AC145-AC153-AC146-AC147-AC148-AC149-AC150-AC151-AC154</f>
      </c>
      <c r="AD152" s="2660">
        <f>Geo!EP$81-AD138-AD139-AD140-AD141-AD142-AD143-AD144-AD145-AD153-AD146-AD147-AD148-AD149-AD150-AD151-AD154</f>
      </c>
      <c r="AE152" s="2660">
        <f>Geo!EQ$81-AE138-AE139-AE140-AE141-AE142-AE143-AE144-AE145-AE153-AE146-AE147-AE148-AE149-AE150-AE151-AE154</f>
      </c>
      <c r="AF152" s="2660">
        <f>Geo!ER$81-AF138-AF139-AF140-AF141-AF142-AF143-AF144-AF145-AF153-AF146-AF147-AF148-AF149-AF150-AF151-AF154</f>
      </c>
      <c r="AG152" s="2660">
        <f>Geo!ES$81-AG138-AG139-AG140-AG141-AG142-AG143-AG144-AG145-AG153-AG146-AG147-AG148-AG149-AG150-AG151-AG154</f>
      </c>
      <c r="AH152" s="2660">
        <f>Geo!ET$81-AH138-AH139-AH140-AH141-AH142-AH143-AH144-AH145-AH153-AH146-AH147-AH148-AH149-AH150-AH151-AH154</f>
      </c>
      <c r="AI152" s="2660">
        <f>Geo!EU$81-AI138-AI139-AI140-AI141-AI142-AI143-AI144-AI145-AI153-AI146-AI147-AI148-AI149-AI150-AI151-AI154</f>
      </c>
      <c r="AJ152" s="2660">
        <f>Geo!EV$81-AJ138-AJ139-AJ140-AJ141-AJ142-AJ143-AJ144-AJ145-AJ153-AJ146-AJ147-AJ148-AJ149-AJ150-AJ151-AJ154</f>
      </c>
      <c r="AK152" s="2660"/>
      <c r="AL152" s="2660"/>
      <c r="AM152" s="2660"/>
      <c r="AN152" s="2660"/>
      <c r="AO152" s="2660"/>
      <c r="AP152" s="2660">
        <f>Geo!B$81-AP138-AP139-AP140-AP141-AP142-AP143-AP144-AP145-AP153-AP146-AP147-AP148-AP149-AP150-AP151-AP154</f>
      </c>
      <c r="AQ152" s="2660">
        <f>Geo!C$81-AQ138-AQ139-AQ140-AQ141-AQ142-AQ143-AQ144-AQ145-AQ153-AQ146-AQ147-AQ148-AQ149-AQ150-AQ151-AQ154</f>
      </c>
      <c r="AR152" s="2660">
        <f>Geo!D$81-AR138-AR139-AR140-AR141-AR142-AR143-AR144-AR145-AR153-AR146-AR147-AR148-AR149-AR150-AR151-AR154</f>
      </c>
      <c r="AS152" s="2660">
        <f>Geo!E$81-AS138-AS139-AS140-AS141-AS142-AS143-AS144-AS145-AS153-AS146-AS147-AS148-AS149-AS150-AS151-AS154</f>
      </c>
      <c r="AT152" s="2660">
        <f>Geo!F$81-AT138-AT139-AT140-AT141-AT142-AT143-AT144-AT145-AT153-AT146-AT147-AT148-AT149-AT150-AT151-AT154</f>
      </c>
      <c r="AU152" s="2660">
        <f>Geo!G$81-AU138-AU139-AU140-AU141-AU142-AU143-AU144-AU145-AU153-AU146-AU147-AU148-AU149-AU150-AU151-AU154</f>
      </c>
      <c r="AV152" s="2660">
        <f>Geo!H$81-AV138-AV139-AV140-AV141-AV142-AV143-AV144-AV145-AV153-AV146-AV147-AV148-AV149-AV150-AV151-AV154</f>
      </c>
      <c r="AW152" s="2660">
        <f>Geo!I$81-AW138-AW139-AW140-AW141-AW142-AW143-AW144-AW145-AW153-AW146-AW147-AW148-AW149-AW150-AW151-AW154</f>
      </c>
      <c r="AX152" s="2660">
        <f>Geo!J$81-AX138-AX139-AX140-AX141-AX142-AX143-AX144-AX145-AX153-AX146-AX147-AX148-AX149-AX150-AX151-AX154</f>
      </c>
      <c r="AY152" s="2660">
        <f>Geo!K$81-AY138-AY139-AY140-AY141-AY142-AY143-AY144-AY145-AY153-AY146-AY147-AY148-AY149-AY150-AY151-AY154</f>
      </c>
      <c r="AZ152" s="2660">
        <f>Geo!L$81-AZ138-AZ139-AZ140-AZ141-AZ142-AZ143-AZ144-AZ145-AZ153-AZ146-AZ147-AZ148-AZ149-AZ150-AZ151-AZ154</f>
      </c>
      <c r="BA152" s="2660">
        <f>Geo!M$81-BA138-BA139-BA140-BA141-BA142-BA143-BA144-BA145-BA153-BA146-BA147-BA148-BA149-BA150-BA151-BA154</f>
      </c>
      <c r="BB152" s="2660">
        <f>Geo!N$81-BB138-BB139-BB140-BB141-BB142-BB143-BB144-BB145-BB153-BB146-BB147-BB148-BB149-BB150-BB151-BB154</f>
      </c>
      <c r="BC152" s="2660">
        <f>Geo!O$81-BC138-BC139-BC140-BC141-BC142-BC143-BC144-BC145-BC153-BC146-BC147-BC148-BC149-BC150-BC151-BC154</f>
      </c>
      <c r="BD152" s="2660">
        <f>Geo!P$81-BD138-BD139-BD140-BD141-BD142-BD143-BD144-BD145-BD153-BD146-BD147-BD148-BD149-BD150-BD151-BD154</f>
      </c>
      <c r="BE152" s="2660">
        <f>Geo!Q$81-BE138-BE139-BE140-BE141-BE142-BE143-BE144-BE145-BE153-BE146-BE147-BE148-BE149-BE150-BE151-BE154</f>
      </c>
      <c r="BF152" s="2660">
        <f>Geo!R$81-BF138-BF139-BF140-BF141-BF142-BF143-BF144-BF145-BF153-BF146-BF147-BF148-BF149-BF150-BF151-BF154</f>
      </c>
      <c r="BG152" s="2660">
        <f>Geo!S$81-BG138-BG139-BG140-BG141-BG142-BG143-BG144-BG145-BG153-BG146-BG147-BG148-BG149-BG150-BG151-BG154</f>
      </c>
      <c r="BH152" s="2660">
        <f>Geo!T$81-BH138-BH139-BH140-BH141-BH142-BH143-BH144-BH145-BH153-BH146-BH147-BH148-BH149-BH150-BH151-BH154</f>
      </c>
      <c r="BI152" s="2660">
        <f>Geo!U$81-BI138-BI139-BI140-BI141-BI142-BI143-BI144-BI145-BI153-BI146-BI147-BI148-BI149-BI150-BI151-BI154</f>
      </c>
      <c r="BJ152" s="2660">
        <f>Geo!V$81-BJ138-BJ139-BJ140-BJ141-BJ142-BJ143-BJ144-BJ145-BJ153-BJ146-BJ147-BJ148-BJ149-BJ150-BJ151-BJ154</f>
      </c>
      <c r="BK152" s="2660">
        <f>Geo!W$81-BK138-BK139-BK140-BK141-BK142-BK143-BK144-BK145-BK153-BK146-BK147-BK148-BK149-BK150-BK151-BK154</f>
      </c>
      <c r="BL152" s="2660">
        <f>Geo!X$81-BL138-BL139-BL140-BL141-BL142-BL143-BL144-BL145-BL153-BL146-BL147-BL148-BL149-BL150-BL151-BL154</f>
      </c>
      <c r="BM152" s="2660">
        <f>Geo!Y$81-BM138-BM139-BM140-BM141-BM142-BM143-BM144-BM145-BM153-BM146-BM147-BM148-BM149-BM150-BM151-BM154</f>
      </c>
      <c r="BN152" s="2660">
        <f>Geo!Z$81-BN138-BN139-BN140-BN141-BN142-BN143-BN144-BN145-BN153-BN146-BN147-BN148-BN149-BN150-BN151-BN154</f>
      </c>
      <c r="BO152" s="2660">
        <f>Geo!AA$81-BO138-BO139-BO140-BO141-BO142-BO143-BO144-BO145-BO153-BO146-BO147-BO148-BO149-BO150-BO151-BO154</f>
      </c>
      <c r="BP152" s="2660">
        <f>Geo!AB$81-BP138-BP139-BP140-BP141-BP142-BP143-BP144-BP145-BP153-BP146-BP147-BP148-BP149-BP150-BP151-BP154</f>
      </c>
      <c r="BQ152" s="2660">
        <f>Geo!AC$81-BQ138-BQ139-BQ140-BQ141-BQ142-BQ143-BQ144-BQ145-BQ153-BQ146-BQ147-BQ148-BQ149-BQ150-BQ151-BQ154</f>
      </c>
      <c r="BR152" s="2660">
        <f>Geo!AD$81-BR138-BR139-BR140-BR141-BR142-BR143-BR144-BR145-BR153-BR146-BR147-BR148-BR149-BR150-BR151-BR154</f>
      </c>
      <c r="BS152" s="2660">
        <f>Geo!AE$81-BS138-BS139-BS140-BS141-BS142-BS143-BS144-BS145-BS153-BS146-BS147-BS148-BS149-BS150-BS151-BS154</f>
      </c>
      <c r="BT152" s="2660">
        <f>Geo!AF$81-BT138-BT139-BT140-BT141-BT142-BT143-BT144-BT145-BT153-BT146-BT147-BT148-BT149-BT150-BT151-BT154</f>
      </c>
      <c r="BU152" s="2660">
        <f>Geo!AG$81-BU138-BU139-BU140-BU141-BU142-BU143-BU144-BU145-BU153-BU146-BU147-BU148-BU149-BU150-BU151-BU154</f>
      </c>
      <c r="BV152" s="2660">
        <f>Geo!AH$81-BV138-BV139-BV140-BV141-BV142-BV143-BV144-BV145-BV153-BV146-BV147-BV148-BV149-BV150-BV151-BV154</f>
      </c>
      <c r="BW152" s="2660">
        <f>Geo!AI$81-BW138-BW139-BW140-BW141-BW142-BW143-BW144-BW145-BW153-BW146-BW147-BW148-BW149-BW150-BW151-BW154</f>
      </c>
      <c r="BX152" s="2660">
        <f>Geo!AJ$81-BX138-BX139-BX140-BX141-BX142-BX143-BX144-BX145-BX153-BX146-BX147-BX148-BX149-BX150-BX151-BX154</f>
      </c>
      <c r="BY152" s="2660">
        <f>Geo!AK$81-BY138-BY139-BY140-BY141-BY142-BY143-BY144-BY145-BY153-BY146-BY147-BY148-BY149-BY150-BY151-BY154</f>
      </c>
      <c r="BZ152" s="2660">
        <f>Geo!AL$81-BZ138-BZ139-BZ140-BZ141-BZ142-BZ143-BZ144-BZ145-BZ153-BZ146-BZ147-BZ148-BZ149-BZ150-BZ151-BZ154</f>
      </c>
      <c r="CA152" s="2660">
        <f>Geo!AM$81-CA138-CA139-CA140-CA141-CA142-CA143-CA144-CA145-CA153-CA146-CA147-CA148-CA149-CA150-CA151-CA154</f>
      </c>
      <c r="CB152" s="2660">
        <f>Geo!AN$81-CB138-CB139-CB140-CB141-CB142-CB143-CB144-CB145-CB153-CB146-CB147-CB148-CB149-CB150-CB151-CB154</f>
      </c>
      <c r="CC152" s="2660">
        <f>Geo!AO$81-CC138-CC139-CC140-CC141-CC142-CC143-CC144-CC145-CC153-CC146-CC147-CC148-CC149-CC150-CC151-CC154</f>
      </c>
      <c r="CD152" s="2660">
        <f>Geo!AP$81-CD138-CD139-CD140-CD141-CD142-CD143-CD144-CD145-CD153-CD146-CD147-CD148-CD149-CD150-CD151-CD154</f>
      </c>
      <c r="CE152" s="2660">
        <f>Geo!AQ$81-CE138-CE139-CE140-CE141-CE142-CE143-CE144-CE145-CE153-CE146-CE147-CE148-CE149-CE150-CE151-CE154</f>
      </c>
      <c r="CF152" s="2660">
        <f>Geo!AR$81-CF138-CF139-CF140-CF141-CF142-CF143-CF144-CF145-CF153-CF146-CF147-CF148-CF149-CF150-CF151-CF154</f>
      </c>
      <c r="CG152" s="2660">
        <f>Geo!AS$81-CG138-CG139-CG140-CG141-CG142-CG143-CG144-CG145-CG153-CG146-CG147-CG148-CG149-CG150-CG151-CG154</f>
      </c>
      <c r="CH152" s="2660">
        <f>Geo!AT$81-CH138-CH139-CH140-CH141-CH142-CH143-CH144-CH145-CH153-CH146-CH147-CH148-CH149-CH150-CH151-CH154</f>
      </c>
      <c r="CI152" s="2660">
        <f>Geo!AU$81-CI138-CI139-CI140-CI141-CI142-CI143-CI144-CI145-CI153-CI146-CI147-CI148-CI149-CI150-CI151-CI154</f>
      </c>
      <c r="CJ152" s="2660">
        <f>Geo!AV$81-CJ138-CJ139-CJ140-CJ141-CJ142-CJ143-CJ144-CJ145-CJ153-CJ146-CJ147-CJ148-CJ149-CJ150-CJ151-CJ154</f>
      </c>
      <c r="CK152" s="2660">
        <f>Geo!AW$81-CK138-CK139-CK140-CK141-CK142-CK143-CK144-CK145-CK153-CK146-CK147-CK148-CK149-CK150-CK151-CK154</f>
      </c>
      <c r="CL152" s="2660">
        <f>Geo!AX$81-CL138-CL139-CL140-CL141-CL142-CL143-CL144-CL145-CL153-CL146-CL147-CL148-CL149-CL150-CL151-CL154</f>
      </c>
      <c r="CM152" s="2660">
        <f>Geo!AY$81-CM138-CM139-CM140-CM141-CM142-CM143-CM144-CM145-CM153-CM146-CM147-CM148-CM149-CM150-CM151-CM154</f>
      </c>
      <c r="CN152" s="2660">
        <f>Geo!AZ$81-CN138-CN139-CN140-CN141-CN142-CN143-CN144-CN145-CN153-CN146-CN147-CN148-CN149-CN150-CN151-CN154</f>
      </c>
      <c r="CO152" s="2660">
        <f>Geo!BA$81-CO138-CO139-CO140-CO141-CO142-CO143-CO144-CO145-CO153-CO146-CO147-CO148-CO149-CO150-CO151-CO154</f>
      </c>
      <c r="CP152" s="2660">
        <f>Geo!BB$81-CP138-CP139-CP140-CP141-CP142-CP143-CP144-CP145-CP153-CP146-CP147-CP148-CP149-CP150-CP151-CP154</f>
      </c>
      <c r="CQ152" s="2660">
        <f>Geo!BC$81-CQ138-CQ139-CQ140-CQ141-CQ142-CQ143-CQ144-CQ145-CQ153-CQ146-CQ147-CQ148-CQ149-CQ150-CQ151-CQ154</f>
      </c>
      <c r="CR152" s="2660">
        <f>Geo!BD$81-CR138-CR139-CR140-CR141-CR142-CR143-CR144-CR145-CR153-CR146-CR147-CR148-CR149-CR150-CR151-CR154</f>
      </c>
      <c r="CS152" s="2660">
        <f>Geo!BE$81-CS138-CS139-CS140-CS141-CS142-CS143-CS144-CS145-CS153-CS146-CS147-CS148-CS149-CS150-CS151-CS154</f>
      </c>
      <c r="CT152" s="2660">
        <f>Geo!BF$81-CT138-CT139-CT140-CT141-CT142-CT143-CT144-CT145-CT153-CT146-CT147-CT148-CT149-CT150-CT151-CT154</f>
      </c>
      <c r="CU152" s="2660">
        <f>Geo!BG$81-CU138-CU139-CU140-CU141-CU142-CU143-CU144-CU145-CU153-CU146-CU147-CU148-CU149-CU150-CU151-CU154</f>
      </c>
      <c r="CV152" s="2660">
        <f>Geo!BH$81-CV138-CV139-CV140-CV141-CV142-CV143-CV144-CV145-CV153-CV146-CV147-CV148-CV149-CV150-CV151-CV154</f>
      </c>
      <c r="CW152" s="2660">
        <f>Geo!BI$81-CW138-CW139-CW140-CW141-CW142-CW143-CW144-CW145-CW153-CW146-CW147-CW148-CW149-CW150-CW151-CW154</f>
      </c>
      <c r="CX152" s="2660">
        <f>Geo!BJ$81-CX138-CX139-CX140-CX141-CX142-CX143-CX144-CX145-CX153-CX146-CX147-CX148-CX149-CX150-CX151-CX154</f>
      </c>
      <c r="CY152" s="2660">
        <f>Geo!BK$81-CY138-CY139-CY140-CY141-CY142-CY143-CY144-CY145-CY153-CY146-CY147-CY148-CY149-CY150-CY151-CY154</f>
      </c>
      <c r="CZ152" s="2660">
        <f>Geo!BL$81-CZ138-CZ139-CZ140-CZ141-CZ142-CZ143-CZ144-CZ145-CZ153-CZ146-CZ147-CZ148-CZ149-CZ150-CZ151-CZ154</f>
      </c>
      <c r="DA152" s="2660">
        <f>Geo!BM$81-DA138-DA139-DA140-DA141-DA142-DA143-DA144-DA145-DA153-DA146-DA147-DA148-DA149-DA150-DA151-DA154</f>
      </c>
      <c r="DB152" s="2660">
        <f>Geo!BN$81-DB138-DB139-DB140-DB141-DB142-DB143-DB144-DB145-DB153-DB146-DB147-DB148-DB149-DB150-DB151-DB154</f>
      </c>
      <c r="DC152" s="2660">
        <f>Geo!BO$81-DC138-DC139-DC140-DC141-DC142-DC143-DC144-DC145-DC153-DC146-DC147-DC148-DC149-DC150-DC151-DC154</f>
      </c>
      <c r="DD152" s="2660">
        <f>Geo!BP$81-DD138-DD139-DD140-DD141-DD142-DD143-DD144-DD145-DD153-DD146-DD147-DD148-DD149-DD150-DD151-DD154</f>
      </c>
      <c r="DE152" s="2660">
        <f>Geo!BQ$81-DE138-DE139-DE140-DE141-DE142-DE143-DE144-DE145-DE153-DE146-DE147-DE148-DE149-DE150-DE151-DE154</f>
      </c>
      <c r="DF152" s="2660">
        <f>Geo!BR$81-DF138-DF139-DF140-DF141-DF142-DF143-DF144-DF145-DF153-DF146-DF147-DF148-DF149-DF150-DF151-DF154</f>
      </c>
      <c r="DG152" s="2660">
        <f>Geo!BS$81-DG138-DG139-DG140-DG141-DG142-DG143-DG144-DG145-DG153-DG146-DG147-DG148-DG149-DG150-DG151-DG154</f>
      </c>
      <c r="DH152" s="2660">
        <f>Geo!BT$81-DH138-DH139-DH140-DH141-DH142-DH143-DH144-DH145-DH153-DH146-DH147-DH148-DH149-DH150-DH151-DH154</f>
      </c>
      <c r="DI152" s="2660">
        <f>Geo!BU$81-DI138-DI139-DI140-DI141-DI142-DI143-DI144-DI145-DI153-DI146-DI147-DI148-DI149-DI150-DI151-DI154</f>
      </c>
      <c r="DJ152" s="2660">
        <f>Geo!BV$81-DJ138-DJ139-DJ140-DJ141-DJ142-DJ143-DJ144-DJ145-DJ153-DJ146-DJ147-DJ148-DJ149-DJ150-DJ151-DJ154</f>
      </c>
      <c r="DK152" s="2660">
        <f>Geo!BW$81-DK138-DK139-DK140-DK141-DK142-DK143-DK144-DK145-DK153-DK146-DK147-DK148-DK149-DK150-DK151-DK154</f>
      </c>
      <c r="DL152" s="2660">
        <f>Geo!BX$81-DL138-DL139-DL140-DL141-DL142-DL143-DL144-DL145-DL153-DL146-DL147-DL148-DL149-DL150-DL151-DL154</f>
      </c>
      <c r="DM152" s="2660">
        <f>Geo!BY$81-DM138-DM139-DM140-DM141-DM142-DM143-DM144-DM145-DM153-DM146-DM147-DM148-DM149-DM150-DM151-DM154</f>
      </c>
      <c r="DN152" s="2660">
        <f>Geo!BZ$81-DN138-DN139-DN140-DN141-DN142-DN143-DN144-DN145-DN153-DN146-DN147-DN148-DN149-DN150-DN151-DN154</f>
      </c>
      <c r="DO152" s="2660">
        <f>Geo!CA$81-DO138-DO139-DO140-DO141-DO142-DO143-DO144-DO145-DO153-DO146-DO147-DO148-DO149-DO150-DO151-DO154</f>
      </c>
      <c r="DP152" s="2660">
        <f>Geo!CB$81-DP138-DP139-DP140-DP141-DP142-DP143-DP144-DP145-DP153-DP146-DP147-DP148-DP149-DP150-DP151-DP154</f>
      </c>
      <c r="DQ152" s="2660">
        <f>Geo!CC$81-DQ138-DQ139-DQ140-DQ141-DQ142-DQ143-DQ144-DQ145-DQ153-DQ146-DQ147-DQ148-DQ149-DQ150-DQ151-DQ154</f>
      </c>
      <c r="DR152" s="2660">
        <f>Geo!CD$81-DR138-DR139-DR140-DR141-DR142-DR143-DR144-DR145-DR153-DR146-DR147-DR148-DR149-DR150-DR151-DR154</f>
      </c>
      <c r="DS152" s="2660">
        <f>Geo!CE$81-DS138-DS139-DS140-DS141-DS142-DS143-DS144-DS145-DS153-DS146-DS147-DS148-DS149-DS150-DS151-DS154</f>
      </c>
      <c r="DT152" s="2660">
        <f>Geo!CF$81-DT138-DT139-DT140-DT141-DT142-DT143-DT144-DT145-DT153-DT146-DT147-DT148-DT149-DT150-DT151-DT154</f>
      </c>
      <c r="DU152" s="2660">
        <f>Geo!CG$81-DU138-DU139-DU140-DU141-DU142-DU143-DU144-DU145-DU153-DU146-DU147-DU148-DU149-DU150-DU151-DU154</f>
      </c>
      <c r="DV152" s="2660">
        <f>Geo!CH$81-DV138-DV139-DV140-DV141-DV142-DV143-DV144-DV145-DV153-DV146-DV147-DV148-DV149-DV150-DV151-DV154</f>
      </c>
      <c r="DW152" s="2660">
        <f>Geo!CI$81-DW138-DW139-DW140-DW141-DW142-DW143-DW144-DW145-DW153-DW146-DW147-DW148-DW149-DW150-DW151-DW154</f>
      </c>
      <c r="DX152" s="2660">
        <f>Geo!CJ$81-DX138-DX139-DX140-DX141-DX142-DX143-DX144-DX145-DX153-DX146-DX147-DX148-DX149-DX150-DX151-DX154</f>
      </c>
      <c r="DY152" s="2660">
        <f>Geo!CK$81-DY138-DY139-DY140-DY141-DY142-DY143-DY144-DY145-DY153-DY146-DY147-DY148-DY149-DY150-DY151-DY154</f>
      </c>
      <c r="DZ152" s="2660">
        <f>Geo!CL$81-DZ138-DZ139-DZ140-DZ141-DZ142-DZ143-DZ144-DZ145-DZ153-DZ146-DZ147-DZ148-DZ149-DZ150-DZ151-DZ154</f>
      </c>
      <c r="EA152" s="2660">
        <f>Geo!CM$81-EA138-EA139-EA140-EA141-EA142-EA143-EA144-EA145-EA153-EA146-EA147-EA148-EA149-EA150-EA151-EA154</f>
      </c>
      <c r="EB152" s="2660">
        <f>Geo!CN$81-EB138-EB139-EB140-EB141-EB142-EB143-EB144-EB145-EB153-EB146-EB147-EB148-EB149-EB150-EB151-EB154</f>
      </c>
      <c r="EC152" s="2660">
        <f>Geo!CO$81-EC138-EC139-EC140-EC141-EC142-EC143-EC144-EC145-EC153-EC146-EC147-EC148-EC149-EC150-EC151-EC154</f>
      </c>
      <c r="ED152" s="2660">
        <f>Geo!CP$81-ED138-ED139-ED140-ED141-ED142-ED143-ED144-ED145-ED153-ED146-ED147-ED148-ED149-ED150-ED151-ED154</f>
      </c>
      <c r="EE152" s="2660">
        <f>Geo!CQ$81-EE138-EE139-EE140-EE141-EE142-EE143-EE144-EE145-EE153-EE146-EE147-EE148-EE149-EE150-EE151-EE154</f>
      </c>
      <c r="EF152" s="2660">
        <f>Geo!CR$81-EF138-EF139-EF140-EF141-EF142-EF143-EF144-EF145-EF153-EF146-EF147-EF148-EF149-EF150-EF151-EF154</f>
      </c>
      <c r="EG152" s="2660">
        <f>Geo!CS$81-EG138-EG139-EG140-EG141-EG142-EG143-EG144-EG145-EG153-EG146-EG147-EG148-EG149-EG150-EG151-EG154</f>
      </c>
      <c r="EH152" s="2660">
        <f>Geo!CT$81-EH138-EH139-EH140-EH141-EH142-EH143-EH144-EH145-EH153-EH146-EH147-EH148-EH149-EH150-EH151-EH154</f>
      </c>
      <c r="EI152" s="2660">
        <f>Geo!CU$81-EI138-EI139-EI140-EI141-EI142-EI143-EI144-EI145-EI153-EI146-EI147-EI148-EI149-EI150-EI151-EI154</f>
      </c>
      <c r="EJ152" s="2660">
        <f>Geo!CV$81-EJ138-EJ139-EJ140-EJ141-EJ142-EJ143-EJ144-EJ145-EJ153-EJ146-EJ147-EJ148-EJ149-EJ150-EJ151-EJ154</f>
      </c>
      <c r="EK152" s="2660">
        <f>Geo!CW$81-EK138-EK139-EK140-EK141-EK142-EK143-EK144-EK145-EK153-EK146-EK147-EK148-EK149-EK150-EK151-EK154</f>
      </c>
      <c r="EL152" s="2660">
        <f>Geo!CX$81-EL138-EL139-EL140-EL141-EL142-EL143-EL144-EL145-EL153-EL146-EL147-EL148-EL149-EL150-EL151-EL154</f>
      </c>
      <c r="EM152" s="2660">
        <f>Geo!CY$81-EM138-EM139-EM140-EM141-EM142-EM143-EM144-EM145-EM153-EM146-EM147-EM148-EM149-EM150-EM151-EM154</f>
      </c>
      <c r="EN152" s="2660">
        <f>Geo!CZ$81-EN138-EN139-EN140-EN141-EN142-EN143-EN144-EN145-EN153-EN146-EN147-EN148-EN149-EN150-EN151-EN154</f>
      </c>
      <c r="EO152" s="2660">
        <f>Geo!DA$81-EO138-EO139-EO140-EO141-EO142-EO143-EO144-EO145-EO153-EO146-EO147-EO148-EO149-EO150-EO151-EO154</f>
      </c>
      <c r="EP152" s="2660">
        <f>Geo!DB$81-EP138-EP139-EP140-EP141-EP142-EP143-EP144-EP145-EP153-EP146-EP147-EP148-EP149-EP150-EP151-EP154</f>
      </c>
      <c r="EQ152" s="2660">
        <f>Geo!DC$81-EQ138-EQ139-EQ140-EQ141-EQ142-EQ143-EQ144-EQ145-EQ153-EQ146-EQ147-EQ148-EQ149-EQ150-EQ151-EQ154</f>
      </c>
      <c r="ER152" s="2660">
        <f>Geo!DD$81-ER138-ER139-ER140-ER141-ER142-ER143-ER144-ER145-ER153-ER146-ER147-ER148-ER149-ER150-ER151-ER154</f>
      </c>
      <c r="ES152" s="2660">
        <f>Geo!DE$81-ES138-ES139-ES140-ES141-ES142-ES143-ES144-ES145-ES153-ES146-ES147-ES148-ES149-ES150-ES151-ES154</f>
      </c>
      <c r="ET152" s="2660">
        <f>Geo!DF$81-ET138-ET139-ET140-ET141-ET142-ET143-ET144-ET145-ET153-ET146-ET147-ET148-ET149-ET150-ET151-ET154</f>
      </c>
      <c r="EU152" s="2660">
        <f>Geo!DG$81-EU138-EU139-EU140-EU141-EU142-EU143-EU144-EU145-EU153-EU146-EU147-EU148-EU149-EU150-EU151-EU154</f>
      </c>
      <c r="EV152" s="2660">
        <f>Geo!DH$81-EV138-EV139-EV140-EV141-EV142-EV143-EV144-EV145-EV153-EV146-EV147-EV148-EV149-EV150-EV151-EV154</f>
      </c>
      <c r="EW152" s="2660">
        <f>Geo!DI$81-EW138-EW139-EW140-EW141-EW142-EW143-EW144-EW145-EW153-EW146-EW147-EW148-EW149-EW150-EW151-EW154</f>
      </c>
      <c r="EX152" s="2660">
        <f>Geo!DJ$81-EX138-EX139-EX140-EX141-EX142-EX143-EX144-EX145-EX153-EX146-EX147-EX148-EX149-EX150-EX151-EX154</f>
      </c>
      <c r="EY152" s="2660">
        <f>Geo!DK$81-EY138-EY139-EY140-EY141-EY142-EY143-EY144-EY145-EY153-EY146-EY147-EY148-EY149-EY150-EY151-EY154</f>
      </c>
      <c r="EZ152" s="2660">
        <f>Geo!DL$81-EZ138-EZ139-EZ140-EZ141-EZ142-EZ143-EZ144-EZ145-EZ153-EZ146-EZ147-EZ148-EZ149-EZ150-EZ151-EZ154</f>
      </c>
      <c r="FA152" s="2660">
        <f>Geo!DM$81-FA138-FA139-FA140-FA141-FA142-FA143-FA144-FA145-FA153-FA146-FA147-FA148-FA149-FA150-FA151-FA154</f>
      </c>
      <c r="FB152" s="2660">
        <f>Geo!DN$81-FB138-FB139-FB140-FB141-FB142-FB143-FB144-FB145-FB153-FB146-FB147-FB148-FB149-FB150-FB151-FB154</f>
      </c>
      <c r="FC152" s="2660">
        <f>Geo!DO$81-FC138-FC139-FC140-FC141-FC142-FC143-FC144-FC145-FC153-FC146-FC147-FC148-FC149-FC150-FC151-FC154</f>
      </c>
      <c r="FD152" s="2660">
        <f>Geo!DP$81-FD138-FD139-FD140-FD141-FD142-FD143-FD144-FD145-FD153-FD146-FD147-FD148-FD149-FD150-FD151-FD154</f>
      </c>
      <c r="FE152" s="2660">
        <f>Geo!DQ$81-FE138-FE139-FE140-FE141-FE142-FE143-FE144-FE145-FE153-FE146-FE147-FE148-FE149-FE150-FE151-FE154</f>
      </c>
    </row>
    <row r="153" spans="2:161" outlineLevel="2">
      <c r="B153" t="s">
        <v>775</v>
      </c>
      <c r="C153" t="s">
        <v>776</v>
      </c>
      <c r="F153" s="2660"/>
      <c r="G153" s="2660">
        <f>Geo!DS$81*0.01</f>
      </c>
      <c r="H153" s="2660">
        <f>Geo!DT$81*0.01</f>
      </c>
      <c r="I153" s="2660">
        <f>Geo!DU$81*0.01</f>
      </c>
      <c r="J153" s="2660">
        <f>Geo!DV$81*0.01</f>
      </c>
      <c r="K153" s="2660">
        <f>Geo!DW$81*0.01</f>
      </c>
      <c r="L153" s="2660">
        <f>Geo!DX$81*0.01</f>
      </c>
      <c r="M153" s="2660">
        <f>Geo!DY$81*0.01</f>
      </c>
      <c r="N153" s="2660">
        <f>Geo!DZ$81*0.01</f>
      </c>
      <c r="O153" s="2660">
        <f>Geo!EA$81*0.01</f>
      </c>
      <c r="P153" s="2660">
        <f>Geo!EB$81*0.01</f>
      </c>
      <c r="Q153" s="2660">
        <f>Geo!EC$81*0.01</f>
      </c>
      <c r="R153" s="2660">
        <f>Geo!ED$81*0.01</f>
      </c>
      <c r="S153" s="2660">
        <f>Geo!EE$81*0.01</f>
      </c>
      <c r="T153" s="2660">
        <f>Geo!EF$81*0.01</f>
      </c>
      <c r="U153" s="2660">
        <f>Geo!EG$81*0.01</f>
      </c>
      <c r="V153" s="2660">
        <f>Geo!EH$81*0.01</f>
      </c>
      <c r="W153" s="2660">
        <f>Geo!EI$81*0.01</f>
      </c>
      <c r="X153" s="2660">
        <f>Geo!EJ$81*0.01</f>
      </c>
      <c r="Y153" s="2660">
        <f>Geo!EK$81*0.01</f>
      </c>
      <c r="Z153" s="2660">
        <f>Geo!EL$81*0.01</f>
      </c>
      <c r="AA153" s="2660">
        <f>Geo!EM$81*0.01</f>
      </c>
      <c r="AB153" s="2660">
        <f>Geo!EN$81*0.01</f>
      </c>
      <c r="AC153" s="2660">
        <f>Geo!EO$81*0.01</f>
      </c>
      <c r="AD153" s="2660">
        <f>Geo!EP$81*0.01</f>
      </c>
      <c r="AE153" s="2660">
        <f>Geo!EQ$81*0.01</f>
      </c>
      <c r="AF153" s="2660">
        <f>Geo!ER$81*0.01</f>
      </c>
      <c r="AG153" s="2660">
        <f>Geo!ES$81*0.01</f>
      </c>
      <c r="AH153" s="2660">
        <f>Geo!ET$81*0.01</f>
      </c>
      <c r="AI153" s="2660">
        <f>Geo!EU$81*0.01</f>
      </c>
      <c r="AJ153" s="2660">
        <f>Geo!EV$81*0.01</f>
      </c>
      <c r="AK153" s="2660"/>
      <c r="AL153" s="2660"/>
      <c r="AM153" s="2660"/>
      <c r="AN153" s="2660"/>
      <c r="AO153" s="2660"/>
      <c r="AP153" s="2660">
        <f>Geo!B$81*0.01</f>
      </c>
      <c r="AQ153" s="2660">
        <f>Geo!C$81*0.01</f>
      </c>
      <c r="AR153" s="2660">
        <f>Geo!D$81*0.01</f>
      </c>
      <c r="AS153" s="2660">
        <f>Geo!E$81*0.01</f>
      </c>
      <c r="AT153" s="2660">
        <f>Geo!F$81*0.01</f>
      </c>
      <c r="AU153" s="2660">
        <f>Geo!G$81*0.01</f>
      </c>
      <c r="AV153" s="2660">
        <f>Geo!H$81*0.01</f>
      </c>
      <c r="AW153" s="2660">
        <f>Geo!I$81*0.01</f>
      </c>
      <c r="AX153" s="2660">
        <f>Geo!J$81*0.01</f>
      </c>
      <c r="AY153" s="2660">
        <f>Geo!K$81*0.01</f>
      </c>
      <c r="AZ153" s="2660">
        <f>Geo!L$81*0.01</f>
      </c>
      <c r="BA153" s="2660">
        <f>Geo!M$81*0.01</f>
      </c>
      <c r="BB153" s="2660">
        <f>Geo!N$81*0.01</f>
      </c>
      <c r="BC153" s="2660">
        <f>Geo!O$81*0.01</f>
      </c>
      <c r="BD153" s="2660">
        <f>Geo!P$81*0.01</f>
      </c>
      <c r="BE153" s="2660">
        <f>Geo!Q$81*0.01</f>
      </c>
      <c r="BF153" s="2660">
        <f>Geo!R$81*0.01</f>
      </c>
      <c r="BG153" s="2660">
        <f>Geo!S$81*0.01</f>
      </c>
      <c r="BH153" s="2660">
        <f>Geo!T$81*0.01</f>
      </c>
      <c r="BI153" s="2660">
        <f>Geo!U$81*0.01</f>
      </c>
      <c r="BJ153" s="2660">
        <f>Geo!V$81*0.01</f>
      </c>
      <c r="BK153" s="2660">
        <f>Geo!W$81*0.01</f>
      </c>
      <c r="BL153" s="2660">
        <f>Geo!X$81*0.01</f>
      </c>
      <c r="BM153" s="2660">
        <f>Geo!Y$81*0.01</f>
      </c>
      <c r="BN153" s="2660">
        <f>Geo!Z$81*0.01</f>
      </c>
      <c r="BO153" s="2660">
        <f>Geo!AA$81*0.01</f>
      </c>
      <c r="BP153" s="2660">
        <f>Geo!AB$81*0.01</f>
      </c>
      <c r="BQ153" s="2660">
        <f>Geo!AC$81*0.01</f>
      </c>
      <c r="BR153" s="2660">
        <f>Geo!AD$81*0.01</f>
      </c>
      <c r="BS153" s="2660">
        <f>Geo!AE$81*0.01</f>
      </c>
      <c r="BT153" s="2660">
        <f>Geo!AF$81*0.01</f>
      </c>
      <c r="BU153" s="2660">
        <f>Geo!AG$81*0.01</f>
      </c>
      <c r="BV153" s="2660">
        <f>Geo!AH$81*0.01</f>
      </c>
      <c r="BW153" s="2660">
        <f>Geo!AI$81*0.01</f>
      </c>
      <c r="BX153" s="2660">
        <f>Geo!AJ$81*0.01</f>
      </c>
      <c r="BY153" s="2660">
        <f>Geo!AK$81*0.01</f>
      </c>
      <c r="BZ153" s="2660">
        <f>Geo!AL$81*0.01</f>
      </c>
      <c r="CA153" s="2660">
        <f>Geo!AM$81*0.01</f>
      </c>
      <c r="CB153" s="2660">
        <f>Geo!AN$81*0.01</f>
      </c>
      <c r="CC153" s="2660">
        <f>Geo!AO$81*0.01</f>
      </c>
      <c r="CD153" s="2660">
        <f>Geo!AP$81*0.01</f>
      </c>
      <c r="CE153" s="2660">
        <f>Geo!AQ$81*0.01</f>
      </c>
      <c r="CF153" s="2660">
        <f>Geo!AR$81*0.01</f>
      </c>
      <c r="CG153" s="2660">
        <f>Geo!AS$81*0.01</f>
      </c>
      <c r="CH153" s="2660">
        <f>Geo!AT$81*0.01</f>
      </c>
      <c r="CI153" s="2660">
        <f>Geo!AU$81*0.01</f>
      </c>
      <c r="CJ153" s="2660">
        <f>Geo!AV$81*0.01</f>
      </c>
      <c r="CK153" s="2660">
        <f>Geo!AW$81*0.01</f>
      </c>
      <c r="CL153" s="2660">
        <f>Geo!AX$81*0.01</f>
      </c>
      <c r="CM153" s="2660">
        <f>Geo!AY$81*0.01</f>
      </c>
      <c r="CN153" s="2660">
        <f>Geo!AZ$81*0.01</f>
      </c>
      <c r="CO153" s="2660">
        <f>Geo!BA$81*0.01</f>
      </c>
      <c r="CP153" s="2660">
        <f>Geo!BB$81*0.01</f>
      </c>
      <c r="CQ153" s="2660">
        <f>Geo!BC$81*0.01</f>
      </c>
      <c r="CR153" s="2660">
        <f>Geo!BD$81*0.01</f>
      </c>
      <c r="CS153" s="2660">
        <f>Geo!BE$81*0.01</f>
      </c>
      <c r="CT153" s="2660">
        <f>Geo!BF$81*0.01</f>
      </c>
      <c r="CU153" s="2660">
        <f>Geo!BG$81*0.01</f>
      </c>
      <c r="CV153" s="2660">
        <f>Geo!BH$81*0.01</f>
      </c>
      <c r="CW153" s="2660">
        <f>Geo!BI$81*0.01</f>
      </c>
      <c r="CX153" s="2660">
        <f>Geo!BJ$81*0.01</f>
      </c>
      <c r="CY153" s="2660">
        <f>Geo!BK$81*0.01</f>
      </c>
      <c r="CZ153" s="2660">
        <f>Geo!BL$81*0.01</f>
      </c>
      <c r="DA153" s="2660">
        <f>Geo!BM$81*0.01</f>
      </c>
      <c r="DB153" s="2660">
        <f>Geo!BN$81*0.01</f>
      </c>
      <c r="DC153" s="2660">
        <f>Geo!BO$81*0.01</f>
      </c>
      <c r="DD153" s="2660">
        <f>Geo!BP$81*0.01</f>
      </c>
      <c r="DE153" s="2660">
        <f>Geo!BQ$81*0.01</f>
      </c>
      <c r="DF153" s="2660">
        <f>Geo!BR$81*0.01</f>
      </c>
      <c r="DG153" s="2660">
        <f>Geo!BS$81*0.01</f>
      </c>
      <c r="DH153" s="2660">
        <f>Geo!BT$81*0.01</f>
      </c>
      <c r="DI153" s="2660">
        <f>Geo!BU$81*0.01</f>
      </c>
      <c r="DJ153" s="2660">
        <f>Geo!BV$81*0.01</f>
      </c>
      <c r="DK153" s="2660">
        <f>Geo!BW$81*0.01</f>
      </c>
      <c r="DL153" s="2660">
        <f>Geo!BX$81*0.01</f>
      </c>
      <c r="DM153" s="2660">
        <f>Geo!BY$81*0.01</f>
      </c>
      <c r="DN153" s="2660">
        <f>Geo!BZ$81*0.01</f>
      </c>
      <c r="DO153" s="2660">
        <f>Geo!CA$81*0.01</f>
      </c>
      <c r="DP153" s="2660">
        <f>Geo!CB$81*0.01</f>
      </c>
      <c r="DQ153" s="2660">
        <f>Geo!CC$81*0.01</f>
      </c>
      <c r="DR153" s="2660">
        <f>Geo!CD$81*0.01</f>
      </c>
      <c r="DS153" s="2660">
        <f>Geo!CE$81*0.01</f>
      </c>
      <c r="DT153" s="2660">
        <f>Geo!CF$81*0.01</f>
      </c>
      <c r="DU153" s="2660">
        <f>Geo!CG$81*0.01</f>
      </c>
      <c r="DV153" s="2660">
        <f>Geo!CH$81*0.01</f>
      </c>
      <c r="DW153" s="2660">
        <f>Geo!CI$81*0.01</f>
      </c>
      <c r="DX153" s="2660">
        <f>Geo!CJ$81*0.01</f>
      </c>
      <c r="DY153" s="2660">
        <f>Geo!CK$81*0.01</f>
      </c>
      <c r="DZ153" s="2660">
        <f>Geo!CL$81*0.01</f>
      </c>
      <c r="EA153" s="2660">
        <f>Geo!CM$81*0.01</f>
      </c>
      <c r="EB153" s="2660">
        <f>Geo!CN$81*0.01</f>
      </c>
      <c r="EC153" s="2660">
        <f>Geo!CO$81*0.01</f>
      </c>
      <c r="ED153" s="2660">
        <f>Geo!CP$81*0.01</f>
      </c>
      <c r="EE153" s="2660">
        <f>Geo!CQ$81*0.01</f>
      </c>
      <c r="EF153" s="2660">
        <f>Geo!CR$81*0.01</f>
      </c>
      <c r="EG153" s="2660">
        <f>Geo!CS$81*0.01</f>
      </c>
      <c r="EH153" s="2660">
        <f>Geo!CT$81*0.01</f>
      </c>
      <c r="EI153" s="2660">
        <f>Geo!CU$81*0.01</f>
      </c>
      <c r="EJ153" s="2660">
        <f>Geo!CV$81*0.01</f>
      </c>
      <c r="EK153" s="2660">
        <f>Geo!CW$81*0.01</f>
      </c>
      <c r="EL153" s="2660">
        <f>Geo!CX$81*0.01</f>
      </c>
      <c r="EM153" s="2660">
        <f>Geo!CY$81*0.01</f>
      </c>
      <c r="EN153" s="2660">
        <f>Geo!CZ$81*0.01</f>
      </c>
      <c r="EO153" s="2660">
        <f>Geo!DA$81*0.01</f>
      </c>
      <c r="EP153" s="2660">
        <f>Geo!DB$81*0.01</f>
      </c>
      <c r="EQ153" s="2660">
        <f>Geo!DC$81*0.01</f>
      </c>
      <c r="ER153" s="2660">
        <f>Geo!DD$81*0.01</f>
      </c>
      <c r="ES153" s="2660">
        <f>Geo!DE$81*0.01</f>
      </c>
      <c r="ET153" s="2660">
        <f>Geo!DF$81*0.01</f>
      </c>
      <c r="EU153" s="2660">
        <f>Geo!DG$81*0.01</f>
      </c>
      <c r="EV153" s="2660">
        <f>Geo!DH$81*0.01</f>
      </c>
      <c r="EW153" s="2660">
        <f>Geo!DI$81*0.01</f>
      </c>
      <c r="EX153" s="2660">
        <f>Geo!DJ$81*0.01</f>
      </c>
      <c r="EY153" s="2660">
        <f>Geo!DK$81*0.01</f>
      </c>
      <c r="EZ153" s="2660">
        <f>Geo!DL$81*0.01</f>
      </c>
      <c r="FA153" s="2660">
        <f>Geo!DM$81*0.01</f>
      </c>
      <c r="FB153" s="2660">
        <f>Geo!DN$81*0.01</f>
      </c>
      <c r="FC153" s="2660">
        <f>Geo!DO$81*0.01</f>
      </c>
      <c r="FD153" s="2660">
        <f>Geo!DP$81*0.01</f>
      </c>
      <c r="FE153" s="2660">
        <f>Geo!DQ$81*0.01</f>
      </c>
    </row>
    <row r="154" spans="2:161" outlineLevel="2">
      <c r="B154" t="s">
        <v>467</v>
      </c>
      <c r="C154" t="s">
        <v>468</v>
      </c>
      <c r="F154" s="2660"/>
      <c r="G154" s="2660">
        <f>Geo!DS81*0.1</f>
      </c>
      <c r="H154" s="2660">
        <f>Geo!DT81*0.1</f>
      </c>
      <c r="I154" s="2660">
        <f>Geo!DU81*0.1</f>
      </c>
      <c r="J154" s="2660">
        <f>Geo!DV81*0.1</f>
      </c>
      <c r="K154" s="2660">
        <f>Geo!DW81*0.1</f>
      </c>
      <c r="L154" s="2660">
        <f>Geo!DX81*0.1</f>
      </c>
      <c r="M154" s="2660">
        <f>Geo!DY81*0.1</f>
      </c>
      <c r="N154" s="2660">
        <f>Geo!DZ81*0.1</f>
      </c>
      <c r="O154" s="2660">
        <f>Geo!EA81*0.1</f>
      </c>
      <c r="P154" s="2660">
        <f>Geo!EB81*0.1</f>
      </c>
      <c r="Q154" s="2660">
        <f>Geo!EC81*0.1</f>
      </c>
      <c r="R154" s="2660">
        <f>Geo!ED81*0.1</f>
      </c>
      <c r="S154" s="2660">
        <f>Geo!EE81*0.1</f>
      </c>
      <c r="T154" s="2660">
        <f>Geo!EF81*0.1</f>
      </c>
      <c r="U154" s="2660">
        <f>Geo!EG81*0.1</f>
      </c>
      <c r="V154" s="2660">
        <f>Geo!EH81*0.1</f>
      </c>
      <c r="W154" s="2660">
        <f>Geo!EI81*0.1</f>
      </c>
      <c r="X154" s="2660">
        <f>Geo!EJ81*0.1</f>
      </c>
      <c r="Y154" s="2660">
        <f>Geo!EK81*0.1</f>
      </c>
      <c r="Z154" s="2660">
        <f>Geo!EL81*0.1</f>
      </c>
      <c r="AA154" s="2660">
        <f>Geo!EM81*0.1</f>
      </c>
      <c r="AB154" s="2660">
        <f>Geo!EN81*0.1</f>
      </c>
      <c r="AC154" s="2660">
        <f>Geo!EO81*0.1</f>
      </c>
      <c r="AD154" s="2660">
        <f>Geo!EP81*0.1</f>
      </c>
      <c r="AE154" s="2660">
        <f>Geo!EQ81*0.1</f>
      </c>
      <c r="AF154" s="2660">
        <f>Geo!ER81*0.1</f>
      </c>
      <c r="AG154" s="2660">
        <f>Geo!ES81*0.1</f>
      </c>
      <c r="AH154" s="2660">
        <f>Geo!ET81*0.1</f>
      </c>
      <c r="AI154" s="2660">
        <f>Geo!EU81*0.1</f>
      </c>
      <c r="AJ154" s="2660">
        <f>Geo!EV81*0.1</f>
      </c>
      <c r="AK154" s="2660"/>
      <c r="AL154" s="2660"/>
      <c r="AM154" s="2660"/>
      <c r="AN154" s="2660"/>
      <c r="AO154" s="2660"/>
      <c r="AP154" s="2660">
        <f>Geo!B81*0.08</f>
      </c>
      <c r="AQ154" s="2660">
        <f>Geo!C81*0.08</f>
      </c>
      <c r="AR154" s="2660">
        <f>Geo!D81*0.08</f>
      </c>
      <c r="AS154" s="2660">
        <f>Geo!E81*0.08</f>
      </c>
      <c r="AT154" s="2660">
        <f>Geo!F81*0.08</f>
      </c>
      <c r="AU154" s="2660">
        <f>Geo!G81*0.08</f>
      </c>
      <c r="AV154" s="2660">
        <f>Geo!H81*0.08</f>
      </c>
      <c r="AW154" s="2660">
        <f>Geo!I81*0.08</f>
      </c>
      <c r="AX154" s="2660">
        <f>Geo!J81*0.08</f>
      </c>
      <c r="AY154" s="2660">
        <f>Geo!K81*0.08</f>
      </c>
      <c r="AZ154" s="2660">
        <f>Geo!L81*0.08</f>
      </c>
      <c r="BA154" s="2660">
        <f>Geo!M81*0.08</f>
      </c>
      <c r="BB154" s="2660">
        <f>Geo!N81*0.08</f>
      </c>
      <c r="BC154" s="2660">
        <f>Geo!O81*0.08</f>
      </c>
      <c r="BD154" s="2660">
        <f>Geo!P81*0.08</f>
      </c>
      <c r="BE154" s="2660">
        <f>Geo!Q81*0.08</f>
      </c>
      <c r="BF154" s="2660">
        <f>Geo!R81*0.08</f>
      </c>
      <c r="BG154" s="2660">
        <f>Geo!S81*0.08</f>
      </c>
      <c r="BH154" s="2660">
        <f>Geo!T81*0.08</f>
      </c>
      <c r="BI154" s="2660">
        <f>Geo!U81*0.08</f>
      </c>
      <c r="BJ154" s="2660">
        <f>Geo!V81*0.08</f>
      </c>
      <c r="BK154" s="2660">
        <f>Geo!W81*0.08</f>
      </c>
      <c r="BL154" s="2660">
        <f>Geo!X81*0.08</f>
      </c>
      <c r="BM154" s="2660">
        <f>Geo!Y81*0.08</f>
      </c>
      <c r="BN154" s="2660">
        <f>Geo!Z81*0.08</f>
      </c>
      <c r="BO154" s="2660">
        <f>Geo!AA81*0.08</f>
      </c>
      <c r="BP154" s="2660">
        <f>Geo!AB81*0.08</f>
      </c>
      <c r="BQ154" s="2660">
        <f>Geo!AC81*0.08</f>
      </c>
      <c r="BR154" s="2660">
        <f>Geo!AD81*0.08</f>
      </c>
      <c r="BS154" s="2660">
        <f>Geo!AE81*0.08</f>
      </c>
      <c r="BT154" s="2660">
        <f>Geo!AF81*0.08</f>
      </c>
      <c r="BU154" s="2660">
        <f>Geo!AG81*0.08</f>
      </c>
      <c r="BV154" s="2660">
        <f>Geo!AH81*0.08</f>
      </c>
      <c r="BW154" s="2660">
        <f>Geo!AI81*0.08</f>
      </c>
      <c r="BX154" s="2660">
        <f>Geo!AJ81*0.08</f>
      </c>
      <c r="BY154" s="2660">
        <f>Geo!AK81*0.08</f>
      </c>
      <c r="BZ154" s="2660">
        <f>Geo!AL81*0.08</f>
      </c>
      <c r="CA154" s="2660">
        <f>Geo!AM81*0.08</f>
      </c>
      <c r="CB154" s="2660">
        <f>Geo!AN81*0.08</f>
      </c>
      <c r="CC154" s="2660">
        <f>Geo!AO81*0.08</f>
      </c>
      <c r="CD154" s="2660">
        <f>Geo!AP81*0.08</f>
      </c>
      <c r="CE154" s="2660">
        <f>Geo!AQ81*0.08</f>
      </c>
      <c r="CF154" s="2660">
        <f>Geo!AR81*0.08</f>
      </c>
      <c r="CG154" s="2660">
        <f>Geo!AS81*0.08</f>
      </c>
      <c r="CH154" s="2660">
        <f>Geo!AT81*0.08</f>
      </c>
      <c r="CI154" s="2660">
        <f>Geo!AU81*0.08</f>
      </c>
      <c r="CJ154" s="2660">
        <f>Geo!AV81*0.08</f>
      </c>
      <c r="CK154" s="2660">
        <f>Geo!AW81*0.08</f>
      </c>
      <c r="CL154" s="2660">
        <f>Geo!AX81*0.08</f>
      </c>
      <c r="CM154" s="2660">
        <f>Geo!AY81*0.08</f>
      </c>
      <c r="CN154" s="2660">
        <f>Geo!AZ81*0.08</f>
      </c>
      <c r="CO154" s="2660">
        <f>Geo!BA81*0.08</f>
      </c>
      <c r="CP154" s="2660">
        <f>Geo!BB81*0.08</f>
      </c>
      <c r="CQ154" s="2660">
        <f>Geo!BC81*0.08</f>
      </c>
      <c r="CR154" s="2660">
        <f>Geo!BD81*0.08</f>
      </c>
      <c r="CS154" s="2660">
        <f>Geo!BE81*0.08</f>
      </c>
      <c r="CT154" s="2660">
        <f>Geo!BF81*0.08</f>
      </c>
      <c r="CU154" s="2660">
        <f>Geo!BG81*0.08</f>
      </c>
      <c r="CV154" s="2660">
        <f>Geo!BH81*0.08</f>
      </c>
      <c r="CW154" s="2660">
        <f>Geo!BI81*0.08</f>
      </c>
      <c r="CX154" s="2660">
        <f>Geo!BJ81*0.08</f>
      </c>
      <c r="CY154" s="2660">
        <f>Geo!BK81*0.08</f>
      </c>
      <c r="CZ154" s="2660">
        <f>Geo!BL81*0.08</f>
      </c>
      <c r="DA154" s="2660">
        <f>Geo!BM81*0.08</f>
      </c>
      <c r="DB154" s="2660">
        <f>Geo!BN81*0.08</f>
      </c>
      <c r="DC154" s="2660">
        <f>Geo!BO81*0.08</f>
      </c>
      <c r="DD154" s="2660">
        <f>Geo!BP81*0.08</f>
      </c>
      <c r="DE154" s="2660">
        <f>Geo!BQ81*0.08</f>
      </c>
      <c r="DF154" s="2660">
        <f>Geo!BR81*0.08</f>
      </c>
      <c r="DG154" s="2660">
        <f>Geo!BS81*0.08</f>
      </c>
      <c r="DH154" s="2660">
        <f>Geo!BT81*0.08</f>
      </c>
      <c r="DI154" s="2660">
        <f>Geo!BU81*0.08</f>
      </c>
      <c r="DJ154" s="2660">
        <f>Geo!BV81*0.08</f>
      </c>
      <c r="DK154" s="2660">
        <f>Geo!BW81*0.08</f>
      </c>
      <c r="DL154" s="2660">
        <f>Geo!BX81*0.08</f>
      </c>
      <c r="DM154" s="2660">
        <f>Geo!BY81*0.08</f>
      </c>
      <c r="DN154" s="2660">
        <f>Geo!BZ81*0.08</f>
      </c>
      <c r="DO154" s="2660">
        <f>Geo!CA81*0.08</f>
      </c>
      <c r="DP154" s="2660">
        <f>Geo!CB81*0.08</f>
      </c>
      <c r="DQ154" s="2660">
        <f>Geo!CC81*0.08</f>
      </c>
      <c r="DR154" s="2660">
        <f>Geo!CD81*0.08</f>
      </c>
      <c r="DS154" s="2660">
        <f>Geo!CE81*0.08</f>
      </c>
      <c r="DT154" s="2660">
        <f>Geo!CF81*0.08</f>
      </c>
      <c r="DU154" s="2660">
        <f>Geo!CG81*0.08</f>
      </c>
      <c r="DV154" s="2660">
        <f>Geo!CH81*0.08</f>
      </c>
      <c r="DW154" s="2660">
        <f>Geo!CI81*0.08</f>
      </c>
      <c r="DX154" s="2660">
        <f>Geo!CJ81*0.08</f>
      </c>
      <c r="DY154" s="2660">
        <f>Geo!CK81*0.08</f>
      </c>
      <c r="DZ154" s="2660">
        <f>Geo!CL81*0.08</f>
      </c>
      <c r="EA154" s="2660">
        <f>Geo!CM81*0.08</f>
      </c>
      <c r="EB154" s="2660">
        <f>Geo!CN81*0.08</f>
      </c>
      <c r="EC154" s="2660">
        <f>Geo!CO81*0.08</f>
      </c>
      <c r="ED154" s="2660">
        <f>Geo!CP81*0.08</f>
      </c>
      <c r="EE154" s="2660">
        <f>Geo!CQ81*0.08</f>
      </c>
      <c r="EF154" s="2660">
        <f>Geo!CR81*0.08</f>
      </c>
      <c r="EG154" s="2660">
        <f>Geo!CS81*0.08</f>
      </c>
      <c r="EH154" s="2660">
        <f>Geo!CT81*0.08</f>
      </c>
      <c r="EI154" s="2660">
        <f>Geo!CU81*0.08</f>
      </c>
      <c r="EJ154" s="2660">
        <f>Geo!CV81*0.08</f>
      </c>
      <c r="EK154" s="2660">
        <f>Geo!CW81*0.08</f>
      </c>
      <c r="EL154" s="2660">
        <f>Geo!CX81*0.08</f>
      </c>
      <c r="EM154" s="2660">
        <f>Geo!CY81*0.08</f>
      </c>
      <c r="EN154" s="2660">
        <f>Geo!CZ81*0.08</f>
      </c>
      <c r="EO154" s="2660">
        <f>Geo!DA81*0.08</f>
      </c>
      <c r="EP154" s="2660">
        <f>Geo!DB81*0.08</f>
      </c>
      <c r="EQ154" s="2660">
        <f>Geo!DC81*0.08</f>
      </c>
      <c r="ER154" s="2660">
        <f>Geo!DD81*0.08</f>
      </c>
      <c r="ES154" s="2660">
        <f>Geo!DE81*0.08</f>
      </c>
      <c r="ET154" s="2660">
        <f>Geo!DF81*0.08</f>
      </c>
      <c r="EU154" s="2660">
        <f>Geo!DG81*0.08</f>
      </c>
      <c r="EV154" s="2660">
        <f>Geo!DH81*0.08</f>
      </c>
      <c r="EW154" s="2660">
        <f>Geo!DI81*0.08</f>
      </c>
      <c r="EX154" s="2660">
        <f>Geo!DJ81*0.08</f>
      </c>
      <c r="EY154" s="2660">
        <f>Geo!DK81*0.08</f>
      </c>
      <c r="EZ154" s="2660">
        <f>Geo!DL81*0.08</f>
      </c>
      <c r="FA154" s="2660">
        <f>Geo!DM81*0.08</f>
      </c>
      <c r="FB154" s="2660">
        <f>Geo!DN81*0.08</f>
      </c>
      <c r="FC154" s="2660">
        <f>Geo!DO81*0.08</f>
      </c>
      <c r="FD154" s="2660">
        <f>Geo!DP81*0.08</f>
      </c>
      <c r="FE154" s="2660">
        <f>Geo!DQ81*0.08</f>
      </c>
    </row>
    <row r="155" spans="2:161" outlineLevel="2">
      <c r="B155" t="s">
        <v>777</v>
      </c>
      <c r="C155" t="s">
        <v>778</v>
      </c>
      <c r="F155" s="2660"/>
      <c r="G155" s="2660"/>
      <c r="H155" s="2660"/>
      <c r="I155" s="2660"/>
      <c r="J155" s="2660"/>
      <c r="K155" s="2660"/>
      <c r="L155" s="2660"/>
      <c r="M155" s="2660"/>
      <c r="N155" s="2660"/>
      <c r="O155" s="2660"/>
      <c r="P155" s="2660"/>
      <c r="Q155" s="2660"/>
      <c r="R155" s="2660"/>
      <c r="S155" s="2660"/>
      <c r="T155" s="2660"/>
      <c r="U155" s="2660"/>
      <c r="V155" s="2660"/>
      <c r="W155" s="2660"/>
      <c r="X155" s="2660"/>
      <c r="Y155" s="2660"/>
      <c r="Z155" s="2660"/>
      <c r="AA155" s="2660"/>
      <c r="AB155" s="2660"/>
      <c r="AC155" s="2660"/>
      <c r="AD155" s="2660"/>
      <c r="AE155" s="2660"/>
      <c r="AF155" s="2660"/>
      <c r="AG155" s="2660"/>
      <c r="AH155" s="2660"/>
      <c r="AI155" s="2660"/>
      <c r="AJ155" s="2660"/>
      <c r="AK155" s="2660"/>
      <c r="AL155" s="2660"/>
      <c r="AM155" s="2660"/>
      <c r="AN155" s="2660"/>
      <c r="AO155" s="2660"/>
      <c r="AP155" s="2660"/>
      <c r="AQ155" s="2660"/>
      <c r="AR155" s="2660"/>
      <c r="AS155" s="2660"/>
      <c r="AT155" s="2660"/>
      <c r="AU155" s="2660"/>
      <c r="AV155" s="2660"/>
      <c r="AW155" s="2660"/>
      <c r="AX155" s="2660"/>
      <c r="AY155" s="2660"/>
      <c r="AZ155" s="2660"/>
      <c r="BA155" s="2660"/>
      <c r="BB155" s="2660"/>
      <c r="BC155" s="2660"/>
      <c r="BD155" s="2660"/>
      <c r="BE155" s="2660"/>
      <c r="BF155" s="2660"/>
      <c r="BG155" s="2660"/>
      <c r="BH155" s="2660"/>
      <c r="BI155" s="2660"/>
      <c r="BJ155" s="2660"/>
      <c r="BK155" s="2660"/>
      <c r="BL155" s="2660"/>
      <c r="BM155" s="2660"/>
      <c r="BN155" s="2660"/>
      <c r="BO155" s="2660"/>
      <c r="BP155" s="2660"/>
      <c r="BQ155" s="2660"/>
      <c r="BR155" s="2660"/>
      <c r="BS155" s="2660"/>
      <c r="BT155" s="2660"/>
      <c r="BU155" s="2660"/>
      <c r="BV155" s="2660"/>
      <c r="BW155" s="2660"/>
      <c r="BX155" s="2660"/>
      <c r="BY155" s="2660"/>
      <c r="BZ155" s="2660"/>
      <c r="CA155" s="2660"/>
      <c r="CB155" s="2660"/>
      <c r="CC155" s="2660"/>
      <c r="CD155" s="2660"/>
      <c r="CE155" s="2660"/>
      <c r="CF155" s="2660"/>
      <c r="CG155" s="2660"/>
      <c r="CH155" s="2660"/>
      <c r="CI155" s="2660"/>
      <c r="CJ155" s="2660"/>
      <c r="CK155" s="2660"/>
      <c r="CL155" s="2660"/>
      <c r="CM155" s="2660"/>
      <c r="CN155" s="2660"/>
      <c r="CO155" s="2660"/>
      <c r="CP155" s="2660"/>
      <c r="CQ155" s="2660"/>
      <c r="CR155" s="2660"/>
      <c r="CS155" s="2660"/>
      <c r="CT155" s="2660"/>
      <c r="CU155" s="2660"/>
      <c r="CV155" s="2660"/>
      <c r="CW155" s="2660"/>
      <c r="CX155" s="2660"/>
      <c r="CY155" s="2660"/>
      <c r="CZ155" s="2660"/>
      <c r="DA155" s="2660"/>
      <c r="DB155" s="2660"/>
      <c r="DC155" s="2660"/>
      <c r="DD155" s="2660"/>
      <c r="DE155" s="2660"/>
      <c r="DF155" s="2660"/>
      <c r="DG155" s="2660"/>
      <c r="DH155" s="2660"/>
      <c r="DI155" s="2660"/>
      <c r="DJ155" s="2660"/>
      <c r="DK155" s="2660"/>
      <c r="DL155" s="2660"/>
      <c r="DM155" s="2660"/>
      <c r="DN155" s="2660"/>
      <c r="DO155" s="2660"/>
      <c r="DP155" s="2660"/>
      <c r="DQ155" s="2660"/>
      <c r="DR155" s="2660"/>
      <c r="DS155" s="2660"/>
      <c r="DT155" s="2660"/>
      <c r="DU155" s="2660"/>
      <c r="DV155" s="2660"/>
      <c r="DW155" s="2660"/>
      <c r="DX155" s="2660"/>
      <c r="DY155" s="2660"/>
      <c r="DZ155" s="2660"/>
      <c r="EA155" s="2660"/>
      <c r="EB155" s="2660"/>
      <c r="EC155" s="2660"/>
      <c r="ED155" s="2660"/>
      <c r="EE155" s="2660"/>
      <c r="EF155" s="2660"/>
      <c r="EG155" s="2660"/>
      <c r="EH155" s="2660"/>
      <c r="EI155" s="2660"/>
      <c r="EJ155" s="2660"/>
      <c r="EK155" s="2660"/>
      <c r="EL155" s="2660"/>
      <c r="EM155" s="2660"/>
      <c r="EN155" s="2660"/>
      <c r="EO155" s="2660"/>
      <c r="EP155" s="2660"/>
      <c r="EQ155" s="2660"/>
      <c r="ER155" s="2660"/>
      <c r="ES155" s="2660"/>
      <c r="ET155" s="2660"/>
      <c r="EU155" s="2660"/>
      <c r="EV155" s="2660"/>
      <c r="EW155" s="2660"/>
      <c r="EX155" s="2660"/>
      <c r="EY155" s="2660"/>
      <c r="EZ155" s="2660"/>
      <c r="FA155" s="2660"/>
      <c r="FB155" s="2660"/>
      <c r="FC155" s="2660"/>
      <c r="FD155" s="2660"/>
      <c r="FE155" s="2660"/>
    </row>
    <row r="156" spans="2:161" outlineLevel="2">
      <c r="B156" t="s">
        <v>779</v>
      </c>
      <c r="C156" t="s">
        <v>780</v>
      </c>
      <c r="F156" s="2660"/>
      <c r="G156" s="2660"/>
      <c r="H156" s="2660"/>
      <c r="I156" s="2660"/>
      <c r="J156" s="2660"/>
      <c r="K156" s="2660"/>
      <c r="L156" s="2660"/>
      <c r="M156" s="2660"/>
      <c r="N156" s="2660"/>
      <c r="O156" s="2660"/>
      <c r="P156" s="2660"/>
      <c r="Q156" s="2660"/>
      <c r="R156" s="2660"/>
      <c r="S156" s="2660"/>
      <c r="T156" s="2660"/>
      <c r="U156" s="2660"/>
      <c r="V156" s="2660"/>
      <c r="W156" s="2660"/>
      <c r="X156" s="2660"/>
      <c r="Y156" s="2660"/>
      <c r="Z156" s="2660"/>
      <c r="AA156" s="2660"/>
      <c r="AB156" s="2660"/>
      <c r="AC156" s="2660"/>
      <c r="AD156" s="2660"/>
      <c r="AE156" s="2660"/>
      <c r="AF156" s="2660"/>
      <c r="AG156" s="2660"/>
      <c r="AH156" s="2660"/>
      <c r="AI156" s="2660"/>
      <c r="AJ156" s="2660"/>
      <c r="AK156" s="2660"/>
      <c r="AL156" s="2660"/>
      <c r="AM156" s="2660"/>
      <c r="AN156" s="2660"/>
      <c r="AO156" s="2660"/>
      <c r="AP156" s="2660"/>
      <c r="AQ156" s="2660"/>
      <c r="AR156" s="2660"/>
      <c r="AS156" s="2660"/>
      <c r="AT156" s="2660"/>
      <c r="AU156" s="2660"/>
      <c r="AV156" s="2660"/>
      <c r="AW156" s="2660"/>
      <c r="AX156" s="2660"/>
      <c r="AY156" s="2660"/>
      <c r="AZ156" s="2660"/>
      <c r="BA156" s="2660"/>
      <c r="BB156" s="2660"/>
      <c r="BC156" s="2660"/>
      <c r="BD156" s="2660"/>
      <c r="BE156" s="2660"/>
      <c r="BF156" s="2660"/>
      <c r="BG156" s="2660"/>
      <c r="BH156" s="2660"/>
      <c r="BI156" s="2660"/>
      <c r="BJ156" s="2660"/>
      <c r="BK156" s="2660"/>
      <c r="BL156" s="2660"/>
      <c r="BM156" s="2660"/>
      <c r="BN156" s="2660"/>
      <c r="BO156" s="2660"/>
      <c r="BP156" s="2660"/>
      <c r="BQ156" s="2660"/>
      <c r="BR156" s="2660"/>
      <c r="BS156" s="2660"/>
      <c r="BT156" s="2660"/>
      <c r="BU156" s="2660"/>
      <c r="BV156" s="2660"/>
      <c r="BW156" s="2660"/>
      <c r="BX156" s="2660"/>
      <c r="BY156" s="2660"/>
      <c r="BZ156" s="2660"/>
      <c r="CA156" s="2660"/>
      <c r="CB156" s="2660"/>
      <c r="CC156" s="2660"/>
      <c r="CD156" s="2660"/>
      <c r="CE156" s="2660"/>
      <c r="CF156" s="2660"/>
      <c r="CG156" s="2660"/>
      <c r="CH156" s="2660"/>
      <c r="CI156" s="2660"/>
      <c r="CJ156" s="2660"/>
      <c r="CK156" s="2660"/>
      <c r="CL156" s="2660"/>
      <c r="CM156" s="2660"/>
      <c r="CN156" s="2660"/>
      <c r="CO156" s="2660"/>
      <c r="CP156" s="2660"/>
      <c r="CQ156" s="2660"/>
      <c r="CR156" s="2660"/>
      <c r="CS156" s="2660"/>
      <c r="CT156" s="2660"/>
      <c r="CU156" s="2660"/>
      <c r="CV156" s="2660"/>
      <c r="CW156" s="2660"/>
      <c r="CX156" s="2660"/>
      <c r="CY156" s="2660"/>
      <c r="CZ156" s="2660"/>
      <c r="DA156" s="2660"/>
      <c r="DB156" s="2660"/>
      <c r="DC156" s="2660"/>
      <c r="DD156" s="2660"/>
      <c r="DE156" s="2660"/>
      <c r="DF156" s="2660"/>
      <c r="DG156" s="2660"/>
      <c r="DH156" s="2660"/>
      <c r="DI156" s="2660"/>
      <c r="DJ156" s="2660"/>
      <c r="DK156" s="2660"/>
      <c r="DL156" s="2660"/>
      <c r="DM156" s="2660"/>
      <c r="DN156" s="2660"/>
      <c r="DO156" s="2660"/>
      <c r="DP156" s="2660"/>
      <c r="DQ156" s="2660"/>
      <c r="DR156" s="2660"/>
      <c r="DS156" s="2660"/>
      <c r="DT156" s="2660"/>
      <c r="DU156" s="2660"/>
      <c r="DV156" s="2660"/>
      <c r="DW156" s="2660"/>
      <c r="DX156" s="2660"/>
      <c r="DY156" s="2660"/>
      <c r="DZ156" s="2660"/>
      <c r="EA156" s="2660"/>
      <c r="EB156" s="2660"/>
      <c r="EC156" s="2660"/>
      <c r="ED156" s="2660"/>
      <c r="EE156" s="2660"/>
      <c r="EF156" s="2660"/>
      <c r="EG156" s="2660"/>
      <c r="EH156" s="2660"/>
      <c r="EI156" s="2660"/>
      <c r="EJ156" s="2660"/>
      <c r="EK156" s="2660"/>
      <c r="EL156" s="2660"/>
      <c r="EM156" s="2660"/>
      <c r="EN156" s="2660"/>
      <c r="EO156" s="2660"/>
      <c r="EP156" s="2660"/>
      <c r="EQ156" s="2660"/>
      <c r="ER156" s="2660"/>
      <c r="ES156" s="2660"/>
      <c r="ET156" s="2660"/>
      <c r="EU156" s="2660"/>
      <c r="EV156" s="2660"/>
      <c r="EW156" s="2660"/>
      <c r="EX156" s="2660"/>
      <c r="EY156" s="2660"/>
      <c r="EZ156" s="2660"/>
      <c r="FA156" s="2660"/>
      <c r="FB156" s="2660"/>
      <c r="FC156" s="2660"/>
      <c r="FD156" s="2660"/>
      <c r="FE156" s="2660"/>
    </row>
    <row r="157" spans="2:161" outlineLevel="2">
      <c r="B157" t="s">
        <v>781</v>
      </c>
      <c r="C157" t="s">
        <v>782</v>
      </c>
      <c r="F157" s="2660"/>
      <c r="G157" s="2660"/>
      <c r="H157" s="2660"/>
      <c r="I157" s="2660"/>
      <c r="J157" s="2660"/>
      <c r="K157" s="2660"/>
      <c r="L157" s="2660"/>
      <c r="M157" s="2660"/>
      <c r="N157" s="2660"/>
      <c r="O157" s="2660"/>
      <c r="P157" s="2660"/>
      <c r="Q157" s="2660"/>
      <c r="R157" s="2660"/>
      <c r="S157" s="2660"/>
      <c r="T157" s="2660"/>
      <c r="U157" s="2660"/>
      <c r="V157" s="2660"/>
      <c r="W157" s="2660"/>
      <c r="X157" s="2660"/>
      <c r="Y157" s="2660"/>
      <c r="Z157" s="2660"/>
      <c r="AA157" s="2660"/>
      <c r="AB157" s="2660"/>
      <c r="AC157" s="2660"/>
      <c r="AD157" s="2660"/>
      <c r="AE157" s="2660"/>
      <c r="AF157" s="2660"/>
      <c r="AG157" s="2660"/>
      <c r="AH157" s="2660"/>
      <c r="AI157" s="2660"/>
      <c r="AJ157" s="2660"/>
      <c r="AK157" s="2660"/>
      <c r="AL157" s="2660"/>
      <c r="AM157" s="2660"/>
      <c r="AN157" s="2660"/>
      <c r="AO157" s="2660"/>
      <c r="AP157" s="2660"/>
      <c r="AQ157" s="2660"/>
      <c r="AR157" s="2660"/>
      <c r="AS157" s="2660"/>
      <c r="AT157" s="2660"/>
      <c r="AU157" s="2660"/>
      <c r="AV157" s="2660"/>
      <c r="AW157" s="2660"/>
      <c r="AX157" s="2660"/>
      <c r="AY157" s="2660"/>
      <c r="AZ157" s="2660"/>
      <c r="BA157" s="2660"/>
      <c r="BB157" s="2660"/>
      <c r="BC157" s="2660"/>
      <c r="BD157" s="2660"/>
      <c r="BE157" s="2660"/>
      <c r="BF157" s="2660"/>
      <c r="BG157" s="2660"/>
      <c r="BH157" s="2660"/>
      <c r="BI157" s="2660"/>
      <c r="BJ157" s="2660"/>
      <c r="BK157" s="2660"/>
      <c r="BL157" s="2660"/>
      <c r="BM157" s="2660"/>
      <c r="BN157" s="2660"/>
      <c r="BO157" s="2660"/>
      <c r="BP157" s="2660"/>
      <c r="BQ157" s="2660"/>
      <c r="BR157" s="2660"/>
      <c r="BS157" s="2660"/>
      <c r="BT157" s="2660"/>
      <c r="BU157" s="2660"/>
      <c r="BV157" s="2660"/>
      <c r="BW157" s="2660"/>
      <c r="BX157" s="2660"/>
      <c r="BY157" s="2660"/>
      <c r="BZ157" s="2660"/>
      <c r="CA157" s="2660"/>
      <c r="CB157" s="2660"/>
      <c r="CC157" s="2660"/>
      <c r="CD157" s="2660"/>
      <c r="CE157" s="2660"/>
      <c r="CF157" s="2660"/>
      <c r="CG157" s="2660"/>
      <c r="CH157" s="2660"/>
      <c r="CI157" s="2660"/>
      <c r="CJ157" s="2660"/>
      <c r="CK157" s="2660"/>
      <c r="CL157" s="2660"/>
      <c r="CM157" s="2660"/>
      <c r="CN157" s="2660"/>
      <c r="CO157" s="2660"/>
      <c r="CP157" s="2660"/>
      <c r="CQ157" s="2660"/>
      <c r="CR157" s="2660"/>
      <c r="CS157" s="2660"/>
      <c r="CT157" s="2660"/>
      <c r="CU157" s="2660"/>
      <c r="CV157" s="2660"/>
      <c r="CW157" s="2660"/>
      <c r="CX157" s="2660"/>
      <c r="CY157" s="2660"/>
      <c r="CZ157" s="2660"/>
      <c r="DA157" s="2660"/>
      <c r="DB157" s="2660"/>
      <c r="DC157" s="2660"/>
      <c r="DD157" s="2660"/>
      <c r="DE157" s="2660"/>
      <c r="DF157" s="2660"/>
      <c r="DG157" s="2660"/>
      <c r="DH157" s="2660"/>
      <c r="DI157" s="2660"/>
      <c r="DJ157" s="2660"/>
      <c r="DK157" s="2660"/>
      <c r="DL157" s="2660"/>
      <c r="DM157" s="2660"/>
      <c r="DN157" s="2660"/>
      <c r="DO157" s="2660"/>
      <c r="DP157" s="2660"/>
      <c r="DQ157" s="2660"/>
      <c r="DR157" s="2660"/>
      <c r="DS157" s="2660"/>
      <c r="DT157" s="2660"/>
      <c r="DU157" s="2660"/>
      <c r="DV157" s="2660"/>
      <c r="DW157" s="2660"/>
      <c r="DX157" s="2660"/>
      <c r="DY157" s="2660"/>
      <c r="DZ157" s="2660"/>
      <c r="EA157" s="2660"/>
      <c r="EB157" s="2660"/>
      <c r="EC157" s="2660"/>
      <c r="ED157" s="2660"/>
      <c r="EE157" s="2660"/>
      <c r="EF157" s="2660"/>
      <c r="EG157" s="2660"/>
      <c r="EH157" s="2660"/>
      <c r="EI157" s="2660"/>
      <c r="EJ157" s="2660"/>
      <c r="EK157" s="2660"/>
      <c r="EL157" s="2660"/>
      <c r="EM157" s="2660"/>
      <c r="EN157" s="2660"/>
      <c r="EO157" s="2660"/>
      <c r="EP157" s="2660"/>
      <c r="EQ157" s="2660"/>
      <c r="ER157" s="2660"/>
      <c r="ES157" s="2660"/>
      <c r="ET157" s="2660"/>
      <c r="EU157" s="2660"/>
      <c r="EV157" s="2660"/>
      <c r="EW157" s="2660"/>
      <c r="EX157" s="2660"/>
      <c r="EY157" s="2660"/>
      <c r="EZ157" s="2660"/>
      <c r="FA157" s="2660"/>
      <c r="FB157" s="2660"/>
      <c r="FC157" s="2660"/>
      <c r="FD157" s="2660"/>
      <c r="FE157" s="2660"/>
    </row>
    <row r="158" spans="2:161" outlineLevel="2">
      <c r="B158" t="s">
        <v>783</v>
      </c>
      <c r="C158" t="s">
        <v>784</v>
      </c>
      <c r="F158" s="2660"/>
      <c r="G158" s="2660"/>
      <c r="H158" s="2660"/>
      <c r="I158" s="2660"/>
      <c r="J158" s="2660"/>
      <c r="K158" s="2660"/>
      <c r="L158" s="2660"/>
      <c r="M158" s="2660"/>
      <c r="N158" s="2660"/>
      <c r="O158" s="2660"/>
      <c r="P158" s="2660"/>
      <c r="Q158" s="2660"/>
      <c r="R158" s="2660"/>
      <c r="S158" s="2660"/>
      <c r="T158" s="2660"/>
      <c r="U158" s="2660"/>
      <c r="V158" s="2660"/>
      <c r="W158" s="2660"/>
      <c r="X158" s="2660"/>
      <c r="Y158" s="2660"/>
      <c r="Z158" s="2660"/>
      <c r="AA158" s="2660"/>
      <c r="AB158" s="2660"/>
      <c r="AC158" s="2660"/>
      <c r="AD158" s="2660"/>
      <c r="AE158" s="2660"/>
      <c r="AF158" s="2660"/>
      <c r="AG158" s="2660"/>
      <c r="AH158" s="2660"/>
      <c r="AI158" s="2660"/>
      <c r="AJ158" s="2660"/>
      <c r="AK158" s="2660"/>
      <c r="AL158" s="2660"/>
      <c r="AM158" s="2660"/>
      <c r="AN158" s="2660"/>
      <c r="AO158" s="2660"/>
      <c r="AP158" s="2660"/>
      <c r="AQ158" s="2660"/>
      <c r="AR158" s="2660"/>
      <c r="AS158" s="2660"/>
      <c r="AT158" s="2660"/>
      <c r="AU158" s="2660"/>
      <c r="AV158" s="2660"/>
      <c r="AW158" s="2660"/>
      <c r="AX158" s="2660"/>
      <c r="AY158" s="2660"/>
      <c r="AZ158" s="2660"/>
      <c r="BA158" s="2660"/>
      <c r="BB158" s="2660"/>
      <c r="BC158" s="2660"/>
      <c r="BD158" s="2660"/>
      <c r="BE158" s="2660"/>
      <c r="BF158" s="2660"/>
      <c r="BG158" s="2660"/>
      <c r="BH158" s="2660"/>
      <c r="BI158" s="2660"/>
      <c r="BJ158" s="2660"/>
      <c r="BK158" s="2660"/>
      <c r="BL158" s="2660"/>
      <c r="BM158" s="2660"/>
      <c r="BN158" s="2660"/>
      <c r="BO158" s="2660"/>
      <c r="BP158" s="2660"/>
      <c r="BQ158" s="2660"/>
      <c r="BR158" s="2660"/>
      <c r="BS158" s="2660"/>
      <c r="BT158" s="2660"/>
      <c r="BU158" s="2660"/>
      <c r="BV158" s="2660"/>
      <c r="BW158" s="2660"/>
      <c r="BX158" s="2660"/>
      <c r="BY158" s="2660"/>
      <c r="BZ158" s="2660"/>
      <c r="CA158" s="2660"/>
      <c r="CB158" s="2660"/>
      <c r="CC158" s="2660"/>
      <c r="CD158" s="2660"/>
      <c r="CE158" s="2660"/>
      <c r="CF158" s="2660"/>
      <c r="CG158" s="2660"/>
      <c r="CH158" s="2660"/>
      <c r="CI158" s="2660"/>
      <c r="CJ158" s="2660"/>
      <c r="CK158" s="2660"/>
      <c r="CL158" s="2660"/>
      <c r="CM158" s="2660"/>
      <c r="CN158" s="2660"/>
      <c r="CO158" s="2660"/>
      <c r="CP158" s="2660"/>
      <c r="CQ158" s="2660"/>
      <c r="CR158" s="2660"/>
      <c r="CS158" s="2660"/>
      <c r="CT158" s="2660"/>
      <c r="CU158" s="2660"/>
      <c r="CV158" s="2660"/>
      <c r="CW158" s="2660"/>
      <c r="CX158" s="2660"/>
      <c r="CY158" s="2660"/>
      <c r="CZ158" s="2660"/>
      <c r="DA158" s="2660"/>
      <c r="DB158" s="2660"/>
      <c r="DC158" s="2660"/>
      <c r="DD158" s="2660"/>
      <c r="DE158" s="2660"/>
      <c r="DF158" s="2660"/>
      <c r="DG158" s="2660"/>
      <c r="DH158" s="2660"/>
      <c r="DI158" s="2660"/>
      <c r="DJ158" s="2660"/>
      <c r="DK158" s="2660"/>
      <c r="DL158" s="2660"/>
      <c r="DM158" s="2660"/>
      <c r="DN158" s="2660"/>
      <c r="DO158" s="2660"/>
      <c r="DP158" s="2660"/>
      <c r="DQ158" s="2660"/>
      <c r="DR158" s="2660"/>
      <c r="DS158" s="2660"/>
      <c r="DT158" s="2660"/>
      <c r="DU158" s="2660"/>
      <c r="DV158" s="2660"/>
      <c r="DW158" s="2660"/>
      <c r="DX158" s="2660"/>
      <c r="DY158" s="2660"/>
      <c r="DZ158" s="2660"/>
      <c r="EA158" s="2660"/>
      <c r="EB158" s="2660"/>
      <c r="EC158" s="2660"/>
      <c r="ED158" s="2660"/>
      <c r="EE158" s="2660"/>
      <c r="EF158" s="2660"/>
      <c r="EG158" s="2660"/>
      <c r="EH158" s="2660"/>
      <c r="EI158" s="2660"/>
      <c r="EJ158" s="2660"/>
      <c r="EK158" s="2660"/>
      <c r="EL158" s="2660"/>
      <c r="EM158" s="2660"/>
      <c r="EN158" s="2660"/>
      <c r="EO158" s="2660"/>
      <c r="EP158" s="2660"/>
      <c r="EQ158" s="2660"/>
      <c r="ER158" s="2660"/>
      <c r="ES158" s="2660"/>
      <c r="ET158" s="2660"/>
      <c r="EU158" s="2660"/>
      <c r="EV158" s="2660"/>
      <c r="EW158" s="2660"/>
      <c r="EX158" s="2660"/>
      <c r="EY158" s="2660"/>
      <c r="EZ158" s="2660"/>
      <c r="FA158" s="2660"/>
      <c r="FB158" s="2660"/>
      <c r="FC158" s="2660"/>
      <c r="FD158" s="2660"/>
      <c r="FE158" s="2660"/>
    </row>
    <row r="159" spans="2:161" outlineLevel="2">
      <c r="B159" t="s">
        <v>785</v>
      </c>
      <c r="C159" t="s">
        <v>786</v>
      </c>
      <c r="F159" s="2660"/>
      <c r="G159" s="2660"/>
      <c r="H159" s="2660"/>
      <c r="I159" s="2660"/>
      <c r="J159" s="2660"/>
      <c r="K159" s="2660"/>
      <c r="L159" s="2660"/>
      <c r="M159" s="2660"/>
      <c r="N159" s="2660"/>
      <c r="O159" s="2660"/>
      <c r="P159" s="2660"/>
      <c r="Q159" s="2660"/>
      <c r="R159" s="2660"/>
      <c r="S159" s="2660"/>
      <c r="T159" s="2660"/>
      <c r="U159" s="2660"/>
      <c r="V159" s="2660"/>
      <c r="W159" s="2660"/>
      <c r="X159" s="2660"/>
      <c r="Y159" s="2660"/>
      <c r="Z159" s="2660"/>
      <c r="AA159" s="2660"/>
      <c r="AB159" s="2660"/>
      <c r="AC159" s="2660"/>
      <c r="AD159" s="2660"/>
      <c r="AE159" s="2660"/>
      <c r="AF159" s="2660"/>
      <c r="AG159" s="2660"/>
      <c r="AH159" s="2660"/>
      <c r="AI159" s="2660"/>
      <c r="AJ159" s="2660"/>
      <c r="AK159" s="2660"/>
      <c r="AL159" s="2660"/>
      <c r="AM159" s="2660"/>
      <c r="AN159" s="2660"/>
      <c r="AO159" s="2660"/>
      <c r="AP159" s="2660"/>
      <c r="AQ159" s="2660"/>
      <c r="AR159" s="2660"/>
      <c r="AS159" s="2660"/>
      <c r="AT159" s="2660"/>
      <c r="AU159" s="2660"/>
      <c r="AV159" s="2660"/>
      <c r="AW159" s="2660"/>
      <c r="AX159" s="2660"/>
      <c r="AY159" s="2660"/>
      <c r="AZ159" s="2660"/>
      <c r="BA159" s="2660"/>
      <c r="BB159" s="2660"/>
      <c r="BC159" s="2660"/>
      <c r="BD159" s="2660"/>
      <c r="BE159" s="2660"/>
      <c r="BF159" s="2660"/>
      <c r="BG159" s="2660"/>
      <c r="BH159" s="2660"/>
      <c r="BI159" s="2660"/>
      <c r="BJ159" s="2660"/>
      <c r="BK159" s="2660"/>
      <c r="BL159" s="2660"/>
      <c r="BM159" s="2660"/>
      <c r="BN159" s="2660"/>
      <c r="BO159" s="2660"/>
      <c r="BP159" s="2660"/>
      <c r="BQ159" s="2660"/>
      <c r="BR159" s="2660"/>
      <c r="BS159" s="2660"/>
      <c r="BT159" s="2660"/>
      <c r="BU159" s="2660"/>
      <c r="BV159" s="2660"/>
      <c r="BW159" s="2660"/>
      <c r="BX159" s="2660"/>
      <c r="BY159" s="2660"/>
      <c r="BZ159" s="2660"/>
      <c r="CA159" s="2660"/>
      <c r="CB159" s="2660"/>
      <c r="CC159" s="2660"/>
      <c r="CD159" s="2660"/>
      <c r="CE159" s="2660"/>
      <c r="CF159" s="2660"/>
      <c r="CG159" s="2660"/>
      <c r="CH159" s="2660"/>
      <c r="CI159" s="2660"/>
      <c r="CJ159" s="2660"/>
      <c r="CK159" s="2660"/>
      <c r="CL159" s="2660"/>
      <c r="CM159" s="2660"/>
      <c r="CN159" s="2660"/>
      <c r="CO159" s="2660"/>
      <c r="CP159" s="2660"/>
      <c r="CQ159" s="2660"/>
      <c r="CR159" s="2660"/>
      <c r="CS159" s="2660"/>
      <c r="CT159" s="2660"/>
      <c r="CU159" s="2660"/>
      <c r="CV159" s="2660"/>
      <c r="CW159" s="2660"/>
      <c r="CX159" s="2660"/>
      <c r="CY159" s="2660"/>
      <c r="CZ159" s="2660"/>
      <c r="DA159" s="2660"/>
      <c r="DB159" s="2660"/>
      <c r="DC159" s="2660"/>
      <c r="DD159" s="2660"/>
      <c r="DE159" s="2660"/>
      <c r="DF159" s="2660"/>
      <c r="DG159" s="2660"/>
      <c r="DH159" s="2660"/>
      <c r="DI159" s="2660"/>
      <c r="DJ159" s="2660"/>
      <c r="DK159" s="2660"/>
      <c r="DL159" s="2660"/>
      <c r="DM159" s="2660"/>
      <c r="DN159" s="2660"/>
      <c r="DO159" s="2660"/>
      <c r="DP159" s="2660"/>
      <c r="DQ159" s="2660"/>
      <c r="DR159" s="2660"/>
      <c r="DS159" s="2660"/>
      <c r="DT159" s="2660"/>
      <c r="DU159" s="2660"/>
      <c r="DV159" s="2660"/>
      <c r="DW159" s="2660"/>
      <c r="DX159" s="2660"/>
      <c r="DY159" s="2660"/>
      <c r="DZ159" s="2660"/>
      <c r="EA159" s="2660"/>
      <c r="EB159" s="2660"/>
      <c r="EC159" s="2660"/>
      <c r="ED159" s="2660"/>
      <c r="EE159" s="2660"/>
      <c r="EF159" s="2660"/>
      <c r="EG159" s="2660"/>
      <c r="EH159" s="2660"/>
      <c r="EI159" s="2660"/>
      <c r="EJ159" s="2660"/>
      <c r="EK159" s="2660"/>
      <c r="EL159" s="2660"/>
      <c r="EM159" s="2660"/>
      <c r="EN159" s="2660"/>
      <c r="EO159" s="2660"/>
      <c r="EP159" s="2660"/>
      <c r="EQ159" s="2660"/>
      <c r="ER159" s="2660"/>
      <c r="ES159" s="2660"/>
      <c r="ET159" s="2660"/>
      <c r="EU159" s="2660"/>
      <c r="EV159" s="2660"/>
      <c r="EW159" s="2660"/>
      <c r="EX159" s="2660"/>
      <c r="EY159" s="2660"/>
      <c r="EZ159" s="2660"/>
      <c r="FA159" s="2660"/>
      <c r="FB159" s="2660"/>
      <c r="FC159" s="2660"/>
      <c r="FD159" s="2660"/>
      <c r="FE159" s="2660"/>
    </row>
    <row r="160" spans="2:161" outlineLevel="2">
      <c r="B160" t="s">
        <v>787</v>
      </c>
      <c r="C160" t="s">
        <v>788</v>
      </c>
      <c r="F160" s="2660"/>
      <c r="G160" s="2660"/>
      <c r="H160" s="2660"/>
      <c r="I160" s="2660"/>
      <c r="J160" s="2660"/>
      <c r="K160" s="2660"/>
      <c r="L160" s="2660"/>
      <c r="M160" s="2660"/>
      <c r="N160" s="2660"/>
      <c r="O160" s="2660"/>
      <c r="P160" s="2660"/>
      <c r="Q160" s="2660"/>
      <c r="R160" s="2660"/>
      <c r="S160" s="2660"/>
      <c r="T160" s="2660"/>
      <c r="U160" s="2660"/>
      <c r="V160" s="2660"/>
      <c r="W160" s="2660"/>
      <c r="X160" s="2660"/>
      <c r="Y160" s="2660"/>
      <c r="Z160" s="2660"/>
      <c r="AA160" s="2660"/>
      <c r="AB160" s="2660"/>
      <c r="AC160" s="2660"/>
      <c r="AD160" s="2660"/>
      <c r="AE160" s="2660"/>
      <c r="AF160" s="2660"/>
      <c r="AG160" s="2660"/>
      <c r="AH160" s="2660"/>
      <c r="AI160" s="2660"/>
      <c r="AJ160" s="2660"/>
      <c r="AK160" s="2660"/>
      <c r="AL160" s="2660"/>
      <c r="AM160" s="2660"/>
      <c r="AN160" s="2660"/>
      <c r="AO160" s="2660"/>
      <c r="AP160" s="2660"/>
      <c r="AQ160" s="2660"/>
      <c r="AR160" s="2660"/>
      <c r="AS160" s="2660"/>
      <c r="AT160" s="2660"/>
      <c r="AU160" s="2660"/>
      <c r="AV160" s="2660"/>
      <c r="AW160" s="2660"/>
      <c r="AX160" s="2660"/>
      <c r="AY160" s="2660"/>
      <c r="AZ160" s="2660"/>
      <c r="BA160" s="2660"/>
      <c r="BB160" s="2660"/>
      <c r="BC160" s="2660"/>
      <c r="BD160" s="2660"/>
      <c r="BE160" s="2660"/>
      <c r="BF160" s="2660"/>
      <c r="BG160" s="2660"/>
      <c r="BH160" s="2660"/>
      <c r="BI160" s="2660"/>
      <c r="BJ160" s="2660"/>
      <c r="BK160" s="2660"/>
      <c r="BL160" s="2660"/>
      <c r="BM160" s="2660"/>
      <c r="BN160" s="2660"/>
      <c r="BO160" s="2660"/>
      <c r="BP160" s="2660"/>
      <c r="BQ160" s="2660"/>
      <c r="BR160" s="2660"/>
      <c r="BS160" s="2660"/>
      <c r="BT160" s="2660"/>
      <c r="BU160" s="2660"/>
      <c r="BV160" s="2660"/>
      <c r="BW160" s="2660"/>
      <c r="BX160" s="2660"/>
      <c r="BY160" s="2660"/>
      <c r="BZ160" s="2660"/>
      <c r="CA160" s="2660"/>
      <c r="CB160" s="2660"/>
      <c r="CC160" s="2660"/>
      <c r="CD160" s="2660"/>
      <c r="CE160" s="2660"/>
      <c r="CF160" s="2660"/>
      <c r="CG160" s="2660"/>
      <c r="CH160" s="2660"/>
      <c r="CI160" s="2660"/>
      <c r="CJ160" s="2660"/>
      <c r="CK160" s="2660"/>
      <c r="CL160" s="2660"/>
      <c r="CM160" s="2660"/>
      <c r="CN160" s="2660"/>
      <c r="CO160" s="2660"/>
      <c r="CP160" s="2660"/>
      <c r="CQ160" s="2660"/>
      <c r="CR160" s="2660"/>
      <c r="CS160" s="2660"/>
      <c r="CT160" s="2660"/>
      <c r="CU160" s="2660"/>
      <c r="CV160" s="2660"/>
      <c r="CW160" s="2660"/>
      <c r="CX160" s="2660"/>
      <c r="CY160" s="2660"/>
      <c r="CZ160" s="2660"/>
      <c r="DA160" s="2660"/>
      <c r="DB160" s="2660"/>
      <c r="DC160" s="2660"/>
      <c r="DD160" s="2660"/>
      <c r="DE160" s="2660"/>
      <c r="DF160" s="2660"/>
      <c r="DG160" s="2660"/>
      <c r="DH160" s="2660"/>
      <c r="DI160" s="2660"/>
      <c r="DJ160" s="2660"/>
      <c r="DK160" s="2660"/>
      <c r="DL160" s="2660"/>
      <c r="DM160" s="2660"/>
      <c r="DN160" s="2660"/>
      <c r="DO160" s="2660"/>
      <c r="DP160" s="2660"/>
      <c r="DQ160" s="2660"/>
      <c r="DR160" s="2660"/>
      <c r="DS160" s="2660"/>
      <c r="DT160" s="2660"/>
      <c r="DU160" s="2660"/>
      <c r="DV160" s="2660"/>
      <c r="DW160" s="2660"/>
      <c r="DX160" s="2660"/>
      <c r="DY160" s="2660"/>
      <c r="DZ160" s="2660"/>
      <c r="EA160" s="2660"/>
      <c r="EB160" s="2660"/>
      <c r="EC160" s="2660"/>
      <c r="ED160" s="2660"/>
      <c r="EE160" s="2660"/>
      <c r="EF160" s="2660"/>
      <c r="EG160" s="2660"/>
      <c r="EH160" s="2660"/>
      <c r="EI160" s="2660"/>
      <c r="EJ160" s="2660"/>
      <c r="EK160" s="2660"/>
      <c r="EL160" s="2660"/>
      <c r="EM160" s="2660"/>
      <c r="EN160" s="2660"/>
      <c r="EO160" s="2660"/>
      <c r="EP160" s="2660"/>
      <c r="EQ160" s="2660"/>
      <c r="ER160" s="2660"/>
      <c r="ES160" s="2660"/>
      <c r="ET160" s="2660"/>
      <c r="EU160" s="2660"/>
      <c r="EV160" s="2660"/>
      <c r="EW160" s="2660"/>
      <c r="EX160" s="2660"/>
      <c r="EY160" s="2660"/>
      <c r="EZ160" s="2660"/>
      <c r="FA160" s="2660"/>
      <c r="FB160" s="2660"/>
      <c r="FC160" s="2660"/>
      <c r="FD160" s="2660"/>
      <c r="FE160" s="2660"/>
    </row>
    <row r="161" spans="2:161" outlineLevel="2">
      <c r="B161" t="s">
        <v>789</v>
      </c>
      <c r="C161" t="s">
        <v>790</v>
      </c>
      <c r="F161" s="2660"/>
      <c r="G161" s="2660"/>
      <c r="H161" s="2660"/>
      <c r="I161" s="2660"/>
      <c r="J161" s="2660"/>
      <c r="K161" s="2660"/>
      <c r="L161" s="2660"/>
      <c r="M161" s="2660"/>
      <c r="N161" s="2660"/>
      <c r="O161" s="2660"/>
      <c r="P161" s="2660"/>
      <c r="Q161" s="2660"/>
      <c r="R161" s="2660"/>
      <c r="S161" s="2660"/>
      <c r="T161" s="2660"/>
      <c r="U161" s="2660"/>
      <c r="V161" s="2660"/>
      <c r="W161" s="2660"/>
      <c r="X161" s="2660"/>
      <c r="Y161" s="2660"/>
      <c r="Z161" s="2660"/>
      <c r="AA161" s="2660"/>
      <c r="AB161" s="2660"/>
      <c r="AC161" s="2660"/>
      <c r="AD161" s="2660"/>
      <c r="AE161" s="2660"/>
      <c r="AF161" s="2660"/>
      <c r="AG161" s="2660"/>
      <c r="AH161" s="2660"/>
      <c r="AI161" s="2660"/>
      <c r="AJ161" s="2660"/>
      <c r="AK161" s="2660"/>
      <c r="AL161" s="2660"/>
      <c r="AM161" s="2660"/>
      <c r="AN161" s="2660"/>
      <c r="AO161" s="2660"/>
      <c r="AP161" s="2660"/>
      <c r="AQ161" s="2660"/>
      <c r="AR161" s="2660"/>
      <c r="AS161" s="2660"/>
      <c r="AT161" s="2660"/>
      <c r="AU161" s="2660"/>
      <c r="AV161" s="2660"/>
      <c r="AW161" s="2660"/>
      <c r="AX161" s="2660"/>
      <c r="AY161" s="2660"/>
      <c r="AZ161" s="2660"/>
      <c r="BA161" s="2660"/>
      <c r="BB161" s="2660"/>
      <c r="BC161" s="2660"/>
      <c r="BD161" s="2660"/>
      <c r="BE161" s="2660"/>
      <c r="BF161" s="2660"/>
      <c r="BG161" s="2660"/>
      <c r="BH161" s="2660"/>
      <c r="BI161" s="2660"/>
      <c r="BJ161" s="2660"/>
      <c r="BK161" s="2660"/>
      <c r="BL161" s="2660"/>
      <c r="BM161" s="2660"/>
      <c r="BN161" s="2660"/>
      <c r="BO161" s="2660"/>
      <c r="BP161" s="2660"/>
      <c r="BQ161" s="2660"/>
      <c r="BR161" s="2660"/>
      <c r="BS161" s="2660"/>
      <c r="BT161" s="2660"/>
      <c r="BU161" s="2660"/>
      <c r="BV161" s="2660"/>
      <c r="BW161" s="2660"/>
      <c r="BX161" s="2660"/>
      <c r="BY161" s="2660"/>
      <c r="BZ161" s="2660"/>
      <c r="CA161" s="2660"/>
      <c r="CB161" s="2660"/>
      <c r="CC161" s="2660"/>
      <c r="CD161" s="2660"/>
      <c r="CE161" s="2660"/>
      <c r="CF161" s="2660"/>
      <c r="CG161" s="2660"/>
      <c r="CH161" s="2660"/>
      <c r="CI161" s="2660"/>
      <c r="CJ161" s="2660"/>
      <c r="CK161" s="2660"/>
      <c r="CL161" s="2660"/>
      <c r="CM161" s="2660"/>
      <c r="CN161" s="2660"/>
      <c r="CO161" s="2660"/>
      <c r="CP161" s="2660"/>
      <c r="CQ161" s="2660"/>
      <c r="CR161" s="2660"/>
      <c r="CS161" s="2660"/>
      <c r="CT161" s="2660"/>
      <c r="CU161" s="2660"/>
      <c r="CV161" s="2660"/>
      <c r="CW161" s="2660"/>
      <c r="CX161" s="2660"/>
      <c r="CY161" s="2660"/>
      <c r="CZ161" s="2660"/>
      <c r="DA161" s="2660"/>
      <c r="DB161" s="2660"/>
      <c r="DC161" s="2660"/>
      <c r="DD161" s="2660"/>
      <c r="DE161" s="2660"/>
      <c r="DF161" s="2660"/>
      <c r="DG161" s="2660"/>
      <c r="DH161" s="2660"/>
      <c r="DI161" s="2660"/>
      <c r="DJ161" s="2660"/>
      <c r="DK161" s="2660"/>
      <c r="DL161" s="2660"/>
      <c r="DM161" s="2660"/>
      <c r="DN161" s="2660"/>
      <c r="DO161" s="2660"/>
      <c r="DP161" s="2660"/>
      <c r="DQ161" s="2660"/>
      <c r="DR161" s="2660"/>
      <c r="DS161" s="2660"/>
      <c r="DT161" s="2660"/>
      <c r="DU161" s="2660"/>
      <c r="DV161" s="2660"/>
      <c r="DW161" s="2660"/>
      <c r="DX161" s="2660"/>
      <c r="DY161" s="2660"/>
      <c r="DZ161" s="2660"/>
      <c r="EA161" s="2660"/>
      <c r="EB161" s="2660"/>
      <c r="EC161" s="2660"/>
      <c r="ED161" s="2660"/>
      <c r="EE161" s="2660"/>
      <c r="EF161" s="2660"/>
      <c r="EG161" s="2660"/>
      <c r="EH161" s="2660"/>
      <c r="EI161" s="2660"/>
      <c r="EJ161" s="2660"/>
      <c r="EK161" s="2660"/>
      <c r="EL161" s="2660"/>
      <c r="EM161" s="2660"/>
      <c r="EN161" s="2660"/>
      <c r="EO161" s="2660"/>
      <c r="EP161" s="2660"/>
      <c r="EQ161" s="2660"/>
      <c r="ER161" s="2660"/>
      <c r="ES161" s="2660"/>
      <c r="ET161" s="2660"/>
      <c r="EU161" s="2660"/>
      <c r="EV161" s="2660"/>
      <c r="EW161" s="2660"/>
      <c r="EX161" s="2660"/>
      <c r="EY161" s="2660"/>
      <c r="EZ161" s="2660"/>
      <c r="FA161" s="2660"/>
      <c r="FB161" s="2660"/>
      <c r="FC161" s="2660"/>
      <c r="FD161" s="2660"/>
      <c r="FE161" s="2660"/>
    </row>
    <row r="162" spans="2:161" outlineLevel="2">
      <c r="B162" t="s">
        <v>791</v>
      </c>
      <c r="C162" t="s">
        <v>792</v>
      </c>
      <c r="F162" s="2660"/>
      <c r="G162" s="2660"/>
      <c r="H162" s="2660"/>
      <c r="I162" s="2660"/>
      <c r="J162" s="2660"/>
      <c r="K162" s="2660"/>
      <c r="L162" s="2660"/>
      <c r="M162" s="2660"/>
      <c r="N162" s="2660"/>
      <c r="O162" s="2660"/>
      <c r="P162" s="2660"/>
      <c r="Q162" s="2660"/>
      <c r="R162" s="2660"/>
      <c r="S162" s="2660"/>
      <c r="T162" s="2660"/>
      <c r="U162" s="2660"/>
      <c r="V162" s="2660"/>
      <c r="W162" s="2660"/>
      <c r="X162" s="2660"/>
      <c r="Y162" s="2660"/>
      <c r="Z162" s="2660"/>
      <c r="AA162" s="2660"/>
      <c r="AB162" s="2660"/>
      <c r="AC162" s="2660"/>
      <c r="AD162" s="2660"/>
      <c r="AE162" s="2660"/>
      <c r="AF162" s="2660"/>
      <c r="AG162" s="2660"/>
      <c r="AH162" s="2660"/>
      <c r="AI162" s="2660"/>
      <c r="AJ162" s="2660"/>
      <c r="AK162" s="2660"/>
      <c r="AL162" s="2660"/>
      <c r="AM162" s="2660"/>
      <c r="AN162" s="2660"/>
      <c r="AO162" s="2660"/>
      <c r="AP162" s="2660"/>
      <c r="AQ162" s="2660"/>
      <c r="AR162" s="2660"/>
      <c r="AS162" s="2660"/>
      <c r="AT162" s="2660"/>
      <c r="AU162" s="2660"/>
      <c r="AV162" s="2660"/>
      <c r="AW162" s="2660"/>
      <c r="AX162" s="2660"/>
      <c r="AY162" s="2660"/>
      <c r="AZ162" s="2660"/>
      <c r="BA162" s="2660"/>
      <c r="BB162" s="2660"/>
      <c r="BC162" s="2660"/>
      <c r="BD162" s="2660"/>
      <c r="BE162" s="2660"/>
      <c r="BF162" s="2660"/>
      <c r="BG162" s="2660"/>
      <c r="BH162" s="2660"/>
      <c r="BI162" s="2660"/>
      <c r="BJ162" s="2660"/>
      <c r="BK162" s="2660"/>
      <c r="BL162" s="2660"/>
      <c r="BM162" s="2660"/>
      <c r="BN162" s="2660"/>
      <c r="BO162" s="2660"/>
      <c r="BP162" s="2660"/>
      <c r="BQ162" s="2660"/>
      <c r="BR162" s="2660"/>
      <c r="BS162" s="2660"/>
      <c r="BT162" s="2660"/>
      <c r="BU162" s="2660"/>
      <c r="BV162" s="2660"/>
      <c r="BW162" s="2660"/>
      <c r="BX162" s="2660"/>
      <c r="BY162" s="2660"/>
      <c r="BZ162" s="2660"/>
      <c r="CA162" s="2660"/>
      <c r="CB162" s="2660"/>
      <c r="CC162" s="2660"/>
      <c r="CD162" s="2660"/>
      <c r="CE162" s="2660"/>
      <c r="CF162" s="2660"/>
      <c r="CG162" s="2660"/>
      <c r="CH162" s="2660"/>
      <c r="CI162" s="2660"/>
      <c r="CJ162" s="2660"/>
      <c r="CK162" s="2660"/>
      <c r="CL162" s="2660"/>
      <c r="CM162" s="2660"/>
      <c r="CN162" s="2660"/>
      <c r="CO162" s="2660"/>
      <c r="CP162" s="2660"/>
      <c r="CQ162" s="2660"/>
      <c r="CR162" s="2660"/>
      <c r="CS162" s="2660"/>
      <c r="CT162" s="2660"/>
      <c r="CU162" s="2660"/>
      <c r="CV162" s="2660"/>
      <c r="CW162" s="2660"/>
      <c r="CX162" s="2660"/>
      <c r="CY162" s="2660"/>
      <c r="CZ162" s="2660"/>
      <c r="DA162" s="2660"/>
      <c r="DB162" s="2660"/>
      <c r="DC162" s="2660"/>
      <c r="DD162" s="2660"/>
      <c r="DE162" s="2660"/>
      <c r="DF162" s="2660"/>
      <c r="DG162" s="2660"/>
      <c r="DH162" s="2660"/>
      <c r="DI162" s="2660"/>
      <c r="DJ162" s="2660"/>
      <c r="DK162" s="2660"/>
      <c r="DL162" s="2660"/>
      <c r="DM162" s="2660"/>
      <c r="DN162" s="2660"/>
      <c r="DO162" s="2660"/>
      <c r="DP162" s="2660"/>
      <c r="DQ162" s="2660"/>
      <c r="DR162" s="2660"/>
      <c r="DS162" s="2660"/>
      <c r="DT162" s="2660"/>
      <c r="DU162" s="2660"/>
      <c r="DV162" s="2660"/>
      <c r="DW162" s="2660"/>
      <c r="DX162" s="2660"/>
      <c r="DY162" s="2660"/>
      <c r="DZ162" s="2660"/>
      <c r="EA162" s="2660"/>
      <c r="EB162" s="2660"/>
      <c r="EC162" s="2660"/>
      <c r="ED162" s="2660"/>
      <c r="EE162" s="2660"/>
      <c r="EF162" s="2660"/>
      <c r="EG162" s="2660"/>
      <c r="EH162" s="2660"/>
      <c r="EI162" s="2660"/>
      <c r="EJ162" s="2660"/>
      <c r="EK162" s="2660"/>
      <c r="EL162" s="2660"/>
      <c r="EM162" s="2660"/>
      <c r="EN162" s="2660"/>
      <c r="EO162" s="2660"/>
      <c r="EP162" s="2660"/>
      <c r="EQ162" s="2660"/>
      <c r="ER162" s="2660"/>
      <c r="ES162" s="2660"/>
      <c r="ET162" s="2660"/>
      <c r="EU162" s="2660"/>
      <c r="EV162" s="2660"/>
      <c r="EW162" s="2660"/>
      <c r="EX162" s="2660"/>
      <c r="EY162" s="2660"/>
      <c r="EZ162" s="2660"/>
      <c r="FA162" s="2660"/>
      <c r="FB162" s="2660"/>
      <c r="FC162" s="2660"/>
      <c r="FD162" s="2660"/>
      <c r="FE162" s="2660"/>
    </row>
    <row r="163" spans="2:161" outlineLevel="2">
      <c r="B163" t="s">
        <v>793</v>
      </c>
      <c r="C163" t="s">
        <v>794</v>
      </c>
      <c r="F163" s="2660"/>
      <c r="G163" s="2660">
        <f>Geo!DS82*0.04</f>
      </c>
      <c r="H163" s="2660">
        <f>Geo!DT82*0.04</f>
      </c>
      <c r="I163" s="2660">
        <f>Geo!DU82*0.04</f>
      </c>
      <c r="J163" s="2660">
        <f>Geo!DV82*0.04</f>
      </c>
      <c r="K163" s="2660">
        <f>Geo!DW82*0.04</f>
      </c>
      <c r="L163" s="2660">
        <f>Geo!DX82*0.04</f>
      </c>
      <c r="M163" s="2660">
        <f>Geo!DY82*0.04</f>
      </c>
      <c r="N163" s="2660">
        <f>Geo!DZ82*0.04</f>
      </c>
      <c r="O163" s="2660">
        <f>Geo!EA82*0.04</f>
      </c>
      <c r="P163" s="2660">
        <f>Geo!EB82*0.04</f>
      </c>
      <c r="Q163" s="2660">
        <f>Geo!EC82*0.04</f>
      </c>
      <c r="R163" s="2660">
        <f>Geo!ED82*0.04</f>
      </c>
      <c r="S163" s="2660">
        <f>Geo!EE82*0.04</f>
      </c>
      <c r="T163" s="2660">
        <f>Geo!EF82*0.04</f>
      </c>
      <c r="U163" s="2660">
        <f>Geo!EG82*0.04</f>
      </c>
      <c r="V163" s="2660">
        <f>Geo!EH82*0.04</f>
      </c>
      <c r="W163" s="2660">
        <f>Geo!EI82*0.04</f>
      </c>
      <c r="X163" s="2660">
        <f>Geo!EJ82*0.04</f>
      </c>
      <c r="Y163" s="2660">
        <f>Geo!EK82*0.04</f>
      </c>
      <c r="Z163" s="2660">
        <f>Geo!EL82*0.04</f>
      </c>
      <c r="AA163" s="2660">
        <f>Geo!EM82*0.04</f>
      </c>
      <c r="AB163" s="2660">
        <f>Geo!EN82*0.04</f>
      </c>
      <c r="AC163" s="2660">
        <f>Geo!EO82*0.04</f>
      </c>
      <c r="AD163" s="2660">
        <f>Geo!EP82*0.04</f>
      </c>
      <c r="AE163" s="2660">
        <f>Geo!EQ82*0.04</f>
      </c>
      <c r="AF163" s="2660">
        <f>Geo!ER82*0.04</f>
      </c>
      <c r="AG163" s="2660">
        <f>Geo!ES82*0.04</f>
      </c>
      <c r="AH163" s="2660">
        <f>Geo!ET82*0.04</f>
      </c>
      <c r="AI163" s="2660">
        <f>Geo!EU82*0.04</f>
      </c>
      <c r="AJ163" s="2660">
        <f>Geo!EV82*0.04</f>
      </c>
      <c r="AK163" s="2660"/>
      <c r="AL163" s="2660"/>
      <c r="AM163" s="2660"/>
      <c r="AN163" s="2660"/>
      <c r="AO163" s="2660"/>
      <c r="AP163" s="2660">
        <f>Geo!B82*0.04</f>
      </c>
      <c r="AQ163" s="2660">
        <f>Geo!C82*0.04</f>
      </c>
      <c r="AR163" s="2660">
        <f>Geo!D82*0.04</f>
      </c>
      <c r="AS163" s="2660">
        <f>Geo!E82*0.04</f>
      </c>
      <c r="AT163" s="2660">
        <f>Geo!F82*0.04</f>
      </c>
      <c r="AU163" s="2660">
        <f>Geo!G82*0.04</f>
      </c>
      <c r="AV163" s="2660">
        <f>Geo!H82*0.04</f>
      </c>
      <c r="AW163" s="2660">
        <f>Geo!I82*0.04</f>
      </c>
      <c r="AX163" s="2660">
        <f>Geo!J82*0.04</f>
      </c>
      <c r="AY163" s="2660">
        <f>Geo!K82*0.04</f>
      </c>
      <c r="AZ163" s="2660">
        <f>Geo!L82*0.04</f>
      </c>
      <c r="BA163" s="2660">
        <f>Geo!M82*0.04</f>
      </c>
      <c r="BB163" s="2660">
        <f>Geo!N82*0.04</f>
      </c>
      <c r="BC163" s="2660">
        <f>Geo!O82*0.04</f>
      </c>
      <c r="BD163" s="2660">
        <f>Geo!P82*0.04</f>
      </c>
      <c r="BE163" s="2660">
        <f>Geo!Q82*0.04</f>
      </c>
      <c r="BF163" s="2660">
        <f>Geo!R82*0.04</f>
      </c>
      <c r="BG163" s="2660">
        <f>Geo!S82*0.04</f>
      </c>
      <c r="BH163" s="2660">
        <f>Geo!T82*0.04</f>
      </c>
      <c r="BI163" s="2660">
        <f>Geo!U82*0.04</f>
      </c>
      <c r="BJ163" s="2660">
        <f>Geo!V82*0.04</f>
      </c>
      <c r="BK163" s="2660">
        <f>Geo!W82*0.04</f>
      </c>
      <c r="BL163" s="2660">
        <f>Geo!X82*0.04</f>
      </c>
      <c r="BM163" s="2660">
        <f>Geo!Y82*0.04</f>
      </c>
      <c r="BN163" s="2660">
        <f>Geo!Z82*0.04</f>
      </c>
      <c r="BO163" s="2660">
        <f>Geo!AA82*0.04</f>
      </c>
      <c r="BP163" s="2660">
        <f>Geo!AB82*0.04</f>
      </c>
      <c r="BQ163" s="2660">
        <f>Geo!AC82*0.04</f>
      </c>
      <c r="BR163" s="2660">
        <f>Geo!AD82*0.04</f>
      </c>
      <c r="BS163" s="2660">
        <f>Geo!AE82*0.04</f>
      </c>
      <c r="BT163" s="2660">
        <f>Geo!AF82*0.04</f>
      </c>
      <c r="BU163" s="2660">
        <f>Geo!AG82*0.04</f>
      </c>
      <c r="BV163" s="2660">
        <f>Geo!AH82*0.04</f>
      </c>
      <c r="BW163" s="2660">
        <f>Geo!AI82*0.04</f>
      </c>
      <c r="BX163" s="2660">
        <f>Geo!AJ82*0.04</f>
      </c>
      <c r="BY163" s="2660">
        <f>Geo!AK82*0.04</f>
      </c>
      <c r="BZ163" s="2660">
        <f>Geo!AL82*0.04</f>
      </c>
      <c r="CA163" s="2660">
        <f>Geo!AM82*0.04</f>
      </c>
      <c r="CB163" s="2660">
        <f>Geo!AN82*0.04</f>
      </c>
      <c r="CC163" s="2660">
        <f>Geo!AO82*0.04</f>
      </c>
      <c r="CD163" s="2660">
        <f>Geo!AP82*0.04</f>
      </c>
      <c r="CE163" s="2660">
        <f>Geo!AQ82*0.04</f>
      </c>
      <c r="CF163" s="2660">
        <f>Geo!AR82*0.04</f>
      </c>
      <c r="CG163" s="2660">
        <f>Geo!AS82*0.04</f>
      </c>
      <c r="CH163" s="2660">
        <f>Geo!AT82*0.04</f>
      </c>
      <c r="CI163" s="2660">
        <f>Geo!AU82*0.04</f>
      </c>
      <c r="CJ163" s="2660">
        <f>Geo!AV82*0.04</f>
      </c>
      <c r="CK163" s="2660">
        <f>Geo!AW82*0.04</f>
      </c>
      <c r="CL163" s="2660">
        <f>Geo!AX82*0.04</f>
      </c>
      <c r="CM163" s="2660">
        <f>Geo!AY82*0.04</f>
      </c>
      <c r="CN163" s="2660">
        <f>Geo!AZ82*0.04</f>
      </c>
      <c r="CO163" s="2660">
        <f>Geo!BA82*0.04</f>
      </c>
      <c r="CP163" s="2660">
        <f>Geo!BB82*0.04</f>
      </c>
      <c r="CQ163" s="2660">
        <f>Geo!BC82*0.04</f>
      </c>
      <c r="CR163" s="2660">
        <f>Geo!BD82*0.04</f>
      </c>
      <c r="CS163" s="2660">
        <f>Geo!BE82*0.04</f>
      </c>
      <c r="CT163" s="2660">
        <f>Geo!BF82*0.04</f>
      </c>
      <c r="CU163" s="2660">
        <f>Geo!BG82*0.04</f>
      </c>
      <c r="CV163" s="2660">
        <f>Geo!BH82*0.04</f>
      </c>
      <c r="CW163" s="2660">
        <f>Geo!BI82*0.04</f>
      </c>
      <c r="CX163" s="2660">
        <f>Geo!BJ82*0.04</f>
      </c>
      <c r="CY163" s="2660">
        <f>Geo!BK82*0.04</f>
      </c>
      <c r="CZ163" s="2660">
        <f>Geo!BL82*0.04</f>
      </c>
      <c r="DA163" s="2660">
        <f>Geo!BM82*0.04</f>
      </c>
      <c r="DB163" s="2660">
        <f>Geo!BN82*0.04</f>
      </c>
      <c r="DC163" s="2660">
        <f>Geo!BO82*0.04</f>
      </c>
      <c r="DD163" s="2660">
        <f>Geo!BP82*0.04</f>
      </c>
      <c r="DE163" s="2660">
        <f>Geo!BQ82*0.04</f>
      </c>
      <c r="DF163" s="2660">
        <f>Geo!BR82*0.04</f>
      </c>
      <c r="DG163" s="2660">
        <f>Geo!BS82*0.04</f>
      </c>
      <c r="DH163" s="2660">
        <f>Geo!BT82*0.04</f>
      </c>
      <c r="DI163" s="2660">
        <f>Geo!BU82*0.04</f>
      </c>
      <c r="DJ163" s="2660">
        <f>Geo!BV82*0.04</f>
      </c>
      <c r="DK163" s="2660">
        <f>Geo!BW82*0.04</f>
      </c>
      <c r="DL163" s="2660">
        <f>Geo!BX82*0.04</f>
      </c>
      <c r="DM163" s="2660">
        <f>Geo!BY82*0.04</f>
      </c>
      <c r="DN163" s="2660">
        <f>Geo!BZ82*0.04</f>
      </c>
      <c r="DO163" s="2660">
        <f>Geo!CA82*0.04</f>
      </c>
      <c r="DP163" s="2660">
        <f>Geo!CB82*0.04</f>
      </c>
      <c r="DQ163" s="2660">
        <f>Geo!CC82*0.04</f>
      </c>
      <c r="DR163" s="2660">
        <f>Geo!CD82*0.04</f>
      </c>
      <c r="DS163" s="2660">
        <f>Geo!CE82*0.04</f>
      </c>
      <c r="DT163" s="2660">
        <f>Geo!CF82*0.04</f>
      </c>
      <c r="DU163" s="2660">
        <f>Geo!CG82*0.04</f>
      </c>
      <c r="DV163" s="2660">
        <f>Geo!CH82*0.04</f>
      </c>
      <c r="DW163" s="2660">
        <f>Geo!CI82*0.04</f>
      </c>
      <c r="DX163" s="2660">
        <f>Geo!CJ82*0.04</f>
      </c>
      <c r="DY163" s="2660">
        <f>Geo!CK82*0.04</f>
      </c>
      <c r="DZ163" s="2660">
        <f>Geo!CL82*0.04</f>
      </c>
      <c r="EA163" s="2660">
        <f>Geo!CM82*0.04</f>
      </c>
      <c r="EB163" s="2660">
        <f>Geo!CN82*0.04</f>
      </c>
      <c r="EC163" s="2660">
        <f>Geo!CO82*0.04</f>
      </c>
      <c r="ED163" s="2660">
        <f>Geo!CP82*0.04</f>
      </c>
      <c r="EE163" s="2660">
        <f>Geo!CQ82*0.04</f>
      </c>
      <c r="EF163" s="2660">
        <f>Geo!CR82*0.04</f>
      </c>
      <c r="EG163" s="2660">
        <f>Geo!CS82*0.04</f>
      </c>
      <c r="EH163" s="2660">
        <f>Geo!CT82*0.04</f>
      </c>
      <c r="EI163" s="2660">
        <f>Geo!CU82*0.04</f>
      </c>
      <c r="EJ163" s="2660">
        <f>Geo!CV82*0.04</f>
      </c>
      <c r="EK163" s="2660">
        <f>Geo!CW82*0.04</f>
      </c>
      <c r="EL163" s="2660">
        <f>Geo!CX82*0.04</f>
      </c>
      <c r="EM163" s="2660">
        <f>Geo!CY82*0.04</f>
      </c>
      <c r="EN163" s="2660">
        <f>Geo!CZ82*0.04</f>
      </c>
      <c r="EO163" s="2660">
        <f>Geo!DA82*0.04</f>
      </c>
      <c r="EP163" s="2660">
        <f>Geo!DB82*0.04</f>
      </c>
      <c r="EQ163" s="2660">
        <f>Geo!DC82*0.04</f>
      </c>
      <c r="ER163" s="2660">
        <f>Geo!DD82*0.04</f>
      </c>
      <c r="ES163" s="2660">
        <f>Geo!DE82*0.04</f>
      </c>
      <c r="ET163" s="2660">
        <f>Geo!DF82*0.04</f>
      </c>
      <c r="EU163" s="2660">
        <f>Geo!DG82*0.04</f>
      </c>
      <c r="EV163" s="2660">
        <f>Geo!DH82*0.04</f>
      </c>
      <c r="EW163" s="2660">
        <f>Geo!DI82*0.04</f>
      </c>
      <c r="EX163" s="2660">
        <f>Geo!DJ82*0.04</f>
      </c>
      <c r="EY163" s="2660">
        <f>Geo!DK82*0.04</f>
      </c>
      <c r="EZ163" s="2660">
        <f>Geo!DL82*0.04</f>
      </c>
      <c r="FA163" s="2660">
        <f>Geo!DM82*0.04</f>
      </c>
      <c r="FB163" s="2660">
        <f>Geo!DN82*0.04</f>
      </c>
      <c r="FC163" s="2660">
        <f>Geo!DO82*0.04</f>
      </c>
      <c r="FD163" s="2660">
        <f>Geo!DP82*0.04</f>
      </c>
      <c r="FE163" s="2660">
        <f>Geo!DQ82*0.04</f>
      </c>
    </row>
    <row r="164" spans="2:161" outlineLevel="2">
      <c r="B164" t="s">
        <v>473</v>
      </c>
      <c r="C164" t="s">
        <v>474</v>
      </c>
      <c r="F164" s="2660"/>
      <c r="G164" s="2660">
        <f>Geo!DS83</f>
      </c>
      <c r="H164" s="2660">
        <f>Geo!DT83</f>
      </c>
      <c r="I164" s="2660">
        <f>Geo!DU83</f>
      </c>
      <c r="J164" s="2660">
        <f>Geo!DV83</f>
      </c>
      <c r="K164" s="2660">
        <f>Geo!DW83</f>
      </c>
      <c r="L164" s="2660">
        <f>Geo!DX83</f>
      </c>
      <c r="M164" s="2660">
        <f>Geo!DY83</f>
      </c>
      <c r="N164" s="2660">
        <f>Geo!DZ83</f>
      </c>
      <c r="O164" s="2660">
        <f>Geo!EA83</f>
      </c>
      <c r="P164" s="2660">
        <f>Geo!EB83</f>
      </c>
      <c r="Q164" s="2660">
        <f>Geo!EC83</f>
      </c>
      <c r="R164" s="2660">
        <f>Geo!ED83</f>
      </c>
      <c r="S164" s="2660">
        <f>Geo!EE83</f>
      </c>
      <c r="T164" s="2660">
        <f>Geo!EF83</f>
      </c>
      <c r="U164" s="2660">
        <f>Geo!EG83</f>
      </c>
      <c r="V164" s="2660">
        <f>Geo!EH83</f>
      </c>
      <c r="W164" s="2660">
        <f>Geo!EI83</f>
      </c>
      <c r="X164" s="2660">
        <f>Geo!EJ83</f>
      </c>
      <c r="Y164" s="2660">
        <f>Geo!EK83</f>
      </c>
      <c r="Z164" s="2660">
        <f>Geo!EL83</f>
      </c>
      <c r="AA164" s="2660">
        <f>Geo!EM83</f>
      </c>
      <c r="AB164" s="2660">
        <f>Geo!EN83</f>
      </c>
      <c r="AC164" s="2660">
        <f>Geo!EO83</f>
      </c>
      <c r="AD164" s="2660">
        <f>Geo!EP83</f>
      </c>
      <c r="AE164" s="2660">
        <f>Geo!EQ83</f>
      </c>
      <c r="AF164" s="2660">
        <f>Geo!ER83</f>
      </c>
      <c r="AG164" s="2660">
        <f>Geo!ES83</f>
      </c>
      <c r="AH164" s="2660">
        <f>Geo!ET83</f>
      </c>
      <c r="AI164" s="2660">
        <f>Geo!EU83</f>
      </c>
      <c r="AJ164" s="2660">
        <f>Geo!EV83</f>
      </c>
      <c r="AK164" s="2660"/>
      <c r="AL164" s="2660"/>
      <c r="AM164" s="2660"/>
      <c r="AN164" s="2660"/>
      <c r="AO164" s="2660"/>
      <c r="AP164" s="2660">
        <f>Geo!B83</f>
      </c>
      <c r="AQ164" s="2660">
        <f>Geo!C83</f>
      </c>
      <c r="AR164" s="2660">
        <f>Geo!D83</f>
      </c>
      <c r="AS164" s="2660">
        <f>Geo!E83</f>
      </c>
      <c r="AT164" s="2660">
        <f>Geo!F83</f>
      </c>
      <c r="AU164" s="2660">
        <f>Geo!G83</f>
      </c>
      <c r="AV164" s="2660">
        <f>Geo!H83</f>
      </c>
      <c r="AW164" s="2660">
        <f>Geo!I83</f>
      </c>
      <c r="AX164" s="2660">
        <f>Geo!J83</f>
      </c>
      <c r="AY164" s="2660">
        <f>Geo!K83</f>
      </c>
      <c r="AZ164" s="2660">
        <f>Geo!L83</f>
      </c>
      <c r="BA164" s="2660">
        <f>Geo!M83</f>
      </c>
      <c r="BB164" s="2660">
        <f>Geo!N83</f>
      </c>
      <c r="BC164" s="2660">
        <f>Geo!O83</f>
      </c>
      <c r="BD164" s="2660">
        <f>Geo!P83</f>
      </c>
      <c r="BE164" s="2660">
        <f>Geo!Q83</f>
      </c>
      <c r="BF164" s="2660">
        <f>Geo!R83</f>
      </c>
      <c r="BG164" s="2660">
        <f>Geo!S83</f>
      </c>
      <c r="BH164" s="2660">
        <f>Geo!T83</f>
      </c>
      <c r="BI164" s="2660">
        <f>Geo!U83</f>
      </c>
      <c r="BJ164" s="2660">
        <f>Geo!V83</f>
      </c>
      <c r="BK164" s="2660">
        <f>Geo!W83</f>
      </c>
      <c r="BL164" s="2660">
        <f>Geo!X83</f>
      </c>
      <c r="BM164" s="2660">
        <f>Geo!Y83</f>
      </c>
      <c r="BN164" s="2660">
        <f>Geo!Z83</f>
      </c>
      <c r="BO164" s="2660">
        <f>Geo!AA83</f>
      </c>
      <c r="BP164" s="2660">
        <f>Geo!AB83</f>
      </c>
      <c r="BQ164" s="2660">
        <f>Geo!AC83</f>
      </c>
      <c r="BR164" s="2660">
        <f>Geo!AD83</f>
      </c>
      <c r="BS164" s="2660">
        <f>Geo!AE83</f>
      </c>
      <c r="BT164" s="2660">
        <f>Geo!AF83</f>
      </c>
      <c r="BU164" s="2660">
        <f>Geo!AG83</f>
      </c>
      <c r="BV164" s="2660">
        <f>Geo!AH83</f>
      </c>
      <c r="BW164" s="2660">
        <f>Geo!AI83</f>
      </c>
      <c r="BX164" s="2660">
        <f>Geo!AJ83</f>
      </c>
      <c r="BY164" s="2660">
        <f>Geo!AK83</f>
      </c>
      <c r="BZ164" s="2660">
        <f>Geo!AL83</f>
      </c>
      <c r="CA164" s="2660">
        <f>Geo!AM83</f>
      </c>
      <c r="CB164" s="2660">
        <f>Geo!AN83</f>
      </c>
      <c r="CC164" s="2660">
        <f>Geo!AO83</f>
      </c>
      <c r="CD164" s="2660">
        <f>Geo!AP83</f>
      </c>
      <c r="CE164" s="2660">
        <f>Geo!AQ83</f>
      </c>
      <c r="CF164" s="2660">
        <f>Geo!AR83</f>
      </c>
      <c r="CG164" s="2660">
        <f>Geo!AS83</f>
      </c>
      <c r="CH164" s="2660">
        <f>Geo!AT83</f>
      </c>
      <c r="CI164" s="2660">
        <f>Geo!AU83</f>
      </c>
      <c r="CJ164" s="2660">
        <f>Geo!AV83</f>
      </c>
      <c r="CK164" s="2660">
        <f>Geo!AW83</f>
      </c>
      <c r="CL164" s="2660">
        <f>Geo!AX83</f>
      </c>
      <c r="CM164" s="2660">
        <f>Geo!AY83</f>
      </c>
      <c r="CN164" s="2660">
        <f>Geo!AZ83</f>
      </c>
      <c r="CO164" s="2660">
        <f>Geo!BA83</f>
      </c>
      <c r="CP164" s="2660">
        <f>Geo!BB83</f>
      </c>
      <c r="CQ164" s="2660">
        <f>Geo!BC83</f>
      </c>
      <c r="CR164" s="2660">
        <f>Geo!BD83</f>
      </c>
      <c r="CS164" s="2660">
        <f>Geo!BE83</f>
      </c>
      <c r="CT164" s="2660">
        <f>Geo!BF83</f>
      </c>
      <c r="CU164" s="2660">
        <f>Geo!BG83</f>
      </c>
      <c r="CV164" s="2660">
        <f>Geo!BH83</f>
      </c>
      <c r="CW164" s="2660">
        <f>Geo!BI83</f>
      </c>
      <c r="CX164" s="2660">
        <f>Geo!BJ83</f>
      </c>
      <c r="CY164" s="2660">
        <f>Geo!BK83</f>
      </c>
      <c r="CZ164" s="2660">
        <f>Geo!BL83</f>
      </c>
      <c r="DA164" s="2660">
        <f>Geo!BM83</f>
      </c>
      <c r="DB164" s="2660">
        <f>Geo!BN83</f>
      </c>
      <c r="DC164" s="2660">
        <f>Geo!BO83</f>
      </c>
      <c r="DD164" s="2660">
        <f>Geo!BP83</f>
      </c>
      <c r="DE164" s="2660">
        <f>Geo!BQ83</f>
      </c>
      <c r="DF164" s="2660">
        <f>Geo!BR83</f>
      </c>
      <c r="DG164" s="2660">
        <f>Geo!BS83</f>
      </c>
      <c r="DH164" s="2660">
        <f>Geo!BT83</f>
      </c>
      <c r="DI164" s="2660">
        <f>Geo!BU83</f>
      </c>
      <c r="DJ164" s="2660">
        <f>Geo!BV83</f>
      </c>
      <c r="DK164" s="2660">
        <f>Geo!BW83</f>
      </c>
      <c r="DL164" s="2660">
        <f>Geo!BX83</f>
      </c>
      <c r="DM164" s="2660">
        <f>Geo!BY83</f>
      </c>
      <c r="DN164" s="2660">
        <f>Geo!BZ83</f>
      </c>
      <c r="DO164" s="2660">
        <f>Geo!CA83</f>
      </c>
      <c r="DP164" s="2660">
        <f>Geo!CB83</f>
      </c>
      <c r="DQ164" s="2660">
        <f>Geo!CC83</f>
      </c>
      <c r="DR164" s="2660">
        <f>Geo!CD83</f>
      </c>
      <c r="DS164" s="2660">
        <f>Geo!CE83</f>
      </c>
      <c r="DT164" s="2660">
        <f>Geo!CF83</f>
      </c>
      <c r="DU164" s="2660">
        <f>Geo!CG83</f>
      </c>
      <c r="DV164" s="2660">
        <f>Geo!CH83</f>
      </c>
      <c r="DW164" s="2660">
        <f>Geo!CI83</f>
      </c>
      <c r="DX164" s="2660">
        <f>Geo!CJ83</f>
      </c>
      <c r="DY164" s="2660">
        <f>Geo!CK83</f>
      </c>
      <c r="DZ164" s="2660">
        <f>Geo!CL83</f>
      </c>
      <c r="EA164" s="2660">
        <f>Geo!CM83</f>
      </c>
      <c r="EB164" s="2660">
        <f>Geo!CN83</f>
      </c>
      <c r="EC164" s="2660">
        <f>Geo!CO83</f>
      </c>
      <c r="ED164" s="2660">
        <f>Geo!CP83</f>
      </c>
      <c r="EE164" s="2660">
        <f>Geo!CQ83</f>
      </c>
      <c r="EF164" s="2660">
        <f>Geo!CR83</f>
      </c>
      <c r="EG164" s="2660">
        <f>Geo!CS83</f>
      </c>
      <c r="EH164" s="2660">
        <f>Geo!CT83</f>
      </c>
      <c r="EI164" s="2660">
        <f>Geo!CU83</f>
      </c>
      <c r="EJ164" s="2660">
        <f>Geo!CV83</f>
      </c>
      <c r="EK164" s="2660">
        <f>Geo!CW83</f>
      </c>
      <c r="EL164" s="2660">
        <f>Geo!CX83</f>
      </c>
      <c r="EM164" s="2660">
        <f>Geo!CY83</f>
      </c>
      <c r="EN164" s="2660">
        <f>Geo!CZ83</f>
      </c>
      <c r="EO164" s="2660">
        <f>Geo!DA83</f>
      </c>
      <c r="EP164" s="2660">
        <f>Geo!DB83</f>
      </c>
      <c r="EQ164" s="2660">
        <f>Geo!DC83</f>
      </c>
      <c r="ER164" s="2660">
        <f>Geo!DD83</f>
      </c>
      <c r="ES164" s="2660">
        <f>Geo!DE83</f>
      </c>
      <c r="ET164" s="2660">
        <f>Geo!DF83</f>
      </c>
      <c r="EU164" s="2660">
        <f>Geo!DG83</f>
      </c>
      <c r="EV164" s="2660">
        <f>Geo!DH83</f>
      </c>
      <c r="EW164" s="2660">
        <f>Geo!DI83</f>
      </c>
      <c r="EX164" s="2660">
        <f>Geo!DJ83</f>
      </c>
      <c r="EY164" s="2660">
        <f>Geo!DK83</f>
      </c>
      <c r="EZ164" s="2660">
        <f>Geo!DL83</f>
      </c>
      <c r="FA164" s="2660">
        <f>Geo!DM83</f>
      </c>
      <c r="FB164" s="2660">
        <f>Geo!DN83</f>
      </c>
      <c r="FC164" s="2660">
        <f>Geo!DO83</f>
      </c>
      <c r="FD164" s="2660">
        <f>Geo!DP83</f>
      </c>
      <c r="FE164" s="2660">
        <f>Geo!DQ83</f>
      </c>
    </row>
    <row r="165" spans="2:161" outlineLevel="2">
      <c r="B165" t="s">
        <v>795</v>
      </c>
      <c r="C165" t="s">
        <v>796</v>
      </c>
      <c r="F165" s="2660"/>
      <c r="G165" s="2660">
        <f>Geo!DS84*0.05</f>
      </c>
      <c r="H165" s="2660">
        <f>Geo!DT84*0.05</f>
      </c>
      <c r="I165" s="2660">
        <f>Geo!DU84*0.05</f>
      </c>
      <c r="J165" s="2660">
        <f>Geo!DV84*0.05</f>
      </c>
      <c r="K165" s="2660">
        <f>Geo!DW84*0.05</f>
      </c>
      <c r="L165" s="2660">
        <f>Geo!DX84*0.05</f>
      </c>
      <c r="M165" s="2660">
        <f>Geo!DY84*0.05</f>
      </c>
      <c r="N165" s="2660">
        <f>Geo!DZ84*0.05</f>
      </c>
      <c r="O165" s="2660">
        <f>Geo!EA84*0.05</f>
      </c>
      <c r="P165" s="2660">
        <f>Geo!EB84*0.05</f>
      </c>
      <c r="Q165" s="2660">
        <f>Geo!EC84*0.05</f>
      </c>
      <c r="R165" s="2660">
        <f>Geo!ED84*0.05</f>
      </c>
      <c r="S165" s="2660">
        <f>Geo!EE84*0.05</f>
      </c>
      <c r="T165" s="2660">
        <f>Geo!EF84*0.05</f>
      </c>
      <c r="U165" s="2660">
        <f>Geo!EG84*0.05</f>
      </c>
      <c r="V165" s="2660">
        <f>Geo!EH84*0.05</f>
      </c>
      <c r="W165" s="2660">
        <f>Geo!EI84*0.05</f>
      </c>
      <c r="X165" s="2660">
        <f>Geo!EJ84*0.05</f>
      </c>
      <c r="Y165" s="2660">
        <f>Geo!EK84*0.05</f>
      </c>
      <c r="Z165" s="2660">
        <f>Geo!EL84*0.05</f>
      </c>
      <c r="AA165" s="2660">
        <f>Geo!EM84*0.05</f>
      </c>
      <c r="AB165" s="2660">
        <f>Geo!EN84*0.05</f>
      </c>
      <c r="AC165" s="2660">
        <f>Geo!EO84*0.05</f>
      </c>
      <c r="AD165" s="2660">
        <f>Geo!EP84*0.05</f>
      </c>
      <c r="AE165" s="2660">
        <f>Geo!EQ84*0.05</f>
      </c>
      <c r="AF165" s="2660">
        <f>Geo!ER84*0.05</f>
      </c>
      <c r="AG165" s="2660">
        <f>Geo!ES84*0.05</f>
      </c>
      <c r="AH165" s="2660">
        <f>Geo!ET84*0.05</f>
      </c>
      <c r="AI165" s="2660">
        <f>Geo!EU84*0.05</f>
      </c>
      <c r="AJ165" s="2660">
        <f>Geo!EV84*0.05</f>
      </c>
      <c r="AK165" s="2660"/>
      <c r="AL165" s="2660"/>
      <c r="AM165" s="2660"/>
      <c r="AN165" s="2660"/>
      <c r="AO165" s="2660"/>
      <c r="AP165" s="2660">
        <f>Geo!B84*0.05</f>
      </c>
      <c r="AQ165" s="2660">
        <f>Geo!C84*0.05</f>
      </c>
      <c r="AR165" s="2660">
        <f>Geo!D84*0.05</f>
      </c>
      <c r="AS165" s="2660">
        <f>Geo!E84*0.05</f>
      </c>
      <c r="AT165" s="2660">
        <f>Geo!F84*0.05</f>
      </c>
      <c r="AU165" s="2660">
        <f>Geo!G84*0.05</f>
      </c>
      <c r="AV165" s="2660">
        <f>Geo!H84*0.05</f>
      </c>
      <c r="AW165" s="2660">
        <f>Geo!I84*0.05</f>
      </c>
      <c r="AX165" s="2660">
        <f>Geo!J84*0.05</f>
      </c>
      <c r="AY165" s="2660">
        <f>Geo!K84*0.05</f>
      </c>
      <c r="AZ165" s="2660">
        <f>Geo!L84*0.05</f>
      </c>
      <c r="BA165" s="2660">
        <f>Geo!M84*0.05</f>
      </c>
      <c r="BB165" s="2660">
        <f>Geo!N84*0.05</f>
      </c>
      <c r="BC165" s="2660">
        <f>Geo!O84*0.05</f>
      </c>
      <c r="BD165" s="2660">
        <f>Geo!P84*0.05</f>
      </c>
      <c r="BE165" s="2660">
        <f>Geo!Q84*0.05</f>
      </c>
      <c r="BF165" s="2660">
        <f>Geo!R84*0.05</f>
      </c>
      <c r="BG165" s="2660">
        <f>Geo!S84*0.05</f>
      </c>
      <c r="BH165" s="2660">
        <f>Geo!T84*0.05</f>
      </c>
      <c r="BI165" s="2660">
        <f>Geo!U84*0.05</f>
      </c>
      <c r="BJ165" s="2660">
        <f>Geo!V84*0.05</f>
      </c>
      <c r="BK165" s="2660">
        <f>Geo!W84*0.05</f>
      </c>
      <c r="BL165" s="2660">
        <f>Geo!X84*0.05</f>
      </c>
      <c r="BM165" s="2660">
        <f>Geo!Y84*0.05</f>
      </c>
      <c r="BN165" s="2660">
        <f>Geo!Z84*0.05</f>
      </c>
      <c r="BO165" s="2660">
        <f>Geo!AA84*0.05</f>
      </c>
      <c r="BP165" s="2660">
        <f>Geo!AB84*0.05</f>
      </c>
      <c r="BQ165" s="2660">
        <f>Geo!AC84*0.05</f>
      </c>
      <c r="BR165" s="2660">
        <f>Geo!AD84*0.05</f>
      </c>
      <c r="BS165" s="2660">
        <f>Geo!AE84*0.05</f>
      </c>
      <c r="BT165" s="2660">
        <f>Geo!AF84*0.05</f>
      </c>
      <c r="BU165" s="2660">
        <f>Geo!AG84*0.05</f>
      </c>
      <c r="BV165" s="2660">
        <f>Geo!AH84*0.05</f>
      </c>
      <c r="BW165" s="2660">
        <f>Geo!AI84*0.05</f>
      </c>
      <c r="BX165" s="2660">
        <f>Geo!AJ84*0.05</f>
      </c>
      <c r="BY165" s="2660">
        <f>Geo!AK84*0.05</f>
      </c>
      <c r="BZ165" s="2660">
        <f>Geo!AL84*0.05</f>
      </c>
      <c r="CA165" s="2660">
        <f>Geo!AM84*0.05</f>
      </c>
      <c r="CB165" s="2660">
        <f>Geo!AN84*0.05</f>
      </c>
      <c r="CC165" s="2660">
        <f>Geo!AO84*0.05</f>
      </c>
      <c r="CD165" s="2660">
        <f>Geo!AP84*0.05</f>
      </c>
      <c r="CE165" s="2660">
        <f>Geo!AQ84*0.05</f>
      </c>
      <c r="CF165" s="2660">
        <f>Geo!AR84*0.05</f>
      </c>
      <c r="CG165" s="2660">
        <f>Geo!AS84*0.05</f>
      </c>
      <c r="CH165" s="2660">
        <f>Geo!AT84*0.05</f>
      </c>
      <c r="CI165" s="2660">
        <f>Geo!AU84*0.05</f>
      </c>
      <c r="CJ165" s="2660">
        <f>Geo!AV84*0.05</f>
      </c>
      <c r="CK165" s="2660">
        <f>Geo!AW84*0.05</f>
      </c>
      <c r="CL165" s="2660">
        <f>Geo!AX84*0.05</f>
      </c>
      <c r="CM165" s="2660">
        <f>Geo!AY84*0.05</f>
      </c>
      <c r="CN165" s="2660">
        <f>Geo!AZ84*0.05</f>
      </c>
      <c r="CO165" s="2660">
        <f>Geo!BA84*0.05</f>
      </c>
      <c r="CP165" s="2660">
        <f>Geo!BB84*0.05</f>
      </c>
      <c r="CQ165" s="2660">
        <f>Geo!BC84*0.05</f>
      </c>
      <c r="CR165" s="2660">
        <f>Geo!BD84*0.05</f>
      </c>
      <c r="CS165" s="2660">
        <f>Geo!BE84*0.05</f>
      </c>
      <c r="CT165" s="2660">
        <f>Geo!BF84*0.05</f>
      </c>
      <c r="CU165" s="2660">
        <f>Geo!BG84*0.05</f>
      </c>
      <c r="CV165" s="2660">
        <f>Geo!BH84*0.05</f>
      </c>
      <c r="CW165" s="2660">
        <f>Geo!BI84*0.05</f>
      </c>
      <c r="CX165" s="2660">
        <f>Geo!BJ84*0.05</f>
      </c>
      <c r="CY165" s="2660">
        <f>Geo!BK84*0.05</f>
      </c>
      <c r="CZ165" s="2660">
        <f>Geo!BL84*0.05</f>
      </c>
      <c r="DA165" s="2660">
        <f>Geo!BM84*0.05</f>
      </c>
      <c r="DB165" s="2660">
        <f>Geo!BN84*0.05</f>
      </c>
      <c r="DC165" s="2660">
        <f>Geo!BO84*0.05</f>
      </c>
      <c r="DD165" s="2660">
        <f>Geo!BP84*0.05</f>
      </c>
      <c r="DE165" s="2660">
        <f>Geo!BQ84*0.05</f>
      </c>
      <c r="DF165" s="2660">
        <f>Geo!BR84*0.05</f>
      </c>
      <c r="DG165" s="2660">
        <f>Geo!BS84*0.05</f>
      </c>
      <c r="DH165" s="2660">
        <f>Geo!BT84*0.05</f>
      </c>
      <c r="DI165" s="2660">
        <f>Geo!BU84*0.05</f>
      </c>
      <c r="DJ165" s="2660">
        <f>Geo!BV84*0.05</f>
      </c>
      <c r="DK165" s="2660">
        <f>Geo!BW84*0.05</f>
      </c>
      <c r="DL165" s="2660">
        <f>Geo!BX84*0.05</f>
      </c>
      <c r="DM165" s="2660">
        <f>Geo!BY84*0.05</f>
      </c>
      <c r="DN165" s="2660">
        <f>Geo!BZ84*0.05</f>
      </c>
      <c r="DO165" s="2660">
        <f>Geo!CA84*0.05</f>
      </c>
      <c r="DP165" s="2660">
        <f>Geo!CB84*0.05</f>
      </c>
      <c r="DQ165" s="2660">
        <f>Geo!CC84*0.05</f>
      </c>
      <c r="DR165" s="2660">
        <f>Geo!CD84*0.05</f>
      </c>
      <c r="DS165" s="2660">
        <f>Geo!CE84*0.05</f>
      </c>
      <c r="DT165" s="2660">
        <f>Geo!CF84*0.05</f>
      </c>
      <c r="DU165" s="2660">
        <f>Geo!CG84*0.05</f>
      </c>
      <c r="DV165" s="2660">
        <f>Geo!CH84*0.05</f>
      </c>
      <c r="DW165" s="2660">
        <f>Geo!CI84*0.05</f>
      </c>
      <c r="DX165" s="2660">
        <f>Geo!CJ84*0.05</f>
      </c>
      <c r="DY165" s="2660">
        <f>Geo!CK84*0.05</f>
      </c>
      <c r="DZ165" s="2660">
        <f>Geo!CL84*0.05</f>
      </c>
      <c r="EA165" s="2660">
        <f>Geo!CM84*0.05</f>
      </c>
      <c r="EB165" s="2660">
        <f>Geo!CN84*0.05</f>
      </c>
      <c r="EC165" s="2660">
        <f>Geo!CO84*0.05</f>
      </c>
      <c r="ED165" s="2660">
        <f>Geo!CP84*0.05</f>
      </c>
      <c r="EE165" s="2660">
        <f>Geo!CQ84*0.05</f>
      </c>
      <c r="EF165" s="2660">
        <f>Geo!CR84*0.05</f>
      </c>
      <c r="EG165" s="2660">
        <f>Geo!CS84*0.05</f>
      </c>
      <c r="EH165" s="2660">
        <f>Geo!CT84*0.05</f>
      </c>
      <c r="EI165" s="2660">
        <f>Geo!CU84*0.05</f>
      </c>
      <c r="EJ165" s="2660">
        <f>Geo!CV84*0.05</f>
      </c>
      <c r="EK165" s="2660">
        <f>Geo!CW84*0.05</f>
      </c>
      <c r="EL165" s="2660">
        <f>Geo!CX84*0.05</f>
      </c>
      <c r="EM165" s="2660">
        <f>Geo!CY84*0.05</f>
      </c>
      <c r="EN165" s="2660">
        <f>Geo!CZ84*0.05</f>
      </c>
      <c r="EO165" s="2660">
        <f>Geo!DA84*0.05</f>
      </c>
      <c r="EP165" s="2660">
        <f>Geo!DB84*0.05</f>
      </c>
      <c r="EQ165" s="2660">
        <f>Geo!DC84*0.05</f>
      </c>
      <c r="ER165" s="2660">
        <f>Geo!DD84*0.05</f>
      </c>
      <c r="ES165" s="2660">
        <f>Geo!DE84*0.05</f>
      </c>
      <c r="ET165" s="2660">
        <f>Geo!DF84*0.05</f>
      </c>
      <c r="EU165" s="2660">
        <f>Geo!DG84*0.05</f>
      </c>
      <c r="EV165" s="2660">
        <f>Geo!DH84*0.05</f>
      </c>
      <c r="EW165" s="2660">
        <f>Geo!DI84*0.05</f>
      </c>
      <c r="EX165" s="2660">
        <f>Geo!DJ84*0.05</f>
      </c>
      <c r="EY165" s="2660">
        <f>Geo!DK84*0.05</f>
      </c>
      <c r="EZ165" s="2660">
        <f>Geo!DL84*0.05</f>
      </c>
      <c r="FA165" s="2660">
        <f>Geo!DM84*0.05</f>
      </c>
      <c r="FB165" s="2660">
        <f>Geo!DN84*0.05</f>
      </c>
      <c r="FC165" s="2660">
        <f>Geo!DO84*0.05</f>
      </c>
      <c r="FD165" s="2660">
        <f>Geo!DP84*0.05</f>
      </c>
      <c r="FE165" s="2660">
        <f>Geo!DQ84*0.05</f>
      </c>
    </row>
    <row r="166" spans="2:161" outlineLevel="2">
      <c r="B166" t="s">
        <v>797</v>
      </c>
      <c r="C166" t="s">
        <v>798</v>
      </c>
      <c r="F166" s="2660"/>
      <c r="G166" s="2660">
        <f>Geo!DS84*0.25</f>
      </c>
      <c r="H166" s="2660">
        <f>Geo!DT84*0.25</f>
      </c>
      <c r="I166" s="2660">
        <f>Geo!DU84*0.25</f>
      </c>
      <c r="J166" s="2660">
        <f>Geo!DV84*0.25</f>
      </c>
      <c r="K166" s="2660">
        <f>Geo!DW84*0.25</f>
      </c>
      <c r="L166" s="2660">
        <f>Geo!DX84*0.25</f>
      </c>
      <c r="M166" s="2660">
        <f>Geo!DY84*0.25</f>
      </c>
      <c r="N166" s="2660">
        <f>Geo!DZ84*0.25</f>
      </c>
      <c r="O166" s="2660">
        <f>Geo!EA84*0.25</f>
      </c>
      <c r="P166" s="2660">
        <f>Geo!EB84*0.25</f>
      </c>
      <c r="Q166" s="2660">
        <f>Geo!EC84*0.25</f>
      </c>
      <c r="R166" s="2660">
        <f>Geo!ED84*0.25</f>
      </c>
      <c r="S166" s="2660">
        <f>Geo!EE84*0.25</f>
      </c>
      <c r="T166" s="2660">
        <f>Geo!EF84*0.25</f>
      </c>
      <c r="U166" s="2660">
        <f>Geo!EG84*0.25</f>
      </c>
      <c r="V166" s="2660">
        <f>Geo!EH84*0.25</f>
      </c>
      <c r="W166" s="2660">
        <f>Geo!EI84*0.25</f>
      </c>
      <c r="X166" s="2660">
        <f>Geo!EJ84*0.25</f>
      </c>
      <c r="Y166" s="2660">
        <f>Geo!EK84*0.25</f>
      </c>
      <c r="Z166" s="2660">
        <f>Geo!EL84*0.25</f>
      </c>
      <c r="AA166" s="2660">
        <f>Geo!EM84*0.25</f>
      </c>
      <c r="AB166" s="2660">
        <f>Geo!EN84*0.25</f>
      </c>
      <c r="AC166" s="2660">
        <f>Geo!EO84*0.25</f>
      </c>
      <c r="AD166" s="2660">
        <f>Geo!EP84*0.25</f>
      </c>
      <c r="AE166" s="2660">
        <f>Geo!EQ84*0.25</f>
      </c>
      <c r="AF166" s="2660">
        <f>Geo!ER84*0.25</f>
      </c>
      <c r="AG166" s="2660">
        <f>Geo!ES84*0.25</f>
      </c>
      <c r="AH166" s="2660">
        <f>Geo!ET84*0.25</f>
      </c>
      <c r="AI166" s="2660">
        <f>Geo!EU84*0.25</f>
      </c>
      <c r="AJ166" s="2660">
        <f>Geo!EV84*0.25</f>
      </c>
      <c r="AK166" s="2660"/>
      <c r="AL166" s="2660"/>
      <c r="AM166" s="2660"/>
      <c r="AN166" s="2660"/>
      <c r="AO166" s="2660"/>
      <c r="AP166" s="2660">
        <f>Geo!B84*0.25</f>
      </c>
      <c r="AQ166" s="2660">
        <f>Geo!C84*0.25</f>
      </c>
      <c r="AR166" s="2660">
        <f>Geo!D84*0.25</f>
      </c>
      <c r="AS166" s="2660">
        <f>Geo!E84*0.25</f>
      </c>
      <c r="AT166" s="2660">
        <f>Geo!F84*0.25</f>
      </c>
      <c r="AU166" s="2660">
        <f>Geo!G84*0.25</f>
      </c>
      <c r="AV166" s="2660">
        <f>Geo!H84*0.25</f>
      </c>
      <c r="AW166" s="2660">
        <f>Geo!I84*0.25</f>
      </c>
      <c r="AX166" s="2660">
        <f>Geo!J84*0.25</f>
      </c>
      <c r="AY166" s="2660">
        <f>Geo!K84*0.25</f>
      </c>
      <c r="AZ166" s="2660">
        <f>Geo!L84*0.25</f>
      </c>
      <c r="BA166" s="2660">
        <f>Geo!M84*0.25</f>
      </c>
      <c r="BB166" s="2660">
        <f>Geo!N84*0.25</f>
      </c>
      <c r="BC166" s="2660">
        <f>Geo!O84*0.25</f>
      </c>
      <c r="BD166" s="2660">
        <f>Geo!P84*0.25</f>
      </c>
      <c r="BE166" s="2660">
        <f>Geo!Q84*0.25</f>
      </c>
      <c r="BF166" s="2660">
        <f>Geo!R84*0.25</f>
      </c>
      <c r="BG166" s="2660">
        <f>Geo!S84*0.25</f>
      </c>
      <c r="BH166" s="2660">
        <f>Geo!T84*0.25</f>
      </c>
      <c r="BI166" s="2660">
        <f>Geo!U84*0.25</f>
      </c>
      <c r="BJ166" s="2660">
        <f>Geo!V84*0.25</f>
      </c>
      <c r="BK166" s="2660">
        <f>Geo!W84*0.25</f>
      </c>
      <c r="BL166" s="2660">
        <f>Geo!X84*0.25</f>
      </c>
      <c r="BM166" s="2660">
        <f>Geo!Y84*0.25</f>
      </c>
      <c r="BN166" s="2660">
        <f>Geo!Z84*0.25</f>
      </c>
      <c r="BO166" s="2660">
        <f>Geo!AA84*0.25</f>
      </c>
      <c r="BP166" s="2660">
        <f>Geo!AB84*0.25</f>
      </c>
      <c r="BQ166" s="2660">
        <f>Geo!AC84*0.25</f>
      </c>
      <c r="BR166" s="2660">
        <f>Geo!AD84*0.25</f>
      </c>
      <c r="BS166" s="2660">
        <f>Geo!AE84*0.25</f>
      </c>
      <c r="BT166" s="2660">
        <f>Geo!AF84*0.25</f>
      </c>
      <c r="BU166" s="2660">
        <f>Geo!AG84*0.25</f>
      </c>
      <c r="BV166" s="2660">
        <f>Geo!AH84*0.25</f>
      </c>
      <c r="BW166" s="2660">
        <f>Geo!AI84*0.25</f>
      </c>
      <c r="BX166" s="2660">
        <f>Geo!AJ84*0.25</f>
      </c>
      <c r="BY166" s="2660">
        <f>Geo!AK84*0.25</f>
      </c>
      <c r="BZ166" s="2660">
        <f>Geo!AL84*0.25</f>
      </c>
      <c r="CA166" s="2660">
        <f>Geo!AM84*0.25</f>
      </c>
      <c r="CB166" s="2660">
        <f>Geo!AN84*0.25</f>
      </c>
      <c r="CC166" s="2660">
        <f>Geo!AO84*0.25</f>
      </c>
      <c r="CD166" s="2660">
        <f>Geo!AP84*0.25</f>
      </c>
      <c r="CE166" s="2660">
        <f>Geo!AQ84*0.25</f>
      </c>
      <c r="CF166" s="2660">
        <f>Geo!AR84*0.25</f>
      </c>
      <c r="CG166" s="2660">
        <f>Geo!AS84*0.25</f>
      </c>
      <c r="CH166" s="2660">
        <f>Geo!AT84*0.25</f>
      </c>
      <c r="CI166" s="2660">
        <f>Geo!AU84*0.25</f>
      </c>
      <c r="CJ166" s="2660">
        <f>Geo!AV84*0.25</f>
      </c>
      <c r="CK166" s="2660">
        <f>Geo!AW84*0.25</f>
      </c>
      <c r="CL166" s="2660">
        <f>Geo!AX84*0.25</f>
      </c>
      <c r="CM166" s="2660">
        <f>Geo!AY84*0.25</f>
      </c>
      <c r="CN166" s="2660">
        <f>Geo!AZ84*0.25</f>
      </c>
      <c r="CO166" s="2660">
        <f>Geo!BA84*0.25</f>
      </c>
      <c r="CP166" s="2660">
        <f>Geo!BB84*0.25</f>
      </c>
      <c r="CQ166" s="2660">
        <f>Geo!BC84*0.25</f>
      </c>
      <c r="CR166" s="2660">
        <f>Geo!BD84*0.25</f>
      </c>
      <c r="CS166" s="2660">
        <f>Geo!BE84*0.25</f>
      </c>
      <c r="CT166" s="2660">
        <f>Geo!BF84*0.25</f>
      </c>
      <c r="CU166" s="2660">
        <f>Geo!BG84*0.25</f>
      </c>
      <c r="CV166" s="2660">
        <f>Geo!BH84*0.25</f>
      </c>
      <c r="CW166" s="2660">
        <f>Geo!BI84*0.25</f>
      </c>
      <c r="CX166" s="2660">
        <f>Geo!BJ84*0.25</f>
      </c>
      <c r="CY166" s="2660">
        <f>Geo!BK84*0.25</f>
      </c>
      <c r="CZ166" s="2660">
        <f>Geo!BL84*0.25</f>
      </c>
      <c r="DA166" s="2660">
        <f>Geo!BM84*0.25</f>
      </c>
      <c r="DB166" s="2660">
        <f>Geo!BN84*0.25</f>
      </c>
      <c r="DC166" s="2660">
        <f>Geo!BO84*0.25</f>
      </c>
      <c r="DD166" s="2660">
        <f>Geo!BP84*0.25</f>
      </c>
      <c r="DE166" s="2660">
        <f>Geo!BQ84*0.25</f>
      </c>
      <c r="DF166" s="2660">
        <f>Geo!BR84*0.25</f>
      </c>
      <c r="DG166" s="2660">
        <f>Geo!BS84*0.25</f>
      </c>
      <c r="DH166" s="2660">
        <f>Geo!BT84*0.25</f>
      </c>
      <c r="DI166" s="2660">
        <f>Geo!BU84*0.25</f>
      </c>
      <c r="DJ166" s="2660">
        <f>Geo!BV84*0.25</f>
      </c>
      <c r="DK166" s="2660">
        <f>Geo!BW84*0.25</f>
      </c>
      <c r="DL166" s="2660">
        <f>Geo!BX84*0.25</f>
      </c>
      <c r="DM166" s="2660">
        <f>Geo!BY84*0.25</f>
      </c>
      <c r="DN166" s="2660">
        <f>Geo!BZ84*0.25</f>
      </c>
      <c r="DO166" s="2660">
        <f>Geo!CA84*0.25</f>
      </c>
      <c r="DP166" s="2660">
        <f>Geo!CB84*0.25</f>
      </c>
      <c r="DQ166" s="2660">
        <f>Geo!CC84*0.25</f>
      </c>
      <c r="DR166" s="2660">
        <f>Geo!CD84*0.25</f>
      </c>
      <c r="DS166" s="2660">
        <f>Geo!CE84*0.25</f>
      </c>
      <c r="DT166" s="2660">
        <f>Geo!CF84*0.25</f>
      </c>
      <c r="DU166" s="2660">
        <f>Geo!CG84*0.25</f>
      </c>
      <c r="DV166" s="2660">
        <f>Geo!CH84*0.25</f>
      </c>
      <c r="DW166" s="2660">
        <f>Geo!CI84*0.25</f>
      </c>
      <c r="DX166" s="2660">
        <f>Geo!CJ84*0.25</f>
      </c>
      <c r="DY166" s="2660">
        <f>Geo!CK84*0.25</f>
      </c>
      <c r="DZ166" s="2660">
        <f>Geo!CL84*0.25</f>
      </c>
      <c r="EA166" s="2660">
        <f>Geo!CM84*0.25</f>
      </c>
      <c r="EB166" s="2660">
        <f>Geo!CN84*0.25</f>
      </c>
      <c r="EC166" s="2660">
        <f>Geo!CO84*0.25</f>
      </c>
      <c r="ED166" s="2660">
        <f>Geo!CP84*0.25</f>
      </c>
      <c r="EE166" s="2660">
        <f>Geo!CQ84*0.25</f>
      </c>
      <c r="EF166" s="2660">
        <f>Geo!CR84*0.25</f>
      </c>
      <c r="EG166" s="2660">
        <f>Geo!CS84*0.25</f>
      </c>
      <c r="EH166" s="2660">
        <f>Geo!CT84*0.25</f>
      </c>
      <c r="EI166" s="2660">
        <f>Geo!CU84*0.25</f>
      </c>
      <c r="EJ166" s="2660">
        <f>Geo!CV84*0.25</f>
      </c>
      <c r="EK166" s="2660">
        <f>Geo!CW84*0.25</f>
      </c>
      <c r="EL166" s="2660">
        <f>Geo!CX84*0.25</f>
      </c>
      <c r="EM166" s="2660">
        <f>Geo!CY84*0.25</f>
      </c>
      <c r="EN166" s="2660">
        <f>Geo!CZ84*0.25</f>
      </c>
      <c r="EO166" s="2660">
        <f>Geo!DA84*0.25</f>
      </c>
      <c r="EP166" s="2660">
        <f>Geo!DB84*0.25</f>
      </c>
      <c r="EQ166" s="2660">
        <f>Geo!DC84*0.25</f>
      </c>
      <c r="ER166" s="2660">
        <f>Geo!DD84*0.25</f>
      </c>
      <c r="ES166" s="2660">
        <f>Geo!DE84*0.25</f>
      </c>
      <c r="ET166" s="2660">
        <f>Geo!DF84*0.25</f>
      </c>
      <c r="EU166" s="2660">
        <f>Geo!DG84*0.25</f>
      </c>
      <c r="EV166" s="2660">
        <f>Geo!DH84*0.25</f>
      </c>
      <c r="EW166" s="2660">
        <f>Geo!DI84*0.25</f>
      </c>
      <c r="EX166" s="2660">
        <f>Geo!DJ84*0.25</f>
      </c>
      <c r="EY166" s="2660">
        <f>Geo!DK84*0.25</f>
      </c>
      <c r="EZ166" s="2660">
        <f>Geo!DL84*0.25</f>
      </c>
      <c r="FA166" s="2660">
        <f>Geo!DM84*0.25</f>
      </c>
      <c r="FB166" s="2660">
        <f>Geo!DN84*0.25</f>
      </c>
      <c r="FC166" s="2660">
        <f>Geo!DO84*0.25</f>
      </c>
      <c r="FD166" s="2660">
        <f>Geo!DP84*0.25</f>
      </c>
      <c r="FE166" s="2660">
        <f>Geo!DQ84*0.25</f>
      </c>
    </row>
    <row r="167" spans="2:161" outlineLevel="2">
      <c r="B167" t="s">
        <v>799</v>
      </c>
      <c r="C167" t="s">
        <v>800</v>
      </c>
      <c r="F167" s="2660"/>
      <c r="G167" s="2660">
        <f>Geo!DS82-G163-G169</f>
      </c>
      <c r="H167" s="2660">
        <f>Geo!DT82-H163-H169</f>
      </c>
      <c r="I167" s="2660">
        <f>Geo!DU82-I163-I169</f>
      </c>
      <c r="J167" s="2660">
        <f>Geo!DV82-J163-J169</f>
      </c>
      <c r="K167" s="2660">
        <f>Geo!DW82-K163-K169</f>
      </c>
      <c r="L167" s="2660">
        <f>Geo!DX82-L163-L169</f>
      </c>
      <c r="M167" s="2660">
        <f>Geo!DY82-M163-M169</f>
      </c>
      <c r="N167" s="2660">
        <f>Geo!DZ82-N163-N169</f>
      </c>
      <c r="O167" s="2660">
        <f>Geo!EA82-O163-O169</f>
      </c>
      <c r="P167" s="2660">
        <f>Geo!EB82-P163-P169</f>
      </c>
      <c r="Q167" s="2660">
        <f>Geo!EC82-Q163-Q169</f>
      </c>
      <c r="R167" s="2660">
        <f>Geo!ED82-R163-R169</f>
      </c>
      <c r="S167" s="2660">
        <f>Geo!EE82-S163-S169</f>
      </c>
      <c r="T167" s="2660">
        <f>Geo!EF82-T163-T169</f>
      </c>
      <c r="U167" s="2660">
        <f>Geo!EG82-U163-U169</f>
      </c>
      <c r="V167" s="2660">
        <f>Geo!EH82-V163-V169</f>
      </c>
      <c r="W167" s="2660">
        <f>Geo!EI82-W163-W169</f>
      </c>
      <c r="X167" s="2660">
        <f>Geo!EJ82-X163-X169</f>
      </c>
      <c r="Y167" s="2660">
        <f>Geo!EK82-Y163-Y169</f>
      </c>
      <c r="Z167" s="2660">
        <f>Geo!EL82-Z163-Z169</f>
      </c>
      <c r="AA167" s="2660">
        <f>Geo!EM82-AA163-AA169</f>
      </c>
      <c r="AB167" s="2660">
        <f>Geo!EN82-AB163-AB169</f>
      </c>
      <c r="AC167" s="2660">
        <f>Geo!EO82-AC163-AC169</f>
      </c>
      <c r="AD167" s="2660">
        <f>Geo!EP82-AD163-AD169</f>
      </c>
      <c r="AE167" s="2660">
        <f>Geo!EQ82-AE163-AE169</f>
      </c>
      <c r="AF167" s="2660">
        <f>Geo!ER82-AF163-AF169</f>
      </c>
      <c r="AG167" s="2660">
        <f>Geo!ES82-AG163-AG169</f>
      </c>
      <c r="AH167" s="2660">
        <f>Geo!ET82-AH163-AH169</f>
      </c>
      <c r="AI167" s="2660">
        <f>Geo!EU82-AI163-AI169</f>
      </c>
      <c r="AJ167" s="2660">
        <f>Geo!EV82-AJ163-AJ169</f>
      </c>
      <c r="AK167" s="2660"/>
      <c r="AL167" s="2660"/>
      <c r="AM167" s="2660"/>
      <c r="AN167" s="2660"/>
      <c r="AO167" s="2660"/>
      <c r="AP167" s="2660">
        <f>Geo!B82-AP163-AP169</f>
      </c>
      <c r="AQ167" s="2660">
        <f>Geo!C82-AQ163-AQ169</f>
      </c>
      <c r="AR167" s="2660">
        <f>Geo!D82-AR163-AR169</f>
      </c>
      <c r="AS167" s="2660">
        <f>Geo!E82-AS163-AS169</f>
      </c>
      <c r="AT167" s="2660">
        <f>Geo!F82-AT163-AT169</f>
      </c>
      <c r="AU167" s="2660">
        <f>Geo!G82-AU163-AU169</f>
      </c>
      <c r="AV167" s="2660">
        <f>Geo!H82-AV163-AV169</f>
      </c>
      <c r="AW167" s="2660">
        <f>Geo!I82-AW163-AW169</f>
      </c>
      <c r="AX167" s="2660">
        <f>Geo!J82-AX163-AX169</f>
      </c>
      <c r="AY167" s="2660">
        <f>Geo!K82-AY163-AY169</f>
      </c>
      <c r="AZ167" s="2660">
        <f>Geo!L82-AZ163-AZ169</f>
      </c>
      <c r="BA167" s="2660">
        <f>Geo!M82-BA163-BA169</f>
      </c>
      <c r="BB167" s="2660">
        <f>Geo!N82-BB163-BB169</f>
      </c>
      <c r="BC167" s="2660">
        <f>Geo!O82-BC163-BC169</f>
      </c>
      <c r="BD167" s="2660">
        <f>Geo!P82-BD163-BD169</f>
      </c>
      <c r="BE167" s="2660">
        <f>Geo!Q82-BE163-BE169</f>
      </c>
      <c r="BF167" s="2660">
        <f>Geo!R82-BF163-BF169</f>
      </c>
      <c r="BG167" s="2660">
        <f>Geo!S82-BG163-BG169</f>
      </c>
      <c r="BH167" s="2660">
        <f>Geo!T82-BH163-BH169</f>
      </c>
      <c r="BI167" s="2660">
        <f>Geo!U82-BI163-BI169</f>
      </c>
      <c r="BJ167" s="2660">
        <f>Geo!V82-BJ163-BJ169</f>
      </c>
      <c r="BK167" s="2660">
        <f>Geo!W82-BK163-BK169</f>
      </c>
      <c r="BL167" s="2660">
        <f>Geo!X82-BL163-BL169</f>
      </c>
      <c r="BM167" s="2660">
        <f>Geo!Y82-BM163-BM169</f>
      </c>
      <c r="BN167" s="2660">
        <f>Geo!Z82-BN163-BN169</f>
      </c>
      <c r="BO167" s="2660">
        <f>Geo!AA82-BO163-BO169</f>
      </c>
      <c r="BP167" s="2660">
        <f>Geo!AB82-BP163-BP169</f>
      </c>
      <c r="BQ167" s="2660">
        <f>Geo!AC82-BQ163-BQ169</f>
      </c>
      <c r="BR167" s="2660">
        <f>Geo!AD82-BR163-BR169</f>
      </c>
      <c r="BS167" s="2660">
        <f>Geo!AE82-BS163-BS169</f>
      </c>
      <c r="BT167" s="2660">
        <f>Geo!AF82-BT163-BT169</f>
      </c>
      <c r="BU167" s="2660">
        <f>Geo!AG82-BU163-BU169</f>
      </c>
      <c r="BV167" s="2660">
        <f>Geo!AH82-BV163-BV169</f>
      </c>
      <c r="BW167" s="2660">
        <f>Geo!AI82-BW163-BW169</f>
      </c>
      <c r="BX167" s="2660">
        <f>Geo!AJ82-BX163-BX169</f>
      </c>
      <c r="BY167" s="2660">
        <f>Geo!AK82-BY163-BY169</f>
      </c>
      <c r="BZ167" s="2660">
        <f>Geo!AL82-BZ163-BZ169</f>
      </c>
      <c r="CA167" s="2660">
        <f>Geo!AM82-CA163-CA169</f>
      </c>
      <c r="CB167" s="2660">
        <f>Geo!AN82-CB163-CB169</f>
      </c>
      <c r="CC167" s="2660">
        <f>Geo!AO82-CC163-CC169</f>
      </c>
      <c r="CD167" s="2660">
        <f>Geo!AP82-CD163-CD169</f>
      </c>
      <c r="CE167" s="2660">
        <f>Geo!AQ82-CE163-CE169</f>
      </c>
      <c r="CF167" s="2660">
        <f>Geo!AR82-CF163-CF169</f>
      </c>
      <c r="CG167" s="2660">
        <f>Geo!AS82-CG163-CG169</f>
      </c>
      <c r="CH167" s="2660">
        <f>Geo!AT82-CH163-CH169</f>
      </c>
      <c r="CI167" s="2660">
        <f>Geo!AU82-CI163-CI169</f>
      </c>
      <c r="CJ167" s="2660">
        <f>Geo!AV82-CJ163-CJ169</f>
      </c>
      <c r="CK167" s="2660">
        <f>Geo!AW82-CK163-CK169</f>
      </c>
      <c r="CL167" s="2660">
        <f>Geo!AX82-CL163-CL169</f>
      </c>
      <c r="CM167" s="2660">
        <f>Geo!AY82-CM163-CM169</f>
      </c>
      <c r="CN167" s="2660">
        <f>Geo!AZ82-CN163-CN169</f>
      </c>
      <c r="CO167" s="2660">
        <f>Geo!BA82-CO163-CO169</f>
      </c>
      <c r="CP167" s="2660">
        <f>Geo!BB82-CP163-CP169</f>
      </c>
      <c r="CQ167" s="2660">
        <f>Geo!BC82-CQ163-CQ169</f>
      </c>
      <c r="CR167" s="2660">
        <f>Geo!BD82-CR163-CR169</f>
      </c>
      <c r="CS167" s="2660">
        <f>Geo!BE82-CS163-CS169</f>
      </c>
      <c r="CT167" s="2660">
        <f>Geo!BF82-CT163-CT169</f>
      </c>
      <c r="CU167" s="2660">
        <f>Geo!BG82-CU163-CU169</f>
      </c>
      <c r="CV167" s="2660">
        <f>Geo!BH82-CV163-CV169</f>
      </c>
      <c r="CW167" s="2660">
        <f>Geo!BI82-CW163-CW169</f>
      </c>
      <c r="CX167" s="2660">
        <f>Geo!BJ82-CX163-CX169</f>
      </c>
      <c r="CY167" s="2660">
        <f>Geo!BK82-CY163-CY169</f>
      </c>
      <c r="CZ167" s="2660">
        <f>Geo!BL82-CZ163-CZ169</f>
      </c>
      <c r="DA167" s="2660">
        <f>Geo!BM82-DA163-DA169</f>
      </c>
      <c r="DB167" s="2660">
        <f>Geo!BN82-DB163-DB169</f>
      </c>
      <c r="DC167" s="2660">
        <f>Geo!BO82-DC163-DC169</f>
      </c>
      <c r="DD167" s="2660">
        <f>Geo!BP82-DD163-DD169</f>
      </c>
      <c r="DE167" s="2660">
        <f>Geo!BQ82-DE163-DE169</f>
      </c>
      <c r="DF167" s="2660">
        <f>Geo!BR82-DF163-DF169</f>
      </c>
      <c r="DG167" s="2660">
        <f>Geo!BS82-DG163-DG169</f>
      </c>
      <c r="DH167" s="2660">
        <f>Geo!BT82-DH163-DH169</f>
      </c>
      <c r="DI167" s="2660">
        <f>Geo!BU82-DI163-DI169</f>
      </c>
      <c r="DJ167" s="2660">
        <f>Geo!BV82-DJ163-DJ169</f>
      </c>
      <c r="DK167" s="2660">
        <f>Geo!BW82-DK163-DK169</f>
      </c>
      <c r="DL167" s="2660">
        <f>Geo!BX82-DL163-DL169</f>
      </c>
      <c r="DM167" s="2660">
        <f>Geo!BY82-DM163-DM169</f>
      </c>
      <c r="DN167" s="2660">
        <f>Geo!BZ82-DN163-DN169</f>
      </c>
      <c r="DO167" s="2660">
        <f>Geo!CA82-DO163-DO169</f>
      </c>
      <c r="DP167" s="2660">
        <f>Geo!CB82-DP163-DP169</f>
      </c>
      <c r="DQ167" s="2660">
        <f>Geo!CC82-DQ163-DQ169</f>
      </c>
      <c r="DR167" s="2660">
        <f>Geo!CD82-DR163-DR169</f>
      </c>
      <c r="DS167" s="2660">
        <f>Geo!CE82-DS163-DS169</f>
      </c>
      <c r="DT167" s="2660">
        <f>Geo!CF82-DT163-DT169</f>
      </c>
      <c r="DU167" s="2660">
        <f>Geo!CG82-DU163-DU169</f>
      </c>
      <c r="DV167" s="2660">
        <f>Geo!CH82-DV163-DV169</f>
      </c>
      <c r="DW167" s="2660">
        <f>Geo!CI82-DW163-DW169</f>
      </c>
      <c r="DX167" s="2660">
        <f>Geo!CJ82-DX163-DX169</f>
      </c>
      <c r="DY167" s="2660">
        <f>Geo!CK82-DY163-DY169</f>
      </c>
      <c r="DZ167" s="2660">
        <f>Geo!CL82-DZ163-DZ169</f>
      </c>
      <c r="EA167" s="2660">
        <f>Geo!CM82-EA163-EA169</f>
      </c>
      <c r="EB167" s="2660">
        <f>Geo!CN82-EB163-EB169</f>
      </c>
      <c r="EC167" s="2660">
        <f>Geo!CO82-EC163-EC169</f>
      </c>
      <c r="ED167" s="2660">
        <f>Geo!CP82-ED163-ED169</f>
      </c>
      <c r="EE167" s="2660">
        <f>Geo!CQ82-EE163-EE169</f>
      </c>
      <c r="EF167" s="2660">
        <f>Geo!CR82-EF163-EF169</f>
      </c>
      <c r="EG167" s="2660">
        <f>Geo!CS82-EG163-EG169</f>
      </c>
      <c r="EH167" s="2660">
        <f>Geo!CT82-EH163-EH169</f>
      </c>
      <c r="EI167" s="2660">
        <f>Geo!CU82-EI163-EI169</f>
      </c>
      <c r="EJ167" s="2660">
        <f>Geo!CV82-EJ163-EJ169</f>
      </c>
      <c r="EK167" s="2660">
        <f>Geo!CW82-EK163-EK169</f>
      </c>
      <c r="EL167" s="2660">
        <f>Geo!CX82-EL163-EL169</f>
      </c>
      <c r="EM167" s="2660">
        <f>Geo!CY82-EM163-EM169</f>
      </c>
      <c r="EN167" s="2660">
        <f>Geo!CZ82-EN163-EN169</f>
      </c>
      <c r="EO167" s="2660">
        <f>Geo!DA82-EO163-EO169</f>
      </c>
      <c r="EP167" s="2660">
        <f>Geo!DB82-EP163-EP169</f>
      </c>
      <c r="EQ167" s="2660">
        <f>Geo!DC82-EQ163-EQ169</f>
      </c>
      <c r="ER167" s="2660">
        <f>Geo!DD82-ER163-ER169</f>
      </c>
      <c r="ES167" s="2660">
        <f>Geo!DE82-ES163-ES169</f>
      </c>
      <c r="ET167" s="2660">
        <f>Geo!DF82-ET163-ET169</f>
      </c>
      <c r="EU167" s="2660">
        <f>Geo!DG82-EU163-EU169</f>
      </c>
      <c r="EV167" s="2660">
        <f>Geo!DH82-EV163-EV169</f>
      </c>
      <c r="EW167" s="2660">
        <f>Geo!DI82-EW163-EW169</f>
      </c>
      <c r="EX167" s="2660">
        <f>Geo!DJ82-EX163-EX169</f>
      </c>
      <c r="EY167" s="2660">
        <f>Geo!DK82-EY163-EY169</f>
      </c>
      <c r="EZ167" s="2660">
        <f>Geo!DL82-EZ163-EZ169</f>
      </c>
      <c r="FA167" s="2660">
        <f>Geo!DM82-FA163-FA169</f>
      </c>
      <c r="FB167" s="2660">
        <f>Geo!DN82-FB163-FB169</f>
      </c>
      <c r="FC167" s="2660">
        <f>Geo!DO82-FC163-FC169</f>
      </c>
      <c r="FD167" s="2660">
        <f>Geo!DP82-FD163-FD169</f>
      </c>
      <c r="FE167" s="2660">
        <f>Geo!DQ82-FE163-FE169</f>
      </c>
    </row>
    <row r="168" spans="2:161" outlineLevel="2">
      <c r="B168" t="s">
        <v>801</v>
      </c>
      <c r="C168" t="s">
        <v>802</v>
      </c>
      <c r="F168" s="2660"/>
      <c r="G168" s="2660"/>
      <c r="H168" s="2660"/>
      <c r="I168" s="2660"/>
      <c r="J168" s="2660"/>
      <c r="K168" s="2660"/>
      <c r="L168" s="2660"/>
      <c r="M168" s="2660"/>
      <c r="N168" s="2660"/>
      <c r="O168" s="2660"/>
      <c r="P168" s="2660"/>
      <c r="Q168" s="2660"/>
      <c r="R168" s="2660"/>
      <c r="S168" s="2660"/>
      <c r="T168" s="2660"/>
      <c r="U168" s="2660"/>
      <c r="V168" s="2660"/>
      <c r="W168" s="2660"/>
      <c r="X168" s="2660"/>
      <c r="Y168" s="2660"/>
      <c r="Z168" s="2660"/>
      <c r="AA168" s="2660"/>
      <c r="AB168" s="2660"/>
      <c r="AC168" s="2660"/>
      <c r="AD168" s="2660"/>
      <c r="AE168" s="2660"/>
      <c r="AF168" s="2660"/>
      <c r="AG168" s="2660"/>
      <c r="AH168" s="2660"/>
      <c r="AI168" s="2660"/>
      <c r="AJ168" s="2660"/>
      <c r="AK168" s="2660"/>
      <c r="AL168" s="2660"/>
      <c r="AM168" s="2660"/>
      <c r="AN168" s="2660"/>
      <c r="AO168" s="2660"/>
      <c r="AP168" s="2660"/>
      <c r="AQ168" s="2660"/>
      <c r="AR168" s="2660"/>
      <c r="AS168" s="2660"/>
      <c r="AT168" s="2660"/>
      <c r="AU168" s="2660"/>
      <c r="AV168" s="2660"/>
      <c r="AW168" s="2660"/>
      <c r="AX168" s="2660"/>
      <c r="AY168" s="2660"/>
      <c r="AZ168" s="2660"/>
      <c r="BA168" s="2660"/>
      <c r="BB168" s="2660"/>
      <c r="BC168" s="2660"/>
      <c r="BD168" s="2660"/>
      <c r="BE168" s="2660"/>
      <c r="BF168" s="2660"/>
      <c r="BG168" s="2660"/>
      <c r="BH168" s="2660"/>
      <c r="BI168" s="2660"/>
      <c r="BJ168" s="2660"/>
      <c r="BK168" s="2660"/>
      <c r="BL168" s="2660"/>
      <c r="BM168" s="2660"/>
      <c r="BN168" s="2660"/>
      <c r="BO168" s="2660"/>
      <c r="BP168" s="2660"/>
      <c r="BQ168" s="2660"/>
      <c r="BR168" s="2660"/>
      <c r="BS168" s="2660"/>
      <c r="BT168" s="2660"/>
      <c r="BU168" s="2660"/>
      <c r="BV168" s="2660"/>
      <c r="BW168" s="2660"/>
      <c r="BX168" s="2660"/>
      <c r="BY168" s="2660"/>
      <c r="BZ168" s="2660"/>
      <c r="CA168" s="2660"/>
      <c r="CB168" s="2660"/>
      <c r="CC168" s="2660"/>
      <c r="CD168" s="2660"/>
      <c r="CE168" s="2660"/>
      <c r="CF168" s="2660"/>
      <c r="CG168" s="2660"/>
      <c r="CH168" s="2660"/>
      <c r="CI168" s="2660"/>
      <c r="CJ168" s="2660"/>
      <c r="CK168" s="2660"/>
      <c r="CL168" s="2660"/>
      <c r="CM168" s="2660"/>
      <c r="CN168" s="2660"/>
      <c r="CO168" s="2660"/>
      <c r="CP168" s="2660"/>
      <c r="CQ168" s="2660"/>
      <c r="CR168" s="2660"/>
      <c r="CS168" s="2660"/>
      <c r="CT168" s="2660"/>
      <c r="CU168" s="2660"/>
      <c r="CV168" s="2660"/>
      <c r="CW168" s="2660"/>
      <c r="CX168" s="2660"/>
      <c r="CY168" s="2660"/>
      <c r="CZ168" s="2660"/>
      <c r="DA168" s="2660"/>
      <c r="DB168" s="2660"/>
      <c r="DC168" s="2660"/>
      <c r="DD168" s="2660"/>
      <c r="DE168" s="2660"/>
      <c r="DF168" s="2660"/>
      <c r="DG168" s="2660"/>
      <c r="DH168" s="2660"/>
      <c r="DI168" s="2660"/>
      <c r="DJ168" s="2660"/>
      <c r="DK168" s="2660"/>
      <c r="DL168" s="2660"/>
      <c r="DM168" s="2660"/>
      <c r="DN168" s="2660"/>
      <c r="DO168" s="2660"/>
      <c r="DP168" s="2660"/>
      <c r="DQ168" s="2660"/>
      <c r="DR168" s="2660"/>
      <c r="DS168" s="2660"/>
      <c r="DT168" s="2660"/>
      <c r="DU168" s="2660"/>
      <c r="DV168" s="2660"/>
      <c r="DW168" s="2660"/>
      <c r="DX168" s="2660"/>
      <c r="DY168" s="2660"/>
      <c r="DZ168" s="2660"/>
      <c r="EA168" s="2660"/>
      <c r="EB168" s="2660"/>
      <c r="EC168" s="2660"/>
      <c r="ED168" s="2660"/>
      <c r="EE168" s="2660"/>
      <c r="EF168" s="2660"/>
      <c r="EG168" s="2660"/>
      <c r="EH168" s="2660"/>
      <c r="EI168" s="2660"/>
      <c r="EJ168" s="2660"/>
      <c r="EK168" s="2660"/>
      <c r="EL168" s="2660"/>
      <c r="EM168" s="2660"/>
      <c r="EN168" s="2660"/>
      <c r="EO168" s="2660"/>
      <c r="EP168" s="2660"/>
      <c r="EQ168" s="2660"/>
      <c r="ER168" s="2660"/>
      <c r="ES168" s="2660"/>
      <c r="ET168" s="2660"/>
      <c r="EU168" s="2660"/>
      <c r="EV168" s="2660"/>
      <c r="EW168" s="2660"/>
      <c r="EX168" s="2660"/>
      <c r="EY168" s="2660"/>
      <c r="EZ168" s="2660"/>
      <c r="FA168" s="2660"/>
      <c r="FB168" s="2660"/>
      <c r="FC168" s="2660"/>
      <c r="FD168" s="2660"/>
      <c r="FE168" s="2660"/>
    </row>
    <row r="169" spans="2:161" outlineLevel="2">
      <c r="B169" t="s">
        <v>475</v>
      </c>
      <c r="C169" t="s">
        <v>476</v>
      </c>
      <c r="F169" s="2660"/>
      <c r="G169" s="2660">
        <f>Geo!DS82*0.94</f>
      </c>
      <c r="H169" s="2660">
        <f>Geo!DT82*0.94</f>
      </c>
      <c r="I169" s="2660">
        <f>Geo!DU82*0.94</f>
      </c>
      <c r="J169" s="2660">
        <f>Geo!DV82*0.94</f>
      </c>
      <c r="K169" s="2660">
        <f>Geo!DW82*0.94</f>
      </c>
      <c r="L169" s="2660">
        <f>Geo!DX82*0.94</f>
      </c>
      <c r="M169" s="2660">
        <f>Geo!DY82*0.94</f>
      </c>
      <c r="N169" s="2660">
        <f>Geo!DZ82*0.94</f>
      </c>
      <c r="O169" s="2660">
        <f>Geo!EA82*0.94</f>
      </c>
      <c r="P169" s="2660">
        <f>Geo!EB82*0.94</f>
      </c>
      <c r="Q169" s="2660">
        <f>Geo!EC82*0.94</f>
      </c>
      <c r="R169" s="2660">
        <f>Geo!ED82*0.94</f>
      </c>
      <c r="S169" s="2660">
        <f>Geo!EE82*0.94</f>
      </c>
      <c r="T169" s="2660">
        <f>Geo!EF82*0.94</f>
      </c>
      <c r="U169" s="2660">
        <f>Geo!EG82*0.94</f>
      </c>
      <c r="V169" s="2660">
        <f>Geo!EH82*0.94</f>
      </c>
      <c r="W169" s="2660">
        <f>Geo!EI82*0.94</f>
      </c>
      <c r="X169" s="2660">
        <f>Geo!EJ82*0.94</f>
      </c>
      <c r="Y169" s="2660">
        <f>Geo!EK82*0.94</f>
      </c>
      <c r="Z169" s="2660">
        <f>Geo!EL82*0.94</f>
      </c>
      <c r="AA169" s="2660">
        <f>Geo!EM82*0.94</f>
      </c>
      <c r="AB169" s="2660">
        <f>Geo!EN82*0.94</f>
      </c>
      <c r="AC169" s="2660">
        <f>Geo!EO82*0.94</f>
      </c>
      <c r="AD169" s="2660">
        <f>Geo!EP82*0.94</f>
      </c>
      <c r="AE169" s="2660">
        <f>Geo!EQ82*0.94</f>
      </c>
      <c r="AF169" s="2660">
        <f>Geo!ER82*0.94</f>
      </c>
      <c r="AG169" s="2660">
        <f>Geo!ES82*0.94</f>
      </c>
      <c r="AH169" s="2660">
        <f>Geo!ET82*0.94</f>
      </c>
      <c r="AI169" s="2660">
        <f>Geo!EU82*0.94</f>
      </c>
      <c r="AJ169" s="2660">
        <f>Geo!EV82*0.94</f>
      </c>
      <c r="AK169" s="2660"/>
      <c r="AL169" s="2660"/>
      <c r="AM169" s="2660"/>
      <c r="AN169" s="2660"/>
      <c r="AO169" s="2660"/>
      <c r="AP169" s="2660">
        <f>Geo!B82*0.94</f>
      </c>
      <c r="AQ169" s="2660">
        <f>Geo!C82*0.94</f>
      </c>
      <c r="AR169" s="2660">
        <f>Geo!D82*0.94</f>
      </c>
      <c r="AS169" s="2660">
        <f>Geo!E82*0.94</f>
      </c>
      <c r="AT169" s="2660">
        <f>Geo!F82*0.94</f>
      </c>
      <c r="AU169" s="2660">
        <f>Geo!G82*0.94</f>
      </c>
      <c r="AV169" s="2660">
        <f>Geo!H82*0.94</f>
      </c>
      <c r="AW169" s="2660">
        <f>Geo!I82*0.94</f>
      </c>
      <c r="AX169" s="2660">
        <f>Geo!J82*0.94</f>
      </c>
      <c r="AY169" s="2660">
        <f>Geo!K82*0.94</f>
      </c>
      <c r="AZ169" s="2660">
        <f>Geo!L82*0.94</f>
      </c>
      <c r="BA169" s="2660">
        <f>Geo!M82*0.94</f>
      </c>
      <c r="BB169" s="2660">
        <f>Geo!N82*0.94</f>
      </c>
      <c r="BC169" s="2660">
        <f>Geo!O82*0.94</f>
      </c>
      <c r="BD169" s="2660">
        <f>Geo!P82*0.94</f>
      </c>
      <c r="BE169" s="2660">
        <f>Geo!Q82*0.94</f>
      </c>
      <c r="BF169" s="2660">
        <f>Geo!R82*0.94</f>
      </c>
      <c r="BG169" s="2660">
        <f>Geo!S82*0.94</f>
      </c>
      <c r="BH169" s="2660">
        <f>Geo!T82*0.94</f>
      </c>
      <c r="BI169" s="2660">
        <f>Geo!U82*0.94</f>
      </c>
      <c r="BJ169" s="2660">
        <f>Geo!V82*0.94</f>
      </c>
      <c r="BK169" s="2660">
        <f>Geo!W82*0.94</f>
      </c>
      <c r="BL169" s="2660">
        <f>Geo!X82*0.94</f>
      </c>
      <c r="BM169" s="2660">
        <f>Geo!Y82*0.94</f>
      </c>
      <c r="BN169" s="2660">
        <f>Geo!Z82*0.94</f>
      </c>
      <c r="BO169" s="2660">
        <f>Geo!AA82*0.94</f>
      </c>
      <c r="BP169" s="2660">
        <f>Geo!AB82*0.94</f>
      </c>
      <c r="BQ169" s="2660">
        <f>Geo!AC82*0.94</f>
      </c>
      <c r="BR169" s="2660">
        <f>Geo!AD82*0.94</f>
      </c>
      <c r="BS169" s="2660">
        <f>Geo!AE82*0.94</f>
      </c>
      <c r="BT169" s="2660">
        <f>Geo!AF82*0.94</f>
      </c>
      <c r="BU169" s="2660">
        <f>Geo!AG82*0.94</f>
      </c>
      <c r="BV169" s="2660">
        <f>Geo!AH82*0.94</f>
      </c>
      <c r="BW169" s="2660">
        <f>Geo!AI82*0.94</f>
      </c>
      <c r="BX169" s="2660">
        <f>Geo!AJ82*0.94</f>
      </c>
      <c r="BY169" s="2660">
        <f>Geo!AK82*0.94</f>
      </c>
      <c r="BZ169" s="2660">
        <f>Geo!AL82*0.94</f>
      </c>
      <c r="CA169" s="2660">
        <f>Geo!AM82*0.94</f>
      </c>
      <c r="CB169" s="2660">
        <f>Geo!AN82*0.94</f>
      </c>
      <c r="CC169" s="2660">
        <f>Geo!AO82*0.94</f>
      </c>
      <c r="CD169" s="2660">
        <f>Geo!AP82*0.94</f>
      </c>
      <c r="CE169" s="2660">
        <f>Geo!AQ82*0.94</f>
      </c>
      <c r="CF169" s="2660">
        <f>Geo!AR82*0.94</f>
      </c>
      <c r="CG169" s="2660">
        <f>Geo!AS82*0.94</f>
      </c>
      <c r="CH169" s="2660">
        <f>Geo!AT82*0.94</f>
      </c>
      <c r="CI169" s="2660">
        <f>Geo!AU82*0.94</f>
      </c>
      <c r="CJ169" s="2660">
        <f>Geo!AV82*0.94</f>
      </c>
      <c r="CK169" s="2660">
        <f>Geo!AW82*0.94</f>
      </c>
      <c r="CL169" s="2660">
        <f>Geo!AX82*0.94</f>
      </c>
      <c r="CM169" s="2660">
        <f>Geo!AY82*0.94</f>
      </c>
      <c r="CN169" s="2660">
        <f>Geo!AZ82*0.94</f>
      </c>
      <c r="CO169" s="2660">
        <f>Geo!BA82*0.94</f>
      </c>
      <c r="CP169" s="2660">
        <f>Geo!BB82*0.94</f>
      </c>
      <c r="CQ169" s="2660">
        <f>Geo!BC82*0.94</f>
      </c>
      <c r="CR169" s="2660">
        <f>Geo!BD82*0.94</f>
      </c>
      <c r="CS169" s="2660">
        <f>Geo!BE82*0.94</f>
      </c>
      <c r="CT169" s="2660">
        <f>Geo!BF82*0.94</f>
      </c>
      <c r="CU169" s="2660">
        <f>Geo!BG82*0.94</f>
      </c>
      <c r="CV169" s="2660">
        <f>Geo!BH82*0.94</f>
      </c>
      <c r="CW169" s="2660">
        <f>Geo!BI82*0.94</f>
      </c>
      <c r="CX169" s="2660">
        <f>Geo!BJ82*0.94</f>
      </c>
      <c r="CY169" s="2660">
        <f>Geo!BK82*0.94</f>
      </c>
      <c r="CZ169" s="2660">
        <f>Geo!BL82*0.94</f>
      </c>
      <c r="DA169" s="2660">
        <f>Geo!BM82*0.94</f>
      </c>
      <c r="DB169" s="2660">
        <f>Geo!BN82*0.94</f>
      </c>
      <c r="DC169" s="2660">
        <f>Geo!BO82*0.94</f>
      </c>
      <c r="DD169" s="2660">
        <f>Geo!BP82*0.94</f>
      </c>
      <c r="DE169" s="2660">
        <f>Geo!BQ82*0.94</f>
      </c>
      <c r="DF169" s="2660">
        <f>Geo!BR82*0.94</f>
      </c>
      <c r="DG169" s="2660">
        <f>Geo!BS82*0.94</f>
      </c>
      <c r="DH169" s="2660">
        <f>Geo!BT82*0.94</f>
      </c>
      <c r="DI169" s="2660">
        <f>Geo!BU82*0.94</f>
      </c>
      <c r="DJ169" s="2660">
        <f>Geo!BV82*0.94</f>
      </c>
      <c r="DK169" s="2660">
        <f>Geo!BW82*0.94</f>
      </c>
      <c r="DL169" s="2660">
        <f>Geo!BX82*0.94</f>
      </c>
      <c r="DM169" s="2660">
        <f>Geo!BY82*0.94</f>
      </c>
      <c r="DN169" s="2660">
        <f>Geo!BZ82*0.94</f>
      </c>
      <c r="DO169" s="2660">
        <f>Geo!CA82*0.94</f>
      </c>
      <c r="DP169" s="2660">
        <f>Geo!CB82*0.94</f>
      </c>
      <c r="DQ169" s="2660">
        <f>Geo!CC82*0.94</f>
      </c>
      <c r="DR169" s="2660">
        <f>Geo!CD82*0.94</f>
      </c>
      <c r="DS169" s="2660">
        <f>Geo!CE82*0.94</f>
      </c>
      <c r="DT169" s="2660">
        <f>Geo!CF82*0.94</f>
      </c>
      <c r="DU169" s="2660">
        <f>Geo!CG82*0.94</f>
      </c>
      <c r="DV169" s="2660">
        <f>Geo!CH82*0.94</f>
      </c>
      <c r="DW169" s="2660">
        <f>Geo!CI82*0.94</f>
      </c>
      <c r="DX169" s="2660">
        <f>Geo!CJ82*0.94</f>
      </c>
      <c r="DY169" s="2660">
        <f>Geo!CK82*0.94</f>
      </c>
      <c r="DZ169" s="2660">
        <f>Geo!CL82*0.94</f>
      </c>
      <c r="EA169" s="2660">
        <f>Geo!CM82*0.94</f>
      </c>
      <c r="EB169" s="2660">
        <f>Geo!CN82*0.94</f>
      </c>
      <c r="EC169" s="2660">
        <f>Geo!CO82*0.94</f>
      </c>
      <c r="ED169" s="2660">
        <f>Geo!CP82*0.94</f>
      </c>
      <c r="EE169" s="2660">
        <f>Geo!CQ82*0.94</f>
      </c>
      <c r="EF169" s="2660">
        <f>Geo!CR82*0.94</f>
      </c>
      <c r="EG169" s="2660">
        <f>Geo!CS82*0.94</f>
      </c>
      <c r="EH169" s="2660">
        <f>Geo!CT82*0.94</f>
      </c>
      <c r="EI169" s="2660">
        <f>Geo!CU82*0.94</f>
      </c>
      <c r="EJ169" s="2660">
        <f>Geo!CV82*0.94</f>
      </c>
      <c r="EK169" s="2660">
        <f>Geo!CW82*0.94</f>
      </c>
      <c r="EL169" s="2660">
        <f>Geo!CX82*0.94</f>
      </c>
      <c r="EM169" s="2660">
        <f>Geo!CY82*0.94</f>
      </c>
      <c r="EN169" s="2660">
        <f>Geo!CZ82*0.94</f>
      </c>
      <c r="EO169" s="2660">
        <f>Geo!DA82*0.94</f>
      </c>
      <c r="EP169" s="2660">
        <f>Geo!DB82*0.94</f>
      </c>
      <c r="EQ169" s="2660">
        <f>Geo!DC82*0.94</f>
      </c>
      <c r="ER169" s="2660">
        <f>Geo!DD82*0.94</f>
      </c>
      <c r="ES169" s="2660">
        <f>Geo!DE82*0.94</f>
      </c>
      <c r="ET169" s="2660">
        <f>Geo!DF82*0.94</f>
      </c>
      <c r="EU169" s="2660">
        <f>Geo!DG82*0.94</f>
      </c>
      <c r="EV169" s="2660">
        <f>Geo!DH82*0.94</f>
      </c>
      <c r="EW169" s="2660">
        <f>Geo!DI82*0.94</f>
      </c>
      <c r="EX169" s="2660">
        <f>Geo!DJ82*0.94</f>
      </c>
      <c r="EY169" s="2660">
        <f>Geo!DK82*0.94</f>
      </c>
      <c r="EZ169" s="2660">
        <f>Geo!DL82*0.94</f>
      </c>
      <c r="FA169" s="2660">
        <f>Geo!DM82*0.94</f>
      </c>
      <c r="FB169" s="2660">
        <f>Geo!DN82*0.94</f>
      </c>
      <c r="FC169" s="2660">
        <f>Geo!DO82*0.94</f>
      </c>
      <c r="FD169" s="2660">
        <f>Geo!DP82*0.94</f>
      </c>
      <c r="FE169" s="2660">
        <f>Geo!DQ82*0.94</f>
      </c>
    </row>
    <row r="170" spans="2:161" outlineLevel="2">
      <c r="B170" t="s">
        <v>477</v>
      </c>
      <c r="C170" t="s">
        <v>478</v>
      </c>
      <c r="F170" s="2660"/>
      <c r="G170" s="2660">
        <f>Geo!DS84*0.05</f>
      </c>
      <c r="H170" s="2660">
        <f>Geo!DT84*0.05</f>
      </c>
      <c r="I170" s="2660">
        <f>Geo!DU84*0.05</f>
      </c>
      <c r="J170" s="2660">
        <f>Geo!DV84*0.05</f>
      </c>
      <c r="K170" s="2660">
        <f>Geo!DW84*0.05</f>
      </c>
      <c r="L170" s="2660">
        <f>Geo!DX84*0.05</f>
      </c>
      <c r="M170" s="2660">
        <f>Geo!DY84*0.05</f>
      </c>
      <c r="N170" s="2660">
        <f>Geo!DZ84*0.05</f>
      </c>
      <c r="O170" s="2660">
        <f>Geo!EA84*0.05</f>
      </c>
      <c r="P170" s="2660">
        <f>Geo!EB84*0.05</f>
      </c>
      <c r="Q170" s="2660">
        <f>Geo!EC84*0.05</f>
      </c>
      <c r="R170" s="2660">
        <f>Geo!ED84*0.05</f>
      </c>
      <c r="S170" s="2660">
        <f>Geo!EE84*0.05</f>
      </c>
      <c r="T170" s="2660">
        <f>Geo!EF84*0.05</f>
      </c>
      <c r="U170" s="2660">
        <f>Geo!EG84*0.05</f>
      </c>
      <c r="V170" s="2660">
        <f>Geo!EH84*0.1</f>
      </c>
      <c r="W170" s="2660">
        <f>Geo!EI84*0.1</f>
      </c>
      <c r="X170" s="2660">
        <f>Geo!EJ84*0.1</f>
      </c>
      <c r="Y170" s="2660">
        <f>Geo!EK84*0.1</f>
      </c>
      <c r="Z170" s="2660">
        <f>Geo!EL84*0.1</f>
      </c>
      <c r="AA170" s="2660">
        <f>Geo!EM84*0.1</f>
      </c>
      <c r="AB170" s="2660">
        <f>Geo!EN84*0.1</f>
      </c>
      <c r="AC170" s="2660">
        <f>Geo!EO84*0.1</f>
      </c>
      <c r="AD170" s="2660">
        <f>Geo!EP84*0.1</f>
      </c>
      <c r="AE170" s="2660">
        <f>Geo!EQ84*0.1</f>
      </c>
      <c r="AF170" s="2660">
        <f>Geo!ER84*0.1</f>
      </c>
      <c r="AG170" s="2660">
        <f>Geo!ES84*0.1</f>
      </c>
      <c r="AH170" s="2660">
        <f>Geo!ET84*0.1</f>
      </c>
      <c r="AI170" s="2660">
        <f>Geo!EU84*0.1</f>
      </c>
      <c r="AJ170" s="2660">
        <f>Geo!EV84*0.1</f>
      </c>
      <c r="AK170" s="2660"/>
      <c r="AL170" s="2660"/>
      <c r="AM170" s="2660"/>
      <c r="AN170" s="2660"/>
      <c r="AO170" s="2660"/>
      <c r="AP170" s="2660">
        <f>Geo!B84*0.05</f>
      </c>
      <c r="AQ170" s="2660">
        <f>Geo!C84*0.05</f>
      </c>
      <c r="AR170" s="2660">
        <f>Geo!D84*0.05</f>
      </c>
      <c r="AS170" s="2660">
        <f>Geo!E84*0.05</f>
      </c>
      <c r="AT170" s="2660">
        <f>Geo!F84*0.05</f>
      </c>
      <c r="AU170" s="2660">
        <f>Geo!G84*0.05</f>
      </c>
      <c r="AV170" s="2660">
        <f>Geo!H84*0.05</f>
      </c>
      <c r="AW170" s="2660">
        <f>Geo!I84*0.05</f>
      </c>
      <c r="AX170" s="2660">
        <f>Geo!J84*0.05</f>
      </c>
      <c r="AY170" s="2660">
        <f>Geo!K84*0.05</f>
      </c>
      <c r="AZ170" s="2660">
        <f>Geo!L84*0.05</f>
      </c>
      <c r="BA170" s="2660">
        <f>Geo!M84*0.05</f>
      </c>
      <c r="BB170" s="2660">
        <f>Geo!N84*0.05</f>
      </c>
      <c r="BC170" s="2660">
        <f>Geo!O84*0.05</f>
      </c>
      <c r="BD170" s="2660">
        <f>Geo!P84*0.05</f>
      </c>
      <c r="BE170" s="2660">
        <f>Geo!Q84*0.05</f>
      </c>
      <c r="BF170" s="2660">
        <f>Geo!R84*0.05</f>
      </c>
      <c r="BG170" s="2660">
        <f>Geo!S84*0.05</f>
      </c>
      <c r="BH170" s="2660">
        <f>Geo!T84*0.05</f>
      </c>
      <c r="BI170" s="2660">
        <f>Geo!U84*0.05</f>
      </c>
      <c r="BJ170" s="2660">
        <f>Geo!V84*0.05</f>
      </c>
      <c r="BK170" s="2660">
        <f>Geo!W84*0.05</f>
      </c>
      <c r="BL170" s="2660">
        <f>Geo!X84*0.05</f>
      </c>
      <c r="BM170" s="2660">
        <f>Geo!Y84*0.05</f>
      </c>
      <c r="BN170" s="2660">
        <f>Geo!Z84*0.05</f>
      </c>
      <c r="BO170" s="2660">
        <f>Geo!AA84*0.05</f>
      </c>
      <c r="BP170" s="2660">
        <f>Geo!AB84*0.05</f>
      </c>
      <c r="BQ170" s="2660">
        <f>Geo!AC84*0.05</f>
      </c>
      <c r="BR170" s="2660">
        <f>Geo!AD84*0.05</f>
      </c>
      <c r="BS170" s="2660">
        <f>Geo!AE84*0.05</f>
      </c>
      <c r="BT170" s="2660">
        <f>Geo!AF84*0.05</f>
      </c>
      <c r="BU170" s="2660">
        <f>Geo!AG84*0.05</f>
      </c>
      <c r="BV170" s="2660">
        <f>Geo!AH84*0.05</f>
      </c>
      <c r="BW170" s="2660">
        <f>Geo!AI84*0.05</f>
      </c>
      <c r="BX170" s="2660">
        <f>Geo!AJ84*0.05</f>
      </c>
      <c r="BY170" s="2660">
        <f>Geo!AK84*0.05</f>
      </c>
      <c r="BZ170" s="2660">
        <f>Geo!AL84*0.05</f>
      </c>
      <c r="CA170" s="2660">
        <f>Geo!AM84*0.05</f>
      </c>
      <c r="CB170" s="2660">
        <f>Geo!AN84*0.05</f>
      </c>
      <c r="CC170" s="2660">
        <f>Geo!AO84*0.05</f>
      </c>
      <c r="CD170" s="2660">
        <f>Geo!AP84*0.05</f>
      </c>
      <c r="CE170" s="2660">
        <f>Geo!AQ84*0.05</f>
      </c>
      <c r="CF170" s="2660">
        <f>Geo!AR84*0.05</f>
      </c>
      <c r="CG170" s="2660">
        <f>Geo!AS84*0.05</f>
      </c>
      <c r="CH170" s="2660">
        <f>Geo!AT84*0.05</f>
      </c>
      <c r="CI170" s="2660">
        <f>Geo!AU84*0.05</f>
      </c>
      <c r="CJ170" s="2660">
        <f>Geo!AV84*0.05</f>
      </c>
      <c r="CK170" s="2660">
        <f>Geo!AW84*0.05</f>
      </c>
      <c r="CL170" s="2660">
        <f>Geo!AX84*0.05</f>
      </c>
      <c r="CM170" s="2660">
        <f>Geo!AY84*0.05</f>
      </c>
      <c r="CN170" s="2660">
        <f>Geo!AZ84*0.05</f>
      </c>
      <c r="CO170" s="2660">
        <f>Geo!BA84*0.05</f>
      </c>
      <c r="CP170" s="2660">
        <f>Geo!BB84*0.05</f>
      </c>
      <c r="CQ170" s="2660">
        <f>Geo!BC84*0.05</f>
      </c>
      <c r="CR170" s="2660">
        <f>Geo!BD84*0.05</f>
      </c>
      <c r="CS170" s="2660">
        <f>Geo!BE84*0.05</f>
      </c>
      <c r="CT170" s="2660">
        <f>Geo!BF84*0.05</f>
      </c>
      <c r="CU170" s="2660">
        <f>Geo!BG84*0.05</f>
      </c>
      <c r="CV170" s="2660">
        <f>Geo!BH84*0.05</f>
      </c>
      <c r="CW170" s="2660">
        <f>Geo!BI84*0.05</f>
      </c>
      <c r="CX170" s="2660">
        <f>Geo!BJ84*0.1</f>
      </c>
      <c r="CY170" s="2660">
        <f>Geo!BK84*0.1</f>
      </c>
      <c r="CZ170" s="2660">
        <f>Geo!BL84*0.1</f>
      </c>
      <c r="DA170" s="2660">
        <f>Geo!BM84*0.1</f>
      </c>
      <c r="DB170" s="2660">
        <f>Geo!BN84*0.1</f>
      </c>
      <c r="DC170" s="2660">
        <f>Geo!BO84*0.1</f>
      </c>
      <c r="DD170" s="2660">
        <f>Geo!BP84*0.1</f>
      </c>
      <c r="DE170" s="2660">
        <f>Geo!BQ84*0.1</f>
      </c>
      <c r="DF170" s="2660">
        <f>Geo!BR84*0.1</f>
      </c>
      <c r="DG170" s="2660">
        <f>Geo!BS84*0.1</f>
      </c>
      <c r="DH170" s="2660">
        <f>Geo!BT84*0.1</f>
      </c>
      <c r="DI170" s="2660">
        <f>Geo!BU84*0.1</f>
      </c>
      <c r="DJ170" s="2660">
        <f>Geo!BV84*0.1</f>
      </c>
      <c r="DK170" s="2660">
        <f>Geo!BW84*0.1</f>
      </c>
      <c r="DL170" s="2660">
        <f>Geo!BX84*0.1</f>
      </c>
      <c r="DM170" s="2660">
        <f>Geo!BY84*0.1</f>
      </c>
      <c r="DN170" s="2660">
        <f>Geo!BZ84*0.1</f>
      </c>
      <c r="DO170" s="2660">
        <f>Geo!CA84*0.1</f>
      </c>
      <c r="DP170" s="2660">
        <f>Geo!CB84*0.1</f>
      </c>
      <c r="DQ170" s="2660">
        <f>Geo!CC84*0.1</f>
      </c>
      <c r="DR170" s="2660">
        <f>Geo!CD84*0.1</f>
      </c>
      <c r="DS170" s="2660">
        <f>Geo!CE84*0.1</f>
      </c>
      <c r="DT170" s="2660">
        <f>Geo!CF84*0.1</f>
      </c>
      <c r="DU170" s="2660">
        <f>Geo!CG84*0.1</f>
      </c>
      <c r="DV170" s="2660">
        <f>Geo!CH84*0.1</f>
      </c>
      <c r="DW170" s="2660">
        <f>Geo!CI84*0.1</f>
      </c>
      <c r="DX170" s="2660">
        <f>Geo!CJ84*0.1</f>
      </c>
      <c r="DY170" s="2660">
        <f>Geo!CK84*0.1</f>
      </c>
      <c r="DZ170" s="2660">
        <f>Geo!CL84*0.1</f>
      </c>
      <c r="EA170" s="2660">
        <f>Geo!CM84*0.1</f>
      </c>
      <c r="EB170" s="2660">
        <f>Geo!CN84*0.1</f>
      </c>
      <c r="EC170" s="2660">
        <f>Geo!CO84*0.1</f>
      </c>
      <c r="ED170" s="2660">
        <f>Geo!CP84*0.1</f>
      </c>
      <c r="EE170" s="2660">
        <f>Geo!CQ84*0.1</f>
      </c>
      <c r="EF170" s="2660">
        <f>Geo!CR84*0.1</f>
      </c>
      <c r="EG170" s="2660">
        <f>Geo!CS84*0.1</f>
      </c>
      <c r="EH170" s="2660">
        <f>Geo!CT84*0.1</f>
      </c>
      <c r="EI170" s="2660">
        <f>Geo!CU84*0.1</f>
      </c>
      <c r="EJ170" s="2660">
        <f>Geo!CV84*0.1</f>
      </c>
      <c r="EK170" s="2660">
        <f>Geo!CW84*0.1</f>
      </c>
      <c r="EL170" s="2660">
        <f>Geo!CX84*0.1</f>
      </c>
      <c r="EM170" s="2660">
        <f>Geo!CY84*0.1</f>
      </c>
      <c r="EN170" s="2660">
        <f>Geo!CZ84*0.1</f>
      </c>
      <c r="EO170" s="2660">
        <f>Geo!DA84*0.1</f>
      </c>
      <c r="EP170" s="2660">
        <f>Geo!DB84*0.1</f>
      </c>
      <c r="EQ170" s="2660">
        <f>Geo!DC84*0.1</f>
      </c>
      <c r="ER170" s="2660">
        <f>Geo!DD84*0.1</f>
      </c>
      <c r="ES170" s="2660">
        <f>Geo!DE84*0.1</f>
      </c>
      <c r="ET170" s="2660">
        <f>Geo!DF84*0.1</f>
      </c>
      <c r="EU170" s="2660">
        <f>Geo!DG84*0.1</f>
      </c>
      <c r="EV170" s="2660">
        <f>Geo!DH84*0.1</f>
      </c>
      <c r="EW170" s="2660">
        <f>Geo!DI84*0.1</f>
      </c>
      <c r="EX170" s="2660">
        <f>Geo!DJ84*0.1</f>
      </c>
      <c r="EY170" s="2660">
        <f>Geo!DK84*0.1</f>
      </c>
      <c r="EZ170" s="2660">
        <f>Geo!DL84*0.1</f>
      </c>
      <c r="FA170" s="2660">
        <f>Geo!DM84*0.1</f>
      </c>
      <c r="FB170" s="2660">
        <f>Geo!DN84*0.1</f>
      </c>
      <c r="FC170" s="2660">
        <f>Geo!DO84*0.1</f>
      </c>
      <c r="FD170" s="2660">
        <f>Geo!DP84*0.1</f>
      </c>
      <c r="FE170" s="2660">
        <f>Geo!DQ84*0.1</f>
      </c>
    </row>
    <row r="171" spans="2:161" outlineLevel="2">
      <c r="B171" t="s">
        <v>803</v>
      </c>
      <c r="C171" t="s">
        <v>804</v>
      </c>
      <c r="F171" s="2660"/>
      <c r="G171" s="2660"/>
      <c r="H171" s="2660"/>
      <c r="I171" s="2660"/>
      <c r="J171" s="2660"/>
      <c r="K171" s="2660"/>
      <c r="L171" s="2660"/>
      <c r="M171" s="2660"/>
      <c r="N171" s="2660"/>
      <c r="O171" s="2660"/>
      <c r="P171" s="2660"/>
      <c r="Q171" s="2660"/>
      <c r="R171" s="2660"/>
      <c r="S171" s="2660"/>
      <c r="T171" s="2660"/>
      <c r="U171" s="2660"/>
      <c r="V171" s="2660"/>
      <c r="W171" s="2660"/>
      <c r="X171" s="2660"/>
      <c r="Y171" s="2660"/>
      <c r="Z171" s="2660"/>
      <c r="AA171" s="2660"/>
      <c r="AB171" s="2660"/>
      <c r="AC171" s="2660"/>
      <c r="AD171" s="2660"/>
      <c r="AE171" s="2660"/>
      <c r="AF171" s="2660"/>
      <c r="AG171" s="2660"/>
      <c r="AH171" s="2660"/>
      <c r="AI171" s="2660"/>
      <c r="AJ171" s="2660"/>
      <c r="AK171" s="2660"/>
      <c r="AL171" s="2660"/>
      <c r="AM171" s="2660"/>
      <c r="AN171" s="2660"/>
      <c r="AO171" s="2660"/>
      <c r="AP171" s="2660"/>
      <c r="AQ171" s="2660"/>
      <c r="AR171" s="2660"/>
      <c r="AS171" s="2660"/>
      <c r="AT171" s="2660"/>
      <c r="AU171" s="2660"/>
      <c r="AV171" s="2660"/>
      <c r="AW171" s="2660"/>
      <c r="AX171" s="2660"/>
      <c r="AY171" s="2660"/>
      <c r="AZ171" s="2660"/>
      <c r="BA171" s="2660"/>
      <c r="BB171" s="2660"/>
      <c r="BC171" s="2660"/>
      <c r="BD171" s="2660"/>
      <c r="BE171" s="2660"/>
      <c r="BF171" s="2660"/>
      <c r="BG171" s="2660"/>
      <c r="BH171" s="2660"/>
      <c r="BI171" s="2660"/>
      <c r="BJ171" s="2660"/>
      <c r="BK171" s="2660"/>
      <c r="BL171" s="2660"/>
      <c r="BM171" s="2660"/>
      <c r="BN171" s="2660"/>
      <c r="BO171" s="2660"/>
      <c r="BP171" s="2660"/>
      <c r="BQ171" s="2660"/>
      <c r="BR171" s="2660"/>
      <c r="BS171" s="2660"/>
      <c r="BT171" s="2660"/>
      <c r="BU171" s="2660"/>
      <c r="BV171" s="2660"/>
      <c r="BW171" s="2660"/>
      <c r="BX171" s="2660"/>
      <c r="BY171" s="2660"/>
      <c r="BZ171" s="2660"/>
      <c r="CA171" s="2660"/>
      <c r="CB171" s="2660"/>
      <c r="CC171" s="2660"/>
      <c r="CD171" s="2660"/>
      <c r="CE171" s="2660"/>
      <c r="CF171" s="2660"/>
      <c r="CG171" s="2660"/>
      <c r="CH171" s="2660"/>
      <c r="CI171" s="2660"/>
      <c r="CJ171" s="2660"/>
      <c r="CK171" s="2660"/>
      <c r="CL171" s="2660"/>
      <c r="CM171" s="2660"/>
      <c r="CN171" s="2660"/>
      <c r="CO171" s="2660"/>
      <c r="CP171" s="2660"/>
      <c r="CQ171" s="2660"/>
      <c r="CR171" s="2660"/>
      <c r="CS171" s="2660"/>
      <c r="CT171" s="2660"/>
      <c r="CU171" s="2660"/>
      <c r="CV171" s="2660"/>
      <c r="CW171" s="2660"/>
      <c r="CX171" s="2660"/>
      <c r="CY171" s="2660"/>
      <c r="CZ171" s="2660"/>
      <c r="DA171" s="2660"/>
      <c r="DB171" s="2660"/>
      <c r="DC171" s="2660"/>
      <c r="DD171" s="2660"/>
      <c r="DE171" s="2660"/>
      <c r="DF171" s="2660"/>
      <c r="DG171" s="2660"/>
      <c r="DH171" s="2660"/>
      <c r="DI171" s="2660"/>
      <c r="DJ171" s="2660"/>
      <c r="DK171" s="2660"/>
      <c r="DL171" s="2660"/>
      <c r="DM171" s="2660"/>
      <c r="DN171" s="2660"/>
      <c r="DO171" s="2660"/>
      <c r="DP171" s="2660"/>
      <c r="DQ171" s="2660"/>
      <c r="DR171" s="2660"/>
      <c r="DS171" s="2660"/>
      <c r="DT171" s="2660"/>
      <c r="DU171" s="2660"/>
      <c r="DV171" s="2660"/>
      <c r="DW171" s="2660"/>
      <c r="DX171" s="2660"/>
      <c r="DY171" s="2660"/>
      <c r="DZ171" s="2660"/>
      <c r="EA171" s="2660"/>
      <c r="EB171" s="2660"/>
      <c r="EC171" s="2660"/>
      <c r="ED171" s="2660"/>
      <c r="EE171" s="2660"/>
      <c r="EF171" s="2660"/>
      <c r="EG171" s="2660"/>
      <c r="EH171" s="2660"/>
      <c r="EI171" s="2660"/>
      <c r="EJ171" s="2660"/>
      <c r="EK171" s="2660"/>
      <c r="EL171" s="2660"/>
      <c r="EM171" s="2660"/>
      <c r="EN171" s="2660"/>
      <c r="EO171" s="2660"/>
      <c r="EP171" s="2660"/>
      <c r="EQ171" s="2660"/>
      <c r="ER171" s="2660"/>
      <c r="ES171" s="2660"/>
      <c r="ET171" s="2660"/>
      <c r="EU171" s="2660"/>
      <c r="EV171" s="2660"/>
      <c r="EW171" s="2660"/>
      <c r="EX171" s="2660"/>
      <c r="EY171" s="2660"/>
      <c r="EZ171" s="2660"/>
      <c r="FA171" s="2660"/>
      <c r="FB171" s="2660"/>
      <c r="FC171" s="2660"/>
      <c r="FD171" s="2660"/>
      <c r="FE171" s="2660"/>
    </row>
    <row r="172" spans="2:161" outlineLevel="2">
      <c r="B172" t="s">
        <v>805</v>
      </c>
      <c r="C172" t="s">
        <v>806</v>
      </c>
      <c r="F172" s="2660"/>
      <c r="G172" s="2660"/>
      <c r="H172" s="2660"/>
      <c r="I172" s="2660"/>
      <c r="J172" s="2660"/>
      <c r="K172" s="2660"/>
      <c r="L172" s="2660"/>
      <c r="M172" s="2660"/>
      <c r="N172" s="2660"/>
      <c r="O172" s="2660"/>
      <c r="P172" s="2660"/>
      <c r="Q172" s="2660"/>
      <c r="R172" s="2660"/>
      <c r="S172" s="2660"/>
      <c r="T172" s="2660"/>
      <c r="U172" s="2660"/>
      <c r="V172" s="2660"/>
      <c r="W172" s="2660"/>
      <c r="X172" s="2660"/>
      <c r="Y172" s="2660"/>
      <c r="Z172" s="2660"/>
      <c r="AA172" s="2660"/>
      <c r="AB172" s="2660"/>
      <c r="AC172" s="2660"/>
      <c r="AD172" s="2660"/>
      <c r="AE172" s="2660"/>
      <c r="AF172" s="2660"/>
      <c r="AG172" s="2660"/>
      <c r="AH172" s="2660"/>
      <c r="AI172" s="2660"/>
      <c r="AJ172" s="2660"/>
      <c r="AK172" s="2660"/>
      <c r="AL172" s="2660"/>
      <c r="AM172" s="2660"/>
      <c r="AN172" s="2660"/>
      <c r="AO172" s="2660"/>
      <c r="AP172" s="2660"/>
      <c r="AQ172" s="2660"/>
      <c r="AR172" s="2660"/>
      <c r="AS172" s="2660"/>
      <c r="AT172" s="2660"/>
      <c r="AU172" s="2660"/>
      <c r="AV172" s="2660"/>
      <c r="AW172" s="2660"/>
      <c r="AX172" s="2660"/>
      <c r="AY172" s="2660"/>
      <c r="AZ172" s="2660"/>
      <c r="BA172" s="2660"/>
      <c r="BB172" s="2660"/>
      <c r="BC172" s="2660"/>
      <c r="BD172" s="2660"/>
      <c r="BE172" s="2660"/>
      <c r="BF172" s="2660"/>
      <c r="BG172" s="2660"/>
      <c r="BH172" s="2660"/>
      <c r="BI172" s="2660"/>
      <c r="BJ172" s="2660"/>
      <c r="BK172" s="2660"/>
      <c r="BL172" s="2660"/>
      <c r="BM172" s="2660"/>
      <c r="BN172" s="2660"/>
      <c r="BO172" s="2660"/>
      <c r="BP172" s="2660"/>
      <c r="BQ172" s="2660"/>
      <c r="BR172" s="2660"/>
      <c r="BS172" s="2660"/>
      <c r="BT172" s="2660"/>
      <c r="BU172" s="2660"/>
      <c r="BV172" s="2660"/>
      <c r="BW172" s="2660"/>
      <c r="BX172" s="2660"/>
      <c r="BY172" s="2660"/>
      <c r="BZ172" s="2660"/>
      <c r="CA172" s="2660"/>
      <c r="CB172" s="2660"/>
      <c r="CC172" s="2660"/>
      <c r="CD172" s="2660"/>
      <c r="CE172" s="2660"/>
      <c r="CF172" s="2660"/>
      <c r="CG172" s="2660"/>
      <c r="CH172" s="2660"/>
      <c r="CI172" s="2660"/>
      <c r="CJ172" s="2660"/>
      <c r="CK172" s="2660"/>
      <c r="CL172" s="2660"/>
      <c r="CM172" s="2660"/>
      <c r="CN172" s="2660"/>
      <c r="CO172" s="2660"/>
      <c r="CP172" s="2660"/>
      <c r="CQ172" s="2660"/>
      <c r="CR172" s="2660"/>
      <c r="CS172" s="2660"/>
      <c r="CT172" s="2660"/>
      <c r="CU172" s="2660"/>
      <c r="CV172" s="2660"/>
      <c r="CW172" s="2660"/>
      <c r="CX172" s="2660"/>
      <c r="CY172" s="2660"/>
      <c r="CZ172" s="2660"/>
      <c r="DA172" s="2660"/>
      <c r="DB172" s="2660"/>
      <c r="DC172" s="2660"/>
      <c r="DD172" s="2660"/>
      <c r="DE172" s="2660"/>
      <c r="DF172" s="2660"/>
      <c r="DG172" s="2660"/>
      <c r="DH172" s="2660"/>
      <c r="DI172" s="2660"/>
      <c r="DJ172" s="2660"/>
      <c r="DK172" s="2660"/>
      <c r="DL172" s="2660"/>
      <c r="DM172" s="2660"/>
      <c r="DN172" s="2660"/>
      <c r="DO172" s="2660"/>
      <c r="DP172" s="2660"/>
      <c r="DQ172" s="2660"/>
      <c r="DR172" s="2660"/>
      <c r="DS172" s="2660"/>
      <c r="DT172" s="2660"/>
      <c r="DU172" s="2660"/>
      <c r="DV172" s="2660"/>
      <c r="DW172" s="2660"/>
      <c r="DX172" s="2660"/>
      <c r="DY172" s="2660"/>
      <c r="DZ172" s="2660"/>
      <c r="EA172" s="2660"/>
      <c r="EB172" s="2660"/>
      <c r="EC172" s="2660"/>
      <c r="ED172" s="2660"/>
      <c r="EE172" s="2660"/>
      <c r="EF172" s="2660"/>
      <c r="EG172" s="2660"/>
      <c r="EH172" s="2660"/>
      <c r="EI172" s="2660"/>
      <c r="EJ172" s="2660"/>
      <c r="EK172" s="2660"/>
      <c r="EL172" s="2660"/>
      <c r="EM172" s="2660"/>
      <c r="EN172" s="2660"/>
      <c r="EO172" s="2660"/>
      <c r="EP172" s="2660"/>
      <c r="EQ172" s="2660"/>
      <c r="ER172" s="2660"/>
      <c r="ES172" s="2660"/>
      <c r="ET172" s="2660"/>
      <c r="EU172" s="2660"/>
      <c r="EV172" s="2660"/>
      <c r="EW172" s="2660"/>
      <c r="EX172" s="2660"/>
      <c r="EY172" s="2660"/>
      <c r="EZ172" s="2660"/>
      <c r="FA172" s="2660"/>
      <c r="FB172" s="2660"/>
      <c r="FC172" s="2660"/>
      <c r="FD172" s="2660"/>
      <c r="FE172" s="2660"/>
    </row>
    <row r="173" spans="2:161" outlineLevel="2">
      <c r="B173" t="s">
        <v>807</v>
      </c>
      <c r="C173" t="s">
        <v>808</v>
      </c>
      <c r="F173" s="2660"/>
      <c r="G173" s="2660">
        <f>Geo!DS84-G165-G166-G170-G174</f>
      </c>
      <c r="H173" s="2660">
        <f>Geo!DT84-H165-H166-H170-H174</f>
      </c>
      <c r="I173" s="2660">
        <f>Geo!DU84-I165-I166-I170-I174</f>
      </c>
      <c r="J173" s="2660">
        <f>Geo!DV84-J165-J166-J170-J174</f>
      </c>
      <c r="K173" s="2660">
        <f>Geo!DW84-K165-K166-K170-K174</f>
      </c>
      <c r="L173" s="2660">
        <f>Geo!DX84-L165-L166-L170-L174</f>
      </c>
      <c r="M173" s="2660">
        <f>Geo!DY84-M165-M166-M170-M174</f>
      </c>
      <c r="N173" s="2660">
        <f>Geo!DZ84-N165-N166-N170-N174</f>
      </c>
      <c r="O173" s="2660">
        <f>Geo!EA84-O165-O166-O170-O174</f>
      </c>
      <c r="P173" s="2660">
        <f>Geo!EB84-P165-P166-P170-P174</f>
      </c>
      <c r="Q173" s="2660">
        <f>Geo!EC84-Q165-Q166-Q170-Q174</f>
      </c>
      <c r="R173" s="2660">
        <f>Geo!ED84-R165-R166-R170-R174</f>
      </c>
      <c r="S173" s="2660">
        <f>Geo!EE84-S165-S166-S170-S174</f>
      </c>
      <c r="T173" s="2660">
        <f>Geo!EF84-T165-T166-T170-T174</f>
      </c>
      <c r="U173" s="2660">
        <f>Geo!EG84-U165-U166-U170-U174</f>
      </c>
      <c r="V173" s="2660">
        <f>Geo!EH84-V165-V166-V170-V174</f>
      </c>
      <c r="W173" s="2660">
        <f>Geo!EI84-W165-W166-W170-W174</f>
      </c>
      <c r="X173" s="2660">
        <f>Geo!EJ84-X165-X166-X170-X174</f>
      </c>
      <c r="Y173" s="2660">
        <f>Geo!EK84-Y165-Y166-Y170-Y174</f>
      </c>
      <c r="Z173" s="2660">
        <f>Geo!EL84-Z165-Z166-Z170-Z174</f>
      </c>
      <c r="AA173" s="2660">
        <f>Geo!EM84-AA165-AA166-AA170-AA174</f>
      </c>
      <c r="AB173" s="2660">
        <f>Geo!EN84-AB165-AB166-AB170-AB174</f>
      </c>
      <c r="AC173" s="2660">
        <f>Geo!EO84-AC165-AC166-AC170-AC174</f>
      </c>
      <c r="AD173" s="2660">
        <f>Geo!EP84-AD165-AD166-AD170-AD174</f>
      </c>
      <c r="AE173" s="2660">
        <f>Geo!EQ84-AE165-AE166-AE170-AE174</f>
      </c>
      <c r="AF173" s="2660">
        <f>Geo!ER84-AF165-AF166-AF170-AF174</f>
      </c>
      <c r="AG173" s="2660">
        <f>Geo!ES84-AG165-AG166-AG170-AG174</f>
      </c>
      <c r="AH173" s="2660">
        <f>Geo!ET84-AH165-AH166-AH170-AH174</f>
      </c>
      <c r="AI173" s="2660">
        <f>Geo!EU84-AI165-AI166-AI170-AI174</f>
      </c>
      <c r="AJ173" s="2660">
        <f>Geo!EV84-AJ165-AJ166-AJ170-AJ174</f>
      </c>
      <c r="AK173" s="2660"/>
      <c r="AL173" s="2660"/>
      <c r="AM173" s="2660"/>
      <c r="AN173" s="2660"/>
      <c r="AO173" s="2660"/>
      <c r="AP173" s="2660">
        <f>Geo!B84-AP165-AP166-AP170-AP174</f>
      </c>
      <c r="AQ173" s="2660">
        <f>Geo!C84-AQ165-AQ166-AQ170-AQ174</f>
      </c>
      <c r="AR173" s="2660">
        <f>Geo!D84-AR165-AR166-AR170-AR174</f>
      </c>
      <c r="AS173" s="2660">
        <f>Geo!E84-AS165-AS166-AS170-AS174</f>
      </c>
      <c r="AT173" s="2660">
        <f>Geo!F84-AT165-AT166-AT170-AT174</f>
      </c>
      <c r="AU173" s="2660">
        <f>Geo!G84-AU165-AU166-AU170-AU174</f>
      </c>
      <c r="AV173" s="2660">
        <f>Geo!H84-AV165-AV166-AV170-AV174</f>
      </c>
      <c r="AW173" s="2660">
        <f>Geo!I84-AW165-AW166-AW170-AW174</f>
      </c>
      <c r="AX173" s="2660">
        <f>Geo!J84-AX165-AX166-AX170-AX174</f>
      </c>
      <c r="AY173" s="2660">
        <f>Geo!K84-AY165-AY166-AY170-AY174</f>
      </c>
      <c r="AZ173" s="2660">
        <f>Geo!L84-AZ165-AZ166-AZ170-AZ174</f>
      </c>
      <c r="BA173" s="2660">
        <f>Geo!M84-BA165-BA166-BA170-BA174</f>
      </c>
      <c r="BB173" s="2660">
        <f>Geo!N84-BB165-BB166-BB170-BB174</f>
      </c>
      <c r="BC173" s="2660">
        <f>Geo!O84-BC165-BC166-BC170-BC174</f>
      </c>
      <c r="BD173" s="2660">
        <f>Geo!P84-BD165-BD166-BD170-BD174</f>
      </c>
      <c r="BE173" s="2660">
        <f>Geo!Q84-BE165-BE166-BE170-BE174</f>
      </c>
      <c r="BF173" s="2660">
        <f>Geo!R84-BF165-BF166-BF170-BF174</f>
      </c>
      <c r="BG173" s="2660">
        <f>Geo!S84-BG165-BG166-BG170-BG174</f>
      </c>
      <c r="BH173" s="2660">
        <f>Geo!T84-BH165-BH166-BH170-BH174</f>
      </c>
      <c r="BI173" s="2660">
        <f>Geo!U84-BI165-BI166-BI170-BI174</f>
      </c>
      <c r="BJ173" s="2660">
        <f>Geo!V84-BJ165-BJ166-BJ170-BJ174</f>
      </c>
      <c r="BK173" s="2660">
        <f>Geo!W84-BK165-BK166-BK170-BK174</f>
      </c>
      <c r="BL173" s="2660">
        <f>Geo!X84-BL165-BL166-BL170-BL174</f>
      </c>
      <c r="BM173" s="2660">
        <f>Geo!Y84-BM165-BM166-BM170-BM174</f>
      </c>
      <c r="BN173" s="2660">
        <f>Geo!Z84-BN165-BN166-BN170-BN174</f>
      </c>
      <c r="BO173" s="2660">
        <f>Geo!AA84-BO165-BO166-BO170-BO174</f>
      </c>
      <c r="BP173" s="2660">
        <f>Geo!AB84-BP165-BP166-BP170-BP174</f>
      </c>
      <c r="BQ173" s="2660">
        <f>Geo!AC84-BQ165-BQ166-BQ170-BQ174</f>
      </c>
      <c r="BR173" s="2660">
        <f>Geo!AD84-BR165-BR166-BR170-BR174</f>
      </c>
      <c r="BS173" s="2660">
        <f>Geo!AE84-BS165-BS166-BS170-BS174</f>
      </c>
      <c r="BT173" s="2660">
        <f>Geo!AF84-BT165-BT166-BT170-BT174</f>
      </c>
      <c r="BU173" s="2660">
        <f>Geo!AG84-BU165-BU166-BU170-BU174</f>
      </c>
      <c r="BV173" s="2660">
        <f>Geo!AH84-BV165-BV166-BV170-BV174</f>
      </c>
      <c r="BW173" s="2660">
        <f>Geo!AI84-BW165-BW166-BW170-BW174</f>
      </c>
      <c r="BX173" s="2660">
        <f>Geo!AJ84-BX165-BX166-BX170-BX174</f>
      </c>
      <c r="BY173" s="2660">
        <f>Geo!AK84-BY165-BY166-BY170-BY174</f>
      </c>
      <c r="BZ173" s="2660">
        <f>Geo!AL84-BZ165-BZ166-BZ170-BZ174</f>
      </c>
      <c r="CA173" s="2660">
        <f>Geo!AM84-CA165-CA166-CA170-CA174</f>
      </c>
      <c r="CB173" s="2660">
        <f>Geo!AN84-CB165-CB166-CB170-CB174</f>
      </c>
      <c r="CC173" s="2660">
        <f>Geo!AO84-CC165-CC166-CC170-CC174</f>
      </c>
      <c r="CD173" s="2660">
        <f>Geo!AP84-CD165-CD166-CD170-CD174</f>
      </c>
      <c r="CE173" s="2660">
        <f>Geo!AQ84-CE165-CE166-CE170-CE174</f>
      </c>
      <c r="CF173" s="2660">
        <f>Geo!AR84-CF165-CF166-CF170-CF174</f>
      </c>
      <c r="CG173" s="2660">
        <f>Geo!AS84-CG165-CG166-CG170-CG174</f>
      </c>
      <c r="CH173" s="2660">
        <f>Geo!AT84-CH165-CH166-CH170-CH174</f>
      </c>
      <c r="CI173" s="2660">
        <f>Geo!AU84-CI165-CI166-CI170-CI174</f>
      </c>
      <c r="CJ173" s="2660">
        <f>Geo!AV84-CJ165-CJ166-CJ170-CJ174</f>
      </c>
      <c r="CK173" s="2660">
        <f>Geo!AW84-CK165-CK166-CK170-CK174</f>
      </c>
      <c r="CL173" s="2660">
        <f>Geo!AX84-CL165-CL166-CL170-CL174</f>
      </c>
      <c r="CM173" s="2660">
        <f>Geo!AY84-CM165-CM166-CM170-CM174</f>
      </c>
      <c r="CN173" s="2660">
        <f>Geo!AZ84-CN165-CN166-CN170-CN174</f>
      </c>
      <c r="CO173" s="2660">
        <f>Geo!BA84-CO165-CO166-CO170-CO174</f>
      </c>
      <c r="CP173" s="2660">
        <f>Geo!BB84-CP165-CP166-CP170-CP174</f>
      </c>
      <c r="CQ173" s="2660">
        <f>Geo!BC84-CQ165-CQ166-CQ170-CQ174</f>
      </c>
      <c r="CR173" s="2660">
        <f>Geo!BD84-CR165-CR166-CR170-CR174</f>
      </c>
      <c r="CS173" s="2660">
        <f>Geo!BE84-CS165-CS166-CS170-CS174</f>
      </c>
      <c r="CT173" s="2660">
        <f>Geo!BF84-CT165-CT166-CT170-CT174</f>
      </c>
      <c r="CU173" s="2660">
        <f>Geo!BG84-CU165-CU166-CU170-CU174</f>
      </c>
      <c r="CV173" s="2660">
        <f>Geo!BH84-CV165-CV166-CV170-CV174</f>
      </c>
      <c r="CW173" s="2660">
        <f>Geo!BI84-CW165-CW166-CW170-CW174</f>
      </c>
      <c r="CX173" s="2660">
        <f>Geo!BJ84-CX165-CX166-CX170-CX174</f>
      </c>
      <c r="CY173" s="2660">
        <f>Geo!BK84-CY165-CY166-CY170-CY174</f>
      </c>
      <c r="CZ173" s="2660">
        <f>Geo!BL84-CZ165-CZ166-CZ170-CZ174</f>
      </c>
      <c r="DA173" s="2660">
        <f>Geo!BM84-DA165-DA166-DA170-DA174</f>
      </c>
      <c r="DB173" s="2660">
        <f>Geo!BN84-DB165-DB166-DB170-DB174</f>
      </c>
      <c r="DC173" s="2660">
        <f>Geo!BO84-DC165-DC166-DC170-DC174</f>
      </c>
      <c r="DD173" s="2660">
        <f>Geo!BP84-DD165-DD166-DD170-DD174</f>
      </c>
      <c r="DE173" s="2660">
        <f>Geo!BQ84-DE165-DE166-DE170-DE174</f>
      </c>
      <c r="DF173" s="2660">
        <f>Geo!BR84-DF165-DF166-DF170-DF174</f>
      </c>
      <c r="DG173" s="2660">
        <f>Geo!BS84-DG165-DG166-DG170-DG174</f>
      </c>
      <c r="DH173" s="2660">
        <f>Geo!BT84-DH165-DH166-DH170-DH174</f>
      </c>
      <c r="DI173" s="2660">
        <f>Geo!BU84-DI165-DI166-DI170-DI174</f>
      </c>
      <c r="DJ173" s="2660">
        <f>Geo!BV84-DJ165-DJ166-DJ170-DJ174</f>
      </c>
      <c r="DK173" s="2660">
        <f>Geo!BW84-DK165-DK166-DK170-DK174</f>
      </c>
      <c r="DL173" s="2660">
        <f>Geo!BX84-DL165-DL166-DL170-DL174</f>
      </c>
      <c r="DM173" s="2660">
        <f>Geo!BY84-DM165-DM166-DM170-DM174</f>
      </c>
      <c r="DN173" s="2660">
        <f>Geo!BZ84-DN165-DN166-DN170-DN174</f>
      </c>
      <c r="DO173" s="2660">
        <f>Geo!CA84-DO165-DO166-DO170-DO174</f>
      </c>
      <c r="DP173" s="2660">
        <f>Geo!CB84-DP165-DP166-DP170-DP174</f>
      </c>
      <c r="DQ173" s="2660">
        <f>Geo!CC84-DQ165-DQ166-DQ170-DQ174</f>
      </c>
      <c r="DR173" s="2660">
        <f>Geo!CD84-DR165-DR166-DR170-DR174</f>
      </c>
      <c r="DS173" s="2660">
        <f>Geo!CE84-DS165-DS166-DS170-DS174</f>
      </c>
      <c r="DT173" s="2660">
        <f>Geo!CF84-DT165-DT166-DT170-DT174</f>
      </c>
      <c r="DU173" s="2660">
        <f>Geo!CG84-DU165-DU166-DU170-DU174</f>
      </c>
      <c r="DV173" s="2660">
        <f>Geo!CH84-DV165-DV166-DV170-DV174</f>
      </c>
      <c r="DW173" s="2660">
        <f>Geo!CI84-DW165-DW166-DW170-DW174</f>
      </c>
      <c r="DX173" s="2660">
        <f>Geo!CJ84-DX165-DX166-DX170-DX174</f>
      </c>
      <c r="DY173" s="2660">
        <f>Geo!CK84-DY165-DY166-DY170-DY174</f>
      </c>
      <c r="DZ173" s="2660">
        <f>Geo!CL84-DZ165-DZ166-DZ170-DZ174</f>
      </c>
      <c r="EA173" s="2660">
        <f>Geo!CM84-EA165-EA166-EA170-EA174</f>
      </c>
      <c r="EB173" s="2660">
        <f>Geo!CN84-EB165-EB166-EB170-EB174</f>
      </c>
      <c r="EC173" s="2660">
        <f>Geo!CO84-EC165-EC166-EC170-EC174</f>
      </c>
      <c r="ED173" s="2660">
        <f>Geo!CP84-ED165-ED166-ED170-ED174</f>
      </c>
      <c r="EE173" s="2660">
        <f>Geo!CQ84-EE165-EE166-EE170-EE174</f>
      </c>
      <c r="EF173" s="2660">
        <f>Geo!CR84-EF165-EF166-EF170-EF174</f>
      </c>
      <c r="EG173" s="2660">
        <f>Geo!CS84-EG165-EG166-EG170-EG174</f>
      </c>
      <c r="EH173" s="2660">
        <f>Geo!CT84-EH165-EH166-EH170-EH174</f>
      </c>
      <c r="EI173" s="2660">
        <f>Geo!CU84-EI165-EI166-EI170-EI174</f>
      </c>
      <c r="EJ173" s="2660">
        <f>Geo!CV84-EJ165-EJ166-EJ170-EJ174</f>
      </c>
      <c r="EK173" s="2660">
        <f>Geo!CW84-EK165-EK166-EK170-EK174</f>
      </c>
      <c r="EL173" s="2660">
        <f>Geo!CX84-EL165-EL166-EL170-EL174</f>
      </c>
      <c r="EM173" s="2660">
        <f>Geo!CY84-EM165-EM166-EM170-EM174</f>
      </c>
      <c r="EN173" s="2660">
        <f>Geo!CZ84-EN165-EN166-EN170-EN174</f>
      </c>
      <c r="EO173" s="2660">
        <f>Geo!DA84-EO165-EO166-EO170-EO174</f>
      </c>
      <c r="EP173" s="2660">
        <f>Geo!DB84-EP165-EP166-EP170-EP174</f>
      </c>
      <c r="EQ173" s="2660">
        <f>Geo!DC84-EQ165-EQ166-EQ170-EQ174</f>
      </c>
      <c r="ER173" s="2660">
        <f>Geo!DD84-ER165-ER166-ER170-ER174</f>
      </c>
      <c r="ES173" s="2660">
        <f>Geo!DE84-ES165-ES166-ES170-ES174</f>
      </c>
      <c r="ET173" s="2660">
        <f>Geo!DF84-ET165-ET166-ET170-ET174</f>
      </c>
      <c r="EU173" s="2660">
        <f>Geo!DG84-EU165-EU166-EU170-EU174</f>
      </c>
      <c r="EV173" s="2660">
        <f>Geo!DH84-EV165-EV166-EV170-EV174</f>
      </c>
      <c r="EW173" s="2660">
        <f>Geo!DI84-EW165-EW166-EW170-EW174</f>
      </c>
      <c r="EX173" s="2660">
        <f>Geo!DJ84-EX165-EX166-EX170-EX174</f>
      </c>
      <c r="EY173" s="2660">
        <f>Geo!DK84-EY165-EY166-EY170-EY174</f>
      </c>
      <c r="EZ173" s="2660">
        <f>Geo!DL84-EZ165-EZ166-EZ170-EZ174</f>
      </c>
      <c r="FA173" s="2660">
        <f>Geo!DM84-FA165-FA166-FA170-FA174</f>
      </c>
      <c r="FB173" s="2660">
        <f>Geo!DN84-FB165-FB166-FB170-FB174</f>
      </c>
      <c r="FC173" s="2660">
        <f>Geo!DO84-FC165-FC166-FC170-FC174</f>
      </c>
      <c r="FD173" s="2660">
        <f>Geo!DP84-FD165-FD166-FD170-FD174</f>
      </c>
      <c r="FE173" s="2660">
        <f>Geo!DQ84-FE165-FE166-FE170-FE174</f>
      </c>
    </row>
    <row r="174" spans="2:161" outlineLevel="2">
      <c r="B174" t="s">
        <v>809</v>
      </c>
      <c r="C174" t="s">
        <v>810</v>
      </c>
      <c r="F174" s="2660"/>
      <c r="G174" s="2660">
        <f>Geo!DS84*0.2</f>
      </c>
      <c r="H174" s="2660">
        <f>Geo!DT84*0.2</f>
      </c>
      <c r="I174" s="2660">
        <f>Geo!DU84*0.2</f>
      </c>
      <c r="J174" s="2660">
        <f>Geo!DV84*0.2</f>
      </c>
      <c r="K174" s="2660">
        <f>Geo!DW84*0.2</f>
      </c>
      <c r="L174" s="2660">
        <f>Geo!DX84*0.2</f>
      </c>
      <c r="M174" s="2660">
        <f>Geo!DY84*0.2</f>
      </c>
      <c r="N174" s="2660">
        <f>Geo!DZ84*0.2</f>
      </c>
      <c r="O174" s="2660">
        <f>Geo!EA84*0.2</f>
      </c>
      <c r="P174" s="2660">
        <f>Geo!EB84*0.2</f>
      </c>
      <c r="Q174" s="2660">
        <f>Geo!EC84*0.2</f>
      </c>
      <c r="R174" s="2660">
        <f>Geo!ED84*0.2</f>
      </c>
      <c r="S174" s="2660">
        <f>Geo!EE84*0.2</f>
      </c>
      <c r="T174" s="2660">
        <f>Geo!EF84*0.2</f>
      </c>
      <c r="U174" s="2660">
        <f>Geo!EG84*0.2</f>
      </c>
      <c r="V174" s="2660">
        <f>Geo!EH84*0.2</f>
      </c>
      <c r="W174" s="2660">
        <f>Geo!EI84*0.2</f>
      </c>
      <c r="X174" s="2660">
        <f>Geo!EJ84*0.2</f>
      </c>
      <c r="Y174" s="2660">
        <f>Geo!EK84*0.2</f>
      </c>
      <c r="Z174" s="2660">
        <f>Geo!EL84*0.2</f>
      </c>
      <c r="AA174" s="2660">
        <f>Geo!EM84*0.2</f>
      </c>
      <c r="AB174" s="2660">
        <f>Geo!EN84*0.2</f>
      </c>
      <c r="AC174" s="2660">
        <f>Geo!EO84*0.2</f>
      </c>
      <c r="AD174" s="2660">
        <f>Geo!EP84*0.2</f>
      </c>
      <c r="AE174" s="2660">
        <f>Geo!EQ84*0.2</f>
      </c>
      <c r="AF174" s="2660">
        <f>Geo!ER84*0.2</f>
      </c>
      <c r="AG174" s="2660">
        <f>Geo!ES84*0.2</f>
      </c>
      <c r="AH174" s="2660">
        <f>Geo!ET84*0.2</f>
      </c>
      <c r="AI174" s="2660">
        <f>Geo!EU84*0.2</f>
      </c>
      <c r="AJ174" s="2660">
        <f>Geo!EV84*0.2</f>
      </c>
      <c r="AK174" s="2660"/>
      <c r="AL174" s="2660"/>
      <c r="AM174" s="2660"/>
      <c r="AN174" s="2660"/>
      <c r="AO174" s="2660"/>
      <c r="AP174" s="2660">
        <f>Geo!B84*0.2</f>
      </c>
      <c r="AQ174" s="2660">
        <f>Geo!C84*0.2</f>
      </c>
      <c r="AR174" s="2660">
        <f>Geo!D84*0.2</f>
      </c>
      <c r="AS174" s="2660">
        <f>Geo!E84*0.2</f>
      </c>
      <c r="AT174" s="2660">
        <f>Geo!F84*0.2</f>
      </c>
      <c r="AU174" s="2660">
        <f>Geo!G84*0.2</f>
      </c>
      <c r="AV174" s="2660">
        <f>Geo!H84*0.2</f>
      </c>
      <c r="AW174" s="2660">
        <f>Geo!I84*0.2</f>
      </c>
      <c r="AX174" s="2660">
        <f>Geo!J84*0.2</f>
      </c>
      <c r="AY174" s="2660">
        <f>Geo!K84*0.2</f>
      </c>
      <c r="AZ174" s="2660">
        <f>Geo!L84*0.2</f>
      </c>
      <c r="BA174" s="2660">
        <f>Geo!M84*0.2</f>
      </c>
      <c r="BB174" s="2660">
        <f>Geo!N84*0.2</f>
      </c>
      <c r="BC174" s="2660">
        <f>Geo!O84*0.2</f>
      </c>
      <c r="BD174" s="2660">
        <f>Geo!P84*0.2</f>
      </c>
      <c r="BE174" s="2660">
        <f>Geo!Q84*0.2</f>
      </c>
      <c r="BF174" s="2660">
        <f>Geo!R84*0.2</f>
      </c>
      <c r="BG174" s="2660">
        <f>Geo!S84*0.2</f>
      </c>
      <c r="BH174" s="2660">
        <f>Geo!T84*0.2</f>
      </c>
      <c r="BI174" s="2660">
        <f>Geo!U84*0.2</f>
      </c>
      <c r="BJ174" s="2660">
        <f>Geo!V84*0.2</f>
      </c>
      <c r="BK174" s="2660">
        <f>Geo!W84*0.2</f>
      </c>
      <c r="BL174" s="2660">
        <f>Geo!X84*0.2</f>
      </c>
      <c r="BM174" s="2660">
        <f>Geo!Y84*0.2</f>
      </c>
      <c r="BN174" s="2660">
        <f>Geo!Z84*0.2</f>
      </c>
      <c r="BO174" s="2660">
        <f>Geo!AA84*0.2</f>
      </c>
      <c r="BP174" s="2660">
        <f>Geo!AB84*0.2</f>
      </c>
      <c r="BQ174" s="2660">
        <f>Geo!AC84*0.2</f>
      </c>
      <c r="BR174" s="2660">
        <f>Geo!AD84*0.2</f>
      </c>
      <c r="BS174" s="2660">
        <f>Geo!AE84*0.2</f>
      </c>
      <c r="BT174" s="2660">
        <f>Geo!AF84*0.2</f>
      </c>
      <c r="BU174" s="2660">
        <f>Geo!AG84*0.2</f>
      </c>
      <c r="BV174" s="2660">
        <f>Geo!AH84*0.2</f>
      </c>
      <c r="BW174" s="2660">
        <f>Geo!AI84*0.2</f>
      </c>
      <c r="BX174" s="2660">
        <f>Geo!AJ84*0.2</f>
      </c>
      <c r="BY174" s="2660">
        <f>Geo!AK84*0.2</f>
      </c>
      <c r="BZ174" s="2660">
        <f>Geo!AL84*0.2</f>
      </c>
      <c r="CA174" s="2660">
        <f>Geo!AM84*0.2</f>
      </c>
      <c r="CB174" s="2660">
        <f>Geo!AN84*0.2</f>
      </c>
      <c r="CC174" s="2660">
        <f>Geo!AO84*0.2</f>
      </c>
      <c r="CD174" s="2660">
        <f>Geo!AP84*0.2</f>
      </c>
      <c r="CE174" s="2660">
        <f>Geo!AQ84*0.2</f>
      </c>
      <c r="CF174" s="2660">
        <f>Geo!AR84*0.2</f>
      </c>
      <c r="CG174" s="2660">
        <f>Geo!AS84*0.2</f>
      </c>
      <c r="CH174" s="2660">
        <f>Geo!AT84*0.2</f>
      </c>
      <c r="CI174" s="2660">
        <f>Geo!AU84*0.2</f>
      </c>
      <c r="CJ174" s="2660">
        <f>Geo!AV84*0.2</f>
      </c>
      <c r="CK174" s="2660">
        <f>Geo!AW84*0.2</f>
      </c>
      <c r="CL174" s="2660">
        <f>Geo!AX84*0.2</f>
      </c>
      <c r="CM174" s="2660">
        <f>Geo!AY84*0.2</f>
      </c>
      <c r="CN174" s="2660">
        <f>Geo!AZ84*0.2</f>
      </c>
      <c r="CO174" s="2660">
        <f>Geo!BA84*0.2</f>
      </c>
      <c r="CP174" s="2660">
        <f>Geo!BB84*0.2</f>
      </c>
      <c r="CQ174" s="2660">
        <f>Geo!BC84*0.2</f>
      </c>
      <c r="CR174" s="2660">
        <f>Geo!BD84*0.2</f>
      </c>
      <c r="CS174" s="2660">
        <f>Geo!BE84*0.2</f>
      </c>
      <c r="CT174" s="2660">
        <f>Geo!BF84*0.2</f>
      </c>
      <c r="CU174" s="2660">
        <f>Geo!BG84*0.2</f>
      </c>
      <c r="CV174" s="2660">
        <f>Geo!BH84*0.2</f>
      </c>
      <c r="CW174" s="2660">
        <f>Geo!BI84*0.2</f>
      </c>
      <c r="CX174" s="2660">
        <f>Geo!BJ84*0.2</f>
      </c>
      <c r="CY174" s="2660">
        <f>Geo!BK84*0.2</f>
      </c>
      <c r="CZ174" s="2660">
        <f>Geo!BL84*0.2</f>
      </c>
      <c r="DA174" s="2660">
        <f>Geo!BM84*0.2</f>
      </c>
      <c r="DB174" s="2660">
        <f>Geo!BN84*0.2</f>
      </c>
      <c r="DC174" s="2660">
        <f>Geo!BO84*0.2</f>
      </c>
      <c r="DD174" s="2660">
        <f>Geo!BP84*0.2</f>
      </c>
      <c r="DE174" s="2660">
        <f>Geo!BQ84*0.2</f>
      </c>
      <c r="DF174" s="2660">
        <f>Geo!BR84*0.2</f>
      </c>
      <c r="DG174" s="2660">
        <f>Geo!BS84*0.2</f>
      </c>
      <c r="DH174" s="2660">
        <f>Geo!BT84*0.2</f>
      </c>
      <c r="DI174" s="2660">
        <f>Geo!BU84*0.2</f>
      </c>
      <c r="DJ174" s="2660">
        <f>Geo!BV84*0.2</f>
      </c>
      <c r="DK174" s="2660">
        <f>Geo!BW84*0.2</f>
      </c>
      <c r="DL174" s="2660">
        <f>Geo!BX84*0.2</f>
      </c>
      <c r="DM174" s="2660">
        <f>Geo!BY84*0.2</f>
      </c>
      <c r="DN174" s="2660">
        <f>Geo!BZ84*0.2</f>
      </c>
      <c r="DO174" s="2660">
        <f>Geo!CA84*0.2</f>
      </c>
      <c r="DP174" s="2660">
        <f>Geo!CB84*0.2</f>
      </c>
      <c r="DQ174" s="2660">
        <f>Geo!CC84*0.2</f>
      </c>
      <c r="DR174" s="2660">
        <f>Geo!CD84*0.2</f>
      </c>
      <c r="DS174" s="2660">
        <f>Geo!CE84*0.2</f>
      </c>
      <c r="DT174" s="2660">
        <f>Geo!CF84*0.2</f>
      </c>
      <c r="DU174" s="2660">
        <f>Geo!CG84*0.2</f>
      </c>
      <c r="DV174" s="2660">
        <f>Geo!CH84*0.2</f>
      </c>
      <c r="DW174" s="2660">
        <f>Geo!CI84*0.2</f>
      </c>
      <c r="DX174" s="2660">
        <f>Geo!CJ84*0.2</f>
      </c>
      <c r="DY174" s="2660">
        <f>Geo!CK84*0.2</f>
      </c>
      <c r="DZ174" s="2660">
        <f>Geo!CL84*0.2</f>
      </c>
      <c r="EA174" s="2660">
        <f>Geo!CM84*0.2</f>
      </c>
      <c r="EB174" s="2660">
        <f>Geo!CN84*0.2</f>
      </c>
      <c r="EC174" s="2660">
        <f>Geo!CO84*0.2</f>
      </c>
      <c r="ED174" s="2660">
        <f>Geo!CP84*0.2</f>
      </c>
      <c r="EE174" s="2660">
        <f>Geo!CQ84*0.2</f>
      </c>
      <c r="EF174" s="2660">
        <f>Geo!CR84*0.2</f>
      </c>
      <c r="EG174" s="2660">
        <f>Geo!CS84*0.2</f>
      </c>
      <c r="EH174" s="2660">
        <f>Geo!CT84*0.2</f>
      </c>
      <c r="EI174" s="2660">
        <f>Geo!CU84*0.2</f>
      </c>
      <c r="EJ174" s="2660">
        <f>Geo!CV84*0.2</f>
      </c>
      <c r="EK174" s="2660">
        <f>Geo!CW84*0.2</f>
      </c>
      <c r="EL174" s="2660">
        <f>Geo!CX84*0.2</f>
      </c>
      <c r="EM174" s="2660">
        <f>Geo!CY84*0.2</f>
      </c>
      <c r="EN174" s="2660">
        <f>Geo!CZ84*0.2</f>
      </c>
      <c r="EO174" s="2660">
        <f>Geo!DA84*0.2</f>
      </c>
      <c r="EP174" s="2660">
        <f>Geo!DB84*0.2</f>
      </c>
      <c r="EQ174" s="2660">
        <f>Geo!DC84*0.2</f>
      </c>
      <c r="ER174" s="2660">
        <f>Geo!DD84*0.2</f>
      </c>
      <c r="ES174" s="2660">
        <f>Geo!DE84*0.2</f>
      </c>
      <c r="ET174" s="2660">
        <f>Geo!DF84*0.2</f>
      </c>
      <c r="EU174" s="2660">
        <f>Geo!DG84*0.2</f>
      </c>
      <c r="EV174" s="2660">
        <f>Geo!DH84*0.2</f>
      </c>
      <c r="EW174" s="2660">
        <f>Geo!DI84*0.2</f>
      </c>
      <c r="EX174" s="2660">
        <f>Geo!DJ84*0.2</f>
      </c>
      <c r="EY174" s="2660">
        <f>Geo!DK84*0.2</f>
      </c>
      <c r="EZ174" s="2660">
        <f>Geo!DL84*0.2</f>
      </c>
      <c r="FA174" s="2660">
        <f>Geo!DM84*0.2</f>
      </c>
      <c r="FB174" s="2660">
        <f>Geo!DN84*0.2</f>
      </c>
      <c r="FC174" s="2660">
        <f>Geo!DO84*0.2</f>
      </c>
      <c r="FD174" s="2660">
        <f>Geo!DP84*0.2</f>
      </c>
      <c r="FE174" s="2660">
        <f>Geo!DQ84*0.2</f>
      </c>
    </row>
    <row r="175" spans="2:161" outlineLevel="2">
      <c r="B175" t="s">
        <v>811</v>
      </c>
      <c r="C175" t="s">
        <v>812</v>
      </c>
      <c r="F175" s="2660"/>
      <c r="G175" s="2660"/>
      <c r="H175" s="2660"/>
      <c r="I175" s="2660"/>
      <c r="J175" s="2660"/>
      <c r="K175" s="2660"/>
      <c r="L175" s="2660"/>
      <c r="M175" s="2660"/>
      <c r="N175" s="2660"/>
      <c r="O175" s="2660"/>
      <c r="P175" s="2660"/>
      <c r="Q175" s="2660"/>
      <c r="R175" s="2660"/>
      <c r="S175" s="2660"/>
      <c r="T175" s="2660"/>
      <c r="U175" s="2660"/>
      <c r="V175" s="2660"/>
      <c r="W175" s="2660"/>
      <c r="X175" s="2660"/>
      <c r="Y175" s="2660"/>
      <c r="Z175" s="2660"/>
      <c r="AA175" s="2660"/>
      <c r="AB175" s="2660"/>
      <c r="AC175" s="2660"/>
      <c r="AD175" s="2660"/>
      <c r="AE175" s="2660"/>
      <c r="AF175" s="2660"/>
      <c r="AG175" s="2660"/>
      <c r="AH175" s="2660"/>
      <c r="AI175" s="2660"/>
      <c r="AJ175" s="2660"/>
      <c r="AK175" s="2660"/>
      <c r="AL175" s="2660"/>
      <c r="AM175" s="2660"/>
      <c r="AN175" s="2660"/>
      <c r="AO175" s="2660"/>
      <c r="AP175" s="2660"/>
      <c r="AQ175" s="2660"/>
      <c r="AR175" s="2660"/>
      <c r="AS175" s="2660"/>
      <c r="AT175" s="2660"/>
      <c r="AU175" s="2660"/>
      <c r="AV175" s="2660"/>
      <c r="AW175" s="2660"/>
      <c r="AX175" s="2660"/>
      <c r="AY175" s="2660"/>
      <c r="AZ175" s="2660"/>
      <c r="BA175" s="2660"/>
      <c r="BB175" s="2660"/>
      <c r="BC175" s="2660"/>
      <c r="BD175" s="2660"/>
      <c r="BE175" s="2660"/>
      <c r="BF175" s="2660"/>
      <c r="BG175" s="2660"/>
      <c r="BH175" s="2660"/>
      <c r="BI175" s="2660"/>
      <c r="BJ175" s="2660"/>
      <c r="BK175" s="2660"/>
      <c r="BL175" s="2660"/>
      <c r="BM175" s="2660"/>
      <c r="BN175" s="2660"/>
      <c r="BO175" s="2660"/>
      <c r="BP175" s="2660"/>
      <c r="BQ175" s="2660"/>
      <c r="BR175" s="2660"/>
      <c r="BS175" s="2660"/>
      <c r="BT175" s="2660"/>
      <c r="BU175" s="2660"/>
      <c r="BV175" s="2660"/>
      <c r="BW175" s="2660"/>
      <c r="BX175" s="2660"/>
      <c r="BY175" s="2660"/>
      <c r="BZ175" s="2660"/>
      <c r="CA175" s="2660"/>
      <c r="CB175" s="2660"/>
      <c r="CC175" s="2660"/>
      <c r="CD175" s="2660"/>
      <c r="CE175" s="2660"/>
      <c r="CF175" s="2660"/>
      <c r="CG175" s="2660"/>
      <c r="CH175" s="2660"/>
      <c r="CI175" s="2660"/>
      <c r="CJ175" s="2660"/>
      <c r="CK175" s="2660"/>
      <c r="CL175" s="2660"/>
      <c r="CM175" s="2660"/>
      <c r="CN175" s="2660"/>
      <c r="CO175" s="2660"/>
      <c r="CP175" s="2660"/>
      <c r="CQ175" s="2660"/>
      <c r="CR175" s="2660"/>
      <c r="CS175" s="2660"/>
      <c r="CT175" s="2660"/>
      <c r="CU175" s="2660"/>
      <c r="CV175" s="2660"/>
      <c r="CW175" s="2660"/>
      <c r="CX175" s="2660"/>
      <c r="CY175" s="2660"/>
      <c r="CZ175" s="2660"/>
      <c r="DA175" s="2660"/>
      <c r="DB175" s="2660"/>
      <c r="DC175" s="2660"/>
      <c r="DD175" s="2660"/>
      <c r="DE175" s="2660"/>
      <c r="DF175" s="2660"/>
      <c r="DG175" s="2660"/>
      <c r="DH175" s="2660"/>
      <c r="DI175" s="2660"/>
      <c r="DJ175" s="2660"/>
      <c r="DK175" s="2660"/>
      <c r="DL175" s="2660"/>
      <c r="DM175" s="2660"/>
      <c r="DN175" s="2660"/>
      <c r="DO175" s="2660"/>
      <c r="DP175" s="2660"/>
      <c r="DQ175" s="2660"/>
      <c r="DR175" s="2660"/>
      <c r="DS175" s="2660"/>
      <c r="DT175" s="2660"/>
      <c r="DU175" s="2660"/>
      <c r="DV175" s="2660"/>
      <c r="DW175" s="2660"/>
      <c r="DX175" s="2660"/>
      <c r="DY175" s="2660"/>
      <c r="DZ175" s="2660"/>
      <c r="EA175" s="2660"/>
      <c r="EB175" s="2660"/>
      <c r="EC175" s="2660"/>
      <c r="ED175" s="2660"/>
      <c r="EE175" s="2660"/>
      <c r="EF175" s="2660"/>
      <c r="EG175" s="2660"/>
      <c r="EH175" s="2660"/>
      <c r="EI175" s="2660"/>
      <c r="EJ175" s="2660"/>
      <c r="EK175" s="2660"/>
      <c r="EL175" s="2660"/>
      <c r="EM175" s="2660"/>
      <c r="EN175" s="2660"/>
      <c r="EO175" s="2660"/>
      <c r="EP175" s="2660"/>
      <c r="EQ175" s="2660"/>
      <c r="ER175" s="2660"/>
      <c r="ES175" s="2660"/>
      <c r="ET175" s="2660"/>
      <c r="EU175" s="2660"/>
      <c r="EV175" s="2660"/>
      <c r="EW175" s="2660"/>
      <c r="EX175" s="2660"/>
      <c r="EY175" s="2660"/>
      <c r="EZ175" s="2660"/>
      <c r="FA175" s="2660"/>
      <c r="FB175" s="2660"/>
      <c r="FC175" s="2660"/>
      <c r="FD175" s="2660"/>
      <c r="FE175" s="2660"/>
    </row>
    <row r="176" spans="2:161" outlineLevel="2">
      <c r="B176" t="s">
        <v>481</v>
      </c>
      <c r="C176" t="s">
        <v>482</v>
      </c>
      <c r="F176" s="2660"/>
      <c r="G176" s="2660">
        <f>Geo!DS85</f>
      </c>
      <c r="H176" s="2660">
        <f>Geo!DT85</f>
      </c>
      <c r="I176" s="2660">
        <f>Geo!DU85</f>
      </c>
      <c r="J176" s="2660">
        <f>Geo!DV85</f>
      </c>
      <c r="K176" s="2660">
        <f>Geo!DW85</f>
      </c>
      <c r="L176" s="2660">
        <f>Geo!DX85</f>
      </c>
      <c r="M176" s="2660">
        <f>Geo!DY85</f>
      </c>
      <c r="N176" s="2660">
        <f>Geo!DZ85</f>
      </c>
      <c r="O176" s="2660">
        <f>Geo!EA85</f>
      </c>
      <c r="P176" s="2660">
        <f>Geo!EB85</f>
      </c>
      <c r="Q176" s="2660">
        <f>Geo!EC85</f>
      </c>
      <c r="R176" s="2660">
        <f>Geo!ED85</f>
      </c>
      <c r="S176" s="2660">
        <f>Geo!EE85</f>
      </c>
      <c r="T176" s="2660">
        <f>Geo!EF85</f>
      </c>
      <c r="U176" s="2660">
        <f>Geo!EG85</f>
      </c>
      <c r="V176" s="2660">
        <f>Geo!EH85</f>
      </c>
      <c r="W176" s="2660">
        <f>Geo!EI85</f>
      </c>
      <c r="X176" s="2660">
        <f>Geo!EJ85</f>
      </c>
      <c r="Y176" s="2660">
        <f>Geo!EK85</f>
      </c>
      <c r="Z176" s="2660">
        <f>Geo!EL85</f>
      </c>
      <c r="AA176" s="2660">
        <f>Geo!EM85</f>
      </c>
      <c r="AB176" s="2660">
        <f>Geo!EN85</f>
      </c>
      <c r="AC176" s="2660">
        <f>Geo!EO85</f>
      </c>
      <c r="AD176" s="2660">
        <f>Geo!EP85</f>
      </c>
      <c r="AE176" s="2660">
        <f>Geo!EQ85</f>
      </c>
      <c r="AF176" s="2660">
        <f>Geo!ER85</f>
      </c>
      <c r="AG176" s="2660">
        <f>Geo!ES85</f>
      </c>
      <c r="AH176" s="2660">
        <f>Geo!ET85</f>
      </c>
      <c r="AI176" s="2660">
        <f>Geo!EU85</f>
      </c>
      <c r="AJ176" s="2660">
        <f>Geo!EV85</f>
      </c>
      <c r="AK176" s="2660"/>
      <c r="AL176" s="2660"/>
      <c r="AM176" s="2660"/>
      <c r="AN176" s="2660"/>
      <c r="AO176" s="2660"/>
      <c r="AP176" s="2660">
        <f>Geo!B85</f>
      </c>
      <c r="AQ176" s="2660">
        <f>Geo!C85</f>
      </c>
      <c r="AR176" s="2660">
        <f>Geo!D85</f>
      </c>
      <c r="AS176" s="2660">
        <f>Geo!E85</f>
      </c>
      <c r="AT176" s="2660">
        <f>Geo!F85</f>
      </c>
      <c r="AU176" s="2660">
        <f>Geo!G85</f>
      </c>
      <c r="AV176" s="2660">
        <f>Geo!H85</f>
      </c>
      <c r="AW176" s="2660">
        <f>Geo!I85</f>
      </c>
      <c r="AX176" s="2660">
        <f>Geo!J85</f>
      </c>
      <c r="AY176" s="2660">
        <f>Geo!K85</f>
      </c>
      <c r="AZ176" s="2660">
        <f>Geo!L85</f>
      </c>
      <c r="BA176" s="2660">
        <f>Geo!M85</f>
      </c>
      <c r="BB176" s="2660">
        <f>Geo!N85</f>
      </c>
      <c r="BC176" s="2660">
        <f>Geo!O85</f>
      </c>
      <c r="BD176" s="2660">
        <f>Geo!P85</f>
      </c>
      <c r="BE176" s="2660">
        <f>Geo!Q85</f>
      </c>
      <c r="BF176" s="2660">
        <f>Geo!R85</f>
      </c>
      <c r="BG176" s="2660">
        <f>Geo!S85</f>
      </c>
      <c r="BH176" s="2660">
        <f>Geo!T85</f>
      </c>
      <c r="BI176" s="2660">
        <f>Geo!U85</f>
      </c>
      <c r="BJ176" s="2660">
        <f>Geo!V85</f>
      </c>
      <c r="BK176" s="2660">
        <f>Geo!W85</f>
      </c>
      <c r="BL176" s="2660">
        <f>Geo!X85</f>
      </c>
      <c r="BM176" s="2660">
        <f>Geo!Y85</f>
      </c>
      <c r="BN176" s="2660">
        <f>Geo!Z85</f>
      </c>
      <c r="BO176" s="2660">
        <f>Geo!AA85</f>
      </c>
      <c r="BP176" s="2660">
        <f>Geo!AB85</f>
      </c>
      <c r="BQ176" s="2660">
        <f>Geo!AC85</f>
      </c>
      <c r="BR176" s="2660">
        <f>Geo!AD85</f>
      </c>
      <c r="BS176" s="2660">
        <f>Geo!AE85</f>
      </c>
      <c r="BT176" s="2660">
        <f>Geo!AF85</f>
      </c>
      <c r="BU176" s="2660">
        <f>Geo!AG85</f>
      </c>
      <c r="BV176" s="2660">
        <f>Geo!AH85</f>
      </c>
      <c r="BW176" s="2660">
        <f>Geo!AI85</f>
      </c>
      <c r="BX176" s="2660">
        <f>Geo!AJ85</f>
      </c>
      <c r="BY176" s="2660">
        <f>Geo!AK85</f>
      </c>
      <c r="BZ176" s="2660">
        <f>Geo!AL85</f>
      </c>
      <c r="CA176" s="2660">
        <f>Geo!AM85</f>
      </c>
      <c r="CB176" s="2660">
        <f>Geo!AN85</f>
      </c>
      <c r="CC176" s="2660">
        <f>Geo!AO85</f>
      </c>
      <c r="CD176" s="2660">
        <f>Geo!AP85</f>
      </c>
      <c r="CE176" s="2660">
        <f>Geo!AQ85</f>
      </c>
      <c r="CF176" s="2660">
        <f>Geo!AR85</f>
      </c>
      <c r="CG176" s="2660">
        <f>Geo!AS85</f>
      </c>
      <c r="CH176" s="2660">
        <f>Geo!AT85</f>
      </c>
      <c r="CI176" s="2660">
        <f>Geo!AU85</f>
      </c>
      <c r="CJ176" s="2660">
        <f>Geo!AV85</f>
      </c>
      <c r="CK176" s="2660">
        <f>Geo!AW85</f>
      </c>
      <c r="CL176" s="2660">
        <f>Geo!AX85</f>
      </c>
      <c r="CM176" s="2660">
        <f>Geo!AY85</f>
      </c>
      <c r="CN176" s="2660">
        <f>Geo!AZ85</f>
      </c>
      <c r="CO176" s="2660">
        <f>Geo!BA85</f>
      </c>
      <c r="CP176" s="2660">
        <f>Geo!BB85</f>
      </c>
      <c r="CQ176" s="2660">
        <f>Geo!BC85</f>
      </c>
      <c r="CR176" s="2660">
        <f>Geo!BD85</f>
      </c>
      <c r="CS176" s="2660">
        <f>Geo!BE85</f>
      </c>
      <c r="CT176" s="2660">
        <f>Geo!BF85</f>
      </c>
      <c r="CU176" s="2660">
        <f>Geo!BG85</f>
      </c>
      <c r="CV176" s="2660">
        <f>Geo!BH85</f>
      </c>
      <c r="CW176" s="2660">
        <f>Geo!BI85</f>
      </c>
      <c r="CX176" s="2660">
        <f>Geo!BJ85</f>
      </c>
      <c r="CY176" s="2660">
        <f>Geo!BK85</f>
      </c>
      <c r="CZ176" s="2660">
        <f>Geo!BL85</f>
      </c>
      <c r="DA176" s="2660">
        <f>Geo!BM85</f>
      </c>
      <c r="DB176" s="2660">
        <f>Geo!BN85</f>
      </c>
      <c r="DC176" s="2660">
        <f>Geo!BO85</f>
      </c>
      <c r="DD176" s="2660">
        <f>Geo!BP85</f>
      </c>
      <c r="DE176" s="2660">
        <f>Geo!BQ85</f>
      </c>
      <c r="DF176" s="2660">
        <f>Geo!BR85</f>
      </c>
      <c r="DG176" s="2660">
        <f>Geo!BS85</f>
      </c>
      <c r="DH176" s="2660">
        <f>Geo!BT85</f>
      </c>
      <c r="DI176" s="2660">
        <f>Geo!BU85</f>
      </c>
      <c r="DJ176" s="2660">
        <f>Geo!BV85</f>
      </c>
      <c r="DK176" s="2660">
        <f>Geo!BW85</f>
      </c>
      <c r="DL176" s="2660">
        <f>Geo!BX85</f>
      </c>
      <c r="DM176" s="2660">
        <f>Geo!BY85</f>
      </c>
      <c r="DN176" s="2660">
        <f>Geo!BZ85</f>
      </c>
      <c r="DO176" s="2660">
        <f>Geo!CA85</f>
      </c>
      <c r="DP176" s="2660">
        <f>Geo!CB85</f>
      </c>
      <c r="DQ176" s="2660">
        <f>Geo!CC85</f>
      </c>
      <c r="DR176" s="2660">
        <f>Geo!CD85</f>
      </c>
      <c r="DS176" s="2660">
        <f>Geo!CE85</f>
      </c>
      <c r="DT176" s="2660">
        <f>Geo!CF85</f>
      </c>
      <c r="DU176" s="2660">
        <f>Geo!CG85</f>
      </c>
      <c r="DV176" s="2660">
        <f>Geo!CH85</f>
      </c>
      <c r="DW176" s="2660">
        <f>Geo!CI85</f>
      </c>
      <c r="DX176" s="2660">
        <f>Geo!CJ85</f>
      </c>
      <c r="DY176" s="2660">
        <f>Geo!CK85</f>
      </c>
      <c r="DZ176" s="2660">
        <f>Geo!CL85</f>
      </c>
      <c r="EA176" s="2660">
        <f>Geo!CM85</f>
      </c>
      <c r="EB176" s="2660">
        <f>Geo!CN85</f>
      </c>
      <c r="EC176" s="2660">
        <f>Geo!CO85</f>
      </c>
      <c r="ED176" s="2660">
        <f>Geo!CP85</f>
      </c>
      <c r="EE176" s="2660">
        <f>Geo!CQ85</f>
      </c>
      <c r="EF176" s="2660">
        <f>Geo!CR85</f>
      </c>
      <c r="EG176" s="2660">
        <f>Geo!CS85</f>
      </c>
      <c r="EH176" s="2660">
        <f>Geo!CT85</f>
      </c>
      <c r="EI176" s="2660">
        <f>Geo!CU85</f>
      </c>
      <c r="EJ176" s="2660">
        <f>Geo!CV85</f>
      </c>
      <c r="EK176" s="2660">
        <f>Geo!CW85</f>
      </c>
      <c r="EL176" s="2660">
        <f>Geo!CX85</f>
      </c>
      <c r="EM176" s="2660">
        <f>Geo!CY85</f>
      </c>
      <c r="EN176" s="2660">
        <f>Geo!CZ85</f>
      </c>
      <c r="EO176" s="2660">
        <f>Geo!DA85</f>
      </c>
      <c r="EP176" s="2660">
        <f>Geo!DB85</f>
      </c>
      <c r="EQ176" s="2660">
        <f>Geo!DC85</f>
      </c>
      <c r="ER176" s="2660">
        <f>Geo!DD85</f>
      </c>
      <c r="ES176" s="2660">
        <f>Geo!DE85</f>
      </c>
      <c r="ET176" s="2660">
        <f>Geo!DF85</f>
      </c>
      <c r="EU176" s="2660">
        <f>Geo!DG85</f>
      </c>
      <c r="EV176" s="2660">
        <f>Geo!DH85</f>
      </c>
      <c r="EW176" s="2660">
        <f>Geo!DI85</f>
      </c>
      <c r="EX176" s="2660">
        <f>Geo!DJ85</f>
      </c>
      <c r="EY176" s="2660">
        <f>Geo!DK85</f>
      </c>
      <c r="EZ176" s="2660">
        <f>Geo!DL85</f>
      </c>
      <c r="FA176" s="2660">
        <f>Geo!DM85</f>
      </c>
      <c r="FB176" s="2660">
        <f>Geo!DN85</f>
      </c>
      <c r="FC176" s="2660">
        <f>Geo!DO85</f>
      </c>
      <c r="FD176" s="2660">
        <f>Geo!DP85</f>
      </c>
      <c r="FE176" s="2660">
        <f>Geo!DQ85</f>
      </c>
    </row>
    <row r="177" spans="1:161" outlineLevel="2">
      <c r="B177" t="s">
        <v>851</v>
      </c>
      <c r="C177" t="s">
        <v>852</v>
      </c>
      <c r="F177" s="2660"/>
      <c r="G177" s="2660"/>
      <c r="H177" s="2660"/>
      <c r="I177" s="2660"/>
      <c r="J177" s="2660"/>
      <c r="K177" s="2660"/>
      <c r="L177" s="2660"/>
      <c r="M177" s="2660"/>
      <c r="N177" s="2660"/>
      <c r="O177" s="2660"/>
      <c r="P177" s="2660"/>
      <c r="Q177" s="2660"/>
      <c r="R177" s="2660"/>
      <c r="S177" s="2660"/>
      <c r="T177" s="2660"/>
      <c r="U177" s="2660"/>
      <c r="V177" s="2660">
        <v>0.1</v>
      </c>
      <c r="W177" s="2660">
        <v>0.1</v>
      </c>
      <c r="X177" s="2660">
        <v>0.1</v>
      </c>
      <c r="Y177" s="2660">
        <v>0.1</v>
      </c>
      <c r="Z177" s="2660">
        <v>0.1</v>
      </c>
      <c r="AA177" s="2660">
        <v>0.1</v>
      </c>
      <c r="AB177" s="2660">
        <v>0.1</v>
      </c>
      <c r="AC177" s="2660"/>
      <c r="AD177" s="2660"/>
      <c r="AE177" s="2660"/>
      <c r="AF177" s="2660"/>
      <c r="AG177" s="2660"/>
      <c r="AH177" s="2660"/>
      <c r="AI177" s="2660"/>
      <c r="AJ177" s="2660"/>
      <c r="AK177" s="2660"/>
      <c r="AL177" s="2660"/>
      <c r="AM177" s="2660"/>
      <c r="AN177" s="2660"/>
      <c r="AO177" s="2660"/>
      <c r="AP177" s="2660"/>
      <c r="AQ177" s="2660"/>
      <c r="AR177" s="2660"/>
      <c r="AS177" s="2660"/>
      <c r="AT177" s="2660"/>
      <c r="AU177" s="2660"/>
      <c r="AV177" s="2660"/>
      <c r="AW177" s="2660"/>
      <c r="AX177" s="2660"/>
      <c r="AY177" s="2660"/>
      <c r="AZ177" s="2660"/>
      <c r="BA177" s="2660"/>
      <c r="BB177" s="2660"/>
      <c r="BC177" s="2660"/>
      <c r="BD177" s="2660"/>
      <c r="BE177" s="2660"/>
      <c r="BF177" s="2660"/>
      <c r="BG177" s="2660"/>
      <c r="BH177" s="2660"/>
      <c r="BI177" s="2660"/>
      <c r="BJ177" s="2660"/>
      <c r="BK177" s="2660"/>
      <c r="BL177" s="2660"/>
      <c r="BM177" s="2660"/>
      <c r="BN177" s="2660"/>
      <c r="BO177" s="2660"/>
      <c r="BP177" s="2660"/>
      <c r="BQ177" s="2660"/>
      <c r="BR177" s="2660"/>
      <c r="BS177" s="2660"/>
      <c r="BT177" s="2660"/>
      <c r="BU177" s="2660"/>
      <c r="BV177" s="2660"/>
      <c r="BW177" s="2660"/>
      <c r="BX177" s="2660"/>
      <c r="BY177" s="2660"/>
      <c r="BZ177" s="2660"/>
      <c r="CA177" s="2660"/>
      <c r="CB177" s="2660"/>
      <c r="CC177" s="2660"/>
      <c r="CD177" s="2660"/>
      <c r="CE177" s="2660"/>
      <c r="CF177" s="2660"/>
      <c r="CG177" s="2660"/>
      <c r="CH177" s="2660"/>
      <c r="CI177" s="2660"/>
      <c r="CJ177" s="2660"/>
      <c r="CK177" s="2660"/>
      <c r="CL177" s="2660"/>
      <c r="CM177" s="2660"/>
      <c r="CN177" s="2660"/>
      <c r="CO177" s="2660"/>
      <c r="CP177" s="2660"/>
      <c r="CQ177" s="2660"/>
      <c r="CR177" s="2660"/>
      <c r="CS177" s="2660"/>
      <c r="CT177" s="2660"/>
      <c r="CU177" s="2660"/>
      <c r="CV177" s="2660"/>
      <c r="CW177" s="2660"/>
      <c r="CX177" s="2660"/>
      <c r="CY177" s="2660"/>
      <c r="CZ177" s="2660"/>
      <c r="DA177" s="2660"/>
      <c r="DB177" s="2660"/>
      <c r="DC177" s="2660"/>
      <c r="DD177" s="2660"/>
      <c r="DE177" s="2660"/>
      <c r="DF177" s="2660"/>
      <c r="DG177" s="2660"/>
      <c r="DH177" s="2660"/>
      <c r="DI177" s="2660"/>
      <c r="DJ177" s="2660"/>
      <c r="DK177" s="2660"/>
      <c r="DL177" s="2660"/>
      <c r="DM177" s="2660"/>
      <c r="DN177" s="2660"/>
      <c r="DO177" s="2660"/>
      <c r="DP177" s="2660"/>
      <c r="DQ177" s="2660"/>
      <c r="DR177" s="2660"/>
      <c r="DS177" s="2660"/>
      <c r="DT177" s="2660"/>
      <c r="DU177" s="2660"/>
      <c r="DV177" s="2660"/>
      <c r="DW177" s="2660"/>
      <c r="DX177" s="2660"/>
      <c r="DY177" s="2660"/>
      <c r="DZ177" s="2660"/>
      <c r="EA177" s="2660"/>
      <c r="EB177" s="2660"/>
      <c r="EC177" s="2660"/>
      <c r="ED177" s="2660"/>
      <c r="EE177" s="2660"/>
      <c r="EF177" s="2660"/>
      <c r="EG177" s="2660"/>
      <c r="EH177" s="2660"/>
      <c r="EI177" s="2660"/>
      <c r="EJ177" s="2660"/>
      <c r="EK177" s="2660"/>
      <c r="EL177" s="2660"/>
      <c r="EM177" s="2660"/>
      <c r="EN177" s="2660"/>
      <c r="EO177" s="2660"/>
      <c r="EP177" s="2660"/>
      <c r="EQ177" s="2660"/>
      <c r="ER177" s="2660"/>
      <c r="ES177" s="2660"/>
      <c r="ET177" s="2660"/>
      <c r="EU177" s="2660"/>
      <c r="EV177" s="2660"/>
      <c r="EW177" s="2660"/>
      <c r="EX177" s="2660"/>
      <c r="EY177" s="2660"/>
      <c r="EZ177" s="2660"/>
      <c r="FA177" s="2660"/>
      <c r="FB177" s="2660"/>
      <c r="FC177" s="2660"/>
      <c r="FD177" s="2660"/>
      <c r="FE177" s="2660"/>
    </row>
    <row r="178" spans="1:161" outlineLevel="2">
      <c r="B178" t="s">
        <v>853</v>
      </c>
      <c r="C178" t="s">
        <v>854</v>
      </c>
      <c r="F178" s="2660"/>
      <c r="G178" s="2660"/>
      <c r="H178" s="2660"/>
      <c r="I178" s="2660"/>
      <c r="J178" s="2660"/>
      <c r="K178" s="2660"/>
      <c r="L178" s="2660"/>
      <c r="M178" s="2660"/>
      <c r="N178" s="2660"/>
      <c r="O178" s="2660"/>
      <c r="P178" s="2660"/>
      <c r="Q178" s="2660"/>
      <c r="R178" s="2660"/>
      <c r="S178" s="2660"/>
      <c r="T178" s="2660"/>
      <c r="U178" s="2660"/>
      <c r="V178" s="2660">
        <f>1-V177</f>
      </c>
      <c r="W178" s="2660">
        <f t="shared" ref="W178:AB178" si="16">1-W177</f>
      </c>
      <c r="X178" s="2660">
        <f t="shared" si="16"/>
      </c>
      <c r="Y178" s="2660">
        <f t="shared" si="16"/>
      </c>
      <c r="Z178" s="2660">
        <f t="shared" si="16"/>
      </c>
      <c r="AA178" s="2660">
        <f t="shared" si="16"/>
      </c>
      <c r="AB178" s="2660">
        <f t="shared" si="16"/>
      </c>
      <c r="AC178" s="2660"/>
      <c r="AD178" s="2660"/>
      <c r="AE178" s="2660"/>
      <c r="AF178" s="2660"/>
      <c r="AG178" s="2660"/>
      <c r="AH178" s="2660"/>
      <c r="AI178" s="2660"/>
      <c r="AJ178" s="2660"/>
      <c r="AK178" s="2660"/>
      <c r="AL178" s="2660"/>
      <c r="AM178" s="2660"/>
      <c r="AN178" s="2660"/>
      <c r="AO178" s="2660"/>
      <c r="AP178" s="2660"/>
      <c r="AQ178" s="2660"/>
      <c r="AR178" s="2660"/>
      <c r="AS178" s="2660"/>
      <c r="AT178" s="2660"/>
      <c r="AU178" s="2660"/>
      <c r="AV178" s="2660"/>
      <c r="AW178" s="2660"/>
      <c r="AX178" s="2660"/>
      <c r="AY178" s="2660"/>
      <c r="AZ178" s="2660"/>
      <c r="BA178" s="2660"/>
      <c r="BB178" s="2660"/>
      <c r="BC178" s="2660"/>
      <c r="BD178" s="2660"/>
      <c r="BE178" s="2660"/>
      <c r="BF178" s="2660"/>
      <c r="BG178" s="2660"/>
      <c r="BH178" s="2660"/>
      <c r="BI178" s="2660"/>
      <c r="BJ178" s="2660"/>
      <c r="BK178" s="2660"/>
      <c r="BL178" s="2660"/>
      <c r="BM178" s="2660"/>
      <c r="BN178" s="2660"/>
      <c r="BO178" s="2660"/>
      <c r="BP178" s="2660"/>
      <c r="BQ178" s="2660"/>
      <c r="BR178" s="2660"/>
      <c r="BS178" s="2660"/>
      <c r="BT178" s="2660"/>
      <c r="BU178" s="2660"/>
      <c r="BV178" s="2660"/>
      <c r="BW178" s="2660"/>
      <c r="BX178" s="2660"/>
      <c r="BY178" s="2660"/>
      <c r="BZ178" s="2660"/>
      <c r="CA178" s="2660"/>
      <c r="CB178" s="2660"/>
      <c r="CC178" s="2660"/>
      <c r="CD178" s="2660"/>
      <c r="CE178" s="2660"/>
      <c r="CF178" s="2660"/>
      <c r="CG178" s="2660"/>
      <c r="CH178" s="2660"/>
      <c r="CI178" s="2660"/>
      <c r="CJ178" s="2660"/>
      <c r="CK178" s="2660"/>
      <c r="CL178" s="2660"/>
      <c r="CM178" s="2660"/>
      <c r="CN178" s="2660"/>
      <c r="CO178" s="2660"/>
      <c r="CP178" s="2660"/>
      <c r="CQ178" s="2660"/>
      <c r="CR178" s="2660"/>
      <c r="CS178" s="2660"/>
      <c r="CT178" s="2660"/>
      <c r="CU178" s="2660"/>
      <c r="CV178" s="2660"/>
      <c r="CW178" s="2660"/>
      <c r="CX178" s="2660"/>
      <c r="CY178" s="2660"/>
      <c r="CZ178" s="2660"/>
      <c r="DA178" s="2660"/>
      <c r="DB178" s="2660"/>
      <c r="DC178" s="2660"/>
      <c r="DD178" s="2660"/>
      <c r="DE178" s="2660"/>
      <c r="DF178" s="2660"/>
      <c r="DG178" s="2660"/>
      <c r="DH178" s="2660"/>
      <c r="DI178" s="2660"/>
      <c r="DJ178" s="2660"/>
      <c r="DK178" s="2660"/>
      <c r="DL178" s="2660"/>
      <c r="DM178" s="2660"/>
      <c r="DN178" s="2660"/>
      <c r="DO178" s="2660"/>
      <c r="DP178" s="2660"/>
      <c r="DQ178" s="2660"/>
      <c r="DR178" s="2660"/>
      <c r="DS178" s="2660"/>
      <c r="DT178" s="2660"/>
      <c r="DU178" s="2660"/>
      <c r="DV178" s="2660"/>
      <c r="DW178" s="2660"/>
      <c r="DX178" s="2660"/>
      <c r="DY178" s="2660"/>
      <c r="DZ178" s="2660"/>
      <c r="EA178" s="2660"/>
      <c r="EB178" s="2660"/>
      <c r="EC178" s="2660"/>
      <c r="ED178" s="2660"/>
      <c r="EE178" s="2660"/>
      <c r="EF178" s="2660"/>
      <c r="EG178" s="2660"/>
      <c r="EH178" s="2660"/>
      <c r="EI178" s="2660"/>
      <c r="EJ178" s="2660"/>
      <c r="EK178" s="2660"/>
      <c r="EL178" s="2660"/>
      <c r="EM178" s="2660"/>
      <c r="EN178" s="2660"/>
      <c r="EO178" s="2660"/>
      <c r="EP178" s="2660"/>
      <c r="EQ178" s="2660"/>
      <c r="ER178" s="2660"/>
      <c r="ES178" s="2660"/>
      <c r="ET178" s="2660"/>
      <c r="EU178" s="2660"/>
      <c r="EV178" s="2660"/>
      <c r="EW178" s="2660"/>
      <c r="EX178" s="2660"/>
      <c r="EY178" s="2660"/>
      <c r="EZ178" s="2660"/>
      <c r="FA178" s="2660"/>
      <c r="FB178" s="2660"/>
      <c r="FC178" s="2660"/>
      <c r="FD178" s="2660"/>
      <c r="FE178" s="2660"/>
    </row>
    <row r="179" spans="1:161" outlineLevel="2">
      <c r="B179" t="s">
        <v>855</v>
      </c>
      <c r="C179" t="s">
        <v>856</v>
      </c>
      <c r="F179" s="2660"/>
      <c r="G179" s="2660"/>
      <c r="H179" s="2660"/>
      <c r="I179" s="2660"/>
      <c r="J179" s="2660"/>
      <c r="K179" s="2660"/>
      <c r="L179" s="2660"/>
      <c r="M179" s="2660"/>
      <c r="N179" s="2660"/>
      <c r="O179" s="2660"/>
      <c r="P179" s="2660"/>
      <c r="Q179" s="2660"/>
      <c r="R179" s="2660"/>
      <c r="S179" s="2660"/>
      <c r="T179" s="2660"/>
      <c r="U179" s="2660"/>
      <c r="V179" s="2660">
        <f>V129</f>
      </c>
      <c r="W179" s="2660">
        <f t="shared" ref="W179:AB180" si="17">V179</f>
      </c>
      <c r="X179" s="2660">
        <f t="shared" si="17"/>
      </c>
      <c r="Y179" s="2660">
        <f t="shared" si="17"/>
      </c>
      <c r="Z179" s="2660">
        <f t="shared" si="17"/>
      </c>
      <c r="AA179" s="2660">
        <f t="shared" si="17"/>
      </c>
      <c r="AB179" s="2660">
        <f t="shared" si="17"/>
      </c>
      <c r="AC179" s="2660"/>
      <c r="AD179" s="2660"/>
      <c r="AE179" s="2660"/>
      <c r="AF179" s="2660"/>
      <c r="AG179" s="2660"/>
      <c r="AH179" s="2660"/>
      <c r="AI179" s="2660"/>
      <c r="AJ179" s="2660"/>
      <c r="AK179" s="2660"/>
      <c r="AL179" s="2660"/>
      <c r="AM179" s="2660"/>
      <c r="AN179" s="2660"/>
      <c r="AO179" s="2660"/>
      <c r="AP179" s="2660"/>
      <c r="AQ179" s="2660"/>
      <c r="AR179" s="2660"/>
      <c r="AS179" s="2660"/>
      <c r="AT179" s="2660"/>
      <c r="AU179" s="2660"/>
      <c r="AV179" s="2660"/>
      <c r="AW179" s="2660"/>
      <c r="AX179" s="2660"/>
      <c r="AY179" s="2660"/>
      <c r="AZ179" s="2660"/>
      <c r="BA179" s="2660"/>
      <c r="BB179" s="2660"/>
      <c r="BC179" s="2660"/>
      <c r="BD179" s="2660"/>
      <c r="BE179" s="2660"/>
      <c r="BF179" s="2660"/>
      <c r="BG179" s="2660"/>
      <c r="BH179" s="2660"/>
      <c r="BI179" s="2660"/>
      <c r="BJ179" s="2660"/>
      <c r="BK179" s="2660"/>
      <c r="BL179" s="2660"/>
      <c r="BM179" s="2660"/>
      <c r="BN179" s="2660"/>
      <c r="BO179" s="2660"/>
      <c r="BP179" s="2660"/>
      <c r="BQ179" s="2660"/>
      <c r="BR179" s="2660"/>
      <c r="BS179" s="2660"/>
      <c r="BT179" s="2660"/>
      <c r="BU179" s="2660"/>
      <c r="BV179" s="2660"/>
      <c r="BW179" s="2660"/>
      <c r="BX179" s="2660"/>
      <c r="BY179" s="2660"/>
      <c r="BZ179" s="2660"/>
      <c r="CA179" s="2660"/>
      <c r="CB179" s="2660"/>
      <c r="CC179" s="2660"/>
      <c r="CD179" s="2660"/>
      <c r="CE179" s="2660"/>
      <c r="CF179" s="2660"/>
      <c r="CG179" s="2660"/>
      <c r="CH179" s="2660"/>
      <c r="CI179" s="2660"/>
      <c r="CJ179" s="2660"/>
      <c r="CK179" s="2660"/>
      <c r="CL179" s="2660"/>
      <c r="CM179" s="2660"/>
      <c r="CN179" s="2660"/>
      <c r="CO179" s="2660"/>
      <c r="CP179" s="2660"/>
      <c r="CQ179" s="2660"/>
      <c r="CR179" s="2660"/>
      <c r="CS179" s="2660"/>
      <c r="CT179" s="2660"/>
      <c r="CU179" s="2660"/>
      <c r="CV179" s="2660"/>
      <c r="CW179" s="2660"/>
      <c r="CX179" s="2660"/>
      <c r="CY179" s="2660"/>
      <c r="CZ179" s="2660"/>
      <c r="DA179" s="2660"/>
      <c r="DB179" s="2660"/>
      <c r="DC179" s="2660"/>
      <c r="DD179" s="2660"/>
      <c r="DE179" s="2660"/>
      <c r="DF179" s="2660"/>
      <c r="DG179" s="2660"/>
      <c r="DH179" s="2660"/>
      <c r="DI179" s="2660"/>
      <c r="DJ179" s="2660"/>
      <c r="DK179" s="2660"/>
      <c r="DL179" s="2660"/>
      <c r="DM179" s="2660"/>
      <c r="DN179" s="2660"/>
      <c r="DO179" s="2660"/>
      <c r="DP179" s="2660"/>
      <c r="DQ179" s="2660"/>
      <c r="DR179" s="2660"/>
      <c r="DS179" s="2660"/>
      <c r="DT179" s="2660"/>
      <c r="DU179" s="2660"/>
      <c r="DV179" s="2660"/>
      <c r="DW179" s="2660"/>
      <c r="DX179" s="2660"/>
      <c r="DY179" s="2660"/>
      <c r="DZ179" s="2660"/>
      <c r="EA179" s="2660"/>
      <c r="EB179" s="2660"/>
      <c r="EC179" s="2660"/>
      <c r="ED179" s="2660"/>
      <c r="EE179" s="2660"/>
      <c r="EF179" s="2660"/>
      <c r="EG179" s="2660"/>
      <c r="EH179" s="2660"/>
      <c r="EI179" s="2660"/>
      <c r="EJ179" s="2660"/>
      <c r="EK179" s="2660"/>
      <c r="EL179" s="2660"/>
      <c r="EM179" s="2660"/>
      <c r="EN179" s="2660"/>
      <c r="EO179" s="2660"/>
      <c r="EP179" s="2660"/>
      <c r="EQ179" s="2660"/>
      <c r="ER179" s="2660"/>
      <c r="ES179" s="2660"/>
      <c r="ET179" s="2660"/>
      <c r="EU179" s="2660"/>
      <c r="EV179" s="2660"/>
      <c r="EW179" s="2660"/>
      <c r="EX179" s="2660"/>
      <c r="EY179" s="2660"/>
      <c r="EZ179" s="2660"/>
      <c r="FA179" s="2660"/>
      <c r="FB179" s="2660"/>
      <c r="FC179" s="2660"/>
      <c r="FD179" s="2660"/>
      <c r="FE179" s="2660"/>
    </row>
    <row r="180" spans="1:161" outlineLevel="2">
      <c r="B180" t="s">
        <v>857</v>
      </c>
      <c r="C180" t="s">
        <v>858</v>
      </c>
      <c r="F180" s="2660"/>
      <c r="G180" s="2660"/>
      <c r="H180" s="2660"/>
      <c r="I180" s="2660"/>
      <c r="J180" s="2660"/>
      <c r="K180" s="2660"/>
      <c r="L180" s="2660"/>
      <c r="M180" s="2660"/>
      <c r="N180" s="2660"/>
      <c r="O180" s="2660"/>
      <c r="P180" s="2660"/>
      <c r="Q180" s="2660"/>
      <c r="R180" s="2660"/>
      <c r="S180" s="2660"/>
      <c r="T180" s="2660"/>
      <c r="U180" s="2660"/>
      <c r="V180" s="2660">
        <f>1-V179</f>
      </c>
      <c r="W180" s="2660">
        <f t="shared" si="17"/>
      </c>
      <c r="X180" s="2660">
        <f t="shared" si="17"/>
      </c>
      <c r="Y180" s="2660">
        <f t="shared" si="17"/>
      </c>
      <c r="Z180" s="2660">
        <f t="shared" si="17"/>
      </c>
      <c r="AA180" s="2660">
        <f t="shared" si="17"/>
      </c>
      <c r="AB180" s="2660">
        <f t="shared" si="17"/>
      </c>
      <c r="AC180" s="2660"/>
      <c r="AD180" s="2660"/>
      <c r="AE180" s="2660"/>
      <c r="AF180" s="2660"/>
      <c r="AG180" s="2660"/>
      <c r="AH180" s="2660"/>
      <c r="AI180" s="2660"/>
      <c r="AJ180" s="2660"/>
      <c r="AK180" s="2660"/>
      <c r="AL180" s="2660"/>
      <c r="AM180" s="2660"/>
      <c r="AN180" s="2660"/>
      <c r="AO180" s="2660"/>
      <c r="AP180" s="2660"/>
      <c r="AQ180" s="2660"/>
      <c r="AR180" s="2660"/>
      <c r="AS180" s="2660"/>
      <c r="AT180" s="2660"/>
      <c r="AU180" s="2660"/>
      <c r="AV180" s="2660"/>
      <c r="AW180" s="2660"/>
      <c r="AX180" s="2660"/>
      <c r="AY180" s="2660"/>
      <c r="AZ180" s="2660"/>
      <c r="BA180" s="2660"/>
      <c r="BB180" s="2660"/>
      <c r="BC180" s="2660"/>
      <c r="BD180" s="2660"/>
      <c r="BE180" s="2660"/>
      <c r="BF180" s="2660"/>
      <c r="BG180" s="2660"/>
      <c r="BH180" s="2660"/>
      <c r="BI180" s="2660"/>
      <c r="BJ180" s="2660"/>
      <c r="BK180" s="2660"/>
      <c r="BL180" s="2660"/>
      <c r="BM180" s="2660"/>
      <c r="BN180" s="2660"/>
      <c r="BO180" s="2660"/>
      <c r="BP180" s="2660"/>
      <c r="BQ180" s="2660"/>
      <c r="BR180" s="2660"/>
      <c r="BS180" s="2660"/>
      <c r="BT180" s="2660"/>
      <c r="BU180" s="2660"/>
      <c r="BV180" s="2660"/>
      <c r="BW180" s="2660"/>
      <c r="BX180" s="2660"/>
      <c r="BY180" s="2660"/>
      <c r="BZ180" s="2660"/>
      <c r="CA180" s="2660"/>
      <c r="CB180" s="2660"/>
      <c r="CC180" s="2660"/>
      <c r="CD180" s="2660"/>
      <c r="CE180" s="2660"/>
      <c r="CF180" s="2660"/>
      <c r="CG180" s="2660"/>
      <c r="CH180" s="2660"/>
      <c r="CI180" s="2660"/>
      <c r="CJ180" s="2660"/>
      <c r="CK180" s="2660"/>
      <c r="CL180" s="2660"/>
      <c r="CM180" s="2660"/>
      <c r="CN180" s="2660"/>
      <c r="CO180" s="2660"/>
      <c r="CP180" s="2660"/>
      <c r="CQ180" s="2660"/>
      <c r="CR180" s="2660"/>
      <c r="CS180" s="2660"/>
      <c r="CT180" s="2660"/>
      <c r="CU180" s="2660"/>
      <c r="CV180" s="2660"/>
      <c r="CW180" s="2660"/>
      <c r="CX180" s="2660"/>
      <c r="CY180" s="2660"/>
      <c r="CZ180" s="2660"/>
      <c r="DA180" s="2660"/>
      <c r="DB180" s="2660"/>
      <c r="DC180" s="2660"/>
      <c r="DD180" s="2660"/>
      <c r="DE180" s="2660"/>
      <c r="DF180" s="2660"/>
      <c r="DG180" s="2660"/>
      <c r="DH180" s="2660"/>
      <c r="DI180" s="2660"/>
      <c r="DJ180" s="2660"/>
      <c r="DK180" s="2660"/>
      <c r="DL180" s="2660"/>
      <c r="DM180" s="2660"/>
      <c r="DN180" s="2660"/>
      <c r="DO180" s="2660"/>
      <c r="DP180" s="2660"/>
      <c r="DQ180" s="2660"/>
      <c r="DR180" s="2660"/>
      <c r="DS180" s="2660"/>
      <c r="DT180" s="2660"/>
      <c r="DU180" s="2660"/>
      <c r="DV180" s="2660"/>
      <c r="DW180" s="2660"/>
      <c r="DX180" s="2660"/>
      <c r="DY180" s="2660"/>
      <c r="DZ180" s="2660"/>
      <c r="EA180" s="2660"/>
      <c r="EB180" s="2660"/>
      <c r="EC180" s="2660"/>
      <c r="ED180" s="2660"/>
      <c r="EE180" s="2660"/>
      <c r="EF180" s="2660"/>
      <c r="EG180" s="2660"/>
      <c r="EH180" s="2660"/>
      <c r="EI180" s="2660"/>
      <c r="EJ180" s="2660"/>
      <c r="EK180" s="2660"/>
      <c r="EL180" s="2660"/>
      <c r="EM180" s="2660"/>
      <c r="EN180" s="2660"/>
      <c r="EO180" s="2660"/>
      <c r="EP180" s="2660"/>
      <c r="EQ180" s="2660"/>
      <c r="ER180" s="2660"/>
      <c r="ES180" s="2660"/>
      <c r="ET180" s="2660"/>
      <c r="EU180" s="2660"/>
      <c r="EV180" s="2660"/>
      <c r="EW180" s="2660"/>
      <c r="EX180" s="2660"/>
      <c r="EY180" s="2660"/>
      <c r="EZ180" s="2660"/>
      <c r="FA180" s="2660"/>
      <c r="FB180" s="2660"/>
      <c r="FC180" s="2660"/>
      <c r="FD180" s="2660"/>
      <c r="FE180" s="2660"/>
    </row>
    <row r="181" spans="1:161" outlineLevel="2">
      <c r="B181" t="s">
        <v>483</v>
      </c>
      <c r="C181" t="s">
        <v>484</v>
      </c>
      <c r="F181" s="2660"/>
      <c r="G181" s="2660"/>
      <c r="H181" s="2660"/>
      <c r="I181" s="2660"/>
      <c r="J181" s="2660"/>
      <c r="K181" s="2660"/>
      <c r="L181" s="2660"/>
      <c r="M181" s="2660"/>
      <c r="N181" s="2660"/>
      <c r="O181" s="2660">
        <f>1-O182-O183</f>
      </c>
      <c r="P181" s="2660">
        <f t="shared" ref="P181:AJ181" si="18">1-P182-P183</f>
      </c>
      <c r="Q181" s="2660">
        <f t="shared" si="18"/>
      </c>
      <c r="R181" s="2660">
        <f t="shared" si="18"/>
      </c>
      <c r="S181" s="2660">
        <f t="shared" si="18"/>
      </c>
      <c r="T181" s="2660">
        <f t="shared" si="18"/>
      </c>
      <c r="U181" s="2660">
        <f t="shared" si="18"/>
      </c>
      <c r="V181" s="2660">
        <f t="shared" si="18"/>
      </c>
      <c r="W181" s="2660">
        <f t="shared" si="18"/>
      </c>
      <c r="X181" s="2660">
        <f t="shared" si="18"/>
      </c>
      <c r="Y181" s="2660">
        <f t="shared" si="18"/>
      </c>
      <c r="Z181" s="2660">
        <f t="shared" si="18"/>
      </c>
      <c r="AA181" s="2660">
        <f t="shared" si="18"/>
      </c>
      <c r="AB181" s="2660">
        <f t="shared" si="18"/>
      </c>
      <c r="AC181" s="2660">
        <f t="shared" si="18"/>
      </c>
      <c r="AD181" s="2660">
        <f t="shared" si="18"/>
      </c>
      <c r="AE181" s="2660">
        <f t="shared" si="18"/>
      </c>
      <c r="AF181" s="2660">
        <f t="shared" si="18"/>
      </c>
      <c r="AG181" s="2660">
        <f t="shared" si="18"/>
      </c>
      <c r="AH181" s="2660">
        <f t="shared" si="18"/>
      </c>
      <c r="AI181" s="2660">
        <f t="shared" si="18"/>
      </c>
      <c r="AJ181" s="2660">
        <f t="shared" si="18"/>
      </c>
      <c r="AK181" s="2660"/>
      <c r="AL181" s="2660"/>
      <c r="AM181" s="2660"/>
      <c r="AN181" s="2660"/>
      <c r="AO181" s="2660"/>
      <c r="AP181" s="2660"/>
      <c r="AQ181" s="2660"/>
      <c r="AR181" s="2660"/>
      <c r="AS181" s="2660"/>
      <c r="AT181" s="2660"/>
      <c r="AU181" s="2660"/>
      <c r="AV181" s="2660"/>
      <c r="AW181" s="2660"/>
      <c r="AX181" s="2660"/>
      <c r="AY181" s="2660"/>
      <c r="AZ181" s="2660"/>
      <c r="BA181" s="2660"/>
      <c r="BB181" s="2660"/>
      <c r="BC181" s="2660"/>
      <c r="BD181" s="2660"/>
      <c r="BE181" s="2660"/>
      <c r="BF181" s="2660"/>
      <c r="BG181" s="2660"/>
      <c r="BH181" s="2660"/>
      <c r="BI181" s="2660"/>
      <c r="BJ181" s="2660"/>
      <c r="BK181" s="2660"/>
      <c r="BL181" s="2660"/>
      <c r="BM181" s="2660"/>
      <c r="BN181" s="2660"/>
      <c r="BO181" s="2660"/>
      <c r="BP181" s="2660"/>
      <c r="BQ181" s="2660"/>
      <c r="BR181" s="2660"/>
      <c r="BS181" s="2660"/>
      <c r="BT181" s="2660"/>
      <c r="BU181" s="2660"/>
      <c r="BV181" s="2660">
        <v>0.47399999999999998</v>
      </c>
      <c r="BW181" s="2660">
        <v>0.47399999999999998</v>
      </c>
      <c r="BX181" s="2660">
        <v>0.47399999999999998</v>
      </c>
      <c r="BY181" s="2660">
        <v>0.47399999999999998</v>
      </c>
      <c r="BZ181" s="2660">
        <v>0.47399999999999998</v>
      </c>
      <c r="CA181" s="2660">
        <v>0.48</v>
      </c>
      <c r="CB181" s="2660">
        <v>0.48</v>
      </c>
      <c r="CC181" s="2660">
        <v>0.48</v>
      </c>
      <c r="CD181" s="2660">
        <v>0.5</v>
      </c>
      <c r="CE181" s="2660">
        <v>0.5</v>
      </c>
      <c r="CF181" s="2660">
        <v>0.5</v>
      </c>
      <c r="CG181" s="2660">
        <v>0.5</v>
      </c>
      <c r="CH181" s="2660">
        <v>0.5</v>
      </c>
      <c r="CI181" s="2660">
        <v>0.5</v>
      </c>
      <c r="CJ181" s="2660">
        <v>0.5</v>
      </c>
      <c r="CK181" s="2660">
        <v>0.5</v>
      </c>
      <c r="CL181" s="2660">
        <v>0.5</v>
      </c>
      <c r="CM181" s="2660">
        <v>0.5</v>
      </c>
      <c r="CN181" s="2660">
        <v>0.5</v>
      </c>
      <c r="CO181" s="2660">
        <v>0.5</v>
      </c>
      <c r="CP181" s="2660">
        <v>0.5</v>
      </c>
      <c r="CQ181" s="2660">
        <v>0.5</v>
      </c>
      <c r="CR181" s="2660">
        <v>0.5</v>
      </c>
      <c r="CS181" s="2660">
        <v>0.5</v>
      </c>
      <c r="CT181" s="2660"/>
      <c r="CU181" s="2660"/>
      <c r="CV181" s="2660"/>
      <c r="CW181" s="2660"/>
      <c r="CX181" s="2660"/>
      <c r="CY181" s="2660"/>
      <c r="CZ181" s="2660"/>
      <c r="DA181" s="2660"/>
      <c r="DB181" s="2660"/>
      <c r="DC181" s="2660"/>
      <c r="DD181" s="2660"/>
      <c r="DE181" s="2660"/>
      <c r="DF181" s="2660"/>
      <c r="DG181" s="2660"/>
      <c r="DH181" s="2660"/>
      <c r="DI181" s="2660"/>
      <c r="DJ181" s="2660"/>
      <c r="DK181" s="2660"/>
      <c r="DL181" s="2660"/>
      <c r="DM181" s="2660"/>
      <c r="DN181" s="2660"/>
      <c r="DO181" s="2660"/>
      <c r="DP181" s="2660"/>
      <c r="DQ181" s="2660"/>
      <c r="DR181" s="2660"/>
      <c r="DS181" s="2660"/>
      <c r="DT181" s="2660"/>
      <c r="DU181" s="2660"/>
      <c r="DV181" s="2660"/>
      <c r="DW181" s="2660"/>
      <c r="DX181" s="2660"/>
      <c r="DY181" s="2660"/>
      <c r="DZ181" s="2660"/>
      <c r="EA181" s="2660"/>
      <c r="EB181" s="2660"/>
      <c r="EC181" s="2660"/>
      <c r="ED181" s="2660"/>
      <c r="EE181" s="2660"/>
      <c r="EF181" s="2660"/>
      <c r="EG181" s="2660"/>
      <c r="EH181" s="2660"/>
      <c r="EI181" s="2660"/>
      <c r="EJ181" s="2660"/>
      <c r="EK181" s="2660"/>
      <c r="EL181" s="2660"/>
      <c r="EM181" s="2660"/>
      <c r="EN181" s="2660"/>
      <c r="EO181" s="2660"/>
      <c r="EP181" s="2660"/>
      <c r="EQ181" s="2660"/>
      <c r="ER181" s="2660"/>
      <c r="ES181" s="2660"/>
      <c r="ET181" s="2660"/>
      <c r="EU181" s="2660"/>
      <c r="EV181" s="2660"/>
      <c r="EW181" s="2660"/>
      <c r="EX181" s="2660"/>
      <c r="EY181" s="2660"/>
      <c r="EZ181" s="2660"/>
      <c r="FA181" s="2660"/>
      <c r="FB181" s="2660"/>
      <c r="FC181" s="2660"/>
      <c r="FD181" s="2660"/>
      <c r="FE181" s="2660"/>
    </row>
    <row r="182" spans="1:161" outlineLevel="2">
      <c r="B182" t="s">
        <v>485</v>
      </c>
      <c r="C182" t="s">
        <v>486</v>
      </c>
      <c r="F182" s="2660"/>
      <c r="G182" s="2660"/>
      <c r="H182" s="2660"/>
      <c r="I182" s="2660"/>
      <c r="J182" s="2660"/>
      <c r="K182" s="2660"/>
      <c r="L182" s="2660"/>
      <c r="M182" s="2660"/>
      <c r="N182" s="2660"/>
      <c r="O182" s="2660">
        <v>0.15</v>
      </c>
      <c r="P182" s="2660">
        <v>0.15</v>
      </c>
      <c r="Q182" s="2660">
        <v>0.15</v>
      </c>
      <c r="R182" s="2660">
        <v>0.15</v>
      </c>
      <c r="S182" s="2660">
        <v>0.15</v>
      </c>
      <c r="T182" s="2660">
        <v>0.15</v>
      </c>
      <c r="U182" s="2660">
        <v>0.15</v>
      </c>
      <c r="V182" s="2660">
        <v>0.15</v>
      </c>
      <c r="W182" s="2660">
        <v>0.15</v>
      </c>
      <c r="X182" s="2660">
        <v>0.15</v>
      </c>
      <c r="Y182" s="2660">
        <v>0.15</v>
      </c>
      <c r="Z182" s="2660">
        <v>0.15</v>
      </c>
      <c r="AA182" s="2660">
        <v>0.15</v>
      </c>
      <c r="AB182" s="2660">
        <v>0.15</v>
      </c>
      <c r="AC182" s="2660">
        <v>0.15</v>
      </c>
      <c r="AD182" s="2660">
        <v>0.15</v>
      </c>
      <c r="AE182" s="2660">
        <v>0.15</v>
      </c>
      <c r="AF182" s="2660">
        <v>0.15</v>
      </c>
      <c r="AG182" s="2660">
        <v>0.15</v>
      </c>
      <c r="AH182" s="2660">
        <v>0.15</v>
      </c>
      <c r="AI182" s="2660">
        <v>0.15</v>
      </c>
      <c r="AJ182" s="2660">
        <v>0.15</v>
      </c>
      <c r="AK182" s="2660"/>
      <c r="AL182" s="2660"/>
      <c r="AM182" s="2660"/>
      <c r="AN182" s="2660"/>
      <c r="AO182" s="2660"/>
      <c r="AP182" s="2660"/>
      <c r="AQ182" s="2660"/>
      <c r="AR182" s="2660"/>
      <c r="AS182" s="2660"/>
      <c r="AT182" s="2660"/>
      <c r="AU182" s="2660"/>
      <c r="AV182" s="2660"/>
      <c r="AW182" s="2660"/>
      <c r="AX182" s="2660"/>
      <c r="AY182" s="2660"/>
      <c r="AZ182" s="2660"/>
      <c r="BA182" s="2660"/>
      <c r="BB182" s="2660"/>
      <c r="BC182" s="2660"/>
      <c r="BD182" s="2660"/>
      <c r="BE182" s="2660"/>
      <c r="BF182" s="2660"/>
      <c r="BG182" s="2660"/>
      <c r="BH182" s="2660"/>
      <c r="BI182" s="2660"/>
      <c r="BJ182" s="2660"/>
      <c r="BK182" s="2660"/>
      <c r="BL182" s="2660"/>
      <c r="BM182" s="2660"/>
      <c r="BN182" s="2660"/>
      <c r="BO182" s="2660"/>
      <c r="BP182" s="2660"/>
      <c r="BQ182" s="2660"/>
      <c r="BR182" s="2660"/>
      <c r="BS182" s="2660"/>
      <c r="BT182" s="2660"/>
      <c r="BU182" s="2660"/>
      <c r="BV182" s="2660">
        <v>0.503</v>
      </c>
      <c r="BW182" s="2660">
        <v>0.503</v>
      </c>
      <c r="BX182" s="2660">
        <v>0.503</v>
      </c>
      <c r="BY182" s="2660">
        <v>0.503</v>
      </c>
      <c r="BZ182" s="2660">
        <v>0.503</v>
      </c>
      <c r="CA182" s="2660">
        <v>0.497</v>
      </c>
      <c r="CB182" s="2660">
        <v>0.497</v>
      </c>
      <c r="CC182" s="2660">
        <v>0.497</v>
      </c>
      <c r="CD182" s="2660">
        <v>0.47699999999999998</v>
      </c>
      <c r="CE182" s="2660">
        <v>0.47699999999999998</v>
      </c>
      <c r="CF182" s="2660">
        <v>0.47699999999999998</v>
      </c>
      <c r="CG182" s="2660">
        <v>0.47699999999999998</v>
      </c>
      <c r="CH182" s="2660">
        <v>0.47699999999999998</v>
      </c>
      <c r="CI182" s="2660">
        <v>0.47699999999999998</v>
      </c>
      <c r="CJ182" s="2660">
        <v>0.47699999999999998</v>
      </c>
      <c r="CK182" s="2660">
        <v>0.47699999999999998</v>
      </c>
      <c r="CL182" s="2660">
        <v>0.47699999999999998</v>
      </c>
      <c r="CM182" s="2660">
        <v>0.47699999999999998</v>
      </c>
      <c r="CN182" s="2660">
        <v>0.47699999999999998</v>
      </c>
      <c r="CO182" s="2660">
        <v>0.47699999999999998</v>
      </c>
      <c r="CP182" s="2660">
        <v>0.47699999999999998</v>
      </c>
      <c r="CQ182" s="2660">
        <v>0.47699999999999998</v>
      </c>
      <c r="CR182" s="2660">
        <v>0.47699999999999998</v>
      </c>
      <c r="CS182" s="2660">
        <v>0.47699999999999998</v>
      </c>
      <c r="CT182" s="2660"/>
      <c r="CU182" s="2660"/>
      <c r="CV182" s="2660"/>
      <c r="CW182" s="2660"/>
      <c r="CX182" s="2660"/>
      <c r="CY182" s="2660"/>
      <c r="CZ182" s="2660"/>
      <c r="DA182" s="2660"/>
      <c r="DB182" s="2660"/>
      <c r="DC182" s="2660"/>
      <c r="DD182" s="2660"/>
      <c r="DE182" s="2660"/>
      <c r="DF182" s="2660"/>
      <c r="DG182" s="2660"/>
      <c r="DH182" s="2660"/>
      <c r="DI182" s="2660"/>
      <c r="DJ182" s="2660"/>
      <c r="DK182" s="2660"/>
      <c r="DL182" s="2660"/>
      <c r="DM182" s="2660"/>
      <c r="DN182" s="2660"/>
      <c r="DO182" s="2660"/>
      <c r="DP182" s="2660"/>
      <c r="DQ182" s="2660"/>
      <c r="DR182" s="2660"/>
      <c r="DS182" s="2660"/>
      <c r="DT182" s="2660"/>
      <c r="DU182" s="2660"/>
      <c r="DV182" s="2660"/>
      <c r="DW182" s="2660"/>
      <c r="DX182" s="2660"/>
      <c r="DY182" s="2660"/>
      <c r="DZ182" s="2660"/>
      <c r="EA182" s="2660"/>
      <c r="EB182" s="2660"/>
      <c r="EC182" s="2660"/>
      <c r="ED182" s="2660"/>
      <c r="EE182" s="2660"/>
      <c r="EF182" s="2660"/>
      <c r="EG182" s="2660"/>
      <c r="EH182" s="2660"/>
      <c r="EI182" s="2660"/>
      <c r="EJ182" s="2660"/>
      <c r="EK182" s="2660"/>
      <c r="EL182" s="2660"/>
      <c r="EM182" s="2660"/>
      <c r="EN182" s="2660"/>
      <c r="EO182" s="2660"/>
      <c r="EP182" s="2660"/>
      <c r="EQ182" s="2660"/>
      <c r="ER182" s="2660"/>
      <c r="ES182" s="2660"/>
      <c r="ET182" s="2660"/>
      <c r="EU182" s="2660"/>
      <c r="EV182" s="2660"/>
      <c r="EW182" s="2660"/>
      <c r="EX182" s="2660"/>
      <c r="EY182" s="2660"/>
      <c r="EZ182" s="2660"/>
      <c r="FA182" s="2660"/>
      <c r="FB182" s="2660"/>
      <c r="FC182" s="2660"/>
      <c r="FD182" s="2660"/>
      <c r="FE182" s="2660"/>
    </row>
    <row r="183" spans="1:161" outlineLevel="2">
      <c r="B183" t="s">
        <v>487</v>
      </c>
      <c r="C183" t="s">
        <v>488</v>
      </c>
      <c r="F183" s="2660"/>
      <c r="G183" s="2660"/>
      <c r="H183" s="2660"/>
      <c r="I183" s="2660"/>
      <c r="J183" s="2660"/>
      <c r="K183" s="2660"/>
      <c r="L183" s="2660"/>
      <c r="M183" s="2660"/>
      <c r="N183" s="2660"/>
      <c r="O183" s="2660">
        <v>2.3E-2</v>
      </c>
      <c r="P183" s="2660">
        <v>2.3E-2</v>
      </c>
      <c r="Q183" s="2660">
        <v>2.3E-2</v>
      </c>
      <c r="R183" s="2660">
        <v>2.3E-2</v>
      </c>
      <c r="S183" s="2660">
        <v>2.3E-2</v>
      </c>
      <c r="T183" s="2660">
        <v>2.3E-2</v>
      </c>
      <c r="U183" s="2660">
        <v>2.3E-2</v>
      </c>
      <c r="V183" s="2660">
        <v>2.3E-2</v>
      </c>
      <c r="W183" s="2660">
        <v>2.3E-2</v>
      </c>
      <c r="X183" s="2660">
        <v>2.3E-2</v>
      </c>
      <c r="Y183" s="2660">
        <v>2.3E-2</v>
      </c>
      <c r="Z183" s="2660">
        <v>2.3E-2</v>
      </c>
      <c r="AA183" s="2660">
        <v>2.3E-2</v>
      </c>
      <c r="AB183" s="2660">
        <v>2.3E-2</v>
      </c>
      <c r="AC183" s="2660">
        <v>2.3E-2</v>
      </c>
      <c r="AD183" s="2660">
        <v>2.3E-2</v>
      </c>
      <c r="AE183" s="2660">
        <v>2.3E-2</v>
      </c>
      <c r="AF183" s="2660">
        <v>2.3E-2</v>
      </c>
      <c r="AG183" s="2660">
        <v>2.3E-2</v>
      </c>
      <c r="AH183" s="2660">
        <v>2.3E-2</v>
      </c>
      <c r="AI183" s="2660">
        <v>2.3E-2</v>
      </c>
      <c r="AJ183" s="2660">
        <v>2.3E-2</v>
      </c>
      <c r="AK183" s="2660"/>
      <c r="AL183" s="2660"/>
      <c r="AM183" s="2660"/>
      <c r="AN183" s="2660"/>
      <c r="AO183" s="2660"/>
      <c r="AP183" s="2660"/>
      <c r="AQ183" s="2660"/>
      <c r="AR183" s="2660"/>
      <c r="AS183" s="2660"/>
      <c r="AT183" s="2660"/>
      <c r="AU183" s="2660"/>
      <c r="AV183" s="2660"/>
      <c r="AW183" s="2660"/>
      <c r="AX183" s="2660"/>
      <c r="AY183" s="2660"/>
      <c r="AZ183" s="2660"/>
      <c r="BA183" s="2660"/>
      <c r="BB183" s="2660"/>
      <c r="BC183" s="2660"/>
      <c r="BD183" s="2660"/>
      <c r="BE183" s="2660"/>
      <c r="BF183" s="2660"/>
      <c r="BG183" s="2660"/>
      <c r="BH183" s="2660"/>
      <c r="BI183" s="2660"/>
      <c r="BJ183" s="2660"/>
      <c r="BK183" s="2660"/>
      <c r="BL183" s="2660"/>
      <c r="BM183" s="2660"/>
      <c r="BN183" s="2660"/>
      <c r="BO183" s="2660"/>
      <c r="BP183" s="2660"/>
      <c r="BQ183" s="2660"/>
      <c r="BR183" s="2660"/>
      <c r="BS183" s="2660"/>
      <c r="BT183" s="2660"/>
      <c r="BU183" s="2660"/>
      <c r="BV183" s="2660">
        <v>2.3E-2</v>
      </c>
      <c r="BW183" s="2660">
        <v>2.3E-2</v>
      </c>
      <c r="BX183" s="2660">
        <v>2.3E-2</v>
      </c>
      <c r="BY183" s="2660">
        <v>2.3E-2</v>
      </c>
      <c r="BZ183" s="2660">
        <v>2.3E-2</v>
      </c>
      <c r="CA183" s="2660">
        <v>2.3E-2</v>
      </c>
      <c r="CB183" s="2660">
        <v>2.3E-2</v>
      </c>
      <c r="CC183" s="2660">
        <v>2.3E-2</v>
      </c>
      <c r="CD183" s="2660">
        <v>2.3E-2</v>
      </c>
      <c r="CE183" s="2660">
        <v>2.3E-2</v>
      </c>
      <c r="CF183" s="2660">
        <v>2.3E-2</v>
      </c>
      <c r="CG183" s="2660">
        <v>2.3E-2</v>
      </c>
      <c r="CH183" s="2660">
        <v>2.3E-2</v>
      </c>
      <c r="CI183" s="2660">
        <v>2.3E-2</v>
      </c>
      <c r="CJ183" s="2660">
        <v>2.3E-2</v>
      </c>
      <c r="CK183" s="2660">
        <v>2.3E-2</v>
      </c>
      <c r="CL183" s="2660">
        <v>2.3E-2</v>
      </c>
      <c r="CM183" s="2660">
        <v>2.3E-2</v>
      </c>
      <c r="CN183" s="2660">
        <v>2.3E-2</v>
      </c>
      <c r="CO183" s="2660">
        <v>2.3E-2</v>
      </c>
      <c r="CP183" s="2660">
        <v>2.3E-2</v>
      </c>
      <c r="CQ183" s="2660">
        <v>2.3E-2</v>
      </c>
      <c r="CR183" s="2660">
        <v>2.3E-2</v>
      </c>
      <c r="CS183" s="2660">
        <v>2.3E-2</v>
      </c>
      <c r="CT183" s="2660"/>
      <c r="CU183" s="2660"/>
      <c r="CV183" s="2660"/>
      <c r="CW183" s="2660"/>
      <c r="CX183" s="2660"/>
      <c r="CY183" s="2660"/>
      <c r="CZ183" s="2660"/>
      <c r="DA183" s="2660"/>
      <c r="DB183" s="2660"/>
      <c r="DC183" s="2660"/>
      <c r="DD183" s="2660"/>
      <c r="DE183" s="2660"/>
      <c r="DF183" s="2660"/>
      <c r="DG183" s="2660"/>
      <c r="DH183" s="2660"/>
      <c r="DI183" s="2660"/>
      <c r="DJ183" s="2660"/>
      <c r="DK183" s="2660"/>
      <c r="DL183" s="2660"/>
      <c r="DM183" s="2660"/>
      <c r="DN183" s="2660"/>
      <c r="DO183" s="2660"/>
      <c r="DP183" s="2660"/>
      <c r="DQ183" s="2660"/>
      <c r="DR183" s="2660"/>
      <c r="DS183" s="2660"/>
      <c r="DT183" s="2660"/>
      <c r="DU183" s="2660"/>
      <c r="DV183" s="2660"/>
      <c r="DW183" s="2660"/>
      <c r="DX183" s="2660"/>
      <c r="DY183" s="2660"/>
      <c r="DZ183" s="2660"/>
      <c r="EA183" s="2660"/>
      <c r="EB183" s="2660"/>
      <c r="EC183" s="2660"/>
      <c r="ED183" s="2660"/>
      <c r="EE183" s="2660"/>
      <c r="EF183" s="2660"/>
      <c r="EG183" s="2660"/>
      <c r="EH183" s="2660"/>
      <c r="EI183" s="2660"/>
      <c r="EJ183" s="2660"/>
      <c r="EK183" s="2660"/>
      <c r="EL183" s="2660"/>
      <c r="EM183" s="2660"/>
      <c r="EN183" s="2660"/>
      <c r="EO183" s="2660"/>
      <c r="EP183" s="2660"/>
      <c r="EQ183" s="2660"/>
      <c r="ER183" s="2660"/>
      <c r="ES183" s="2660"/>
      <c r="ET183" s="2660"/>
      <c r="EU183" s="2660"/>
      <c r="EV183" s="2660"/>
      <c r="EW183" s="2660"/>
      <c r="EX183" s="2660"/>
      <c r="EY183" s="2660"/>
      <c r="EZ183" s="2660"/>
      <c r="FA183" s="2660"/>
      <c r="FB183" s="2660"/>
      <c r="FC183" s="2660"/>
      <c r="FD183" s="2660"/>
      <c r="FE183" s="2660"/>
    </row>
    <row r="184" spans="1:161" outlineLevel="2">
      <c r="B184" t="s">
        <v>489</v>
      </c>
      <c r="C184" t="s">
        <v>490</v>
      </c>
      <c r="F184" s="2660"/>
      <c r="G184" s="2660"/>
      <c r="H184" s="2660"/>
      <c r="I184" s="2660"/>
      <c r="J184" s="2660"/>
      <c r="K184" s="2660"/>
      <c r="L184" s="2660"/>
      <c r="M184" s="2660"/>
      <c r="N184" s="2660"/>
      <c r="O184" s="2660">
        <f>O182*0.5</f>
      </c>
      <c r="P184" s="2660">
        <f t="shared" ref="P184:AJ184" si="19">P182*0.5</f>
      </c>
      <c r="Q184" s="2660">
        <f t="shared" si="19"/>
      </c>
      <c r="R184" s="2660">
        <f t="shared" si="19"/>
      </c>
      <c r="S184" s="2660">
        <f t="shared" si="19"/>
      </c>
      <c r="T184" s="2660">
        <f t="shared" si="19"/>
      </c>
      <c r="U184" s="2660">
        <f t="shared" si="19"/>
      </c>
      <c r="V184" s="2660">
        <f t="shared" si="19"/>
      </c>
      <c r="W184" s="2660">
        <f t="shared" si="19"/>
      </c>
      <c r="X184" s="2660">
        <f t="shared" si="19"/>
      </c>
      <c r="Y184" s="2660">
        <f t="shared" si="19"/>
      </c>
      <c r="Z184" s="2660">
        <f t="shared" si="19"/>
      </c>
      <c r="AA184" s="2660">
        <f t="shared" si="19"/>
      </c>
      <c r="AB184" s="2660">
        <f t="shared" si="19"/>
      </c>
      <c r="AC184" s="2660">
        <f t="shared" si="19"/>
      </c>
      <c r="AD184" s="2660">
        <f t="shared" si="19"/>
      </c>
      <c r="AE184" s="2660">
        <f t="shared" si="19"/>
      </c>
      <c r="AF184" s="2660">
        <f t="shared" si="19"/>
      </c>
      <c r="AG184" s="2660">
        <f t="shared" si="19"/>
      </c>
      <c r="AH184" s="2660">
        <f t="shared" si="19"/>
      </c>
      <c r="AI184" s="2660">
        <f t="shared" si="19"/>
      </c>
      <c r="AJ184" s="2660">
        <f t="shared" si="19"/>
      </c>
      <c r="AK184" s="2660"/>
      <c r="AL184" s="2660"/>
      <c r="AM184" s="2660"/>
      <c r="AN184" s="2660"/>
      <c r="AO184" s="2660"/>
      <c r="AP184" s="2660"/>
      <c r="AQ184" s="2660"/>
      <c r="AR184" s="2660"/>
      <c r="AS184" s="2660"/>
      <c r="AT184" s="2660"/>
      <c r="AU184" s="2660"/>
      <c r="AV184" s="2660"/>
      <c r="AW184" s="2660"/>
      <c r="AX184" s="2660"/>
      <c r="AY184" s="2660"/>
      <c r="AZ184" s="2660"/>
      <c r="BA184" s="2660"/>
      <c r="BB184" s="2660"/>
      <c r="BC184" s="2660"/>
      <c r="BD184" s="2660"/>
      <c r="BE184" s="2660"/>
      <c r="BF184" s="2660"/>
      <c r="BG184" s="2660"/>
      <c r="BH184" s="2660"/>
      <c r="BI184" s="2660"/>
      <c r="BJ184" s="2660"/>
      <c r="BK184" s="2660"/>
      <c r="BL184" s="2660"/>
      <c r="BM184" s="2660"/>
      <c r="BN184" s="2660"/>
      <c r="BO184" s="2660"/>
      <c r="BP184" s="2660"/>
      <c r="BQ184" s="2660"/>
      <c r="BR184" s="2660"/>
      <c r="BS184" s="2660"/>
      <c r="BT184" s="2660"/>
      <c r="BU184" s="2660"/>
      <c r="BV184" s="2660">
        <v>5.0000000000000001E-3</v>
      </c>
      <c r="BW184" s="2660">
        <v>5.0000000000000001E-3</v>
      </c>
      <c r="BX184" s="2660">
        <v>5.0000000000000001E-3</v>
      </c>
      <c r="BY184" s="2660">
        <v>5.0000000000000001E-3</v>
      </c>
      <c r="BZ184" s="2660">
        <v>5.0000000000000001E-3</v>
      </c>
      <c r="CA184" s="2660">
        <v>5.0000000000000001E-3</v>
      </c>
      <c r="CB184" s="2660">
        <v>5.0000000000000001E-3</v>
      </c>
      <c r="CC184" s="2660">
        <v>5.0000000000000001E-3</v>
      </c>
      <c r="CD184" s="2660">
        <v>5.0000000000000001E-3</v>
      </c>
      <c r="CE184" s="2660">
        <v>5.0000000000000001E-3</v>
      </c>
      <c r="CF184" s="2660">
        <v>5.0000000000000001E-3</v>
      </c>
      <c r="CG184" s="2660">
        <v>5.0000000000000001E-3</v>
      </c>
      <c r="CH184" s="2660">
        <v>5.0000000000000001E-3</v>
      </c>
      <c r="CI184" s="2660">
        <v>5.0000000000000001E-3</v>
      </c>
      <c r="CJ184" s="2660">
        <v>5.0000000000000001E-3</v>
      </c>
      <c r="CK184" s="2660">
        <v>5.0000000000000001E-3</v>
      </c>
      <c r="CL184" s="2660">
        <v>5.0000000000000001E-3</v>
      </c>
      <c r="CM184" s="2660">
        <v>5.0000000000000001E-3</v>
      </c>
      <c r="CN184" s="2660">
        <v>5.0000000000000001E-3</v>
      </c>
      <c r="CO184" s="2660">
        <v>5.0000000000000001E-3</v>
      </c>
      <c r="CP184" s="2660">
        <v>5.0000000000000001E-3</v>
      </c>
      <c r="CQ184" s="2660">
        <v>5.0000000000000001E-3</v>
      </c>
      <c r="CR184" s="2660">
        <v>5.0000000000000001E-3</v>
      </c>
      <c r="CS184" s="2660">
        <v>5.0000000000000001E-3</v>
      </c>
      <c r="CT184" s="2660"/>
      <c r="CU184" s="2660"/>
      <c r="CV184" s="2660"/>
      <c r="CW184" s="2660"/>
      <c r="CX184" s="2660"/>
      <c r="CY184" s="2660"/>
      <c r="CZ184" s="2660"/>
      <c r="DA184" s="2660"/>
      <c r="DB184" s="2660"/>
      <c r="DC184" s="2660"/>
      <c r="DD184" s="2660"/>
      <c r="DE184" s="2660"/>
      <c r="DF184" s="2660"/>
      <c r="DG184" s="2660"/>
      <c r="DH184" s="2660"/>
      <c r="DI184" s="2660"/>
      <c r="DJ184" s="2660"/>
      <c r="DK184" s="2660"/>
      <c r="DL184" s="2660"/>
      <c r="DM184" s="2660"/>
      <c r="DN184" s="2660"/>
      <c r="DO184" s="2660"/>
      <c r="DP184" s="2660"/>
      <c r="DQ184" s="2660"/>
      <c r="DR184" s="2660"/>
      <c r="DS184" s="2660"/>
      <c r="DT184" s="2660"/>
      <c r="DU184" s="2660"/>
      <c r="DV184" s="2660"/>
      <c r="DW184" s="2660"/>
      <c r="DX184" s="2660"/>
      <c r="DY184" s="2660"/>
      <c r="DZ184" s="2660"/>
      <c r="EA184" s="2660"/>
      <c r="EB184" s="2660"/>
      <c r="EC184" s="2660"/>
      <c r="ED184" s="2660"/>
      <c r="EE184" s="2660"/>
      <c r="EF184" s="2660"/>
      <c r="EG184" s="2660"/>
      <c r="EH184" s="2660"/>
      <c r="EI184" s="2660"/>
      <c r="EJ184" s="2660"/>
      <c r="EK184" s="2660"/>
      <c r="EL184" s="2660"/>
      <c r="EM184" s="2660"/>
      <c r="EN184" s="2660"/>
      <c r="EO184" s="2660"/>
      <c r="EP184" s="2660"/>
      <c r="EQ184" s="2660"/>
      <c r="ER184" s="2660"/>
      <c r="ES184" s="2660"/>
      <c r="ET184" s="2660"/>
      <c r="EU184" s="2660"/>
      <c r="EV184" s="2660"/>
      <c r="EW184" s="2660"/>
      <c r="EX184" s="2660"/>
      <c r="EY184" s="2660"/>
      <c r="EZ184" s="2660"/>
      <c r="FA184" s="2660"/>
      <c r="FB184" s="2660"/>
      <c r="FC184" s="2660"/>
      <c r="FD184" s="2660"/>
      <c r="FE184" s="2660"/>
    </row>
    <row r="185" spans="1:161" outlineLevel="2">
      <c r="B185" t="s">
        <v>813</v>
      </c>
      <c r="C185" t="s">
        <v>814</v>
      </c>
      <c r="F185" s="2660"/>
      <c r="G185" s="2660"/>
      <c r="H185" s="2660"/>
      <c r="I185" s="2660"/>
      <c r="J185" s="2660"/>
      <c r="K185" s="2660"/>
      <c r="L185" s="2660"/>
      <c r="M185" s="2660"/>
      <c r="N185" s="2660"/>
      <c r="O185" s="2660">
        <v>0</v>
      </c>
      <c r="P185" s="2660">
        <v>0</v>
      </c>
      <c r="Q185" s="2660">
        <v>0</v>
      </c>
      <c r="R185" s="2660">
        <v>0</v>
      </c>
      <c r="S185" s="2660">
        <v>0</v>
      </c>
      <c r="T185" s="2660">
        <v>0</v>
      </c>
      <c r="U185" s="2660">
        <v>0</v>
      </c>
      <c r="V185" s="2660">
        <v>0</v>
      </c>
      <c r="W185" s="2660">
        <v>0</v>
      </c>
      <c r="X185" s="2660">
        <v>0</v>
      </c>
      <c r="Y185" s="2660">
        <v>0</v>
      </c>
      <c r="Z185" s="2660">
        <v>0</v>
      </c>
      <c r="AA185" s="2660">
        <v>0</v>
      </c>
      <c r="AB185" s="2660">
        <v>0</v>
      </c>
      <c r="AC185" s="2660">
        <v>0</v>
      </c>
      <c r="AD185" s="2660">
        <v>0</v>
      </c>
      <c r="AE185" s="2660">
        <v>0</v>
      </c>
      <c r="AF185" s="2660">
        <v>0</v>
      </c>
      <c r="AG185" s="2660">
        <v>0</v>
      </c>
      <c r="AH185" s="2660">
        <v>0</v>
      </c>
      <c r="AI185" s="2660">
        <v>0</v>
      </c>
      <c r="AJ185" s="2660">
        <v>0</v>
      </c>
      <c r="AK185" s="2660"/>
      <c r="AL185" s="2660"/>
      <c r="AM185" s="2660"/>
      <c r="AN185" s="2660"/>
      <c r="AO185" s="2660"/>
      <c r="AP185" s="2660"/>
      <c r="AQ185" s="2660"/>
      <c r="AR185" s="2660"/>
      <c r="AS185" s="2660"/>
      <c r="AT185" s="2660"/>
      <c r="AU185" s="2660"/>
      <c r="AV185" s="2660"/>
      <c r="AW185" s="2660"/>
      <c r="AX185" s="2660"/>
      <c r="AY185" s="2660"/>
      <c r="AZ185" s="2660"/>
      <c r="BA185" s="2660"/>
      <c r="BB185" s="2660"/>
      <c r="BC185" s="2660"/>
      <c r="BD185" s="2660"/>
      <c r="BE185" s="2660"/>
      <c r="BF185" s="2660"/>
      <c r="BG185" s="2660"/>
      <c r="BH185" s="2660"/>
      <c r="BI185" s="2660"/>
      <c r="BJ185" s="2660"/>
      <c r="BK185" s="2660"/>
      <c r="BL185" s="2660"/>
      <c r="BM185" s="2660"/>
      <c r="BN185" s="2660"/>
      <c r="BO185" s="2660"/>
      <c r="BP185" s="2660"/>
      <c r="BQ185" s="2660"/>
      <c r="BR185" s="2660"/>
      <c r="BS185" s="2660"/>
      <c r="BT185" s="2660"/>
      <c r="BU185" s="2660"/>
      <c r="BV185" s="2660"/>
      <c r="BW185" s="2660"/>
      <c r="BX185" s="2660"/>
      <c r="BY185" s="2660"/>
      <c r="BZ185" s="2660"/>
      <c r="CA185" s="2660"/>
      <c r="CB185" s="2660"/>
      <c r="CC185" s="2660"/>
      <c r="CD185" s="2660"/>
      <c r="CE185" s="2660"/>
      <c r="CF185" s="2660"/>
      <c r="CG185" s="2660"/>
      <c r="CH185" s="2660"/>
      <c r="CI185" s="2660"/>
      <c r="CJ185" s="2660"/>
      <c r="CK185" s="2660"/>
      <c r="CL185" s="2660"/>
      <c r="CM185" s="2660"/>
      <c r="CN185" s="2660"/>
      <c r="CO185" s="2660"/>
      <c r="CP185" s="2660"/>
      <c r="CQ185" s="2660"/>
      <c r="CR185" s="2660"/>
      <c r="CS185" s="2660"/>
      <c r="CT185" s="2660"/>
      <c r="CU185" s="2660"/>
      <c r="CV185" s="2660"/>
      <c r="CW185" s="2660"/>
      <c r="CX185" s="2660"/>
      <c r="CY185" s="2660"/>
      <c r="CZ185" s="2660"/>
      <c r="DA185" s="2660"/>
      <c r="DB185" s="2660"/>
      <c r="DC185" s="2660"/>
      <c r="DD185" s="2660"/>
      <c r="DE185" s="2660"/>
      <c r="DF185" s="2660"/>
      <c r="DG185" s="2660"/>
      <c r="DH185" s="2660"/>
      <c r="DI185" s="2660"/>
      <c r="DJ185" s="2660"/>
      <c r="DK185" s="2660"/>
      <c r="DL185" s="2660"/>
      <c r="DM185" s="2660"/>
      <c r="DN185" s="2660"/>
      <c r="DO185" s="2660"/>
      <c r="DP185" s="2660"/>
      <c r="DQ185" s="2660"/>
      <c r="DR185" s="2660"/>
      <c r="DS185" s="2660"/>
      <c r="DT185" s="2660"/>
      <c r="DU185" s="2660"/>
      <c r="DV185" s="2660"/>
      <c r="DW185" s="2660"/>
      <c r="DX185" s="2660"/>
      <c r="DY185" s="2660"/>
      <c r="DZ185" s="2660"/>
      <c r="EA185" s="2660"/>
      <c r="EB185" s="2660"/>
      <c r="EC185" s="2660"/>
      <c r="ED185" s="2660"/>
      <c r="EE185" s="2660"/>
      <c r="EF185" s="2660"/>
      <c r="EG185" s="2660"/>
      <c r="EH185" s="2660"/>
      <c r="EI185" s="2660"/>
      <c r="EJ185" s="2660"/>
      <c r="EK185" s="2660"/>
      <c r="EL185" s="2660"/>
      <c r="EM185" s="2660"/>
      <c r="EN185" s="2660"/>
      <c r="EO185" s="2660"/>
      <c r="EP185" s="2660"/>
      <c r="EQ185" s="2660"/>
      <c r="ER185" s="2660"/>
      <c r="ES185" s="2660"/>
      <c r="ET185" s="2660"/>
      <c r="EU185" s="2660"/>
      <c r="EV185" s="2660"/>
      <c r="EW185" s="2660"/>
      <c r="EX185" s="2660"/>
      <c r="EY185" s="2660"/>
      <c r="EZ185" s="2660"/>
      <c r="FA185" s="2660"/>
      <c r="FB185" s="2660"/>
      <c r="FC185" s="2660"/>
      <c r="FD185" s="2660"/>
      <c r="FE185" s="2660"/>
    </row>
    <row r="186" spans="1:161" outlineLevel="2">
      <c r="B186" t="s">
        <v>491</v>
      </c>
      <c r="C186" t="s">
        <v>492</v>
      </c>
      <c r="F186" s="2659"/>
      <c r="G186" s="2659"/>
      <c r="H186" s="2659"/>
      <c r="I186" s="2659"/>
      <c r="J186" s="2659"/>
      <c r="K186" s="2659"/>
      <c r="L186" s="2659"/>
      <c r="M186" s="2659"/>
      <c r="N186" s="2659"/>
      <c r="O186" s="2659">
        <f>O182-O184-O185</f>
      </c>
      <c r="P186" s="2659">
        <f t="shared" ref="P186:AJ186" si="20">P182-P184-P185</f>
      </c>
      <c r="Q186" s="2659">
        <f t="shared" si="20"/>
      </c>
      <c r="R186" s="2659">
        <f t="shared" si="20"/>
      </c>
      <c r="S186" s="2659">
        <f t="shared" si="20"/>
      </c>
      <c r="T186" s="2659">
        <f t="shared" si="20"/>
      </c>
      <c r="U186" s="2659">
        <f t="shared" si="20"/>
      </c>
      <c r="V186" s="2659">
        <f t="shared" si="20"/>
      </c>
      <c r="W186" s="2659">
        <f t="shared" si="20"/>
      </c>
      <c r="X186" s="2659">
        <f t="shared" si="20"/>
      </c>
      <c r="Y186" s="2659">
        <f t="shared" si="20"/>
      </c>
      <c r="Z186" s="2659">
        <f t="shared" si="20"/>
      </c>
      <c r="AA186" s="2659">
        <f t="shared" si="20"/>
      </c>
      <c r="AB186" s="2659">
        <f t="shared" si="20"/>
      </c>
      <c r="AC186" s="2659">
        <f t="shared" si="20"/>
      </c>
      <c r="AD186" s="2659">
        <f t="shared" si="20"/>
      </c>
      <c r="AE186" s="2659">
        <f t="shared" si="20"/>
      </c>
      <c r="AF186" s="2659">
        <f t="shared" si="20"/>
      </c>
      <c r="AG186" s="2659">
        <f t="shared" si="20"/>
      </c>
      <c r="AH186" s="2659">
        <f t="shared" si="20"/>
      </c>
      <c r="AI186" s="2659">
        <f t="shared" si="20"/>
      </c>
      <c r="AJ186" s="2659">
        <f t="shared" si="20"/>
      </c>
      <c r="AK186" s="2659"/>
      <c r="AL186" s="2659"/>
      <c r="AM186" s="2659"/>
      <c r="AN186" s="2659"/>
      <c r="AO186" s="2659"/>
      <c r="AP186" s="2659"/>
      <c r="AQ186" s="2659"/>
      <c r="AR186" s="2659"/>
      <c r="AS186" s="2659"/>
      <c r="AT186" s="2659"/>
      <c r="AU186" s="2659"/>
      <c r="AV186" s="2659"/>
      <c r="AW186" s="2659"/>
      <c r="AX186" s="2659"/>
      <c r="AY186" s="2659"/>
      <c r="AZ186" s="2659"/>
      <c r="BA186" s="2659"/>
      <c r="BB186" s="2659"/>
      <c r="BC186" s="2659"/>
      <c r="BD186" s="2659"/>
      <c r="BE186" s="2659"/>
      <c r="BF186" s="2659"/>
      <c r="BG186" s="2659"/>
      <c r="BH186" s="2659"/>
      <c r="BI186" s="2659"/>
      <c r="BJ186" s="2659"/>
      <c r="BK186" s="2659"/>
      <c r="BL186" s="2659"/>
      <c r="BM186" s="2659"/>
      <c r="BN186" s="2659"/>
      <c r="BO186" s="2659"/>
      <c r="BP186" s="2659"/>
      <c r="BQ186" s="2659"/>
      <c r="BR186" s="2659"/>
      <c r="BS186" s="2659"/>
      <c r="BT186" s="2659"/>
      <c r="BU186" s="2659"/>
      <c r="BV186" s="2659">
        <v>9.1999999999999998E-2</v>
      </c>
      <c r="BW186" s="2659">
        <v>9.1999999999999998E-2</v>
      </c>
      <c r="BX186" s="2659">
        <v>9.1999999999999998E-2</v>
      </c>
      <c r="BY186" s="2659">
        <v>9.1999999999999998E-2</v>
      </c>
      <c r="BZ186" s="2659">
        <v>9.1999999999999998E-2</v>
      </c>
      <c r="CA186" s="2659">
        <v>8.8999999999999996E-2</v>
      </c>
      <c r="CB186" s="2659">
        <v>8.8999999999999996E-2</v>
      </c>
      <c r="CC186" s="2659">
        <v>8.8999999999999996E-2</v>
      </c>
      <c r="CD186" s="2659">
        <v>8.8999999999999996E-2</v>
      </c>
      <c r="CE186" s="2659">
        <v>8.8999999999999996E-2</v>
      </c>
      <c r="CF186" s="2659">
        <v>8.8999999999999996E-2</v>
      </c>
      <c r="CG186" s="2659">
        <v>8.8999999999999996E-2</v>
      </c>
      <c r="CH186" s="2659">
        <v>8.8999999999999996E-2</v>
      </c>
      <c r="CI186" s="2659">
        <v>8.8999999999999996E-2</v>
      </c>
      <c r="CJ186" s="2659">
        <v>8.8999999999999996E-2</v>
      </c>
      <c r="CK186" s="2659">
        <v>8.8999999999999996E-2</v>
      </c>
      <c r="CL186" s="2659">
        <v>8.8999999999999996E-2</v>
      </c>
      <c r="CM186" s="2659">
        <v>8.8999999999999996E-2</v>
      </c>
      <c r="CN186" s="2659">
        <v>8.8999999999999996E-2</v>
      </c>
      <c r="CO186" s="2659">
        <v>8.8999999999999996E-2</v>
      </c>
      <c r="CP186" s="2659">
        <v>8.8999999999999996E-2</v>
      </c>
      <c r="CQ186" s="2659">
        <v>8.8999999999999996E-2</v>
      </c>
      <c r="CR186" s="2659">
        <v>8.8999999999999996E-2</v>
      </c>
      <c r="CS186" s="2659">
        <v>8.8999999999999996E-2</v>
      </c>
      <c r="CT186" s="2659"/>
      <c r="CU186" s="2659"/>
      <c r="CV186" s="2659"/>
      <c r="CW186" s="2659"/>
      <c r="CX186" s="2659"/>
      <c r="CY186" s="2659"/>
      <c r="CZ186" s="2659"/>
      <c r="DA186" s="2659"/>
      <c r="DB186" s="2659"/>
      <c r="DC186" s="2659"/>
      <c r="DD186" s="2659"/>
      <c r="DE186" s="2659"/>
      <c r="DF186" s="2659"/>
      <c r="DG186" s="2659"/>
      <c r="DH186" s="2659"/>
      <c r="DI186" s="2659"/>
      <c r="DJ186" s="2659"/>
      <c r="DK186" s="2659"/>
      <c r="DL186" s="2659"/>
      <c r="DM186" s="2659"/>
      <c r="DN186" s="2659"/>
      <c r="DO186" s="2659"/>
      <c r="DP186" s="2659"/>
      <c r="DQ186" s="2659"/>
      <c r="DR186" s="2659"/>
      <c r="DS186" s="2659"/>
      <c r="DT186" s="2659"/>
      <c r="DU186" s="2659"/>
      <c r="DV186" s="2659"/>
      <c r="DW186" s="2659"/>
      <c r="DX186" s="2659"/>
      <c r="DY186" s="2659"/>
      <c r="DZ186" s="2659"/>
      <c r="EA186" s="2659"/>
      <c r="EB186" s="2659"/>
      <c r="EC186" s="2659"/>
      <c r="ED186" s="2659"/>
      <c r="EE186" s="2659"/>
      <c r="EF186" s="2659"/>
      <c r="EG186" s="2659"/>
      <c r="EH186" s="2659"/>
      <c r="EI186" s="2659"/>
      <c r="EJ186" s="2659"/>
      <c r="EK186" s="2659"/>
      <c r="EL186" s="2659"/>
      <c r="EM186" s="2659"/>
      <c r="EN186" s="2659"/>
      <c r="EO186" s="2659"/>
      <c r="EP186" s="2659"/>
      <c r="EQ186" s="2659"/>
      <c r="ER186" s="2659"/>
      <c r="ES186" s="2659"/>
      <c r="ET186" s="2659"/>
      <c r="EU186" s="2659"/>
      <c r="EV186" s="2659"/>
      <c r="EW186" s="2659"/>
      <c r="EX186" s="2659"/>
      <c r="EY186" s="2659"/>
      <c r="EZ186" s="2659"/>
      <c r="FA186" s="2659"/>
      <c r="FB186" s="2659"/>
      <c r="FC186" s="2659"/>
      <c r="FD186" s="2659"/>
      <c r="FE186" s="2659"/>
    </row>
    <row r="187" spans="1:161" outlineLevel="2">
      <c r="B187" t="s">
        <v>433</v>
      </c>
      <c r="C187" t="s">
        <v>434</v>
      </c>
      <c r="F187" s="2659"/>
      <c r="G187" s="2659"/>
      <c r="H187" s="2659"/>
      <c r="I187" s="2659"/>
      <c r="J187" s="2659"/>
      <c r="K187" s="2659"/>
      <c r="L187" s="2659"/>
      <c r="M187" s="2659"/>
      <c r="N187" s="2659"/>
      <c r="O187" s="2659"/>
      <c r="P187" s="2659">
        <v>0.60379133912299998</v>
      </c>
      <c r="Q187" s="2659">
        <v>0.66568591393900001</v>
      </c>
      <c r="R187" s="2659">
        <v>0.68123149499799995</v>
      </c>
      <c r="S187" s="2659">
        <v>0.75811012462399996</v>
      </c>
      <c r="T187" s="2659">
        <v>0.88315436198399999</v>
      </c>
      <c r="U187" s="2659">
        <v>0.89</v>
      </c>
      <c r="V187" s="2659"/>
      <c r="W187" s="2659">
        <v>0.94</v>
      </c>
      <c r="X187" s="2659"/>
      <c r="Y187" s="2659"/>
      <c r="Z187" s="2659"/>
      <c r="AA187" s="2659"/>
      <c r="AB187" s="2659">
        <f>60%</f>
      </c>
      <c r="AC187" s="2659"/>
      <c r="AD187" s="2659"/>
      <c r="AE187" s="2659"/>
      <c r="AF187" s="2659"/>
      <c r="AG187" s="2659"/>
      <c r="AH187" s="2659"/>
      <c r="AI187" s="2659"/>
      <c r="AJ187" s="2659"/>
      <c r="AK187" s="2659"/>
      <c r="AL187" s="2659"/>
      <c r="AM187" s="2659"/>
      <c r="AN187" s="2659"/>
      <c r="AO187" s="2659"/>
      <c r="AP187" s="2659"/>
      <c r="AQ187" s="2659"/>
      <c r="AR187" s="2659"/>
      <c r="AS187" s="2659"/>
      <c r="AT187" s="2659"/>
      <c r="AU187" s="2659"/>
      <c r="AV187" s="2659"/>
      <c r="AW187" s="2659"/>
      <c r="AX187" s="2659"/>
      <c r="AY187" s="2659"/>
      <c r="AZ187" s="2659"/>
      <c r="BA187" s="2659"/>
      <c r="BB187" s="2659"/>
      <c r="BC187" s="2659"/>
      <c r="BD187" s="2659"/>
      <c r="BE187" s="2659"/>
      <c r="BF187" s="2659"/>
      <c r="BG187" s="2659"/>
      <c r="BH187" s="2659"/>
      <c r="BI187" s="2659"/>
      <c r="BJ187" s="2659"/>
      <c r="BK187" s="2659"/>
      <c r="BL187" s="2659"/>
      <c r="BM187" s="2659"/>
      <c r="BN187" s="2659"/>
      <c r="BO187" s="2659"/>
      <c r="BP187" s="2659"/>
      <c r="BQ187" s="2659"/>
      <c r="BR187" s="2659"/>
      <c r="BS187" s="2659"/>
      <c r="BT187" s="2659"/>
      <c r="BU187" s="2659"/>
      <c r="BV187" s="2659"/>
      <c r="BW187" s="2659"/>
      <c r="BX187" s="2659"/>
      <c r="BY187" s="2659"/>
      <c r="BZ187" s="2659"/>
      <c r="CA187" s="2659"/>
      <c r="CB187" s="2659"/>
      <c r="CC187" s="2659">
        <v>0.60379133912299998</v>
      </c>
      <c r="CD187" s="2659"/>
      <c r="CE187" s="2659"/>
      <c r="CF187" s="2659">
        <v>0.62503282735400001</v>
      </c>
      <c r="CG187" s="2659">
        <v>0.66568591393900001</v>
      </c>
      <c r="CH187" s="2659">
        <v>0.65573098636299998</v>
      </c>
      <c r="CI187" s="2659">
        <v>0.67165262852200003</v>
      </c>
      <c r="CJ187" s="2659">
        <v>0.69100246542900001</v>
      </c>
      <c r="CK187" s="2659">
        <v>0.68123149499799995</v>
      </c>
      <c r="CL187" s="2659">
        <v>0.68702958165600003</v>
      </c>
      <c r="CM187" s="2659">
        <v>0.70704348006399997</v>
      </c>
      <c r="CN187" s="2659">
        <v>0.72295730459700003</v>
      </c>
      <c r="CO187" s="2659">
        <v>0.75811012462399996</v>
      </c>
      <c r="CP187" s="2659">
        <v>0.78316817970099994</v>
      </c>
      <c r="CQ187" s="2659">
        <v>0.87788616698400002</v>
      </c>
      <c r="CR187" s="2659">
        <v>0.83713295641100005</v>
      </c>
      <c r="CS187" s="2659">
        <v>0.88315436198399999</v>
      </c>
      <c r="CT187" s="2659">
        <v>0.88674103003600002</v>
      </c>
      <c r="CU187" s="2659">
        <v>0.88354285182799996</v>
      </c>
      <c r="CV187" s="2659"/>
      <c r="CW187" s="2659"/>
      <c r="CX187" s="2659"/>
      <c r="CY187" s="2659"/>
      <c r="CZ187" s="2659"/>
      <c r="DA187" s="2659"/>
      <c r="DB187" s="2659"/>
      <c r="DC187" s="2659"/>
      <c r="DD187" s="2659"/>
      <c r="DE187" s="2659"/>
      <c r="DF187" s="2659"/>
      <c r="DG187" s="2659"/>
      <c r="DH187" s="2659"/>
      <c r="DI187" s="2659"/>
      <c r="DJ187" s="2659"/>
      <c r="DK187" s="2659"/>
      <c r="DL187" s="2659"/>
      <c r="DM187" s="2659"/>
      <c r="DN187" s="2659"/>
      <c r="DO187" s="2659"/>
      <c r="DP187" s="2659"/>
      <c r="DQ187" s="2659"/>
      <c r="DR187" s="2659"/>
      <c r="DS187" s="2659"/>
      <c r="DT187" s="2659"/>
      <c r="DU187" s="2659"/>
      <c r="DV187" s="2659"/>
      <c r="DW187" s="2659"/>
      <c r="DX187" s="2659"/>
      <c r="DY187" s="2659"/>
      <c r="DZ187" s="2659"/>
      <c r="EA187" s="2659"/>
      <c r="EB187" s="2659"/>
      <c r="EC187" s="2659"/>
      <c r="ED187" s="2659"/>
      <c r="EE187" s="2659"/>
      <c r="EF187" s="2659"/>
      <c r="EG187" s="2659"/>
      <c r="EH187" s="2659"/>
      <c r="EI187" s="2659"/>
      <c r="EJ187" s="2659"/>
      <c r="EK187" s="2659"/>
      <c r="EL187" s="2659"/>
      <c r="EM187" s="2659"/>
      <c r="EN187" s="2659"/>
      <c r="EO187" s="2659"/>
      <c r="EP187" s="2659"/>
      <c r="EQ187" s="2659"/>
      <c r="ER187" s="2659"/>
      <c r="ES187" s="2659"/>
      <c r="ET187" s="2659"/>
      <c r="EU187" s="2659"/>
      <c r="EV187" s="2659"/>
      <c r="EW187" s="2659"/>
      <c r="EX187" s="2659"/>
      <c r="EY187" s="2659"/>
      <c r="EZ187" s="2659"/>
      <c r="FA187" s="2659"/>
      <c r="FB187" s="2659"/>
      <c r="FC187" s="2659"/>
      <c r="FD187" s="2659"/>
      <c r="FE187" s="2659"/>
    </row>
    <row r="188" spans="1:161" outlineLevel="2">
      <c r="B188" t="s">
        <v>493</v>
      </c>
      <c r="C188" t="s">
        <v>494</v>
      </c>
      <c r="F188" s="2660"/>
      <c r="G188" s="2660"/>
      <c r="H188" s="2660"/>
      <c r="I188" s="2660"/>
      <c r="J188" s="2660"/>
      <c r="K188" s="2660"/>
      <c r="L188" s="2660"/>
      <c r="M188" s="2660"/>
      <c r="N188" s="2660"/>
      <c r="O188" s="2660"/>
      <c r="P188" s="2660"/>
      <c r="Q188" s="2660"/>
      <c r="R188" s="2660"/>
      <c r="S188" s="2660"/>
      <c r="T188" s="2660">
        <v>0</v>
      </c>
      <c r="U188" s="2660">
        <f t="shared" ref="U188:W189" si="21">T188</f>
      </c>
      <c r="V188" s="2660">
        <f t="shared" si="21"/>
      </c>
      <c r="W188" s="2660">
        <f t="shared" si="21"/>
      </c>
      <c r="X188" s="2660">
        <f>W188</f>
      </c>
      <c r="Y188" s="2660"/>
      <c r="Z188" s="2660"/>
      <c r="AA188" s="2660"/>
      <c r="AB188" s="2660"/>
      <c r="AC188" s="2660"/>
      <c r="AD188" s="2660"/>
      <c r="AE188" s="2660"/>
      <c r="AF188" s="2660"/>
      <c r="AG188" s="2660"/>
      <c r="AH188" s="2660"/>
      <c r="AI188" s="2660"/>
      <c r="AJ188" s="2660"/>
      <c r="AK188" s="2660"/>
      <c r="AL188" s="2660"/>
      <c r="AM188" s="2660"/>
      <c r="AN188" s="2660"/>
      <c r="AO188" s="2660"/>
      <c r="AP188" s="2660"/>
      <c r="AQ188" s="2660"/>
      <c r="AR188" s="2660"/>
      <c r="AS188" s="2660"/>
      <c r="AT188" s="2660"/>
      <c r="AU188" s="2660"/>
      <c r="AV188" s="2660"/>
      <c r="AW188" s="2660"/>
      <c r="AX188" s="2660"/>
      <c r="AY188" s="2660"/>
      <c r="AZ188" s="2660"/>
      <c r="BA188" s="2660"/>
      <c r="BB188" s="2660"/>
      <c r="BC188" s="2660"/>
      <c r="BD188" s="2660"/>
      <c r="BE188" s="2660"/>
      <c r="BF188" s="2660"/>
      <c r="BG188" s="2660"/>
      <c r="BH188" s="2660"/>
      <c r="BI188" s="2660"/>
      <c r="BJ188" s="2660"/>
      <c r="BK188" s="2660"/>
      <c r="BL188" s="2660"/>
      <c r="BM188" s="2660"/>
      <c r="BN188" s="2660"/>
      <c r="BO188" s="2660"/>
      <c r="BP188" s="2660"/>
      <c r="BQ188" s="2660"/>
      <c r="BR188" s="2660"/>
      <c r="BS188" s="2660"/>
      <c r="BT188" s="2660"/>
      <c r="BU188" s="2660"/>
      <c r="BV188" s="2660"/>
      <c r="BW188" s="2660"/>
      <c r="BX188" s="2660"/>
      <c r="BY188" s="2660"/>
      <c r="BZ188" s="2660"/>
      <c r="CA188" s="2660"/>
      <c r="CB188" s="2660"/>
      <c r="CC188" s="2660"/>
      <c r="CD188" s="2660"/>
      <c r="CE188" s="2660"/>
      <c r="CF188" s="2660"/>
      <c r="CG188" s="2660"/>
      <c r="CH188" s="2660"/>
      <c r="CI188" s="2660"/>
      <c r="CJ188" s="2660"/>
      <c r="CK188" s="2660"/>
      <c r="CL188" s="2660"/>
      <c r="CM188" s="2660"/>
      <c r="CN188" s="2660"/>
      <c r="CO188" s="2660"/>
      <c r="CP188" s="2660"/>
      <c r="CQ188" s="2660"/>
      <c r="CR188" s="2660"/>
      <c r="CS188" s="2660"/>
      <c r="CT188" s="2660"/>
      <c r="CU188" s="2660"/>
      <c r="CV188" s="2660"/>
      <c r="CW188" s="2660"/>
      <c r="CX188" s="2660"/>
      <c r="CY188" s="2660"/>
      <c r="CZ188" s="2660"/>
      <c r="DA188" s="2660"/>
      <c r="DB188" s="2660"/>
      <c r="DC188" s="2660"/>
      <c r="DD188" s="2660"/>
      <c r="DE188" s="2660"/>
      <c r="DF188" s="2660"/>
      <c r="DG188" s="2660"/>
      <c r="DH188" s="2660"/>
      <c r="DI188" s="2660"/>
      <c r="DJ188" s="2660"/>
      <c r="DK188" s="2660"/>
      <c r="DL188" s="2660"/>
      <c r="DM188" s="2660"/>
      <c r="DN188" s="2660"/>
      <c r="DO188" s="2660"/>
      <c r="DP188" s="2660"/>
      <c r="DQ188" s="2660"/>
      <c r="DR188" s="2660"/>
      <c r="DS188" s="2660"/>
      <c r="DT188" s="2660"/>
      <c r="DU188" s="2660"/>
      <c r="DV188" s="2660"/>
      <c r="DW188" s="2660"/>
      <c r="DX188" s="2660"/>
      <c r="DY188" s="2660"/>
      <c r="DZ188" s="2660"/>
      <c r="EA188" s="2660"/>
      <c r="EB188" s="2660"/>
      <c r="EC188" s="2660"/>
      <c r="ED188" s="2660"/>
      <c r="EE188" s="2660"/>
      <c r="EF188" s="2660"/>
      <c r="EG188" s="2660"/>
      <c r="EH188" s="2660"/>
      <c r="EI188" s="2660"/>
      <c r="EJ188" s="2660"/>
      <c r="EK188" s="2660"/>
      <c r="EL188" s="2660"/>
      <c r="EM188" s="2660"/>
      <c r="EN188" s="2660"/>
      <c r="EO188" s="2660"/>
      <c r="EP188" s="2660"/>
      <c r="EQ188" s="2660"/>
      <c r="ER188" s="2660"/>
      <c r="ES188" s="2660"/>
      <c r="ET188" s="2660"/>
      <c r="EU188" s="2660"/>
      <c r="EV188" s="2660"/>
      <c r="EW188" s="2660"/>
      <c r="EX188" s="2660"/>
      <c r="EY188" s="2660"/>
      <c r="EZ188" s="2660"/>
      <c r="FA188" s="2660"/>
      <c r="FB188" s="2660"/>
      <c r="FC188" s="2660"/>
      <c r="FD188" s="2660"/>
      <c r="FE188" s="2660"/>
    </row>
    <row r="189" spans="1:161" outlineLevel="2">
      <c r="B189" t="s">
        <v>495</v>
      </c>
      <c r="C189" t="s">
        <v>496</v>
      </c>
      <c r="F189" s="2660"/>
      <c r="G189" s="2660"/>
      <c r="H189" s="2660"/>
      <c r="I189" s="2660"/>
      <c r="J189" s="2660"/>
      <c r="K189" s="2660"/>
      <c r="L189" s="2660"/>
      <c r="M189" s="2660"/>
      <c r="N189" s="2660"/>
      <c r="O189" s="2660"/>
      <c r="P189" s="2660"/>
      <c r="Q189" s="2660"/>
      <c r="R189" s="2660"/>
      <c r="S189" s="2660"/>
      <c r="T189" s="2660">
        <v>0</v>
      </c>
      <c r="U189" s="2660">
        <f t="shared" si="21"/>
      </c>
      <c r="V189" s="2660">
        <f t="shared" si="21"/>
      </c>
      <c r="W189" s="2660">
        <f t="shared" si="21"/>
      </c>
      <c r="X189" s="2660">
        <f>W189</f>
      </c>
      <c r="Y189" s="2660"/>
      <c r="Z189" s="2660"/>
      <c r="AA189" s="2660"/>
      <c r="AB189" s="2660"/>
      <c r="AC189" s="2660"/>
      <c r="AD189" s="2660"/>
      <c r="AE189" s="2660"/>
      <c r="AF189" s="2660"/>
      <c r="AG189" s="2660"/>
      <c r="AH189" s="2660"/>
      <c r="AI189" s="2660"/>
      <c r="AJ189" s="2660"/>
      <c r="AK189" s="2660"/>
      <c r="AL189" s="2660"/>
      <c r="AM189" s="2660"/>
      <c r="AN189" s="2660"/>
      <c r="AO189" s="2660"/>
      <c r="AP189" s="2660"/>
      <c r="AQ189" s="2660"/>
      <c r="AR189" s="2660"/>
      <c r="AS189" s="2660"/>
      <c r="AT189" s="2660"/>
      <c r="AU189" s="2660"/>
      <c r="AV189" s="2660"/>
      <c r="AW189" s="2660"/>
      <c r="AX189" s="2660"/>
      <c r="AY189" s="2660"/>
      <c r="AZ189" s="2660"/>
      <c r="BA189" s="2660"/>
      <c r="BB189" s="2660"/>
      <c r="BC189" s="2660"/>
      <c r="BD189" s="2660"/>
      <c r="BE189" s="2660"/>
      <c r="BF189" s="2660"/>
      <c r="BG189" s="2660"/>
      <c r="BH189" s="2660"/>
      <c r="BI189" s="2660"/>
      <c r="BJ189" s="2660"/>
      <c r="BK189" s="2660"/>
      <c r="BL189" s="2660"/>
      <c r="BM189" s="2660"/>
      <c r="BN189" s="2660"/>
      <c r="BO189" s="2660"/>
      <c r="BP189" s="2660"/>
      <c r="BQ189" s="2660"/>
      <c r="BR189" s="2660"/>
      <c r="BS189" s="2660"/>
      <c r="BT189" s="2660"/>
      <c r="BU189" s="2660"/>
      <c r="BV189" s="2660"/>
      <c r="BW189" s="2660"/>
      <c r="BX189" s="2660"/>
      <c r="BY189" s="2660"/>
      <c r="BZ189" s="2660"/>
      <c r="CA189" s="2660"/>
      <c r="CB189" s="2660"/>
      <c r="CC189" s="2660"/>
      <c r="CD189" s="2660"/>
      <c r="CE189" s="2660"/>
      <c r="CF189" s="2660"/>
      <c r="CG189" s="2660"/>
      <c r="CH189" s="2660"/>
      <c r="CI189" s="2660"/>
      <c r="CJ189" s="2660"/>
      <c r="CK189" s="2660"/>
      <c r="CL189" s="2660"/>
      <c r="CM189" s="2660"/>
      <c r="CN189" s="2660"/>
      <c r="CO189" s="2660"/>
      <c r="CP189" s="2660"/>
      <c r="CQ189" s="2660"/>
      <c r="CR189" s="2660"/>
      <c r="CS189" s="2660"/>
      <c r="CT189" s="2660"/>
      <c r="CU189" s="2660"/>
      <c r="CV189" s="2660"/>
      <c r="CW189" s="2660"/>
      <c r="CX189" s="2660"/>
      <c r="CY189" s="2660"/>
      <c r="CZ189" s="2660"/>
      <c r="DA189" s="2660"/>
      <c r="DB189" s="2660"/>
      <c r="DC189" s="2660"/>
      <c r="DD189" s="2660"/>
      <c r="DE189" s="2660"/>
      <c r="DF189" s="2660"/>
      <c r="DG189" s="2660"/>
      <c r="DH189" s="2660"/>
      <c r="DI189" s="2660"/>
      <c r="DJ189" s="2660"/>
      <c r="DK189" s="2660"/>
      <c r="DL189" s="2660"/>
      <c r="DM189" s="2660"/>
      <c r="DN189" s="2660"/>
      <c r="DO189" s="2660"/>
      <c r="DP189" s="2660"/>
      <c r="DQ189" s="2660"/>
      <c r="DR189" s="2660"/>
      <c r="DS189" s="2660"/>
      <c r="DT189" s="2660"/>
      <c r="DU189" s="2660"/>
      <c r="DV189" s="2660"/>
      <c r="DW189" s="2660"/>
      <c r="DX189" s="2660"/>
      <c r="DY189" s="2660"/>
      <c r="DZ189" s="2660"/>
      <c r="EA189" s="2660"/>
      <c r="EB189" s="2660"/>
      <c r="EC189" s="2660"/>
      <c r="ED189" s="2660"/>
      <c r="EE189" s="2660"/>
      <c r="EF189" s="2660"/>
      <c r="EG189" s="2660"/>
      <c r="EH189" s="2660"/>
      <c r="EI189" s="2660"/>
      <c r="EJ189" s="2660"/>
      <c r="EK189" s="2660"/>
      <c r="EL189" s="2660"/>
      <c r="EM189" s="2660"/>
      <c r="EN189" s="2660"/>
      <c r="EO189" s="2660"/>
      <c r="EP189" s="2660"/>
      <c r="EQ189" s="2660"/>
      <c r="ER189" s="2660"/>
      <c r="ES189" s="2660"/>
      <c r="ET189" s="2660"/>
      <c r="EU189" s="2660"/>
      <c r="EV189" s="2660"/>
      <c r="EW189" s="2660"/>
      <c r="EX189" s="2660"/>
      <c r="EY189" s="2660"/>
      <c r="EZ189" s="2660"/>
      <c r="FA189" s="2660"/>
      <c r="FB189" s="2660"/>
      <c r="FC189" s="2660"/>
      <c r="FD189" s="2660"/>
      <c r="FE189" s="2660"/>
    </row>
    <row r="190" spans="1:161" s="539" customFormat="1" outlineLevel="1">
      <c r="A190" s="540" t="s">
        <v>497</v>
      </c>
      <c r="B190" s="540"/>
      <c r="C190" s="540"/>
      <c r="D190" s="540"/>
    </row>
    <row r="191" spans="1:161" outlineLevel="2">
      <c r="B191" t="s">
        <v>498</v>
      </c>
      <c r="C191" t="s">
        <v>499</v>
      </c>
      <c r="F191" s="2659"/>
      <c r="G191" s="2659"/>
      <c r="H191" s="2659"/>
      <c r="I191" s="2659"/>
      <c r="J191" s="2659"/>
      <c r="K191" s="2659"/>
      <c r="L191" s="2659"/>
      <c r="M191" s="2659"/>
      <c r="N191" s="2659"/>
      <c r="O191" s="2659"/>
      <c r="P191" s="2659"/>
      <c r="Q191" s="2659"/>
      <c r="R191" s="2659"/>
      <c r="S191" s="2659"/>
      <c r="T191" s="2659">
        <v>0</v>
      </c>
      <c r="U191" s="2659">
        <v>0</v>
      </c>
      <c r="V191" s="2659">
        <v>0</v>
      </c>
      <c r="W191" s="2659">
        <v>0</v>
      </c>
      <c r="X191" s="2659">
        <f>+W191</f>
      </c>
      <c r="Y191" s="2659"/>
      <c r="Z191" s="2659"/>
      <c r="AA191" s="2659"/>
      <c r="AB191" s="2659"/>
      <c r="AC191" s="2659"/>
      <c r="AD191" s="2659"/>
      <c r="AE191" s="2659"/>
      <c r="AF191" s="2659"/>
      <c r="AG191" s="2659"/>
      <c r="AH191" s="2659"/>
      <c r="AI191" s="2659"/>
      <c r="AJ191" s="2659"/>
      <c r="AK191" s="2659"/>
      <c r="AL191" s="2659"/>
      <c r="AM191" s="2659"/>
      <c r="AN191" s="2659"/>
      <c r="AO191" s="2659"/>
      <c r="AP191" s="2659"/>
      <c r="AQ191" s="2659"/>
      <c r="AR191" s="2659"/>
      <c r="AS191" s="2659"/>
      <c r="AT191" s="2659"/>
      <c r="AU191" s="2659"/>
      <c r="AV191" s="2659"/>
      <c r="AW191" s="2659"/>
      <c r="AX191" s="2659"/>
      <c r="AY191" s="2659"/>
      <c r="AZ191" s="2659"/>
      <c r="BA191" s="2659"/>
      <c r="BB191" s="2659"/>
      <c r="BC191" s="2659"/>
      <c r="BD191" s="2659"/>
      <c r="BE191" s="2659"/>
      <c r="BF191" s="2659"/>
      <c r="BG191" s="2659"/>
      <c r="BH191" s="2659"/>
      <c r="BI191" s="2659"/>
      <c r="BJ191" s="2659"/>
      <c r="BK191" s="2659"/>
      <c r="BL191" s="2659"/>
      <c r="BM191" s="2659"/>
      <c r="BN191" s="2659"/>
      <c r="BO191" s="2659"/>
      <c r="BP191" s="2659"/>
      <c r="BQ191" s="2659"/>
      <c r="BR191" s="2659"/>
      <c r="BS191" s="2659"/>
      <c r="BT191" s="2659"/>
      <c r="BU191" s="2659"/>
      <c r="BV191" s="2659"/>
      <c r="BW191" s="2659"/>
      <c r="BX191" s="2659"/>
      <c r="BY191" s="2659"/>
      <c r="BZ191" s="2659"/>
      <c r="CA191" s="2659"/>
      <c r="CB191" s="2659"/>
      <c r="CC191" s="2659"/>
      <c r="CD191" s="2659"/>
      <c r="CE191" s="2659"/>
      <c r="CF191" s="2659"/>
      <c r="CG191" s="2659"/>
      <c r="CH191" s="2659"/>
      <c r="CI191" s="2659"/>
      <c r="CJ191" s="2659"/>
      <c r="CK191" s="2659"/>
      <c r="CL191" s="2659"/>
      <c r="CM191" s="2659"/>
      <c r="CN191" s="2659"/>
      <c r="CO191" s="2659"/>
      <c r="CP191" s="2659"/>
      <c r="CQ191" s="2659"/>
      <c r="CR191" s="2659"/>
      <c r="CS191" s="2659"/>
      <c r="CT191" s="2659"/>
      <c r="CU191" s="2659"/>
      <c r="CV191" s="2659"/>
      <c r="CW191" s="2659"/>
      <c r="CX191" s="2659"/>
      <c r="CY191" s="2659"/>
      <c r="CZ191" s="2659"/>
      <c r="DA191" s="2659"/>
      <c r="DB191" s="2659"/>
      <c r="DC191" s="2659"/>
      <c r="DD191" s="2659"/>
      <c r="DE191" s="2659"/>
      <c r="DF191" s="2659"/>
      <c r="DG191" s="2659"/>
      <c r="DH191" s="2659"/>
      <c r="DI191" s="2659"/>
      <c r="DJ191" s="2659"/>
      <c r="DK191" s="2659"/>
      <c r="DL191" s="2659"/>
      <c r="DM191" s="2659"/>
      <c r="DN191" s="2659"/>
      <c r="DO191" s="2659"/>
      <c r="DP191" s="2659"/>
      <c r="DQ191" s="2659"/>
      <c r="DR191" s="2659"/>
      <c r="DS191" s="2659"/>
      <c r="DT191" s="2659"/>
      <c r="DU191" s="2659"/>
      <c r="DV191" s="2659"/>
      <c r="DW191" s="2659"/>
      <c r="DX191" s="2659"/>
      <c r="DY191" s="2659"/>
      <c r="DZ191" s="2659"/>
      <c r="EA191" s="2659"/>
      <c r="EB191" s="2659"/>
      <c r="EC191" s="2659"/>
      <c r="ED191" s="2659"/>
      <c r="EE191" s="2659"/>
      <c r="EF191" s="2659"/>
      <c r="EG191" s="2659"/>
      <c r="EH191" s="2659"/>
      <c r="EI191" s="2659"/>
      <c r="EJ191" s="2659"/>
      <c r="EK191" s="2659"/>
      <c r="EL191" s="2659"/>
      <c r="EM191" s="2659"/>
      <c r="EN191" s="2659"/>
      <c r="EO191" s="2659"/>
      <c r="EP191" s="2659"/>
      <c r="EQ191" s="2659"/>
      <c r="ER191" s="2659"/>
      <c r="ES191" s="2659"/>
      <c r="ET191" s="2659"/>
      <c r="EU191" s="2659"/>
      <c r="EV191" s="2659"/>
      <c r="EW191" s="2659"/>
      <c r="EX191" s="2659"/>
      <c r="EY191" s="2659"/>
      <c r="EZ191" s="2659"/>
      <c r="FA191" s="2659"/>
      <c r="FB191" s="2659"/>
      <c r="FC191" s="2659"/>
      <c r="FD191" s="2659"/>
      <c r="FE191" s="2659"/>
    </row>
    <row r="192" spans="1:161" outlineLevel="2">
      <c r="B192" t="s">
        <v>500</v>
      </c>
      <c r="C192" t="s">
        <v>501</v>
      </c>
      <c r="F192" s="2659"/>
      <c r="G192" s="2659"/>
      <c r="H192" s="2659"/>
      <c r="I192" s="2659"/>
      <c r="J192" s="2659"/>
      <c r="K192" s="2659"/>
      <c r="L192" s="2659"/>
      <c r="M192" s="2659"/>
      <c r="N192" s="2659"/>
      <c r="O192" s="2659"/>
      <c r="P192" s="2659"/>
      <c r="Q192" s="2659"/>
      <c r="R192" s="2659"/>
      <c r="S192" s="2659"/>
      <c r="T192" s="2659">
        <v>0</v>
      </c>
      <c r="U192" s="2659">
        <v>0</v>
      </c>
      <c r="V192" s="2659">
        <v>0</v>
      </c>
      <c r="W192" s="2659">
        <v>0</v>
      </c>
      <c r="X192" s="2659">
        <f>+W192</f>
      </c>
      <c r="Y192" s="2659"/>
      <c r="Z192" s="2659"/>
      <c r="AA192" s="2659"/>
      <c r="AB192" s="2659"/>
      <c r="AC192" s="2659"/>
      <c r="AD192" s="2659"/>
      <c r="AE192" s="2659"/>
      <c r="AF192" s="2659"/>
      <c r="AG192" s="2659"/>
      <c r="AH192" s="2659"/>
      <c r="AI192" s="2659"/>
      <c r="AJ192" s="2659"/>
      <c r="AK192" s="2659"/>
      <c r="AL192" s="2659"/>
      <c r="AM192" s="2659"/>
      <c r="AN192" s="2659"/>
      <c r="AO192" s="2659"/>
      <c r="AP192" s="2659"/>
      <c r="AQ192" s="2659"/>
      <c r="AR192" s="2659"/>
      <c r="AS192" s="2659"/>
      <c r="AT192" s="2659"/>
      <c r="AU192" s="2659"/>
      <c r="AV192" s="2659"/>
      <c r="AW192" s="2659"/>
      <c r="AX192" s="2659"/>
      <c r="AY192" s="2659"/>
      <c r="AZ192" s="2659"/>
      <c r="BA192" s="2659"/>
      <c r="BB192" s="2659"/>
      <c r="BC192" s="2659"/>
      <c r="BD192" s="2659"/>
      <c r="BE192" s="2659"/>
      <c r="BF192" s="2659"/>
      <c r="BG192" s="2659"/>
      <c r="BH192" s="2659"/>
      <c r="BI192" s="2659"/>
      <c r="BJ192" s="2659"/>
      <c r="BK192" s="2659"/>
      <c r="BL192" s="2659"/>
      <c r="BM192" s="2659"/>
      <c r="BN192" s="2659"/>
      <c r="BO192" s="2659"/>
      <c r="BP192" s="2659"/>
      <c r="BQ192" s="2659"/>
      <c r="BR192" s="2659"/>
      <c r="BS192" s="2659"/>
      <c r="BT192" s="2659"/>
      <c r="BU192" s="2659"/>
      <c r="BV192" s="2659"/>
      <c r="BW192" s="2659"/>
      <c r="BX192" s="2659"/>
      <c r="BY192" s="2659"/>
      <c r="BZ192" s="2659"/>
      <c r="CA192" s="2659"/>
      <c r="CB192" s="2659"/>
      <c r="CC192" s="2659"/>
      <c r="CD192" s="2659"/>
      <c r="CE192" s="2659"/>
      <c r="CF192" s="2659"/>
      <c r="CG192" s="2659"/>
      <c r="CH192" s="2659"/>
      <c r="CI192" s="2659"/>
      <c r="CJ192" s="2659"/>
      <c r="CK192" s="2659"/>
      <c r="CL192" s="2659"/>
      <c r="CM192" s="2659"/>
      <c r="CN192" s="2659"/>
      <c r="CO192" s="2659"/>
      <c r="CP192" s="2659"/>
      <c r="CQ192" s="2659"/>
      <c r="CR192" s="2659"/>
      <c r="CS192" s="2659"/>
      <c r="CT192" s="2659"/>
      <c r="CU192" s="2659"/>
      <c r="CV192" s="2659"/>
      <c r="CW192" s="2659"/>
      <c r="CX192" s="2659"/>
      <c r="CY192" s="2659"/>
      <c r="CZ192" s="2659"/>
      <c r="DA192" s="2659"/>
      <c r="DB192" s="2659"/>
      <c r="DC192" s="2659"/>
      <c r="DD192" s="2659"/>
      <c r="DE192" s="2659"/>
      <c r="DF192" s="2659"/>
      <c r="DG192" s="2659"/>
      <c r="DH192" s="2659"/>
      <c r="DI192" s="2659"/>
      <c r="DJ192" s="2659"/>
      <c r="DK192" s="2659"/>
      <c r="DL192" s="2659"/>
      <c r="DM192" s="2659"/>
      <c r="DN192" s="2659"/>
      <c r="DO192" s="2659"/>
      <c r="DP192" s="2659"/>
      <c r="DQ192" s="2659"/>
      <c r="DR192" s="2659"/>
      <c r="DS192" s="2659"/>
      <c r="DT192" s="2659"/>
      <c r="DU192" s="2659"/>
      <c r="DV192" s="2659"/>
      <c r="DW192" s="2659"/>
      <c r="DX192" s="2659"/>
      <c r="DY192" s="2659"/>
      <c r="DZ192" s="2659"/>
      <c r="EA192" s="2659"/>
      <c r="EB192" s="2659"/>
      <c r="EC192" s="2659"/>
      <c r="ED192" s="2659"/>
      <c r="EE192" s="2659"/>
      <c r="EF192" s="2659"/>
      <c r="EG192" s="2659"/>
      <c r="EH192" s="2659"/>
      <c r="EI192" s="2659"/>
      <c r="EJ192" s="2659"/>
      <c r="EK192" s="2659"/>
      <c r="EL192" s="2659"/>
      <c r="EM192" s="2659"/>
      <c r="EN192" s="2659"/>
      <c r="EO192" s="2659"/>
      <c r="EP192" s="2659"/>
      <c r="EQ192" s="2659"/>
      <c r="ER192" s="2659"/>
      <c r="ES192" s="2659"/>
      <c r="ET192" s="2659"/>
      <c r="EU192" s="2659"/>
      <c r="EV192" s="2659"/>
      <c r="EW192" s="2659"/>
      <c r="EX192" s="2659"/>
      <c r="EY192" s="2659"/>
      <c r="EZ192" s="2659"/>
      <c r="FA192" s="2659"/>
      <c r="FB192" s="2659"/>
      <c r="FC192" s="2659"/>
      <c r="FD192" s="2659"/>
      <c r="FE192" s="2659"/>
    </row>
    <row r="193" spans="1:161" outlineLevel="2">
      <c r="B193" t="s">
        <v>502</v>
      </c>
      <c r="C193" t="s">
        <v>503</v>
      </c>
      <c r="F193" s="2659"/>
      <c r="G193" s="2659"/>
      <c r="H193" s="2659"/>
      <c r="I193" s="2659"/>
      <c r="J193" s="2659"/>
      <c r="K193" s="2659"/>
      <c r="L193" s="2659"/>
      <c r="M193" s="2659"/>
      <c r="N193" s="2659"/>
      <c r="O193" s="2659"/>
      <c r="P193" s="2659"/>
      <c r="Q193" s="2659"/>
      <c r="R193" s="2659"/>
      <c r="S193" s="2659"/>
      <c r="T193" s="2659"/>
      <c r="U193" s="2659"/>
      <c r="V193" s="2659"/>
      <c r="W193" s="2659"/>
      <c r="X193" s="2659"/>
      <c r="Y193" s="2659"/>
      <c r="Z193" s="2659"/>
      <c r="AA193" s="2659"/>
      <c r="AB193" s="2659"/>
      <c r="AC193" s="2659"/>
      <c r="AD193" s="2659"/>
      <c r="AE193" s="2659"/>
      <c r="AF193" s="2659"/>
      <c r="AG193" s="2659"/>
      <c r="AH193" s="2659"/>
      <c r="AI193" s="2659"/>
      <c r="AJ193" s="2659"/>
      <c r="AK193" s="2659"/>
      <c r="AL193" s="2659"/>
      <c r="AM193" s="2659"/>
      <c r="AN193" s="2659"/>
      <c r="AO193" s="2659"/>
      <c r="AP193" s="2659"/>
      <c r="AQ193" s="2659"/>
      <c r="AR193" s="2659"/>
      <c r="AS193" s="2659"/>
      <c r="AT193" s="2659"/>
      <c r="AU193" s="2659"/>
      <c r="AV193" s="2659"/>
      <c r="AW193" s="2659"/>
      <c r="AX193" s="2659"/>
      <c r="AY193" s="2659"/>
      <c r="AZ193" s="2659"/>
      <c r="BA193" s="2659"/>
      <c r="BB193" s="2659"/>
      <c r="BC193" s="2659"/>
      <c r="BD193" s="2659"/>
      <c r="BE193" s="2659"/>
      <c r="BF193" s="2659"/>
      <c r="BG193" s="2659"/>
      <c r="BH193" s="2659"/>
      <c r="BI193" s="2659"/>
      <c r="BJ193" s="2659"/>
      <c r="BK193" s="2659"/>
      <c r="BL193" s="2659"/>
      <c r="BM193" s="2659"/>
      <c r="BN193" s="2659"/>
      <c r="BO193" s="2659"/>
      <c r="BP193" s="2659"/>
      <c r="BQ193" s="2659"/>
      <c r="BR193" s="2659"/>
      <c r="BS193" s="2659"/>
      <c r="BT193" s="2659"/>
      <c r="BU193" s="2659"/>
      <c r="BV193" s="2659"/>
      <c r="BW193" s="2659"/>
      <c r="BX193" s="2659"/>
      <c r="BY193" s="2659"/>
      <c r="BZ193" s="2659"/>
      <c r="CA193" s="2659"/>
      <c r="CB193" s="2659"/>
      <c r="CC193" s="2659"/>
      <c r="CD193" s="2659"/>
      <c r="CE193" s="2659"/>
      <c r="CF193" s="2659"/>
      <c r="CG193" s="2659"/>
      <c r="CH193" s="2659"/>
      <c r="CI193" s="2659"/>
      <c r="CJ193" s="2659"/>
      <c r="CK193" s="2659"/>
      <c r="CL193" s="2659"/>
      <c r="CM193" s="2659"/>
      <c r="CN193" s="2659"/>
      <c r="CO193" s="2659"/>
      <c r="CP193" s="2659"/>
      <c r="CQ193" s="2659"/>
      <c r="CR193" s="2659"/>
      <c r="CS193" s="2659"/>
      <c r="CT193" s="2659"/>
      <c r="CU193" s="2659"/>
      <c r="CV193" s="2659"/>
      <c r="CW193" s="2659"/>
      <c r="CX193" s="2659"/>
      <c r="CY193" s="2659"/>
      <c r="CZ193" s="2659"/>
      <c r="DA193" s="2659"/>
      <c r="DB193" s="2659"/>
      <c r="DC193" s="2659"/>
      <c r="DD193" s="2659"/>
      <c r="DE193" s="2659"/>
      <c r="DF193" s="2659"/>
      <c r="DG193" s="2659"/>
      <c r="DH193" s="2659"/>
      <c r="DI193" s="2659"/>
      <c r="DJ193" s="2659"/>
      <c r="DK193" s="2659"/>
      <c r="DL193" s="2659"/>
      <c r="DM193" s="2659"/>
      <c r="DN193" s="2659"/>
      <c r="DO193" s="2659"/>
      <c r="DP193" s="2659"/>
      <c r="DQ193" s="2659"/>
      <c r="DR193" s="2659"/>
      <c r="DS193" s="2659"/>
      <c r="DT193" s="2659"/>
      <c r="DU193" s="2659"/>
      <c r="DV193" s="2659"/>
      <c r="DW193" s="2659"/>
      <c r="DX193" s="2659"/>
      <c r="DY193" s="2659"/>
      <c r="DZ193" s="2659"/>
      <c r="EA193" s="2659"/>
      <c r="EB193" s="2659"/>
      <c r="EC193" s="2659"/>
      <c r="ED193" s="2659"/>
      <c r="EE193" s="2659"/>
      <c r="EF193" s="2659"/>
      <c r="EG193" s="2659"/>
      <c r="EH193" s="2659"/>
      <c r="EI193" s="2659"/>
      <c r="EJ193" s="2659"/>
      <c r="EK193" s="2659"/>
      <c r="EL193" s="2659"/>
      <c r="EM193" s="2659"/>
      <c r="EN193" s="2659"/>
      <c r="EO193" s="2659"/>
      <c r="EP193" s="2659"/>
      <c r="EQ193" s="2659"/>
      <c r="ER193" s="2659"/>
      <c r="ES193" s="2659"/>
      <c r="ET193" s="2659"/>
      <c r="EU193" s="2659"/>
      <c r="EV193" s="2659"/>
      <c r="EW193" s="2659"/>
      <c r="EX193" s="2659"/>
      <c r="EY193" s="2659"/>
      <c r="EZ193" s="2659"/>
      <c r="FA193" s="2659"/>
      <c r="FB193" s="2659"/>
      <c r="FC193" s="2659"/>
      <c r="FD193" s="2659"/>
      <c r="FE193" s="2659"/>
    </row>
    <row r="194" spans="1:161" outlineLevel="2">
      <c r="B194" t="s">
        <v>504</v>
      </c>
      <c r="C194" t="s">
        <v>505</v>
      </c>
      <c r="F194" s="2659"/>
      <c r="G194" s="2659"/>
      <c r="H194" s="2659"/>
      <c r="I194" s="2659"/>
      <c r="J194" s="2659"/>
      <c r="K194" s="2659"/>
      <c r="L194" s="2659"/>
      <c r="M194" s="2659"/>
      <c r="N194" s="2659"/>
      <c r="O194" s="2659"/>
      <c r="P194" s="2659"/>
      <c r="Q194" s="2659"/>
      <c r="R194" s="2659"/>
      <c r="S194" s="2659"/>
      <c r="T194" s="2659"/>
      <c r="U194" s="2659"/>
      <c r="V194" s="2659"/>
      <c r="W194" s="2659"/>
      <c r="X194" s="2659"/>
      <c r="Y194" s="2659"/>
      <c r="Z194" s="2659"/>
      <c r="AA194" s="2659"/>
      <c r="AB194" s="2659"/>
      <c r="AC194" s="2659"/>
      <c r="AD194" s="2659"/>
      <c r="AE194" s="2659"/>
      <c r="AF194" s="2659"/>
      <c r="AG194" s="2659"/>
      <c r="AH194" s="2659"/>
      <c r="AI194" s="2659"/>
      <c r="AJ194" s="2659"/>
      <c r="AK194" s="2659"/>
      <c r="AL194" s="2659"/>
      <c r="AM194" s="2659"/>
      <c r="AN194" s="2659"/>
      <c r="AO194" s="2659"/>
      <c r="AP194" s="2659"/>
      <c r="AQ194" s="2659"/>
      <c r="AR194" s="2659"/>
      <c r="AS194" s="2659"/>
      <c r="AT194" s="2659"/>
      <c r="AU194" s="2659"/>
      <c r="AV194" s="2659"/>
      <c r="AW194" s="2659"/>
      <c r="AX194" s="2659"/>
      <c r="AY194" s="2659"/>
      <c r="AZ194" s="2659"/>
      <c r="BA194" s="2659"/>
      <c r="BB194" s="2659"/>
      <c r="BC194" s="2659"/>
      <c r="BD194" s="2659"/>
      <c r="BE194" s="2659"/>
      <c r="BF194" s="2659"/>
      <c r="BG194" s="2659"/>
      <c r="BH194" s="2659"/>
      <c r="BI194" s="2659"/>
      <c r="BJ194" s="2659"/>
      <c r="BK194" s="2659"/>
      <c r="BL194" s="2659"/>
      <c r="BM194" s="2659"/>
      <c r="BN194" s="2659"/>
      <c r="BO194" s="2659"/>
      <c r="BP194" s="2659"/>
      <c r="BQ194" s="2659"/>
      <c r="BR194" s="2659"/>
      <c r="BS194" s="2659"/>
      <c r="BT194" s="2659"/>
      <c r="BU194" s="2659"/>
      <c r="BV194" s="2659"/>
      <c r="BW194" s="2659"/>
      <c r="BX194" s="2659"/>
      <c r="BY194" s="2659"/>
      <c r="BZ194" s="2659"/>
      <c r="CA194" s="2659"/>
      <c r="CB194" s="2659"/>
      <c r="CC194" s="2659"/>
      <c r="CD194" s="2659"/>
      <c r="CE194" s="2659"/>
      <c r="CF194" s="2659"/>
      <c r="CG194" s="2659"/>
      <c r="CH194" s="2659"/>
      <c r="CI194" s="2659"/>
      <c r="CJ194" s="2659"/>
      <c r="CK194" s="2659"/>
      <c r="CL194" s="2659"/>
      <c r="CM194" s="2659"/>
      <c r="CN194" s="2659"/>
      <c r="CO194" s="2659"/>
      <c r="CP194" s="2659"/>
      <c r="CQ194" s="2659"/>
      <c r="CR194" s="2659"/>
      <c r="CS194" s="2659"/>
      <c r="CT194" s="2659"/>
      <c r="CU194" s="2659"/>
      <c r="CV194" s="2659"/>
      <c r="CW194" s="2659"/>
      <c r="CX194" s="2659"/>
      <c r="CY194" s="2659"/>
      <c r="CZ194" s="2659"/>
      <c r="DA194" s="2659"/>
      <c r="DB194" s="2659"/>
      <c r="DC194" s="2659"/>
      <c r="DD194" s="2659"/>
      <c r="DE194" s="2659"/>
      <c r="DF194" s="2659"/>
      <c r="DG194" s="2659"/>
      <c r="DH194" s="2659"/>
      <c r="DI194" s="2659"/>
      <c r="DJ194" s="2659"/>
      <c r="DK194" s="2659"/>
      <c r="DL194" s="2659"/>
      <c r="DM194" s="2659"/>
      <c r="DN194" s="2659"/>
      <c r="DO194" s="2659"/>
      <c r="DP194" s="2659"/>
      <c r="DQ194" s="2659"/>
      <c r="DR194" s="2659"/>
      <c r="DS194" s="2659"/>
      <c r="DT194" s="2659"/>
      <c r="DU194" s="2659"/>
      <c r="DV194" s="2659"/>
      <c r="DW194" s="2659"/>
      <c r="DX194" s="2659"/>
      <c r="DY194" s="2659"/>
      <c r="DZ194" s="2659"/>
      <c r="EA194" s="2659"/>
      <c r="EB194" s="2659"/>
      <c r="EC194" s="2659"/>
      <c r="ED194" s="2659"/>
      <c r="EE194" s="2659"/>
      <c r="EF194" s="2659"/>
      <c r="EG194" s="2659"/>
      <c r="EH194" s="2659"/>
      <c r="EI194" s="2659"/>
      <c r="EJ194" s="2659"/>
      <c r="EK194" s="2659"/>
      <c r="EL194" s="2659"/>
      <c r="EM194" s="2659"/>
      <c r="EN194" s="2659"/>
      <c r="EO194" s="2659"/>
      <c r="EP194" s="2659"/>
      <c r="EQ194" s="2659"/>
      <c r="ER194" s="2659"/>
      <c r="ES194" s="2659"/>
      <c r="ET194" s="2659"/>
      <c r="EU194" s="2659"/>
      <c r="EV194" s="2659"/>
      <c r="EW194" s="2659"/>
      <c r="EX194" s="2659"/>
      <c r="EY194" s="2659"/>
      <c r="EZ194" s="2659"/>
      <c r="FA194" s="2659"/>
      <c r="FB194" s="2659"/>
      <c r="FC194" s="2659"/>
      <c r="FD194" s="2659"/>
      <c r="FE194" s="2659"/>
    </row>
    <row r="195" spans="1:161" outlineLevel="2">
      <c r="B195" t="s">
        <v>506</v>
      </c>
      <c r="C195" t="s">
        <v>507</v>
      </c>
      <c r="F195" s="2659"/>
      <c r="G195" s="2659"/>
      <c r="H195" s="2659"/>
      <c r="I195" s="2659"/>
      <c r="J195" s="2659"/>
      <c r="K195" s="2659"/>
      <c r="L195" s="2659"/>
      <c r="M195" s="2659"/>
      <c r="N195" s="2659"/>
      <c r="O195" s="2659"/>
      <c r="P195" s="2659"/>
      <c r="Q195" s="2659"/>
      <c r="R195" s="2659"/>
      <c r="S195" s="2659"/>
      <c r="T195" s="2659"/>
      <c r="U195" s="2659"/>
      <c r="V195" s="2659"/>
      <c r="W195" s="2659"/>
      <c r="X195" s="2659"/>
      <c r="Y195" s="2659"/>
      <c r="Z195" s="2659"/>
      <c r="AA195" s="2659"/>
      <c r="AB195" s="2659"/>
      <c r="AC195" s="2659"/>
      <c r="AD195" s="2659"/>
      <c r="AE195" s="2659"/>
      <c r="AF195" s="2659"/>
      <c r="AG195" s="2659"/>
      <c r="AH195" s="2659"/>
      <c r="AI195" s="2659"/>
      <c r="AJ195" s="2659"/>
      <c r="AK195" s="2659"/>
      <c r="AL195" s="2659"/>
      <c r="AM195" s="2659"/>
      <c r="AN195" s="2659"/>
      <c r="AO195" s="2659"/>
      <c r="AP195" s="2659"/>
      <c r="AQ195" s="2659"/>
      <c r="AR195" s="2659"/>
      <c r="AS195" s="2659"/>
      <c r="AT195" s="2659"/>
      <c r="AU195" s="2659"/>
      <c r="AV195" s="2659"/>
      <c r="AW195" s="2659"/>
      <c r="AX195" s="2659"/>
      <c r="AY195" s="2659"/>
      <c r="AZ195" s="2659"/>
      <c r="BA195" s="2659"/>
      <c r="BB195" s="2659"/>
      <c r="BC195" s="2659"/>
      <c r="BD195" s="2659"/>
      <c r="BE195" s="2659"/>
      <c r="BF195" s="2659"/>
      <c r="BG195" s="2659"/>
      <c r="BH195" s="2659"/>
      <c r="BI195" s="2659"/>
      <c r="BJ195" s="2659"/>
      <c r="BK195" s="2659"/>
      <c r="BL195" s="2659"/>
      <c r="BM195" s="2659"/>
      <c r="BN195" s="2659"/>
      <c r="BO195" s="2659"/>
      <c r="BP195" s="2659"/>
      <c r="BQ195" s="2659"/>
      <c r="BR195" s="2659"/>
      <c r="BS195" s="2659"/>
      <c r="BT195" s="2659"/>
      <c r="BU195" s="2659"/>
      <c r="BV195" s="2659"/>
      <c r="BW195" s="2659"/>
      <c r="BX195" s="2659"/>
      <c r="BY195" s="2659"/>
      <c r="BZ195" s="2659"/>
      <c r="CA195" s="2659"/>
      <c r="CB195" s="2659"/>
      <c r="CC195" s="2659"/>
      <c r="CD195" s="2659"/>
      <c r="CE195" s="2659"/>
      <c r="CF195" s="2659"/>
      <c r="CG195" s="2659"/>
      <c r="CH195" s="2659"/>
      <c r="CI195" s="2659"/>
      <c r="CJ195" s="2659"/>
      <c r="CK195" s="2659"/>
      <c r="CL195" s="2659"/>
      <c r="CM195" s="2659"/>
      <c r="CN195" s="2659"/>
      <c r="CO195" s="2659"/>
      <c r="CP195" s="2659"/>
      <c r="CQ195" s="2659"/>
      <c r="CR195" s="2659"/>
      <c r="CS195" s="2659"/>
      <c r="CT195" s="2659"/>
      <c r="CU195" s="2659"/>
      <c r="CV195" s="2659"/>
      <c r="CW195" s="2659"/>
      <c r="CX195" s="2659"/>
      <c r="CY195" s="2659"/>
      <c r="CZ195" s="2659"/>
      <c r="DA195" s="2659"/>
      <c r="DB195" s="2659"/>
      <c r="DC195" s="2659"/>
      <c r="DD195" s="2659"/>
      <c r="DE195" s="2659"/>
      <c r="DF195" s="2659"/>
      <c r="DG195" s="2659"/>
      <c r="DH195" s="2659"/>
      <c r="DI195" s="2659"/>
      <c r="DJ195" s="2659"/>
      <c r="DK195" s="2659"/>
      <c r="DL195" s="2659"/>
      <c r="DM195" s="2659"/>
      <c r="DN195" s="2659"/>
      <c r="DO195" s="2659"/>
      <c r="DP195" s="2659"/>
      <c r="DQ195" s="2659"/>
      <c r="DR195" s="2659"/>
      <c r="DS195" s="2659"/>
      <c r="DT195" s="2659"/>
      <c r="DU195" s="2659"/>
      <c r="DV195" s="2659"/>
      <c r="DW195" s="2659"/>
      <c r="DX195" s="2659"/>
      <c r="DY195" s="2659"/>
      <c r="DZ195" s="2659"/>
      <c r="EA195" s="2659"/>
      <c r="EB195" s="2659"/>
      <c r="EC195" s="2659"/>
      <c r="ED195" s="2659"/>
      <c r="EE195" s="2659"/>
      <c r="EF195" s="2659"/>
      <c r="EG195" s="2659"/>
      <c r="EH195" s="2659"/>
      <c r="EI195" s="2659"/>
      <c r="EJ195" s="2659"/>
      <c r="EK195" s="2659"/>
      <c r="EL195" s="2659"/>
      <c r="EM195" s="2659"/>
      <c r="EN195" s="2659"/>
      <c r="EO195" s="2659"/>
      <c r="EP195" s="2659"/>
      <c r="EQ195" s="2659"/>
      <c r="ER195" s="2659"/>
      <c r="ES195" s="2659"/>
      <c r="ET195" s="2659"/>
      <c r="EU195" s="2659"/>
      <c r="EV195" s="2659"/>
      <c r="EW195" s="2659"/>
      <c r="EX195" s="2659"/>
      <c r="EY195" s="2659"/>
      <c r="EZ195" s="2659"/>
      <c r="FA195" s="2659"/>
      <c r="FB195" s="2659"/>
      <c r="FC195" s="2659"/>
      <c r="FD195" s="2659"/>
      <c r="FE195" s="2659"/>
    </row>
    <row r="196" spans="1:161" outlineLevel="2">
      <c r="B196" t="s">
        <v>508</v>
      </c>
      <c r="C196" t="s">
        <v>509</v>
      </c>
      <c r="F196" s="2659"/>
      <c r="G196" s="2659"/>
      <c r="H196" s="2659"/>
      <c r="I196" s="2659"/>
      <c r="J196" s="2659"/>
      <c r="K196" s="2659"/>
      <c r="L196" s="2659"/>
      <c r="M196" s="2659"/>
      <c r="N196" s="2659"/>
      <c r="O196" s="2659"/>
      <c r="P196" s="2659"/>
      <c r="Q196" s="2659"/>
      <c r="R196" s="2659"/>
      <c r="S196" s="2659"/>
      <c r="T196" s="2659"/>
      <c r="U196" s="2659"/>
      <c r="V196" s="2659"/>
      <c r="W196" s="2659"/>
      <c r="X196" s="2659"/>
      <c r="Y196" s="2659"/>
      <c r="Z196" s="2659"/>
      <c r="AA196" s="2659"/>
      <c r="AB196" s="2659"/>
      <c r="AC196" s="2659"/>
      <c r="AD196" s="2659"/>
      <c r="AE196" s="2659"/>
      <c r="AF196" s="2659"/>
      <c r="AG196" s="2659"/>
      <c r="AH196" s="2659"/>
      <c r="AI196" s="2659"/>
      <c r="AJ196" s="2659"/>
      <c r="AK196" s="2659"/>
      <c r="AL196" s="2659"/>
      <c r="AM196" s="2659"/>
      <c r="AN196" s="2659"/>
      <c r="AO196" s="2659"/>
      <c r="AP196" s="2659"/>
      <c r="AQ196" s="2659"/>
      <c r="AR196" s="2659"/>
      <c r="AS196" s="2659"/>
      <c r="AT196" s="2659"/>
      <c r="AU196" s="2659"/>
      <c r="AV196" s="2659"/>
      <c r="AW196" s="2659"/>
      <c r="AX196" s="2659"/>
      <c r="AY196" s="2659"/>
      <c r="AZ196" s="2659"/>
      <c r="BA196" s="2659"/>
      <c r="BB196" s="2659"/>
      <c r="BC196" s="2659"/>
      <c r="BD196" s="2659"/>
      <c r="BE196" s="2659"/>
      <c r="BF196" s="2659"/>
      <c r="BG196" s="2659"/>
      <c r="BH196" s="2659"/>
      <c r="BI196" s="2659"/>
      <c r="BJ196" s="2659"/>
      <c r="BK196" s="2659"/>
      <c r="BL196" s="2659"/>
      <c r="BM196" s="2659"/>
      <c r="BN196" s="2659"/>
      <c r="BO196" s="2659"/>
      <c r="BP196" s="2659"/>
      <c r="BQ196" s="2659"/>
      <c r="BR196" s="2659"/>
      <c r="BS196" s="2659"/>
      <c r="BT196" s="2659"/>
      <c r="BU196" s="2659"/>
      <c r="BV196" s="2659"/>
      <c r="BW196" s="2659"/>
      <c r="BX196" s="2659"/>
      <c r="BY196" s="2659"/>
      <c r="BZ196" s="2659"/>
      <c r="CA196" s="2659"/>
      <c r="CB196" s="2659"/>
      <c r="CC196" s="2659"/>
      <c r="CD196" s="2659"/>
      <c r="CE196" s="2659"/>
      <c r="CF196" s="2659"/>
      <c r="CG196" s="2659"/>
      <c r="CH196" s="2659"/>
      <c r="CI196" s="2659"/>
      <c r="CJ196" s="2659"/>
      <c r="CK196" s="2659"/>
      <c r="CL196" s="2659"/>
      <c r="CM196" s="2659"/>
      <c r="CN196" s="2659"/>
      <c r="CO196" s="2659"/>
      <c r="CP196" s="2659"/>
      <c r="CQ196" s="2659"/>
      <c r="CR196" s="2659"/>
      <c r="CS196" s="2659"/>
      <c r="CT196" s="2659"/>
      <c r="CU196" s="2659"/>
      <c r="CV196" s="2659"/>
      <c r="CW196" s="2659"/>
      <c r="CX196" s="2659"/>
      <c r="CY196" s="2659"/>
      <c r="CZ196" s="2659"/>
      <c r="DA196" s="2659"/>
      <c r="DB196" s="2659"/>
      <c r="DC196" s="2659"/>
      <c r="DD196" s="2659"/>
      <c r="DE196" s="2659"/>
      <c r="DF196" s="2659"/>
      <c r="DG196" s="2659"/>
      <c r="DH196" s="2659"/>
      <c r="DI196" s="2659"/>
      <c r="DJ196" s="2659"/>
      <c r="DK196" s="2659"/>
      <c r="DL196" s="2659"/>
      <c r="DM196" s="2659"/>
      <c r="DN196" s="2659"/>
      <c r="DO196" s="2659"/>
      <c r="DP196" s="2659"/>
      <c r="DQ196" s="2659"/>
      <c r="DR196" s="2659"/>
      <c r="DS196" s="2659"/>
      <c r="DT196" s="2659"/>
      <c r="DU196" s="2659"/>
      <c r="DV196" s="2659"/>
      <c r="DW196" s="2659"/>
      <c r="DX196" s="2659"/>
      <c r="DY196" s="2659"/>
      <c r="DZ196" s="2659"/>
      <c r="EA196" s="2659"/>
      <c r="EB196" s="2659"/>
      <c r="EC196" s="2659"/>
      <c r="ED196" s="2659"/>
      <c r="EE196" s="2659"/>
      <c r="EF196" s="2659"/>
      <c r="EG196" s="2659"/>
      <c r="EH196" s="2659"/>
      <c r="EI196" s="2659"/>
      <c r="EJ196" s="2659"/>
      <c r="EK196" s="2659"/>
      <c r="EL196" s="2659"/>
      <c r="EM196" s="2659"/>
      <c r="EN196" s="2659"/>
      <c r="EO196" s="2659"/>
      <c r="EP196" s="2659"/>
      <c r="EQ196" s="2659"/>
      <c r="ER196" s="2659"/>
      <c r="ES196" s="2659"/>
      <c r="ET196" s="2659"/>
      <c r="EU196" s="2659"/>
      <c r="EV196" s="2659"/>
      <c r="EW196" s="2659"/>
      <c r="EX196" s="2659"/>
      <c r="EY196" s="2659"/>
      <c r="EZ196" s="2659"/>
      <c r="FA196" s="2659"/>
      <c r="FB196" s="2659"/>
      <c r="FC196" s="2659"/>
      <c r="FD196" s="2659"/>
      <c r="FE196" s="2659"/>
    </row>
    <row r="197" spans="1:161" outlineLevel="2">
      <c r="B197" t="s">
        <v>510</v>
      </c>
      <c r="C197" t="s">
        <v>511</v>
      </c>
      <c r="F197" s="2659"/>
      <c r="G197" s="2659"/>
      <c r="H197" s="2659"/>
      <c r="I197" s="2659"/>
      <c r="J197" s="2659"/>
      <c r="K197" s="2659"/>
      <c r="L197" s="2659"/>
      <c r="M197" s="2659"/>
      <c r="N197" s="2659"/>
      <c r="O197" s="2659"/>
      <c r="P197" s="2659"/>
      <c r="Q197" s="2659"/>
      <c r="R197" s="2659"/>
      <c r="S197" s="2659"/>
      <c r="T197" s="2659"/>
      <c r="U197" s="2659"/>
      <c r="V197" s="2659"/>
      <c r="W197" s="2659"/>
      <c r="X197" s="2659"/>
      <c r="Y197" s="2659"/>
      <c r="Z197" s="2659"/>
      <c r="AA197" s="2659"/>
      <c r="AB197" s="2659"/>
      <c r="AC197" s="2659"/>
      <c r="AD197" s="2659"/>
      <c r="AE197" s="2659"/>
      <c r="AF197" s="2659"/>
      <c r="AG197" s="2659"/>
      <c r="AH197" s="2659"/>
      <c r="AI197" s="2659"/>
      <c r="AJ197" s="2659"/>
      <c r="AK197" s="2659"/>
      <c r="AL197" s="2659"/>
      <c r="AM197" s="2659"/>
      <c r="AN197" s="2659"/>
      <c r="AO197" s="2659"/>
      <c r="AP197" s="2659"/>
      <c r="AQ197" s="2659"/>
      <c r="AR197" s="2659"/>
      <c r="AS197" s="2659"/>
      <c r="AT197" s="2659"/>
      <c r="AU197" s="2659"/>
      <c r="AV197" s="2659"/>
      <c r="AW197" s="2659"/>
      <c r="AX197" s="2659"/>
      <c r="AY197" s="2659"/>
      <c r="AZ197" s="2659"/>
      <c r="BA197" s="2659"/>
      <c r="BB197" s="2659"/>
      <c r="BC197" s="2659"/>
      <c r="BD197" s="2659"/>
      <c r="BE197" s="2659"/>
      <c r="BF197" s="2659"/>
      <c r="BG197" s="2659"/>
      <c r="BH197" s="2659"/>
      <c r="BI197" s="2659"/>
      <c r="BJ197" s="2659"/>
      <c r="BK197" s="2659"/>
      <c r="BL197" s="2659"/>
      <c r="BM197" s="2659"/>
      <c r="BN197" s="2659"/>
      <c r="BO197" s="2659"/>
      <c r="BP197" s="2659"/>
      <c r="BQ197" s="2659"/>
      <c r="BR197" s="2659"/>
      <c r="BS197" s="2659"/>
      <c r="BT197" s="2659"/>
      <c r="BU197" s="2659"/>
      <c r="BV197" s="2659"/>
      <c r="BW197" s="2659"/>
      <c r="BX197" s="2659"/>
      <c r="BY197" s="2659"/>
      <c r="BZ197" s="2659"/>
      <c r="CA197" s="2659"/>
      <c r="CB197" s="2659"/>
      <c r="CC197" s="2659"/>
      <c r="CD197" s="2659"/>
      <c r="CE197" s="2659"/>
      <c r="CF197" s="2659"/>
      <c r="CG197" s="2659"/>
      <c r="CH197" s="2659"/>
      <c r="CI197" s="2659"/>
      <c r="CJ197" s="2659"/>
      <c r="CK197" s="2659"/>
      <c r="CL197" s="2659"/>
      <c r="CM197" s="2659"/>
      <c r="CN197" s="2659"/>
      <c r="CO197" s="2659"/>
      <c r="CP197" s="2659"/>
      <c r="CQ197" s="2659"/>
      <c r="CR197" s="2659"/>
      <c r="CS197" s="2659"/>
      <c r="CT197" s="2659"/>
      <c r="CU197" s="2659"/>
      <c r="CV197" s="2659"/>
      <c r="CW197" s="2659"/>
      <c r="CX197" s="2659"/>
      <c r="CY197" s="2659"/>
      <c r="CZ197" s="2659"/>
      <c r="DA197" s="2659"/>
      <c r="DB197" s="2659"/>
      <c r="DC197" s="2659"/>
      <c r="DD197" s="2659"/>
      <c r="DE197" s="2659"/>
      <c r="DF197" s="2659"/>
      <c r="DG197" s="2659"/>
      <c r="DH197" s="2659"/>
      <c r="DI197" s="2659"/>
      <c r="DJ197" s="2659"/>
      <c r="DK197" s="2659"/>
      <c r="DL197" s="2659"/>
      <c r="DM197" s="2659"/>
      <c r="DN197" s="2659"/>
      <c r="DO197" s="2659"/>
      <c r="DP197" s="2659"/>
      <c r="DQ197" s="2659"/>
      <c r="DR197" s="2659"/>
      <c r="DS197" s="2659"/>
      <c r="DT197" s="2659"/>
      <c r="DU197" s="2659"/>
      <c r="DV197" s="2659"/>
      <c r="DW197" s="2659"/>
      <c r="DX197" s="2659"/>
      <c r="DY197" s="2659"/>
      <c r="DZ197" s="2659"/>
      <c r="EA197" s="2659"/>
      <c r="EB197" s="2659"/>
      <c r="EC197" s="2659"/>
      <c r="ED197" s="2659"/>
      <c r="EE197" s="2659"/>
      <c r="EF197" s="2659"/>
      <c r="EG197" s="2659"/>
      <c r="EH197" s="2659"/>
      <c r="EI197" s="2659"/>
      <c r="EJ197" s="2659"/>
      <c r="EK197" s="2659"/>
      <c r="EL197" s="2659"/>
      <c r="EM197" s="2659"/>
      <c r="EN197" s="2659"/>
      <c r="EO197" s="2659"/>
      <c r="EP197" s="2659"/>
      <c r="EQ197" s="2659"/>
      <c r="ER197" s="2659"/>
      <c r="ES197" s="2659"/>
      <c r="ET197" s="2659"/>
      <c r="EU197" s="2659"/>
      <c r="EV197" s="2659"/>
      <c r="EW197" s="2659"/>
      <c r="EX197" s="2659"/>
      <c r="EY197" s="2659"/>
      <c r="EZ197" s="2659"/>
      <c r="FA197" s="2659"/>
      <c r="FB197" s="2659"/>
      <c r="FC197" s="2659"/>
      <c r="FD197" s="2659"/>
      <c r="FE197" s="2659"/>
    </row>
    <row r="198" spans="1:161" s="539" customFormat="1" outlineLevel="1">
      <c r="A198" s="540" t="s">
        <v>512</v>
      </c>
      <c r="B198" s="540"/>
      <c r="C198" s="540"/>
      <c r="D198" s="540"/>
    </row>
    <row r="199" spans="1:161" outlineLevel="2">
      <c r="B199" t="s">
        <v>513</v>
      </c>
      <c r="C199" t="s">
        <v>514</v>
      </c>
      <c r="F199" s="2659"/>
      <c r="G199" s="2659"/>
      <c r="H199" s="2659"/>
      <c r="I199" s="2659"/>
      <c r="J199" s="2659"/>
      <c r="K199" s="2659"/>
      <c r="L199" s="2659"/>
      <c r="M199" s="2659"/>
      <c r="N199" s="2659"/>
      <c r="O199" s="2659"/>
      <c r="P199" s="2659"/>
      <c r="Q199" s="2659"/>
      <c r="R199" s="2659"/>
      <c r="S199" s="2659"/>
      <c r="T199" s="2659"/>
      <c r="U199" s="2659"/>
      <c r="V199" s="2659"/>
      <c r="W199" s="2659"/>
      <c r="X199" s="2659"/>
      <c r="Y199" s="2659"/>
      <c r="Z199" s="2659"/>
      <c r="AA199" s="2659"/>
      <c r="AB199" s="2659"/>
      <c r="AC199" s="2659"/>
      <c r="AD199" s="2659"/>
      <c r="AE199" s="2659"/>
      <c r="AF199" s="2659"/>
      <c r="AG199" s="2659"/>
      <c r="AH199" s="2659"/>
      <c r="AI199" s="2659"/>
      <c r="AJ199" s="2659"/>
      <c r="AK199" s="2659"/>
      <c r="AL199" s="2659"/>
      <c r="AM199" s="2659"/>
      <c r="AN199" s="2659"/>
      <c r="AO199" s="2659"/>
      <c r="AP199" s="2659"/>
      <c r="AQ199" s="2659"/>
      <c r="AR199" s="2659"/>
      <c r="AS199" s="2659"/>
      <c r="AT199" s="2659"/>
      <c r="AU199" s="2659"/>
      <c r="AV199" s="2659"/>
      <c r="AW199" s="2659"/>
      <c r="AX199" s="2659"/>
      <c r="AY199" s="2659"/>
      <c r="AZ199" s="2659"/>
      <c r="BA199" s="2659"/>
      <c r="BB199" s="2659"/>
      <c r="BC199" s="2659"/>
      <c r="BD199" s="2659"/>
      <c r="BE199" s="2659"/>
      <c r="BF199" s="2659"/>
      <c r="BG199" s="2659"/>
      <c r="BH199" s="2659"/>
      <c r="BI199" s="2659"/>
      <c r="BJ199" s="2659"/>
      <c r="BK199" s="2659"/>
      <c r="BL199" s="2659"/>
      <c r="BM199" s="2659"/>
      <c r="BN199" s="2659"/>
      <c r="BO199" s="2659"/>
      <c r="BP199" s="2659"/>
      <c r="BQ199" s="2659"/>
      <c r="BR199" s="2659"/>
      <c r="BS199" s="2659"/>
      <c r="BT199" s="2659"/>
      <c r="BU199" s="2659"/>
      <c r="BV199" s="2659"/>
      <c r="BW199" s="2659"/>
      <c r="BX199" s="2659"/>
      <c r="BY199" s="2659"/>
      <c r="BZ199" s="2659"/>
      <c r="CA199" s="2659"/>
      <c r="CB199" s="2659"/>
      <c r="CC199" s="2659"/>
      <c r="CD199" s="2659"/>
      <c r="CE199" s="2659"/>
      <c r="CF199" s="2659"/>
      <c r="CG199" s="2659"/>
      <c r="CH199" s="2659"/>
      <c r="CI199" s="2659"/>
      <c r="CJ199" s="2659"/>
      <c r="CK199" s="2659"/>
      <c r="CL199" s="2659"/>
      <c r="CM199" s="2659"/>
      <c r="CN199" s="2659"/>
      <c r="CO199" s="2659"/>
      <c r="CP199" s="2659"/>
      <c r="CQ199" s="2659"/>
      <c r="CR199" s="2659"/>
      <c r="CS199" s="2659"/>
      <c r="CT199" s="2659"/>
      <c r="CU199" s="2659"/>
      <c r="CV199" s="2659"/>
      <c r="CW199" s="2659"/>
      <c r="CX199" s="2659"/>
      <c r="CY199" s="2659"/>
      <c r="CZ199" s="2659"/>
      <c r="DA199" s="2659"/>
      <c r="DB199" s="2659"/>
      <c r="DC199" s="2659"/>
      <c r="DD199" s="2659"/>
      <c r="DE199" s="2659"/>
      <c r="DF199" s="2659"/>
      <c r="DG199" s="2659"/>
      <c r="DH199" s="2659"/>
      <c r="DI199" s="2659"/>
      <c r="DJ199" s="2659"/>
      <c r="DK199" s="2659"/>
      <c r="DL199" s="2659"/>
      <c r="DM199" s="2659"/>
      <c r="DN199" s="2659"/>
      <c r="DO199" s="2659"/>
      <c r="DP199" s="2659"/>
      <c r="DQ199" s="2659"/>
      <c r="DR199" s="2659"/>
      <c r="DS199" s="2659"/>
      <c r="DT199" s="2659"/>
      <c r="DU199" s="2659"/>
      <c r="DV199" s="2659"/>
      <c r="DW199" s="2659"/>
      <c r="DX199" s="2659"/>
      <c r="DY199" s="2659"/>
      <c r="DZ199" s="2659"/>
      <c r="EA199" s="2659"/>
      <c r="EB199" s="2659"/>
      <c r="EC199" s="2659"/>
      <c r="ED199" s="2659"/>
      <c r="EE199" s="2659"/>
      <c r="EF199" s="2659"/>
      <c r="EG199" s="2659"/>
      <c r="EH199" s="2659"/>
      <c r="EI199" s="2659"/>
      <c r="EJ199" s="2659"/>
      <c r="EK199" s="2659"/>
      <c r="EL199" s="2659"/>
      <c r="EM199" s="2659"/>
      <c r="EN199" s="2659"/>
      <c r="EO199" s="2659"/>
      <c r="EP199" s="2659"/>
      <c r="EQ199" s="2659"/>
      <c r="ER199" s="2659"/>
      <c r="ES199" s="2659"/>
      <c r="ET199" s="2659"/>
      <c r="EU199" s="2659"/>
      <c r="EV199" s="2659"/>
      <c r="EW199" s="2659"/>
      <c r="EX199" s="2659"/>
      <c r="EY199" s="2659"/>
      <c r="EZ199" s="2659"/>
      <c r="FA199" s="2659"/>
      <c r="FB199" s="2659"/>
      <c r="FC199" s="2659"/>
      <c r="FD199" s="2659"/>
      <c r="FE199" s="2659"/>
    </row>
    <row r="200" spans="1:161" outlineLevel="2">
      <c r="B200" t="s">
        <v>515</v>
      </c>
      <c r="C200" t="s">
        <v>516</v>
      </c>
      <c r="F200" s="2659"/>
      <c r="G200" s="2659"/>
      <c r="H200" s="2659"/>
      <c r="I200" s="2659"/>
      <c r="J200" s="2659"/>
      <c r="K200" s="2659"/>
      <c r="L200" s="2659"/>
      <c r="M200" s="2659"/>
      <c r="N200" s="2659"/>
      <c r="O200" s="2659"/>
      <c r="P200" s="2659"/>
      <c r="Q200" s="2659"/>
      <c r="R200" s="2659">
        <f>Geo!ED81</f>
      </c>
      <c r="S200" s="2659">
        <f>Geo!EE81</f>
      </c>
      <c r="T200" s="2659">
        <f>Geo!EF81</f>
      </c>
      <c r="U200" s="2659">
        <f>Geo!EG81</f>
      </c>
      <c r="V200" s="2659">
        <f>Geo!EH81</f>
      </c>
      <c r="W200" s="2659">
        <f>Geo!EI81</f>
      </c>
      <c r="X200" s="2659">
        <f>W200</f>
      </c>
      <c r="Y200" s="2659"/>
      <c r="Z200" s="2659"/>
      <c r="AA200" s="2659"/>
      <c r="AB200" s="2659"/>
      <c r="AC200" s="2659"/>
      <c r="AD200" s="2659"/>
      <c r="AE200" s="2659"/>
      <c r="AF200" s="2659"/>
      <c r="AG200" s="2659"/>
      <c r="AH200" s="2659"/>
      <c r="AI200" s="2659"/>
      <c r="AJ200" s="2659"/>
      <c r="AK200" s="2659"/>
      <c r="AL200" s="2659"/>
      <c r="AM200" s="2659"/>
      <c r="AN200" s="2659"/>
      <c r="AO200" s="2659"/>
      <c r="AP200" s="2659"/>
      <c r="AQ200" s="2659"/>
      <c r="AR200" s="2659"/>
      <c r="AS200" s="2659"/>
      <c r="AT200" s="2659"/>
      <c r="AU200" s="2659"/>
      <c r="AV200" s="2659"/>
      <c r="AW200" s="2659"/>
      <c r="AX200" s="2659"/>
      <c r="AY200" s="2659"/>
      <c r="AZ200" s="2659"/>
      <c r="BA200" s="2659"/>
      <c r="BB200" s="2659"/>
      <c r="BC200" s="2659"/>
      <c r="BD200" s="2659"/>
      <c r="BE200" s="2659"/>
      <c r="BF200" s="2659"/>
      <c r="BG200" s="2659"/>
      <c r="BH200" s="2659"/>
      <c r="BI200" s="2659"/>
      <c r="BJ200" s="2659"/>
      <c r="BK200" s="2659"/>
      <c r="BL200" s="2659"/>
      <c r="BM200" s="2659"/>
      <c r="BN200" s="2659"/>
      <c r="BO200" s="2659"/>
      <c r="BP200" s="2659"/>
      <c r="BQ200" s="2659"/>
      <c r="BR200" s="2659"/>
      <c r="BS200" s="2659"/>
      <c r="BT200" s="2659"/>
      <c r="BU200" s="2659"/>
      <c r="BV200" s="2659"/>
      <c r="BW200" s="2659"/>
      <c r="BX200" s="2659"/>
      <c r="BY200" s="2659"/>
      <c r="BZ200" s="2659"/>
      <c r="CA200" s="2659"/>
      <c r="CB200" s="2659"/>
      <c r="CC200" s="2659"/>
      <c r="CD200" s="2659"/>
      <c r="CE200" s="2659"/>
      <c r="CF200" s="2659"/>
      <c r="CG200" s="2659"/>
      <c r="CH200" s="2659">
        <f>Geo!AT81</f>
      </c>
      <c r="CI200" s="2659">
        <f>Geo!AU81</f>
      </c>
      <c r="CJ200" s="2659">
        <f>Geo!AV81</f>
      </c>
      <c r="CK200" s="2659">
        <f>Geo!AW81</f>
      </c>
      <c r="CL200" s="2659">
        <f>Geo!AX81</f>
      </c>
      <c r="CM200" s="2659">
        <f>Geo!AY81</f>
      </c>
      <c r="CN200" s="2659">
        <f>Geo!AZ81</f>
      </c>
      <c r="CO200" s="2659">
        <f>Geo!BA81</f>
      </c>
      <c r="CP200" s="2659">
        <f>Geo!BB81</f>
      </c>
      <c r="CQ200" s="2659">
        <f>Geo!BC81</f>
      </c>
      <c r="CR200" s="2659">
        <f>Geo!BD81</f>
      </c>
      <c r="CS200" s="2659">
        <f>Geo!BE81</f>
      </c>
      <c r="CT200" s="2659">
        <f>Geo!BF81</f>
      </c>
      <c r="CU200" s="2659">
        <f>Geo!BG81</f>
      </c>
      <c r="CV200" s="2659"/>
      <c r="CW200" s="2659"/>
      <c r="CX200" s="2659"/>
      <c r="CY200" s="2659"/>
      <c r="CZ200" s="2659"/>
      <c r="DA200" s="2659"/>
      <c r="DB200" s="2659"/>
      <c r="DC200" s="2659"/>
      <c r="DD200" s="2659"/>
      <c r="DE200" s="2659"/>
      <c r="DF200" s="2659"/>
      <c r="DG200" s="2659"/>
      <c r="DH200" s="2659"/>
      <c r="DI200" s="2659"/>
      <c r="DJ200" s="2659"/>
      <c r="DK200" s="2659"/>
      <c r="DL200" s="2659"/>
      <c r="DM200" s="2659"/>
      <c r="DN200" s="2659"/>
      <c r="DO200" s="2659"/>
      <c r="DP200" s="2659"/>
      <c r="DQ200" s="2659"/>
      <c r="DR200" s="2659"/>
      <c r="DS200" s="2659"/>
      <c r="DT200" s="2659"/>
      <c r="DU200" s="2659"/>
      <c r="DV200" s="2659"/>
      <c r="DW200" s="2659"/>
      <c r="DX200" s="2659"/>
      <c r="DY200" s="2659"/>
      <c r="DZ200" s="2659"/>
      <c r="EA200" s="2659"/>
      <c r="EB200" s="2659"/>
      <c r="EC200" s="2659"/>
      <c r="ED200" s="2659"/>
      <c r="EE200" s="2659"/>
      <c r="EF200" s="2659"/>
      <c r="EG200" s="2659"/>
      <c r="EH200" s="2659"/>
      <c r="EI200" s="2659"/>
      <c r="EJ200" s="2659"/>
      <c r="EK200" s="2659"/>
      <c r="EL200" s="2659"/>
      <c r="EM200" s="2659"/>
      <c r="EN200" s="2659"/>
      <c r="EO200" s="2659"/>
      <c r="EP200" s="2659"/>
      <c r="EQ200" s="2659"/>
      <c r="ER200" s="2659"/>
      <c r="ES200" s="2659"/>
      <c r="ET200" s="2659"/>
      <c r="EU200" s="2659"/>
      <c r="EV200" s="2659"/>
      <c r="EW200" s="2659"/>
      <c r="EX200" s="2659"/>
      <c r="EY200" s="2659"/>
      <c r="EZ200" s="2659"/>
      <c r="FA200" s="2659"/>
      <c r="FB200" s="2659"/>
      <c r="FC200" s="2659"/>
      <c r="FD200" s="2659"/>
      <c r="FE200" s="2659"/>
    </row>
    <row r="201" spans="1:161" outlineLevel="2">
      <c r="B201" t="s">
        <v>517</v>
      </c>
      <c r="C201" t="s">
        <v>518</v>
      </c>
      <c r="F201" s="2659"/>
      <c r="G201" s="2659"/>
      <c r="H201" s="2659"/>
      <c r="I201" s="2659"/>
      <c r="J201" s="2659"/>
      <c r="K201" s="2659"/>
      <c r="L201" s="2659"/>
      <c r="M201" s="2659"/>
      <c r="N201" s="2659"/>
      <c r="O201" s="2659"/>
      <c r="P201" s="2659"/>
      <c r="Q201" s="2659"/>
      <c r="R201" s="2659"/>
      <c r="S201" s="2659"/>
      <c r="T201" s="2659"/>
      <c r="U201" s="2659"/>
      <c r="V201" s="2659"/>
      <c r="W201" s="2659"/>
      <c r="X201" s="2659"/>
      <c r="Y201" s="2659"/>
      <c r="Z201" s="2659"/>
      <c r="AA201" s="2659"/>
      <c r="AB201" s="2659"/>
      <c r="AC201" s="2659"/>
      <c r="AD201" s="2659"/>
      <c r="AE201" s="2659"/>
      <c r="AF201" s="2659"/>
      <c r="AG201" s="2659"/>
      <c r="AH201" s="2659"/>
      <c r="AI201" s="2659"/>
      <c r="AJ201" s="2659"/>
      <c r="AK201" s="2659"/>
      <c r="AL201" s="2659"/>
      <c r="AM201" s="2659"/>
      <c r="AN201" s="2659"/>
      <c r="AO201" s="2659"/>
      <c r="AP201" s="2659"/>
      <c r="AQ201" s="2659"/>
      <c r="AR201" s="2659"/>
      <c r="AS201" s="2659"/>
      <c r="AT201" s="2659"/>
      <c r="AU201" s="2659"/>
      <c r="AV201" s="2659"/>
      <c r="AW201" s="2659"/>
      <c r="AX201" s="2659"/>
      <c r="AY201" s="2659"/>
      <c r="AZ201" s="2659"/>
      <c r="BA201" s="2659"/>
      <c r="BB201" s="2659"/>
      <c r="BC201" s="2659"/>
      <c r="BD201" s="2659"/>
      <c r="BE201" s="2659"/>
      <c r="BF201" s="2659"/>
      <c r="BG201" s="2659"/>
      <c r="BH201" s="2659"/>
      <c r="BI201" s="2659"/>
      <c r="BJ201" s="2659"/>
      <c r="BK201" s="2659"/>
      <c r="BL201" s="2659"/>
      <c r="BM201" s="2659"/>
      <c r="BN201" s="2659"/>
      <c r="BO201" s="2659"/>
      <c r="BP201" s="2659"/>
      <c r="BQ201" s="2659"/>
      <c r="BR201" s="2659"/>
      <c r="BS201" s="2659"/>
      <c r="BT201" s="2659"/>
      <c r="BU201" s="2659"/>
      <c r="BV201" s="2659"/>
      <c r="BW201" s="2659"/>
      <c r="BX201" s="2659"/>
      <c r="BY201" s="2659"/>
      <c r="BZ201" s="2659"/>
      <c r="CA201" s="2659"/>
      <c r="CB201" s="2659"/>
      <c r="CC201" s="2659"/>
      <c r="CD201" s="2659"/>
      <c r="CE201" s="2659"/>
      <c r="CF201" s="2659"/>
      <c r="CG201" s="2659"/>
      <c r="CH201" s="2659"/>
      <c r="CI201" s="2659"/>
      <c r="CJ201" s="2659"/>
      <c r="CK201" s="2659"/>
      <c r="CL201" s="2659"/>
      <c r="CM201" s="2659"/>
      <c r="CN201" s="2659"/>
      <c r="CO201" s="2659"/>
      <c r="CP201" s="2659"/>
      <c r="CQ201" s="2659"/>
      <c r="CR201" s="2659"/>
      <c r="CS201" s="2659"/>
      <c r="CT201" s="2659"/>
      <c r="CU201" s="2659"/>
      <c r="CV201" s="2659"/>
      <c r="CW201" s="2659"/>
      <c r="CX201" s="2659"/>
      <c r="CY201" s="2659"/>
      <c r="CZ201" s="2659"/>
      <c r="DA201" s="2659"/>
      <c r="DB201" s="2659"/>
      <c r="DC201" s="2659"/>
      <c r="DD201" s="2659"/>
      <c r="DE201" s="2659"/>
      <c r="DF201" s="2659"/>
      <c r="DG201" s="2659"/>
      <c r="DH201" s="2659"/>
      <c r="DI201" s="2659"/>
      <c r="DJ201" s="2659"/>
      <c r="DK201" s="2659"/>
      <c r="DL201" s="2659"/>
      <c r="DM201" s="2659"/>
      <c r="DN201" s="2659"/>
      <c r="DO201" s="2659"/>
      <c r="DP201" s="2659"/>
      <c r="DQ201" s="2659"/>
      <c r="DR201" s="2659"/>
      <c r="DS201" s="2659"/>
      <c r="DT201" s="2659"/>
      <c r="DU201" s="2659"/>
      <c r="DV201" s="2659"/>
      <c r="DW201" s="2659"/>
      <c r="DX201" s="2659"/>
      <c r="DY201" s="2659"/>
      <c r="DZ201" s="2659"/>
      <c r="EA201" s="2659"/>
      <c r="EB201" s="2659"/>
      <c r="EC201" s="2659"/>
      <c r="ED201" s="2659"/>
      <c r="EE201" s="2659"/>
      <c r="EF201" s="2659"/>
      <c r="EG201" s="2659"/>
      <c r="EH201" s="2659"/>
      <c r="EI201" s="2659"/>
      <c r="EJ201" s="2659"/>
      <c r="EK201" s="2659"/>
      <c r="EL201" s="2659"/>
      <c r="EM201" s="2659"/>
      <c r="EN201" s="2659"/>
      <c r="EO201" s="2659"/>
      <c r="EP201" s="2659"/>
      <c r="EQ201" s="2659"/>
      <c r="ER201" s="2659"/>
      <c r="ES201" s="2659"/>
      <c r="ET201" s="2659"/>
      <c r="EU201" s="2659"/>
      <c r="EV201" s="2659"/>
      <c r="EW201" s="2659"/>
      <c r="EX201" s="2659"/>
      <c r="EY201" s="2659"/>
      <c r="EZ201" s="2659"/>
      <c r="FA201" s="2659"/>
      <c r="FB201" s="2659"/>
      <c r="FC201" s="2659"/>
      <c r="FD201" s="2659"/>
      <c r="FE201" s="2659"/>
    </row>
    <row r="202" spans="1:161" outlineLevel="2">
      <c r="B202" t="s">
        <v>519</v>
      </c>
      <c r="C202" t="s">
        <v>520</v>
      </c>
      <c r="F202" s="2659"/>
      <c r="G202" s="2659"/>
      <c r="H202" s="2659"/>
      <c r="I202" s="2659"/>
      <c r="J202" s="2659"/>
      <c r="K202" s="2659"/>
      <c r="L202" s="2659"/>
      <c r="M202" s="2659"/>
      <c r="N202" s="2659"/>
      <c r="O202" s="2659"/>
      <c r="P202" s="2659"/>
      <c r="Q202" s="2659"/>
      <c r="R202" s="2659">
        <f>Geo!ED80</f>
      </c>
      <c r="S202" s="2659">
        <f>Geo!EE80</f>
      </c>
      <c r="T202" s="2659">
        <f>Geo!EF80</f>
      </c>
      <c r="U202" s="2659">
        <f>Geo!EG80</f>
      </c>
      <c r="V202" s="2659">
        <f>Geo!EH80</f>
      </c>
      <c r="W202" s="2659">
        <f>Geo!EI80</f>
      </c>
      <c r="X202" s="2659">
        <f>W202</f>
      </c>
      <c r="Y202" s="2659"/>
      <c r="Z202" s="2659"/>
      <c r="AA202" s="2659"/>
      <c r="AB202" s="2659"/>
      <c r="AC202" s="2659"/>
      <c r="AD202" s="2659"/>
      <c r="AE202" s="2659"/>
      <c r="AF202" s="2659"/>
      <c r="AG202" s="2659"/>
      <c r="AH202" s="2659"/>
      <c r="AI202" s="2659"/>
      <c r="AJ202" s="2659"/>
      <c r="AK202" s="2659"/>
      <c r="AL202" s="2659"/>
      <c r="AM202" s="2659"/>
      <c r="AN202" s="2659"/>
      <c r="AO202" s="2659"/>
      <c r="AP202" s="2659"/>
      <c r="AQ202" s="2659"/>
      <c r="AR202" s="2659"/>
      <c r="AS202" s="2659"/>
      <c r="AT202" s="2659"/>
      <c r="AU202" s="2659"/>
      <c r="AV202" s="2659"/>
      <c r="AW202" s="2659"/>
      <c r="AX202" s="2659"/>
      <c r="AY202" s="2659"/>
      <c r="AZ202" s="2659"/>
      <c r="BA202" s="2659"/>
      <c r="BB202" s="2659"/>
      <c r="BC202" s="2659"/>
      <c r="BD202" s="2659"/>
      <c r="BE202" s="2659"/>
      <c r="BF202" s="2659"/>
      <c r="BG202" s="2659"/>
      <c r="BH202" s="2659"/>
      <c r="BI202" s="2659"/>
      <c r="BJ202" s="2659"/>
      <c r="BK202" s="2659"/>
      <c r="BL202" s="2659"/>
      <c r="BM202" s="2659"/>
      <c r="BN202" s="2659"/>
      <c r="BO202" s="2659"/>
      <c r="BP202" s="2659"/>
      <c r="BQ202" s="2659"/>
      <c r="BR202" s="2659"/>
      <c r="BS202" s="2659"/>
      <c r="BT202" s="2659"/>
      <c r="BU202" s="2659"/>
      <c r="BV202" s="2659"/>
      <c r="BW202" s="2659"/>
      <c r="BX202" s="2659"/>
      <c r="BY202" s="2659"/>
      <c r="BZ202" s="2659"/>
      <c r="CA202" s="2659"/>
      <c r="CB202" s="2659"/>
      <c r="CC202" s="2659"/>
      <c r="CD202" s="2659"/>
      <c r="CE202" s="2659"/>
      <c r="CF202" s="2659"/>
      <c r="CG202" s="2659"/>
      <c r="CH202" s="2659">
        <f>Geo!AT80</f>
      </c>
      <c r="CI202" s="2659">
        <f>Geo!AU80</f>
      </c>
      <c r="CJ202" s="2659">
        <f>Geo!AV80</f>
      </c>
      <c r="CK202" s="2659">
        <f>Geo!AW80</f>
      </c>
      <c r="CL202" s="2659">
        <f>Geo!AX80</f>
      </c>
      <c r="CM202" s="2659">
        <f>Geo!AY80</f>
      </c>
      <c r="CN202" s="2659">
        <f>Geo!AZ80</f>
      </c>
      <c r="CO202" s="2659">
        <f>Geo!BA80</f>
      </c>
      <c r="CP202" s="2659">
        <f>Geo!BB80</f>
      </c>
      <c r="CQ202" s="2659">
        <f>Geo!BC80</f>
      </c>
      <c r="CR202" s="2659">
        <f>Geo!BD80</f>
      </c>
      <c r="CS202" s="2659">
        <f>Geo!BE80</f>
      </c>
      <c r="CT202" s="2659">
        <f>Geo!BF80</f>
      </c>
      <c r="CU202" s="2659">
        <f>Geo!BG80</f>
      </c>
      <c r="CV202" s="2659"/>
      <c r="CW202" s="2659"/>
      <c r="CX202" s="2659"/>
      <c r="CY202" s="2659"/>
      <c r="CZ202" s="2659"/>
      <c r="DA202" s="2659"/>
      <c r="DB202" s="2659"/>
      <c r="DC202" s="2659"/>
      <c r="DD202" s="2659"/>
      <c r="DE202" s="2659"/>
      <c r="DF202" s="2659"/>
      <c r="DG202" s="2659"/>
      <c r="DH202" s="2659"/>
      <c r="DI202" s="2659"/>
      <c r="DJ202" s="2659"/>
      <c r="DK202" s="2659"/>
      <c r="DL202" s="2659"/>
      <c r="DM202" s="2659"/>
      <c r="DN202" s="2659"/>
      <c r="DO202" s="2659"/>
      <c r="DP202" s="2659"/>
      <c r="DQ202" s="2659"/>
      <c r="DR202" s="2659"/>
      <c r="DS202" s="2659"/>
      <c r="DT202" s="2659"/>
      <c r="DU202" s="2659"/>
      <c r="DV202" s="2659"/>
      <c r="DW202" s="2659"/>
      <c r="DX202" s="2659"/>
      <c r="DY202" s="2659"/>
      <c r="DZ202" s="2659"/>
      <c r="EA202" s="2659"/>
      <c r="EB202" s="2659"/>
      <c r="EC202" s="2659"/>
      <c r="ED202" s="2659"/>
      <c r="EE202" s="2659"/>
      <c r="EF202" s="2659"/>
      <c r="EG202" s="2659"/>
      <c r="EH202" s="2659"/>
      <c r="EI202" s="2659"/>
      <c r="EJ202" s="2659"/>
      <c r="EK202" s="2659"/>
      <c r="EL202" s="2659"/>
      <c r="EM202" s="2659"/>
      <c r="EN202" s="2659"/>
      <c r="EO202" s="2659"/>
      <c r="EP202" s="2659"/>
      <c r="EQ202" s="2659"/>
      <c r="ER202" s="2659"/>
      <c r="ES202" s="2659"/>
      <c r="ET202" s="2659"/>
      <c r="EU202" s="2659"/>
      <c r="EV202" s="2659"/>
      <c r="EW202" s="2659"/>
      <c r="EX202" s="2659"/>
      <c r="EY202" s="2659"/>
      <c r="EZ202" s="2659"/>
      <c r="FA202" s="2659"/>
      <c r="FB202" s="2659"/>
      <c r="FC202" s="2659"/>
      <c r="FD202" s="2659"/>
      <c r="FE202" s="2659"/>
    </row>
    <row r="203" spans="1:161" outlineLevel="2">
      <c r="B203" t="s">
        <v>521</v>
      </c>
      <c r="C203" t="s">
        <v>522</v>
      </c>
      <c r="F203" s="2659"/>
      <c r="G203" s="2659"/>
      <c r="H203" s="2659"/>
      <c r="I203" s="2659"/>
      <c r="J203" s="2659"/>
      <c r="K203" s="2659"/>
      <c r="L203" s="2659"/>
      <c r="M203" s="2659"/>
      <c r="N203" s="2659"/>
      <c r="O203" s="2659"/>
      <c r="P203" s="2659"/>
      <c r="Q203" s="2659"/>
      <c r="R203" s="2659"/>
      <c r="S203" s="2659"/>
      <c r="T203" s="2659"/>
      <c r="U203" s="2659"/>
      <c r="V203" s="2659"/>
      <c r="W203" s="2659"/>
      <c r="X203" s="2659"/>
      <c r="Y203" s="2659"/>
      <c r="Z203" s="2659"/>
      <c r="AA203" s="2659"/>
      <c r="AB203" s="2659"/>
      <c r="AC203" s="2659"/>
      <c r="AD203" s="2659"/>
      <c r="AE203" s="2659"/>
      <c r="AF203" s="2659"/>
      <c r="AG203" s="2659"/>
      <c r="AH203" s="2659"/>
      <c r="AI203" s="2659"/>
      <c r="AJ203" s="2659"/>
      <c r="AK203" s="2659"/>
      <c r="AL203" s="2659"/>
      <c r="AM203" s="2659"/>
      <c r="AN203" s="2659"/>
      <c r="AO203" s="2659"/>
      <c r="AP203" s="2659"/>
      <c r="AQ203" s="2659"/>
      <c r="AR203" s="2659"/>
      <c r="AS203" s="2659"/>
      <c r="AT203" s="2659"/>
      <c r="AU203" s="2659"/>
      <c r="AV203" s="2659"/>
      <c r="AW203" s="2659"/>
      <c r="AX203" s="2659"/>
      <c r="AY203" s="2659"/>
      <c r="AZ203" s="2659"/>
      <c r="BA203" s="2659"/>
      <c r="BB203" s="2659"/>
      <c r="BC203" s="2659"/>
      <c r="BD203" s="2659"/>
      <c r="BE203" s="2659"/>
      <c r="BF203" s="2659"/>
      <c r="BG203" s="2659"/>
      <c r="BH203" s="2659"/>
      <c r="BI203" s="2659"/>
      <c r="BJ203" s="2659"/>
      <c r="BK203" s="2659"/>
      <c r="BL203" s="2659"/>
      <c r="BM203" s="2659"/>
      <c r="BN203" s="2659"/>
      <c r="BO203" s="2659"/>
      <c r="BP203" s="2659"/>
      <c r="BQ203" s="2659"/>
      <c r="BR203" s="2659"/>
      <c r="BS203" s="2659"/>
      <c r="BT203" s="2659"/>
      <c r="BU203" s="2659"/>
      <c r="BV203" s="2659"/>
      <c r="BW203" s="2659"/>
      <c r="BX203" s="2659"/>
      <c r="BY203" s="2659"/>
      <c r="BZ203" s="2659"/>
      <c r="CA203" s="2659"/>
      <c r="CB203" s="2659"/>
      <c r="CC203" s="2659"/>
      <c r="CD203" s="2659"/>
      <c r="CE203" s="2659"/>
      <c r="CF203" s="2659"/>
      <c r="CG203" s="2659"/>
      <c r="CH203" s="2659"/>
      <c r="CI203" s="2659"/>
      <c r="CJ203" s="2659"/>
      <c r="CK203" s="2659"/>
      <c r="CL203" s="2659"/>
      <c r="CM203" s="2659"/>
      <c r="CN203" s="2659"/>
      <c r="CO203" s="2659"/>
      <c r="CP203" s="2659"/>
      <c r="CQ203" s="2659"/>
      <c r="CR203" s="2659"/>
      <c r="CS203" s="2659"/>
      <c r="CT203" s="2659"/>
      <c r="CU203" s="2659"/>
      <c r="CV203" s="2659"/>
      <c r="CW203" s="2659"/>
      <c r="CX203" s="2659"/>
      <c r="CY203" s="2659"/>
      <c r="CZ203" s="2659"/>
      <c r="DA203" s="2659"/>
      <c r="DB203" s="2659"/>
      <c r="DC203" s="2659"/>
      <c r="DD203" s="2659"/>
      <c r="DE203" s="2659"/>
      <c r="DF203" s="2659"/>
      <c r="DG203" s="2659"/>
      <c r="DH203" s="2659"/>
      <c r="DI203" s="2659"/>
      <c r="DJ203" s="2659"/>
      <c r="DK203" s="2659"/>
      <c r="DL203" s="2659"/>
      <c r="DM203" s="2659"/>
      <c r="DN203" s="2659"/>
      <c r="DO203" s="2659"/>
      <c r="DP203" s="2659"/>
      <c r="DQ203" s="2659"/>
      <c r="DR203" s="2659"/>
      <c r="DS203" s="2659"/>
      <c r="DT203" s="2659"/>
      <c r="DU203" s="2659"/>
      <c r="DV203" s="2659"/>
      <c r="DW203" s="2659"/>
      <c r="DX203" s="2659"/>
      <c r="DY203" s="2659"/>
      <c r="DZ203" s="2659"/>
      <c r="EA203" s="2659"/>
      <c r="EB203" s="2659"/>
      <c r="EC203" s="2659"/>
      <c r="ED203" s="2659"/>
      <c r="EE203" s="2659"/>
      <c r="EF203" s="2659"/>
      <c r="EG203" s="2659"/>
      <c r="EH203" s="2659"/>
      <c r="EI203" s="2659"/>
      <c r="EJ203" s="2659"/>
      <c r="EK203" s="2659"/>
      <c r="EL203" s="2659"/>
      <c r="EM203" s="2659"/>
      <c r="EN203" s="2659"/>
      <c r="EO203" s="2659"/>
      <c r="EP203" s="2659"/>
      <c r="EQ203" s="2659"/>
      <c r="ER203" s="2659"/>
      <c r="ES203" s="2659"/>
      <c r="ET203" s="2659"/>
      <c r="EU203" s="2659"/>
      <c r="EV203" s="2659"/>
      <c r="EW203" s="2659"/>
      <c r="EX203" s="2659"/>
      <c r="EY203" s="2659"/>
      <c r="EZ203" s="2659"/>
      <c r="FA203" s="2659"/>
      <c r="FB203" s="2659"/>
      <c r="FC203" s="2659"/>
      <c r="FD203" s="2659"/>
      <c r="FE203" s="2659"/>
    </row>
    <row r="204" spans="1:161" outlineLevel="2">
      <c r="B204" t="s">
        <v>523</v>
      </c>
      <c r="C204" t="s">
        <v>524</v>
      </c>
      <c r="F204" s="2659"/>
      <c r="G204" s="2659"/>
      <c r="H204" s="2659"/>
      <c r="I204" s="2659"/>
      <c r="J204" s="2659"/>
      <c r="K204" s="2659"/>
      <c r="L204" s="2659"/>
      <c r="M204" s="2659"/>
      <c r="N204" s="2659"/>
      <c r="O204" s="2659"/>
      <c r="P204" s="2659"/>
      <c r="Q204" s="2659"/>
      <c r="R204" s="2659">
        <f>Geo!ED83</f>
      </c>
      <c r="S204" s="2659">
        <f>Geo!EE83</f>
      </c>
      <c r="T204" s="2659">
        <f>Geo!EF83</f>
      </c>
      <c r="U204" s="2659">
        <f>Geo!EG83</f>
      </c>
      <c r="V204" s="2659">
        <f>Geo!EH83</f>
      </c>
      <c r="W204" s="2659">
        <f>Geo!EI83</f>
      </c>
      <c r="X204" s="2659">
        <f>W204</f>
      </c>
      <c r="Y204" s="2659"/>
      <c r="Z204" s="2659"/>
      <c r="AA204" s="2659"/>
      <c r="AB204" s="2659"/>
      <c r="AC204" s="2659"/>
      <c r="AD204" s="2659"/>
      <c r="AE204" s="2659"/>
      <c r="AF204" s="2659"/>
      <c r="AG204" s="2659"/>
      <c r="AH204" s="2659"/>
      <c r="AI204" s="2659"/>
      <c r="AJ204" s="2659"/>
      <c r="AK204" s="2659"/>
      <c r="AL204" s="2659"/>
      <c r="AM204" s="2659"/>
      <c r="AN204" s="2659"/>
      <c r="AO204" s="2659"/>
      <c r="AP204" s="2659"/>
      <c r="AQ204" s="2659"/>
      <c r="AR204" s="2659"/>
      <c r="AS204" s="2659"/>
      <c r="AT204" s="2659"/>
      <c r="AU204" s="2659"/>
      <c r="AV204" s="2659"/>
      <c r="AW204" s="2659"/>
      <c r="AX204" s="2659"/>
      <c r="AY204" s="2659"/>
      <c r="AZ204" s="2659"/>
      <c r="BA204" s="2659"/>
      <c r="BB204" s="2659"/>
      <c r="BC204" s="2659"/>
      <c r="BD204" s="2659"/>
      <c r="BE204" s="2659"/>
      <c r="BF204" s="2659"/>
      <c r="BG204" s="2659"/>
      <c r="BH204" s="2659"/>
      <c r="BI204" s="2659"/>
      <c r="BJ204" s="2659"/>
      <c r="BK204" s="2659"/>
      <c r="BL204" s="2659"/>
      <c r="BM204" s="2659"/>
      <c r="BN204" s="2659"/>
      <c r="BO204" s="2659"/>
      <c r="BP204" s="2659"/>
      <c r="BQ204" s="2659"/>
      <c r="BR204" s="2659"/>
      <c r="BS204" s="2659"/>
      <c r="BT204" s="2659"/>
      <c r="BU204" s="2659"/>
      <c r="BV204" s="2659"/>
      <c r="BW204" s="2659"/>
      <c r="BX204" s="2659"/>
      <c r="BY204" s="2659"/>
      <c r="BZ204" s="2659"/>
      <c r="CA204" s="2659"/>
      <c r="CB204" s="2659"/>
      <c r="CC204" s="2659"/>
      <c r="CD204" s="2659"/>
      <c r="CE204" s="2659"/>
      <c r="CF204" s="2659"/>
      <c r="CG204" s="2659"/>
      <c r="CH204" s="2659">
        <f>Geo!AT83</f>
      </c>
      <c r="CI204" s="2659">
        <f>Geo!AU83</f>
      </c>
      <c r="CJ204" s="2659">
        <f>Geo!AV83</f>
      </c>
      <c r="CK204" s="2659">
        <f>Geo!AW83</f>
      </c>
      <c r="CL204" s="2659">
        <f>Geo!AX83</f>
      </c>
      <c r="CM204" s="2659">
        <f>Geo!AY83</f>
      </c>
      <c r="CN204" s="2659">
        <f>Geo!AZ83</f>
      </c>
      <c r="CO204" s="2659">
        <f>Geo!BA83</f>
      </c>
      <c r="CP204" s="2659">
        <f>Geo!BB83</f>
      </c>
      <c r="CQ204" s="2659">
        <f>Geo!BC83</f>
      </c>
      <c r="CR204" s="2659">
        <f>Geo!BD83</f>
      </c>
      <c r="CS204" s="2659">
        <f>Geo!BE83</f>
      </c>
      <c r="CT204" s="2659">
        <f>Geo!BF83</f>
      </c>
      <c r="CU204" s="2659">
        <f>Geo!BG83</f>
      </c>
      <c r="CV204" s="2659"/>
      <c r="CW204" s="2659"/>
      <c r="CX204" s="2659"/>
      <c r="CY204" s="2659"/>
      <c r="CZ204" s="2659"/>
      <c r="DA204" s="2659"/>
      <c r="DB204" s="2659"/>
      <c r="DC204" s="2659"/>
      <c r="DD204" s="2659"/>
      <c r="DE204" s="2659"/>
      <c r="DF204" s="2659"/>
      <c r="DG204" s="2659"/>
      <c r="DH204" s="2659"/>
      <c r="DI204" s="2659"/>
      <c r="DJ204" s="2659"/>
      <c r="DK204" s="2659"/>
      <c r="DL204" s="2659"/>
      <c r="DM204" s="2659"/>
      <c r="DN204" s="2659"/>
      <c r="DO204" s="2659"/>
      <c r="DP204" s="2659"/>
      <c r="DQ204" s="2659"/>
      <c r="DR204" s="2659"/>
      <c r="DS204" s="2659"/>
      <c r="DT204" s="2659"/>
      <c r="DU204" s="2659"/>
      <c r="DV204" s="2659"/>
      <c r="DW204" s="2659"/>
      <c r="DX204" s="2659"/>
      <c r="DY204" s="2659"/>
      <c r="DZ204" s="2659"/>
      <c r="EA204" s="2659"/>
      <c r="EB204" s="2659"/>
      <c r="EC204" s="2659"/>
      <c r="ED204" s="2659"/>
      <c r="EE204" s="2659"/>
      <c r="EF204" s="2659"/>
      <c r="EG204" s="2659"/>
      <c r="EH204" s="2659"/>
      <c r="EI204" s="2659"/>
      <c r="EJ204" s="2659"/>
      <c r="EK204" s="2659"/>
      <c r="EL204" s="2659"/>
      <c r="EM204" s="2659"/>
      <c r="EN204" s="2659"/>
      <c r="EO204" s="2659"/>
      <c r="EP204" s="2659"/>
      <c r="EQ204" s="2659"/>
      <c r="ER204" s="2659"/>
      <c r="ES204" s="2659"/>
      <c r="ET204" s="2659"/>
      <c r="EU204" s="2659"/>
      <c r="EV204" s="2659"/>
      <c r="EW204" s="2659"/>
      <c r="EX204" s="2659"/>
      <c r="EY204" s="2659"/>
      <c r="EZ204" s="2659"/>
      <c r="FA204" s="2659"/>
      <c r="FB204" s="2659"/>
      <c r="FC204" s="2659"/>
      <c r="FD204" s="2659"/>
      <c r="FE204" s="2659"/>
    </row>
    <row r="205" spans="1:161" outlineLevel="2">
      <c r="B205" t="s">
        <v>525</v>
      </c>
      <c r="C205" t="s">
        <v>526</v>
      </c>
      <c r="F205" s="2659"/>
      <c r="G205" s="2659"/>
      <c r="H205" s="2659"/>
      <c r="I205" s="2659"/>
      <c r="J205" s="2659"/>
      <c r="K205" s="2659"/>
      <c r="L205" s="2659"/>
      <c r="M205" s="2659"/>
      <c r="N205" s="2659"/>
      <c r="O205" s="2659"/>
      <c r="P205" s="2659"/>
      <c r="Q205" s="2659"/>
      <c r="R205" s="2659">
        <f>Geo!ED82</f>
      </c>
      <c r="S205" s="2659">
        <f>Geo!EE82</f>
      </c>
      <c r="T205" s="2659">
        <f>Geo!EF82</f>
      </c>
      <c r="U205" s="2659">
        <f>Geo!EG82</f>
      </c>
      <c r="V205" s="2659">
        <f>Geo!EH82</f>
      </c>
      <c r="W205" s="2659">
        <f>Geo!EI82</f>
      </c>
      <c r="X205" s="2659">
        <f>W205</f>
      </c>
      <c r="Y205" s="2659"/>
      <c r="Z205" s="2659"/>
      <c r="AA205" s="2659"/>
      <c r="AB205" s="2659"/>
      <c r="AC205" s="2659"/>
      <c r="AD205" s="2659"/>
      <c r="AE205" s="2659"/>
      <c r="AF205" s="2659"/>
      <c r="AG205" s="2659"/>
      <c r="AH205" s="2659"/>
      <c r="AI205" s="2659"/>
      <c r="AJ205" s="2659"/>
      <c r="AK205" s="2659"/>
      <c r="AL205" s="2659"/>
      <c r="AM205" s="2659"/>
      <c r="AN205" s="2659"/>
      <c r="AO205" s="2659"/>
      <c r="AP205" s="2659"/>
      <c r="AQ205" s="2659"/>
      <c r="AR205" s="2659"/>
      <c r="AS205" s="2659"/>
      <c r="AT205" s="2659"/>
      <c r="AU205" s="2659"/>
      <c r="AV205" s="2659"/>
      <c r="AW205" s="2659"/>
      <c r="AX205" s="2659"/>
      <c r="AY205" s="2659"/>
      <c r="AZ205" s="2659"/>
      <c r="BA205" s="2659"/>
      <c r="BB205" s="2659"/>
      <c r="BC205" s="2659"/>
      <c r="BD205" s="2659"/>
      <c r="BE205" s="2659"/>
      <c r="BF205" s="2659"/>
      <c r="BG205" s="2659"/>
      <c r="BH205" s="2659"/>
      <c r="BI205" s="2659"/>
      <c r="BJ205" s="2659"/>
      <c r="BK205" s="2659"/>
      <c r="BL205" s="2659"/>
      <c r="BM205" s="2659"/>
      <c r="BN205" s="2659"/>
      <c r="BO205" s="2659"/>
      <c r="BP205" s="2659"/>
      <c r="BQ205" s="2659"/>
      <c r="BR205" s="2659"/>
      <c r="BS205" s="2659"/>
      <c r="BT205" s="2659"/>
      <c r="BU205" s="2659"/>
      <c r="BV205" s="2659"/>
      <c r="BW205" s="2659"/>
      <c r="BX205" s="2659"/>
      <c r="BY205" s="2659"/>
      <c r="BZ205" s="2659"/>
      <c r="CA205" s="2659"/>
      <c r="CB205" s="2659"/>
      <c r="CC205" s="2659"/>
      <c r="CD205" s="2659"/>
      <c r="CE205" s="2659"/>
      <c r="CF205" s="2659"/>
      <c r="CG205" s="2659"/>
      <c r="CH205" s="2659">
        <f>Geo!AT82</f>
      </c>
      <c r="CI205" s="2659">
        <f>Geo!AU82</f>
      </c>
      <c r="CJ205" s="2659">
        <f>Geo!AV82</f>
      </c>
      <c r="CK205" s="2659">
        <f>Geo!AW82</f>
      </c>
      <c r="CL205" s="2659">
        <f>Geo!AX82</f>
      </c>
      <c r="CM205" s="2659">
        <f>Geo!AY82</f>
      </c>
      <c r="CN205" s="2659">
        <f>Geo!AZ82</f>
      </c>
      <c r="CO205" s="2659">
        <f>Geo!BA82</f>
      </c>
      <c r="CP205" s="2659">
        <f>Geo!BB82</f>
      </c>
      <c r="CQ205" s="2659">
        <f>Geo!BC82</f>
      </c>
      <c r="CR205" s="2659">
        <f>Geo!BD82</f>
      </c>
      <c r="CS205" s="2659">
        <f>Geo!BE82</f>
      </c>
      <c r="CT205" s="2659">
        <f>Geo!BF82</f>
      </c>
      <c r="CU205" s="2659">
        <f>Geo!BG82</f>
      </c>
      <c r="CV205" s="2659"/>
      <c r="CW205" s="2659"/>
      <c r="CX205" s="2659"/>
      <c r="CY205" s="2659"/>
      <c r="CZ205" s="2659"/>
      <c r="DA205" s="2659"/>
      <c r="DB205" s="2659"/>
      <c r="DC205" s="2659"/>
      <c r="DD205" s="2659"/>
      <c r="DE205" s="2659"/>
      <c r="DF205" s="2659"/>
      <c r="DG205" s="2659"/>
      <c r="DH205" s="2659"/>
      <c r="DI205" s="2659"/>
      <c r="DJ205" s="2659"/>
      <c r="DK205" s="2659"/>
      <c r="DL205" s="2659"/>
      <c r="DM205" s="2659"/>
      <c r="DN205" s="2659"/>
      <c r="DO205" s="2659"/>
      <c r="DP205" s="2659"/>
      <c r="DQ205" s="2659"/>
      <c r="DR205" s="2659"/>
      <c r="DS205" s="2659"/>
      <c r="DT205" s="2659"/>
      <c r="DU205" s="2659"/>
      <c r="DV205" s="2659"/>
      <c r="DW205" s="2659"/>
      <c r="DX205" s="2659"/>
      <c r="DY205" s="2659"/>
      <c r="DZ205" s="2659"/>
      <c r="EA205" s="2659"/>
      <c r="EB205" s="2659"/>
      <c r="EC205" s="2659"/>
      <c r="ED205" s="2659"/>
      <c r="EE205" s="2659"/>
      <c r="EF205" s="2659"/>
      <c r="EG205" s="2659"/>
      <c r="EH205" s="2659"/>
      <c r="EI205" s="2659"/>
      <c r="EJ205" s="2659"/>
      <c r="EK205" s="2659"/>
      <c r="EL205" s="2659"/>
      <c r="EM205" s="2659"/>
      <c r="EN205" s="2659"/>
      <c r="EO205" s="2659"/>
      <c r="EP205" s="2659"/>
      <c r="EQ205" s="2659"/>
      <c r="ER205" s="2659"/>
      <c r="ES205" s="2659"/>
      <c r="ET205" s="2659"/>
      <c r="EU205" s="2659"/>
      <c r="EV205" s="2659"/>
      <c r="EW205" s="2659"/>
      <c r="EX205" s="2659"/>
      <c r="EY205" s="2659"/>
      <c r="EZ205" s="2659"/>
      <c r="FA205" s="2659"/>
      <c r="FB205" s="2659"/>
      <c r="FC205" s="2659"/>
      <c r="FD205" s="2659"/>
      <c r="FE205" s="2659"/>
    </row>
    <row r="206" spans="1:161" outlineLevel="2">
      <c r="B206" t="s">
        <v>527</v>
      </c>
      <c r="C206" t="s">
        <v>528</v>
      </c>
      <c r="F206" s="2659"/>
      <c r="G206" s="2659"/>
      <c r="H206" s="2659"/>
      <c r="I206" s="2659"/>
      <c r="J206" s="2659"/>
      <c r="K206" s="2659"/>
      <c r="L206" s="2659"/>
      <c r="M206" s="2659"/>
      <c r="N206" s="2659"/>
      <c r="O206" s="2659"/>
      <c r="P206" s="2659"/>
      <c r="Q206" s="2659"/>
      <c r="R206" s="2659"/>
      <c r="S206" s="2659"/>
      <c r="T206" s="2659"/>
      <c r="U206" s="2659"/>
      <c r="V206" s="2659"/>
      <c r="W206" s="2659"/>
      <c r="X206" s="2659"/>
      <c r="Y206" s="2659"/>
      <c r="Z206" s="2659"/>
      <c r="AA206" s="2659"/>
      <c r="AB206" s="2659"/>
      <c r="AC206" s="2659"/>
      <c r="AD206" s="2659"/>
      <c r="AE206" s="2659"/>
      <c r="AF206" s="2659"/>
      <c r="AG206" s="2659"/>
      <c r="AH206" s="2659"/>
      <c r="AI206" s="2659"/>
      <c r="AJ206" s="2659"/>
      <c r="AK206" s="2659"/>
      <c r="AL206" s="2659"/>
      <c r="AM206" s="2659"/>
      <c r="AN206" s="2659"/>
      <c r="AO206" s="2659"/>
      <c r="AP206" s="2659"/>
      <c r="AQ206" s="2659"/>
      <c r="AR206" s="2659"/>
      <c r="AS206" s="2659"/>
      <c r="AT206" s="2659"/>
      <c r="AU206" s="2659"/>
      <c r="AV206" s="2659"/>
      <c r="AW206" s="2659"/>
      <c r="AX206" s="2659"/>
      <c r="AY206" s="2659"/>
      <c r="AZ206" s="2659"/>
      <c r="BA206" s="2659"/>
      <c r="BB206" s="2659"/>
      <c r="BC206" s="2659"/>
      <c r="BD206" s="2659"/>
      <c r="BE206" s="2659"/>
      <c r="BF206" s="2659"/>
      <c r="BG206" s="2659"/>
      <c r="BH206" s="2659"/>
      <c r="BI206" s="2659"/>
      <c r="BJ206" s="2659"/>
      <c r="BK206" s="2659"/>
      <c r="BL206" s="2659"/>
      <c r="BM206" s="2659"/>
      <c r="BN206" s="2659"/>
      <c r="BO206" s="2659"/>
      <c r="BP206" s="2659"/>
      <c r="BQ206" s="2659"/>
      <c r="BR206" s="2659"/>
      <c r="BS206" s="2659"/>
      <c r="BT206" s="2659"/>
      <c r="BU206" s="2659"/>
      <c r="BV206" s="2659"/>
      <c r="BW206" s="2659"/>
      <c r="BX206" s="2659"/>
      <c r="BY206" s="2659"/>
      <c r="BZ206" s="2659"/>
      <c r="CA206" s="2659"/>
      <c r="CB206" s="2659"/>
      <c r="CC206" s="2659"/>
      <c r="CD206" s="2659"/>
      <c r="CE206" s="2659"/>
      <c r="CF206" s="2659"/>
      <c r="CG206" s="2659"/>
      <c r="CH206" s="2659"/>
      <c r="CI206" s="2659"/>
      <c r="CJ206" s="2659"/>
      <c r="CK206" s="2659"/>
      <c r="CL206" s="2659"/>
      <c r="CM206" s="2659"/>
      <c r="CN206" s="2659"/>
      <c r="CO206" s="2659"/>
      <c r="CP206" s="2659"/>
      <c r="CQ206" s="2659"/>
      <c r="CR206" s="2659"/>
      <c r="CS206" s="2659"/>
      <c r="CT206" s="2659"/>
      <c r="CU206" s="2659"/>
      <c r="CV206" s="2659"/>
      <c r="CW206" s="2659"/>
      <c r="CX206" s="2659"/>
      <c r="CY206" s="2659"/>
      <c r="CZ206" s="2659"/>
      <c r="DA206" s="2659"/>
      <c r="DB206" s="2659"/>
      <c r="DC206" s="2659"/>
      <c r="DD206" s="2659"/>
      <c r="DE206" s="2659"/>
      <c r="DF206" s="2659"/>
      <c r="DG206" s="2659"/>
      <c r="DH206" s="2659"/>
      <c r="DI206" s="2659"/>
      <c r="DJ206" s="2659"/>
      <c r="DK206" s="2659"/>
      <c r="DL206" s="2659"/>
      <c r="DM206" s="2659"/>
      <c r="DN206" s="2659"/>
      <c r="DO206" s="2659"/>
      <c r="DP206" s="2659"/>
      <c r="DQ206" s="2659"/>
      <c r="DR206" s="2659"/>
      <c r="DS206" s="2659"/>
      <c r="DT206" s="2659"/>
      <c r="DU206" s="2659"/>
      <c r="DV206" s="2659"/>
      <c r="DW206" s="2659"/>
      <c r="DX206" s="2659"/>
      <c r="DY206" s="2659"/>
      <c r="DZ206" s="2659"/>
      <c r="EA206" s="2659"/>
      <c r="EB206" s="2659"/>
      <c r="EC206" s="2659"/>
      <c r="ED206" s="2659"/>
      <c r="EE206" s="2659"/>
      <c r="EF206" s="2659"/>
      <c r="EG206" s="2659"/>
      <c r="EH206" s="2659"/>
      <c r="EI206" s="2659"/>
      <c r="EJ206" s="2659"/>
      <c r="EK206" s="2659"/>
      <c r="EL206" s="2659"/>
      <c r="EM206" s="2659"/>
      <c r="EN206" s="2659"/>
      <c r="EO206" s="2659"/>
      <c r="EP206" s="2659"/>
      <c r="EQ206" s="2659"/>
      <c r="ER206" s="2659"/>
      <c r="ES206" s="2659"/>
      <c r="ET206" s="2659"/>
      <c r="EU206" s="2659"/>
      <c r="EV206" s="2659"/>
      <c r="EW206" s="2659"/>
      <c r="EX206" s="2659"/>
      <c r="EY206" s="2659"/>
      <c r="EZ206" s="2659"/>
      <c r="FA206" s="2659"/>
      <c r="FB206" s="2659"/>
      <c r="FC206" s="2659"/>
      <c r="FD206" s="2659"/>
      <c r="FE206" s="2659"/>
    </row>
    <row r="207" spans="1:161" outlineLevel="2">
      <c r="B207" t="s">
        <v>529</v>
      </c>
      <c r="C207" t="s">
        <v>530</v>
      </c>
      <c r="F207" s="2659"/>
      <c r="G207" s="2659"/>
      <c r="H207" s="2659"/>
      <c r="I207" s="2659"/>
      <c r="J207" s="2659"/>
      <c r="K207" s="2659"/>
      <c r="L207" s="2659"/>
      <c r="M207" s="2659"/>
      <c r="N207" s="2659"/>
      <c r="O207" s="2659"/>
      <c r="P207" s="2659"/>
      <c r="Q207" s="2659"/>
      <c r="R207" s="2659"/>
      <c r="S207" s="2659"/>
      <c r="T207" s="2659"/>
      <c r="U207" s="2659"/>
      <c r="V207" s="2659"/>
      <c r="W207" s="2659"/>
      <c r="X207" s="2659"/>
      <c r="Y207" s="2659"/>
      <c r="Z207" s="2659"/>
      <c r="AA207" s="2659"/>
      <c r="AB207" s="2659"/>
      <c r="AC207" s="2659"/>
      <c r="AD207" s="2659"/>
      <c r="AE207" s="2659"/>
      <c r="AF207" s="2659"/>
      <c r="AG207" s="2659"/>
      <c r="AH207" s="2659"/>
      <c r="AI207" s="2659"/>
      <c r="AJ207" s="2659"/>
      <c r="AK207" s="2659"/>
      <c r="AL207" s="2659"/>
      <c r="AM207" s="2659"/>
      <c r="AN207" s="2659"/>
      <c r="AO207" s="2659"/>
      <c r="AP207" s="2659"/>
      <c r="AQ207" s="2659"/>
      <c r="AR207" s="2659"/>
      <c r="AS207" s="2659"/>
      <c r="AT207" s="2659"/>
      <c r="AU207" s="2659"/>
      <c r="AV207" s="2659"/>
      <c r="AW207" s="2659"/>
      <c r="AX207" s="2659"/>
      <c r="AY207" s="2659"/>
      <c r="AZ207" s="2659"/>
      <c r="BA207" s="2659"/>
      <c r="BB207" s="2659"/>
      <c r="BC207" s="2659"/>
      <c r="BD207" s="2659"/>
      <c r="BE207" s="2659"/>
      <c r="BF207" s="2659"/>
      <c r="BG207" s="2659"/>
      <c r="BH207" s="2659"/>
      <c r="BI207" s="2659"/>
      <c r="BJ207" s="2659"/>
      <c r="BK207" s="2659"/>
      <c r="BL207" s="2659"/>
      <c r="BM207" s="2659"/>
      <c r="BN207" s="2659"/>
      <c r="BO207" s="2659"/>
      <c r="BP207" s="2659"/>
      <c r="BQ207" s="2659"/>
      <c r="BR207" s="2659"/>
      <c r="BS207" s="2659"/>
      <c r="BT207" s="2659"/>
      <c r="BU207" s="2659"/>
      <c r="BV207" s="2659"/>
      <c r="BW207" s="2659"/>
      <c r="BX207" s="2659"/>
      <c r="BY207" s="2659"/>
      <c r="BZ207" s="2659"/>
      <c r="CA207" s="2659"/>
      <c r="CB207" s="2659"/>
      <c r="CC207" s="2659"/>
      <c r="CD207" s="2659"/>
      <c r="CE207" s="2659"/>
      <c r="CF207" s="2659"/>
      <c r="CG207" s="2659"/>
      <c r="CH207" s="2659"/>
      <c r="CI207" s="2659"/>
      <c r="CJ207" s="2659"/>
      <c r="CK207" s="2659"/>
      <c r="CL207" s="2659"/>
      <c r="CM207" s="2659"/>
      <c r="CN207" s="2659"/>
      <c r="CO207" s="2659"/>
      <c r="CP207" s="2659"/>
      <c r="CQ207" s="2659"/>
      <c r="CR207" s="2659"/>
      <c r="CS207" s="2659"/>
      <c r="CT207" s="2659"/>
      <c r="CU207" s="2659"/>
      <c r="CV207" s="2659"/>
      <c r="CW207" s="2659"/>
      <c r="CX207" s="2659"/>
      <c r="CY207" s="2659"/>
      <c r="CZ207" s="2659"/>
      <c r="DA207" s="2659"/>
      <c r="DB207" s="2659"/>
      <c r="DC207" s="2659"/>
      <c r="DD207" s="2659"/>
      <c r="DE207" s="2659"/>
      <c r="DF207" s="2659"/>
      <c r="DG207" s="2659"/>
      <c r="DH207" s="2659"/>
      <c r="DI207" s="2659"/>
      <c r="DJ207" s="2659"/>
      <c r="DK207" s="2659"/>
      <c r="DL207" s="2659"/>
      <c r="DM207" s="2659"/>
      <c r="DN207" s="2659"/>
      <c r="DO207" s="2659"/>
      <c r="DP207" s="2659"/>
      <c r="DQ207" s="2659"/>
      <c r="DR207" s="2659"/>
      <c r="DS207" s="2659"/>
      <c r="DT207" s="2659"/>
      <c r="DU207" s="2659"/>
      <c r="DV207" s="2659"/>
      <c r="DW207" s="2659"/>
      <c r="DX207" s="2659"/>
      <c r="DY207" s="2659"/>
      <c r="DZ207" s="2659"/>
      <c r="EA207" s="2659"/>
      <c r="EB207" s="2659"/>
      <c r="EC207" s="2659"/>
      <c r="ED207" s="2659"/>
      <c r="EE207" s="2659"/>
      <c r="EF207" s="2659"/>
      <c r="EG207" s="2659"/>
      <c r="EH207" s="2659"/>
      <c r="EI207" s="2659"/>
      <c r="EJ207" s="2659"/>
      <c r="EK207" s="2659"/>
      <c r="EL207" s="2659"/>
      <c r="EM207" s="2659"/>
      <c r="EN207" s="2659"/>
      <c r="EO207" s="2659"/>
      <c r="EP207" s="2659"/>
      <c r="EQ207" s="2659"/>
      <c r="ER207" s="2659"/>
      <c r="ES207" s="2659"/>
      <c r="ET207" s="2659"/>
      <c r="EU207" s="2659"/>
      <c r="EV207" s="2659"/>
      <c r="EW207" s="2659"/>
      <c r="EX207" s="2659"/>
      <c r="EY207" s="2659"/>
      <c r="EZ207" s="2659"/>
      <c r="FA207" s="2659"/>
      <c r="FB207" s="2659"/>
      <c r="FC207" s="2659"/>
      <c r="FD207" s="2659"/>
      <c r="FE207" s="2659"/>
    </row>
    <row r="208" spans="1:161" outlineLevel="2">
      <c r="B208" t="s">
        <v>531</v>
      </c>
      <c r="C208" t="s">
        <v>532</v>
      </c>
      <c r="F208" s="2659"/>
      <c r="G208" s="2659"/>
      <c r="H208" s="2659"/>
      <c r="I208" s="2659"/>
      <c r="J208" s="2659"/>
      <c r="K208" s="2659"/>
      <c r="L208" s="2659"/>
      <c r="M208" s="2659"/>
      <c r="N208" s="2659"/>
      <c r="O208" s="2659"/>
      <c r="P208" s="2659"/>
      <c r="Q208" s="2659"/>
      <c r="R208" s="2659"/>
      <c r="S208" s="2659"/>
      <c r="T208" s="2659"/>
      <c r="U208" s="2659"/>
      <c r="V208" s="2659"/>
      <c r="W208" s="2659"/>
      <c r="X208" s="2659"/>
      <c r="Y208" s="2659"/>
      <c r="Z208" s="2659"/>
      <c r="AA208" s="2659"/>
      <c r="AB208" s="2659"/>
      <c r="AC208" s="2659"/>
      <c r="AD208" s="2659"/>
      <c r="AE208" s="2659"/>
      <c r="AF208" s="2659"/>
      <c r="AG208" s="2659"/>
      <c r="AH208" s="2659"/>
      <c r="AI208" s="2659"/>
      <c r="AJ208" s="2659"/>
      <c r="AK208" s="2659"/>
      <c r="AL208" s="2659"/>
      <c r="AM208" s="2659"/>
      <c r="AN208" s="2659"/>
      <c r="AO208" s="2659"/>
      <c r="AP208" s="2659"/>
      <c r="AQ208" s="2659"/>
      <c r="AR208" s="2659"/>
      <c r="AS208" s="2659"/>
      <c r="AT208" s="2659"/>
      <c r="AU208" s="2659"/>
      <c r="AV208" s="2659"/>
      <c r="AW208" s="2659"/>
      <c r="AX208" s="2659"/>
      <c r="AY208" s="2659"/>
      <c r="AZ208" s="2659"/>
      <c r="BA208" s="2659"/>
      <c r="BB208" s="2659"/>
      <c r="BC208" s="2659"/>
      <c r="BD208" s="2659"/>
      <c r="BE208" s="2659"/>
      <c r="BF208" s="2659"/>
      <c r="BG208" s="2659"/>
      <c r="BH208" s="2659"/>
      <c r="BI208" s="2659"/>
      <c r="BJ208" s="2659"/>
      <c r="BK208" s="2659"/>
      <c r="BL208" s="2659"/>
      <c r="BM208" s="2659"/>
      <c r="BN208" s="2659"/>
      <c r="BO208" s="2659"/>
      <c r="BP208" s="2659"/>
      <c r="BQ208" s="2659"/>
      <c r="BR208" s="2659"/>
      <c r="BS208" s="2659"/>
      <c r="BT208" s="2659"/>
      <c r="BU208" s="2659"/>
      <c r="BV208" s="2659"/>
      <c r="BW208" s="2659"/>
      <c r="BX208" s="2659"/>
      <c r="BY208" s="2659"/>
      <c r="BZ208" s="2659"/>
      <c r="CA208" s="2659"/>
      <c r="CB208" s="2659"/>
      <c r="CC208" s="2659"/>
      <c r="CD208" s="2659"/>
      <c r="CE208" s="2659"/>
      <c r="CF208" s="2659"/>
      <c r="CG208" s="2659"/>
      <c r="CH208" s="2659"/>
      <c r="CI208" s="2659"/>
      <c r="CJ208" s="2659"/>
      <c r="CK208" s="2659"/>
      <c r="CL208" s="2659"/>
      <c r="CM208" s="2659"/>
      <c r="CN208" s="2659"/>
      <c r="CO208" s="2659"/>
      <c r="CP208" s="2659"/>
      <c r="CQ208" s="2659"/>
      <c r="CR208" s="2659"/>
      <c r="CS208" s="2659"/>
      <c r="CT208" s="2659"/>
      <c r="CU208" s="2659"/>
      <c r="CV208" s="2659"/>
      <c r="CW208" s="2659"/>
      <c r="CX208" s="2659"/>
      <c r="CY208" s="2659"/>
      <c r="CZ208" s="2659"/>
      <c r="DA208" s="2659"/>
      <c r="DB208" s="2659"/>
      <c r="DC208" s="2659"/>
      <c r="DD208" s="2659"/>
      <c r="DE208" s="2659"/>
      <c r="DF208" s="2659"/>
      <c r="DG208" s="2659"/>
      <c r="DH208" s="2659"/>
      <c r="DI208" s="2659"/>
      <c r="DJ208" s="2659"/>
      <c r="DK208" s="2659"/>
      <c r="DL208" s="2659"/>
      <c r="DM208" s="2659"/>
      <c r="DN208" s="2659"/>
      <c r="DO208" s="2659"/>
      <c r="DP208" s="2659"/>
      <c r="DQ208" s="2659"/>
      <c r="DR208" s="2659"/>
      <c r="DS208" s="2659"/>
      <c r="DT208" s="2659"/>
      <c r="DU208" s="2659"/>
      <c r="DV208" s="2659"/>
      <c r="DW208" s="2659"/>
      <c r="DX208" s="2659"/>
      <c r="DY208" s="2659"/>
      <c r="DZ208" s="2659"/>
      <c r="EA208" s="2659"/>
      <c r="EB208" s="2659"/>
      <c r="EC208" s="2659"/>
      <c r="ED208" s="2659"/>
      <c r="EE208" s="2659"/>
      <c r="EF208" s="2659"/>
      <c r="EG208" s="2659"/>
      <c r="EH208" s="2659"/>
      <c r="EI208" s="2659"/>
      <c r="EJ208" s="2659"/>
      <c r="EK208" s="2659"/>
      <c r="EL208" s="2659"/>
      <c r="EM208" s="2659"/>
      <c r="EN208" s="2659"/>
      <c r="EO208" s="2659"/>
      <c r="EP208" s="2659"/>
      <c r="EQ208" s="2659"/>
      <c r="ER208" s="2659"/>
      <c r="ES208" s="2659"/>
      <c r="ET208" s="2659"/>
      <c r="EU208" s="2659"/>
      <c r="EV208" s="2659"/>
      <c r="EW208" s="2659"/>
      <c r="EX208" s="2659"/>
      <c r="EY208" s="2659"/>
      <c r="EZ208" s="2659"/>
      <c r="FA208" s="2659"/>
      <c r="FB208" s="2659"/>
      <c r="FC208" s="2659"/>
      <c r="FD208" s="2659"/>
      <c r="FE208" s="2659"/>
    </row>
    <row r="209" spans="1:161" outlineLevel="2">
      <c r="B209" t="s">
        <v>533</v>
      </c>
      <c r="C209" t="s">
        <v>534</v>
      </c>
      <c r="F209" s="2659"/>
      <c r="G209" s="2659"/>
      <c r="H209" s="2659"/>
      <c r="I209" s="2659"/>
      <c r="J209" s="2659"/>
      <c r="K209" s="2659"/>
      <c r="L209" s="2659"/>
      <c r="M209" s="2659"/>
      <c r="N209" s="2659"/>
      <c r="O209" s="2659"/>
      <c r="P209" s="2659"/>
      <c r="Q209" s="2659"/>
      <c r="R209" s="2659"/>
      <c r="S209" s="2659"/>
      <c r="T209" s="2659"/>
      <c r="U209" s="2659"/>
      <c r="V209" s="2659"/>
      <c r="W209" s="2659"/>
      <c r="X209" s="2659"/>
      <c r="Y209" s="2659"/>
      <c r="Z209" s="2659"/>
      <c r="AA209" s="2659"/>
      <c r="AB209" s="2659"/>
      <c r="AC209" s="2659"/>
      <c r="AD209" s="2659"/>
      <c r="AE209" s="2659"/>
      <c r="AF209" s="2659"/>
      <c r="AG209" s="2659"/>
      <c r="AH209" s="2659"/>
      <c r="AI209" s="2659"/>
      <c r="AJ209" s="2659"/>
      <c r="AK209" s="2659"/>
      <c r="AL209" s="2659"/>
      <c r="AM209" s="2659"/>
      <c r="AN209" s="2659"/>
      <c r="AO209" s="2659"/>
      <c r="AP209" s="2659"/>
      <c r="AQ209" s="2659"/>
      <c r="AR209" s="2659"/>
      <c r="AS209" s="2659"/>
      <c r="AT209" s="2659"/>
      <c r="AU209" s="2659"/>
      <c r="AV209" s="2659"/>
      <c r="AW209" s="2659"/>
      <c r="AX209" s="2659"/>
      <c r="AY209" s="2659"/>
      <c r="AZ209" s="2659"/>
      <c r="BA209" s="2659"/>
      <c r="BB209" s="2659"/>
      <c r="BC209" s="2659"/>
      <c r="BD209" s="2659"/>
      <c r="BE209" s="2659"/>
      <c r="BF209" s="2659"/>
      <c r="BG209" s="2659"/>
      <c r="BH209" s="2659"/>
      <c r="BI209" s="2659"/>
      <c r="BJ209" s="2659"/>
      <c r="BK209" s="2659"/>
      <c r="BL209" s="2659"/>
      <c r="BM209" s="2659"/>
      <c r="BN209" s="2659"/>
      <c r="BO209" s="2659"/>
      <c r="BP209" s="2659"/>
      <c r="BQ209" s="2659"/>
      <c r="BR209" s="2659"/>
      <c r="BS209" s="2659"/>
      <c r="BT209" s="2659"/>
      <c r="BU209" s="2659"/>
      <c r="BV209" s="2659"/>
      <c r="BW209" s="2659"/>
      <c r="BX209" s="2659"/>
      <c r="BY209" s="2659"/>
      <c r="BZ209" s="2659"/>
      <c r="CA209" s="2659"/>
      <c r="CB209" s="2659"/>
      <c r="CC209" s="2659"/>
      <c r="CD209" s="2659"/>
      <c r="CE209" s="2659"/>
      <c r="CF209" s="2659"/>
      <c r="CG209" s="2659"/>
      <c r="CH209" s="2659"/>
      <c r="CI209" s="2659"/>
      <c r="CJ209" s="2659"/>
      <c r="CK209" s="2659"/>
      <c r="CL209" s="2659"/>
      <c r="CM209" s="2659"/>
      <c r="CN209" s="2659"/>
      <c r="CO209" s="2659"/>
      <c r="CP209" s="2659"/>
      <c r="CQ209" s="2659"/>
      <c r="CR209" s="2659"/>
      <c r="CS209" s="2659"/>
      <c r="CT209" s="2659"/>
      <c r="CU209" s="2659"/>
      <c r="CV209" s="2659"/>
      <c r="CW209" s="2659"/>
      <c r="CX209" s="2659"/>
      <c r="CY209" s="2659"/>
      <c r="CZ209" s="2659"/>
      <c r="DA209" s="2659"/>
      <c r="DB209" s="2659"/>
      <c r="DC209" s="2659"/>
      <c r="DD209" s="2659"/>
      <c r="DE209" s="2659"/>
      <c r="DF209" s="2659"/>
      <c r="DG209" s="2659"/>
      <c r="DH209" s="2659"/>
      <c r="DI209" s="2659"/>
      <c r="DJ209" s="2659"/>
      <c r="DK209" s="2659"/>
      <c r="DL209" s="2659"/>
      <c r="DM209" s="2659"/>
      <c r="DN209" s="2659"/>
      <c r="DO209" s="2659"/>
      <c r="DP209" s="2659"/>
      <c r="DQ209" s="2659"/>
      <c r="DR209" s="2659"/>
      <c r="DS209" s="2659"/>
      <c r="DT209" s="2659"/>
      <c r="DU209" s="2659"/>
      <c r="DV209" s="2659"/>
      <c r="DW209" s="2659"/>
      <c r="DX209" s="2659"/>
      <c r="DY209" s="2659"/>
      <c r="DZ209" s="2659"/>
      <c r="EA209" s="2659"/>
      <c r="EB209" s="2659"/>
      <c r="EC209" s="2659"/>
      <c r="ED209" s="2659"/>
      <c r="EE209" s="2659"/>
      <c r="EF209" s="2659"/>
      <c r="EG209" s="2659"/>
      <c r="EH209" s="2659"/>
      <c r="EI209" s="2659"/>
      <c r="EJ209" s="2659"/>
      <c r="EK209" s="2659"/>
      <c r="EL209" s="2659"/>
      <c r="EM209" s="2659"/>
      <c r="EN209" s="2659"/>
      <c r="EO209" s="2659"/>
      <c r="EP209" s="2659"/>
      <c r="EQ209" s="2659"/>
      <c r="ER209" s="2659"/>
      <c r="ES209" s="2659"/>
      <c r="ET209" s="2659"/>
      <c r="EU209" s="2659"/>
      <c r="EV209" s="2659"/>
      <c r="EW209" s="2659"/>
      <c r="EX209" s="2659"/>
      <c r="EY209" s="2659"/>
      <c r="EZ209" s="2659"/>
      <c r="FA209" s="2659"/>
      <c r="FB209" s="2659"/>
      <c r="FC209" s="2659"/>
      <c r="FD209" s="2659"/>
      <c r="FE209" s="2659"/>
    </row>
    <row r="210" spans="1:161" outlineLevel="2">
      <c r="B210" t="s">
        <v>535</v>
      </c>
      <c r="C210" t="s">
        <v>536</v>
      </c>
      <c r="F210" s="2659"/>
      <c r="G210" s="2659"/>
      <c r="H210" s="2659"/>
      <c r="I210" s="2659"/>
      <c r="J210" s="2659"/>
      <c r="K210" s="2659"/>
      <c r="L210" s="2659"/>
      <c r="M210" s="2659"/>
      <c r="N210" s="2659"/>
      <c r="O210" s="2659"/>
      <c r="P210" s="2659"/>
      <c r="Q210" s="2659"/>
      <c r="R210" s="2659"/>
      <c r="S210" s="2659"/>
      <c r="T210" s="2659"/>
      <c r="U210" s="2659"/>
      <c r="V210" s="2659"/>
      <c r="W210" s="2659"/>
      <c r="X210" s="2659"/>
      <c r="Y210" s="2659"/>
      <c r="Z210" s="2659"/>
      <c r="AA210" s="2659"/>
      <c r="AB210" s="2659"/>
      <c r="AC210" s="2659"/>
      <c r="AD210" s="2659"/>
      <c r="AE210" s="2659"/>
      <c r="AF210" s="2659"/>
      <c r="AG210" s="2659"/>
      <c r="AH210" s="2659"/>
      <c r="AI210" s="2659"/>
      <c r="AJ210" s="2659"/>
      <c r="AK210" s="2659"/>
      <c r="AL210" s="2659"/>
      <c r="AM210" s="2659"/>
      <c r="AN210" s="2659"/>
      <c r="AO210" s="2659"/>
      <c r="AP210" s="2659"/>
      <c r="AQ210" s="2659"/>
      <c r="AR210" s="2659"/>
      <c r="AS210" s="2659"/>
      <c r="AT210" s="2659"/>
      <c r="AU210" s="2659"/>
      <c r="AV210" s="2659"/>
      <c r="AW210" s="2659"/>
      <c r="AX210" s="2659"/>
      <c r="AY210" s="2659"/>
      <c r="AZ210" s="2659"/>
      <c r="BA210" s="2659"/>
      <c r="BB210" s="2659"/>
      <c r="BC210" s="2659"/>
      <c r="BD210" s="2659"/>
      <c r="BE210" s="2659"/>
      <c r="BF210" s="2659"/>
      <c r="BG210" s="2659"/>
      <c r="BH210" s="2659"/>
      <c r="BI210" s="2659"/>
      <c r="BJ210" s="2659"/>
      <c r="BK210" s="2659"/>
      <c r="BL210" s="2659"/>
      <c r="BM210" s="2659"/>
      <c r="BN210" s="2659"/>
      <c r="BO210" s="2659"/>
      <c r="BP210" s="2659"/>
      <c r="BQ210" s="2659"/>
      <c r="BR210" s="2659"/>
      <c r="BS210" s="2659"/>
      <c r="BT210" s="2659"/>
      <c r="BU210" s="2659"/>
      <c r="BV210" s="2659"/>
      <c r="BW210" s="2659"/>
      <c r="BX210" s="2659"/>
      <c r="BY210" s="2659"/>
      <c r="BZ210" s="2659"/>
      <c r="CA210" s="2659"/>
      <c r="CB210" s="2659"/>
      <c r="CC210" s="2659"/>
      <c r="CD210" s="2659"/>
      <c r="CE210" s="2659"/>
      <c r="CF210" s="2659"/>
      <c r="CG210" s="2659"/>
      <c r="CH210" s="2659"/>
      <c r="CI210" s="2659"/>
      <c r="CJ210" s="2659"/>
      <c r="CK210" s="2659"/>
      <c r="CL210" s="2659"/>
      <c r="CM210" s="2659"/>
      <c r="CN210" s="2659"/>
      <c r="CO210" s="2659"/>
      <c r="CP210" s="2659"/>
      <c r="CQ210" s="2659"/>
      <c r="CR210" s="2659"/>
      <c r="CS210" s="2659"/>
      <c r="CT210" s="2659"/>
      <c r="CU210" s="2659"/>
      <c r="CV210" s="2659"/>
      <c r="CW210" s="2659"/>
      <c r="CX210" s="2659"/>
      <c r="CY210" s="2659"/>
      <c r="CZ210" s="2659"/>
      <c r="DA210" s="2659"/>
      <c r="DB210" s="2659"/>
      <c r="DC210" s="2659"/>
      <c r="DD210" s="2659"/>
      <c r="DE210" s="2659"/>
      <c r="DF210" s="2659"/>
      <c r="DG210" s="2659"/>
      <c r="DH210" s="2659"/>
      <c r="DI210" s="2659"/>
      <c r="DJ210" s="2659"/>
      <c r="DK210" s="2659"/>
      <c r="DL210" s="2659"/>
      <c r="DM210" s="2659"/>
      <c r="DN210" s="2659"/>
      <c r="DO210" s="2659"/>
      <c r="DP210" s="2659"/>
      <c r="DQ210" s="2659"/>
      <c r="DR210" s="2659"/>
      <c r="DS210" s="2659"/>
      <c r="DT210" s="2659"/>
      <c r="DU210" s="2659"/>
      <c r="DV210" s="2659"/>
      <c r="DW210" s="2659"/>
      <c r="DX210" s="2659"/>
      <c r="DY210" s="2659"/>
      <c r="DZ210" s="2659"/>
      <c r="EA210" s="2659"/>
      <c r="EB210" s="2659"/>
      <c r="EC210" s="2659"/>
      <c r="ED210" s="2659"/>
      <c r="EE210" s="2659"/>
      <c r="EF210" s="2659"/>
      <c r="EG210" s="2659"/>
      <c r="EH210" s="2659"/>
      <c r="EI210" s="2659"/>
      <c r="EJ210" s="2659"/>
      <c r="EK210" s="2659"/>
      <c r="EL210" s="2659"/>
      <c r="EM210" s="2659"/>
      <c r="EN210" s="2659"/>
      <c r="EO210" s="2659"/>
      <c r="EP210" s="2659"/>
      <c r="EQ210" s="2659"/>
      <c r="ER210" s="2659"/>
      <c r="ES210" s="2659"/>
      <c r="ET210" s="2659"/>
      <c r="EU210" s="2659"/>
      <c r="EV210" s="2659"/>
      <c r="EW210" s="2659"/>
      <c r="EX210" s="2659"/>
      <c r="EY210" s="2659"/>
      <c r="EZ210" s="2659"/>
      <c r="FA210" s="2659"/>
      <c r="FB210" s="2659"/>
      <c r="FC210" s="2659"/>
      <c r="FD210" s="2659"/>
      <c r="FE210" s="2659"/>
    </row>
    <row r="211" spans="1:161" outlineLevel="2">
      <c r="B211" t="s">
        <v>537</v>
      </c>
      <c r="C211" t="s">
        <v>538</v>
      </c>
      <c r="F211" s="2659"/>
      <c r="G211" s="2659"/>
      <c r="H211" s="2659"/>
      <c r="I211" s="2659"/>
      <c r="J211" s="2659"/>
      <c r="K211" s="2659"/>
      <c r="L211" s="2659"/>
      <c r="M211" s="2659"/>
      <c r="N211" s="2659"/>
      <c r="O211" s="2659"/>
      <c r="P211" s="2659"/>
      <c r="Q211" s="2659"/>
      <c r="R211" s="2659"/>
      <c r="S211" s="2659"/>
      <c r="T211" s="2659"/>
      <c r="U211" s="2659"/>
      <c r="V211" s="2659"/>
      <c r="W211" s="2659"/>
      <c r="X211" s="2659"/>
      <c r="Y211" s="2659"/>
      <c r="Z211" s="2659"/>
      <c r="AA211" s="2659"/>
      <c r="AB211" s="2659"/>
      <c r="AC211" s="2659"/>
      <c r="AD211" s="2659"/>
      <c r="AE211" s="2659"/>
      <c r="AF211" s="2659"/>
      <c r="AG211" s="2659"/>
      <c r="AH211" s="2659"/>
      <c r="AI211" s="2659"/>
      <c r="AJ211" s="2659"/>
      <c r="AK211" s="2659"/>
      <c r="AL211" s="2659"/>
      <c r="AM211" s="2659"/>
      <c r="AN211" s="2659"/>
      <c r="AO211" s="2659"/>
      <c r="AP211" s="2659"/>
      <c r="AQ211" s="2659"/>
      <c r="AR211" s="2659"/>
      <c r="AS211" s="2659"/>
      <c r="AT211" s="2659"/>
      <c r="AU211" s="2659"/>
      <c r="AV211" s="2659"/>
      <c r="AW211" s="2659"/>
      <c r="AX211" s="2659"/>
      <c r="AY211" s="2659"/>
      <c r="AZ211" s="2659"/>
      <c r="BA211" s="2659"/>
      <c r="BB211" s="2659"/>
      <c r="BC211" s="2659"/>
      <c r="BD211" s="2659"/>
      <c r="BE211" s="2659"/>
      <c r="BF211" s="2659"/>
      <c r="BG211" s="2659"/>
      <c r="BH211" s="2659"/>
      <c r="BI211" s="2659"/>
      <c r="BJ211" s="2659"/>
      <c r="BK211" s="2659"/>
      <c r="BL211" s="2659"/>
      <c r="BM211" s="2659"/>
      <c r="BN211" s="2659"/>
      <c r="BO211" s="2659"/>
      <c r="BP211" s="2659"/>
      <c r="BQ211" s="2659"/>
      <c r="BR211" s="2659"/>
      <c r="BS211" s="2659"/>
      <c r="BT211" s="2659"/>
      <c r="BU211" s="2659"/>
      <c r="BV211" s="2659"/>
      <c r="BW211" s="2659"/>
      <c r="BX211" s="2659"/>
      <c r="BY211" s="2659"/>
      <c r="BZ211" s="2659"/>
      <c r="CA211" s="2659"/>
      <c r="CB211" s="2659"/>
      <c r="CC211" s="2659"/>
      <c r="CD211" s="2659"/>
      <c r="CE211" s="2659"/>
      <c r="CF211" s="2659"/>
      <c r="CG211" s="2659"/>
      <c r="CH211" s="2659"/>
      <c r="CI211" s="2659"/>
      <c r="CJ211" s="2659"/>
      <c r="CK211" s="2659"/>
      <c r="CL211" s="2659"/>
      <c r="CM211" s="2659"/>
      <c r="CN211" s="2659"/>
      <c r="CO211" s="2659"/>
      <c r="CP211" s="2659"/>
      <c r="CQ211" s="2659"/>
      <c r="CR211" s="2659"/>
      <c r="CS211" s="2659"/>
      <c r="CT211" s="2659"/>
      <c r="CU211" s="2659"/>
      <c r="CV211" s="2659"/>
      <c r="CW211" s="2659"/>
      <c r="CX211" s="2659"/>
      <c r="CY211" s="2659"/>
      <c r="CZ211" s="2659"/>
      <c r="DA211" s="2659"/>
      <c r="DB211" s="2659"/>
      <c r="DC211" s="2659"/>
      <c r="DD211" s="2659"/>
      <c r="DE211" s="2659"/>
      <c r="DF211" s="2659"/>
      <c r="DG211" s="2659"/>
      <c r="DH211" s="2659"/>
      <c r="DI211" s="2659"/>
      <c r="DJ211" s="2659"/>
      <c r="DK211" s="2659"/>
      <c r="DL211" s="2659"/>
      <c r="DM211" s="2659"/>
      <c r="DN211" s="2659"/>
      <c r="DO211" s="2659"/>
      <c r="DP211" s="2659"/>
      <c r="DQ211" s="2659"/>
      <c r="DR211" s="2659"/>
      <c r="DS211" s="2659"/>
      <c r="DT211" s="2659"/>
      <c r="DU211" s="2659"/>
      <c r="DV211" s="2659"/>
      <c r="DW211" s="2659"/>
      <c r="DX211" s="2659"/>
      <c r="DY211" s="2659"/>
      <c r="DZ211" s="2659"/>
      <c r="EA211" s="2659"/>
      <c r="EB211" s="2659"/>
      <c r="EC211" s="2659"/>
      <c r="ED211" s="2659"/>
      <c r="EE211" s="2659"/>
      <c r="EF211" s="2659"/>
      <c r="EG211" s="2659"/>
      <c r="EH211" s="2659"/>
      <c r="EI211" s="2659"/>
      <c r="EJ211" s="2659"/>
      <c r="EK211" s="2659"/>
      <c r="EL211" s="2659"/>
      <c r="EM211" s="2659"/>
      <c r="EN211" s="2659"/>
      <c r="EO211" s="2659"/>
      <c r="EP211" s="2659"/>
      <c r="EQ211" s="2659"/>
      <c r="ER211" s="2659"/>
      <c r="ES211" s="2659"/>
      <c r="ET211" s="2659"/>
      <c r="EU211" s="2659"/>
      <c r="EV211" s="2659"/>
      <c r="EW211" s="2659"/>
      <c r="EX211" s="2659"/>
      <c r="EY211" s="2659"/>
      <c r="EZ211" s="2659"/>
      <c r="FA211" s="2659"/>
      <c r="FB211" s="2659"/>
      <c r="FC211" s="2659"/>
      <c r="FD211" s="2659"/>
      <c r="FE211" s="2659"/>
    </row>
    <row r="212" spans="1:161" outlineLevel="2">
      <c r="B212" t="s">
        <v>539</v>
      </c>
      <c r="C212" t="s">
        <v>540</v>
      </c>
      <c r="F212" s="2659"/>
      <c r="G212" s="2659"/>
      <c r="H212" s="2659"/>
      <c r="I212" s="2659"/>
      <c r="J212" s="2659"/>
      <c r="K212" s="2659"/>
      <c r="L212" s="2659"/>
      <c r="M212" s="2659"/>
      <c r="N212" s="2659"/>
      <c r="O212" s="2659"/>
      <c r="P212" s="2659"/>
      <c r="Q212" s="2659"/>
      <c r="R212" s="2659"/>
      <c r="S212" s="2659"/>
      <c r="T212" s="2659"/>
      <c r="U212" s="2659"/>
      <c r="V212" s="2659"/>
      <c r="W212" s="2659"/>
      <c r="X212" s="2659"/>
      <c r="Y212" s="2659"/>
      <c r="Z212" s="2659"/>
      <c r="AA212" s="2659"/>
      <c r="AB212" s="2659"/>
      <c r="AC212" s="2659"/>
      <c r="AD212" s="2659"/>
      <c r="AE212" s="2659"/>
      <c r="AF212" s="2659"/>
      <c r="AG212" s="2659"/>
      <c r="AH212" s="2659"/>
      <c r="AI212" s="2659"/>
      <c r="AJ212" s="2659"/>
      <c r="AK212" s="2659"/>
      <c r="AL212" s="2659"/>
      <c r="AM212" s="2659"/>
      <c r="AN212" s="2659"/>
      <c r="AO212" s="2659"/>
      <c r="AP212" s="2659"/>
      <c r="AQ212" s="2659"/>
      <c r="AR212" s="2659"/>
      <c r="AS212" s="2659"/>
      <c r="AT212" s="2659"/>
      <c r="AU212" s="2659"/>
      <c r="AV212" s="2659"/>
      <c r="AW212" s="2659"/>
      <c r="AX212" s="2659"/>
      <c r="AY212" s="2659"/>
      <c r="AZ212" s="2659"/>
      <c r="BA212" s="2659"/>
      <c r="BB212" s="2659"/>
      <c r="BC212" s="2659"/>
      <c r="BD212" s="2659"/>
      <c r="BE212" s="2659"/>
      <c r="BF212" s="2659"/>
      <c r="BG212" s="2659"/>
      <c r="BH212" s="2659"/>
      <c r="BI212" s="2659"/>
      <c r="BJ212" s="2659"/>
      <c r="BK212" s="2659"/>
      <c r="BL212" s="2659"/>
      <c r="BM212" s="2659"/>
      <c r="BN212" s="2659"/>
      <c r="BO212" s="2659"/>
      <c r="BP212" s="2659"/>
      <c r="BQ212" s="2659"/>
      <c r="BR212" s="2659"/>
      <c r="BS212" s="2659"/>
      <c r="BT212" s="2659"/>
      <c r="BU212" s="2659"/>
      <c r="BV212" s="2659"/>
      <c r="BW212" s="2659"/>
      <c r="BX212" s="2659"/>
      <c r="BY212" s="2659"/>
      <c r="BZ212" s="2659"/>
      <c r="CA212" s="2659"/>
      <c r="CB212" s="2659"/>
      <c r="CC212" s="2659"/>
      <c r="CD212" s="2659"/>
      <c r="CE212" s="2659"/>
      <c r="CF212" s="2659"/>
      <c r="CG212" s="2659"/>
      <c r="CH212" s="2659"/>
      <c r="CI212" s="2659"/>
      <c r="CJ212" s="2659"/>
      <c r="CK212" s="2659"/>
      <c r="CL212" s="2659"/>
      <c r="CM212" s="2659"/>
      <c r="CN212" s="2659"/>
      <c r="CO212" s="2659"/>
      <c r="CP212" s="2659"/>
      <c r="CQ212" s="2659"/>
      <c r="CR212" s="2659"/>
      <c r="CS212" s="2659"/>
      <c r="CT212" s="2659"/>
      <c r="CU212" s="2659"/>
      <c r="CV212" s="2659"/>
      <c r="CW212" s="2659"/>
      <c r="CX212" s="2659"/>
      <c r="CY212" s="2659"/>
      <c r="CZ212" s="2659"/>
      <c r="DA212" s="2659"/>
      <c r="DB212" s="2659"/>
      <c r="DC212" s="2659"/>
      <c r="DD212" s="2659"/>
      <c r="DE212" s="2659"/>
      <c r="DF212" s="2659"/>
      <c r="DG212" s="2659"/>
      <c r="DH212" s="2659"/>
      <c r="DI212" s="2659"/>
      <c r="DJ212" s="2659"/>
      <c r="DK212" s="2659"/>
      <c r="DL212" s="2659"/>
      <c r="DM212" s="2659"/>
      <c r="DN212" s="2659"/>
      <c r="DO212" s="2659"/>
      <c r="DP212" s="2659"/>
      <c r="DQ212" s="2659"/>
      <c r="DR212" s="2659"/>
      <c r="DS212" s="2659"/>
      <c r="DT212" s="2659"/>
      <c r="DU212" s="2659"/>
      <c r="DV212" s="2659"/>
      <c r="DW212" s="2659"/>
      <c r="DX212" s="2659"/>
      <c r="DY212" s="2659"/>
      <c r="DZ212" s="2659"/>
      <c r="EA212" s="2659"/>
      <c r="EB212" s="2659"/>
      <c r="EC212" s="2659"/>
      <c r="ED212" s="2659"/>
      <c r="EE212" s="2659"/>
      <c r="EF212" s="2659"/>
      <c r="EG212" s="2659"/>
      <c r="EH212" s="2659"/>
      <c r="EI212" s="2659"/>
      <c r="EJ212" s="2659"/>
      <c r="EK212" s="2659"/>
      <c r="EL212" s="2659"/>
      <c r="EM212" s="2659"/>
      <c r="EN212" s="2659"/>
      <c r="EO212" s="2659"/>
      <c r="EP212" s="2659"/>
      <c r="EQ212" s="2659"/>
      <c r="ER212" s="2659"/>
      <c r="ES212" s="2659"/>
      <c r="ET212" s="2659"/>
      <c r="EU212" s="2659"/>
      <c r="EV212" s="2659"/>
      <c r="EW212" s="2659"/>
      <c r="EX212" s="2659"/>
      <c r="EY212" s="2659"/>
      <c r="EZ212" s="2659"/>
      <c r="FA212" s="2659"/>
      <c r="FB212" s="2659"/>
      <c r="FC212" s="2659"/>
      <c r="FD212" s="2659"/>
      <c r="FE212" s="2659"/>
    </row>
    <row r="213" spans="1:161" outlineLevel="2">
      <c r="B213" t="s">
        <v>541</v>
      </c>
      <c r="C213" t="s">
        <v>542</v>
      </c>
      <c r="F213" s="2659"/>
      <c r="G213" s="2659"/>
      <c r="H213" s="2659"/>
      <c r="I213" s="2659"/>
      <c r="J213" s="2659"/>
      <c r="K213" s="2659"/>
      <c r="L213" s="2659"/>
      <c r="M213" s="2659"/>
      <c r="N213" s="2659"/>
      <c r="O213" s="2659"/>
      <c r="P213" s="2659"/>
      <c r="Q213" s="2659"/>
      <c r="R213" s="2659">
        <f>Geo!ED84</f>
      </c>
      <c r="S213" s="2659">
        <f>Geo!EE84</f>
      </c>
      <c r="T213" s="2659">
        <f>Geo!EF84</f>
      </c>
      <c r="U213" s="2659">
        <f>Geo!EG84</f>
      </c>
      <c r="V213" s="2659">
        <f>Geo!EH84</f>
      </c>
      <c r="W213" s="2659">
        <f>Geo!EI84</f>
      </c>
      <c r="X213" s="2659">
        <f>W213</f>
      </c>
      <c r="Y213" s="2659"/>
      <c r="Z213" s="2659"/>
      <c r="AA213" s="2659"/>
      <c r="AB213" s="2659"/>
      <c r="AC213" s="2659"/>
      <c r="AD213" s="2659"/>
      <c r="AE213" s="2659"/>
      <c r="AF213" s="2659"/>
      <c r="AG213" s="2659"/>
      <c r="AH213" s="2659"/>
      <c r="AI213" s="2659"/>
      <c r="AJ213" s="2659"/>
      <c r="AK213" s="2659"/>
      <c r="AL213" s="2659"/>
      <c r="AM213" s="2659"/>
      <c r="AN213" s="2659"/>
      <c r="AO213" s="2659"/>
      <c r="AP213" s="2659"/>
      <c r="AQ213" s="2659"/>
      <c r="AR213" s="2659"/>
      <c r="AS213" s="2659"/>
      <c r="AT213" s="2659"/>
      <c r="AU213" s="2659"/>
      <c r="AV213" s="2659"/>
      <c r="AW213" s="2659"/>
      <c r="AX213" s="2659"/>
      <c r="AY213" s="2659"/>
      <c r="AZ213" s="2659"/>
      <c r="BA213" s="2659"/>
      <c r="BB213" s="2659"/>
      <c r="BC213" s="2659"/>
      <c r="BD213" s="2659"/>
      <c r="BE213" s="2659"/>
      <c r="BF213" s="2659"/>
      <c r="BG213" s="2659"/>
      <c r="BH213" s="2659"/>
      <c r="BI213" s="2659"/>
      <c r="BJ213" s="2659"/>
      <c r="BK213" s="2659"/>
      <c r="BL213" s="2659"/>
      <c r="BM213" s="2659"/>
      <c r="BN213" s="2659"/>
      <c r="BO213" s="2659"/>
      <c r="BP213" s="2659"/>
      <c r="BQ213" s="2659"/>
      <c r="BR213" s="2659"/>
      <c r="BS213" s="2659"/>
      <c r="BT213" s="2659"/>
      <c r="BU213" s="2659"/>
      <c r="BV213" s="2659"/>
      <c r="BW213" s="2659"/>
      <c r="BX213" s="2659"/>
      <c r="BY213" s="2659"/>
      <c r="BZ213" s="2659"/>
      <c r="CA213" s="2659"/>
      <c r="CB213" s="2659"/>
      <c r="CC213" s="2659"/>
      <c r="CD213" s="2659"/>
      <c r="CE213" s="2659"/>
      <c r="CF213" s="2659"/>
      <c r="CG213" s="2659"/>
      <c r="CH213" s="2659">
        <f>Geo!AT84</f>
      </c>
      <c r="CI213" s="2659">
        <f>Geo!AU84</f>
      </c>
      <c r="CJ213" s="2659">
        <f>Geo!AV84</f>
      </c>
      <c r="CK213" s="2659">
        <f>Geo!AW84</f>
      </c>
      <c r="CL213" s="2659">
        <f>Geo!AX84</f>
      </c>
      <c r="CM213" s="2659">
        <f>Geo!AY84</f>
      </c>
      <c r="CN213" s="2659">
        <f>Geo!AZ84</f>
      </c>
      <c r="CO213" s="2659">
        <f>Geo!BA84</f>
      </c>
      <c r="CP213" s="2659">
        <f>Geo!BB84</f>
      </c>
      <c r="CQ213" s="2659">
        <f>Geo!BC84</f>
      </c>
      <c r="CR213" s="2659">
        <f>Geo!BD84</f>
      </c>
      <c r="CS213" s="2659">
        <f>Geo!BE84</f>
      </c>
      <c r="CT213" s="2659">
        <f>Geo!BF84</f>
      </c>
      <c r="CU213" s="2659">
        <f>Geo!BG84</f>
      </c>
      <c r="CV213" s="2659"/>
      <c r="CW213" s="2659"/>
      <c r="CX213" s="2659"/>
      <c r="CY213" s="2659"/>
      <c r="CZ213" s="2659"/>
      <c r="DA213" s="2659"/>
      <c r="DB213" s="2659"/>
      <c r="DC213" s="2659"/>
      <c r="DD213" s="2659"/>
      <c r="DE213" s="2659"/>
      <c r="DF213" s="2659"/>
      <c r="DG213" s="2659"/>
      <c r="DH213" s="2659"/>
      <c r="DI213" s="2659"/>
      <c r="DJ213" s="2659"/>
      <c r="DK213" s="2659"/>
      <c r="DL213" s="2659"/>
      <c r="DM213" s="2659"/>
      <c r="DN213" s="2659"/>
      <c r="DO213" s="2659"/>
      <c r="DP213" s="2659"/>
      <c r="DQ213" s="2659"/>
      <c r="DR213" s="2659"/>
      <c r="DS213" s="2659"/>
      <c r="DT213" s="2659"/>
      <c r="DU213" s="2659"/>
      <c r="DV213" s="2659"/>
      <c r="DW213" s="2659"/>
      <c r="DX213" s="2659"/>
      <c r="DY213" s="2659"/>
      <c r="DZ213" s="2659"/>
      <c r="EA213" s="2659"/>
      <c r="EB213" s="2659"/>
      <c r="EC213" s="2659"/>
      <c r="ED213" s="2659"/>
      <c r="EE213" s="2659"/>
      <c r="EF213" s="2659"/>
      <c r="EG213" s="2659"/>
      <c r="EH213" s="2659"/>
      <c r="EI213" s="2659"/>
      <c r="EJ213" s="2659"/>
      <c r="EK213" s="2659"/>
      <c r="EL213" s="2659"/>
      <c r="EM213" s="2659"/>
      <c r="EN213" s="2659"/>
      <c r="EO213" s="2659"/>
      <c r="EP213" s="2659"/>
      <c r="EQ213" s="2659"/>
      <c r="ER213" s="2659"/>
      <c r="ES213" s="2659"/>
      <c r="ET213" s="2659"/>
      <c r="EU213" s="2659"/>
      <c r="EV213" s="2659"/>
      <c r="EW213" s="2659"/>
      <c r="EX213" s="2659"/>
      <c r="EY213" s="2659"/>
      <c r="EZ213" s="2659"/>
      <c r="FA213" s="2659"/>
      <c r="FB213" s="2659"/>
      <c r="FC213" s="2659"/>
      <c r="FD213" s="2659"/>
      <c r="FE213" s="2659"/>
    </row>
    <row r="214" spans="1:161" s="539" customFormat="1" outlineLevel="1">
      <c r="A214" s="540" t="s">
        <v>742</v>
      </c>
      <c r="B214" s="540"/>
      <c r="C214" s="540"/>
      <c r="D214" s="540"/>
    </row>
    <row r="215" spans="1:161" outlineLevel="2">
      <c r="B215" t="s">
        <v>435</v>
      </c>
      <c r="C215" t="s">
        <v>436</v>
      </c>
      <c r="F215" s="2660">
        <v>0.53848852360400001</v>
      </c>
      <c r="G215" s="2660">
        <v>0.558642550811</v>
      </c>
      <c r="H215" s="2660">
        <v>0.545280390108</v>
      </c>
      <c r="I215" s="2660">
        <v>0.51248590301300001</v>
      </c>
      <c r="J215" s="2660">
        <v>0.48544510206500002</v>
      </c>
      <c r="K215" s="2660">
        <v>0.477926925562</v>
      </c>
      <c r="L215" s="2660">
        <v>0.48744499093999999</v>
      </c>
      <c r="M215" s="2660">
        <v>0.48445764504799999</v>
      </c>
      <c r="N215" s="2660">
        <v>0.44149262489699997</v>
      </c>
      <c r="O215" s="2660">
        <v>0.44239599114299999</v>
      </c>
      <c r="P215" s="2660">
        <v>0.37559218091199997</v>
      </c>
      <c r="Q215" s="2660">
        <v>0.35395246145499998</v>
      </c>
      <c r="R215" s="2660">
        <f>Geo!ED80</f>
      </c>
      <c r="S215" s="2660">
        <f>Geo!EE80</f>
      </c>
      <c r="T215" s="2660">
        <f>Geo!EF80</f>
      </c>
      <c r="U215" s="2660">
        <f>Geo!EG80</f>
      </c>
      <c r="V215" s="2660"/>
      <c r="W215" s="2660"/>
      <c r="X215" s="2660"/>
      <c r="Y215" s="2660"/>
      <c r="Z215" s="2660"/>
      <c r="AA215" s="2660"/>
      <c r="AB215" s="2660"/>
      <c r="AC215" s="2660"/>
      <c r="AD215" s="2660"/>
      <c r="AE215" s="2660"/>
      <c r="AF215" s="2660"/>
      <c r="AG215" s="2660"/>
      <c r="AH215" s="2660"/>
      <c r="AI215" s="2660"/>
      <c r="AJ215" s="2660"/>
      <c r="AK215" s="2660"/>
      <c r="AL215" s="2660"/>
      <c r="AM215" s="2660"/>
      <c r="AN215" s="2660"/>
      <c r="AO215" s="2660"/>
      <c r="AP215" s="2660"/>
      <c r="AQ215" s="2660"/>
      <c r="AR215" s="2660"/>
      <c r="AS215" s="2660"/>
      <c r="AT215" s="2660"/>
      <c r="AU215" s="2660"/>
      <c r="AV215" s="2660"/>
      <c r="AW215" s="2660"/>
      <c r="AX215" s="2660">
        <v>0.50135869565199997</v>
      </c>
      <c r="AY215" s="2660">
        <v>0.46372881355899997</v>
      </c>
      <c r="AZ215" s="2660">
        <v>0.53786407767</v>
      </c>
      <c r="BA215" s="2660">
        <v>0.54110787171999997</v>
      </c>
      <c r="BB215" s="2660">
        <v>0.46061814556300001</v>
      </c>
      <c r="BC215" s="2660">
        <v>0.461498166579</v>
      </c>
      <c r="BD215" s="2660">
        <v>0.50546176762700001</v>
      </c>
      <c r="BE215" s="2660">
        <v>0.50893617021299997</v>
      </c>
      <c r="BF215" s="2660">
        <v>0.46905444126099999</v>
      </c>
      <c r="BG215" s="2660">
        <v>0.44495837187800003</v>
      </c>
      <c r="BH215" s="2660">
        <v>0.49403409090900002</v>
      </c>
      <c r="BI215" s="2660">
        <v>0.48151169113600001</v>
      </c>
      <c r="BJ215" s="2660">
        <v>0.46964689511199997</v>
      </c>
      <c r="BK215" s="2660">
        <v>0.48680890112399999</v>
      </c>
      <c r="BL215" s="2660">
        <v>0.50640732265400001</v>
      </c>
      <c r="BM215" s="2660">
        <v>0.48542485011399999</v>
      </c>
      <c r="BN215" s="2660">
        <v>0.49529692545300003</v>
      </c>
      <c r="BO215" s="2660">
        <v>0.46916382898199999</v>
      </c>
      <c r="BP215" s="2660">
        <v>0.49307927377299998</v>
      </c>
      <c r="BQ215" s="2660">
        <v>0.47774750227099999</v>
      </c>
      <c r="BR215" s="2660">
        <v>0.44439117929100003</v>
      </c>
      <c r="BS215" s="2660">
        <v>0.43395989974900001</v>
      </c>
      <c r="BT215" s="2660">
        <v>0.46792752281400002</v>
      </c>
      <c r="BU215" s="2660">
        <v>0.41762152777799999</v>
      </c>
      <c r="BV215" s="2660">
        <v>0.44621212121199999</v>
      </c>
      <c r="BW215" s="2660">
        <v>0.43703214442999999</v>
      </c>
      <c r="BX215" s="2660">
        <v>0.45962605300999998</v>
      </c>
      <c r="BY215" s="2660">
        <v>0.428934218072</v>
      </c>
      <c r="BZ215" s="2660">
        <v>0.38844608812100001</v>
      </c>
      <c r="CA215" s="2660">
        <v>0.36987925031500002</v>
      </c>
      <c r="CB215" s="2660">
        <v>0.39662420382199998</v>
      </c>
      <c r="CC215" s="2660">
        <v>0.35324190139099998</v>
      </c>
      <c r="CD215" s="2660">
        <v>0.34471410942000003</v>
      </c>
      <c r="CE215" s="2660">
        <v>0.37795435196799998</v>
      </c>
      <c r="CF215" s="2660">
        <v>0.35441531623</v>
      </c>
      <c r="CG215" s="2660">
        <v>0.34128050937400001</v>
      </c>
      <c r="CH215" s="2660">
        <f>Geo!AT80</f>
      </c>
      <c r="CI215" s="2660">
        <f>Geo!AU80</f>
      </c>
      <c r="CJ215" s="2660">
        <f>Geo!AV80</f>
      </c>
      <c r="CK215" s="2660">
        <f>Geo!AW80</f>
      </c>
      <c r="CL215" s="2660">
        <f>Geo!AX80</f>
      </c>
      <c r="CM215" s="2660">
        <f>Geo!AY80</f>
      </c>
      <c r="CN215" s="2660">
        <f>Geo!AZ80</f>
      </c>
      <c r="CO215" s="2660">
        <f>Geo!BA80</f>
      </c>
      <c r="CP215" s="2660">
        <f>Geo!BB80</f>
      </c>
      <c r="CQ215" s="2660">
        <f>Geo!BC80</f>
      </c>
      <c r="CR215" s="2660">
        <f>Geo!BD80</f>
      </c>
      <c r="CS215" s="2660">
        <f>Geo!BE80</f>
      </c>
      <c r="CT215" s="2660">
        <f>Geo!BF80</f>
      </c>
      <c r="CU215" s="2660">
        <f>Geo!BG80</f>
      </c>
      <c r="CV215" s="2660"/>
      <c r="CW215" s="2660"/>
      <c r="CX215" s="2660"/>
      <c r="CY215" s="2660"/>
      <c r="CZ215" s="2660"/>
      <c r="DA215" s="2660"/>
      <c r="DB215" s="2660"/>
      <c r="DC215" s="2660"/>
      <c r="DD215" s="2660"/>
      <c r="DE215" s="2660"/>
      <c r="DF215" s="2660"/>
      <c r="DG215" s="2660"/>
      <c r="DH215" s="2660"/>
      <c r="DI215" s="2660"/>
      <c r="DJ215" s="2660"/>
      <c r="DK215" s="2660"/>
      <c r="DL215" s="2660"/>
      <c r="DM215" s="2660"/>
      <c r="DN215" s="2660"/>
      <c r="DO215" s="2660"/>
      <c r="DP215" s="2660"/>
      <c r="DQ215" s="2660"/>
      <c r="DR215" s="2660"/>
      <c r="DS215" s="2660"/>
      <c r="DT215" s="2660"/>
      <c r="DU215" s="2660"/>
      <c r="DV215" s="2660"/>
      <c r="DW215" s="2660"/>
      <c r="DX215" s="2660"/>
      <c r="DY215" s="2660"/>
      <c r="DZ215" s="2660"/>
      <c r="EA215" s="2660"/>
      <c r="EB215" s="2660"/>
      <c r="EC215" s="2660"/>
      <c r="ED215" s="2660"/>
      <c r="EE215" s="2660"/>
      <c r="EF215" s="2660"/>
      <c r="EG215" s="2660"/>
      <c r="EH215" s="2660"/>
      <c r="EI215" s="2660"/>
      <c r="EJ215" s="2660"/>
      <c r="EK215" s="2660"/>
      <c r="EL215" s="2660"/>
      <c r="EM215" s="2660"/>
      <c r="EN215" s="2660"/>
      <c r="EO215" s="2660"/>
      <c r="EP215" s="2660"/>
      <c r="EQ215" s="2660"/>
      <c r="ER215" s="2660"/>
      <c r="ES215" s="2660"/>
      <c r="ET215" s="2660"/>
      <c r="EU215" s="2660"/>
      <c r="EV215" s="2660"/>
      <c r="EW215" s="2660"/>
      <c r="EX215" s="2660"/>
      <c r="EY215" s="2660"/>
      <c r="EZ215" s="2660"/>
      <c r="FA215" s="2660"/>
      <c r="FB215" s="2660"/>
      <c r="FC215" s="2660"/>
      <c r="FD215" s="2660"/>
      <c r="FE215" s="2660"/>
    </row>
    <row r="216" spans="1:161" outlineLevel="2">
      <c r="B216" t="s">
        <v>453</v>
      </c>
      <c r="C216" t="s">
        <v>454</v>
      </c>
      <c r="F216" s="2660"/>
      <c r="G216" s="2660"/>
      <c r="H216" s="2660"/>
      <c r="I216" s="2660"/>
      <c r="J216" s="2660"/>
      <c r="K216" s="2660"/>
      <c r="L216" s="2660"/>
      <c r="M216" s="2660"/>
      <c r="N216" s="2660"/>
      <c r="O216" s="2660"/>
      <c r="P216" s="2660"/>
      <c r="Q216" s="2660"/>
      <c r="R216" s="2660"/>
      <c r="S216" s="2660"/>
      <c r="T216" s="2660"/>
      <c r="U216" s="2660"/>
      <c r="V216" s="2660"/>
      <c r="W216" s="2660"/>
      <c r="X216" s="2660"/>
      <c r="Y216" s="2660"/>
      <c r="Z216" s="2660"/>
      <c r="AA216" s="2660"/>
      <c r="AB216" s="2660"/>
      <c r="AC216" s="2660"/>
      <c r="AD216" s="2660"/>
      <c r="AE216" s="2660"/>
      <c r="AF216" s="2660"/>
      <c r="AG216" s="2660"/>
      <c r="AH216" s="2660"/>
      <c r="AI216" s="2660"/>
      <c r="AJ216" s="2660"/>
      <c r="AK216" s="2660"/>
      <c r="AL216" s="2660"/>
      <c r="AM216" s="2660"/>
      <c r="AN216" s="2660"/>
      <c r="AO216" s="2660"/>
      <c r="AP216" s="2660"/>
      <c r="AQ216" s="2660"/>
      <c r="AR216" s="2660"/>
      <c r="AS216" s="2660"/>
      <c r="AT216" s="2660"/>
      <c r="AU216" s="2660"/>
      <c r="AV216" s="2660"/>
      <c r="AW216" s="2660"/>
      <c r="AX216" s="2660"/>
      <c r="AY216" s="2660"/>
      <c r="AZ216" s="2660"/>
      <c r="BA216" s="2660"/>
      <c r="BB216" s="2660"/>
      <c r="BC216" s="2660"/>
      <c r="BD216" s="2660"/>
      <c r="BE216" s="2660"/>
      <c r="BF216" s="2660"/>
      <c r="BG216" s="2660"/>
      <c r="BH216" s="2660"/>
      <c r="BI216" s="2660"/>
      <c r="BJ216" s="2660"/>
      <c r="BK216" s="2660"/>
      <c r="BL216" s="2660"/>
      <c r="BM216" s="2660"/>
      <c r="BN216" s="2660"/>
      <c r="BO216" s="2660"/>
      <c r="BP216" s="2660"/>
      <c r="BQ216" s="2660"/>
      <c r="BR216" s="2660"/>
      <c r="BS216" s="2660"/>
      <c r="BT216" s="2660"/>
      <c r="BU216" s="2660"/>
      <c r="BV216" s="2660"/>
      <c r="BW216" s="2660"/>
      <c r="BX216" s="2660"/>
      <c r="BY216" s="2660"/>
      <c r="BZ216" s="2660"/>
      <c r="CA216" s="2660"/>
      <c r="CB216" s="2660"/>
      <c r="CC216" s="2660"/>
      <c r="CD216" s="2660"/>
      <c r="CE216" s="2660"/>
      <c r="CF216" s="2660"/>
      <c r="CG216" s="2660"/>
      <c r="CH216" s="2660"/>
      <c r="CI216" s="2660"/>
      <c r="CJ216" s="2660"/>
      <c r="CK216" s="2660"/>
      <c r="CL216" s="2660"/>
      <c r="CM216" s="2660"/>
      <c r="CN216" s="2660"/>
      <c r="CO216" s="2660"/>
      <c r="CP216" s="2660"/>
      <c r="CQ216" s="2660"/>
      <c r="CR216" s="2660"/>
      <c r="CS216" s="2660"/>
      <c r="CT216" s="2660"/>
      <c r="CU216" s="2660"/>
      <c r="CV216" s="2660"/>
      <c r="CW216" s="2660"/>
      <c r="CX216" s="2660"/>
      <c r="CY216" s="2660"/>
      <c r="CZ216" s="2660"/>
      <c r="DA216" s="2660"/>
      <c r="DB216" s="2660"/>
      <c r="DC216" s="2660"/>
      <c r="DD216" s="2660"/>
      <c r="DE216" s="2660"/>
      <c r="DF216" s="2660"/>
      <c r="DG216" s="2660"/>
      <c r="DH216" s="2660"/>
      <c r="DI216" s="2660"/>
      <c r="DJ216" s="2660"/>
      <c r="DK216" s="2660"/>
      <c r="DL216" s="2660"/>
      <c r="DM216" s="2660"/>
      <c r="DN216" s="2660"/>
      <c r="DO216" s="2660"/>
      <c r="DP216" s="2660"/>
      <c r="DQ216" s="2660"/>
      <c r="DR216" s="2660"/>
      <c r="DS216" s="2660"/>
      <c r="DT216" s="2660"/>
      <c r="DU216" s="2660"/>
      <c r="DV216" s="2660"/>
      <c r="DW216" s="2660"/>
      <c r="DX216" s="2660"/>
      <c r="DY216" s="2660"/>
      <c r="DZ216" s="2660"/>
      <c r="EA216" s="2660"/>
      <c r="EB216" s="2660"/>
      <c r="EC216" s="2660"/>
      <c r="ED216" s="2660"/>
      <c r="EE216" s="2660"/>
      <c r="EF216" s="2660"/>
      <c r="EG216" s="2660"/>
      <c r="EH216" s="2660"/>
      <c r="EI216" s="2660"/>
      <c r="EJ216" s="2660"/>
      <c r="EK216" s="2660"/>
      <c r="EL216" s="2660"/>
      <c r="EM216" s="2660"/>
      <c r="EN216" s="2660"/>
      <c r="EO216" s="2660"/>
      <c r="EP216" s="2660"/>
      <c r="EQ216" s="2660"/>
      <c r="ER216" s="2660"/>
      <c r="ES216" s="2660"/>
      <c r="ET216" s="2660"/>
      <c r="EU216" s="2660"/>
      <c r="EV216" s="2660"/>
      <c r="EW216" s="2660"/>
      <c r="EX216" s="2660"/>
      <c r="EY216" s="2660"/>
      <c r="EZ216" s="2660"/>
      <c r="FA216" s="2660"/>
      <c r="FB216" s="2660"/>
      <c r="FC216" s="2660"/>
      <c r="FD216" s="2660"/>
      <c r="FE216" s="2660"/>
    </row>
    <row r="217" spans="1:161" outlineLevel="2">
      <c r="B217" t="s">
        <v>455</v>
      </c>
      <c r="C217" t="s">
        <v>456</v>
      </c>
      <c r="F217" s="2660"/>
      <c r="G217" s="2660"/>
      <c r="H217" s="2660"/>
      <c r="I217" s="2660"/>
      <c r="J217" s="2660"/>
      <c r="K217" s="2660"/>
      <c r="L217" s="2660"/>
      <c r="M217" s="2660"/>
      <c r="N217" s="2660"/>
      <c r="O217" s="2660"/>
      <c r="P217" s="2660"/>
      <c r="Q217" s="2660"/>
      <c r="R217" s="2660"/>
      <c r="S217" s="2660"/>
      <c r="T217" s="2660"/>
      <c r="U217" s="2660"/>
      <c r="V217" s="2660"/>
      <c r="W217" s="2660"/>
      <c r="X217" s="2660"/>
      <c r="Y217" s="2660"/>
      <c r="Z217" s="2660"/>
      <c r="AA217" s="2660"/>
      <c r="AB217" s="2660"/>
      <c r="AC217" s="2660"/>
      <c r="AD217" s="2660"/>
      <c r="AE217" s="2660"/>
      <c r="AF217" s="2660"/>
      <c r="AG217" s="2660"/>
      <c r="AH217" s="2660"/>
      <c r="AI217" s="2660"/>
      <c r="AJ217" s="2660"/>
      <c r="AK217" s="2660"/>
      <c r="AL217" s="2660"/>
      <c r="AM217" s="2660"/>
      <c r="AN217" s="2660"/>
      <c r="AO217" s="2660"/>
      <c r="AP217" s="2660"/>
      <c r="AQ217" s="2660"/>
      <c r="AR217" s="2660"/>
      <c r="AS217" s="2660"/>
      <c r="AT217" s="2660"/>
      <c r="AU217" s="2660"/>
      <c r="AV217" s="2660"/>
      <c r="AW217" s="2660"/>
      <c r="AX217" s="2660"/>
      <c r="AY217" s="2660"/>
      <c r="AZ217" s="2660"/>
      <c r="BA217" s="2660"/>
      <c r="BB217" s="2660"/>
      <c r="BC217" s="2660"/>
      <c r="BD217" s="2660"/>
      <c r="BE217" s="2660"/>
      <c r="BF217" s="2660"/>
      <c r="BG217" s="2660"/>
      <c r="BH217" s="2660"/>
      <c r="BI217" s="2660"/>
      <c r="BJ217" s="2660"/>
      <c r="BK217" s="2660"/>
      <c r="BL217" s="2660"/>
      <c r="BM217" s="2660"/>
      <c r="BN217" s="2660"/>
      <c r="BO217" s="2660"/>
      <c r="BP217" s="2660"/>
      <c r="BQ217" s="2660"/>
      <c r="BR217" s="2660"/>
      <c r="BS217" s="2660"/>
      <c r="BT217" s="2660"/>
      <c r="BU217" s="2660"/>
      <c r="BV217" s="2660"/>
      <c r="BW217" s="2660"/>
      <c r="BX217" s="2660"/>
      <c r="BY217" s="2660"/>
      <c r="BZ217" s="2660"/>
      <c r="CA217" s="2660"/>
      <c r="CB217" s="2660"/>
      <c r="CC217" s="2660"/>
      <c r="CD217" s="2660"/>
      <c r="CE217" s="2660"/>
      <c r="CF217" s="2660"/>
      <c r="CG217" s="2660"/>
      <c r="CH217" s="2660"/>
      <c r="CI217" s="2660"/>
      <c r="CJ217" s="2660"/>
      <c r="CK217" s="2660"/>
      <c r="CL217" s="2660"/>
      <c r="CM217" s="2660"/>
      <c r="CN217" s="2660"/>
      <c r="CO217" s="2660"/>
      <c r="CP217" s="2660"/>
      <c r="CQ217" s="2660"/>
      <c r="CR217" s="2660"/>
      <c r="CS217" s="2660"/>
      <c r="CT217" s="2660"/>
      <c r="CU217" s="2660"/>
      <c r="CV217" s="2660"/>
      <c r="CW217" s="2660"/>
      <c r="CX217" s="2660"/>
      <c r="CY217" s="2660"/>
      <c r="CZ217" s="2660"/>
      <c r="DA217" s="2660"/>
      <c r="DB217" s="2660"/>
      <c r="DC217" s="2660"/>
      <c r="DD217" s="2660"/>
      <c r="DE217" s="2660"/>
      <c r="DF217" s="2660"/>
      <c r="DG217" s="2660"/>
      <c r="DH217" s="2660"/>
      <c r="DI217" s="2660"/>
      <c r="DJ217" s="2660"/>
      <c r="DK217" s="2660"/>
      <c r="DL217" s="2660"/>
      <c r="DM217" s="2660"/>
      <c r="DN217" s="2660"/>
      <c r="DO217" s="2660"/>
      <c r="DP217" s="2660"/>
      <c r="DQ217" s="2660"/>
      <c r="DR217" s="2660"/>
      <c r="DS217" s="2660"/>
      <c r="DT217" s="2660"/>
      <c r="DU217" s="2660"/>
      <c r="DV217" s="2660"/>
      <c r="DW217" s="2660"/>
      <c r="DX217" s="2660"/>
      <c r="DY217" s="2660"/>
      <c r="DZ217" s="2660"/>
      <c r="EA217" s="2660"/>
      <c r="EB217" s="2660"/>
      <c r="EC217" s="2660"/>
      <c r="ED217" s="2660"/>
      <c r="EE217" s="2660"/>
      <c r="EF217" s="2660"/>
      <c r="EG217" s="2660"/>
      <c r="EH217" s="2660"/>
      <c r="EI217" s="2660"/>
      <c r="EJ217" s="2660"/>
      <c r="EK217" s="2660"/>
      <c r="EL217" s="2660"/>
      <c r="EM217" s="2660"/>
      <c r="EN217" s="2660"/>
      <c r="EO217" s="2660"/>
      <c r="EP217" s="2660"/>
      <c r="EQ217" s="2660"/>
      <c r="ER217" s="2660"/>
      <c r="ES217" s="2660"/>
      <c r="ET217" s="2660"/>
      <c r="EU217" s="2660"/>
      <c r="EV217" s="2660"/>
      <c r="EW217" s="2660"/>
      <c r="EX217" s="2660"/>
      <c r="EY217" s="2660"/>
      <c r="EZ217" s="2660"/>
      <c r="FA217" s="2660"/>
      <c r="FB217" s="2660"/>
      <c r="FC217" s="2660"/>
      <c r="FD217" s="2660"/>
      <c r="FE217" s="2660"/>
    </row>
    <row r="218" spans="1:161" outlineLevel="2">
      <c r="B218" t="s">
        <v>459</v>
      </c>
      <c r="C218" t="s">
        <v>460</v>
      </c>
      <c r="F218" s="2660"/>
      <c r="G218" s="2660"/>
      <c r="H218" s="2660"/>
      <c r="I218" s="2660"/>
      <c r="J218" s="2660"/>
      <c r="K218" s="2660"/>
      <c r="L218" s="2660"/>
      <c r="M218" s="2660"/>
      <c r="N218" s="2660"/>
      <c r="O218" s="2660"/>
      <c r="P218" s="2660"/>
      <c r="Q218" s="2660"/>
      <c r="R218" s="2660"/>
      <c r="S218" s="2660"/>
      <c r="T218" s="2660"/>
      <c r="U218" s="2660"/>
      <c r="V218" s="2660"/>
      <c r="W218" s="2660"/>
      <c r="X218" s="2660"/>
      <c r="Y218" s="2660"/>
      <c r="Z218" s="2660"/>
      <c r="AA218" s="2660"/>
      <c r="AB218" s="2660"/>
      <c r="AC218" s="2660"/>
      <c r="AD218" s="2660"/>
      <c r="AE218" s="2660"/>
      <c r="AF218" s="2660"/>
      <c r="AG218" s="2660"/>
      <c r="AH218" s="2660"/>
      <c r="AI218" s="2660"/>
      <c r="AJ218" s="2660"/>
      <c r="AK218" s="2660"/>
      <c r="AL218" s="2660"/>
      <c r="AM218" s="2660"/>
      <c r="AN218" s="2660"/>
      <c r="AO218" s="2660"/>
      <c r="AP218" s="2660"/>
      <c r="AQ218" s="2660"/>
      <c r="AR218" s="2660"/>
      <c r="AS218" s="2660"/>
      <c r="AT218" s="2660"/>
      <c r="AU218" s="2660"/>
      <c r="AV218" s="2660"/>
      <c r="AW218" s="2660"/>
      <c r="AX218" s="2660"/>
      <c r="AY218" s="2660"/>
      <c r="AZ218" s="2660"/>
      <c r="BA218" s="2660"/>
      <c r="BB218" s="2660"/>
      <c r="BC218" s="2660"/>
      <c r="BD218" s="2660"/>
      <c r="BE218" s="2660"/>
      <c r="BF218" s="2660"/>
      <c r="BG218" s="2660"/>
      <c r="BH218" s="2660"/>
      <c r="BI218" s="2660"/>
      <c r="BJ218" s="2660"/>
      <c r="BK218" s="2660"/>
      <c r="BL218" s="2660"/>
      <c r="BM218" s="2660"/>
      <c r="BN218" s="2660"/>
      <c r="BO218" s="2660"/>
      <c r="BP218" s="2660"/>
      <c r="BQ218" s="2660"/>
      <c r="BR218" s="2660"/>
      <c r="BS218" s="2660"/>
      <c r="BT218" s="2660"/>
      <c r="BU218" s="2660"/>
      <c r="BV218" s="2660"/>
      <c r="BW218" s="2660"/>
      <c r="BX218" s="2660"/>
      <c r="BY218" s="2660"/>
      <c r="BZ218" s="2660"/>
      <c r="CA218" s="2660"/>
      <c r="CB218" s="2660"/>
      <c r="CC218" s="2660"/>
      <c r="CD218" s="2660"/>
      <c r="CE218" s="2660"/>
      <c r="CF218" s="2660"/>
      <c r="CG218" s="2660"/>
      <c r="CH218" s="2660"/>
      <c r="CI218" s="2660"/>
      <c r="CJ218" s="2660"/>
      <c r="CK218" s="2660"/>
      <c r="CL218" s="2660"/>
      <c r="CM218" s="2660"/>
      <c r="CN218" s="2660"/>
      <c r="CO218" s="2660"/>
      <c r="CP218" s="2660"/>
      <c r="CQ218" s="2660"/>
      <c r="CR218" s="2660"/>
      <c r="CS218" s="2660"/>
      <c r="CT218" s="2660"/>
      <c r="CU218" s="2660"/>
      <c r="CV218" s="2660"/>
      <c r="CW218" s="2660"/>
      <c r="CX218" s="2660"/>
      <c r="CY218" s="2660"/>
      <c r="CZ218" s="2660"/>
      <c r="DA218" s="2660"/>
      <c r="DB218" s="2660"/>
      <c r="DC218" s="2660"/>
      <c r="DD218" s="2660"/>
      <c r="DE218" s="2660"/>
      <c r="DF218" s="2660"/>
      <c r="DG218" s="2660"/>
      <c r="DH218" s="2660"/>
      <c r="DI218" s="2660"/>
      <c r="DJ218" s="2660"/>
      <c r="DK218" s="2660"/>
      <c r="DL218" s="2660"/>
      <c r="DM218" s="2660"/>
      <c r="DN218" s="2660"/>
      <c r="DO218" s="2660"/>
      <c r="DP218" s="2660"/>
      <c r="DQ218" s="2660"/>
      <c r="DR218" s="2660"/>
      <c r="DS218" s="2660"/>
      <c r="DT218" s="2660"/>
      <c r="DU218" s="2660"/>
      <c r="DV218" s="2660"/>
      <c r="DW218" s="2660"/>
      <c r="DX218" s="2660"/>
      <c r="DY218" s="2660"/>
      <c r="DZ218" s="2660"/>
      <c r="EA218" s="2660"/>
      <c r="EB218" s="2660"/>
      <c r="EC218" s="2660"/>
      <c r="ED218" s="2660"/>
      <c r="EE218" s="2660"/>
      <c r="EF218" s="2660"/>
      <c r="EG218" s="2660"/>
      <c r="EH218" s="2660"/>
      <c r="EI218" s="2660"/>
      <c r="EJ218" s="2660"/>
      <c r="EK218" s="2660"/>
      <c r="EL218" s="2660"/>
      <c r="EM218" s="2660"/>
      <c r="EN218" s="2660"/>
      <c r="EO218" s="2660"/>
      <c r="EP218" s="2660"/>
      <c r="EQ218" s="2660"/>
      <c r="ER218" s="2660"/>
      <c r="ES218" s="2660"/>
      <c r="ET218" s="2660"/>
      <c r="EU218" s="2660"/>
      <c r="EV218" s="2660"/>
      <c r="EW218" s="2660"/>
      <c r="EX218" s="2660"/>
      <c r="EY218" s="2660"/>
      <c r="EZ218" s="2660"/>
      <c r="FA218" s="2660"/>
      <c r="FB218" s="2660"/>
      <c r="FC218" s="2660"/>
      <c r="FD218" s="2660"/>
      <c r="FE218" s="2660"/>
    </row>
    <row r="219" spans="1:161" outlineLevel="2">
      <c r="B219" t="s">
        <v>461</v>
      </c>
      <c r="C219" t="s">
        <v>462</v>
      </c>
      <c r="F219" s="2660"/>
      <c r="G219" s="2660"/>
      <c r="H219" s="2660"/>
      <c r="I219" s="2660"/>
      <c r="J219" s="2660"/>
      <c r="K219" s="2660"/>
      <c r="L219" s="2660"/>
      <c r="M219" s="2660"/>
      <c r="N219" s="2660"/>
      <c r="O219" s="2660"/>
      <c r="P219" s="2660"/>
      <c r="Q219" s="2660"/>
      <c r="R219" s="2660"/>
      <c r="S219" s="2660"/>
      <c r="T219" s="2660"/>
      <c r="U219" s="2660"/>
      <c r="V219" s="2660"/>
      <c r="W219" s="2660"/>
      <c r="X219" s="2660"/>
      <c r="Y219" s="2660"/>
      <c r="Z219" s="2660"/>
      <c r="AA219" s="2660"/>
      <c r="AB219" s="2660"/>
      <c r="AC219" s="2660"/>
      <c r="AD219" s="2660"/>
      <c r="AE219" s="2660"/>
      <c r="AF219" s="2660"/>
      <c r="AG219" s="2660"/>
      <c r="AH219" s="2660"/>
      <c r="AI219" s="2660"/>
      <c r="AJ219" s="2660"/>
      <c r="AK219" s="2660"/>
      <c r="AL219" s="2660"/>
      <c r="AM219" s="2660"/>
      <c r="AN219" s="2660"/>
      <c r="AO219" s="2660"/>
      <c r="AP219" s="2660"/>
      <c r="AQ219" s="2660"/>
      <c r="AR219" s="2660"/>
      <c r="AS219" s="2660"/>
      <c r="AT219" s="2660"/>
      <c r="AU219" s="2660"/>
      <c r="AV219" s="2660"/>
      <c r="AW219" s="2660"/>
      <c r="AX219" s="2660"/>
      <c r="AY219" s="2660"/>
      <c r="AZ219" s="2660"/>
      <c r="BA219" s="2660"/>
      <c r="BB219" s="2660"/>
      <c r="BC219" s="2660"/>
      <c r="BD219" s="2660"/>
      <c r="BE219" s="2660"/>
      <c r="BF219" s="2660"/>
      <c r="BG219" s="2660"/>
      <c r="BH219" s="2660"/>
      <c r="BI219" s="2660"/>
      <c r="BJ219" s="2660"/>
      <c r="BK219" s="2660"/>
      <c r="BL219" s="2660"/>
      <c r="BM219" s="2660"/>
      <c r="BN219" s="2660"/>
      <c r="BO219" s="2660"/>
      <c r="BP219" s="2660"/>
      <c r="BQ219" s="2660"/>
      <c r="BR219" s="2660"/>
      <c r="BS219" s="2660"/>
      <c r="BT219" s="2660"/>
      <c r="BU219" s="2660"/>
      <c r="BV219" s="2660"/>
      <c r="BW219" s="2660"/>
      <c r="BX219" s="2660"/>
      <c r="BY219" s="2660"/>
      <c r="BZ219" s="2660"/>
      <c r="CA219" s="2660"/>
      <c r="CB219" s="2660"/>
      <c r="CC219" s="2660"/>
      <c r="CD219" s="2660"/>
      <c r="CE219" s="2660"/>
      <c r="CF219" s="2660"/>
      <c r="CG219" s="2660"/>
      <c r="CH219" s="2660"/>
      <c r="CI219" s="2660"/>
      <c r="CJ219" s="2660"/>
      <c r="CK219" s="2660"/>
      <c r="CL219" s="2660"/>
      <c r="CM219" s="2660"/>
      <c r="CN219" s="2660"/>
      <c r="CO219" s="2660"/>
      <c r="CP219" s="2660"/>
      <c r="CQ219" s="2660"/>
      <c r="CR219" s="2660"/>
      <c r="CS219" s="2660"/>
      <c r="CT219" s="2660"/>
      <c r="CU219" s="2660"/>
      <c r="CV219" s="2660"/>
      <c r="CW219" s="2660"/>
      <c r="CX219" s="2660"/>
      <c r="CY219" s="2660"/>
      <c r="CZ219" s="2660"/>
      <c r="DA219" s="2660"/>
      <c r="DB219" s="2660"/>
      <c r="DC219" s="2660"/>
      <c r="DD219" s="2660"/>
      <c r="DE219" s="2660"/>
      <c r="DF219" s="2660"/>
      <c r="DG219" s="2660"/>
      <c r="DH219" s="2660"/>
      <c r="DI219" s="2660"/>
      <c r="DJ219" s="2660"/>
      <c r="DK219" s="2660"/>
      <c r="DL219" s="2660"/>
      <c r="DM219" s="2660"/>
      <c r="DN219" s="2660"/>
      <c r="DO219" s="2660"/>
      <c r="DP219" s="2660"/>
      <c r="DQ219" s="2660"/>
      <c r="DR219" s="2660"/>
      <c r="DS219" s="2660"/>
      <c r="DT219" s="2660"/>
      <c r="DU219" s="2660"/>
      <c r="DV219" s="2660"/>
      <c r="DW219" s="2660"/>
      <c r="DX219" s="2660"/>
      <c r="DY219" s="2660"/>
      <c r="DZ219" s="2660"/>
      <c r="EA219" s="2660"/>
      <c r="EB219" s="2660"/>
      <c r="EC219" s="2660"/>
      <c r="ED219" s="2660"/>
      <c r="EE219" s="2660"/>
      <c r="EF219" s="2660"/>
      <c r="EG219" s="2660"/>
      <c r="EH219" s="2660"/>
      <c r="EI219" s="2660"/>
      <c r="EJ219" s="2660"/>
      <c r="EK219" s="2660"/>
      <c r="EL219" s="2660"/>
      <c r="EM219" s="2660"/>
      <c r="EN219" s="2660"/>
      <c r="EO219" s="2660"/>
      <c r="EP219" s="2660"/>
      <c r="EQ219" s="2660"/>
      <c r="ER219" s="2660"/>
      <c r="ES219" s="2660"/>
      <c r="ET219" s="2660"/>
      <c r="EU219" s="2660"/>
      <c r="EV219" s="2660"/>
      <c r="EW219" s="2660"/>
      <c r="EX219" s="2660"/>
      <c r="EY219" s="2660"/>
      <c r="EZ219" s="2660"/>
      <c r="FA219" s="2660"/>
      <c r="FB219" s="2660"/>
      <c r="FC219" s="2660"/>
      <c r="FD219" s="2660"/>
      <c r="FE219" s="2660"/>
    </row>
    <row r="220" spans="1:161" outlineLevel="2">
      <c r="B220" t="s">
        <v>463</v>
      </c>
      <c r="C220" t="s">
        <v>464</v>
      </c>
      <c r="F220" s="2660"/>
      <c r="G220" s="2660"/>
      <c r="H220" s="2660"/>
      <c r="I220" s="2660"/>
      <c r="J220" s="2660"/>
      <c r="K220" s="2660"/>
      <c r="L220" s="2660"/>
      <c r="M220" s="2660"/>
      <c r="N220" s="2660"/>
      <c r="O220" s="2660"/>
      <c r="P220" s="2660"/>
      <c r="Q220" s="2660"/>
      <c r="R220" s="2660"/>
      <c r="S220" s="2660"/>
      <c r="T220" s="2660"/>
      <c r="U220" s="2660"/>
      <c r="V220" s="2660"/>
      <c r="W220" s="2660"/>
      <c r="X220" s="2660"/>
      <c r="Y220" s="2660"/>
      <c r="Z220" s="2660"/>
      <c r="AA220" s="2660"/>
      <c r="AB220" s="2660"/>
      <c r="AC220" s="2660"/>
      <c r="AD220" s="2660"/>
      <c r="AE220" s="2660"/>
      <c r="AF220" s="2660"/>
      <c r="AG220" s="2660"/>
      <c r="AH220" s="2660"/>
      <c r="AI220" s="2660"/>
      <c r="AJ220" s="2660"/>
      <c r="AK220" s="2660"/>
      <c r="AL220" s="2660"/>
      <c r="AM220" s="2660"/>
      <c r="AN220" s="2660"/>
      <c r="AO220" s="2660"/>
      <c r="AP220" s="2660"/>
      <c r="AQ220" s="2660"/>
      <c r="AR220" s="2660"/>
      <c r="AS220" s="2660"/>
      <c r="AT220" s="2660"/>
      <c r="AU220" s="2660"/>
      <c r="AV220" s="2660"/>
      <c r="AW220" s="2660"/>
      <c r="AX220" s="2660"/>
      <c r="AY220" s="2660"/>
      <c r="AZ220" s="2660"/>
      <c r="BA220" s="2660"/>
      <c r="BB220" s="2660"/>
      <c r="BC220" s="2660"/>
      <c r="BD220" s="2660"/>
      <c r="BE220" s="2660"/>
      <c r="BF220" s="2660"/>
      <c r="BG220" s="2660"/>
      <c r="BH220" s="2660"/>
      <c r="BI220" s="2660"/>
      <c r="BJ220" s="2660"/>
      <c r="BK220" s="2660"/>
      <c r="BL220" s="2660"/>
      <c r="BM220" s="2660"/>
      <c r="BN220" s="2660"/>
      <c r="BO220" s="2660"/>
      <c r="BP220" s="2660"/>
      <c r="BQ220" s="2660"/>
      <c r="BR220" s="2660"/>
      <c r="BS220" s="2660"/>
      <c r="BT220" s="2660"/>
      <c r="BU220" s="2660"/>
      <c r="BV220" s="2660"/>
      <c r="BW220" s="2660"/>
      <c r="BX220" s="2660"/>
      <c r="BY220" s="2660"/>
      <c r="BZ220" s="2660"/>
      <c r="CA220" s="2660"/>
      <c r="CB220" s="2660"/>
      <c r="CC220" s="2660"/>
      <c r="CD220" s="2660"/>
      <c r="CE220" s="2660"/>
      <c r="CF220" s="2660"/>
      <c r="CG220" s="2660"/>
      <c r="CH220" s="2660"/>
      <c r="CI220" s="2660"/>
      <c r="CJ220" s="2660"/>
      <c r="CK220" s="2660"/>
      <c r="CL220" s="2660"/>
      <c r="CM220" s="2660"/>
      <c r="CN220" s="2660"/>
      <c r="CO220" s="2660"/>
      <c r="CP220" s="2660"/>
      <c r="CQ220" s="2660"/>
      <c r="CR220" s="2660"/>
      <c r="CS220" s="2660"/>
      <c r="CT220" s="2660"/>
      <c r="CU220" s="2660"/>
      <c r="CV220" s="2660"/>
      <c r="CW220" s="2660"/>
      <c r="CX220" s="2660"/>
      <c r="CY220" s="2660"/>
      <c r="CZ220" s="2660"/>
      <c r="DA220" s="2660"/>
      <c r="DB220" s="2660"/>
      <c r="DC220" s="2660"/>
      <c r="DD220" s="2660"/>
      <c r="DE220" s="2660"/>
      <c r="DF220" s="2660"/>
      <c r="DG220" s="2660"/>
      <c r="DH220" s="2660"/>
      <c r="DI220" s="2660"/>
      <c r="DJ220" s="2660"/>
      <c r="DK220" s="2660"/>
      <c r="DL220" s="2660"/>
      <c r="DM220" s="2660"/>
      <c r="DN220" s="2660"/>
      <c r="DO220" s="2660"/>
      <c r="DP220" s="2660"/>
      <c r="DQ220" s="2660"/>
      <c r="DR220" s="2660"/>
      <c r="DS220" s="2660"/>
      <c r="DT220" s="2660"/>
      <c r="DU220" s="2660"/>
      <c r="DV220" s="2660"/>
      <c r="DW220" s="2660"/>
      <c r="DX220" s="2660"/>
      <c r="DY220" s="2660"/>
      <c r="DZ220" s="2660"/>
      <c r="EA220" s="2660"/>
      <c r="EB220" s="2660"/>
      <c r="EC220" s="2660"/>
      <c r="ED220" s="2660"/>
      <c r="EE220" s="2660"/>
      <c r="EF220" s="2660"/>
      <c r="EG220" s="2660"/>
      <c r="EH220" s="2660"/>
      <c r="EI220" s="2660"/>
      <c r="EJ220" s="2660"/>
      <c r="EK220" s="2660"/>
      <c r="EL220" s="2660"/>
      <c r="EM220" s="2660"/>
      <c r="EN220" s="2660"/>
      <c r="EO220" s="2660"/>
      <c r="EP220" s="2660"/>
      <c r="EQ220" s="2660"/>
      <c r="ER220" s="2660"/>
      <c r="ES220" s="2660"/>
      <c r="ET220" s="2660"/>
      <c r="EU220" s="2660"/>
      <c r="EV220" s="2660"/>
      <c r="EW220" s="2660"/>
      <c r="EX220" s="2660"/>
      <c r="EY220" s="2660"/>
      <c r="EZ220" s="2660"/>
      <c r="FA220" s="2660"/>
      <c r="FB220" s="2660"/>
      <c r="FC220" s="2660"/>
      <c r="FD220" s="2660"/>
      <c r="FE220" s="2660"/>
    </row>
    <row r="221" spans="1:161" outlineLevel="2">
      <c r="B221" t="s">
        <v>465</v>
      </c>
      <c r="C221" t="s">
        <v>466</v>
      </c>
      <c r="F221" s="2660"/>
      <c r="G221" s="2660"/>
      <c r="H221" s="2660"/>
      <c r="I221" s="2660"/>
      <c r="J221" s="2660"/>
      <c r="K221" s="2660"/>
      <c r="L221" s="2660"/>
      <c r="M221" s="2660"/>
      <c r="N221" s="2660"/>
      <c r="O221" s="2660"/>
      <c r="P221" s="2660"/>
      <c r="Q221" s="2660"/>
      <c r="R221" s="2660"/>
      <c r="S221" s="2660"/>
      <c r="T221" s="2660"/>
      <c r="U221" s="2660"/>
      <c r="V221" s="2660"/>
      <c r="W221" s="2660"/>
      <c r="X221" s="2660"/>
      <c r="Y221" s="2660"/>
      <c r="Z221" s="2660"/>
      <c r="AA221" s="2660"/>
      <c r="AB221" s="2660"/>
      <c r="AC221" s="2660"/>
      <c r="AD221" s="2660"/>
      <c r="AE221" s="2660"/>
      <c r="AF221" s="2660"/>
      <c r="AG221" s="2660"/>
      <c r="AH221" s="2660"/>
      <c r="AI221" s="2660"/>
      <c r="AJ221" s="2660"/>
      <c r="AK221" s="2660"/>
      <c r="AL221" s="2660"/>
      <c r="AM221" s="2660"/>
      <c r="AN221" s="2660"/>
      <c r="AO221" s="2660"/>
      <c r="AP221" s="2660"/>
      <c r="AQ221" s="2660"/>
      <c r="AR221" s="2660"/>
      <c r="AS221" s="2660"/>
      <c r="AT221" s="2660"/>
      <c r="AU221" s="2660"/>
      <c r="AV221" s="2660"/>
      <c r="AW221" s="2660"/>
      <c r="AX221" s="2660"/>
      <c r="AY221" s="2660"/>
      <c r="AZ221" s="2660"/>
      <c r="BA221" s="2660"/>
      <c r="BB221" s="2660"/>
      <c r="BC221" s="2660"/>
      <c r="BD221" s="2660"/>
      <c r="BE221" s="2660"/>
      <c r="BF221" s="2660"/>
      <c r="BG221" s="2660"/>
      <c r="BH221" s="2660"/>
      <c r="BI221" s="2660"/>
      <c r="BJ221" s="2660"/>
      <c r="BK221" s="2660"/>
      <c r="BL221" s="2660"/>
      <c r="BM221" s="2660"/>
      <c r="BN221" s="2660"/>
      <c r="BO221" s="2660"/>
      <c r="BP221" s="2660"/>
      <c r="BQ221" s="2660"/>
      <c r="BR221" s="2660"/>
      <c r="BS221" s="2660"/>
      <c r="BT221" s="2660"/>
      <c r="BU221" s="2660"/>
      <c r="BV221" s="2660"/>
      <c r="BW221" s="2660"/>
      <c r="BX221" s="2660"/>
      <c r="BY221" s="2660"/>
      <c r="BZ221" s="2660"/>
      <c r="CA221" s="2660"/>
      <c r="CB221" s="2660"/>
      <c r="CC221" s="2660"/>
      <c r="CD221" s="2660"/>
      <c r="CE221" s="2660"/>
      <c r="CF221" s="2660"/>
      <c r="CG221" s="2660"/>
      <c r="CH221" s="2660"/>
      <c r="CI221" s="2660"/>
      <c r="CJ221" s="2660"/>
      <c r="CK221" s="2660"/>
      <c r="CL221" s="2660"/>
      <c r="CM221" s="2660"/>
      <c r="CN221" s="2660"/>
      <c r="CO221" s="2660"/>
      <c r="CP221" s="2660"/>
      <c r="CQ221" s="2660"/>
      <c r="CR221" s="2660"/>
      <c r="CS221" s="2660"/>
      <c r="CT221" s="2660"/>
      <c r="CU221" s="2660"/>
      <c r="CV221" s="2660"/>
      <c r="CW221" s="2660"/>
      <c r="CX221" s="2660"/>
      <c r="CY221" s="2660"/>
      <c r="CZ221" s="2660"/>
      <c r="DA221" s="2660"/>
      <c r="DB221" s="2660"/>
      <c r="DC221" s="2660"/>
      <c r="DD221" s="2660"/>
      <c r="DE221" s="2660"/>
      <c r="DF221" s="2660"/>
      <c r="DG221" s="2660"/>
      <c r="DH221" s="2660"/>
      <c r="DI221" s="2660"/>
      <c r="DJ221" s="2660"/>
      <c r="DK221" s="2660"/>
      <c r="DL221" s="2660"/>
      <c r="DM221" s="2660"/>
      <c r="DN221" s="2660"/>
      <c r="DO221" s="2660"/>
      <c r="DP221" s="2660"/>
      <c r="DQ221" s="2660"/>
      <c r="DR221" s="2660"/>
      <c r="DS221" s="2660"/>
      <c r="DT221" s="2660"/>
      <c r="DU221" s="2660"/>
      <c r="DV221" s="2660"/>
      <c r="DW221" s="2660"/>
      <c r="DX221" s="2660"/>
      <c r="DY221" s="2660"/>
      <c r="DZ221" s="2660"/>
      <c r="EA221" s="2660"/>
      <c r="EB221" s="2660"/>
      <c r="EC221" s="2660"/>
      <c r="ED221" s="2660"/>
      <c r="EE221" s="2660"/>
      <c r="EF221" s="2660"/>
      <c r="EG221" s="2660"/>
      <c r="EH221" s="2660"/>
      <c r="EI221" s="2660"/>
      <c r="EJ221" s="2660"/>
      <c r="EK221" s="2660"/>
      <c r="EL221" s="2660"/>
      <c r="EM221" s="2660"/>
      <c r="EN221" s="2660"/>
      <c r="EO221" s="2660"/>
      <c r="EP221" s="2660"/>
      <c r="EQ221" s="2660"/>
      <c r="ER221" s="2660"/>
      <c r="ES221" s="2660"/>
      <c r="ET221" s="2660"/>
      <c r="EU221" s="2660"/>
      <c r="EV221" s="2660"/>
      <c r="EW221" s="2660"/>
      <c r="EX221" s="2660"/>
      <c r="EY221" s="2660"/>
      <c r="EZ221" s="2660"/>
      <c r="FA221" s="2660"/>
      <c r="FB221" s="2660"/>
      <c r="FC221" s="2660"/>
      <c r="FD221" s="2660"/>
      <c r="FE221" s="2660"/>
    </row>
    <row r="222" spans="1:161" outlineLevel="2">
      <c r="B222" t="s">
        <v>469</v>
      </c>
      <c r="C222" t="s">
        <v>470</v>
      </c>
      <c r="F222" s="2660"/>
      <c r="G222" s="2660"/>
      <c r="H222" s="2660"/>
      <c r="I222" s="2660"/>
      <c r="J222" s="2660"/>
      <c r="K222" s="2660"/>
      <c r="L222" s="2660"/>
      <c r="M222" s="2660"/>
      <c r="N222" s="2660"/>
      <c r="O222" s="2660"/>
      <c r="P222" s="2660"/>
      <c r="Q222" s="2660"/>
      <c r="R222" s="2660"/>
      <c r="S222" s="2660"/>
      <c r="T222" s="2660"/>
      <c r="U222" s="2660"/>
      <c r="V222" s="2660"/>
      <c r="W222" s="2660"/>
      <c r="X222" s="2660"/>
      <c r="Y222" s="2660"/>
      <c r="Z222" s="2660"/>
      <c r="AA222" s="2660"/>
      <c r="AB222" s="2660"/>
      <c r="AC222" s="2660"/>
      <c r="AD222" s="2660"/>
      <c r="AE222" s="2660"/>
      <c r="AF222" s="2660"/>
      <c r="AG222" s="2660"/>
      <c r="AH222" s="2660"/>
      <c r="AI222" s="2660"/>
      <c r="AJ222" s="2660"/>
      <c r="AK222" s="2660"/>
      <c r="AL222" s="2660"/>
      <c r="AM222" s="2660"/>
      <c r="AN222" s="2660"/>
      <c r="AO222" s="2660"/>
      <c r="AP222" s="2660"/>
      <c r="AQ222" s="2660"/>
      <c r="AR222" s="2660"/>
      <c r="AS222" s="2660"/>
      <c r="AT222" s="2660"/>
      <c r="AU222" s="2660"/>
      <c r="AV222" s="2660"/>
      <c r="AW222" s="2660"/>
      <c r="AX222" s="2660"/>
      <c r="AY222" s="2660"/>
      <c r="AZ222" s="2660"/>
      <c r="BA222" s="2660"/>
      <c r="BB222" s="2660"/>
      <c r="BC222" s="2660"/>
      <c r="BD222" s="2660"/>
      <c r="BE222" s="2660"/>
      <c r="BF222" s="2660"/>
      <c r="BG222" s="2660"/>
      <c r="BH222" s="2660"/>
      <c r="BI222" s="2660"/>
      <c r="BJ222" s="2660"/>
      <c r="BK222" s="2660"/>
      <c r="BL222" s="2660"/>
      <c r="BM222" s="2660"/>
      <c r="BN222" s="2660"/>
      <c r="BO222" s="2660"/>
      <c r="BP222" s="2660"/>
      <c r="BQ222" s="2660"/>
      <c r="BR222" s="2660"/>
      <c r="BS222" s="2660"/>
      <c r="BT222" s="2660"/>
      <c r="BU222" s="2660"/>
      <c r="BV222" s="2660"/>
      <c r="BW222" s="2660"/>
      <c r="BX222" s="2660"/>
      <c r="BY222" s="2660"/>
      <c r="BZ222" s="2660"/>
      <c r="CA222" s="2660"/>
      <c r="CB222" s="2660"/>
      <c r="CC222" s="2660"/>
      <c r="CD222" s="2660"/>
      <c r="CE222" s="2660"/>
      <c r="CF222" s="2660"/>
      <c r="CG222" s="2660"/>
      <c r="CH222" s="2660"/>
      <c r="CI222" s="2660"/>
      <c r="CJ222" s="2660"/>
      <c r="CK222" s="2660"/>
      <c r="CL222" s="2660"/>
      <c r="CM222" s="2660"/>
      <c r="CN222" s="2660"/>
      <c r="CO222" s="2660"/>
      <c r="CP222" s="2660"/>
      <c r="CQ222" s="2660"/>
      <c r="CR222" s="2660"/>
      <c r="CS222" s="2660"/>
      <c r="CT222" s="2660"/>
      <c r="CU222" s="2660"/>
      <c r="CV222" s="2660"/>
      <c r="CW222" s="2660"/>
      <c r="CX222" s="2660"/>
      <c r="CY222" s="2660"/>
      <c r="CZ222" s="2660"/>
      <c r="DA222" s="2660"/>
      <c r="DB222" s="2660"/>
      <c r="DC222" s="2660"/>
      <c r="DD222" s="2660"/>
      <c r="DE222" s="2660"/>
      <c r="DF222" s="2660"/>
      <c r="DG222" s="2660"/>
      <c r="DH222" s="2660"/>
      <c r="DI222" s="2660"/>
      <c r="DJ222" s="2660"/>
      <c r="DK222" s="2660"/>
      <c r="DL222" s="2660"/>
      <c r="DM222" s="2660"/>
      <c r="DN222" s="2660"/>
      <c r="DO222" s="2660"/>
      <c r="DP222" s="2660"/>
      <c r="DQ222" s="2660"/>
      <c r="DR222" s="2660"/>
      <c r="DS222" s="2660"/>
      <c r="DT222" s="2660"/>
      <c r="DU222" s="2660"/>
      <c r="DV222" s="2660"/>
      <c r="DW222" s="2660"/>
      <c r="DX222" s="2660"/>
      <c r="DY222" s="2660"/>
      <c r="DZ222" s="2660"/>
      <c r="EA222" s="2660"/>
      <c r="EB222" s="2660"/>
      <c r="EC222" s="2660"/>
      <c r="ED222" s="2660"/>
      <c r="EE222" s="2660"/>
      <c r="EF222" s="2660"/>
      <c r="EG222" s="2660"/>
      <c r="EH222" s="2660"/>
      <c r="EI222" s="2660"/>
      <c r="EJ222" s="2660"/>
      <c r="EK222" s="2660"/>
      <c r="EL222" s="2660"/>
      <c r="EM222" s="2660"/>
      <c r="EN222" s="2660"/>
      <c r="EO222" s="2660"/>
      <c r="EP222" s="2660"/>
      <c r="EQ222" s="2660"/>
      <c r="ER222" s="2660"/>
      <c r="ES222" s="2660"/>
      <c r="ET222" s="2660"/>
      <c r="EU222" s="2660"/>
      <c r="EV222" s="2660"/>
      <c r="EW222" s="2660"/>
      <c r="EX222" s="2660"/>
      <c r="EY222" s="2660"/>
      <c r="EZ222" s="2660"/>
      <c r="FA222" s="2660"/>
      <c r="FB222" s="2660"/>
      <c r="FC222" s="2660"/>
      <c r="FD222" s="2660"/>
      <c r="FE222" s="2660"/>
    </row>
    <row r="223" spans="1:161" outlineLevel="2">
      <c r="B223" t="s">
        <v>471</v>
      </c>
      <c r="C223" t="s">
        <v>472</v>
      </c>
      <c r="F223" s="2660"/>
      <c r="G223" s="2660"/>
      <c r="H223" s="2660"/>
      <c r="I223" s="2660"/>
      <c r="J223" s="2660"/>
      <c r="K223" s="2660"/>
      <c r="L223" s="2660"/>
      <c r="M223" s="2660"/>
      <c r="N223" s="2660"/>
      <c r="O223" s="2660"/>
      <c r="P223" s="2660"/>
      <c r="Q223" s="2660"/>
      <c r="R223" s="2660"/>
      <c r="S223" s="2660"/>
      <c r="T223" s="2660"/>
      <c r="U223" s="2660"/>
      <c r="V223" s="2660"/>
      <c r="W223" s="2660"/>
      <c r="X223" s="2660"/>
      <c r="Y223" s="2660"/>
      <c r="Z223" s="2660"/>
      <c r="AA223" s="2660"/>
      <c r="AB223" s="2660"/>
      <c r="AC223" s="2660"/>
      <c r="AD223" s="2660"/>
      <c r="AE223" s="2660"/>
      <c r="AF223" s="2660"/>
      <c r="AG223" s="2660"/>
      <c r="AH223" s="2660"/>
      <c r="AI223" s="2660"/>
      <c r="AJ223" s="2660"/>
      <c r="AK223" s="2660"/>
      <c r="AL223" s="2660"/>
      <c r="AM223" s="2660"/>
      <c r="AN223" s="2660"/>
      <c r="AO223" s="2660"/>
      <c r="AP223" s="2660"/>
      <c r="AQ223" s="2660"/>
      <c r="AR223" s="2660"/>
      <c r="AS223" s="2660"/>
      <c r="AT223" s="2660"/>
      <c r="AU223" s="2660"/>
      <c r="AV223" s="2660"/>
      <c r="AW223" s="2660"/>
      <c r="AX223" s="2660"/>
      <c r="AY223" s="2660"/>
      <c r="AZ223" s="2660"/>
      <c r="BA223" s="2660"/>
      <c r="BB223" s="2660"/>
      <c r="BC223" s="2660"/>
      <c r="BD223" s="2660"/>
      <c r="BE223" s="2660"/>
      <c r="BF223" s="2660"/>
      <c r="BG223" s="2660"/>
      <c r="BH223" s="2660"/>
      <c r="BI223" s="2660"/>
      <c r="BJ223" s="2660"/>
      <c r="BK223" s="2660"/>
      <c r="BL223" s="2660"/>
      <c r="BM223" s="2660"/>
      <c r="BN223" s="2660"/>
      <c r="BO223" s="2660"/>
      <c r="BP223" s="2660"/>
      <c r="BQ223" s="2660"/>
      <c r="BR223" s="2660"/>
      <c r="BS223" s="2660"/>
      <c r="BT223" s="2660"/>
      <c r="BU223" s="2660"/>
      <c r="BV223" s="2660"/>
      <c r="BW223" s="2660"/>
      <c r="BX223" s="2660"/>
      <c r="BY223" s="2660"/>
      <c r="BZ223" s="2660"/>
      <c r="CA223" s="2660"/>
      <c r="CB223" s="2660"/>
      <c r="CC223" s="2660"/>
      <c r="CD223" s="2660"/>
      <c r="CE223" s="2660"/>
      <c r="CF223" s="2660"/>
      <c r="CG223" s="2660"/>
      <c r="CH223" s="2660"/>
      <c r="CI223" s="2660"/>
      <c r="CJ223" s="2660"/>
      <c r="CK223" s="2660"/>
      <c r="CL223" s="2660"/>
      <c r="CM223" s="2660"/>
      <c r="CN223" s="2660"/>
      <c r="CO223" s="2660"/>
      <c r="CP223" s="2660"/>
      <c r="CQ223" s="2660"/>
      <c r="CR223" s="2660"/>
      <c r="CS223" s="2660"/>
      <c r="CT223" s="2660"/>
      <c r="CU223" s="2660"/>
      <c r="CV223" s="2660"/>
      <c r="CW223" s="2660"/>
      <c r="CX223" s="2660"/>
      <c r="CY223" s="2660"/>
      <c r="CZ223" s="2660"/>
      <c r="DA223" s="2660"/>
      <c r="DB223" s="2660"/>
      <c r="DC223" s="2660"/>
      <c r="DD223" s="2660"/>
      <c r="DE223" s="2660"/>
      <c r="DF223" s="2660"/>
      <c r="DG223" s="2660"/>
      <c r="DH223" s="2660"/>
      <c r="DI223" s="2660"/>
      <c r="DJ223" s="2660"/>
      <c r="DK223" s="2660"/>
      <c r="DL223" s="2660"/>
      <c r="DM223" s="2660"/>
      <c r="DN223" s="2660"/>
      <c r="DO223" s="2660"/>
      <c r="DP223" s="2660"/>
      <c r="DQ223" s="2660"/>
      <c r="DR223" s="2660"/>
      <c r="DS223" s="2660"/>
      <c r="DT223" s="2660"/>
      <c r="DU223" s="2660"/>
      <c r="DV223" s="2660"/>
      <c r="DW223" s="2660"/>
      <c r="DX223" s="2660"/>
      <c r="DY223" s="2660"/>
      <c r="DZ223" s="2660"/>
      <c r="EA223" s="2660"/>
      <c r="EB223" s="2660"/>
      <c r="EC223" s="2660"/>
      <c r="ED223" s="2660"/>
      <c r="EE223" s="2660"/>
      <c r="EF223" s="2660"/>
      <c r="EG223" s="2660"/>
      <c r="EH223" s="2660"/>
      <c r="EI223" s="2660"/>
      <c r="EJ223" s="2660"/>
      <c r="EK223" s="2660"/>
      <c r="EL223" s="2660"/>
      <c r="EM223" s="2660"/>
      <c r="EN223" s="2660"/>
      <c r="EO223" s="2660"/>
      <c r="EP223" s="2660"/>
      <c r="EQ223" s="2660"/>
      <c r="ER223" s="2660"/>
      <c r="ES223" s="2660"/>
      <c r="ET223" s="2660"/>
      <c r="EU223" s="2660"/>
      <c r="EV223" s="2660"/>
      <c r="EW223" s="2660"/>
      <c r="EX223" s="2660"/>
      <c r="EY223" s="2660"/>
      <c r="EZ223" s="2660"/>
      <c r="FA223" s="2660"/>
      <c r="FB223" s="2660"/>
      <c r="FC223" s="2660"/>
      <c r="FD223" s="2660"/>
      <c r="FE223" s="2660"/>
    </row>
    <row r="224" spans="1:161" outlineLevel="2">
      <c r="B224" t="s">
        <v>479</v>
      </c>
      <c r="C224" t="s">
        <v>480</v>
      </c>
      <c r="F224" s="2660"/>
      <c r="G224" s="2660"/>
      <c r="H224" s="2660"/>
      <c r="I224" s="2660"/>
      <c r="J224" s="2660"/>
      <c r="K224" s="2660"/>
      <c r="L224" s="2660"/>
      <c r="M224" s="2660"/>
      <c r="N224" s="2660"/>
      <c r="O224" s="2660"/>
      <c r="P224" s="2660"/>
      <c r="Q224" s="2660"/>
      <c r="R224" s="2660"/>
      <c r="S224" s="2660"/>
      <c r="T224" s="2660"/>
      <c r="U224" s="2660"/>
      <c r="V224" s="2660"/>
      <c r="W224" s="2660"/>
      <c r="X224" s="2660"/>
      <c r="Y224" s="2660"/>
      <c r="Z224" s="2660"/>
      <c r="AA224" s="2660"/>
      <c r="AB224" s="2660"/>
      <c r="AC224" s="2660"/>
      <c r="AD224" s="2660"/>
      <c r="AE224" s="2660"/>
      <c r="AF224" s="2660"/>
      <c r="AG224" s="2660"/>
      <c r="AH224" s="2660"/>
      <c r="AI224" s="2660"/>
      <c r="AJ224" s="2660"/>
      <c r="AK224" s="2660"/>
      <c r="AL224" s="2660"/>
      <c r="AM224" s="2660"/>
      <c r="AN224" s="2660"/>
      <c r="AO224" s="2660"/>
      <c r="AP224" s="2660"/>
      <c r="AQ224" s="2660"/>
      <c r="AR224" s="2660"/>
      <c r="AS224" s="2660"/>
      <c r="AT224" s="2660"/>
      <c r="AU224" s="2660"/>
      <c r="AV224" s="2660"/>
      <c r="AW224" s="2660"/>
      <c r="AX224" s="2660"/>
      <c r="AY224" s="2660"/>
      <c r="AZ224" s="2660"/>
      <c r="BA224" s="2660"/>
      <c r="BB224" s="2660"/>
      <c r="BC224" s="2660"/>
      <c r="BD224" s="2660"/>
      <c r="BE224" s="2660"/>
      <c r="BF224" s="2660"/>
      <c r="BG224" s="2660"/>
      <c r="BH224" s="2660"/>
      <c r="BI224" s="2660"/>
      <c r="BJ224" s="2660"/>
      <c r="BK224" s="2660"/>
      <c r="BL224" s="2660"/>
      <c r="BM224" s="2660"/>
      <c r="BN224" s="2660"/>
      <c r="BO224" s="2660"/>
      <c r="BP224" s="2660"/>
      <c r="BQ224" s="2660"/>
      <c r="BR224" s="2660"/>
      <c r="BS224" s="2660"/>
      <c r="BT224" s="2660"/>
      <c r="BU224" s="2660"/>
      <c r="BV224" s="2660"/>
      <c r="BW224" s="2660"/>
      <c r="BX224" s="2660"/>
      <c r="BY224" s="2660"/>
      <c r="BZ224" s="2660"/>
      <c r="CA224" s="2660"/>
      <c r="CB224" s="2660"/>
      <c r="CC224" s="2660"/>
      <c r="CD224" s="2660"/>
      <c r="CE224" s="2660"/>
      <c r="CF224" s="2660"/>
      <c r="CG224" s="2660"/>
      <c r="CH224" s="2660"/>
      <c r="CI224" s="2660"/>
      <c r="CJ224" s="2660"/>
      <c r="CK224" s="2660"/>
      <c r="CL224" s="2660"/>
      <c r="CM224" s="2660"/>
      <c r="CN224" s="2660"/>
      <c r="CO224" s="2660"/>
      <c r="CP224" s="2660"/>
      <c r="CQ224" s="2660"/>
      <c r="CR224" s="2660"/>
      <c r="CS224" s="2660"/>
      <c r="CT224" s="2660"/>
      <c r="CU224" s="2660"/>
      <c r="CV224" s="2660"/>
      <c r="CW224" s="2660"/>
      <c r="CX224" s="2660"/>
      <c r="CY224" s="2660"/>
      <c r="CZ224" s="2660"/>
      <c r="DA224" s="2660"/>
      <c r="DB224" s="2660"/>
      <c r="DC224" s="2660"/>
      <c r="DD224" s="2660"/>
      <c r="DE224" s="2660"/>
      <c r="DF224" s="2660"/>
      <c r="DG224" s="2660"/>
      <c r="DH224" s="2660"/>
      <c r="DI224" s="2660"/>
      <c r="DJ224" s="2660"/>
      <c r="DK224" s="2660"/>
      <c r="DL224" s="2660"/>
      <c r="DM224" s="2660"/>
      <c r="DN224" s="2660"/>
      <c r="DO224" s="2660"/>
      <c r="DP224" s="2660"/>
      <c r="DQ224" s="2660"/>
      <c r="DR224" s="2660"/>
      <c r="DS224" s="2660"/>
      <c r="DT224" s="2660"/>
      <c r="DU224" s="2660"/>
      <c r="DV224" s="2660"/>
      <c r="DW224" s="2660"/>
      <c r="DX224" s="2660"/>
      <c r="DY224" s="2660"/>
      <c r="DZ224" s="2660"/>
      <c r="EA224" s="2660"/>
      <c r="EB224" s="2660"/>
      <c r="EC224" s="2660"/>
      <c r="ED224" s="2660"/>
      <c r="EE224" s="2660"/>
      <c r="EF224" s="2660"/>
      <c r="EG224" s="2660"/>
      <c r="EH224" s="2660"/>
      <c r="EI224" s="2660"/>
      <c r="EJ224" s="2660"/>
      <c r="EK224" s="2660"/>
      <c r="EL224" s="2660"/>
      <c r="EM224" s="2660"/>
      <c r="EN224" s="2660"/>
      <c r="EO224" s="2660"/>
      <c r="EP224" s="2660"/>
      <c r="EQ224" s="2660"/>
      <c r="ER224" s="2660"/>
      <c r="ES224" s="2660"/>
      <c r="ET224" s="2660"/>
      <c r="EU224" s="2660"/>
      <c r="EV224" s="2660"/>
      <c r="EW224" s="2660"/>
      <c r="EX224" s="2660"/>
      <c r="EY224" s="2660"/>
      <c r="EZ224" s="2660"/>
      <c r="FA224" s="2660"/>
      <c r="FB224" s="2660"/>
      <c r="FC224" s="2660"/>
      <c r="FD224" s="2660"/>
      <c r="FE224" s="2660"/>
    </row>
    <row r="225" spans="1:161" s="2724" customFormat="1" outlineLevel="1">
      <c r="A225" s="2723" t="s">
        <v>860</v>
      </c>
      <c r="B225" s="2723"/>
      <c r="C225" s="2723"/>
      <c r="D225" s="2723"/>
    </row>
    <row r="226" spans="1:161" s="2727" customFormat="1" outlineLevel="1">
      <c r="A226" s="2725"/>
      <c r="B226" s="2725" t="s">
        <v>861</v>
      </c>
      <c r="C226" s="2726"/>
      <c r="D226" s="2725"/>
      <c r="F226" s="2728"/>
      <c r="G226" s="2728"/>
      <c r="H226" s="2728"/>
      <c r="I226" s="2728"/>
      <c r="J226" s="2728"/>
      <c r="K226" s="2728"/>
      <c r="L226" s="2728"/>
      <c r="M226" s="2728"/>
      <c r="N226" s="2728"/>
      <c r="O226" s="2728"/>
      <c r="P226" s="2728"/>
      <c r="Q226" s="2728"/>
      <c r="R226" s="2728"/>
      <c r="S226" s="2728"/>
      <c r="T226" s="2728"/>
      <c r="U226" s="2728"/>
      <c r="V226" s="2728"/>
      <c r="W226" s="2728"/>
      <c r="X226" s="2728"/>
      <c r="Y226" s="2728"/>
      <c r="Z226" s="2728"/>
      <c r="AA226" s="2728"/>
      <c r="AB226" s="2728"/>
      <c r="AC226" s="2728"/>
      <c r="AD226" s="2728"/>
      <c r="AE226" s="2728"/>
      <c r="AF226" s="2728"/>
      <c r="AG226" s="2728"/>
      <c r="AH226" s="2728"/>
      <c r="AI226" s="2728"/>
      <c r="AJ226" s="2728"/>
      <c r="AK226" s="2728"/>
      <c r="AL226" s="2728"/>
      <c r="AM226" s="2728"/>
      <c r="AN226" s="2728"/>
      <c r="AO226" s="2728"/>
      <c r="AP226" s="2728"/>
      <c r="AQ226" s="2728"/>
      <c r="AR226" s="2728"/>
      <c r="AS226" s="2728"/>
      <c r="AT226" s="2728"/>
      <c r="AU226" s="2728"/>
      <c r="AV226" s="2728"/>
      <c r="AW226" s="2728"/>
      <c r="AX226" s="2728"/>
      <c r="AY226" s="2728"/>
      <c r="AZ226" s="2728"/>
      <c r="BA226" s="2728"/>
      <c r="BB226" s="2728"/>
      <c r="BC226" s="2728"/>
      <c r="BD226" s="2728"/>
      <c r="BE226" s="2728"/>
      <c r="BF226" s="2728"/>
      <c r="BG226" s="2728"/>
      <c r="BH226" s="2728"/>
      <c r="BI226" s="2728"/>
      <c r="BJ226" s="2728"/>
      <c r="BK226" s="2728"/>
      <c r="BL226" s="2728"/>
      <c r="BM226" s="2728"/>
      <c r="BN226" s="2728"/>
      <c r="BO226" s="2728"/>
      <c r="BP226" s="2728"/>
      <c r="BQ226" s="2728"/>
      <c r="BR226" s="2728"/>
      <c r="BS226" s="2728"/>
      <c r="BT226" s="2728"/>
      <c r="BU226" s="2728"/>
      <c r="BV226" s="2728"/>
      <c r="BW226" s="2728"/>
      <c r="BX226" s="2728"/>
      <c r="BY226" s="2728"/>
      <c r="BZ226" s="2728"/>
      <c r="CA226" s="2728"/>
      <c r="CB226" s="2728"/>
      <c r="CC226" s="2728"/>
      <c r="CD226" s="2728"/>
      <c r="CE226" s="2728"/>
      <c r="CF226" s="2728"/>
      <c r="CG226" s="2728"/>
      <c r="CH226" s="2728"/>
      <c r="CI226" s="2728"/>
      <c r="CJ226" s="2728"/>
      <c r="CK226" s="2728"/>
      <c r="CL226" s="2728"/>
      <c r="CM226" s="2728"/>
      <c r="CN226" s="2728"/>
      <c r="CO226" s="2728"/>
      <c r="CP226" s="2728"/>
      <c r="CQ226" s="2728"/>
      <c r="CR226" s="2728"/>
      <c r="CS226" s="2728"/>
      <c r="CT226" s="2728"/>
      <c r="CU226" s="2728"/>
      <c r="CV226" s="2728"/>
      <c r="CW226" s="2728"/>
      <c r="CX226" s="2728"/>
      <c r="CY226" s="2728"/>
      <c r="CZ226" s="2728"/>
      <c r="DA226" s="2728"/>
      <c r="DB226" s="2728"/>
      <c r="DC226" s="2728"/>
      <c r="DD226" s="2728"/>
      <c r="DE226" s="2728"/>
      <c r="DF226" s="2728"/>
      <c r="DG226" s="2728"/>
      <c r="DH226" s="2728"/>
      <c r="DI226" s="2728"/>
      <c r="DJ226" s="2728"/>
      <c r="DK226" s="2728"/>
      <c r="DL226" s="2728"/>
      <c r="DM226" s="2728"/>
      <c r="DN226" s="2728"/>
      <c r="DO226" s="2728"/>
      <c r="DP226" s="2728"/>
      <c r="DQ226" s="2728"/>
      <c r="DR226" s="2728"/>
      <c r="DS226" s="2728"/>
      <c r="DT226" s="2728"/>
      <c r="DU226" s="2728"/>
      <c r="DV226" s="2728"/>
      <c r="DW226" s="2728"/>
      <c r="DX226" s="2728"/>
      <c r="DY226" s="2728"/>
      <c r="DZ226" s="2728"/>
      <c r="EA226" s="2728"/>
      <c r="EB226" s="2728"/>
      <c r="EC226" s="2728"/>
      <c r="ED226" s="2728"/>
      <c r="EE226" s="2728"/>
      <c r="EF226" s="2728"/>
      <c r="EG226" s="2728"/>
      <c r="EH226" s="2728"/>
      <c r="EI226" s="2728"/>
      <c r="EJ226" s="2728"/>
      <c r="EK226" s="2728"/>
      <c r="EL226" s="2728"/>
      <c r="EM226" s="2728"/>
      <c r="EN226" s="2728"/>
      <c r="EO226" s="2728"/>
      <c r="EP226" s="2728"/>
      <c r="EQ226" s="2728"/>
      <c r="ER226" s="2728"/>
      <c r="ES226" s="2728"/>
      <c r="ET226" s="2728"/>
      <c r="EU226" s="2728"/>
      <c r="EV226" s="2728"/>
      <c r="EW226" s="2728"/>
      <c r="EX226" s="2728"/>
      <c r="EY226" s="2728"/>
      <c r="EZ226" s="2728"/>
      <c r="FA226" s="2728"/>
      <c r="FB226" s="2728"/>
      <c r="FC226" s="2728"/>
      <c r="FD226" s="2728"/>
      <c r="FE226" s="2728"/>
    </row>
    <row r="227" spans="1:161" s="2727" customFormat="1" outlineLevel="1">
      <c r="A227" s="2725"/>
      <c r="B227" s="2725" t="s">
        <v>862</v>
      </c>
      <c r="C227" s="2726"/>
      <c r="D227" s="2725"/>
      <c r="E227" s="2729"/>
    </row>
    <row r="228" spans="1:161" s="2727" customFormat="1" outlineLevel="1">
      <c r="A228" s="2725"/>
      <c r="B228" s="2725" t="s">
        <v>863</v>
      </c>
      <c r="C228" s="2726"/>
      <c r="D228" s="2725"/>
      <c r="E228" s="2729"/>
    </row>
    <row r="229" spans="1:161" s="2727" customFormat="1" outlineLevel="1">
      <c r="A229" s="2725"/>
      <c r="B229" s="2725" t="s">
        <v>864</v>
      </c>
      <c r="C229" s="2726"/>
      <c r="D229" s="2725"/>
      <c r="E229" s="2729"/>
    </row>
    <row r="230" spans="1:161" s="2727" customFormat="1" outlineLevel="1">
      <c r="A230" s="2725"/>
      <c r="B230" s="2725" t="s">
        <v>865</v>
      </c>
      <c r="C230" s="2726"/>
      <c r="D230" s="2725"/>
      <c r="E230" s="2729"/>
    </row>
    <row r="231" spans="1:161" s="2727" customFormat="1" outlineLevel="1">
      <c r="A231" s="2725"/>
      <c r="B231" s="2725" t="s">
        <v>866</v>
      </c>
      <c r="C231" s="2726"/>
      <c r="D231" s="2725" t="str">
        <f>E_CURRENCY_ISSR_208000149_REP</f>
      </c>
      <c r="F231" s="2730"/>
      <c r="G231" s="2730"/>
      <c r="H231" s="2730"/>
      <c r="I231" s="2730"/>
      <c r="J231" s="2730"/>
      <c r="K231" s="2730"/>
      <c r="L231" s="2730"/>
      <c r="M231" s="2730"/>
      <c r="N231" s="2730"/>
      <c r="O231" s="2730"/>
      <c r="P231" s="2730"/>
      <c r="Q231" s="2730"/>
      <c r="R231" s="2730"/>
      <c r="S231" s="2730"/>
      <c r="T231" s="2730"/>
      <c r="U231" s="2730"/>
      <c r="V231" s="2730"/>
      <c r="W231" s="2730"/>
      <c r="X231" s="2730"/>
      <c r="Y231" s="2730"/>
      <c r="Z231" s="2730"/>
      <c r="AA231" s="2730"/>
      <c r="AB231" s="2730"/>
      <c r="AC231" s="2730"/>
      <c r="AD231" s="2730"/>
      <c r="AE231" s="2730"/>
      <c r="AF231" s="2730"/>
      <c r="AG231" s="2730"/>
      <c r="AH231" s="2730"/>
      <c r="AI231" s="2730"/>
      <c r="AJ231" s="2730"/>
      <c r="AK231" s="2730"/>
      <c r="AL231" s="2730"/>
      <c r="AM231" s="2730"/>
      <c r="AN231" s="2730"/>
      <c r="AO231" s="2730"/>
      <c r="AP231" s="2730"/>
      <c r="AQ231" s="2730"/>
      <c r="AR231" s="2730"/>
      <c r="AS231" s="2730"/>
      <c r="AT231" s="2730"/>
      <c r="AU231" s="2730"/>
      <c r="AV231" s="2730"/>
      <c r="AW231" s="2730"/>
      <c r="AX231" s="2730"/>
      <c r="AY231" s="2730"/>
      <c r="AZ231" s="2730"/>
      <c r="BA231" s="2730"/>
      <c r="BB231" s="2730"/>
      <c r="BC231" s="2730"/>
      <c r="BD231" s="2730"/>
      <c r="BE231" s="2730"/>
      <c r="BF231" s="2730"/>
      <c r="BG231" s="2730"/>
      <c r="BH231" s="2730"/>
      <c r="BI231" s="2730"/>
      <c r="BJ231" s="2730"/>
      <c r="BK231" s="2730"/>
      <c r="BL231" s="2730"/>
      <c r="BM231" s="2730"/>
      <c r="BN231" s="2730"/>
      <c r="BO231" s="2730"/>
      <c r="BP231" s="2730"/>
      <c r="BQ231" s="2730"/>
      <c r="BR231" s="2730"/>
      <c r="BS231" s="2730"/>
      <c r="BT231" s="2730"/>
      <c r="BU231" s="2730"/>
      <c r="BV231" s="2730"/>
      <c r="BW231" s="2730"/>
      <c r="BX231" s="2730"/>
      <c r="BY231" s="2730"/>
      <c r="BZ231" s="2730"/>
      <c r="CA231" s="2730"/>
      <c r="CB231" s="2730"/>
      <c r="CC231" s="2730"/>
      <c r="CD231" s="2730"/>
      <c r="CE231" s="2730"/>
      <c r="CF231" s="2730"/>
      <c r="CG231" s="2730"/>
      <c r="CH231" s="2730"/>
      <c r="CI231" s="2730"/>
      <c r="CJ231" s="2730"/>
      <c r="CK231" s="2730"/>
      <c r="CL231" s="2730"/>
      <c r="CM231" s="2730"/>
      <c r="CN231" s="2730"/>
      <c r="CO231" s="2730"/>
      <c r="CP231" s="2730"/>
      <c r="CQ231" s="2730"/>
      <c r="CR231" s="2730"/>
      <c r="CS231" s="2730"/>
      <c r="CT231" s="2730"/>
      <c r="CU231" s="2730"/>
      <c r="CV231" s="2730"/>
      <c r="CW231" s="2730"/>
      <c r="CX231" s="2730"/>
      <c r="CY231" s="2730"/>
      <c r="CZ231" s="2730"/>
      <c r="DA231" s="2730"/>
      <c r="DB231" s="2730"/>
      <c r="DC231" s="2730"/>
      <c r="DD231" s="2730"/>
      <c r="DE231" s="2730"/>
      <c r="DF231" s="2730"/>
      <c r="DG231" s="2730"/>
      <c r="DH231" s="2730"/>
      <c r="DI231" s="2730"/>
      <c r="DJ231" s="2730"/>
      <c r="DK231" s="2730"/>
      <c r="DL231" s="2730"/>
      <c r="DM231" s="2730"/>
      <c r="DN231" s="2730"/>
      <c r="DO231" s="2730"/>
      <c r="DP231" s="2730"/>
      <c r="DQ231" s="2730"/>
      <c r="DR231" s="2730"/>
      <c r="DS231" s="2730"/>
      <c r="DT231" s="2730"/>
      <c r="DU231" s="2730"/>
      <c r="DV231" s="2730"/>
      <c r="DW231" s="2730"/>
      <c r="DX231" s="2730"/>
      <c r="DY231" s="2730"/>
      <c r="DZ231" s="2730"/>
      <c r="EA231" s="2730"/>
      <c r="EB231" s="2730"/>
      <c r="EC231" s="2730"/>
      <c r="ED231" s="2730"/>
      <c r="EE231" s="2730"/>
      <c r="EF231" s="2730"/>
      <c r="EG231" s="2730"/>
      <c r="EH231" s="2730"/>
      <c r="EI231" s="2730"/>
      <c r="EJ231" s="2730"/>
      <c r="EK231" s="2730"/>
      <c r="EL231" s="2730"/>
      <c r="EM231" s="2730"/>
      <c r="EN231" s="2730"/>
      <c r="EO231" s="2730"/>
      <c r="EP231" s="2730"/>
      <c r="EQ231" s="2730"/>
      <c r="ER231" s="2730"/>
      <c r="ES231" s="2730"/>
      <c r="ET231" s="2730"/>
      <c r="EU231" s="2730"/>
      <c r="EV231" s="2730"/>
      <c r="EW231" s="2730"/>
      <c r="EX231" s="2730"/>
      <c r="EY231" s="2730"/>
      <c r="EZ231" s="2730"/>
      <c r="FA231" s="2730"/>
      <c r="FB231" s="2730"/>
      <c r="FC231" s="2730"/>
      <c r="FD231" s="2730"/>
      <c r="FE231" s="2730"/>
    </row>
    <row r="232" spans="1:161" s="2727" customFormat="1" outlineLevel="1">
      <c r="A232" s="2725"/>
      <c r="B232" s="2725" t="s">
        <v>867</v>
      </c>
      <c r="C232" s="2726"/>
      <c r="D232" s="2725" t="str">
        <f>E_CURRENCY_ISSR_208000149_REP</f>
      </c>
      <c r="F232" s="2730"/>
      <c r="G232" s="2730"/>
      <c r="H232" s="2730"/>
      <c r="I232" s="2730"/>
      <c r="J232" s="2730"/>
      <c r="K232" s="2730"/>
      <c r="L232" s="2730"/>
      <c r="M232" s="2730"/>
      <c r="N232" s="2730"/>
      <c r="O232" s="2730"/>
      <c r="P232" s="2730"/>
      <c r="Q232" s="2730"/>
      <c r="R232" s="2730"/>
      <c r="S232" s="2730"/>
      <c r="T232" s="2730"/>
      <c r="U232" s="2730"/>
      <c r="V232" s="2730"/>
      <c r="W232" s="2730"/>
      <c r="X232" s="2730"/>
      <c r="Y232" s="2730"/>
      <c r="Z232" s="2730"/>
      <c r="AA232" s="2730"/>
      <c r="AB232" s="2730"/>
      <c r="AC232" s="2730"/>
      <c r="AD232" s="2730"/>
      <c r="AE232" s="2730"/>
      <c r="AF232" s="2730"/>
      <c r="AG232" s="2730"/>
      <c r="AH232" s="2730"/>
      <c r="AI232" s="2730"/>
      <c r="AJ232" s="2730"/>
      <c r="AK232" s="2730"/>
      <c r="AL232" s="2730"/>
      <c r="AM232" s="2730"/>
      <c r="AN232" s="2730"/>
      <c r="AO232" s="2730"/>
      <c r="AP232" s="2730"/>
      <c r="AQ232" s="2730"/>
      <c r="AR232" s="2730"/>
      <c r="AS232" s="2730"/>
      <c r="AT232" s="2730"/>
      <c r="AU232" s="2730"/>
      <c r="AV232" s="2730"/>
      <c r="AW232" s="2730"/>
      <c r="AX232" s="2730"/>
      <c r="AY232" s="2730"/>
      <c r="AZ232" s="2730"/>
      <c r="BA232" s="2730"/>
      <c r="BB232" s="2730"/>
      <c r="BC232" s="2730"/>
      <c r="BD232" s="2730"/>
      <c r="BE232" s="2730"/>
      <c r="BF232" s="2730"/>
      <c r="BG232" s="2730"/>
      <c r="BH232" s="2730"/>
      <c r="BI232" s="2730"/>
      <c r="BJ232" s="2730"/>
      <c r="BK232" s="2730"/>
      <c r="BL232" s="2730"/>
      <c r="BM232" s="2730"/>
      <c r="BN232" s="2730"/>
      <c r="BO232" s="2730"/>
      <c r="BP232" s="2730"/>
      <c r="BQ232" s="2730"/>
      <c r="BR232" s="2730"/>
      <c r="BS232" s="2730"/>
      <c r="BT232" s="2730"/>
      <c r="BU232" s="2730"/>
      <c r="BV232" s="2730"/>
      <c r="BW232" s="2730"/>
      <c r="BX232" s="2730"/>
      <c r="BY232" s="2730"/>
      <c r="BZ232" s="2730"/>
      <c r="CA232" s="2730"/>
      <c r="CB232" s="2730"/>
      <c r="CC232" s="2730"/>
      <c r="CD232" s="2730"/>
      <c r="CE232" s="2730"/>
      <c r="CF232" s="2730"/>
      <c r="CG232" s="2730"/>
      <c r="CH232" s="2730"/>
      <c r="CI232" s="2730"/>
      <c r="CJ232" s="2730"/>
      <c r="CK232" s="2730"/>
      <c r="CL232" s="2730"/>
      <c r="CM232" s="2730"/>
      <c r="CN232" s="2730"/>
      <c r="CO232" s="2730"/>
      <c r="CP232" s="2730"/>
      <c r="CQ232" s="2730"/>
      <c r="CR232" s="2730"/>
      <c r="CS232" s="2730"/>
      <c r="CT232" s="2730"/>
      <c r="CU232" s="2730"/>
      <c r="CV232" s="2730"/>
      <c r="CW232" s="2730"/>
      <c r="CX232" s="2730"/>
      <c r="CY232" s="2730"/>
      <c r="CZ232" s="2730"/>
      <c r="DA232" s="2730"/>
      <c r="DB232" s="2730"/>
      <c r="DC232" s="2730"/>
      <c r="DD232" s="2730"/>
      <c r="DE232" s="2730"/>
      <c r="DF232" s="2730"/>
      <c r="DG232" s="2730"/>
      <c r="DH232" s="2730"/>
      <c r="DI232" s="2730"/>
      <c r="DJ232" s="2730"/>
      <c r="DK232" s="2730"/>
      <c r="DL232" s="2730"/>
      <c r="DM232" s="2730"/>
      <c r="DN232" s="2730"/>
      <c r="DO232" s="2730"/>
      <c r="DP232" s="2730"/>
      <c r="DQ232" s="2730"/>
      <c r="DR232" s="2730"/>
      <c r="DS232" s="2730"/>
      <c r="DT232" s="2730"/>
      <c r="DU232" s="2730"/>
      <c r="DV232" s="2730"/>
      <c r="DW232" s="2730"/>
      <c r="DX232" s="2730"/>
      <c r="DY232" s="2730"/>
      <c r="DZ232" s="2730"/>
      <c r="EA232" s="2730"/>
      <c r="EB232" s="2730"/>
      <c r="EC232" s="2730"/>
      <c r="ED232" s="2730"/>
      <c r="EE232" s="2730"/>
      <c r="EF232" s="2730"/>
      <c r="EG232" s="2730"/>
      <c r="EH232" s="2730"/>
      <c r="EI232" s="2730"/>
      <c r="EJ232" s="2730"/>
      <c r="EK232" s="2730"/>
      <c r="EL232" s="2730"/>
      <c r="EM232" s="2730"/>
      <c r="EN232" s="2730"/>
      <c r="EO232" s="2730"/>
      <c r="EP232" s="2730"/>
      <c r="EQ232" s="2730"/>
      <c r="ER232" s="2730"/>
      <c r="ES232" s="2730"/>
      <c r="ET232" s="2730"/>
      <c r="EU232" s="2730"/>
      <c r="EV232" s="2730"/>
      <c r="EW232" s="2730"/>
      <c r="EX232" s="2730"/>
      <c r="EY232" s="2730"/>
      <c r="EZ232" s="2730"/>
      <c r="FA232" s="2730"/>
      <c r="FB232" s="2730"/>
      <c r="FC232" s="2730"/>
      <c r="FD232" s="2730"/>
      <c r="FE232" s="2730"/>
    </row>
    <row r="233" spans="1:161" s="2727" customFormat="1" outlineLevel="1">
      <c r="A233" s="2725"/>
      <c r="B233" s="2725" t="s">
        <v>868</v>
      </c>
      <c r="C233" s="2726"/>
      <c r="D233" s="2725" t="str">
        <f>E_CURRENCY_ISSR_208000149_REP</f>
      </c>
      <c r="F233" s="2730"/>
      <c r="G233" s="2730"/>
      <c r="H233" s="2730"/>
      <c r="I233" s="2730"/>
      <c r="J233" s="2730"/>
      <c r="K233" s="2730"/>
      <c r="L233" s="2730"/>
      <c r="M233" s="2730"/>
      <c r="N233" s="2730"/>
      <c r="O233" s="2730"/>
      <c r="P233" s="2730"/>
      <c r="Q233" s="2730"/>
      <c r="R233" s="2730"/>
      <c r="S233" s="2730"/>
      <c r="T233" s="2730"/>
      <c r="U233" s="2730"/>
      <c r="V233" s="2730"/>
      <c r="W233" s="2730"/>
      <c r="X233" s="2730"/>
      <c r="Y233" s="2730"/>
      <c r="Z233" s="2730"/>
      <c r="AA233" s="2730"/>
      <c r="AB233" s="2730"/>
      <c r="AC233" s="2730"/>
      <c r="AD233" s="2730"/>
      <c r="AE233" s="2730"/>
      <c r="AF233" s="2730"/>
      <c r="AG233" s="2730"/>
      <c r="AH233" s="2730"/>
      <c r="AI233" s="2730"/>
      <c r="AJ233" s="2730"/>
      <c r="AK233" s="2730"/>
      <c r="AL233" s="2730"/>
      <c r="AM233" s="2730"/>
      <c r="AN233" s="2730"/>
      <c r="AO233" s="2730"/>
      <c r="AP233" s="2730"/>
      <c r="AQ233" s="2730"/>
      <c r="AR233" s="2730"/>
      <c r="AS233" s="2730"/>
      <c r="AT233" s="2730"/>
      <c r="AU233" s="2730"/>
      <c r="AV233" s="2730"/>
      <c r="AW233" s="2730"/>
      <c r="AX233" s="2730"/>
      <c r="AY233" s="2730"/>
      <c r="AZ233" s="2730"/>
      <c r="BA233" s="2730"/>
      <c r="BB233" s="2730"/>
      <c r="BC233" s="2730"/>
      <c r="BD233" s="2730"/>
      <c r="BE233" s="2730"/>
      <c r="BF233" s="2730"/>
      <c r="BG233" s="2730"/>
      <c r="BH233" s="2730"/>
      <c r="BI233" s="2730"/>
      <c r="BJ233" s="2730"/>
      <c r="BK233" s="2730"/>
      <c r="BL233" s="2730"/>
      <c r="BM233" s="2730"/>
      <c r="BN233" s="2730"/>
      <c r="BO233" s="2730"/>
      <c r="BP233" s="2730"/>
      <c r="BQ233" s="2730"/>
      <c r="BR233" s="2730"/>
      <c r="BS233" s="2730"/>
      <c r="BT233" s="2730"/>
      <c r="BU233" s="2730"/>
      <c r="BV233" s="2730"/>
      <c r="BW233" s="2730"/>
      <c r="BX233" s="2730"/>
      <c r="BY233" s="2730"/>
      <c r="BZ233" s="2730"/>
      <c r="CA233" s="2730"/>
      <c r="CB233" s="2730"/>
      <c r="CC233" s="2730"/>
      <c r="CD233" s="2730"/>
      <c r="CE233" s="2730"/>
      <c r="CF233" s="2730"/>
      <c r="CG233" s="2730"/>
      <c r="CH233" s="2730"/>
      <c r="CI233" s="2730"/>
      <c r="CJ233" s="2730"/>
      <c r="CK233" s="2730"/>
      <c r="CL233" s="2730"/>
      <c r="CM233" s="2730"/>
      <c r="CN233" s="2730"/>
      <c r="CO233" s="2730"/>
      <c r="CP233" s="2730"/>
      <c r="CQ233" s="2730"/>
      <c r="CR233" s="2730"/>
      <c r="CS233" s="2730"/>
      <c r="CT233" s="2730"/>
      <c r="CU233" s="2730"/>
      <c r="CV233" s="2730"/>
      <c r="CW233" s="2730"/>
      <c r="CX233" s="2730"/>
      <c r="CY233" s="2730"/>
      <c r="CZ233" s="2730"/>
      <c r="DA233" s="2730"/>
      <c r="DB233" s="2730"/>
      <c r="DC233" s="2730"/>
      <c r="DD233" s="2730"/>
      <c r="DE233" s="2730"/>
      <c r="DF233" s="2730"/>
      <c r="DG233" s="2730"/>
      <c r="DH233" s="2730"/>
      <c r="DI233" s="2730"/>
      <c r="DJ233" s="2730"/>
      <c r="DK233" s="2730"/>
      <c r="DL233" s="2730"/>
      <c r="DM233" s="2730"/>
      <c r="DN233" s="2730"/>
      <c r="DO233" s="2730"/>
      <c r="DP233" s="2730"/>
      <c r="DQ233" s="2730"/>
      <c r="DR233" s="2730"/>
      <c r="DS233" s="2730"/>
      <c r="DT233" s="2730"/>
      <c r="DU233" s="2730"/>
      <c r="DV233" s="2730"/>
      <c r="DW233" s="2730"/>
      <c r="DX233" s="2730"/>
      <c r="DY233" s="2730"/>
      <c r="DZ233" s="2730"/>
      <c r="EA233" s="2730"/>
      <c r="EB233" s="2730"/>
      <c r="EC233" s="2730"/>
      <c r="ED233" s="2730"/>
      <c r="EE233" s="2730"/>
      <c r="EF233" s="2730"/>
      <c r="EG233" s="2730"/>
      <c r="EH233" s="2730"/>
      <c r="EI233" s="2730"/>
      <c r="EJ233" s="2730"/>
      <c r="EK233" s="2730"/>
      <c r="EL233" s="2730"/>
      <c r="EM233" s="2730"/>
      <c r="EN233" s="2730"/>
      <c r="EO233" s="2730"/>
      <c r="EP233" s="2730"/>
      <c r="EQ233" s="2730"/>
      <c r="ER233" s="2730"/>
      <c r="ES233" s="2730"/>
      <c r="ET233" s="2730"/>
      <c r="EU233" s="2730"/>
      <c r="EV233" s="2730"/>
      <c r="EW233" s="2730"/>
      <c r="EX233" s="2730"/>
      <c r="EY233" s="2730"/>
      <c r="EZ233" s="2730"/>
      <c r="FA233" s="2730"/>
      <c r="FB233" s="2730"/>
      <c r="FC233" s="2730"/>
      <c r="FD233" s="2730"/>
      <c r="FE233" s="2730"/>
    </row>
    <row r="234" spans="1:161" s="2727" customFormat="1" outlineLevel="1">
      <c r="A234" s="2725"/>
      <c r="B234" s="2725" t="s">
        <v>869</v>
      </c>
      <c r="C234" s="2726"/>
      <c r="D234" s="2725" t="str">
        <f>E_CURRENCY_ISSR_208000149_REP</f>
      </c>
      <c r="F234" s="2730"/>
      <c r="G234" s="2730"/>
      <c r="H234" s="2730"/>
      <c r="I234" s="2730"/>
      <c r="J234" s="2730"/>
      <c r="K234" s="2730"/>
      <c r="L234" s="2730"/>
      <c r="M234" s="2730"/>
      <c r="N234" s="2730"/>
      <c r="O234" s="2730"/>
      <c r="P234" s="2730"/>
      <c r="Q234" s="2730"/>
      <c r="R234" s="2730"/>
      <c r="S234" s="2730"/>
      <c r="T234" s="2730"/>
      <c r="U234" s="2730"/>
      <c r="V234" s="2730"/>
      <c r="W234" s="2730"/>
      <c r="X234" s="2730"/>
      <c r="Y234" s="2730"/>
      <c r="Z234" s="2730"/>
      <c r="AA234" s="2730"/>
      <c r="AB234" s="2730"/>
      <c r="AC234" s="2730"/>
      <c r="AD234" s="2730"/>
      <c r="AE234" s="2730"/>
      <c r="AF234" s="2730"/>
      <c r="AG234" s="2730"/>
      <c r="AH234" s="2730"/>
      <c r="AI234" s="2730"/>
      <c r="AJ234" s="2730"/>
      <c r="AK234" s="2730"/>
      <c r="AL234" s="2730"/>
      <c r="AM234" s="2730"/>
      <c r="AN234" s="2730"/>
      <c r="AO234" s="2730"/>
      <c r="AP234" s="2730"/>
      <c r="AQ234" s="2730"/>
      <c r="AR234" s="2730"/>
      <c r="AS234" s="2730"/>
      <c r="AT234" s="2730"/>
      <c r="AU234" s="2730"/>
      <c r="AV234" s="2730"/>
      <c r="AW234" s="2730"/>
      <c r="AX234" s="2730"/>
      <c r="AY234" s="2730"/>
      <c r="AZ234" s="2730"/>
      <c r="BA234" s="2730"/>
      <c r="BB234" s="2730"/>
      <c r="BC234" s="2730"/>
      <c r="BD234" s="2730"/>
      <c r="BE234" s="2730"/>
      <c r="BF234" s="2730"/>
      <c r="BG234" s="2730"/>
      <c r="BH234" s="2730"/>
      <c r="BI234" s="2730"/>
      <c r="BJ234" s="2730"/>
      <c r="BK234" s="2730"/>
      <c r="BL234" s="2730"/>
      <c r="BM234" s="2730"/>
      <c r="BN234" s="2730"/>
      <c r="BO234" s="2730"/>
      <c r="BP234" s="2730"/>
      <c r="BQ234" s="2730"/>
      <c r="BR234" s="2730"/>
      <c r="BS234" s="2730"/>
      <c r="BT234" s="2730"/>
      <c r="BU234" s="2730"/>
      <c r="BV234" s="2730"/>
      <c r="BW234" s="2730"/>
      <c r="BX234" s="2730"/>
      <c r="BY234" s="2730"/>
      <c r="BZ234" s="2730"/>
      <c r="CA234" s="2730"/>
      <c r="CB234" s="2730"/>
      <c r="CC234" s="2730"/>
      <c r="CD234" s="2730"/>
      <c r="CE234" s="2730"/>
      <c r="CF234" s="2730"/>
      <c r="CG234" s="2730"/>
      <c r="CH234" s="2730"/>
      <c r="CI234" s="2730"/>
      <c r="CJ234" s="2730"/>
      <c r="CK234" s="2730"/>
      <c r="CL234" s="2730"/>
      <c r="CM234" s="2730"/>
      <c r="CN234" s="2730"/>
      <c r="CO234" s="2730"/>
      <c r="CP234" s="2730"/>
      <c r="CQ234" s="2730"/>
      <c r="CR234" s="2730"/>
      <c r="CS234" s="2730"/>
      <c r="CT234" s="2730"/>
      <c r="CU234" s="2730"/>
      <c r="CV234" s="2730"/>
      <c r="CW234" s="2730"/>
      <c r="CX234" s="2730"/>
      <c r="CY234" s="2730"/>
      <c r="CZ234" s="2730"/>
      <c r="DA234" s="2730"/>
      <c r="DB234" s="2730"/>
      <c r="DC234" s="2730"/>
      <c r="DD234" s="2730"/>
      <c r="DE234" s="2730"/>
      <c r="DF234" s="2730"/>
      <c r="DG234" s="2730"/>
      <c r="DH234" s="2730"/>
      <c r="DI234" s="2730"/>
      <c r="DJ234" s="2730"/>
      <c r="DK234" s="2730"/>
      <c r="DL234" s="2730"/>
      <c r="DM234" s="2730"/>
      <c r="DN234" s="2730"/>
      <c r="DO234" s="2730"/>
      <c r="DP234" s="2730"/>
      <c r="DQ234" s="2730"/>
      <c r="DR234" s="2730"/>
      <c r="DS234" s="2730"/>
      <c r="DT234" s="2730"/>
      <c r="DU234" s="2730"/>
      <c r="DV234" s="2730"/>
      <c r="DW234" s="2730"/>
      <c r="DX234" s="2730"/>
      <c r="DY234" s="2730"/>
      <c r="DZ234" s="2730"/>
      <c r="EA234" s="2730"/>
      <c r="EB234" s="2730"/>
      <c r="EC234" s="2730"/>
      <c r="ED234" s="2730"/>
      <c r="EE234" s="2730"/>
      <c r="EF234" s="2730"/>
      <c r="EG234" s="2730"/>
      <c r="EH234" s="2730"/>
      <c r="EI234" s="2730"/>
      <c r="EJ234" s="2730"/>
      <c r="EK234" s="2730"/>
      <c r="EL234" s="2730"/>
      <c r="EM234" s="2730"/>
      <c r="EN234" s="2730"/>
      <c r="EO234" s="2730"/>
      <c r="EP234" s="2730"/>
      <c r="EQ234" s="2730"/>
      <c r="ER234" s="2730"/>
      <c r="ES234" s="2730"/>
      <c r="ET234" s="2730"/>
      <c r="EU234" s="2730"/>
      <c r="EV234" s="2730"/>
      <c r="EW234" s="2730"/>
      <c r="EX234" s="2730"/>
      <c r="EY234" s="2730"/>
      <c r="EZ234" s="2730"/>
      <c r="FA234" s="2730"/>
      <c r="FB234" s="2730"/>
      <c r="FC234" s="2730"/>
      <c r="FD234" s="2730"/>
      <c r="FE234" s="2730"/>
    </row>
    <row r="235" spans="1:161" s="2727" customFormat="1" outlineLevel="1">
      <c r="A235" s="2725"/>
      <c r="B235" s="2725" t="s">
        <v>870</v>
      </c>
      <c r="C235" s="2726"/>
      <c r="D235" s="2725"/>
      <c r="F235" s="2731"/>
      <c r="G235" s="2731"/>
      <c r="H235" s="2731"/>
      <c r="I235" s="2731"/>
      <c r="J235" s="2731"/>
      <c r="K235" s="2731"/>
      <c r="L235" s="2731"/>
      <c r="M235" s="2731"/>
      <c r="N235" s="2731"/>
      <c r="O235" s="2731"/>
      <c r="P235" s="2731"/>
      <c r="Q235" s="2731"/>
      <c r="R235" s="2731"/>
      <c r="S235" s="2731"/>
      <c r="T235" s="2731"/>
      <c r="U235" s="2731"/>
      <c r="V235" s="2731"/>
      <c r="W235" s="2731"/>
      <c r="X235" s="2731"/>
      <c r="Y235" s="2731"/>
      <c r="Z235" s="2731"/>
      <c r="AA235" s="2731"/>
      <c r="AB235" s="2731"/>
      <c r="AC235" s="2731"/>
      <c r="AD235" s="2731"/>
      <c r="AE235" s="2731"/>
      <c r="AF235" s="2731"/>
      <c r="AG235" s="2731"/>
      <c r="AH235" s="2731"/>
      <c r="AI235" s="2731"/>
      <c r="AJ235" s="2731"/>
      <c r="AK235" s="2731"/>
      <c r="AL235" s="2731"/>
      <c r="AM235" s="2731"/>
      <c r="AN235" s="2731"/>
      <c r="AO235" s="2731"/>
      <c r="AP235" s="2731"/>
      <c r="AQ235" s="2731"/>
      <c r="AR235" s="2731"/>
      <c r="AS235" s="2731"/>
      <c r="AT235" s="2731"/>
      <c r="AU235" s="2731"/>
      <c r="AV235" s="2731"/>
      <c r="AW235" s="2731"/>
      <c r="AX235" s="2731"/>
      <c r="AY235" s="2731"/>
      <c r="AZ235" s="2731"/>
      <c r="BA235" s="2731"/>
      <c r="BB235" s="2731"/>
      <c r="BC235" s="2731"/>
      <c r="BD235" s="2731"/>
      <c r="BE235" s="2731"/>
      <c r="BF235" s="2731"/>
      <c r="BG235" s="2731"/>
      <c r="BH235" s="2731"/>
      <c r="BI235" s="2731"/>
      <c r="BJ235" s="2731"/>
      <c r="BK235" s="2731"/>
      <c r="BL235" s="2731"/>
      <c r="BM235" s="2731"/>
      <c r="BN235" s="2731"/>
      <c r="BO235" s="2731"/>
      <c r="BP235" s="2731"/>
      <c r="BQ235" s="2731"/>
      <c r="BR235" s="2731"/>
      <c r="BS235" s="2731"/>
      <c r="BT235" s="2731"/>
      <c r="BU235" s="2731"/>
      <c r="BV235" s="2731"/>
      <c r="BW235" s="2731"/>
      <c r="BX235" s="2731"/>
      <c r="BY235" s="2731"/>
      <c r="BZ235" s="2731"/>
      <c r="CA235" s="2731"/>
      <c r="CB235" s="2731"/>
      <c r="CC235" s="2731"/>
      <c r="CD235" s="2731"/>
      <c r="CE235" s="2731"/>
      <c r="CF235" s="2731"/>
      <c r="CG235" s="2731"/>
      <c r="CH235" s="2731"/>
      <c r="CI235" s="2731"/>
      <c r="CJ235" s="2731"/>
      <c r="CK235" s="2731"/>
      <c r="CL235" s="2731"/>
      <c r="CM235" s="2731"/>
      <c r="CN235" s="2731"/>
      <c r="CO235" s="2731"/>
      <c r="CP235" s="2731"/>
      <c r="CQ235" s="2731"/>
      <c r="CR235" s="2731"/>
      <c r="CS235" s="2731"/>
      <c r="CT235" s="2731"/>
      <c r="CU235" s="2731"/>
      <c r="CV235" s="2731"/>
      <c r="CW235" s="2731"/>
      <c r="CX235" s="2731"/>
      <c r="CY235" s="2731"/>
      <c r="CZ235" s="2731"/>
      <c r="DA235" s="2731"/>
      <c r="DB235" s="2731"/>
      <c r="DC235" s="2731"/>
      <c r="DD235" s="2731"/>
      <c r="DE235" s="2731"/>
      <c r="DF235" s="2731"/>
      <c r="DG235" s="2731"/>
      <c r="DH235" s="2731"/>
      <c r="DI235" s="2731"/>
      <c r="DJ235" s="2731"/>
      <c r="DK235" s="2731"/>
      <c r="DL235" s="2731"/>
      <c r="DM235" s="2731"/>
      <c r="DN235" s="2731"/>
      <c r="DO235" s="2731"/>
      <c r="DP235" s="2731"/>
      <c r="DQ235" s="2731"/>
      <c r="DR235" s="2731"/>
      <c r="DS235" s="2731"/>
      <c r="DT235" s="2731"/>
      <c r="DU235" s="2731"/>
      <c r="DV235" s="2731"/>
      <c r="DW235" s="2731"/>
      <c r="DX235" s="2731"/>
      <c r="DY235" s="2731"/>
      <c r="DZ235" s="2731"/>
      <c r="EA235" s="2731"/>
      <c r="EB235" s="2731"/>
      <c r="EC235" s="2731"/>
      <c r="ED235" s="2731"/>
      <c r="EE235" s="2731"/>
      <c r="EF235" s="2731"/>
      <c r="EG235" s="2731"/>
      <c r="EH235" s="2731"/>
      <c r="EI235" s="2731"/>
      <c r="EJ235" s="2731"/>
      <c r="EK235" s="2731"/>
      <c r="EL235" s="2731"/>
      <c r="EM235" s="2731"/>
      <c r="EN235" s="2731"/>
      <c r="EO235" s="2731"/>
      <c r="EP235" s="2731"/>
      <c r="EQ235" s="2731"/>
      <c r="ER235" s="2731"/>
      <c r="ES235" s="2731"/>
      <c r="ET235" s="2731"/>
      <c r="EU235" s="2731"/>
      <c r="EV235" s="2731"/>
      <c r="EW235" s="2731"/>
      <c r="EX235" s="2731"/>
      <c r="EY235" s="2731"/>
      <c r="EZ235" s="2731"/>
      <c r="FA235" s="2731"/>
      <c r="FB235" s="2731"/>
      <c r="FC235" s="2731"/>
      <c r="FD235" s="2731"/>
      <c r="FE235" s="2731"/>
    </row>
    <row r="236" spans="1:161" s="2654" customFormat="1">
      <c r="A236" s="2670" t="s">
        <v>543</v>
      </c>
      <c r="B236" s="2670"/>
      <c r="C236" s="2670"/>
      <c r="D236" s="2670"/>
    </row>
    <row r="237" spans="1:161" s="539" customFormat="1" outlineLevel="1">
      <c r="A237" s="540" t="s">
        <v>234</v>
      </c>
      <c r="B237" s="540"/>
      <c r="C237" s="540"/>
      <c r="D237" s="540"/>
    </row>
    <row r="238" spans="1:161" outlineLevel="2">
      <c r="B238" t="s">
        <v>544</v>
      </c>
      <c r="C238" t="s">
        <v>544</v>
      </c>
      <c r="E238" s="2671" t="s">
        <v>545</v>
      </c>
    </row>
    <row r="239" spans="1:161" outlineLevel="2">
      <c r="B239" t="s">
        <v>546</v>
      </c>
      <c r="C239" t="s">
        <v>546</v>
      </c>
      <c r="E239" s="2671" t="s">
        <v>236</v>
      </c>
    </row>
    <row r="240" spans="1:161" outlineLevel="2">
      <c r="B240" t="s">
        <v>547</v>
      </c>
      <c r="C240" t="s">
        <v>547</v>
      </c>
      <c r="E240" s="2671" t="s">
        <v>548</v>
      </c>
    </row>
    <row r="241" spans="1:161" outlineLevel="2">
      <c r="B241" t="s">
        <v>549</v>
      </c>
      <c r="C241" t="s">
        <v>550</v>
      </c>
      <c r="E241" s="2671" t="s">
        <v>239</v>
      </c>
    </row>
    <row r="242" spans="1:161" outlineLevel="2">
      <c r="B242" t="s">
        <v>551</v>
      </c>
      <c r="C242" t="s">
        <v>552</v>
      </c>
      <c r="E242" s="2671" t="s">
        <v>239</v>
      </c>
    </row>
    <row r="243" spans="1:161" outlineLevel="2">
      <c r="B243" t="s">
        <v>237</v>
      </c>
      <c r="C243" t="s">
        <v>238</v>
      </c>
      <c r="E243" s="2671" t="s">
        <v>239</v>
      </c>
    </row>
    <row r="244" spans="1:161" s="539" customFormat="1" outlineLevel="1">
      <c r="A244" s="540" t="s">
        <v>240</v>
      </c>
      <c r="B244" s="540"/>
      <c r="C244" s="540"/>
      <c r="D244" s="540"/>
    </row>
    <row r="245" spans="1:161" outlineLevel="2">
      <c r="B245" t="s">
        <v>553</v>
      </c>
      <c r="C245" t="s">
        <v>554</v>
      </c>
      <c r="E245" s="2658" t="s">
        <v>2188</v>
      </c>
    </row>
    <row r="246" spans="1:161" outlineLevel="2">
      <c r="B246" t="s">
        <v>555</v>
      </c>
      <c r="C246" t="s">
        <v>2254</v>
      </c>
      <c r="E246" s="2658"/>
    </row>
    <row r="247" spans="1:161" s="2727" customFormat="1" outlineLevel="2">
      <c r="A247" s="2725"/>
      <c r="B247" s="2725" t="s">
        <v>555</v>
      </c>
      <c r="C247" s="2726"/>
      <c r="D247" s="2725"/>
      <c r="E247" s="2918"/>
    </row>
    <row r="248" spans="1:161" outlineLevel="2">
      <c r="B248" t="s">
        <v>556</v>
      </c>
      <c r="C248" t="s">
        <v>557</v>
      </c>
      <c r="E248" s="2658"/>
    </row>
    <row r="249" spans="1:161" outlineLevel="2">
      <c r="B249" t="s">
        <v>558</v>
      </c>
      <c r="C249" t="s">
        <v>559</v>
      </c>
      <c r="D249" t="str">
        <f>E_CURRENCY_EQTY_200000801_PRI</f>
      </c>
      <c r="E249" s="2661">
        <f ca="1">Valuation!B11</f>
      </c>
    </row>
    <row r="250" spans="1:161" outlineLevel="2">
      <c r="B250" t="s">
        <v>560</v>
      </c>
      <c r="C250" t="s">
        <v>561</v>
      </c>
      <c r="E250" s="2658" t="s">
        <v>1661</v>
      </c>
    </row>
    <row r="251" spans="1:161" outlineLevel="2">
      <c r="B251" t="s">
        <v>991</v>
      </c>
      <c r="C251" t="s">
        <v>989</v>
      </c>
      <c r="D251" t="str">
        <f>E_CURRENCY_EQTY_200000801_PRI</f>
      </c>
      <c r="E251" s="2661"/>
    </row>
    <row r="252" spans="1:161" outlineLevel="2">
      <c r="B252" t="s">
        <v>992</v>
      </c>
      <c r="C252" t="s">
        <v>990</v>
      </c>
      <c r="D252" t="str">
        <f>E_CURRENCY_EQTY_200000801_PRI</f>
      </c>
      <c r="E252" s="2661"/>
    </row>
    <row r="253" spans="1:161" outlineLevel="2">
      <c r="B253" t="s">
        <v>562</v>
      </c>
      <c r="C253" t="s">
        <v>563</v>
      </c>
      <c r="E253" s="2662">
        <f>Valuation!AP8</f>
      </c>
    </row>
    <row r="254" spans="1:161" outlineLevel="2">
      <c r="B254" t="s">
        <v>564</v>
      </c>
      <c r="C254" t="s">
        <v>565</v>
      </c>
      <c r="E254" s="2663"/>
    </row>
    <row r="255" spans="1:161" s="539" customFormat="1" outlineLevel="1">
      <c r="A255" s="540" t="s">
        <v>566</v>
      </c>
      <c r="B255" s="540"/>
      <c r="C255" s="540"/>
      <c r="D255" s="540"/>
    </row>
    <row r="256" spans="1:161" outlineLevel="2">
      <c r="B256" t="s">
        <v>567</v>
      </c>
      <c r="C256" t="s">
        <v>568</v>
      </c>
      <c r="D256" t="str">
        <f t="shared" ref="D256:D271" si="22">E_CURRENCY_EQTY_200000801_PUB</f>
      </c>
      <c r="F256" s="2664">
        <f t="shared" ref="F256:Z256" si="23">F298</f>
      </c>
      <c r="G256" s="2664">
        <f t="shared" si="23"/>
      </c>
      <c r="H256" s="2664">
        <f t="shared" si="23"/>
      </c>
      <c r="I256" s="2664">
        <f t="shared" si="23"/>
      </c>
      <c r="J256" s="2664">
        <f t="shared" si="23"/>
      </c>
      <c r="K256" s="2664">
        <f t="shared" si="23"/>
      </c>
      <c r="L256" s="2664">
        <f t="shared" si="23"/>
      </c>
      <c r="M256" s="2664">
        <f t="shared" si="23"/>
      </c>
      <c r="N256" s="2664">
        <f t="shared" si="23"/>
      </c>
      <c r="O256" s="2664">
        <f t="shared" si="23"/>
      </c>
      <c r="P256" s="2664">
        <f t="shared" si="23"/>
      </c>
      <c r="Q256" s="2664">
        <f t="shared" si="23"/>
      </c>
      <c r="R256" s="2664">
        <f t="shared" si="23"/>
      </c>
      <c r="S256" s="2664">
        <f t="shared" si="23"/>
      </c>
      <c r="T256" s="2664">
        <f t="shared" si="23"/>
      </c>
      <c r="U256" s="2664">
        <f t="shared" si="23"/>
      </c>
      <c r="V256" s="2664">
        <f t="shared" si="23"/>
      </c>
      <c r="W256" s="2664">
        <f t="shared" si="23"/>
      </c>
      <c r="X256" s="2664">
        <f t="shared" si="23"/>
      </c>
      <c r="Y256" s="2664">
        <f t="shared" si="23"/>
      </c>
      <c r="Z256" s="2664">
        <f t="shared" si="23"/>
      </c>
      <c r="AA256" s="2664">
        <f>AA298</f>
      </c>
      <c r="AB256" s="2664">
        <f>AB298</f>
      </c>
      <c r="AC256" s="2664">
        <f>AC298</f>
      </c>
      <c r="AD256" s="2664">
        <f>AD298</f>
      </c>
      <c r="AE256" s="2664">
        <f t="shared" ref="AE256:AI256" si="24">+AE298</f>
      </c>
      <c r="AF256" s="2664">
        <f t="shared" si="24"/>
      </c>
      <c r="AG256" s="2664">
        <f t="shared" si="24"/>
      </c>
      <c r="AH256" s="2664">
        <f t="shared" si="24"/>
      </c>
      <c r="AI256" s="2664">
        <f t="shared" si="24"/>
      </c>
      <c r="AJ256" s="2664">
        <f>+AJ298</f>
      </c>
      <c r="AK256" s="2664"/>
      <c r="AL256" s="2664">
        <f t="shared" ref="AL256:CW256" si="25">AL298</f>
      </c>
      <c r="AM256" s="2664">
        <f t="shared" si="25"/>
      </c>
      <c r="AN256" s="2664">
        <f t="shared" si="25"/>
      </c>
      <c r="AO256" s="2664">
        <f t="shared" si="25"/>
      </c>
      <c r="AP256" s="2664">
        <f t="shared" si="25"/>
      </c>
      <c r="AQ256" s="2664">
        <f t="shared" si="25"/>
      </c>
      <c r="AR256" s="2664">
        <f t="shared" si="25"/>
      </c>
      <c r="AS256" s="2664">
        <f t="shared" si="25"/>
      </c>
      <c r="AT256" s="2664">
        <f t="shared" si="25"/>
      </c>
      <c r="AU256" s="2664">
        <f t="shared" si="25"/>
      </c>
      <c r="AV256" s="2664">
        <f t="shared" si="25"/>
      </c>
      <c r="AW256" s="2664">
        <f t="shared" si="25"/>
      </c>
      <c r="AX256" s="2664">
        <f t="shared" si="25"/>
      </c>
      <c r="AY256" s="2664">
        <f t="shared" si="25"/>
      </c>
      <c r="AZ256" s="2664">
        <f t="shared" si="25"/>
      </c>
      <c r="BA256" s="2664">
        <f t="shared" si="25"/>
      </c>
      <c r="BB256" s="2664">
        <f t="shared" si="25"/>
      </c>
      <c r="BC256" s="2664">
        <f t="shared" si="25"/>
      </c>
      <c r="BD256" s="2664">
        <f t="shared" si="25"/>
      </c>
      <c r="BE256" s="2664">
        <f t="shared" si="25"/>
      </c>
      <c r="BF256" s="2664">
        <f t="shared" si="25"/>
      </c>
      <c r="BG256" s="2664">
        <f t="shared" si="25"/>
      </c>
      <c r="BH256" s="2664">
        <f t="shared" si="25"/>
      </c>
      <c r="BI256" s="2664">
        <f t="shared" si="25"/>
      </c>
      <c r="BJ256" s="2664">
        <f t="shared" si="25"/>
      </c>
      <c r="BK256" s="2664">
        <f t="shared" si="25"/>
      </c>
      <c r="BL256" s="2664">
        <f t="shared" si="25"/>
      </c>
      <c r="BM256" s="2664">
        <f t="shared" si="25"/>
      </c>
      <c r="BN256" s="2664">
        <f t="shared" si="25"/>
      </c>
      <c r="BO256" s="2664">
        <f t="shared" si="25"/>
      </c>
      <c r="BP256" s="2664">
        <f t="shared" si="25"/>
      </c>
      <c r="BQ256" s="2664">
        <f t="shared" si="25"/>
      </c>
      <c r="BR256" s="2664">
        <f t="shared" si="25"/>
      </c>
      <c r="BS256" s="2664">
        <f t="shared" si="25"/>
      </c>
      <c r="BT256" s="2664">
        <f t="shared" si="25"/>
      </c>
      <c r="BU256" s="2664">
        <f t="shared" si="25"/>
      </c>
      <c r="BV256" s="2664">
        <f t="shared" si="25"/>
      </c>
      <c r="BW256" s="2664">
        <f t="shared" si="25"/>
      </c>
      <c r="BX256" s="2664">
        <f t="shared" si="25"/>
      </c>
      <c r="BY256" s="2664">
        <f t="shared" si="25"/>
      </c>
      <c r="BZ256" s="2664">
        <f t="shared" si="25"/>
      </c>
      <c r="CA256" s="2664">
        <f t="shared" si="25"/>
      </c>
      <c r="CB256" s="2664">
        <f t="shared" si="25"/>
      </c>
      <c r="CC256" s="2664">
        <f t="shared" si="25"/>
      </c>
      <c r="CD256" s="2664">
        <f t="shared" si="25"/>
      </c>
      <c r="CE256" s="2664">
        <f t="shared" si="25"/>
      </c>
      <c r="CF256" s="2664">
        <f t="shared" si="25"/>
      </c>
      <c r="CG256" s="2664">
        <f t="shared" si="25"/>
      </c>
      <c r="CH256" s="2664">
        <f t="shared" si="25"/>
      </c>
      <c r="CI256" s="2664">
        <f t="shared" si="25"/>
      </c>
      <c r="CJ256" s="2664">
        <f t="shared" si="25"/>
      </c>
      <c r="CK256" s="2664">
        <f t="shared" si="25"/>
      </c>
      <c r="CL256" s="2664">
        <f t="shared" si="25"/>
      </c>
      <c r="CM256" s="2664">
        <f t="shared" si="25"/>
      </c>
      <c r="CN256" s="2664">
        <f t="shared" si="25"/>
      </c>
      <c r="CO256" s="2664">
        <f t="shared" si="25"/>
      </c>
      <c r="CP256" s="2664">
        <f t="shared" si="25"/>
      </c>
      <c r="CQ256" s="2664">
        <f t="shared" si="25"/>
      </c>
      <c r="CR256" s="2664">
        <f t="shared" si="25"/>
      </c>
      <c r="CS256" s="2664">
        <f t="shared" si="25"/>
      </c>
      <c r="CT256" s="2664">
        <f t="shared" si="25"/>
      </c>
      <c r="CU256" s="2664">
        <f t="shared" si="25"/>
      </c>
      <c r="CV256" s="2664">
        <f t="shared" si="25"/>
      </c>
      <c r="CW256" s="2664">
        <f t="shared" si="25"/>
      </c>
      <c r="CX256" s="2664">
        <f t="shared" ref="CX256:DY256" si="26">CX298</f>
      </c>
      <c r="CY256" s="2664">
        <f t="shared" si="26"/>
      </c>
      <c r="CZ256" s="2664">
        <f t="shared" si="26"/>
      </c>
      <c r="DA256" s="2664">
        <f t="shared" si="26"/>
      </c>
      <c r="DB256" s="2664">
        <f t="shared" si="26"/>
      </c>
      <c r="DC256" s="2664">
        <f t="shared" si="26"/>
      </c>
      <c r="DD256" s="2664">
        <f t="shared" si="26"/>
      </c>
      <c r="DE256" s="2664">
        <f t="shared" si="26"/>
      </c>
      <c r="DF256" s="2664">
        <f t="shared" si="26"/>
      </c>
      <c r="DG256" s="2664">
        <f t="shared" si="26"/>
      </c>
      <c r="DH256" s="2664">
        <f t="shared" si="26"/>
      </c>
      <c r="DI256" s="2664">
        <f t="shared" si="26"/>
      </c>
      <c r="DJ256" s="2664">
        <f t="shared" si="26"/>
      </c>
      <c r="DK256" s="2664">
        <f t="shared" si="26"/>
      </c>
      <c r="DL256" s="2664">
        <f t="shared" si="26"/>
      </c>
      <c r="DM256" s="2664">
        <f t="shared" si="26"/>
      </c>
      <c r="DN256" s="2664">
        <f t="shared" si="26"/>
      </c>
      <c r="DO256" s="2664">
        <f t="shared" si="26"/>
      </c>
      <c r="DP256" s="2664">
        <f t="shared" si="26"/>
      </c>
      <c r="DQ256" s="2664">
        <f t="shared" si="26"/>
      </c>
      <c r="DR256" s="2664">
        <f t="shared" si="26"/>
      </c>
      <c r="DS256" s="2664">
        <f t="shared" si="26"/>
      </c>
      <c r="DT256" s="2664">
        <f t="shared" si="26"/>
      </c>
      <c r="DU256" s="2664">
        <f t="shared" si="26"/>
      </c>
      <c r="DV256" s="2664">
        <f t="shared" si="26"/>
      </c>
      <c r="DW256" s="2664">
        <f t="shared" si="26"/>
      </c>
      <c r="DX256" s="2664">
        <f t="shared" si="26"/>
      </c>
      <c r="DY256" s="2664">
        <f t="shared" si="26"/>
      </c>
      <c r="DZ256" s="2664">
        <f>DZ298</f>
      </c>
      <c r="EA256" s="2664">
        <f>EA298</f>
      </c>
      <c r="EB256" s="2664">
        <f>EB298</f>
      </c>
      <c r="EC256" s="2664">
        <f>EC298</f>
      </c>
      <c r="ED256" s="2664">
        <f t="shared" ref="ED256:EK256" si="27">ED298</f>
      </c>
      <c r="EE256" s="2664">
        <f t="shared" si="27"/>
      </c>
      <c r="EF256" s="2664">
        <f t="shared" si="27"/>
      </c>
      <c r="EG256" s="2664">
        <f t="shared" si="27"/>
      </c>
      <c r="EH256" s="2664">
        <f t="shared" si="27"/>
      </c>
      <c r="EI256" s="2664">
        <f t="shared" si="27"/>
      </c>
      <c r="EJ256" s="2664">
        <f t="shared" si="27"/>
      </c>
      <c r="EK256" s="2664">
        <f t="shared" si="27"/>
      </c>
      <c r="EL256" s="2664">
        <f t="shared" ref="EL256:FE256" si="28">EL298</f>
      </c>
      <c r="EM256" s="2664">
        <f t="shared" si="28"/>
      </c>
      <c r="EN256" s="2664">
        <f t="shared" si="28"/>
      </c>
      <c r="EO256" s="2664">
        <f t="shared" si="28"/>
      </c>
      <c r="EP256" s="2664">
        <f t="shared" si="28"/>
      </c>
      <c r="EQ256" s="2664">
        <f t="shared" si="28"/>
      </c>
      <c r="ER256" s="2664">
        <f t="shared" si="28"/>
      </c>
      <c r="ES256" s="2664">
        <f t="shared" si="28"/>
      </c>
      <c r="ET256" s="2664">
        <f t="shared" si="28"/>
      </c>
      <c r="EU256" s="2664">
        <f t="shared" si="28"/>
      </c>
      <c r="EV256" s="2664">
        <f t="shared" si="28"/>
      </c>
      <c r="EW256" s="2664">
        <f t="shared" si="28"/>
      </c>
      <c r="EX256" s="2664">
        <f t="shared" si="28"/>
      </c>
      <c r="EY256" s="2664">
        <f t="shared" si="28"/>
      </c>
      <c r="EZ256" s="2664">
        <f t="shared" si="28"/>
      </c>
      <c r="FA256" s="2664">
        <f t="shared" si="28"/>
      </c>
      <c r="FB256" s="2664">
        <f t="shared" si="28"/>
      </c>
      <c r="FC256" s="2664">
        <f t="shared" si="28"/>
      </c>
      <c r="FD256" s="2664">
        <f t="shared" si="28"/>
      </c>
      <c r="FE256" s="2664">
        <f t="shared" si="28"/>
      </c>
    </row>
    <row r="257" spans="1:161" outlineLevel="2">
      <c r="B257" t="s">
        <v>569</v>
      </c>
      <c r="C257" t="s">
        <v>570</v>
      </c>
      <c r="D257" t="str">
        <f t="shared" si="22"/>
      </c>
      <c r="F257" s="2664">
        <f t="shared" ref="F257:Z257" si="29">F285</f>
      </c>
      <c r="G257" s="2664">
        <f t="shared" si="29"/>
      </c>
      <c r="H257" s="2664">
        <f t="shared" si="29"/>
      </c>
      <c r="I257" s="2664">
        <f t="shared" si="29"/>
      </c>
      <c r="J257" s="2664">
        <f t="shared" si="29"/>
      </c>
      <c r="K257" s="2664">
        <f t="shared" si="29"/>
      </c>
      <c r="L257" s="2664">
        <f t="shared" si="29"/>
      </c>
      <c r="M257" s="2664">
        <f t="shared" si="29"/>
      </c>
      <c r="N257" s="2664">
        <f t="shared" si="29"/>
      </c>
      <c r="O257" s="2664">
        <f t="shared" si="29"/>
      </c>
      <c r="P257" s="2664">
        <f t="shared" si="29"/>
      </c>
      <c r="Q257" s="2664">
        <f t="shared" si="29"/>
      </c>
      <c r="R257" s="2664">
        <f t="shared" si="29"/>
      </c>
      <c r="S257" s="2664">
        <f t="shared" si="29"/>
      </c>
      <c r="T257" s="2664">
        <f t="shared" si="29"/>
      </c>
      <c r="U257" s="2664">
        <f t="shared" si="29"/>
      </c>
      <c r="V257" s="2664">
        <f t="shared" si="29"/>
      </c>
      <c r="W257" s="2664">
        <f t="shared" si="29"/>
      </c>
      <c r="X257" s="2664">
        <f t="shared" si="29"/>
      </c>
      <c r="Y257" s="2664">
        <f t="shared" si="29"/>
      </c>
      <c r="Z257" s="2664">
        <f t="shared" si="29"/>
      </c>
      <c r="AA257" s="2664">
        <f>AA285</f>
      </c>
      <c r="AB257" s="2664">
        <f>AB285</f>
      </c>
      <c r="AC257" s="2664">
        <f>AC285</f>
      </c>
      <c r="AD257" s="2664">
        <f>AD285</f>
      </c>
      <c r="AE257" s="2664">
        <f t="shared" ref="AE257:AJ257" si="30">AE285</f>
      </c>
      <c r="AF257" s="2664">
        <f t="shared" si="30"/>
      </c>
      <c r="AG257" s="2664">
        <f t="shared" si="30"/>
      </c>
      <c r="AH257" s="2664">
        <f t="shared" si="30"/>
      </c>
      <c r="AI257" s="2664">
        <f t="shared" si="30"/>
      </c>
      <c r="AJ257" s="2664">
        <f t="shared" si="30"/>
      </c>
      <c r="AK257" s="2664"/>
      <c r="AL257" s="2664">
        <f t="shared" ref="AL257:CW257" si="31">AL285</f>
      </c>
      <c r="AM257" s="2664">
        <f t="shared" si="31"/>
      </c>
      <c r="AN257" s="2664">
        <f t="shared" si="31"/>
      </c>
      <c r="AO257" s="2664">
        <f t="shared" si="31"/>
      </c>
      <c r="AP257" s="2664">
        <f t="shared" si="31"/>
      </c>
      <c r="AQ257" s="2664">
        <f t="shared" si="31"/>
      </c>
      <c r="AR257" s="2664">
        <f t="shared" si="31"/>
      </c>
      <c r="AS257" s="2664">
        <f t="shared" si="31"/>
      </c>
      <c r="AT257" s="2664">
        <f t="shared" si="31"/>
      </c>
      <c r="AU257" s="2664">
        <f t="shared" si="31"/>
      </c>
      <c r="AV257" s="2664">
        <f t="shared" si="31"/>
      </c>
      <c r="AW257" s="2664">
        <f t="shared" si="31"/>
      </c>
      <c r="AX257" s="2664">
        <f t="shared" si="31"/>
      </c>
      <c r="AY257" s="2664">
        <f t="shared" si="31"/>
      </c>
      <c r="AZ257" s="2664">
        <f t="shared" si="31"/>
      </c>
      <c r="BA257" s="2664">
        <f t="shared" si="31"/>
      </c>
      <c r="BB257" s="2664">
        <f t="shared" si="31"/>
      </c>
      <c r="BC257" s="2664">
        <f t="shared" si="31"/>
      </c>
      <c r="BD257" s="2664">
        <f t="shared" si="31"/>
      </c>
      <c r="BE257" s="2664">
        <f t="shared" si="31"/>
      </c>
      <c r="BF257" s="2664">
        <f t="shared" si="31"/>
      </c>
      <c r="BG257" s="2664">
        <f t="shared" si="31"/>
      </c>
      <c r="BH257" s="2664">
        <f t="shared" si="31"/>
      </c>
      <c r="BI257" s="2664">
        <f t="shared" si="31"/>
      </c>
      <c r="BJ257" s="2664">
        <f t="shared" si="31"/>
      </c>
      <c r="BK257" s="2664">
        <f t="shared" si="31"/>
      </c>
      <c r="BL257" s="2664">
        <f t="shared" si="31"/>
      </c>
      <c r="BM257" s="2664">
        <f t="shared" si="31"/>
      </c>
      <c r="BN257" s="2664">
        <f t="shared" si="31"/>
      </c>
      <c r="BO257" s="2664">
        <f t="shared" si="31"/>
      </c>
      <c r="BP257" s="2664">
        <f t="shared" si="31"/>
      </c>
      <c r="BQ257" s="2664">
        <f t="shared" si="31"/>
      </c>
      <c r="BR257" s="2664">
        <f t="shared" si="31"/>
      </c>
      <c r="BS257" s="2664">
        <f t="shared" si="31"/>
      </c>
      <c r="BT257" s="2664">
        <f t="shared" si="31"/>
      </c>
      <c r="BU257" s="2664">
        <f t="shared" si="31"/>
      </c>
      <c r="BV257" s="2664">
        <f t="shared" si="31"/>
      </c>
      <c r="BW257" s="2664">
        <f t="shared" si="31"/>
      </c>
      <c r="BX257" s="2664">
        <f t="shared" si="31"/>
      </c>
      <c r="BY257" s="2664">
        <f t="shared" si="31"/>
      </c>
      <c r="BZ257" s="2664">
        <f t="shared" si="31"/>
      </c>
      <c r="CA257" s="2664">
        <f t="shared" si="31"/>
      </c>
      <c r="CB257" s="2664">
        <f t="shared" si="31"/>
      </c>
      <c r="CC257" s="2664">
        <f t="shared" si="31"/>
      </c>
      <c r="CD257" s="2664">
        <f t="shared" si="31"/>
      </c>
      <c r="CE257" s="2664">
        <f t="shared" si="31"/>
      </c>
      <c r="CF257" s="2664">
        <f t="shared" si="31"/>
      </c>
      <c r="CG257" s="2664">
        <f t="shared" si="31"/>
      </c>
      <c r="CH257" s="2664">
        <f t="shared" si="31"/>
      </c>
      <c r="CI257" s="2664">
        <f t="shared" si="31"/>
      </c>
      <c r="CJ257" s="2664">
        <f t="shared" si="31"/>
      </c>
      <c r="CK257" s="2664">
        <f t="shared" si="31"/>
      </c>
      <c r="CL257" s="2664">
        <f t="shared" si="31"/>
      </c>
      <c r="CM257" s="2664">
        <f t="shared" si="31"/>
      </c>
      <c r="CN257" s="2664">
        <f t="shared" si="31"/>
      </c>
      <c r="CO257" s="2664">
        <f t="shared" si="31"/>
      </c>
      <c r="CP257" s="2664">
        <f t="shared" si="31"/>
      </c>
      <c r="CQ257" s="2664">
        <f t="shared" si="31"/>
      </c>
      <c r="CR257" s="2664">
        <f t="shared" si="31"/>
      </c>
      <c r="CS257" s="2664">
        <f t="shared" si="31"/>
      </c>
      <c r="CT257" s="2664">
        <f t="shared" si="31"/>
      </c>
      <c r="CU257" s="2664">
        <f t="shared" si="31"/>
      </c>
      <c r="CV257" s="2664">
        <f t="shared" si="31"/>
      </c>
      <c r="CW257" s="2664">
        <f t="shared" si="31"/>
      </c>
      <c r="CX257" s="2664">
        <f t="shared" ref="CX257:DY257" si="32">CX285</f>
      </c>
      <c r="CY257" s="2664">
        <f t="shared" si="32"/>
      </c>
      <c r="CZ257" s="2664">
        <f t="shared" si="32"/>
      </c>
      <c r="DA257" s="2664">
        <f t="shared" si="32"/>
      </c>
      <c r="DB257" s="2664">
        <f t="shared" si="32"/>
      </c>
      <c r="DC257" s="2664">
        <f t="shared" si="32"/>
      </c>
      <c r="DD257" s="2664">
        <f t="shared" si="32"/>
      </c>
      <c r="DE257" s="2664">
        <f t="shared" si="32"/>
      </c>
      <c r="DF257" s="2664">
        <f t="shared" si="32"/>
      </c>
      <c r="DG257" s="2664">
        <f t="shared" si="32"/>
      </c>
      <c r="DH257" s="2664">
        <f t="shared" si="32"/>
      </c>
      <c r="DI257" s="2664">
        <f t="shared" si="32"/>
      </c>
      <c r="DJ257" s="2664">
        <f t="shared" si="32"/>
      </c>
      <c r="DK257" s="2664">
        <f t="shared" si="32"/>
      </c>
      <c r="DL257" s="2664">
        <f t="shared" si="32"/>
      </c>
      <c r="DM257" s="2664">
        <f t="shared" si="32"/>
      </c>
      <c r="DN257" s="2664">
        <f t="shared" si="32"/>
      </c>
      <c r="DO257" s="2664">
        <f t="shared" si="32"/>
      </c>
      <c r="DP257" s="2664">
        <f t="shared" si="32"/>
      </c>
      <c r="DQ257" s="2664">
        <f t="shared" si="32"/>
      </c>
      <c r="DR257" s="2664">
        <f t="shared" si="32"/>
      </c>
      <c r="DS257" s="2664">
        <f t="shared" si="32"/>
      </c>
      <c r="DT257" s="2664">
        <f t="shared" si="32"/>
      </c>
      <c r="DU257" s="2664">
        <f t="shared" si="32"/>
      </c>
      <c r="DV257" s="2664">
        <f t="shared" si="32"/>
      </c>
      <c r="DW257" s="2664">
        <f t="shared" si="32"/>
      </c>
      <c r="DX257" s="2664">
        <f t="shared" si="32"/>
      </c>
      <c r="DY257" s="2664">
        <f t="shared" si="32"/>
      </c>
      <c r="DZ257" s="2664">
        <f>DZ285</f>
      </c>
      <c r="EA257" s="2664">
        <f>EA285</f>
      </c>
      <c r="EB257" s="2664">
        <f>EB285</f>
      </c>
      <c r="EC257" s="2664">
        <f>EC285</f>
      </c>
      <c r="ED257" s="2664">
        <f t="shared" ref="ED257:EK257" si="33">ED285</f>
      </c>
      <c r="EE257" s="2664">
        <f t="shared" si="33"/>
      </c>
      <c r="EF257" s="2664">
        <f t="shared" si="33"/>
      </c>
      <c r="EG257" s="2664">
        <f t="shared" si="33"/>
      </c>
      <c r="EH257" s="2664">
        <f t="shared" si="33"/>
      </c>
      <c r="EI257" s="2664">
        <f t="shared" si="33"/>
      </c>
      <c r="EJ257" s="2664">
        <f t="shared" si="33"/>
      </c>
      <c r="EK257" s="2664">
        <f t="shared" si="33"/>
      </c>
      <c r="EL257" s="2664">
        <f t="shared" ref="EL257:FE257" si="34">EL285</f>
      </c>
      <c r="EM257" s="2664">
        <f t="shared" si="34"/>
      </c>
      <c r="EN257" s="2664">
        <f t="shared" si="34"/>
      </c>
      <c r="EO257" s="2664">
        <f t="shared" si="34"/>
      </c>
      <c r="EP257" s="2664">
        <f t="shared" si="34"/>
      </c>
      <c r="EQ257" s="2664">
        <f t="shared" si="34"/>
      </c>
      <c r="ER257" s="2664">
        <f t="shared" si="34"/>
      </c>
      <c r="ES257" s="2664">
        <f t="shared" si="34"/>
      </c>
      <c r="ET257" s="2664">
        <f t="shared" si="34"/>
      </c>
      <c r="EU257" s="2664">
        <f t="shared" si="34"/>
      </c>
      <c r="EV257" s="2664">
        <f t="shared" si="34"/>
      </c>
      <c r="EW257" s="2664">
        <f t="shared" si="34"/>
      </c>
      <c r="EX257" s="2664">
        <f t="shared" si="34"/>
      </c>
      <c r="EY257" s="2664">
        <f t="shared" si="34"/>
      </c>
      <c r="EZ257" s="2664">
        <f t="shared" si="34"/>
      </c>
      <c r="FA257" s="2664">
        <f t="shared" si="34"/>
      </c>
      <c r="FB257" s="2664">
        <f t="shared" si="34"/>
      </c>
      <c r="FC257" s="2664">
        <f t="shared" si="34"/>
      </c>
      <c r="FD257" s="2664">
        <f t="shared" si="34"/>
      </c>
      <c r="FE257" s="2664">
        <f t="shared" si="34"/>
      </c>
    </row>
    <row r="258" spans="1:161" outlineLevel="2">
      <c r="B258" t="s">
        <v>571</v>
      </c>
      <c r="C258" t="s">
        <v>572</v>
      </c>
      <c r="D258" t="str">
        <f t="shared" si="22"/>
      </c>
      <c r="F258" s="2664"/>
      <c r="G258" s="2664"/>
      <c r="H258" s="2664"/>
      <c r="I258" s="2664"/>
      <c r="J258" s="2664"/>
      <c r="K258" s="2664"/>
      <c r="L258" s="2664"/>
      <c r="M258" s="2664"/>
      <c r="N258" s="2664"/>
      <c r="O258" s="2664"/>
      <c r="P258" s="2664"/>
      <c r="Q258" s="2664"/>
      <c r="R258" s="2664"/>
      <c r="S258" s="2664"/>
      <c r="T258" s="2664"/>
      <c r="U258" s="2664"/>
      <c r="V258" s="2664"/>
      <c r="W258" s="2664"/>
      <c r="X258" s="2664"/>
      <c r="Y258" s="2664"/>
      <c r="Z258" s="2664"/>
      <c r="AA258" s="2664"/>
      <c r="AB258" s="2664"/>
      <c r="AC258" s="2664"/>
      <c r="AD258" s="2664"/>
      <c r="AE258" s="2664"/>
      <c r="AF258" s="2664"/>
      <c r="AG258" s="2664"/>
      <c r="AH258" s="2664"/>
      <c r="AI258" s="2664"/>
      <c r="AJ258" s="2664"/>
      <c r="AK258" s="2664"/>
      <c r="AL258" s="2664"/>
      <c r="AM258" s="2664"/>
      <c r="AN258" s="2664"/>
      <c r="AO258" s="2664"/>
      <c r="AP258" s="2664"/>
      <c r="AQ258" s="2664"/>
      <c r="AR258" s="2664"/>
      <c r="AS258" s="2664"/>
      <c r="AT258" s="2664"/>
      <c r="AU258" s="2664"/>
      <c r="AV258" s="2664"/>
      <c r="AW258" s="2664"/>
      <c r="AX258" s="2664"/>
      <c r="AY258" s="2664"/>
      <c r="AZ258" s="2664"/>
      <c r="BA258" s="2664"/>
      <c r="BB258" s="2664"/>
      <c r="BC258" s="2664"/>
      <c r="BD258" s="2664"/>
      <c r="BE258" s="2664"/>
      <c r="BF258" s="2664"/>
      <c r="BG258" s="2664"/>
      <c r="BH258" s="2664"/>
      <c r="BI258" s="2664"/>
      <c r="BJ258" s="2664"/>
      <c r="BK258" s="2664"/>
      <c r="BL258" s="2664"/>
      <c r="BM258" s="2664"/>
      <c r="BN258" s="2664"/>
      <c r="BO258" s="2664"/>
      <c r="BP258" s="2664"/>
      <c r="BQ258" s="2664"/>
      <c r="BR258" s="2664"/>
      <c r="BS258" s="2664"/>
      <c r="BT258" s="2664"/>
      <c r="BU258" s="2664"/>
      <c r="BV258" s="2664"/>
      <c r="BW258" s="2664"/>
      <c r="BX258" s="2664"/>
      <c r="BY258" s="2664"/>
      <c r="BZ258" s="2664"/>
      <c r="CA258" s="2664"/>
      <c r="CB258" s="2664"/>
      <c r="CC258" s="2664"/>
      <c r="CD258" s="2664"/>
      <c r="CE258" s="2664"/>
      <c r="CF258" s="2664"/>
      <c r="CG258" s="2664"/>
      <c r="CH258" s="2664"/>
      <c r="CI258" s="2664"/>
      <c r="CJ258" s="2664"/>
      <c r="CK258" s="2664"/>
      <c r="CL258" s="2664"/>
      <c r="CM258" s="2664"/>
      <c r="CN258" s="2664"/>
      <c r="CO258" s="2664"/>
      <c r="CP258" s="2664"/>
      <c r="CQ258" s="2664"/>
      <c r="CR258" s="2664"/>
      <c r="CS258" s="2664"/>
      <c r="CT258" s="2664"/>
      <c r="CU258" s="2664"/>
      <c r="CV258" s="2664"/>
      <c r="CW258" s="2664"/>
      <c r="CX258" s="2664"/>
      <c r="CY258" s="2664"/>
      <c r="CZ258" s="2664"/>
      <c r="DA258" s="2664"/>
      <c r="DB258" s="2664"/>
      <c r="DC258" s="2664"/>
      <c r="DD258" s="2664"/>
      <c r="DE258" s="2664"/>
      <c r="DF258" s="2664"/>
      <c r="DG258" s="2664"/>
      <c r="DH258" s="2664"/>
      <c r="DI258" s="2664"/>
      <c r="DJ258" s="2664"/>
      <c r="DK258" s="2664"/>
      <c r="DL258" s="2664"/>
      <c r="DM258" s="2664"/>
      <c r="DN258" s="2664"/>
      <c r="DO258" s="2664"/>
      <c r="DP258" s="2664"/>
      <c r="DQ258" s="2664"/>
      <c r="DR258" s="2664"/>
      <c r="DS258" s="2664"/>
      <c r="DT258" s="2664"/>
      <c r="DU258" s="2664"/>
      <c r="DV258" s="2664"/>
      <c r="DW258" s="2664"/>
      <c r="DX258" s="2664"/>
      <c r="DY258" s="2664"/>
      <c r="DZ258" s="2664"/>
      <c r="EA258" s="2664"/>
      <c r="EB258" s="2664"/>
      <c r="EC258" s="2664"/>
      <c r="ED258" s="2664"/>
      <c r="EE258" s="2664"/>
      <c r="EF258" s="2664"/>
      <c r="EG258" s="2664"/>
      <c r="EH258" s="2664"/>
      <c r="EI258" s="2664"/>
      <c r="EJ258" s="2664"/>
      <c r="EK258" s="2664"/>
      <c r="EL258" s="2664"/>
      <c r="EM258" s="2664"/>
      <c r="EN258" s="2664"/>
      <c r="EO258" s="2664"/>
      <c r="EP258" s="2664"/>
      <c r="EQ258" s="2664"/>
      <c r="ER258" s="2664"/>
      <c r="ES258" s="2664"/>
      <c r="ET258" s="2664"/>
      <c r="EU258" s="2664"/>
      <c r="EV258" s="2664"/>
      <c r="EW258" s="2664"/>
      <c r="EX258" s="2664"/>
      <c r="EY258" s="2664"/>
      <c r="EZ258" s="2664"/>
      <c r="FA258" s="2664"/>
      <c r="FB258" s="2664"/>
      <c r="FC258" s="2664"/>
      <c r="FD258" s="2664"/>
      <c r="FE258" s="2664"/>
    </row>
    <row r="259" spans="1:161" outlineLevel="2">
      <c r="B259" t="s">
        <v>573</v>
      </c>
      <c r="C259" t="s">
        <v>574</v>
      </c>
      <c r="D259" t="str">
        <f t="shared" si="22"/>
      </c>
      <c r="F259" s="2657">
        <f t="shared" ref="F259:AJ259" si="35">F20</f>
      </c>
      <c r="G259" s="2657">
        <f t="shared" si="35"/>
      </c>
      <c r="H259" s="2657">
        <f t="shared" si="35"/>
      </c>
      <c r="I259" s="2657">
        <f t="shared" si="35"/>
      </c>
      <c r="J259" s="2657">
        <f t="shared" si="35"/>
      </c>
      <c r="K259" s="2657">
        <f t="shared" si="35"/>
      </c>
      <c r="L259" s="2657">
        <f t="shared" si="35"/>
      </c>
      <c r="M259" s="2657">
        <f t="shared" si="35"/>
      </c>
      <c r="N259" s="2657">
        <f t="shared" si="35"/>
      </c>
      <c r="O259" s="2657">
        <f t="shared" si="35"/>
      </c>
      <c r="P259" s="2657">
        <f t="shared" si="35"/>
      </c>
      <c r="Q259" s="2657">
        <f t="shared" si="35"/>
      </c>
      <c r="R259" s="2657">
        <f t="shared" si="35"/>
      </c>
      <c r="S259" s="2657">
        <f t="shared" si="35"/>
      </c>
      <c r="T259" s="2657">
        <f t="shared" si="35"/>
      </c>
      <c r="U259" s="2657">
        <f t="shared" si="35"/>
      </c>
      <c r="V259" s="2657">
        <f t="shared" si="35"/>
      </c>
      <c r="W259" s="2657">
        <f t="shared" si="35"/>
      </c>
      <c r="X259" s="2657">
        <f t="shared" si="35"/>
      </c>
      <c r="Y259" s="2657">
        <f t="shared" si="35"/>
      </c>
      <c r="Z259" s="2657">
        <f t="shared" si="35"/>
      </c>
      <c r="AA259" s="2657">
        <f t="shared" si="35"/>
      </c>
      <c r="AB259" s="2657">
        <f t="shared" si="35"/>
      </c>
      <c r="AC259" s="2657">
        <f t="shared" si="35"/>
      </c>
      <c r="AD259" s="2657">
        <f t="shared" si="35"/>
      </c>
      <c r="AE259" s="2657">
        <f t="shared" si="35"/>
      </c>
      <c r="AF259" s="2657">
        <f t="shared" si="35"/>
      </c>
      <c r="AG259" s="2657">
        <f t="shared" si="35"/>
      </c>
      <c r="AH259" s="2657">
        <f t="shared" si="35"/>
      </c>
      <c r="AI259" s="2657">
        <f t="shared" si="35"/>
      </c>
      <c r="AJ259" s="2657">
        <f t="shared" si="35"/>
      </c>
      <c r="AK259" s="2657"/>
      <c r="AL259" s="2657">
        <f t="shared" ref="AL259:CW259" si="36">AL20</f>
      </c>
      <c r="AM259" s="2657">
        <f t="shared" si="36"/>
      </c>
      <c r="AN259" s="2657">
        <f t="shared" si="36"/>
      </c>
      <c r="AO259" s="2657">
        <f t="shared" si="36"/>
      </c>
      <c r="AP259" s="2657">
        <f t="shared" si="36"/>
      </c>
      <c r="AQ259" s="2657">
        <f t="shared" si="36"/>
      </c>
      <c r="AR259" s="2657">
        <f t="shared" si="36"/>
      </c>
      <c r="AS259" s="2657">
        <f t="shared" si="36"/>
      </c>
      <c r="AT259" s="2657">
        <f t="shared" si="36"/>
      </c>
      <c r="AU259" s="2657">
        <f t="shared" si="36"/>
      </c>
      <c r="AV259" s="2657">
        <f t="shared" si="36"/>
      </c>
      <c r="AW259" s="2657">
        <f t="shared" si="36"/>
      </c>
      <c r="AX259" s="2657">
        <f t="shared" si="36"/>
      </c>
      <c r="AY259" s="2657">
        <f t="shared" si="36"/>
      </c>
      <c r="AZ259" s="2657">
        <f t="shared" si="36"/>
      </c>
      <c r="BA259" s="2657">
        <f t="shared" si="36"/>
      </c>
      <c r="BB259" s="2657">
        <f t="shared" si="36"/>
      </c>
      <c r="BC259" s="2657">
        <f t="shared" si="36"/>
      </c>
      <c r="BD259" s="2657">
        <f t="shared" si="36"/>
      </c>
      <c r="BE259" s="2657">
        <f t="shared" si="36"/>
      </c>
      <c r="BF259" s="2657">
        <f t="shared" si="36"/>
      </c>
      <c r="BG259" s="2657">
        <f t="shared" si="36"/>
      </c>
      <c r="BH259" s="2657">
        <f t="shared" si="36"/>
      </c>
      <c r="BI259" s="2657">
        <f t="shared" si="36"/>
      </c>
      <c r="BJ259" s="2657">
        <f t="shared" si="36"/>
      </c>
      <c r="BK259" s="2657">
        <f t="shared" si="36"/>
      </c>
      <c r="BL259" s="2657">
        <f t="shared" si="36"/>
      </c>
      <c r="BM259" s="2657">
        <f t="shared" si="36"/>
      </c>
      <c r="BN259" s="2657">
        <f t="shared" si="36"/>
      </c>
      <c r="BO259" s="2657">
        <f t="shared" si="36"/>
      </c>
      <c r="BP259" s="2657">
        <f t="shared" si="36"/>
      </c>
      <c r="BQ259" s="2657">
        <f t="shared" si="36"/>
      </c>
      <c r="BR259" s="2657">
        <f t="shared" si="36"/>
      </c>
      <c r="BS259" s="2657">
        <f t="shared" si="36"/>
      </c>
      <c r="BT259" s="2657">
        <f t="shared" si="36"/>
      </c>
      <c r="BU259" s="2657">
        <f t="shared" si="36"/>
      </c>
      <c r="BV259" s="2657">
        <f t="shared" si="36"/>
      </c>
      <c r="BW259" s="2657">
        <f t="shared" si="36"/>
      </c>
      <c r="BX259" s="2657">
        <f t="shared" si="36"/>
      </c>
      <c r="BY259" s="2657">
        <f t="shared" si="36"/>
      </c>
      <c r="BZ259" s="2657">
        <f t="shared" si="36"/>
      </c>
      <c r="CA259" s="2657">
        <f t="shared" si="36"/>
      </c>
      <c r="CB259" s="2657">
        <f t="shared" si="36"/>
      </c>
      <c r="CC259" s="2657">
        <f t="shared" si="36"/>
      </c>
      <c r="CD259" s="2657">
        <f t="shared" si="36"/>
      </c>
      <c r="CE259" s="2657">
        <f t="shared" si="36"/>
      </c>
      <c r="CF259" s="2657">
        <f t="shared" si="36"/>
      </c>
      <c r="CG259" s="2657">
        <f t="shared" si="36"/>
      </c>
      <c r="CH259" s="2657">
        <f t="shared" si="36"/>
      </c>
      <c r="CI259" s="2657">
        <f t="shared" si="36"/>
      </c>
      <c r="CJ259" s="2657">
        <f t="shared" si="36"/>
      </c>
      <c r="CK259" s="2657">
        <f t="shared" si="36"/>
      </c>
      <c r="CL259" s="2657">
        <f t="shared" si="36"/>
      </c>
      <c r="CM259" s="2657">
        <f t="shared" si="36"/>
      </c>
      <c r="CN259" s="2657">
        <f t="shared" si="36"/>
      </c>
      <c r="CO259" s="2657">
        <f t="shared" si="36"/>
      </c>
      <c r="CP259" s="2657">
        <f t="shared" si="36"/>
      </c>
      <c r="CQ259" s="2657">
        <f t="shared" si="36"/>
      </c>
      <c r="CR259" s="2657">
        <f t="shared" si="36"/>
      </c>
      <c r="CS259" s="2657">
        <f t="shared" si="36"/>
      </c>
      <c r="CT259" s="2657">
        <f t="shared" si="36"/>
      </c>
      <c r="CU259" s="2657">
        <f t="shared" si="36"/>
      </c>
      <c r="CV259" s="2657">
        <f t="shared" si="36"/>
      </c>
      <c r="CW259" s="2657">
        <f t="shared" si="36"/>
      </c>
      <c r="CX259" s="2657">
        <f t="shared" ref="CX259:EK259" si="37">CX20</f>
      </c>
      <c r="CY259" s="2657">
        <f t="shared" si="37"/>
      </c>
      <c r="CZ259" s="2657">
        <f t="shared" si="37"/>
      </c>
      <c r="DA259" s="2657">
        <f t="shared" si="37"/>
      </c>
      <c r="DB259" s="2657">
        <f t="shared" si="37"/>
      </c>
      <c r="DC259" s="2657">
        <f t="shared" si="37"/>
      </c>
      <c r="DD259" s="2657">
        <f t="shared" si="37"/>
      </c>
      <c r="DE259" s="2657">
        <f t="shared" si="37"/>
      </c>
      <c r="DF259" s="2657">
        <f t="shared" si="37"/>
      </c>
      <c r="DG259" s="2657">
        <f t="shared" si="37"/>
      </c>
      <c r="DH259" s="2657">
        <f t="shared" si="37"/>
      </c>
      <c r="DI259" s="2657">
        <f t="shared" si="37"/>
      </c>
      <c r="DJ259" s="2657">
        <f t="shared" si="37"/>
      </c>
      <c r="DK259" s="2657">
        <f t="shared" si="37"/>
      </c>
      <c r="DL259" s="2657">
        <f t="shared" si="37"/>
      </c>
      <c r="DM259" s="2657">
        <f t="shared" si="37"/>
      </c>
      <c r="DN259" s="2657">
        <f t="shared" si="37"/>
      </c>
      <c r="DO259" s="2657">
        <f t="shared" si="37"/>
      </c>
      <c r="DP259" s="2657">
        <f t="shared" si="37"/>
      </c>
      <c r="DQ259" s="2657">
        <f t="shared" si="37"/>
      </c>
      <c r="DR259" s="2657">
        <f t="shared" si="37"/>
      </c>
      <c r="DS259" s="2657">
        <f t="shared" si="37"/>
      </c>
      <c r="DT259" s="2657">
        <f t="shared" si="37"/>
      </c>
      <c r="DU259" s="2657">
        <f t="shared" si="37"/>
      </c>
      <c r="DV259" s="2657">
        <f t="shared" si="37"/>
      </c>
      <c r="DW259" s="2657">
        <f t="shared" si="37"/>
      </c>
      <c r="DX259" s="2657">
        <f t="shared" si="37"/>
      </c>
      <c r="DY259" s="2657">
        <f t="shared" si="37"/>
      </c>
      <c r="DZ259" s="2657">
        <f t="shared" si="37"/>
      </c>
      <c r="EA259" s="2657">
        <f t="shared" si="37"/>
      </c>
      <c r="EB259" s="2657">
        <f t="shared" si="37"/>
      </c>
      <c r="EC259" s="2657">
        <f t="shared" si="37"/>
      </c>
      <c r="ED259" s="2657">
        <f t="shared" si="37"/>
      </c>
      <c r="EE259" s="2657">
        <f t="shared" si="37"/>
      </c>
      <c r="EF259" s="2657">
        <f t="shared" si="37"/>
      </c>
      <c r="EG259" s="2657">
        <f t="shared" si="37"/>
      </c>
      <c r="EH259" s="2657">
        <f t="shared" si="37"/>
      </c>
      <c r="EI259" s="2657">
        <f t="shared" si="37"/>
      </c>
      <c r="EJ259" s="2657">
        <f t="shared" si="37"/>
      </c>
      <c r="EK259" s="2657">
        <f t="shared" si="37"/>
      </c>
      <c r="EL259" s="2657">
        <f t="shared" ref="EL259:FE259" si="38">EL20</f>
      </c>
      <c r="EM259" s="2657">
        <f t="shared" si="38"/>
      </c>
      <c r="EN259" s="2657">
        <f t="shared" si="38"/>
      </c>
      <c r="EO259" s="2657">
        <f t="shared" si="38"/>
      </c>
      <c r="EP259" s="2657">
        <f t="shared" si="38"/>
      </c>
      <c r="EQ259" s="2657">
        <f t="shared" si="38"/>
      </c>
      <c r="ER259" s="2657">
        <f t="shared" si="38"/>
      </c>
      <c r="ES259" s="2657">
        <f t="shared" si="38"/>
      </c>
      <c r="ET259" s="2657">
        <f t="shared" si="38"/>
      </c>
      <c r="EU259" s="2657">
        <f t="shared" si="38"/>
      </c>
      <c r="EV259" s="2657">
        <f t="shared" si="38"/>
      </c>
      <c r="EW259" s="2657">
        <f t="shared" si="38"/>
      </c>
      <c r="EX259" s="2657">
        <f t="shared" si="38"/>
      </c>
      <c r="EY259" s="2657">
        <f t="shared" si="38"/>
      </c>
      <c r="EZ259" s="2657">
        <f t="shared" si="38"/>
      </c>
      <c r="FA259" s="2657">
        <f t="shared" si="38"/>
      </c>
      <c r="FB259" s="2657">
        <f t="shared" si="38"/>
      </c>
      <c r="FC259" s="2657">
        <f t="shared" si="38"/>
      </c>
      <c r="FD259" s="2657">
        <f t="shared" si="38"/>
      </c>
      <c r="FE259" s="2657">
        <f t="shared" si="38"/>
      </c>
    </row>
    <row r="260" spans="1:161" outlineLevel="2">
      <c r="B260" t="s">
        <v>575</v>
      </c>
      <c r="C260" t="s">
        <v>576</v>
      </c>
      <c r="D260" t="str">
        <f t="shared" si="22"/>
      </c>
      <c r="F260" s="2664">
        <f t="shared" ref="F260:Z260" si="39">F281</f>
      </c>
      <c r="G260" s="2664">
        <f t="shared" si="39"/>
      </c>
      <c r="H260" s="2664">
        <f t="shared" si="39"/>
      </c>
      <c r="I260" s="2664">
        <f t="shared" si="39"/>
      </c>
      <c r="J260" s="2664">
        <f t="shared" si="39"/>
      </c>
      <c r="K260" s="2664">
        <f t="shared" si="39"/>
      </c>
      <c r="L260" s="2664">
        <f t="shared" si="39"/>
      </c>
      <c r="M260" s="2664">
        <f t="shared" si="39"/>
      </c>
      <c r="N260" s="2664">
        <f t="shared" si="39"/>
      </c>
      <c r="O260" s="2664">
        <f t="shared" si="39"/>
      </c>
      <c r="P260" s="2664">
        <f t="shared" si="39"/>
      </c>
      <c r="Q260" s="2664">
        <f t="shared" si="39"/>
      </c>
      <c r="R260" s="2664">
        <f t="shared" si="39"/>
      </c>
      <c r="S260" s="2664">
        <f t="shared" si="39"/>
      </c>
      <c r="T260" s="2664">
        <f t="shared" si="39"/>
      </c>
      <c r="U260" s="2664">
        <f t="shared" si="39"/>
      </c>
      <c r="V260" s="2664">
        <f t="shared" si="39"/>
      </c>
      <c r="W260" s="2664">
        <f t="shared" si="39"/>
      </c>
      <c r="X260" s="2664">
        <f t="shared" si="39"/>
      </c>
      <c r="Y260" s="2664">
        <f t="shared" si="39"/>
      </c>
      <c r="Z260" s="2664">
        <f t="shared" si="39"/>
      </c>
      <c r="AA260" s="2664">
        <f>AA281</f>
      </c>
      <c r="AB260" s="2664">
        <f>AB281</f>
      </c>
      <c r="AC260" s="2664">
        <f>AC281</f>
      </c>
      <c r="AD260" s="2664">
        <f>AD281</f>
      </c>
      <c r="AE260" s="2664">
        <f t="shared" ref="AE260:AJ260" si="40">AE281</f>
      </c>
      <c r="AF260" s="2664">
        <f t="shared" si="40"/>
      </c>
      <c r="AG260" s="2664">
        <f t="shared" si="40"/>
      </c>
      <c r="AH260" s="2664">
        <f t="shared" si="40"/>
      </c>
      <c r="AI260" s="2664">
        <f t="shared" si="40"/>
      </c>
      <c r="AJ260" s="2664">
        <f t="shared" si="40"/>
      </c>
      <c r="AK260" s="2664"/>
      <c r="AL260" s="2664">
        <f t="shared" ref="AL260:CW260" si="41">AL281</f>
      </c>
      <c r="AM260" s="2664">
        <f t="shared" si="41"/>
      </c>
      <c r="AN260" s="2664">
        <f t="shared" si="41"/>
      </c>
      <c r="AO260" s="2664">
        <f t="shared" si="41"/>
      </c>
      <c r="AP260" s="2664">
        <f t="shared" si="41"/>
      </c>
      <c r="AQ260" s="2664">
        <f t="shared" si="41"/>
      </c>
      <c r="AR260" s="2664">
        <f t="shared" si="41"/>
      </c>
      <c r="AS260" s="2664">
        <f t="shared" si="41"/>
      </c>
      <c r="AT260" s="2664">
        <f t="shared" si="41"/>
      </c>
      <c r="AU260" s="2664">
        <f t="shared" si="41"/>
      </c>
      <c r="AV260" s="2664">
        <f t="shared" si="41"/>
      </c>
      <c r="AW260" s="2664">
        <f t="shared" si="41"/>
      </c>
      <c r="AX260" s="2664">
        <f t="shared" si="41"/>
      </c>
      <c r="AY260" s="2664">
        <f t="shared" si="41"/>
      </c>
      <c r="AZ260" s="2664">
        <f t="shared" si="41"/>
      </c>
      <c r="BA260" s="2664">
        <f t="shared" si="41"/>
      </c>
      <c r="BB260" s="2664">
        <f t="shared" si="41"/>
      </c>
      <c r="BC260" s="2664">
        <f t="shared" si="41"/>
      </c>
      <c r="BD260" s="2664">
        <f t="shared" si="41"/>
      </c>
      <c r="BE260" s="2664">
        <f t="shared" si="41"/>
      </c>
      <c r="BF260" s="2664">
        <f t="shared" si="41"/>
      </c>
      <c r="BG260" s="2664">
        <f t="shared" si="41"/>
      </c>
      <c r="BH260" s="2664">
        <f t="shared" si="41"/>
      </c>
      <c r="BI260" s="2664">
        <f t="shared" si="41"/>
      </c>
      <c r="BJ260" s="2664">
        <f t="shared" si="41"/>
      </c>
      <c r="BK260" s="2664">
        <f t="shared" si="41"/>
      </c>
      <c r="BL260" s="2664">
        <f t="shared" si="41"/>
      </c>
      <c r="BM260" s="2664">
        <f t="shared" si="41"/>
      </c>
      <c r="BN260" s="2664">
        <f t="shared" si="41"/>
      </c>
      <c r="BO260" s="2664">
        <f t="shared" si="41"/>
      </c>
      <c r="BP260" s="2664">
        <f t="shared" si="41"/>
      </c>
      <c r="BQ260" s="2664">
        <f t="shared" si="41"/>
      </c>
      <c r="BR260" s="2664">
        <f t="shared" si="41"/>
      </c>
      <c r="BS260" s="2664">
        <f t="shared" si="41"/>
      </c>
      <c r="BT260" s="2664">
        <f t="shared" si="41"/>
      </c>
      <c r="BU260" s="2664">
        <f t="shared" si="41"/>
      </c>
      <c r="BV260" s="2664">
        <f t="shared" si="41"/>
      </c>
      <c r="BW260" s="2664">
        <f t="shared" si="41"/>
      </c>
      <c r="BX260" s="2664">
        <f t="shared" si="41"/>
      </c>
      <c r="BY260" s="2664">
        <f t="shared" si="41"/>
      </c>
      <c r="BZ260" s="2664">
        <f t="shared" si="41"/>
      </c>
      <c r="CA260" s="2664">
        <f t="shared" si="41"/>
      </c>
      <c r="CB260" s="2664">
        <f t="shared" si="41"/>
      </c>
      <c r="CC260" s="2664">
        <f t="shared" si="41"/>
      </c>
      <c r="CD260" s="2664">
        <f t="shared" si="41"/>
      </c>
      <c r="CE260" s="2664">
        <f t="shared" si="41"/>
      </c>
      <c r="CF260" s="2664">
        <f t="shared" si="41"/>
      </c>
      <c r="CG260" s="2664">
        <f t="shared" si="41"/>
      </c>
      <c r="CH260" s="2664">
        <f t="shared" si="41"/>
      </c>
      <c r="CI260" s="2664">
        <f t="shared" si="41"/>
      </c>
      <c r="CJ260" s="2664">
        <f t="shared" si="41"/>
      </c>
      <c r="CK260" s="2664">
        <f t="shared" si="41"/>
      </c>
      <c r="CL260" s="2664">
        <f t="shared" si="41"/>
      </c>
      <c r="CM260" s="2664">
        <f t="shared" si="41"/>
      </c>
      <c r="CN260" s="2664">
        <f t="shared" si="41"/>
      </c>
      <c r="CO260" s="2664">
        <f t="shared" si="41"/>
      </c>
      <c r="CP260" s="2664">
        <f t="shared" si="41"/>
      </c>
      <c r="CQ260" s="2664">
        <f t="shared" si="41"/>
      </c>
      <c r="CR260" s="2664">
        <f t="shared" si="41"/>
      </c>
      <c r="CS260" s="2664">
        <f t="shared" si="41"/>
      </c>
      <c r="CT260" s="2664">
        <f t="shared" si="41"/>
      </c>
      <c r="CU260" s="2664">
        <f t="shared" si="41"/>
      </c>
      <c r="CV260" s="2664">
        <f t="shared" si="41"/>
      </c>
      <c r="CW260" s="2664">
        <f t="shared" si="41"/>
      </c>
      <c r="CX260" s="2664">
        <f t="shared" ref="CX260:DY260" si="42">CX281</f>
      </c>
      <c r="CY260" s="2664">
        <f t="shared" si="42"/>
      </c>
      <c r="CZ260" s="2664">
        <f t="shared" si="42"/>
      </c>
      <c r="DA260" s="2664">
        <f t="shared" si="42"/>
      </c>
      <c r="DB260" s="2664">
        <f t="shared" si="42"/>
      </c>
      <c r="DC260" s="2664">
        <f t="shared" si="42"/>
      </c>
      <c r="DD260" s="2664">
        <f t="shared" si="42"/>
      </c>
      <c r="DE260" s="2664">
        <f t="shared" si="42"/>
      </c>
      <c r="DF260" s="2664">
        <f t="shared" si="42"/>
      </c>
      <c r="DG260" s="2664">
        <f t="shared" si="42"/>
      </c>
      <c r="DH260" s="2664">
        <f t="shared" si="42"/>
      </c>
      <c r="DI260" s="2664">
        <f t="shared" si="42"/>
      </c>
      <c r="DJ260" s="2664">
        <f t="shared" si="42"/>
      </c>
      <c r="DK260" s="2664">
        <f t="shared" si="42"/>
      </c>
      <c r="DL260" s="2664">
        <f t="shared" si="42"/>
      </c>
      <c r="DM260" s="2664">
        <f t="shared" si="42"/>
      </c>
      <c r="DN260" s="2664">
        <f t="shared" si="42"/>
      </c>
      <c r="DO260" s="2664">
        <f t="shared" si="42"/>
      </c>
      <c r="DP260" s="2664">
        <f t="shared" si="42"/>
      </c>
      <c r="DQ260" s="2664">
        <f t="shared" si="42"/>
      </c>
      <c r="DR260" s="2664">
        <f t="shared" si="42"/>
      </c>
      <c r="DS260" s="2664">
        <f t="shared" si="42"/>
      </c>
      <c r="DT260" s="2664">
        <f t="shared" si="42"/>
      </c>
      <c r="DU260" s="2664">
        <f t="shared" si="42"/>
      </c>
      <c r="DV260" s="2664">
        <f t="shared" si="42"/>
      </c>
      <c r="DW260" s="2664">
        <f t="shared" si="42"/>
      </c>
      <c r="DX260" s="2664">
        <f t="shared" si="42"/>
      </c>
      <c r="DY260" s="2664">
        <f t="shared" si="42"/>
      </c>
      <c r="DZ260" s="2664">
        <f>DZ281</f>
      </c>
      <c r="EA260" s="2664">
        <f>EA281</f>
      </c>
      <c r="EB260" s="2664">
        <f>EB281</f>
      </c>
      <c r="EC260" s="2664">
        <f>EC281</f>
      </c>
      <c r="ED260" s="2664">
        <f t="shared" ref="ED260:EK260" si="43">ED281</f>
      </c>
      <c r="EE260" s="2664">
        <f t="shared" si="43"/>
      </c>
      <c r="EF260" s="2664">
        <f t="shared" si="43"/>
      </c>
      <c r="EG260" s="2664">
        <f t="shared" si="43"/>
      </c>
      <c r="EH260" s="2664">
        <f t="shared" si="43"/>
      </c>
      <c r="EI260" s="2664">
        <f t="shared" si="43"/>
      </c>
      <c r="EJ260" s="2664">
        <f t="shared" si="43"/>
      </c>
      <c r="EK260" s="2664">
        <f t="shared" si="43"/>
      </c>
      <c r="EL260" s="2664">
        <f t="shared" ref="EL260:FE260" si="44">EL281</f>
      </c>
      <c r="EM260" s="2664">
        <f t="shared" si="44"/>
      </c>
      <c r="EN260" s="2664">
        <f t="shared" si="44"/>
      </c>
      <c r="EO260" s="2664">
        <f t="shared" si="44"/>
      </c>
      <c r="EP260" s="2664">
        <f t="shared" si="44"/>
      </c>
      <c r="EQ260" s="2664">
        <f t="shared" si="44"/>
      </c>
      <c r="ER260" s="2664">
        <f t="shared" si="44"/>
      </c>
      <c r="ES260" s="2664">
        <f t="shared" si="44"/>
      </c>
      <c r="ET260" s="2664">
        <f t="shared" si="44"/>
      </c>
      <c r="EU260" s="2664">
        <f t="shared" si="44"/>
      </c>
      <c r="EV260" s="2664">
        <f t="shared" si="44"/>
      </c>
      <c r="EW260" s="2664">
        <f t="shared" si="44"/>
      </c>
      <c r="EX260" s="2664">
        <f t="shared" si="44"/>
      </c>
      <c r="EY260" s="2664">
        <f t="shared" si="44"/>
      </c>
      <c r="EZ260" s="2664">
        <f t="shared" si="44"/>
      </c>
      <c r="FA260" s="2664">
        <f t="shared" si="44"/>
      </c>
      <c r="FB260" s="2664">
        <f t="shared" si="44"/>
      </c>
      <c r="FC260" s="2664">
        <f t="shared" si="44"/>
      </c>
      <c r="FD260" s="2664">
        <f t="shared" si="44"/>
      </c>
      <c r="FE260" s="2664">
        <f t="shared" si="44"/>
      </c>
    </row>
    <row r="261" spans="1:161" s="2727" customFormat="1" outlineLevel="2">
      <c r="A261" s="2725"/>
      <c r="B261" s="2725" t="s">
        <v>577</v>
      </c>
      <c r="C261" s="2726"/>
      <c r="D261" s="2725" t="str">
        <f t="shared" si="22"/>
      </c>
      <c r="F261" s="2733"/>
      <c r="G261" s="2733"/>
      <c r="H261" s="2733"/>
      <c r="I261" s="2733"/>
      <c r="J261" s="2733"/>
      <c r="K261" s="2733"/>
      <c r="L261" s="2733"/>
      <c r="M261" s="2733"/>
      <c r="N261" s="2733"/>
      <c r="O261" s="2733"/>
      <c r="P261" s="2733"/>
      <c r="Q261" s="2733"/>
      <c r="R261" s="2733"/>
      <c r="S261" s="2733"/>
      <c r="T261" s="2733"/>
      <c r="U261" s="2733"/>
      <c r="V261" s="2733"/>
      <c r="W261" s="2733"/>
      <c r="X261" s="2733"/>
      <c r="Y261" s="2733"/>
      <c r="Z261" s="2733"/>
      <c r="AA261" s="2733"/>
      <c r="AB261" s="2733"/>
      <c r="AC261" s="2733"/>
      <c r="AD261" s="2733"/>
      <c r="AE261" s="2733"/>
      <c r="AF261" s="2733"/>
      <c r="AG261" s="2733"/>
      <c r="AH261" s="2733"/>
      <c r="AI261" s="2733"/>
      <c r="AJ261" s="2733"/>
      <c r="AK261" s="2733"/>
      <c r="AL261" s="2733"/>
      <c r="AM261" s="2733"/>
      <c r="AN261" s="2733"/>
      <c r="AO261" s="2733"/>
      <c r="AP261" s="2733"/>
      <c r="AQ261" s="2733"/>
      <c r="AR261" s="2733"/>
      <c r="AS261" s="2733"/>
      <c r="AT261" s="2733"/>
      <c r="AU261" s="2733"/>
      <c r="AV261" s="2733"/>
      <c r="AW261" s="2733"/>
      <c r="AX261" s="2733"/>
      <c r="AY261" s="2733"/>
      <c r="AZ261" s="2733"/>
      <c r="BA261" s="2733"/>
      <c r="BB261" s="2733"/>
      <c r="BC261" s="2733"/>
      <c r="BD261" s="2733"/>
      <c r="BE261" s="2733"/>
      <c r="BF261" s="2733"/>
      <c r="BG261" s="2733"/>
      <c r="BH261" s="2733"/>
      <c r="BI261" s="2733"/>
      <c r="BJ261" s="2733"/>
      <c r="BK261" s="2733"/>
      <c r="BL261" s="2733"/>
      <c r="BM261" s="2733"/>
      <c r="BN261" s="2733"/>
      <c r="BO261" s="2733"/>
      <c r="BP261" s="2733"/>
      <c r="BQ261" s="2733"/>
      <c r="BR261" s="2733"/>
      <c r="BS261" s="2733"/>
      <c r="BT261" s="2733"/>
      <c r="BU261" s="2733"/>
      <c r="BV261" s="2733"/>
      <c r="BW261" s="2733"/>
      <c r="BX261" s="2733"/>
      <c r="BY261" s="2733"/>
      <c r="BZ261" s="2733"/>
      <c r="CA261" s="2733"/>
      <c r="CB261" s="2733"/>
      <c r="CC261" s="2733"/>
      <c r="CD261" s="2733"/>
      <c r="CE261" s="2733"/>
      <c r="CF261" s="2733"/>
      <c r="CG261" s="2733"/>
      <c r="CH261" s="2733"/>
      <c r="CI261" s="2733"/>
      <c r="CJ261" s="2733"/>
      <c r="CK261" s="2733"/>
      <c r="CL261" s="2733"/>
      <c r="CM261" s="2733"/>
      <c r="CN261" s="2733"/>
      <c r="CO261" s="2733"/>
      <c r="CP261" s="2733"/>
      <c r="CQ261" s="2733"/>
      <c r="CR261" s="2733"/>
      <c r="CS261" s="2733"/>
      <c r="CT261" s="2733"/>
      <c r="CU261" s="2733"/>
      <c r="CV261" s="2733"/>
      <c r="CW261" s="2733"/>
      <c r="CX261" s="2733"/>
      <c r="CY261" s="2733"/>
      <c r="CZ261" s="2733"/>
      <c r="DA261" s="2733"/>
      <c r="DB261" s="2733"/>
      <c r="DC261" s="2733"/>
      <c r="DD261" s="2733"/>
      <c r="DE261" s="2733"/>
      <c r="DF261" s="2733"/>
      <c r="DG261" s="2733"/>
      <c r="DH261" s="2733"/>
      <c r="DI261" s="2733"/>
      <c r="DJ261" s="2733"/>
      <c r="DK261" s="2733"/>
      <c r="DL261" s="2733"/>
      <c r="DM261" s="2733"/>
      <c r="DN261" s="2733"/>
      <c r="DO261" s="2733"/>
      <c r="DP261" s="2733"/>
      <c r="DQ261" s="2733"/>
      <c r="DR261" s="2733"/>
      <c r="DS261" s="2733"/>
      <c r="DT261" s="2733"/>
      <c r="DU261" s="2733"/>
      <c r="DV261" s="2733"/>
      <c r="DW261" s="2733"/>
      <c r="DX261" s="2733"/>
      <c r="DY261" s="2733"/>
      <c r="DZ261" s="2733"/>
      <c r="EA261" s="2733"/>
      <c r="EB261" s="2733"/>
      <c r="EC261" s="2733"/>
      <c r="ED261" s="2733"/>
      <c r="EE261" s="2733"/>
      <c r="EF261" s="2733"/>
      <c r="EG261" s="2733"/>
      <c r="EH261" s="2733"/>
      <c r="EI261" s="2733"/>
      <c r="EJ261" s="2733"/>
      <c r="EK261" s="2733"/>
      <c r="EL261" s="2733"/>
      <c r="EM261" s="2733"/>
      <c r="EN261" s="2733"/>
      <c r="EO261" s="2733"/>
      <c r="EP261" s="2733"/>
      <c r="EQ261" s="2733"/>
      <c r="ER261" s="2733"/>
      <c r="ES261" s="2733"/>
      <c r="ET261" s="2733"/>
      <c r="EU261" s="2733"/>
      <c r="EV261" s="2733"/>
      <c r="EW261" s="2733"/>
      <c r="EX261" s="2733"/>
      <c r="EY261" s="2733"/>
      <c r="EZ261" s="2733"/>
      <c r="FA261" s="2733"/>
      <c r="FB261" s="2733"/>
      <c r="FC261" s="2733"/>
      <c r="FD261" s="2733"/>
      <c r="FE261" s="2733"/>
    </row>
    <row r="262" spans="1:161" outlineLevel="2">
      <c r="B262" t="s">
        <v>578</v>
      </c>
      <c r="C262" t="s">
        <v>579</v>
      </c>
      <c r="D262" t="str">
        <f t="shared" si="22"/>
      </c>
      <c r="F262" s="2664"/>
      <c r="G262" s="2664"/>
      <c r="H262" s="2664"/>
      <c r="I262" s="2664"/>
      <c r="J262" s="2664"/>
      <c r="K262" s="2664"/>
      <c r="L262" s="2664"/>
      <c r="M262" s="2664"/>
      <c r="N262" s="2664"/>
      <c r="O262" s="2664"/>
      <c r="P262" s="2664"/>
      <c r="Q262" s="2664"/>
      <c r="R262" s="2664"/>
      <c r="S262" s="2664"/>
      <c r="T262" s="2664"/>
      <c r="U262" s="2664"/>
      <c r="V262" s="2664"/>
      <c r="W262" s="2664"/>
      <c r="X262" s="2664"/>
      <c r="Y262" s="2664"/>
      <c r="Z262" s="2664"/>
      <c r="AA262" s="2664"/>
      <c r="AB262" s="2664"/>
      <c r="AC262" s="2664"/>
      <c r="AD262" s="2664"/>
      <c r="AE262" s="2664"/>
      <c r="AF262" s="2664"/>
      <c r="AG262" s="2664"/>
      <c r="AH262" s="2664"/>
      <c r="AI262" s="2664"/>
      <c r="AJ262" s="2664"/>
      <c r="AK262" s="2664"/>
      <c r="AL262" s="2664"/>
      <c r="AM262" s="2664"/>
      <c r="AN262" s="2664"/>
      <c r="AO262" s="2664"/>
      <c r="AP262" s="2664"/>
      <c r="AQ262" s="2664"/>
      <c r="AR262" s="2664"/>
      <c r="AS262" s="2664"/>
      <c r="AT262" s="2664"/>
      <c r="AU262" s="2664"/>
      <c r="AV262" s="2664"/>
      <c r="AW262" s="2664"/>
      <c r="AX262" s="2664"/>
      <c r="AY262" s="2664"/>
      <c r="AZ262" s="2664"/>
      <c r="BA262" s="2664"/>
      <c r="BB262" s="2664"/>
      <c r="BC262" s="2664"/>
      <c r="BD262" s="2664"/>
      <c r="BE262" s="2664"/>
      <c r="BF262" s="2664"/>
      <c r="BG262" s="2664"/>
      <c r="BH262" s="2664"/>
      <c r="BI262" s="2664"/>
      <c r="BJ262" s="2664"/>
      <c r="BK262" s="2664"/>
      <c r="BL262" s="2664"/>
      <c r="BM262" s="2664"/>
      <c r="BN262" s="2664"/>
      <c r="BO262" s="2664"/>
      <c r="BP262" s="2664"/>
      <c r="BQ262" s="2664"/>
      <c r="BR262" s="2664"/>
      <c r="BS262" s="2664"/>
      <c r="BT262" s="2664"/>
      <c r="BU262" s="2664"/>
      <c r="BV262" s="2664"/>
      <c r="BW262" s="2664"/>
      <c r="BX262" s="2664"/>
      <c r="BY262" s="2664"/>
      <c r="BZ262" s="2664"/>
      <c r="CA262" s="2664"/>
      <c r="CB262" s="2664"/>
      <c r="CC262" s="2664"/>
      <c r="CD262" s="2664"/>
      <c r="CE262" s="2664"/>
      <c r="CF262" s="2664"/>
      <c r="CG262" s="2664"/>
      <c r="CH262" s="2664"/>
      <c r="CI262" s="2664"/>
      <c r="CJ262" s="2664"/>
      <c r="CK262" s="2664"/>
      <c r="CL262" s="2664"/>
      <c r="CM262" s="2664"/>
      <c r="CN262" s="2664"/>
      <c r="CO262" s="2664"/>
      <c r="CP262" s="2664"/>
      <c r="CQ262" s="2664"/>
      <c r="CR262" s="2664"/>
      <c r="CS262" s="2664"/>
      <c r="CT262" s="2664"/>
      <c r="CU262" s="2664"/>
      <c r="CV262" s="2664"/>
      <c r="CW262" s="2664"/>
      <c r="CX262" s="2664"/>
      <c r="CY262" s="2664"/>
      <c r="CZ262" s="2664"/>
      <c r="DA262" s="2664"/>
      <c r="DB262" s="2664"/>
      <c r="DC262" s="2664"/>
      <c r="DD262" s="2664"/>
      <c r="DE262" s="2664"/>
      <c r="DF262" s="2664"/>
      <c r="DG262" s="2664"/>
      <c r="DH262" s="2664"/>
      <c r="DI262" s="2664"/>
      <c r="DJ262" s="2664"/>
      <c r="DK262" s="2664"/>
      <c r="DL262" s="2664"/>
      <c r="DM262" s="2664"/>
      <c r="DN262" s="2664"/>
      <c r="DO262" s="2664"/>
      <c r="DP262" s="2664"/>
      <c r="DQ262" s="2664"/>
      <c r="DR262" s="2664"/>
      <c r="DS262" s="2664"/>
      <c r="DT262" s="2664"/>
      <c r="DU262" s="2664"/>
      <c r="DV262" s="2664"/>
      <c r="DW262" s="2664"/>
      <c r="DX262" s="2664"/>
      <c r="DY262" s="2664"/>
      <c r="DZ262" s="2664"/>
      <c r="EA262" s="2664"/>
      <c r="EB262" s="2664"/>
      <c r="EC262" s="2664"/>
      <c r="ED262" s="2664"/>
      <c r="EE262" s="2664"/>
      <c r="EF262" s="2664"/>
      <c r="EG262" s="2664"/>
      <c r="EH262" s="2664"/>
      <c r="EI262" s="2664"/>
      <c r="EJ262" s="2664"/>
      <c r="EK262" s="2664"/>
      <c r="EL262" s="2664"/>
      <c r="EM262" s="2664"/>
      <c r="EN262" s="2664"/>
      <c r="EO262" s="2664"/>
      <c r="EP262" s="2664"/>
      <c r="EQ262" s="2664"/>
      <c r="ER262" s="2664"/>
      <c r="ES262" s="2664"/>
      <c r="ET262" s="2664"/>
      <c r="EU262" s="2664"/>
      <c r="EV262" s="2664"/>
      <c r="EW262" s="2664"/>
      <c r="EX262" s="2664"/>
      <c r="EY262" s="2664"/>
      <c r="EZ262" s="2664"/>
      <c r="FA262" s="2664"/>
      <c r="FB262" s="2664"/>
      <c r="FC262" s="2664"/>
      <c r="FD262" s="2664"/>
      <c r="FE262" s="2664"/>
    </row>
    <row r="263" spans="1:161" outlineLevel="2">
      <c r="B263" t="s">
        <v>580</v>
      </c>
      <c r="C263" t="s">
        <v>581</v>
      </c>
      <c r="D263" t="str">
        <f t="shared" si="22"/>
      </c>
      <c r="F263" s="2657"/>
      <c r="G263" s="2657"/>
      <c r="H263" s="2657"/>
      <c r="I263" s="2657"/>
      <c r="J263" s="2657"/>
      <c r="K263" s="2657"/>
      <c r="L263" s="2657"/>
      <c r="M263" s="2657"/>
      <c r="N263" s="2657"/>
      <c r="O263" s="2657"/>
      <c r="P263" s="2657"/>
      <c r="Q263" s="2657"/>
      <c r="R263" s="2657"/>
      <c r="S263" s="2657"/>
      <c r="T263" s="2657"/>
      <c r="U263" s="2657"/>
      <c r="V263" s="2657"/>
      <c r="W263" s="2657"/>
      <c r="X263" s="2657"/>
      <c r="Y263" s="2657"/>
      <c r="Z263" s="2657"/>
      <c r="AA263" s="2657"/>
      <c r="AB263" s="2657"/>
      <c r="AC263" s="2657"/>
      <c r="AD263" s="2657"/>
      <c r="AE263" s="2657"/>
      <c r="AF263" s="2657"/>
      <c r="AG263" s="2657"/>
      <c r="AH263" s="2657"/>
      <c r="AI263" s="2657"/>
      <c r="AJ263" s="2657"/>
      <c r="AK263" s="2657"/>
      <c r="AL263" s="2657"/>
      <c r="AM263" s="2657"/>
      <c r="AN263" s="2657"/>
      <c r="AO263" s="2657"/>
      <c r="AP263" s="2657"/>
      <c r="AQ263" s="2657"/>
      <c r="AR263" s="2657"/>
      <c r="AS263" s="2657"/>
      <c r="AT263" s="2657"/>
      <c r="AU263" s="2657"/>
      <c r="AV263" s="2657"/>
      <c r="AW263" s="2657"/>
      <c r="AX263" s="2657">
        <v>0</v>
      </c>
      <c r="AY263" s="2657">
        <v>0</v>
      </c>
      <c r="AZ263" s="2657">
        <v>0</v>
      </c>
      <c r="BA263" s="2657">
        <v>0</v>
      </c>
      <c r="BB263" s="2657">
        <v>0</v>
      </c>
      <c r="BC263" s="2657">
        <v>0</v>
      </c>
      <c r="BD263" s="2657">
        <v>0</v>
      </c>
      <c r="BE263" s="2657">
        <v>0</v>
      </c>
      <c r="BF263" s="2657">
        <v>0</v>
      </c>
      <c r="BG263" s="2657">
        <v>0</v>
      </c>
      <c r="BH263" s="2657">
        <v>0</v>
      </c>
      <c r="BI263" s="2657">
        <v>0</v>
      </c>
      <c r="BJ263" s="2657">
        <v>0</v>
      </c>
      <c r="BK263" s="2657"/>
      <c r="BL263" s="2657"/>
      <c r="BM263" s="2657"/>
      <c r="BN263" s="2657"/>
      <c r="BO263" s="2657"/>
      <c r="BP263" s="2657"/>
      <c r="BQ263" s="2657"/>
      <c r="BR263" s="2657"/>
      <c r="BS263" s="2657"/>
      <c r="BT263" s="2657"/>
      <c r="BU263" s="2657"/>
      <c r="BV263" s="2657"/>
      <c r="BW263" s="2657"/>
      <c r="BX263" s="2657"/>
      <c r="BY263" s="2657"/>
      <c r="BZ263" s="2657"/>
      <c r="CA263" s="2657"/>
      <c r="CB263" s="2657"/>
      <c r="CC263" s="2657"/>
      <c r="CD263" s="2657"/>
      <c r="CE263" s="2657"/>
      <c r="CF263" s="2657"/>
      <c r="CG263" s="2657"/>
      <c r="CH263" s="2657"/>
      <c r="CI263" s="2657"/>
      <c r="CJ263" s="2657"/>
      <c r="CK263" s="2657"/>
      <c r="CL263" s="2657"/>
      <c r="CM263" s="2657"/>
      <c r="CN263" s="2657"/>
      <c r="CO263" s="2657"/>
      <c r="CP263" s="2657"/>
      <c r="CQ263" s="2657"/>
      <c r="CR263" s="2657"/>
      <c r="CS263" s="2657"/>
      <c r="CT263" s="2657"/>
      <c r="CU263" s="2657"/>
      <c r="CV263" s="2657"/>
      <c r="CW263" s="2657"/>
      <c r="CX263" s="2657"/>
      <c r="CY263" s="2657"/>
      <c r="CZ263" s="2657"/>
      <c r="DA263" s="2657"/>
      <c r="DB263" s="2657"/>
      <c r="DC263" s="2657"/>
      <c r="DD263" s="2657"/>
      <c r="DE263" s="2657"/>
      <c r="DF263" s="2657"/>
      <c r="DG263" s="2657"/>
      <c r="DH263" s="2657"/>
      <c r="DI263" s="2657"/>
      <c r="DJ263" s="2657"/>
      <c r="DK263" s="2657"/>
      <c r="DL263" s="2657"/>
      <c r="DM263" s="2657"/>
      <c r="DN263" s="2657"/>
      <c r="DO263" s="2657"/>
      <c r="DP263" s="2657"/>
      <c r="DQ263" s="2657"/>
      <c r="DR263" s="2657"/>
      <c r="DS263" s="2657"/>
      <c r="DT263" s="2657"/>
      <c r="DU263" s="2657"/>
      <c r="DV263" s="2657"/>
      <c r="DW263" s="2657"/>
      <c r="DX263" s="2657"/>
      <c r="DY263" s="2657"/>
      <c r="DZ263" s="2657"/>
      <c r="EA263" s="2657"/>
      <c r="EB263" s="2657"/>
      <c r="EC263" s="2657"/>
      <c r="ED263" s="2657"/>
      <c r="EE263" s="2657"/>
      <c r="EF263" s="2657"/>
      <c r="EG263" s="2657"/>
      <c r="EH263" s="2657"/>
      <c r="EI263" s="2657"/>
      <c r="EJ263" s="2657"/>
      <c r="EK263" s="2657"/>
      <c r="EL263" s="2657"/>
      <c r="EM263" s="2657"/>
      <c r="EN263" s="2657"/>
      <c r="EO263" s="2657"/>
      <c r="EP263" s="2657"/>
      <c r="EQ263" s="2657"/>
      <c r="ER263" s="2657"/>
      <c r="ES263" s="2657"/>
      <c r="ET263" s="2657"/>
      <c r="EU263" s="2657"/>
      <c r="EV263" s="2657"/>
      <c r="EW263" s="2657"/>
      <c r="EX263" s="2657"/>
      <c r="EY263" s="2657"/>
      <c r="EZ263" s="2657"/>
      <c r="FA263" s="2657"/>
      <c r="FB263" s="2657"/>
      <c r="FC263" s="2657"/>
      <c r="FD263" s="2657"/>
      <c r="FE263" s="2657"/>
    </row>
    <row r="264" spans="1:161" outlineLevel="2">
      <c r="B264" t="s">
        <v>582</v>
      </c>
      <c r="C264" t="s">
        <v>583</v>
      </c>
      <c r="D264" t="str">
        <f t="shared" si="22"/>
      </c>
      <c r="F264" s="2657">
        <f t="shared" ref="F264:AJ264" si="45">F76</f>
      </c>
      <c r="G264" s="2657">
        <f t="shared" si="45"/>
      </c>
      <c r="H264" s="2657">
        <f t="shared" si="45"/>
      </c>
      <c r="I264" s="2657">
        <f t="shared" si="45"/>
      </c>
      <c r="J264" s="2657">
        <f t="shared" si="45"/>
      </c>
      <c r="K264" s="2657">
        <f t="shared" si="45"/>
      </c>
      <c r="L264" s="2657">
        <f t="shared" si="45"/>
      </c>
      <c r="M264" s="2657">
        <f t="shared" si="45"/>
      </c>
      <c r="N264" s="2657">
        <f t="shared" si="45"/>
      </c>
      <c r="O264" s="2657">
        <f t="shared" si="45"/>
      </c>
      <c r="P264" s="2657">
        <f t="shared" si="45"/>
      </c>
      <c r="Q264" s="2657">
        <f t="shared" si="45"/>
      </c>
      <c r="R264" s="2657">
        <f t="shared" si="45"/>
      </c>
      <c r="S264" s="2657">
        <f t="shared" si="45"/>
      </c>
      <c r="T264" s="2657">
        <f t="shared" si="45"/>
      </c>
      <c r="U264" s="2657">
        <f t="shared" si="45"/>
      </c>
      <c r="V264" s="2657">
        <f t="shared" si="45"/>
      </c>
      <c r="W264" s="2657">
        <f t="shared" si="45"/>
      </c>
      <c r="X264" s="2657">
        <f t="shared" si="45"/>
      </c>
      <c r="Y264" s="2657">
        <f t="shared" si="45"/>
      </c>
      <c r="Z264" s="2657">
        <f t="shared" si="45"/>
      </c>
      <c r="AA264" s="2657">
        <f t="shared" si="45"/>
      </c>
      <c r="AB264" s="2657">
        <f t="shared" si="45"/>
      </c>
      <c r="AC264" s="2657">
        <f t="shared" si="45"/>
      </c>
      <c r="AD264" s="2657">
        <f t="shared" si="45"/>
      </c>
      <c r="AE264" s="2657">
        <f t="shared" si="45"/>
      </c>
      <c r="AF264" s="2657">
        <f t="shared" si="45"/>
      </c>
      <c r="AG264" s="2657">
        <f t="shared" si="45"/>
      </c>
      <c r="AH264" s="2657">
        <f t="shared" si="45"/>
      </c>
      <c r="AI264" s="2657">
        <f t="shared" si="45"/>
      </c>
      <c r="AJ264" s="2657">
        <f t="shared" si="45"/>
      </c>
      <c r="AK264" s="2657"/>
      <c r="AL264" s="2657">
        <f t="shared" ref="AL264:CW264" si="46">AL76</f>
      </c>
      <c r="AM264" s="2657">
        <f t="shared" si="46"/>
      </c>
      <c r="AN264" s="2657">
        <f t="shared" si="46"/>
      </c>
      <c r="AO264" s="2657">
        <f t="shared" si="46"/>
      </c>
      <c r="AP264" s="2657">
        <f t="shared" si="46"/>
      </c>
      <c r="AQ264" s="2657">
        <f t="shared" si="46"/>
      </c>
      <c r="AR264" s="2657">
        <f t="shared" si="46"/>
      </c>
      <c r="AS264" s="2657">
        <f t="shared" si="46"/>
      </c>
      <c r="AT264" s="2657">
        <f t="shared" si="46"/>
      </c>
      <c r="AU264" s="2657">
        <f t="shared" si="46"/>
      </c>
      <c r="AV264" s="2657">
        <f t="shared" si="46"/>
      </c>
      <c r="AW264" s="2657">
        <f t="shared" si="46"/>
      </c>
      <c r="AX264" s="2657">
        <f t="shared" si="46"/>
      </c>
      <c r="AY264" s="2657">
        <f t="shared" si="46"/>
      </c>
      <c r="AZ264" s="2657">
        <f t="shared" si="46"/>
      </c>
      <c r="BA264" s="2657">
        <f t="shared" si="46"/>
      </c>
      <c r="BB264" s="2657">
        <f t="shared" si="46"/>
      </c>
      <c r="BC264" s="2657">
        <f t="shared" si="46"/>
      </c>
      <c r="BD264" s="2657">
        <f t="shared" si="46"/>
      </c>
      <c r="BE264" s="2657">
        <f t="shared" si="46"/>
      </c>
      <c r="BF264" s="2657">
        <f t="shared" si="46"/>
      </c>
      <c r="BG264" s="2657">
        <f t="shared" si="46"/>
      </c>
      <c r="BH264" s="2657">
        <f t="shared" si="46"/>
      </c>
      <c r="BI264" s="2657">
        <f t="shared" si="46"/>
      </c>
      <c r="BJ264" s="2657">
        <f t="shared" si="46"/>
      </c>
      <c r="BK264" s="2657">
        <f t="shared" si="46"/>
      </c>
      <c r="BL264" s="2657">
        <f t="shared" si="46"/>
      </c>
      <c r="BM264" s="2657">
        <f t="shared" si="46"/>
      </c>
      <c r="BN264" s="2657">
        <f t="shared" si="46"/>
      </c>
      <c r="BO264" s="2657">
        <f t="shared" si="46"/>
      </c>
      <c r="BP264" s="2657">
        <f t="shared" si="46"/>
      </c>
      <c r="BQ264" s="2657">
        <f t="shared" si="46"/>
      </c>
      <c r="BR264" s="2657">
        <f t="shared" si="46"/>
      </c>
      <c r="BS264" s="2657">
        <f t="shared" si="46"/>
      </c>
      <c r="BT264" s="2657">
        <f t="shared" si="46"/>
      </c>
      <c r="BU264" s="2657">
        <f t="shared" si="46"/>
      </c>
      <c r="BV264" s="2657">
        <f t="shared" si="46"/>
      </c>
      <c r="BW264" s="2657">
        <f t="shared" si="46"/>
      </c>
      <c r="BX264" s="2657">
        <f t="shared" si="46"/>
      </c>
      <c r="BY264" s="2657">
        <f t="shared" si="46"/>
      </c>
      <c r="BZ264" s="2657">
        <f t="shared" si="46"/>
      </c>
      <c r="CA264" s="2657">
        <f t="shared" si="46"/>
      </c>
      <c r="CB264" s="2657">
        <f t="shared" si="46"/>
      </c>
      <c r="CC264" s="2657">
        <f t="shared" si="46"/>
      </c>
      <c r="CD264" s="2657">
        <f t="shared" si="46"/>
      </c>
      <c r="CE264" s="2657">
        <f t="shared" si="46"/>
      </c>
      <c r="CF264" s="2657">
        <f t="shared" si="46"/>
      </c>
      <c r="CG264" s="2657">
        <f t="shared" si="46"/>
      </c>
      <c r="CH264" s="2657">
        <f t="shared" si="46"/>
      </c>
      <c r="CI264" s="2657">
        <f t="shared" si="46"/>
      </c>
      <c r="CJ264" s="2657">
        <f t="shared" si="46"/>
      </c>
      <c r="CK264" s="2657">
        <f t="shared" si="46"/>
      </c>
      <c r="CL264" s="2657">
        <f t="shared" si="46"/>
      </c>
      <c r="CM264" s="2657">
        <f t="shared" si="46"/>
      </c>
      <c r="CN264" s="2657">
        <f t="shared" si="46"/>
      </c>
      <c r="CO264" s="2657">
        <f t="shared" si="46"/>
      </c>
      <c r="CP264" s="2657">
        <f t="shared" si="46"/>
      </c>
      <c r="CQ264" s="2657">
        <f t="shared" si="46"/>
      </c>
      <c r="CR264" s="2657">
        <f t="shared" si="46"/>
      </c>
      <c r="CS264" s="2657">
        <f t="shared" si="46"/>
      </c>
      <c r="CT264" s="2657">
        <f t="shared" si="46"/>
      </c>
      <c r="CU264" s="2657">
        <f t="shared" si="46"/>
      </c>
      <c r="CV264" s="2657">
        <f t="shared" si="46"/>
      </c>
      <c r="CW264" s="2657">
        <f t="shared" si="46"/>
      </c>
      <c r="CX264" s="2657">
        <f t="shared" ref="CX264:EK264" si="47">CX76</f>
      </c>
      <c r="CY264" s="2657">
        <f t="shared" si="47"/>
      </c>
      <c r="CZ264" s="2657">
        <f t="shared" si="47"/>
      </c>
      <c r="DA264" s="2657">
        <f t="shared" si="47"/>
      </c>
      <c r="DB264" s="2657">
        <f t="shared" si="47"/>
      </c>
      <c r="DC264" s="2657">
        <f t="shared" si="47"/>
      </c>
      <c r="DD264" s="2657">
        <f t="shared" si="47"/>
      </c>
      <c r="DE264" s="2657">
        <f t="shared" si="47"/>
      </c>
      <c r="DF264" s="2657">
        <f t="shared" si="47"/>
      </c>
      <c r="DG264" s="2657">
        <f t="shared" si="47"/>
      </c>
      <c r="DH264" s="2657">
        <f t="shared" si="47"/>
      </c>
      <c r="DI264" s="2657">
        <f t="shared" si="47"/>
      </c>
      <c r="DJ264" s="2657">
        <f t="shared" si="47"/>
      </c>
      <c r="DK264" s="2657">
        <f t="shared" si="47"/>
      </c>
      <c r="DL264" s="2657">
        <f t="shared" si="47"/>
      </c>
      <c r="DM264" s="2657">
        <f t="shared" si="47"/>
      </c>
      <c r="DN264" s="2657">
        <f t="shared" si="47"/>
      </c>
      <c r="DO264" s="2657">
        <f t="shared" si="47"/>
      </c>
      <c r="DP264" s="2657">
        <f t="shared" si="47"/>
      </c>
      <c r="DQ264" s="2657">
        <f t="shared" si="47"/>
      </c>
      <c r="DR264" s="2657">
        <f t="shared" si="47"/>
      </c>
      <c r="DS264" s="2657">
        <f t="shared" si="47"/>
      </c>
      <c r="DT264" s="2657">
        <f t="shared" si="47"/>
      </c>
      <c r="DU264" s="2657">
        <f t="shared" si="47"/>
      </c>
      <c r="DV264" s="2657">
        <f t="shared" si="47"/>
      </c>
      <c r="DW264" s="2657">
        <f t="shared" si="47"/>
      </c>
      <c r="DX264" s="2657">
        <f t="shared" si="47"/>
      </c>
      <c r="DY264" s="2657">
        <f t="shared" si="47"/>
      </c>
      <c r="DZ264" s="2657">
        <f t="shared" si="47"/>
      </c>
      <c r="EA264" s="2657">
        <f t="shared" si="47"/>
      </c>
      <c r="EB264" s="2657">
        <f t="shared" si="47"/>
      </c>
      <c r="EC264" s="2657">
        <f t="shared" si="47"/>
      </c>
      <c r="ED264" s="2657">
        <f t="shared" si="47"/>
      </c>
      <c r="EE264" s="2657">
        <f t="shared" si="47"/>
      </c>
      <c r="EF264" s="2657">
        <f t="shared" si="47"/>
      </c>
      <c r="EG264" s="2657">
        <f t="shared" si="47"/>
      </c>
      <c r="EH264" s="2657">
        <f t="shared" si="47"/>
      </c>
      <c r="EI264" s="2657">
        <f t="shared" si="47"/>
      </c>
      <c r="EJ264" s="2657">
        <f t="shared" si="47"/>
      </c>
      <c r="EK264" s="2657">
        <f t="shared" si="47"/>
      </c>
      <c r="EL264" s="2657">
        <f t="shared" ref="EL264:FE264" si="48">EL76</f>
      </c>
      <c r="EM264" s="2657">
        <f t="shared" si="48"/>
      </c>
      <c r="EN264" s="2657">
        <f t="shared" si="48"/>
      </c>
      <c r="EO264" s="2657">
        <f t="shared" si="48"/>
      </c>
      <c r="EP264" s="2657">
        <f t="shared" si="48"/>
      </c>
      <c r="EQ264" s="2657">
        <f t="shared" si="48"/>
      </c>
      <c r="ER264" s="2657">
        <f t="shared" si="48"/>
      </c>
      <c r="ES264" s="2657">
        <f t="shared" si="48"/>
      </c>
      <c r="ET264" s="2657">
        <f t="shared" si="48"/>
      </c>
      <c r="EU264" s="2657">
        <f t="shared" si="48"/>
      </c>
      <c r="EV264" s="2657">
        <f t="shared" si="48"/>
      </c>
      <c r="EW264" s="2657">
        <f t="shared" si="48"/>
      </c>
      <c r="EX264" s="2657">
        <f t="shared" si="48"/>
      </c>
      <c r="EY264" s="2657">
        <f t="shared" si="48"/>
      </c>
      <c r="EZ264" s="2657">
        <f t="shared" si="48"/>
      </c>
      <c r="FA264" s="2657">
        <f t="shared" si="48"/>
      </c>
      <c r="FB264" s="2657">
        <f t="shared" si="48"/>
      </c>
      <c r="FC264" s="2657">
        <f t="shared" si="48"/>
      </c>
      <c r="FD264" s="2657">
        <f t="shared" si="48"/>
      </c>
      <c r="FE264" s="2657">
        <f t="shared" si="48"/>
      </c>
    </row>
    <row r="265" spans="1:161" outlineLevel="2">
      <c r="B265" t="s">
        <v>1100</v>
      </c>
      <c r="C265" t="s">
        <v>1094</v>
      </c>
      <c r="D265" t="str">
        <f t="shared" si="22"/>
      </c>
      <c r="F265" s="2657">
        <f t="shared" ref="F265:AJ265" si="49">+F57+F61-F41+F81</f>
      </c>
      <c r="G265" s="2657">
        <f t="shared" si="49"/>
      </c>
      <c r="H265" s="2657">
        <f t="shared" si="49"/>
      </c>
      <c r="I265" s="2657">
        <f t="shared" si="49"/>
      </c>
      <c r="J265" s="2657">
        <f t="shared" si="49"/>
      </c>
      <c r="K265" s="2657">
        <f t="shared" si="49"/>
      </c>
      <c r="L265" s="2657">
        <f t="shared" si="49"/>
      </c>
      <c r="M265" s="2657">
        <f t="shared" si="49"/>
      </c>
      <c r="N265" s="2657">
        <f t="shared" si="49"/>
      </c>
      <c r="O265" s="2657">
        <f t="shared" si="49"/>
      </c>
      <c r="P265" s="2657">
        <f t="shared" si="49"/>
      </c>
      <c r="Q265" s="2657">
        <f t="shared" si="49"/>
      </c>
      <c r="R265" s="2657">
        <f t="shared" si="49"/>
      </c>
      <c r="S265" s="2657">
        <f t="shared" si="49"/>
      </c>
      <c r="T265" s="2657">
        <f t="shared" si="49"/>
      </c>
      <c r="U265" s="2657">
        <f t="shared" si="49"/>
      </c>
      <c r="V265" s="2657">
        <f t="shared" si="49"/>
      </c>
      <c r="W265" s="2657">
        <f t="shared" si="49"/>
      </c>
      <c r="X265" s="2657">
        <f t="shared" si="49"/>
      </c>
      <c r="Y265" s="2657">
        <f t="shared" si="49"/>
      </c>
      <c r="Z265" s="2657">
        <f t="shared" si="49"/>
      </c>
      <c r="AA265" s="2657">
        <f t="shared" si="49"/>
      </c>
      <c r="AB265" s="2657">
        <f t="shared" si="49"/>
      </c>
      <c r="AC265" s="2657">
        <f t="shared" si="49"/>
      </c>
      <c r="AD265" s="2657">
        <f t="shared" si="49"/>
      </c>
      <c r="AE265" s="2657">
        <f t="shared" si="49"/>
      </c>
      <c r="AF265" s="2657">
        <f t="shared" si="49"/>
      </c>
      <c r="AG265" s="2657">
        <f t="shared" si="49"/>
      </c>
      <c r="AH265" s="2657">
        <f t="shared" si="49"/>
      </c>
      <c r="AI265" s="2657">
        <f t="shared" si="49"/>
      </c>
      <c r="AJ265" s="2657">
        <f t="shared" si="49"/>
      </c>
      <c r="AK265" s="2657"/>
      <c r="AL265" s="2657">
        <f t="shared" ref="AL265:CW265" si="50">+AL57+AL61-AL41+AL81</f>
      </c>
      <c r="AM265" s="2657">
        <f t="shared" si="50"/>
      </c>
      <c r="AN265" s="2657">
        <f t="shared" si="50"/>
      </c>
      <c r="AO265" s="2657">
        <f t="shared" si="50"/>
      </c>
      <c r="AP265" s="2657">
        <f t="shared" si="50"/>
      </c>
      <c r="AQ265" s="2657">
        <f t="shared" si="50"/>
      </c>
      <c r="AR265" s="2657">
        <f t="shared" si="50"/>
      </c>
      <c r="AS265" s="2657">
        <f t="shared" si="50"/>
      </c>
      <c r="AT265" s="2657">
        <f t="shared" si="50"/>
      </c>
      <c r="AU265" s="2657">
        <f t="shared" si="50"/>
      </c>
      <c r="AV265" s="2657">
        <f t="shared" si="50"/>
      </c>
      <c r="AW265" s="2657">
        <f t="shared" si="50"/>
      </c>
      <c r="AX265" s="2657">
        <f t="shared" si="50"/>
      </c>
      <c r="AY265" s="2657">
        <f t="shared" si="50"/>
      </c>
      <c r="AZ265" s="2657">
        <f t="shared" si="50"/>
      </c>
      <c r="BA265" s="2657">
        <f t="shared" si="50"/>
      </c>
      <c r="BB265" s="2657">
        <f t="shared" si="50"/>
      </c>
      <c r="BC265" s="2657">
        <f t="shared" si="50"/>
      </c>
      <c r="BD265" s="2657">
        <f t="shared" si="50"/>
      </c>
      <c r="BE265" s="2657">
        <f t="shared" si="50"/>
      </c>
      <c r="BF265" s="2657">
        <f t="shared" si="50"/>
      </c>
      <c r="BG265" s="2657">
        <f t="shared" si="50"/>
      </c>
      <c r="BH265" s="2657">
        <f t="shared" si="50"/>
      </c>
      <c r="BI265" s="2657">
        <f t="shared" si="50"/>
      </c>
      <c r="BJ265" s="2657">
        <f t="shared" si="50"/>
      </c>
      <c r="BK265" s="2657">
        <f t="shared" si="50"/>
      </c>
      <c r="BL265" s="2657">
        <f t="shared" si="50"/>
      </c>
      <c r="BM265" s="2657">
        <f t="shared" si="50"/>
      </c>
      <c r="BN265" s="2657">
        <f t="shared" si="50"/>
      </c>
      <c r="BO265" s="2657">
        <f t="shared" si="50"/>
      </c>
      <c r="BP265" s="2657">
        <f t="shared" si="50"/>
      </c>
      <c r="BQ265" s="2657">
        <f t="shared" si="50"/>
      </c>
      <c r="BR265" s="2657">
        <f t="shared" si="50"/>
      </c>
      <c r="BS265" s="2657">
        <f t="shared" si="50"/>
      </c>
      <c r="BT265" s="2657">
        <f t="shared" si="50"/>
      </c>
      <c r="BU265" s="2657">
        <f t="shared" si="50"/>
      </c>
      <c r="BV265" s="2657">
        <f t="shared" si="50"/>
      </c>
      <c r="BW265" s="2657">
        <f t="shared" si="50"/>
      </c>
      <c r="BX265" s="2657">
        <f t="shared" si="50"/>
      </c>
      <c r="BY265" s="2657">
        <f t="shared" si="50"/>
      </c>
      <c r="BZ265" s="2657">
        <f t="shared" si="50"/>
      </c>
      <c r="CA265" s="2657">
        <f t="shared" si="50"/>
      </c>
      <c r="CB265" s="2657">
        <f t="shared" si="50"/>
      </c>
      <c r="CC265" s="2657">
        <f t="shared" si="50"/>
      </c>
      <c r="CD265" s="2657">
        <f t="shared" si="50"/>
      </c>
      <c r="CE265" s="2657">
        <f t="shared" si="50"/>
      </c>
      <c r="CF265" s="2657">
        <f t="shared" si="50"/>
      </c>
      <c r="CG265" s="2657">
        <f t="shared" si="50"/>
      </c>
      <c r="CH265" s="2657">
        <f t="shared" si="50"/>
      </c>
      <c r="CI265" s="2657">
        <f t="shared" si="50"/>
      </c>
      <c r="CJ265" s="2657">
        <f t="shared" si="50"/>
      </c>
      <c r="CK265" s="2657">
        <f t="shared" si="50"/>
      </c>
      <c r="CL265" s="2657">
        <f t="shared" si="50"/>
      </c>
      <c r="CM265" s="2657">
        <f t="shared" si="50"/>
      </c>
      <c r="CN265" s="2657">
        <f t="shared" si="50"/>
      </c>
      <c r="CO265" s="2657">
        <f t="shared" si="50"/>
      </c>
      <c r="CP265" s="2657">
        <f t="shared" si="50"/>
      </c>
      <c r="CQ265" s="2657">
        <f t="shared" si="50"/>
      </c>
      <c r="CR265" s="2657">
        <f t="shared" si="50"/>
      </c>
      <c r="CS265" s="2657">
        <f t="shared" si="50"/>
      </c>
      <c r="CT265" s="2657">
        <f t="shared" si="50"/>
      </c>
      <c r="CU265" s="2657">
        <f t="shared" si="50"/>
      </c>
      <c r="CV265" s="2657">
        <f t="shared" si="50"/>
      </c>
      <c r="CW265" s="2657">
        <f t="shared" si="50"/>
      </c>
      <c r="CX265" s="2657">
        <f t="shared" ref="CX265:EK265" si="51">+CX57+CX61-CX41+CX81</f>
      </c>
      <c r="CY265" s="2657">
        <f t="shared" si="51"/>
      </c>
      <c r="CZ265" s="2657">
        <f t="shared" si="51"/>
      </c>
      <c r="DA265" s="2657">
        <f t="shared" si="51"/>
      </c>
      <c r="DB265" s="2657">
        <f t="shared" si="51"/>
      </c>
      <c r="DC265" s="2657">
        <f t="shared" si="51"/>
      </c>
      <c r="DD265" s="2657">
        <f t="shared" si="51"/>
      </c>
      <c r="DE265" s="2657">
        <f t="shared" si="51"/>
      </c>
      <c r="DF265" s="2657">
        <f t="shared" si="51"/>
      </c>
      <c r="DG265" s="2657">
        <f t="shared" si="51"/>
      </c>
      <c r="DH265" s="2657">
        <f t="shared" si="51"/>
      </c>
      <c r="DI265" s="2657">
        <f t="shared" si="51"/>
      </c>
      <c r="DJ265" s="2657">
        <f t="shared" si="51"/>
      </c>
      <c r="DK265" s="2657">
        <f t="shared" si="51"/>
      </c>
      <c r="DL265" s="2657">
        <f t="shared" si="51"/>
      </c>
      <c r="DM265" s="2657">
        <f t="shared" si="51"/>
      </c>
      <c r="DN265" s="2657">
        <f t="shared" si="51"/>
      </c>
      <c r="DO265" s="2657">
        <f t="shared" si="51"/>
      </c>
      <c r="DP265" s="2657">
        <f t="shared" si="51"/>
      </c>
      <c r="DQ265" s="2657">
        <f t="shared" si="51"/>
      </c>
      <c r="DR265" s="2657">
        <f t="shared" si="51"/>
      </c>
      <c r="DS265" s="2657">
        <f t="shared" si="51"/>
      </c>
      <c r="DT265" s="2657">
        <f t="shared" si="51"/>
      </c>
      <c r="DU265" s="2657">
        <f t="shared" si="51"/>
      </c>
      <c r="DV265" s="2657">
        <f t="shared" si="51"/>
      </c>
      <c r="DW265" s="2657">
        <f t="shared" si="51"/>
      </c>
      <c r="DX265" s="2657">
        <f t="shared" si="51"/>
      </c>
      <c r="DY265" s="2657">
        <f t="shared" si="51"/>
      </c>
      <c r="DZ265" s="2657">
        <f t="shared" si="51"/>
      </c>
      <c r="EA265" s="2657">
        <f t="shared" si="51"/>
      </c>
      <c r="EB265" s="2657">
        <f t="shared" si="51"/>
      </c>
      <c r="EC265" s="2657">
        <f t="shared" si="51"/>
      </c>
      <c r="ED265" s="2657">
        <f t="shared" si="51"/>
      </c>
      <c r="EE265" s="2657">
        <f t="shared" si="51"/>
      </c>
      <c r="EF265" s="2657">
        <f t="shared" si="51"/>
      </c>
      <c r="EG265" s="2657">
        <f t="shared" si="51"/>
      </c>
      <c r="EH265" s="2657">
        <f t="shared" si="51"/>
      </c>
      <c r="EI265" s="2657">
        <f t="shared" si="51"/>
      </c>
      <c r="EJ265" s="2657">
        <f t="shared" si="51"/>
      </c>
      <c r="EK265" s="2657">
        <f t="shared" si="51"/>
      </c>
      <c r="EL265" s="2657">
        <f t="shared" ref="EL265:FE265" si="52">+EL57+EL61-EL41+EL81</f>
      </c>
      <c r="EM265" s="2657">
        <f t="shared" si="52"/>
      </c>
      <c r="EN265" s="2657">
        <f t="shared" si="52"/>
      </c>
      <c r="EO265" s="2657">
        <f t="shared" si="52"/>
      </c>
      <c r="EP265" s="2657">
        <f t="shared" si="52"/>
      </c>
      <c r="EQ265" s="2657">
        <f t="shared" si="52"/>
      </c>
      <c r="ER265" s="2657">
        <f t="shared" si="52"/>
      </c>
      <c r="ES265" s="2657">
        <f t="shared" si="52"/>
      </c>
      <c r="ET265" s="2657">
        <f t="shared" si="52"/>
      </c>
      <c r="EU265" s="2657">
        <f t="shared" si="52"/>
      </c>
      <c r="EV265" s="2657">
        <f t="shared" si="52"/>
      </c>
      <c r="EW265" s="2657">
        <f t="shared" si="52"/>
      </c>
      <c r="EX265" s="2657">
        <f t="shared" si="52"/>
      </c>
      <c r="EY265" s="2657">
        <f t="shared" si="52"/>
      </c>
      <c r="EZ265" s="2657">
        <f t="shared" si="52"/>
      </c>
      <c r="FA265" s="2657">
        <f t="shared" si="52"/>
      </c>
      <c r="FB265" s="2657">
        <f t="shared" si="52"/>
      </c>
      <c r="FC265" s="2657">
        <f t="shared" si="52"/>
      </c>
      <c r="FD265" s="2657">
        <f t="shared" si="52"/>
      </c>
      <c r="FE265" s="2657">
        <f t="shared" si="52"/>
      </c>
    </row>
    <row r="266" spans="1:161" outlineLevel="2">
      <c r="B266" t="s">
        <v>1095</v>
      </c>
      <c r="C266" t="s">
        <v>1096</v>
      </c>
      <c r="D266" t="str">
        <f t="shared" si="22"/>
      </c>
      <c r="F266" s="2657"/>
      <c r="G266" s="2657"/>
      <c r="H266" s="2657"/>
      <c r="I266" s="2657"/>
      <c r="J266" s="2657"/>
      <c r="K266" s="2657"/>
      <c r="L266" s="2657"/>
      <c r="M266" s="2657"/>
      <c r="N266" s="2657"/>
      <c r="O266" s="2657"/>
      <c r="P266" s="2657"/>
      <c r="Q266" s="2657"/>
      <c r="R266" s="2657"/>
      <c r="S266" s="2657"/>
      <c r="T266" s="2657"/>
      <c r="U266" s="2657"/>
      <c r="V266" s="2657"/>
      <c r="W266" s="2657"/>
      <c r="X266" s="2657"/>
      <c r="Y266" s="2657"/>
      <c r="Z266" s="2657"/>
      <c r="AA266" s="2657"/>
      <c r="AB266" s="2657"/>
      <c r="AC266" s="2657"/>
      <c r="AD266" s="2657"/>
      <c r="AE266" s="2657"/>
      <c r="AF266" s="2657"/>
      <c r="AG266" s="2657"/>
      <c r="AH266" s="2657"/>
      <c r="AI266" s="2657"/>
      <c r="AJ266" s="2657"/>
      <c r="AK266" s="2657"/>
      <c r="AL266" s="2657"/>
      <c r="AM266" s="2657"/>
      <c r="AN266" s="2657"/>
      <c r="AO266" s="2657"/>
      <c r="AP266" s="2657"/>
      <c r="AQ266" s="2657"/>
      <c r="AR266" s="2657"/>
      <c r="AS266" s="2657"/>
      <c r="AT266" s="2657"/>
      <c r="AU266" s="2657"/>
      <c r="AV266" s="2657"/>
      <c r="AW266" s="2657"/>
      <c r="AX266" s="2657"/>
      <c r="AY266" s="2657"/>
      <c r="AZ266" s="2657"/>
      <c r="BA266" s="2657"/>
      <c r="BB266" s="2657"/>
      <c r="BC266" s="2657"/>
      <c r="BD266" s="2657"/>
      <c r="BE266" s="2657"/>
      <c r="BF266" s="2657"/>
      <c r="BG266" s="2657"/>
      <c r="BH266" s="2657"/>
      <c r="BI266" s="2657"/>
      <c r="BJ266" s="2657"/>
      <c r="BK266" s="2657"/>
      <c r="BL266" s="2657"/>
      <c r="BM266" s="2657"/>
      <c r="BN266" s="2657"/>
      <c r="BO266" s="2657"/>
      <c r="BP266" s="2657"/>
      <c r="BQ266" s="2657"/>
      <c r="BR266" s="2657"/>
      <c r="BS266" s="2657"/>
      <c r="BT266" s="2657"/>
      <c r="BU266" s="2657"/>
      <c r="BV266" s="2657"/>
      <c r="BW266" s="2657"/>
      <c r="BX266" s="2657"/>
      <c r="BY266" s="2657"/>
      <c r="BZ266" s="2657"/>
      <c r="CA266" s="2657"/>
      <c r="CB266" s="2657"/>
      <c r="CC266" s="2657"/>
      <c r="CD266" s="2657"/>
      <c r="CE266" s="2657"/>
      <c r="CF266" s="2657"/>
      <c r="CG266" s="2657"/>
      <c r="CH266" s="2657"/>
      <c r="CI266" s="2657"/>
      <c r="CJ266" s="2657"/>
      <c r="CK266" s="2657"/>
      <c r="CL266" s="2657"/>
      <c r="CM266" s="2657"/>
      <c r="CN266" s="2657"/>
      <c r="CO266" s="2657"/>
      <c r="CP266" s="2657"/>
      <c r="CQ266" s="2657"/>
      <c r="CR266" s="2657"/>
      <c r="CS266" s="2657"/>
      <c r="CT266" s="2657"/>
      <c r="CU266" s="2657"/>
      <c r="CV266" s="2657"/>
      <c r="CW266" s="2657"/>
      <c r="CX266" s="2657"/>
      <c r="CY266" s="2657"/>
      <c r="CZ266" s="2657"/>
      <c r="DA266" s="2657"/>
      <c r="DB266" s="2657"/>
      <c r="DC266" s="2657"/>
      <c r="DD266" s="2657"/>
      <c r="DE266" s="2657"/>
      <c r="DF266" s="2657"/>
      <c r="DG266" s="2657"/>
      <c r="DH266" s="2657"/>
      <c r="DI266" s="2657"/>
      <c r="DJ266" s="2657"/>
      <c r="DK266" s="2657"/>
      <c r="DL266" s="2657"/>
      <c r="DM266" s="2657"/>
      <c r="DN266" s="2657"/>
      <c r="DO266" s="2657"/>
      <c r="DP266" s="2657"/>
      <c r="DQ266" s="2657"/>
      <c r="DR266" s="2657"/>
      <c r="DS266" s="2657"/>
      <c r="DT266" s="2657"/>
      <c r="DU266" s="2657"/>
      <c r="DV266" s="2657"/>
      <c r="DW266" s="2657"/>
      <c r="DX266" s="2657"/>
      <c r="DY266" s="2657"/>
      <c r="DZ266" s="2657"/>
      <c r="EA266" s="2657"/>
      <c r="EB266" s="2657"/>
      <c r="EC266" s="2657"/>
      <c r="ED266" s="2657"/>
      <c r="EE266" s="2657"/>
      <c r="EF266" s="2657"/>
      <c r="EG266" s="2657"/>
      <c r="EH266" s="2657"/>
      <c r="EI266" s="2657"/>
      <c r="EJ266" s="2657"/>
      <c r="EK266" s="2657"/>
      <c r="EL266" s="2657"/>
      <c r="EM266" s="2657"/>
      <c r="EN266" s="2657"/>
      <c r="EO266" s="2657"/>
      <c r="EP266" s="2657"/>
      <c r="EQ266" s="2657"/>
      <c r="ER266" s="2657"/>
      <c r="ES266" s="2657"/>
      <c r="ET266" s="2657"/>
      <c r="EU266" s="2657"/>
      <c r="EV266" s="2657"/>
      <c r="EW266" s="2657"/>
      <c r="EX266" s="2657"/>
      <c r="EY266" s="2657"/>
      <c r="EZ266" s="2657"/>
      <c r="FA266" s="2657"/>
      <c r="FB266" s="2657"/>
      <c r="FC266" s="2657"/>
      <c r="FD266" s="2657"/>
      <c r="FE266" s="2657"/>
    </row>
    <row r="267" spans="1:161" outlineLevel="2">
      <c r="B267" t="s">
        <v>584</v>
      </c>
      <c r="C267" t="s">
        <v>585</v>
      </c>
      <c r="D267" t="str">
        <f t="shared" si="22"/>
      </c>
      <c r="F267" s="2657">
        <f t="shared" ref="F267:Z267" si="53">F277</f>
      </c>
      <c r="G267" s="2657">
        <f t="shared" si="53"/>
      </c>
      <c r="H267" s="2657">
        <f t="shared" si="53"/>
      </c>
      <c r="I267" s="2657">
        <f t="shared" si="53"/>
      </c>
      <c r="J267" s="2657">
        <f t="shared" si="53"/>
      </c>
      <c r="K267" s="2657">
        <f t="shared" si="53"/>
      </c>
      <c r="L267" s="2657">
        <f t="shared" si="53"/>
      </c>
      <c r="M267" s="2657">
        <f t="shared" si="53"/>
      </c>
      <c r="N267" s="2657">
        <f t="shared" si="53"/>
      </c>
      <c r="O267" s="2657">
        <f t="shared" si="53"/>
      </c>
      <c r="P267" s="2657">
        <f t="shared" si="53"/>
      </c>
      <c r="Q267" s="2657">
        <f t="shared" si="53"/>
      </c>
      <c r="R267" s="2657">
        <f t="shared" si="53"/>
      </c>
      <c r="S267" s="2657">
        <f t="shared" si="53"/>
      </c>
      <c r="T267" s="2657">
        <f t="shared" si="53"/>
      </c>
      <c r="U267" s="2657">
        <f t="shared" si="53"/>
      </c>
      <c r="V267" s="2657">
        <f t="shared" si="53"/>
      </c>
      <c r="W267" s="2657">
        <f t="shared" si="53"/>
      </c>
      <c r="X267" s="2657">
        <f t="shared" si="53"/>
      </c>
      <c r="Y267" s="2657">
        <f t="shared" si="53"/>
      </c>
      <c r="Z267" s="2657">
        <f t="shared" si="53"/>
      </c>
      <c r="AA267" s="2657">
        <f>AA277</f>
      </c>
      <c r="AB267" s="2657">
        <f>AB277</f>
      </c>
      <c r="AC267" s="2657">
        <f>AC277</f>
      </c>
      <c r="AD267" s="2657">
        <f>AD277</f>
      </c>
      <c r="AE267" s="2657">
        <f t="shared" ref="AE267:AJ267" si="54">AE277</f>
      </c>
      <c r="AF267" s="2657">
        <f t="shared" si="54"/>
      </c>
      <c r="AG267" s="2657">
        <f t="shared" si="54"/>
      </c>
      <c r="AH267" s="2657">
        <f t="shared" si="54"/>
      </c>
      <c r="AI267" s="2657">
        <f t="shared" si="54"/>
      </c>
      <c r="AJ267" s="2657">
        <f t="shared" si="54"/>
      </c>
      <c r="AK267" s="2657"/>
      <c r="AL267" s="2657">
        <f t="shared" ref="AL267:CW267" si="55">AL277</f>
      </c>
      <c r="AM267" s="2657">
        <f t="shared" si="55"/>
      </c>
      <c r="AN267" s="2657">
        <f t="shared" si="55"/>
      </c>
      <c r="AO267" s="2657">
        <f t="shared" si="55"/>
      </c>
      <c r="AP267" s="2657">
        <f t="shared" si="55"/>
      </c>
      <c r="AQ267" s="2657">
        <f t="shared" si="55"/>
      </c>
      <c r="AR267" s="2657">
        <f t="shared" si="55"/>
      </c>
      <c r="AS267" s="2657">
        <f t="shared" si="55"/>
      </c>
      <c r="AT267" s="2657">
        <f t="shared" si="55"/>
      </c>
      <c r="AU267" s="2657">
        <f t="shared" si="55"/>
      </c>
      <c r="AV267" s="2657">
        <f t="shared" si="55"/>
      </c>
      <c r="AW267" s="2657">
        <f t="shared" si="55"/>
      </c>
      <c r="AX267" s="2657">
        <f t="shared" si="55"/>
      </c>
      <c r="AY267" s="2657">
        <f t="shared" si="55"/>
      </c>
      <c r="AZ267" s="2657">
        <f t="shared" si="55"/>
      </c>
      <c r="BA267" s="2657">
        <f t="shared" si="55"/>
      </c>
      <c r="BB267" s="2657">
        <f t="shared" si="55"/>
      </c>
      <c r="BC267" s="2657">
        <f t="shared" si="55"/>
      </c>
      <c r="BD267" s="2657">
        <f t="shared" si="55"/>
      </c>
      <c r="BE267" s="2657">
        <f t="shared" si="55"/>
      </c>
      <c r="BF267" s="2657">
        <f t="shared" si="55"/>
      </c>
      <c r="BG267" s="2657">
        <f t="shared" si="55"/>
      </c>
      <c r="BH267" s="2657">
        <f t="shared" si="55"/>
      </c>
      <c r="BI267" s="2657">
        <f t="shared" si="55"/>
      </c>
      <c r="BJ267" s="2657">
        <f t="shared" si="55"/>
      </c>
      <c r="BK267" s="2657">
        <f t="shared" si="55"/>
      </c>
      <c r="BL267" s="2657">
        <f t="shared" si="55"/>
      </c>
      <c r="BM267" s="2657">
        <f t="shared" si="55"/>
      </c>
      <c r="BN267" s="2657">
        <f t="shared" si="55"/>
      </c>
      <c r="BO267" s="2657">
        <f t="shared" si="55"/>
      </c>
      <c r="BP267" s="2657">
        <f t="shared" si="55"/>
      </c>
      <c r="BQ267" s="2657">
        <f t="shared" si="55"/>
      </c>
      <c r="BR267" s="2657">
        <f t="shared" si="55"/>
      </c>
      <c r="BS267" s="2657">
        <f t="shared" si="55"/>
      </c>
      <c r="BT267" s="2657">
        <f t="shared" si="55"/>
      </c>
      <c r="BU267" s="2657">
        <f t="shared" si="55"/>
      </c>
      <c r="BV267" s="2657">
        <f t="shared" si="55"/>
      </c>
      <c r="BW267" s="2657">
        <f t="shared" si="55"/>
      </c>
      <c r="BX267" s="2657">
        <f t="shared" si="55"/>
      </c>
      <c r="BY267" s="2657">
        <f t="shared" si="55"/>
      </c>
      <c r="BZ267" s="2657">
        <f t="shared" si="55"/>
      </c>
      <c r="CA267" s="2657">
        <f t="shared" si="55"/>
      </c>
      <c r="CB267" s="2657">
        <f t="shared" si="55"/>
      </c>
      <c r="CC267" s="2657">
        <f t="shared" si="55"/>
      </c>
      <c r="CD267" s="2657">
        <f t="shared" si="55"/>
      </c>
      <c r="CE267" s="2657">
        <f t="shared" si="55"/>
      </c>
      <c r="CF267" s="2657">
        <f t="shared" si="55"/>
      </c>
      <c r="CG267" s="2657">
        <f t="shared" si="55"/>
      </c>
      <c r="CH267" s="2657">
        <f t="shared" si="55"/>
      </c>
      <c r="CI267" s="2657">
        <f t="shared" si="55"/>
      </c>
      <c r="CJ267" s="2657">
        <f t="shared" si="55"/>
      </c>
      <c r="CK267" s="2657">
        <f t="shared" si="55"/>
      </c>
      <c r="CL267" s="2657">
        <f t="shared" si="55"/>
      </c>
      <c r="CM267" s="2657">
        <f t="shared" si="55"/>
      </c>
      <c r="CN267" s="2657">
        <f t="shared" si="55"/>
      </c>
      <c r="CO267" s="2657">
        <f t="shared" si="55"/>
      </c>
      <c r="CP267" s="2657">
        <f t="shared" si="55"/>
      </c>
      <c r="CQ267" s="2657">
        <f t="shared" si="55"/>
      </c>
      <c r="CR267" s="2657">
        <f t="shared" si="55"/>
      </c>
      <c r="CS267" s="2657">
        <f t="shared" si="55"/>
      </c>
      <c r="CT267" s="2657">
        <f t="shared" si="55"/>
      </c>
      <c r="CU267" s="2657">
        <f t="shared" si="55"/>
      </c>
      <c r="CV267" s="2657">
        <f t="shared" si="55"/>
      </c>
      <c r="CW267" s="2657">
        <f t="shared" si="55"/>
      </c>
      <c r="CX267" s="2657">
        <f t="shared" ref="CX267:DY267" si="56">CX277</f>
      </c>
      <c r="CY267" s="2657">
        <f t="shared" si="56"/>
      </c>
      <c r="CZ267" s="2657">
        <f t="shared" si="56"/>
      </c>
      <c r="DA267" s="2657">
        <f t="shared" si="56"/>
      </c>
      <c r="DB267" s="2657">
        <f t="shared" si="56"/>
      </c>
      <c r="DC267" s="2657">
        <f t="shared" si="56"/>
      </c>
      <c r="DD267" s="2657">
        <f t="shared" si="56"/>
      </c>
      <c r="DE267" s="2657">
        <f t="shared" si="56"/>
      </c>
      <c r="DF267" s="2657">
        <f t="shared" si="56"/>
      </c>
      <c r="DG267" s="2657">
        <f t="shared" si="56"/>
      </c>
      <c r="DH267" s="2657">
        <f t="shared" si="56"/>
      </c>
      <c r="DI267" s="2657">
        <f t="shared" si="56"/>
      </c>
      <c r="DJ267" s="2657">
        <f t="shared" si="56"/>
      </c>
      <c r="DK267" s="2657">
        <f t="shared" si="56"/>
      </c>
      <c r="DL267" s="2657">
        <f t="shared" si="56"/>
      </c>
      <c r="DM267" s="2657">
        <f t="shared" si="56"/>
      </c>
      <c r="DN267" s="2657">
        <f t="shared" si="56"/>
      </c>
      <c r="DO267" s="2657">
        <f t="shared" si="56"/>
      </c>
      <c r="DP267" s="2657">
        <f t="shared" si="56"/>
      </c>
      <c r="DQ267" s="2657">
        <f t="shared" si="56"/>
      </c>
      <c r="DR267" s="2657">
        <f t="shared" si="56"/>
      </c>
      <c r="DS267" s="2657">
        <f t="shared" si="56"/>
      </c>
      <c r="DT267" s="2657">
        <f t="shared" si="56"/>
      </c>
      <c r="DU267" s="2657">
        <f t="shared" si="56"/>
      </c>
      <c r="DV267" s="2657">
        <f t="shared" si="56"/>
      </c>
      <c r="DW267" s="2657">
        <f t="shared" si="56"/>
      </c>
      <c r="DX267" s="2657">
        <f t="shared" si="56"/>
      </c>
      <c r="DY267" s="2657">
        <f t="shared" si="56"/>
      </c>
      <c r="DZ267" s="2657">
        <f>DZ277</f>
      </c>
      <c r="EA267" s="2657">
        <f>EA277</f>
      </c>
      <c r="EB267" s="2657">
        <f>EB277</f>
      </c>
      <c r="EC267" s="2657">
        <f>EC277</f>
      </c>
      <c r="ED267" s="2657">
        <f t="shared" ref="ED267:EK267" si="57">ED277</f>
      </c>
      <c r="EE267" s="2657">
        <f t="shared" si="57"/>
      </c>
      <c r="EF267" s="2657">
        <f t="shared" si="57"/>
      </c>
      <c r="EG267" s="2657">
        <f t="shared" si="57"/>
      </c>
      <c r="EH267" s="2657">
        <f t="shared" si="57"/>
      </c>
      <c r="EI267" s="2657">
        <f t="shared" si="57"/>
      </c>
      <c r="EJ267" s="2657">
        <f t="shared" si="57"/>
      </c>
      <c r="EK267" s="2657">
        <f t="shared" si="57"/>
      </c>
      <c r="EL267" s="2657">
        <f t="shared" ref="EL267:FE267" si="58">EL277</f>
      </c>
      <c r="EM267" s="2657">
        <f t="shared" si="58"/>
      </c>
      <c r="EN267" s="2657">
        <f t="shared" si="58"/>
      </c>
      <c r="EO267" s="2657">
        <f t="shared" si="58"/>
      </c>
      <c r="EP267" s="2657">
        <f t="shared" si="58"/>
      </c>
      <c r="EQ267" s="2657">
        <f t="shared" si="58"/>
      </c>
      <c r="ER267" s="2657">
        <f t="shared" si="58"/>
      </c>
      <c r="ES267" s="2657">
        <f t="shared" si="58"/>
      </c>
      <c r="ET267" s="2657">
        <f t="shared" si="58"/>
      </c>
      <c r="EU267" s="2657">
        <f t="shared" si="58"/>
      </c>
      <c r="EV267" s="2657">
        <f t="shared" si="58"/>
      </c>
      <c r="EW267" s="2657">
        <f t="shared" si="58"/>
      </c>
      <c r="EX267" s="2657">
        <f t="shared" si="58"/>
      </c>
      <c r="EY267" s="2657">
        <f t="shared" si="58"/>
      </c>
      <c r="EZ267" s="2657">
        <f t="shared" si="58"/>
      </c>
      <c r="FA267" s="2657">
        <f t="shared" si="58"/>
      </c>
      <c r="FB267" s="2657">
        <f t="shared" si="58"/>
      </c>
      <c r="FC267" s="2657">
        <f t="shared" si="58"/>
      </c>
      <c r="FD267" s="2657">
        <f t="shared" si="58"/>
      </c>
      <c r="FE267" s="2657">
        <f t="shared" si="58"/>
      </c>
    </row>
    <row r="268" spans="1:161" outlineLevel="2">
      <c r="B268" t="s">
        <v>586</v>
      </c>
      <c r="C268" t="s">
        <v>587</v>
      </c>
      <c r="D268" t="str">
        <f t="shared" si="22"/>
      </c>
      <c r="F268" s="2657">
        <f t="shared" ref="F268:AJ268" si="59">F23</f>
      </c>
      <c r="G268" s="2657">
        <f t="shared" si="59"/>
      </c>
      <c r="H268" s="2657">
        <f t="shared" si="59"/>
      </c>
      <c r="I268" s="2657">
        <f t="shared" si="59"/>
      </c>
      <c r="J268" s="2657">
        <f t="shared" si="59"/>
      </c>
      <c r="K268" s="2657">
        <f t="shared" si="59"/>
      </c>
      <c r="L268" s="2657">
        <f t="shared" si="59"/>
      </c>
      <c r="M268" s="2657">
        <f t="shared" si="59"/>
      </c>
      <c r="N268" s="2657">
        <f t="shared" si="59"/>
      </c>
      <c r="O268" s="2657">
        <f t="shared" si="59"/>
      </c>
      <c r="P268" s="2657">
        <f t="shared" si="59"/>
      </c>
      <c r="Q268" s="2657">
        <f t="shared" si="59"/>
      </c>
      <c r="R268" s="2657">
        <f t="shared" si="59"/>
      </c>
      <c r="S268" s="2657">
        <f t="shared" si="59"/>
      </c>
      <c r="T268" s="2657">
        <f t="shared" si="59"/>
      </c>
      <c r="U268" s="2657">
        <f t="shared" si="59"/>
      </c>
      <c r="V268" s="2657">
        <f t="shared" si="59"/>
      </c>
      <c r="W268" s="2657">
        <f t="shared" si="59"/>
      </c>
      <c r="X268" s="2657">
        <f t="shared" si="59"/>
      </c>
      <c r="Y268" s="2657">
        <f t="shared" si="59"/>
      </c>
      <c r="Z268" s="2657">
        <f t="shared" si="59"/>
      </c>
      <c r="AA268" s="2657">
        <f t="shared" si="59"/>
      </c>
      <c r="AB268" s="2657">
        <f t="shared" si="59"/>
      </c>
      <c r="AC268" s="2657">
        <f t="shared" si="59"/>
      </c>
      <c r="AD268" s="2657">
        <f t="shared" si="59"/>
      </c>
      <c r="AE268" s="2657">
        <f t="shared" si="59"/>
      </c>
      <c r="AF268" s="2657">
        <f t="shared" si="59"/>
      </c>
      <c r="AG268" s="2657">
        <f t="shared" si="59"/>
      </c>
      <c r="AH268" s="2657">
        <f t="shared" si="59"/>
      </c>
      <c r="AI268" s="2657">
        <f t="shared" si="59"/>
      </c>
      <c r="AJ268" s="2657">
        <f t="shared" si="59"/>
      </c>
      <c r="AK268" s="2657"/>
      <c r="AL268" s="2657">
        <f t="shared" ref="AL268:CW268" si="60">AL23</f>
      </c>
      <c r="AM268" s="2657">
        <f t="shared" si="60"/>
      </c>
      <c r="AN268" s="2657">
        <f t="shared" si="60"/>
      </c>
      <c r="AO268" s="2657">
        <f t="shared" si="60"/>
      </c>
      <c r="AP268" s="2657">
        <f t="shared" si="60"/>
      </c>
      <c r="AQ268" s="2657">
        <f t="shared" si="60"/>
      </c>
      <c r="AR268" s="2657">
        <f t="shared" si="60"/>
      </c>
      <c r="AS268" s="2657">
        <f t="shared" si="60"/>
      </c>
      <c r="AT268" s="2657">
        <f t="shared" si="60"/>
      </c>
      <c r="AU268" s="2657">
        <f t="shared" si="60"/>
      </c>
      <c r="AV268" s="2657">
        <f t="shared" si="60"/>
      </c>
      <c r="AW268" s="2657">
        <f t="shared" si="60"/>
      </c>
      <c r="AX268" s="2657">
        <f t="shared" si="60"/>
      </c>
      <c r="AY268" s="2657">
        <f t="shared" si="60"/>
      </c>
      <c r="AZ268" s="2657">
        <f t="shared" si="60"/>
      </c>
      <c r="BA268" s="2657">
        <f t="shared" si="60"/>
      </c>
      <c r="BB268" s="2657">
        <f t="shared" si="60"/>
      </c>
      <c r="BC268" s="2657">
        <f t="shared" si="60"/>
      </c>
      <c r="BD268" s="2657">
        <f t="shared" si="60"/>
      </c>
      <c r="BE268" s="2657">
        <f t="shared" si="60"/>
      </c>
      <c r="BF268" s="2657">
        <f t="shared" si="60"/>
      </c>
      <c r="BG268" s="2657">
        <f t="shared" si="60"/>
      </c>
      <c r="BH268" s="2657">
        <f t="shared" si="60"/>
      </c>
      <c r="BI268" s="2657">
        <f t="shared" si="60"/>
      </c>
      <c r="BJ268" s="2657">
        <f t="shared" si="60"/>
      </c>
      <c r="BK268" s="2657">
        <f t="shared" si="60"/>
      </c>
      <c r="BL268" s="2657">
        <f t="shared" si="60"/>
      </c>
      <c r="BM268" s="2657">
        <f t="shared" si="60"/>
      </c>
      <c r="BN268" s="2657">
        <f t="shared" si="60"/>
      </c>
      <c r="BO268" s="2657">
        <f t="shared" si="60"/>
      </c>
      <c r="BP268" s="2657">
        <f t="shared" si="60"/>
      </c>
      <c r="BQ268" s="2657">
        <f t="shared" si="60"/>
      </c>
      <c r="BR268" s="2657">
        <f t="shared" si="60"/>
      </c>
      <c r="BS268" s="2657">
        <f t="shared" si="60"/>
      </c>
      <c r="BT268" s="2657">
        <f t="shared" si="60"/>
      </c>
      <c r="BU268" s="2657">
        <f t="shared" si="60"/>
      </c>
      <c r="BV268" s="2657">
        <f t="shared" si="60"/>
      </c>
      <c r="BW268" s="2657">
        <f t="shared" si="60"/>
      </c>
      <c r="BX268" s="2657">
        <f t="shared" si="60"/>
      </c>
      <c r="BY268" s="2657">
        <f t="shared" si="60"/>
      </c>
      <c r="BZ268" s="2657">
        <f t="shared" si="60"/>
      </c>
      <c r="CA268" s="2657">
        <f t="shared" si="60"/>
      </c>
      <c r="CB268" s="2657">
        <f t="shared" si="60"/>
      </c>
      <c r="CC268" s="2657">
        <f t="shared" si="60"/>
      </c>
      <c r="CD268" s="2657">
        <f t="shared" si="60"/>
      </c>
      <c r="CE268" s="2657">
        <f t="shared" si="60"/>
      </c>
      <c r="CF268" s="2657">
        <f t="shared" si="60"/>
      </c>
      <c r="CG268" s="2657">
        <f t="shared" si="60"/>
      </c>
      <c r="CH268" s="2657">
        <f t="shared" si="60"/>
      </c>
      <c r="CI268" s="2657">
        <f t="shared" si="60"/>
      </c>
      <c r="CJ268" s="2657">
        <f t="shared" si="60"/>
      </c>
      <c r="CK268" s="2657">
        <f t="shared" si="60"/>
      </c>
      <c r="CL268" s="2657">
        <f t="shared" si="60"/>
      </c>
      <c r="CM268" s="2657">
        <f t="shared" si="60"/>
      </c>
      <c r="CN268" s="2657">
        <f t="shared" si="60"/>
      </c>
      <c r="CO268" s="2657">
        <f t="shared" si="60"/>
      </c>
      <c r="CP268" s="2657">
        <f t="shared" si="60"/>
      </c>
      <c r="CQ268" s="2657">
        <f t="shared" si="60"/>
      </c>
      <c r="CR268" s="2657">
        <f t="shared" si="60"/>
      </c>
      <c r="CS268" s="2657">
        <f t="shared" si="60"/>
      </c>
      <c r="CT268" s="2657">
        <f t="shared" si="60"/>
      </c>
      <c r="CU268" s="2657">
        <f t="shared" si="60"/>
      </c>
      <c r="CV268" s="2657">
        <f t="shared" si="60"/>
      </c>
      <c r="CW268" s="2657">
        <f t="shared" si="60"/>
      </c>
      <c r="CX268" s="2657">
        <f t="shared" ref="CX268:EK268" si="61">CX23</f>
      </c>
      <c r="CY268" s="2657">
        <f t="shared" si="61"/>
      </c>
      <c r="CZ268" s="2657">
        <f t="shared" si="61"/>
      </c>
      <c r="DA268" s="2657">
        <f t="shared" si="61"/>
      </c>
      <c r="DB268" s="2657">
        <f t="shared" si="61"/>
      </c>
      <c r="DC268" s="2657">
        <f t="shared" si="61"/>
      </c>
      <c r="DD268" s="2657">
        <f t="shared" si="61"/>
      </c>
      <c r="DE268" s="2657">
        <f t="shared" si="61"/>
      </c>
      <c r="DF268" s="2657">
        <f t="shared" si="61"/>
      </c>
      <c r="DG268" s="2657">
        <f t="shared" si="61"/>
      </c>
      <c r="DH268" s="2657">
        <f t="shared" si="61"/>
      </c>
      <c r="DI268" s="2657">
        <f t="shared" si="61"/>
      </c>
      <c r="DJ268" s="2657">
        <f t="shared" si="61"/>
      </c>
      <c r="DK268" s="2657">
        <f t="shared" si="61"/>
      </c>
      <c r="DL268" s="2657">
        <f t="shared" si="61"/>
      </c>
      <c r="DM268" s="2657">
        <f t="shared" si="61"/>
      </c>
      <c r="DN268" s="2657">
        <f t="shared" si="61"/>
      </c>
      <c r="DO268" s="2657">
        <f t="shared" si="61"/>
      </c>
      <c r="DP268" s="2657">
        <f t="shared" si="61"/>
      </c>
      <c r="DQ268" s="2657">
        <f t="shared" si="61"/>
      </c>
      <c r="DR268" s="2657">
        <f t="shared" si="61"/>
      </c>
      <c r="DS268" s="2657">
        <f t="shared" si="61"/>
      </c>
      <c r="DT268" s="2657">
        <f t="shared" si="61"/>
      </c>
      <c r="DU268" s="2657">
        <f t="shared" si="61"/>
      </c>
      <c r="DV268" s="2657">
        <f t="shared" si="61"/>
      </c>
      <c r="DW268" s="2657">
        <f t="shared" si="61"/>
      </c>
      <c r="DX268" s="2657">
        <f t="shared" si="61"/>
      </c>
      <c r="DY268" s="2657">
        <f t="shared" si="61"/>
      </c>
      <c r="DZ268" s="2657">
        <f t="shared" si="61"/>
      </c>
      <c r="EA268" s="2657">
        <f t="shared" si="61"/>
      </c>
      <c r="EB268" s="2657">
        <f t="shared" si="61"/>
      </c>
      <c r="EC268" s="2657">
        <f t="shared" si="61"/>
      </c>
      <c r="ED268" s="2657">
        <f t="shared" si="61"/>
      </c>
      <c r="EE268" s="2657">
        <f t="shared" si="61"/>
      </c>
      <c r="EF268" s="2657">
        <f t="shared" si="61"/>
      </c>
      <c r="EG268" s="2657">
        <f t="shared" si="61"/>
      </c>
      <c r="EH268" s="2657">
        <f t="shared" si="61"/>
      </c>
      <c r="EI268" s="2657">
        <f t="shared" si="61"/>
      </c>
      <c r="EJ268" s="2657">
        <f t="shared" si="61"/>
      </c>
      <c r="EK268" s="2657">
        <f t="shared" si="61"/>
      </c>
      <c r="EL268" s="2657">
        <f t="shared" ref="EL268:FE268" si="62">EL23</f>
      </c>
      <c r="EM268" s="2657">
        <f t="shared" si="62"/>
      </c>
      <c r="EN268" s="2657">
        <f t="shared" si="62"/>
      </c>
      <c r="EO268" s="2657">
        <f t="shared" si="62"/>
      </c>
      <c r="EP268" s="2657">
        <f t="shared" si="62"/>
      </c>
      <c r="EQ268" s="2657">
        <f t="shared" si="62"/>
      </c>
      <c r="ER268" s="2657">
        <f t="shared" si="62"/>
      </c>
      <c r="ES268" s="2657">
        <f t="shared" si="62"/>
      </c>
      <c r="ET268" s="2657">
        <f t="shared" si="62"/>
      </c>
      <c r="EU268" s="2657">
        <f t="shared" si="62"/>
      </c>
      <c r="EV268" s="2657">
        <f t="shared" si="62"/>
      </c>
      <c r="EW268" s="2657">
        <f t="shared" si="62"/>
      </c>
      <c r="EX268" s="2657">
        <f t="shared" si="62"/>
      </c>
      <c r="EY268" s="2657">
        <f t="shared" si="62"/>
      </c>
      <c r="EZ268" s="2657">
        <f t="shared" si="62"/>
      </c>
      <c r="FA268" s="2657">
        <f t="shared" si="62"/>
      </c>
      <c r="FB268" s="2657">
        <f t="shared" si="62"/>
      </c>
      <c r="FC268" s="2657">
        <f t="shared" si="62"/>
      </c>
      <c r="FD268" s="2657">
        <f t="shared" si="62"/>
      </c>
      <c r="FE268" s="2657">
        <f t="shared" si="62"/>
      </c>
    </row>
    <row r="269" spans="1:161" outlineLevel="2">
      <c r="B269" t="s">
        <v>588</v>
      </c>
      <c r="C269" t="s">
        <v>589</v>
      </c>
      <c r="D269" t="str">
        <f t="shared" si="22"/>
      </c>
      <c r="F269" s="2657">
        <f t="shared" ref="F269:AJ269" si="63">F30</f>
      </c>
      <c r="G269" s="2657">
        <f t="shared" si="63"/>
      </c>
      <c r="H269" s="2657">
        <f t="shared" si="63"/>
      </c>
      <c r="I269" s="2657">
        <f t="shared" si="63"/>
      </c>
      <c r="J269" s="2657">
        <f t="shared" si="63"/>
      </c>
      <c r="K269" s="2657">
        <f t="shared" si="63"/>
      </c>
      <c r="L269" s="2657">
        <f t="shared" si="63"/>
      </c>
      <c r="M269" s="2657">
        <f t="shared" si="63"/>
      </c>
      <c r="N269" s="2657">
        <f t="shared" si="63"/>
      </c>
      <c r="O269" s="2657">
        <f t="shared" si="63"/>
      </c>
      <c r="P269" s="2657">
        <f t="shared" si="63"/>
      </c>
      <c r="Q269" s="2657">
        <f t="shared" si="63"/>
      </c>
      <c r="R269" s="2657">
        <f t="shared" si="63"/>
      </c>
      <c r="S269" s="2657">
        <f t="shared" si="63"/>
      </c>
      <c r="T269" s="2657">
        <f t="shared" si="63"/>
      </c>
      <c r="U269" s="2657">
        <f t="shared" si="63"/>
      </c>
      <c r="V269" s="2657">
        <f t="shared" si="63"/>
      </c>
      <c r="W269" s="2657">
        <f t="shared" si="63"/>
      </c>
      <c r="X269" s="2657">
        <f t="shared" si="63"/>
      </c>
      <c r="Y269" s="2657">
        <f t="shared" si="63"/>
      </c>
      <c r="Z269" s="2657">
        <f t="shared" si="63"/>
      </c>
      <c r="AA269" s="2657">
        <f t="shared" si="63"/>
      </c>
      <c r="AB269" s="2657">
        <f t="shared" si="63"/>
      </c>
      <c r="AC269" s="2657">
        <f t="shared" si="63"/>
      </c>
      <c r="AD269" s="2657">
        <f t="shared" si="63"/>
      </c>
      <c r="AE269" s="2657">
        <f t="shared" si="63"/>
      </c>
      <c r="AF269" s="2657">
        <f t="shared" si="63"/>
      </c>
      <c r="AG269" s="2657">
        <f t="shared" si="63"/>
      </c>
      <c r="AH269" s="2657">
        <f t="shared" si="63"/>
      </c>
      <c r="AI269" s="2657">
        <f t="shared" si="63"/>
      </c>
      <c r="AJ269" s="2657">
        <f t="shared" si="63"/>
      </c>
      <c r="AK269" s="2657"/>
      <c r="AL269" s="2657">
        <f t="shared" ref="AL269:CW269" si="64">AL30</f>
      </c>
      <c r="AM269" s="2657">
        <f t="shared" si="64"/>
      </c>
      <c r="AN269" s="2657">
        <f t="shared" si="64"/>
      </c>
      <c r="AO269" s="2657">
        <f t="shared" si="64"/>
      </c>
      <c r="AP269" s="2657">
        <f t="shared" si="64"/>
      </c>
      <c r="AQ269" s="2657">
        <f t="shared" si="64"/>
      </c>
      <c r="AR269" s="2657">
        <f t="shared" si="64"/>
      </c>
      <c r="AS269" s="2657">
        <f t="shared" si="64"/>
      </c>
      <c r="AT269" s="2657">
        <f t="shared" si="64"/>
      </c>
      <c r="AU269" s="2657">
        <f t="shared" si="64"/>
      </c>
      <c r="AV269" s="2657">
        <f t="shared" si="64"/>
      </c>
      <c r="AW269" s="2657">
        <f t="shared" si="64"/>
      </c>
      <c r="AX269" s="2657">
        <f t="shared" si="64"/>
      </c>
      <c r="AY269" s="2657">
        <f t="shared" si="64"/>
      </c>
      <c r="AZ269" s="2657">
        <f t="shared" si="64"/>
      </c>
      <c r="BA269" s="2657">
        <f t="shared" si="64"/>
      </c>
      <c r="BB269" s="2657">
        <f t="shared" si="64"/>
      </c>
      <c r="BC269" s="2657">
        <f t="shared" si="64"/>
      </c>
      <c r="BD269" s="2657">
        <f t="shared" si="64"/>
      </c>
      <c r="BE269" s="2657">
        <f t="shared" si="64"/>
      </c>
      <c r="BF269" s="2657">
        <f t="shared" si="64"/>
      </c>
      <c r="BG269" s="2657">
        <f t="shared" si="64"/>
      </c>
      <c r="BH269" s="2657">
        <f t="shared" si="64"/>
      </c>
      <c r="BI269" s="2657">
        <f t="shared" si="64"/>
      </c>
      <c r="BJ269" s="2657">
        <f t="shared" si="64"/>
      </c>
      <c r="BK269" s="2657">
        <f t="shared" si="64"/>
      </c>
      <c r="BL269" s="2657">
        <f t="shared" si="64"/>
      </c>
      <c r="BM269" s="2657">
        <f t="shared" si="64"/>
      </c>
      <c r="BN269" s="2657">
        <f t="shared" si="64"/>
      </c>
      <c r="BO269" s="2657">
        <f t="shared" si="64"/>
      </c>
      <c r="BP269" s="2657">
        <f t="shared" si="64"/>
      </c>
      <c r="BQ269" s="2657">
        <f t="shared" si="64"/>
      </c>
      <c r="BR269" s="2657">
        <f t="shared" si="64"/>
      </c>
      <c r="BS269" s="2657">
        <f t="shared" si="64"/>
      </c>
      <c r="BT269" s="2657">
        <f t="shared" si="64"/>
      </c>
      <c r="BU269" s="2657">
        <f t="shared" si="64"/>
      </c>
      <c r="BV269" s="2657">
        <f t="shared" si="64"/>
      </c>
      <c r="BW269" s="2657">
        <f t="shared" si="64"/>
      </c>
      <c r="BX269" s="2657">
        <f t="shared" si="64"/>
      </c>
      <c r="BY269" s="2657">
        <f t="shared" si="64"/>
      </c>
      <c r="BZ269" s="2657">
        <f t="shared" si="64"/>
      </c>
      <c r="CA269" s="2657">
        <f t="shared" si="64"/>
      </c>
      <c r="CB269" s="2657">
        <f t="shared" si="64"/>
      </c>
      <c r="CC269" s="2657">
        <f t="shared" si="64"/>
      </c>
      <c r="CD269" s="2657">
        <f t="shared" si="64"/>
      </c>
      <c r="CE269" s="2657">
        <f t="shared" si="64"/>
      </c>
      <c r="CF269" s="2657">
        <f t="shared" si="64"/>
      </c>
      <c r="CG269" s="2657">
        <f t="shared" si="64"/>
      </c>
      <c r="CH269" s="2657">
        <f t="shared" si="64"/>
      </c>
      <c r="CI269" s="2657">
        <f t="shared" si="64"/>
      </c>
      <c r="CJ269" s="2657">
        <f t="shared" si="64"/>
      </c>
      <c r="CK269" s="2657">
        <f t="shared" si="64"/>
      </c>
      <c r="CL269" s="2657">
        <f t="shared" si="64"/>
      </c>
      <c r="CM269" s="2657">
        <f t="shared" si="64"/>
      </c>
      <c r="CN269" s="2657">
        <f t="shared" si="64"/>
      </c>
      <c r="CO269" s="2657">
        <f t="shared" si="64"/>
      </c>
      <c r="CP269" s="2657">
        <f t="shared" si="64"/>
      </c>
      <c r="CQ269" s="2657">
        <f t="shared" si="64"/>
      </c>
      <c r="CR269" s="2657">
        <f t="shared" si="64"/>
      </c>
      <c r="CS269" s="2657">
        <f t="shared" si="64"/>
      </c>
      <c r="CT269" s="2657">
        <f t="shared" si="64"/>
      </c>
      <c r="CU269" s="2657">
        <f t="shared" si="64"/>
      </c>
      <c r="CV269" s="2657">
        <f t="shared" si="64"/>
      </c>
      <c r="CW269" s="2657">
        <f t="shared" si="64"/>
      </c>
      <c r="CX269" s="2657">
        <f t="shared" ref="CX269:EK269" si="65">CX30</f>
      </c>
      <c r="CY269" s="2657">
        <f t="shared" si="65"/>
      </c>
      <c r="CZ269" s="2657">
        <f t="shared" si="65"/>
      </c>
      <c r="DA269" s="2657">
        <f t="shared" si="65"/>
      </c>
      <c r="DB269" s="2657">
        <f t="shared" si="65"/>
      </c>
      <c r="DC269" s="2657">
        <f t="shared" si="65"/>
      </c>
      <c r="DD269" s="2657">
        <f t="shared" si="65"/>
      </c>
      <c r="DE269" s="2657">
        <f t="shared" si="65"/>
      </c>
      <c r="DF269" s="2657">
        <f t="shared" si="65"/>
      </c>
      <c r="DG269" s="2657">
        <f t="shared" si="65"/>
      </c>
      <c r="DH269" s="2657">
        <f t="shared" si="65"/>
      </c>
      <c r="DI269" s="2657">
        <f t="shared" si="65"/>
      </c>
      <c r="DJ269" s="2657">
        <f t="shared" si="65"/>
      </c>
      <c r="DK269" s="2657">
        <f t="shared" si="65"/>
      </c>
      <c r="DL269" s="2657">
        <f t="shared" si="65"/>
      </c>
      <c r="DM269" s="2657">
        <f t="shared" si="65"/>
      </c>
      <c r="DN269" s="2657">
        <f t="shared" si="65"/>
      </c>
      <c r="DO269" s="2657">
        <f t="shared" si="65"/>
      </c>
      <c r="DP269" s="2657">
        <f t="shared" si="65"/>
      </c>
      <c r="DQ269" s="2657">
        <f t="shared" si="65"/>
      </c>
      <c r="DR269" s="2657">
        <f t="shared" si="65"/>
      </c>
      <c r="DS269" s="2657">
        <f t="shared" si="65"/>
      </c>
      <c r="DT269" s="2657">
        <f t="shared" si="65"/>
      </c>
      <c r="DU269" s="2657">
        <f t="shared" si="65"/>
      </c>
      <c r="DV269" s="2657">
        <f t="shared" si="65"/>
      </c>
      <c r="DW269" s="2657">
        <f t="shared" si="65"/>
      </c>
      <c r="DX269" s="2657">
        <f t="shared" si="65"/>
      </c>
      <c r="DY269" s="2657">
        <f t="shared" si="65"/>
      </c>
      <c r="DZ269" s="2657">
        <f t="shared" si="65"/>
      </c>
      <c r="EA269" s="2657">
        <f t="shared" si="65"/>
      </c>
      <c r="EB269" s="2657">
        <f t="shared" si="65"/>
      </c>
      <c r="EC269" s="2657">
        <f t="shared" si="65"/>
      </c>
      <c r="ED269" s="2657">
        <f t="shared" si="65"/>
      </c>
      <c r="EE269" s="2657">
        <f t="shared" si="65"/>
      </c>
      <c r="EF269" s="2657">
        <f t="shared" si="65"/>
      </c>
      <c r="EG269" s="2657">
        <f t="shared" si="65"/>
      </c>
      <c r="EH269" s="2657">
        <f t="shared" si="65"/>
      </c>
      <c r="EI269" s="2657">
        <f t="shared" si="65"/>
      </c>
      <c r="EJ269" s="2657">
        <f t="shared" si="65"/>
      </c>
      <c r="EK269" s="2657">
        <f t="shared" si="65"/>
      </c>
      <c r="EL269" s="2657">
        <f t="shared" ref="EL269:FE269" si="66">EL30</f>
      </c>
      <c r="EM269" s="2657">
        <f t="shared" si="66"/>
      </c>
      <c r="EN269" s="2657">
        <f t="shared" si="66"/>
      </c>
      <c r="EO269" s="2657">
        <f t="shared" si="66"/>
      </c>
      <c r="EP269" s="2657">
        <f t="shared" si="66"/>
      </c>
      <c r="EQ269" s="2657">
        <f t="shared" si="66"/>
      </c>
      <c r="ER269" s="2657">
        <f t="shared" si="66"/>
      </c>
      <c r="ES269" s="2657">
        <f t="shared" si="66"/>
      </c>
      <c r="ET269" s="2657">
        <f t="shared" si="66"/>
      </c>
      <c r="EU269" s="2657">
        <f t="shared" si="66"/>
      </c>
      <c r="EV269" s="2657">
        <f t="shared" si="66"/>
      </c>
      <c r="EW269" s="2657">
        <f t="shared" si="66"/>
      </c>
      <c r="EX269" s="2657">
        <f t="shared" si="66"/>
      </c>
      <c r="EY269" s="2657">
        <f t="shared" si="66"/>
      </c>
      <c r="EZ269" s="2657">
        <f t="shared" si="66"/>
      </c>
      <c r="FA269" s="2657">
        <f t="shared" si="66"/>
      </c>
      <c r="FB269" s="2657">
        <f t="shared" si="66"/>
      </c>
      <c r="FC269" s="2657">
        <f t="shared" si="66"/>
      </c>
      <c r="FD269" s="2657">
        <f t="shared" si="66"/>
      </c>
      <c r="FE269" s="2657">
        <f t="shared" si="66"/>
      </c>
    </row>
    <row r="270" spans="1:161" outlineLevel="2">
      <c r="B270" t="s">
        <v>590</v>
      </c>
      <c r="C270" t="s">
        <v>591</v>
      </c>
      <c r="D270" t="str">
        <f t="shared" si="22"/>
      </c>
      <c r="F270" s="2657">
        <f t="shared" ref="F270:AJ270" si="67">F11</f>
      </c>
      <c r="G270" s="2657">
        <f t="shared" si="67"/>
      </c>
      <c r="H270" s="2657">
        <f t="shared" si="67"/>
      </c>
      <c r="I270" s="2657">
        <f t="shared" si="67"/>
      </c>
      <c r="J270" s="2657">
        <f t="shared" si="67"/>
      </c>
      <c r="K270" s="2657">
        <f t="shared" si="67"/>
      </c>
      <c r="L270" s="2657">
        <f t="shared" si="67"/>
      </c>
      <c r="M270" s="2657">
        <f t="shared" si="67"/>
      </c>
      <c r="N270" s="2657">
        <f t="shared" si="67"/>
      </c>
      <c r="O270" s="2657">
        <f t="shared" si="67"/>
      </c>
      <c r="P270" s="2657">
        <f t="shared" si="67"/>
      </c>
      <c r="Q270" s="2657">
        <f t="shared" si="67"/>
      </c>
      <c r="R270" s="2657">
        <f t="shared" si="67"/>
      </c>
      <c r="S270" s="2657">
        <f t="shared" si="67"/>
      </c>
      <c r="T270" s="2657">
        <f t="shared" si="67"/>
      </c>
      <c r="U270" s="2657">
        <f t="shared" si="67"/>
      </c>
      <c r="V270" s="2657">
        <f t="shared" si="67"/>
      </c>
      <c r="W270" s="2657">
        <f t="shared" si="67"/>
      </c>
      <c r="X270" s="2657">
        <f t="shared" si="67"/>
      </c>
      <c r="Y270" s="2657">
        <f t="shared" si="67"/>
      </c>
      <c r="Z270" s="2657">
        <f t="shared" si="67"/>
      </c>
      <c r="AA270" s="2657">
        <f t="shared" si="67"/>
      </c>
      <c r="AB270" s="2657">
        <f t="shared" si="67"/>
      </c>
      <c r="AC270" s="2657">
        <f t="shared" si="67"/>
      </c>
      <c r="AD270" s="2657">
        <f t="shared" si="67"/>
      </c>
      <c r="AE270" s="2657">
        <f t="shared" si="67"/>
      </c>
      <c r="AF270" s="2657">
        <f t="shared" si="67"/>
      </c>
      <c r="AG270" s="2657">
        <f t="shared" si="67"/>
      </c>
      <c r="AH270" s="2657">
        <f t="shared" si="67"/>
      </c>
      <c r="AI270" s="2657">
        <f t="shared" si="67"/>
      </c>
      <c r="AJ270" s="2657">
        <f t="shared" si="67"/>
      </c>
      <c r="AK270" s="2657"/>
      <c r="AL270" s="2657">
        <f t="shared" ref="AL270:CW270" si="68">AL11</f>
      </c>
      <c r="AM270" s="2657">
        <f t="shared" si="68"/>
      </c>
      <c r="AN270" s="2657">
        <f t="shared" si="68"/>
      </c>
      <c r="AO270" s="2657">
        <f t="shared" si="68"/>
      </c>
      <c r="AP270" s="2657">
        <f t="shared" si="68"/>
      </c>
      <c r="AQ270" s="2657">
        <f t="shared" si="68"/>
      </c>
      <c r="AR270" s="2657">
        <f t="shared" si="68"/>
      </c>
      <c r="AS270" s="2657">
        <f t="shared" si="68"/>
      </c>
      <c r="AT270" s="2657">
        <f t="shared" si="68"/>
      </c>
      <c r="AU270" s="2657">
        <f t="shared" si="68"/>
      </c>
      <c r="AV270" s="2657">
        <f t="shared" si="68"/>
      </c>
      <c r="AW270" s="2657">
        <f t="shared" si="68"/>
      </c>
      <c r="AX270" s="2657">
        <f t="shared" si="68"/>
      </c>
      <c r="AY270" s="2657">
        <f t="shared" si="68"/>
      </c>
      <c r="AZ270" s="2657">
        <f t="shared" si="68"/>
      </c>
      <c r="BA270" s="2657">
        <f t="shared" si="68"/>
      </c>
      <c r="BB270" s="2657">
        <f t="shared" si="68"/>
      </c>
      <c r="BC270" s="2657">
        <f t="shared" si="68"/>
      </c>
      <c r="BD270" s="2657">
        <f t="shared" si="68"/>
      </c>
      <c r="BE270" s="2657">
        <f t="shared" si="68"/>
      </c>
      <c r="BF270" s="2657">
        <f t="shared" si="68"/>
      </c>
      <c r="BG270" s="2657">
        <f t="shared" si="68"/>
      </c>
      <c r="BH270" s="2657">
        <f t="shared" si="68"/>
      </c>
      <c r="BI270" s="2657">
        <f t="shared" si="68"/>
      </c>
      <c r="BJ270" s="2657">
        <f t="shared" si="68"/>
      </c>
      <c r="BK270" s="2657">
        <f t="shared" si="68"/>
      </c>
      <c r="BL270" s="2657">
        <f t="shared" si="68"/>
      </c>
      <c r="BM270" s="2657">
        <f t="shared" si="68"/>
      </c>
      <c r="BN270" s="2657">
        <f t="shared" si="68"/>
      </c>
      <c r="BO270" s="2657">
        <f t="shared" si="68"/>
      </c>
      <c r="BP270" s="2657">
        <f t="shared" si="68"/>
      </c>
      <c r="BQ270" s="2657">
        <f t="shared" si="68"/>
      </c>
      <c r="BR270" s="2657">
        <f t="shared" si="68"/>
      </c>
      <c r="BS270" s="2657">
        <f t="shared" si="68"/>
      </c>
      <c r="BT270" s="2657">
        <f t="shared" si="68"/>
      </c>
      <c r="BU270" s="2657">
        <f t="shared" si="68"/>
      </c>
      <c r="BV270" s="2657">
        <f t="shared" si="68"/>
      </c>
      <c r="BW270" s="2657">
        <f t="shared" si="68"/>
      </c>
      <c r="BX270" s="2657">
        <f t="shared" si="68"/>
      </c>
      <c r="BY270" s="2657">
        <f t="shared" si="68"/>
      </c>
      <c r="BZ270" s="2657">
        <f t="shared" si="68"/>
      </c>
      <c r="CA270" s="2657">
        <f t="shared" si="68"/>
      </c>
      <c r="CB270" s="2657">
        <f t="shared" si="68"/>
      </c>
      <c r="CC270" s="2657">
        <f t="shared" si="68"/>
      </c>
      <c r="CD270" s="2657">
        <f t="shared" si="68"/>
      </c>
      <c r="CE270" s="2657">
        <f t="shared" si="68"/>
      </c>
      <c r="CF270" s="2657">
        <f t="shared" si="68"/>
      </c>
      <c r="CG270" s="2657">
        <f t="shared" si="68"/>
      </c>
      <c r="CH270" s="2657">
        <f t="shared" si="68"/>
      </c>
      <c r="CI270" s="2657">
        <f t="shared" si="68"/>
      </c>
      <c r="CJ270" s="2657">
        <f t="shared" si="68"/>
      </c>
      <c r="CK270" s="2657">
        <f t="shared" si="68"/>
      </c>
      <c r="CL270" s="2657">
        <f t="shared" si="68"/>
      </c>
      <c r="CM270" s="2657">
        <f t="shared" si="68"/>
      </c>
      <c r="CN270" s="2657">
        <f t="shared" si="68"/>
      </c>
      <c r="CO270" s="2657">
        <f t="shared" si="68"/>
      </c>
      <c r="CP270" s="2657">
        <f t="shared" si="68"/>
      </c>
      <c r="CQ270" s="2657">
        <f t="shared" si="68"/>
      </c>
      <c r="CR270" s="2657">
        <f t="shared" si="68"/>
      </c>
      <c r="CS270" s="2657">
        <f t="shared" si="68"/>
      </c>
      <c r="CT270" s="2657">
        <f t="shared" si="68"/>
      </c>
      <c r="CU270" s="2657">
        <f t="shared" si="68"/>
      </c>
      <c r="CV270" s="2657">
        <f t="shared" si="68"/>
      </c>
      <c r="CW270" s="2657">
        <f t="shared" si="68"/>
      </c>
      <c r="CX270" s="2657">
        <f t="shared" ref="CX270:EK270" si="69">CX11</f>
      </c>
      <c r="CY270" s="2657">
        <f t="shared" si="69"/>
      </c>
      <c r="CZ270" s="2657">
        <f t="shared" si="69"/>
      </c>
      <c r="DA270" s="2657">
        <f t="shared" si="69"/>
      </c>
      <c r="DB270" s="2657">
        <f t="shared" si="69"/>
      </c>
      <c r="DC270" s="2657">
        <f t="shared" si="69"/>
      </c>
      <c r="DD270" s="2657">
        <f t="shared" si="69"/>
      </c>
      <c r="DE270" s="2657">
        <f t="shared" si="69"/>
      </c>
      <c r="DF270" s="2657">
        <f t="shared" si="69"/>
      </c>
      <c r="DG270" s="2657">
        <f t="shared" si="69"/>
      </c>
      <c r="DH270" s="2657">
        <f t="shared" si="69"/>
      </c>
      <c r="DI270" s="2657">
        <f t="shared" si="69"/>
      </c>
      <c r="DJ270" s="2657">
        <f t="shared" si="69"/>
      </c>
      <c r="DK270" s="2657">
        <f t="shared" si="69"/>
      </c>
      <c r="DL270" s="2657">
        <f t="shared" si="69"/>
      </c>
      <c r="DM270" s="2657">
        <f t="shared" si="69"/>
      </c>
      <c r="DN270" s="2657">
        <f t="shared" si="69"/>
      </c>
      <c r="DO270" s="2657">
        <f t="shared" si="69"/>
      </c>
      <c r="DP270" s="2657">
        <f t="shared" si="69"/>
      </c>
      <c r="DQ270" s="2657">
        <f t="shared" si="69"/>
      </c>
      <c r="DR270" s="2657">
        <f t="shared" si="69"/>
      </c>
      <c r="DS270" s="2657">
        <f t="shared" si="69"/>
      </c>
      <c r="DT270" s="2657">
        <f t="shared" si="69"/>
      </c>
      <c r="DU270" s="2657">
        <f t="shared" si="69"/>
      </c>
      <c r="DV270" s="2657">
        <f t="shared" si="69"/>
      </c>
      <c r="DW270" s="2657">
        <f t="shared" si="69"/>
      </c>
      <c r="DX270" s="2657">
        <f t="shared" si="69"/>
      </c>
      <c r="DY270" s="2657">
        <f t="shared" si="69"/>
      </c>
      <c r="DZ270" s="2657">
        <f t="shared" si="69"/>
      </c>
      <c r="EA270" s="2657">
        <f t="shared" si="69"/>
      </c>
      <c r="EB270" s="2657">
        <f t="shared" si="69"/>
      </c>
      <c r="EC270" s="2657">
        <f t="shared" si="69"/>
      </c>
      <c r="ED270" s="2657">
        <f t="shared" si="69"/>
      </c>
      <c r="EE270" s="2657">
        <f t="shared" si="69"/>
      </c>
      <c r="EF270" s="2657">
        <f t="shared" si="69"/>
      </c>
      <c r="EG270" s="2657">
        <f t="shared" si="69"/>
      </c>
      <c r="EH270" s="2657">
        <f t="shared" si="69"/>
      </c>
      <c r="EI270" s="2657">
        <f t="shared" si="69"/>
      </c>
      <c r="EJ270" s="2657">
        <f t="shared" si="69"/>
      </c>
      <c r="EK270" s="2657">
        <f t="shared" si="69"/>
      </c>
      <c r="EL270" s="2657">
        <f t="shared" ref="EL270:FE270" si="70">EL11</f>
      </c>
      <c r="EM270" s="2657">
        <f t="shared" si="70"/>
      </c>
      <c r="EN270" s="2657">
        <f t="shared" si="70"/>
      </c>
      <c r="EO270" s="2657">
        <f t="shared" si="70"/>
      </c>
      <c r="EP270" s="2657">
        <f t="shared" si="70"/>
      </c>
      <c r="EQ270" s="2657">
        <f t="shared" si="70"/>
      </c>
      <c r="ER270" s="2657">
        <f t="shared" si="70"/>
      </c>
      <c r="ES270" s="2657">
        <f t="shared" si="70"/>
      </c>
      <c r="ET270" s="2657">
        <f t="shared" si="70"/>
      </c>
      <c r="EU270" s="2657">
        <f t="shared" si="70"/>
      </c>
      <c r="EV270" s="2657">
        <f t="shared" si="70"/>
      </c>
      <c r="EW270" s="2657">
        <f t="shared" si="70"/>
      </c>
      <c r="EX270" s="2657">
        <f t="shared" si="70"/>
      </c>
      <c r="EY270" s="2657">
        <f t="shared" si="70"/>
      </c>
      <c r="EZ270" s="2657">
        <f t="shared" si="70"/>
      </c>
      <c r="FA270" s="2657">
        <f t="shared" si="70"/>
      </c>
      <c r="FB270" s="2657">
        <f t="shared" si="70"/>
      </c>
      <c r="FC270" s="2657">
        <f t="shared" si="70"/>
      </c>
      <c r="FD270" s="2657">
        <f t="shared" si="70"/>
      </c>
      <c r="FE270" s="2657">
        <f t="shared" si="70"/>
      </c>
    </row>
    <row r="271" spans="1:161" outlineLevel="2">
      <c r="B271" t="s">
        <v>592</v>
      </c>
      <c r="C271" t="s">
        <v>593</v>
      </c>
      <c r="D271" t="str">
        <f t="shared" si="22"/>
      </c>
      <c r="F271" s="2657">
        <f t="shared" ref="F271:AJ271" si="71">F69</f>
      </c>
      <c r="G271" s="2657">
        <f t="shared" si="71"/>
      </c>
      <c r="H271" s="2657">
        <f t="shared" si="71"/>
      </c>
      <c r="I271" s="2657">
        <f t="shared" si="71"/>
      </c>
      <c r="J271" s="2657">
        <f t="shared" si="71"/>
      </c>
      <c r="K271" s="2657">
        <f t="shared" si="71"/>
      </c>
      <c r="L271" s="2657">
        <f t="shared" si="71"/>
      </c>
      <c r="M271" s="2657">
        <f t="shared" si="71"/>
      </c>
      <c r="N271" s="2657">
        <f t="shared" si="71"/>
      </c>
      <c r="O271" s="2657">
        <f t="shared" si="71"/>
      </c>
      <c r="P271" s="2657">
        <f t="shared" si="71"/>
      </c>
      <c r="Q271" s="2657">
        <f t="shared" si="71"/>
      </c>
      <c r="R271" s="2657">
        <f t="shared" si="71"/>
      </c>
      <c r="S271" s="2657">
        <f t="shared" si="71"/>
      </c>
      <c r="T271" s="2657">
        <f t="shared" si="71"/>
      </c>
      <c r="U271" s="2657">
        <f t="shared" si="71"/>
      </c>
      <c r="V271" s="2657">
        <f t="shared" si="71"/>
      </c>
      <c r="W271" s="2657">
        <f t="shared" si="71"/>
      </c>
      <c r="X271" s="2657">
        <f t="shared" si="71"/>
      </c>
      <c r="Y271" s="2657">
        <f t="shared" si="71"/>
      </c>
      <c r="Z271" s="2657">
        <f t="shared" si="71"/>
      </c>
      <c r="AA271" s="2657">
        <f t="shared" si="71"/>
      </c>
      <c r="AB271" s="2657">
        <f t="shared" si="71"/>
      </c>
      <c r="AC271" s="2657">
        <f t="shared" si="71"/>
      </c>
      <c r="AD271" s="2657">
        <f t="shared" si="71"/>
      </c>
      <c r="AE271" s="2657">
        <f t="shared" si="71"/>
      </c>
      <c r="AF271" s="2657">
        <f t="shared" si="71"/>
      </c>
      <c r="AG271" s="2657">
        <f t="shared" si="71"/>
      </c>
      <c r="AH271" s="2657">
        <f t="shared" si="71"/>
      </c>
      <c r="AI271" s="2657">
        <f t="shared" si="71"/>
      </c>
      <c r="AJ271" s="2657">
        <f t="shared" si="71"/>
      </c>
      <c r="AK271" s="2657"/>
      <c r="AL271" s="2657">
        <f t="shared" ref="AL271:CW271" si="72">AL69</f>
      </c>
      <c r="AM271" s="2657">
        <f t="shared" si="72"/>
      </c>
      <c r="AN271" s="2657">
        <f t="shared" si="72"/>
      </c>
      <c r="AO271" s="2657">
        <f t="shared" si="72"/>
      </c>
      <c r="AP271" s="2657">
        <f t="shared" si="72"/>
      </c>
      <c r="AQ271" s="2657">
        <f t="shared" si="72"/>
      </c>
      <c r="AR271" s="2657">
        <f t="shared" si="72"/>
      </c>
      <c r="AS271" s="2657">
        <f t="shared" si="72"/>
      </c>
      <c r="AT271" s="2657">
        <f t="shared" si="72"/>
      </c>
      <c r="AU271" s="2657">
        <f t="shared" si="72"/>
      </c>
      <c r="AV271" s="2657">
        <f t="shared" si="72"/>
      </c>
      <c r="AW271" s="2657">
        <f t="shared" si="72"/>
      </c>
      <c r="AX271" s="2657">
        <f t="shared" si="72"/>
      </c>
      <c r="AY271" s="2657">
        <f t="shared" si="72"/>
      </c>
      <c r="AZ271" s="2657">
        <f t="shared" si="72"/>
      </c>
      <c r="BA271" s="2657">
        <f t="shared" si="72"/>
      </c>
      <c r="BB271" s="2657">
        <f t="shared" si="72"/>
      </c>
      <c r="BC271" s="2657">
        <f t="shared" si="72"/>
      </c>
      <c r="BD271" s="2657">
        <f t="shared" si="72"/>
      </c>
      <c r="BE271" s="2657">
        <f t="shared" si="72"/>
      </c>
      <c r="BF271" s="2657">
        <f t="shared" si="72"/>
      </c>
      <c r="BG271" s="2657">
        <f t="shared" si="72"/>
      </c>
      <c r="BH271" s="2657">
        <f t="shared" si="72"/>
      </c>
      <c r="BI271" s="2657">
        <f t="shared" si="72"/>
      </c>
      <c r="BJ271" s="2657">
        <f t="shared" si="72"/>
      </c>
      <c r="BK271" s="2657">
        <f t="shared" si="72"/>
      </c>
      <c r="BL271" s="2657">
        <f t="shared" si="72"/>
      </c>
      <c r="BM271" s="2657">
        <f t="shared" si="72"/>
      </c>
      <c r="BN271" s="2657">
        <f t="shared" si="72"/>
      </c>
      <c r="BO271" s="2657">
        <f t="shared" si="72"/>
      </c>
      <c r="BP271" s="2657">
        <f t="shared" si="72"/>
      </c>
      <c r="BQ271" s="2657">
        <f t="shared" si="72"/>
      </c>
      <c r="BR271" s="2657">
        <f t="shared" si="72"/>
      </c>
      <c r="BS271" s="2657">
        <f t="shared" si="72"/>
      </c>
      <c r="BT271" s="2657">
        <f t="shared" si="72"/>
      </c>
      <c r="BU271" s="2657">
        <f t="shared" si="72"/>
      </c>
      <c r="BV271" s="2657">
        <f t="shared" si="72"/>
      </c>
      <c r="BW271" s="2657">
        <f t="shared" si="72"/>
      </c>
      <c r="BX271" s="2657">
        <f t="shared" si="72"/>
      </c>
      <c r="BY271" s="2657">
        <f t="shared" si="72"/>
      </c>
      <c r="BZ271" s="2657">
        <f t="shared" si="72"/>
      </c>
      <c r="CA271" s="2657">
        <f t="shared" si="72"/>
      </c>
      <c r="CB271" s="2657">
        <f t="shared" si="72"/>
      </c>
      <c r="CC271" s="2657">
        <f t="shared" si="72"/>
      </c>
      <c r="CD271" s="2657">
        <f t="shared" si="72"/>
      </c>
      <c r="CE271" s="2657">
        <f t="shared" si="72"/>
      </c>
      <c r="CF271" s="2657">
        <f t="shared" si="72"/>
      </c>
      <c r="CG271" s="2657">
        <f t="shared" si="72"/>
      </c>
      <c r="CH271" s="2657">
        <f t="shared" si="72"/>
      </c>
      <c r="CI271" s="2657">
        <f t="shared" si="72"/>
      </c>
      <c r="CJ271" s="2657">
        <f t="shared" si="72"/>
      </c>
      <c r="CK271" s="2657">
        <f t="shared" si="72"/>
      </c>
      <c r="CL271" s="2657">
        <f t="shared" si="72"/>
      </c>
      <c r="CM271" s="2657">
        <f t="shared" si="72"/>
      </c>
      <c r="CN271" s="2657">
        <f t="shared" si="72"/>
      </c>
      <c r="CO271" s="2657">
        <f t="shared" si="72"/>
      </c>
      <c r="CP271" s="2657">
        <f t="shared" si="72"/>
      </c>
      <c r="CQ271" s="2657">
        <f t="shared" si="72"/>
      </c>
      <c r="CR271" s="2657">
        <f t="shared" si="72"/>
      </c>
      <c r="CS271" s="2657">
        <f t="shared" si="72"/>
      </c>
      <c r="CT271" s="2657">
        <f t="shared" si="72"/>
      </c>
      <c r="CU271" s="2657">
        <f t="shared" si="72"/>
      </c>
      <c r="CV271" s="2657">
        <f t="shared" si="72"/>
      </c>
      <c r="CW271" s="2657">
        <f t="shared" si="72"/>
      </c>
      <c r="CX271" s="2657">
        <f t="shared" ref="CX271:EK271" si="73">CX69</f>
      </c>
      <c r="CY271" s="2657">
        <f t="shared" si="73"/>
      </c>
      <c r="CZ271" s="2657">
        <f t="shared" si="73"/>
      </c>
      <c r="DA271" s="2657">
        <f t="shared" si="73"/>
      </c>
      <c r="DB271" s="2657">
        <f t="shared" si="73"/>
      </c>
      <c r="DC271" s="2657">
        <f t="shared" si="73"/>
      </c>
      <c r="DD271" s="2657">
        <f t="shared" si="73"/>
      </c>
      <c r="DE271" s="2657">
        <f t="shared" si="73"/>
      </c>
      <c r="DF271" s="2657">
        <f t="shared" si="73"/>
      </c>
      <c r="DG271" s="2657">
        <f t="shared" si="73"/>
      </c>
      <c r="DH271" s="2657">
        <f t="shared" si="73"/>
      </c>
      <c r="DI271" s="2657">
        <f t="shared" si="73"/>
      </c>
      <c r="DJ271" s="2657">
        <f t="shared" si="73"/>
      </c>
      <c r="DK271" s="2657">
        <f t="shared" si="73"/>
      </c>
      <c r="DL271" s="2657">
        <f t="shared" si="73"/>
      </c>
      <c r="DM271" s="2657">
        <f t="shared" si="73"/>
      </c>
      <c r="DN271" s="2657">
        <f t="shared" si="73"/>
      </c>
      <c r="DO271" s="2657">
        <f t="shared" si="73"/>
      </c>
      <c r="DP271" s="2657">
        <f t="shared" si="73"/>
      </c>
      <c r="DQ271" s="2657">
        <f t="shared" si="73"/>
      </c>
      <c r="DR271" s="2657">
        <f t="shared" si="73"/>
      </c>
      <c r="DS271" s="2657">
        <f t="shared" si="73"/>
      </c>
      <c r="DT271" s="2657">
        <f t="shared" si="73"/>
      </c>
      <c r="DU271" s="2657">
        <f t="shared" si="73"/>
      </c>
      <c r="DV271" s="2657">
        <f t="shared" si="73"/>
      </c>
      <c r="DW271" s="2657">
        <f t="shared" si="73"/>
      </c>
      <c r="DX271" s="2657">
        <f t="shared" si="73"/>
      </c>
      <c r="DY271" s="2657">
        <f t="shared" si="73"/>
      </c>
      <c r="DZ271" s="2657">
        <f t="shared" si="73"/>
      </c>
      <c r="EA271" s="2657">
        <f t="shared" si="73"/>
      </c>
      <c r="EB271" s="2657">
        <f t="shared" si="73"/>
      </c>
      <c r="EC271" s="2657">
        <f t="shared" si="73"/>
      </c>
      <c r="ED271" s="2657">
        <f t="shared" si="73"/>
      </c>
      <c r="EE271" s="2657">
        <f t="shared" si="73"/>
      </c>
      <c r="EF271" s="2657">
        <f t="shared" si="73"/>
      </c>
      <c r="EG271" s="2657">
        <f t="shared" si="73"/>
      </c>
      <c r="EH271" s="2657">
        <f t="shared" si="73"/>
      </c>
      <c r="EI271" s="2657">
        <f t="shared" si="73"/>
      </c>
      <c r="EJ271" s="2657">
        <f t="shared" si="73"/>
      </c>
      <c r="EK271" s="2657">
        <f t="shared" si="73"/>
      </c>
      <c r="EL271" s="2657">
        <f t="shared" ref="EL271:FE271" si="74">EL69</f>
      </c>
      <c r="EM271" s="2657">
        <f t="shared" si="74"/>
      </c>
      <c r="EN271" s="2657">
        <f t="shared" si="74"/>
      </c>
      <c r="EO271" s="2657">
        <f t="shared" si="74"/>
      </c>
      <c r="EP271" s="2657">
        <f t="shared" si="74"/>
      </c>
      <c r="EQ271" s="2657">
        <f t="shared" si="74"/>
      </c>
      <c r="ER271" s="2657">
        <f t="shared" si="74"/>
      </c>
      <c r="ES271" s="2657">
        <f t="shared" si="74"/>
      </c>
      <c r="ET271" s="2657">
        <f t="shared" si="74"/>
      </c>
      <c r="EU271" s="2657">
        <f t="shared" si="74"/>
      </c>
      <c r="EV271" s="2657">
        <f t="shared" si="74"/>
      </c>
      <c r="EW271" s="2657">
        <f t="shared" si="74"/>
      </c>
      <c r="EX271" s="2657">
        <f t="shared" si="74"/>
      </c>
      <c r="EY271" s="2657">
        <f t="shared" si="74"/>
      </c>
      <c r="EZ271" s="2657">
        <f t="shared" si="74"/>
      </c>
      <c r="FA271" s="2657">
        <f t="shared" si="74"/>
      </c>
      <c r="FB271" s="2657">
        <f t="shared" si="74"/>
      </c>
      <c r="FC271" s="2657">
        <f t="shared" si="74"/>
      </c>
      <c r="FD271" s="2657">
        <f t="shared" si="74"/>
      </c>
      <c r="FE271" s="2657">
        <f t="shared" si="74"/>
      </c>
    </row>
    <row r="272" spans="1:161" s="539" customFormat="1" outlineLevel="1">
      <c r="A272" s="540" t="s">
        <v>242</v>
      </c>
      <c r="B272" s="540"/>
      <c r="C272" s="540"/>
      <c r="D272" s="540"/>
    </row>
    <row r="273" spans="2:161" outlineLevel="2">
      <c r="B273" t="s">
        <v>594</v>
      </c>
      <c r="C273" t="s">
        <v>595</v>
      </c>
      <c r="D273" t="str">
        <f t="shared" ref="D273:D285" si="75">E_CURRENCY_EQTY_200000801_REP</f>
      </c>
      <c r="F273" s="2657">
        <f>-'Income Statement'!EQ24</f>
      </c>
      <c r="G273" s="2657">
        <f>-'Income Statement'!ER24</f>
      </c>
      <c r="H273" s="2657">
        <f>-'Income Statement'!ES24</f>
      </c>
      <c r="I273" s="2657">
        <f>-'Income Statement'!ET24</f>
      </c>
      <c r="J273" s="2657">
        <f>-'Income Statement'!EU24</f>
      </c>
      <c r="K273" s="2657">
        <f>-'Income Statement'!EV24</f>
      </c>
      <c r="L273" s="2657">
        <f>-'Income Statement'!EW24</f>
      </c>
      <c r="M273" s="2657">
        <f>-'Income Statement'!EX24</f>
      </c>
      <c r="N273" s="2657">
        <f>-'Income Statement'!EY24</f>
      </c>
      <c r="O273" s="2657">
        <f>-'Income Statement'!EZ24</f>
      </c>
      <c r="P273" s="2657">
        <f>-'Income Statement'!FA24</f>
      </c>
      <c r="Q273" s="2657">
        <f>-'Income Statement'!FB24</f>
      </c>
      <c r="R273" s="2657">
        <f>-'Income Statement'!FC24</f>
      </c>
      <c r="S273" s="2657">
        <f>-'Income Statement'!FD24</f>
      </c>
      <c r="T273" s="2657">
        <f>-'Income Statement'!FE24</f>
      </c>
      <c r="U273" s="2657">
        <f>-'Income Statement'!FF24</f>
      </c>
      <c r="V273" s="2657">
        <f>-'Income Statement'!FG24</f>
      </c>
      <c r="W273" s="2657">
        <f>-'Income Statement'!FH24</f>
      </c>
      <c r="X273" s="2657">
        <f>-'Income Statement'!FI24</f>
      </c>
      <c r="Y273" s="2657">
        <f>-'Income Statement'!FJ24</f>
      </c>
      <c r="Z273" s="2657">
        <f>-'Income Statement'!FK24</f>
      </c>
      <c r="AA273" s="2657">
        <f>-'Income Statement'!FL24</f>
      </c>
      <c r="AB273" s="2657">
        <f>-'Income Statement'!FM24</f>
      </c>
      <c r="AC273" s="2657">
        <f>-'Income Statement'!FN24</f>
      </c>
      <c r="AD273" s="2657">
        <f>-'Income Statement'!FO24</f>
      </c>
      <c r="AE273" s="2657">
        <f>-'Income Statement'!FP24</f>
      </c>
      <c r="AF273" s="2657">
        <f>-'Income Statement'!FQ24</f>
      </c>
      <c r="AG273" s="2657">
        <f>-'Income Statement'!FR24</f>
      </c>
      <c r="AH273" s="2657">
        <f>-'Income Statement'!FS24</f>
      </c>
      <c r="AI273" s="2657">
        <f>-'Income Statement'!FT24</f>
      </c>
      <c r="AJ273" s="2657">
        <f>-'Income Statement'!FU24</f>
      </c>
      <c r="AK273" s="2657"/>
      <c r="AL273" s="2657">
        <f>-'Income Statement'!R24</f>
      </c>
      <c r="AM273" s="2657">
        <f>-'Income Statement'!S24</f>
      </c>
      <c r="AN273" s="2657">
        <f>-'Income Statement'!T24</f>
      </c>
      <c r="AO273" s="2657">
        <f>-'Income Statement'!U24</f>
      </c>
      <c r="AP273" s="2657">
        <f>-'Income Statement'!V24</f>
      </c>
      <c r="AQ273" s="2657">
        <f>-'Income Statement'!W24</f>
      </c>
      <c r="AR273" s="2657">
        <f>-'Income Statement'!X24</f>
      </c>
      <c r="AS273" s="2657">
        <f>-'Income Statement'!Y24</f>
      </c>
      <c r="AT273" s="2657">
        <f>-'Income Statement'!Z24</f>
      </c>
      <c r="AU273" s="2657">
        <f>-'Income Statement'!AA24</f>
      </c>
      <c r="AV273" s="2657">
        <f>-'Income Statement'!AB24</f>
      </c>
      <c r="AW273" s="2657">
        <f>-'Income Statement'!AC24</f>
      </c>
      <c r="AX273" s="2657">
        <f>-'Income Statement'!AD24</f>
      </c>
      <c r="AY273" s="2657">
        <f>-'Income Statement'!AE24</f>
      </c>
      <c r="AZ273" s="2657">
        <f>-'Income Statement'!AF24</f>
      </c>
      <c r="BA273" s="2657">
        <f>-'Income Statement'!AG24</f>
      </c>
      <c r="BB273" s="2657">
        <f>-'Income Statement'!AH24</f>
      </c>
      <c r="BC273" s="2657">
        <f>-'Income Statement'!AI24</f>
      </c>
      <c r="BD273" s="2657">
        <f>-'Income Statement'!AJ24</f>
      </c>
      <c r="BE273" s="2657">
        <f>-'Income Statement'!AK24</f>
      </c>
      <c r="BF273" s="2657">
        <f>-'Income Statement'!AL24</f>
      </c>
      <c r="BG273" s="2657">
        <f>-'Income Statement'!AM24</f>
      </c>
      <c r="BH273" s="2657">
        <f>-'Income Statement'!AN24</f>
      </c>
      <c r="BI273" s="2657">
        <f>-'Income Statement'!AO24</f>
      </c>
      <c r="BJ273" s="2657">
        <f>-'Income Statement'!AP24</f>
      </c>
      <c r="BK273" s="2657">
        <f>-'Income Statement'!AQ24</f>
      </c>
      <c r="BL273" s="2657">
        <f>-'Income Statement'!AR24</f>
      </c>
      <c r="BM273" s="2657">
        <f>-'Income Statement'!AS24</f>
      </c>
      <c r="BN273" s="2657">
        <f>-'Income Statement'!AT24</f>
      </c>
      <c r="BO273" s="2657">
        <f>-'Income Statement'!AU24</f>
      </c>
      <c r="BP273" s="2657">
        <f>-'Income Statement'!AV24</f>
      </c>
      <c r="BQ273" s="2657">
        <f>-'Income Statement'!AW24</f>
      </c>
      <c r="BR273" s="2657">
        <f>-'Income Statement'!AX24</f>
      </c>
      <c r="BS273" s="2657">
        <f>-'Income Statement'!AY24</f>
      </c>
      <c r="BT273" s="2657">
        <f>-'Income Statement'!AZ24</f>
      </c>
      <c r="BU273" s="2657">
        <f>-'Income Statement'!BA24</f>
      </c>
      <c r="BV273" s="2657">
        <f>-'Income Statement'!BB24</f>
      </c>
      <c r="BW273" s="2657">
        <f>-'Income Statement'!BC24</f>
      </c>
      <c r="BX273" s="2657">
        <f>-'Income Statement'!BD24</f>
      </c>
      <c r="BY273" s="2657">
        <f>-'Income Statement'!BE24</f>
      </c>
      <c r="BZ273" s="2657">
        <f>-'Income Statement'!BF24</f>
      </c>
      <c r="CA273" s="2657">
        <f>-'Income Statement'!BG24</f>
      </c>
      <c r="CB273" s="2657">
        <f>-'Income Statement'!BH24</f>
      </c>
      <c r="CC273" s="2657">
        <f>-'Income Statement'!BI24</f>
      </c>
      <c r="CD273" s="2657">
        <f>-'Income Statement'!BJ24</f>
      </c>
      <c r="CE273" s="2657">
        <f>-'Income Statement'!BK24</f>
      </c>
      <c r="CF273" s="2657">
        <f>-'Income Statement'!BL24</f>
      </c>
      <c r="CG273" s="2657">
        <f>-'Income Statement'!BM24</f>
      </c>
      <c r="CH273" s="2657">
        <f>-'Income Statement'!BN24</f>
      </c>
      <c r="CI273" s="2657">
        <f>-'Income Statement'!BO24</f>
      </c>
      <c r="CJ273" s="2657">
        <f>-'Income Statement'!BP24</f>
      </c>
      <c r="CK273" s="2657">
        <f>-'Income Statement'!BQ24</f>
      </c>
      <c r="CL273" s="2657">
        <f>-'Income Statement'!BR24</f>
      </c>
      <c r="CM273" s="2657">
        <f>-'Income Statement'!BS24</f>
      </c>
      <c r="CN273" s="2657">
        <f>-'Income Statement'!BT24</f>
      </c>
      <c r="CO273" s="2657">
        <f>-'Income Statement'!BU24</f>
      </c>
      <c r="CP273" s="2657">
        <f>-'Income Statement'!BV24</f>
      </c>
      <c r="CQ273" s="2657">
        <f>-'Income Statement'!BW24</f>
      </c>
      <c r="CR273" s="2657">
        <f>-'Income Statement'!BX24</f>
      </c>
      <c r="CS273" s="2657">
        <f>-'Income Statement'!BY24</f>
      </c>
      <c r="CT273" s="2657">
        <f>-'Income Statement'!BZ24</f>
      </c>
      <c r="CU273" s="2657">
        <f>-'Income Statement'!CA24</f>
      </c>
      <c r="CV273" s="2657">
        <f>-'Income Statement'!CB24</f>
      </c>
      <c r="CW273" s="2657">
        <f>-'Income Statement'!CC24</f>
      </c>
      <c r="CX273" s="2657">
        <f>-'Income Statement'!CD24</f>
      </c>
      <c r="CY273" s="2657">
        <f>-'Income Statement'!CE24</f>
      </c>
      <c r="CZ273" s="2657">
        <f>-'Income Statement'!CF24</f>
      </c>
      <c r="DA273" s="2657">
        <f>-'Income Statement'!CG24</f>
      </c>
      <c r="DB273" s="2657">
        <f>-'Income Statement'!CH24</f>
      </c>
      <c r="DC273" s="2657">
        <f>-'Income Statement'!CI24</f>
      </c>
      <c r="DD273" s="2657">
        <f>-'Income Statement'!CJ24</f>
      </c>
      <c r="DE273" s="2657">
        <f>-'Income Statement'!CK24</f>
      </c>
      <c r="DF273" s="2657">
        <f>-'Income Statement'!CL24</f>
      </c>
      <c r="DG273" s="2657">
        <f>-'Income Statement'!CM24</f>
      </c>
      <c r="DH273" s="2657">
        <f>-'Income Statement'!CN24</f>
      </c>
      <c r="DI273" s="2657">
        <f>-'Income Statement'!CO24</f>
      </c>
      <c r="DJ273" s="2657">
        <f>-'Income Statement'!CP24</f>
      </c>
      <c r="DK273" s="2657">
        <f>-'Income Statement'!CQ24</f>
      </c>
      <c r="DL273" s="2657">
        <f>-'Income Statement'!CR24</f>
      </c>
      <c r="DM273" s="2657">
        <f>-'Income Statement'!CS24</f>
      </c>
      <c r="DN273" s="2657">
        <f>-'Income Statement'!CT24</f>
      </c>
      <c r="DO273" s="2657">
        <f>-'Income Statement'!CU24</f>
      </c>
      <c r="DP273" s="2657">
        <f>-'Income Statement'!CV24</f>
      </c>
      <c r="DQ273" s="2657">
        <f>-'Income Statement'!CW24</f>
      </c>
      <c r="DR273" s="2657">
        <f>-'Income Statement'!CX24</f>
      </c>
      <c r="DS273" s="2657">
        <f>-'Income Statement'!CY24</f>
      </c>
      <c r="DT273" s="2657">
        <f>-'Income Statement'!CZ24</f>
      </c>
      <c r="DU273" s="2657">
        <f>-'Income Statement'!DA24</f>
      </c>
      <c r="DV273" s="2657">
        <f>-'Income Statement'!DB24</f>
      </c>
      <c r="DW273" s="2657">
        <f>-'Income Statement'!DC24</f>
      </c>
      <c r="DX273" s="2657">
        <f>-'Income Statement'!DD24</f>
      </c>
      <c r="DY273" s="2657">
        <f>-'Income Statement'!DE24</f>
      </c>
      <c r="DZ273" s="2657">
        <f>-'Income Statement'!DF24</f>
      </c>
      <c r="EA273" s="2657">
        <f>-'Income Statement'!DG24</f>
      </c>
      <c r="EB273" s="2657">
        <f>-'Income Statement'!DH24</f>
      </c>
      <c r="EC273" s="2657">
        <f>-'Income Statement'!DI24</f>
      </c>
      <c r="ED273" s="2657">
        <f>-'Income Statement'!DJ24</f>
      </c>
      <c r="EE273" s="2657">
        <f>-'Income Statement'!DK24</f>
      </c>
      <c r="EF273" s="2657">
        <f>-'Income Statement'!DL24</f>
      </c>
      <c r="EG273" s="2657">
        <f>-'Income Statement'!DM24</f>
      </c>
      <c r="EH273" s="2657">
        <f>-'Income Statement'!DN24</f>
      </c>
      <c r="EI273" s="2657">
        <f>-'Income Statement'!DO24</f>
      </c>
      <c r="EJ273" s="2657">
        <f>-'Income Statement'!DP24</f>
      </c>
      <c r="EK273" s="2657">
        <f>-'Income Statement'!DQ24</f>
      </c>
      <c r="EL273" s="2657">
        <f>-'Income Statement'!DR24</f>
      </c>
      <c r="EM273" s="2657">
        <f>-'Income Statement'!DS24</f>
      </c>
      <c r="EN273" s="2657">
        <f>-'Income Statement'!DT24</f>
      </c>
      <c r="EO273" s="2657">
        <f>-'Income Statement'!DU24</f>
      </c>
      <c r="EP273" s="2657">
        <f>-'Income Statement'!DV24</f>
      </c>
      <c r="EQ273" s="2657">
        <f>-'Income Statement'!DW24</f>
      </c>
      <c r="ER273" s="2657">
        <f>-'Income Statement'!DX24</f>
      </c>
      <c r="ES273" s="2657">
        <f>-'Income Statement'!DY24</f>
      </c>
      <c r="ET273" s="2657">
        <f>-'Income Statement'!DZ24</f>
      </c>
      <c r="EU273" s="2657">
        <f>-'Income Statement'!EA24</f>
      </c>
      <c r="EV273" s="2657">
        <f>-'Income Statement'!EB24</f>
      </c>
      <c r="EW273" s="2657">
        <f>-'Income Statement'!EC24</f>
      </c>
      <c r="EX273" s="2657">
        <f>-'Income Statement'!ED24</f>
      </c>
      <c r="EY273" s="2657">
        <f>-'Income Statement'!EE24</f>
      </c>
      <c r="EZ273" s="2657">
        <f>-'Income Statement'!EF24</f>
      </c>
      <c r="FA273" s="2657">
        <f>-'Income Statement'!EG24</f>
      </c>
      <c r="FB273" s="2657">
        <f>-'Income Statement'!EH24</f>
      </c>
      <c r="FC273" s="2657">
        <f>-'Income Statement'!EI24</f>
      </c>
      <c r="FD273" s="2657">
        <f>-'Income Statement'!EJ24</f>
      </c>
      <c r="FE273" s="2657">
        <f>-'Income Statement'!EK24</f>
      </c>
    </row>
    <row r="274" spans="2:161" outlineLevel="2">
      <c r="B274" t="s">
        <v>336</v>
      </c>
      <c r="C274" t="s">
        <v>596</v>
      </c>
      <c r="D274" t="str">
        <f t="shared" si="75"/>
      </c>
      <c r="F274" s="2657">
        <v>0</v>
      </c>
      <c r="G274" s="2657">
        <v>0</v>
      </c>
      <c r="H274" s="2657">
        <v>0</v>
      </c>
      <c r="I274" s="2657">
        <v>0</v>
      </c>
      <c r="J274" s="2657">
        <v>0</v>
      </c>
      <c r="K274" s="2657">
        <v>0</v>
      </c>
      <c r="L274" s="2657">
        <v>0</v>
      </c>
      <c r="M274" s="2657">
        <v>0</v>
      </c>
      <c r="N274" s="2657">
        <v>0</v>
      </c>
      <c r="O274" s="2657">
        <v>0</v>
      </c>
      <c r="P274" s="2657"/>
      <c r="Q274" s="2657"/>
      <c r="R274" s="2657"/>
      <c r="S274" s="2657"/>
      <c r="T274" s="2657"/>
      <c r="U274" s="2657"/>
      <c r="V274" s="2657"/>
      <c r="W274" s="2657"/>
      <c r="X274" s="2657"/>
      <c r="Y274" s="2657"/>
      <c r="Z274" s="2657"/>
      <c r="AA274" s="2657"/>
      <c r="AB274" s="2657"/>
      <c r="AC274" s="2657"/>
      <c r="AD274" s="2657"/>
      <c r="AE274" s="2657"/>
      <c r="AF274" s="2657"/>
      <c r="AG274" s="2657"/>
      <c r="AH274" s="2657"/>
      <c r="AI274" s="2657"/>
      <c r="AJ274" s="2657"/>
      <c r="AK274" s="2657"/>
      <c r="AL274" s="2657"/>
      <c r="AM274" s="2657"/>
      <c r="AN274" s="2657"/>
      <c r="AO274" s="2657"/>
      <c r="AP274" s="2657"/>
      <c r="AQ274" s="2657"/>
      <c r="AR274" s="2657"/>
      <c r="AS274" s="2657"/>
      <c r="AT274" s="2657"/>
      <c r="AU274" s="2657"/>
      <c r="AV274" s="2657"/>
      <c r="AW274" s="2657"/>
      <c r="AX274" s="2657">
        <v>0</v>
      </c>
      <c r="AY274" s="2657">
        <v>0</v>
      </c>
      <c r="AZ274" s="2657">
        <v>0</v>
      </c>
      <c r="BA274" s="2657">
        <v>0</v>
      </c>
      <c r="BB274" s="2657">
        <v>0</v>
      </c>
      <c r="BC274" s="2657">
        <v>0</v>
      </c>
      <c r="BD274" s="2657">
        <v>0</v>
      </c>
      <c r="BE274" s="2657">
        <v>0</v>
      </c>
      <c r="BF274" s="2657">
        <v>0</v>
      </c>
      <c r="BG274" s="2657">
        <v>0</v>
      </c>
      <c r="BH274" s="2657">
        <v>0</v>
      </c>
      <c r="BI274" s="2657">
        <v>0</v>
      </c>
      <c r="BJ274" s="2657">
        <v>0</v>
      </c>
      <c r="BK274" s="2657">
        <v>0</v>
      </c>
      <c r="BL274" s="2657">
        <v>0</v>
      </c>
      <c r="BM274" s="2657">
        <v>0</v>
      </c>
      <c r="BN274" s="2657">
        <v>0</v>
      </c>
      <c r="BO274" s="2657">
        <v>0</v>
      </c>
      <c r="BP274" s="2657">
        <v>0</v>
      </c>
      <c r="BQ274" s="2657">
        <v>0</v>
      </c>
      <c r="BR274" s="2657">
        <v>0</v>
      </c>
      <c r="BS274" s="2657">
        <v>0</v>
      </c>
      <c r="BT274" s="2657">
        <v>0</v>
      </c>
      <c r="BU274" s="2657">
        <v>0</v>
      </c>
      <c r="BV274" s="2657">
        <v>0</v>
      </c>
      <c r="BW274" s="2657"/>
      <c r="BX274" s="2657"/>
      <c r="BY274" s="2657"/>
      <c r="BZ274" s="2657"/>
      <c r="CA274" s="2657"/>
      <c r="CB274" s="2657"/>
      <c r="CC274" s="2657"/>
      <c r="CD274" s="2657"/>
      <c r="CE274" s="2657"/>
      <c r="CF274" s="2657"/>
      <c r="CG274" s="2657"/>
      <c r="CH274" s="2657"/>
      <c r="CI274" s="2657"/>
      <c r="CJ274" s="2657"/>
      <c r="CK274" s="2657"/>
      <c r="CL274" s="2657"/>
      <c r="CM274" s="2657"/>
      <c r="CN274" s="2657"/>
      <c r="CO274" s="2657"/>
      <c r="CP274" s="2657"/>
      <c r="CQ274" s="2657"/>
      <c r="CR274" s="2657"/>
      <c r="CS274" s="2657"/>
      <c r="CT274" s="2657"/>
      <c r="CU274" s="2657"/>
      <c r="CV274" s="2657"/>
      <c r="CW274" s="2657"/>
      <c r="CX274" s="2657"/>
      <c r="CY274" s="2657"/>
      <c r="CZ274" s="2657"/>
      <c r="DA274" s="2657"/>
      <c r="DB274" s="2657"/>
      <c r="DC274" s="2657"/>
      <c r="DD274" s="2657"/>
      <c r="DE274" s="2657"/>
      <c r="DF274" s="2657"/>
      <c r="DG274" s="2657"/>
      <c r="DH274" s="2657"/>
      <c r="DI274" s="2657"/>
      <c r="DJ274" s="2657"/>
      <c r="DK274" s="2657"/>
      <c r="DL274" s="2657"/>
      <c r="DM274" s="2657"/>
      <c r="DN274" s="2657"/>
      <c r="DO274" s="2657"/>
      <c r="DP274" s="2657"/>
      <c r="DQ274" s="2657"/>
      <c r="DR274" s="2657"/>
      <c r="DS274" s="2657"/>
      <c r="DT274" s="2657"/>
      <c r="DU274" s="2657"/>
      <c r="DV274" s="2657"/>
      <c r="DW274" s="2657"/>
      <c r="DX274" s="2657"/>
      <c r="DY274" s="2657"/>
      <c r="DZ274" s="2657"/>
      <c r="EA274" s="2657"/>
      <c r="EB274" s="2657"/>
      <c r="EC274" s="2657"/>
      <c r="ED274" s="2657"/>
      <c r="EE274" s="2657"/>
      <c r="EF274" s="2657"/>
      <c r="EG274" s="2657"/>
      <c r="EH274" s="2657"/>
      <c r="EI274" s="2657"/>
      <c r="EJ274" s="2657"/>
      <c r="EK274" s="2657"/>
      <c r="EL274" s="2657"/>
      <c r="EM274" s="2657"/>
      <c r="EN274" s="2657"/>
      <c r="EO274" s="2657"/>
      <c r="EP274" s="2657"/>
      <c r="EQ274" s="2657"/>
      <c r="ER274" s="2657"/>
      <c r="ES274" s="2657"/>
      <c r="ET274" s="2657"/>
      <c r="EU274" s="2657"/>
      <c r="EV274" s="2657"/>
      <c r="EW274" s="2657"/>
      <c r="EX274" s="2657"/>
      <c r="EY274" s="2657"/>
      <c r="EZ274" s="2657"/>
      <c r="FA274" s="2657"/>
      <c r="FB274" s="2657"/>
      <c r="FC274" s="2657"/>
      <c r="FD274" s="2657"/>
      <c r="FE274" s="2657"/>
    </row>
    <row r="275" spans="2:161" outlineLevel="2">
      <c r="B275" t="s">
        <v>597</v>
      </c>
      <c r="C275" t="s">
        <v>598</v>
      </c>
      <c r="D275" t="str">
        <f t="shared" si="75"/>
      </c>
      <c r="F275" s="2657">
        <f>'Income Statement'!EQ26</f>
      </c>
      <c r="G275" s="2657">
        <f>'Income Statement'!ER26</f>
      </c>
      <c r="H275" s="2657">
        <f>'Income Statement'!ES26</f>
      </c>
      <c r="I275" s="2657">
        <f>'Income Statement'!ET26</f>
      </c>
      <c r="J275" s="2657">
        <f>'Income Statement'!EU26</f>
      </c>
      <c r="K275" s="2657">
        <f>'Income Statement'!EV26</f>
      </c>
      <c r="L275" s="2657">
        <f>'Income Statement'!EW26</f>
      </c>
      <c r="M275" s="2657">
        <f>'Income Statement'!EX26</f>
      </c>
      <c r="N275" s="2657">
        <f>'Income Statement'!EY26</f>
      </c>
      <c r="O275" s="2657">
        <f>'Income Statement'!EZ26</f>
      </c>
      <c r="P275" s="2657">
        <f>'Income Statement'!FA26</f>
      </c>
      <c r="Q275" s="2657">
        <f>'Income Statement'!FB26</f>
      </c>
      <c r="R275" s="2657">
        <f>'Income Statement'!FC26</f>
      </c>
      <c r="S275" s="2657">
        <f>'Income Statement'!FD26</f>
      </c>
      <c r="T275" s="2657">
        <f>'Income Statement'!FE26</f>
      </c>
      <c r="U275" s="2657">
        <f>'Income Statement'!FF26</f>
      </c>
      <c r="V275" s="2657">
        <f>'Income Statement'!FG26</f>
      </c>
      <c r="W275" s="2657">
        <f>'Income Statement'!FH26</f>
      </c>
      <c r="X275" s="2657">
        <f>'Income Statement'!FI26</f>
      </c>
      <c r="Y275" s="2657">
        <f>'Income Statement'!FJ26</f>
      </c>
      <c r="Z275" s="2657">
        <f>'Income Statement'!FK26</f>
      </c>
      <c r="AA275" s="2657">
        <f>'Income Statement'!FL26</f>
      </c>
      <c r="AB275" s="2657">
        <f>'Income Statement'!FM26</f>
      </c>
      <c r="AC275" s="2657">
        <f>'Income Statement'!FN26</f>
      </c>
      <c r="AD275" s="2657">
        <f>'Income Statement'!FO26</f>
      </c>
      <c r="AE275" s="2657">
        <f>'Income Statement'!FP26</f>
      </c>
      <c r="AF275" s="2657">
        <f>'Income Statement'!FQ26</f>
      </c>
      <c r="AG275" s="2657">
        <f>'Income Statement'!FR26</f>
      </c>
      <c r="AH275" s="2657">
        <f>'Income Statement'!FS26</f>
      </c>
      <c r="AI275" s="2657">
        <f>'Income Statement'!FT26</f>
      </c>
      <c r="AJ275" s="2657">
        <f>'Income Statement'!FU26</f>
      </c>
      <c r="AK275" s="2657"/>
      <c r="AL275" s="2657">
        <f>'Income Statement'!R26</f>
      </c>
      <c r="AM275" s="2657">
        <f>'Income Statement'!S26</f>
      </c>
      <c r="AN275" s="2657">
        <f>'Income Statement'!T26</f>
      </c>
      <c r="AO275" s="2657">
        <f>'Income Statement'!U26</f>
      </c>
      <c r="AP275" s="2657">
        <f>'Income Statement'!V26</f>
      </c>
      <c r="AQ275" s="2657">
        <f>'Income Statement'!W26</f>
      </c>
      <c r="AR275" s="2657">
        <f>'Income Statement'!X26</f>
      </c>
      <c r="AS275" s="2657">
        <f>'Income Statement'!Y26</f>
      </c>
      <c r="AT275" s="2657">
        <f>'Income Statement'!Z26</f>
      </c>
      <c r="AU275" s="2657">
        <f>'Income Statement'!AA26</f>
      </c>
      <c r="AV275" s="2657">
        <f>'Income Statement'!AB26</f>
      </c>
      <c r="AW275" s="2657">
        <f>'Income Statement'!AC26</f>
      </c>
      <c r="AX275" s="2657">
        <f>'Income Statement'!AD26</f>
      </c>
      <c r="AY275" s="2657">
        <f>'Income Statement'!AE26</f>
      </c>
      <c r="AZ275" s="2657">
        <f>'Income Statement'!AF26</f>
      </c>
      <c r="BA275" s="2657">
        <f>'Income Statement'!AG26</f>
      </c>
      <c r="BB275" s="2657">
        <f>'Income Statement'!AH26</f>
      </c>
      <c r="BC275" s="2657">
        <f>'Income Statement'!AI26</f>
      </c>
      <c r="BD275" s="2657">
        <f>'Income Statement'!AJ26</f>
      </c>
      <c r="BE275" s="2657">
        <f>'Income Statement'!AK26</f>
      </c>
      <c r="BF275" s="2657">
        <f>'Income Statement'!AL26</f>
      </c>
      <c r="BG275" s="2657">
        <f>'Income Statement'!AM26</f>
      </c>
      <c r="BH275" s="2657">
        <f>'Income Statement'!AN26</f>
      </c>
      <c r="BI275" s="2657">
        <f>'Income Statement'!AO26</f>
      </c>
      <c r="BJ275" s="2657">
        <f>'Income Statement'!AP26</f>
      </c>
      <c r="BK275" s="2657">
        <f>'Income Statement'!AQ26</f>
      </c>
      <c r="BL275" s="2657">
        <f>'Income Statement'!AR26</f>
      </c>
      <c r="BM275" s="2657">
        <f>'Income Statement'!AS26</f>
      </c>
      <c r="BN275" s="2657">
        <f>'Income Statement'!AT26</f>
      </c>
      <c r="BO275" s="2657">
        <f>'Income Statement'!AU26</f>
      </c>
      <c r="BP275" s="2657">
        <f>'Income Statement'!AV26</f>
      </c>
      <c r="BQ275" s="2657">
        <f>'Income Statement'!AW26</f>
      </c>
      <c r="BR275" s="2657">
        <f>'Income Statement'!AX26</f>
      </c>
      <c r="BS275" s="2657">
        <f>'Income Statement'!AY26</f>
      </c>
      <c r="BT275" s="2657">
        <f>'Income Statement'!AZ26</f>
      </c>
      <c r="BU275" s="2657">
        <f>'Income Statement'!BA26</f>
      </c>
      <c r="BV275" s="2657">
        <f>'Income Statement'!BB26</f>
      </c>
      <c r="BW275" s="2657">
        <f>'Income Statement'!BC26</f>
      </c>
      <c r="BX275" s="2657">
        <f>'Income Statement'!BD26</f>
      </c>
      <c r="BY275" s="2657">
        <f>'Income Statement'!BE26</f>
      </c>
      <c r="BZ275" s="2657">
        <f>'Income Statement'!BF26</f>
      </c>
      <c r="CA275" s="2657">
        <f>'Income Statement'!BG26</f>
      </c>
      <c r="CB275" s="2657">
        <f>'Income Statement'!BH26</f>
      </c>
      <c r="CC275" s="2657">
        <f>'Income Statement'!BI26</f>
      </c>
      <c r="CD275" s="2657">
        <f>'Income Statement'!BJ26</f>
      </c>
      <c r="CE275" s="2657">
        <f>'Income Statement'!BK26</f>
      </c>
      <c r="CF275" s="2657">
        <f>'Income Statement'!BL26</f>
      </c>
      <c r="CG275" s="2657">
        <f>'Income Statement'!BM26</f>
      </c>
      <c r="CH275" s="2657">
        <f>'Income Statement'!BN26</f>
      </c>
      <c r="CI275" s="2657">
        <f>'Income Statement'!BO26</f>
      </c>
      <c r="CJ275" s="2657">
        <f>'Income Statement'!BP26</f>
      </c>
      <c r="CK275" s="2657">
        <f>'Income Statement'!BQ26</f>
      </c>
      <c r="CL275" s="2657">
        <f>'Income Statement'!BR26</f>
      </c>
      <c r="CM275" s="2657">
        <f>'Income Statement'!BS26</f>
      </c>
      <c r="CN275" s="2657">
        <f>'Income Statement'!BT26</f>
      </c>
      <c r="CO275" s="2657">
        <f>'Income Statement'!BU26</f>
      </c>
      <c r="CP275" s="2657">
        <f>'Income Statement'!BV26</f>
      </c>
      <c r="CQ275" s="2657">
        <f>'Income Statement'!BW26</f>
      </c>
      <c r="CR275" s="2657">
        <f>'Income Statement'!BX26</f>
      </c>
      <c r="CS275" s="2657">
        <f>'Income Statement'!BY26</f>
      </c>
      <c r="CT275" s="2657">
        <f>'Income Statement'!BZ26</f>
      </c>
      <c r="CU275" s="2657">
        <f>'Income Statement'!CA26</f>
      </c>
      <c r="CV275" s="2657">
        <f>'Income Statement'!CB26</f>
      </c>
      <c r="CW275" s="2657">
        <f>'Income Statement'!CC26</f>
      </c>
      <c r="CX275" s="2657">
        <f>'Income Statement'!CD26</f>
      </c>
      <c r="CY275" s="2657">
        <f>'Income Statement'!CE26</f>
      </c>
      <c r="CZ275" s="2657">
        <f>'Income Statement'!CF26</f>
      </c>
      <c r="DA275" s="2657">
        <f>'Income Statement'!CG26</f>
      </c>
      <c r="DB275" s="2657">
        <f>'Income Statement'!CH26</f>
      </c>
      <c r="DC275" s="2657">
        <f>'Income Statement'!CI26</f>
      </c>
      <c r="DD275" s="2657">
        <f>'Income Statement'!CJ26</f>
      </c>
      <c r="DE275" s="2657">
        <f>'Income Statement'!CK26</f>
      </c>
      <c r="DF275" s="2657">
        <f>'Income Statement'!CL26</f>
      </c>
      <c r="DG275" s="2657">
        <f>'Income Statement'!CM26</f>
      </c>
      <c r="DH275" s="2657">
        <f>'Income Statement'!CN26</f>
      </c>
      <c r="DI275" s="2657">
        <f>'Income Statement'!CO26</f>
      </c>
      <c r="DJ275" s="2657">
        <f>'Income Statement'!CP26</f>
      </c>
      <c r="DK275" s="2657">
        <f>'Income Statement'!CQ26</f>
      </c>
      <c r="DL275" s="2657">
        <f>'Income Statement'!CR26</f>
      </c>
      <c r="DM275" s="2657">
        <f>'Income Statement'!CS26</f>
      </c>
      <c r="DN275" s="2657">
        <f>'Income Statement'!CT26</f>
      </c>
      <c r="DO275" s="2657">
        <f>'Income Statement'!CU26</f>
      </c>
      <c r="DP275" s="2657">
        <f>'Income Statement'!CV26</f>
      </c>
      <c r="DQ275" s="2657">
        <f>'Income Statement'!CW26</f>
      </c>
      <c r="DR275" s="2657">
        <f>'Income Statement'!CX26</f>
      </c>
      <c r="DS275" s="2657">
        <f>'Income Statement'!CY26</f>
      </c>
      <c r="DT275" s="2657">
        <f>'Income Statement'!CZ26</f>
      </c>
      <c r="DU275" s="2657">
        <f>'Income Statement'!DA26</f>
      </c>
      <c r="DV275" s="2657">
        <f>'Income Statement'!DB26</f>
      </c>
      <c r="DW275" s="2657">
        <f>'Income Statement'!DC26</f>
      </c>
      <c r="DX275" s="2657">
        <f>'Income Statement'!DD26</f>
      </c>
      <c r="DY275" s="2657">
        <f>'Income Statement'!DE26</f>
      </c>
      <c r="DZ275" s="2657">
        <f>'Income Statement'!DF26</f>
      </c>
      <c r="EA275" s="2657">
        <f>'Income Statement'!DG26</f>
      </c>
      <c r="EB275" s="2657">
        <f>'Income Statement'!DH26</f>
      </c>
      <c r="EC275" s="2657">
        <f>'Income Statement'!DI26</f>
      </c>
      <c r="ED275" s="2657">
        <f>'Income Statement'!DJ26</f>
      </c>
      <c r="EE275" s="2657">
        <f>'Income Statement'!DK26</f>
      </c>
      <c r="EF275" s="2657">
        <f>'Income Statement'!DL26</f>
      </c>
      <c r="EG275" s="2657">
        <f>'Income Statement'!DM26</f>
      </c>
      <c r="EH275" s="2657">
        <f>'Income Statement'!DN26</f>
      </c>
      <c r="EI275" s="2657">
        <f>'Income Statement'!DO26</f>
      </c>
      <c r="EJ275" s="2657">
        <f>'Income Statement'!DP26</f>
      </c>
      <c r="EK275" s="2657">
        <f>'Income Statement'!DQ26</f>
      </c>
      <c r="EL275" s="2657">
        <f>'Income Statement'!DR26</f>
      </c>
      <c r="EM275" s="2657">
        <f>'Income Statement'!DS26</f>
      </c>
      <c r="EN275" s="2657">
        <f>'Income Statement'!DT26</f>
      </c>
      <c r="EO275" s="2657">
        <f>'Income Statement'!DU26</f>
      </c>
      <c r="EP275" s="2657">
        <f>'Income Statement'!DV26</f>
      </c>
      <c r="EQ275" s="2657">
        <f>'Income Statement'!DW26</f>
      </c>
      <c r="ER275" s="2657">
        <f>'Income Statement'!DX26</f>
      </c>
      <c r="ES275" s="2657">
        <f>'Income Statement'!DY26</f>
      </c>
      <c r="ET275" s="2657">
        <f>'Income Statement'!DZ26</f>
      </c>
      <c r="EU275" s="2657">
        <f>'Income Statement'!EA26</f>
      </c>
      <c r="EV275" s="2657">
        <f>'Income Statement'!EB26</f>
      </c>
      <c r="EW275" s="2657">
        <f>'Income Statement'!EC26</f>
      </c>
      <c r="EX275" s="2657">
        <f>'Income Statement'!ED26</f>
      </c>
      <c r="EY275" s="2657">
        <f>'Income Statement'!EE26</f>
      </c>
      <c r="EZ275" s="2657">
        <f>'Income Statement'!EF26</f>
      </c>
      <c r="FA275" s="2657">
        <f>'Income Statement'!EG26</f>
      </c>
      <c r="FB275" s="2657">
        <f>'Income Statement'!EH26</f>
      </c>
      <c r="FC275" s="2657">
        <f>'Income Statement'!EI26</f>
      </c>
      <c r="FD275" s="2657">
        <f>'Income Statement'!EJ26</f>
      </c>
      <c r="FE275" s="2657">
        <f>'Income Statement'!EK26</f>
      </c>
    </row>
    <row r="276" spans="2:161" outlineLevel="2">
      <c r="B276" t="s">
        <v>599</v>
      </c>
      <c r="C276" t="s">
        <v>600</v>
      </c>
      <c r="D276" t="str">
        <f t="shared" si="75"/>
      </c>
      <c r="F276" s="2657">
        <v>0</v>
      </c>
      <c r="G276" s="2657">
        <v>0</v>
      </c>
      <c r="H276" s="2657">
        <v>0</v>
      </c>
      <c r="I276" s="2657">
        <v>0</v>
      </c>
      <c r="J276" s="2657">
        <v>0</v>
      </c>
      <c r="K276" s="2657">
        <v>0</v>
      </c>
      <c r="L276" s="2657">
        <v>0</v>
      </c>
      <c r="M276" s="2657">
        <v>0</v>
      </c>
      <c r="N276" s="2657">
        <v>0</v>
      </c>
      <c r="O276" s="2657">
        <v>0</v>
      </c>
      <c r="P276" s="2657"/>
      <c r="Q276" s="2657"/>
      <c r="R276" s="2657"/>
      <c r="S276" s="2657"/>
      <c r="T276" s="2657"/>
      <c r="U276" s="2657"/>
      <c r="V276" s="2657"/>
      <c r="W276" s="2657"/>
      <c r="X276" s="2657"/>
      <c r="Y276" s="2657"/>
      <c r="Z276" s="2657"/>
      <c r="AA276" s="2657"/>
      <c r="AB276" s="2657"/>
      <c r="AC276" s="2657"/>
      <c r="AD276" s="2657"/>
      <c r="AE276" s="2657"/>
      <c r="AF276" s="2657"/>
      <c r="AG276" s="2657"/>
      <c r="AH276" s="2657"/>
      <c r="AI276" s="2657"/>
      <c r="AJ276" s="2657"/>
      <c r="AK276" s="2657"/>
      <c r="AL276" s="2657"/>
      <c r="AM276" s="2657"/>
      <c r="AN276" s="2657"/>
      <c r="AO276" s="2657"/>
      <c r="AP276" s="2657"/>
      <c r="AQ276" s="2657"/>
      <c r="AR276" s="2657"/>
      <c r="AS276" s="2657"/>
      <c r="AT276" s="2657"/>
      <c r="AU276" s="2657"/>
      <c r="AV276" s="2657"/>
      <c r="AW276" s="2657"/>
      <c r="AX276" s="2657">
        <v>0</v>
      </c>
      <c r="AY276" s="2657">
        <v>0</v>
      </c>
      <c r="AZ276" s="2657">
        <v>0</v>
      </c>
      <c r="BA276" s="2657">
        <v>0</v>
      </c>
      <c r="BB276" s="2657">
        <v>0</v>
      </c>
      <c r="BC276" s="2657">
        <v>0</v>
      </c>
      <c r="BD276" s="2657">
        <v>0</v>
      </c>
      <c r="BE276" s="2657">
        <v>0</v>
      </c>
      <c r="BF276" s="2657">
        <v>0</v>
      </c>
      <c r="BG276" s="2657">
        <v>0</v>
      </c>
      <c r="BH276" s="2657">
        <v>0</v>
      </c>
      <c r="BI276" s="2657">
        <v>0</v>
      </c>
      <c r="BJ276" s="2657">
        <v>0</v>
      </c>
      <c r="BK276" s="2657">
        <v>0</v>
      </c>
      <c r="BL276" s="2657">
        <v>0</v>
      </c>
      <c r="BM276" s="2657">
        <v>0</v>
      </c>
      <c r="BN276" s="2657">
        <v>0</v>
      </c>
      <c r="BO276" s="2657">
        <v>0</v>
      </c>
      <c r="BP276" s="2657">
        <v>0</v>
      </c>
      <c r="BQ276" s="2657">
        <v>0</v>
      </c>
      <c r="BR276" s="2657">
        <v>0</v>
      </c>
      <c r="BS276" s="2657">
        <v>0</v>
      </c>
      <c r="BT276" s="2657">
        <v>0</v>
      </c>
      <c r="BU276" s="2657">
        <v>0</v>
      </c>
      <c r="BV276" s="2657">
        <v>0</v>
      </c>
      <c r="BW276" s="2657"/>
      <c r="BX276" s="2657"/>
      <c r="BY276" s="2657"/>
      <c r="BZ276" s="2657"/>
      <c r="CA276" s="2657"/>
      <c r="CB276" s="2657"/>
      <c r="CC276" s="2657"/>
      <c r="CD276" s="2657"/>
      <c r="CE276" s="2657"/>
      <c r="CF276" s="2657"/>
      <c r="CG276" s="2657"/>
      <c r="CH276" s="2657"/>
      <c r="CI276" s="2657"/>
      <c r="CJ276" s="2657"/>
      <c r="CK276" s="2657"/>
      <c r="CL276" s="2657"/>
      <c r="CM276" s="2657"/>
      <c r="CN276" s="2657"/>
      <c r="CO276" s="2657"/>
      <c r="CP276" s="2657"/>
      <c r="CQ276" s="2657"/>
      <c r="CR276" s="2657"/>
      <c r="CS276" s="2657"/>
      <c r="CT276" s="2657"/>
      <c r="CU276" s="2657"/>
      <c r="CV276" s="2657"/>
      <c r="CW276" s="2657"/>
      <c r="CX276" s="2657"/>
      <c r="CY276" s="2657"/>
      <c r="CZ276" s="2657"/>
      <c r="DA276" s="2657"/>
      <c r="DB276" s="2657"/>
      <c r="DC276" s="2657"/>
      <c r="DD276" s="2657"/>
      <c r="DE276" s="2657"/>
      <c r="DF276" s="2657"/>
      <c r="DG276" s="2657"/>
      <c r="DH276" s="2657"/>
      <c r="DI276" s="2657"/>
      <c r="DJ276" s="2657"/>
      <c r="DK276" s="2657"/>
      <c r="DL276" s="2657"/>
      <c r="DM276" s="2657"/>
      <c r="DN276" s="2657"/>
      <c r="DO276" s="2657"/>
      <c r="DP276" s="2657"/>
      <c r="DQ276" s="2657"/>
      <c r="DR276" s="2657"/>
      <c r="DS276" s="2657"/>
      <c r="DT276" s="2657"/>
      <c r="DU276" s="2657"/>
      <c r="DV276" s="2657"/>
      <c r="DW276" s="2657"/>
      <c r="DX276" s="2657"/>
      <c r="DY276" s="2657"/>
      <c r="DZ276" s="2657"/>
      <c r="EA276" s="2657"/>
      <c r="EB276" s="2657"/>
      <c r="EC276" s="2657"/>
      <c r="ED276" s="2657"/>
      <c r="EE276" s="2657"/>
      <c r="EF276" s="2657"/>
      <c r="EG276" s="2657"/>
      <c r="EH276" s="2657"/>
      <c r="EI276" s="2657"/>
      <c r="EJ276" s="2657"/>
      <c r="EK276" s="2657"/>
      <c r="EL276" s="2657"/>
      <c r="EM276" s="2657"/>
      <c r="EN276" s="2657"/>
      <c r="EO276" s="2657"/>
      <c r="EP276" s="2657"/>
      <c r="EQ276" s="2657"/>
      <c r="ER276" s="2657"/>
      <c r="ES276" s="2657"/>
      <c r="ET276" s="2657"/>
      <c r="EU276" s="2657"/>
      <c r="EV276" s="2657"/>
      <c r="EW276" s="2657"/>
      <c r="EX276" s="2657"/>
      <c r="EY276" s="2657"/>
      <c r="EZ276" s="2657"/>
      <c r="FA276" s="2657"/>
      <c r="FB276" s="2657"/>
      <c r="FC276" s="2657"/>
      <c r="FD276" s="2657"/>
      <c r="FE276" s="2657"/>
    </row>
    <row r="277" spans="2:161" outlineLevel="2">
      <c r="B277" t="s">
        <v>601</v>
      </c>
      <c r="C277" t="s">
        <v>602</v>
      </c>
      <c r="D277" t="str">
        <f t="shared" si="75"/>
      </c>
      <c r="F277" s="2657">
        <f>'Income Statement'!EQ26</f>
      </c>
      <c r="G277" s="2657">
        <f>'Income Statement'!ER26</f>
      </c>
      <c r="H277" s="2657">
        <f>'Income Statement'!ES26</f>
      </c>
      <c r="I277" s="2657">
        <f>'Income Statement'!ET26</f>
      </c>
      <c r="J277" s="2657">
        <f>'Income Statement'!EU26</f>
      </c>
      <c r="K277" s="2657">
        <f>'Income Statement'!EV26</f>
      </c>
      <c r="L277" s="2657">
        <f>'Income Statement'!EW26</f>
      </c>
      <c r="M277" s="2657">
        <f>'Income Statement'!EX26</f>
      </c>
      <c r="N277" s="2657">
        <f>'Income Statement'!EY26</f>
      </c>
      <c r="O277" s="2657">
        <f>'Income Statement'!EZ26</f>
      </c>
      <c r="P277" s="2657">
        <f>'Income Statement'!FA26</f>
      </c>
      <c r="Q277" s="2657">
        <f>'Income Statement'!FB26</f>
      </c>
      <c r="R277" s="2657">
        <f>'Income Statement'!FC26</f>
      </c>
      <c r="S277" s="2657">
        <f>'Income Statement'!FD26</f>
      </c>
      <c r="T277" s="2657">
        <f>'Income Statement'!FE26</f>
      </c>
      <c r="U277" s="2657">
        <f>'Income Statement'!FF26</f>
      </c>
      <c r="V277" s="2657">
        <f>'Income Statement'!FG26</f>
      </c>
      <c r="W277" s="2657">
        <f>'Income Statement'!FH26</f>
      </c>
      <c r="X277" s="2657">
        <f>'Income Statement'!FI26</f>
      </c>
      <c r="Y277" s="2657">
        <f>'Income Statement'!FJ26</f>
      </c>
      <c r="Z277" s="2657">
        <f>'Income Statement'!FK26</f>
      </c>
      <c r="AA277" s="2657">
        <f>'Income Statement'!FL26</f>
      </c>
      <c r="AB277" s="2657">
        <f>'Income Statement'!FM26</f>
      </c>
      <c r="AC277" s="2657">
        <f>'Income Statement'!FN26</f>
      </c>
      <c r="AD277" s="2657">
        <f>'Income Statement'!FO26</f>
      </c>
      <c r="AE277" s="2657">
        <f>'Income Statement'!FP26</f>
      </c>
      <c r="AF277" s="2657">
        <f>'Income Statement'!FQ26</f>
      </c>
      <c r="AG277" s="2657">
        <f>'Income Statement'!FR26</f>
      </c>
      <c r="AH277" s="2657">
        <f>'Income Statement'!FS26</f>
      </c>
      <c r="AI277" s="2657">
        <f>'Income Statement'!FT26</f>
      </c>
      <c r="AJ277" s="2657">
        <f>'Income Statement'!FU26</f>
      </c>
      <c r="AK277" s="2657"/>
      <c r="AL277" s="2657">
        <f>'Income Statement'!R26</f>
      </c>
      <c r="AM277" s="2657">
        <f>'Income Statement'!S26</f>
      </c>
      <c r="AN277" s="2657">
        <f>'Income Statement'!T26</f>
      </c>
      <c r="AO277" s="2657">
        <f>'Income Statement'!U26</f>
      </c>
      <c r="AP277" s="2657">
        <f>'Income Statement'!V26</f>
      </c>
      <c r="AQ277" s="2657">
        <f>'Income Statement'!W26</f>
      </c>
      <c r="AR277" s="2657">
        <f>'Income Statement'!X26</f>
      </c>
      <c r="AS277" s="2657">
        <f>'Income Statement'!Y26</f>
      </c>
      <c r="AT277" s="2657">
        <f>'Income Statement'!Z26</f>
      </c>
      <c r="AU277" s="2657">
        <f>'Income Statement'!AA26</f>
      </c>
      <c r="AV277" s="2657">
        <f>'Income Statement'!AB26</f>
      </c>
      <c r="AW277" s="2657">
        <f>'Income Statement'!AC26</f>
      </c>
      <c r="AX277" s="2657">
        <f>'Income Statement'!AD26</f>
      </c>
      <c r="AY277" s="2657">
        <f>'Income Statement'!AE26</f>
      </c>
      <c r="AZ277" s="2657">
        <f>'Income Statement'!AF26</f>
      </c>
      <c r="BA277" s="2657">
        <f>'Income Statement'!AG26</f>
      </c>
      <c r="BB277" s="2657">
        <f>'Income Statement'!AH26</f>
      </c>
      <c r="BC277" s="2657">
        <f>'Income Statement'!AI26</f>
      </c>
      <c r="BD277" s="2657">
        <f>'Income Statement'!AJ26</f>
      </c>
      <c r="BE277" s="2657">
        <f>'Income Statement'!AK26</f>
      </c>
      <c r="BF277" s="2657">
        <f>'Income Statement'!AL26</f>
      </c>
      <c r="BG277" s="2657">
        <f>'Income Statement'!AM26</f>
      </c>
      <c r="BH277" s="2657">
        <f>'Income Statement'!AN26</f>
      </c>
      <c r="BI277" s="2657">
        <f>'Income Statement'!AO26</f>
      </c>
      <c r="BJ277" s="2657">
        <f>'Income Statement'!AP26</f>
      </c>
      <c r="BK277" s="2657">
        <f>'Income Statement'!AQ26</f>
      </c>
      <c r="BL277" s="2657">
        <f>'Income Statement'!AR26</f>
      </c>
      <c r="BM277" s="2657">
        <f>'Income Statement'!AS26</f>
      </c>
      <c r="BN277" s="2657">
        <f>'Income Statement'!AT26</f>
      </c>
      <c r="BO277" s="2657">
        <f>'Income Statement'!AU26</f>
      </c>
      <c r="BP277" s="2657">
        <f>'Income Statement'!AV26</f>
      </c>
      <c r="BQ277" s="2657">
        <f>'Income Statement'!AW26</f>
      </c>
      <c r="BR277" s="2657">
        <f>'Income Statement'!AX26</f>
      </c>
      <c r="BS277" s="2657">
        <f>'Income Statement'!AY26</f>
      </c>
      <c r="BT277" s="2657">
        <f>'Income Statement'!AZ26</f>
      </c>
      <c r="BU277" s="2657">
        <f>'Income Statement'!BA26</f>
      </c>
      <c r="BV277" s="2657">
        <f>'Income Statement'!BB26</f>
      </c>
      <c r="BW277" s="2657">
        <f>'Income Statement'!BC26</f>
      </c>
      <c r="BX277" s="2657">
        <f>'Income Statement'!BD26</f>
      </c>
      <c r="BY277" s="2657">
        <f>'Income Statement'!BE26</f>
      </c>
      <c r="BZ277" s="2657">
        <f>'Income Statement'!BF26</f>
      </c>
      <c r="CA277" s="2657">
        <f>'Income Statement'!BG26</f>
      </c>
      <c r="CB277" s="2657">
        <f>'Income Statement'!BH26</f>
      </c>
      <c r="CC277" s="2657">
        <f>'Income Statement'!BI26</f>
      </c>
      <c r="CD277" s="2657">
        <f>'Income Statement'!BJ26</f>
      </c>
      <c r="CE277" s="2657">
        <f>'Income Statement'!BK26</f>
      </c>
      <c r="CF277" s="2657">
        <f>'Income Statement'!BL26</f>
      </c>
      <c r="CG277" s="2657">
        <f>'Income Statement'!BM26</f>
      </c>
      <c r="CH277" s="2657">
        <f>'Income Statement'!BN26</f>
      </c>
      <c r="CI277" s="2657">
        <f>'Income Statement'!BO26</f>
      </c>
      <c r="CJ277" s="2657">
        <f>'Income Statement'!BP26</f>
      </c>
      <c r="CK277" s="2657">
        <f>'Income Statement'!BQ26</f>
      </c>
      <c r="CL277" s="2657">
        <f>'Income Statement'!BR26</f>
      </c>
      <c r="CM277" s="2657">
        <f>'Income Statement'!BS26</f>
      </c>
      <c r="CN277" s="2657">
        <f>'Income Statement'!BT26</f>
      </c>
      <c r="CO277" s="2657">
        <f>'Income Statement'!BU26</f>
      </c>
      <c r="CP277" s="2657">
        <f>'Income Statement'!BV26</f>
      </c>
      <c r="CQ277" s="2657">
        <f>'Income Statement'!BW26</f>
      </c>
      <c r="CR277" s="2657">
        <f>'Income Statement'!BX26</f>
      </c>
      <c r="CS277" s="2657">
        <f>'Income Statement'!BY26</f>
      </c>
      <c r="CT277" s="2657">
        <f>'Income Statement'!BZ26</f>
      </c>
      <c r="CU277" s="2657">
        <f>'Income Statement'!CA26</f>
      </c>
      <c r="CV277" s="2657">
        <f>'Income Statement'!CB26</f>
      </c>
      <c r="CW277" s="2657">
        <f>'Income Statement'!CC26</f>
      </c>
      <c r="CX277" s="2657">
        <f>'Income Statement'!CD26</f>
      </c>
      <c r="CY277" s="2657">
        <f>'Income Statement'!CE26</f>
      </c>
      <c r="CZ277" s="2657">
        <f>'Income Statement'!CF26</f>
      </c>
      <c r="DA277" s="2657">
        <f>'Income Statement'!CG26</f>
      </c>
      <c r="DB277" s="2657">
        <f>'Income Statement'!CH26</f>
      </c>
      <c r="DC277" s="2657">
        <f>'Income Statement'!CI26</f>
      </c>
      <c r="DD277" s="2657">
        <f>'Income Statement'!CJ26</f>
      </c>
      <c r="DE277" s="2657">
        <f>'Income Statement'!CK26</f>
      </c>
      <c r="DF277" s="2657">
        <f>'Income Statement'!CL26</f>
      </c>
      <c r="DG277" s="2657">
        <f>'Income Statement'!CM26</f>
      </c>
      <c r="DH277" s="2657">
        <f>'Income Statement'!CN26</f>
      </c>
      <c r="DI277" s="2657">
        <f>'Income Statement'!CO26</f>
      </c>
      <c r="DJ277" s="2657">
        <f>'Income Statement'!CP26</f>
      </c>
      <c r="DK277" s="2657">
        <f>'Income Statement'!CQ26</f>
      </c>
      <c r="DL277" s="2657">
        <f>'Income Statement'!CR26</f>
      </c>
      <c r="DM277" s="2657">
        <f>'Income Statement'!CS26</f>
      </c>
      <c r="DN277" s="2657">
        <f>'Income Statement'!CT26</f>
      </c>
      <c r="DO277" s="2657">
        <f>'Income Statement'!CU26</f>
      </c>
      <c r="DP277" s="2657">
        <f>'Income Statement'!CV26</f>
      </c>
      <c r="DQ277" s="2657">
        <f>'Income Statement'!CW26</f>
      </c>
      <c r="DR277" s="2657">
        <f>'Income Statement'!CX26</f>
      </c>
      <c r="DS277" s="2657">
        <f>'Income Statement'!CY26</f>
      </c>
      <c r="DT277" s="2657">
        <f>'Income Statement'!CZ26</f>
      </c>
      <c r="DU277" s="2657">
        <f>'Income Statement'!DA26</f>
      </c>
      <c r="DV277" s="2657">
        <f>'Income Statement'!DB26</f>
      </c>
      <c r="DW277" s="2657">
        <f>'Income Statement'!DC26</f>
      </c>
      <c r="DX277" s="2657">
        <f>'Income Statement'!DD26</f>
      </c>
      <c r="DY277" s="2657">
        <f>'Income Statement'!DE26</f>
      </c>
      <c r="DZ277" s="2657">
        <f>'Income Statement'!DF26</f>
      </c>
      <c r="EA277" s="2657">
        <f>'Income Statement'!DG26</f>
      </c>
      <c r="EB277" s="2657">
        <f>'Income Statement'!DH26</f>
      </c>
      <c r="EC277" s="2657">
        <f>'Income Statement'!DI26</f>
      </c>
      <c r="ED277" s="2657">
        <f>'Income Statement'!DJ26</f>
      </c>
      <c r="EE277" s="2657">
        <f>'Income Statement'!DK26</f>
      </c>
      <c r="EF277" s="2657">
        <f>'Income Statement'!DL26</f>
      </c>
      <c r="EG277" s="2657">
        <f>'Income Statement'!DM26</f>
      </c>
      <c r="EH277" s="2657">
        <f>'Income Statement'!DN26</f>
      </c>
      <c r="EI277" s="2657">
        <f>'Income Statement'!DO26</f>
      </c>
      <c r="EJ277" s="2657">
        <f>'Income Statement'!DP26</f>
      </c>
      <c r="EK277" s="2657">
        <f>'Income Statement'!DQ26</f>
      </c>
      <c r="EL277" s="2657">
        <f>'Income Statement'!DR26</f>
      </c>
      <c r="EM277" s="2657">
        <f>'Income Statement'!DS26</f>
      </c>
      <c r="EN277" s="2657">
        <f>'Income Statement'!DT26</f>
      </c>
      <c r="EO277" s="2657">
        <f>'Income Statement'!DU26</f>
      </c>
      <c r="EP277" s="2657">
        <f>'Income Statement'!DV26</f>
      </c>
      <c r="EQ277" s="2657">
        <f>'Income Statement'!DW26</f>
      </c>
      <c r="ER277" s="2657">
        <f>'Income Statement'!DX26</f>
      </c>
      <c r="ES277" s="2657">
        <f>'Income Statement'!DY26</f>
      </c>
      <c r="ET277" s="2657">
        <f>'Income Statement'!DZ26</f>
      </c>
      <c r="EU277" s="2657">
        <f>'Income Statement'!EA26</f>
      </c>
      <c r="EV277" s="2657">
        <f>'Income Statement'!EB26</f>
      </c>
      <c r="EW277" s="2657">
        <f>'Income Statement'!EC26</f>
      </c>
      <c r="EX277" s="2657">
        <f>'Income Statement'!ED26</f>
      </c>
      <c r="EY277" s="2657">
        <f>'Income Statement'!EE26</f>
      </c>
      <c r="EZ277" s="2657">
        <f>'Income Statement'!EF26</f>
      </c>
      <c r="FA277" s="2657">
        <f>'Income Statement'!EG26</f>
      </c>
      <c r="FB277" s="2657">
        <f>'Income Statement'!EH26</f>
      </c>
      <c r="FC277" s="2657">
        <f>'Income Statement'!EI26</f>
      </c>
      <c r="FD277" s="2657">
        <f>'Income Statement'!EJ26</f>
      </c>
      <c r="FE277" s="2657">
        <f>'Income Statement'!EK26</f>
      </c>
    </row>
    <row r="278" spans="2:161" outlineLevel="2">
      <c r="B278" t="s">
        <v>79</v>
      </c>
      <c r="C278" t="s">
        <v>603</v>
      </c>
      <c r="D278" t="str">
        <f t="shared" si="75"/>
      </c>
      <c r="F278" s="2657">
        <f>-'Income Statement'!EQ27</f>
      </c>
      <c r="G278" s="2657">
        <f>-'Income Statement'!ER27</f>
      </c>
      <c r="H278" s="2657">
        <f>-'Income Statement'!ES27</f>
      </c>
      <c r="I278" s="2657">
        <f>-'Income Statement'!ET27</f>
      </c>
      <c r="J278" s="2657">
        <f>-'Income Statement'!EU27</f>
      </c>
      <c r="K278" s="2657">
        <f>-'Income Statement'!EV27</f>
      </c>
      <c r="L278" s="2657"/>
      <c r="M278" s="2657"/>
      <c r="N278" s="2657"/>
      <c r="O278" s="2657"/>
      <c r="P278" s="2657"/>
      <c r="Q278" s="2657"/>
      <c r="R278" s="2657"/>
      <c r="S278" s="2657"/>
      <c r="T278" s="2657"/>
      <c r="U278" s="2657"/>
      <c r="V278" s="2657"/>
      <c r="W278" s="2657"/>
      <c r="X278" s="2657"/>
      <c r="Y278" s="2657"/>
      <c r="Z278" s="2657"/>
      <c r="AA278" s="2657"/>
      <c r="AB278" s="2657"/>
      <c r="AC278" s="2657"/>
      <c r="AD278" s="2657"/>
      <c r="AE278" s="2657"/>
      <c r="AF278" s="2657"/>
      <c r="AG278" s="2657"/>
      <c r="AH278" s="2657"/>
      <c r="AI278" s="2657"/>
      <c r="AJ278" s="2657"/>
      <c r="AK278" s="2657"/>
      <c r="AL278" s="2657">
        <f>-'Income Statement'!R27</f>
      </c>
      <c r="AM278" s="2657">
        <f>-'Income Statement'!S27</f>
      </c>
      <c r="AN278" s="2657">
        <f>-'Income Statement'!T27</f>
      </c>
      <c r="AO278" s="2657">
        <f>-'Income Statement'!U27</f>
      </c>
      <c r="AP278" s="2657">
        <f>-'Income Statement'!V27</f>
      </c>
      <c r="AQ278" s="2657">
        <f>-'Income Statement'!W27</f>
      </c>
      <c r="AR278" s="2657">
        <f>-'Income Statement'!X27</f>
      </c>
      <c r="AS278" s="2657">
        <f>-'Income Statement'!Y27</f>
      </c>
      <c r="AT278" s="2657">
        <f>-'Income Statement'!Z27</f>
      </c>
      <c r="AU278" s="2657">
        <f>-'Income Statement'!AA27</f>
      </c>
      <c r="AV278" s="2657">
        <f>-'Income Statement'!AB27</f>
      </c>
      <c r="AW278" s="2657">
        <f>-'Income Statement'!AC27</f>
      </c>
      <c r="AX278" s="2657">
        <f>-'Income Statement'!AD27</f>
      </c>
      <c r="AY278" s="2657">
        <f>-'Income Statement'!AE27</f>
      </c>
      <c r="AZ278" s="2657">
        <f>-'Income Statement'!AF27</f>
      </c>
      <c r="BA278" s="2657">
        <f>-'Income Statement'!AG27</f>
      </c>
      <c r="BB278" s="2657">
        <f>-'Income Statement'!AH27</f>
      </c>
      <c r="BC278" s="2657">
        <f>-'Income Statement'!AI27</f>
      </c>
      <c r="BD278" s="2657">
        <f>-'Income Statement'!AJ27</f>
      </c>
      <c r="BE278" s="2657">
        <f>-'Income Statement'!AK27</f>
      </c>
      <c r="BF278" s="2657">
        <f>-'Income Statement'!AL27</f>
      </c>
      <c r="BG278" s="2657">
        <f>-'Income Statement'!AM27</f>
      </c>
      <c r="BH278" s="2657">
        <f>-'Income Statement'!AN27</f>
      </c>
      <c r="BI278" s="2657">
        <f>-'Income Statement'!AO27</f>
      </c>
      <c r="BJ278" s="2657">
        <f>-'Income Statement'!AP27</f>
      </c>
      <c r="BK278" s="2657">
        <f>-'Income Statement'!AQ27</f>
      </c>
      <c r="BL278" s="2657">
        <f>-'Income Statement'!AR27</f>
      </c>
      <c r="BM278" s="2657">
        <f>-'Income Statement'!AS27</f>
      </c>
      <c r="BN278" s="2657">
        <f>-'Income Statement'!AT27</f>
      </c>
      <c r="BO278" s="2657">
        <f>-'Income Statement'!AU27</f>
      </c>
      <c r="BP278" s="2657">
        <f>-'Income Statement'!AV27</f>
      </c>
      <c r="BQ278" s="2657">
        <f>-'Income Statement'!AW27</f>
      </c>
      <c r="BR278" s="2657">
        <f>-'Income Statement'!AX27</f>
      </c>
      <c r="BS278" s="2657">
        <f>-'Income Statement'!AY27</f>
      </c>
      <c r="BT278" s="2657">
        <f>-'Income Statement'!AZ27</f>
      </c>
      <c r="BU278" s="2657">
        <f>-'Income Statement'!BA27</f>
      </c>
      <c r="BV278" s="2657">
        <f>-'Income Statement'!BB27</f>
      </c>
      <c r="BW278" s="2657">
        <f>-'Income Statement'!BC27</f>
      </c>
      <c r="BX278" s="2657">
        <f>-'Income Statement'!BD27</f>
      </c>
      <c r="BY278" s="2657">
        <f>-'Income Statement'!BE27</f>
      </c>
      <c r="BZ278" s="2657">
        <f>-'Income Statement'!BF27</f>
      </c>
      <c r="CA278" s="2657">
        <f>-'Income Statement'!BG27</f>
      </c>
      <c r="CB278" s="2657">
        <f>-'Income Statement'!BH27</f>
      </c>
      <c r="CC278" s="2657">
        <f>-'Income Statement'!BI27</f>
      </c>
      <c r="CD278" s="2657">
        <f>-'Income Statement'!BJ27</f>
      </c>
      <c r="CE278" s="2657">
        <f>-'Income Statement'!BK27</f>
      </c>
      <c r="CF278" s="2657">
        <f>-'Income Statement'!BL27</f>
      </c>
      <c r="CG278" s="2657">
        <f>-'Income Statement'!BM27</f>
      </c>
      <c r="CH278" s="2657">
        <f>-'Income Statement'!BN27</f>
      </c>
      <c r="CI278" s="2657">
        <f>-'Income Statement'!BO27</f>
      </c>
      <c r="CJ278" s="2657">
        <f>-'Income Statement'!BP27</f>
      </c>
      <c r="CK278" s="2657">
        <f>-'Income Statement'!BQ27</f>
      </c>
      <c r="CL278" s="2657">
        <f>-'Income Statement'!BR27</f>
      </c>
      <c r="CM278" s="2657">
        <f>-'Income Statement'!BS27</f>
      </c>
      <c r="CN278" s="2657">
        <f>-'Income Statement'!BT27</f>
      </c>
      <c r="CO278" s="2657">
        <f>-'Income Statement'!BU27</f>
      </c>
      <c r="CP278" s="2657">
        <f>-'Income Statement'!BV27</f>
      </c>
      <c r="CQ278" s="2657">
        <f>-'Income Statement'!BW27</f>
      </c>
      <c r="CR278" s="2657">
        <f>-'Income Statement'!BX27</f>
      </c>
      <c r="CS278" s="2657">
        <f>-'Income Statement'!BY27</f>
      </c>
      <c r="CT278" s="2657">
        <f>-'Income Statement'!BZ27</f>
      </c>
      <c r="CU278" s="2657">
        <f>-'Income Statement'!CA27</f>
      </c>
      <c r="CV278" s="2657">
        <f>-'Income Statement'!CB27</f>
      </c>
      <c r="CW278" s="2657">
        <f>-'Income Statement'!CC27</f>
      </c>
      <c r="CX278" s="2657">
        <f>-'Income Statement'!CD27</f>
      </c>
      <c r="CY278" s="2657">
        <f>-'Income Statement'!CE27</f>
      </c>
      <c r="CZ278" s="2657">
        <f>-'Income Statement'!CF27</f>
      </c>
      <c r="DA278" s="2657">
        <f>-'Income Statement'!CG27</f>
      </c>
      <c r="DB278" s="2657">
        <f>-'Income Statement'!CH27</f>
      </c>
      <c r="DC278" s="2657">
        <f>-'Income Statement'!CI27</f>
      </c>
      <c r="DD278" s="2657">
        <f>-'Income Statement'!CJ27</f>
      </c>
      <c r="DE278" s="2657">
        <f>-'Income Statement'!CK27</f>
      </c>
      <c r="DF278" s="2657">
        <f>-'Income Statement'!CL27</f>
      </c>
      <c r="DG278" s="2657">
        <f>-'Income Statement'!CM27</f>
      </c>
      <c r="DH278" s="2657">
        <f>-'Income Statement'!CN27</f>
      </c>
      <c r="DI278" s="2657">
        <f>-'Income Statement'!CO27</f>
      </c>
      <c r="DJ278" s="2657">
        <f>-'Income Statement'!CP27</f>
      </c>
      <c r="DK278" s="2657">
        <f>-'Income Statement'!CQ27</f>
      </c>
      <c r="DL278" s="2657">
        <f>-'Income Statement'!CR27</f>
      </c>
      <c r="DM278" s="2657">
        <f>-'Income Statement'!CS27</f>
      </c>
      <c r="DN278" s="2657">
        <f>-'Income Statement'!CT27</f>
      </c>
      <c r="DO278" s="2657">
        <f>-'Income Statement'!CU27</f>
      </c>
      <c r="DP278" s="2657">
        <f>-'Income Statement'!CV27</f>
      </c>
      <c r="DQ278" s="2657">
        <f>-'Income Statement'!CW27</f>
      </c>
      <c r="DR278" s="2657">
        <f>-'Income Statement'!CX27</f>
      </c>
      <c r="DS278" s="2657">
        <f>-'Income Statement'!CY27</f>
      </c>
      <c r="DT278" s="2657">
        <f>-'Income Statement'!CZ27</f>
      </c>
      <c r="DU278" s="2657">
        <f>-'Income Statement'!DA27</f>
      </c>
      <c r="DV278" s="2657">
        <f>-'Income Statement'!DB27</f>
      </c>
      <c r="DW278" s="2657">
        <f>-'Income Statement'!DC27</f>
      </c>
      <c r="DX278" s="2657">
        <f>-'Income Statement'!DD27</f>
      </c>
      <c r="DY278" s="2657">
        <f>-'Income Statement'!DE27</f>
      </c>
      <c r="DZ278" s="2657">
        <f>-'Income Statement'!DF27</f>
      </c>
      <c r="EA278" s="2657">
        <f>-'Income Statement'!DG27</f>
      </c>
      <c r="EB278" s="2657">
        <f>-'Income Statement'!DH27</f>
      </c>
      <c r="EC278" s="2657">
        <f>-'Income Statement'!DI27</f>
      </c>
      <c r="ED278" s="2657">
        <f>-'Income Statement'!DJ27</f>
      </c>
      <c r="EE278" s="2657">
        <f>-'Income Statement'!DK27</f>
      </c>
      <c r="EF278" s="2657">
        <f>-'Income Statement'!DL27</f>
      </c>
      <c r="EG278" s="2657">
        <f>-'Income Statement'!DM27</f>
      </c>
      <c r="EH278" s="2657">
        <f>-'Income Statement'!DN27</f>
      </c>
      <c r="EI278" s="2657">
        <f>-'Income Statement'!DO27</f>
      </c>
      <c r="EJ278" s="2657">
        <f>-'Income Statement'!DP27</f>
      </c>
      <c r="EK278" s="2657">
        <f>-'Income Statement'!DQ27</f>
      </c>
      <c r="EL278" s="2657">
        <f>-'Income Statement'!DR27</f>
      </c>
      <c r="EM278" s="2657">
        <f>-'Income Statement'!DS27</f>
      </c>
      <c r="EN278" s="2657">
        <f>-'Income Statement'!DT27</f>
      </c>
      <c r="EO278" s="2657">
        <f>-'Income Statement'!DU27</f>
      </c>
      <c r="EP278" s="2657">
        <f>-'Income Statement'!DV27</f>
      </c>
      <c r="EQ278" s="2657">
        <f>-'Income Statement'!DW27</f>
      </c>
      <c r="ER278" s="2657">
        <f>-'Income Statement'!DX27</f>
      </c>
      <c r="ES278" s="2657">
        <f>-'Income Statement'!DY27</f>
      </c>
      <c r="ET278" s="2657">
        <f>-'Income Statement'!DZ27</f>
      </c>
      <c r="EU278" s="2657">
        <f>-'Income Statement'!EA27</f>
      </c>
      <c r="EV278" s="2657">
        <f>-'Income Statement'!EB27</f>
      </c>
      <c r="EW278" s="2657">
        <f>-'Income Statement'!EC27</f>
      </c>
      <c r="EX278" s="2657">
        <f>-'Income Statement'!ED27</f>
      </c>
      <c r="EY278" s="2657">
        <f>-'Income Statement'!EE27</f>
      </c>
      <c r="EZ278" s="2657">
        <f>-'Income Statement'!EF27</f>
      </c>
      <c r="FA278" s="2657">
        <f>-'Income Statement'!EG27</f>
      </c>
      <c r="FB278" s="2657">
        <f>-'Income Statement'!EH27</f>
      </c>
      <c r="FC278" s="2657">
        <f>-'Income Statement'!EI27</f>
      </c>
      <c r="FD278" s="2657">
        <f>-'Income Statement'!EJ27</f>
      </c>
      <c r="FE278" s="2657">
        <f>-'Income Statement'!EK27</f>
      </c>
    </row>
    <row r="279" spans="2:161" outlineLevel="2">
      <c r="B279" t="s">
        <v>604</v>
      </c>
      <c r="C279" t="s">
        <v>605</v>
      </c>
      <c r="D279" t="str">
        <f t="shared" si="75"/>
      </c>
      <c r="F279" s="2657">
        <f>'Income Statement'!EQ28</f>
      </c>
      <c r="G279" s="2657">
        <f>'Income Statement'!ER28</f>
      </c>
      <c r="H279" s="2657">
        <f>'Income Statement'!ES28</f>
      </c>
      <c r="I279" s="2657">
        <f>'Income Statement'!ET28</f>
      </c>
      <c r="J279" s="2657">
        <f>'Income Statement'!EU28</f>
      </c>
      <c r="K279" s="2657">
        <f>'Income Statement'!EV28</f>
      </c>
      <c r="L279" s="2657">
        <f>'Income Statement'!EW28</f>
      </c>
      <c r="M279" s="2657">
        <f>'Income Statement'!EX28</f>
      </c>
      <c r="N279" s="2657">
        <f>'Income Statement'!EY28</f>
      </c>
      <c r="O279" s="2657">
        <f>'Income Statement'!EZ28</f>
      </c>
      <c r="P279" s="2657">
        <f>'Income Statement'!FA28</f>
      </c>
      <c r="Q279" s="2657">
        <f>'Income Statement'!FB28</f>
      </c>
      <c r="R279" s="2657">
        <f>'Income Statement'!FC28</f>
      </c>
      <c r="S279" s="2657">
        <f>'Income Statement'!FD28</f>
      </c>
      <c r="T279" s="2657">
        <f>'Income Statement'!FE28</f>
      </c>
      <c r="U279" s="2657">
        <f>'Income Statement'!FF28</f>
      </c>
      <c r="V279" s="2657">
        <f>'Income Statement'!FG28</f>
      </c>
      <c r="W279" s="2657">
        <f>'Income Statement'!FH28</f>
      </c>
      <c r="X279" s="2657">
        <f>'Income Statement'!FI28</f>
      </c>
      <c r="Y279" s="2657">
        <f>'Income Statement'!FJ28</f>
      </c>
      <c r="Z279" s="2657">
        <f>'Income Statement'!FK28</f>
      </c>
      <c r="AA279" s="2657">
        <f>'Income Statement'!FL28</f>
      </c>
      <c r="AB279" s="2657">
        <f>'Income Statement'!FM28</f>
      </c>
      <c r="AC279" s="2657">
        <f>'Income Statement'!FN28</f>
      </c>
      <c r="AD279" s="2657">
        <f>'Income Statement'!FO28</f>
      </c>
      <c r="AE279" s="2657">
        <f>'Income Statement'!FP28</f>
      </c>
      <c r="AF279" s="2657">
        <f>'Income Statement'!FQ28</f>
      </c>
      <c r="AG279" s="2657">
        <f>'Income Statement'!FR28</f>
      </c>
      <c r="AH279" s="2657">
        <f>'Income Statement'!FS28</f>
      </c>
      <c r="AI279" s="2657">
        <f>'Income Statement'!FT28</f>
      </c>
      <c r="AJ279" s="2657">
        <f>'Income Statement'!FU28</f>
      </c>
      <c r="AK279" s="2657"/>
      <c r="AL279" s="2657">
        <f>'Income Statement'!R28</f>
      </c>
      <c r="AM279" s="2657">
        <f>'Income Statement'!S28</f>
      </c>
      <c r="AN279" s="2657">
        <f>'Income Statement'!T28</f>
      </c>
      <c r="AO279" s="2657">
        <f>'Income Statement'!U28</f>
      </c>
      <c r="AP279" s="2657">
        <f>'Income Statement'!V28</f>
      </c>
      <c r="AQ279" s="2657">
        <f>'Income Statement'!W28</f>
      </c>
      <c r="AR279" s="2657">
        <f>'Income Statement'!X28</f>
      </c>
      <c r="AS279" s="2657">
        <f>'Income Statement'!Y28</f>
      </c>
      <c r="AT279" s="2657">
        <f>'Income Statement'!Z28</f>
      </c>
      <c r="AU279" s="2657">
        <f>'Income Statement'!AA28</f>
      </c>
      <c r="AV279" s="2657">
        <f>'Income Statement'!AB28</f>
      </c>
      <c r="AW279" s="2657">
        <f>'Income Statement'!AC28</f>
      </c>
      <c r="AX279" s="2657">
        <f>'Income Statement'!AD28</f>
      </c>
      <c r="AY279" s="2657">
        <f>'Income Statement'!AE28</f>
      </c>
      <c r="AZ279" s="2657">
        <f>'Income Statement'!AF28</f>
      </c>
      <c r="BA279" s="2657">
        <f>'Income Statement'!AG28</f>
      </c>
      <c r="BB279" s="2657">
        <f>'Income Statement'!AH28</f>
      </c>
      <c r="BC279" s="2657">
        <f>'Income Statement'!AI28</f>
      </c>
      <c r="BD279" s="2657">
        <f>'Income Statement'!AJ28</f>
      </c>
      <c r="BE279" s="2657">
        <f>'Income Statement'!AK28</f>
      </c>
      <c r="BF279" s="2657">
        <f>'Income Statement'!AL28</f>
      </c>
      <c r="BG279" s="2657">
        <f>'Income Statement'!AM28</f>
      </c>
      <c r="BH279" s="2657">
        <f>'Income Statement'!AN28</f>
      </c>
      <c r="BI279" s="2657">
        <f>'Income Statement'!AO28</f>
      </c>
      <c r="BJ279" s="2657">
        <f>'Income Statement'!AP28</f>
      </c>
      <c r="BK279" s="2657">
        <f>'Income Statement'!AQ28</f>
      </c>
      <c r="BL279" s="2657">
        <f>'Income Statement'!AR28</f>
      </c>
      <c r="BM279" s="2657">
        <f>'Income Statement'!AS28</f>
      </c>
      <c r="BN279" s="2657">
        <f>'Income Statement'!AT28</f>
      </c>
      <c r="BO279" s="2657">
        <f>'Income Statement'!AU28</f>
      </c>
      <c r="BP279" s="2657">
        <f>'Income Statement'!AV28</f>
      </c>
      <c r="BQ279" s="2657">
        <f>'Income Statement'!AW28</f>
      </c>
      <c r="BR279" s="2657">
        <f>'Income Statement'!AX28</f>
      </c>
      <c r="BS279" s="2657">
        <f>'Income Statement'!AY28</f>
      </c>
      <c r="BT279" s="2657">
        <f>'Income Statement'!AZ28</f>
      </c>
      <c r="BU279" s="2657">
        <f>'Income Statement'!BA28</f>
      </c>
      <c r="BV279" s="2657">
        <f>'Income Statement'!BB28</f>
      </c>
      <c r="BW279" s="2657">
        <f>'Income Statement'!BC28</f>
      </c>
      <c r="BX279" s="2657">
        <f>'Income Statement'!BD28</f>
      </c>
      <c r="BY279" s="2657">
        <f>'Income Statement'!BE28</f>
      </c>
      <c r="BZ279" s="2657">
        <f>'Income Statement'!BF28</f>
      </c>
      <c r="CA279" s="2657">
        <f>'Income Statement'!BG28</f>
      </c>
      <c r="CB279" s="2657">
        <f>'Income Statement'!BH28</f>
      </c>
      <c r="CC279" s="2657">
        <f>'Income Statement'!BI28</f>
      </c>
      <c r="CD279" s="2657">
        <f>'Income Statement'!BJ28</f>
      </c>
      <c r="CE279" s="2657">
        <f>'Income Statement'!BK28</f>
      </c>
      <c r="CF279" s="2657">
        <f>'Income Statement'!BL28</f>
      </c>
      <c r="CG279" s="2657">
        <f>'Income Statement'!BM28</f>
      </c>
      <c r="CH279" s="2657">
        <f>'Income Statement'!BN28</f>
      </c>
      <c r="CI279" s="2657">
        <f>'Income Statement'!BO28</f>
      </c>
      <c r="CJ279" s="2657">
        <f>'Income Statement'!BP28</f>
      </c>
      <c r="CK279" s="2657">
        <f>'Income Statement'!BQ28</f>
      </c>
      <c r="CL279" s="2657">
        <f>'Income Statement'!BR28</f>
      </c>
      <c r="CM279" s="2657">
        <f>'Income Statement'!BS28</f>
      </c>
      <c r="CN279" s="2657">
        <f>'Income Statement'!BT28</f>
      </c>
      <c r="CO279" s="2657">
        <f>'Income Statement'!BU28</f>
      </c>
      <c r="CP279" s="2657">
        <f>'Income Statement'!BV28</f>
      </c>
      <c r="CQ279" s="2657">
        <f>'Income Statement'!BW28</f>
      </c>
      <c r="CR279" s="2657">
        <f>'Income Statement'!BX28</f>
      </c>
      <c r="CS279" s="2657">
        <f>'Income Statement'!BY28</f>
      </c>
      <c r="CT279" s="2657">
        <f>'Income Statement'!BZ28</f>
      </c>
      <c r="CU279" s="2657">
        <f>'Income Statement'!CA28</f>
      </c>
      <c r="CV279" s="2657">
        <f>'Income Statement'!CB28</f>
      </c>
      <c r="CW279" s="2657">
        <f>'Income Statement'!CC28</f>
      </c>
      <c r="CX279" s="2657">
        <f>'Income Statement'!CD28</f>
      </c>
      <c r="CY279" s="2657">
        <f>'Income Statement'!CE28</f>
      </c>
      <c r="CZ279" s="2657">
        <f>'Income Statement'!CF28</f>
      </c>
      <c r="DA279" s="2657">
        <f>'Income Statement'!CG28</f>
      </c>
      <c r="DB279" s="2657">
        <f>'Income Statement'!CH28</f>
      </c>
      <c r="DC279" s="2657">
        <f>'Income Statement'!CI28</f>
      </c>
      <c r="DD279" s="2657">
        <f>'Income Statement'!CJ28</f>
      </c>
      <c r="DE279" s="2657">
        <f>'Income Statement'!CK28</f>
      </c>
      <c r="DF279" s="2657">
        <f>'Income Statement'!CL28</f>
      </c>
      <c r="DG279" s="2657">
        <f>'Income Statement'!CM28</f>
      </c>
      <c r="DH279" s="2657">
        <f>'Income Statement'!CN28</f>
      </c>
      <c r="DI279" s="2657">
        <f>'Income Statement'!CO28</f>
      </c>
      <c r="DJ279" s="2657">
        <f>'Income Statement'!CP28</f>
      </c>
      <c r="DK279" s="2657">
        <f>'Income Statement'!CQ28</f>
      </c>
      <c r="DL279" s="2657">
        <f>'Income Statement'!CR28</f>
      </c>
      <c r="DM279" s="2657">
        <f>'Income Statement'!CS28</f>
      </c>
      <c r="DN279" s="2657">
        <f>'Income Statement'!CT28</f>
      </c>
      <c r="DO279" s="2657">
        <f>'Income Statement'!CU28</f>
      </c>
      <c r="DP279" s="2657">
        <f>'Income Statement'!CV28</f>
      </c>
      <c r="DQ279" s="2657">
        <f>'Income Statement'!CW28</f>
      </c>
      <c r="DR279" s="2657">
        <f>'Income Statement'!CX28</f>
      </c>
      <c r="DS279" s="2657">
        <f>'Income Statement'!CY28</f>
      </c>
      <c r="DT279" s="2657">
        <f>'Income Statement'!CZ28</f>
      </c>
      <c r="DU279" s="2657">
        <f>'Income Statement'!DA28</f>
      </c>
      <c r="DV279" s="2657">
        <f>'Income Statement'!DB28</f>
      </c>
      <c r="DW279" s="2657">
        <f>'Income Statement'!DC28</f>
      </c>
      <c r="DX279" s="2657">
        <f>'Income Statement'!DD28</f>
      </c>
      <c r="DY279" s="2657">
        <f>'Income Statement'!DE28</f>
      </c>
      <c r="DZ279" s="2657">
        <f>'Income Statement'!DF28</f>
      </c>
      <c r="EA279" s="2657">
        <f>'Income Statement'!DG28</f>
      </c>
      <c r="EB279" s="2657">
        <f>'Income Statement'!DH28</f>
      </c>
      <c r="EC279" s="2657">
        <f>'Income Statement'!DI28</f>
      </c>
      <c r="ED279" s="2657">
        <f>'Income Statement'!DJ28</f>
      </c>
      <c r="EE279" s="2657">
        <f>'Income Statement'!DK28</f>
      </c>
      <c r="EF279" s="2657">
        <f>'Income Statement'!DL28</f>
      </c>
      <c r="EG279" s="2657">
        <f>'Income Statement'!DM28</f>
      </c>
      <c r="EH279" s="2657">
        <f>'Income Statement'!DN28</f>
      </c>
      <c r="EI279" s="2657">
        <f>'Income Statement'!DO28</f>
      </c>
      <c r="EJ279" s="2657">
        <f>'Income Statement'!DP28</f>
      </c>
      <c r="EK279" s="2657">
        <f>'Income Statement'!DQ28</f>
      </c>
      <c r="EL279" s="2657">
        <f>'Income Statement'!DR28</f>
      </c>
      <c r="EM279" s="2657">
        <f>'Income Statement'!DS28</f>
      </c>
      <c r="EN279" s="2657">
        <f>'Income Statement'!DT28</f>
      </c>
      <c r="EO279" s="2657">
        <f>'Income Statement'!DU28</f>
      </c>
      <c r="EP279" s="2657">
        <f>'Income Statement'!DV28</f>
      </c>
      <c r="EQ279" s="2657">
        <f>'Income Statement'!DW28</f>
      </c>
      <c r="ER279" s="2657">
        <f>'Income Statement'!DX28</f>
      </c>
      <c r="ES279" s="2657">
        <f>'Income Statement'!DY28</f>
      </c>
      <c r="ET279" s="2657">
        <f>'Income Statement'!DZ28</f>
      </c>
      <c r="EU279" s="2657">
        <f>'Income Statement'!EA28</f>
      </c>
      <c r="EV279" s="2657">
        <f>'Income Statement'!EB28</f>
      </c>
      <c r="EW279" s="2657">
        <f>'Income Statement'!EC28</f>
      </c>
      <c r="EX279" s="2657">
        <f>'Income Statement'!ED28</f>
      </c>
      <c r="EY279" s="2657">
        <f>'Income Statement'!EE28</f>
      </c>
      <c r="EZ279" s="2657">
        <f>'Income Statement'!EF28</f>
      </c>
      <c r="FA279" s="2657">
        <f>'Income Statement'!EG28</f>
      </c>
      <c r="FB279" s="2657">
        <f>'Income Statement'!EH28</f>
      </c>
      <c r="FC279" s="2657">
        <f>'Income Statement'!EI28</f>
      </c>
      <c r="FD279" s="2657">
        <f>'Income Statement'!EJ28</f>
      </c>
      <c r="FE279" s="2657">
        <f>'Income Statement'!EK28</f>
      </c>
    </row>
    <row r="280" spans="2:161" outlineLevel="2">
      <c r="B280" t="s">
        <v>606</v>
      </c>
      <c r="C280" t="s">
        <v>607</v>
      </c>
      <c r="D280" t="str">
        <f t="shared" si="75"/>
      </c>
      <c r="F280" s="2664">
        <f>+'Income Statement'!EQ29</f>
      </c>
      <c r="G280" s="2664">
        <f>+'Income Statement'!ER29</f>
      </c>
      <c r="H280" s="2664">
        <f>+'Income Statement'!ES29</f>
      </c>
      <c r="I280" s="2664">
        <f>+'Income Statement'!ET29</f>
      </c>
      <c r="J280" s="2664">
        <f>+'Income Statement'!EU29</f>
      </c>
      <c r="K280" s="2664">
        <f>+'Income Statement'!EV29</f>
      </c>
      <c r="L280" s="2664">
        <f>+'Income Statement'!EW29</f>
      </c>
      <c r="M280" s="2664">
        <f>+'Income Statement'!EX29</f>
      </c>
      <c r="N280" s="2664">
        <f>+'Income Statement'!EY29</f>
      </c>
      <c r="O280" s="2664">
        <f>+'Income Statement'!EZ29</f>
      </c>
      <c r="P280" s="2664">
        <f>+'Income Statement'!FA29</f>
      </c>
      <c r="Q280" s="2664">
        <f>+'Income Statement'!FB29</f>
      </c>
      <c r="R280" s="2664">
        <f>+'Income Statement'!FC29</f>
      </c>
      <c r="S280" s="2664">
        <f>+'Income Statement'!FD29</f>
      </c>
      <c r="T280" s="2664">
        <f>+'Income Statement'!FE29</f>
      </c>
      <c r="U280" s="2664">
        <f>+'Income Statement'!FF29</f>
      </c>
      <c r="V280" s="2664">
        <f>+'Income Statement'!FG29</f>
      </c>
      <c r="W280" s="2664">
        <f>+'Income Statement'!FH29</f>
      </c>
      <c r="X280" s="2664">
        <f>+'Income Statement'!FI29</f>
      </c>
      <c r="Y280" s="2664">
        <f>+'Income Statement'!FJ29</f>
      </c>
      <c r="Z280" s="2664">
        <f>+'Income Statement'!FK29</f>
      </c>
      <c r="AA280" s="2664">
        <f>+'Income Statement'!FL29</f>
      </c>
      <c r="AB280" s="2664">
        <f>+'Income Statement'!FM29</f>
      </c>
      <c r="AC280" s="2664">
        <f>+'Income Statement'!FN29</f>
      </c>
      <c r="AD280" s="2664">
        <f>+'Income Statement'!FO29</f>
      </c>
      <c r="AE280" s="2664">
        <f>+'Income Statement'!FP29</f>
      </c>
      <c r="AF280" s="2664">
        <f>+'Income Statement'!FQ29</f>
      </c>
      <c r="AG280" s="2664">
        <f>+'Income Statement'!FR29</f>
      </c>
      <c r="AH280" s="2664">
        <f>+'Income Statement'!FS29</f>
      </c>
      <c r="AI280" s="2664">
        <f>+'Income Statement'!FT29</f>
      </c>
      <c r="AJ280" s="2664">
        <f>+'Income Statement'!FU29</f>
      </c>
      <c r="AK280" s="2664"/>
      <c r="AL280" s="2664">
        <f>+'Income Statement'!R29</f>
      </c>
      <c r="AM280" s="2664">
        <f t="shared" ref="AM280:CX280" si="76">AM277/AM286</f>
      </c>
      <c r="AN280" s="2664">
        <f t="shared" si="76"/>
      </c>
      <c r="AO280" s="2664">
        <f t="shared" si="76"/>
      </c>
      <c r="AP280" s="2664">
        <f t="shared" si="76"/>
      </c>
      <c r="AQ280" s="2664">
        <f t="shared" si="76"/>
      </c>
      <c r="AR280" s="2664">
        <f t="shared" si="76"/>
      </c>
      <c r="AS280" s="2664">
        <f t="shared" si="76"/>
      </c>
      <c r="AT280" s="2664">
        <f t="shared" si="76"/>
      </c>
      <c r="AU280" s="2664">
        <f t="shared" si="76"/>
      </c>
      <c r="AV280" s="2664">
        <f t="shared" si="76"/>
      </c>
      <c r="AW280" s="2664">
        <f t="shared" si="76"/>
      </c>
      <c r="AX280" s="2664">
        <f t="shared" si="76"/>
      </c>
      <c r="AY280" s="2664">
        <f t="shared" si="76"/>
      </c>
      <c r="AZ280" s="2664">
        <f t="shared" si="76"/>
      </c>
      <c r="BA280" s="2664">
        <f t="shared" si="76"/>
      </c>
      <c r="BB280" s="2664">
        <f t="shared" si="76"/>
      </c>
      <c r="BC280" s="2664">
        <f t="shared" si="76"/>
      </c>
      <c r="BD280" s="2664">
        <f t="shared" si="76"/>
      </c>
      <c r="BE280" s="2664">
        <f t="shared" si="76"/>
      </c>
      <c r="BF280" s="2664">
        <f t="shared" si="76"/>
      </c>
      <c r="BG280" s="2664">
        <f t="shared" si="76"/>
      </c>
      <c r="BH280" s="2664">
        <f t="shared" si="76"/>
      </c>
      <c r="BI280" s="2664">
        <f t="shared" si="76"/>
      </c>
      <c r="BJ280" s="2664">
        <f t="shared" si="76"/>
      </c>
      <c r="BK280" s="2664">
        <f t="shared" si="76"/>
      </c>
      <c r="BL280" s="2664">
        <f t="shared" si="76"/>
      </c>
      <c r="BM280" s="2664">
        <f t="shared" si="76"/>
      </c>
      <c r="BN280" s="2664">
        <f t="shared" si="76"/>
      </c>
      <c r="BO280" s="2664">
        <f t="shared" si="76"/>
      </c>
      <c r="BP280" s="2664">
        <f t="shared" si="76"/>
      </c>
      <c r="BQ280" s="2664">
        <f t="shared" si="76"/>
      </c>
      <c r="BR280" s="2664">
        <f t="shared" si="76"/>
      </c>
      <c r="BS280" s="2664">
        <f t="shared" si="76"/>
      </c>
      <c r="BT280" s="2664">
        <f t="shared" si="76"/>
      </c>
      <c r="BU280" s="2664">
        <f t="shared" si="76"/>
      </c>
      <c r="BV280" s="2664">
        <f t="shared" si="76"/>
      </c>
      <c r="BW280" s="2664">
        <f t="shared" si="76"/>
      </c>
      <c r="BX280" s="2664">
        <f t="shared" si="76"/>
      </c>
      <c r="BY280" s="2664">
        <f t="shared" si="76"/>
      </c>
      <c r="BZ280" s="2664">
        <f t="shared" si="76"/>
      </c>
      <c r="CA280" s="2664">
        <f t="shared" si="76"/>
      </c>
      <c r="CB280" s="2664">
        <f t="shared" si="76"/>
      </c>
      <c r="CC280" s="2664">
        <f t="shared" si="76"/>
      </c>
      <c r="CD280" s="2664">
        <f t="shared" si="76"/>
      </c>
      <c r="CE280" s="2664">
        <f t="shared" si="76"/>
      </c>
      <c r="CF280" s="2664">
        <f t="shared" si="76"/>
      </c>
      <c r="CG280" s="2664">
        <f t="shared" si="76"/>
      </c>
      <c r="CH280" s="2664">
        <f t="shared" si="76"/>
      </c>
      <c r="CI280" s="2664">
        <f t="shared" si="76"/>
      </c>
      <c r="CJ280" s="2664">
        <f t="shared" si="76"/>
      </c>
      <c r="CK280" s="2664">
        <f t="shared" si="76"/>
      </c>
      <c r="CL280" s="2664">
        <f t="shared" si="76"/>
      </c>
      <c r="CM280" s="2664">
        <f t="shared" si="76"/>
      </c>
      <c r="CN280" s="2664">
        <f t="shared" si="76"/>
      </c>
      <c r="CO280" s="2664">
        <f t="shared" si="76"/>
      </c>
      <c r="CP280" s="2664">
        <f t="shared" si="76"/>
      </c>
      <c r="CQ280" s="2664">
        <f t="shared" si="76"/>
      </c>
      <c r="CR280" s="2664">
        <f t="shared" si="76"/>
      </c>
      <c r="CS280" s="2664">
        <f t="shared" si="76"/>
      </c>
      <c r="CT280" s="2664">
        <f t="shared" si="76"/>
      </c>
      <c r="CU280" s="2664">
        <f t="shared" si="76"/>
      </c>
      <c r="CV280" s="2664">
        <f t="shared" si="76"/>
      </c>
      <c r="CW280" s="2664">
        <f t="shared" si="76"/>
      </c>
      <c r="CX280" s="2664">
        <f t="shared" si="76"/>
      </c>
      <c r="CY280" s="2664">
        <f t="shared" ref="CY280:DY280" si="77">CY277/CY286</f>
      </c>
      <c r="CZ280" s="2664">
        <f t="shared" si="77"/>
      </c>
      <c r="DA280" s="2664">
        <f t="shared" si="77"/>
      </c>
      <c r="DB280" s="2664">
        <f t="shared" si="77"/>
      </c>
      <c r="DC280" s="2664">
        <f t="shared" si="77"/>
      </c>
      <c r="DD280" s="2664">
        <f t="shared" si="77"/>
      </c>
      <c r="DE280" s="2664">
        <f t="shared" si="77"/>
      </c>
      <c r="DF280" s="2664">
        <f t="shared" si="77"/>
      </c>
      <c r="DG280" s="2664">
        <f t="shared" si="77"/>
      </c>
      <c r="DH280" s="2664">
        <f t="shared" si="77"/>
      </c>
      <c r="DI280" s="2664">
        <f t="shared" si="77"/>
      </c>
      <c r="DJ280" s="2664">
        <f t="shared" si="77"/>
      </c>
      <c r="DK280" s="2664">
        <f t="shared" si="77"/>
      </c>
      <c r="DL280" s="2664">
        <f t="shared" si="77"/>
      </c>
      <c r="DM280" s="2664">
        <f t="shared" si="77"/>
      </c>
      <c r="DN280" s="2664">
        <f t="shared" si="77"/>
      </c>
      <c r="DO280" s="2664">
        <f t="shared" si="77"/>
      </c>
      <c r="DP280" s="2664">
        <f t="shared" si="77"/>
      </c>
      <c r="DQ280" s="2664">
        <f t="shared" si="77"/>
      </c>
      <c r="DR280" s="2664">
        <f t="shared" si="77"/>
      </c>
      <c r="DS280" s="2664">
        <f t="shared" si="77"/>
      </c>
      <c r="DT280" s="2664">
        <f t="shared" si="77"/>
      </c>
      <c r="DU280" s="2664">
        <f t="shared" si="77"/>
      </c>
      <c r="DV280" s="2664">
        <f t="shared" si="77"/>
      </c>
      <c r="DW280" s="2664">
        <f t="shared" si="77"/>
      </c>
      <c r="DX280" s="2664">
        <f t="shared" si="77"/>
      </c>
      <c r="DY280" s="2664">
        <f t="shared" si="77"/>
      </c>
      <c r="DZ280" s="2664">
        <f>DZ277/DZ286</f>
      </c>
      <c r="EA280" s="2664">
        <f>EA277/EA286</f>
      </c>
      <c r="EB280" s="2664">
        <f>EB277/EB286</f>
      </c>
      <c r="EC280" s="2664">
        <f>EC277/EC286</f>
      </c>
      <c r="ED280" s="2664">
        <f t="shared" ref="ED280:EK280" si="78">ED277/ED286</f>
      </c>
      <c r="EE280" s="2664">
        <f t="shared" si="78"/>
      </c>
      <c r="EF280" s="2664">
        <f t="shared" si="78"/>
      </c>
      <c r="EG280" s="2664">
        <f t="shared" si="78"/>
      </c>
      <c r="EH280" s="2664">
        <f t="shared" si="78"/>
      </c>
      <c r="EI280" s="2664">
        <f t="shared" si="78"/>
      </c>
      <c r="EJ280" s="2664">
        <f t="shared" si="78"/>
      </c>
      <c r="EK280" s="2664">
        <f t="shared" si="78"/>
      </c>
      <c r="EL280" s="2664">
        <f t="shared" ref="EL280:FE280" si="79">EL277/EL286</f>
      </c>
      <c r="EM280" s="2664">
        <f t="shared" si="79"/>
      </c>
      <c r="EN280" s="2664">
        <f t="shared" si="79"/>
      </c>
      <c r="EO280" s="2664">
        <f t="shared" si="79"/>
      </c>
      <c r="EP280" s="2664">
        <f t="shared" si="79"/>
      </c>
      <c r="EQ280" s="2664">
        <f t="shared" si="79"/>
      </c>
      <c r="ER280" s="2664">
        <f t="shared" si="79"/>
      </c>
      <c r="ES280" s="2664">
        <f t="shared" si="79"/>
      </c>
      <c r="ET280" s="2664">
        <f t="shared" si="79"/>
      </c>
      <c r="EU280" s="2664">
        <f t="shared" si="79"/>
      </c>
      <c r="EV280" s="2664">
        <f t="shared" si="79"/>
      </c>
      <c r="EW280" s="2664">
        <f t="shared" si="79"/>
      </c>
      <c r="EX280" s="2664">
        <f t="shared" si="79"/>
      </c>
      <c r="EY280" s="2664">
        <f t="shared" si="79"/>
      </c>
      <c r="EZ280" s="2664">
        <f t="shared" si="79"/>
      </c>
      <c r="FA280" s="2664">
        <f t="shared" si="79"/>
      </c>
      <c r="FB280" s="2664">
        <f t="shared" si="79"/>
      </c>
      <c r="FC280" s="2664">
        <f t="shared" si="79"/>
      </c>
      <c r="FD280" s="2664">
        <f t="shared" si="79"/>
      </c>
      <c r="FE280" s="2664">
        <f t="shared" si="79"/>
      </c>
    </row>
    <row r="281" spans="2:161" outlineLevel="2">
      <c r="B281" t="s">
        <v>608</v>
      </c>
      <c r="C281" t="s">
        <v>609</v>
      </c>
      <c r="D281" t="str">
        <f t="shared" si="75"/>
      </c>
      <c r="F281" s="2664">
        <f>+'Income Statement'!EQ30</f>
      </c>
      <c r="G281" s="2664">
        <f>+'Income Statement'!ER30</f>
      </c>
      <c r="H281" s="2664">
        <f>+'Income Statement'!ES30</f>
      </c>
      <c r="I281" s="2664">
        <f>+'Income Statement'!ET30</f>
      </c>
      <c r="J281" s="2664">
        <f>+'Income Statement'!EU30</f>
      </c>
      <c r="K281" s="2664">
        <f>+'Income Statement'!EV30</f>
      </c>
      <c r="L281" s="2664">
        <f>+'Income Statement'!EW30</f>
      </c>
      <c r="M281" s="2664">
        <f>+'Income Statement'!EX30</f>
      </c>
      <c r="N281" s="2664">
        <f>+'Income Statement'!EY30</f>
      </c>
      <c r="O281" s="2664">
        <f>+'Income Statement'!EZ30</f>
      </c>
      <c r="P281" s="2664">
        <f>+'Income Statement'!FA30</f>
      </c>
      <c r="Q281" s="2664">
        <f>+'Income Statement'!FB30</f>
      </c>
      <c r="R281" s="2664">
        <f>+'Income Statement'!FC30</f>
      </c>
      <c r="S281" s="2664">
        <f>+'Income Statement'!FD30</f>
      </c>
      <c r="T281" s="2664">
        <f>+'Income Statement'!FE30</f>
      </c>
      <c r="U281" s="2664">
        <f>+'Income Statement'!FF30</f>
      </c>
      <c r="V281" s="2664">
        <f>+'Income Statement'!FG30</f>
      </c>
      <c r="W281" s="2664">
        <f>+'Income Statement'!FH30</f>
      </c>
      <c r="X281" s="2664">
        <f>+'Income Statement'!FI30</f>
      </c>
      <c r="Y281" s="2664">
        <f>+'Income Statement'!FJ30</f>
      </c>
      <c r="Z281" s="2664">
        <f>+'Income Statement'!FK30</f>
      </c>
      <c r="AA281" s="2664">
        <f>+'Income Statement'!FL30</f>
      </c>
      <c r="AB281" s="2664">
        <f>+'Income Statement'!FM30</f>
      </c>
      <c r="AC281" s="2664">
        <f>+'Income Statement'!FN30</f>
      </c>
      <c r="AD281" s="2664">
        <f>+'Income Statement'!FO30</f>
      </c>
      <c r="AE281" s="2664">
        <f>+'Income Statement'!FP30</f>
      </c>
      <c r="AF281" s="2664">
        <f>+'Income Statement'!FQ30</f>
      </c>
      <c r="AG281" s="2664">
        <f>+'Income Statement'!FR30</f>
      </c>
      <c r="AH281" s="2664">
        <f>+'Income Statement'!FS30</f>
      </c>
      <c r="AI281" s="2664">
        <f>+'Income Statement'!FT30</f>
      </c>
      <c r="AJ281" s="2664">
        <f>+'Income Statement'!FU30</f>
      </c>
      <c r="AK281" s="2664"/>
      <c r="AL281" s="2664">
        <f>+'Income Statement'!R30</f>
      </c>
      <c r="AM281" s="2664">
        <f>'Income Statement'!S30</f>
      </c>
      <c r="AN281" s="2664">
        <f>'Income Statement'!T30</f>
      </c>
      <c r="AO281" s="2664">
        <f>'Income Statement'!U30</f>
      </c>
      <c r="AP281" s="2664">
        <f>'Income Statement'!V30</f>
      </c>
      <c r="AQ281" s="2664">
        <f>'Income Statement'!W30</f>
      </c>
      <c r="AR281" s="2664">
        <f>'Income Statement'!X30</f>
      </c>
      <c r="AS281" s="2664">
        <f>'Income Statement'!Y30</f>
      </c>
      <c r="AT281" s="2664">
        <f>'Income Statement'!Z30</f>
      </c>
      <c r="AU281" s="2664">
        <f>'Income Statement'!AA30</f>
      </c>
      <c r="AV281" s="2664">
        <f>'Income Statement'!AB30</f>
      </c>
      <c r="AW281" s="2664">
        <f>'Income Statement'!AC30</f>
      </c>
      <c r="AX281" s="2664">
        <f>'Income Statement'!AD30</f>
      </c>
      <c r="AY281" s="2664">
        <f>'Income Statement'!AE30</f>
      </c>
      <c r="AZ281" s="2664">
        <f>'Income Statement'!AF30</f>
      </c>
      <c r="BA281" s="2664">
        <f>'Income Statement'!AG30</f>
      </c>
      <c r="BB281" s="2664">
        <f>'Income Statement'!AH30</f>
      </c>
      <c r="BC281" s="2664">
        <f>'Income Statement'!AI30</f>
      </c>
      <c r="BD281" s="2664">
        <f>'Income Statement'!AJ30</f>
      </c>
      <c r="BE281" s="2664">
        <f>'Income Statement'!AK30</f>
      </c>
      <c r="BF281" s="2664">
        <f>'Income Statement'!AL30</f>
      </c>
      <c r="BG281" s="2664">
        <f>'Income Statement'!AM30</f>
      </c>
      <c r="BH281" s="2664">
        <f>'Income Statement'!AN30</f>
      </c>
      <c r="BI281" s="2664">
        <f>'Income Statement'!AO30</f>
      </c>
      <c r="BJ281" s="2664">
        <f>'Income Statement'!AP30</f>
      </c>
      <c r="BK281" s="2664">
        <f>'Income Statement'!AQ30</f>
      </c>
      <c r="BL281" s="2664">
        <f>'Income Statement'!AR30</f>
      </c>
      <c r="BM281" s="2664">
        <f>'Income Statement'!AS30</f>
      </c>
      <c r="BN281" s="2664">
        <f>'Income Statement'!AT30</f>
      </c>
      <c r="BO281" s="2664">
        <f>'Income Statement'!AU30</f>
      </c>
      <c r="BP281" s="2664">
        <f>'Income Statement'!AV30</f>
      </c>
      <c r="BQ281" s="2664">
        <f>'Income Statement'!AW30</f>
      </c>
      <c r="BR281" s="2664">
        <f>'Income Statement'!AX30</f>
      </c>
      <c r="BS281" s="2664">
        <f>'Income Statement'!AY30</f>
      </c>
      <c r="BT281" s="2664">
        <f>'Income Statement'!AZ30</f>
      </c>
      <c r="BU281" s="2664">
        <f>'Income Statement'!BA30</f>
      </c>
      <c r="BV281" s="2664">
        <f>'Income Statement'!BB30</f>
      </c>
      <c r="BW281" s="2664">
        <f>'Income Statement'!BC30</f>
      </c>
      <c r="BX281" s="2664">
        <f>'Income Statement'!BD30</f>
      </c>
      <c r="BY281" s="2664">
        <f>'Income Statement'!BE30</f>
      </c>
      <c r="BZ281" s="2664">
        <f>'Income Statement'!BF30</f>
      </c>
      <c r="CA281" s="2664">
        <f>'Income Statement'!BG30</f>
      </c>
      <c r="CB281" s="2664">
        <f>'Income Statement'!BH30</f>
      </c>
      <c r="CC281" s="2664">
        <f>'Income Statement'!BI30</f>
      </c>
      <c r="CD281" s="2664">
        <f>'Income Statement'!BJ30</f>
      </c>
      <c r="CE281" s="2664">
        <f>'Income Statement'!BK30</f>
      </c>
      <c r="CF281" s="2664">
        <f>'Income Statement'!BL30</f>
      </c>
      <c r="CG281" s="2664">
        <f>'Income Statement'!BM30</f>
      </c>
      <c r="CH281" s="2664">
        <f>'Income Statement'!BN30</f>
      </c>
      <c r="CI281" s="2664">
        <f>'Income Statement'!BO30</f>
      </c>
      <c r="CJ281" s="2664">
        <f>'Income Statement'!BP30</f>
      </c>
      <c r="CK281" s="2664">
        <f>'Income Statement'!BQ30</f>
      </c>
      <c r="CL281" s="2664">
        <f>'Income Statement'!BR30</f>
      </c>
      <c r="CM281" s="2664">
        <f>'Income Statement'!BS30</f>
      </c>
      <c r="CN281" s="2664">
        <f>'Income Statement'!BT30</f>
      </c>
      <c r="CO281" s="2664">
        <f>'Income Statement'!BU30</f>
      </c>
      <c r="CP281" s="2664">
        <f>'Income Statement'!BV30</f>
      </c>
      <c r="CQ281" s="2664">
        <f>'Income Statement'!BW30</f>
      </c>
      <c r="CR281" s="2664">
        <f>'Income Statement'!BX30</f>
      </c>
      <c r="CS281" s="2664">
        <f>'Income Statement'!BY30</f>
      </c>
      <c r="CT281" s="2664">
        <f>'Income Statement'!BZ30</f>
      </c>
      <c r="CU281" s="2664">
        <f>'Income Statement'!CA30</f>
      </c>
      <c r="CV281" s="2664">
        <f>'Income Statement'!CB30</f>
      </c>
      <c r="CW281" s="2664">
        <f>'Income Statement'!CC30</f>
      </c>
      <c r="CX281" s="2664">
        <f>'Income Statement'!CD30</f>
      </c>
      <c r="CY281" s="2664">
        <f>'Income Statement'!CE30</f>
      </c>
      <c r="CZ281" s="2664">
        <f>'Income Statement'!CF30</f>
      </c>
      <c r="DA281" s="2664">
        <f>'Income Statement'!CG30</f>
      </c>
      <c r="DB281" s="2664">
        <f>'Income Statement'!CH30</f>
      </c>
      <c r="DC281" s="2664">
        <f>'Income Statement'!CI30</f>
      </c>
      <c r="DD281" s="2664">
        <f>'Income Statement'!CJ30</f>
      </c>
      <c r="DE281" s="2664">
        <f>'Income Statement'!CK30</f>
      </c>
      <c r="DF281" s="2664">
        <f>'Income Statement'!CL30</f>
      </c>
      <c r="DG281" s="2664">
        <f>'Income Statement'!CM30</f>
      </c>
      <c r="DH281" s="2664">
        <f>'Income Statement'!CN30</f>
      </c>
      <c r="DI281" s="2664">
        <f>'Income Statement'!CO30</f>
      </c>
      <c r="DJ281" s="2664">
        <f>'Income Statement'!CP30</f>
      </c>
      <c r="DK281" s="2664">
        <f>'Income Statement'!CQ30</f>
      </c>
      <c r="DL281" s="2664">
        <f>'Income Statement'!CR30</f>
      </c>
      <c r="DM281" s="2664">
        <f>'Income Statement'!CS30</f>
      </c>
      <c r="DN281" s="2664">
        <f>'Income Statement'!CT30</f>
      </c>
      <c r="DO281" s="2664">
        <f>'Income Statement'!CU30</f>
      </c>
      <c r="DP281" s="2664">
        <f>'Income Statement'!CV30</f>
      </c>
      <c r="DQ281" s="2664">
        <f>'Income Statement'!CW30</f>
      </c>
      <c r="DR281" s="2664">
        <f>'Income Statement'!CX30</f>
      </c>
      <c r="DS281" s="2664">
        <f>'Income Statement'!CY30</f>
      </c>
      <c r="DT281" s="2664">
        <f>'Income Statement'!CZ30</f>
      </c>
      <c r="DU281" s="2664">
        <f>'Income Statement'!DA30</f>
      </c>
      <c r="DV281" s="2664">
        <f>'Income Statement'!DB30</f>
      </c>
      <c r="DW281" s="2664">
        <f>'Income Statement'!DC30</f>
      </c>
      <c r="DX281" s="2664">
        <f>'Income Statement'!DD30</f>
      </c>
      <c r="DY281" s="2664">
        <f>'Income Statement'!DE30</f>
      </c>
      <c r="DZ281" s="2664">
        <f>'Income Statement'!DF30</f>
      </c>
      <c r="EA281" s="2664">
        <f>'Income Statement'!DG30</f>
      </c>
      <c r="EB281" s="2664">
        <f>'Income Statement'!DH30</f>
      </c>
      <c r="EC281" s="2664">
        <f>'Income Statement'!DI30</f>
      </c>
      <c r="ED281" s="2664">
        <f>'Income Statement'!DJ30</f>
      </c>
      <c r="EE281" s="2664">
        <f>'Income Statement'!DK30</f>
      </c>
      <c r="EF281" s="2664">
        <f>'Income Statement'!DL30</f>
      </c>
      <c r="EG281" s="2664">
        <f>'Income Statement'!DM30</f>
      </c>
      <c r="EH281" s="2664">
        <f>'Income Statement'!DN30</f>
      </c>
      <c r="EI281" s="2664">
        <f>'Income Statement'!DO30</f>
      </c>
      <c r="EJ281" s="2664">
        <f>'Income Statement'!DP30</f>
      </c>
      <c r="EK281" s="2664">
        <f>'Income Statement'!DQ30</f>
      </c>
      <c r="EL281" s="2664">
        <f>'Income Statement'!DR30</f>
      </c>
      <c r="EM281" s="2664">
        <f>'Income Statement'!DS30</f>
      </c>
      <c r="EN281" s="2664">
        <f>'Income Statement'!DT30</f>
      </c>
      <c r="EO281" s="2664">
        <f>'Income Statement'!DU30</f>
      </c>
      <c r="EP281" s="2664">
        <f>'Income Statement'!DV30</f>
      </c>
      <c r="EQ281" s="2664">
        <f>'Income Statement'!DW30</f>
      </c>
      <c r="ER281" s="2664">
        <f>'Income Statement'!DX30</f>
      </c>
      <c r="ES281" s="2664">
        <f>'Income Statement'!DY30</f>
      </c>
      <c r="ET281" s="2664">
        <f>'Income Statement'!DZ30</f>
      </c>
      <c r="EU281" s="2664">
        <f>'Income Statement'!EA30</f>
      </c>
      <c r="EV281" s="2664">
        <f>'Income Statement'!EB30</f>
      </c>
      <c r="EW281" s="2664">
        <f>'Income Statement'!EC30</f>
      </c>
      <c r="EX281" s="2664">
        <f>'Income Statement'!ED30</f>
      </c>
      <c r="EY281" s="2664">
        <f>'Income Statement'!EE30</f>
      </c>
      <c r="EZ281" s="2664">
        <f>'Income Statement'!EF30</f>
      </c>
      <c r="FA281" s="2664">
        <f>'Income Statement'!EG30</f>
      </c>
      <c r="FB281" s="2664">
        <f>'Income Statement'!EH30</f>
      </c>
      <c r="FC281" s="2664">
        <f>'Income Statement'!EI30</f>
      </c>
      <c r="FD281" s="2664">
        <f>'Income Statement'!EJ30</f>
      </c>
      <c r="FE281" s="2664">
        <f>'Income Statement'!EK30</f>
      </c>
    </row>
    <row r="282" spans="2:161" outlineLevel="2">
      <c r="B282" t="s">
        <v>610</v>
      </c>
      <c r="C282" t="s">
        <v>611</v>
      </c>
      <c r="D282" t="str">
        <f t="shared" si="75"/>
      </c>
      <c r="F282" s="2664">
        <f>+'Income Statement'!EQ31</f>
      </c>
      <c r="G282" s="2664">
        <f>+'Income Statement'!ER31</f>
      </c>
      <c r="H282" s="2664">
        <f>+'Income Statement'!ES31</f>
      </c>
      <c r="I282" s="2664">
        <f>+'Income Statement'!ET31</f>
      </c>
      <c r="J282" s="2664">
        <f>+'Income Statement'!EU31</f>
      </c>
      <c r="K282" s="2664">
        <f>+'Income Statement'!EV31</f>
      </c>
      <c r="L282" s="2664">
        <f>+'Income Statement'!EW31</f>
      </c>
      <c r="M282" s="2664">
        <f>+'Income Statement'!EX31</f>
      </c>
      <c r="N282" s="2664">
        <f>+'Income Statement'!EY31</f>
      </c>
      <c r="O282" s="2664">
        <f>+'Income Statement'!EZ31</f>
      </c>
      <c r="P282" s="2664">
        <f>+'Income Statement'!FA31</f>
      </c>
      <c r="Q282" s="2664">
        <f>+'Income Statement'!FB31</f>
      </c>
      <c r="R282" s="2664">
        <f>+'Income Statement'!FC31</f>
      </c>
      <c r="S282" s="2664">
        <f>+'Income Statement'!FD31</f>
      </c>
      <c r="T282" s="2664">
        <f>+'Income Statement'!FE31</f>
      </c>
      <c r="U282" s="2664">
        <f>+'Income Statement'!FF31</f>
      </c>
      <c r="V282" s="2664">
        <f>+'Income Statement'!FG31</f>
      </c>
      <c r="W282" s="2664">
        <f>+'Income Statement'!FH31</f>
      </c>
      <c r="X282" s="2664">
        <f>+'Income Statement'!FI31</f>
      </c>
      <c r="Y282" s="2664">
        <f>+'Income Statement'!FJ31</f>
      </c>
      <c r="Z282" s="2664">
        <f>+'Income Statement'!FK31</f>
      </c>
      <c r="AA282" s="2664">
        <f>+'Income Statement'!FL31</f>
      </c>
      <c r="AB282" s="2664">
        <f>+'Income Statement'!FM31</f>
      </c>
      <c r="AC282" s="2664">
        <f>+'Income Statement'!FN31</f>
      </c>
      <c r="AD282" s="2664">
        <f>+'Income Statement'!FO31</f>
      </c>
      <c r="AE282" s="2664">
        <f>+'Income Statement'!FP31</f>
      </c>
      <c r="AF282" s="2664">
        <f>+'Income Statement'!FQ31</f>
      </c>
      <c r="AG282" s="2664">
        <f>+'Income Statement'!FR31</f>
      </c>
      <c r="AH282" s="2664">
        <f>+'Income Statement'!FS31</f>
      </c>
      <c r="AI282" s="2664">
        <f>+'Income Statement'!FT31</f>
      </c>
      <c r="AJ282" s="2664">
        <f>+'Income Statement'!FU31</f>
      </c>
      <c r="AK282" s="2664"/>
      <c r="AL282" s="2664">
        <f>+'Income Statement'!R31</f>
      </c>
      <c r="AM282" s="2664">
        <f t="shared" ref="AM282:CX282" si="80">AM279/AM286</f>
      </c>
      <c r="AN282" s="2664">
        <f t="shared" si="80"/>
      </c>
      <c r="AO282" s="2664">
        <f t="shared" si="80"/>
      </c>
      <c r="AP282" s="2664">
        <f t="shared" si="80"/>
      </c>
      <c r="AQ282" s="2664">
        <f t="shared" si="80"/>
      </c>
      <c r="AR282" s="2664">
        <f t="shared" si="80"/>
      </c>
      <c r="AS282" s="2664">
        <f t="shared" si="80"/>
      </c>
      <c r="AT282" s="2664">
        <f t="shared" si="80"/>
      </c>
      <c r="AU282" s="2664">
        <f t="shared" si="80"/>
      </c>
      <c r="AV282" s="2664">
        <f t="shared" si="80"/>
      </c>
      <c r="AW282" s="2664">
        <f t="shared" si="80"/>
      </c>
      <c r="AX282" s="2664">
        <f t="shared" si="80"/>
      </c>
      <c r="AY282" s="2664">
        <f t="shared" si="80"/>
      </c>
      <c r="AZ282" s="2664">
        <f t="shared" si="80"/>
      </c>
      <c r="BA282" s="2664">
        <f t="shared" si="80"/>
      </c>
      <c r="BB282" s="2664">
        <f t="shared" si="80"/>
      </c>
      <c r="BC282" s="2664">
        <f t="shared" si="80"/>
      </c>
      <c r="BD282" s="2664">
        <f t="shared" si="80"/>
      </c>
      <c r="BE282" s="2664">
        <f t="shared" si="80"/>
      </c>
      <c r="BF282" s="2664">
        <f t="shared" si="80"/>
      </c>
      <c r="BG282" s="2664">
        <f t="shared" si="80"/>
      </c>
      <c r="BH282" s="2664">
        <f t="shared" si="80"/>
      </c>
      <c r="BI282" s="2664">
        <f t="shared" si="80"/>
      </c>
      <c r="BJ282" s="2664">
        <f t="shared" si="80"/>
      </c>
      <c r="BK282" s="2664">
        <f t="shared" si="80"/>
      </c>
      <c r="BL282" s="2664">
        <f t="shared" si="80"/>
      </c>
      <c r="BM282" s="2664">
        <f t="shared" si="80"/>
      </c>
      <c r="BN282" s="2664">
        <f t="shared" si="80"/>
      </c>
      <c r="BO282" s="2664">
        <f t="shared" si="80"/>
      </c>
      <c r="BP282" s="2664">
        <f t="shared" si="80"/>
      </c>
      <c r="BQ282" s="2664">
        <f t="shared" si="80"/>
      </c>
      <c r="BR282" s="2664">
        <f t="shared" si="80"/>
      </c>
      <c r="BS282" s="2664">
        <f t="shared" si="80"/>
      </c>
      <c r="BT282" s="2664">
        <f t="shared" si="80"/>
      </c>
      <c r="BU282" s="2664">
        <f t="shared" si="80"/>
      </c>
      <c r="BV282" s="2664">
        <f t="shared" si="80"/>
      </c>
      <c r="BW282" s="2664">
        <f t="shared" si="80"/>
      </c>
      <c r="BX282" s="2664">
        <f t="shared" si="80"/>
      </c>
      <c r="BY282" s="2664">
        <f t="shared" si="80"/>
      </c>
      <c r="BZ282" s="2664">
        <f t="shared" si="80"/>
      </c>
      <c r="CA282" s="2664">
        <f t="shared" si="80"/>
      </c>
      <c r="CB282" s="2664">
        <f t="shared" si="80"/>
      </c>
      <c r="CC282" s="2664">
        <f t="shared" si="80"/>
      </c>
      <c r="CD282" s="2664">
        <f t="shared" si="80"/>
      </c>
      <c r="CE282" s="2664">
        <f t="shared" si="80"/>
      </c>
      <c r="CF282" s="2664">
        <f t="shared" si="80"/>
      </c>
      <c r="CG282" s="2664">
        <f t="shared" si="80"/>
      </c>
      <c r="CH282" s="2664">
        <f t="shared" si="80"/>
      </c>
      <c r="CI282" s="2664">
        <f t="shared" si="80"/>
      </c>
      <c r="CJ282" s="2664">
        <f t="shared" si="80"/>
      </c>
      <c r="CK282" s="2664">
        <f t="shared" si="80"/>
      </c>
      <c r="CL282" s="2664">
        <f t="shared" si="80"/>
      </c>
      <c r="CM282" s="2664">
        <f t="shared" si="80"/>
      </c>
      <c r="CN282" s="2664">
        <f t="shared" si="80"/>
      </c>
      <c r="CO282" s="2664">
        <f t="shared" si="80"/>
      </c>
      <c r="CP282" s="2664">
        <f t="shared" si="80"/>
      </c>
      <c r="CQ282" s="2664">
        <f t="shared" si="80"/>
      </c>
      <c r="CR282" s="2664">
        <f t="shared" si="80"/>
      </c>
      <c r="CS282" s="2664">
        <f t="shared" si="80"/>
      </c>
      <c r="CT282" s="2664">
        <f t="shared" si="80"/>
      </c>
      <c r="CU282" s="2664">
        <f t="shared" si="80"/>
      </c>
      <c r="CV282" s="2664">
        <f t="shared" si="80"/>
      </c>
      <c r="CW282" s="2664">
        <f t="shared" si="80"/>
      </c>
      <c r="CX282" s="2664">
        <f t="shared" si="80"/>
      </c>
      <c r="CY282" s="2664">
        <f t="shared" ref="CY282:DY282" si="81">CY279/CY286</f>
      </c>
      <c r="CZ282" s="2664">
        <f t="shared" si="81"/>
      </c>
      <c r="DA282" s="2664">
        <f t="shared" si="81"/>
      </c>
      <c r="DB282" s="2664">
        <f t="shared" si="81"/>
      </c>
      <c r="DC282" s="2664">
        <f t="shared" si="81"/>
      </c>
      <c r="DD282" s="2664">
        <f t="shared" si="81"/>
      </c>
      <c r="DE282" s="2664">
        <f t="shared" si="81"/>
      </c>
      <c r="DF282" s="2664">
        <f t="shared" si="81"/>
      </c>
      <c r="DG282" s="2664">
        <f t="shared" si="81"/>
      </c>
      <c r="DH282" s="2664">
        <f t="shared" si="81"/>
      </c>
      <c r="DI282" s="2664">
        <f t="shared" si="81"/>
      </c>
      <c r="DJ282" s="2664">
        <f t="shared" si="81"/>
      </c>
      <c r="DK282" s="2664">
        <f t="shared" si="81"/>
      </c>
      <c r="DL282" s="2664">
        <f t="shared" si="81"/>
      </c>
      <c r="DM282" s="2664">
        <f t="shared" si="81"/>
      </c>
      <c r="DN282" s="2664">
        <f t="shared" si="81"/>
      </c>
      <c r="DO282" s="2664">
        <f t="shared" si="81"/>
      </c>
      <c r="DP282" s="2664">
        <f t="shared" si="81"/>
      </c>
      <c r="DQ282" s="2664">
        <f t="shared" si="81"/>
      </c>
      <c r="DR282" s="2664">
        <f t="shared" si="81"/>
      </c>
      <c r="DS282" s="2664">
        <f t="shared" si="81"/>
      </c>
      <c r="DT282" s="2664">
        <f t="shared" si="81"/>
      </c>
      <c r="DU282" s="2664">
        <f t="shared" si="81"/>
      </c>
      <c r="DV282" s="2664">
        <f t="shared" si="81"/>
      </c>
      <c r="DW282" s="2664">
        <f t="shared" si="81"/>
      </c>
      <c r="DX282" s="2664">
        <f t="shared" si="81"/>
      </c>
      <c r="DY282" s="2664">
        <f t="shared" si="81"/>
      </c>
      <c r="DZ282" s="2664">
        <f>DZ279/DZ286</f>
      </c>
      <c r="EA282" s="2664">
        <f>EA279/EA286</f>
      </c>
      <c r="EB282" s="2664">
        <f>EB279/EB286</f>
      </c>
      <c r="EC282" s="2664">
        <f>EC279/EC286</f>
      </c>
      <c r="ED282" s="2664">
        <f t="shared" ref="ED282:EK282" si="82">ED279/ED286</f>
      </c>
      <c r="EE282" s="2664">
        <f t="shared" si="82"/>
      </c>
      <c r="EF282" s="2664">
        <f t="shared" si="82"/>
      </c>
      <c r="EG282" s="2664">
        <f t="shared" si="82"/>
      </c>
      <c r="EH282" s="2664">
        <f t="shared" si="82"/>
      </c>
      <c r="EI282" s="2664">
        <f t="shared" si="82"/>
      </c>
      <c r="EJ282" s="2664">
        <f t="shared" si="82"/>
      </c>
      <c r="EK282" s="2664">
        <f t="shared" si="82"/>
      </c>
      <c r="EL282" s="2664">
        <f t="shared" ref="EL282:FE282" si="83">EL279/EL286</f>
      </c>
      <c r="EM282" s="2664">
        <f t="shared" si="83"/>
      </c>
      <c r="EN282" s="2664">
        <f t="shared" si="83"/>
      </c>
      <c r="EO282" s="2664">
        <f t="shared" si="83"/>
      </c>
      <c r="EP282" s="2664">
        <f t="shared" si="83"/>
      </c>
      <c r="EQ282" s="2664">
        <f t="shared" si="83"/>
      </c>
      <c r="ER282" s="2664">
        <f t="shared" si="83"/>
      </c>
      <c r="ES282" s="2664">
        <f t="shared" si="83"/>
      </c>
      <c r="ET282" s="2664">
        <f t="shared" si="83"/>
      </c>
      <c r="EU282" s="2664">
        <f t="shared" si="83"/>
      </c>
      <c r="EV282" s="2664">
        <f t="shared" si="83"/>
      </c>
      <c r="EW282" s="2664">
        <f t="shared" si="83"/>
      </c>
      <c r="EX282" s="2664">
        <f t="shared" si="83"/>
      </c>
      <c r="EY282" s="2664">
        <f t="shared" si="83"/>
      </c>
      <c r="EZ282" s="2664">
        <f t="shared" si="83"/>
      </c>
      <c r="FA282" s="2664">
        <f t="shared" si="83"/>
      </c>
      <c r="FB282" s="2664">
        <f t="shared" si="83"/>
      </c>
      <c r="FC282" s="2664">
        <f t="shared" si="83"/>
      </c>
      <c r="FD282" s="2664">
        <f t="shared" si="83"/>
      </c>
      <c r="FE282" s="2664">
        <f t="shared" si="83"/>
      </c>
    </row>
    <row r="283" spans="2:161" outlineLevel="2">
      <c r="B283" t="s">
        <v>612</v>
      </c>
      <c r="C283" t="s">
        <v>613</v>
      </c>
      <c r="D283" t="str">
        <f t="shared" si="75"/>
      </c>
      <c r="F283" s="2664">
        <f>+'Income Statement'!EQ32</f>
      </c>
      <c r="G283" s="2664">
        <f>+'Income Statement'!ER32</f>
      </c>
      <c r="H283" s="2664">
        <f>+'Income Statement'!ES32</f>
      </c>
      <c r="I283" s="2664">
        <f>+'Income Statement'!ET32</f>
      </c>
      <c r="J283" s="2664">
        <f>+'Income Statement'!EU32</f>
      </c>
      <c r="K283" s="2664">
        <f>+'Income Statement'!EV32</f>
      </c>
      <c r="L283" s="2664">
        <f>+'Income Statement'!EW32</f>
      </c>
      <c r="M283" s="2664">
        <f>+'Income Statement'!EX32</f>
      </c>
      <c r="N283" s="2664">
        <f>+'Income Statement'!EY32</f>
      </c>
      <c r="O283" s="2664">
        <f>+'Income Statement'!EZ32</f>
      </c>
      <c r="P283" s="2664">
        <f>+'Income Statement'!FA32</f>
      </c>
      <c r="Q283" s="2664">
        <f>+'Income Statement'!FB32</f>
      </c>
      <c r="R283" s="2664">
        <f>+'Income Statement'!FC32</f>
      </c>
      <c r="S283" s="2664">
        <f>+'Income Statement'!FD32</f>
      </c>
      <c r="T283" s="2664">
        <f>+'Income Statement'!FE32</f>
      </c>
      <c r="U283" s="2664">
        <f>+'Income Statement'!FF32</f>
      </c>
      <c r="V283" s="2664">
        <f>+'Income Statement'!FG32</f>
      </c>
      <c r="W283" s="2664">
        <f>+'Income Statement'!FH32</f>
      </c>
      <c r="X283" s="2664">
        <f>+'Income Statement'!FI32</f>
      </c>
      <c r="Y283" s="2664">
        <f>+'Income Statement'!FJ32</f>
      </c>
      <c r="Z283" s="2664">
        <f>+'Income Statement'!FK32</f>
      </c>
      <c r="AA283" s="2664">
        <f>+'Income Statement'!FL32</f>
      </c>
      <c r="AB283" s="2664">
        <f>+'Income Statement'!FM32</f>
      </c>
      <c r="AC283" s="2664">
        <f>+'Income Statement'!FN32</f>
      </c>
      <c r="AD283" s="2664">
        <f>+'Income Statement'!FO32</f>
      </c>
      <c r="AE283" s="2664">
        <f>+'Income Statement'!FP32</f>
      </c>
      <c r="AF283" s="2664">
        <f>+'Income Statement'!FQ32</f>
      </c>
      <c r="AG283" s="2664">
        <f>+'Income Statement'!FR32</f>
      </c>
      <c r="AH283" s="2664">
        <f>+'Income Statement'!FS32</f>
      </c>
      <c r="AI283" s="2664">
        <f>+'Income Statement'!FT32</f>
      </c>
      <c r="AJ283" s="2664">
        <f>+'Income Statement'!FU32</f>
      </c>
      <c r="AK283" s="2664"/>
      <c r="AL283" s="2664">
        <f>+'Income Statement'!R32</f>
      </c>
      <c r="AM283" s="2664">
        <f t="shared" ref="AM283:CX283" si="84">AM279/AM287</f>
      </c>
      <c r="AN283" s="2664">
        <f t="shared" si="84"/>
      </c>
      <c r="AO283" s="2664">
        <f t="shared" si="84"/>
      </c>
      <c r="AP283" s="2664">
        <f t="shared" si="84"/>
      </c>
      <c r="AQ283" s="2664">
        <f t="shared" si="84"/>
      </c>
      <c r="AR283" s="2664">
        <f t="shared" si="84"/>
      </c>
      <c r="AS283" s="2664">
        <f t="shared" si="84"/>
      </c>
      <c r="AT283" s="2664">
        <f t="shared" si="84"/>
      </c>
      <c r="AU283" s="2664">
        <f t="shared" si="84"/>
      </c>
      <c r="AV283" s="2664">
        <f t="shared" si="84"/>
      </c>
      <c r="AW283" s="2664">
        <f t="shared" si="84"/>
      </c>
      <c r="AX283" s="2664">
        <f t="shared" si="84"/>
      </c>
      <c r="AY283" s="2664">
        <f t="shared" si="84"/>
      </c>
      <c r="AZ283" s="2664">
        <f t="shared" si="84"/>
      </c>
      <c r="BA283" s="2664">
        <f t="shared" si="84"/>
      </c>
      <c r="BB283" s="2664">
        <f t="shared" si="84"/>
      </c>
      <c r="BC283" s="2664">
        <f t="shared" si="84"/>
      </c>
      <c r="BD283" s="2664">
        <f t="shared" si="84"/>
      </c>
      <c r="BE283" s="2664">
        <f t="shared" si="84"/>
      </c>
      <c r="BF283" s="2664">
        <f t="shared" si="84"/>
      </c>
      <c r="BG283" s="2664">
        <f t="shared" si="84"/>
      </c>
      <c r="BH283" s="2664">
        <f t="shared" si="84"/>
      </c>
      <c r="BI283" s="2664">
        <f t="shared" si="84"/>
      </c>
      <c r="BJ283" s="2664">
        <f t="shared" si="84"/>
      </c>
      <c r="BK283" s="2664">
        <f t="shared" si="84"/>
      </c>
      <c r="BL283" s="2664">
        <f t="shared" si="84"/>
      </c>
      <c r="BM283" s="2664">
        <f t="shared" si="84"/>
      </c>
      <c r="BN283" s="2664">
        <f t="shared" si="84"/>
      </c>
      <c r="BO283" s="2664">
        <f t="shared" si="84"/>
      </c>
      <c r="BP283" s="2664">
        <f t="shared" si="84"/>
      </c>
      <c r="BQ283" s="2664">
        <f t="shared" si="84"/>
      </c>
      <c r="BR283" s="2664">
        <f t="shared" si="84"/>
      </c>
      <c r="BS283" s="2664">
        <f t="shared" si="84"/>
      </c>
      <c r="BT283" s="2664">
        <f t="shared" si="84"/>
      </c>
      <c r="BU283" s="2664">
        <f t="shared" si="84"/>
      </c>
      <c r="BV283" s="2664">
        <f t="shared" si="84"/>
      </c>
      <c r="BW283" s="2664">
        <f t="shared" si="84"/>
      </c>
      <c r="BX283" s="2664">
        <f t="shared" si="84"/>
      </c>
      <c r="BY283" s="2664">
        <f t="shared" si="84"/>
      </c>
      <c r="BZ283" s="2664">
        <f t="shared" si="84"/>
      </c>
      <c r="CA283" s="2664">
        <f t="shared" si="84"/>
      </c>
      <c r="CB283" s="2664">
        <f t="shared" si="84"/>
      </c>
      <c r="CC283" s="2664">
        <f t="shared" si="84"/>
      </c>
      <c r="CD283" s="2664">
        <f t="shared" si="84"/>
      </c>
      <c r="CE283" s="2664">
        <f t="shared" si="84"/>
      </c>
      <c r="CF283" s="2664">
        <f t="shared" si="84"/>
      </c>
      <c r="CG283" s="2664">
        <f t="shared" si="84"/>
      </c>
      <c r="CH283" s="2664">
        <f t="shared" si="84"/>
      </c>
      <c r="CI283" s="2664">
        <f t="shared" si="84"/>
      </c>
      <c r="CJ283" s="2664">
        <f t="shared" si="84"/>
      </c>
      <c r="CK283" s="2664">
        <f t="shared" si="84"/>
      </c>
      <c r="CL283" s="2664">
        <f t="shared" si="84"/>
      </c>
      <c r="CM283" s="2664">
        <f t="shared" si="84"/>
      </c>
      <c r="CN283" s="2664">
        <f t="shared" si="84"/>
      </c>
      <c r="CO283" s="2664">
        <f t="shared" si="84"/>
      </c>
      <c r="CP283" s="2664">
        <f t="shared" si="84"/>
      </c>
      <c r="CQ283" s="2664">
        <f t="shared" si="84"/>
      </c>
      <c r="CR283" s="2664">
        <f t="shared" si="84"/>
      </c>
      <c r="CS283" s="2664">
        <f t="shared" si="84"/>
      </c>
      <c r="CT283" s="2664">
        <f t="shared" si="84"/>
      </c>
      <c r="CU283" s="2664">
        <f t="shared" si="84"/>
      </c>
      <c r="CV283" s="2664">
        <f t="shared" si="84"/>
      </c>
      <c r="CW283" s="2664">
        <f t="shared" si="84"/>
      </c>
      <c r="CX283" s="2664">
        <f t="shared" si="84"/>
      </c>
      <c r="CY283" s="2664">
        <f t="shared" ref="CY283:DY283" si="85">CY279/CY287</f>
      </c>
      <c r="CZ283" s="2664">
        <f t="shared" si="85"/>
      </c>
      <c r="DA283" s="2664">
        <f t="shared" si="85"/>
      </c>
      <c r="DB283" s="2664">
        <f t="shared" si="85"/>
      </c>
      <c r="DC283" s="2664">
        <f t="shared" si="85"/>
      </c>
      <c r="DD283" s="2664">
        <f t="shared" si="85"/>
      </c>
      <c r="DE283" s="2664">
        <f t="shared" si="85"/>
      </c>
      <c r="DF283" s="2664">
        <f t="shared" si="85"/>
      </c>
      <c r="DG283" s="2664">
        <f t="shared" si="85"/>
      </c>
      <c r="DH283" s="2664">
        <f t="shared" si="85"/>
      </c>
      <c r="DI283" s="2664">
        <f t="shared" si="85"/>
      </c>
      <c r="DJ283" s="2664">
        <f t="shared" si="85"/>
      </c>
      <c r="DK283" s="2664">
        <f t="shared" si="85"/>
      </c>
      <c r="DL283" s="2664">
        <f t="shared" si="85"/>
      </c>
      <c r="DM283" s="2664">
        <f t="shared" si="85"/>
      </c>
      <c r="DN283" s="2664">
        <f t="shared" si="85"/>
      </c>
      <c r="DO283" s="2664">
        <f t="shared" si="85"/>
      </c>
      <c r="DP283" s="2664">
        <f t="shared" si="85"/>
      </c>
      <c r="DQ283" s="2664">
        <f t="shared" si="85"/>
      </c>
      <c r="DR283" s="2664">
        <f t="shared" si="85"/>
      </c>
      <c r="DS283" s="2664">
        <f t="shared" si="85"/>
      </c>
      <c r="DT283" s="2664">
        <f t="shared" si="85"/>
      </c>
      <c r="DU283" s="2664">
        <f t="shared" si="85"/>
      </c>
      <c r="DV283" s="2664">
        <f t="shared" si="85"/>
      </c>
      <c r="DW283" s="2664">
        <f t="shared" si="85"/>
      </c>
      <c r="DX283" s="2664">
        <f t="shared" si="85"/>
      </c>
      <c r="DY283" s="2664">
        <f t="shared" si="85"/>
      </c>
      <c r="DZ283" s="2664">
        <f>DZ279/DZ287</f>
      </c>
      <c r="EA283" s="2664">
        <f>EA279/EA287</f>
      </c>
      <c r="EB283" s="2664">
        <f>EB279/EB287</f>
      </c>
      <c r="EC283" s="2664">
        <f>EC279/EC287</f>
      </c>
      <c r="ED283" s="2664">
        <f t="shared" ref="ED283:EK283" si="86">ED279/ED287</f>
      </c>
      <c r="EE283" s="2664">
        <f t="shared" si="86"/>
      </c>
      <c r="EF283" s="2664">
        <f t="shared" si="86"/>
      </c>
      <c r="EG283" s="2664">
        <f t="shared" si="86"/>
      </c>
      <c r="EH283" s="2664">
        <f t="shared" si="86"/>
      </c>
      <c r="EI283" s="2664">
        <f t="shared" si="86"/>
      </c>
      <c r="EJ283" s="2664">
        <f t="shared" si="86"/>
      </c>
      <c r="EK283" s="2664">
        <f t="shared" si="86"/>
      </c>
      <c r="EL283" s="2664">
        <f t="shared" ref="EL283:FE283" si="87">EL279/EL287</f>
      </c>
      <c r="EM283" s="2664">
        <f t="shared" si="87"/>
      </c>
      <c r="EN283" s="2664">
        <f t="shared" si="87"/>
      </c>
      <c r="EO283" s="2664">
        <f t="shared" si="87"/>
      </c>
      <c r="EP283" s="2664">
        <f t="shared" si="87"/>
      </c>
      <c r="EQ283" s="2664">
        <f t="shared" si="87"/>
      </c>
      <c r="ER283" s="2664">
        <f t="shared" si="87"/>
      </c>
      <c r="ES283" s="2664">
        <f t="shared" si="87"/>
      </c>
      <c r="ET283" s="2664">
        <f t="shared" si="87"/>
      </c>
      <c r="EU283" s="2664">
        <f t="shared" si="87"/>
      </c>
      <c r="EV283" s="2664">
        <f t="shared" si="87"/>
      </c>
      <c r="EW283" s="2664">
        <f t="shared" si="87"/>
      </c>
      <c r="EX283" s="2664">
        <f t="shared" si="87"/>
      </c>
      <c r="EY283" s="2664">
        <f t="shared" si="87"/>
      </c>
      <c r="EZ283" s="2664">
        <f t="shared" si="87"/>
      </c>
      <c r="FA283" s="2664">
        <f t="shared" si="87"/>
      </c>
      <c r="FB283" s="2664">
        <f t="shared" si="87"/>
      </c>
      <c r="FC283" s="2664">
        <f t="shared" si="87"/>
      </c>
      <c r="FD283" s="2664">
        <f t="shared" si="87"/>
      </c>
      <c r="FE283" s="2664">
        <f t="shared" si="87"/>
      </c>
    </row>
    <row r="284" spans="2:161" outlineLevel="2">
      <c r="B284" t="s">
        <v>614</v>
      </c>
      <c r="C284" t="s">
        <v>615</v>
      </c>
      <c r="D284" t="str">
        <f t="shared" si="75"/>
      </c>
      <c r="F284" s="2657">
        <f>'Cash Flow Statement'!ER41</f>
      </c>
      <c r="G284" s="2657">
        <f>'Cash Flow Statement'!ES41</f>
      </c>
      <c r="H284" s="2657">
        <f>'Cash Flow Statement'!ET41</f>
      </c>
      <c r="I284" s="2657">
        <f>'Cash Flow Statement'!EU41</f>
      </c>
      <c r="J284" s="2657">
        <f>'Cash Flow Statement'!EV41</f>
      </c>
      <c r="K284" s="2657">
        <f>'Cash Flow Statement'!EW41</f>
      </c>
      <c r="L284" s="2657">
        <f>'Cash Flow Statement'!EX41</f>
      </c>
      <c r="M284" s="2657">
        <f>'Cash Flow Statement'!EY41</f>
      </c>
      <c r="N284" s="2657">
        <f>'Cash Flow Statement'!EZ41</f>
      </c>
      <c r="O284" s="2657">
        <f>'Cash Flow Statement'!FA41</f>
      </c>
      <c r="P284" s="2657">
        <f>'Cash Flow Statement'!FB41</f>
      </c>
      <c r="Q284" s="2657">
        <f>'Cash Flow Statement'!FC41</f>
      </c>
      <c r="R284" s="2657">
        <f>'Cash Flow Statement'!FD41</f>
      </c>
      <c r="S284" s="2657">
        <f>'Cash Flow Statement'!FE41</f>
      </c>
      <c r="T284" s="2657">
        <f>'Cash Flow Statement'!FF41</f>
      </c>
      <c r="U284" s="2657">
        <f>'Cash Flow Statement'!FG41</f>
      </c>
      <c r="V284" s="2657">
        <f>'Cash Flow Statement'!FH41</f>
      </c>
      <c r="W284" s="2657">
        <f>'Cash Flow Statement'!FI41</f>
      </c>
      <c r="X284" s="2657">
        <f>'Cash Flow Statement'!FJ41</f>
      </c>
      <c r="Y284" s="2657">
        <f>'Cash Flow Statement'!FK41</f>
      </c>
      <c r="Z284" s="2657">
        <f>'Cash Flow Statement'!FL41</f>
      </c>
      <c r="AA284" s="2657">
        <f>'Cash Flow Statement'!FM41</f>
      </c>
      <c r="AB284" s="2657">
        <f>'Cash Flow Statement'!FN41</f>
      </c>
      <c r="AC284" s="2657">
        <f>'Cash Flow Statement'!FO41</f>
      </c>
      <c r="AD284" s="2657">
        <f>'Cash Flow Statement'!FP41</f>
      </c>
      <c r="AE284" s="2657">
        <f>'Cash Flow Statement'!FQ41</f>
      </c>
      <c r="AF284" s="2657">
        <f>'Cash Flow Statement'!FR41</f>
      </c>
      <c r="AG284" s="2657">
        <f>'Cash Flow Statement'!FS41</f>
      </c>
      <c r="AH284" s="2657">
        <f>'Cash Flow Statement'!FT41</f>
      </c>
      <c r="AI284" s="2657">
        <f>'Cash Flow Statement'!FU41</f>
      </c>
      <c r="AJ284" s="2657">
        <f>'Cash Flow Statement'!FV41</f>
      </c>
      <c r="AK284" s="2657"/>
      <c r="AL284" s="2657">
        <f>'Cash Flow Statement'!R41</f>
      </c>
      <c r="AM284" s="2657">
        <f>'Cash Flow Statement'!S41</f>
      </c>
      <c r="AN284" s="2657">
        <f>'Cash Flow Statement'!T41</f>
      </c>
      <c r="AO284" s="2657">
        <f>'Cash Flow Statement'!U41</f>
      </c>
      <c r="AP284" s="2657">
        <f>'Cash Flow Statement'!V41</f>
      </c>
      <c r="AQ284" s="2657">
        <f>'Cash Flow Statement'!W41</f>
      </c>
      <c r="AR284" s="2657">
        <f>'Cash Flow Statement'!X41</f>
      </c>
      <c r="AS284" s="2657">
        <f>'Cash Flow Statement'!Y41</f>
      </c>
      <c r="AT284" s="2657">
        <f>'Cash Flow Statement'!Z41</f>
      </c>
      <c r="AU284" s="2657">
        <f>'Cash Flow Statement'!AA41</f>
      </c>
      <c r="AV284" s="2657">
        <f>'Cash Flow Statement'!AB41</f>
      </c>
      <c r="AW284" s="2657">
        <f>'Cash Flow Statement'!AC41</f>
      </c>
      <c r="AX284" s="2657">
        <f>'Cash Flow Statement'!AD41</f>
      </c>
      <c r="AY284" s="2657">
        <f>'Cash Flow Statement'!AE41</f>
      </c>
      <c r="AZ284" s="2657">
        <f>'Cash Flow Statement'!AF41</f>
      </c>
      <c r="BA284" s="2657">
        <f>'Cash Flow Statement'!AG41</f>
      </c>
      <c r="BB284" s="2657">
        <f>'Cash Flow Statement'!AH41</f>
      </c>
      <c r="BC284" s="2657">
        <f>'Cash Flow Statement'!AI41</f>
      </c>
      <c r="BD284" s="2657">
        <f>'Cash Flow Statement'!AJ41</f>
      </c>
      <c r="BE284" s="2657">
        <f>'Cash Flow Statement'!AK41</f>
      </c>
      <c r="BF284" s="2657">
        <f>'Cash Flow Statement'!AL41</f>
      </c>
      <c r="BG284" s="2657">
        <f>'Cash Flow Statement'!AM41</f>
      </c>
      <c r="BH284" s="2657">
        <f>'Cash Flow Statement'!AN41</f>
      </c>
      <c r="BI284" s="2657">
        <f>'Cash Flow Statement'!AO41</f>
      </c>
      <c r="BJ284" s="2657">
        <f>'Cash Flow Statement'!AP41</f>
      </c>
      <c r="BK284" s="2657">
        <f>'Cash Flow Statement'!AQ41</f>
      </c>
      <c r="BL284" s="2657">
        <f>'Cash Flow Statement'!AR41</f>
      </c>
      <c r="BM284" s="2657">
        <f>'Cash Flow Statement'!AS41</f>
      </c>
      <c r="BN284" s="2657">
        <f>'Cash Flow Statement'!AT41</f>
      </c>
      <c r="BO284" s="2657">
        <f>'Cash Flow Statement'!AU41</f>
      </c>
      <c r="BP284" s="2657">
        <f>'Cash Flow Statement'!AV41</f>
      </c>
      <c r="BQ284" s="2657">
        <f>'Cash Flow Statement'!AW41</f>
      </c>
      <c r="BR284" s="2657">
        <f>'Cash Flow Statement'!AX41</f>
      </c>
      <c r="BS284" s="2657">
        <f>'Cash Flow Statement'!AY41</f>
      </c>
      <c r="BT284" s="2657">
        <f>'Cash Flow Statement'!AZ41</f>
      </c>
      <c r="BU284" s="2657">
        <f>'Cash Flow Statement'!BA41</f>
      </c>
      <c r="BV284" s="2657">
        <f>'Cash Flow Statement'!BB41</f>
      </c>
      <c r="BW284" s="2657">
        <f>'Cash Flow Statement'!BC41</f>
      </c>
      <c r="BX284" s="2657">
        <f>'Cash Flow Statement'!BD41</f>
      </c>
      <c r="BY284" s="2657">
        <f>'Cash Flow Statement'!BE41</f>
      </c>
      <c r="BZ284" s="2657">
        <f>'Cash Flow Statement'!BF41</f>
      </c>
      <c r="CA284" s="2657">
        <f>'Cash Flow Statement'!BG41</f>
      </c>
      <c r="CB284" s="2657">
        <f>'Cash Flow Statement'!BH41</f>
      </c>
      <c r="CC284" s="2657">
        <f>'Cash Flow Statement'!BI41</f>
      </c>
      <c r="CD284" s="2657">
        <f>'Cash Flow Statement'!BJ41</f>
      </c>
      <c r="CE284" s="2657">
        <f>'Cash Flow Statement'!BK41</f>
      </c>
      <c r="CF284" s="2657">
        <f>'Cash Flow Statement'!BL41</f>
      </c>
      <c r="CG284" s="2657">
        <f>'Cash Flow Statement'!BM41</f>
      </c>
      <c r="CH284" s="2657">
        <f>'Cash Flow Statement'!BN41</f>
      </c>
      <c r="CI284" s="2657">
        <f>'Cash Flow Statement'!BO41</f>
      </c>
      <c r="CJ284" s="2657">
        <f>'Cash Flow Statement'!BP41</f>
      </c>
      <c r="CK284" s="2657">
        <f>'Cash Flow Statement'!BQ41</f>
      </c>
      <c r="CL284" s="2657">
        <f>'Cash Flow Statement'!BR41</f>
      </c>
      <c r="CM284" s="2657">
        <f>'Cash Flow Statement'!BS41</f>
      </c>
      <c r="CN284" s="2657">
        <f>'Cash Flow Statement'!BT41</f>
      </c>
      <c r="CO284" s="2657">
        <f>'Cash Flow Statement'!BU41</f>
      </c>
      <c r="CP284" s="2657">
        <f>'Cash Flow Statement'!BV41</f>
      </c>
      <c r="CQ284" s="2657">
        <f>'Cash Flow Statement'!BW41</f>
      </c>
      <c r="CR284" s="2657">
        <f>'Cash Flow Statement'!BX41</f>
      </c>
      <c r="CS284" s="2657">
        <f>'Cash Flow Statement'!BY41</f>
      </c>
      <c r="CT284" s="2657">
        <f>'Cash Flow Statement'!BZ41</f>
      </c>
      <c r="CU284" s="2657">
        <f>'Cash Flow Statement'!CA41</f>
      </c>
      <c r="CV284" s="2657">
        <f>'Cash Flow Statement'!CB41</f>
      </c>
      <c r="CW284" s="2657">
        <f>'Cash Flow Statement'!CC41</f>
      </c>
      <c r="CX284" s="2657">
        <f>'Cash Flow Statement'!CD41</f>
      </c>
      <c r="CY284" s="2657">
        <f>'Cash Flow Statement'!CE41</f>
      </c>
      <c r="CZ284" s="2657">
        <f>'Cash Flow Statement'!CF41</f>
      </c>
      <c r="DA284" s="2657">
        <f>'Cash Flow Statement'!CG41</f>
      </c>
      <c r="DB284" s="2657">
        <f>'Cash Flow Statement'!CH41</f>
      </c>
      <c r="DC284" s="2657">
        <f>'Cash Flow Statement'!CI41</f>
      </c>
      <c r="DD284" s="2657">
        <f>'Cash Flow Statement'!CJ41</f>
      </c>
      <c r="DE284" s="2657">
        <f>'Cash Flow Statement'!CK41</f>
      </c>
      <c r="DF284" s="2657">
        <f>'Cash Flow Statement'!CL41</f>
      </c>
      <c r="DG284" s="2657">
        <f>'Cash Flow Statement'!CM41</f>
      </c>
      <c r="DH284" s="2657">
        <f>'Cash Flow Statement'!CN41</f>
      </c>
      <c r="DI284" s="2657">
        <f>'Cash Flow Statement'!CO41</f>
      </c>
      <c r="DJ284" s="2657">
        <f>'Cash Flow Statement'!CP41</f>
      </c>
      <c r="DK284" s="2657">
        <f>'Cash Flow Statement'!CQ41</f>
      </c>
      <c r="DL284" s="2657">
        <f>'Cash Flow Statement'!CR41</f>
      </c>
      <c r="DM284" s="2657">
        <f>'Cash Flow Statement'!CS41</f>
      </c>
      <c r="DN284" s="2657">
        <f>'Cash Flow Statement'!CT41</f>
      </c>
      <c r="DO284" s="2657">
        <f>'Cash Flow Statement'!CU41</f>
      </c>
      <c r="DP284" s="2657">
        <f>'Cash Flow Statement'!CV41</f>
      </c>
      <c r="DQ284" s="2657">
        <f>'Cash Flow Statement'!CW41</f>
      </c>
      <c r="DR284" s="2657">
        <f>'Cash Flow Statement'!CX41</f>
      </c>
      <c r="DS284" s="2657">
        <f>'Cash Flow Statement'!CY41</f>
      </c>
      <c r="DT284" s="2657">
        <f>'Cash Flow Statement'!CZ41</f>
      </c>
      <c r="DU284" s="2657">
        <f>'Cash Flow Statement'!DA41</f>
      </c>
      <c r="DV284" s="2657">
        <f>'Cash Flow Statement'!DB41</f>
      </c>
      <c r="DW284" s="2657">
        <f>'Cash Flow Statement'!DC41</f>
      </c>
      <c r="DX284" s="2657">
        <f>'Cash Flow Statement'!DD41</f>
      </c>
      <c r="DY284" s="2657">
        <f>'Cash Flow Statement'!DE41</f>
      </c>
      <c r="DZ284" s="2657">
        <f>'Cash Flow Statement'!DF41</f>
      </c>
      <c r="EA284" s="2657">
        <f>'Cash Flow Statement'!DG41</f>
      </c>
      <c r="EB284" s="2657">
        <f>'Cash Flow Statement'!DH41</f>
      </c>
      <c r="EC284" s="2657">
        <f>'Cash Flow Statement'!DI41</f>
      </c>
      <c r="ED284" s="2657">
        <f>'Cash Flow Statement'!DJ41</f>
      </c>
      <c r="EE284" s="2657">
        <f>'Cash Flow Statement'!DK41</f>
      </c>
      <c r="EF284" s="2657">
        <f>'Cash Flow Statement'!DL41</f>
      </c>
      <c r="EG284" s="2657">
        <f>'Cash Flow Statement'!DM41</f>
      </c>
      <c r="EH284" s="2657">
        <f>'Cash Flow Statement'!DN41</f>
      </c>
      <c r="EI284" s="2657">
        <f>'Cash Flow Statement'!DO41</f>
      </c>
      <c r="EJ284" s="2657">
        <f>'Cash Flow Statement'!DP41</f>
      </c>
      <c r="EK284" s="2657">
        <f>'Cash Flow Statement'!DQ41</f>
      </c>
      <c r="EL284" s="2657">
        <f>'Cash Flow Statement'!DR41</f>
      </c>
      <c r="EM284" s="2657">
        <f>'Cash Flow Statement'!DS41</f>
      </c>
      <c r="EN284" s="2657">
        <f>'Cash Flow Statement'!DT41</f>
      </c>
      <c r="EO284" s="2657">
        <f>'Cash Flow Statement'!DU41</f>
      </c>
      <c r="EP284" s="2657">
        <f>'Cash Flow Statement'!DV41</f>
      </c>
      <c r="EQ284" s="2657">
        <f>'Cash Flow Statement'!DW41</f>
      </c>
      <c r="ER284" s="2657">
        <f>'Cash Flow Statement'!DX41</f>
      </c>
      <c r="ES284" s="2657">
        <f>'Cash Flow Statement'!DY41</f>
      </c>
      <c r="ET284" s="2657">
        <f>'Cash Flow Statement'!DZ41</f>
      </c>
      <c r="EU284" s="2657">
        <f>'Cash Flow Statement'!EA41</f>
      </c>
      <c r="EV284" s="2657">
        <f>'Cash Flow Statement'!EB41</f>
      </c>
      <c r="EW284" s="2657">
        <f>'Cash Flow Statement'!EC41</f>
      </c>
      <c r="EX284" s="2657">
        <f>'Cash Flow Statement'!ED41</f>
      </c>
      <c r="EY284" s="2657">
        <f>'Cash Flow Statement'!EE41</f>
      </c>
      <c r="EZ284" s="2657">
        <f>'Cash Flow Statement'!EF41</f>
      </c>
      <c r="FA284" s="2657">
        <f>'Cash Flow Statement'!EG41</f>
      </c>
      <c r="FB284" s="2657">
        <f>'Cash Flow Statement'!EH41</f>
      </c>
      <c r="FC284" s="2657">
        <f>'Cash Flow Statement'!EI41</f>
      </c>
      <c r="FD284" s="2657">
        <f>'Cash Flow Statement'!EJ41</f>
      </c>
      <c r="FE284" s="2657">
        <f>'Cash Flow Statement'!EK41</f>
      </c>
    </row>
    <row r="285" spans="2:161" outlineLevel="2">
      <c r="B285" t="s">
        <v>616</v>
      </c>
      <c r="C285" t="s">
        <v>617</v>
      </c>
      <c r="D285" t="str">
        <f t="shared" si="75"/>
      </c>
      <c r="F285" s="2664">
        <f>'Income Statement'!EQ35</f>
      </c>
      <c r="G285" s="2664">
        <f>'Income Statement'!ER35</f>
      </c>
      <c r="H285" s="2664">
        <f>'Income Statement'!ES35</f>
      </c>
      <c r="I285" s="2664">
        <f>'Income Statement'!ET35</f>
      </c>
      <c r="J285" s="2664">
        <f>'Income Statement'!EU35</f>
      </c>
      <c r="K285" s="2664">
        <f>'Income Statement'!EV35</f>
      </c>
      <c r="L285" s="2664">
        <f>'Income Statement'!EW35</f>
      </c>
      <c r="M285" s="2664">
        <f>'Income Statement'!EX35</f>
      </c>
      <c r="N285" s="2664">
        <f>'Income Statement'!EY35</f>
      </c>
      <c r="O285" s="2664">
        <f>'Income Statement'!EZ35</f>
      </c>
      <c r="P285" s="2664">
        <f>'Income Statement'!FA35</f>
      </c>
      <c r="Q285" s="2664">
        <f>'Income Statement'!FB35</f>
      </c>
      <c r="R285" s="2664">
        <f>'Income Statement'!FC35</f>
      </c>
      <c r="S285" s="2664">
        <f>'Income Statement'!FD35</f>
      </c>
      <c r="T285" s="2664">
        <f>'Income Statement'!FE35</f>
      </c>
      <c r="U285" s="2664">
        <f>'Income Statement'!FF35</f>
      </c>
      <c r="V285" s="2664">
        <f>'Income Statement'!FG35</f>
      </c>
      <c r="W285" s="2664">
        <f>'Income Statement'!FH35</f>
      </c>
      <c r="X285" s="2664">
        <f>'Income Statement'!FI35</f>
      </c>
      <c r="Y285" s="2664">
        <f>'Income Statement'!FJ35</f>
      </c>
      <c r="Z285" s="2664">
        <f>'Income Statement'!FK35</f>
      </c>
      <c r="AA285" s="2664">
        <f>'Income Statement'!FL35</f>
      </c>
      <c r="AB285" s="2664">
        <f>'Income Statement'!FM35</f>
      </c>
      <c r="AC285" s="2664">
        <f>'Income Statement'!FN35</f>
      </c>
      <c r="AD285" s="2664">
        <f>'Income Statement'!FO35</f>
      </c>
      <c r="AE285" s="2664">
        <f>'Income Statement'!FP35</f>
      </c>
      <c r="AF285" s="2664">
        <f>'Income Statement'!FQ35</f>
      </c>
      <c r="AG285" s="2664">
        <f>'Income Statement'!FR35</f>
      </c>
      <c r="AH285" s="2664">
        <f>'Income Statement'!FS35</f>
      </c>
      <c r="AI285" s="2664">
        <f>'Income Statement'!FT35</f>
      </c>
      <c r="AJ285" s="2664">
        <f>'Income Statement'!FU35</f>
      </c>
      <c r="AK285" s="2664"/>
      <c r="AL285" s="2664">
        <f>'Income Statement'!R35</f>
      </c>
      <c r="AM285" s="2664">
        <f>'Income Statement'!S35</f>
      </c>
      <c r="AN285" s="2664">
        <f>'Income Statement'!T35</f>
      </c>
      <c r="AO285" s="2664">
        <f>'Income Statement'!U35</f>
      </c>
      <c r="AP285" s="2664">
        <f>'Income Statement'!V35</f>
      </c>
      <c r="AQ285" s="2664">
        <f>'Income Statement'!W35</f>
      </c>
      <c r="AR285" s="2664">
        <f>'Income Statement'!X35</f>
      </c>
      <c r="AS285" s="2664">
        <f>'Income Statement'!Y35</f>
      </c>
      <c r="AT285" s="2664">
        <f>'Income Statement'!Z35</f>
      </c>
      <c r="AU285" s="2664">
        <f>'Income Statement'!AA35</f>
      </c>
      <c r="AV285" s="2664">
        <f>'Income Statement'!AB35</f>
      </c>
      <c r="AW285" s="2664">
        <f>'Income Statement'!AC35</f>
      </c>
      <c r="AX285" s="2664">
        <f>'Income Statement'!AD35</f>
      </c>
      <c r="AY285" s="2664">
        <f>'Income Statement'!AE35</f>
      </c>
      <c r="AZ285" s="2664">
        <f>'Income Statement'!AF35</f>
      </c>
      <c r="BA285" s="2664">
        <f>'Income Statement'!AG35</f>
      </c>
      <c r="BB285" s="2664">
        <f>'Income Statement'!AH35</f>
      </c>
      <c r="BC285" s="2664">
        <f>'Income Statement'!AI35</f>
      </c>
      <c r="BD285" s="2664">
        <f>'Income Statement'!AJ35</f>
      </c>
      <c r="BE285" s="2664">
        <f>'Income Statement'!AK35</f>
      </c>
      <c r="BF285" s="2664">
        <f>'Income Statement'!AL35</f>
      </c>
      <c r="BG285" s="2664">
        <f>'Income Statement'!AM35</f>
      </c>
      <c r="BH285" s="2664">
        <f>'Income Statement'!AN35</f>
      </c>
      <c r="BI285" s="2664">
        <f>'Income Statement'!AO35</f>
      </c>
      <c r="BJ285" s="2664">
        <f>'Income Statement'!AP35</f>
      </c>
      <c r="BK285" s="2664">
        <f>'Income Statement'!AQ35</f>
      </c>
      <c r="BL285" s="2664">
        <f>'Income Statement'!AR35</f>
      </c>
      <c r="BM285" s="2664">
        <f>'Income Statement'!AS35</f>
      </c>
      <c r="BN285" s="2664">
        <f>'Income Statement'!AT35</f>
      </c>
      <c r="BO285" s="2664">
        <f>'Income Statement'!AU35</f>
      </c>
      <c r="BP285" s="2664">
        <f>'Income Statement'!AV35</f>
      </c>
      <c r="BQ285" s="2664">
        <f>'Income Statement'!AW35</f>
      </c>
      <c r="BR285" s="2664">
        <f>'Income Statement'!AX35</f>
      </c>
      <c r="BS285" s="2664">
        <f>'Income Statement'!AY35</f>
      </c>
      <c r="BT285" s="2664">
        <f>'Income Statement'!AZ35</f>
      </c>
      <c r="BU285" s="2664">
        <f>'Income Statement'!BA35</f>
      </c>
      <c r="BV285" s="2664">
        <f>'Income Statement'!BB35</f>
      </c>
      <c r="BW285" s="2664">
        <f>'Income Statement'!BC35</f>
      </c>
      <c r="BX285" s="2664">
        <f>'Income Statement'!BD35</f>
      </c>
      <c r="BY285" s="2664">
        <f>'Income Statement'!BE35</f>
      </c>
      <c r="BZ285" s="2664">
        <f>'Income Statement'!BF35</f>
      </c>
      <c r="CA285" s="2664">
        <f>'Income Statement'!BG35</f>
      </c>
      <c r="CB285" s="2664">
        <f>'Income Statement'!BH35</f>
      </c>
      <c r="CC285" s="2664">
        <f>'Income Statement'!BI35</f>
      </c>
      <c r="CD285" s="2664">
        <f>'Income Statement'!BJ35</f>
      </c>
      <c r="CE285" s="2664">
        <f>'Income Statement'!BK35</f>
      </c>
      <c r="CF285" s="2664">
        <f>'Income Statement'!BL35</f>
      </c>
      <c r="CG285" s="2664">
        <f>'Income Statement'!BM35</f>
      </c>
      <c r="CH285" s="2664">
        <f>'Income Statement'!BN35</f>
      </c>
      <c r="CI285" s="2664">
        <f>'Income Statement'!BO35</f>
      </c>
      <c r="CJ285" s="2664">
        <f>'Income Statement'!BP35</f>
      </c>
      <c r="CK285" s="2664">
        <f>'Income Statement'!BQ35</f>
      </c>
      <c r="CL285" s="2664">
        <f>'Income Statement'!BR35</f>
      </c>
      <c r="CM285" s="2664">
        <f>'Income Statement'!BS35</f>
      </c>
      <c r="CN285" s="2664">
        <f>'Income Statement'!BT35</f>
      </c>
      <c r="CO285" s="2664">
        <f>'Income Statement'!BU35</f>
      </c>
      <c r="CP285" s="2664">
        <f>'Income Statement'!BV35</f>
      </c>
      <c r="CQ285" s="2664">
        <f>'Income Statement'!BW35</f>
      </c>
      <c r="CR285" s="2664">
        <f>'Income Statement'!BX35</f>
      </c>
      <c r="CS285" s="2664">
        <f>'Income Statement'!BY35</f>
      </c>
      <c r="CT285" s="2664">
        <f>'Income Statement'!BZ35</f>
      </c>
      <c r="CU285" s="2664">
        <f>'Income Statement'!CA35</f>
      </c>
      <c r="CV285" s="2664">
        <f>'Income Statement'!CB35</f>
      </c>
      <c r="CW285" s="2664">
        <f>'Income Statement'!CC35</f>
      </c>
      <c r="CX285" s="2664">
        <f>'Income Statement'!CD35</f>
      </c>
      <c r="CY285" s="2664">
        <f>'Income Statement'!CE35</f>
      </c>
      <c r="CZ285" s="2664">
        <f>'Income Statement'!CF35</f>
      </c>
      <c r="DA285" s="2664">
        <f>'Income Statement'!CG35</f>
      </c>
      <c r="DB285" s="2664">
        <f>'Income Statement'!CH35</f>
      </c>
      <c r="DC285" s="2664">
        <f>'Income Statement'!CI35</f>
      </c>
      <c r="DD285" s="2664">
        <f>'Income Statement'!CJ35</f>
      </c>
      <c r="DE285" s="2664">
        <f>'Income Statement'!CK35</f>
      </c>
      <c r="DF285" s="2664">
        <f>'Income Statement'!CL35</f>
      </c>
      <c r="DG285" s="2664">
        <f>'Income Statement'!CM35</f>
      </c>
      <c r="DH285" s="2664">
        <f>'Income Statement'!CN35</f>
      </c>
      <c r="DI285" s="2664">
        <f>'Income Statement'!CO35</f>
      </c>
      <c r="DJ285" s="2664">
        <f>'Income Statement'!CP35</f>
      </c>
      <c r="DK285" s="2664">
        <f>'Income Statement'!CQ35</f>
      </c>
      <c r="DL285" s="2664">
        <f>'Income Statement'!CR35</f>
      </c>
      <c r="DM285" s="2664">
        <f>'Income Statement'!CS35</f>
      </c>
      <c r="DN285" s="2664">
        <f>'Income Statement'!CT35</f>
      </c>
      <c r="DO285" s="2664">
        <f>'Income Statement'!CU35</f>
      </c>
      <c r="DP285" s="2664">
        <f>'Income Statement'!CV35</f>
      </c>
      <c r="DQ285" s="2664">
        <f>'Income Statement'!CW35</f>
      </c>
      <c r="DR285" s="2664">
        <f>'Income Statement'!CX35</f>
      </c>
      <c r="DS285" s="2664">
        <f>'Income Statement'!CY35</f>
      </c>
      <c r="DT285" s="2664">
        <f>'Income Statement'!CZ35</f>
      </c>
      <c r="DU285" s="2664">
        <f>'Income Statement'!DA35</f>
      </c>
      <c r="DV285" s="2664">
        <f>'Income Statement'!DB35</f>
      </c>
      <c r="DW285" s="2664">
        <f>'Income Statement'!DC35</f>
      </c>
      <c r="DX285" s="2664">
        <f>'Income Statement'!DD35</f>
      </c>
      <c r="DY285" s="2664">
        <f>'Income Statement'!DE35</f>
      </c>
      <c r="DZ285" s="2664">
        <f>'Income Statement'!DF35</f>
      </c>
      <c r="EA285" s="2664">
        <f>'Income Statement'!DG35</f>
      </c>
      <c r="EB285" s="2664">
        <f>'Income Statement'!DH35</f>
      </c>
      <c r="EC285" s="2664">
        <f>'Income Statement'!DI35</f>
      </c>
      <c r="ED285" s="2664">
        <f>'Income Statement'!DJ35</f>
      </c>
      <c r="EE285" s="2664">
        <f>'Income Statement'!DK35</f>
      </c>
      <c r="EF285" s="2664">
        <f>'Income Statement'!DL35</f>
      </c>
      <c r="EG285" s="2664">
        <f>'Income Statement'!DM35</f>
      </c>
      <c r="EH285" s="2664">
        <f>'Income Statement'!DN35</f>
      </c>
      <c r="EI285" s="2664">
        <f>'Income Statement'!DO35</f>
      </c>
      <c r="EJ285" s="2664">
        <f>'Income Statement'!DP35</f>
      </c>
      <c r="EK285" s="2664">
        <f>'Income Statement'!DQ35</f>
      </c>
      <c r="EL285" s="2664">
        <f>'Income Statement'!DR35</f>
      </c>
      <c r="EM285" s="2664">
        <f>'Income Statement'!DS35</f>
      </c>
      <c r="EN285" s="2664">
        <f>'Income Statement'!DT35</f>
      </c>
      <c r="EO285" s="2664">
        <f>'Income Statement'!DU35</f>
      </c>
      <c r="EP285" s="2664">
        <f>'Income Statement'!DV35</f>
      </c>
      <c r="EQ285" s="2664">
        <f>'Income Statement'!DW35</f>
      </c>
      <c r="ER285" s="2664">
        <f>'Income Statement'!DX35</f>
      </c>
      <c r="ES285" s="2664">
        <f>'Income Statement'!DY35</f>
      </c>
      <c r="ET285" s="2664">
        <f>'Income Statement'!DZ35</f>
      </c>
      <c r="EU285" s="2664">
        <f>'Income Statement'!EA35</f>
      </c>
      <c r="EV285" s="2664">
        <f>'Income Statement'!EB35</f>
      </c>
      <c r="EW285" s="2664">
        <f>'Income Statement'!EC35</f>
      </c>
      <c r="EX285" s="2664">
        <f>'Income Statement'!ED35</f>
      </c>
      <c r="EY285" s="2664">
        <f>'Income Statement'!EE35</f>
      </c>
      <c r="EZ285" s="2664">
        <f>'Income Statement'!EF35</f>
      </c>
      <c r="FA285" s="2664">
        <f>'Income Statement'!EG35</f>
      </c>
      <c r="FB285" s="2664">
        <f>'Income Statement'!EH35</f>
      </c>
      <c r="FC285" s="2664">
        <f>'Income Statement'!EI35</f>
      </c>
      <c r="FD285" s="2664">
        <f>'Income Statement'!EJ35</f>
      </c>
      <c r="FE285" s="2664">
        <f>'Income Statement'!EK35</f>
      </c>
    </row>
    <row r="286" spans="2:161" outlineLevel="2">
      <c r="B286" t="s">
        <v>618</v>
      </c>
      <c r="C286" t="s">
        <v>619</v>
      </c>
      <c r="F286" s="2657">
        <f>'Income Statement'!EQ33</f>
      </c>
      <c r="G286" s="2657">
        <f>'Income Statement'!ER33</f>
      </c>
      <c r="H286" s="2657">
        <f>'Income Statement'!ES33</f>
      </c>
      <c r="I286" s="2657">
        <f>'Income Statement'!ET33</f>
      </c>
      <c r="J286" s="2657">
        <f>'Income Statement'!EU33</f>
      </c>
      <c r="K286" s="2657">
        <f>'Income Statement'!EV33</f>
      </c>
      <c r="L286" s="2657">
        <f>'Income Statement'!EW33</f>
      </c>
      <c r="M286" s="2657">
        <f>'Income Statement'!EX33</f>
      </c>
      <c r="N286" s="2657">
        <f>'Income Statement'!EY33</f>
      </c>
      <c r="O286" s="2657">
        <f>'Income Statement'!EZ33</f>
      </c>
      <c r="P286" s="2657">
        <f>'Income Statement'!FA33</f>
      </c>
      <c r="Q286" s="2657">
        <f>'Income Statement'!FB33</f>
      </c>
      <c r="R286" s="2657">
        <f>'Income Statement'!FC33</f>
      </c>
      <c r="S286" s="2657">
        <f>'Income Statement'!FD33</f>
      </c>
      <c r="T286" s="2657">
        <f>'Income Statement'!FE33</f>
      </c>
      <c r="U286" s="2657">
        <f>'Income Statement'!FF33</f>
      </c>
      <c r="V286" s="2657">
        <f>'Income Statement'!FG33</f>
      </c>
      <c r="W286" s="2657">
        <f>'Income Statement'!FH33</f>
      </c>
      <c r="X286" s="2657">
        <f>'Income Statement'!FI33</f>
      </c>
      <c r="Y286" s="2657">
        <f>'Income Statement'!FJ33</f>
      </c>
      <c r="Z286" s="2657">
        <f>'Income Statement'!FK33</f>
      </c>
      <c r="AA286" s="2657">
        <f>'Income Statement'!FL33</f>
      </c>
      <c r="AB286" s="2657">
        <f>'Income Statement'!FM33</f>
      </c>
      <c r="AC286" s="2657">
        <f>'Income Statement'!FN33</f>
      </c>
      <c r="AD286" s="2657">
        <f>'Income Statement'!FO33</f>
      </c>
      <c r="AE286" s="2657">
        <f>'Income Statement'!FP33</f>
      </c>
      <c r="AF286" s="2657">
        <f>'Income Statement'!FQ33</f>
      </c>
      <c r="AG286" s="2657">
        <f>'Income Statement'!FR33</f>
      </c>
      <c r="AH286" s="2657">
        <f>'Income Statement'!FS33</f>
      </c>
      <c r="AI286" s="2657">
        <f>'Income Statement'!FT33</f>
      </c>
      <c r="AJ286" s="2657">
        <f>'Income Statement'!FU33</f>
      </c>
      <c r="AK286" s="2657"/>
      <c r="AL286" s="2657">
        <f>'Income Statement'!R33</f>
      </c>
      <c r="AM286" s="2657">
        <f>'Income Statement'!S33</f>
      </c>
      <c r="AN286" s="2657">
        <f>'Income Statement'!T33</f>
      </c>
      <c r="AO286" s="2657">
        <f>'Income Statement'!U33</f>
      </c>
      <c r="AP286" s="2657">
        <f>'Income Statement'!V33</f>
      </c>
      <c r="AQ286" s="2657">
        <f>'Income Statement'!W33</f>
      </c>
      <c r="AR286" s="2657">
        <f>'Income Statement'!X33</f>
      </c>
      <c r="AS286" s="2657">
        <f>'Income Statement'!Y33</f>
      </c>
      <c r="AT286" s="2657">
        <f>'Income Statement'!Z33</f>
      </c>
      <c r="AU286" s="2657">
        <f>'Income Statement'!AA33</f>
      </c>
      <c r="AV286" s="2657">
        <f>'Income Statement'!AB33</f>
      </c>
      <c r="AW286" s="2657">
        <f>'Income Statement'!AC33</f>
      </c>
      <c r="AX286" s="2657">
        <f>'Income Statement'!AD33</f>
      </c>
      <c r="AY286" s="2657">
        <f>'Income Statement'!AE33</f>
      </c>
      <c r="AZ286" s="2657">
        <f>'Income Statement'!AF33</f>
      </c>
      <c r="BA286" s="2657">
        <f>'Income Statement'!AG33</f>
      </c>
      <c r="BB286" s="2657">
        <f>'Income Statement'!AH33</f>
      </c>
      <c r="BC286" s="2657">
        <f>'Income Statement'!AI33</f>
      </c>
      <c r="BD286" s="2657">
        <f>'Income Statement'!AJ33</f>
      </c>
      <c r="BE286" s="2657">
        <f>'Income Statement'!AK33</f>
      </c>
      <c r="BF286" s="2657">
        <f>'Income Statement'!AL33</f>
      </c>
      <c r="BG286" s="2657">
        <f>'Income Statement'!AM33</f>
      </c>
      <c r="BH286" s="2657">
        <f>'Income Statement'!AN33</f>
      </c>
      <c r="BI286" s="2657">
        <f>'Income Statement'!AO33</f>
      </c>
      <c r="BJ286" s="2657">
        <f>'Income Statement'!AP33</f>
      </c>
      <c r="BK286" s="2657">
        <f>'Income Statement'!AQ33</f>
      </c>
      <c r="BL286" s="2657">
        <f>'Income Statement'!AR33</f>
      </c>
      <c r="BM286" s="2657">
        <f>'Income Statement'!AS33</f>
      </c>
      <c r="BN286" s="2657">
        <f>'Income Statement'!AT33</f>
      </c>
      <c r="BO286" s="2657">
        <f>'Income Statement'!AU33</f>
      </c>
      <c r="BP286" s="2657">
        <f>'Income Statement'!AV33</f>
      </c>
      <c r="BQ286" s="2657">
        <f>'Income Statement'!AW33</f>
      </c>
      <c r="BR286" s="2657">
        <f>'Income Statement'!AX33</f>
      </c>
      <c r="BS286" s="2657">
        <f>'Income Statement'!AY33</f>
      </c>
      <c r="BT286" s="2657">
        <f>'Income Statement'!AZ33</f>
      </c>
      <c r="BU286" s="2657">
        <f>'Income Statement'!BA33</f>
      </c>
      <c r="BV286" s="2657">
        <f>'Income Statement'!BB33</f>
      </c>
      <c r="BW286" s="2657">
        <f>'Income Statement'!BC33</f>
      </c>
      <c r="BX286" s="2657">
        <f>'Income Statement'!BD33</f>
      </c>
      <c r="BY286" s="2657">
        <f>'Income Statement'!BE33</f>
      </c>
      <c r="BZ286" s="2657">
        <f>'Income Statement'!BF33</f>
      </c>
      <c r="CA286" s="2657">
        <f>'Income Statement'!BG33</f>
      </c>
      <c r="CB286" s="2657">
        <f>'Income Statement'!BH33</f>
      </c>
      <c r="CC286" s="2657">
        <f>'Income Statement'!BI33</f>
      </c>
      <c r="CD286" s="2657">
        <f>'Income Statement'!BJ33</f>
      </c>
      <c r="CE286" s="2657">
        <f>'Income Statement'!BK33</f>
      </c>
      <c r="CF286" s="2657">
        <f>'Income Statement'!BL33</f>
      </c>
      <c r="CG286" s="2657">
        <f>'Income Statement'!BM33</f>
      </c>
      <c r="CH286" s="2657">
        <f>'Income Statement'!BN33</f>
      </c>
      <c r="CI286" s="2657">
        <f>'Income Statement'!BO33</f>
      </c>
      <c r="CJ286" s="2657">
        <f>'Income Statement'!BP33</f>
      </c>
      <c r="CK286" s="2657">
        <f>'Income Statement'!BQ33</f>
      </c>
      <c r="CL286" s="2657">
        <f>'Income Statement'!BR33</f>
      </c>
      <c r="CM286" s="2657">
        <f>'Income Statement'!BS33</f>
      </c>
      <c r="CN286" s="2657">
        <f>'Income Statement'!BT33</f>
      </c>
      <c r="CO286" s="2657">
        <f>'Income Statement'!BU33</f>
      </c>
      <c r="CP286" s="2657">
        <f>'Income Statement'!BV33</f>
      </c>
      <c r="CQ286" s="2657">
        <f>'Income Statement'!BW33</f>
      </c>
      <c r="CR286" s="2657">
        <f>'Income Statement'!BX33</f>
      </c>
      <c r="CS286" s="2657">
        <f>'Income Statement'!BY33</f>
      </c>
      <c r="CT286" s="2657">
        <f>'Income Statement'!BZ33</f>
      </c>
      <c r="CU286" s="2657">
        <f>'Income Statement'!CA33</f>
      </c>
      <c r="CV286" s="2657">
        <f>'Income Statement'!CB33</f>
      </c>
      <c r="CW286" s="2657">
        <f>'Income Statement'!CC33</f>
      </c>
      <c r="CX286" s="2657">
        <f>'Income Statement'!CD33</f>
      </c>
      <c r="CY286" s="2657">
        <f>'Income Statement'!CE33</f>
      </c>
      <c r="CZ286" s="2657">
        <f>'Income Statement'!CF33</f>
      </c>
      <c r="DA286" s="2657">
        <f>'Income Statement'!CG33</f>
      </c>
      <c r="DB286" s="2657">
        <f>'Income Statement'!CH33</f>
      </c>
      <c r="DC286" s="2657">
        <f>'Income Statement'!CI33</f>
      </c>
      <c r="DD286" s="2657">
        <f>'Income Statement'!CJ33</f>
      </c>
      <c r="DE286" s="2657">
        <f>'Income Statement'!CK33</f>
      </c>
      <c r="DF286" s="2657">
        <f>'Income Statement'!CL33</f>
      </c>
      <c r="DG286" s="2657">
        <f>'Income Statement'!CM33</f>
      </c>
      <c r="DH286" s="2657">
        <f>'Income Statement'!CN33</f>
      </c>
      <c r="DI286" s="2657">
        <f>'Income Statement'!CO33</f>
      </c>
      <c r="DJ286" s="2657">
        <f>'Income Statement'!CP33</f>
      </c>
      <c r="DK286" s="2657">
        <f>'Income Statement'!CQ33</f>
      </c>
      <c r="DL286" s="2657">
        <f>'Income Statement'!CR33</f>
      </c>
      <c r="DM286" s="2657">
        <f>'Income Statement'!CS33</f>
      </c>
      <c r="DN286" s="2657">
        <f>'Income Statement'!CT33</f>
      </c>
      <c r="DO286" s="2657">
        <f>'Income Statement'!CU33</f>
      </c>
      <c r="DP286" s="2657">
        <f>'Income Statement'!CV33</f>
      </c>
      <c r="DQ286" s="2657">
        <f>'Income Statement'!CW33</f>
      </c>
      <c r="DR286" s="2657">
        <f>'Income Statement'!CX33</f>
      </c>
      <c r="DS286" s="2657">
        <f>'Income Statement'!CY33</f>
      </c>
      <c r="DT286" s="2657">
        <f>'Income Statement'!CZ33</f>
      </c>
      <c r="DU286" s="2657">
        <f>'Income Statement'!DA33</f>
      </c>
      <c r="DV286" s="2657">
        <f>'Income Statement'!DB33</f>
      </c>
      <c r="DW286" s="2657">
        <f>'Income Statement'!DC33</f>
      </c>
      <c r="DX286" s="2657">
        <f>'Income Statement'!DD33</f>
      </c>
      <c r="DY286" s="2657">
        <f>'Income Statement'!DE33</f>
      </c>
      <c r="DZ286" s="2657">
        <f>'Income Statement'!DF33</f>
      </c>
      <c r="EA286" s="2657">
        <f>'Income Statement'!DG33</f>
      </c>
      <c r="EB286" s="2657">
        <f>'Income Statement'!DH33</f>
      </c>
      <c r="EC286" s="2657">
        <f>'Income Statement'!DI33</f>
      </c>
      <c r="ED286" s="2657">
        <f>'Income Statement'!DJ33</f>
      </c>
      <c r="EE286" s="2657">
        <f>'Income Statement'!DK33</f>
      </c>
      <c r="EF286" s="2657">
        <f>'Income Statement'!DL33</f>
      </c>
      <c r="EG286" s="2657">
        <f>'Income Statement'!DM33</f>
      </c>
      <c r="EH286" s="2657">
        <f>'Income Statement'!DN33</f>
      </c>
      <c r="EI286" s="2657">
        <f>'Income Statement'!DO33</f>
      </c>
      <c r="EJ286" s="2657">
        <f>'Income Statement'!DP33</f>
      </c>
      <c r="EK286" s="2657">
        <f>'Income Statement'!DQ33</f>
      </c>
      <c r="EL286" s="2657">
        <f>'Income Statement'!DR33</f>
      </c>
      <c r="EM286" s="2657">
        <f>'Income Statement'!DS33</f>
      </c>
      <c r="EN286" s="2657">
        <f>'Income Statement'!DT33</f>
      </c>
      <c r="EO286" s="2657">
        <f>'Income Statement'!DU33</f>
      </c>
      <c r="EP286" s="2657">
        <f>'Income Statement'!DV33</f>
      </c>
      <c r="EQ286" s="2657">
        <f>'Income Statement'!DW33</f>
      </c>
      <c r="ER286" s="2657">
        <f>'Income Statement'!DX33</f>
      </c>
      <c r="ES286" s="2657">
        <f>'Income Statement'!DY33</f>
      </c>
      <c r="ET286" s="2657">
        <f>'Income Statement'!DZ33</f>
      </c>
      <c r="EU286" s="2657">
        <f>'Income Statement'!EA33</f>
      </c>
      <c r="EV286" s="2657">
        <f>'Income Statement'!EB33</f>
      </c>
      <c r="EW286" s="2657">
        <f>'Income Statement'!EC33</f>
      </c>
      <c r="EX286" s="2657">
        <f>'Income Statement'!ED33</f>
      </c>
      <c r="EY286" s="2657">
        <f>'Income Statement'!EE33</f>
      </c>
      <c r="EZ286" s="2657">
        <f>'Income Statement'!EF33</f>
      </c>
      <c r="FA286" s="2657">
        <f>'Income Statement'!EG33</f>
      </c>
      <c r="FB286" s="2657">
        <f>'Income Statement'!EH33</f>
      </c>
      <c r="FC286" s="2657">
        <f>'Income Statement'!EI33</f>
      </c>
      <c r="FD286" s="2657">
        <f>'Income Statement'!EJ33</f>
      </c>
      <c r="FE286" s="2657">
        <f>'Income Statement'!EK33</f>
      </c>
    </row>
    <row r="287" spans="2:161" outlineLevel="2">
      <c r="B287" t="s">
        <v>620</v>
      </c>
      <c r="C287" t="s">
        <v>621</v>
      </c>
      <c r="F287" s="2657">
        <f>'Income Statement'!EQ34</f>
      </c>
      <c r="G287" s="2657">
        <f>'Income Statement'!ER34</f>
      </c>
      <c r="H287" s="2657">
        <f>'Income Statement'!ES34</f>
      </c>
      <c r="I287" s="2657">
        <f>'Income Statement'!ET34</f>
      </c>
      <c r="J287" s="2657">
        <f>'Income Statement'!EU34</f>
      </c>
      <c r="K287" s="2657">
        <f>'Income Statement'!EV34</f>
      </c>
      <c r="L287" s="2657">
        <f>'Income Statement'!EW34</f>
      </c>
      <c r="M287" s="2657">
        <f>'Income Statement'!EX34</f>
      </c>
      <c r="N287" s="2657">
        <f>'Income Statement'!EY34</f>
      </c>
      <c r="O287" s="2657">
        <f>'Income Statement'!EZ34</f>
      </c>
      <c r="P287" s="2657">
        <f>'Income Statement'!FA34</f>
      </c>
      <c r="Q287" s="2657">
        <f>'Income Statement'!FB34</f>
      </c>
      <c r="R287" s="2657">
        <f>'Income Statement'!FC34</f>
      </c>
      <c r="S287" s="2657">
        <f>'Income Statement'!FD34</f>
      </c>
      <c r="T287" s="2657">
        <f>'Income Statement'!FE34</f>
      </c>
      <c r="U287" s="2657">
        <f>'Income Statement'!FF34</f>
      </c>
      <c r="V287" s="2657">
        <f>'Income Statement'!FG34</f>
      </c>
      <c r="W287" s="2657">
        <f>'Income Statement'!FH34</f>
      </c>
      <c r="X287" s="2657">
        <f>'Income Statement'!FI34</f>
      </c>
      <c r="Y287" s="2657">
        <f>'Income Statement'!FJ34</f>
      </c>
      <c r="Z287" s="2657">
        <f>'Income Statement'!FK34</f>
      </c>
      <c r="AA287" s="2657">
        <f>'Income Statement'!FL34</f>
      </c>
      <c r="AB287" s="2657">
        <f>'Income Statement'!FM34</f>
      </c>
      <c r="AC287" s="2657">
        <f>'Income Statement'!FN34</f>
      </c>
      <c r="AD287" s="2657">
        <f>'Income Statement'!FO34</f>
      </c>
      <c r="AE287" s="2657">
        <f>'Income Statement'!FP34</f>
      </c>
      <c r="AF287" s="2657">
        <f>'Income Statement'!FQ34</f>
      </c>
      <c r="AG287" s="2657">
        <f>'Income Statement'!FR34</f>
      </c>
      <c r="AH287" s="2657">
        <f>'Income Statement'!FS34</f>
      </c>
      <c r="AI287" s="2657">
        <f>'Income Statement'!FT34</f>
      </c>
      <c r="AJ287" s="2657">
        <f>'Income Statement'!FU34</f>
      </c>
      <c r="AK287" s="2657"/>
      <c r="AL287" s="2657">
        <f>'Income Statement'!R34</f>
      </c>
      <c r="AM287" s="2657">
        <f>'Income Statement'!S34</f>
      </c>
      <c r="AN287" s="2657">
        <f>'Income Statement'!T34</f>
      </c>
      <c r="AO287" s="2657">
        <f>'Income Statement'!U34</f>
      </c>
      <c r="AP287" s="2657">
        <f>'Income Statement'!V34</f>
      </c>
      <c r="AQ287" s="2657">
        <f>'Income Statement'!W34</f>
      </c>
      <c r="AR287" s="2657">
        <f>'Income Statement'!X34</f>
      </c>
      <c r="AS287" s="2657">
        <f>'Income Statement'!Y34</f>
      </c>
      <c r="AT287" s="2657">
        <f>'Income Statement'!Z34</f>
      </c>
      <c r="AU287" s="2657">
        <f>'Income Statement'!AA34</f>
      </c>
      <c r="AV287" s="2657">
        <f>'Income Statement'!AB34</f>
      </c>
      <c r="AW287" s="2657">
        <f>'Income Statement'!AC34</f>
      </c>
      <c r="AX287" s="2657">
        <f>'Income Statement'!AD34</f>
      </c>
      <c r="AY287" s="2657">
        <f>'Income Statement'!AE34</f>
      </c>
      <c r="AZ287" s="2657">
        <f>'Income Statement'!AF34</f>
      </c>
      <c r="BA287" s="2657">
        <f>'Income Statement'!AG34</f>
      </c>
      <c r="BB287" s="2657">
        <f>'Income Statement'!AH34</f>
      </c>
      <c r="BC287" s="2657">
        <f>'Income Statement'!AI34</f>
      </c>
      <c r="BD287" s="2657">
        <f>'Income Statement'!AJ34</f>
      </c>
      <c r="BE287" s="2657">
        <f>'Income Statement'!AK34</f>
      </c>
      <c r="BF287" s="2657">
        <f>'Income Statement'!AL34</f>
      </c>
      <c r="BG287" s="2657">
        <f>'Income Statement'!AM34</f>
      </c>
      <c r="BH287" s="2657">
        <f>'Income Statement'!AN34</f>
      </c>
      <c r="BI287" s="2657">
        <f>'Income Statement'!AO34</f>
      </c>
      <c r="BJ287" s="2657">
        <f>'Income Statement'!AP34</f>
      </c>
      <c r="BK287" s="2657">
        <f>'Income Statement'!AQ34</f>
      </c>
      <c r="BL287" s="2657">
        <f>'Income Statement'!AR34</f>
      </c>
      <c r="BM287" s="2657">
        <f>'Income Statement'!AS34</f>
      </c>
      <c r="BN287" s="2657">
        <f>'Income Statement'!AT34</f>
      </c>
      <c r="BO287" s="2657">
        <f>'Income Statement'!AU34</f>
      </c>
      <c r="BP287" s="2657">
        <f>'Income Statement'!AV34</f>
      </c>
      <c r="BQ287" s="2657">
        <f>'Income Statement'!AW34</f>
      </c>
      <c r="BR287" s="2657">
        <f>'Income Statement'!AX34</f>
      </c>
      <c r="BS287" s="2657">
        <f>'Income Statement'!AY34</f>
      </c>
      <c r="BT287" s="2657">
        <f>'Income Statement'!AZ34</f>
      </c>
      <c r="BU287" s="2657">
        <f>'Income Statement'!BA34</f>
      </c>
      <c r="BV287" s="2657">
        <f>'Income Statement'!BB34</f>
      </c>
      <c r="BW287" s="2657">
        <f>'Income Statement'!BC34</f>
      </c>
      <c r="BX287" s="2657">
        <f>'Income Statement'!BD34</f>
      </c>
      <c r="BY287" s="2657">
        <f>'Income Statement'!BE34</f>
      </c>
      <c r="BZ287" s="2657">
        <f>'Income Statement'!BF34</f>
      </c>
      <c r="CA287" s="2657">
        <f>'Income Statement'!BG34</f>
      </c>
      <c r="CB287" s="2657">
        <f>'Income Statement'!BH34</f>
      </c>
      <c r="CC287" s="2657">
        <f>'Income Statement'!BI34</f>
      </c>
      <c r="CD287" s="2657">
        <f>'Income Statement'!BJ34</f>
      </c>
      <c r="CE287" s="2657">
        <f>'Income Statement'!BK34</f>
      </c>
      <c r="CF287" s="2657">
        <f>'Income Statement'!BL34</f>
      </c>
      <c r="CG287" s="2657">
        <f>'Income Statement'!BM34</f>
      </c>
      <c r="CH287" s="2657">
        <f>'Income Statement'!BN34</f>
      </c>
      <c r="CI287" s="2657">
        <f>'Income Statement'!BO34</f>
      </c>
      <c r="CJ287" s="2657">
        <f>'Income Statement'!BP34</f>
      </c>
      <c r="CK287" s="2657">
        <f>'Income Statement'!BQ34</f>
      </c>
      <c r="CL287" s="2657">
        <f>'Income Statement'!BR34</f>
      </c>
      <c r="CM287" s="2657">
        <f>'Income Statement'!BS34</f>
      </c>
      <c r="CN287" s="2657">
        <f>'Income Statement'!BT34</f>
      </c>
      <c r="CO287" s="2657">
        <f>'Income Statement'!BU34</f>
      </c>
      <c r="CP287" s="2657">
        <f>'Income Statement'!BV34</f>
      </c>
      <c r="CQ287" s="2657">
        <f>'Income Statement'!BW34</f>
      </c>
      <c r="CR287" s="2657">
        <f>'Income Statement'!BX34</f>
      </c>
      <c r="CS287" s="2657">
        <f>'Income Statement'!BY34</f>
      </c>
      <c r="CT287" s="2657">
        <f>'Income Statement'!BZ34</f>
      </c>
      <c r="CU287" s="2657">
        <f>'Income Statement'!CA34</f>
      </c>
      <c r="CV287" s="2657">
        <f>'Income Statement'!CB34</f>
      </c>
      <c r="CW287" s="2657">
        <f>'Income Statement'!CC34</f>
      </c>
      <c r="CX287" s="2657">
        <f>'Income Statement'!CD34</f>
      </c>
      <c r="CY287" s="2657">
        <f>'Income Statement'!CE34</f>
      </c>
      <c r="CZ287" s="2657">
        <f>'Income Statement'!CF34</f>
      </c>
      <c r="DA287" s="2657">
        <f>'Income Statement'!CG34</f>
      </c>
      <c r="DB287" s="2657">
        <f>'Income Statement'!CH34</f>
      </c>
      <c r="DC287" s="2657">
        <f>'Income Statement'!CI34</f>
      </c>
      <c r="DD287" s="2657">
        <f>'Income Statement'!CJ34</f>
      </c>
      <c r="DE287" s="2657">
        <f>'Income Statement'!CK34</f>
      </c>
      <c r="DF287" s="2657">
        <f>'Income Statement'!CL34</f>
      </c>
      <c r="DG287" s="2657">
        <f>'Income Statement'!CM34</f>
      </c>
      <c r="DH287" s="2657">
        <f>'Income Statement'!CN34</f>
      </c>
      <c r="DI287" s="2657">
        <f>'Income Statement'!CO34</f>
      </c>
      <c r="DJ287" s="2657">
        <f>'Income Statement'!CP34</f>
      </c>
      <c r="DK287" s="2657">
        <f>'Income Statement'!CQ34</f>
      </c>
      <c r="DL287" s="2657">
        <f>'Income Statement'!CR34</f>
      </c>
      <c r="DM287" s="2657">
        <f>'Income Statement'!CS34</f>
      </c>
      <c r="DN287" s="2657">
        <f>'Income Statement'!CT34</f>
      </c>
      <c r="DO287" s="2657">
        <f>'Income Statement'!CU34</f>
      </c>
      <c r="DP287" s="2657">
        <f>'Income Statement'!CV34</f>
      </c>
      <c r="DQ287" s="2657">
        <f>'Income Statement'!CW34</f>
      </c>
      <c r="DR287" s="2657">
        <f>'Income Statement'!CX34</f>
      </c>
      <c r="DS287" s="2657">
        <f>'Income Statement'!CY34</f>
      </c>
      <c r="DT287" s="2657">
        <f>'Income Statement'!CZ34</f>
      </c>
      <c r="DU287" s="2657">
        <f>'Income Statement'!DA34</f>
      </c>
      <c r="DV287" s="2657">
        <f>'Income Statement'!DB34</f>
      </c>
      <c r="DW287" s="2657">
        <f>'Income Statement'!DC34</f>
      </c>
      <c r="DX287" s="2657">
        <f>'Income Statement'!DD34</f>
      </c>
      <c r="DY287" s="2657">
        <f>'Income Statement'!DE34</f>
      </c>
      <c r="DZ287" s="2657">
        <f>'Income Statement'!DF34</f>
      </c>
      <c r="EA287" s="2657">
        <f>'Income Statement'!DG34</f>
      </c>
      <c r="EB287" s="2657">
        <f>'Income Statement'!DH34</f>
      </c>
      <c r="EC287" s="2657">
        <f>'Income Statement'!DI34</f>
      </c>
      <c r="ED287" s="2657">
        <f>'Income Statement'!DJ34</f>
      </c>
      <c r="EE287" s="2657">
        <f>'Income Statement'!DK34</f>
      </c>
      <c r="EF287" s="2657">
        <f>'Income Statement'!DL34</f>
      </c>
      <c r="EG287" s="2657">
        <f>'Income Statement'!DM34</f>
      </c>
      <c r="EH287" s="2657">
        <f>'Income Statement'!DN34</f>
      </c>
      <c r="EI287" s="2657">
        <f>'Income Statement'!DO34</f>
      </c>
      <c r="EJ287" s="2657">
        <f>'Income Statement'!DP34</f>
      </c>
      <c r="EK287" s="2657">
        <f>'Income Statement'!DQ34</f>
      </c>
      <c r="EL287" s="2657">
        <f>'Income Statement'!DR34</f>
      </c>
      <c r="EM287" s="2657">
        <f>'Income Statement'!DS34</f>
      </c>
      <c r="EN287" s="2657">
        <f>'Income Statement'!DT34</f>
      </c>
      <c r="EO287" s="2657">
        <f>'Income Statement'!DU34</f>
      </c>
      <c r="EP287" s="2657">
        <f>'Income Statement'!DV34</f>
      </c>
      <c r="EQ287" s="2657">
        <f>'Income Statement'!DW34</f>
      </c>
      <c r="ER287" s="2657">
        <f>'Income Statement'!DX34</f>
      </c>
      <c r="ES287" s="2657">
        <f>'Income Statement'!DY34</f>
      </c>
      <c r="ET287" s="2657">
        <f>'Income Statement'!DZ34</f>
      </c>
      <c r="EU287" s="2657">
        <f>'Income Statement'!EA34</f>
      </c>
      <c r="EV287" s="2657">
        <f>'Income Statement'!EB34</f>
      </c>
      <c r="EW287" s="2657">
        <f>'Income Statement'!EC34</f>
      </c>
      <c r="EX287" s="2657">
        <f>'Income Statement'!ED34</f>
      </c>
      <c r="EY287" s="2657">
        <f>'Income Statement'!EE34</f>
      </c>
      <c r="EZ287" s="2657">
        <f>'Income Statement'!EF34</f>
      </c>
      <c r="FA287" s="2657">
        <f>'Income Statement'!EG34</f>
      </c>
      <c r="FB287" s="2657">
        <f>'Income Statement'!EH34</f>
      </c>
      <c r="FC287" s="2657">
        <f>'Income Statement'!EI34</f>
      </c>
      <c r="FD287" s="2657">
        <f>'Income Statement'!EJ34</f>
      </c>
      <c r="FE287" s="2657">
        <f>'Income Statement'!EK34</f>
      </c>
    </row>
    <row r="288" spans="2:161" outlineLevel="2">
      <c r="B288" t="s">
        <v>622</v>
      </c>
      <c r="C288" t="s">
        <v>623</v>
      </c>
      <c r="F288" s="2657">
        <f t="shared" ref="F288:AI288" si="88">+F286</f>
      </c>
      <c r="G288" s="2657">
        <f t="shared" si="88"/>
      </c>
      <c r="H288" s="2657">
        <f t="shared" si="88"/>
      </c>
      <c r="I288" s="2657">
        <f t="shared" si="88"/>
      </c>
      <c r="J288" s="2657">
        <f t="shared" si="88"/>
      </c>
      <c r="K288" s="2657">
        <f t="shared" si="88"/>
      </c>
      <c r="L288" s="2657">
        <f t="shared" si="88"/>
      </c>
      <c r="M288" s="2657">
        <f t="shared" si="88"/>
      </c>
      <c r="N288" s="2657">
        <f t="shared" si="88"/>
      </c>
      <c r="O288" s="2657">
        <f t="shared" si="88"/>
      </c>
      <c r="P288" s="2657">
        <f t="shared" si="88"/>
      </c>
      <c r="Q288" s="2657">
        <f t="shared" si="88"/>
      </c>
      <c r="R288" s="2657">
        <f t="shared" si="88"/>
      </c>
      <c r="S288" s="2657">
        <f t="shared" si="88"/>
      </c>
      <c r="T288" s="2657">
        <f t="shared" si="88"/>
      </c>
      <c r="U288" s="2657">
        <f t="shared" si="88"/>
      </c>
      <c r="V288" s="2657">
        <f t="shared" si="88"/>
      </c>
      <c r="W288" s="2657">
        <f t="shared" si="88"/>
      </c>
      <c r="X288" s="2657">
        <f t="shared" si="88"/>
      </c>
      <c r="Y288" s="2657">
        <f t="shared" si="88"/>
      </c>
      <c r="Z288" s="2657">
        <f t="shared" si="88"/>
      </c>
      <c r="AA288" s="2657">
        <f t="shared" si="88"/>
      </c>
      <c r="AB288" s="2657">
        <f t="shared" si="88"/>
      </c>
      <c r="AC288" s="2657">
        <f t="shared" si="88"/>
      </c>
      <c r="AD288" s="2657">
        <f t="shared" si="88"/>
      </c>
      <c r="AE288" s="2657">
        <f t="shared" si="88"/>
      </c>
      <c r="AF288" s="2657">
        <f t="shared" si="88"/>
      </c>
      <c r="AG288" s="2657">
        <f t="shared" si="88"/>
      </c>
      <c r="AH288" s="2657">
        <f t="shared" si="88"/>
      </c>
      <c r="AI288" s="2657">
        <f t="shared" si="88"/>
      </c>
      <c r="AJ288" s="2657">
        <f>+AJ286</f>
      </c>
      <c r="AK288" s="2657"/>
      <c r="AL288" s="2657">
        <f>+AL286</f>
      </c>
      <c r="AM288" s="2657">
        <f t="shared" ref="AM288:CX288" si="89">+AM286</f>
      </c>
      <c r="AN288" s="2657">
        <f t="shared" si="89"/>
      </c>
      <c r="AO288" s="2657">
        <f t="shared" si="89"/>
      </c>
      <c r="AP288" s="2657">
        <f t="shared" si="89"/>
      </c>
      <c r="AQ288" s="2657">
        <f t="shared" si="89"/>
      </c>
      <c r="AR288" s="2657">
        <f t="shared" si="89"/>
      </c>
      <c r="AS288" s="2657">
        <f t="shared" si="89"/>
      </c>
      <c r="AT288" s="2657">
        <f t="shared" si="89"/>
      </c>
      <c r="AU288" s="2657">
        <f t="shared" si="89"/>
      </c>
      <c r="AV288" s="2657">
        <f t="shared" si="89"/>
      </c>
      <c r="AW288" s="2657">
        <f t="shared" si="89"/>
      </c>
      <c r="AX288" s="2657">
        <f t="shared" si="89"/>
      </c>
      <c r="AY288" s="2657">
        <f t="shared" si="89"/>
      </c>
      <c r="AZ288" s="2657">
        <f t="shared" si="89"/>
      </c>
      <c r="BA288" s="2657">
        <f t="shared" si="89"/>
      </c>
      <c r="BB288" s="2657">
        <f t="shared" si="89"/>
      </c>
      <c r="BC288" s="2657">
        <f t="shared" si="89"/>
      </c>
      <c r="BD288" s="2657">
        <f t="shared" si="89"/>
      </c>
      <c r="BE288" s="2657">
        <f t="shared" si="89"/>
      </c>
      <c r="BF288" s="2657">
        <f t="shared" si="89"/>
      </c>
      <c r="BG288" s="2657">
        <f t="shared" si="89"/>
      </c>
      <c r="BH288" s="2657">
        <f t="shared" si="89"/>
      </c>
      <c r="BI288" s="2657">
        <f t="shared" si="89"/>
      </c>
      <c r="BJ288" s="2657">
        <f t="shared" si="89"/>
      </c>
      <c r="BK288" s="2657">
        <f t="shared" si="89"/>
      </c>
      <c r="BL288" s="2657">
        <f t="shared" si="89"/>
      </c>
      <c r="BM288" s="2657">
        <f t="shared" si="89"/>
      </c>
      <c r="BN288" s="2657">
        <f t="shared" si="89"/>
      </c>
      <c r="BO288" s="2657">
        <f t="shared" si="89"/>
      </c>
      <c r="BP288" s="2657">
        <f t="shared" si="89"/>
      </c>
      <c r="BQ288" s="2657">
        <f t="shared" si="89"/>
      </c>
      <c r="BR288" s="2657">
        <f t="shared" si="89"/>
      </c>
      <c r="BS288" s="2657">
        <f t="shared" si="89"/>
      </c>
      <c r="BT288" s="2657">
        <f t="shared" si="89"/>
      </c>
      <c r="BU288" s="2657">
        <f t="shared" si="89"/>
      </c>
      <c r="BV288" s="2657">
        <f t="shared" si="89"/>
      </c>
      <c r="BW288" s="2657">
        <f t="shared" si="89"/>
      </c>
      <c r="BX288" s="2657">
        <f t="shared" si="89"/>
      </c>
      <c r="BY288" s="2657">
        <f t="shared" si="89"/>
      </c>
      <c r="BZ288" s="2657">
        <f t="shared" si="89"/>
      </c>
      <c r="CA288" s="2657">
        <f t="shared" si="89"/>
      </c>
      <c r="CB288" s="2657">
        <f t="shared" si="89"/>
      </c>
      <c r="CC288" s="2657">
        <f t="shared" si="89"/>
      </c>
      <c r="CD288" s="2657">
        <f t="shared" si="89"/>
      </c>
      <c r="CE288" s="2657">
        <f t="shared" si="89"/>
      </c>
      <c r="CF288" s="2657">
        <f t="shared" si="89"/>
      </c>
      <c r="CG288" s="2657">
        <f t="shared" si="89"/>
      </c>
      <c r="CH288" s="2657">
        <f t="shared" si="89"/>
      </c>
      <c r="CI288" s="2657">
        <f t="shared" si="89"/>
      </c>
      <c r="CJ288" s="2657">
        <f t="shared" si="89"/>
      </c>
      <c r="CK288" s="2657">
        <f t="shared" si="89"/>
      </c>
      <c r="CL288" s="2657">
        <f t="shared" si="89"/>
      </c>
      <c r="CM288" s="2657">
        <f t="shared" si="89"/>
      </c>
      <c r="CN288" s="2657">
        <f t="shared" si="89"/>
      </c>
      <c r="CO288" s="2657">
        <f t="shared" si="89"/>
      </c>
      <c r="CP288" s="2657">
        <f t="shared" si="89"/>
      </c>
      <c r="CQ288" s="2657">
        <f t="shared" si="89"/>
      </c>
      <c r="CR288" s="2657">
        <f t="shared" si="89"/>
      </c>
      <c r="CS288" s="2657">
        <f t="shared" si="89"/>
      </c>
      <c r="CT288" s="2657">
        <f t="shared" si="89"/>
      </c>
      <c r="CU288" s="2657">
        <f t="shared" si="89"/>
      </c>
      <c r="CV288" s="2657">
        <f t="shared" si="89"/>
      </c>
      <c r="CW288" s="2657">
        <f t="shared" si="89"/>
      </c>
      <c r="CX288" s="2657">
        <f t="shared" si="89"/>
      </c>
      <c r="CY288" s="2657">
        <f t="shared" ref="CY288:EK288" si="90">+CY286</f>
      </c>
      <c r="CZ288" s="2657">
        <f t="shared" si="90"/>
      </c>
      <c r="DA288" s="2657">
        <f t="shared" si="90"/>
      </c>
      <c r="DB288" s="2657">
        <f t="shared" si="90"/>
      </c>
      <c r="DC288" s="2657">
        <f t="shared" si="90"/>
      </c>
      <c r="DD288" s="2657">
        <f t="shared" si="90"/>
      </c>
      <c r="DE288" s="2657">
        <f t="shared" si="90"/>
      </c>
      <c r="DF288" s="2657">
        <f t="shared" si="90"/>
      </c>
      <c r="DG288" s="2657">
        <f t="shared" si="90"/>
      </c>
      <c r="DH288" s="2657">
        <f t="shared" si="90"/>
      </c>
      <c r="DI288" s="2657">
        <f t="shared" si="90"/>
      </c>
      <c r="DJ288" s="2657">
        <f t="shared" si="90"/>
      </c>
      <c r="DK288" s="2657">
        <f t="shared" si="90"/>
      </c>
      <c r="DL288" s="2657">
        <f t="shared" si="90"/>
      </c>
      <c r="DM288" s="2657">
        <f t="shared" si="90"/>
      </c>
      <c r="DN288" s="2657">
        <f t="shared" si="90"/>
      </c>
      <c r="DO288" s="2657">
        <f t="shared" si="90"/>
      </c>
      <c r="DP288" s="2657">
        <f t="shared" si="90"/>
      </c>
      <c r="DQ288" s="2657">
        <f t="shared" si="90"/>
      </c>
      <c r="DR288" s="2657">
        <f t="shared" si="90"/>
      </c>
      <c r="DS288" s="2657">
        <f t="shared" si="90"/>
      </c>
      <c r="DT288" s="2657">
        <f t="shared" si="90"/>
      </c>
      <c r="DU288" s="2657">
        <f t="shared" si="90"/>
      </c>
      <c r="DV288" s="2657">
        <f t="shared" si="90"/>
      </c>
      <c r="DW288" s="2657">
        <f t="shared" si="90"/>
      </c>
      <c r="DX288" s="2657">
        <f t="shared" si="90"/>
      </c>
      <c r="DY288" s="2657">
        <f t="shared" si="90"/>
      </c>
      <c r="DZ288" s="2657">
        <f t="shared" si="90"/>
      </c>
      <c r="EA288" s="2657">
        <f t="shared" si="90"/>
      </c>
      <c r="EB288" s="2657">
        <f t="shared" si="90"/>
      </c>
      <c r="EC288" s="2657">
        <f t="shared" si="90"/>
      </c>
      <c r="ED288" s="2657">
        <f t="shared" si="90"/>
      </c>
      <c r="EE288" s="2657">
        <f t="shared" si="90"/>
      </c>
      <c r="EF288" s="2657">
        <f t="shared" si="90"/>
      </c>
      <c r="EG288" s="2657">
        <f t="shared" si="90"/>
      </c>
      <c r="EH288" s="2657">
        <f t="shared" si="90"/>
      </c>
      <c r="EI288" s="2657">
        <f t="shared" si="90"/>
      </c>
      <c r="EJ288" s="2657">
        <f t="shared" si="90"/>
      </c>
      <c r="EK288" s="2657">
        <f t="shared" si="90"/>
      </c>
      <c r="EL288" s="2657">
        <f t="shared" ref="EL288:FE288" si="91">+EL286</f>
      </c>
      <c r="EM288" s="2657">
        <f t="shared" si="91"/>
      </c>
      <c r="EN288" s="2657">
        <f t="shared" si="91"/>
      </c>
      <c r="EO288" s="2657">
        <f t="shared" si="91"/>
      </c>
      <c r="EP288" s="2657">
        <f t="shared" si="91"/>
      </c>
      <c r="EQ288" s="2657">
        <f t="shared" si="91"/>
      </c>
      <c r="ER288" s="2657">
        <f t="shared" si="91"/>
      </c>
      <c r="ES288" s="2657">
        <f t="shared" si="91"/>
      </c>
      <c r="ET288" s="2657">
        <f t="shared" si="91"/>
      </c>
      <c r="EU288" s="2657">
        <f t="shared" si="91"/>
      </c>
      <c r="EV288" s="2657">
        <f t="shared" si="91"/>
      </c>
      <c r="EW288" s="2657">
        <f t="shared" si="91"/>
      </c>
      <c r="EX288" s="2657">
        <f t="shared" si="91"/>
      </c>
      <c r="EY288" s="2657">
        <f t="shared" si="91"/>
      </c>
      <c r="EZ288" s="2657">
        <f t="shared" si="91"/>
      </c>
      <c r="FA288" s="2657">
        <f t="shared" si="91"/>
      </c>
      <c r="FB288" s="2657">
        <f t="shared" si="91"/>
      </c>
      <c r="FC288" s="2657">
        <f t="shared" si="91"/>
      </c>
      <c r="FD288" s="2657">
        <f t="shared" si="91"/>
      </c>
      <c r="FE288" s="2657">
        <f t="shared" si="91"/>
      </c>
    </row>
    <row r="289" spans="1:161" s="539" customFormat="1" outlineLevel="1">
      <c r="A289" s="540" t="s">
        <v>282</v>
      </c>
      <c r="B289" s="540"/>
      <c r="C289" s="540"/>
      <c r="D289" s="540"/>
    </row>
    <row r="290" spans="1:161" outlineLevel="2">
      <c r="B290" t="s">
        <v>624</v>
      </c>
      <c r="C290" t="s">
        <v>625</v>
      </c>
      <c r="F290" s="542">
        <f>'Income Statement'!EQ25</f>
      </c>
      <c r="G290" s="542">
        <f>'Income Statement'!ER25</f>
      </c>
      <c r="H290" s="542">
        <f>'Income Statement'!ES25</f>
      </c>
      <c r="I290" s="542">
        <f>'Income Statement'!ET25</f>
      </c>
      <c r="J290" s="542">
        <f>'Income Statement'!EU25</f>
      </c>
      <c r="K290" s="542">
        <f>'Income Statement'!EV25</f>
      </c>
      <c r="L290" s="542">
        <f>'Income Statement'!EW25</f>
      </c>
      <c r="M290" s="542">
        <f>'Income Statement'!EX25</f>
      </c>
      <c r="N290" s="542">
        <f>'Income Statement'!EY25</f>
      </c>
      <c r="O290" s="542">
        <f>'Income Statement'!EZ25</f>
      </c>
      <c r="P290" s="542">
        <f>'Income Statement'!FA25</f>
      </c>
      <c r="Q290" s="542">
        <f>'Income Statement'!FB25</f>
      </c>
      <c r="R290" s="542">
        <f>'Income Statement'!FC25</f>
      </c>
      <c r="S290" s="542">
        <f>'Income Statement'!FD25</f>
      </c>
      <c r="T290" s="542">
        <f>'Income Statement'!FE25</f>
      </c>
      <c r="U290" s="542">
        <f>'Income Statement'!FF25</f>
      </c>
      <c r="V290" s="542">
        <f>'Income Statement'!FG25</f>
      </c>
      <c r="W290" s="542">
        <f>'Income Statement'!FH25</f>
      </c>
      <c r="X290" s="542">
        <f>'Income Statement'!FI25</f>
      </c>
      <c r="Y290" s="542">
        <f>'Income Statement'!FJ25</f>
      </c>
      <c r="Z290" s="542">
        <f>'Income Statement'!FK25</f>
      </c>
      <c r="AA290" s="542">
        <f>'Income Statement'!FL25</f>
      </c>
      <c r="AB290" s="542">
        <f>'Income Statement'!FM25</f>
      </c>
      <c r="AC290" s="542">
        <f>'Income Statement'!FN25</f>
      </c>
      <c r="AD290" s="542">
        <f>'Income Statement'!FO25</f>
      </c>
      <c r="AE290" s="542">
        <f>'Income Statement'!FP25</f>
      </c>
      <c r="AF290" s="542">
        <f>'Income Statement'!FQ25</f>
      </c>
      <c r="AG290" s="542">
        <f>'Income Statement'!FR25</f>
      </c>
      <c r="AH290" s="542">
        <f>'Income Statement'!FS25</f>
      </c>
      <c r="AI290" s="542">
        <f>'Income Statement'!FT25</f>
      </c>
      <c r="AJ290" s="542">
        <f>'Income Statement'!FU25</f>
      </c>
      <c r="AK290" s="542"/>
      <c r="AL290" s="542">
        <f>'Income Statement'!R25</f>
      </c>
      <c r="AM290" s="542">
        <f>'Income Statement'!S25</f>
      </c>
      <c r="AN290" s="542">
        <f>'Income Statement'!T25</f>
      </c>
      <c r="AO290" s="542">
        <f>'Income Statement'!U25</f>
      </c>
      <c r="AP290" s="542">
        <f>'Income Statement'!V25</f>
      </c>
      <c r="AQ290" s="542">
        <f>'Income Statement'!W25</f>
      </c>
      <c r="AR290" s="542">
        <f>'Income Statement'!X25</f>
      </c>
      <c r="AS290" s="542">
        <f>'Income Statement'!Y25</f>
      </c>
      <c r="AT290" s="542">
        <f>'Income Statement'!Z25</f>
      </c>
      <c r="AU290" s="542">
        <f>'Income Statement'!AA25</f>
      </c>
      <c r="AV290" s="542">
        <f>'Income Statement'!AB25</f>
      </c>
      <c r="AW290" s="542">
        <f>'Income Statement'!AC25</f>
      </c>
      <c r="AX290" s="542">
        <f>'Income Statement'!AD25</f>
      </c>
      <c r="AY290" s="542">
        <f>'Income Statement'!AE25</f>
      </c>
      <c r="AZ290" s="542">
        <f>'Income Statement'!AF25</f>
      </c>
      <c r="BA290" s="542">
        <f>'Income Statement'!AG25</f>
      </c>
      <c r="BB290" s="542">
        <f>'Income Statement'!AH25</f>
      </c>
      <c r="BC290" s="542">
        <f>'Income Statement'!AI25</f>
      </c>
      <c r="BD290" s="542">
        <f>'Income Statement'!AJ25</f>
      </c>
      <c r="BE290" s="542">
        <f>'Income Statement'!AK25</f>
      </c>
      <c r="BF290" s="542">
        <f>'Income Statement'!AL25</f>
      </c>
      <c r="BG290" s="542">
        <f>'Income Statement'!AM25</f>
      </c>
      <c r="BH290" s="542">
        <f>'Income Statement'!AN25</f>
      </c>
      <c r="BI290" s="542">
        <f>'Income Statement'!AO25</f>
      </c>
      <c r="BJ290" s="542">
        <f>'Income Statement'!AP25</f>
      </c>
      <c r="BK290" s="542">
        <f>'Income Statement'!AQ25</f>
      </c>
      <c r="BL290" s="542">
        <f>'Income Statement'!AR25</f>
      </c>
      <c r="BM290" s="542">
        <f>'Income Statement'!AS25</f>
      </c>
      <c r="BN290" s="542">
        <f>'Income Statement'!AT25</f>
      </c>
      <c r="BO290" s="542">
        <f>'Income Statement'!AU25</f>
      </c>
      <c r="BP290" s="542">
        <f>'Income Statement'!AV25</f>
      </c>
      <c r="BQ290" s="542">
        <f>'Income Statement'!AW25</f>
      </c>
      <c r="BR290" s="542">
        <f>'Income Statement'!AX25</f>
      </c>
      <c r="BS290" s="542">
        <f>'Income Statement'!AY25</f>
      </c>
      <c r="BT290" s="542">
        <f>'Income Statement'!AZ25</f>
      </c>
      <c r="BU290" s="542">
        <f>'Income Statement'!BA25</f>
      </c>
      <c r="BV290" s="542">
        <f>'Income Statement'!BB25</f>
      </c>
      <c r="BW290" s="542">
        <f>'Income Statement'!BC25</f>
      </c>
      <c r="BX290" s="542">
        <f>'Income Statement'!BD25</f>
      </c>
      <c r="BY290" s="542">
        <f>'Income Statement'!BE25</f>
      </c>
      <c r="BZ290" s="542">
        <f>'Income Statement'!BF25</f>
      </c>
      <c r="CA290" s="542">
        <f>'Income Statement'!BG25</f>
      </c>
      <c r="CB290" s="542">
        <f>'Income Statement'!BH25</f>
      </c>
      <c r="CC290" s="542">
        <f>'Income Statement'!BI25</f>
      </c>
      <c r="CD290" s="542">
        <f>'Income Statement'!BJ25</f>
      </c>
      <c r="CE290" s="542">
        <f>'Income Statement'!BK25</f>
      </c>
      <c r="CF290" s="542">
        <f>'Income Statement'!BL25</f>
      </c>
      <c r="CG290" s="542">
        <f>'Income Statement'!BM25</f>
      </c>
      <c r="CH290" s="542">
        <f>'Income Statement'!BN25</f>
      </c>
      <c r="CI290" s="542">
        <f>'Income Statement'!BO25</f>
      </c>
      <c r="CJ290" s="542">
        <f>'Income Statement'!BP25</f>
      </c>
      <c r="CK290" s="542">
        <f>'Income Statement'!BQ25</f>
      </c>
      <c r="CL290" s="542">
        <f>'Income Statement'!BR25</f>
      </c>
      <c r="CM290" s="542">
        <f>'Income Statement'!BS25</f>
      </c>
      <c r="CN290" s="542">
        <f>'Income Statement'!BT25</f>
      </c>
      <c r="CO290" s="542">
        <f>'Income Statement'!BU25</f>
      </c>
      <c r="CP290" s="542">
        <f>'Income Statement'!BV25</f>
      </c>
      <c r="CQ290" s="542">
        <f>'Income Statement'!BW25</f>
      </c>
      <c r="CR290" s="542">
        <f>'Income Statement'!BX25</f>
      </c>
      <c r="CS290" s="542">
        <f>'Income Statement'!BY25</f>
      </c>
      <c r="CT290" s="542">
        <f>'Income Statement'!BZ25</f>
      </c>
      <c r="CU290" s="542">
        <f>'Income Statement'!CA25</f>
      </c>
      <c r="CV290" s="542">
        <f>'Income Statement'!CB25</f>
      </c>
      <c r="CW290" s="542">
        <f>'Income Statement'!CC25</f>
      </c>
      <c r="CX290" s="542">
        <f>'Income Statement'!CD25</f>
      </c>
      <c r="CY290" s="542">
        <f>'Income Statement'!CE25</f>
      </c>
      <c r="CZ290" s="542">
        <f>'Income Statement'!CF25</f>
      </c>
      <c r="DA290" s="542">
        <f>'Income Statement'!CG25</f>
      </c>
      <c r="DB290" s="542">
        <f>'Income Statement'!CH25</f>
      </c>
      <c r="DC290" s="542">
        <f>'Income Statement'!CI25</f>
      </c>
      <c r="DD290" s="542">
        <f>'Income Statement'!CJ25</f>
      </c>
      <c r="DE290" s="542">
        <f>'Income Statement'!CK25</f>
      </c>
      <c r="DF290" s="542">
        <f>'Income Statement'!CL25</f>
      </c>
      <c r="DG290" s="542">
        <f>'Income Statement'!CM25</f>
      </c>
      <c r="DH290" s="542">
        <f>'Income Statement'!CN25</f>
      </c>
      <c r="DI290" s="542">
        <f>'Income Statement'!CO25</f>
      </c>
      <c r="DJ290" s="542">
        <f>'Income Statement'!CP25</f>
      </c>
      <c r="DK290" s="542">
        <f>'Income Statement'!CQ25</f>
      </c>
      <c r="DL290" s="542">
        <f>'Income Statement'!CR25</f>
      </c>
      <c r="DM290" s="542">
        <f>'Income Statement'!CS25</f>
      </c>
      <c r="DN290" s="542">
        <f>'Income Statement'!CT25</f>
      </c>
      <c r="DO290" s="542">
        <f>'Income Statement'!CU25</f>
      </c>
      <c r="DP290" s="542">
        <f>'Income Statement'!CV25</f>
      </c>
      <c r="DQ290" s="542">
        <f>'Income Statement'!CW25</f>
      </c>
      <c r="DR290" s="542">
        <f>'Income Statement'!CX25</f>
      </c>
      <c r="DS290" s="542">
        <f>'Income Statement'!CY25</f>
      </c>
      <c r="DT290" s="542">
        <f>'Income Statement'!CZ25</f>
      </c>
      <c r="DU290" s="542">
        <f>'Income Statement'!DA25</f>
      </c>
      <c r="DV290" s="542">
        <f>'Income Statement'!DB25</f>
      </c>
      <c r="DW290" s="542">
        <f>'Income Statement'!DC25</f>
      </c>
      <c r="DX290" s="542">
        <f>'Income Statement'!DD25</f>
      </c>
      <c r="DY290" s="542">
        <f>'Income Statement'!DE25</f>
      </c>
      <c r="DZ290" s="542">
        <f>'Income Statement'!DF25</f>
      </c>
      <c r="EA290" s="542">
        <f>'Income Statement'!DG25</f>
      </c>
      <c r="EB290" s="542">
        <f>'Income Statement'!DH25</f>
      </c>
      <c r="EC290" s="542">
        <f>'Income Statement'!DI25</f>
      </c>
      <c r="ED290" s="542">
        <f>'Income Statement'!DJ25</f>
      </c>
      <c r="EE290" s="542">
        <f>'Income Statement'!DK25</f>
      </c>
      <c r="EF290" s="542">
        <f>'Income Statement'!DL25</f>
      </c>
      <c r="EG290" s="542">
        <f>'Income Statement'!DM25</f>
      </c>
      <c r="EH290" s="542">
        <f>'Income Statement'!DN25</f>
      </c>
      <c r="EI290" s="542">
        <f>'Income Statement'!DO25</f>
      </c>
      <c r="EJ290" s="542">
        <f>'Income Statement'!DP25</f>
      </c>
      <c r="EK290" s="542">
        <f>'Income Statement'!DQ25</f>
      </c>
      <c r="EL290" s="542">
        <f>'Income Statement'!DR25</f>
      </c>
      <c r="EM290" s="542">
        <f>'Income Statement'!DS25</f>
      </c>
      <c r="EN290" s="542">
        <f>'Income Statement'!DT25</f>
      </c>
      <c r="EO290" s="542">
        <f>'Income Statement'!DU25</f>
      </c>
      <c r="EP290" s="542">
        <f>'Income Statement'!DV25</f>
      </c>
      <c r="EQ290" s="542">
        <f>'Income Statement'!DW25</f>
      </c>
      <c r="ER290" s="542">
        <f>'Income Statement'!DX25</f>
      </c>
      <c r="ES290" s="542">
        <f>'Income Statement'!DY25</f>
      </c>
      <c r="ET290" s="542">
        <f>'Income Statement'!DZ25</f>
      </c>
      <c r="EU290" s="542">
        <f>'Income Statement'!EA25</f>
      </c>
      <c r="EV290" s="542">
        <f>'Income Statement'!EB25</f>
      </c>
      <c r="EW290" s="542">
        <f>'Income Statement'!EC25</f>
      </c>
      <c r="EX290" s="542">
        <f>'Income Statement'!ED25</f>
      </c>
      <c r="EY290" s="542">
        <f>'Income Statement'!EE25</f>
      </c>
      <c r="EZ290" s="542">
        <f>'Income Statement'!EF25</f>
      </c>
      <c r="FA290" s="542">
        <f>'Income Statement'!EG25</f>
      </c>
      <c r="FB290" s="542">
        <f>'Income Statement'!EH25</f>
      </c>
      <c r="FC290" s="542">
        <f>'Income Statement'!EI25</f>
      </c>
      <c r="FD290" s="542">
        <f>'Income Statement'!EJ25</f>
      </c>
      <c r="FE290" s="542">
        <f>'Income Statement'!EK25</f>
      </c>
    </row>
    <row r="291" spans="1:161" s="539" customFormat="1" outlineLevel="1">
      <c r="A291" s="540" t="s">
        <v>626</v>
      </c>
      <c r="B291" s="540"/>
      <c r="C291" s="540"/>
      <c r="D291" s="540"/>
    </row>
    <row r="292" spans="1:161" outlineLevel="2">
      <c r="B292" t="s">
        <v>627</v>
      </c>
      <c r="C292" t="s">
        <v>628</v>
      </c>
      <c r="D292" t="str">
        <f>E_CURRENCY_EQTY_200000801_REP</f>
      </c>
      <c r="F292" s="2657"/>
      <c r="G292" s="2657"/>
      <c r="H292" s="2657"/>
      <c r="I292" s="2657"/>
      <c r="J292" s="2657"/>
      <c r="K292" s="2657"/>
      <c r="L292" s="2657"/>
      <c r="M292" s="2657"/>
      <c r="N292" s="2657"/>
      <c r="O292" s="2657"/>
      <c r="P292" s="2657"/>
      <c r="Q292" s="2657"/>
      <c r="R292" s="2657"/>
      <c r="S292" s="2657"/>
      <c r="T292" s="2657"/>
      <c r="U292" s="2657"/>
      <c r="V292" s="2657"/>
      <c r="W292" s="2657"/>
      <c r="X292" s="2657"/>
      <c r="Y292" s="2657"/>
      <c r="Z292" s="2657"/>
      <c r="AA292" s="2657"/>
      <c r="AB292" s="2657"/>
      <c r="AC292" s="2657"/>
      <c r="AD292" s="2657"/>
      <c r="AE292" s="2657"/>
      <c r="AF292" s="2657"/>
      <c r="AG292" s="2657"/>
      <c r="AH292" s="2657"/>
      <c r="AI292" s="2657"/>
      <c r="AJ292" s="2657"/>
      <c r="AK292" s="2657"/>
      <c r="AL292" s="2657"/>
      <c r="AM292" s="2657"/>
      <c r="AN292" s="2657"/>
      <c r="AO292" s="2657"/>
      <c r="AP292" s="2657"/>
      <c r="AQ292" s="2657"/>
      <c r="AR292" s="2657"/>
      <c r="AS292" s="2657"/>
      <c r="AT292" s="2657"/>
      <c r="AU292" s="2657"/>
      <c r="AV292" s="2657"/>
      <c r="AW292" s="2657"/>
      <c r="AX292" s="2657"/>
      <c r="AY292" s="2657"/>
      <c r="AZ292" s="2657"/>
      <c r="BA292" s="2657"/>
      <c r="BB292" s="2657"/>
      <c r="BC292" s="2657"/>
      <c r="BD292" s="2657"/>
      <c r="BE292" s="2657"/>
      <c r="BF292" s="2657"/>
      <c r="BG292" s="2657"/>
      <c r="BH292" s="2657"/>
      <c r="BI292" s="2657"/>
      <c r="BJ292" s="2657"/>
      <c r="BK292" s="2657"/>
      <c r="BL292" s="2657"/>
      <c r="BM292" s="2657"/>
      <c r="BN292" s="2657"/>
      <c r="BO292" s="2657"/>
      <c r="BP292" s="2657"/>
      <c r="BQ292" s="2657"/>
      <c r="BR292" s="2657"/>
      <c r="BS292" s="2657"/>
      <c r="BT292" s="2657"/>
      <c r="BU292" s="2657"/>
      <c r="BV292" s="2657"/>
      <c r="BW292" s="2657"/>
      <c r="BX292" s="2657"/>
      <c r="BY292" s="2657"/>
      <c r="BZ292" s="2657"/>
      <c r="CA292" s="2657"/>
      <c r="CB292" s="2657"/>
      <c r="CC292" s="2657"/>
      <c r="CD292" s="2657"/>
      <c r="CE292" s="2657"/>
      <c r="CF292" s="2657"/>
      <c r="CG292" s="2657"/>
      <c r="CH292" s="2657"/>
      <c r="CI292" s="2657"/>
      <c r="CJ292" s="2657"/>
      <c r="CK292" s="2657"/>
      <c r="CL292" s="2657"/>
      <c r="CM292" s="2657"/>
      <c r="CN292" s="2657"/>
      <c r="CO292" s="2657"/>
      <c r="CP292" s="2657"/>
      <c r="CQ292" s="2657"/>
      <c r="CR292" s="2657"/>
      <c r="CS292" s="2657"/>
      <c r="CT292" s="2657"/>
      <c r="CU292" s="2657"/>
      <c r="CV292" s="2657"/>
      <c r="CW292" s="2657"/>
      <c r="CX292" s="2657"/>
      <c r="CY292" s="2657"/>
      <c r="CZ292" s="2657"/>
      <c r="DA292" s="2657"/>
      <c r="DB292" s="2657"/>
      <c r="DC292" s="2657"/>
      <c r="DD292" s="2657"/>
      <c r="DE292" s="2657"/>
      <c r="DF292" s="2657"/>
      <c r="DG292" s="2657"/>
      <c r="DH292" s="2657"/>
      <c r="DI292" s="2657"/>
      <c r="DJ292" s="2657"/>
      <c r="DK292" s="2657"/>
      <c r="DL292" s="2657"/>
      <c r="DM292" s="2657"/>
      <c r="DN292" s="2657"/>
      <c r="DO292" s="2657"/>
      <c r="DP292" s="2657"/>
      <c r="DQ292" s="2657"/>
      <c r="DR292" s="2657"/>
      <c r="DS292" s="2657"/>
      <c r="DT292" s="2657"/>
      <c r="DU292" s="2657"/>
      <c r="DV292" s="2657"/>
      <c r="DW292" s="2657"/>
      <c r="DX292" s="2657"/>
      <c r="DY292" s="2657"/>
      <c r="DZ292" s="2657"/>
      <c r="EA292" s="2657"/>
      <c r="EB292" s="2657"/>
      <c r="EC292" s="2657"/>
      <c r="ED292" s="2657"/>
      <c r="EE292" s="2657"/>
      <c r="EF292" s="2657"/>
      <c r="EG292" s="2657"/>
      <c r="EH292" s="2657"/>
      <c r="EI292" s="2657"/>
      <c r="EJ292" s="2657"/>
      <c r="EK292" s="2657"/>
      <c r="EL292" s="2657"/>
      <c r="EM292" s="2657"/>
      <c r="EN292" s="2657"/>
      <c r="EO292" s="2657"/>
      <c r="EP292" s="2657"/>
      <c r="EQ292" s="2657"/>
      <c r="ER292" s="2657"/>
      <c r="ES292" s="2657"/>
      <c r="ET292" s="2657"/>
      <c r="EU292" s="2657"/>
      <c r="EV292" s="2657"/>
      <c r="EW292" s="2657"/>
      <c r="EX292" s="2657"/>
      <c r="EY292" s="2657"/>
      <c r="EZ292" s="2657"/>
      <c r="FA292" s="2657"/>
      <c r="FB292" s="2657"/>
      <c r="FC292" s="2657"/>
      <c r="FD292" s="2657"/>
      <c r="FE292" s="2657"/>
    </row>
    <row r="293" spans="1:161" outlineLevel="2">
      <c r="B293" t="s">
        <v>629</v>
      </c>
      <c r="C293" t="s">
        <v>630</v>
      </c>
      <c r="D293" t="str">
        <f>E_CURRENCY_EQTY_200000801_REP</f>
      </c>
      <c r="F293" s="2657"/>
      <c r="G293" s="2657"/>
      <c r="H293" s="2657"/>
      <c r="I293" s="2657"/>
      <c r="J293" s="2657"/>
      <c r="K293" s="2657"/>
      <c r="L293" s="2657"/>
      <c r="M293" s="2657"/>
      <c r="N293" s="2657"/>
      <c r="O293" s="2657"/>
      <c r="P293" s="2657"/>
      <c r="Q293" s="2657"/>
      <c r="R293" s="2657"/>
      <c r="S293" s="2657"/>
      <c r="T293" s="2657"/>
      <c r="U293" s="2657"/>
      <c r="V293" s="2657"/>
      <c r="W293" s="2657"/>
      <c r="X293" s="2657"/>
      <c r="Y293" s="2657"/>
      <c r="Z293" s="2657"/>
      <c r="AA293" s="2657"/>
      <c r="AB293" s="2657"/>
      <c r="AC293" s="2657"/>
      <c r="AD293" s="2657"/>
      <c r="AE293" s="2657"/>
      <c r="AF293" s="2657"/>
      <c r="AG293" s="2657"/>
      <c r="AH293" s="2657"/>
      <c r="AI293" s="2657"/>
      <c r="AJ293" s="2657"/>
      <c r="AK293" s="2657"/>
      <c r="AL293" s="2657"/>
      <c r="AM293" s="2657"/>
      <c r="AN293" s="2657"/>
      <c r="AO293" s="2657"/>
      <c r="AP293" s="2657"/>
      <c r="AQ293" s="2657"/>
      <c r="AR293" s="2657"/>
      <c r="AS293" s="2657"/>
      <c r="AT293" s="2657"/>
      <c r="AU293" s="2657"/>
      <c r="AV293" s="2657"/>
      <c r="AW293" s="2657"/>
      <c r="AX293" s="2657"/>
      <c r="AY293" s="2657"/>
      <c r="AZ293" s="2657"/>
      <c r="BA293" s="2657"/>
      <c r="BB293" s="2657"/>
      <c r="BC293" s="2657"/>
      <c r="BD293" s="2657"/>
      <c r="BE293" s="2657"/>
      <c r="BF293" s="2657"/>
      <c r="BG293" s="2657"/>
      <c r="BH293" s="2657"/>
      <c r="BI293" s="2657"/>
      <c r="BJ293" s="2657"/>
      <c r="BK293" s="2657"/>
      <c r="BL293" s="2657"/>
      <c r="BM293" s="2657"/>
      <c r="BN293" s="2657"/>
      <c r="BO293" s="2657"/>
      <c r="BP293" s="2657"/>
      <c r="BQ293" s="2657"/>
      <c r="BR293" s="2657"/>
      <c r="BS293" s="2657"/>
      <c r="BT293" s="2657"/>
      <c r="BU293" s="2657"/>
      <c r="BV293" s="2657"/>
      <c r="BW293" s="2657"/>
      <c r="BX293" s="2657"/>
      <c r="BY293" s="2657"/>
      <c r="BZ293" s="2657"/>
      <c r="CA293" s="2657"/>
      <c r="CB293" s="2657"/>
      <c r="CC293" s="2657"/>
      <c r="CD293" s="2657"/>
      <c r="CE293" s="2657"/>
      <c r="CF293" s="2657"/>
      <c r="CG293" s="2657"/>
      <c r="CH293" s="2657"/>
      <c r="CI293" s="2657"/>
      <c r="CJ293" s="2657"/>
      <c r="CK293" s="2657"/>
      <c r="CL293" s="2657"/>
      <c r="CM293" s="2657"/>
      <c r="CN293" s="2657"/>
      <c r="CO293" s="2657"/>
      <c r="CP293" s="2657"/>
      <c r="CQ293" s="2657"/>
      <c r="CR293" s="2657"/>
      <c r="CS293" s="2657"/>
      <c r="CT293" s="2657"/>
      <c r="CU293" s="2657"/>
      <c r="CV293" s="2657"/>
      <c r="CW293" s="2657"/>
      <c r="CX293" s="2657"/>
      <c r="CY293" s="2657"/>
      <c r="CZ293" s="2657"/>
      <c r="DA293" s="2657"/>
      <c r="DB293" s="2657"/>
      <c r="DC293" s="2657"/>
      <c r="DD293" s="2657"/>
      <c r="DE293" s="2657"/>
      <c r="DF293" s="2657"/>
      <c r="DG293" s="2657"/>
      <c r="DH293" s="2657"/>
      <c r="DI293" s="2657"/>
      <c r="DJ293" s="2657"/>
      <c r="DK293" s="2657"/>
      <c r="DL293" s="2657"/>
      <c r="DM293" s="2657"/>
      <c r="DN293" s="2657"/>
      <c r="DO293" s="2657"/>
      <c r="DP293" s="2657"/>
      <c r="DQ293" s="2657"/>
      <c r="DR293" s="2657"/>
      <c r="DS293" s="2657"/>
      <c r="DT293" s="2657"/>
      <c r="DU293" s="2657"/>
      <c r="DV293" s="2657"/>
      <c r="DW293" s="2657"/>
      <c r="DX293" s="2657"/>
      <c r="DY293" s="2657"/>
      <c r="DZ293" s="2657"/>
      <c r="EA293" s="2657"/>
      <c r="EB293" s="2657"/>
      <c r="EC293" s="2657"/>
      <c r="ED293" s="2657"/>
      <c r="EE293" s="2657"/>
      <c r="EF293" s="2657"/>
      <c r="EG293" s="2657"/>
      <c r="EH293" s="2657"/>
      <c r="EI293" s="2657"/>
      <c r="EJ293" s="2657"/>
      <c r="EK293" s="2657"/>
      <c r="EL293" s="2657"/>
      <c r="EM293" s="2657"/>
      <c r="EN293" s="2657"/>
      <c r="EO293" s="2657"/>
      <c r="EP293" s="2657"/>
      <c r="EQ293" s="2657"/>
      <c r="ER293" s="2657"/>
      <c r="ES293" s="2657"/>
      <c r="ET293" s="2657"/>
      <c r="EU293" s="2657"/>
      <c r="EV293" s="2657"/>
      <c r="EW293" s="2657"/>
      <c r="EX293" s="2657"/>
      <c r="EY293" s="2657"/>
      <c r="EZ293" s="2657"/>
      <c r="FA293" s="2657"/>
      <c r="FB293" s="2657"/>
      <c r="FC293" s="2657"/>
      <c r="FD293" s="2657"/>
      <c r="FE293" s="2657"/>
    </row>
    <row r="294" spans="1:161" outlineLevel="2">
      <c r="B294" t="s">
        <v>631</v>
      </c>
      <c r="C294" t="s">
        <v>632</v>
      </c>
      <c r="D294" t="str">
        <f>E_CURRENCY_EQTY_200000801_REP</f>
      </c>
      <c r="F294" s="2664"/>
      <c r="G294" s="2664"/>
      <c r="H294" s="2664"/>
      <c r="I294" s="2664"/>
      <c r="J294" s="2664"/>
      <c r="K294" s="2664"/>
      <c r="L294" s="2664"/>
      <c r="M294" s="2664"/>
      <c r="N294" s="2664"/>
      <c r="O294" s="2664"/>
      <c r="P294" s="2664"/>
      <c r="Q294" s="2664"/>
      <c r="R294" s="2664"/>
      <c r="S294" s="2664"/>
      <c r="T294" s="2664"/>
      <c r="U294" s="2664"/>
      <c r="V294" s="2664"/>
      <c r="W294" s="2664"/>
      <c r="X294" s="2664"/>
      <c r="Y294" s="2664"/>
      <c r="Z294" s="2664"/>
      <c r="AA294" s="2664"/>
      <c r="AB294" s="2664"/>
      <c r="AC294" s="2664"/>
      <c r="AD294" s="2664"/>
      <c r="AE294" s="2664"/>
      <c r="AF294" s="2664"/>
      <c r="AG294" s="2664"/>
      <c r="AH294" s="2664"/>
      <c r="AI294" s="2664"/>
      <c r="AJ294" s="2664"/>
      <c r="AK294" s="2664"/>
      <c r="AL294" s="2664"/>
      <c r="AM294" s="2664"/>
      <c r="AN294" s="2664"/>
      <c r="AO294" s="2664"/>
      <c r="AP294" s="2664"/>
      <c r="AQ294" s="2664"/>
      <c r="AR294" s="2664"/>
      <c r="AS294" s="2664"/>
      <c r="AT294" s="2664"/>
      <c r="AU294" s="2664"/>
      <c r="AV294" s="2664"/>
      <c r="AW294" s="2664"/>
      <c r="AX294" s="2664"/>
      <c r="AY294" s="2664"/>
      <c r="AZ294" s="2664"/>
      <c r="BA294" s="2664"/>
      <c r="BB294" s="2664"/>
      <c r="BC294" s="2664"/>
      <c r="BD294" s="2664"/>
      <c r="BE294" s="2664"/>
      <c r="BF294" s="2664"/>
      <c r="BG294" s="2664"/>
      <c r="BH294" s="2664"/>
      <c r="BI294" s="2664"/>
      <c r="BJ294" s="2664"/>
      <c r="BK294" s="2664"/>
      <c r="BL294" s="2664"/>
      <c r="BM294" s="2664"/>
      <c r="BN294" s="2664"/>
      <c r="BO294" s="2664"/>
      <c r="BP294" s="2664"/>
      <c r="BQ294" s="2664"/>
      <c r="BR294" s="2664"/>
      <c r="BS294" s="2664"/>
      <c r="BT294" s="2664"/>
      <c r="BU294" s="2664"/>
      <c r="BV294" s="2664"/>
      <c r="BW294" s="2664"/>
      <c r="BX294" s="2664"/>
      <c r="BY294" s="2664"/>
      <c r="BZ294" s="2664"/>
      <c r="CA294" s="2664"/>
      <c r="CB294" s="2664"/>
      <c r="CC294" s="2664"/>
      <c r="CD294" s="2664"/>
      <c r="CE294" s="2664"/>
      <c r="CF294" s="2664"/>
      <c r="CG294" s="2664"/>
      <c r="CH294" s="2664"/>
      <c r="CI294" s="2664"/>
      <c r="CJ294" s="2664"/>
      <c r="CK294" s="2664"/>
      <c r="CL294" s="2664"/>
      <c r="CM294" s="2664"/>
      <c r="CN294" s="2664"/>
      <c r="CO294" s="2664"/>
      <c r="CP294" s="2664"/>
      <c r="CQ294" s="2664"/>
      <c r="CR294" s="2664"/>
      <c r="CS294" s="2664"/>
      <c r="CT294" s="2664"/>
      <c r="CU294" s="2664"/>
      <c r="CV294" s="2664"/>
      <c r="CW294" s="2664"/>
      <c r="CX294" s="2664"/>
      <c r="CY294" s="2664"/>
      <c r="CZ294" s="2664"/>
      <c r="DA294" s="2664"/>
      <c r="DB294" s="2664"/>
      <c r="DC294" s="2664"/>
      <c r="DD294" s="2664"/>
      <c r="DE294" s="2664"/>
      <c r="DF294" s="2664"/>
      <c r="DG294" s="2664"/>
      <c r="DH294" s="2664"/>
      <c r="DI294" s="2664"/>
      <c r="DJ294" s="2664"/>
      <c r="DK294" s="2664"/>
      <c r="DL294" s="2664"/>
      <c r="DM294" s="2664"/>
      <c r="DN294" s="2664"/>
      <c r="DO294" s="2664"/>
      <c r="DP294" s="2664"/>
      <c r="DQ294" s="2664"/>
      <c r="DR294" s="2664"/>
      <c r="DS294" s="2664"/>
      <c r="DT294" s="2664"/>
      <c r="DU294" s="2664"/>
      <c r="DV294" s="2664"/>
      <c r="DW294" s="2664"/>
      <c r="DX294" s="2664"/>
      <c r="DY294" s="2664"/>
      <c r="DZ294" s="2664"/>
      <c r="EA294" s="2664"/>
      <c r="EB294" s="2664"/>
      <c r="EC294" s="2664"/>
      <c r="ED294" s="2664"/>
      <c r="EE294" s="2664"/>
      <c r="EF294" s="2664"/>
      <c r="EG294" s="2664"/>
      <c r="EH294" s="2664"/>
      <c r="EI294" s="2664"/>
      <c r="EJ294" s="2664"/>
      <c r="EK294" s="2664"/>
      <c r="EL294" s="2664"/>
      <c r="EM294" s="2664"/>
      <c r="EN294" s="2664"/>
      <c r="EO294" s="2664"/>
      <c r="EP294" s="2664"/>
      <c r="EQ294" s="2664"/>
      <c r="ER294" s="2664"/>
      <c r="ES294" s="2664"/>
      <c r="ET294" s="2664"/>
      <c r="EU294" s="2664"/>
      <c r="EV294" s="2664"/>
      <c r="EW294" s="2664"/>
      <c r="EX294" s="2664"/>
      <c r="EY294" s="2664"/>
      <c r="EZ294" s="2664"/>
      <c r="FA294" s="2664"/>
      <c r="FB294" s="2664"/>
      <c r="FC294" s="2664"/>
      <c r="FD294" s="2664"/>
      <c r="FE294" s="2664"/>
    </row>
    <row r="295" spans="1:161" outlineLevel="2">
      <c r="B295" t="s">
        <v>633</v>
      </c>
      <c r="C295" t="s">
        <v>634</v>
      </c>
      <c r="D295" t="str">
        <f>E_CURRENCY_EQTY_200000801_REP</f>
      </c>
      <c r="F295" s="2664"/>
      <c r="G295" s="2664"/>
      <c r="H295" s="2664"/>
      <c r="I295" s="2664"/>
      <c r="J295" s="2664"/>
      <c r="K295" s="2664"/>
      <c r="L295" s="2664"/>
      <c r="M295" s="2664"/>
      <c r="N295" s="2664"/>
      <c r="O295" s="2664"/>
      <c r="P295" s="2664"/>
      <c r="Q295" s="2664"/>
      <c r="R295" s="2664"/>
      <c r="S295" s="2664"/>
      <c r="T295" s="2664"/>
      <c r="U295" s="2664"/>
      <c r="V295" s="2664"/>
      <c r="W295" s="2664"/>
      <c r="X295" s="2664"/>
      <c r="Y295" s="2664"/>
      <c r="Z295" s="2664"/>
      <c r="AA295" s="2664"/>
      <c r="AB295" s="2664"/>
      <c r="AC295" s="2664"/>
      <c r="AD295" s="2664"/>
      <c r="AE295" s="2664"/>
      <c r="AF295" s="2664"/>
      <c r="AG295" s="2664"/>
      <c r="AH295" s="2664"/>
      <c r="AI295" s="2664"/>
      <c r="AJ295" s="2664"/>
      <c r="AK295" s="2664"/>
      <c r="AL295" s="2664"/>
      <c r="AM295" s="2664"/>
      <c r="AN295" s="2664"/>
      <c r="AO295" s="2664"/>
      <c r="AP295" s="2664"/>
      <c r="AQ295" s="2664"/>
      <c r="AR295" s="2664"/>
      <c r="AS295" s="2664"/>
      <c r="AT295" s="2664"/>
      <c r="AU295" s="2664"/>
      <c r="AV295" s="2664"/>
      <c r="AW295" s="2664"/>
      <c r="AX295" s="2664"/>
      <c r="AY295" s="2664"/>
      <c r="AZ295" s="2664"/>
      <c r="BA295" s="2664"/>
      <c r="BB295" s="2664"/>
      <c r="BC295" s="2664"/>
      <c r="BD295" s="2664"/>
      <c r="BE295" s="2664"/>
      <c r="BF295" s="2664"/>
      <c r="BG295" s="2664"/>
      <c r="BH295" s="2664"/>
      <c r="BI295" s="2664"/>
      <c r="BJ295" s="2664"/>
      <c r="BK295" s="2664"/>
      <c r="BL295" s="2664"/>
      <c r="BM295" s="2664"/>
      <c r="BN295" s="2664"/>
      <c r="BO295" s="2664"/>
      <c r="BP295" s="2664"/>
      <c r="BQ295" s="2664"/>
      <c r="BR295" s="2664"/>
      <c r="BS295" s="2664"/>
      <c r="BT295" s="2664"/>
      <c r="BU295" s="2664"/>
      <c r="BV295" s="2664"/>
      <c r="BW295" s="2664"/>
      <c r="BX295" s="2664"/>
      <c r="BY295" s="2664"/>
      <c r="BZ295" s="2664"/>
      <c r="CA295" s="2664"/>
      <c r="CB295" s="2664"/>
      <c r="CC295" s="2664"/>
      <c r="CD295" s="2664"/>
      <c r="CE295" s="2664"/>
      <c r="CF295" s="2664"/>
      <c r="CG295" s="2664"/>
      <c r="CH295" s="2664"/>
      <c r="CI295" s="2664"/>
      <c r="CJ295" s="2664"/>
      <c r="CK295" s="2664"/>
      <c r="CL295" s="2664"/>
      <c r="CM295" s="2664"/>
      <c r="CN295" s="2664"/>
      <c r="CO295" s="2664"/>
      <c r="CP295" s="2664"/>
      <c r="CQ295" s="2664"/>
      <c r="CR295" s="2664"/>
      <c r="CS295" s="2664"/>
      <c r="CT295" s="2664"/>
      <c r="CU295" s="2664"/>
      <c r="CV295" s="2664"/>
      <c r="CW295" s="2664"/>
      <c r="CX295" s="2664"/>
      <c r="CY295" s="2664"/>
      <c r="CZ295" s="2664"/>
      <c r="DA295" s="2664"/>
      <c r="DB295" s="2664"/>
      <c r="DC295" s="2664"/>
      <c r="DD295" s="2664"/>
      <c r="DE295" s="2664"/>
      <c r="DF295" s="2664"/>
      <c r="DG295" s="2664"/>
      <c r="DH295" s="2664"/>
      <c r="DI295" s="2664"/>
      <c r="DJ295" s="2664"/>
      <c r="DK295" s="2664"/>
      <c r="DL295" s="2664"/>
      <c r="DM295" s="2664"/>
      <c r="DN295" s="2664"/>
      <c r="DO295" s="2664"/>
      <c r="DP295" s="2664"/>
      <c r="DQ295" s="2664"/>
      <c r="DR295" s="2664"/>
      <c r="DS295" s="2664"/>
      <c r="DT295" s="2664"/>
      <c r="DU295" s="2664"/>
      <c r="DV295" s="2664"/>
      <c r="DW295" s="2664"/>
      <c r="DX295" s="2664"/>
      <c r="DY295" s="2664"/>
      <c r="DZ295" s="2664"/>
      <c r="EA295" s="2664"/>
      <c r="EB295" s="2664"/>
      <c r="EC295" s="2664"/>
      <c r="ED295" s="2664"/>
      <c r="EE295" s="2664"/>
      <c r="EF295" s="2664"/>
      <c r="EG295" s="2664"/>
      <c r="EH295" s="2664"/>
      <c r="EI295" s="2664"/>
      <c r="EJ295" s="2664"/>
      <c r="EK295" s="2664"/>
      <c r="EL295" s="2664"/>
      <c r="EM295" s="2664"/>
      <c r="EN295" s="2664"/>
      <c r="EO295" s="2664"/>
      <c r="EP295" s="2664"/>
      <c r="EQ295" s="2664"/>
      <c r="ER295" s="2664"/>
      <c r="ES295" s="2664"/>
      <c r="ET295" s="2664"/>
      <c r="EU295" s="2664"/>
      <c r="EV295" s="2664"/>
      <c r="EW295" s="2664"/>
      <c r="EX295" s="2664"/>
      <c r="EY295" s="2664"/>
      <c r="EZ295" s="2664"/>
      <c r="FA295" s="2664"/>
      <c r="FB295" s="2664"/>
      <c r="FC295" s="2664"/>
      <c r="FD295" s="2664"/>
      <c r="FE295" s="2664"/>
    </row>
    <row r="296" spans="1:161" outlineLevel="2">
      <c r="B296" t="s">
        <v>635</v>
      </c>
      <c r="C296" t="s">
        <v>636</v>
      </c>
      <c r="E296" s="541"/>
    </row>
    <row r="297" spans="1:161" s="539" customFormat="1" outlineLevel="1">
      <c r="A297" s="540" t="s">
        <v>164</v>
      </c>
      <c r="B297" s="540"/>
      <c r="C297" s="540"/>
      <c r="D297" s="540"/>
    </row>
    <row r="298" spans="1:161" outlineLevel="2">
      <c r="B298" t="s">
        <v>637</v>
      </c>
      <c r="C298" t="s">
        <v>638</v>
      </c>
      <c r="D298" t="str">
        <f>E_CURRENCY_EQTY_200000801_REP</f>
      </c>
      <c r="F298" s="2664">
        <f t="shared" ref="F298:AJ298" si="92">F67/F288</f>
      </c>
      <c r="G298" s="2664">
        <f t="shared" si="92"/>
      </c>
      <c r="H298" s="2664">
        <f t="shared" si="92"/>
      </c>
      <c r="I298" s="2664">
        <f t="shared" si="92"/>
      </c>
      <c r="J298" s="2664">
        <f t="shared" si="92"/>
      </c>
      <c r="K298" s="2664">
        <f t="shared" si="92"/>
      </c>
      <c r="L298" s="2664">
        <f t="shared" si="92"/>
      </c>
      <c r="M298" s="2664">
        <f t="shared" si="92"/>
      </c>
      <c r="N298" s="2664">
        <f t="shared" si="92"/>
      </c>
      <c r="O298" s="2664">
        <f t="shared" si="92"/>
      </c>
      <c r="P298" s="2664">
        <f t="shared" si="92"/>
      </c>
      <c r="Q298" s="2664">
        <f t="shared" si="92"/>
      </c>
      <c r="R298" s="2664">
        <f t="shared" si="92"/>
      </c>
      <c r="S298" s="2664">
        <f t="shared" si="92"/>
      </c>
      <c r="T298" s="2664">
        <f t="shared" si="92"/>
      </c>
      <c r="U298" s="2664">
        <f t="shared" si="92"/>
      </c>
      <c r="V298" s="2664">
        <f t="shared" si="92"/>
      </c>
      <c r="W298" s="2664">
        <f t="shared" si="92"/>
      </c>
      <c r="X298" s="2664">
        <f t="shared" si="92"/>
      </c>
      <c r="Y298" s="2664">
        <f t="shared" si="92"/>
      </c>
      <c r="Z298" s="2664">
        <f t="shared" si="92"/>
      </c>
      <c r="AA298" s="2664">
        <f t="shared" si="92"/>
      </c>
      <c r="AB298" s="2664">
        <f t="shared" si="92"/>
      </c>
      <c r="AC298" s="2664">
        <f t="shared" si="92"/>
      </c>
      <c r="AD298" s="2664">
        <f t="shared" si="92"/>
      </c>
      <c r="AE298" s="2664">
        <f t="shared" si="92"/>
      </c>
      <c r="AF298" s="2664">
        <f t="shared" si="92"/>
      </c>
      <c r="AG298" s="2664">
        <f t="shared" si="92"/>
      </c>
      <c r="AH298" s="2664">
        <f t="shared" si="92"/>
      </c>
      <c r="AI298" s="2664">
        <f t="shared" si="92"/>
      </c>
      <c r="AJ298" s="2664">
        <f t="shared" si="92"/>
      </c>
      <c r="AK298" s="2664"/>
      <c r="AL298" s="2664">
        <f t="shared" ref="AL298:CW298" si="93">AL67/AL288</f>
      </c>
      <c r="AM298" s="2664">
        <f t="shared" si="93"/>
      </c>
      <c r="AN298" s="2664">
        <f t="shared" si="93"/>
      </c>
      <c r="AO298" s="2664">
        <f t="shared" si="93"/>
      </c>
      <c r="AP298" s="2664">
        <f t="shared" si="93"/>
      </c>
      <c r="AQ298" s="2664">
        <f t="shared" si="93"/>
      </c>
      <c r="AR298" s="2664">
        <f t="shared" si="93"/>
      </c>
      <c r="AS298" s="2664">
        <f t="shared" si="93"/>
      </c>
      <c r="AT298" s="2664">
        <f t="shared" si="93"/>
      </c>
      <c r="AU298" s="2664">
        <f t="shared" si="93"/>
      </c>
      <c r="AV298" s="2664">
        <f t="shared" si="93"/>
      </c>
      <c r="AW298" s="2664">
        <f t="shared" si="93"/>
      </c>
      <c r="AX298" s="2664">
        <f t="shared" si="93"/>
      </c>
      <c r="AY298" s="2664">
        <f t="shared" si="93"/>
      </c>
      <c r="AZ298" s="2664">
        <f t="shared" si="93"/>
      </c>
      <c r="BA298" s="2664">
        <f t="shared" si="93"/>
      </c>
      <c r="BB298" s="2664">
        <f t="shared" si="93"/>
      </c>
      <c r="BC298" s="2664">
        <f t="shared" si="93"/>
      </c>
      <c r="BD298" s="2664">
        <f t="shared" si="93"/>
      </c>
      <c r="BE298" s="2664">
        <f t="shared" si="93"/>
      </c>
      <c r="BF298" s="2664">
        <f t="shared" si="93"/>
      </c>
      <c r="BG298" s="2664">
        <f t="shared" si="93"/>
      </c>
      <c r="BH298" s="2664">
        <f t="shared" si="93"/>
      </c>
      <c r="BI298" s="2664">
        <f t="shared" si="93"/>
      </c>
      <c r="BJ298" s="2664">
        <f t="shared" si="93"/>
      </c>
      <c r="BK298" s="2664">
        <f t="shared" si="93"/>
      </c>
      <c r="BL298" s="2664">
        <f t="shared" si="93"/>
      </c>
      <c r="BM298" s="2664">
        <f t="shared" si="93"/>
      </c>
      <c r="BN298" s="2664">
        <f t="shared" si="93"/>
      </c>
      <c r="BO298" s="2664">
        <f t="shared" si="93"/>
      </c>
      <c r="BP298" s="2664">
        <f t="shared" si="93"/>
      </c>
      <c r="BQ298" s="2664">
        <f t="shared" si="93"/>
      </c>
      <c r="BR298" s="2664">
        <f t="shared" si="93"/>
      </c>
      <c r="BS298" s="2664">
        <f t="shared" si="93"/>
      </c>
      <c r="BT298" s="2664">
        <f t="shared" si="93"/>
      </c>
      <c r="BU298" s="2664">
        <f t="shared" si="93"/>
      </c>
      <c r="BV298" s="2664">
        <f t="shared" si="93"/>
      </c>
      <c r="BW298" s="2664">
        <f t="shared" si="93"/>
      </c>
      <c r="BX298" s="2664">
        <f t="shared" si="93"/>
      </c>
      <c r="BY298" s="2664">
        <f t="shared" si="93"/>
      </c>
      <c r="BZ298" s="2664">
        <f t="shared" si="93"/>
      </c>
      <c r="CA298" s="2664">
        <f t="shared" si="93"/>
      </c>
      <c r="CB298" s="2664">
        <f t="shared" si="93"/>
      </c>
      <c r="CC298" s="2664">
        <f t="shared" si="93"/>
      </c>
      <c r="CD298" s="2664">
        <f t="shared" si="93"/>
      </c>
      <c r="CE298" s="2664">
        <f t="shared" si="93"/>
      </c>
      <c r="CF298" s="2664">
        <f t="shared" si="93"/>
      </c>
      <c r="CG298" s="2664">
        <f t="shared" si="93"/>
      </c>
      <c r="CH298" s="2664">
        <f t="shared" si="93"/>
      </c>
      <c r="CI298" s="2664">
        <f t="shared" si="93"/>
      </c>
      <c r="CJ298" s="2664">
        <f t="shared" si="93"/>
      </c>
      <c r="CK298" s="2664">
        <f t="shared" si="93"/>
      </c>
      <c r="CL298" s="2664">
        <f t="shared" si="93"/>
      </c>
      <c r="CM298" s="2664">
        <f t="shared" si="93"/>
      </c>
      <c r="CN298" s="2664">
        <f t="shared" si="93"/>
      </c>
      <c r="CO298" s="2664">
        <f t="shared" si="93"/>
      </c>
      <c r="CP298" s="2664">
        <f t="shared" si="93"/>
      </c>
      <c r="CQ298" s="2664">
        <f t="shared" si="93"/>
      </c>
      <c r="CR298" s="2664">
        <f t="shared" si="93"/>
      </c>
      <c r="CS298" s="2664">
        <f t="shared" si="93"/>
      </c>
      <c r="CT298" s="2664">
        <f t="shared" si="93"/>
      </c>
      <c r="CU298" s="2664">
        <f t="shared" si="93"/>
      </c>
      <c r="CV298" s="2664">
        <f t="shared" si="93"/>
      </c>
      <c r="CW298" s="2664">
        <f t="shared" si="93"/>
      </c>
      <c r="CX298" s="2664">
        <f t="shared" ref="CX298:EK298" si="94">CX67/CX288</f>
      </c>
      <c r="CY298" s="2664">
        <f t="shared" si="94"/>
      </c>
      <c r="CZ298" s="2664">
        <f t="shared" si="94"/>
      </c>
      <c r="DA298" s="2664">
        <f t="shared" si="94"/>
      </c>
      <c r="DB298" s="2664">
        <f t="shared" si="94"/>
      </c>
      <c r="DC298" s="2664">
        <f t="shared" si="94"/>
      </c>
      <c r="DD298" s="2664">
        <f t="shared" si="94"/>
      </c>
      <c r="DE298" s="2664">
        <f t="shared" si="94"/>
      </c>
      <c r="DF298" s="2664">
        <f t="shared" si="94"/>
      </c>
      <c r="DG298" s="2664">
        <f t="shared" si="94"/>
      </c>
      <c r="DH298" s="2664">
        <f t="shared" si="94"/>
      </c>
      <c r="DI298" s="2664">
        <f t="shared" si="94"/>
      </c>
      <c r="DJ298" s="2664">
        <f t="shared" si="94"/>
      </c>
      <c r="DK298" s="2664">
        <f t="shared" si="94"/>
      </c>
      <c r="DL298" s="2664">
        <f t="shared" si="94"/>
      </c>
      <c r="DM298" s="2664">
        <f t="shared" si="94"/>
      </c>
      <c r="DN298" s="2664">
        <f t="shared" si="94"/>
      </c>
      <c r="DO298" s="2664">
        <f t="shared" si="94"/>
      </c>
      <c r="DP298" s="2664">
        <f t="shared" si="94"/>
      </c>
      <c r="DQ298" s="2664">
        <f t="shared" si="94"/>
      </c>
      <c r="DR298" s="2664">
        <f t="shared" si="94"/>
      </c>
      <c r="DS298" s="2664">
        <f t="shared" si="94"/>
      </c>
      <c r="DT298" s="2664">
        <f t="shared" si="94"/>
      </c>
      <c r="DU298" s="2664">
        <f t="shared" si="94"/>
      </c>
      <c r="DV298" s="2664">
        <f t="shared" si="94"/>
      </c>
      <c r="DW298" s="2664">
        <f t="shared" si="94"/>
      </c>
      <c r="DX298" s="2664">
        <f t="shared" si="94"/>
      </c>
      <c r="DY298" s="2664">
        <f t="shared" si="94"/>
      </c>
      <c r="DZ298" s="2664">
        <f t="shared" si="94"/>
      </c>
      <c r="EA298" s="2664">
        <f t="shared" si="94"/>
      </c>
      <c r="EB298" s="2664">
        <f t="shared" si="94"/>
      </c>
      <c r="EC298" s="2664">
        <f t="shared" si="94"/>
      </c>
      <c r="ED298" s="2664">
        <f t="shared" si="94"/>
      </c>
      <c r="EE298" s="2664">
        <f t="shared" si="94"/>
      </c>
      <c r="EF298" s="2664">
        <f t="shared" si="94"/>
      </c>
      <c r="EG298" s="2664">
        <f t="shared" si="94"/>
      </c>
      <c r="EH298" s="2664">
        <f t="shared" si="94"/>
      </c>
      <c r="EI298" s="2664">
        <f t="shared" si="94"/>
      </c>
      <c r="EJ298" s="2664">
        <f t="shared" si="94"/>
      </c>
      <c r="EK298" s="2664">
        <f t="shared" si="94"/>
      </c>
      <c r="EL298" s="2664">
        <f t="shared" ref="EL298:FE298" si="95">EL67/EL288</f>
      </c>
      <c r="EM298" s="2664">
        <f t="shared" si="95"/>
      </c>
      <c r="EN298" s="2664">
        <f t="shared" si="95"/>
      </c>
      <c r="EO298" s="2664">
        <f t="shared" si="95"/>
      </c>
      <c r="EP298" s="2664">
        <f t="shared" si="95"/>
      </c>
      <c r="EQ298" s="2664">
        <f t="shared" si="95"/>
      </c>
      <c r="ER298" s="2664">
        <f t="shared" si="95"/>
      </c>
      <c r="ES298" s="2664">
        <f t="shared" si="95"/>
      </c>
      <c r="ET298" s="2664">
        <f t="shared" si="95"/>
      </c>
      <c r="EU298" s="2664">
        <f t="shared" si="95"/>
      </c>
      <c r="EV298" s="2664">
        <f t="shared" si="95"/>
      </c>
      <c r="EW298" s="2664">
        <f t="shared" si="95"/>
      </c>
      <c r="EX298" s="2664">
        <f t="shared" si="95"/>
      </c>
      <c r="EY298" s="2664">
        <f t="shared" si="95"/>
      </c>
      <c r="EZ298" s="2664">
        <f t="shared" si="95"/>
      </c>
      <c r="FA298" s="2664">
        <f t="shared" si="95"/>
      </c>
      <c r="FB298" s="2664">
        <f t="shared" si="95"/>
      </c>
      <c r="FC298" s="2664">
        <f t="shared" si="95"/>
      </c>
      <c r="FD298" s="2664">
        <f t="shared" si="95"/>
      </c>
      <c r="FE298" s="2664">
        <f t="shared" si="95"/>
      </c>
    </row>
    <row r="299" spans="1:161" s="539" customFormat="1" outlineLevel="1">
      <c r="A299" s="540" t="s">
        <v>342</v>
      </c>
      <c r="B299" s="540"/>
      <c r="C299" s="540"/>
      <c r="D299" s="540"/>
    </row>
    <row r="300" spans="1:161" outlineLevel="2">
      <c r="B300" t="s">
        <v>639</v>
      </c>
      <c r="C300" t="s">
        <v>640</v>
      </c>
      <c r="D300" t="str">
        <f>E_CURRENCY_EQTY_200000801_REP</f>
      </c>
      <c r="E300" s="2662">
        <v>90000</v>
      </c>
    </row>
    <row r="301" spans="1:161" outlineLevel="2">
      <c r="B301" t="s">
        <v>641</v>
      </c>
      <c r="C301" t="s">
        <v>642</v>
      </c>
      <c r="D301" t="str">
        <f>E_CURRENCY_EQTY_200000801_REP</f>
      </c>
      <c r="E301" s="2662">
        <f>90000-48300</f>
      </c>
    </row>
    <row r="302" spans="1:161" outlineLevel="2">
      <c r="B302" t="s">
        <v>643</v>
      </c>
      <c r="C302" t="s">
        <v>644</v>
      </c>
      <c r="D302" t="str">
        <f>E_CURRENCY_EQTY_200000801_REP</f>
      </c>
      <c r="E302" s="2662">
        <v>0</v>
      </c>
    </row>
    <row r="303" spans="1:161" outlineLevel="2">
      <c r="B303" t="s">
        <v>645</v>
      </c>
      <c r="C303" t="s">
        <v>646</v>
      </c>
      <c r="D303" t="str">
        <f>E_CURRENCY_EQTY_200000801_REP</f>
      </c>
      <c r="F303" s="2657"/>
      <c r="G303" s="2657"/>
      <c r="H303" s="2657"/>
      <c r="I303" s="2657"/>
      <c r="J303" s="2657"/>
      <c r="K303" s="2657"/>
      <c r="L303" s="2657"/>
      <c r="M303" s="2657"/>
      <c r="N303" s="2657"/>
      <c r="O303" s="2657"/>
      <c r="P303" s="2657"/>
      <c r="Q303" s="2657"/>
      <c r="R303" s="2657"/>
      <c r="S303" s="2657">
        <f>-'Cash Flow Statement'!FE42</f>
      </c>
      <c r="T303" s="2657">
        <f>-'Cash Flow Statement'!FF42</f>
      </c>
      <c r="U303" s="2657">
        <f>-'Cash Flow Statement'!FG42</f>
      </c>
      <c r="V303" s="2657">
        <f>-'Cash Flow Statement'!FH42</f>
      </c>
      <c r="W303" s="2657"/>
      <c r="X303" s="2657"/>
      <c r="Y303" s="2657"/>
      <c r="Z303" s="2657"/>
      <c r="AA303" s="2657"/>
      <c r="AB303" s="2657"/>
      <c r="AC303" s="2657"/>
      <c r="AD303" s="2657"/>
      <c r="AE303" s="2657"/>
      <c r="AF303" s="2657"/>
      <c r="AG303" s="2657"/>
      <c r="AH303" s="2657"/>
      <c r="AI303" s="2657"/>
      <c r="AJ303" s="2657"/>
      <c r="AK303" s="2657"/>
      <c r="AL303" s="2657"/>
      <c r="AM303" s="2657"/>
      <c r="AN303" s="2657"/>
      <c r="AO303" s="2657"/>
      <c r="AP303" s="2657"/>
      <c r="AQ303" s="2657"/>
      <c r="AR303" s="2657"/>
      <c r="AS303" s="2657"/>
      <c r="AT303" s="2657"/>
      <c r="AU303" s="2657"/>
      <c r="AV303" s="2657"/>
      <c r="AW303" s="2657"/>
      <c r="AX303" s="2657"/>
      <c r="AY303" s="2657"/>
      <c r="AZ303" s="2657"/>
      <c r="BA303" s="2657"/>
      <c r="BB303" s="2657"/>
      <c r="BC303" s="2657"/>
      <c r="BD303" s="2657"/>
      <c r="BE303" s="2657"/>
      <c r="BF303" s="2657"/>
      <c r="BG303" s="2657"/>
      <c r="BH303" s="2657"/>
      <c r="BI303" s="2657"/>
      <c r="BJ303" s="2657"/>
      <c r="BK303" s="2657"/>
      <c r="BL303" s="2657"/>
      <c r="BM303" s="2657"/>
      <c r="BN303" s="2657"/>
      <c r="BO303" s="2657"/>
      <c r="BP303" s="2657"/>
      <c r="BQ303" s="2657"/>
      <c r="BR303" s="2657"/>
      <c r="BS303" s="2657"/>
      <c r="BT303" s="2657"/>
      <c r="BU303" s="2657"/>
      <c r="BV303" s="2657"/>
      <c r="BW303" s="2657"/>
      <c r="BX303" s="2657"/>
      <c r="BY303" s="2657"/>
      <c r="BZ303" s="2657"/>
      <c r="CA303" s="2657"/>
      <c r="CB303" s="2657"/>
      <c r="CC303" s="2657"/>
      <c r="CD303" s="2657"/>
      <c r="CE303" s="2657"/>
      <c r="CF303" s="2657"/>
      <c r="CG303" s="2657"/>
      <c r="CH303" s="2657"/>
      <c r="CI303" s="2657"/>
      <c r="CJ303" s="2657"/>
      <c r="CK303" s="2657"/>
      <c r="CL303" s="2657">
        <f>-'Cash Flow Statement'!BR42</f>
      </c>
      <c r="CM303" s="2657">
        <f>-'Cash Flow Statement'!BS42</f>
      </c>
      <c r="CN303" s="2657">
        <f>-'Cash Flow Statement'!BT42</f>
      </c>
      <c r="CO303" s="2657">
        <f>-'Cash Flow Statement'!BU42</f>
      </c>
      <c r="CP303" s="2657">
        <f>-'Cash Flow Statement'!BV42</f>
      </c>
      <c r="CQ303" s="2657">
        <f>-'Cash Flow Statement'!BW42</f>
      </c>
      <c r="CR303" s="2657">
        <f>-'Cash Flow Statement'!BX42</f>
      </c>
      <c r="CS303" s="2657">
        <f>-'Cash Flow Statement'!BY42</f>
      </c>
      <c r="CT303" s="2657">
        <f>-'Cash Flow Statement'!BZ42</f>
      </c>
      <c r="CU303" s="2657">
        <f>-'Cash Flow Statement'!CA42</f>
      </c>
      <c r="CV303" s="2657">
        <f>-'Cash Flow Statement'!CB42</f>
      </c>
      <c r="CW303" s="2657">
        <f>-'Cash Flow Statement'!CC42</f>
      </c>
      <c r="CX303" s="2657">
        <f>-'Cash Flow Statement'!CD42</f>
      </c>
      <c r="CY303" s="2657">
        <f>-'Cash Flow Statement'!CE42</f>
      </c>
      <c r="CZ303" s="2657">
        <f>-'Cash Flow Statement'!CF42</f>
      </c>
      <c r="DA303" s="2657">
        <f>-'Cash Flow Statement'!CG42</f>
      </c>
      <c r="DB303" s="2657">
        <f>-'Cash Flow Statement'!CH42</f>
      </c>
      <c r="DC303" s="2657">
        <f>-'Cash Flow Statement'!CI42</f>
      </c>
      <c r="DD303" s="2657"/>
      <c r="DE303" s="2657"/>
      <c r="DF303" s="2657"/>
      <c r="DG303" s="2657"/>
      <c r="DH303" s="2657"/>
      <c r="DI303" s="2657"/>
      <c r="DJ303" s="2657"/>
      <c r="DK303" s="2657"/>
      <c r="DL303" s="2657"/>
      <c r="DM303" s="2657"/>
      <c r="DN303" s="2657"/>
      <c r="DO303" s="2657"/>
      <c r="DP303" s="2657"/>
      <c r="DQ303" s="2657"/>
      <c r="DR303" s="2657"/>
      <c r="DS303" s="2657"/>
      <c r="DT303" s="2657"/>
      <c r="DU303" s="2657"/>
      <c r="DV303" s="2657"/>
      <c r="DW303" s="2657"/>
      <c r="DX303" s="2657"/>
      <c r="DY303" s="2657"/>
      <c r="DZ303" s="2657"/>
      <c r="EA303" s="2657"/>
      <c r="EB303" s="2657"/>
      <c r="EC303" s="2657"/>
      <c r="ED303" s="2657"/>
      <c r="EE303" s="2657"/>
      <c r="EF303" s="2657"/>
      <c r="EG303" s="2657"/>
      <c r="EH303" s="2657"/>
      <c r="EI303" s="2657"/>
      <c r="EJ303" s="2657"/>
      <c r="EK303" s="2657"/>
      <c r="EL303" s="2657"/>
      <c r="EM303" s="2657"/>
      <c r="EN303" s="2657"/>
      <c r="EO303" s="2657"/>
      <c r="EP303" s="2657"/>
      <c r="EQ303" s="2657"/>
      <c r="ER303" s="2657"/>
      <c r="ES303" s="2657"/>
      <c r="ET303" s="2657"/>
      <c r="EU303" s="2657"/>
      <c r="EV303" s="2657"/>
      <c r="EW303" s="2657"/>
      <c r="EX303" s="2657"/>
      <c r="EY303" s="2657"/>
      <c r="EZ303" s="2657"/>
      <c r="FA303" s="2657"/>
      <c r="FB303" s="2657"/>
      <c r="FC303" s="2657"/>
      <c r="FD303" s="2657"/>
      <c r="FE303" s="2657"/>
    </row>
    <row r="304" spans="1:161" s="539" customFormat="1" outlineLevel="1">
      <c r="A304" s="540" t="s">
        <v>369</v>
      </c>
      <c r="B304" s="540"/>
      <c r="C304" s="540"/>
      <c r="D304" s="540"/>
    </row>
    <row r="305" spans="1:161" outlineLevel="2">
      <c r="B305" t="s">
        <v>597</v>
      </c>
      <c r="C305" t="s">
        <v>647</v>
      </c>
      <c r="D305" t="str">
        <f>E_CURRENCY_EQTY_200000801_REP</f>
      </c>
      <c r="F305" s="2657">
        <f>+'Cash Flow Statement'!ER11</f>
      </c>
      <c r="G305" s="2657">
        <f>+'Cash Flow Statement'!ES11</f>
      </c>
      <c r="H305" s="2657">
        <f>+'Cash Flow Statement'!ET11</f>
      </c>
      <c r="I305" s="2657">
        <f>+'Cash Flow Statement'!EU11</f>
      </c>
      <c r="J305" s="2657">
        <f>+'Cash Flow Statement'!EV11</f>
      </c>
      <c r="K305" s="2657">
        <f>+'Cash Flow Statement'!EW11</f>
      </c>
      <c r="L305" s="2657">
        <f>+'Cash Flow Statement'!EX11</f>
      </c>
      <c r="M305" s="2657">
        <f>+'Cash Flow Statement'!EY11</f>
      </c>
      <c r="N305" s="2657">
        <f>+'Cash Flow Statement'!EZ11</f>
      </c>
      <c r="O305" s="2657">
        <f>+'Cash Flow Statement'!FA11</f>
      </c>
      <c r="P305" s="2657">
        <f>+'Cash Flow Statement'!FB11</f>
      </c>
      <c r="Q305" s="2657">
        <f>+'Cash Flow Statement'!FC11</f>
      </c>
      <c r="R305" s="2657">
        <f>+'Cash Flow Statement'!FD11</f>
      </c>
      <c r="S305" s="2657">
        <f>+'Cash Flow Statement'!FE11</f>
      </c>
      <c r="T305" s="2657">
        <f>+'Cash Flow Statement'!FF11</f>
      </c>
      <c r="U305" s="2657">
        <f>+'Cash Flow Statement'!FG11</f>
      </c>
      <c r="V305" s="2657">
        <f>+'Cash Flow Statement'!FH11</f>
      </c>
      <c r="W305" s="2657">
        <f>+'Cash Flow Statement'!FI11</f>
      </c>
      <c r="X305" s="2657">
        <f>+'Cash Flow Statement'!FJ11</f>
      </c>
      <c r="Y305" s="2657">
        <f>+'Cash Flow Statement'!FK11</f>
      </c>
      <c r="Z305" s="2657">
        <f>+'Cash Flow Statement'!FL11</f>
      </c>
      <c r="AA305" s="2657">
        <f>+'Cash Flow Statement'!FM11</f>
      </c>
      <c r="AB305" s="2657">
        <f>+'Cash Flow Statement'!FN11</f>
      </c>
      <c r="AC305" s="2657">
        <f>+'Cash Flow Statement'!FO11</f>
      </c>
      <c r="AD305" s="2657">
        <f>+'Cash Flow Statement'!FP11</f>
      </c>
      <c r="AE305" s="2657">
        <f>+'Cash Flow Statement'!FQ11</f>
      </c>
      <c r="AF305" s="2657">
        <f>+'Cash Flow Statement'!FR11</f>
      </c>
      <c r="AG305" s="2657">
        <f>+'Cash Flow Statement'!FS11</f>
      </c>
      <c r="AH305" s="2657">
        <f>+'Cash Flow Statement'!FT11</f>
      </c>
      <c r="AI305" s="2657">
        <f>+'Cash Flow Statement'!FU11</f>
      </c>
      <c r="AJ305" s="2657">
        <f>+'Cash Flow Statement'!FV11</f>
      </c>
      <c r="AK305" s="2657"/>
      <c r="AL305" s="2657">
        <f>+'Cash Flow Statement'!R11</f>
      </c>
      <c r="AM305" s="2657">
        <f>+'Cash Flow Statement'!S11</f>
      </c>
      <c r="AN305" s="2657">
        <f>+'Cash Flow Statement'!T11</f>
      </c>
      <c r="AO305" s="2657">
        <f>+'Cash Flow Statement'!U11</f>
      </c>
      <c r="AP305" s="2657">
        <f>+'Cash Flow Statement'!V11</f>
      </c>
      <c r="AQ305" s="2657">
        <f>+'Cash Flow Statement'!W11</f>
      </c>
      <c r="AR305" s="2657">
        <f>+'Cash Flow Statement'!X11</f>
      </c>
      <c r="AS305" s="2657">
        <f>+'Cash Flow Statement'!Y11</f>
      </c>
      <c r="AT305" s="2657">
        <f>+'Cash Flow Statement'!Z11</f>
      </c>
      <c r="AU305" s="2657">
        <f>+'Cash Flow Statement'!AA11</f>
      </c>
      <c r="AV305" s="2657">
        <f>+'Cash Flow Statement'!AB11</f>
      </c>
      <c r="AW305" s="2657">
        <f>+'Cash Flow Statement'!AC11</f>
      </c>
      <c r="AX305" s="2657">
        <f>+'Cash Flow Statement'!AD11</f>
      </c>
      <c r="AY305" s="2657">
        <f>+'Cash Flow Statement'!AE11</f>
      </c>
      <c r="AZ305" s="2657">
        <f>+'Cash Flow Statement'!AF11</f>
      </c>
      <c r="BA305" s="2657">
        <f>+'Cash Flow Statement'!AG11</f>
      </c>
      <c r="BB305" s="2657">
        <f>+'Cash Flow Statement'!AH11</f>
      </c>
      <c r="BC305" s="2657">
        <f>+'Cash Flow Statement'!AI11</f>
      </c>
      <c r="BD305" s="2657">
        <f>+'Cash Flow Statement'!AJ11</f>
      </c>
      <c r="BE305" s="2657">
        <f>+'Cash Flow Statement'!AK11</f>
      </c>
      <c r="BF305" s="2657">
        <f>+'Cash Flow Statement'!AL11</f>
      </c>
      <c r="BG305" s="2657">
        <f>+'Cash Flow Statement'!AM11</f>
      </c>
      <c r="BH305" s="2657">
        <f>+'Cash Flow Statement'!AN11</f>
      </c>
      <c r="BI305" s="2657">
        <f>+'Cash Flow Statement'!AO11</f>
      </c>
      <c r="BJ305" s="2657">
        <f>+'Cash Flow Statement'!AP11</f>
      </c>
      <c r="BK305" s="2657">
        <f>+'Cash Flow Statement'!AQ11</f>
      </c>
      <c r="BL305" s="2657">
        <f>+'Cash Flow Statement'!AR11</f>
      </c>
      <c r="BM305" s="2657">
        <f>+'Cash Flow Statement'!AS11</f>
      </c>
      <c r="BN305" s="2657">
        <f>+'Cash Flow Statement'!AT11</f>
      </c>
      <c r="BO305" s="2657">
        <f>+'Cash Flow Statement'!AU11</f>
      </c>
      <c r="BP305" s="2657">
        <f>+'Cash Flow Statement'!AV11</f>
      </c>
      <c r="BQ305" s="2657">
        <f>+'Cash Flow Statement'!AW11</f>
      </c>
      <c r="BR305" s="2657">
        <f>+'Cash Flow Statement'!AX11</f>
      </c>
      <c r="BS305" s="2657">
        <f>+'Cash Flow Statement'!AY11</f>
      </c>
      <c r="BT305" s="2657">
        <f>+'Cash Flow Statement'!AZ11</f>
      </c>
      <c r="BU305" s="2657">
        <f>+'Cash Flow Statement'!BA11</f>
      </c>
      <c r="BV305" s="2657">
        <f>+'Cash Flow Statement'!BB11</f>
      </c>
      <c r="BW305" s="2657">
        <f>+'Cash Flow Statement'!BC11</f>
      </c>
      <c r="BX305" s="2657">
        <f>+'Cash Flow Statement'!BD11</f>
      </c>
      <c r="BY305" s="2657">
        <f>+'Cash Flow Statement'!BE11</f>
      </c>
      <c r="BZ305" s="2657">
        <f>+'Cash Flow Statement'!BF11</f>
      </c>
      <c r="CA305" s="2657">
        <f>+'Cash Flow Statement'!BG11</f>
      </c>
      <c r="CB305" s="2657">
        <f>+'Cash Flow Statement'!BH11</f>
      </c>
      <c r="CC305" s="2657">
        <f>+'Cash Flow Statement'!BI11</f>
      </c>
      <c r="CD305" s="2657">
        <f>+'Cash Flow Statement'!BJ11</f>
      </c>
      <c r="CE305" s="2657">
        <f>+'Cash Flow Statement'!BK11</f>
      </c>
      <c r="CF305" s="2657">
        <f>+'Cash Flow Statement'!BL11</f>
      </c>
      <c r="CG305" s="2657">
        <f>+'Cash Flow Statement'!BM11</f>
      </c>
      <c r="CH305" s="2657">
        <f>+'Cash Flow Statement'!BN11</f>
      </c>
      <c r="CI305" s="2657">
        <f>+'Cash Flow Statement'!BO11</f>
      </c>
      <c r="CJ305" s="2657">
        <f>+'Cash Flow Statement'!BP11</f>
      </c>
      <c r="CK305" s="2657">
        <f>+'Cash Flow Statement'!BQ11</f>
      </c>
      <c r="CL305" s="2657">
        <f>+'Cash Flow Statement'!BR11</f>
      </c>
      <c r="CM305" s="2657">
        <f>+'Cash Flow Statement'!BS11</f>
      </c>
      <c r="CN305" s="2657">
        <f>+'Cash Flow Statement'!BT11</f>
      </c>
      <c r="CO305" s="2657">
        <f>+'Cash Flow Statement'!BU11</f>
      </c>
      <c r="CP305" s="2657">
        <f>+'Cash Flow Statement'!BV11</f>
      </c>
      <c r="CQ305" s="2657">
        <f>+'Cash Flow Statement'!BW11</f>
      </c>
      <c r="CR305" s="2657">
        <f>+'Cash Flow Statement'!BX11</f>
      </c>
      <c r="CS305" s="2657">
        <f>+'Cash Flow Statement'!BY11</f>
      </c>
      <c r="CT305" s="2657">
        <f>+'Cash Flow Statement'!BZ11</f>
      </c>
      <c r="CU305" s="2657">
        <f>+'Cash Flow Statement'!CA11</f>
      </c>
      <c r="CV305" s="2657">
        <f>+'Cash Flow Statement'!CB11</f>
      </c>
      <c r="CW305" s="2657">
        <f>+'Cash Flow Statement'!CC11</f>
      </c>
      <c r="CX305" s="2657">
        <f>+'Cash Flow Statement'!CD11</f>
      </c>
      <c r="CY305" s="2657">
        <f>+'Cash Flow Statement'!CE11</f>
      </c>
      <c r="CZ305" s="2657">
        <f>+'Cash Flow Statement'!CF11</f>
      </c>
      <c r="DA305" s="2657">
        <f>+'Cash Flow Statement'!CG11</f>
      </c>
      <c r="DB305" s="2657">
        <f>+'Cash Flow Statement'!CH11</f>
      </c>
      <c r="DC305" s="2657">
        <f>+'Cash Flow Statement'!CI11</f>
      </c>
      <c r="DD305" s="2657">
        <f>+'Cash Flow Statement'!CJ11</f>
      </c>
      <c r="DE305" s="2657">
        <f>+'Cash Flow Statement'!CK11</f>
      </c>
      <c r="DF305" s="2657">
        <f>+'Cash Flow Statement'!CL11</f>
      </c>
      <c r="DG305" s="2657">
        <f>+'Cash Flow Statement'!CM11</f>
      </c>
      <c r="DH305" s="2657">
        <f>+'Cash Flow Statement'!CN11</f>
      </c>
      <c r="DI305" s="2657">
        <f>+'Cash Flow Statement'!CO11</f>
      </c>
      <c r="DJ305" s="2657">
        <f>+'Cash Flow Statement'!CP11</f>
      </c>
      <c r="DK305" s="2657">
        <f>+'Cash Flow Statement'!CQ11</f>
      </c>
      <c r="DL305" s="2657">
        <f>+'Cash Flow Statement'!CR11</f>
      </c>
      <c r="DM305" s="2657">
        <f>+'Cash Flow Statement'!CS11</f>
      </c>
      <c r="DN305" s="2657">
        <f>+'Cash Flow Statement'!CT11</f>
      </c>
      <c r="DO305" s="2657">
        <f>+'Cash Flow Statement'!CU11</f>
      </c>
      <c r="DP305" s="2657">
        <f>+'Cash Flow Statement'!CV11</f>
      </c>
      <c r="DQ305" s="2657">
        <f>+'Cash Flow Statement'!CW11</f>
      </c>
      <c r="DR305" s="2657">
        <f>+'Cash Flow Statement'!CX11</f>
      </c>
      <c r="DS305" s="2657">
        <f>+'Cash Flow Statement'!CY11</f>
      </c>
      <c r="DT305" s="2657">
        <f>+'Cash Flow Statement'!CZ11</f>
      </c>
      <c r="DU305" s="2657">
        <f>+'Cash Flow Statement'!DA11</f>
      </c>
      <c r="DV305" s="2657">
        <f>+'Cash Flow Statement'!DB11</f>
      </c>
      <c r="DW305" s="2657">
        <f>+'Cash Flow Statement'!DC11</f>
      </c>
      <c r="DX305" s="2657">
        <f>+'Cash Flow Statement'!DD11</f>
      </c>
      <c r="DY305" s="2657">
        <f>+'Cash Flow Statement'!DE11</f>
      </c>
      <c r="DZ305" s="2657">
        <f>+'Cash Flow Statement'!DF11</f>
      </c>
      <c r="EA305" s="2657">
        <f>+'Cash Flow Statement'!DG11</f>
      </c>
      <c r="EB305" s="2657">
        <f>+'Cash Flow Statement'!DH11</f>
      </c>
      <c r="EC305" s="2657">
        <f>+'Cash Flow Statement'!DI11</f>
      </c>
      <c r="ED305" s="2657">
        <f>+'Cash Flow Statement'!DJ11</f>
      </c>
      <c r="EE305" s="2657">
        <f>+'Cash Flow Statement'!DK11</f>
      </c>
      <c r="EF305" s="2657">
        <f>+'Cash Flow Statement'!DL11</f>
      </c>
      <c r="EG305" s="2657">
        <f>+'Cash Flow Statement'!DM11</f>
      </c>
      <c r="EH305" s="2657">
        <f>+'Cash Flow Statement'!DN11</f>
      </c>
      <c r="EI305" s="2657">
        <f>+'Cash Flow Statement'!DO11</f>
      </c>
      <c r="EJ305" s="2657">
        <f>+'Cash Flow Statement'!DP11</f>
      </c>
      <c r="EK305" s="2657">
        <f>+'Cash Flow Statement'!DQ11</f>
      </c>
      <c r="EL305" s="2657">
        <f>+'Cash Flow Statement'!DR11</f>
      </c>
      <c r="EM305" s="2657">
        <f>+'Cash Flow Statement'!DS11</f>
      </c>
      <c r="EN305" s="2657">
        <f>+'Cash Flow Statement'!DT11</f>
      </c>
      <c r="EO305" s="2657">
        <f>+'Cash Flow Statement'!DU11</f>
      </c>
      <c r="EP305" s="2657">
        <f>+'Cash Flow Statement'!DV11</f>
      </c>
      <c r="EQ305" s="2657">
        <f>+'Cash Flow Statement'!DW11</f>
      </c>
      <c r="ER305" s="2657">
        <f>+'Cash Flow Statement'!DX11</f>
      </c>
      <c r="ES305" s="2657">
        <f>+'Cash Flow Statement'!DY11</f>
      </c>
      <c r="ET305" s="2657">
        <f>+'Cash Flow Statement'!DZ11</f>
      </c>
      <c r="EU305" s="2657">
        <f>+'Cash Flow Statement'!EA11</f>
      </c>
      <c r="EV305" s="2657">
        <f>+'Cash Flow Statement'!EB11</f>
      </c>
      <c r="EW305" s="2657">
        <f>+'Cash Flow Statement'!EC11</f>
      </c>
      <c r="EX305" s="2657">
        <f>+'Cash Flow Statement'!ED11</f>
      </c>
      <c r="EY305" s="2657">
        <f>+'Cash Flow Statement'!EE11</f>
      </c>
      <c r="EZ305" s="2657">
        <f>+'Cash Flow Statement'!EF11</f>
      </c>
      <c r="FA305" s="2657">
        <f>+'Cash Flow Statement'!EG11</f>
      </c>
      <c r="FB305" s="2657">
        <f>+'Cash Flow Statement'!EH11</f>
      </c>
      <c r="FC305" s="2657">
        <f>+'Cash Flow Statement'!EI11</f>
      </c>
      <c r="FD305" s="2657">
        <f>+'Cash Flow Statement'!EJ11</f>
      </c>
      <c r="FE305" s="2657">
        <f>+'Cash Flow Statement'!EK11</f>
      </c>
    </row>
    <row r="306" spans="1:161" s="539" customFormat="1" outlineLevel="1">
      <c r="A306" s="540" t="s">
        <v>429</v>
      </c>
      <c r="B306" s="540"/>
      <c r="C306" s="540"/>
      <c r="D306" s="540"/>
    </row>
    <row r="307" spans="1:161" outlineLevel="2">
      <c r="B307" t="s">
        <v>648</v>
      </c>
      <c r="C307" t="s">
        <v>649</v>
      </c>
      <c r="E307" s="2661"/>
    </row>
    <row r="308" spans="1:161" outlineLevel="2">
      <c r="B308" t="s">
        <v>650</v>
      </c>
      <c r="C308" t="s">
        <v>651</v>
      </c>
      <c r="E308" s="2665"/>
    </row>
    <row r="309" spans="1:161" outlineLevel="2">
      <c r="B309" t="s">
        <v>652</v>
      </c>
      <c r="C309" t="s">
        <v>653</v>
      </c>
      <c r="E309" s="2665"/>
    </row>
  </sheetData>
  <sheetProtection algorithmName="SHA-512" hashValue="9yZiMBM3zgEH6pjRhEhS73Z9LIXraioQND1rDtc/oZcrGCSF6WswhcDjCunfr64k3pGghFY+QsT4X91dw8HAVw==" saltValue="5VtnNb6QPJ+amXHPkrdgOA==" spinCount="100000" sheet="1" objects="1" scenarios="1" formatCells="0" formatColumns="0" formatRows="0"/>
  <conditionalFormatting sqref="A2:XFD3 A11:XFD30 A32:XFD38 A41:XFD70 A72:XFD90 A92:XFD108 A110:XFD122 A124:XFD126 A128:XFD189 A191:XFD197 A199:XFD213 A215:XFD224">
    <cfRule type="expression" dxfId="19" priority="6">
      <formula>"Preliminary" = INDEX(E_ALL_Ticker0001,2,COLUMN())</formula>
    </cfRule>
    <cfRule type="expression" dxfId="18" priority="7">
      <formula>"Actual" = INDEX(E_ALL_Ticker0001,2,COLUMN())</formula>
    </cfRule>
    <cfRule type="expression" dxfId="17" priority="8">
      <formula>"Restated" = INDEX(E_ALL_Ticker0001,2,COLUMN())</formula>
    </cfRule>
  </conditionalFormatting>
  <conditionalFormatting sqref="A2:XFD3 A11:XFD30 A41:XFD70 A72:XFD90 A92:XFD108 A110:XFD122 A124:XFD126 A128:XFD189 A191:XFD197 A199:XFD213 A215:XFD224 A32:XFD38">
    <cfRule type="expression" dxfId="16" priority="5">
      <formula>"Estimate" = INDEX(E_ALL_Ticker0001,2,COLUMN())</formula>
    </cfRule>
  </conditionalFormatting>
  <conditionalFormatting sqref="A2:XFD3 A11:XFD30 A41:XFD70 A72:XFD90 A92:XFD108 A110:XFD122 A124:XFD126 A128:XFD189 A191:XFD197 A199:XFD213 A215:XFD224">
    <cfRule type="expression" dxfId="15" priority="3">
      <formula>"ERROR" = INDEX(V_ALL_Ticker0001,ROW(),COLUMN())</formula>
    </cfRule>
    <cfRule type="expression" dxfId="14" priority="4">
      <formula>NOT(EXACT(IF(ISNUMBER(INDEX(E_ALL_Ticker0001,ROW(),COLUMN())),ROUND(INDEX(E_ALL_Ticker0001,ROW(),COLUMN()),6),INDEX(E_ALL_Ticker0001,ROW(),COLUMN())),IF(ISNUMBER(INDEX(L_ALL_Ticker0001,ROW(),COLUMN())),ROUND(INDEX(L_ALL_Ticker0001,ROW(),COLUMN()),6),INDEX(L_ALL_Ticker0001,ROW(),COLUMN()))))</formula>
    </cfRule>
  </conditionalFormatting>
  <conditionalFormatting sqref="A6:XFD7">
    <cfRule type="expression" dxfId="13" priority="9">
      <formula>"ERROR" = INDEX(V_ALL_Ticker0001,ROW(),COLUMN())</formula>
    </cfRule>
    <cfRule type="expression" dxfId="12" priority="10">
      <formula>NOT(EXACT(IF(ISNUMBER(INDEX(E_ALL_Ticker0001,ROW(),COLUMN())),ROUND(INDEX(E_ALL_Ticker0001,ROW(),COLUMN()),6),INDEX(E_ALL_Ticker0001,ROW(),COLUMN())),IF(ISNUMBER(INDEX(L_ALL_Ticker0001,ROW(),COLUMN())),ROUND(INDEX(L_ALL_Ticker0001,ROW(),COLUMN()),6),INDEX(L_ALL_Ticker0001,ROW(),COLUMN()))))</formula>
    </cfRule>
  </conditionalFormatting>
  <conditionalFormatting sqref="A9:XFD9 A32:XFD39">
    <cfRule type="expression" dxfId="11" priority="1">
      <formula>"ERROR" = INDEX(V_ALL_Ticker0001,ROW(),COLUMN())</formula>
    </cfRule>
    <cfRule type="expression" dxfId="10" priority="2">
      <formula>NOT(EXACT(IF(ISNUMBER(INDEX(E_ALL_Ticker0001,ROW(),COLUMN())),ROUND(INDEX(E_ALL_Ticker0001,ROW(),COLUMN()),6),INDEX(E_ALL_Ticker0001,ROW(),COLUMN())),IF(ISNUMBER(INDEX(L_ALL_Ticker0001,ROW(),COLUMN())),ROUND(INDEX(L_ALL_Ticker0001,ROW(),COLUMN()),6),INDEX(L_ALL_Ticker0001,ROW(),COLUMN()))))</formula>
    </cfRule>
  </conditionalFormatting>
  <conditionalFormatting sqref="A238:XFD243">
    <cfRule type="expression" dxfId="9" priority="19">
      <formula>"ERROR" = INDEX(V_ALL_Ticker0001,ROW(),COLUMN())</formula>
    </cfRule>
    <cfRule type="expression" dxfId="8" priority="20">
      <formula>NOT(EXACT(IF(ISNUMBER(INDEX(E_ALL_Ticker0001,ROW(),COLUMN())),ROUND(INDEX(E_ALL_Ticker0001,ROW(),COLUMN()),6),INDEX(E_ALL_Ticker0001,ROW(),COLUMN())),IF(ISNUMBER(INDEX(L_ALL_Ticker0001,ROW(),COLUMN())),ROUND(INDEX(L_ALL_Ticker0001,ROW(),COLUMN()),6),INDEX(L_ALL_Ticker0001,ROW(),COLUMN()))))</formula>
    </cfRule>
  </conditionalFormatting>
  <conditionalFormatting sqref="A245:XFD245 A248:XFD254 A292:XFD296 A300:XFD303 A307:XFD309">
    <cfRule type="expression" dxfId="7" priority="11">
      <formula>"ERROR" = INDEX(V_ALL_Ticker0001,ROW(),COLUMN())</formula>
    </cfRule>
    <cfRule type="expression" dxfId="6" priority="12">
      <formula>NOT(EXACT(IF(ISNUMBER(INDEX(E_ALL_Ticker0001,ROW(),COLUMN())),ROUND(INDEX(E_ALL_Ticker0001,ROW(),COLUMN()),6),INDEX(E_ALL_Ticker0001,ROW(),COLUMN())),IF(ISNUMBER(INDEX(L_ALL_Ticker0001,ROW(),COLUMN())),ROUND(INDEX(L_ALL_Ticker0001,ROW(),COLUMN()),6),INDEX(L_ALL_Ticker0001,ROW(),COLUMN()))))</formula>
    </cfRule>
  </conditionalFormatting>
  <conditionalFormatting sqref="A256:XFD260 A262:XFD271 A273:XFD288 A290:XFD290 A292:XFD295 A298:XFD298 A303:XFD303 A305:XFD305">
    <cfRule type="expression" dxfId="5" priority="16">
      <formula>"Preliminary" = INDEX(E_ALL_Ticker0001,2,COLUMN())</formula>
    </cfRule>
    <cfRule type="expression" dxfId="4" priority="17">
      <formula>"Actual" = INDEX(E_ALL_Ticker0001,2,COLUMN())</formula>
    </cfRule>
    <cfRule type="expression" dxfId="3" priority="18">
      <formula>"Restated" = INDEX(E_ALL_Ticker0001,2,COLUMN())</formula>
    </cfRule>
  </conditionalFormatting>
  <conditionalFormatting sqref="A256:XFD260 A262:XFD271 A273:XFD288 A290:XFD290 A298:XFD298 A305:XFD305 A292:XFD295 A303:XFD303">
    <cfRule type="expression" dxfId="2" priority="15">
      <formula>"Estimate" = INDEX(E_ALL_Ticker0001,2,COLUMN())</formula>
    </cfRule>
  </conditionalFormatting>
  <conditionalFormatting sqref="A256:XFD260 A262:XFD271 A273:XFD288 A290:XFD290 A298:XFD298 A305:XFD305">
    <cfRule type="expression" dxfId="1" priority="13">
      <formula>"ERROR" = INDEX(V_ALL_Ticker0001,ROW(),COLUMN())</formula>
    </cfRule>
    <cfRule type="expression" dxfId="0" priority="14">
      <formula>NOT(EXACT(IF(ISNUMBER(INDEX(E_ALL_Ticker0001,ROW(),COLUMN())),ROUND(INDEX(E_ALL_Ticker0001,ROW(),COLUMN()),6),INDEX(E_ALL_Ticker0001,ROW(),COLUMN())),IF(ISNUMBER(INDEX(L_ALL_Ticker0001,ROW(),COLUMN())),ROUND(INDEX(L_ALL_Ticker0001,ROW(),COLUMN()),6),INDEX(L_ALL_Ticker0001,ROW(),COLUMN()))))</formula>
    </cfRule>
  </conditionalFormatting>
  <dataValidations count="5">
    <dataValidation type="list" allowBlank="1" showInputMessage="1" showErrorMessage="1" sqref="F2:AD2 AJ2 AE2 AF2 AG2 AH2 AI2 AK2:EG2 EH2 EI2 EJ2 EK2 EL2 EM2 EN2 EO2 EP2 EQ2 ER2 ES2 ET2 EU2 EV2 EW2 EX2 EY2 EZ2 FA2 FB2 FC2 FD2 FE2" xr:uid="{AE0A6E04-9F35-4B93-BA3A-0ABBC19809E6}">
      <formula1>"Estimate,Preliminary,Actual,Restated"</formula1>
    </dataValidation>
    <dataValidation type="list" allowBlank="1" showInputMessage="1" showErrorMessage="1" sqref="E39" xr:uid="{9FB85AAE-4851-4ADD-9506-B9D67D9B679D}">
      <formula1>"Y,N"</formula1>
    </dataValidation>
    <dataValidation type="list" allowBlank="1" showInputMessage="1" showErrorMessage="1" sqref="E247 E245" xr:uid="{9018DA1B-6E2B-448A-BB0C-270CD40FADAC}">
      <formula1>"Buy,Sell"</formula1>
    </dataValidation>
    <dataValidation type="list" allowBlank="1" showInputMessage="1" showErrorMessage="1" sqref="E248" xr:uid="{DADE8D51-397E-4932-8D10-2A2EA569E8DF}">
      <formula1>"Not Rated,Coverage Suspended,Rating Suspended"</formula1>
    </dataValidation>
    <dataValidation type="list" allowBlank="1" showInputMessage="1" showErrorMessage="1" sqref="E250" xr:uid="{FD13E8E6-CF3D-477F-BE86-7128A89E8EDA}">
      <formula1>"6 months,12 months,18 months,2 years,1 month,3 months,9 months,3 years"</formula1>
    </dataValidation>
  </dataValidations>
  <pageMargins left="0.7" right="0.7" top="0.75" bottom="0.75" header="0.3" footer="0.3"/>
  <pageSetup paperSize="9" orientation="portrait" r:id="rId1"/>
  <customProperties>
    <customPr name="Exchange.ContributionType" r:id="rId2"/>
    <customPr name="Exchange.CreationEntityId" r:id="rId3"/>
    <customPr name="Exchange.CreationEntityIdType" r:id="rId4"/>
    <customPr name="Exchange.CreationEntityType" r:id="rId5"/>
    <customPr name="Exchange.Entities" r:id="rId6"/>
    <customPr name="Exchange.ExchangeSheetId" r:id="rId7"/>
    <customPr name="Exchange.InterimsInSequence" r:id="rId8"/>
    <customPr name="Exchange.Scope" r:id="rId9"/>
    <customPr name="Exchange.SheetType" r:id="rId10"/>
    <customPr name="Qube.Worksheet.Visibility" r:id="rId11"/>
    <customPr name="QXL_SHEET_ID" r:id="rId12"/>
  </customPropertie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6789E-DEEF-431C-8A13-ACDBEE3C3C9A}">
  <sheetPr>
    <tabColor theme="3"/>
    <pageSetUpPr fitToPage="1"/>
  </sheetPr>
  <dimension ref="A1:Z129"/>
  <sheetViews>
    <sheetView showGridLines="0" zoomScale="70" zoomScaleNormal="70" workbookViewId="0">
      <selection activeCell="C4" sqref="C4"/>
    </sheetView>
  </sheetViews>
  <sheetFormatPr defaultColWidth="9" defaultRowHeight="11.4" outlineLevelCol="1"/>
  <cols>
    <col min="1" max="1" width="9" style="160"/>
    <col min="2" max="2" width="38.19921875" style="160" customWidth="1"/>
    <col min="3" max="3" width="11.3984375" style="160" customWidth="1"/>
    <col min="4" max="6" width="9" style="160"/>
    <col min="7" max="7" width="10.09765625" style="160" bestFit="1" customWidth="1"/>
    <col min="8" max="8" width="9" style="160"/>
    <col min="9" max="9" width="11.09765625" style="160" bestFit="1" customWidth="1"/>
    <col min="10" max="10" width="28" style="160" bestFit="1" customWidth="1"/>
    <col min="11" max="11" width="9" style="160" customWidth="1" outlineLevel="1"/>
    <col min="12" max="12" width="9" style="160"/>
    <col min="13" max="14" width="9" style="160" customWidth="1" outlineLevel="1"/>
    <col min="15" max="15" width="9" style="160" customWidth="1"/>
    <col min="16" max="16" width="1.3984375" style="160" customWidth="1"/>
    <col min="17" max="17" width="10" style="160" bestFit="1" customWidth="1"/>
    <col min="18" max="18" width="9.09765625" style="160" customWidth="1" outlineLevel="1"/>
    <col min="19" max="19" width="9" style="160" customWidth="1" outlineLevel="1"/>
    <col min="20" max="20" width="9" style="160" customWidth="1"/>
    <col min="21" max="21" width="55.09765625" style="160" bestFit="1" customWidth="1"/>
    <col min="22" max="22" width="1.59765625" style="160" customWidth="1" outlineLevel="1"/>
    <col min="23" max="24" width="9" style="160" customWidth="1" outlineLevel="1"/>
    <col min="25" max="25" width="10.8984375" style="160" bestFit="1" customWidth="1"/>
    <col min="26" max="16384" width="9" style="160"/>
  </cols>
  <sheetData>
    <row r="1" spans="2:26" ht="12">
      <c r="K1" s="2520"/>
      <c r="Q1" s="2921" t="s">
        <v>2271</v>
      </c>
      <c r="R1" s="2790" t="s">
        <v>544</v>
      </c>
      <c r="S1" s="2788" t="s">
        <v>545</v>
      </c>
    </row>
    <row r="2" spans="2:26" ht="12">
      <c r="B2" s="2741"/>
      <c r="C2" s="2742" t="s">
        <v>2309</v>
      </c>
      <c r="D2" s="2743"/>
      <c r="E2" s="2743"/>
      <c r="F2" s="2743"/>
      <c r="G2" s="2742" t="s">
        <v>1436</v>
      </c>
      <c r="H2" s="2744"/>
      <c r="R2" s="2790" t="s">
        <v>2204</v>
      </c>
      <c r="S2" s="2788" t="s">
        <v>668</v>
      </c>
    </row>
    <row r="3" spans="2:26" ht="12">
      <c r="B3" s="2747"/>
      <c r="C3" s="2748" t="s">
        <v>654</v>
      </c>
      <c r="D3" s="2749" t="s">
        <v>655</v>
      </c>
      <c r="E3" s="2748" t="s">
        <v>1426</v>
      </c>
      <c r="F3" s="2750" t="s">
        <v>1427</v>
      </c>
      <c r="G3" s="2748" t="s">
        <v>654</v>
      </c>
      <c r="H3" s="2990" t="s">
        <v>2259</v>
      </c>
      <c r="I3" s="3111"/>
      <c r="K3" s="3108"/>
      <c r="R3" s="2790" t="s">
        <v>2205</v>
      </c>
      <c r="S3" s="2789">
        <v>45233</v>
      </c>
    </row>
    <row r="4" spans="2:26" ht="12">
      <c r="B4" s="1830" t="s">
        <v>63</v>
      </c>
      <c r="C4" s="2833">
        <v>89498</v>
      </c>
      <c r="D4" s="2834">
        <v>88915.463111820427</v>
      </c>
      <c r="E4" s="2840">
        <v>582.536888179573</v>
      </c>
      <c r="F4" s="1560">
        <v>6.5515813312131367E-3</v>
      </c>
      <c r="G4" s="2833">
        <v>90146</v>
      </c>
      <c r="H4" s="1560">
        <v>-7.1883389168682088E-3</v>
      </c>
      <c r="I4" s="3111"/>
      <c r="K4" s="2504"/>
      <c r="R4" s="2790" t="s">
        <v>2206</v>
      </c>
      <c r="S4" s="2791" t="s">
        <v>2243</v>
      </c>
    </row>
    <row r="5" spans="2:26">
      <c r="B5" s="1831" t="s">
        <v>66</v>
      </c>
      <c r="C5" s="1640">
        <v>49071</v>
      </c>
      <c r="D5" s="1641">
        <v>49119.965325287587</v>
      </c>
      <c r="E5" s="2754">
        <v>-48.965325287586893</v>
      </c>
      <c r="F5" s="1554">
        <v>-9.9685178854104191E-4</v>
      </c>
      <c r="G5" s="1640">
        <v>52051</v>
      </c>
      <c r="H5" s="1554">
        <v>-5.725154175712277E-2</v>
      </c>
      <c r="I5" s="3111"/>
      <c r="M5" s="2520"/>
      <c r="Q5" s="2503"/>
      <c r="U5" s="2921" t="s">
        <v>2281</v>
      </c>
    </row>
    <row r="6" spans="2:26" ht="12">
      <c r="B6" s="1883" t="s">
        <v>67</v>
      </c>
      <c r="C6" s="1874">
        <v>40427</v>
      </c>
      <c r="D6" s="1875">
        <v>39795.49778653284</v>
      </c>
      <c r="E6" s="2841">
        <v>631.50221346715989</v>
      </c>
      <c r="F6" s="1877">
        <v>1.5868684866177651E-2</v>
      </c>
      <c r="G6" s="1874">
        <v>38095</v>
      </c>
      <c r="H6" s="1877">
        <v>6.1215382596141232E-2</v>
      </c>
      <c r="J6" s="3004"/>
      <c r="K6" s="2746"/>
      <c r="L6" s="3404" t="s">
        <v>2260</v>
      </c>
      <c r="M6" s="3405"/>
      <c r="N6" s="3405"/>
      <c r="O6" s="3405"/>
      <c r="P6" s="3118"/>
      <c r="Q6" s="3404" t="s">
        <v>668</v>
      </c>
      <c r="R6" s="3400"/>
      <c r="S6" s="3400"/>
      <c r="T6" s="2750"/>
      <c r="U6" s="2960" t="s">
        <v>2258</v>
      </c>
      <c r="V6" s="3016"/>
      <c r="W6" s="3409" t="s">
        <v>1430</v>
      </c>
      <c r="X6" s="3403"/>
    </row>
    <row r="7" spans="2:26">
      <c r="B7" s="1831" t="s">
        <v>68</v>
      </c>
      <c r="C7" s="1640">
        <v>7307</v>
      </c>
      <c r="D7" s="1641">
        <v>7442</v>
      </c>
      <c r="E7" s="2754">
        <v>-135</v>
      </c>
      <c r="F7" s="1554">
        <v>-1.8140284869658695E-2</v>
      </c>
      <c r="G7" s="1640">
        <v>6761</v>
      </c>
      <c r="H7" s="1554">
        <v>8.0757284425380771E-2</v>
      </c>
      <c r="J7" s="3023" t="s">
        <v>2263</v>
      </c>
      <c r="K7" s="2751" t="s">
        <v>654</v>
      </c>
      <c r="L7" s="2928" t="s">
        <v>720</v>
      </c>
      <c r="M7" s="2751" t="s">
        <v>1426</v>
      </c>
      <c r="N7" s="2751" t="s">
        <v>1427</v>
      </c>
      <c r="O7" s="3119" t="s">
        <v>2259</v>
      </c>
      <c r="P7" s="2947"/>
      <c r="Q7" s="3035" t="s">
        <v>2262</v>
      </c>
      <c r="R7" s="2751" t="s">
        <v>1426</v>
      </c>
      <c r="S7" s="2749" t="s">
        <v>1427</v>
      </c>
      <c r="T7" s="3119" t="s">
        <v>2259</v>
      </c>
      <c r="U7" s="2961"/>
      <c r="V7" s="3017"/>
      <c r="W7" s="3018" t="s">
        <v>1426</v>
      </c>
      <c r="X7" s="3019" t="s">
        <v>1427</v>
      </c>
    </row>
    <row r="8" spans="2:26" ht="12">
      <c r="B8" s="2852" t="s">
        <v>76</v>
      </c>
      <c r="C8" s="1640">
        <v>6151</v>
      </c>
      <c r="D8" s="1641">
        <v>6173</v>
      </c>
      <c r="E8" s="2754">
        <v>-22</v>
      </c>
      <c r="F8" s="1554">
        <v>-3.5639073384092015E-3</v>
      </c>
      <c r="G8" s="1640">
        <v>6440</v>
      </c>
      <c r="H8" s="1554">
        <v>-4.4875776397515499E-2</v>
      </c>
      <c r="I8" s="3154">
        <v>3.3789481532876857E-2</v>
      </c>
      <c r="J8" s="3093" t="s">
        <v>1433</v>
      </c>
      <c r="K8" s="3094">
        <v>89498</v>
      </c>
      <c r="L8" s="3095">
        <v>88915.463111820427</v>
      </c>
      <c r="M8" s="3096">
        <v>582.536888179573</v>
      </c>
      <c r="N8" s="3097">
        <v>6.551581331213141E-3</v>
      </c>
      <c r="O8" s="3097">
        <v>-1.3650487965961577E-2</v>
      </c>
      <c r="P8" s="3098"/>
      <c r="Q8" s="2929">
        <v>89283.53</v>
      </c>
      <c r="R8" s="3096">
        <v>214.47000000000116</v>
      </c>
      <c r="S8" s="3097">
        <v>2.4021227655313115E-3</v>
      </c>
      <c r="T8" s="3097">
        <v>-9.5674794222705417E-3</v>
      </c>
      <c r="U8" s="3110" t="s">
        <v>2272</v>
      </c>
      <c r="V8" s="3100"/>
      <c r="W8" s="3096">
        <v>-368.06688817957183</v>
      </c>
      <c r="X8" s="3099">
        <v>-4.1224499992279506E-3</v>
      </c>
    </row>
    <row r="9" spans="2:26" ht="12">
      <c r="B9" s="2853" t="s">
        <v>69</v>
      </c>
      <c r="C9" s="2854">
        <v>13458</v>
      </c>
      <c r="D9" s="2768">
        <v>13615</v>
      </c>
      <c r="E9" s="2770">
        <v>-157</v>
      </c>
      <c r="F9" s="1558">
        <v>-1.1531399192067573E-2</v>
      </c>
      <c r="G9" s="2854">
        <v>13201</v>
      </c>
      <c r="H9" s="1558">
        <v>1.9468222104386035E-2</v>
      </c>
      <c r="I9" s="163"/>
      <c r="J9" s="2976" t="s">
        <v>67</v>
      </c>
      <c r="K9" s="2977">
        <v>40427</v>
      </c>
      <c r="L9" s="2978">
        <v>39795.49778653284</v>
      </c>
      <c r="M9" s="2979">
        <v>631.50221346715989</v>
      </c>
      <c r="N9" s="2980">
        <v>1.586868486617754E-2</v>
      </c>
      <c r="O9" s="2980">
        <v>4.4638345886148789E-2</v>
      </c>
      <c r="P9" s="2981"/>
      <c r="Q9" s="2975">
        <v>39715.258000000002</v>
      </c>
      <c r="R9" s="2979">
        <v>711.74199999999837</v>
      </c>
      <c r="S9" s="2980">
        <v>1.7921122405902601E-2</v>
      </c>
      <c r="T9" s="2980">
        <v>4.2532038325239663E-2</v>
      </c>
      <c r="U9" s="2982"/>
      <c r="V9" s="3007"/>
      <c r="W9" s="2979">
        <v>80.23978653283848</v>
      </c>
      <c r="X9" s="3008">
        <v>2.0203768167095237E-3</v>
      </c>
    </row>
    <row r="10" spans="2:26" ht="12">
      <c r="B10" s="1878" t="s">
        <v>70</v>
      </c>
      <c r="C10" s="2830">
        <v>26969</v>
      </c>
      <c r="D10" s="2831">
        <v>26180.49778653284</v>
      </c>
      <c r="E10" s="2842">
        <v>788.50221346715989</v>
      </c>
      <c r="F10" s="2832">
        <v>3.0117922886583263E-2</v>
      </c>
      <c r="G10" s="2830">
        <v>24894</v>
      </c>
      <c r="H10" s="2832">
        <v>8.3353418494416243E-2</v>
      </c>
      <c r="I10" s="163"/>
      <c r="J10" s="3060" t="s">
        <v>1600</v>
      </c>
      <c r="K10" s="3061">
        <v>13458</v>
      </c>
      <c r="L10" s="3062">
        <v>13615</v>
      </c>
      <c r="M10" s="3050">
        <v>-157</v>
      </c>
      <c r="N10" s="3051">
        <v>-1.1531399192067582E-2</v>
      </c>
      <c r="O10" s="3051">
        <v>3.1361260510567313E-2</v>
      </c>
      <c r="P10" s="3063"/>
      <c r="Q10" s="2930">
        <v>13482.903000000002</v>
      </c>
      <c r="R10" s="3050">
        <v>-24.903000000002066</v>
      </c>
      <c r="S10" s="3051">
        <v>-1.8470057968971165E-3</v>
      </c>
      <c r="T10" s="3051">
        <v>2.1354670100750095E-2</v>
      </c>
      <c r="U10" s="3112" t="s">
        <v>2273</v>
      </c>
      <c r="V10" s="3053"/>
      <c r="W10" s="3050">
        <v>132.09699999999793</v>
      </c>
      <c r="X10" s="3052">
        <v>9.7973707887684114E-3</v>
      </c>
    </row>
    <row r="11" spans="2:26" ht="12">
      <c r="B11" s="1835" t="s">
        <v>689</v>
      </c>
      <c r="C11" s="1640">
        <v>29</v>
      </c>
      <c r="D11" s="1641">
        <v>-250.00000000000011</v>
      </c>
      <c r="E11" s="2754">
        <v>279.00000000000011</v>
      </c>
      <c r="F11" s="1554">
        <v>-1.1159999999999999</v>
      </c>
      <c r="G11" s="1640">
        <v>-237</v>
      </c>
      <c r="H11" s="1554">
        <v>-1.1223628691983123</v>
      </c>
      <c r="I11" s="3154">
        <v>8.4005225754248923E-3</v>
      </c>
      <c r="J11" s="3024" t="s">
        <v>70</v>
      </c>
      <c r="K11" s="2983">
        <v>26969</v>
      </c>
      <c r="L11" s="2984">
        <v>26180.49778653284</v>
      </c>
      <c r="M11" s="2985">
        <v>788.50221346715989</v>
      </c>
      <c r="N11" s="2986">
        <v>3.0117922886583326E-2</v>
      </c>
      <c r="O11" s="2986">
        <v>5.1679030550849214E-2</v>
      </c>
      <c r="P11" s="2987"/>
      <c r="Q11" s="2988">
        <v>26232.355</v>
      </c>
      <c r="R11" s="2985">
        <v>736.64500000000044</v>
      </c>
      <c r="S11" s="2986">
        <v>2.8081542812301796E-2</v>
      </c>
      <c r="T11" s="2986">
        <v>5.3762151522455115E-2</v>
      </c>
      <c r="U11" s="2989"/>
      <c r="V11" s="3009"/>
      <c r="W11" s="2985">
        <v>-51.857213467159454</v>
      </c>
      <c r="X11" s="3010">
        <v>-1.9768417081561518E-3</v>
      </c>
    </row>
    <row r="12" spans="2:26" ht="12">
      <c r="B12" s="1857" t="s">
        <v>71</v>
      </c>
      <c r="C12" s="1858">
        <v>26998</v>
      </c>
      <c r="D12" s="1859">
        <v>25930.49778653284</v>
      </c>
      <c r="E12" s="2843">
        <v>1067.5022134671599</v>
      </c>
      <c r="F12" s="1861">
        <v>4.1167825710680089E-2</v>
      </c>
      <c r="G12" s="1858">
        <v>24657</v>
      </c>
      <c r="H12" s="1861">
        <v>9.4942612645496194E-2</v>
      </c>
      <c r="I12" s="3153">
        <v>4.2190004108301746E-2</v>
      </c>
      <c r="J12" s="3041" t="s">
        <v>689</v>
      </c>
      <c r="K12" s="3042">
        <v>29</v>
      </c>
      <c r="L12" s="3043">
        <v>-250.00000000000011</v>
      </c>
      <c r="M12" s="3050">
        <v>279.00000000000011</v>
      </c>
      <c r="N12" s="3051">
        <v>-1.1159999999999999</v>
      </c>
      <c r="O12" s="3051">
        <v>5.4852320675105926E-2</v>
      </c>
      <c r="P12" s="3046"/>
      <c r="Q12" s="3064">
        <v>-263.69099999999889</v>
      </c>
      <c r="R12" s="3050">
        <v>292.69099999999889</v>
      </c>
      <c r="S12" s="3051">
        <v>-1.1099772081716863</v>
      </c>
      <c r="T12" s="3051">
        <v>0.11262025316455238</v>
      </c>
      <c r="U12" s="2991" t="s">
        <v>2268</v>
      </c>
      <c r="V12" s="3053"/>
      <c r="W12" s="3050">
        <v>13.69099999999878</v>
      </c>
      <c r="X12" s="3052">
        <v>-5.1920619209600782E-2</v>
      </c>
    </row>
    <row r="13" spans="2:26">
      <c r="B13" s="1836" t="s">
        <v>72</v>
      </c>
      <c r="C13" s="1640">
        <v>4042</v>
      </c>
      <c r="D13" s="1641">
        <v>4148.8796458452543</v>
      </c>
      <c r="E13" s="2754">
        <v>-106.87964584525434</v>
      </c>
      <c r="F13" s="1554">
        <v>-2.5761086116895461E-2</v>
      </c>
      <c r="G13" s="1640">
        <v>3936</v>
      </c>
      <c r="H13" s="1554">
        <v>2.6930894308943021E-2</v>
      </c>
      <c r="I13" s="3153">
        <v>1.4928317188175454E-2</v>
      </c>
      <c r="J13" s="3101" t="s">
        <v>71</v>
      </c>
      <c r="K13" s="3054">
        <v>26998</v>
      </c>
      <c r="L13" s="3055">
        <v>25930.49778653284</v>
      </c>
      <c r="M13" s="2973">
        <v>1067.5022134671599</v>
      </c>
      <c r="N13" s="3056">
        <v>4.1167825710680006E-2</v>
      </c>
      <c r="O13" s="3056">
        <v>5.1648529283077504E-2</v>
      </c>
      <c r="P13" s="2974"/>
      <c r="Q13" s="3057">
        <v>25968.664000000001</v>
      </c>
      <c r="R13" s="2973">
        <v>1029.3359999999993</v>
      </c>
      <c r="S13" s="3056">
        <v>3.9637618631439775E-2</v>
      </c>
      <c r="T13" s="3056">
        <v>5.3196414811209847E-2</v>
      </c>
      <c r="U13" s="2972"/>
      <c r="V13" s="3059"/>
      <c r="W13" s="2973">
        <v>-38.16621346716056</v>
      </c>
      <c r="X13" s="3058">
        <v>-1.4697026180153783E-3</v>
      </c>
    </row>
    <row r="14" spans="2:26">
      <c r="B14" s="1836" t="s">
        <v>1562</v>
      </c>
      <c r="C14" s="3036">
        <v>0.14971479368842136</v>
      </c>
      <c r="D14" s="2520">
        <v>0.16</v>
      </c>
      <c r="E14" s="1939">
        <v>-1.0285206311578643E-2</v>
      </c>
      <c r="F14" s="1554"/>
      <c r="G14" s="3036">
        <v>0.15963012531938192</v>
      </c>
      <c r="H14" s="1940">
        <v>-9.915331630960561E-3</v>
      </c>
      <c r="I14" s="2503">
        <v>1.7226461805466938E-2</v>
      </c>
      <c r="J14" s="3065" t="s">
        <v>72</v>
      </c>
      <c r="K14" s="3066">
        <v>4042</v>
      </c>
      <c r="L14" s="3067">
        <v>4148.8796458452543</v>
      </c>
      <c r="M14" s="3068">
        <v>-106.87964584525434</v>
      </c>
      <c r="N14" s="3069">
        <v>-2.5761086116895426E-2</v>
      </c>
      <c r="O14" s="3069"/>
      <c r="P14" s="3070"/>
      <c r="Q14" s="3071">
        <v>4140.0956999999999</v>
      </c>
      <c r="R14" s="3068">
        <v>-98.095699999999852</v>
      </c>
      <c r="S14" s="3069">
        <v>-2.3694065815918153E-2</v>
      </c>
      <c r="T14" s="3069"/>
      <c r="U14" s="3073"/>
      <c r="V14" s="3074"/>
      <c r="W14" s="3068">
        <v>8.7839458452544932</v>
      </c>
      <c r="X14" s="3072">
        <v>2.121677005015643E-3</v>
      </c>
    </row>
    <row r="15" spans="2:26" ht="12">
      <c r="B15" s="1873" t="s">
        <v>1154</v>
      </c>
      <c r="C15" s="1874">
        <v>22956</v>
      </c>
      <c r="D15" s="1875">
        <v>21781.618140687584</v>
      </c>
      <c r="E15" s="2841">
        <v>1174.3818593124161</v>
      </c>
      <c r="F15" s="1877">
        <v>5.3916189868313619E-2</v>
      </c>
      <c r="G15" s="1874">
        <v>20721</v>
      </c>
      <c r="H15" s="1877">
        <v>0.1078615896916173</v>
      </c>
      <c r="J15" s="3041" t="s">
        <v>1562</v>
      </c>
      <c r="K15" s="3102">
        <v>0.14971479368842136</v>
      </c>
      <c r="L15" s="3103">
        <v>0.16</v>
      </c>
      <c r="M15" s="3102">
        <v>-1.0285206311578643E-2</v>
      </c>
      <c r="N15" s="3045"/>
      <c r="O15" s="3045"/>
      <c r="P15" s="3046"/>
      <c r="Q15" s="3104">
        <v>0.15942659583873856</v>
      </c>
      <c r="R15" s="3044"/>
      <c r="S15" s="3045"/>
      <c r="T15" s="3045"/>
      <c r="U15" s="3048" t="s">
        <v>2269</v>
      </c>
      <c r="V15" s="3049"/>
      <c r="W15" s="3102">
        <v>5.7340416126144822E-4</v>
      </c>
      <c r="X15" s="3047"/>
    </row>
    <row r="16" spans="2:26" s="163" customFormat="1" ht="12">
      <c r="B16" s="1862" t="s">
        <v>80</v>
      </c>
      <c r="C16" s="1858">
        <v>22956</v>
      </c>
      <c r="D16" s="1859">
        <v>21781.618140687584</v>
      </c>
      <c r="E16" s="2843">
        <v>1174.3818593124161</v>
      </c>
      <c r="F16" s="1861">
        <v>5.3916189868313619E-2</v>
      </c>
      <c r="G16" s="1858">
        <v>20721</v>
      </c>
      <c r="H16" s="1861">
        <v>0.1078615896916173</v>
      </c>
      <c r="I16" s="160"/>
      <c r="J16" s="3075" t="s">
        <v>80</v>
      </c>
      <c r="K16" s="3076">
        <v>22956</v>
      </c>
      <c r="L16" s="3077">
        <v>21781.618140687584</v>
      </c>
      <c r="M16" s="3078">
        <v>1174.3818593124161</v>
      </c>
      <c r="N16" s="3079">
        <v>5.3916189868313591E-2</v>
      </c>
      <c r="O16" s="3079">
        <v>5.1185663852496788E-2</v>
      </c>
      <c r="P16" s="3080"/>
      <c r="Q16" s="3081">
        <v>21751.224999999999</v>
      </c>
      <c r="R16" s="3078">
        <v>1204.7750000000015</v>
      </c>
      <c r="S16" s="3079">
        <v>5.5388834421969513E-2</v>
      </c>
      <c r="T16" s="3079">
        <v>4.9718884223734383E-2</v>
      </c>
      <c r="U16" s="3082"/>
      <c r="V16" s="1561"/>
      <c r="W16" s="3078">
        <v>30.393140687585401</v>
      </c>
      <c r="X16" s="1629">
        <v>1.3973070798349863E-3</v>
      </c>
      <c r="Y16" s="160"/>
      <c r="Z16" s="160"/>
    </row>
    <row r="17" spans="2:26" ht="12">
      <c r="B17" s="1863" t="s">
        <v>1151</v>
      </c>
      <c r="C17" s="1864">
        <v>1.4647405630279984</v>
      </c>
      <c r="D17" s="1865">
        <v>1.3874505225972886</v>
      </c>
      <c r="E17" s="2844">
        <v>7.729004043070975E-2</v>
      </c>
      <c r="F17" s="1867">
        <v>5.5706520104244032E-2</v>
      </c>
      <c r="G17" s="1864">
        <v>1.2855442500262897</v>
      </c>
      <c r="H17" s="1867">
        <v>0.13939334487945021</v>
      </c>
      <c r="J17" s="3083" t="s">
        <v>1153</v>
      </c>
      <c r="K17" s="3084">
        <v>1.4647405630279984</v>
      </c>
      <c r="L17" s="3085">
        <v>1.3874505225972886</v>
      </c>
      <c r="M17" s="3086">
        <v>7.729004043070975E-2</v>
      </c>
      <c r="N17" s="3087">
        <v>5.5706520104243928E-2</v>
      </c>
      <c r="O17" s="3087">
        <v>7.927091779914619E-2</v>
      </c>
      <c r="P17" s="3088"/>
      <c r="Q17" s="3089">
        <v>1.3904649</v>
      </c>
      <c r="R17" s="3084">
        <v>7.4275663027998373E-2</v>
      </c>
      <c r="S17" s="3087">
        <v>5.341786263572601E-2</v>
      </c>
      <c r="T17" s="3087">
        <v>8.1615743659982698E-2</v>
      </c>
      <c r="U17" s="3091"/>
      <c r="V17" s="3092"/>
      <c r="W17" s="3084">
        <v>-3.0143774027113768E-3</v>
      </c>
      <c r="X17" s="3090">
        <v>-2.1678917624683436E-3</v>
      </c>
      <c r="Z17" s="163"/>
    </row>
    <row r="18" spans="2:26" ht="12">
      <c r="B18" s="1868" t="s">
        <v>1153</v>
      </c>
      <c r="C18" s="1869">
        <v>1.4647405630279984</v>
      </c>
      <c r="D18" s="1870">
        <v>1.3874505225972886</v>
      </c>
      <c r="E18" s="2845">
        <v>7.729004043070975E-2</v>
      </c>
      <c r="F18" s="1872">
        <v>5.5706520104244032E-2</v>
      </c>
      <c r="G18" s="1869">
        <v>1.2855442500262897</v>
      </c>
      <c r="H18" s="1872">
        <v>0.13939334487945021</v>
      </c>
      <c r="J18" s="1583"/>
      <c r="K18" s="193"/>
      <c r="L18" s="2948"/>
      <c r="M18" s="2504"/>
      <c r="N18" s="1624"/>
      <c r="O18" s="1624"/>
      <c r="P18" s="2949"/>
      <c r="Q18" s="2931"/>
      <c r="R18" s="193"/>
      <c r="S18" s="1624"/>
      <c r="T18" s="1624"/>
      <c r="U18" s="2962"/>
      <c r="V18" s="1553"/>
      <c r="W18" s="193"/>
      <c r="X18" s="1627"/>
    </row>
    <row r="19" spans="2:26" ht="12">
      <c r="B19" s="1844" t="s">
        <v>75</v>
      </c>
      <c r="C19" s="1557">
        <v>15672.4</v>
      </c>
      <c r="D19" s="1541">
        <v>15699.023342405528</v>
      </c>
      <c r="E19" s="1845">
        <v>-26.623342405528092</v>
      </c>
      <c r="F19" s="1558">
        <v>-1.6958597885267336E-3</v>
      </c>
      <c r="G19" s="1557">
        <v>16118.465</v>
      </c>
      <c r="H19" s="1558">
        <v>-2.7674161280246024E-2</v>
      </c>
      <c r="J19" s="3034" t="s">
        <v>2264</v>
      </c>
      <c r="K19" s="193"/>
      <c r="L19" s="2948"/>
      <c r="M19" s="2504"/>
      <c r="N19" s="1624"/>
      <c r="O19" s="1624"/>
      <c r="P19" s="2949"/>
      <c r="Q19" s="2931"/>
      <c r="R19" s="193"/>
      <c r="S19" s="1624"/>
      <c r="T19" s="1624"/>
      <c r="U19" s="2962"/>
      <c r="V19" s="1553"/>
      <c r="W19" s="193"/>
      <c r="X19" s="1627"/>
    </row>
    <row r="20" spans="2:26" ht="12">
      <c r="B20" s="1837"/>
      <c r="C20" s="1553"/>
      <c r="D20" s="193"/>
      <c r="E20" s="1569"/>
      <c r="F20" s="1554"/>
      <c r="G20" s="1553"/>
      <c r="H20" s="1554"/>
      <c r="J20" s="3030" t="s">
        <v>84</v>
      </c>
      <c r="K20" s="3031">
        <v>43805</v>
      </c>
      <c r="L20" s="3032">
        <v>42634.64362958222</v>
      </c>
      <c r="M20" s="2836">
        <v>1170.3563704177795</v>
      </c>
      <c r="N20" s="2837">
        <v>2.7450830376021251E-2</v>
      </c>
      <c r="O20" s="2837">
        <v>2.0277834144000195E-4</v>
      </c>
      <c r="P20" s="3033"/>
      <c r="Q20" s="2938">
        <v>43783.222999999998</v>
      </c>
      <c r="R20" s="2836">
        <v>21.777000000001863</v>
      </c>
      <c r="S20" s="2837">
        <v>4.9738229641071996E-4</v>
      </c>
      <c r="T20" s="2837">
        <v>2.7148289776192991E-2</v>
      </c>
      <c r="U20" s="3114" t="s">
        <v>2278</v>
      </c>
      <c r="V20" s="3013"/>
      <c r="W20" s="2836">
        <v>-1148.5793704177777</v>
      </c>
      <c r="X20" s="2838">
        <v>-2.6233321617683991E-2</v>
      </c>
      <c r="Y20" s="163"/>
    </row>
    <row r="21" spans="2:26" ht="12">
      <c r="B21" s="2699" t="s">
        <v>2189</v>
      </c>
      <c r="C21" s="2700" t="s">
        <v>654</v>
      </c>
      <c r="D21" s="2701" t="s">
        <v>654</v>
      </c>
      <c r="E21" s="2702" t="s">
        <v>1426</v>
      </c>
      <c r="F21" s="2703" t="s">
        <v>1427</v>
      </c>
      <c r="G21" s="2700" t="s">
        <v>654</v>
      </c>
      <c r="H21" s="2703" t="s">
        <v>2259</v>
      </c>
      <c r="J21" s="1584" t="s">
        <v>85</v>
      </c>
      <c r="K21" s="1639">
        <v>6443</v>
      </c>
      <c r="L21" s="2950">
        <v>6290</v>
      </c>
      <c r="M21" s="1901">
        <v>153</v>
      </c>
      <c r="N21" s="1626">
        <v>2.4324324324324298E-2</v>
      </c>
      <c r="O21" s="1626">
        <v>-0.12322274881516593</v>
      </c>
      <c r="P21" s="2951"/>
      <c r="Q21" s="2932">
        <v>6211.8689999999997</v>
      </c>
      <c r="R21" s="1901">
        <v>231.13100000000031</v>
      </c>
      <c r="S21" s="1626">
        <v>3.720796430188722E-2</v>
      </c>
      <c r="T21" s="1626">
        <v>-0.13411360468357969</v>
      </c>
      <c r="U21" s="3113" t="s">
        <v>2279</v>
      </c>
      <c r="V21" s="1563"/>
      <c r="W21" s="1901">
        <v>78.131000000000313</v>
      </c>
      <c r="X21" s="1630">
        <v>1.2577696020312112E-2</v>
      </c>
    </row>
    <row r="22" spans="2:26">
      <c r="B22" s="2740" t="s">
        <v>84</v>
      </c>
      <c r="C22" s="1638">
        <v>43805</v>
      </c>
      <c r="D22" s="1639">
        <v>42634.64362958222</v>
      </c>
      <c r="E22" s="2754">
        <v>1170.3563704177795</v>
      </c>
      <c r="F22" s="1554">
        <v>2.7450830376021321E-2</v>
      </c>
      <c r="G22" s="1638">
        <v>42626</v>
      </c>
      <c r="H22" s="1554">
        <v>2.7659175151315996E-2</v>
      </c>
      <c r="I22" s="3108"/>
      <c r="J22" s="1584" t="s">
        <v>86</v>
      </c>
      <c r="K22" s="1639">
        <v>7614</v>
      </c>
      <c r="L22" s="2950">
        <v>8730.7199999999993</v>
      </c>
      <c r="M22" s="1901">
        <v>-1116.7199999999993</v>
      </c>
      <c r="N22" s="1626">
        <v>-0.12790697674418594</v>
      </c>
      <c r="O22" s="1626">
        <v>-0.24133472367049014</v>
      </c>
      <c r="P22" s="2951"/>
      <c r="Q22" s="2932">
        <v>8513.8610000000008</v>
      </c>
      <c r="R22" s="1901">
        <v>-899.86100000000079</v>
      </c>
      <c r="S22" s="1626">
        <v>-0.10569364475177601</v>
      </c>
      <c r="T22" s="1626">
        <v>-0.2601789190128605</v>
      </c>
      <c r="U22" s="3113" t="s">
        <v>2280</v>
      </c>
      <c r="V22" s="1563"/>
      <c r="W22" s="1901">
        <v>216.85899999999856</v>
      </c>
      <c r="X22" s="1630">
        <v>2.5471287351296779E-2</v>
      </c>
    </row>
    <row r="23" spans="2:26">
      <c r="B23" s="2740" t="s">
        <v>85</v>
      </c>
      <c r="C23" s="1638">
        <v>6443</v>
      </c>
      <c r="D23" s="1639">
        <v>6290</v>
      </c>
      <c r="E23" s="2754">
        <v>153</v>
      </c>
      <c r="F23" s="1554">
        <v>2.4324324324324326E-2</v>
      </c>
      <c r="G23" s="1638">
        <v>7174</v>
      </c>
      <c r="H23" s="1554">
        <v>-0.1018957345971564</v>
      </c>
      <c r="I23" s="3108"/>
      <c r="J23" s="1584" t="s">
        <v>1120</v>
      </c>
      <c r="K23" s="1639">
        <v>9322</v>
      </c>
      <c r="L23" s="2950">
        <v>9790</v>
      </c>
      <c r="M23" s="1901">
        <v>-468</v>
      </c>
      <c r="N23" s="1626">
        <v>-4.7803881511746638E-2</v>
      </c>
      <c r="O23" s="1626">
        <v>1.4507772020725396E-2</v>
      </c>
      <c r="P23" s="2951"/>
      <c r="Q23" s="2932">
        <v>9471.277</v>
      </c>
      <c r="R23" s="1901">
        <v>-149.27700000000004</v>
      </c>
      <c r="S23" s="1626">
        <v>-1.5761021454657076E-2</v>
      </c>
      <c r="T23" s="1626">
        <v>-1.8520518134715003E-2</v>
      </c>
      <c r="U23" s="2963"/>
      <c r="V23" s="1563"/>
      <c r="W23" s="1901">
        <v>318.72299999999996</v>
      </c>
      <c r="X23" s="1630">
        <v>3.3651534001170047E-2</v>
      </c>
    </row>
    <row r="24" spans="2:26">
      <c r="B24" s="2740" t="s">
        <v>86</v>
      </c>
      <c r="C24" s="1638">
        <v>7614</v>
      </c>
      <c r="D24" s="1639">
        <v>8730.7199999999993</v>
      </c>
      <c r="E24" s="2754">
        <v>-1116.7199999999993</v>
      </c>
      <c r="F24" s="1554">
        <v>-0.12790697674418597</v>
      </c>
      <c r="G24" s="1638">
        <v>11508</v>
      </c>
      <c r="H24" s="1554">
        <v>-0.33837330552659017</v>
      </c>
      <c r="I24" s="3108"/>
      <c r="J24" s="2825" t="s">
        <v>667</v>
      </c>
      <c r="K24" s="2826">
        <v>67184</v>
      </c>
      <c r="L24" s="2952">
        <v>67445.363629582222</v>
      </c>
      <c r="M24" s="2828">
        <v>-261.36362958222162</v>
      </c>
      <c r="N24" s="2827">
        <v>-3.875190458126343E-3</v>
      </c>
      <c r="O24" s="2827">
        <v>-4.9503035181625465E-2</v>
      </c>
      <c r="P24" s="2953"/>
      <c r="Q24" s="2933">
        <v>67531.125</v>
      </c>
      <c r="R24" s="2828">
        <v>-347.125</v>
      </c>
      <c r="S24" s="2827">
        <v>-5.1402223789400736E-3</v>
      </c>
      <c r="T24" s="2827">
        <v>-4.8294413596775554E-2</v>
      </c>
      <c r="U24" s="3003"/>
      <c r="V24" s="3011"/>
      <c r="W24" s="2828">
        <v>-85.76137041777838</v>
      </c>
      <c r="X24" s="2829">
        <v>-1.2699532314585094E-3</v>
      </c>
    </row>
    <row r="25" spans="2:26" ht="12">
      <c r="B25" s="2740" t="s">
        <v>1120</v>
      </c>
      <c r="C25" s="1638">
        <v>9322</v>
      </c>
      <c r="D25" s="1639">
        <v>9790</v>
      </c>
      <c r="E25" s="2754">
        <v>-468</v>
      </c>
      <c r="F25" s="1554">
        <v>-4.7803881511746679E-2</v>
      </c>
      <c r="G25" s="1638">
        <v>9650</v>
      </c>
      <c r="H25" s="1554">
        <v>-3.3989637305699483E-2</v>
      </c>
      <c r="I25" s="163"/>
      <c r="J25" s="1907" t="s">
        <v>81</v>
      </c>
      <c r="K25" s="1639">
        <v>22314</v>
      </c>
      <c r="L25" s="2950">
        <v>21470.099482238198</v>
      </c>
      <c r="M25" s="1901">
        <v>843.90051776180189</v>
      </c>
      <c r="N25" s="1626">
        <v>3.9305850373909212E-2</v>
      </c>
      <c r="O25" s="1626">
        <v>0.11893368158422968</v>
      </c>
      <c r="P25" s="2951"/>
      <c r="Q25" s="2932">
        <v>21414.715</v>
      </c>
      <c r="R25" s="1901">
        <v>899.28499999999985</v>
      </c>
      <c r="S25" s="1626">
        <v>4.1993787916392966E-2</v>
      </c>
      <c r="T25" s="1626">
        <v>0.11604726912653751</v>
      </c>
      <c r="U25" s="3113" t="s">
        <v>2274</v>
      </c>
      <c r="V25" s="1563"/>
      <c r="W25" s="1901">
        <v>55.384482238197961</v>
      </c>
      <c r="X25" s="1630">
        <v>2.5862815469734901E-3</v>
      </c>
    </row>
    <row r="26" spans="2:26" ht="12">
      <c r="B26" s="1841" t="s">
        <v>667</v>
      </c>
      <c r="C26" s="1638">
        <v>67184</v>
      </c>
      <c r="D26" s="1639">
        <v>67445.363629582222</v>
      </c>
      <c r="E26" s="2754">
        <v>-261.36362958222162</v>
      </c>
      <c r="F26" s="1554">
        <v>-3.875190458126389E-3</v>
      </c>
      <c r="G26" s="1638">
        <v>70958</v>
      </c>
      <c r="H26" s="1554">
        <v>-5.3186391950167722E-2</v>
      </c>
      <c r="J26" s="1926" t="s">
        <v>1246</v>
      </c>
      <c r="K26" s="1889">
        <v>89498</v>
      </c>
      <c r="L26" s="2954">
        <v>88915.463111820427</v>
      </c>
      <c r="M26" s="1930">
        <v>582.536888179573</v>
      </c>
      <c r="N26" s="1927">
        <v>6.551581331213141E-3</v>
      </c>
      <c r="O26" s="1927">
        <v>-1.3650487965961577E-2</v>
      </c>
      <c r="P26" s="2955"/>
      <c r="Q26" s="2934">
        <v>89283.53</v>
      </c>
      <c r="R26" s="1930">
        <v>214.47000000000116</v>
      </c>
      <c r="S26" s="1927">
        <v>2.4021227655313115E-3</v>
      </c>
      <c r="T26" s="1927">
        <v>-9.5674794222705417E-3</v>
      </c>
      <c r="U26" s="2964" t="s">
        <v>2272</v>
      </c>
      <c r="V26" s="3012"/>
      <c r="W26" s="1930">
        <v>-368.06688817957183</v>
      </c>
      <c r="X26" s="1931">
        <v>-4.1224499992279506E-3</v>
      </c>
    </row>
    <row r="27" spans="2:26">
      <c r="B27" s="1841" t="s">
        <v>81</v>
      </c>
      <c r="C27" s="1638">
        <v>22314</v>
      </c>
      <c r="D27" s="1639">
        <v>21470.099482238198</v>
      </c>
      <c r="E27" s="2754">
        <v>843.90051776180189</v>
      </c>
      <c r="F27" s="1554">
        <v>3.9305850373909289E-2</v>
      </c>
      <c r="G27" s="1638">
        <v>19188</v>
      </c>
      <c r="H27" s="1554">
        <v>0.16291432145090678</v>
      </c>
      <c r="I27" s="3111"/>
      <c r="J27" s="1583"/>
      <c r="K27" s="1639"/>
      <c r="L27" s="2950"/>
      <c r="M27" s="1901"/>
      <c r="N27" s="1626"/>
      <c r="O27" s="1626"/>
      <c r="P27" s="2951"/>
      <c r="Q27" s="2932"/>
      <c r="R27" s="1901"/>
      <c r="S27" s="1626"/>
      <c r="T27" s="1626"/>
      <c r="U27" s="2963"/>
      <c r="V27" s="1563"/>
      <c r="W27" s="1901"/>
      <c r="X27" s="1630"/>
    </row>
    <row r="28" spans="2:26" ht="12">
      <c r="B28" s="1890" t="s">
        <v>1246</v>
      </c>
      <c r="C28" s="1860">
        <v>89498</v>
      </c>
      <c r="D28" s="1889">
        <v>88915.463111820427</v>
      </c>
      <c r="E28" s="2843">
        <v>582.536888179573</v>
      </c>
      <c r="F28" s="1861">
        <v>6.5515813312131367E-3</v>
      </c>
      <c r="G28" s="1860">
        <v>90146</v>
      </c>
      <c r="H28" s="1861">
        <v>-7.1883389168682088E-3</v>
      </c>
      <c r="J28" s="1933" t="s">
        <v>1105</v>
      </c>
      <c r="K28" s="1639">
        <v>24598</v>
      </c>
      <c r="L28" s="2950">
        <v>24551.519513875373</v>
      </c>
      <c r="M28" s="1901">
        <v>46.480486124626623</v>
      </c>
      <c r="N28" s="1626">
        <v>1.8931816459815121E-3</v>
      </c>
      <c r="O28" s="1626">
        <v>-7.9282431014704446E-4</v>
      </c>
      <c r="P28" s="2951"/>
      <c r="Q28" s="2932">
        <v>24706</v>
      </c>
      <c r="R28" s="1901">
        <v>-108</v>
      </c>
      <c r="S28" s="1626">
        <v>-4.3714077552011732E-3</v>
      </c>
      <c r="T28" s="1626">
        <v>5.4942818770096213E-3</v>
      </c>
      <c r="U28" s="2963"/>
      <c r="V28" s="1563"/>
      <c r="W28" s="1901">
        <v>-154.48048612462662</v>
      </c>
      <c r="X28" s="1630">
        <v>-6.2527518062263088E-3</v>
      </c>
    </row>
    <row r="29" spans="2:26">
      <c r="B29" s="1839"/>
      <c r="C29" s="1638"/>
      <c r="D29" s="1639"/>
      <c r="E29" s="2754"/>
      <c r="F29" s="1554"/>
      <c r="G29" s="1638"/>
      <c r="H29" s="1554"/>
      <c r="J29" s="1933" t="s">
        <v>995</v>
      </c>
      <c r="K29" s="1639">
        <v>15829</v>
      </c>
      <c r="L29" s="2950">
        <v>15243.978272657454</v>
      </c>
      <c r="M29" s="1901">
        <v>585.021727342546</v>
      </c>
      <c r="N29" s="1626">
        <v>3.8377234398967675E-2</v>
      </c>
      <c r="O29" s="1626">
        <v>0.12717970072888596</v>
      </c>
      <c r="P29" s="2951"/>
      <c r="Q29" s="2932">
        <v>15067.532999999999</v>
      </c>
      <c r="R29" s="1901">
        <v>761.46700000000055</v>
      </c>
      <c r="S29" s="1626">
        <v>5.0536939258736036E-2</v>
      </c>
      <c r="T29" s="1626">
        <v>0.11413287488908597</v>
      </c>
      <c r="U29" s="2963"/>
      <c r="V29" s="1563"/>
      <c r="W29" s="1901">
        <v>176.44527265745455</v>
      </c>
      <c r="X29" s="1630">
        <v>1.171029608214269E-2</v>
      </c>
    </row>
    <row r="30" spans="2:26" ht="12">
      <c r="B30" s="1842" t="s">
        <v>1105</v>
      </c>
      <c r="C30" s="1638">
        <v>24598</v>
      </c>
      <c r="D30" s="1639">
        <v>24551.519513875373</v>
      </c>
      <c r="E30" s="2754">
        <v>46.480486124626623</v>
      </c>
      <c r="F30" s="1554">
        <v>1.8931816459815459E-3</v>
      </c>
      <c r="G30" s="1638">
        <v>24570.999999999996</v>
      </c>
      <c r="H30" s="1554">
        <v>1.0988563754019687E-3</v>
      </c>
      <c r="J30" s="1932" t="s">
        <v>67</v>
      </c>
      <c r="K30" s="1889">
        <v>40427</v>
      </c>
      <c r="L30" s="2954">
        <v>39795.497786532826</v>
      </c>
      <c r="M30" s="1930">
        <v>631.50221346717444</v>
      </c>
      <c r="N30" s="1927">
        <v>1.5868684866177984E-2</v>
      </c>
      <c r="O30" s="1927">
        <v>4.4638345886148567E-2</v>
      </c>
      <c r="P30" s="2955"/>
      <c r="Q30" s="2934">
        <v>39715.258000000002</v>
      </c>
      <c r="R30" s="1930">
        <v>711.74199999999837</v>
      </c>
      <c r="S30" s="1927">
        <v>1.7921122405902601E-2</v>
      </c>
      <c r="T30" s="1927">
        <v>4.2532038325239663E-2</v>
      </c>
      <c r="U30" s="2964" t="s">
        <v>2275</v>
      </c>
      <c r="V30" s="3012"/>
      <c r="W30" s="1930">
        <v>80.239786532823928</v>
      </c>
      <c r="X30" s="1931">
        <v>2.0203768167090796E-3</v>
      </c>
    </row>
    <row r="31" spans="2:26">
      <c r="B31" s="1842" t="s">
        <v>995</v>
      </c>
      <c r="C31" s="1638">
        <v>15829</v>
      </c>
      <c r="D31" s="1639">
        <v>15243.978272657454</v>
      </c>
      <c r="E31" s="2754">
        <v>585.021727342546</v>
      </c>
      <c r="F31" s="1554">
        <v>3.8377234398967709E-2</v>
      </c>
      <c r="G31" s="1638">
        <v>13524</v>
      </c>
      <c r="H31" s="1554">
        <v>0.17043774031351666</v>
      </c>
      <c r="J31" s="1583"/>
      <c r="L31" s="2935"/>
      <c r="N31" s="1624"/>
      <c r="O31" s="1624"/>
      <c r="P31" s="2925"/>
      <c r="Q31" s="2935"/>
      <c r="T31" s="1624"/>
      <c r="U31" s="1839"/>
      <c r="V31" s="1396"/>
      <c r="X31" s="1397"/>
    </row>
    <row r="32" spans="2:26" ht="12">
      <c r="B32" s="1888" t="s">
        <v>67</v>
      </c>
      <c r="C32" s="1860">
        <v>40427</v>
      </c>
      <c r="D32" s="1889">
        <v>39795.497786532826</v>
      </c>
      <c r="E32" s="2843">
        <v>631.50221346717444</v>
      </c>
      <c r="F32" s="1861">
        <v>1.5868684866178023E-2</v>
      </c>
      <c r="G32" s="1860">
        <v>38095</v>
      </c>
      <c r="H32" s="1861">
        <v>6.1215382596141232E-2</v>
      </c>
      <c r="J32" s="1933" t="s">
        <v>1173</v>
      </c>
      <c r="K32" s="1634">
        <v>0.36612884020004766</v>
      </c>
      <c r="L32" s="2936">
        <v>0.36402086359434838</v>
      </c>
      <c r="M32" s="1634">
        <v>2.1079766056992799E-3</v>
      </c>
      <c r="N32" s="1634"/>
      <c r="O32" s="1634">
        <v>1.774560217209864E-2</v>
      </c>
      <c r="P32" s="2926"/>
      <c r="Q32" s="2936">
        <v>0.36584611910433895</v>
      </c>
      <c r="R32" s="1634">
        <v>2.8272109570870452E-4</v>
      </c>
      <c r="S32" s="1634"/>
      <c r="T32" s="1634">
        <v>1.9570857682089216E-2</v>
      </c>
      <c r="U32" s="2965"/>
      <c r="V32" s="1636"/>
      <c r="W32" s="1634">
        <v>-1.8252555099905754E-3</v>
      </c>
      <c r="X32" s="1635"/>
    </row>
    <row r="33" spans="1:24">
      <c r="B33" s="1839"/>
      <c r="C33" s="1396"/>
      <c r="E33" s="1569"/>
      <c r="F33" s="1554"/>
      <c r="G33" s="1396"/>
      <c r="H33" s="1554"/>
      <c r="J33" s="1933" t="s">
        <v>1172</v>
      </c>
      <c r="K33" s="1634">
        <v>0.70937528009321504</v>
      </c>
      <c r="L33" s="2936">
        <v>0.7100096711367595</v>
      </c>
      <c r="M33" s="1634">
        <v>-6.3439104354445774E-4</v>
      </c>
      <c r="N33" s="1634"/>
      <c r="O33" s="1634">
        <v>5.1941614432010619E-3</v>
      </c>
      <c r="P33" s="2926"/>
      <c r="Q33" s="2936">
        <v>0.70360651542642516</v>
      </c>
      <c r="R33" s="1634">
        <v>5.7687646667898829E-3</v>
      </c>
      <c r="S33" s="1634"/>
      <c r="T33" s="1634">
        <v>-1.2089942671332787E-3</v>
      </c>
      <c r="U33" s="2965"/>
      <c r="V33" s="1636"/>
      <c r="W33" s="1634">
        <v>6.4031557103343406E-3</v>
      </c>
      <c r="X33" s="1635"/>
    </row>
    <row r="34" spans="1:24" ht="12">
      <c r="B34" s="1842" t="s">
        <v>1173</v>
      </c>
      <c r="C34" s="1636">
        <v>0.36612884020004766</v>
      </c>
      <c r="D34" s="1634">
        <v>0.36402086359434838</v>
      </c>
      <c r="E34" s="1637"/>
      <c r="F34" s="1635">
        <v>2.1079766056992799E-3</v>
      </c>
      <c r="G34" s="1636">
        <v>0.34627526142224974</v>
      </c>
      <c r="H34" s="1635">
        <v>1.985357877779792E-2</v>
      </c>
      <c r="J34" s="1934" t="s">
        <v>1472</v>
      </c>
      <c r="K34" s="1893">
        <v>0.45170841806520817</v>
      </c>
      <c r="L34" s="2937">
        <v>0.44756554589932074</v>
      </c>
      <c r="M34" s="1893">
        <v>4.1428721658874346E-3</v>
      </c>
      <c r="N34" s="1893"/>
      <c r="O34" s="1893">
        <v>2.4973306643003235E-2</v>
      </c>
      <c r="P34" s="2927"/>
      <c r="Q34" s="2937">
        <v>0.4448217717198234</v>
      </c>
      <c r="R34" s="1893">
        <v>6.8866463453847726E-3</v>
      </c>
      <c r="S34" s="1893"/>
      <c r="T34" s="1893">
        <v>2.2229532463505897E-2</v>
      </c>
      <c r="U34" s="1890" t="s">
        <v>2276</v>
      </c>
      <c r="V34" s="1892"/>
      <c r="W34" s="1893">
        <v>2.743774179497338E-3</v>
      </c>
      <c r="X34" s="1895"/>
    </row>
    <row r="35" spans="1:24" ht="12">
      <c r="B35" s="1842" t="s">
        <v>1172</v>
      </c>
      <c r="C35" s="1636">
        <v>0.70937528009321504</v>
      </c>
      <c r="D35" s="1634">
        <v>0.7100096711367595</v>
      </c>
      <c r="E35" s="1637"/>
      <c r="F35" s="1635">
        <v>-6.3439104354445774E-4</v>
      </c>
      <c r="G35" s="1636">
        <v>0.70481550969355844</v>
      </c>
      <c r="H35" s="1635">
        <v>4.5597703996566041E-3</v>
      </c>
      <c r="J35" s="1934" t="s">
        <v>2251</v>
      </c>
      <c r="K35" s="1893">
        <v>0.30133634271156895</v>
      </c>
      <c r="L35" s="2937">
        <v>0.29444257354435804</v>
      </c>
      <c r="M35" s="1893">
        <v>6.8937691672109058E-3</v>
      </c>
      <c r="N35" s="1893"/>
      <c r="O35" s="1893">
        <v>1.8290553488005012E-2</v>
      </c>
      <c r="P35" s="2927"/>
      <c r="Q35" s="2937">
        <v>0.29380956375716777</v>
      </c>
      <c r="R35" s="1893">
        <v>7.5267789544011809E-3</v>
      </c>
      <c r="S35" s="1893"/>
      <c r="T35" s="1893">
        <v>1.7657543700814737E-2</v>
      </c>
      <c r="U35" s="2966"/>
      <c r="V35" s="1892"/>
      <c r="W35" s="1893">
        <v>6.3300978719027512E-4</v>
      </c>
      <c r="X35" s="1895"/>
    </row>
    <row r="36" spans="1:24" ht="12">
      <c r="B36" s="1891" t="s">
        <v>1428</v>
      </c>
      <c r="C36" s="1892">
        <v>0.45170841806520817</v>
      </c>
      <c r="D36" s="1893">
        <v>0.44756554589932074</v>
      </c>
      <c r="E36" s="1894"/>
      <c r="F36" s="1895">
        <v>4.1428721658874346E-3</v>
      </c>
      <c r="G36" s="1892">
        <v>0.4225922392563175</v>
      </c>
      <c r="H36" s="1895">
        <v>2.9116178808890669E-2</v>
      </c>
      <c r="J36" s="1396"/>
      <c r="L36" s="2935"/>
      <c r="P36" s="2925"/>
      <c r="Q36" s="2935"/>
      <c r="U36" s="1839"/>
      <c r="V36" s="1396"/>
      <c r="X36" s="1397"/>
    </row>
    <row r="37" spans="1:24" ht="12">
      <c r="B37" s="1891" t="s">
        <v>2282</v>
      </c>
      <c r="C37" s="1892">
        <v>0.30133634271156895</v>
      </c>
      <c r="D37" s="1893">
        <v>0.29444257354435804</v>
      </c>
      <c r="E37" s="1894"/>
      <c r="F37" s="1895">
        <v>6.8937691672109058E-3</v>
      </c>
      <c r="G37" s="1892">
        <v>0.27615202005635303</v>
      </c>
      <c r="H37" s="1895">
        <v>2.5184322655215918E-2</v>
      </c>
      <c r="J37" s="3025" t="s">
        <v>2250</v>
      </c>
      <c r="L37" s="2935"/>
      <c r="P37" s="2925"/>
      <c r="Q37" s="2935"/>
      <c r="U37" s="1839"/>
      <c r="V37" s="1396"/>
      <c r="X37" s="1397"/>
    </row>
    <row r="38" spans="1:24">
      <c r="J38" s="1818" t="s">
        <v>168</v>
      </c>
      <c r="K38" s="1897">
        <v>40115</v>
      </c>
      <c r="L38" s="2944">
        <v>39264.601375051003</v>
      </c>
      <c r="M38" s="1897">
        <v>850.39862494899717</v>
      </c>
      <c r="N38" s="2541">
        <v>2.165814996632931E-2</v>
      </c>
      <c r="O38" s="2541">
        <v>-1.3650487965961577E-2</v>
      </c>
      <c r="P38" s="2956"/>
      <c r="Q38" s="2938">
        <v>37791</v>
      </c>
      <c r="R38" s="2836">
        <v>2324</v>
      </c>
      <c r="S38" s="2837">
        <v>6.1496123415628157E-2</v>
      </c>
      <c r="T38" s="2541">
        <v>-5.0668207395498377E-2</v>
      </c>
      <c r="U38" s="2967"/>
      <c r="V38" s="3013"/>
      <c r="W38" s="2836">
        <v>1473.6013750510028</v>
      </c>
      <c r="X38" s="2838">
        <v>3.8993447515307977E-2</v>
      </c>
    </row>
    <row r="39" spans="1:24" ht="12">
      <c r="B39" s="2699" t="s">
        <v>2250</v>
      </c>
      <c r="C39" s="2700" t="s">
        <v>654</v>
      </c>
      <c r="D39" s="2701" t="s">
        <v>654</v>
      </c>
      <c r="E39" s="2702" t="s">
        <v>2215</v>
      </c>
      <c r="F39" s="2703" t="s">
        <v>1427</v>
      </c>
      <c r="G39" s="2700" t="s">
        <v>654</v>
      </c>
      <c r="H39" s="2703" t="s">
        <v>2259</v>
      </c>
      <c r="J39" s="1396" t="s">
        <v>663</v>
      </c>
      <c r="K39" s="2504">
        <v>22463</v>
      </c>
      <c r="L39" s="2940">
        <v>22483.837126815906</v>
      </c>
      <c r="M39" s="2504">
        <v>-20.837126815906231</v>
      </c>
      <c r="N39" s="2523">
        <v>-9.2676026331173222E-4</v>
      </c>
      <c r="O39" s="2523">
        <v>-1.3650487965961577E-2</v>
      </c>
      <c r="P39" s="2925"/>
      <c r="Q39" s="2932">
        <v>24163</v>
      </c>
      <c r="R39" s="1901">
        <v>-1700</v>
      </c>
      <c r="S39" s="1626">
        <v>-7.0355502214129007E-2</v>
      </c>
      <c r="T39" s="2523">
        <v>6.0013160780872932E-2</v>
      </c>
      <c r="U39" s="2963"/>
      <c r="V39" s="1563"/>
      <c r="W39" s="1901">
        <v>-1679.1628731840938</v>
      </c>
      <c r="X39" s="1630">
        <v>-6.9493145436580472E-2</v>
      </c>
    </row>
    <row r="40" spans="1:24">
      <c r="B40" s="1841" t="s">
        <v>168</v>
      </c>
      <c r="C40" s="1638">
        <v>40115</v>
      </c>
      <c r="D40" s="1639">
        <v>39264.601375051003</v>
      </c>
      <c r="E40" s="2754">
        <v>850.39862494899717</v>
      </c>
      <c r="F40" s="1554">
        <v>2.1658149966329372E-2</v>
      </c>
      <c r="G40" s="1638">
        <v>39808</v>
      </c>
      <c r="H40" s="1554">
        <v>7.7120176848874955E-3</v>
      </c>
      <c r="J40" s="1396" t="s">
        <v>171</v>
      </c>
      <c r="K40" s="2504">
        <v>15084</v>
      </c>
      <c r="L40" s="2940">
        <v>15258.826951166575</v>
      </c>
      <c r="M40" s="2504">
        <v>-174.82695116657487</v>
      </c>
      <c r="N40" s="2523">
        <v>-1.1457430622031417E-2</v>
      </c>
      <c r="O40" s="2523">
        <v>-1.3650487965961577E-2</v>
      </c>
      <c r="P40" s="2925"/>
      <c r="Q40" s="2932">
        <v>16837</v>
      </c>
      <c r="R40" s="1901">
        <v>-1753</v>
      </c>
      <c r="S40" s="1626">
        <v>-0.10411593514284012</v>
      </c>
      <c r="T40" s="2523">
        <v>8.8364576599870626E-2</v>
      </c>
      <c r="U40" s="2963"/>
      <c r="V40" s="1563"/>
      <c r="W40" s="1901">
        <v>-1578.1730488334251</v>
      </c>
      <c r="X40" s="1630">
        <v>-9.3732437419577375E-2</v>
      </c>
    </row>
    <row r="41" spans="1:24">
      <c r="B41" s="1841" t="s">
        <v>663</v>
      </c>
      <c r="C41" s="1638">
        <v>22463</v>
      </c>
      <c r="D41" s="1639">
        <v>22483.837126815906</v>
      </c>
      <c r="E41" s="2754">
        <v>-20.837126815906231</v>
      </c>
      <c r="F41" s="1554">
        <v>-9.2676026331174209E-4</v>
      </c>
      <c r="G41" s="1638">
        <v>22795</v>
      </c>
      <c r="H41" s="1554">
        <v>-1.4564597499451604E-2</v>
      </c>
      <c r="J41" s="1396" t="s">
        <v>169</v>
      </c>
      <c r="K41" s="2504">
        <v>5505</v>
      </c>
      <c r="L41" s="2940">
        <v>5622.1922185940193</v>
      </c>
      <c r="M41" s="2504">
        <v>-117.19221859401932</v>
      </c>
      <c r="N41" s="2523">
        <v>-2.0844576997284925E-2</v>
      </c>
      <c r="O41" s="2523">
        <v>-1.3650487965961577E-2</v>
      </c>
      <c r="P41" s="2925"/>
      <c r="Q41" s="2932">
        <v>5246</v>
      </c>
      <c r="R41" s="1901">
        <v>259</v>
      </c>
      <c r="S41" s="1626">
        <v>4.9370949294700761E-2</v>
      </c>
      <c r="T41" s="2523">
        <v>-7.9649122807017525E-2</v>
      </c>
      <c r="U41" s="2963"/>
      <c r="V41" s="1563"/>
      <c r="W41" s="1901">
        <v>376.19221859401932</v>
      </c>
      <c r="X41" s="1630">
        <v>7.17102971014143E-2</v>
      </c>
    </row>
    <row r="42" spans="1:24">
      <c r="B42" s="1841" t="s">
        <v>171</v>
      </c>
      <c r="C42" s="1638">
        <v>15084</v>
      </c>
      <c r="D42" s="1639">
        <v>15258.826951166575</v>
      </c>
      <c r="E42" s="2754">
        <v>-174.82695116657487</v>
      </c>
      <c r="F42" s="1554">
        <v>-1.145743062203146E-2</v>
      </c>
      <c r="G42" s="1638">
        <v>15470</v>
      </c>
      <c r="H42" s="1554">
        <v>-2.495151906916615E-2</v>
      </c>
      <c r="J42" s="1396" t="s">
        <v>172</v>
      </c>
      <c r="K42" s="2504">
        <v>6331</v>
      </c>
      <c r="L42" s="2940">
        <v>6286.0054401929265</v>
      </c>
      <c r="M42" s="2504">
        <v>44.994559807073529</v>
      </c>
      <c r="N42" s="2523">
        <v>7.157893869988774E-3</v>
      </c>
      <c r="O42" s="2523">
        <v>-1.3650487965961688E-2</v>
      </c>
      <c r="P42" s="2925"/>
      <c r="Q42" s="2932">
        <v>6141</v>
      </c>
      <c r="R42" s="1901">
        <v>190</v>
      </c>
      <c r="S42" s="1626">
        <v>3.0939586386582008E-2</v>
      </c>
      <c r="T42" s="2523">
        <v>-3.6403577592970304E-2</v>
      </c>
      <c r="U42" s="2963"/>
      <c r="V42" s="1563"/>
      <c r="W42" s="1901">
        <v>145.00544019292647</v>
      </c>
      <c r="X42" s="1630">
        <v>2.3612675491438972E-2</v>
      </c>
    </row>
    <row r="43" spans="1:24" ht="12">
      <c r="B43" s="1841" t="s">
        <v>169</v>
      </c>
      <c r="C43" s="1638">
        <v>5505</v>
      </c>
      <c r="D43" s="1639">
        <v>5622.1922185940193</v>
      </c>
      <c r="E43" s="2754">
        <v>-117.19221859401932</v>
      </c>
      <c r="F43" s="1554">
        <v>-2.0844576997284949E-2</v>
      </c>
      <c r="G43" s="1638">
        <v>5700</v>
      </c>
      <c r="H43" s="1554">
        <v>-3.4210526315789469E-2</v>
      </c>
      <c r="J43" s="1926" t="s">
        <v>1246</v>
      </c>
      <c r="K43" s="1889">
        <v>89498</v>
      </c>
      <c r="L43" s="2954">
        <v>88915.463111820427</v>
      </c>
      <c r="M43" s="1930">
        <v>582.536888179573</v>
      </c>
      <c r="N43" s="2839">
        <v>6.551581331213141E-3</v>
      </c>
      <c r="O43" s="2839">
        <v>-1.3650487965961577E-2</v>
      </c>
      <c r="P43" s="2955"/>
      <c r="Q43" s="2934">
        <v>89283.53</v>
      </c>
      <c r="R43" s="1930">
        <v>214.47000000000116</v>
      </c>
      <c r="S43" s="1927">
        <v>2.4021227655313115E-3</v>
      </c>
      <c r="T43" s="2839">
        <v>-9.5674794222705417E-3</v>
      </c>
      <c r="U43" s="2964"/>
      <c r="V43" s="3012"/>
      <c r="W43" s="1930">
        <v>-368.06688817957183</v>
      </c>
      <c r="X43" s="1931">
        <v>-4.1224499992279506E-3</v>
      </c>
    </row>
    <row r="44" spans="1:24" ht="12">
      <c r="A44" s="160" t="s">
        <v>1440</v>
      </c>
      <c r="B44" s="1841" t="s">
        <v>172</v>
      </c>
      <c r="C44" s="1638">
        <v>6331</v>
      </c>
      <c r="D44" s="1639">
        <v>6286.0054401929265</v>
      </c>
      <c r="E44" s="2754">
        <v>44.994559807073529</v>
      </c>
      <c r="F44" s="1554">
        <v>7.1578938699888529E-3</v>
      </c>
      <c r="G44" s="1638">
        <v>6373</v>
      </c>
      <c r="H44" s="1554">
        <v>-6.5903028401067543E-3</v>
      </c>
      <c r="J44" s="2998" t="s">
        <v>2261</v>
      </c>
      <c r="K44" s="2525">
        <v>-0.02</v>
      </c>
      <c r="L44" s="2999">
        <v>-0.02</v>
      </c>
      <c r="M44" s="2525">
        <v>0</v>
      </c>
      <c r="N44" s="2525"/>
      <c r="O44" s="2525"/>
      <c r="P44" s="2969"/>
      <c r="Q44" s="2970"/>
      <c r="R44" s="3000"/>
      <c r="S44" s="3122"/>
      <c r="T44" s="3015"/>
      <c r="U44" s="3001" t="s">
        <v>2277</v>
      </c>
      <c r="V44" s="3014"/>
      <c r="W44" s="2971"/>
      <c r="X44" s="3015"/>
    </row>
    <row r="45" spans="1:24" ht="12">
      <c r="B45" s="1890" t="s">
        <v>1246</v>
      </c>
      <c r="C45" s="1860">
        <v>89498</v>
      </c>
      <c r="D45" s="1889">
        <v>88915.463111820427</v>
      </c>
      <c r="E45" s="2843">
        <v>582.536888179573</v>
      </c>
      <c r="F45" s="1861">
        <v>6.5515813312131367E-3</v>
      </c>
      <c r="G45" s="1860">
        <v>90146</v>
      </c>
      <c r="H45" s="1861">
        <v>-7.1883389168682088E-3</v>
      </c>
    </row>
    <row r="46" spans="1:24">
      <c r="B46" s="2997" t="s">
        <v>2261</v>
      </c>
      <c r="C46" s="2993">
        <v>-0.02</v>
      </c>
      <c r="D46" s="2994">
        <v>-0.02</v>
      </c>
      <c r="E46" s="2995"/>
      <c r="F46" s="2996">
        <v>0</v>
      </c>
      <c r="G46" s="2993">
        <v>-0.06</v>
      </c>
      <c r="H46" s="2992"/>
      <c r="J46" s="2745" t="s">
        <v>2237</v>
      </c>
      <c r="K46" s="2746"/>
      <c r="L46" s="3406" t="s">
        <v>720</v>
      </c>
      <c r="M46" s="3400"/>
      <c r="N46" s="3400"/>
      <c r="O46" s="3400"/>
      <c r="P46" s="3407"/>
      <c r="Q46" s="2939" t="s">
        <v>668</v>
      </c>
      <c r="R46" s="2749"/>
      <c r="S46" s="2750"/>
      <c r="T46" s="2746"/>
      <c r="U46" s="2621"/>
      <c r="V46" s="3005"/>
      <c r="W46" s="2749" t="s">
        <v>1430</v>
      </c>
      <c r="X46" s="2750"/>
    </row>
    <row r="47" spans="1:24">
      <c r="J47" s="3026" t="s">
        <v>1431</v>
      </c>
      <c r="K47" s="2751" t="s">
        <v>654</v>
      </c>
      <c r="L47" s="2928" t="s">
        <v>720</v>
      </c>
      <c r="M47" s="2751" t="s">
        <v>1426</v>
      </c>
      <c r="N47" s="2751" t="s">
        <v>1427</v>
      </c>
      <c r="O47" s="2751"/>
      <c r="P47" s="2751"/>
      <c r="Q47" s="3035" t="s">
        <v>2265</v>
      </c>
      <c r="R47" s="2751" t="s">
        <v>1426</v>
      </c>
      <c r="S47" s="2750" t="s">
        <v>1427</v>
      </c>
      <c r="T47" s="3121"/>
      <c r="V47" s="3006"/>
      <c r="W47" s="2751" t="s">
        <v>1426</v>
      </c>
      <c r="X47" s="2750" t="s">
        <v>1427</v>
      </c>
    </row>
    <row r="48" spans="1:24" ht="12">
      <c r="B48" s="2851" t="s">
        <v>2252</v>
      </c>
      <c r="J48" s="3027" t="s">
        <v>2236</v>
      </c>
      <c r="L48" s="2935"/>
      <c r="N48" s="2523"/>
      <c r="O48" s="2523"/>
      <c r="Q48" s="2935"/>
      <c r="S48" s="3020"/>
      <c r="T48" s="2523"/>
      <c r="V48" s="1396"/>
      <c r="X48" s="3020"/>
    </row>
    <row r="49" spans="2:24" ht="12">
      <c r="B49" s="2846" t="s">
        <v>2211</v>
      </c>
      <c r="C49" s="2847" t="s">
        <v>654</v>
      </c>
      <c r="D49" s="2848" t="s">
        <v>654</v>
      </c>
      <c r="E49" s="2849" t="s">
        <v>2213</v>
      </c>
      <c r="F49" s="2850" t="s">
        <v>1427</v>
      </c>
      <c r="G49" s="2847" t="s">
        <v>654</v>
      </c>
      <c r="H49" s="2850" t="s">
        <v>2259</v>
      </c>
      <c r="J49" s="1396" t="s">
        <v>2221</v>
      </c>
      <c r="K49" s="1641">
        <v>67184</v>
      </c>
      <c r="L49" s="2957">
        <v>67445.363629582222</v>
      </c>
      <c r="M49" s="1641">
        <v>-261.36362958222162</v>
      </c>
      <c r="N49" s="2523">
        <v>-3.875190458126343E-3</v>
      </c>
      <c r="O49" s="2523"/>
      <c r="Q49" s="2940">
        <v>68134.810627448489</v>
      </c>
      <c r="R49" s="1641">
        <v>-950.81062744848896</v>
      </c>
      <c r="S49" s="3020">
        <v>-1.3954843620941237E-2</v>
      </c>
      <c r="T49" s="2523"/>
      <c r="V49" s="1396"/>
      <c r="W49" s="1641">
        <v>-689.44699786626734</v>
      </c>
      <c r="X49" s="3020">
        <v>-1.0118865694601631E-2</v>
      </c>
    </row>
    <row r="50" spans="2:24">
      <c r="B50" s="1818" t="s">
        <v>84</v>
      </c>
      <c r="C50" s="2763">
        <v>47.95</v>
      </c>
      <c r="D50" s="2755">
        <v>47.95</v>
      </c>
      <c r="E50" s="2756">
        <v>0</v>
      </c>
      <c r="F50" s="2757">
        <v>0</v>
      </c>
      <c r="G50" s="2755">
        <v>52.25311</v>
      </c>
      <c r="H50" s="2757">
        <v>-8.2351270575091062E-2</v>
      </c>
      <c r="J50" s="1396" t="s">
        <v>2223</v>
      </c>
      <c r="K50" s="1641">
        <v>22314</v>
      </c>
      <c r="L50" s="2957">
        <v>21470.099482238198</v>
      </c>
      <c r="M50" s="1641">
        <v>843.90051776180189</v>
      </c>
      <c r="N50" s="2523">
        <v>3.9305850373909212E-2</v>
      </c>
      <c r="O50" s="2523"/>
      <c r="Q50" s="2940">
        <v>21411.167102256088</v>
      </c>
      <c r="R50" s="1641">
        <v>902.83289774391233</v>
      </c>
      <c r="S50" s="3020">
        <v>4.2166449564946085E-2</v>
      </c>
      <c r="T50" s="2523"/>
      <c r="V50" s="1396"/>
      <c r="W50" s="1641">
        <v>58.932379982110433</v>
      </c>
      <c r="X50" s="3020">
        <v>2.752413247753438E-3</v>
      </c>
    </row>
    <row r="51" spans="2:24" ht="12">
      <c r="B51" s="1396" t="s">
        <v>85</v>
      </c>
      <c r="C51" s="2764">
        <v>10.199999999999999</v>
      </c>
      <c r="D51" s="2517">
        <v>10.199999999999999</v>
      </c>
      <c r="E51" s="2753">
        <v>0</v>
      </c>
      <c r="F51" s="1554">
        <v>0</v>
      </c>
      <c r="G51" s="2517">
        <v>14.7</v>
      </c>
      <c r="H51" s="1554">
        <v>-0.30612244897959184</v>
      </c>
      <c r="J51" s="1588" t="s">
        <v>1246</v>
      </c>
      <c r="K51" s="2768">
        <v>89498</v>
      </c>
      <c r="L51" s="2958">
        <v>88915.463111820427</v>
      </c>
      <c r="M51" s="2768">
        <v>582.536888179573</v>
      </c>
      <c r="N51" s="2525">
        <v>6.551581331213141E-3</v>
      </c>
      <c r="O51" s="2525"/>
      <c r="P51" s="2502"/>
      <c r="Q51" s="2943">
        <v>89526.709972797107</v>
      </c>
      <c r="R51" s="2768">
        <v>-28.709972797107184</v>
      </c>
      <c r="S51" s="3021">
        <v>-3.2068611485702725E-4</v>
      </c>
      <c r="T51" s="2523"/>
      <c r="V51" s="2532"/>
      <c r="W51" s="2768">
        <v>-611.24686097668018</v>
      </c>
      <c r="X51" s="3021">
        <v>-6.8275362867954437E-3</v>
      </c>
    </row>
    <row r="52" spans="2:24">
      <c r="B52" s="1396" t="s">
        <v>86</v>
      </c>
      <c r="C52" s="2764">
        <v>6.7679999999999998</v>
      </c>
      <c r="D52" s="2517">
        <v>6.7679999999999998</v>
      </c>
      <c r="E52" s="2753">
        <v>0</v>
      </c>
      <c r="F52" s="1554">
        <v>0</v>
      </c>
      <c r="G52" s="2517">
        <v>9.4</v>
      </c>
      <c r="H52" s="1554">
        <v>-0.28000000000000003</v>
      </c>
      <c r="J52" s="1396" t="s">
        <v>2224</v>
      </c>
      <c r="K52" s="2504">
        <v>24598</v>
      </c>
      <c r="L52" s="2940">
        <v>24551.519513875373</v>
      </c>
      <c r="M52" s="2504">
        <v>46.480486124626623</v>
      </c>
      <c r="N52" s="2523">
        <v>1.8931816459815121E-3</v>
      </c>
      <c r="O52" s="2523"/>
      <c r="Q52" s="2940">
        <v>24604.524789516832</v>
      </c>
      <c r="R52" s="2504">
        <v>-6.524789516832243</v>
      </c>
      <c r="S52" s="3020">
        <v>-2.651865692449018E-4</v>
      </c>
      <c r="T52" s="2523"/>
      <c r="V52" s="1396"/>
      <c r="W52" s="2504">
        <v>-53.005275641458866</v>
      </c>
      <c r="X52" s="3020">
        <v>-2.1542897534051475E-3</v>
      </c>
    </row>
    <row r="53" spans="2:24">
      <c r="B53" s="2758" t="s">
        <v>1184</v>
      </c>
      <c r="C53" s="2765">
        <v>9.4999999999999964</v>
      </c>
      <c r="D53" s="2759">
        <v>9.4999999999999964</v>
      </c>
      <c r="E53" s="2760">
        <v>0</v>
      </c>
      <c r="F53" s="1556">
        <v>0</v>
      </c>
      <c r="G53" s="2759">
        <v>9.9999999999999964</v>
      </c>
      <c r="H53" s="1556">
        <v>-5.0000000000000044E-2</v>
      </c>
      <c r="J53" s="1396" t="s">
        <v>2225</v>
      </c>
      <c r="K53" s="2504">
        <v>15829</v>
      </c>
      <c r="L53" s="2940">
        <v>15243.978272657454</v>
      </c>
      <c r="M53" s="2504">
        <v>585.021727342546</v>
      </c>
      <c r="N53" s="2523">
        <v>3.8377234398967675E-2</v>
      </c>
      <c r="O53" s="2523"/>
      <c r="Q53" s="2940">
        <v>15214.375272170917</v>
      </c>
      <c r="R53" s="2504">
        <v>614.62472782908299</v>
      </c>
      <c r="S53" s="3020">
        <v>4.0397631636792442E-2</v>
      </c>
      <c r="T53" s="2523"/>
      <c r="V53" s="1396"/>
      <c r="W53" s="2504">
        <v>29.603000486536985</v>
      </c>
      <c r="X53" s="3020">
        <v>1.9457256677954948E-3</v>
      </c>
    </row>
    <row r="54" spans="2:24">
      <c r="J54" s="2532" t="s">
        <v>2226</v>
      </c>
      <c r="K54" s="2505">
        <v>40427</v>
      </c>
      <c r="L54" s="2941">
        <v>39795.497786532826</v>
      </c>
      <c r="M54" s="2505">
        <v>631.50221346717444</v>
      </c>
      <c r="N54" s="2525">
        <v>1.5868684866177984E-2</v>
      </c>
      <c r="O54" s="2525"/>
      <c r="P54" s="2502"/>
      <c r="Q54" s="2941">
        <v>39812.293527060203</v>
      </c>
      <c r="R54" s="2505">
        <v>614.7064729397971</v>
      </c>
      <c r="S54" s="3021">
        <v>1.5440117071426229E-2</v>
      </c>
      <c r="T54" s="2523"/>
      <c r="V54" s="2532"/>
      <c r="W54" s="2505">
        <v>-16.795740527377347</v>
      </c>
      <c r="X54" s="3021">
        <v>-4.218732215455212E-4</v>
      </c>
    </row>
    <row r="55" spans="2:24" ht="12">
      <c r="B55" s="2846" t="s">
        <v>2216</v>
      </c>
      <c r="C55" s="2847" t="s">
        <v>654</v>
      </c>
      <c r="D55" s="2848" t="s">
        <v>654</v>
      </c>
      <c r="E55" s="2849" t="s">
        <v>2215</v>
      </c>
      <c r="F55" s="2850" t="s">
        <v>1427</v>
      </c>
      <c r="G55" s="2847" t="s">
        <v>654</v>
      </c>
      <c r="H55" s="2850" t="s">
        <v>2259</v>
      </c>
      <c r="J55" s="1396" t="s">
        <v>2229</v>
      </c>
      <c r="K55" s="2504">
        <v>7307</v>
      </c>
      <c r="L55" s="2940">
        <v>7442</v>
      </c>
      <c r="M55" s="2504">
        <v>-135</v>
      </c>
      <c r="N55" s="2523">
        <v>-1.8140284869658685E-2</v>
      </c>
      <c r="O55" s="2523"/>
      <c r="Q55" s="2940">
        <v>7387.9090360609007</v>
      </c>
      <c r="R55" s="2504">
        <v>-80.909036060900689</v>
      </c>
      <c r="S55" s="3020">
        <v>-1.0951547408878159E-2</v>
      </c>
      <c r="T55" s="2523"/>
      <c r="V55" s="1396"/>
      <c r="W55" s="2504">
        <v>54.090963939099311</v>
      </c>
      <c r="X55" s="3020">
        <v>7.321552508981588E-3</v>
      </c>
    </row>
    <row r="56" spans="2:24">
      <c r="B56" s="1818" t="s">
        <v>84</v>
      </c>
      <c r="C56" s="2766">
        <v>913.55578727841498</v>
      </c>
      <c r="D56" s="1897">
        <v>889.1479380517668</v>
      </c>
      <c r="E56" s="2761">
        <v>24.407849226648182</v>
      </c>
      <c r="F56" s="2757">
        <v>2.7450830376021342E-2</v>
      </c>
      <c r="G56" s="1897">
        <v>815.76005715257907</v>
      </c>
      <c r="H56" s="2757">
        <v>0.11988295978500485</v>
      </c>
      <c r="J56" s="1396" t="s">
        <v>2230</v>
      </c>
      <c r="K56" s="2504">
        <v>6151</v>
      </c>
      <c r="L56" s="2940">
        <v>6173</v>
      </c>
      <c r="M56" s="2504">
        <v>-22</v>
      </c>
      <c r="N56" s="2523">
        <v>-3.5639073384091668E-3</v>
      </c>
      <c r="O56" s="2523"/>
      <c r="Q56" s="2940">
        <v>6238.891365469236</v>
      </c>
      <c r="R56" s="2504">
        <v>-87.891365469236007</v>
      </c>
      <c r="S56" s="3020">
        <v>-1.4087657617456451E-2</v>
      </c>
      <c r="T56" s="2523"/>
      <c r="V56" s="1396"/>
      <c r="W56" s="2504">
        <v>-65.891365469236007</v>
      </c>
      <c r="X56" s="3020">
        <v>-1.0561390094709577E-2</v>
      </c>
    </row>
    <row r="57" spans="2:24">
      <c r="B57" s="1396" t="s">
        <v>85</v>
      </c>
      <c r="C57" s="1907">
        <v>631.66666666666674</v>
      </c>
      <c r="D57" s="2504">
        <v>616.66666666666674</v>
      </c>
      <c r="E57" s="2754">
        <v>15</v>
      </c>
      <c r="F57" s="1554">
        <v>2.4324324324324322E-2</v>
      </c>
      <c r="G57" s="2504">
        <v>488.02721088435379</v>
      </c>
      <c r="H57" s="1554">
        <v>0.29432673543350996</v>
      </c>
      <c r="J57" s="2532" t="s">
        <v>2231</v>
      </c>
      <c r="K57" s="2505">
        <v>26969</v>
      </c>
      <c r="L57" s="2941">
        <v>26180.49778653284</v>
      </c>
      <c r="M57" s="2505">
        <v>788.50221346715989</v>
      </c>
      <c r="N57" s="2525">
        <v>3.0117922886583326E-2</v>
      </c>
      <c r="O57" s="2525"/>
      <c r="P57" s="2502"/>
      <c r="Q57" s="2941">
        <v>26185.493125530069</v>
      </c>
      <c r="R57" s="2505">
        <v>783.50687446993106</v>
      </c>
      <c r="S57" s="3021">
        <v>2.9921409946870092E-2</v>
      </c>
      <c r="T57" s="2523"/>
      <c r="V57" s="2532"/>
      <c r="W57" s="2505">
        <v>-4.9953389972288278</v>
      </c>
      <c r="X57" s="3021">
        <v>-1.907674212313637E-4</v>
      </c>
    </row>
    <row r="58" spans="2:24">
      <c r="B58" s="1396" t="s">
        <v>86</v>
      </c>
      <c r="C58" s="1907">
        <v>1125</v>
      </c>
      <c r="D58" s="2504">
        <v>1290</v>
      </c>
      <c r="E58" s="2754">
        <v>-165</v>
      </c>
      <c r="F58" s="1554">
        <v>-0.12790697674418605</v>
      </c>
      <c r="G58" s="2504">
        <v>1224.2553191489362</v>
      </c>
      <c r="H58" s="1554">
        <v>-8.1074035453597593E-2</v>
      </c>
      <c r="J58" s="1396" t="s">
        <v>2227</v>
      </c>
      <c r="K58" s="2504">
        <v>29</v>
      </c>
      <c r="L58" s="2940">
        <v>-250.00000000000011</v>
      </c>
      <c r="M58" s="2504">
        <v>279.00000000000011</v>
      </c>
      <c r="N58" s="2523">
        <v>-1.1159999999999999</v>
      </c>
      <c r="O58" s="2523"/>
      <c r="Q58" s="2940">
        <v>-213.71346395341715</v>
      </c>
      <c r="R58" s="2504">
        <v>242.71346395341715</v>
      </c>
      <c r="S58" s="3020">
        <v>-1.1356957089344688</v>
      </c>
      <c r="T58" s="2523"/>
      <c r="V58" s="1396"/>
      <c r="W58" s="2504">
        <v>-36.286536046582967</v>
      </c>
      <c r="X58" s="3020">
        <v>0.16979059426266319</v>
      </c>
    </row>
    <row r="59" spans="2:24">
      <c r="B59" s="2758" t="s">
        <v>1184</v>
      </c>
      <c r="C59" s="2767">
        <v>550</v>
      </c>
      <c r="D59" s="1899">
        <v>550</v>
      </c>
      <c r="E59" s="2762">
        <v>0</v>
      </c>
      <c r="F59" s="1556">
        <v>0</v>
      </c>
      <c r="G59" s="1899">
        <v>414.00000000000017</v>
      </c>
      <c r="H59" s="1556">
        <v>0.32850241545893666</v>
      </c>
      <c r="J59" s="1818" t="s">
        <v>2232</v>
      </c>
      <c r="K59" s="1897">
        <v>26998</v>
      </c>
      <c r="L59" s="2944">
        <v>25930.49778653284</v>
      </c>
      <c r="M59" s="1897">
        <v>1067.5022134671599</v>
      </c>
      <c r="N59" s="2541">
        <v>4.1167825710680006E-2</v>
      </c>
      <c r="O59" s="2541"/>
      <c r="P59" s="2621"/>
      <c r="Q59" s="2944">
        <v>25999.63184998884</v>
      </c>
      <c r="R59" s="1897">
        <v>998.36815001115974</v>
      </c>
      <c r="S59" s="3022">
        <v>3.8399318720029774E-2</v>
      </c>
      <c r="T59" s="2523"/>
      <c r="V59" s="1818"/>
      <c r="W59" s="1897">
        <v>-69.134063456000149</v>
      </c>
      <c r="X59" s="3022">
        <v>-2.6590400916015611E-3</v>
      </c>
    </row>
    <row r="60" spans="2:24">
      <c r="J60" s="1396" t="s">
        <v>2233</v>
      </c>
      <c r="K60" s="2504">
        <v>4042</v>
      </c>
      <c r="L60" s="2940">
        <v>4148.8796458452543</v>
      </c>
      <c r="M60" s="2504">
        <v>-106.87964584525434</v>
      </c>
      <c r="N60" s="2523">
        <v>-2.5761086116895426E-2</v>
      </c>
      <c r="O60" s="2523"/>
      <c r="Q60" s="2940">
        <v>4161.3224027411552</v>
      </c>
      <c r="R60" s="2504">
        <v>-119.3224027411552</v>
      </c>
      <c r="S60" s="3020">
        <v>-2.8674154798136953E-2</v>
      </c>
      <c r="T60" s="2523"/>
      <c r="V60" s="1396"/>
      <c r="W60" s="2504">
        <v>-12.442756895900857</v>
      </c>
      <c r="X60" s="3020">
        <v>-2.9900968229965574E-3</v>
      </c>
    </row>
    <row r="61" spans="2:24">
      <c r="B61" s="2532" t="s">
        <v>94</v>
      </c>
      <c r="C61" s="2769">
        <v>5224.9999999999982</v>
      </c>
      <c r="D61" s="2505">
        <v>5224.9999999999982</v>
      </c>
      <c r="E61" s="2770">
        <v>0</v>
      </c>
      <c r="F61" s="1558">
        <v>0</v>
      </c>
      <c r="G61" s="2505">
        <v>4140</v>
      </c>
      <c r="H61" s="1558">
        <v>0.26207729468598995</v>
      </c>
      <c r="J61" s="1396" t="s">
        <v>1562</v>
      </c>
      <c r="K61" s="2523">
        <v>0.14971479368842136</v>
      </c>
      <c r="L61" s="2945">
        <v>0.16</v>
      </c>
      <c r="M61" s="2523">
        <v>-1.0285206311578643E-2</v>
      </c>
      <c r="N61" s="2523"/>
      <c r="O61" s="2523"/>
      <c r="Q61" s="2945">
        <v>0.16005312793469195</v>
      </c>
      <c r="R61" s="2523">
        <v>-1.0338334246270592E-2</v>
      </c>
      <c r="S61" s="3020">
        <v>-6.4593140913116298E-2</v>
      </c>
      <c r="T61" s="2523"/>
      <c r="V61" s="1396"/>
      <c r="W61" s="2523">
        <v>-5.3127934691948875E-5</v>
      </c>
      <c r="X61" s="3020">
        <v>-3.3193937149189612E-4</v>
      </c>
    </row>
    <row r="62" spans="2:24">
      <c r="B62" s="2968"/>
      <c r="J62" s="2532" t="s">
        <v>2234</v>
      </c>
      <c r="K62" s="2768">
        <v>22956</v>
      </c>
      <c r="L62" s="2958">
        <v>21781.618140687584</v>
      </c>
      <c r="M62" s="2768">
        <v>1174.3818593124161</v>
      </c>
      <c r="N62" s="2525">
        <v>5.3916189868313591E-2</v>
      </c>
      <c r="O62" s="2525"/>
      <c r="P62" s="2502"/>
      <c r="Q62" s="2941">
        <v>21838.309447247684</v>
      </c>
      <c r="R62" s="2768">
        <v>1117.6905527523159</v>
      </c>
      <c r="S62" s="3021">
        <v>5.1180269033745285E-2</v>
      </c>
      <c r="T62" s="2523"/>
      <c r="V62" s="2532"/>
      <c r="W62" s="2768">
        <v>-56.691306560100202</v>
      </c>
      <c r="X62" s="3021">
        <v>-2.595956738182692E-3</v>
      </c>
    </row>
    <row r="63" spans="2:24">
      <c r="B63" s="2835" t="s">
        <v>82</v>
      </c>
      <c r="C63" s="2835">
        <v>0</v>
      </c>
      <c r="D63" s="2835">
        <v>0</v>
      </c>
      <c r="E63" s="2835">
        <v>0</v>
      </c>
      <c r="F63" s="2835"/>
      <c r="G63" s="2835">
        <v>0</v>
      </c>
      <c r="J63" s="2532" t="s">
        <v>2228</v>
      </c>
      <c r="K63" s="2771">
        <v>1.4647405630279984</v>
      </c>
      <c r="L63" s="2959">
        <v>1.3874505225972886</v>
      </c>
      <c r="M63" s="2771">
        <v>7.729004043070975E-2</v>
      </c>
      <c r="N63" s="2525">
        <v>5.5706520104243928E-2</v>
      </c>
      <c r="O63" s="2525"/>
      <c r="P63" s="2502"/>
      <c r="Q63" s="2946">
        <v>1.3974550245190429</v>
      </c>
      <c r="R63" s="2771">
        <v>6.7285538508955467E-2</v>
      </c>
      <c r="S63" s="3021">
        <v>4.8148625414340618E-2</v>
      </c>
      <c r="T63" s="2523"/>
      <c r="V63" s="2532"/>
      <c r="W63" s="2771">
        <v>-1.0004501921754283E-2</v>
      </c>
      <c r="X63" s="3021">
        <v>-7.1590868730802004E-3</v>
      </c>
    </row>
    <row r="64" spans="2:24">
      <c r="J64" s="1396"/>
      <c r="K64" s="196"/>
      <c r="L64" s="3038"/>
      <c r="M64" s="196"/>
      <c r="N64" s="2523"/>
      <c r="O64" s="2523"/>
      <c r="Q64" s="3039"/>
      <c r="R64" s="196"/>
      <c r="S64" s="3020"/>
      <c r="T64" s="2523"/>
      <c r="V64" s="1396"/>
      <c r="W64" s="196"/>
      <c r="X64" s="3020"/>
    </row>
    <row r="65" spans="3:24" ht="12">
      <c r="J65" s="3027" t="s">
        <v>1617</v>
      </c>
      <c r="L65" s="2935"/>
      <c r="Q65" s="2935"/>
      <c r="S65" s="1397"/>
      <c r="V65" s="1396"/>
      <c r="X65" s="1397"/>
    </row>
    <row r="66" spans="3:24">
      <c r="J66" s="1396" t="s">
        <v>2217</v>
      </c>
      <c r="K66" s="1641">
        <v>43805</v>
      </c>
      <c r="L66" s="2957">
        <v>42634.64362958222</v>
      </c>
      <c r="M66" s="1641">
        <v>1170.3563704177795</v>
      </c>
      <c r="N66" s="2523">
        <v>2.7450830376021251E-2</v>
      </c>
      <c r="O66" s="2523"/>
      <c r="Q66" s="2940">
        <v>43701.78007418014</v>
      </c>
      <c r="R66" s="1641">
        <v>103.21992581985978</v>
      </c>
      <c r="S66" s="3020">
        <v>2.3619158222996095E-3</v>
      </c>
      <c r="T66" s="2523"/>
      <c r="V66" s="1396"/>
      <c r="W66" s="1641">
        <v>-1067.1364445979198</v>
      </c>
      <c r="X66" s="3020">
        <v>-2.4418603608057698E-2</v>
      </c>
    </row>
    <row r="67" spans="3:24">
      <c r="J67" s="1396" t="s">
        <v>2218</v>
      </c>
      <c r="K67" s="1641">
        <v>6443</v>
      </c>
      <c r="L67" s="2957">
        <v>6290</v>
      </c>
      <c r="M67" s="1641">
        <v>153</v>
      </c>
      <c r="N67" s="2523">
        <v>2.4324324324324298E-2</v>
      </c>
      <c r="O67" s="2523"/>
      <c r="Q67" s="2940">
        <v>6092.9004569123736</v>
      </c>
      <c r="R67" s="1641">
        <v>350.09954308762644</v>
      </c>
      <c r="S67" s="3020">
        <v>5.7460243370698771E-2</v>
      </c>
      <c r="T67" s="2523"/>
      <c r="V67" s="1396"/>
      <c r="W67" s="1641">
        <v>197.09954308762644</v>
      </c>
      <c r="X67" s="3020">
        <v>3.2349050256355039E-2</v>
      </c>
    </row>
    <row r="68" spans="3:24">
      <c r="J68" s="1396" t="s">
        <v>2219</v>
      </c>
      <c r="K68" s="1641">
        <v>7614</v>
      </c>
      <c r="L68" s="2957">
        <v>8730.7199999999993</v>
      </c>
      <c r="M68" s="1641">
        <v>-1116.7199999999993</v>
      </c>
      <c r="N68" s="2523">
        <v>-0.12790697674418594</v>
      </c>
      <c r="O68" s="2523"/>
      <c r="Q68" s="2940">
        <v>8731.8607919834631</v>
      </c>
      <c r="R68" s="1641">
        <v>-1117.8607919834631</v>
      </c>
      <c r="S68" s="3020">
        <v>-0.1280209131379817</v>
      </c>
      <c r="T68" s="2523"/>
      <c r="V68" s="1396"/>
      <c r="W68" s="1641">
        <v>-1.1407919834637141</v>
      </c>
      <c r="X68" s="3020">
        <v>-1.3064706488574718E-4</v>
      </c>
    </row>
    <row r="69" spans="3:24">
      <c r="J69" s="3028" t="s">
        <v>2220</v>
      </c>
      <c r="K69" s="1641">
        <v>9322</v>
      </c>
      <c r="L69" s="2957">
        <v>9790</v>
      </c>
      <c r="M69" s="1641">
        <v>-468</v>
      </c>
      <c r="N69" s="2523">
        <v>-4.7803881511746638E-2</v>
      </c>
      <c r="O69" s="2523"/>
      <c r="Q69" s="2940">
        <v>9630.7977971270448</v>
      </c>
      <c r="R69" s="1641">
        <v>-308.79779712704476</v>
      </c>
      <c r="S69" s="3020">
        <v>-3.2063573925221633E-2</v>
      </c>
      <c r="T69" s="2523"/>
      <c r="V69" s="1396"/>
      <c r="W69" s="1641">
        <v>159.20220287295524</v>
      </c>
      <c r="X69" s="3020">
        <v>1.653053113839098E-2</v>
      </c>
    </row>
    <row r="70" spans="3:24">
      <c r="J70" s="2532" t="s">
        <v>2221</v>
      </c>
      <c r="K70" s="2505">
        <v>67184</v>
      </c>
      <c r="L70" s="2941">
        <v>67445.363629582222</v>
      </c>
      <c r="M70" s="2505">
        <v>-261.36362958222162</v>
      </c>
      <c r="N70" s="2525">
        <v>-3.875190458126343E-3</v>
      </c>
      <c r="O70" s="2525"/>
      <c r="P70" s="2502"/>
      <c r="Q70" s="2941">
        <v>68134.810627448489</v>
      </c>
      <c r="R70" s="2505">
        <v>-950.81062744848896</v>
      </c>
      <c r="S70" s="3021">
        <v>-1.3954843620941237E-2</v>
      </c>
      <c r="T70" s="2523"/>
      <c r="V70" s="2532"/>
      <c r="W70" s="2505">
        <v>-689.44699786626734</v>
      </c>
      <c r="X70" s="3021">
        <v>-1.0118865694601631E-2</v>
      </c>
    </row>
    <row r="71" spans="3:24">
      <c r="J71" s="1396" t="s">
        <v>2222</v>
      </c>
      <c r="K71" s="2504">
        <v>5224.9999999999982</v>
      </c>
      <c r="L71" s="2940">
        <v>5224.9999999999982</v>
      </c>
      <c r="M71" s="2517"/>
      <c r="N71" s="2523"/>
      <c r="O71" s="2523"/>
      <c r="Q71" s="2940">
        <v>4394.4179796661292</v>
      </c>
      <c r="R71" s="2504">
        <v>830.58202033386897</v>
      </c>
      <c r="S71" s="3020">
        <v>0.18900842481920055</v>
      </c>
      <c r="T71" s="2523"/>
      <c r="V71" s="1396"/>
      <c r="W71" s="2504">
        <v>830.58202033386897</v>
      </c>
      <c r="X71" s="3020">
        <v>0.18900842481920055</v>
      </c>
    </row>
    <row r="72" spans="3:24">
      <c r="E72" s="3107"/>
      <c r="J72" s="1396"/>
      <c r="L72" s="2935"/>
      <c r="N72" s="2523"/>
      <c r="O72" s="2523"/>
      <c r="Q72" s="2935"/>
      <c r="S72" s="3020"/>
      <c r="T72" s="2523"/>
      <c r="V72" s="1396"/>
      <c r="X72" s="3020"/>
    </row>
    <row r="73" spans="3:24" ht="12">
      <c r="D73" s="3107"/>
      <c r="J73" s="3025" t="s">
        <v>2208</v>
      </c>
      <c r="L73" s="2935"/>
      <c r="N73" s="2523"/>
      <c r="O73" s="2523"/>
      <c r="Q73" s="2935"/>
      <c r="S73" s="3020"/>
      <c r="T73" s="2523"/>
      <c r="V73" s="1396"/>
      <c r="X73" s="3020"/>
    </row>
    <row r="74" spans="3:24">
      <c r="C74" s="3106"/>
      <c r="J74" s="1396" t="s">
        <v>2207</v>
      </c>
      <c r="K74" s="2517">
        <v>47.95</v>
      </c>
      <c r="L74" s="2942">
        <v>47.95</v>
      </c>
      <c r="M74" s="2517">
        <v>0</v>
      </c>
      <c r="N74" s="2523">
        <v>0</v>
      </c>
      <c r="O74" s="2523"/>
      <c r="Q74" s="2942">
        <v>49.635805393857623</v>
      </c>
      <c r="R74" s="2517">
        <v>-1.6858053938576205</v>
      </c>
      <c r="S74" s="3020">
        <v>-3.3963494305790709E-2</v>
      </c>
      <c r="T74" s="2523"/>
      <c r="V74" s="1396"/>
      <c r="W74" s="2517">
        <v>-1.6858053938576205</v>
      </c>
      <c r="X74" s="3020">
        <v>-3.3963494305790709E-2</v>
      </c>
    </row>
    <row r="75" spans="3:24">
      <c r="J75" s="1396" t="s">
        <v>2209</v>
      </c>
      <c r="K75" s="2517">
        <v>10.199999999999999</v>
      </c>
      <c r="L75" s="2942">
        <v>10.199999999999999</v>
      </c>
      <c r="M75" s="2517">
        <v>0</v>
      </c>
      <c r="N75" s="2523">
        <v>0</v>
      </c>
      <c r="O75" s="2523"/>
      <c r="Q75" s="2942">
        <v>12.750923672589273</v>
      </c>
      <c r="R75" s="2517">
        <v>-2.5509236725892741</v>
      </c>
      <c r="S75" s="3020">
        <v>-0.20005795172886243</v>
      </c>
      <c r="T75" s="2523"/>
      <c r="V75" s="1396"/>
      <c r="W75" s="2517">
        <v>-2.5509236725892741</v>
      </c>
      <c r="X75" s="3020">
        <v>-0.20005795172886243</v>
      </c>
    </row>
    <row r="76" spans="3:24">
      <c r="J76" s="1396" t="s">
        <v>2210</v>
      </c>
      <c r="K76" s="2517">
        <v>6.7679999999999998</v>
      </c>
      <c r="L76" s="2942">
        <v>6.7679999999999998</v>
      </c>
      <c r="M76" s="2517">
        <v>0</v>
      </c>
      <c r="N76" s="2523">
        <v>0</v>
      </c>
      <c r="O76" s="2523"/>
      <c r="Q76" s="2942">
        <v>6.5316325109640605</v>
      </c>
      <c r="R76" s="2517">
        <v>0.23636748903593929</v>
      </c>
      <c r="S76" s="3020">
        <v>3.6188118152570725E-2</v>
      </c>
      <c r="T76" s="2523"/>
      <c r="V76" s="1396"/>
      <c r="W76" s="2517">
        <v>0.23636748903593929</v>
      </c>
      <c r="X76" s="3020">
        <v>3.6188118152570725E-2</v>
      </c>
    </row>
    <row r="77" spans="3:24">
      <c r="J77" s="3028" t="s">
        <v>2212</v>
      </c>
      <c r="K77" s="2517">
        <v>9.4999999999999964</v>
      </c>
      <c r="L77" s="2942">
        <v>9.4999999999999964</v>
      </c>
      <c r="M77" s="2517">
        <v>0</v>
      </c>
      <c r="N77" s="2523">
        <v>0</v>
      </c>
      <c r="O77" s="2523"/>
      <c r="Q77" s="2942">
        <v>10.45388082712253</v>
      </c>
      <c r="R77" s="2517">
        <v>-0.95388082712253386</v>
      </c>
      <c r="S77" s="3020">
        <v>-9.1246575592070611E-2</v>
      </c>
      <c r="T77" s="2523"/>
      <c r="V77" s="1396"/>
      <c r="W77" s="2517">
        <v>-0.95388082712253386</v>
      </c>
      <c r="X77" s="3020">
        <v>-9.1246575592070611E-2</v>
      </c>
    </row>
    <row r="78" spans="3:24">
      <c r="J78" s="1396"/>
      <c r="L78" s="2935"/>
      <c r="N78" s="2523"/>
      <c r="O78" s="2523"/>
      <c r="Q78" s="2935"/>
      <c r="S78" s="3020"/>
      <c r="T78" s="2523"/>
      <c r="V78" s="1396"/>
      <c r="X78" s="3020"/>
    </row>
    <row r="79" spans="3:24" ht="12">
      <c r="J79" s="3025" t="s">
        <v>2216</v>
      </c>
      <c r="L79" s="2935"/>
      <c r="N79" s="2523"/>
      <c r="O79" s="2523"/>
      <c r="Q79" s="2935"/>
      <c r="S79" s="3020"/>
      <c r="T79" s="2523"/>
      <c r="V79" s="1396"/>
      <c r="X79" s="3020"/>
    </row>
    <row r="80" spans="3:24">
      <c r="J80" s="1396" t="s">
        <v>84</v>
      </c>
      <c r="K80" s="2504">
        <v>913.55578727841498</v>
      </c>
      <c r="L80" s="2940">
        <v>889.1479380517668</v>
      </c>
      <c r="M80" s="2504">
        <v>24.407849226648182</v>
      </c>
      <c r="N80" s="2523">
        <v>2.7450830376021251E-2</v>
      </c>
      <c r="O80" s="2523"/>
      <c r="Q80" s="2940">
        <v>880.44869479620024</v>
      </c>
      <c r="R80" s="2504">
        <v>33.107092482214739</v>
      </c>
      <c r="S80" s="3020">
        <v>3.7602523211052175E-2</v>
      </c>
      <c r="T80" s="2523"/>
      <c r="V80" s="1396"/>
      <c r="W80" s="2504">
        <v>8.6992432555665573</v>
      </c>
      <c r="X80" s="3020">
        <v>9.8804658431348447E-3</v>
      </c>
    </row>
    <row r="81" spans="6:24">
      <c r="J81" s="1396" t="s">
        <v>85</v>
      </c>
      <c r="K81" s="2504">
        <v>631.66666666666674</v>
      </c>
      <c r="L81" s="2940">
        <v>616.66666666666674</v>
      </c>
      <c r="M81" s="2504">
        <v>15</v>
      </c>
      <c r="N81" s="2523">
        <v>2.4324324324324298E-2</v>
      </c>
      <c r="O81" s="2523"/>
      <c r="Q81" s="2940">
        <v>477.83992857006217</v>
      </c>
      <c r="R81" s="2504">
        <v>153.82673809660457</v>
      </c>
      <c r="S81" s="3020">
        <v>0.32192106372720186</v>
      </c>
      <c r="T81" s="2523"/>
      <c r="V81" s="1396"/>
      <c r="W81" s="2504">
        <v>138.82673809660457</v>
      </c>
      <c r="X81" s="3020">
        <v>0.29052979836164816</v>
      </c>
    </row>
    <row r="82" spans="6:24">
      <c r="J82" s="1396" t="s">
        <v>86</v>
      </c>
      <c r="K82" s="2504">
        <v>1125</v>
      </c>
      <c r="L82" s="2940">
        <v>1290</v>
      </c>
      <c r="M82" s="2504">
        <v>-165</v>
      </c>
      <c r="N82" s="2523">
        <v>-0.12790697674418605</v>
      </c>
      <c r="O82" s="2523"/>
      <c r="Q82" s="2940">
        <v>1336.8573289030082</v>
      </c>
      <c r="R82" s="2504">
        <v>-211.85732890300824</v>
      </c>
      <c r="S82" s="3020">
        <v>-0.15847415002530829</v>
      </c>
      <c r="T82" s="2523"/>
      <c r="V82" s="1396"/>
      <c r="W82" s="2504">
        <v>-46.857328903008238</v>
      </c>
      <c r="X82" s="3020">
        <v>-3.5050358695686845E-2</v>
      </c>
    </row>
    <row r="83" spans="6:24">
      <c r="J83" s="2614" t="s">
        <v>1184</v>
      </c>
      <c r="K83" s="1899">
        <v>550</v>
      </c>
      <c r="L83" s="3037">
        <v>550</v>
      </c>
      <c r="M83" s="1899">
        <v>0</v>
      </c>
      <c r="N83" s="2615">
        <v>0</v>
      </c>
      <c r="O83" s="2615"/>
      <c r="P83" s="195"/>
      <c r="Q83" s="3037">
        <v>420.36235655803904</v>
      </c>
      <c r="R83" s="1899">
        <v>129.63764344196096</v>
      </c>
      <c r="S83" s="2616">
        <v>0.3083949868952216</v>
      </c>
      <c r="T83" s="2615"/>
      <c r="U83" s="195"/>
      <c r="V83" s="2614"/>
      <c r="W83" s="1899">
        <v>129.63764344196096</v>
      </c>
      <c r="X83" s="2616">
        <v>0.3083949868952216</v>
      </c>
    </row>
    <row r="85" spans="6:24" ht="12">
      <c r="M85" s="2520"/>
      <c r="Q85" s="2790" t="s">
        <v>544</v>
      </c>
      <c r="R85" s="2788" t="s">
        <v>545</v>
      </c>
    </row>
    <row r="86" spans="6:24" ht="12">
      <c r="Q86" s="2790" t="s">
        <v>2204</v>
      </c>
      <c r="R86" s="2788" t="s">
        <v>668</v>
      </c>
      <c r="U86" s="2520">
        <v>9.8315914817547867E-2</v>
      </c>
    </row>
    <row r="87" spans="6:24" ht="12">
      <c r="Q87" s="2790" t="s">
        <v>2205</v>
      </c>
      <c r="R87" s="2789">
        <v>45233</v>
      </c>
    </row>
    <row r="88" spans="6:24" ht="12">
      <c r="M88" s="2921" t="s">
        <v>1132</v>
      </c>
      <c r="Q88" s="2790" t="s">
        <v>2206</v>
      </c>
      <c r="R88" s="2791" t="s">
        <v>2244</v>
      </c>
    </row>
    <row r="89" spans="6:24">
      <c r="J89" s="2745" t="s">
        <v>2237</v>
      </c>
      <c r="K89" s="2746"/>
      <c r="L89" s="3400" t="s">
        <v>720</v>
      </c>
      <c r="M89" s="3400"/>
      <c r="N89" s="3400"/>
      <c r="O89" s="2746"/>
      <c r="P89" s="2746"/>
      <c r="Q89" s="3400" t="s">
        <v>668</v>
      </c>
      <c r="R89" s="3400"/>
      <c r="S89" s="3401"/>
      <c r="T89" s="2750"/>
      <c r="U89" s="2960" t="s">
        <v>2258</v>
      </c>
      <c r="V89" s="3005"/>
      <c r="W89" s="3400" t="s">
        <v>1430</v>
      </c>
      <c r="X89" s="3401"/>
    </row>
    <row r="90" spans="6:24">
      <c r="J90" s="3026" t="s">
        <v>1431</v>
      </c>
      <c r="K90" s="2751"/>
      <c r="L90" s="2751" t="s">
        <v>720</v>
      </c>
      <c r="M90" s="2751" t="s">
        <v>1426</v>
      </c>
      <c r="N90" s="2749" t="s">
        <v>1427</v>
      </c>
      <c r="O90" s="2751"/>
      <c r="P90" s="2751"/>
      <c r="Q90" s="2751" t="s">
        <v>1432</v>
      </c>
      <c r="R90" s="2751" t="s">
        <v>1426</v>
      </c>
      <c r="S90" s="2750" t="s">
        <v>1427</v>
      </c>
      <c r="T90" s="3120"/>
      <c r="U90" s="2961"/>
      <c r="V90" s="3006"/>
      <c r="W90" s="2751" t="s">
        <v>1426</v>
      </c>
      <c r="X90" s="2750" t="s">
        <v>1427</v>
      </c>
    </row>
    <row r="91" spans="6:24" ht="12">
      <c r="F91" s="2520">
        <v>5.4194583875414537E-2</v>
      </c>
      <c r="J91" s="3027" t="s">
        <v>2236</v>
      </c>
      <c r="N91" s="2523"/>
      <c r="O91" s="2523"/>
      <c r="S91" s="3020"/>
      <c r="T91" s="2523"/>
      <c r="V91" s="1396"/>
      <c r="X91" s="3020"/>
    </row>
    <row r="92" spans="6:24">
      <c r="I92" s="1546" t="s">
        <v>667</v>
      </c>
      <c r="J92" s="1396" t="s">
        <v>2221</v>
      </c>
      <c r="K92" s="1641"/>
      <c r="L92" s="1641">
        <v>96364.3</v>
      </c>
      <c r="M92" s="1641"/>
      <c r="N92" s="2523"/>
      <c r="O92" s="2523"/>
      <c r="Q92" s="2504">
        <v>100765.36787958286</v>
      </c>
      <c r="R92" s="1641"/>
      <c r="S92" s="3020"/>
      <c r="T92" s="2523"/>
      <c r="U92" s="1641"/>
      <c r="V92" s="1396"/>
      <c r="W92" s="1641">
        <v>-4401.0678795828571</v>
      </c>
      <c r="X92" s="3020">
        <v>-4.3676393707431704E-2</v>
      </c>
    </row>
    <row r="93" spans="6:24">
      <c r="I93" s="1546" t="s">
        <v>81</v>
      </c>
      <c r="J93" s="2614" t="s">
        <v>2223</v>
      </c>
      <c r="K93" s="1641"/>
      <c r="L93" s="1641">
        <v>23292.959188770179</v>
      </c>
      <c r="M93" s="1641"/>
      <c r="N93" s="2523"/>
      <c r="O93" s="2523"/>
      <c r="Q93" s="2504">
        <v>22807.628287101197</v>
      </c>
      <c r="R93" s="1641"/>
      <c r="S93" s="3020"/>
      <c r="T93" s="2523"/>
      <c r="U93" s="1641"/>
      <c r="V93" s="1396"/>
      <c r="W93" s="1641">
        <v>485.33090166898182</v>
      </c>
      <c r="X93" s="3020">
        <v>2.1279323547352735E-2</v>
      </c>
    </row>
    <row r="94" spans="6:24" s="163" customFormat="1" ht="12">
      <c r="G94" s="3144">
        <v>0.37003430301222795</v>
      </c>
      <c r="I94" s="163" t="s">
        <v>63</v>
      </c>
      <c r="J94" s="1588" t="s">
        <v>1246</v>
      </c>
      <c r="K94" s="3145"/>
      <c r="L94" s="3145">
        <v>119657.25918877019</v>
      </c>
      <c r="M94" s="3145"/>
      <c r="N94" s="2543"/>
      <c r="O94" s="2543"/>
      <c r="P94" s="1545"/>
      <c r="Q94" s="1544">
        <v>123503.1122793403</v>
      </c>
      <c r="R94" s="3145"/>
      <c r="S94" s="3029"/>
      <c r="T94" s="2543"/>
      <c r="U94" s="3145" t="s">
        <v>2267</v>
      </c>
      <c r="V94" s="1588"/>
      <c r="W94" s="3145">
        <v>-3845.8530905701191</v>
      </c>
      <c r="X94" s="3029">
        <v>-3.1139726113715516E-2</v>
      </c>
    </row>
    <row r="95" spans="6:24">
      <c r="I95" s="160" t="s">
        <v>1105</v>
      </c>
      <c r="J95" s="1396" t="s">
        <v>2224</v>
      </c>
      <c r="K95" s="2504"/>
      <c r="L95" s="2504">
        <v>38172.678395689458</v>
      </c>
      <c r="M95" s="2504"/>
      <c r="N95" s="2523"/>
      <c r="O95" s="2523"/>
      <c r="Q95" s="2504">
        <v>37634.37301290613</v>
      </c>
      <c r="R95" s="2504"/>
      <c r="S95" s="3020"/>
      <c r="T95" s="2523"/>
      <c r="U95" s="2504"/>
      <c r="V95" s="1396"/>
      <c r="W95" s="2504">
        <v>538.30538278332824</v>
      </c>
      <c r="X95" s="3020">
        <v>1.4303556554501995E-2</v>
      </c>
    </row>
    <row r="96" spans="6:24">
      <c r="I96" s="160" t="s">
        <v>995</v>
      </c>
      <c r="J96" s="1396" t="s">
        <v>2225</v>
      </c>
      <c r="K96" s="2504"/>
      <c r="L96" s="2504">
        <v>16421.536228082976</v>
      </c>
      <c r="M96" s="2504"/>
      <c r="N96" s="2523"/>
      <c r="O96" s="2523"/>
      <c r="Q96" s="2504">
        <v>16260.278482524714</v>
      </c>
      <c r="R96" s="2504"/>
      <c r="S96" s="3020"/>
      <c r="T96" s="2523"/>
      <c r="U96" s="2504"/>
      <c r="V96" s="1396"/>
      <c r="W96" s="2504">
        <v>161.25774555826138</v>
      </c>
      <c r="X96" s="3020">
        <v>9.9172806745941866E-3</v>
      </c>
    </row>
    <row r="97" spans="9:24" s="163" customFormat="1" ht="12">
      <c r="I97" s="163" t="s">
        <v>67</v>
      </c>
      <c r="J97" s="1588" t="s">
        <v>2226</v>
      </c>
      <c r="K97" s="1544"/>
      <c r="L97" s="1544">
        <v>54594.214623772437</v>
      </c>
      <c r="M97" s="1544"/>
      <c r="N97" s="2543"/>
      <c r="O97" s="2543"/>
      <c r="P97" s="1545"/>
      <c r="Q97" s="1544">
        <v>53890.838924202784</v>
      </c>
      <c r="R97" s="1544"/>
      <c r="S97" s="3029"/>
      <c r="T97" s="2543"/>
      <c r="U97" s="1544"/>
      <c r="V97" s="1588"/>
      <c r="W97" s="1544">
        <v>703.37569956965308</v>
      </c>
      <c r="X97" s="3029">
        <v>1.3051860271816373E-2</v>
      </c>
    </row>
    <row r="98" spans="9:24" s="163" customFormat="1" ht="12">
      <c r="J98" s="1934" t="s">
        <v>2266</v>
      </c>
      <c r="K98" s="3146"/>
      <c r="L98" s="3147">
        <v>0.45625493174338139</v>
      </c>
      <c r="M98" s="3146"/>
      <c r="N98" s="3148"/>
      <c r="O98" s="3148"/>
      <c r="P98" s="2589"/>
      <c r="Q98" s="3147">
        <v>0.43635207185963104</v>
      </c>
      <c r="R98" s="3146"/>
      <c r="S98" s="3149"/>
      <c r="T98" s="3148"/>
      <c r="U98" s="3146" t="s">
        <v>2267</v>
      </c>
      <c r="V98" s="1934"/>
      <c r="W98" s="3146"/>
      <c r="X98" s="3149"/>
    </row>
    <row r="99" spans="9:24">
      <c r="I99" s="160" t="s">
        <v>68</v>
      </c>
      <c r="J99" s="1396" t="s">
        <v>2229</v>
      </c>
      <c r="K99" s="2504"/>
      <c r="L99" s="2504">
        <v>7757</v>
      </c>
      <c r="M99" s="2504"/>
      <c r="N99" s="2523"/>
      <c r="O99" s="2523"/>
      <c r="Q99" s="2504">
        <v>8097.4548718239976</v>
      </c>
      <c r="R99" s="2504"/>
      <c r="S99" s="3020"/>
      <c r="T99" s="2523"/>
      <c r="U99" s="2504"/>
      <c r="V99" s="1396"/>
      <c r="W99" s="2504">
        <v>-340.45487182399756</v>
      </c>
      <c r="X99" s="3020">
        <v>-4.2044676656198265E-2</v>
      </c>
    </row>
    <row r="100" spans="9:24">
      <c r="I100" s="160" t="s">
        <v>76</v>
      </c>
      <c r="J100" s="1396" t="s">
        <v>2230</v>
      </c>
      <c r="K100" s="2504"/>
      <c r="L100" s="2504">
        <v>6651</v>
      </c>
      <c r="M100" s="2504"/>
      <c r="N100" s="2523"/>
      <c r="O100" s="2523"/>
      <c r="Q100" s="2504">
        <v>6800.4301717023009</v>
      </c>
      <c r="R100" s="2504"/>
      <c r="S100" s="3020"/>
      <c r="T100" s="2523"/>
      <c r="U100" s="2504"/>
      <c r="V100" s="1396"/>
      <c r="W100" s="2504">
        <v>-149.43017170230087</v>
      </c>
      <c r="X100" s="3020">
        <v>-2.1973635186212759E-2</v>
      </c>
    </row>
    <row r="101" spans="9:24" ht="12">
      <c r="J101" s="1588" t="s">
        <v>1600</v>
      </c>
      <c r="K101" s="1544"/>
      <c r="L101" s="1544">
        <v>14408</v>
      </c>
      <c r="M101" s="1544"/>
      <c r="N101" s="2543"/>
      <c r="O101" s="2543"/>
      <c r="P101" s="1545"/>
      <c r="Q101" s="1544">
        <v>14897.885043526298</v>
      </c>
      <c r="R101" s="1544"/>
      <c r="S101" s="3029"/>
      <c r="T101" s="2543"/>
      <c r="U101" s="1544" t="s">
        <v>2267</v>
      </c>
      <c r="V101" s="1588"/>
      <c r="W101" s="1544">
        <v>-489.88504352629752</v>
      </c>
      <c r="X101" s="3029">
        <v>-3.2882858344995158E-2</v>
      </c>
    </row>
    <row r="102" spans="9:24" ht="12">
      <c r="I102" s="160" t="s">
        <v>70</v>
      </c>
      <c r="J102" s="1588" t="s">
        <v>2231</v>
      </c>
      <c r="K102" s="1544"/>
      <c r="L102" s="1544">
        <v>40186.214623772437</v>
      </c>
      <c r="M102" s="1544"/>
      <c r="N102" s="2543"/>
      <c r="O102" s="2543"/>
      <c r="P102" s="1545"/>
      <c r="Q102" s="1544">
        <v>38992.953880676483</v>
      </c>
      <c r="R102" s="1544"/>
      <c r="S102" s="3029"/>
      <c r="T102" s="2543"/>
      <c r="U102" s="1544"/>
      <c r="V102" s="1588"/>
      <c r="W102" s="2505">
        <v>1193.2607430959542</v>
      </c>
      <c r="X102" s="3021">
        <v>3.060195815755562E-2</v>
      </c>
    </row>
    <row r="103" spans="9:24">
      <c r="I103" s="160" t="s">
        <v>689</v>
      </c>
      <c r="J103" s="1396" t="s">
        <v>2227</v>
      </c>
      <c r="K103" s="2504"/>
      <c r="L103" s="2504">
        <v>-200.00000000000011</v>
      </c>
      <c r="M103" s="2504"/>
      <c r="N103" s="2523"/>
      <c r="O103" s="2523"/>
      <c r="Q103" s="2504">
        <v>-167.26442534144525</v>
      </c>
      <c r="R103" s="2504"/>
      <c r="S103" s="3020"/>
      <c r="T103" s="2523"/>
      <c r="U103" s="2504"/>
      <c r="V103" s="1396"/>
      <c r="W103" s="2504">
        <v>-32.735574658554867</v>
      </c>
      <c r="X103" s="3020">
        <v>0.19571151840404855</v>
      </c>
    </row>
    <row r="104" spans="9:24">
      <c r="I104" s="160" t="s">
        <v>71</v>
      </c>
      <c r="J104" s="1818" t="s">
        <v>2232</v>
      </c>
      <c r="K104" s="1897"/>
      <c r="L104" s="1897">
        <v>39986.214623772437</v>
      </c>
      <c r="M104" s="1897"/>
      <c r="N104" s="2541"/>
      <c r="O104" s="2541"/>
      <c r="P104" s="2621"/>
      <c r="Q104" s="1897">
        <v>38825.689455335028</v>
      </c>
      <c r="R104" s="1897"/>
      <c r="S104" s="3022"/>
      <c r="T104" s="2541"/>
      <c r="U104" s="1897"/>
      <c r="V104" s="1818"/>
      <c r="W104" s="1897">
        <v>1160.5251684374089</v>
      </c>
      <c r="X104" s="3022">
        <v>2.9890651903875964E-2</v>
      </c>
    </row>
    <row r="105" spans="9:24">
      <c r="I105" s="160" t="s">
        <v>72</v>
      </c>
      <c r="J105" s="1396" t="s">
        <v>2233</v>
      </c>
      <c r="K105" s="2504"/>
      <c r="L105" s="2504">
        <v>6397.7943398035904</v>
      </c>
      <c r="M105" s="2504"/>
      <c r="N105" s="2523"/>
      <c r="O105" s="2523"/>
      <c r="Q105" s="2504">
        <v>6249.9522341904385</v>
      </c>
      <c r="R105" s="2504"/>
      <c r="S105" s="3020"/>
      <c r="T105" s="2523"/>
      <c r="U105" s="2504"/>
      <c r="V105" s="1396"/>
      <c r="W105" s="2504">
        <v>147.84210561315194</v>
      </c>
      <c r="X105" s="3020">
        <v>2.3654917681511289E-2</v>
      </c>
    </row>
    <row r="106" spans="9:24">
      <c r="J106" s="1396" t="s">
        <v>1562</v>
      </c>
      <c r="K106" s="2523"/>
      <c r="L106" s="2523">
        <v>0.16</v>
      </c>
      <c r="M106" s="2523"/>
      <c r="N106" s="2523"/>
      <c r="O106" s="2523"/>
      <c r="Q106" s="2523">
        <v>0.16097466192790644</v>
      </c>
      <c r="R106" s="2523"/>
      <c r="S106" s="3020"/>
      <c r="T106" s="2523"/>
      <c r="U106" s="3040" t="s">
        <v>2267</v>
      </c>
      <c r="V106" s="1396"/>
      <c r="W106" s="2523">
        <v>-9.7466192790643391E-4</v>
      </c>
      <c r="X106" s="3020">
        <v>-6.0547536875271701E-3</v>
      </c>
    </row>
    <row r="107" spans="9:24">
      <c r="I107" s="160" t="s">
        <v>80</v>
      </c>
      <c r="J107" s="2532" t="s">
        <v>2234</v>
      </c>
      <c r="K107" s="2768"/>
      <c r="L107" s="2768">
        <v>33588.420283968844</v>
      </c>
      <c r="M107" s="2768"/>
      <c r="N107" s="2525"/>
      <c r="O107" s="2525"/>
      <c r="P107" s="2502"/>
      <c r="Q107" s="2505">
        <v>32575.737221144591</v>
      </c>
      <c r="R107" s="2768"/>
      <c r="S107" s="3021"/>
      <c r="T107" s="2525"/>
      <c r="U107" s="2768"/>
      <c r="V107" s="2532"/>
      <c r="W107" s="2768">
        <v>1012.6830628242533</v>
      </c>
      <c r="X107" s="3021">
        <v>3.1087034376214628E-2</v>
      </c>
    </row>
    <row r="108" spans="9:24" ht="12">
      <c r="I108" s="160" t="s">
        <v>1153</v>
      </c>
      <c r="J108" s="1588" t="s">
        <v>2228</v>
      </c>
      <c r="K108" s="2923"/>
      <c r="L108" s="2923">
        <v>2.1536278875512154</v>
      </c>
      <c r="M108" s="2923"/>
      <c r="N108" s="2543"/>
      <c r="O108" s="2543"/>
      <c r="P108" s="1545"/>
      <c r="Q108" s="2924">
        <v>2.0981861604196901</v>
      </c>
      <c r="R108" s="2923"/>
      <c r="S108" s="3029"/>
      <c r="T108" s="2543"/>
      <c r="U108" s="2923"/>
      <c r="V108" s="1588"/>
      <c r="W108" s="2771">
        <v>5.5441727131525287E-2</v>
      </c>
      <c r="X108" s="3021">
        <v>2.6423645421641551E-2</v>
      </c>
    </row>
    <row r="109" spans="9:24" ht="12">
      <c r="J109" s="3027"/>
      <c r="S109" s="1397"/>
      <c r="V109" s="1396"/>
      <c r="X109" s="1397"/>
    </row>
    <row r="110" spans="9:24" ht="12">
      <c r="J110" s="3027" t="s">
        <v>1617</v>
      </c>
      <c r="S110" s="1397"/>
      <c r="V110" s="1396"/>
      <c r="X110" s="1397"/>
    </row>
    <row r="111" spans="9:24">
      <c r="I111" s="2504" t="s">
        <v>84</v>
      </c>
      <c r="J111" s="1396" t="s">
        <v>2217</v>
      </c>
      <c r="K111" s="1641"/>
      <c r="L111" s="1641">
        <v>67720</v>
      </c>
      <c r="M111" s="1641"/>
      <c r="N111" s="2523"/>
      <c r="O111" s="2523"/>
      <c r="Q111" s="2504">
        <v>70066.597060382352</v>
      </c>
      <c r="R111" s="1641"/>
      <c r="S111" s="3020"/>
      <c r="T111" s="2523"/>
      <c r="U111" s="2504"/>
      <c r="V111" s="1396"/>
      <c r="W111" s="1641">
        <v>-2346.5970603823516</v>
      </c>
      <c r="X111" s="3020">
        <v>-3.3490952305848198E-2</v>
      </c>
    </row>
    <row r="112" spans="9:24">
      <c r="I112" s="2504" t="s">
        <v>85</v>
      </c>
      <c r="J112" s="1396" t="s">
        <v>2218</v>
      </c>
      <c r="K112" s="1641"/>
      <c r="L112" s="1641">
        <v>7350</v>
      </c>
      <c r="M112" s="1641"/>
      <c r="N112" s="2523"/>
      <c r="O112" s="2523"/>
      <c r="Q112" s="2504">
        <v>8345.6051877892805</v>
      </c>
      <c r="R112" s="1641"/>
      <c r="S112" s="3020"/>
      <c r="T112" s="2523"/>
      <c r="U112" s="2504"/>
      <c r="V112" s="1396"/>
      <c r="W112" s="1641">
        <v>-995.60518778928054</v>
      </c>
      <c r="X112" s="3020">
        <v>-0.1192969431678822</v>
      </c>
    </row>
    <row r="113" spans="9:24">
      <c r="I113" s="2504" t="s">
        <v>86</v>
      </c>
      <c r="J113" s="1396" t="s">
        <v>2219</v>
      </c>
      <c r="K113" s="1641"/>
      <c r="L113" s="1641">
        <v>8565.6</v>
      </c>
      <c r="M113" s="1641"/>
      <c r="N113" s="2523"/>
      <c r="O113" s="2523"/>
      <c r="Q113" s="2504">
        <v>8258.7531465740649</v>
      </c>
      <c r="R113" s="1641"/>
      <c r="S113" s="3020"/>
      <c r="T113" s="2523"/>
      <c r="U113" s="2504"/>
      <c r="V113" s="1396"/>
      <c r="W113" s="1641">
        <v>306.84685342593548</v>
      </c>
      <c r="X113" s="3020">
        <v>3.7154137916475038E-2</v>
      </c>
    </row>
    <row r="114" spans="9:24">
      <c r="I114" s="2504" t="s">
        <v>1120</v>
      </c>
      <c r="J114" s="3028" t="s">
        <v>2220</v>
      </c>
      <c r="K114" s="1641"/>
      <c r="L114" s="1641">
        <v>12728.7</v>
      </c>
      <c r="M114" s="1641"/>
      <c r="N114" s="2523"/>
      <c r="O114" s="2523"/>
      <c r="Q114" s="2504">
        <v>14085.846338372083</v>
      </c>
      <c r="R114" s="1641"/>
      <c r="S114" s="3020"/>
      <c r="T114" s="2523"/>
      <c r="U114" s="2504"/>
      <c r="V114" s="1396"/>
      <c r="W114" s="1641">
        <v>-1357.146338372082</v>
      </c>
      <c r="X114" s="3020">
        <v>-9.6348228269039105E-2</v>
      </c>
    </row>
    <row r="115" spans="9:24">
      <c r="I115" s="2504" t="s">
        <v>667</v>
      </c>
      <c r="J115" s="2532" t="s">
        <v>2221</v>
      </c>
      <c r="K115" s="2505"/>
      <c r="L115" s="2505">
        <v>96364.3</v>
      </c>
      <c r="M115" s="2505"/>
      <c r="N115" s="2525"/>
      <c r="O115" s="2525"/>
      <c r="P115" s="2502"/>
      <c r="Q115" s="2505">
        <v>100765.36787958286</v>
      </c>
      <c r="R115" s="2505"/>
      <c r="S115" s="3021"/>
      <c r="T115" s="2525"/>
      <c r="U115" s="2505"/>
      <c r="V115" s="2532"/>
      <c r="W115" s="2505">
        <v>-4401.0678795828571</v>
      </c>
      <c r="X115" s="3021">
        <v>-4.3676393707431704E-2</v>
      </c>
    </row>
    <row r="116" spans="9:24">
      <c r="I116" s="160" t="s">
        <v>94</v>
      </c>
      <c r="J116" s="1396" t="s">
        <v>2222</v>
      </c>
      <c r="K116" s="2504"/>
      <c r="L116" s="2504">
        <v>6668.3571428571431</v>
      </c>
      <c r="M116" s="2517"/>
      <c r="N116" s="2523"/>
      <c r="O116" s="2523"/>
      <c r="Q116" s="2504">
        <v>7406.4430575263696</v>
      </c>
      <c r="R116" s="2504"/>
      <c r="S116" s="3020"/>
      <c r="T116" s="2523"/>
      <c r="U116" s="2504"/>
      <c r="V116" s="1396"/>
      <c r="W116" s="2504">
        <v>-738.08591466922644</v>
      </c>
      <c r="X116" s="3020">
        <v>-9.9654572233454086E-2</v>
      </c>
    </row>
    <row r="117" spans="9:24">
      <c r="J117" s="1396"/>
      <c r="N117" s="2523"/>
      <c r="O117" s="2523"/>
      <c r="S117" s="3020"/>
      <c r="T117" s="2523"/>
      <c r="V117" s="1396"/>
      <c r="X117" s="3020"/>
    </row>
    <row r="118" spans="9:24" ht="12">
      <c r="J118" s="3025" t="s">
        <v>2208</v>
      </c>
      <c r="N118" s="2523"/>
      <c r="O118" s="2523"/>
      <c r="S118" s="3020"/>
      <c r="T118" s="2523"/>
      <c r="V118" s="1396"/>
      <c r="X118" s="3020"/>
    </row>
    <row r="119" spans="9:24">
      <c r="I119" s="160" t="s">
        <v>84</v>
      </c>
      <c r="J119" s="1396" t="s">
        <v>2207</v>
      </c>
      <c r="K119" s="2517"/>
      <c r="L119" s="2517">
        <v>71.5</v>
      </c>
      <c r="M119" s="2517"/>
      <c r="N119" s="2523"/>
      <c r="O119" s="2523"/>
      <c r="Q119" s="2517">
        <v>76.488016290245781</v>
      </c>
      <c r="R119" s="2517"/>
      <c r="S119" s="3020"/>
      <c r="T119" s="2523"/>
      <c r="U119" s="2517"/>
      <c r="V119" s="1396"/>
      <c r="W119" s="2517">
        <v>-4.9880162902457812</v>
      </c>
      <c r="X119" s="3020">
        <v>-6.5213042933653487E-2</v>
      </c>
    </row>
    <row r="120" spans="9:24">
      <c r="I120" s="160" t="s">
        <v>85</v>
      </c>
      <c r="J120" s="1396" t="s">
        <v>2209</v>
      </c>
      <c r="K120" s="2517"/>
      <c r="L120" s="2517">
        <v>16.5</v>
      </c>
      <c r="M120" s="2517"/>
      <c r="N120" s="2523"/>
      <c r="O120" s="2523"/>
      <c r="Q120" s="2517">
        <v>17.551440242004023</v>
      </c>
      <c r="R120" s="2517"/>
      <c r="S120" s="3020"/>
      <c r="T120" s="2523"/>
      <c r="U120" s="2517"/>
      <c r="V120" s="1396"/>
      <c r="W120" s="2517">
        <v>-1.0514402420040234</v>
      </c>
      <c r="X120" s="3020">
        <v>-5.9906208693217167E-2</v>
      </c>
    </row>
    <row r="121" spans="9:24">
      <c r="I121" s="160" t="s">
        <v>86</v>
      </c>
      <c r="J121" s="1396" t="s">
        <v>2210</v>
      </c>
      <c r="K121" s="2517"/>
      <c r="L121" s="2517">
        <v>6.6400000000000006</v>
      </c>
      <c r="M121" s="2517"/>
      <c r="N121" s="2523"/>
      <c r="O121" s="2523"/>
      <c r="Q121" s="2517">
        <v>6.2659668028587561</v>
      </c>
      <c r="R121" s="2517"/>
      <c r="S121" s="3020"/>
      <c r="T121" s="2523"/>
      <c r="U121" s="2517"/>
      <c r="V121" s="1396"/>
      <c r="W121" s="2517">
        <v>0.3740331971412445</v>
      </c>
      <c r="X121" s="3020">
        <v>5.9692814997136079E-2</v>
      </c>
    </row>
    <row r="122" spans="9:24">
      <c r="I122" s="160" t="s">
        <v>1184</v>
      </c>
      <c r="J122" s="3028" t="s">
        <v>2212</v>
      </c>
      <c r="K122" s="2517"/>
      <c r="L122" s="2517">
        <v>12.124285714285715</v>
      </c>
      <c r="M122" s="2517"/>
      <c r="N122" s="2523"/>
      <c r="O122" s="2523"/>
      <c r="Q122" s="2517">
        <v>17.246815789644476</v>
      </c>
      <c r="R122" s="2517"/>
      <c r="S122" s="3020"/>
      <c r="T122" s="2523"/>
      <c r="U122" s="2517"/>
      <c r="V122" s="1396"/>
      <c r="W122" s="2517">
        <v>-5.1225300753587604</v>
      </c>
      <c r="X122" s="3020">
        <v>-0.29701309145045118</v>
      </c>
    </row>
    <row r="123" spans="9:24">
      <c r="J123" s="1396"/>
      <c r="N123" s="2523"/>
      <c r="O123" s="2523"/>
      <c r="S123" s="3020"/>
      <c r="T123" s="2523"/>
      <c r="V123" s="1396"/>
      <c r="X123" s="3020"/>
    </row>
    <row r="124" spans="9:24" ht="12">
      <c r="J124" s="3025" t="s">
        <v>2216</v>
      </c>
      <c r="N124" s="2523"/>
      <c r="O124" s="2523"/>
      <c r="S124" s="3020"/>
      <c r="T124" s="2523"/>
      <c r="V124" s="1396"/>
      <c r="X124" s="3020"/>
    </row>
    <row r="125" spans="9:24">
      <c r="J125" s="1396" t="s">
        <v>84</v>
      </c>
      <c r="K125" s="2504"/>
      <c r="L125" s="2504">
        <v>947.13286713286709</v>
      </c>
      <c r="M125" s="2504"/>
      <c r="N125" s="2523"/>
      <c r="O125" s="2523"/>
      <c r="Q125" s="2504">
        <v>916.04672808487612</v>
      </c>
      <c r="R125" s="2504"/>
      <c r="S125" s="3020"/>
      <c r="T125" s="2523"/>
      <c r="U125" s="2504"/>
      <c r="V125" s="1396"/>
      <c r="W125" s="2504">
        <v>31.086139047990969</v>
      </c>
      <c r="X125" s="3020">
        <v>3.3935101883919128E-2</v>
      </c>
    </row>
    <row r="126" spans="9:24">
      <c r="J126" s="1396" t="s">
        <v>85</v>
      </c>
      <c r="K126" s="2504"/>
      <c r="L126" s="2504">
        <v>445.45454545454544</v>
      </c>
      <c r="M126" s="2504"/>
      <c r="N126" s="2523"/>
      <c r="O126" s="2523"/>
      <c r="Q126" s="2504">
        <v>475.49403768111392</v>
      </c>
      <c r="R126" s="2504"/>
      <c r="S126" s="3020"/>
      <c r="T126" s="2523"/>
      <c r="U126" s="2504"/>
      <c r="V126" s="1396"/>
      <c r="W126" s="2504">
        <v>-30.039492226568484</v>
      </c>
      <c r="X126" s="3020">
        <v>-6.3175328912776441E-2</v>
      </c>
    </row>
    <row r="127" spans="9:24">
      <c r="J127" s="1396" t="s">
        <v>86</v>
      </c>
      <c r="K127" s="2504"/>
      <c r="L127" s="2504">
        <v>1290</v>
      </c>
      <c r="M127" s="2504"/>
      <c r="N127" s="2523"/>
      <c r="O127" s="2523"/>
      <c r="Q127" s="2504">
        <v>1318.0333388945069</v>
      </c>
      <c r="R127" s="2504"/>
      <c r="S127" s="3020"/>
      <c r="T127" s="2523"/>
      <c r="U127" s="2504"/>
      <c r="V127" s="1396"/>
      <c r="W127" s="2504">
        <v>-28.033338894506869</v>
      </c>
      <c r="X127" s="3020">
        <v>-2.1269066621652843E-2</v>
      </c>
    </row>
    <row r="128" spans="9:24">
      <c r="J128" s="2614" t="s">
        <v>1184</v>
      </c>
      <c r="K128" s="1899"/>
      <c r="L128" s="1899">
        <v>550</v>
      </c>
      <c r="M128" s="1899"/>
      <c r="N128" s="2615"/>
      <c r="O128" s="2615"/>
      <c r="P128" s="195"/>
      <c r="Q128" s="1899">
        <v>429.43828865925661</v>
      </c>
      <c r="R128" s="1899"/>
      <c r="S128" s="2616"/>
      <c r="T128" s="2615"/>
      <c r="U128" s="1899"/>
      <c r="V128" s="2614"/>
      <c r="W128" s="1899">
        <v>120.56171134074339</v>
      </c>
      <c r="X128" s="2616">
        <v>0.28074280874476165</v>
      </c>
    </row>
    <row r="129" spans="10:24">
      <c r="J129" s="2621"/>
      <c r="K129" s="2621"/>
      <c r="L129" s="2621"/>
      <c r="M129" s="2621"/>
      <c r="N129" s="2541"/>
      <c r="O129" s="2541"/>
      <c r="P129" s="2621"/>
      <c r="Q129" s="2621"/>
      <c r="R129" s="2621"/>
      <c r="S129" s="2541"/>
      <c r="T129" s="2541"/>
      <c r="U129" s="2621"/>
      <c r="V129" s="2621"/>
      <c r="W129" s="2621"/>
      <c r="X129" s="2541"/>
    </row>
  </sheetData>
  <mergeCells count="7">
    <mergeCell ref="L6:O6"/>
    <mergeCell ref="Q6:S6"/>
    <mergeCell ref="W6:X6"/>
    <mergeCell ref="L46:P46"/>
    <mergeCell ref="L89:N89"/>
    <mergeCell ref="Q89:S89"/>
    <mergeCell ref="W89:X89"/>
  </mergeCells>
  <printOptions horizontalCentered="1" verticalCentered="1"/>
  <pageMargins left="0.7" right="0.7" top="0.75" bottom="0.75" header="0.3" footer="0.3"/>
  <pageSetup scale="29" orientation="landscape" r:id="rId1"/>
  <customProperties>
    <customPr name="Qube.Worksheet.Visibility" r:id="rId2"/>
  </customPropertie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62191-4794-429B-ABFD-1FFE6AAFE5D9}">
  <sheetPr>
    <tabColor rgb="FF7030A0"/>
    <pageSetUpPr fitToPage="1"/>
  </sheetPr>
  <dimension ref="A1:AA129"/>
  <sheetViews>
    <sheetView showGridLines="0" topLeftCell="D86" zoomScale="85" zoomScaleNormal="85" workbookViewId="0">
      <selection activeCell="R8" sqref="R8:R43"/>
    </sheetView>
  </sheetViews>
  <sheetFormatPr defaultColWidth="9" defaultRowHeight="11.4" outlineLevelCol="2"/>
  <cols>
    <col min="1" max="1" width="9" style="160"/>
    <col min="2" max="2" width="38.19921875" style="160" customWidth="1"/>
    <col min="3" max="3" width="11.3984375" style="160" customWidth="1"/>
    <col min="4" max="6" width="9" style="160"/>
    <col min="7" max="7" width="10.09765625" style="160" bestFit="1" customWidth="1"/>
    <col min="8" max="8" width="9" style="160"/>
    <col min="9" max="9" width="11.09765625" style="160" bestFit="1" customWidth="1"/>
    <col min="10" max="10" width="28" style="160" bestFit="1" customWidth="1"/>
    <col min="11" max="11" width="9" style="160" customWidth="1" outlineLevel="1"/>
    <col min="12" max="12" width="9" style="160" customWidth="1"/>
    <col min="13" max="13" width="9" style="160" customWidth="1" outlineLevel="1"/>
    <col min="14" max="15" width="9" style="160" customWidth="1" outlineLevel="2"/>
    <col min="16" max="16" width="9" style="160" customWidth="1" outlineLevel="1"/>
    <col min="17" max="17" width="1.3984375" style="160" customWidth="1"/>
    <col min="18" max="18" width="10" style="160" bestFit="1" customWidth="1"/>
    <col min="19" max="19" width="9.09765625" style="160" customWidth="1" outlineLevel="1"/>
    <col min="20" max="20" width="9" style="160" customWidth="1" outlineLevel="1"/>
    <col min="21" max="21" width="9" style="160" customWidth="1"/>
    <col min="22" max="22" width="55.09765625" style="160" bestFit="1" customWidth="1"/>
    <col min="23" max="23" width="1.59765625" style="160" customWidth="1" outlineLevel="1"/>
    <col min="24" max="25" width="9" style="160" customWidth="1" outlineLevel="1"/>
    <col min="26" max="26" width="10.8984375" style="160" bestFit="1" customWidth="1"/>
    <col min="27" max="16384" width="9" style="160"/>
  </cols>
  <sheetData>
    <row r="1" spans="2:27" ht="12">
      <c r="K1" s="2520"/>
      <c r="R1" s="2921" t="s">
        <v>2311</v>
      </c>
      <c r="S1" s="2790" t="s">
        <v>544</v>
      </c>
      <c r="T1" s="2788" t="s">
        <v>545</v>
      </c>
    </row>
    <row r="2" spans="2:27" ht="12">
      <c r="B2" s="2741"/>
      <c r="C2" s="2742" t="str">
        <f>'Income Statement'!DJ7</f>
      </c>
      <c r="D2" s="2743"/>
      <c r="E2" s="2743"/>
      <c r="F2" s="2743"/>
      <c r="G2" s="2742" t="str">
        <f>'Revenue summary'!DF8</f>
      </c>
      <c r="H2" s="2744"/>
      <c r="S2" s="2790" t="s">
        <v>2204</v>
      </c>
      <c r="T2" s="2788" t="s">
        <v>668</v>
      </c>
    </row>
    <row r="3" spans="2:27" ht="12">
      <c r="B3" s="2747"/>
      <c r="C3" s="2748" t="s">
        <v>654</v>
      </c>
      <c r="D3" s="2749" t="s">
        <v>655</v>
      </c>
      <c r="E3" s="2748" t="s">
        <v>1426</v>
      </c>
      <c r="F3" s="2750" t="s">
        <v>1427</v>
      </c>
      <c r="G3" s="2748" t="s">
        <v>654</v>
      </c>
      <c r="H3" s="2990" t="s">
        <v>2259</v>
      </c>
      <c r="I3" s="3111"/>
      <c r="K3" s="3108"/>
      <c r="S3" s="2790" t="s">
        <v>2205</v>
      </c>
      <c r="T3" s="2789">
        <f ca="1">TODAY()</f>
      </c>
    </row>
    <row r="4" spans="2:27" ht="12">
      <c r="B4" s="1830" t="s">
        <v>63</v>
      </c>
      <c r="C4" s="2833">
        <f>VLOOKUP($B4,'Income Statement'!$A$9:$DM$35,MATCH(AvE_F1Q24!C$2,'Income Statement'!$A$7:$DM$7,0),0)</f>
      </c>
      <c r="D4" s="2834">
        <v>117385.69510555353</v>
      </c>
      <c r="E4" s="2840">
        <f>C4-D4</f>
      </c>
      <c r="F4" s="1560">
        <f>E4/D4</f>
      </c>
      <c r="G4" s="2833">
        <f>VLOOKUP($B4,'Income Statement'!$A$9:$DM$35,MATCH(AvE_F1Q24!G$2,'Income Statement'!$A$7:$DM$7,0),0)</f>
      </c>
      <c r="H4" s="1560">
        <f>C4/G4-1</f>
      </c>
      <c r="I4" s="3111"/>
      <c r="K4" s="2504"/>
      <c r="S4" s="2790" t="s">
        <v>2206</v>
      </c>
      <c r="T4" s="2791" t="s">
        <v>2244</v>
      </c>
    </row>
    <row r="5" spans="2:27">
      <c r="B5" s="1831" t="s">
        <v>66</v>
      </c>
      <c r="C5" s="1640">
        <f>VLOOKUP($B5,'Income Statement'!$A$9:$DM$35,MATCH(AvE_F1Q24!C$2,'Income Statement'!$A$7:$DM$7,0),0)</f>
      </c>
      <c r="D5" s="1641">
        <v>63750.599842839205</v>
      </c>
      <c r="E5" s="2754">
        <f t="shared" ref="E5:E19" si="0">C5-D5</f>
      </c>
      <c r="F5" s="1554">
        <f t="shared" ref="F5:F10" si="1">E5/D5</f>
      </c>
      <c r="G5" s="1640">
        <f>VLOOKUP($B5,'Income Statement'!$A$9:$DM$35,MATCH(AvE_F1Q24!G$2,'Income Statement'!$A$7:$DM$7,0),0)</f>
      </c>
      <c r="H5" s="1554">
        <f t="shared" ref="H5:H10" si="2">C5/G5-1</f>
      </c>
      <c r="I5" s="3111"/>
      <c r="K5" s="3182" t="s">
        <v>2326</v>
      </c>
      <c r="N5" s="2520"/>
      <c r="R5" s="2503"/>
      <c r="V5" s="2921" t="s">
        <v>2312</v>
      </c>
    </row>
    <row r="6" spans="2:27" ht="12">
      <c r="B6" s="1883" t="s">
        <v>67</v>
      </c>
      <c r="C6" s="1874">
        <f>VLOOKUP($B6,'Income Statement'!$A$9:$DM$35,MATCH(AvE_F1Q24!C$2,'Income Statement'!$A$7:$DM$7,0),0)</f>
      </c>
      <c r="D6" s="1875">
        <v>53635.095262714327</v>
      </c>
      <c r="E6" s="2841">
        <f t="shared" si="0"/>
      </c>
      <c r="F6" s="1877">
        <f t="shared" si="1"/>
      </c>
      <c r="G6" s="1874">
        <f>VLOOKUP($B6,'Income Statement'!$A$9:$DM$35,MATCH(AvE_F1Q24!G$2,'Income Statement'!$A$7:$DM$7,0),0)</f>
      </c>
      <c r="H6" s="1877">
        <f t="shared" si="2"/>
      </c>
      <c r="J6" s="3004"/>
      <c r="K6" s="3183" t="s">
        <v>2260</v>
      </c>
      <c r="L6" s="3184"/>
      <c r="M6" s="3404" t="s">
        <v>2260</v>
      </c>
      <c r="N6" s="3405"/>
      <c r="O6" s="3405"/>
      <c r="P6" s="3405"/>
      <c r="Q6" s="3118"/>
      <c r="R6" s="3187" t="s">
        <v>668</v>
      </c>
      <c r="S6" s="3188"/>
      <c r="T6" s="3188"/>
      <c r="U6" s="3186"/>
      <c r="V6" s="2960" t="s">
        <v>2258</v>
      </c>
      <c r="W6" s="3016"/>
      <c r="X6" s="3409" t="s">
        <v>1430</v>
      </c>
      <c r="Y6" s="3403"/>
    </row>
    <row r="7" spans="2:27">
      <c r="B7" s="1831" t="s">
        <v>68</v>
      </c>
      <c r="C7" s="1640">
        <f>VLOOKUP($B7,'Income Statement'!$A$9:$DM$35,MATCH(AvE_F1Q24!C$2,'Income Statement'!$A$7:$DM$7,0),0)</f>
      </c>
      <c r="D7" s="1641">
        <v>7757</v>
      </c>
      <c r="E7" s="2754">
        <f t="shared" si="0"/>
      </c>
      <c r="F7" s="1554">
        <f t="shared" si="1"/>
      </c>
      <c r="G7" s="1640">
        <f>VLOOKUP($B7,'Income Statement'!$A$9:$DM$35,MATCH(AvE_F1Q24!G$2,'Income Statement'!$A$7:$DM$7,0),0)</f>
      </c>
      <c r="H7" s="1554">
        <f t="shared" si="2"/>
      </c>
      <c r="J7" s="3023" t="s">
        <v>2263</v>
      </c>
      <c r="K7" s="2749" t="s">
        <v>720</v>
      </c>
      <c r="L7" s="3185" t="s">
        <v>2259</v>
      </c>
      <c r="M7" s="2751" t="s">
        <v>720</v>
      </c>
      <c r="N7" s="2751" t="s">
        <v>1426</v>
      </c>
      <c r="O7" s="2751" t="s">
        <v>1427</v>
      </c>
      <c r="P7" s="3119" t="s">
        <v>2259</v>
      </c>
      <c r="Q7" s="2947"/>
      <c r="R7" s="3035" t="s">
        <v>2262</v>
      </c>
      <c r="S7" s="2751" t="s">
        <v>1426</v>
      </c>
      <c r="T7" s="2749" t="s">
        <v>1427</v>
      </c>
      <c r="U7" s="3119" t="s">
        <v>2259</v>
      </c>
      <c r="V7" s="2961"/>
      <c r="W7" s="3017"/>
      <c r="X7" s="3018" t="s">
        <v>1426</v>
      </c>
      <c r="Y7" s="3019" t="s">
        <v>1427</v>
      </c>
    </row>
    <row r="8" spans="2:27" ht="12">
      <c r="B8" s="2852" t="s">
        <v>76</v>
      </c>
      <c r="C8" s="1640">
        <f>VLOOKUP($B8,'Income Statement'!$A$9:$DM$35,MATCH(AvE_F1Q24!C$2,'Income Statement'!$A$7:$DM$7,0),0)</f>
      </c>
      <c r="D8" s="1641">
        <v>6651</v>
      </c>
      <c r="E8" s="2754">
        <f t="shared" si="0"/>
      </c>
      <c r="F8" s="1554">
        <f t="shared" si="1"/>
      </c>
      <c r="G8" s="1640">
        <f>VLOOKUP($B8,'Income Statement'!$A$9:$DM$35,MATCH(AvE_F1Q24!G$2,'Income Statement'!$A$7:$DM$7,0),0)</f>
      </c>
      <c r="H8" s="1554">
        <f t="shared" si="2"/>
      </c>
      <c r="I8" s="3154">
        <f>E6*0.84/$D$19</f>
      </c>
      <c r="J8" s="3093" t="s">
        <v>1433</v>
      </c>
      <c r="K8" s="3094">
        <f>C4</f>
      </c>
      <c r="L8" s="3097">
        <f>K8/$G4-1</f>
      </c>
      <c r="M8" s="3095">
        <f>D4</f>
      </c>
      <c r="N8" s="3096">
        <f>K8-M8</f>
      </c>
      <c r="O8" s="3097">
        <f>K8/M8-1</f>
      </c>
      <c r="P8" s="3097">
        <f>M8/$G4-1</f>
      </c>
      <c r="Q8" s="3098"/>
      <c r="R8" s="2929">
        <v>119575</v>
      </c>
      <c r="S8" s="3096">
        <f>K8-R8</f>
      </c>
      <c r="T8" s="3097">
        <f>K8/R8-1</f>
      </c>
      <c r="U8" s="3097">
        <f>R8/$G4-1</f>
      </c>
      <c r="V8" s="3160" t="s">
        <v>2320</v>
      </c>
      <c r="W8" s="3100"/>
      <c r="X8" s="3096">
        <f t="shared" ref="X8:X17" si="3">M8-R8</f>
      </c>
      <c r="Y8" s="3099">
        <f t="shared" ref="Y8:Y14" si="4">M8/R8-1</f>
      </c>
    </row>
    <row r="9" spans="2:27" ht="12">
      <c r="B9" s="2853" t="s">
        <v>69</v>
      </c>
      <c r="C9" s="2854">
        <f>VLOOKUP($B9,'Income Statement'!$A$9:$DM$35,MATCH(AvE_F1Q24!C$2,'Income Statement'!$A$7:$DM$7,0),0)</f>
      </c>
      <c r="D9" s="2768">
        <v>14408</v>
      </c>
      <c r="E9" s="2770">
        <f t="shared" si="0"/>
      </c>
      <c r="F9" s="1558">
        <f t="shared" si="1"/>
      </c>
      <c r="G9" s="2854">
        <f>VLOOKUP($B9,'Income Statement'!$A$9:$DM$35,MATCH(AvE_F1Q24!G$2,'Income Statement'!$A$7:$DM$7,0),0)</f>
      </c>
      <c r="H9" s="1558">
        <f t="shared" si="2"/>
      </c>
      <c r="I9" s="163"/>
      <c r="J9" s="2976" t="s">
        <v>67</v>
      </c>
      <c r="K9" s="2977">
        <f>C6</f>
      </c>
      <c r="L9" s="2980">
        <f>K9/$G6-1</f>
      </c>
      <c r="M9" s="2978">
        <f>D6</f>
      </c>
      <c r="N9" s="2979">
        <f t="shared" ref="N9:N17" si="5">K9-M9</f>
      </c>
      <c r="O9" s="2980">
        <f t="shared" ref="O9:O14" si="6">K9/M9-1</f>
      </c>
      <c r="P9" s="2980">
        <f>M9/$G6-1</f>
      </c>
      <c r="Q9" s="2981"/>
      <c r="R9" s="2975">
        <v>54856.480000000003</v>
      </c>
      <c r="S9" s="2979">
        <f>K9-R9</f>
      </c>
      <c r="T9" s="2980">
        <f>K9/R9-1</f>
      </c>
      <c r="U9" s="2980">
        <f>R9/$G6-1</f>
      </c>
      <c r="V9" s="2982"/>
      <c r="W9" s="3007"/>
      <c r="X9" s="2979">
        <f t="shared" si="3"/>
      </c>
      <c r="Y9" s="3008">
        <f t="shared" si="4"/>
      </c>
    </row>
    <row r="10" spans="2:27" ht="12">
      <c r="B10" s="1878" t="s">
        <v>70</v>
      </c>
      <c r="C10" s="2830">
        <f>VLOOKUP($B10,'Income Statement'!$A$9:$DM$35,MATCH(AvE_F1Q24!C$2,'Income Statement'!$A$7:$DM$7,0),0)</f>
      </c>
      <c r="D10" s="2831">
        <v>39227.095262714327</v>
      </c>
      <c r="E10" s="2842">
        <f t="shared" si="0"/>
      </c>
      <c r="F10" s="2832">
        <f t="shared" si="1"/>
      </c>
      <c r="G10" s="2830">
        <f>VLOOKUP($B10,'Income Statement'!$A$9:$DM$35,MATCH(AvE_F1Q24!G$2,'Income Statement'!$A$7:$DM$7,0),0)</f>
      </c>
      <c r="H10" s="2832">
        <f t="shared" si="2"/>
      </c>
      <c r="I10" s="163"/>
      <c r="J10" s="3060" t="s">
        <v>1600</v>
      </c>
      <c r="K10" s="3061">
        <f>K9-K11</f>
      </c>
      <c r="L10" s="3051">
        <f>K10/$G9-1</f>
      </c>
      <c r="M10" s="3062">
        <f>M9-M11</f>
      </c>
      <c r="N10" s="3050">
        <f t="shared" si="5"/>
      </c>
      <c r="O10" s="3051">
        <f t="shared" si="6"/>
      </c>
      <c r="P10" s="3051">
        <f>M10/$G9-1</f>
      </c>
      <c r="Q10" s="3063"/>
      <c r="R10" s="2930">
        <f>R9-R11</f>
      </c>
      <c r="S10" s="3050">
        <f>K10-R10</f>
      </c>
      <c r="T10" s="3051">
        <f>K10/R10-1</f>
      </c>
      <c r="U10" s="3051">
        <f>R10/$G9-1</f>
      </c>
      <c r="V10" s="3161" t="s">
        <v>2315</v>
      </c>
      <c r="W10" s="3053"/>
      <c r="X10" s="3050">
        <f t="shared" si="3"/>
      </c>
      <c r="Y10" s="3052">
        <f t="shared" si="4"/>
      </c>
    </row>
    <row r="11" spans="2:27" ht="12">
      <c r="B11" s="1835" t="s">
        <v>689</v>
      </c>
      <c r="C11" s="1640">
        <f>VLOOKUP($B11,'Income Statement'!$A$9:$DM$35,MATCH(AvE_F1Q24!C$2,'Income Statement'!$A$7:$DM$7,0),0)</f>
      </c>
      <c r="D11" s="1641">
        <v>-200</v>
      </c>
      <c r="E11" s="2754">
        <f t="shared" si="0"/>
      </c>
      <c r="F11" s="1554">
        <f>E11/D11</f>
      </c>
      <c r="G11" s="1640">
        <f>VLOOKUP($B11,'Income Statement'!$A$9:$DM$35,MATCH(AvE_F1Q24!G$2,'Income Statement'!$A$7:$DM$7,0),0)</f>
      </c>
      <c r="H11" s="1554">
        <f>C11/G11-1</f>
      </c>
      <c r="I11" s="3154">
        <f>-E9*0.84/$D$19</f>
      </c>
      <c r="J11" s="3024" t="s">
        <v>70</v>
      </c>
      <c r="K11" s="2983">
        <f t="shared" ref="K11" si="7">C10</f>
      </c>
      <c r="L11" s="2986">
        <f>K11/$G10-1</f>
      </c>
      <c r="M11" s="2984">
        <f>D10</f>
      </c>
      <c r="N11" s="2985">
        <f t="shared" si="5"/>
      </c>
      <c r="O11" s="2986">
        <f t="shared" si="6"/>
      </c>
      <c r="P11" s="2986">
        <f>M11/$G10-1</f>
      </c>
      <c r="Q11" s="2987"/>
      <c r="R11" s="2988">
        <v>40391.105000000003</v>
      </c>
      <c r="S11" s="2985">
        <f>K11-R11</f>
      </c>
      <c r="T11" s="2986">
        <f>K11/R11-1</f>
      </c>
      <c r="U11" s="2986">
        <f>R11/$G10-1</f>
      </c>
      <c r="V11" s="2989"/>
      <c r="W11" s="3009"/>
      <c r="X11" s="2985">
        <f t="shared" si="3"/>
      </c>
      <c r="Y11" s="3010">
        <f t="shared" si="4"/>
      </c>
    </row>
    <row r="12" spans="2:27" ht="12">
      <c r="B12" s="1857" t="s">
        <v>71</v>
      </c>
      <c r="C12" s="1858">
        <f>VLOOKUP($B12,'Income Statement'!$A$9:$DM$35,MATCH(AvE_F1Q24!C$2,'Income Statement'!$A$7:$DM$7,0),0)</f>
      </c>
      <c r="D12" s="1859">
        <v>39027.095262714327</v>
      </c>
      <c r="E12" s="2843">
        <f t="shared" si="0"/>
      </c>
      <c r="F12" s="1861">
        <f>E12/D12</f>
      </c>
      <c r="G12" s="1858">
        <f>VLOOKUP($B12,'Income Statement'!$A$9:$DM$35,MATCH(AvE_F1Q24!G$2,'Income Statement'!$A$7:$DM$7,0),0)</f>
      </c>
      <c r="H12" s="1861">
        <f>C12/G12-1</f>
      </c>
      <c r="I12" s="3153">
        <f>E10*0.84/$D$19</f>
      </c>
      <c r="J12" s="3041" t="str">
        <f>B11</f>
      </c>
      <c r="K12" s="3042">
        <f>C11</f>
      </c>
      <c r="L12" s="3051">
        <f>K12/$G11-1</f>
      </c>
      <c r="M12" s="3043">
        <f>D11</f>
      </c>
      <c r="N12" s="3050">
        <f t="shared" si="5"/>
      </c>
      <c r="O12" s="3051">
        <f t="shared" si="6"/>
      </c>
      <c r="P12" s="3051">
        <f>M12/$G11-1</f>
      </c>
      <c r="Q12" s="3046"/>
      <c r="R12" s="3064">
        <f>R13-R11</f>
      </c>
      <c r="S12" s="3050">
        <f>K12-R12</f>
      </c>
      <c r="T12" s="3051">
        <f>K12/R12-1</f>
      </c>
      <c r="U12" s="3051">
        <f>R12/$G11-1</f>
      </c>
      <c r="V12" s="3161" t="s">
        <v>2316</v>
      </c>
      <c r="W12" s="3053"/>
      <c r="X12" s="3050">
        <f t="shared" si="3"/>
      </c>
      <c r="Y12" s="3052">
        <f t="shared" si="4"/>
      </c>
    </row>
    <row r="13" spans="2:27">
      <c r="B13" s="1836" t="s">
        <v>72</v>
      </c>
      <c r="C13" s="1640" t="e">
        <f>VLOOKUP($B13,'Income Statement'!$A$9:$DM$35,MATCH(AvE_F1Q24!C$2,'Income Statement'!$A$7:$DM$7,0),0)</f>
      </c>
      <c r="D13" s="1641">
        <v>6244.3352420342926</v>
      </c>
      <c r="E13" s="2754" t="e">
        <f t="shared" si="0"/>
      </c>
      <c r="F13" s="1554" t="e">
        <f>E13/D13</f>
      </c>
      <c r="G13" s="1640" t="e">
        <f>VLOOKUP($B13,'Income Statement'!$A$9:$DM$35,MATCH(AvE_F1Q24!G$2,'Income Statement'!$A$7:$DM$7,0),0)</f>
      </c>
      <c r="H13" s="1554" t="e">
        <f>C13/G13-1</f>
      </c>
      <c r="I13" s="3153">
        <f>E11*0.84/$D$19</f>
      </c>
      <c r="J13" s="3101" t="s">
        <v>71</v>
      </c>
      <c r="K13" s="3054">
        <f t="shared" ref="K13:K15" si="8">C12</f>
      </c>
      <c r="L13" s="3056">
        <f>K13/$G12-1</f>
      </c>
      <c r="M13" s="3055">
        <f>D12</f>
      </c>
      <c r="N13" s="2973">
        <f t="shared" si="5"/>
      </c>
      <c r="O13" s="3056">
        <f t="shared" si="6"/>
      </c>
      <c r="P13" s="3056">
        <f>M13/$G12-1</f>
      </c>
      <c r="Q13" s="2974"/>
      <c r="R13" s="3057">
        <v>40343.279999999999</v>
      </c>
      <c r="S13" s="2973">
        <f t="shared" ref="S13:S14" si="9">K13-R13</f>
      </c>
      <c r="T13" s="3056">
        <f t="shared" ref="T13:T14" si="10">K13/R13-1</f>
      </c>
      <c r="U13" s="3056">
        <f>R13/$G12-1</f>
      </c>
      <c r="V13" s="2972"/>
      <c r="W13" s="3059"/>
      <c r="X13" s="2973">
        <f t="shared" si="3"/>
      </c>
      <c r="Y13" s="3058">
        <f t="shared" si="4"/>
      </c>
    </row>
    <row r="14" spans="2:27">
      <c r="B14" s="1836" t="s">
        <v>1562</v>
      </c>
      <c r="C14" s="3036" t="e">
        <f>C13/C12</f>
      </c>
      <c r="D14" s="2520">
        <v>0.16</v>
      </c>
      <c r="E14" s="1939" t="e">
        <f t="shared" si="0"/>
      </c>
      <c r="F14" s="1554"/>
      <c r="G14" s="3036" t="e">
        <f>G13/G12</f>
      </c>
      <c r="H14" s="1940" t="e">
        <f>C14-G14</f>
      </c>
      <c r="I14" s="2503">
        <f>(C12*0.01)/C19</f>
      </c>
      <c r="J14" s="3065" t="str">
        <f>B13</f>
      </c>
      <c r="K14" s="3066" t="e">
        <f t="shared" si="8"/>
      </c>
      <c r="L14" s="3069"/>
      <c r="M14" s="3067">
        <f>D13</f>
      </c>
      <c r="N14" s="3068" t="e">
        <f t="shared" si="5"/>
      </c>
      <c r="O14" s="3069" t="e">
        <f t="shared" si="6"/>
      </c>
      <c r="P14" s="3069"/>
      <c r="Q14" s="3070"/>
      <c r="R14" s="3071">
        <v>6407.125</v>
      </c>
      <c r="S14" s="3068" t="e">
        <f t="shared" si="9"/>
      </c>
      <c r="T14" s="3069" t="e">
        <f t="shared" si="10"/>
      </c>
      <c r="U14" s="3069"/>
      <c r="V14" s="3073"/>
      <c r="W14" s="3074"/>
      <c r="X14" s="3068">
        <f t="shared" si="3"/>
      </c>
      <c r="Y14" s="3072">
        <f t="shared" si="4"/>
      </c>
    </row>
    <row r="15" spans="2:27" ht="12">
      <c r="B15" s="1873" t="s">
        <v>1154</v>
      </c>
      <c r="C15" s="1874">
        <f>VLOOKUP($B15,'Income Statement'!$A$9:$DM$35,MATCH(AvE_F1Q24!C$2,'Income Statement'!$A$7:$DM$7,0),0)</f>
      </c>
      <c r="D15" s="1875">
        <v>32782.760020680034</v>
      </c>
      <c r="E15" s="2841">
        <f t="shared" si="0"/>
      </c>
      <c r="F15" s="1877">
        <f>E15/D15</f>
      </c>
      <c r="G15" s="1874">
        <f>VLOOKUP($B15,'Income Statement'!$A$9:$DM$35,MATCH(AvE_F1Q24!G$2,'Income Statement'!$A$7:$DM$7,0),0)</f>
      </c>
      <c r="H15" s="1877">
        <f>C15/G15-1</f>
      </c>
      <c r="J15" s="3041" t="str">
        <f>B14</f>
      </c>
      <c r="K15" s="3102" t="e">
        <f t="shared" si="8"/>
      </c>
      <c r="L15" s="3045"/>
      <c r="M15" s="3103">
        <f>D14</f>
      </c>
      <c r="N15" s="3102" t="e">
        <f t="shared" si="5"/>
      </c>
      <c r="O15" s="3045"/>
      <c r="P15" s="3045"/>
      <c r="Q15" s="3046"/>
      <c r="R15" s="3104">
        <f>R14/R13</f>
      </c>
      <c r="S15" s="3044"/>
      <c r="T15" s="3045"/>
      <c r="U15" s="3045"/>
      <c r="V15" s="3048" t="s">
        <v>2269</v>
      </c>
      <c r="W15" s="3049"/>
      <c r="X15" s="3102">
        <f t="shared" si="3"/>
      </c>
      <c r="Y15" s="3047"/>
    </row>
    <row r="16" spans="2:27" s="163" customFormat="1" ht="12">
      <c r="B16" s="1862" t="s">
        <v>80</v>
      </c>
      <c r="C16" s="1858">
        <f>VLOOKUP($B16,'Income Statement'!$A$9:$DM$35,MATCH(AvE_F1Q24!C$2,'Income Statement'!$A$7:$DM$7,0),0)</f>
      </c>
      <c r="D16" s="1859">
        <v>32782.760020680034</v>
      </c>
      <c r="E16" s="2843">
        <f t="shared" si="0"/>
      </c>
      <c r="F16" s="1861">
        <f>E16/D16</f>
      </c>
      <c r="G16" s="1858">
        <f>VLOOKUP($B16,'Income Statement'!$A$9:$DM$35,MATCH(AvE_F1Q24!G$2,'Income Statement'!$A$7:$DM$7,0),0)</f>
      </c>
      <c r="H16" s="1861">
        <f>C16/G16-1</f>
      </c>
      <c r="I16" s="160"/>
      <c r="J16" s="3075" t="s">
        <v>80</v>
      </c>
      <c r="K16" s="3076">
        <f>C16</f>
      </c>
      <c r="L16" s="3079">
        <f>K16/$G16-1</f>
      </c>
      <c r="M16" s="3077">
        <f>D16</f>
      </c>
      <c r="N16" s="3078">
        <f t="shared" si="5"/>
      </c>
      <c r="O16" s="3079">
        <f t="shared" ref="O16:O17" si="11">K16/M16-1</f>
      </c>
      <c r="P16" s="3079">
        <f>M16/$G16-1</f>
      </c>
      <c r="Q16" s="3080"/>
      <c r="R16" s="3081">
        <v>33916</v>
      </c>
      <c r="S16" s="3078">
        <f t="shared" ref="S16:S17" si="12">K16-R16</f>
      </c>
      <c r="T16" s="3079">
        <f t="shared" ref="T16:T17" si="13">K16/R16-1</f>
      </c>
      <c r="U16" s="3079">
        <f>R16/$G16-1</f>
      </c>
      <c r="V16" s="3082"/>
      <c r="W16" s="1561"/>
      <c r="X16" s="3078">
        <f t="shared" si="3"/>
      </c>
      <c r="Y16" s="1629">
        <f>M16/R16-1</f>
      </c>
      <c r="Z16" s="160"/>
      <c r="AA16" s="160"/>
    </row>
    <row r="17" spans="2:27" ht="12">
      <c r="B17" s="1863" t="s">
        <v>1151</v>
      </c>
      <c r="C17" s="1864">
        <f>VLOOKUP($B17,'Income Statement'!$A$9:$DM$35,MATCH(AvE_F1Q24!C$2,'Income Statement'!$A$7:$DM$7,0),0)</f>
      </c>
      <c r="D17" s="1865">
        <v>2.1032214574037327</v>
      </c>
      <c r="E17" s="2844">
        <f t="shared" si="0"/>
      </c>
      <c r="F17" s="1867">
        <f>E17/D17</f>
      </c>
      <c r="G17" s="1864">
        <f>VLOOKUP($B17,'Income Statement'!$A$9:$DM$35,MATCH(AvE_F1Q24!G$2,'Income Statement'!$A$7:$DM$7,0),0)</f>
      </c>
      <c r="H17" s="1867">
        <f>C17/G17-1</f>
      </c>
      <c r="J17" s="3083" t="s">
        <v>1153</v>
      </c>
      <c r="K17" s="3084">
        <f>C18</f>
      </c>
      <c r="L17" s="3087">
        <f>K17/$G18-1</f>
      </c>
      <c r="M17" s="3085">
        <f>D18</f>
      </c>
      <c r="N17" s="3086">
        <f t="shared" si="5"/>
      </c>
      <c r="O17" s="3087">
        <f t="shared" si="11"/>
      </c>
      <c r="P17" s="3087">
        <f>M17/$G18-1</f>
      </c>
      <c r="Q17" s="3088"/>
      <c r="R17" s="3089">
        <v>2.1800000000000002</v>
      </c>
      <c r="S17" s="3084">
        <f t="shared" si="12"/>
      </c>
      <c r="T17" s="3087">
        <f t="shared" si="13"/>
      </c>
      <c r="U17" s="3087">
        <f>R17/$G18-1</f>
      </c>
      <c r="V17" s="3091"/>
      <c r="W17" s="3092"/>
      <c r="X17" s="3084">
        <f t="shared" si="3"/>
      </c>
      <c r="Y17" s="3090">
        <f>M17/R17-1</f>
      </c>
      <c r="AA17" s="163"/>
    </row>
    <row r="18" spans="2:27" ht="12">
      <c r="B18" s="1868" t="s">
        <v>1153</v>
      </c>
      <c r="C18" s="1869">
        <f>VLOOKUP($B18,'Income Statement'!$A$9:$DM$35,MATCH(AvE_F1Q24!C$2,'Income Statement'!$A$7:$DM$7,0),0)</f>
      </c>
      <c r="D18" s="1870">
        <v>2.1032214574037327</v>
      </c>
      <c r="E18" s="2845">
        <f t="shared" si="0"/>
      </c>
      <c r="F18" s="1872">
        <f>E18/D18</f>
      </c>
      <c r="G18" s="1869">
        <f>VLOOKUP($B18,'Income Statement'!$A$9:$DM$35,MATCH(AvE_F1Q24!G$2,'Income Statement'!$A$7:$DM$7,0),0)</f>
      </c>
      <c r="H18" s="1872">
        <f>C18/G18-1</f>
      </c>
      <c r="J18" s="1583"/>
      <c r="K18" s="193"/>
      <c r="L18" s="1624"/>
      <c r="M18" s="2948"/>
      <c r="N18" s="2504"/>
      <c r="O18" s="1624"/>
      <c r="P18" s="1624"/>
      <c r="Q18" s="2949"/>
      <c r="R18" s="2931"/>
      <c r="S18" s="193"/>
      <c r="T18" s="1624"/>
      <c r="U18" s="1624"/>
      <c r="V18" s="2962"/>
      <c r="W18" s="1553"/>
      <c r="X18" s="193"/>
      <c r="Y18" s="1627"/>
    </row>
    <row r="19" spans="2:27" ht="12">
      <c r="B19" s="1844" t="s">
        <v>75</v>
      </c>
      <c r="C19" s="1557">
        <f>VLOOKUP($B19,'Income Statement'!$A$9:$DM$35,MATCH(AvE_F1Q24!C$2,'Income Statement'!$A$7:$DM$7,0),0)</f>
      </c>
      <c r="D19" s="1541">
        <v>15586.92733248731</v>
      </c>
      <c r="E19" s="1845">
        <f t="shared" si="0"/>
      </c>
      <c r="F19" s="1558">
        <f>E19/D19</f>
      </c>
      <c r="G19" s="1557">
        <f>VLOOKUP($B19,'Income Statement'!$A$9:$DM$35,MATCH(AvE_F1Q24!G$2,'Income Statement'!$A$7:$DM$7,0),0)</f>
      </c>
      <c r="H19" s="1558">
        <f>C19/G19-1</f>
      </c>
      <c r="J19" s="3034" t="s">
        <v>2264</v>
      </c>
      <c r="K19" s="193"/>
      <c r="L19" s="1624"/>
      <c r="M19" s="2948"/>
      <c r="N19" s="2504"/>
      <c r="O19" s="1624"/>
      <c r="P19" s="1624"/>
      <c r="Q19" s="2949"/>
      <c r="R19" s="2931"/>
      <c r="S19" s="193"/>
      <c r="T19" s="1624"/>
      <c r="U19" s="1624"/>
      <c r="V19" s="2962"/>
      <c r="W19" s="1553"/>
      <c r="X19" s="193"/>
      <c r="Y19" s="1627"/>
    </row>
    <row r="20" spans="2:27" ht="12">
      <c r="B20" s="1837"/>
      <c r="C20" s="1553"/>
      <c r="D20" s="193"/>
      <c r="E20" s="1569"/>
      <c r="F20" s="1554"/>
      <c r="G20" s="1553"/>
      <c r="H20" s="1554"/>
      <c r="J20" s="3030" t="s">
        <v>84</v>
      </c>
      <c r="K20" s="3031">
        <f t="shared" ref="K20:K26" si="14">C22</f>
      </c>
      <c r="L20" s="2837">
        <f t="shared" ref="L20:L26" si="15">K20/$G22-1</f>
      </c>
      <c r="M20" s="3032">
        <f t="shared" ref="M20:M26" si="16">D22</f>
      </c>
      <c r="N20" s="2836">
        <f t="shared" ref="N20:N26" si="17">K20-M20</f>
      </c>
      <c r="O20" s="2837">
        <f t="shared" ref="O20:O26" si="18">K20/M20-1</f>
      </c>
      <c r="P20" s="2837">
        <f t="shared" ref="P20" si="19">M20/$G22-1</f>
      </c>
      <c r="Q20" s="3033"/>
      <c r="R20" s="2938">
        <v>69702</v>
      </c>
      <c r="S20" s="2836">
        <f t="shared" ref="S20:S26" si="20">K20-R20</f>
      </c>
      <c r="T20" s="2837">
        <f t="shared" ref="T20:T26" si="21">K20/R20-1</f>
      </c>
      <c r="U20" s="2837">
        <f t="shared" ref="U20:U26" si="22">R20/$G22-1</f>
      </c>
      <c r="V20" s="3162" t="s">
        <v>2317</v>
      </c>
      <c r="W20" s="3013"/>
      <c r="X20" s="2836">
        <f t="shared" ref="X20:X26" si="23">M20-R20</f>
      </c>
      <c r="Y20" s="2838">
        <f t="shared" ref="Y20:Y26" si="24">M20/R20-1</f>
      </c>
      <c r="Z20" s="163"/>
    </row>
    <row r="21" spans="2:27" ht="12">
      <c r="B21" s="2699" t="s">
        <v>2189</v>
      </c>
      <c r="C21" s="2700" t="str">
        <f t="shared" ref="C21:H21" si="25">C3</f>
      </c>
      <c r="D21" s="2701" t="s">
        <v>654</v>
      </c>
      <c r="E21" s="2702" t="str">
        <f t="shared" si="25"/>
      </c>
      <c r="F21" s="2703" t="str">
        <f t="shared" si="25"/>
      </c>
      <c r="G21" s="2700" t="str">
        <f t="shared" si="25"/>
      </c>
      <c r="H21" s="2703" t="str">
        <f t="shared" si="25"/>
      </c>
      <c r="J21" s="1584" t="s">
        <v>85</v>
      </c>
      <c r="K21" s="1639">
        <f t="shared" si="14"/>
      </c>
      <c r="L21" s="1626">
        <f t="shared" si="15"/>
      </c>
      <c r="M21" s="2950">
        <f t="shared" si="16"/>
      </c>
      <c r="N21" s="1901">
        <f t="shared" si="17"/>
      </c>
      <c r="O21" s="1626">
        <f t="shared" si="18"/>
      </c>
      <c r="P21" s="1626">
        <f>M21/$G23-1</f>
      </c>
      <c r="Q21" s="2951"/>
      <c r="R21" s="2932">
        <v>7023</v>
      </c>
      <c r="S21" s="1901">
        <f t="shared" si="20"/>
      </c>
      <c r="T21" s="1626">
        <f t="shared" si="21"/>
      </c>
      <c r="U21" s="1626">
        <f t="shared" si="22"/>
      </c>
      <c r="V21" s="3163" t="s">
        <v>2321</v>
      </c>
      <c r="W21" s="1563"/>
      <c r="X21" s="1901">
        <f t="shared" si="23"/>
      </c>
      <c r="Y21" s="1630">
        <f t="shared" si="24"/>
      </c>
    </row>
    <row r="22" spans="2:27">
      <c r="B22" s="2740" t="s">
        <v>84</v>
      </c>
      <c r="C22" s="1638">
        <f>VLOOKUP($B22,'Revenue summary'!$A$11:$DQ$17,MATCH(AvE_F1Q24!C$2,'Revenue summary'!$A$8:$DQ$8,0),0)</f>
      </c>
      <c r="D22" s="1639">
        <v>67987.27</v>
      </c>
      <c r="E22" s="2754">
        <f t="shared" ref="E22:E28" si="26">C22-D22</f>
      </c>
      <c r="F22" s="1554">
        <f t="shared" ref="F22:F28" si="27">E22/D22</f>
      </c>
      <c r="G22" s="1638">
        <f>VLOOKUP($B22,'Revenue summary'!$A$11:$DQ$17,MATCH(AvE_F1Q24!G$2,'Revenue summary'!$A$8:$DQ$8,0),0)</f>
      </c>
      <c r="H22" s="1554">
        <f t="shared" ref="H22:H28" si="28">C22/G22-1</f>
      </c>
      <c r="I22" s="3108"/>
      <c r="J22" s="1584" t="s">
        <v>86</v>
      </c>
      <c r="K22" s="1639">
        <f t="shared" si="14"/>
      </c>
      <c r="L22" s="1626">
        <f t="shared" si="15"/>
      </c>
      <c r="M22" s="2950">
        <f t="shared" si="16"/>
      </c>
      <c r="N22" s="1901">
        <f t="shared" si="17"/>
      </c>
      <c r="O22" s="1626">
        <f t="shared" si="18"/>
      </c>
      <c r="P22" s="1626">
        <f t="shared" ref="P22:P26" si="29">M22/$G24-1</f>
      </c>
      <c r="Q22" s="2951"/>
      <c r="R22" s="2932">
        <v>7780</v>
      </c>
      <c r="S22" s="1901">
        <f t="shared" si="20"/>
      </c>
      <c r="T22" s="1626">
        <f t="shared" si="21"/>
      </c>
      <c r="U22" s="1626">
        <f t="shared" si="22"/>
      </c>
      <c r="V22" s="3163" t="s">
        <v>2322</v>
      </c>
      <c r="W22" s="1563"/>
      <c r="X22" s="1901">
        <f t="shared" si="23"/>
      </c>
      <c r="Y22" s="1630">
        <f t="shared" si="24"/>
      </c>
    </row>
    <row r="23" spans="2:27">
      <c r="B23" s="2740" t="s">
        <v>85</v>
      </c>
      <c r="C23" s="1638">
        <f>VLOOKUP($B23,'Revenue summary'!$A$11:$DQ$17,MATCH(AvE_F1Q24!C$2,'Revenue summary'!$A$8:$DQ$8,0),0)</f>
      </c>
      <c r="D23" s="1639">
        <v>7300</v>
      </c>
      <c r="E23" s="2754">
        <f t="shared" si="26"/>
      </c>
      <c r="F23" s="1554">
        <f t="shared" si="27"/>
      </c>
      <c r="G23" s="1638">
        <f>VLOOKUP($B23,'Revenue summary'!$A$11:$DQ$17,MATCH(AvE_F1Q24!G$2,'Revenue summary'!$A$8:$DQ$8,0),0)</f>
      </c>
      <c r="H23" s="1554">
        <f t="shared" si="28"/>
      </c>
      <c r="I23" s="3108"/>
      <c r="J23" s="1584" t="s">
        <v>1120</v>
      </c>
      <c r="K23" s="1639">
        <f t="shared" si="14"/>
      </c>
      <c r="L23" s="1626">
        <f t="shared" si="15"/>
      </c>
      <c r="M23" s="2950">
        <f t="shared" si="16"/>
      </c>
      <c r="N23" s="1901">
        <f t="shared" si="17"/>
      </c>
      <c r="O23" s="1626">
        <f t="shared" si="18"/>
      </c>
      <c r="P23" s="1626">
        <f t="shared" si="29"/>
      </c>
      <c r="Q23" s="2951"/>
      <c r="R23" s="2932">
        <v>11953</v>
      </c>
      <c r="S23" s="1901">
        <f t="shared" si="20"/>
      </c>
      <c r="T23" s="1626">
        <f t="shared" si="21"/>
      </c>
      <c r="U23" s="1626">
        <f t="shared" si="22"/>
      </c>
      <c r="V23" s="3163" t="s">
        <v>2321</v>
      </c>
      <c r="W23" s="1563"/>
      <c r="X23" s="1901">
        <f t="shared" si="23"/>
      </c>
      <c r="Y23" s="1630">
        <f t="shared" si="24"/>
      </c>
    </row>
    <row r="24" spans="2:27">
      <c r="B24" s="2740" t="s">
        <v>86</v>
      </c>
      <c r="C24" s="1638">
        <f>VLOOKUP($B24,'Revenue summary'!$A$11:$DQ$17,MATCH(AvE_F1Q24!C$2,'Revenue summary'!$A$8:$DQ$8,0),0)</f>
      </c>
      <c r="D24" s="1639">
        <v>7353</v>
      </c>
      <c r="E24" s="2754">
        <f t="shared" si="26"/>
      </c>
      <c r="F24" s="1554">
        <f t="shared" si="27"/>
      </c>
      <c r="G24" s="1638">
        <f>VLOOKUP($B24,'Revenue summary'!$A$11:$DQ$17,MATCH(AvE_F1Q24!G$2,'Revenue summary'!$A$8:$DQ$8,0),0)</f>
      </c>
      <c r="H24" s="1554">
        <f t="shared" si="28"/>
      </c>
      <c r="I24" s="3108"/>
      <c r="J24" s="2825" t="s">
        <v>667</v>
      </c>
      <c r="K24" s="2826">
        <f t="shared" si="14"/>
      </c>
      <c r="L24" s="2827">
        <f t="shared" si="15"/>
      </c>
      <c r="M24" s="2952">
        <f t="shared" si="16"/>
      </c>
      <c r="N24" s="2828">
        <f t="shared" si="17"/>
      </c>
      <c r="O24" s="2827">
        <f t="shared" si="18"/>
      </c>
      <c r="P24" s="2827">
        <f t="shared" si="29"/>
      </c>
      <c r="Q24" s="2953"/>
      <c r="R24" s="2933">
        <v>96458</v>
      </c>
      <c r="S24" s="2828">
        <f t="shared" si="20"/>
      </c>
      <c r="T24" s="2827">
        <f t="shared" si="21"/>
      </c>
      <c r="U24" s="2827">
        <f t="shared" si="22"/>
      </c>
      <c r="V24" s="3003"/>
      <c r="W24" s="3011"/>
      <c r="X24" s="2828">
        <f t="shared" si="23"/>
      </c>
      <c r="Y24" s="2829">
        <f t="shared" si="24"/>
      </c>
    </row>
    <row r="25" spans="2:27" ht="12">
      <c r="B25" s="2740" t="s">
        <v>1120</v>
      </c>
      <c r="C25" s="1638">
        <f>VLOOKUP($B25,'Revenue summary'!$A$11:$DQ$17,MATCH(AvE_F1Q24!C$2,'Revenue summary'!$A$8:$DQ$8,0),0)</f>
      </c>
      <c r="D25" s="1639">
        <v>11644.414285714287</v>
      </c>
      <c r="E25" s="2754">
        <f t="shared" si="26"/>
      </c>
      <c r="F25" s="1554">
        <f t="shared" si="27"/>
      </c>
      <c r="G25" s="1638">
        <f>VLOOKUP($B25,'Revenue summary'!$A$11:$DQ$17,MATCH(AvE_F1Q24!G$2,'Revenue summary'!$A$8:$DQ$8,0),0)</f>
      </c>
      <c r="H25" s="1554">
        <f t="shared" si="28"/>
      </c>
      <c r="I25" s="163"/>
      <c r="J25" s="1907" t="s">
        <v>81</v>
      </c>
      <c r="K25" s="1639">
        <f t="shared" si="14"/>
      </c>
      <c r="L25" s="1626">
        <f t="shared" si="15"/>
      </c>
      <c r="M25" s="2950">
        <f t="shared" si="16"/>
      </c>
      <c r="N25" s="1901">
        <f t="shared" si="17"/>
      </c>
      <c r="O25" s="1626">
        <f t="shared" si="18"/>
      </c>
      <c r="P25" s="1626">
        <f t="shared" si="29"/>
      </c>
      <c r="Q25" s="2951"/>
      <c r="R25" s="2932">
        <v>23117</v>
      </c>
      <c r="S25" s="1901">
        <f t="shared" si="20"/>
      </c>
      <c r="T25" s="1626">
        <f t="shared" si="21"/>
      </c>
      <c r="U25" s="1626">
        <f t="shared" si="22"/>
      </c>
      <c r="V25" s="3179" t="s">
        <v>2325</v>
      </c>
      <c r="W25" s="1563"/>
      <c r="X25" s="1901">
        <f t="shared" si="23"/>
      </c>
      <c r="Y25" s="1630">
        <f t="shared" si="24"/>
      </c>
    </row>
    <row r="26" spans="2:27" ht="12">
      <c r="B26" s="1841" t="s">
        <v>667</v>
      </c>
      <c r="C26" s="1638">
        <f>VLOOKUP($B26,'Revenue summary'!$A$11:$DQ$17,MATCH(AvE_F1Q24!C$2,'Revenue summary'!$A$8:$DQ$8,0),0)</f>
      </c>
      <c r="D26" s="1639">
        <v>94284.684285714291</v>
      </c>
      <c r="E26" s="2754">
        <f t="shared" si="26"/>
      </c>
      <c r="F26" s="1554">
        <f t="shared" si="27"/>
      </c>
      <c r="G26" s="1638">
        <f>VLOOKUP($B26,'Revenue summary'!$A$11:$DQ$17,MATCH(AvE_F1Q24!G$2,'Revenue summary'!$A$8:$DQ$8,0),0)</f>
      </c>
      <c r="H26" s="1554">
        <f t="shared" si="28"/>
      </c>
      <c r="J26" s="1926" t="s">
        <v>1246</v>
      </c>
      <c r="K26" s="1889">
        <f t="shared" si="14"/>
      </c>
      <c r="L26" s="1927">
        <f t="shared" si="15"/>
      </c>
      <c r="M26" s="2954">
        <f t="shared" si="16"/>
      </c>
      <c r="N26" s="1930">
        <f t="shared" si="17"/>
      </c>
      <c r="O26" s="1927">
        <f t="shared" si="18"/>
      </c>
      <c r="P26" s="1927">
        <f t="shared" si="29"/>
      </c>
      <c r="Q26" s="2955"/>
      <c r="R26" s="2934">
        <v>119575</v>
      </c>
      <c r="S26" s="1930">
        <f t="shared" si="20"/>
      </c>
      <c r="T26" s="1927">
        <f t="shared" si="21"/>
      </c>
      <c r="U26" s="1927">
        <f t="shared" si="22"/>
      </c>
      <c r="V26" s="2964" t="s">
        <v>2320</v>
      </c>
      <c r="W26" s="3012"/>
      <c r="X26" s="1930">
        <f t="shared" si="23"/>
      </c>
      <c r="Y26" s="1931">
        <f t="shared" si="24"/>
      </c>
    </row>
    <row r="27" spans="2:27">
      <c r="B27" s="1841" t="s">
        <v>81</v>
      </c>
      <c r="C27" s="1638">
        <f>VLOOKUP($B27,'Revenue summary'!$A$11:$DQ$17,MATCH(AvE_F1Q24!C$2,'Revenue summary'!$A$8:$DQ$8,0),0)</f>
      </c>
      <c r="D27" s="1639">
        <v>23101.010819839241</v>
      </c>
      <c r="E27" s="2754">
        <f t="shared" si="26"/>
      </c>
      <c r="F27" s="1554">
        <f t="shared" si="27"/>
      </c>
      <c r="G27" s="1638">
        <f>VLOOKUP($B27,'Revenue summary'!$A$11:$DQ$17,MATCH(AvE_F1Q24!G$2,'Revenue summary'!$A$8:$DQ$8,0),0)</f>
      </c>
      <c r="H27" s="1554">
        <f t="shared" si="28"/>
      </c>
      <c r="I27" s="3111"/>
      <c r="J27" s="1583"/>
      <c r="K27" s="1639"/>
      <c r="L27" s="1626"/>
      <c r="M27" s="2950"/>
      <c r="N27" s="1901"/>
      <c r="O27" s="1626"/>
      <c r="P27" s="1626"/>
      <c r="Q27" s="2951"/>
      <c r="R27" s="2932"/>
      <c r="S27" s="1901"/>
      <c r="T27" s="1626"/>
      <c r="U27" s="1626"/>
      <c r="V27" s="2963"/>
      <c r="W27" s="1563"/>
      <c r="X27" s="1901"/>
      <c r="Y27" s="1630"/>
    </row>
    <row r="28" spans="2:27" ht="12">
      <c r="B28" s="1890" t="s">
        <v>1246</v>
      </c>
      <c r="C28" s="1860">
        <f>VLOOKUP($B28,'Revenue summary'!$A$11:$DQ$17,MATCH(AvE_F1Q24!C$2,'Revenue summary'!$A$8:$DQ$8,0),0)</f>
      </c>
      <c r="D28" s="1889">
        <v>117385.69510555353</v>
      </c>
      <c r="E28" s="2843">
        <f t="shared" si="26"/>
      </c>
      <c r="F28" s="1861">
        <f t="shared" si="27"/>
      </c>
      <c r="G28" s="1860">
        <f>VLOOKUP($B28,'Revenue summary'!$A$11:$DQ$17,MATCH(AvE_F1Q24!G$2,'Revenue summary'!$A$8:$DQ$8,0),0)</f>
      </c>
      <c r="H28" s="1861">
        <f t="shared" si="28"/>
      </c>
      <c r="J28" s="1933" t="s">
        <v>1105</v>
      </c>
      <c r="K28" s="1639">
        <f t="shared" ref="K28:K30" si="30">C30</f>
      </c>
      <c r="L28" s="1626">
        <f>K28/$G30-1</f>
      </c>
      <c r="M28" s="2950">
        <f>D30</f>
      </c>
      <c r="N28" s="1901">
        <f t="shared" ref="N28:N30" si="31">K28-M28</f>
      </c>
      <c r="O28" s="1626">
        <f t="shared" ref="O28:O30" si="32">K28/M28-1</f>
      </c>
      <c r="P28" s="1626">
        <f>M28/$G30-1</f>
      </c>
      <c r="Q28" s="2951"/>
      <c r="R28" s="2932">
        <v>38018</v>
      </c>
      <c r="S28" s="1901">
        <f t="shared" ref="S28:S30" si="33">K28-R28</f>
      </c>
      <c r="T28" s="1626">
        <f t="shared" ref="T28:T30" si="34">K28/R28-1</f>
      </c>
      <c r="U28" s="1626">
        <f>R28/$G30-1</f>
      </c>
      <c r="V28" s="2963"/>
      <c r="W28" s="1563"/>
      <c r="X28" s="1901">
        <f>M28-R28</f>
      </c>
      <c r="Y28" s="1630">
        <f>M28/R28-1</f>
      </c>
    </row>
    <row r="29" spans="2:27">
      <c r="B29" s="1839"/>
      <c r="C29" s="1638"/>
      <c r="D29" s="1639"/>
      <c r="E29" s="2754"/>
      <c r="F29" s="1554"/>
      <c r="G29" s="1638"/>
      <c r="H29" s="1554"/>
      <c r="J29" s="1933" t="s">
        <v>995</v>
      </c>
      <c r="K29" s="1639">
        <f t="shared" si="30"/>
      </c>
      <c r="L29" s="1626">
        <f>K29/$G31-1</f>
      </c>
      <c r="M29" s="2950">
        <f>D31</f>
      </c>
      <c r="N29" s="1901">
        <f t="shared" si="31"/>
      </c>
      <c r="O29" s="1626">
        <f t="shared" si="32"/>
      </c>
      <c r="P29" s="1626">
        <f>M29/$G31-1</f>
      </c>
      <c r="Q29" s="2951"/>
      <c r="R29" s="2932">
        <v>16837</v>
      </c>
      <c r="S29" s="1901">
        <f t="shared" si="33"/>
      </c>
      <c r="T29" s="1626">
        <f t="shared" si="34"/>
      </c>
      <c r="U29" s="1626">
        <f>R29/$G31-1</f>
      </c>
      <c r="V29" s="2963"/>
      <c r="W29" s="1563"/>
      <c r="X29" s="1901">
        <f>M29-R29</f>
      </c>
      <c r="Y29" s="1630">
        <f>M29/R29-1</f>
      </c>
    </row>
    <row r="30" spans="2:27" ht="12">
      <c r="B30" s="1842" t="s">
        <v>1105</v>
      </c>
      <c r="C30" s="1638">
        <f>VLOOKUP($B30,'Revenue summary'!$A$52:$DQ$54,MATCH(AvE_F1Q24!C$2,'Revenue summary'!$A$8:$DQ$8,0),0)</f>
      </c>
      <c r="D30" s="1639">
        <v>37348.882634727663</v>
      </c>
      <c r="E30" s="2754">
        <f>C30-D30</f>
      </c>
      <c r="F30" s="1554">
        <f>E30/D30</f>
      </c>
      <c r="G30" s="1638">
        <f>VLOOKUP($B30,'Revenue summary'!$A$52:$DQ$54,MATCH(AvE_F1Q24!G$2,'Revenue summary'!$A$8:$DQ$8,0),0)</f>
      </c>
      <c r="H30" s="1554">
        <f>C30/G30-1</f>
      </c>
      <c r="J30" s="1932" t="s">
        <v>67</v>
      </c>
      <c r="K30" s="1889">
        <f t="shared" si="30"/>
      </c>
      <c r="L30" s="1927">
        <f>K30/$G32-1</f>
      </c>
      <c r="M30" s="2954">
        <f>D32</f>
      </c>
      <c r="N30" s="1930">
        <f t="shared" si="31"/>
      </c>
      <c r="O30" s="1927">
        <f t="shared" si="32"/>
      </c>
      <c r="P30" s="1927">
        <f>M30/$G32-1</f>
      </c>
      <c r="Q30" s="2955"/>
      <c r="R30" s="2934">
        <v>54856.480000000003</v>
      </c>
      <c r="S30" s="1930">
        <f t="shared" si="33"/>
      </c>
      <c r="T30" s="1927">
        <f t="shared" si="34"/>
      </c>
      <c r="U30" s="1927">
        <f>R30/$G32-1</f>
      </c>
      <c r="V30" s="2964"/>
      <c r="W30" s="3012"/>
      <c r="X30" s="1930">
        <f>M30-R30</f>
      </c>
      <c r="Y30" s="1931">
        <f>M30/R30-1</f>
      </c>
    </row>
    <row r="31" spans="2:27">
      <c r="B31" s="1842" t="s">
        <v>995</v>
      </c>
      <c r="C31" s="1638">
        <f>VLOOKUP($B31,'Revenue summary'!$A$52:$DQ$54,MATCH(AvE_F1Q24!C$2,'Revenue summary'!$A$8:$DQ$8,0),0)</f>
      </c>
      <c r="D31" s="1639">
        <v>16286.212627986664</v>
      </c>
      <c r="E31" s="2754">
        <f>C31-D31</f>
      </c>
      <c r="F31" s="1554">
        <f>E31/D31</f>
      </c>
      <c r="G31" s="1638">
        <f>VLOOKUP($B31,'Revenue summary'!$A$52:$DQ$54,MATCH(AvE_F1Q24!G$2,'Revenue summary'!$A$8:$DQ$8,0),0)</f>
      </c>
      <c r="H31" s="1554">
        <f>C31/G31-1</f>
      </c>
      <c r="J31" s="1583"/>
      <c r="L31" s="1624"/>
      <c r="M31" s="2935"/>
      <c r="O31" s="1624"/>
      <c r="P31" s="1624"/>
      <c r="Q31" s="2925"/>
      <c r="R31" s="2935"/>
      <c r="U31" s="1624"/>
      <c r="V31" s="1839"/>
      <c r="W31" s="1396"/>
      <c r="Y31" s="1397"/>
    </row>
    <row r="32" spans="2:27" ht="12">
      <c r="B32" s="1888" t="s">
        <v>67</v>
      </c>
      <c r="C32" s="1860">
        <f>VLOOKUP($B32,'Revenue summary'!$A$52:$DQ$54,MATCH(AvE_F1Q24!C$2,'Revenue summary'!$A$8:$DQ$8,0),0)</f>
      </c>
      <c r="D32" s="1889">
        <v>53635.095262714327</v>
      </c>
      <c r="E32" s="2843">
        <f>C32-D32</f>
      </c>
      <c r="F32" s="1861">
        <f>E32/D32</f>
      </c>
      <c r="G32" s="1860">
        <f>VLOOKUP($B32,'Revenue summary'!$A$52:$DQ$54,MATCH(AvE_F1Q24!G$2,'Revenue summary'!$A$8:$DQ$8,0),0)</f>
      </c>
      <c r="H32" s="1861">
        <f>C32/G32-1</f>
      </c>
      <c r="J32" s="1933" t="s">
        <v>1173</v>
      </c>
      <c r="K32" s="1634">
        <f t="shared" ref="K32:K34" si="35">C34</f>
      </c>
      <c r="L32" s="1634">
        <f>K32-$G34</f>
      </c>
      <c r="M32" s="2936">
        <f>D34</f>
      </c>
      <c r="N32" s="1634">
        <f t="shared" ref="N32:N35" si="36">K32-M32</f>
      </c>
      <c r="O32" s="1634"/>
      <c r="P32" s="1634">
        <f>M32-$G34</f>
      </c>
      <c r="Q32" s="2926"/>
      <c r="R32" s="2936">
        <f>R28/R24</f>
      </c>
      <c r="S32" s="1634">
        <f t="shared" ref="S32:S35" si="37">K32-R32</f>
      </c>
      <c r="T32" s="1634"/>
      <c r="U32" s="1634">
        <f>R32-$G34</f>
      </c>
      <c r="V32" s="2965"/>
      <c r="W32" s="1636"/>
      <c r="X32" s="1634">
        <f>M32-R32</f>
      </c>
      <c r="Y32" s="1635"/>
    </row>
    <row r="33" spans="1:25">
      <c r="B33" s="1839"/>
      <c r="C33" s="1396"/>
      <c r="E33" s="1569"/>
      <c r="F33" s="1554"/>
      <c r="G33" s="1396"/>
      <c r="H33" s="1554"/>
      <c r="J33" s="1933" t="s">
        <v>1172</v>
      </c>
      <c r="K33" s="1634">
        <f t="shared" si="35"/>
      </c>
      <c r="L33" s="1634">
        <f>K33-$G35</f>
      </c>
      <c r="M33" s="2936">
        <f>D35</f>
      </c>
      <c r="N33" s="1634">
        <f t="shared" si="36"/>
      </c>
      <c r="O33" s="1634"/>
      <c r="P33" s="1634">
        <f>M33-$G35</f>
      </c>
      <c r="Q33" s="2926"/>
      <c r="R33" s="2936">
        <f t="shared" ref="R33" si="38">R29/R25</f>
      </c>
      <c r="S33" s="1634">
        <f t="shared" si="37"/>
      </c>
      <c r="T33" s="1634"/>
      <c r="U33" s="1634">
        <f>R33-$G35</f>
      </c>
      <c r="V33" s="2965"/>
      <c r="W33" s="1636"/>
      <c r="X33" s="1634">
        <f>M33-R33</f>
      </c>
      <c r="Y33" s="1635"/>
    </row>
    <row r="34" spans="1:25" ht="12">
      <c r="B34" s="1842" t="s">
        <v>1173</v>
      </c>
      <c r="C34" s="1636">
        <f>C30/C26</f>
      </c>
      <c r="D34" s="1634">
        <v>0.39612884020004768</v>
      </c>
      <c r="E34" s="1637"/>
      <c r="F34" s="1635">
        <f>C34-D34</f>
      </c>
      <c r="G34" s="1636">
        <f>G30/G26</f>
      </c>
      <c r="H34" s="1635">
        <f>C34-G34</f>
      </c>
      <c r="J34" s="1934" t="s">
        <v>1472</v>
      </c>
      <c r="K34" s="1893">
        <f t="shared" si="35"/>
      </c>
      <c r="L34" s="1893">
        <f>K34-$G36</f>
      </c>
      <c r="M34" s="2937">
        <f>D36</f>
      </c>
      <c r="N34" s="1893">
        <f t="shared" si="36"/>
      </c>
      <c r="O34" s="1893"/>
      <c r="P34" s="1893">
        <f>M34-$G36</f>
      </c>
      <c r="Q34" s="2927"/>
      <c r="R34" s="2937">
        <f>R30/R26</f>
      </c>
      <c r="S34" s="1893">
        <f t="shared" si="37"/>
      </c>
      <c r="T34" s="1893"/>
      <c r="U34" s="1893">
        <f>R34-$G36</f>
      </c>
      <c r="V34" s="1890" t="s">
        <v>2318</v>
      </c>
      <c r="W34" s="1892"/>
      <c r="X34" s="1893">
        <f>M34-R34</f>
      </c>
      <c r="Y34" s="1895"/>
    </row>
    <row r="35" spans="1:25" ht="12">
      <c r="B35" s="1842" t="s">
        <v>1172</v>
      </c>
      <c r="C35" s="1636">
        <f>C31/C27</f>
      </c>
      <c r="D35" s="1634">
        <v>0.70499999999999996</v>
      </c>
      <c r="E35" s="1637"/>
      <c r="F35" s="1635">
        <f>C35-D35</f>
      </c>
      <c r="G35" s="1636">
        <f>G31/G27</f>
      </c>
      <c r="H35" s="1635">
        <f>C35-G35</f>
      </c>
      <c r="J35" s="1934" t="s">
        <v>2251</v>
      </c>
      <c r="K35" s="1893">
        <f>K11/K8</f>
      </c>
      <c r="L35" s="1893">
        <f>K35-$G37</f>
      </c>
      <c r="M35" s="2937">
        <f>M11/M8</f>
      </c>
      <c r="N35" s="1893">
        <f t="shared" si="36"/>
      </c>
      <c r="O35" s="1893"/>
      <c r="P35" s="1893">
        <f>M35-$G37</f>
      </c>
      <c r="Q35" s="2927"/>
      <c r="R35" s="2937">
        <f>R11/R8</f>
      </c>
      <c r="S35" s="1893">
        <f t="shared" si="37"/>
      </c>
      <c r="T35" s="1893"/>
      <c r="U35" s="1893">
        <f>R35-$G37</f>
      </c>
      <c r="V35" s="2966"/>
      <c r="W35" s="1892"/>
      <c r="X35" s="1893">
        <f>M35-R35</f>
      </c>
      <c r="Y35" s="1895"/>
    </row>
    <row r="36" spans="1:25" ht="12">
      <c r="B36" s="1891" t="s">
        <v>1428</v>
      </c>
      <c r="C36" s="1892">
        <f>C32/C28</f>
      </c>
      <c r="D36" s="1893">
        <v>0.45691338467166298</v>
      </c>
      <c r="E36" s="1894"/>
      <c r="F36" s="1895">
        <f>C36-D36</f>
      </c>
      <c r="G36" s="1892">
        <f>G32/G28</f>
      </c>
      <c r="H36" s="1895">
        <f>C36-G36</f>
      </c>
      <c r="J36" s="1396"/>
      <c r="M36" s="2935"/>
      <c r="Q36" s="2925"/>
      <c r="R36" s="2935"/>
      <c r="V36" s="1839"/>
      <c r="W36" s="1396"/>
      <c r="Y36" s="1397"/>
    </row>
    <row r="37" spans="1:25" ht="12">
      <c r="B37" s="1891" t="s">
        <v>2282</v>
      </c>
      <c r="C37" s="1892">
        <f>C10/C4</f>
      </c>
      <c r="D37" s="1893">
        <v>0.33417270500840174</v>
      </c>
      <c r="E37" s="1894"/>
      <c r="F37" s="1895">
        <f>C37-D37</f>
      </c>
      <c r="G37" s="1892">
        <f>G10/G4</f>
      </c>
      <c r="H37" s="1895">
        <f>C37-G37</f>
      </c>
      <c r="J37" s="3025" t="s">
        <v>2250</v>
      </c>
      <c r="M37" s="2935"/>
      <c r="Q37" s="2925"/>
      <c r="R37" s="2935"/>
      <c r="V37" s="1839"/>
      <c r="W37" s="1396"/>
      <c r="Y37" s="1397"/>
    </row>
    <row r="38" spans="1:25">
      <c r="J38" s="1818" t="str">
        <f>Geo!A9</f>
      </c>
      <c r="K38" s="1897">
        <f t="shared" ref="K38:K42" si="39">C40</f>
      </c>
      <c r="L38" s="2541">
        <f t="shared" ref="L38:L43" si="40">K38/$G40-1</f>
      </c>
      <c r="M38" s="2944">
        <f>D40</f>
      </c>
      <c r="N38" s="1897">
        <f t="shared" ref="N38:N44" si="41">K38-M38</f>
      </c>
      <c r="O38" s="2541">
        <f t="shared" ref="O38:O43" si="42">K38/M38-1</f>
      </c>
      <c r="P38" s="2541">
        <f t="shared" ref="P38:P43" si="43">M38/$G40-1</f>
      </c>
      <c r="Q38" s="2956"/>
      <c r="R38" s="2938">
        <v>50430</v>
      </c>
      <c r="S38" s="2836">
        <f t="shared" ref="S38:S43" si="44">K38-R38</f>
      </c>
      <c r="T38" s="2837">
        <f t="shared" ref="T38:T43" si="45">K38/R38-1</f>
      </c>
      <c r="U38" s="2541">
        <f t="shared" ref="U38:U43" si="46">R38/$G40-1</f>
      </c>
      <c r="V38" s="2967"/>
      <c r="W38" s="3013"/>
      <c r="X38" s="2836">
        <f t="shared" ref="X38:X43" si="47">M38-R38</f>
      </c>
      <c r="Y38" s="2838">
        <f t="shared" ref="Y38:Y43" si="48">M38/R38-1</f>
      </c>
    </row>
    <row r="39" spans="1:25" ht="12">
      <c r="B39" s="2699" t="s">
        <v>2250</v>
      </c>
      <c r="C39" s="2700" t="str">
        <f>C55</f>
      </c>
      <c r="D39" s="2701" t="s">
        <v>654</v>
      </c>
      <c r="E39" s="2702" t="str">
        <f>E55</f>
      </c>
      <c r="F39" s="2703" t="str">
        <f>F55</f>
      </c>
      <c r="G39" s="2700" t="str">
        <f>G55</f>
      </c>
      <c r="H39" s="2703" t="str">
        <f>H55</f>
      </c>
      <c r="J39" s="1396" t="str">
        <f>Geo!A10</f>
      </c>
      <c r="K39" s="2504">
        <f t="shared" si="39"/>
      </c>
      <c r="L39" s="2523">
        <f t="shared" si="40"/>
      </c>
      <c r="M39" s="2940">
        <f>D41</f>
      </c>
      <c r="N39" s="2504">
        <f t="shared" si="41"/>
      </c>
      <c r="O39" s="2523">
        <f t="shared" si="42"/>
      </c>
      <c r="P39" s="2523">
        <f t="shared" si="43"/>
      </c>
      <c r="Q39" s="2925"/>
      <c r="R39" s="2932">
        <v>30397</v>
      </c>
      <c r="S39" s="1901">
        <f t="shared" si="44"/>
      </c>
      <c r="T39" s="1626">
        <f t="shared" si="45"/>
      </c>
      <c r="U39" s="2523">
        <f t="shared" si="46"/>
      </c>
      <c r="V39" s="2963"/>
      <c r="W39" s="1563"/>
      <c r="X39" s="1901">
        <f t="shared" si="47"/>
      </c>
      <c r="Y39" s="1630">
        <f t="shared" si="48"/>
      </c>
    </row>
    <row r="40" spans="1:25">
      <c r="B40" s="1841" t="str">
        <f>Geo!A9</f>
      </c>
      <c r="C40" s="1638">
        <f>VLOOKUP($B40,Geo!$A$9:$CW$13,MATCH(AvE_F1Q24!C$2,Geo!$A$7:$CW$7,0),0)</f>
      </c>
      <c r="D40" s="1639">
        <v>49375.456949071027</v>
      </c>
      <c r="E40" s="2754">
        <f t="shared" ref="E40:E45" si="49">C40-D40</f>
      </c>
      <c r="F40" s="1554">
        <f t="shared" ref="F40:F45" si="50">E40/D40</f>
      </c>
      <c r="G40" s="1638">
        <f>VLOOKUP($B40,Geo!$A$9:$CW$13,MATCH(AvE_F1Q24!G$2,Geo!$A$7:$CW$7,0),0)</f>
      </c>
      <c r="H40" s="1554">
        <f t="shared" ref="H40:H45" si="51">C40/G40-1</f>
      </c>
      <c r="J40" s="1396" t="str">
        <f>Geo!A11</f>
      </c>
      <c r="K40" s="2504">
        <f t="shared" si="39"/>
      </c>
      <c r="L40" s="2523">
        <f t="shared" si="40"/>
      </c>
      <c r="M40" s="2940">
        <f>D42</f>
      </c>
      <c r="N40" s="2504">
        <f t="shared" si="41"/>
      </c>
      <c r="O40" s="2523">
        <f t="shared" si="42"/>
      </c>
      <c r="P40" s="2523">
        <f t="shared" si="43"/>
      </c>
      <c r="Q40" s="2925"/>
      <c r="R40" s="2932">
        <v>20819</v>
      </c>
      <c r="S40" s="1901">
        <f t="shared" si="44"/>
      </c>
      <c r="T40" s="1626">
        <f t="shared" si="45"/>
      </c>
      <c r="U40" s="2523">
        <f t="shared" si="46"/>
      </c>
      <c r="V40" s="2963"/>
      <c r="W40" s="1563"/>
      <c r="X40" s="1901">
        <f t="shared" si="47"/>
      </c>
      <c r="Y40" s="1630">
        <f t="shared" si="48"/>
      </c>
    </row>
    <row r="41" spans="1:25">
      <c r="B41" s="1841" t="str">
        <f>Geo!A10</f>
      </c>
      <c r="C41" s="1638">
        <f>VLOOKUP($B41,Geo!$A$9:$CW$13,MATCH(AvE_F1Q24!C$2,Geo!$A$7:$CW$7,0),0)</f>
      </c>
      <c r="D41" s="1639">
        <v>27735.744628581419</v>
      </c>
      <c r="E41" s="2754">
        <f t="shared" si="49"/>
      </c>
      <c r="F41" s="1554">
        <f t="shared" si="50"/>
      </c>
      <c r="G41" s="1638">
        <f>VLOOKUP($B41,Geo!$A$9:$CW$13,MATCH(AvE_F1Q24!G$2,Geo!$A$7:$CW$7,0),0)</f>
      </c>
      <c r="H41" s="1554">
        <f t="shared" si="51"/>
      </c>
      <c r="J41" s="1396" t="str">
        <f>Geo!A12</f>
      </c>
      <c r="K41" s="2504">
        <f t="shared" si="39"/>
      </c>
      <c r="L41" s="2523">
        <f t="shared" si="40"/>
      </c>
      <c r="M41" s="2940">
        <f>D43</f>
      </c>
      <c r="N41" s="2504">
        <f t="shared" si="41"/>
      </c>
      <c r="O41" s="2523">
        <f t="shared" si="42"/>
      </c>
      <c r="P41" s="2523">
        <f t="shared" si="43"/>
      </c>
      <c r="Q41" s="2925"/>
      <c r="R41" s="2932">
        <v>7767</v>
      </c>
      <c r="S41" s="1901">
        <f t="shared" si="44"/>
      </c>
      <c r="T41" s="1626">
        <f t="shared" si="45"/>
      </c>
      <c r="U41" s="2523">
        <f t="shared" si="46"/>
      </c>
      <c r="V41" s="2963"/>
      <c r="W41" s="1563"/>
      <c r="X41" s="1901">
        <f t="shared" si="47"/>
      </c>
      <c r="Y41" s="1630">
        <f t="shared" si="48"/>
      </c>
    </row>
    <row r="42" spans="1:25">
      <c r="B42" s="1841" t="str">
        <f>Geo!A11</f>
      </c>
      <c r="C42" s="1638">
        <f>VLOOKUP($B42,Geo!$A$9:$CW$13,MATCH(AvE_F1Q24!C$2,Geo!$A$7:$CW$7,0),0)</f>
      </c>
      <c r="D42" s="1639">
        <v>23952.27684499255</v>
      </c>
      <c r="E42" s="2754">
        <f t="shared" si="49"/>
      </c>
      <c r="F42" s="1554">
        <f t="shared" si="50"/>
      </c>
      <c r="G42" s="1638">
        <f>VLOOKUP($B42,Geo!$A$9:$CW$13,MATCH(AvE_F1Q24!G$2,Geo!$A$7:$CW$7,0),0)</f>
      </c>
      <c r="H42" s="1554">
        <f t="shared" si="51"/>
      </c>
      <c r="J42" s="1396" t="str">
        <f>Geo!A13</f>
      </c>
      <c r="K42" s="2504">
        <f t="shared" si="39"/>
      </c>
      <c r="L42" s="2523">
        <f t="shared" si="40"/>
      </c>
      <c r="M42" s="2940">
        <f>D44</f>
      </c>
      <c r="N42" s="2504">
        <f t="shared" si="41"/>
      </c>
      <c r="O42" s="2523">
        <f t="shared" si="42"/>
      </c>
      <c r="P42" s="2523">
        <f t="shared" si="43"/>
      </c>
      <c r="Q42" s="2925"/>
      <c r="R42" s="2932">
        <v>10162</v>
      </c>
      <c r="S42" s="1901">
        <f t="shared" si="44"/>
      </c>
      <c r="T42" s="1626">
        <f t="shared" si="45"/>
      </c>
      <c r="U42" s="2523">
        <f t="shared" si="46"/>
      </c>
      <c r="V42" s="2963"/>
      <c r="W42" s="1563"/>
      <c r="X42" s="1901">
        <f t="shared" si="47"/>
      </c>
      <c r="Y42" s="1630">
        <f t="shared" si="48"/>
      </c>
    </row>
    <row r="43" spans="1:25" ht="12">
      <c r="B43" s="1841" t="str">
        <f>Geo!A12</f>
      </c>
      <c r="C43" s="1638">
        <f>VLOOKUP($B43,Geo!$A$9:$CW$13,MATCH(AvE_F1Q24!C$2,Geo!$A$7:$CW$7,0),0)</f>
      </c>
      <c r="D43" s="1639">
        <v>6768.359342728495</v>
      </c>
      <c r="E43" s="2754">
        <f t="shared" si="49"/>
      </c>
      <c r="F43" s="1554">
        <f t="shared" si="50"/>
      </c>
      <c r="G43" s="1638">
        <f>VLOOKUP($B43,Geo!$A$9:$CW$13,MATCH(AvE_F1Q24!G$2,Geo!$A$7:$CW$7,0),0)</f>
      </c>
      <c r="H43" s="1554">
        <f t="shared" si="51"/>
      </c>
      <c r="J43" s="1926" t="s">
        <v>1246</v>
      </c>
      <c r="K43" s="1889">
        <f>K26</f>
      </c>
      <c r="L43" s="2839">
        <f t="shared" si="40"/>
      </c>
      <c r="M43" s="2954">
        <f>M26</f>
      </c>
      <c r="N43" s="1930">
        <f t="shared" si="41"/>
      </c>
      <c r="O43" s="2839">
        <f t="shared" si="42"/>
      </c>
      <c r="P43" s="2839">
        <f t="shared" si="43"/>
      </c>
      <c r="Q43" s="2955"/>
      <c r="R43" s="2934">
        <v>119575</v>
      </c>
      <c r="S43" s="1930">
        <f t="shared" si="44"/>
      </c>
      <c r="T43" s="1927">
        <f t="shared" si="45"/>
      </c>
      <c r="U43" s="2839">
        <f t="shared" si="46"/>
      </c>
      <c r="V43" s="2964"/>
      <c r="W43" s="3012"/>
      <c r="X43" s="1930">
        <f t="shared" si="47"/>
      </c>
      <c r="Y43" s="1931">
        <f t="shared" si="48"/>
      </c>
    </row>
    <row r="44" spans="1:25" ht="12">
      <c r="B44" s="1841" t="str">
        <f>Geo!A13</f>
      </c>
      <c r="C44" s="1638">
        <f>VLOOKUP($B44,Geo!$A$9:$CW$13,MATCH(AvE_F1Q24!C$2,Geo!$A$7:$CW$7,0),0)</f>
      </c>
      <c r="D44" s="1639">
        <v>9553.8573401800422</v>
      </c>
      <c r="E44" s="2754">
        <f t="shared" si="49"/>
      </c>
      <c r="F44" s="1554">
        <f t="shared" si="50"/>
      </c>
      <c r="G44" s="1638">
        <f>VLOOKUP($B44,Geo!$A$9:$CW$13,MATCH(AvE_F1Q24!G$2,Geo!$A$7:$CW$7,0),0)</f>
      </c>
      <c r="H44" s="1554">
        <f t="shared" si="51"/>
      </c>
      <c r="J44" s="2998" t="s">
        <v>2261</v>
      </c>
      <c r="K44" s="2525">
        <f>C46</f>
      </c>
      <c r="L44" s="2525"/>
      <c r="M44" s="2999">
        <f>D46</f>
      </c>
      <c r="N44" s="2525">
        <f t="shared" si="41"/>
      </c>
      <c r="O44" s="2525"/>
      <c r="P44" s="2525"/>
      <c r="Q44" s="2969"/>
      <c r="R44" s="2970"/>
      <c r="S44" s="3000"/>
      <c r="T44" s="3122"/>
      <c r="U44" s="3015"/>
      <c r="V44" s="3001" t="s">
        <v>2319</v>
      </c>
      <c r="W44" s="3014"/>
      <c r="X44" s="2971"/>
      <c r="Y44" s="3015"/>
    </row>
    <row r="45" spans="1:25" ht="12">
      <c r="B45" s="1890" t="s">
        <v>1246</v>
      </c>
      <c r="C45" s="1860">
        <f>SUM(C40:C44)</f>
      </c>
      <c r="D45" s="1889">
        <v>117385.69510555353</v>
      </c>
      <c r="E45" s="2843">
        <f t="shared" si="49"/>
      </c>
      <c r="F45" s="1861">
        <f t="shared" si="50"/>
      </c>
      <c r="G45" s="1860">
        <f>SUM(G40:G44)</f>
      </c>
      <c r="H45" s="1861">
        <f t="shared" si="51"/>
      </c>
    </row>
    <row r="46" spans="1:25">
      <c r="A46" s="1624" t="str">
        <f>'Revenue summary'!A27</f>
      </c>
      <c r="B46" s="2997" t="s">
        <v>2261</v>
      </c>
      <c r="C46" s="2993">
        <f>VLOOKUP($A46,'Revenue summary'!$A$11:$DQ$27,MATCH(AvE_F1Q24!C$2,'Revenue summary'!$A$8:$DQ$8,0),0)</f>
      </c>
      <c r="D46" s="2994">
        <v>-0.01</v>
      </c>
      <c r="E46" s="2995"/>
      <c r="F46" s="2996">
        <f>C46-D46</f>
      </c>
      <c r="G46" s="2993">
        <f>VLOOKUP($A46,'Revenue summary'!$A$11:$DQ$27,MATCH(AvE_F1Q24!G$2,'Revenue summary'!$A$8:$DQ$8,0),0)</f>
      </c>
      <c r="H46" s="2992"/>
      <c r="J46" s="2745" t="s">
        <v>2237</v>
      </c>
      <c r="K46" s="2746"/>
      <c r="L46" s="2746"/>
      <c r="M46" s="3406" t="s">
        <v>720</v>
      </c>
      <c r="N46" s="3400"/>
      <c r="O46" s="3400"/>
      <c r="P46" s="3400"/>
      <c r="Q46" s="3407"/>
      <c r="R46" s="2939" t="s">
        <v>668</v>
      </c>
      <c r="S46" s="2749"/>
      <c r="T46" s="2750"/>
      <c r="U46" s="3172"/>
      <c r="V46" s="2621"/>
      <c r="W46" s="3005"/>
      <c r="X46" s="2749" t="s">
        <v>1430</v>
      </c>
      <c r="Y46" s="2750"/>
    </row>
    <row r="47" spans="1:25">
      <c r="J47" s="3026" t="s">
        <v>1431</v>
      </c>
      <c r="K47" s="2751" t="s">
        <v>654</v>
      </c>
      <c r="L47" s="2751"/>
      <c r="M47" s="2928" t="s">
        <v>720</v>
      </c>
      <c r="N47" s="2751" t="s">
        <v>1426</v>
      </c>
      <c r="O47" s="2751" t="s">
        <v>1427</v>
      </c>
      <c r="P47" s="2751"/>
      <c r="Q47" s="2751"/>
      <c r="R47" s="3035" t="s">
        <v>2265</v>
      </c>
      <c r="S47" s="2751" t="s">
        <v>1426</v>
      </c>
      <c r="T47" s="2750" t="s">
        <v>1427</v>
      </c>
      <c r="U47" s="3173"/>
      <c r="W47" s="3006"/>
      <c r="X47" s="2751" t="s">
        <v>1426</v>
      </c>
      <c r="Y47" s="2750" t="s">
        <v>1427</v>
      </c>
    </row>
    <row r="48" spans="1:25" ht="12">
      <c r="B48" s="2851" t="s">
        <v>2252</v>
      </c>
      <c r="J48" s="3027" t="s">
        <v>2236</v>
      </c>
      <c r="L48" s="2523"/>
      <c r="M48" s="2935"/>
      <c r="O48" s="2523"/>
      <c r="P48" s="2523"/>
      <c r="R48" s="2935"/>
      <c r="T48" s="3020"/>
      <c r="U48" s="2523"/>
      <c r="W48" s="1396"/>
      <c r="Y48" s="3020"/>
    </row>
    <row r="49" spans="2:25" ht="12">
      <c r="B49" s="2846" t="s">
        <v>2211</v>
      </c>
      <c r="C49" s="2847" t="str">
        <f>C21</f>
      </c>
      <c r="D49" s="2848" t="str">
        <f>D21</f>
      </c>
      <c r="E49" s="2849" t="s">
        <v>2213</v>
      </c>
      <c r="F49" s="2850" t="str">
        <f>F21</f>
      </c>
      <c r="G49" s="2847" t="str">
        <f>G21</f>
      </c>
      <c r="H49" s="2850" t="str">
        <f>H21</f>
      </c>
      <c r="J49" s="1396" t="s">
        <v>2221</v>
      </c>
      <c r="K49" s="1641">
        <f t="shared" ref="K49:K51" si="52">C26</f>
      </c>
      <c r="L49" s="2523"/>
      <c r="M49" s="2957">
        <f>D26</f>
      </c>
      <c r="N49" s="1641">
        <f t="shared" ref="N49:N63" si="53">K49-M49</f>
      </c>
      <c r="O49" s="2523">
        <f t="shared" ref="O49:O63" si="54">K49/M49-1</f>
      </c>
      <c r="P49" s="2523"/>
      <c r="R49" s="2940">
        <v>96450.754516760469</v>
      </c>
      <c r="S49" s="1641">
        <f t="shared" ref="S49:S63" si="55">K49-R49</f>
      </c>
      <c r="T49" s="3020">
        <f t="shared" ref="T49:T63" si="56">K49/R49-1</f>
      </c>
      <c r="U49" s="2523"/>
      <c r="W49" s="1396"/>
      <c r="X49" s="1641">
        <f t="shared" ref="X49:X63" si="57">M49-R49</f>
      </c>
      <c r="Y49" s="3020">
        <f t="shared" ref="Y49:Y63" si="58">M49/R49-1</f>
      </c>
    </row>
    <row r="50" spans="2:25">
      <c r="B50" s="1818" t="str">
        <f>'Segment - Products'!A92</f>
      </c>
      <c r="C50" s="2763">
        <f>VLOOKUP($B50,'Segment - Products'!$A$72:$FU$101,MATCH(AvE_F1Q24!C$2,'Segment - Products'!$A$8:$HF$8,0),0)</f>
      </c>
      <c r="D50" s="2755">
        <v>80.5</v>
      </c>
      <c r="E50" s="2756">
        <f>C50-D50</f>
      </c>
      <c r="F50" s="2757">
        <f>E50/D50</f>
      </c>
      <c r="G50" s="2755">
        <f>VLOOKUP($B50,'Segment - Products'!$A$72:$FU$101,MATCH(AvE_F1Q24!G$2,'Segment - Products'!$A$8:$HF$8,0),0)</f>
      </c>
      <c r="H50" s="2757">
        <f>C50/G50-1</f>
      </c>
      <c r="J50" s="1396" t="s">
        <v>2223</v>
      </c>
      <c r="K50" s="1641">
        <f t="shared" si="52"/>
      </c>
      <c r="L50" s="2523"/>
      <c r="M50" s="2957">
        <f>D27</f>
      </c>
      <c r="N50" s="1641">
        <f t="shared" si="53"/>
      </c>
      <c r="O50" s="2523">
        <f t="shared" si="54"/>
      </c>
      <c r="P50" s="2523"/>
      <c r="R50" s="2940">
        <v>23117</v>
      </c>
      <c r="S50" s="1641">
        <f t="shared" si="55"/>
      </c>
      <c r="T50" s="3020">
        <f t="shared" si="56"/>
      </c>
      <c r="U50" s="2523"/>
      <c r="W50" s="1396"/>
      <c r="X50" s="1641">
        <f t="shared" si="57"/>
      </c>
      <c r="Y50" s="3020">
        <f t="shared" si="58"/>
      </c>
    </row>
    <row r="51" spans="2:25" ht="12">
      <c r="B51" s="1396" t="str">
        <f>'Segment - Products'!A99</f>
      </c>
      <c r="C51" s="2764">
        <f>VLOOKUP($B51,'Segment - Products'!$A$72:$FU$101,MATCH(AvE_F1Q24!C$2,'Segment - Products'!$A$8:$HF$8,0),0)</f>
      </c>
      <c r="D51" s="2517">
        <v>16.5</v>
      </c>
      <c r="E51" s="2753">
        <f>C51-D51</f>
      </c>
      <c r="F51" s="1554">
        <f>E51/D51</f>
      </c>
      <c r="G51" s="2517">
        <f>VLOOKUP($B51,'Segment - Products'!$A$72:$FU$101,MATCH(AvE_F1Q24!G$2,'Segment - Products'!$A$8:$HF$8,0),0)</f>
      </c>
      <c r="H51" s="1554">
        <f>C51/G51-1</f>
      </c>
      <c r="J51" s="1588" t="s">
        <v>1246</v>
      </c>
      <c r="K51" s="2768">
        <f t="shared" si="52"/>
      </c>
      <c r="L51" s="2525"/>
      <c r="M51" s="2958">
        <f>D28</f>
      </c>
      <c r="N51" s="2768">
        <f t="shared" si="53"/>
      </c>
      <c r="O51" s="2525">
        <f t="shared" si="54"/>
      </c>
      <c r="P51" s="2525"/>
      <c r="Q51" s="2502"/>
      <c r="R51" s="2943">
        <v>119574.99482758621</v>
      </c>
      <c r="S51" s="2768">
        <f t="shared" si="55"/>
      </c>
      <c r="T51" s="3021">
        <f t="shared" si="56"/>
      </c>
      <c r="U51" s="2523"/>
      <c r="W51" s="2532"/>
      <c r="X51" s="2768">
        <f t="shared" si="57"/>
      </c>
      <c r="Y51" s="3021">
        <f t="shared" si="58"/>
      </c>
    </row>
    <row r="52" spans="2:25">
      <c r="B52" s="1396" t="str">
        <f>'Segment - Products'!A93</f>
      </c>
      <c r="C52" s="2764">
        <f>VLOOKUP($B52,'Segment - Products'!$A$72:$FU$101,MATCH(AvE_F1Q24!C$2,'Segment - Products'!$A$8:$HF$8,0),0)</f>
      </c>
      <c r="D52" s="2517">
        <v>5.7</v>
      </c>
      <c r="E52" s="2753">
        <f>C52-D52</f>
      </c>
      <c r="F52" s="1554">
        <f>E52/D52</f>
      </c>
      <c r="G52" s="2517">
        <f>VLOOKUP($B52,'Segment - Products'!$A$72:$FU$101,MATCH(AvE_F1Q24!G$2,'Segment - Products'!$A$8:$HF$8,0),0)</f>
      </c>
      <c r="H52" s="1554">
        <f>C52/G52-1</f>
      </c>
      <c r="J52" s="1396" t="s">
        <v>2224</v>
      </c>
      <c r="K52" s="2504">
        <f t="shared" ref="K52:K54" si="59">C30</f>
      </c>
      <c r="L52" s="2523"/>
      <c r="M52" s="2940">
        <f>D30</f>
      </c>
      <c r="N52" s="2504">
        <f t="shared" si="53"/>
      </c>
      <c r="O52" s="2523">
        <f t="shared" si="54"/>
      </c>
      <c r="P52" s="2523"/>
      <c r="R52" s="2940">
        <v>38028.894839906978</v>
      </c>
      <c r="S52" s="2504">
        <f t="shared" si="55"/>
      </c>
      <c r="T52" s="3020">
        <f t="shared" si="56"/>
      </c>
      <c r="U52" s="2523"/>
      <c r="W52" s="1396"/>
      <c r="X52" s="2504">
        <f t="shared" si="57"/>
      </c>
      <c r="Y52" s="3020">
        <f t="shared" si="58"/>
      </c>
    </row>
    <row r="53" spans="2:25">
      <c r="B53" s="2758" t="str">
        <f>'Segment - Products'!A100</f>
      </c>
      <c r="C53" s="2765">
        <f>VLOOKUP($B53,'Segment - Products'!$A$72:$FU$101,MATCH(AvE_F1Q24!C$2,'Segment - Products'!$A$8:$HF$8,0),0)</f>
      </c>
      <c r="D53" s="2759">
        <v>10.152857142857144</v>
      </c>
      <c r="E53" s="2760">
        <f>C53-D53</f>
      </c>
      <c r="F53" s="1556">
        <f>E53/D53</f>
      </c>
      <c r="G53" s="2759">
        <f>VLOOKUP($B53,'Segment - Products'!$A$72:$FU$101,MATCH(AvE_F1Q24!G$2,'Segment - Products'!$A$8:$HF$8,0),0)</f>
      </c>
      <c r="H53" s="1556">
        <f>C53/G53-1</f>
      </c>
      <c r="J53" s="1396" t="s">
        <v>2225</v>
      </c>
      <c r="K53" s="2504">
        <f t="shared" si="59"/>
      </c>
      <c r="L53" s="2523"/>
      <c r="M53" s="2940">
        <f>D31</f>
      </c>
      <c r="N53" s="2504">
        <f t="shared" si="53"/>
      </c>
      <c r="O53" s="2523">
        <f t="shared" si="54"/>
      </c>
      <c r="P53" s="2523"/>
      <c r="R53" s="2940">
        <v>16828.921170528469</v>
      </c>
      <c r="S53" s="2504">
        <f t="shared" si="55"/>
      </c>
      <c r="T53" s="3020">
        <f t="shared" si="56"/>
      </c>
      <c r="U53" s="2523"/>
      <c r="W53" s="1396"/>
      <c r="X53" s="2504">
        <f t="shared" si="57"/>
      </c>
      <c r="Y53" s="3020">
        <f t="shared" si="58"/>
      </c>
    </row>
    <row r="54" spans="2:25">
      <c r="J54" s="2532" t="s">
        <v>2226</v>
      </c>
      <c r="K54" s="2505">
        <f t="shared" si="59"/>
      </c>
      <c r="L54" s="2525"/>
      <c r="M54" s="2941">
        <f>D32</f>
      </c>
      <c r="N54" s="2505">
        <f t="shared" si="53"/>
      </c>
      <c r="O54" s="2525">
        <f t="shared" si="54"/>
      </c>
      <c r="P54" s="2525"/>
      <c r="Q54" s="2502"/>
      <c r="R54" s="2941">
        <v>54854.994827586204</v>
      </c>
      <c r="S54" s="2505">
        <f t="shared" si="55"/>
      </c>
      <c r="T54" s="3021">
        <f t="shared" si="56"/>
      </c>
      <c r="U54" s="2523"/>
      <c r="W54" s="2532"/>
      <c r="X54" s="2505">
        <f t="shared" si="57"/>
      </c>
      <c r="Y54" s="3021">
        <f t="shared" si="58"/>
      </c>
    </row>
    <row r="55" spans="2:25" ht="12">
      <c r="B55" s="2846" t="s">
        <v>2216</v>
      </c>
      <c r="C55" s="2847" t="str">
        <f>C$49</f>
      </c>
      <c r="D55" s="2848" t="str">
        <f>D$49</f>
      </c>
      <c r="E55" s="2849" t="s">
        <v>2215</v>
      </c>
      <c r="F55" s="2850" t="str">
        <f>F$49</f>
      </c>
      <c r="G55" s="2847" t="str">
        <f>G$49</f>
      </c>
      <c r="H55" s="2850" t="str">
        <f>H$49</f>
      </c>
      <c r="J55" s="1396" t="s">
        <v>2229</v>
      </c>
      <c r="K55" s="2504">
        <f>C7</f>
      </c>
      <c r="L55" s="2523"/>
      <c r="M55" s="2940">
        <f>D7</f>
      </c>
      <c r="N55" s="2504">
        <f t="shared" si="53"/>
      </c>
      <c r="O55" s="2523">
        <f t="shared" si="54"/>
      </c>
      <c r="P55" s="2523"/>
      <c r="R55" s="2940">
        <v>7696</v>
      </c>
      <c r="S55" s="2504">
        <f t="shared" si="55"/>
      </c>
      <c r="T55" s="3020">
        <f t="shared" si="56"/>
      </c>
      <c r="U55" s="2523"/>
      <c r="W55" s="1396"/>
      <c r="X55" s="2504">
        <f t="shared" si="57"/>
      </c>
      <c r="Y55" s="3020">
        <f t="shared" si="58"/>
      </c>
    </row>
    <row r="56" spans="2:25">
      <c r="B56" s="1818" t="str">
        <f>B50</f>
      </c>
      <c r="C56" s="2766">
        <f>C22/C50</f>
      </c>
      <c r="D56" s="1897">
        <v>844.56236024844725</v>
      </c>
      <c r="E56" s="2761">
        <f>C56-D56</f>
      </c>
      <c r="F56" s="2757">
        <f>E56/D56</f>
      </c>
      <c r="G56" s="1897">
        <f>G22/G50</f>
      </c>
      <c r="H56" s="2757">
        <f>C56/G56-1</f>
      </c>
      <c r="J56" s="1396" t="s">
        <v>2230</v>
      </c>
      <c r="K56" s="2504">
        <f>C8</f>
      </c>
      <c r="L56" s="2523"/>
      <c r="M56" s="2940">
        <f>D8</f>
      </c>
      <c r="N56" s="2504">
        <f t="shared" si="53"/>
      </c>
      <c r="O56" s="2523">
        <f t="shared" si="54"/>
      </c>
      <c r="P56" s="2523"/>
      <c r="R56" s="2940">
        <v>6786</v>
      </c>
      <c r="S56" s="2504">
        <f t="shared" si="55"/>
      </c>
      <c r="T56" s="3020">
        <f t="shared" si="56"/>
      </c>
      <c r="U56" s="2523"/>
      <c r="W56" s="1396"/>
      <c r="X56" s="2504">
        <f t="shared" si="57"/>
      </c>
      <c r="Y56" s="3020">
        <f t="shared" si="58"/>
      </c>
    </row>
    <row r="57" spans="2:25">
      <c r="B57" s="1396" t="str">
        <f>B51</f>
      </c>
      <c r="C57" s="1907">
        <f>C23/C51</f>
      </c>
      <c r="D57" s="2504">
        <v>442.42424242424244</v>
      </c>
      <c r="E57" s="2754">
        <f>C57-D57</f>
      </c>
      <c r="F57" s="1554">
        <f>E57/D57</f>
      </c>
      <c r="G57" s="2504">
        <f>G23/G51</f>
      </c>
      <c r="H57" s="1554">
        <f>C57/G57-1</f>
      </c>
      <c r="J57" s="2532" t="s">
        <v>2231</v>
      </c>
      <c r="K57" s="2505">
        <f t="shared" ref="K57:K60" si="60">C10</f>
      </c>
      <c r="L57" s="2525"/>
      <c r="M57" s="2941">
        <f>D10</f>
      </c>
      <c r="N57" s="2505">
        <f t="shared" si="53"/>
      </c>
      <c r="O57" s="2525">
        <f t="shared" si="54"/>
      </c>
      <c r="P57" s="2525"/>
      <c r="Q57" s="2502"/>
      <c r="R57" s="2941">
        <v>40372.994827586204</v>
      </c>
      <c r="S57" s="2505">
        <f t="shared" si="55"/>
      </c>
      <c r="T57" s="3021">
        <f t="shared" si="56"/>
      </c>
      <c r="U57" s="2523"/>
      <c r="W57" s="2532"/>
      <c r="X57" s="2505">
        <f t="shared" si="57"/>
      </c>
      <c r="Y57" s="3021">
        <f t="shared" si="58"/>
      </c>
    </row>
    <row r="58" spans="2:25">
      <c r="B58" s="1396" t="str">
        <f>B52</f>
      </c>
      <c r="C58" s="1907">
        <f>C24/C52</f>
      </c>
      <c r="D58" s="2504">
        <v>1290</v>
      </c>
      <c r="E58" s="2754">
        <f>C58-D58</f>
      </c>
      <c r="F58" s="1554">
        <f>E58/D58</f>
      </c>
      <c r="G58" s="2504">
        <f>G24/G52</f>
      </c>
      <c r="H58" s="1554">
        <f>C58/G58-1</f>
      </c>
      <c r="J58" s="1396" t="s">
        <v>2227</v>
      </c>
      <c r="K58" s="2504">
        <f t="shared" si="60"/>
      </c>
      <c r="L58" s="2523"/>
      <c r="M58" s="2940">
        <f>D11</f>
      </c>
      <c r="N58" s="2504">
        <f t="shared" si="53"/>
      </c>
      <c r="O58" s="2523">
        <f t="shared" si="54"/>
      </c>
      <c r="P58" s="2523"/>
      <c r="R58" s="2940">
        <v>-50</v>
      </c>
      <c r="S58" s="2504">
        <f t="shared" si="55"/>
      </c>
      <c r="T58" s="3020">
        <f t="shared" si="56"/>
      </c>
      <c r="U58" s="2523"/>
      <c r="W58" s="1396"/>
      <c r="X58" s="2504">
        <f t="shared" si="57"/>
      </c>
      <c r="Y58" s="3020">
        <f t="shared" si="58"/>
      </c>
    </row>
    <row r="59" spans="2:25">
      <c r="B59" s="2758" t="str">
        <f>B53</f>
      </c>
      <c r="C59" s="2767">
        <f>C61/C53</f>
      </c>
      <c r="D59" s="1899">
        <v>550</v>
      </c>
      <c r="E59" s="2762">
        <f>C59-D59</f>
      </c>
      <c r="F59" s="1556">
        <f>E59/D59</f>
      </c>
      <c r="G59" s="1899">
        <f>G61/G53</f>
      </c>
      <c r="H59" s="1556">
        <f>C59/G59-1</f>
      </c>
      <c r="J59" s="1818" t="s">
        <v>2232</v>
      </c>
      <c r="K59" s="1897">
        <f t="shared" si="60"/>
      </c>
      <c r="L59" s="2541"/>
      <c r="M59" s="2944">
        <f>D12</f>
      </c>
      <c r="N59" s="1897">
        <f t="shared" si="53"/>
      </c>
      <c r="O59" s="2541">
        <f t="shared" si="54"/>
      </c>
      <c r="P59" s="2541"/>
      <c r="Q59" s="2621"/>
      <c r="R59" s="2944">
        <v>40322.998626429107</v>
      </c>
      <c r="S59" s="1897">
        <f t="shared" si="55"/>
      </c>
      <c r="T59" s="3022">
        <f t="shared" si="56"/>
      </c>
      <c r="U59" s="2523"/>
      <c r="W59" s="1818"/>
      <c r="X59" s="1897">
        <f t="shared" si="57"/>
      </c>
      <c r="Y59" s="3022">
        <f t="shared" si="58"/>
      </c>
    </row>
    <row r="60" spans="2:25">
      <c r="J60" s="1396" t="s">
        <v>2233</v>
      </c>
      <c r="K60" s="2504" t="e">
        <f t="shared" si="60"/>
      </c>
      <c r="L60" s="2523"/>
      <c r="M60" s="2940">
        <f>D13</f>
      </c>
      <c r="N60" s="2504" t="e">
        <f t="shared" si="53"/>
      </c>
      <c r="O60" s="2523" t="e">
        <f t="shared" si="54"/>
      </c>
      <c r="P60" s="2523"/>
      <c r="R60" s="2940">
        <v>6407</v>
      </c>
      <c r="S60" s="2504" t="e">
        <f t="shared" si="55"/>
      </c>
      <c r="T60" s="3020" t="e">
        <f t="shared" si="56"/>
      </c>
      <c r="U60" s="2523"/>
      <c r="W60" s="1396"/>
      <c r="X60" s="2504">
        <f t="shared" si="57"/>
      </c>
      <c r="Y60" s="3020">
        <f t="shared" si="58"/>
      </c>
    </row>
    <row r="61" spans="2:25">
      <c r="B61" s="2532" t="s">
        <v>94</v>
      </c>
      <c r="C61" s="2769">
        <f>VLOOKUP($B61,'Segment - Products'!$A$15:$DQ$18,MATCH(AvE_F1Q24!C$2,'Segment - Products'!$A$8:$DQ$8,0),0)</f>
      </c>
      <c r="D61" s="2505">
        <v>5584.0714285714294</v>
      </c>
      <c r="E61" s="2770">
        <f>C61-D61</f>
      </c>
      <c r="F61" s="1558">
        <f>E61/D61</f>
      </c>
      <c r="G61" s="2505">
        <f>'Segment - Products'!DC15</f>
      </c>
      <c r="H61" s="1558">
        <f>C61/G61-1</f>
      </c>
      <c r="J61" s="1396" t="s">
        <v>1562</v>
      </c>
      <c r="K61" s="2523" t="e">
        <f>K60/K59</f>
      </c>
      <c r="L61" s="2523"/>
      <c r="M61" s="2945">
        <f>M60/M59</f>
      </c>
      <c r="N61" s="2523" t="e">
        <f t="shared" si="53"/>
      </c>
      <c r="O61" s="2523"/>
      <c r="P61" s="2523"/>
      <c r="R61" s="2945">
        <f>R60/R59</f>
      </c>
      <c r="S61" s="2523" t="e">
        <f t="shared" si="55"/>
      </c>
      <c r="T61" s="3020" t="e">
        <f t="shared" si="56"/>
      </c>
      <c r="U61" s="2523"/>
      <c r="W61" s="1396"/>
      <c r="X61" s="2523">
        <f t="shared" si="57"/>
      </c>
      <c r="Y61" s="3020">
        <f t="shared" si="58"/>
      </c>
    </row>
    <row r="62" spans="2:25">
      <c r="B62" s="2968"/>
      <c r="J62" s="2532" t="s">
        <v>2234</v>
      </c>
      <c r="K62" s="2768">
        <f>C16</f>
      </c>
      <c r="L62" s="2525"/>
      <c r="M62" s="2958">
        <f>D16</f>
      </c>
      <c r="N62" s="2768">
        <f t="shared" si="53"/>
      </c>
      <c r="O62" s="2525">
        <f t="shared" si="54"/>
      </c>
      <c r="P62" s="2525"/>
      <c r="Q62" s="2502"/>
      <c r="R62" s="2941">
        <v>33915.998626429107</v>
      </c>
      <c r="S62" s="2768">
        <f t="shared" si="55"/>
      </c>
      <c r="T62" s="3021">
        <f t="shared" si="56"/>
      </c>
      <c r="U62" s="2523"/>
      <c r="W62" s="2532"/>
      <c r="X62" s="2768">
        <f t="shared" si="57"/>
      </c>
      <c r="Y62" s="3021">
        <f t="shared" si="58"/>
      </c>
    </row>
    <row r="63" spans="2:25">
      <c r="B63" s="2835" t="s">
        <v>82</v>
      </c>
      <c r="C63" s="2835">
        <f>C4*2-C28-C45</f>
      </c>
      <c r="D63" s="2835">
        <f>D4*2-D28-D45</f>
      </c>
      <c r="E63" s="2835">
        <f>E4*2-E28-E45</f>
      </c>
      <c r="F63" s="2835"/>
      <c r="G63" s="2835">
        <f>G4*2-G28-G45</f>
      </c>
      <c r="J63" s="2532" t="s">
        <v>2228</v>
      </c>
      <c r="K63" s="2771">
        <f>C18</f>
      </c>
      <c r="L63" s="2525"/>
      <c r="M63" s="2959">
        <f>D18</f>
      </c>
      <c r="N63" s="2771">
        <f t="shared" si="53"/>
      </c>
      <c r="O63" s="2525">
        <f t="shared" si="54"/>
      </c>
      <c r="P63" s="2525"/>
      <c r="Q63" s="2502"/>
      <c r="R63" s="2946">
        <v>2.1780853034147598</v>
      </c>
      <c r="S63" s="2771">
        <f t="shared" si="55"/>
      </c>
      <c r="T63" s="3021">
        <f t="shared" si="56"/>
      </c>
      <c r="U63" s="2523"/>
      <c r="W63" s="2532"/>
      <c r="X63" s="2771">
        <f t="shared" si="57"/>
      </c>
      <c r="Y63" s="3021">
        <f t="shared" si="58"/>
      </c>
    </row>
    <row r="64" spans="2:25">
      <c r="J64" s="1396"/>
      <c r="K64" s="196"/>
      <c r="L64" s="2523"/>
      <c r="M64" s="3038"/>
      <c r="N64" s="196"/>
      <c r="O64" s="2523"/>
      <c r="P64" s="2523"/>
      <c r="R64" s="3039"/>
      <c r="S64" s="196"/>
      <c r="T64" s="3020"/>
      <c r="U64" s="2523"/>
      <c r="W64" s="1396"/>
      <c r="X64" s="196"/>
      <c r="Y64" s="3020"/>
    </row>
    <row r="65" spans="3:25" ht="12">
      <c r="J65" s="3027" t="s">
        <v>1617</v>
      </c>
      <c r="M65" s="2935"/>
      <c r="R65" s="2935"/>
      <c r="T65" s="1397"/>
      <c r="W65" s="1396"/>
      <c r="Y65" s="1397"/>
    </row>
    <row r="66" spans="3:25">
      <c r="J66" s="1396" t="s">
        <v>2217</v>
      </c>
      <c r="K66" s="1641">
        <f t="shared" ref="K66:K70" si="61">C22</f>
      </c>
      <c r="L66" s="2523"/>
      <c r="M66" s="2957">
        <f>D22</f>
      </c>
      <c r="N66" s="1641">
        <f>K66-M66</f>
      </c>
      <c r="O66" s="2523">
        <f>K66/M66-1</f>
      </c>
      <c r="P66" s="2523"/>
      <c r="R66" s="2940">
        <v>69694.777086000002</v>
      </c>
      <c r="S66" s="1641">
        <f>K66-R66</f>
      </c>
      <c r="T66" s="3020">
        <f>K66/R66-1</f>
      </c>
      <c r="U66" s="2523"/>
      <c r="W66" s="1396"/>
      <c r="X66" s="1641">
        <f t="shared" ref="X66:X71" si="62">M66-R66</f>
      </c>
      <c r="Y66" s="3020">
        <f t="shared" ref="Y66:Y71" si="63">M66/R66-1</f>
      </c>
    </row>
    <row r="67" spans="3:25">
      <c r="J67" s="1396" t="s">
        <v>2218</v>
      </c>
      <c r="K67" s="1641">
        <f t="shared" si="61"/>
      </c>
      <c r="L67" s="2523"/>
      <c r="M67" s="2957">
        <f>D23</f>
      </c>
      <c r="N67" s="1641">
        <f t="shared" ref="N67:N70" si="64">K67-M67</f>
      </c>
      <c r="O67" s="2523">
        <f t="shared" ref="O67:O70" si="65">K67/M67-1</f>
      </c>
      <c r="P67" s="2523"/>
      <c r="R67" s="2940">
        <v>7023</v>
      </c>
      <c r="S67" s="1641">
        <f t="shared" ref="S67:S71" si="66">K67-R67</f>
      </c>
      <c r="T67" s="3020">
        <f t="shared" ref="T67:T71" si="67">K67/R67-1</f>
      </c>
      <c r="U67" s="2523"/>
      <c r="W67" s="1396"/>
      <c r="X67" s="1641">
        <f t="shared" si="62"/>
      </c>
      <c r="Y67" s="3020">
        <f t="shared" si="63"/>
      </c>
    </row>
    <row r="68" spans="3:25">
      <c r="J68" s="1396" t="s">
        <v>2219</v>
      </c>
      <c r="K68" s="1641">
        <f t="shared" si="61"/>
      </c>
      <c r="L68" s="2523"/>
      <c r="M68" s="2957">
        <f>D24</f>
      </c>
      <c r="N68" s="1641">
        <f t="shared" si="64"/>
      </c>
      <c r="O68" s="2523">
        <f t="shared" si="65"/>
      </c>
      <c r="P68" s="2523"/>
      <c r="R68" s="2940">
        <v>7779.9898996749071</v>
      </c>
      <c r="S68" s="1641">
        <f t="shared" si="66"/>
      </c>
      <c r="T68" s="3020">
        <f t="shared" si="67"/>
      </c>
      <c r="U68" s="2523"/>
      <c r="W68" s="1396"/>
      <c r="X68" s="1641">
        <f t="shared" si="62"/>
      </c>
      <c r="Y68" s="3020">
        <f t="shared" si="63"/>
      </c>
    </row>
    <row r="69" spans="3:25">
      <c r="J69" s="3028" t="s">
        <v>2220</v>
      </c>
      <c r="K69" s="1641">
        <f t="shared" si="61"/>
      </c>
      <c r="L69" s="2523"/>
      <c r="M69" s="2957">
        <f>D25</f>
      </c>
      <c r="N69" s="1641">
        <f t="shared" si="64"/>
      </c>
      <c r="O69" s="2523">
        <f t="shared" si="65"/>
      </c>
      <c r="P69" s="2523"/>
      <c r="R69" s="2940">
        <v>11952.987531085553</v>
      </c>
      <c r="S69" s="1641">
        <f t="shared" si="66"/>
      </c>
      <c r="T69" s="3020">
        <f t="shared" si="67"/>
      </c>
      <c r="U69" s="2523"/>
      <c r="W69" s="1396"/>
      <c r="X69" s="1641">
        <f t="shared" si="62"/>
      </c>
      <c r="Y69" s="3020">
        <f t="shared" si="63"/>
      </c>
    </row>
    <row r="70" spans="3:25">
      <c r="J70" s="2532" t="s">
        <v>2221</v>
      </c>
      <c r="K70" s="2505">
        <f t="shared" si="61"/>
      </c>
      <c r="L70" s="2525"/>
      <c r="M70" s="2941">
        <f>D26</f>
      </c>
      <c r="N70" s="2505">
        <f t="shared" si="64"/>
      </c>
      <c r="O70" s="2525">
        <f t="shared" si="65"/>
      </c>
      <c r="P70" s="2525"/>
      <c r="Q70" s="2502"/>
      <c r="R70" s="2941">
        <v>96450.754516760469</v>
      </c>
      <c r="S70" s="2505">
        <f t="shared" si="66"/>
      </c>
      <c r="T70" s="3021">
        <f t="shared" si="67"/>
      </c>
      <c r="U70" s="2523"/>
      <c r="W70" s="2532"/>
      <c r="X70" s="2505">
        <f t="shared" si="62"/>
      </c>
      <c r="Y70" s="3021">
        <f t="shared" si="63"/>
      </c>
    </row>
    <row r="71" spans="3:25">
      <c r="J71" s="1396" t="s">
        <v>2222</v>
      </c>
      <c r="K71" s="2504">
        <f>C61</f>
      </c>
      <c r="L71" s="2523"/>
      <c r="M71" s="2940">
        <f>D61</f>
      </c>
      <c r="N71" s="2517"/>
      <c r="O71" s="2523"/>
      <c r="P71" s="2523"/>
      <c r="R71" s="2940">
        <v>6225.1444000371866</v>
      </c>
      <c r="S71" s="2504">
        <f t="shared" si="66"/>
      </c>
      <c r="T71" s="3020">
        <f t="shared" si="67"/>
      </c>
      <c r="U71" s="2523"/>
      <c r="W71" s="1396"/>
      <c r="X71" s="2504">
        <f t="shared" si="62"/>
      </c>
      <c r="Y71" s="3020">
        <f t="shared" si="63"/>
      </c>
    </row>
    <row r="72" spans="3:25">
      <c r="E72" s="3107"/>
      <c r="J72" s="1396"/>
      <c r="L72" s="2523"/>
      <c r="M72" s="2935"/>
      <c r="O72" s="2523"/>
      <c r="P72" s="2523"/>
      <c r="R72" s="2935"/>
      <c r="T72" s="3020"/>
      <c r="U72" s="2523"/>
      <c r="W72" s="1396"/>
      <c r="Y72" s="3020"/>
    </row>
    <row r="73" spans="3:25" ht="12">
      <c r="D73" s="3107"/>
      <c r="J73" s="3025" t="s">
        <v>2208</v>
      </c>
      <c r="L73" s="2523"/>
      <c r="M73" s="2935"/>
      <c r="O73" s="2523"/>
      <c r="P73" s="2523"/>
      <c r="R73" s="2935"/>
      <c r="T73" s="3020"/>
      <c r="U73" s="2523"/>
      <c r="W73" s="1396"/>
      <c r="Y73" s="3020"/>
    </row>
    <row r="74" spans="3:25">
      <c r="C74" s="3106"/>
      <c r="J74" s="1396" t="s">
        <v>2207</v>
      </c>
      <c r="K74" s="2517">
        <f t="shared" ref="K74:K77" si="68">C50</f>
      </c>
      <c r="L74" s="2523"/>
      <c r="M74" s="2942">
        <f>D50</f>
      </c>
      <c r="N74" s="2517">
        <f t="shared" ref="N74:N83" si="69">K74-M74</f>
      </c>
      <c r="O74" s="2523">
        <f t="shared" ref="O74:O83" si="70">K74/M74-1</f>
      </c>
      <c r="P74" s="2523"/>
      <c r="R74" s="2942">
        <v>78.081512840098242</v>
      </c>
      <c r="S74" s="2517">
        <f t="shared" ref="S74:S77" si="71">K74-R74</f>
      </c>
      <c r="T74" s="3020">
        <f t="shared" ref="T74:T77" si="72">K74/R74-1</f>
      </c>
      <c r="U74" s="2523"/>
      <c r="W74" s="1396"/>
      <c r="X74" s="2517">
        <f>M74-R74</f>
      </c>
      <c r="Y74" s="3020">
        <f>M74/R74-1</f>
      </c>
    </row>
    <row r="75" spans="3:25">
      <c r="J75" s="1396" t="s">
        <v>2209</v>
      </c>
      <c r="K75" s="2517">
        <f t="shared" si="68"/>
      </c>
      <c r="L75" s="2523"/>
      <c r="M75" s="2942">
        <f>D51</f>
      </c>
      <c r="N75" s="2517">
        <f t="shared" si="69"/>
      </c>
      <c r="O75" s="2523">
        <f t="shared" si="70"/>
      </c>
      <c r="P75" s="2523"/>
      <c r="R75" s="2942">
        <v>14.51557573499327</v>
      </c>
      <c r="S75" s="2517">
        <f t="shared" si="71"/>
      </c>
      <c r="T75" s="3020">
        <f t="shared" si="72"/>
      </c>
      <c r="U75" s="2523"/>
      <c r="W75" s="1396"/>
      <c r="X75" s="2517">
        <f>M75-R75</f>
      </c>
      <c r="Y75" s="3020">
        <f>M75/R75-1</f>
      </c>
    </row>
    <row r="76" spans="3:25">
      <c r="J76" s="1396" t="s">
        <v>2210</v>
      </c>
      <c r="K76" s="2517">
        <f t="shared" si="68"/>
      </c>
      <c r="L76" s="2523"/>
      <c r="M76" s="2942">
        <f>D52</f>
      </c>
      <c r="N76" s="2517">
        <f t="shared" si="69"/>
      </c>
      <c r="O76" s="2523">
        <f t="shared" si="70"/>
      </c>
      <c r="P76" s="2523"/>
      <c r="R76" s="2942">
        <v>5.9566742535173756</v>
      </c>
      <c r="S76" s="2517">
        <f t="shared" si="71"/>
      </c>
      <c r="T76" s="3020">
        <f t="shared" si="72"/>
      </c>
      <c r="U76" s="2523"/>
      <c r="W76" s="1396"/>
      <c r="X76" s="2517">
        <f>M76-R76</f>
      </c>
      <c r="Y76" s="3020">
        <f>M76/R76-1</f>
      </c>
    </row>
    <row r="77" spans="3:25">
      <c r="J77" s="3028" t="s">
        <v>2212</v>
      </c>
      <c r="K77" s="2517">
        <f t="shared" si="68"/>
      </c>
      <c r="L77" s="2523"/>
      <c r="M77" s="2942">
        <f>D53</f>
      </c>
      <c r="N77" s="2517">
        <f t="shared" si="69"/>
      </c>
      <c r="O77" s="2523">
        <f t="shared" si="70"/>
      </c>
      <c r="P77" s="2523"/>
      <c r="R77" s="2942">
        <v>13.760263687431685</v>
      </c>
      <c r="S77" s="2517">
        <f t="shared" si="71"/>
      </c>
      <c r="T77" s="3020">
        <f t="shared" si="72"/>
      </c>
      <c r="U77" s="2523"/>
      <c r="W77" s="1396"/>
      <c r="X77" s="2517">
        <f>M77-R77</f>
      </c>
      <c r="Y77" s="3020">
        <f>M77/R77-1</f>
      </c>
    </row>
    <row r="78" spans="3:25">
      <c r="J78" s="1396"/>
      <c r="L78" s="2523"/>
      <c r="M78" s="2935"/>
      <c r="O78" s="2523"/>
      <c r="P78" s="2523"/>
      <c r="R78" s="2935"/>
      <c r="T78" s="3020"/>
      <c r="U78" s="2523"/>
      <c r="W78" s="1396"/>
      <c r="Y78" s="3020"/>
    </row>
    <row r="79" spans="3:25" ht="12">
      <c r="J79" s="3025" t="s">
        <v>2216</v>
      </c>
      <c r="L79" s="2523"/>
      <c r="M79" s="2935"/>
      <c r="O79" s="2523"/>
      <c r="P79" s="2523"/>
      <c r="R79" s="2935"/>
      <c r="T79" s="3020"/>
      <c r="U79" s="2523"/>
      <c r="W79" s="1396"/>
      <c r="Y79" s="3020"/>
    </row>
    <row r="80" spans="3:25">
      <c r="J80" s="1396" t="str">
        <f t="shared" ref="J80:K83" si="73">B56</f>
      </c>
      <c r="K80" s="2504">
        <f t="shared" si="73"/>
      </c>
      <c r="L80" s="2523"/>
      <c r="M80" s="2940">
        <f>D56</f>
      </c>
      <c r="N80" s="2504">
        <f t="shared" si="69"/>
      </c>
      <c r="O80" s="2523">
        <f t="shared" si="70"/>
      </c>
      <c r="P80" s="2523"/>
      <c r="R80" s="2940">
        <f>R66/R74</f>
      </c>
      <c r="S80" s="2504">
        <f t="shared" ref="S80:S83" si="74">K80-R80</f>
      </c>
      <c r="T80" s="3020">
        <f t="shared" ref="T80:T83" si="75">K80/R80-1</f>
      </c>
      <c r="U80" s="2523"/>
      <c r="W80" s="1396"/>
      <c r="X80" s="2504">
        <f>M80-R80</f>
      </c>
      <c r="Y80" s="3020">
        <f>M80/R80-1</f>
      </c>
    </row>
    <row r="81" spans="6:25">
      <c r="J81" s="1396" t="str">
        <f t="shared" si="73"/>
      </c>
      <c r="K81" s="2504">
        <f t="shared" si="73"/>
      </c>
      <c r="L81" s="2523"/>
      <c r="M81" s="2940">
        <f>D57</f>
      </c>
      <c r="N81" s="2504">
        <f t="shared" si="69"/>
      </c>
      <c r="O81" s="2523">
        <f t="shared" si="70"/>
      </c>
      <c r="P81" s="2523"/>
      <c r="R81" s="2940">
        <f>R67/R75</f>
      </c>
      <c r="S81" s="2504">
        <f t="shared" si="74"/>
      </c>
      <c r="T81" s="3020">
        <f t="shared" si="75"/>
      </c>
      <c r="U81" s="2523"/>
      <c r="W81" s="1396"/>
      <c r="X81" s="2504">
        <f>M81-R81</f>
      </c>
      <c r="Y81" s="3020">
        <f>M81/R81-1</f>
      </c>
    </row>
    <row r="82" spans="6:25">
      <c r="J82" s="1396" t="str">
        <f t="shared" si="73"/>
      </c>
      <c r="K82" s="2504">
        <f t="shared" si="73"/>
      </c>
      <c r="L82" s="2523"/>
      <c r="M82" s="2940">
        <f>D58</f>
      </c>
      <c r="N82" s="2504">
        <f t="shared" si="69"/>
      </c>
      <c r="O82" s="2523">
        <f t="shared" si="70"/>
      </c>
      <c r="P82" s="2523"/>
      <c r="R82" s="2940">
        <f>R68/R76</f>
      </c>
      <c r="S82" s="2504">
        <f t="shared" si="74"/>
      </c>
      <c r="T82" s="3020">
        <f t="shared" si="75"/>
      </c>
      <c r="U82" s="2523"/>
      <c r="W82" s="1396"/>
      <c r="X82" s="2504">
        <f>M82-R82</f>
      </c>
      <c r="Y82" s="3020">
        <f>M82/R82-1</f>
      </c>
    </row>
    <row r="83" spans="6:25">
      <c r="J83" s="2614" t="str">
        <f t="shared" si="73"/>
      </c>
      <c r="K83" s="1899">
        <f t="shared" si="73"/>
      </c>
      <c r="L83" s="2615"/>
      <c r="M83" s="3037">
        <f>D59</f>
      </c>
      <c r="N83" s="1899">
        <f t="shared" si="69"/>
      </c>
      <c r="O83" s="2615">
        <f t="shared" si="70"/>
      </c>
      <c r="P83" s="2615"/>
      <c r="Q83" s="195"/>
      <c r="R83" s="3037">
        <f>R71/R77</f>
      </c>
      <c r="S83" s="1899">
        <f t="shared" si="74"/>
      </c>
      <c r="T83" s="2616">
        <f t="shared" si="75"/>
      </c>
      <c r="U83" s="2615"/>
      <c r="V83" s="195"/>
      <c r="W83" s="2614"/>
      <c r="X83" s="1899">
        <f>M83-R83</f>
      </c>
      <c r="Y83" s="2616">
        <f>M83/R83-1</f>
      </c>
    </row>
    <row r="85" spans="6:25" ht="12">
      <c r="N85" s="2520"/>
      <c r="R85" s="2790" t="s">
        <v>544</v>
      </c>
      <c r="S85" s="2788" t="s">
        <v>545</v>
      </c>
    </row>
    <row r="86" spans="6:25" ht="12">
      <c r="R86" s="2790" t="s">
        <v>2204</v>
      </c>
      <c r="S86" s="2788" t="s">
        <v>668</v>
      </c>
      <c r="V86" s="2520">
        <f>R93/'Segment - Services'!DF21-1</f>
      </c>
    </row>
    <row r="87" spans="6:25" ht="12">
      <c r="R87" s="2790" t="s">
        <v>2205</v>
      </c>
      <c r="S87" s="2789">
        <f ca="1">TODAY()</f>
      </c>
    </row>
    <row r="88" spans="6:25" ht="12">
      <c r="N88" s="2921" t="str">
        <f>'Income Statement'!DK7</f>
      </c>
      <c r="R88" s="2790" t="s">
        <v>2206</v>
      </c>
      <c r="S88" s="2791" t="s">
        <v>2245</v>
      </c>
    </row>
    <row r="89" spans="6:25">
      <c r="J89" s="2745" t="s">
        <v>2237</v>
      </c>
      <c r="K89" s="2746"/>
      <c r="L89" s="2746"/>
      <c r="M89" s="3400" t="s">
        <v>720</v>
      </c>
      <c r="N89" s="3400"/>
      <c r="O89" s="3400"/>
      <c r="P89" s="2746"/>
      <c r="Q89" s="2746"/>
      <c r="R89" s="3400" t="s">
        <v>668</v>
      </c>
      <c r="S89" s="3400"/>
      <c r="T89" s="3401"/>
      <c r="U89" s="2750"/>
      <c r="V89" s="2960" t="s">
        <v>2258</v>
      </c>
      <c r="W89" s="3005"/>
      <c r="X89" s="3400" t="s">
        <v>1430</v>
      </c>
      <c r="Y89" s="3401"/>
    </row>
    <row r="90" spans="6:25">
      <c r="J90" s="3026" t="s">
        <v>1431</v>
      </c>
      <c r="K90" s="2751"/>
      <c r="L90" s="2751"/>
      <c r="M90" s="2751" t="s">
        <v>720</v>
      </c>
      <c r="N90" s="2751" t="s">
        <v>1426</v>
      </c>
      <c r="O90" s="2749" t="s">
        <v>1427</v>
      </c>
      <c r="P90" s="2751"/>
      <c r="Q90" s="2751"/>
      <c r="R90" s="2751" t="s">
        <v>1432</v>
      </c>
      <c r="S90" s="2751" t="s">
        <v>1426</v>
      </c>
      <c r="T90" s="2750" t="s">
        <v>1427</v>
      </c>
      <c r="U90" s="3120"/>
      <c r="V90" s="2961"/>
      <c r="W90" s="3006"/>
      <c r="X90" s="2751" t="s">
        <v>1426</v>
      </c>
      <c r="Y90" s="2750" t="s">
        <v>1427</v>
      </c>
    </row>
    <row r="91" spans="6:25" ht="12">
      <c r="F91" s="2520">
        <f>R94/'Income Statement'!DF9-1</f>
      </c>
      <c r="J91" s="3027" t="s">
        <v>2236</v>
      </c>
      <c r="L91" s="2523"/>
      <c r="O91" s="2523"/>
      <c r="P91" s="2523"/>
      <c r="T91" s="3020"/>
      <c r="U91" s="2523"/>
      <c r="W91" s="1396"/>
      <c r="Y91" s="3020"/>
    </row>
    <row r="92" spans="6:25">
      <c r="I92" s="1546" t="s">
        <v>667</v>
      </c>
      <c r="J92" s="1396" t="s">
        <v>2221</v>
      </c>
      <c r="K92" s="1641"/>
      <c r="L92" s="2523"/>
      <c r="M92" s="1641">
        <f>VLOOKUP($I92,'Revenue summary'!$A$11:$DQ$17,MATCH(AvE_F1Q24!N$88,'Revenue summary'!$A$8:$DQ$8,0),0)</f>
      </c>
      <c r="N92" s="1641"/>
      <c r="O92" s="2523"/>
      <c r="P92" s="2523"/>
      <c r="R92" s="2504">
        <v>66823.549248573487</v>
      </c>
      <c r="S92" s="1641"/>
      <c r="T92" s="3020"/>
      <c r="U92" s="2523"/>
      <c r="V92" s="1641"/>
      <c r="W92" s="1396"/>
      <c r="X92" s="1641">
        <f t="shared" ref="X92:X97" si="76">M92-R92</f>
      </c>
      <c r="Y92" s="3020">
        <f t="shared" ref="Y92:Y97" si="77">M92/R92-1</f>
      </c>
    </row>
    <row r="93" spans="6:25">
      <c r="I93" s="1546" t="s">
        <v>81</v>
      </c>
      <c r="J93" s="2614" t="s">
        <v>2223</v>
      </c>
      <c r="K93" s="1641"/>
      <c r="L93" s="2523"/>
      <c r="M93" s="1641">
        <f>VLOOKUP($I93,'Revenue summary'!$A$11:$DQ$17,MATCH(AvE_F1Q24!N$88,'Revenue summary'!$A$8:$DQ$8,0),0)</f>
      </c>
      <c r="N93" s="1641"/>
      <c r="O93" s="2523"/>
      <c r="P93" s="2523"/>
      <c r="R93" s="2504">
        <v>23869.756966340017</v>
      </c>
      <c r="S93" s="1641"/>
      <c r="T93" s="3020"/>
      <c r="U93" s="2523"/>
      <c r="V93" s="1641"/>
      <c r="W93" s="1396"/>
      <c r="X93" s="1641">
        <f t="shared" si="76"/>
      </c>
      <c r="Y93" s="3020">
        <f t="shared" si="77"/>
      </c>
    </row>
    <row r="94" spans="6:25" s="163" customFormat="1" ht="12">
      <c r="G94" s="3144">
        <f>R94/'Income Statement'!DE9-1</f>
      </c>
      <c r="I94" s="163" t="s">
        <v>63</v>
      </c>
      <c r="J94" s="1588" t="s">
        <v>1246</v>
      </c>
      <c r="K94" s="3145"/>
      <c r="L94" s="2543"/>
      <c r="M94" s="3145">
        <f>VLOOKUP($I94,'Income Statement'!$A$9:$DM$35,MATCH(AvE_F1Q24!N$88,'Income Statement'!$A$7:$DM$7,0),0)</f>
      </c>
      <c r="N94" s="3145"/>
      <c r="O94" s="2543"/>
      <c r="P94" s="2543"/>
      <c r="Q94" s="1545"/>
      <c r="R94" s="1544">
        <v>90752.991379310348</v>
      </c>
      <c r="S94" s="3145"/>
      <c r="T94" s="3029"/>
      <c r="U94" s="2543"/>
      <c r="V94" s="3145" t="s">
        <v>2267</v>
      </c>
      <c r="W94" s="1588"/>
      <c r="X94" s="3145">
        <f t="shared" si="76"/>
      </c>
      <c r="Y94" s="3029">
        <f t="shared" si="77"/>
      </c>
    </row>
    <row r="95" spans="6:25">
      <c r="I95" s="160" t="s">
        <v>1105</v>
      </c>
      <c r="J95" s="1396" t="s">
        <v>2224</v>
      </c>
      <c r="K95" s="2504"/>
      <c r="L95" s="2523"/>
      <c r="M95" s="2504">
        <f>VLOOKUP($I95,'Revenue summary'!$A$52:$DQ$54,MATCH(AvE_F1Q24!N$88,'Revenue summary'!$A$8:$DQ$8,0),0)</f>
      </c>
      <c r="N95" s="2504"/>
      <c r="O95" s="2523"/>
      <c r="P95" s="2523"/>
      <c r="R95" s="2504">
        <v>24463.194674783983</v>
      </c>
      <c r="S95" s="2504"/>
      <c r="T95" s="3020"/>
      <c r="U95" s="2523"/>
      <c r="V95" s="2504"/>
      <c r="W95" s="1396"/>
      <c r="X95" s="2504">
        <f t="shared" si="76"/>
      </c>
      <c r="Y95" s="3020">
        <f t="shared" si="77"/>
      </c>
    </row>
    <row r="96" spans="6:25">
      <c r="I96" s="160" t="s">
        <v>995</v>
      </c>
      <c r="J96" s="1396" t="s">
        <v>2225</v>
      </c>
      <c r="K96" s="2504"/>
      <c r="L96" s="2523"/>
      <c r="M96" s="2504">
        <f>VLOOKUP($I96,'Revenue summary'!$A$52:$DQ$54,MATCH(AvE_F1Q24!N$88,'Revenue summary'!$A$8:$DQ$8,0),0)</f>
      </c>
      <c r="N96" s="2504"/>
      <c r="O96" s="2523"/>
      <c r="P96" s="2523"/>
      <c r="R96" s="2504">
        <v>17808.806190267027</v>
      </c>
      <c r="S96" s="2504"/>
      <c r="T96" s="3020"/>
      <c r="U96" s="2523"/>
      <c r="V96" s="2504"/>
      <c r="W96" s="1396"/>
      <c r="X96" s="2504">
        <f t="shared" si="76"/>
      </c>
      <c r="Y96" s="3020">
        <f t="shared" si="77"/>
      </c>
    </row>
    <row r="97" spans="9:25" s="163" customFormat="1" ht="12">
      <c r="I97" s="163" t="s">
        <v>67</v>
      </c>
      <c r="J97" s="1588" t="s">
        <v>2226</v>
      </c>
      <c r="K97" s="1544"/>
      <c r="L97" s="2543"/>
      <c r="M97" s="1544">
        <f>VLOOKUP($I97,'Revenue summary'!$A$52:$DQ$54,MATCH(AvE_F1Q24!N$88,'Revenue summary'!$A$8:$DQ$8,0),0)</f>
      </c>
      <c r="N97" s="1544"/>
      <c r="O97" s="2543"/>
      <c r="P97" s="2543"/>
      <c r="Q97" s="1545"/>
      <c r="R97" s="1544">
        <v>42270.991379310348</v>
      </c>
      <c r="S97" s="1544"/>
      <c r="T97" s="3029"/>
      <c r="U97" s="2543"/>
      <c r="V97" s="1544"/>
      <c r="W97" s="1588"/>
      <c r="X97" s="1544">
        <f t="shared" si="76"/>
      </c>
      <c r="Y97" s="3029">
        <f t="shared" si="77"/>
      </c>
    </row>
    <row r="98" spans="9:25" s="163" customFormat="1" ht="12">
      <c r="J98" s="1934" t="s">
        <v>2266</v>
      </c>
      <c r="K98" s="3146"/>
      <c r="L98" s="3148"/>
      <c r="M98" s="3147">
        <f>M97/M94</f>
      </c>
      <c r="N98" s="3146"/>
      <c r="O98" s="3148"/>
      <c r="P98" s="3148"/>
      <c r="Q98" s="2589"/>
      <c r="R98" s="3147">
        <f>R97/R94</f>
      </c>
      <c r="S98" s="3146"/>
      <c r="T98" s="3149"/>
      <c r="U98" s="3148"/>
      <c r="V98" s="3146" t="s">
        <v>2267</v>
      </c>
      <c r="W98" s="1934"/>
      <c r="X98" s="3146"/>
      <c r="Y98" s="3149"/>
    </row>
    <row r="99" spans="9:25">
      <c r="I99" s="160" t="s">
        <v>68</v>
      </c>
      <c r="J99" s="1396" t="s">
        <v>2229</v>
      </c>
      <c r="K99" s="2504"/>
      <c r="L99" s="2523"/>
      <c r="M99" s="2504">
        <f>VLOOKUP($I99,'Income Statement'!$A$9:$DM$35,MATCH(AvE_F1Q24!N$88,'Income Statement'!$A$7:$DM$7,0),0)</f>
      </c>
      <c r="N99" s="2504"/>
      <c r="O99" s="2523"/>
      <c r="P99" s="2523"/>
      <c r="R99" s="2504">
        <v>7903</v>
      </c>
      <c r="S99" s="2504"/>
      <c r="T99" s="3020"/>
      <c r="U99" s="2523"/>
      <c r="V99" s="2504"/>
      <c r="W99" s="1396"/>
      <c r="X99" s="2504">
        <f t="shared" ref="X99:X108" si="78">M99-R99</f>
      </c>
      <c r="Y99" s="3020">
        <f t="shared" ref="Y99:Y108" si="79">M99/R99-1</f>
      </c>
    </row>
    <row r="100" spans="9:25">
      <c r="I100" s="160" t="s">
        <v>76</v>
      </c>
      <c r="J100" s="1396" t="s">
        <v>2230</v>
      </c>
      <c r="K100" s="2504"/>
      <c r="L100" s="2523"/>
      <c r="M100" s="2504">
        <f>VLOOKUP($I100,'Income Statement'!$A$9:$DM$35,MATCH(AvE_F1Q24!N$88,'Income Statement'!$A$7:$DM$7,0),0)</f>
      </c>
      <c r="N100" s="2504"/>
      <c r="O100" s="2523"/>
      <c r="P100" s="2523"/>
      <c r="R100" s="2504">
        <v>6468</v>
      </c>
      <c r="S100" s="2504"/>
      <c r="T100" s="3020"/>
      <c r="U100" s="2523"/>
      <c r="V100" s="2504"/>
      <c r="W100" s="1396"/>
      <c r="X100" s="2504">
        <f t="shared" si="78"/>
      </c>
      <c r="Y100" s="3020">
        <f t="shared" si="79"/>
      </c>
    </row>
    <row r="101" spans="9:25" ht="12">
      <c r="J101" s="1588" t="s">
        <v>1600</v>
      </c>
      <c r="K101" s="1544"/>
      <c r="L101" s="2543"/>
      <c r="M101" s="1544">
        <f>SUM(M99:M100)</f>
      </c>
      <c r="N101" s="1544"/>
      <c r="O101" s="2543"/>
      <c r="P101" s="2543"/>
      <c r="Q101" s="1545"/>
      <c r="R101" s="1544">
        <f>SUM(R99:R100)</f>
      </c>
      <c r="S101" s="1544"/>
      <c r="T101" s="3029"/>
      <c r="U101" s="2543"/>
      <c r="V101" s="1544" t="s">
        <v>2267</v>
      </c>
      <c r="W101" s="1588"/>
      <c r="X101" s="1544">
        <f t="shared" si="78"/>
      </c>
      <c r="Y101" s="3029">
        <f t="shared" si="79"/>
      </c>
    </row>
    <row r="102" spans="9:25" ht="12">
      <c r="I102" s="160" t="s">
        <v>70</v>
      </c>
      <c r="J102" s="1588" t="s">
        <v>2231</v>
      </c>
      <c r="K102" s="1544"/>
      <c r="L102" s="2543"/>
      <c r="M102" s="1544">
        <f>VLOOKUP($I102,'Income Statement'!$A$9:$DM$35,MATCH(AvE_F1Q24!N$88,'Income Statement'!$A$7:$DM$7,0),0)</f>
      </c>
      <c r="N102" s="1544"/>
      <c r="O102" s="2543"/>
      <c r="P102" s="2543"/>
      <c r="Q102" s="1545"/>
      <c r="R102" s="1544">
        <v>27899.991379310344</v>
      </c>
      <c r="S102" s="1544"/>
      <c r="T102" s="3029"/>
      <c r="U102" s="2543"/>
      <c r="V102" s="1544"/>
      <c r="W102" s="1588"/>
      <c r="X102" s="2505">
        <f t="shared" si="78"/>
      </c>
      <c r="Y102" s="3021">
        <f t="shared" si="79"/>
      </c>
    </row>
    <row r="103" spans="9:25">
      <c r="I103" s="160" t="s">
        <v>689</v>
      </c>
      <c r="J103" s="1396" t="s">
        <v>2227</v>
      </c>
      <c r="K103" s="2504"/>
      <c r="L103" s="2523"/>
      <c r="M103" s="2504">
        <f>VLOOKUP($I103,'Income Statement'!$A$9:$DM$35,MATCH(AvE_F1Q24!N$88,'Income Statement'!$A$7:$DM$7,0),0)</f>
      </c>
      <c r="N103" s="2504"/>
      <c r="O103" s="2523"/>
      <c r="P103" s="2523"/>
      <c r="R103" s="2504">
        <v>158</v>
      </c>
      <c r="S103" s="2504"/>
      <c r="T103" s="3020"/>
      <c r="U103" s="2523"/>
      <c r="V103" s="2504"/>
      <c r="W103" s="1396"/>
      <c r="X103" s="2504">
        <f t="shared" si="78"/>
      </c>
      <c r="Y103" s="3020">
        <f t="shared" si="79"/>
      </c>
    </row>
    <row r="104" spans="9:25">
      <c r="I104" s="160" t="s">
        <v>71</v>
      </c>
      <c r="J104" s="1818" t="s">
        <v>2232</v>
      </c>
      <c r="K104" s="1897"/>
      <c r="L104" s="2541"/>
      <c r="M104" s="1897">
        <f>VLOOKUP($I104,'Income Statement'!$A$9:$DM$35,MATCH(AvE_F1Q24!N$88,'Income Statement'!$A$7:$DM$7,0),0)</f>
      </c>
      <c r="N104" s="1897"/>
      <c r="O104" s="2541"/>
      <c r="P104" s="2541"/>
      <c r="Q104" s="2621"/>
      <c r="R104" s="1897">
        <v>28057.99084907828</v>
      </c>
      <c r="S104" s="1897"/>
      <c r="T104" s="3022"/>
      <c r="U104" s="2541"/>
      <c r="V104" s="1897"/>
      <c r="W104" s="1818"/>
      <c r="X104" s="1897">
        <f t="shared" si="78"/>
      </c>
      <c r="Y104" s="3022">
        <f t="shared" si="79"/>
      </c>
    </row>
    <row r="105" spans="9:25">
      <c r="I105" s="160" t="s">
        <v>72</v>
      </c>
      <c r="J105" s="1396" t="s">
        <v>2233</v>
      </c>
      <c r="K105" s="2504"/>
      <c r="L105" s="2523"/>
      <c r="M105" s="2504" t="e">
        <f>VLOOKUP($I105,'Income Statement'!$A$9:$DM$35,MATCH(AvE_F1Q24!N$88,'Income Statement'!$A$7:$DM$7,0),0)</f>
      </c>
      <c r="N105" s="2504"/>
      <c r="O105" s="2523"/>
      <c r="P105" s="2523"/>
      <c r="R105" s="2504">
        <v>4422</v>
      </c>
      <c r="S105" s="2504"/>
      <c r="T105" s="3020"/>
      <c r="U105" s="2523"/>
      <c r="V105" s="2504"/>
      <c r="W105" s="1396"/>
      <c r="X105" s="2504" t="e">
        <f t="shared" si="78"/>
      </c>
      <c r="Y105" s="3020" t="e">
        <f t="shared" si="79"/>
      </c>
    </row>
    <row r="106" spans="9:25">
      <c r="J106" s="1396" t="s">
        <v>1562</v>
      </c>
      <c r="K106" s="2523"/>
      <c r="L106" s="2523"/>
      <c r="M106" s="2523" t="e">
        <f>M105/M104</f>
      </c>
      <c r="N106" s="2523"/>
      <c r="O106" s="2523"/>
      <c r="P106" s="2523"/>
      <c r="R106" s="2523">
        <f>R105/R104</f>
      </c>
      <c r="S106" s="2523"/>
      <c r="T106" s="3020"/>
      <c r="U106" s="2523"/>
      <c r="V106" s="3040" t="s">
        <v>2267</v>
      </c>
      <c r="W106" s="1396"/>
      <c r="X106" s="2523" t="e">
        <f t="shared" si="78"/>
      </c>
      <c r="Y106" s="3020" t="e">
        <f t="shared" si="79"/>
      </c>
    </row>
    <row r="107" spans="9:25">
      <c r="I107" s="160" t="s">
        <v>80</v>
      </c>
      <c r="J107" s="2532" t="s">
        <v>2234</v>
      </c>
      <c r="K107" s="2768"/>
      <c r="L107" s="2525"/>
      <c r="M107" s="2768">
        <f>VLOOKUP($I107,'Income Statement'!$A$9:$DM$35,MATCH(AvE_F1Q24!N$88,'Income Statement'!$A$7:$DM$7,0),0)</f>
      </c>
      <c r="N107" s="2768"/>
      <c r="O107" s="2525"/>
      <c r="P107" s="2525"/>
      <c r="Q107" s="2502"/>
      <c r="R107" s="2505">
        <v>23635.99084907828</v>
      </c>
      <c r="S107" s="2768"/>
      <c r="T107" s="3021"/>
      <c r="U107" s="2525"/>
      <c r="V107" s="2768"/>
      <c r="W107" s="2532"/>
      <c r="X107" s="2768">
        <f t="shared" si="78"/>
      </c>
      <c r="Y107" s="3021">
        <f t="shared" si="79"/>
      </c>
    </row>
    <row r="108" spans="9:25" ht="12">
      <c r="I108" s="160" t="s">
        <v>1153</v>
      </c>
      <c r="J108" s="1588" t="s">
        <v>2228</v>
      </c>
      <c r="K108" s="2923"/>
      <c r="L108" s="2543"/>
      <c r="M108" s="2923">
        <f>VLOOKUP($I108,'Income Statement'!$A$9:$DM$35,MATCH(AvE_F1Q24!N$88,'Income Statement'!$A$7:$DM$7,0),0)</f>
      </c>
      <c r="N108" s="2923"/>
      <c r="O108" s="2543"/>
      <c r="P108" s="2543"/>
      <c r="Q108" s="1545"/>
      <c r="R108" s="2924">
        <v>1.528462834410101</v>
      </c>
      <c r="S108" s="2923"/>
      <c r="T108" s="3029"/>
      <c r="U108" s="2543"/>
      <c r="V108" s="2923"/>
      <c r="W108" s="1588"/>
      <c r="X108" s="2771">
        <f t="shared" si="78"/>
      </c>
      <c r="Y108" s="3021">
        <f t="shared" si="79"/>
      </c>
    </row>
    <row r="109" spans="9:25" ht="12">
      <c r="J109" s="3027"/>
      <c r="T109" s="1397"/>
      <c r="W109" s="1396"/>
      <c r="Y109" s="1397"/>
    </row>
    <row r="110" spans="9:25" ht="12">
      <c r="J110" s="3027" t="s">
        <v>1617</v>
      </c>
      <c r="T110" s="1397"/>
      <c r="W110" s="1396"/>
      <c r="Y110" s="1397"/>
    </row>
    <row r="111" spans="9:25">
      <c r="I111" s="2504" t="str">
        <f>B22</f>
      </c>
      <c r="J111" s="1396" t="s">
        <v>2217</v>
      </c>
      <c r="K111" s="1641"/>
      <c r="L111" s="2523"/>
      <c r="M111" s="1641">
        <f>VLOOKUP($I111,'Revenue summary'!$A$11:$DQ$17,MATCH(AvE_F1Q24!N$88,'Revenue summary'!$A$8:$DQ$8,0),0)</f>
      </c>
      <c r="N111" s="1641"/>
      <c r="O111" s="2523"/>
      <c r="P111" s="2523"/>
      <c r="R111" s="2504">
        <v>45950.949036785714</v>
      </c>
      <c r="S111" s="1641"/>
      <c r="T111" s="3020"/>
      <c r="U111" s="2523"/>
      <c r="V111" s="2504"/>
      <c r="W111" s="1396"/>
      <c r="X111" s="1641">
        <f t="shared" ref="X111:X116" si="80">M111-R111</f>
      </c>
      <c r="Y111" s="3020">
        <f t="shared" ref="Y111:Y116" si="81">M111/R111-1</f>
      </c>
    </row>
    <row r="112" spans="9:25">
      <c r="I112" s="2504" t="str">
        <f>B23</f>
      </c>
      <c r="J112" s="1396" t="s">
        <v>2218</v>
      </c>
      <c r="K112" s="1641"/>
      <c r="L112" s="2523"/>
      <c r="M112" s="1641">
        <f>VLOOKUP($I112,'Revenue summary'!$A$11:$DQ$17,MATCH(AvE_F1Q24!N$88,'Revenue summary'!$A$8:$DQ$8,0),0)</f>
      </c>
      <c r="N112" s="1641"/>
      <c r="O112" s="2523"/>
      <c r="P112" s="2523"/>
      <c r="R112" s="2504">
        <v>5544.0357142857147</v>
      </c>
      <c r="S112" s="1641"/>
      <c r="T112" s="3020"/>
      <c r="U112" s="2523"/>
      <c r="V112" s="2504"/>
      <c r="W112" s="1396"/>
      <c r="X112" s="1641">
        <f t="shared" si="80"/>
      </c>
      <c r="Y112" s="3020">
        <f t="shared" si="81"/>
      </c>
    </row>
    <row r="113" spans="9:25">
      <c r="I113" s="2504" t="str">
        <f>B24</f>
      </c>
      <c r="J113" s="1396" t="s">
        <v>2219</v>
      </c>
      <c r="K113" s="1641"/>
      <c r="L113" s="2523"/>
      <c r="M113" s="1641">
        <f>VLOOKUP($I113,'Revenue summary'!$A$11:$DQ$17,MATCH(AvE_F1Q24!N$88,'Revenue summary'!$A$8:$DQ$8,0),0)</f>
      </c>
      <c r="N113" s="1641"/>
      <c r="O113" s="2523"/>
      <c r="P113" s="2523"/>
      <c r="R113" s="2504">
        <v>7415.2387038006382</v>
      </c>
      <c r="S113" s="1641"/>
      <c r="T113" s="3020"/>
      <c r="U113" s="2523"/>
      <c r="V113" s="2504"/>
      <c r="W113" s="1396"/>
      <c r="X113" s="1641">
        <f t="shared" si="80"/>
      </c>
      <c r="Y113" s="3020">
        <f t="shared" si="81"/>
      </c>
    </row>
    <row r="114" spans="9:25">
      <c r="I114" s="2504" t="str">
        <f>B25</f>
      </c>
      <c r="J114" s="3028" t="s">
        <v>2220</v>
      </c>
      <c r="K114" s="1641"/>
      <c r="L114" s="2523"/>
      <c r="M114" s="1641">
        <f>VLOOKUP($I114,'Revenue summary'!$A$11:$DQ$17,MATCH(AvE_F1Q24!N$88,'Revenue summary'!$A$8:$DQ$8,0),0)</f>
      </c>
      <c r="N114" s="1641"/>
      <c r="O114" s="2523"/>
      <c r="P114" s="2523"/>
      <c r="R114" s="2504">
        <v>7913.3257937014241</v>
      </c>
      <c r="S114" s="1641"/>
      <c r="T114" s="3020"/>
      <c r="U114" s="2523"/>
      <c r="V114" s="2504"/>
      <c r="W114" s="1396"/>
      <c r="X114" s="1641">
        <f t="shared" si="80"/>
      </c>
      <c r="Y114" s="3020">
        <f t="shared" si="81"/>
      </c>
    </row>
    <row r="115" spans="9:25">
      <c r="I115" s="2504" t="str">
        <f>B26</f>
      </c>
      <c r="J115" s="2532" t="s">
        <v>2221</v>
      </c>
      <c r="K115" s="2505"/>
      <c r="L115" s="2525"/>
      <c r="M115" s="2505">
        <f>VLOOKUP($I115,'Revenue summary'!$A$11:$DQ$17,MATCH(AvE_F1Q24!N$88,'Revenue summary'!$A$8:$DQ$8,0),0)</f>
      </c>
      <c r="N115" s="2505"/>
      <c r="O115" s="2525"/>
      <c r="P115" s="2525"/>
      <c r="Q115" s="2502"/>
      <c r="R115" s="2505">
        <v>66823.549248573487</v>
      </c>
      <c r="S115" s="2505"/>
      <c r="T115" s="3021"/>
      <c r="U115" s="2525"/>
      <c r="V115" s="2505"/>
      <c r="W115" s="2532"/>
      <c r="X115" s="2505">
        <f t="shared" si="80"/>
      </c>
      <c r="Y115" s="3021">
        <f t="shared" si="81"/>
      </c>
    </row>
    <row r="116" spans="9:25">
      <c r="I116" s="160" t="str">
        <f>B61</f>
      </c>
      <c r="J116" s="1396" t="s">
        <v>2222</v>
      </c>
      <c r="K116" s="2504"/>
      <c r="L116" s="2523"/>
      <c r="M116" s="2504">
        <f>VLOOKUP($I116,'Segment - Products'!$A$15:$DQ$18,MATCH(AvE_F1Q24!N$88,'Segment - Products'!$A$8:$DQ$8,0),0)</f>
      </c>
      <c r="N116" s="2517"/>
      <c r="O116" s="2523"/>
      <c r="P116" s="2523"/>
      <c r="R116" s="2504">
        <v>3232.4464897224243</v>
      </c>
      <c r="S116" s="2504"/>
      <c r="T116" s="3020"/>
      <c r="U116" s="2523"/>
      <c r="V116" s="2504"/>
      <c r="W116" s="1396"/>
      <c r="X116" s="2504">
        <f t="shared" si="80"/>
      </c>
      <c r="Y116" s="3020">
        <f t="shared" si="81"/>
      </c>
    </row>
    <row r="117" spans="9:25">
      <c r="J117" s="1396"/>
      <c r="L117" s="2523"/>
      <c r="O117" s="2523"/>
      <c r="P117" s="2523"/>
      <c r="T117" s="3020"/>
      <c r="U117" s="2523"/>
      <c r="W117" s="1396"/>
      <c r="Y117" s="3020"/>
    </row>
    <row r="118" spans="9:25" ht="12">
      <c r="J118" s="3025" t="s">
        <v>2208</v>
      </c>
      <c r="L118" s="2523"/>
      <c r="O118" s="2523"/>
      <c r="P118" s="2523"/>
      <c r="T118" s="3020"/>
      <c r="U118" s="2523"/>
      <c r="W118" s="1396"/>
      <c r="Y118" s="3020"/>
    </row>
    <row r="119" spans="9:25">
      <c r="I119" s="160" t="str">
        <f>B50</f>
      </c>
      <c r="J119" s="1396" t="s">
        <v>2207</v>
      </c>
      <c r="K119" s="2517"/>
      <c r="L119" s="2523"/>
      <c r="M119" s="2517">
        <f>VLOOKUP($I119,'Segment - Products'!$A$72:$FU$101,MATCH(AvE_F1Q24!N$88,'Segment - Products'!$A$8:$HF$8,0),0)</f>
      </c>
      <c r="N119" s="2517"/>
      <c r="O119" s="2523"/>
      <c r="P119" s="2523"/>
      <c r="R119" s="2517">
        <v>50.846325361500519</v>
      </c>
      <c r="S119" s="2517"/>
      <c r="T119" s="3020"/>
      <c r="U119" s="2523"/>
      <c r="V119" s="2517"/>
      <c r="W119" s="1396"/>
      <c r="X119" s="2517">
        <f>M119-R119</f>
      </c>
      <c r="Y119" s="3020">
        <f>M119/R119-1</f>
      </c>
    </row>
    <row r="120" spans="9:25">
      <c r="I120" s="160" t="str">
        <f>B51</f>
      </c>
      <c r="J120" s="1396" t="s">
        <v>2209</v>
      </c>
      <c r="K120" s="2517"/>
      <c r="L120" s="2523"/>
      <c r="M120" s="2517">
        <f>VLOOKUP($I120,'Segment - Products'!$A$72:$FU$101,MATCH(AvE_F1Q24!N$88,'Segment - Products'!$A$8:$HF$8,0),0)</f>
      </c>
      <c r="N120" s="2517"/>
      <c r="O120" s="2523"/>
      <c r="P120" s="2523"/>
      <c r="R120" s="2517">
        <v>11.187156811342724</v>
      </c>
      <c r="S120" s="2517"/>
      <c r="T120" s="3020"/>
      <c r="U120" s="2523"/>
      <c r="V120" s="2517"/>
      <c r="W120" s="1396"/>
      <c r="X120" s="2517">
        <f>M120-R120</f>
      </c>
      <c r="Y120" s="3020">
        <f>M120/R120-1</f>
      </c>
    </row>
    <row r="121" spans="9:25">
      <c r="I121" s="160" t="str">
        <f>B52</f>
      </c>
      <c r="J121" s="1396" t="s">
        <v>2210</v>
      </c>
      <c r="K121" s="2517"/>
      <c r="L121" s="2523"/>
      <c r="M121" s="2517">
        <f>VLOOKUP($I121,'Segment - Products'!$A$72:$FU$101,MATCH(AvE_F1Q24!N$88,'Segment - Products'!$A$8:$HF$8,0),0)</f>
      </c>
      <c r="N121" s="2517"/>
      <c r="O121" s="2523"/>
      <c r="P121" s="2523"/>
      <c r="R121" s="2517">
        <v>5.3036812491407197</v>
      </c>
      <c r="S121" s="2517"/>
      <c r="T121" s="3020"/>
      <c r="U121" s="2523"/>
      <c r="V121" s="2517"/>
      <c r="W121" s="1396"/>
      <c r="X121" s="2517">
        <f>M121-R121</f>
      </c>
      <c r="Y121" s="3020">
        <f>M121/R121-1</f>
      </c>
    </row>
    <row r="122" spans="9:25">
      <c r="I122" s="160" t="str">
        <f>B53</f>
      </c>
      <c r="J122" s="3028" t="s">
        <v>2212</v>
      </c>
      <c r="K122" s="2517"/>
      <c r="L122" s="2523"/>
      <c r="M122" s="2517">
        <f>VLOOKUP($I122,'Segment - Products'!$A$72:$FU$101,MATCH(AvE_F1Q24!N$88,'Segment - Products'!$A$8:$HF$8,0),0)</f>
      </c>
      <c r="N122" s="2517"/>
      <c r="O122" s="2523"/>
      <c r="P122" s="2523"/>
      <c r="R122" s="2517">
        <v>7.2414665884009581</v>
      </c>
      <c r="S122" s="2517"/>
      <c r="T122" s="3020"/>
      <c r="U122" s="2523"/>
      <c r="V122" s="2517"/>
      <c r="W122" s="1396"/>
      <c r="X122" s="2517">
        <f>M122-R122</f>
      </c>
      <c r="Y122" s="3020">
        <f>M122/R122-1</f>
      </c>
    </row>
    <row r="123" spans="9:25">
      <c r="J123" s="1396"/>
      <c r="L123" s="2523"/>
      <c r="O123" s="2523"/>
      <c r="P123" s="2523"/>
      <c r="T123" s="3020"/>
      <c r="U123" s="2523"/>
      <c r="W123" s="1396"/>
      <c r="Y123" s="3020"/>
    </row>
    <row r="124" spans="9:25" ht="12">
      <c r="J124" s="3025" t="s">
        <v>2216</v>
      </c>
      <c r="L124" s="2523"/>
      <c r="O124" s="2523"/>
      <c r="P124" s="2523"/>
      <c r="T124" s="3020"/>
      <c r="U124" s="2523"/>
      <c r="W124" s="1396"/>
      <c r="Y124" s="3020"/>
    </row>
    <row r="125" spans="9:25">
      <c r="J125" s="1396" t="str">
        <f>J80</f>
      </c>
      <c r="K125" s="2504"/>
      <c r="L125" s="2523"/>
      <c r="M125" s="2504">
        <f>M111/M119</f>
      </c>
      <c r="N125" s="2504"/>
      <c r="O125" s="2523"/>
      <c r="P125" s="2523"/>
      <c r="R125" s="2504">
        <f>R111/R119</f>
      </c>
      <c r="S125" s="2504"/>
      <c r="T125" s="3020"/>
      <c r="U125" s="2523"/>
      <c r="V125" s="2504"/>
      <c r="W125" s="1396"/>
      <c r="X125" s="2504">
        <f>M125-R125</f>
      </c>
      <c r="Y125" s="3020">
        <f>M125/R125-1</f>
      </c>
    </row>
    <row r="126" spans="9:25">
      <c r="J126" s="1396" t="str">
        <f>J81</f>
      </c>
      <c r="K126" s="2504"/>
      <c r="L126" s="2523"/>
      <c r="M126" s="2504">
        <f>M112/M120</f>
      </c>
      <c r="N126" s="2504"/>
      <c r="O126" s="2523"/>
      <c r="P126" s="2523"/>
      <c r="R126" s="2504">
        <f>R112/R120</f>
      </c>
      <c r="S126" s="2504"/>
      <c r="T126" s="3020"/>
      <c r="U126" s="2523"/>
      <c r="V126" s="2504"/>
      <c r="W126" s="1396"/>
      <c r="X126" s="2504">
        <f>M126-R126</f>
      </c>
      <c r="Y126" s="3020">
        <f>M126/R126-1</f>
      </c>
    </row>
    <row r="127" spans="9:25">
      <c r="J127" s="1396" t="str">
        <f>J82</f>
      </c>
      <c r="K127" s="2504"/>
      <c r="L127" s="2523"/>
      <c r="M127" s="2504">
        <f>M113/M121</f>
      </c>
      <c r="N127" s="2504"/>
      <c r="O127" s="2523"/>
      <c r="P127" s="2523"/>
      <c r="R127" s="2504">
        <f>R113/R121</f>
      </c>
      <c r="S127" s="2504"/>
      <c r="T127" s="3020"/>
      <c r="U127" s="2523"/>
      <c r="V127" s="2504"/>
      <c r="W127" s="1396"/>
      <c r="X127" s="2504">
        <f>M127-R127</f>
      </c>
      <c r="Y127" s="3020">
        <f>M127/R127-1</f>
      </c>
    </row>
    <row r="128" spans="9:25">
      <c r="J128" s="2614" t="str">
        <f>J83</f>
      </c>
      <c r="K128" s="1899"/>
      <c r="L128" s="2615"/>
      <c r="M128" s="1899">
        <f>M116/M122</f>
      </c>
      <c r="N128" s="1899"/>
      <c r="O128" s="2615"/>
      <c r="P128" s="2615"/>
      <c r="Q128" s="195"/>
      <c r="R128" s="1899">
        <f>R116/R122</f>
      </c>
      <c r="S128" s="1899"/>
      <c r="T128" s="2616"/>
      <c r="U128" s="2615"/>
      <c r="V128" s="1899"/>
      <c r="W128" s="2614"/>
      <c r="X128" s="1899">
        <f>M128-R128</f>
      </c>
      <c r="Y128" s="2616">
        <f>M128/R128-1</f>
      </c>
    </row>
    <row r="129" spans="10:25">
      <c r="J129" s="2621"/>
      <c r="K129" s="2621"/>
      <c r="L129" s="2541"/>
      <c r="M129" s="2621"/>
      <c r="N129" s="2621"/>
      <c r="O129" s="2541"/>
      <c r="P129" s="2541"/>
      <c r="Q129" s="2621"/>
      <c r="R129" s="2621"/>
      <c r="S129" s="2621"/>
      <c r="T129" s="2541"/>
      <c r="U129" s="2541"/>
      <c r="V129" s="2621"/>
      <c r="W129" s="2621"/>
      <c r="X129" s="2621"/>
      <c r="Y129" s="2541"/>
    </row>
  </sheetData>
  <mergeCells count="6">
    <mergeCell ref="M6:P6"/>
    <mergeCell ref="X6:Y6"/>
    <mergeCell ref="M46:Q46"/>
    <mergeCell ref="M89:O89"/>
    <mergeCell ref="R89:T89"/>
    <mergeCell ref="X89:Y89"/>
  </mergeCells>
  <printOptions horizontalCentered="1" verticalCentered="1"/>
  <pageMargins left="0.7" right="0.7" top="0.75" bottom="0.75" header="0.3" footer="0.3"/>
  <pageSetup scale="10" orientation="landscape" r:id="rId1"/>
  <customProperties>
    <customPr name="Qube.Worksheet.Visibility" r:id="rId2"/>
  </customPropertie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629CC-574F-45C6-A273-F4BE050B416B}">
  <sheetPr>
    <tabColor rgb="FF7030A0"/>
    <pageSetUpPr fitToPage="1"/>
  </sheetPr>
  <dimension ref="A1:AA134"/>
  <sheetViews>
    <sheetView showGridLines="0" zoomScale="85" zoomScaleNormal="85" workbookViewId="0">
      <selection activeCell="R8" sqref="R8:R43"/>
    </sheetView>
  </sheetViews>
  <sheetFormatPr defaultColWidth="9" defaultRowHeight="11.4" outlineLevelCol="1"/>
  <cols>
    <col min="1" max="1" width="9" style="160"/>
    <col min="2" max="2" width="38.19921875" style="160" customWidth="1"/>
    <col min="3" max="3" width="11.3984375" style="160" customWidth="1"/>
    <col min="4" max="6" width="9" style="160"/>
    <col min="7" max="7" width="10.09765625" style="160" bestFit="1" customWidth="1"/>
    <col min="8" max="8" width="9" style="160"/>
    <col min="9" max="9" width="11.09765625" style="160" bestFit="1" customWidth="1"/>
    <col min="10" max="10" width="28" style="160" bestFit="1" customWidth="1"/>
    <col min="11" max="16" width="9" style="160" customWidth="1"/>
    <col min="17" max="17" width="1.3984375" style="160" customWidth="1"/>
    <col min="18" max="18" width="10" style="160" bestFit="1" customWidth="1"/>
    <col min="19" max="19" width="9.09765625" style="160" customWidth="1"/>
    <col min="20" max="21" width="9" style="160" customWidth="1"/>
    <col min="22" max="22" width="55.09765625" style="160" bestFit="1" customWidth="1"/>
    <col min="23" max="23" width="1.59765625" style="160" hidden="1" customWidth="1" outlineLevel="1"/>
    <col min="24" max="25" width="9" style="160" hidden="1" customWidth="1" outlineLevel="1"/>
    <col min="26" max="26" width="10.8984375" style="160" bestFit="1" customWidth="1" collapsed="1"/>
    <col min="27" max="16384" width="9" style="160"/>
  </cols>
  <sheetData>
    <row r="1" spans="2:27" ht="12">
      <c r="K1" s="2520"/>
      <c r="R1" s="2921" t="s">
        <v>2329</v>
      </c>
      <c r="S1" s="2790" t="s">
        <v>544</v>
      </c>
      <c r="T1" s="2788" t="s">
        <v>545</v>
      </c>
    </row>
    <row r="2" spans="2:27" ht="12">
      <c r="B2" s="2741"/>
      <c r="C2" s="2742" t="s">
        <v>2339</v>
      </c>
      <c r="D2" s="2743"/>
      <c r="E2" s="2743"/>
      <c r="F2" s="2743"/>
      <c r="G2" s="2742" t="s">
        <v>2253</v>
      </c>
      <c r="H2" s="2744"/>
      <c r="S2" s="2790" t="s">
        <v>2204</v>
      </c>
      <c r="T2" s="2788" t="s">
        <v>668</v>
      </c>
    </row>
    <row r="3" spans="2:27" ht="12">
      <c r="B3" s="2747"/>
      <c r="C3" s="2748" t="s">
        <v>654</v>
      </c>
      <c r="D3" s="2749" t="s">
        <v>655</v>
      </c>
      <c r="E3" s="2748" t="s">
        <v>1426</v>
      </c>
      <c r="F3" s="2750" t="s">
        <v>1427</v>
      </c>
      <c r="G3" s="2748" t="s">
        <v>654</v>
      </c>
      <c r="H3" s="2990" t="s">
        <v>2259</v>
      </c>
      <c r="I3" s="3111"/>
      <c r="K3" s="3108"/>
      <c r="S3" s="2790" t="s">
        <v>2205</v>
      </c>
      <c r="T3" s="2789">
        <v>45414</v>
      </c>
    </row>
    <row r="4" spans="2:27" ht="12">
      <c r="B4" s="1830" t="s">
        <v>63</v>
      </c>
      <c r="C4" s="2833">
        <v>90753</v>
      </c>
      <c r="D4" s="2834">
        <v>90657.430540937639</v>
      </c>
      <c r="E4" s="2840">
        <v>95.569459062360693</v>
      </c>
      <c r="F4" s="1560">
        <v>1.0541823046617779E-3</v>
      </c>
      <c r="G4" s="2833">
        <v>94836</v>
      </c>
      <c r="H4" s="1560">
        <v>-4.3053270909781061E-2</v>
      </c>
      <c r="I4" s="3111"/>
      <c r="K4" s="2504"/>
      <c r="S4" s="2790" t="s">
        <v>2206</v>
      </c>
      <c r="T4" s="2791" t="s">
        <v>2245</v>
      </c>
    </row>
    <row r="5" spans="2:27">
      <c r="B5" s="1831" t="s">
        <v>66</v>
      </c>
      <c r="C5" s="1640">
        <v>48482</v>
      </c>
      <c r="D5" s="1641">
        <v>48269.951013825499</v>
      </c>
      <c r="E5" s="2754">
        <v>212.0489861745009</v>
      </c>
      <c r="F5" s="1554">
        <v>4.3929811760895663E-3</v>
      </c>
      <c r="G5" s="1640">
        <v>52860</v>
      </c>
      <c r="H5" s="1554">
        <v>-8.2822550132425232E-2</v>
      </c>
      <c r="I5" s="3111"/>
      <c r="K5" s="3182"/>
      <c r="N5" s="2520"/>
      <c r="R5" s="2503"/>
      <c r="V5" s="2921" t="s">
        <v>2330</v>
      </c>
    </row>
    <row r="6" spans="2:27" ht="12">
      <c r="B6" s="1883" t="s">
        <v>67</v>
      </c>
      <c r="C6" s="1874">
        <v>42271</v>
      </c>
      <c r="D6" s="1875">
        <v>42387.47952711214</v>
      </c>
      <c r="E6" s="2841">
        <v>-116.4795271121402</v>
      </c>
      <c r="F6" s="1877">
        <v>-2.7479701178655092E-3</v>
      </c>
      <c r="G6" s="1874">
        <v>41976</v>
      </c>
      <c r="H6" s="1877">
        <v>7.0278254240518923E-3</v>
      </c>
      <c r="J6" s="3004"/>
      <c r="K6" s="3183"/>
      <c r="L6" s="3184"/>
      <c r="M6" s="3404" t="s">
        <v>2260</v>
      </c>
      <c r="N6" s="3405"/>
      <c r="O6" s="3405"/>
      <c r="P6" s="3405"/>
      <c r="Q6" s="3118"/>
      <c r="R6" s="3187" t="s">
        <v>668</v>
      </c>
      <c r="S6" s="3188"/>
      <c r="T6" s="3188"/>
      <c r="U6" s="3186"/>
      <c r="V6" s="2960" t="s">
        <v>2258</v>
      </c>
      <c r="W6" s="3016"/>
      <c r="X6" s="3409" t="s">
        <v>1430</v>
      </c>
      <c r="Y6" s="3403"/>
    </row>
    <row r="7" spans="2:27">
      <c r="B7" s="1831" t="s">
        <v>68</v>
      </c>
      <c r="C7" s="1640">
        <v>7903</v>
      </c>
      <c r="D7" s="1641">
        <v>7896</v>
      </c>
      <c r="E7" s="2754">
        <v>7</v>
      </c>
      <c r="F7" s="1554">
        <v>8.8652482269503544E-4</v>
      </c>
      <c r="G7" s="1640">
        <v>7457</v>
      </c>
      <c r="H7" s="1554">
        <v>5.980957489607075E-2</v>
      </c>
      <c r="J7" s="3023" t="s">
        <v>2263</v>
      </c>
      <c r="K7" s="3222" t="s">
        <v>654</v>
      </c>
      <c r="L7" s="3223" t="s">
        <v>2259</v>
      </c>
      <c r="M7" s="2751" t="s">
        <v>720</v>
      </c>
      <c r="N7" s="2751" t="s">
        <v>1426</v>
      </c>
      <c r="O7" s="2751" t="s">
        <v>1427</v>
      </c>
      <c r="P7" s="3119" t="s">
        <v>2259</v>
      </c>
      <c r="Q7" s="2947"/>
      <c r="R7" s="3035" t="s">
        <v>2262</v>
      </c>
      <c r="S7" s="2751" t="s">
        <v>1426</v>
      </c>
      <c r="T7" s="2749" t="s">
        <v>1427</v>
      </c>
      <c r="U7" s="3119" t="s">
        <v>2259</v>
      </c>
      <c r="V7" s="2961"/>
      <c r="W7" s="3017"/>
      <c r="X7" s="3217" t="s">
        <v>1426</v>
      </c>
      <c r="Y7" s="3019" t="s">
        <v>1427</v>
      </c>
    </row>
    <row r="8" spans="2:27" ht="12">
      <c r="B8" s="2852" t="s">
        <v>76</v>
      </c>
      <c r="C8" s="1640">
        <v>6468</v>
      </c>
      <c r="D8" s="1641">
        <v>6436</v>
      </c>
      <c r="E8" s="2754">
        <v>32</v>
      </c>
      <c r="F8" s="1554">
        <v>4.972032318210068E-3</v>
      </c>
      <c r="G8" s="1640">
        <v>6201</v>
      </c>
      <c r="H8" s="1554">
        <v>4.3057571359458091E-2</v>
      </c>
      <c r="I8" s="3154">
        <v>-6.327060807384358E-3</v>
      </c>
      <c r="J8" s="3093" t="s">
        <v>1433</v>
      </c>
      <c r="K8" s="3094">
        <v>90753</v>
      </c>
      <c r="L8" s="3097">
        <v>-4.3053270909781061E-2</v>
      </c>
      <c r="M8" s="3095">
        <v>90657.430540937639</v>
      </c>
      <c r="N8" s="3096">
        <v>95.569459062360693</v>
      </c>
      <c r="O8" s="3097">
        <v>1.0541823046616994E-3</v>
      </c>
      <c r="P8" s="3097">
        <v>-4.4061004882769872E-2</v>
      </c>
      <c r="Q8" s="3098"/>
      <c r="R8" s="2929">
        <v>90366.11</v>
      </c>
      <c r="S8" s="3096">
        <v>386.88999999999942</v>
      </c>
      <c r="T8" s="3097">
        <v>4.2813616741939065E-3</v>
      </c>
      <c r="U8" s="3097">
        <v>-4.7132839849846064E-2</v>
      </c>
      <c r="V8" s="3208" t="s">
        <v>2331</v>
      </c>
      <c r="W8" s="3100"/>
      <c r="X8" s="3096">
        <v>386.88999999999942</v>
      </c>
      <c r="Y8" s="3099">
        <v>3.2237809167356968E-3</v>
      </c>
    </row>
    <row r="9" spans="2:27" ht="12">
      <c r="B9" s="2853" t="s">
        <v>69</v>
      </c>
      <c r="C9" s="2854">
        <v>14371</v>
      </c>
      <c r="D9" s="2768">
        <v>14332</v>
      </c>
      <c r="E9" s="2770">
        <v>39</v>
      </c>
      <c r="F9" s="1558">
        <v>2.7211833658945016E-3</v>
      </c>
      <c r="G9" s="2854">
        <v>13658</v>
      </c>
      <c r="H9" s="1558">
        <v>5.2203836579294283E-2</v>
      </c>
      <c r="I9" s="163"/>
      <c r="J9" s="2976" t="s">
        <v>67</v>
      </c>
      <c r="K9" s="2977">
        <v>42271</v>
      </c>
      <c r="L9" s="2980">
        <v>7.0278254240518923E-3</v>
      </c>
      <c r="M9" s="2978">
        <v>42387.47952711214</v>
      </c>
      <c r="N9" s="2979">
        <v>-116.4795271121402</v>
      </c>
      <c r="O9" s="2980">
        <v>-2.7479701178655391E-3</v>
      </c>
      <c r="P9" s="2980">
        <v>9.8027331597136946E-3</v>
      </c>
      <c r="Q9" s="2981"/>
      <c r="R9" s="2975">
        <v>42080.77</v>
      </c>
      <c r="S9" s="2979">
        <v>190.2300000000032</v>
      </c>
      <c r="T9" s="2980">
        <v>4.5205921849815756E-3</v>
      </c>
      <c r="U9" s="2980">
        <v>2.4959500667047774E-3</v>
      </c>
      <c r="V9" s="2982"/>
      <c r="W9" s="3007"/>
      <c r="X9" s="2979">
        <v>190.2300000000032</v>
      </c>
      <c r="Y9" s="3008">
        <v>7.2885911334832354E-3</v>
      </c>
    </row>
    <row r="10" spans="2:27" ht="12">
      <c r="B10" s="1878" t="s">
        <v>70</v>
      </c>
      <c r="C10" s="2830">
        <v>27900</v>
      </c>
      <c r="D10" s="2831">
        <v>28055.47952711214</v>
      </c>
      <c r="E10" s="2842">
        <v>-155.4795271121402</v>
      </c>
      <c r="F10" s="2832">
        <v>-5.5418595487519125E-3</v>
      </c>
      <c r="G10" s="2830">
        <v>28318</v>
      </c>
      <c r="H10" s="2832">
        <v>-1.4760929444169735E-2</v>
      </c>
      <c r="I10" s="163"/>
      <c r="J10" s="3060" t="s">
        <v>1600</v>
      </c>
      <c r="K10" s="3061">
        <v>14371</v>
      </c>
      <c r="L10" s="3051">
        <v>5.2203836579294283E-2</v>
      </c>
      <c r="M10" s="3062">
        <v>14332</v>
      </c>
      <c r="N10" s="3050">
        <v>39</v>
      </c>
      <c r="O10" s="3051">
        <v>2.7211833658944418E-3</v>
      </c>
      <c r="P10" s="3051">
        <v>4.9348367257285197E-2</v>
      </c>
      <c r="Q10" s="3063"/>
      <c r="R10" s="2930">
        <v>14278.390999999996</v>
      </c>
      <c r="S10" s="3050">
        <v>92.609000000004016</v>
      </c>
      <c r="T10" s="3051">
        <v>6.4859548950582102E-3</v>
      </c>
      <c r="U10" s="3051">
        <v>4.5423268414116036E-2</v>
      </c>
      <c r="V10" s="3209" t="s">
        <v>2332</v>
      </c>
      <c r="W10" s="3053"/>
      <c r="X10" s="3050">
        <v>92.609000000004016</v>
      </c>
      <c r="Y10" s="3052">
        <v>3.7545546973747346E-3</v>
      </c>
    </row>
    <row r="11" spans="2:27" ht="12">
      <c r="B11" s="1835" t="s">
        <v>689</v>
      </c>
      <c r="C11" s="1640">
        <v>158</v>
      </c>
      <c r="D11" s="1641">
        <v>50</v>
      </c>
      <c r="E11" s="2754">
        <v>108</v>
      </c>
      <c r="F11" s="1554">
        <v>2.16</v>
      </c>
      <c r="G11" s="1640">
        <v>64</v>
      </c>
      <c r="H11" s="1554">
        <v>1.46875</v>
      </c>
      <c r="I11" s="3154">
        <v>-2.1184441386890868E-3</v>
      </c>
      <c r="J11" s="3024" t="s">
        <v>70</v>
      </c>
      <c r="K11" s="2983">
        <v>27900</v>
      </c>
      <c r="L11" s="2986">
        <v>-1.4760929444169735E-2</v>
      </c>
      <c r="M11" s="2984">
        <v>28055.47952711214</v>
      </c>
      <c r="N11" s="2985">
        <v>-155.4795271121402</v>
      </c>
      <c r="O11" s="2986">
        <v>-5.5418595487518596E-3</v>
      </c>
      <c r="P11" s="2986">
        <v>-9.270445401789007E-3</v>
      </c>
      <c r="Q11" s="2987"/>
      <c r="R11" s="2988">
        <v>27802.379000000001</v>
      </c>
      <c r="S11" s="2985">
        <v>97.620999999999185</v>
      </c>
      <c r="T11" s="2986">
        <v>3.5112462857944671E-3</v>
      </c>
      <c r="U11" s="2986">
        <v>-1.8208242107493389E-2</v>
      </c>
      <c r="V11" s="2989"/>
      <c r="W11" s="3009"/>
      <c r="X11" s="2985">
        <v>97.620999999999185</v>
      </c>
      <c r="Y11" s="3010">
        <v>9.1035564658743517E-3</v>
      </c>
    </row>
    <row r="12" spans="2:27" ht="12">
      <c r="B12" s="1857" t="s">
        <v>71</v>
      </c>
      <c r="C12" s="1858">
        <v>28058</v>
      </c>
      <c r="D12" s="1859">
        <v>28105.47952711214</v>
      </c>
      <c r="E12" s="2843">
        <v>-47.479527112140204</v>
      </c>
      <c r="F12" s="1861">
        <v>-1.6893334648974325E-3</v>
      </c>
      <c r="G12" s="1858">
        <v>28382</v>
      </c>
      <c r="H12" s="1861">
        <v>-1.141568599816789E-2</v>
      </c>
      <c r="I12" s="3153">
        <v>-8.4455049460734448E-3</v>
      </c>
      <c r="J12" s="3041" t="s">
        <v>689</v>
      </c>
      <c r="K12" s="3042">
        <v>158</v>
      </c>
      <c r="L12" s="3051">
        <v>1.46875</v>
      </c>
      <c r="M12" s="3043">
        <v>50</v>
      </c>
      <c r="N12" s="3050">
        <v>108</v>
      </c>
      <c r="O12" s="3051">
        <v>2.16</v>
      </c>
      <c r="P12" s="3051">
        <v>-0.21875</v>
      </c>
      <c r="Q12" s="3046"/>
      <c r="R12" s="3064">
        <v>-142.13700000000244</v>
      </c>
      <c r="S12" s="3050">
        <v>300.13700000000244</v>
      </c>
      <c r="T12" s="3051">
        <v>-2.1116035937159028</v>
      </c>
      <c r="U12" s="3051">
        <v>-3.2208906250000382</v>
      </c>
      <c r="V12" s="3209" t="s">
        <v>2333</v>
      </c>
      <c r="W12" s="3053"/>
      <c r="X12" s="3050">
        <v>300.13700000000244</v>
      </c>
      <c r="Y12" s="3052">
        <v>-1.3517732891506022</v>
      </c>
    </row>
    <row r="13" spans="2:27">
      <c r="B13" s="1836" t="s">
        <v>72</v>
      </c>
      <c r="C13" s="1640">
        <v>4422</v>
      </c>
      <c r="D13" s="1641">
        <v>4496.8767243379425</v>
      </c>
      <c r="E13" s="2754">
        <v>-74.876724337942505</v>
      </c>
      <c r="F13" s="1554">
        <v>-1.6650828770265282E-2</v>
      </c>
      <c r="G13" s="1640">
        <v>4222</v>
      </c>
      <c r="H13" s="1554">
        <v>4.7370914258645147E-2</v>
      </c>
      <c r="I13" s="3153">
        <v>5.8664606917543938E-3</v>
      </c>
      <c r="J13" s="3101" t="s">
        <v>71</v>
      </c>
      <c r="K13" s="3054">
        <v>28058</v>
      </c>
      <c r="L13" s="3056">
        <v>-1.141568599816789E-2</v>
      </c>
      <c r="M13" s="3055">
        <v>28105.47952711214</v>
      </c>
      <c r="N13" s="2973">
        <v>-47.479527112140204</v>
      </c>
      <c r="O13" s="3056">
        <v>-1.6893334648974134E-3</v>
      </c>
      <c r="P13" s="3056">
        <v>-9.7428113905947411E-3</v>
      </c>
      <c r="Q13" s="2974"/>
      <c r="R13" s="3057">
        <v>27660.241999999998</v>
      </c>
      <c r="S13" s="2973">
        <v>397.75800000000163</v>
      </c>
      <c r="T13" s="3056">
        <v>1.4380134490508123E-2</v>
      </c>
      <c r="U13" s="3056">
        <v>-2.5430131773659381E-2</v>
      </c>
      <c r="V13" s="2972"/>
      <c r="W13" s="3059"/>
      <c r="X13" s="2973">
        <v>397.75800000000163</v>
      </c>
      <c r="Y13" s="3058">
        <v>1.6096660582801237E-2</v>
      </c>
    </row>
    <row r="14" spans="2:27">
      <c r="B14" s="1836" t="s">
        <v>1562</v>
      </c>
      <c r="C14" s="3036">
        <v>0.1576021099151757</v>
      </c>
      <c r="D14" s="2520">
        <v>0.16</v>
      </c>
      <c r="E14" s="1939">
        <v>-2.3978900848243001E-3</v>
      </c>
      <c r="F14" s="1554"/>
      <c r="G14" s="3036">
        <v>0.14875625396377987</v>
      </c>
      <c r="H14" s="1940">
        <v>8.8458559513958368E-3</v>
      </c>
      <c r="I14" s="2503">
        <v>1.8143244725781778E-2</v>
      </c>
      <c r="J14" s="3065" t="s">
        <v>72</v>
      </c>
      <c r="K14" s="3066">
        <v>4422</v>
      </c>
      <c r="L14" s="3069"/>
      <c r="M14" s="3067">
        <v>4496.8767243379425</v>
      </c>
      <c r="N14" s="3068">
        <v>-74.876724337942505</v>
      </c>
      <c r="O14" s="3069">
        <v>-1.6650828770265247E-2</v>
      </c>
      <c r="P14" s="3069"/>
      <c r="Q14" s="3070"/>
      <c r="R14" s="3071">
        <v>4428.4539999999997</v>
      </c>
      <c r="S14" s="3068">
        <v>-6.4539999999997235</v>
      </c>
      <c r="T14" s="3069">
        <v>-1.4573934831432211E-3</v>
      </c>
      <c r="U14" s="3069"/>
      <c r="V14" s="3073"/>
      <c r="W14" s="3074"/>
      <c r="X14" s="3068">
        <v>-6.4539999999997235</v>
      </c>
      <c r="Y14" s="3072">
        <v>1.5450702285254136E-2</v>
      </c>
    </row>
    <row r="15" spans="2:27" ht="12">
      <c r="B15" s="1873" t="s">
        <v>1154</v>
      </c>
      <c r="C15" s="1874">
        <v>23636</v>
      </c>
      <c r="D15" s="1875">
        <v>23608.6028027742</v>
      </c>
      <c r="E15" s="2841">
        <v>27.397197225800483</v>
      </c>
      <c r="F15" s="1877">
        <v>1.1604751646963661E-3</v>
      </c>
      <c r="G15" s="1874">
        <v>24160</v>
      </c>
      <c r="H15" s="1877">
        <v>-2.168874172185431E-2</v>
      </c>
      <c r="J15" s="3041" t="s">
        <v>1562</v>
      </c>
      <c r="K15" s="3102">
        <v>0.1576021099151757</v>
      </c>
      <c r="L15" s="3045"/>
      <c r="M15" s="3103">
        <v>0.16</v>
      </c>
      <c r="N15" s="3102">
        <v>-2.3978900848243001E-3</v>
      </c>
      <c r="O15" s="3045"/>
      <c r="P15" s="3045"/>
      <c r="Q15" s="3046"/>
      <c r="R15" s="3104">
        <v>0.1601017807436392</v>
      </c>
      <c r="S15" s="3044"/>
      <c r="T15" s="3045"/>
      <c r="U15" s="3045"/>
      <c r="V15" s="3048" t="s">
        <v>2269</v>
      </c>
      <c r="W15" s="3049"/>
      <c r="X15" s="3102">
        <v>-2.4996708284635016E-3</v>
      </c>
      <c r="Y15" s="3047"/>
    </row>
    <row r="16" spans="2:27" s="163" customFormat="1" ht="12">
      <c r="B16" s="1862" t="s">
        <v>80</v>
      </c>
      <c r="C16" s="1858">
        <v>23636</v>
      </c>
      <c r="D16" s="1859">
        <v>23608.6028027742</v>
      </c>
      <c r="E16" s="2843">
        <v>27.397197225800483</v>
      </c>
      <c r="F16" s="1861">
        <v>1.1604751646963661E-3</v>
      </c>
      <c r="G16" s="1858">
        <v>24160</v>
      </c>
      <c r="H16" s="1861">
        <v>-2.168874172185431E-2</v>
      </c>
      <c r="I16" s="160"/>
      <c r="J16" s="3075" t="s">
        <v>80</v>
      </c>
      <c r="K16" s="3076">
        <v>23636</v>
      </c>
      <c r="L16" s="3079">
        <v>-2.168874172185431E-2</v>
      </c>
      <c r="M16" s="3077">
        <v>23608.6028027742</v>
      </c>
      <c r="N16" s="3078">
        <v>27.397197225800483</v>
      </c>
      <c r="O16" s="3079">
        <v>1.1604751646963063E-3</v>
      </c>
      <c r="P16" s="3079">
        <v>-2.2822731673253327E-2</v>
      </c>
      <c r="Q16" s="3080"/>
      <c r="R16" s="3081">
        <v>23272.684000000001</v>
      </c>
      <c r="S16" s="3078">
        <v>363.31599999999889</v>
      </c>
      <c r="T16" s="3079">
        <v>1.5611263402192765E-2</v>
      </c>
      <c r="U16" s="3079">
        <v>-3.6726655629139016E-2</v>
      </c>
      <c r="V16" s="3082"/>
      <c r="W16" s="1561"/>
      <c r="X16" s="3078">
        <v>363.31599999999889</v>
      </c>
      <c r="Y16" s="1629">
        <v>1.4434037894992979E-2</v>
      </c>
      <c r="Z16" s="160"/>
      <c r="AA16" s="160"/>
    </row>
    <row r="17" spans="2:27" ht="12">
      <c r="B17" s="1863" t="s">
        <v>1151</v>
      </c>
      <c r="C17" s="1864">
        <v>1.5283831076291186</v>
      </c>
      <c r="D17" s="1865">
        <v>1.526663804339919</v>
      </c>
      <c r="E17" s="2844">
        <v>1.7193032891995585E-3</v>
      </c>
      <c r="F17" s="1867">
        <v>1.126183305264731E-3</v>
      </c>
      <c r="G17" s="1864">
        <v>1.5245739743359175</v>
      </c>
      <c r="H17" s="1867">
        <v>2.4984903043883122E-3</v>
      </c>
      <c r="J17" s="3083" t="s">
        <v>1153</v>
      </c>
      <c r="K17" s="3084">
        <v>1.5283831076291186</v>
      </c>
      <c r="L17" s="3087">
        <v>2.4984903043883122E-3</v>
      </c>
      <c r="M17" s="3085">
        <v>1.526663804339919</v>
      </c>
      <c r="N17" s="3086">
        <v>1.7193032891995585E-3</v>
      </c>
      <c r="O17" s="3087">
        <v>1.1261833052647052E-3</v>
      </c>
      <c r="P17" s="3087">
        <v>1.3707632684152316E-3</v>
      </c>
      <c r="Q17" s="3088"/>
      <c r="R17" s="3089">
        <v>1.505077</v>
      </c>
      <c r="S17" s="3084">
        <v>2.3306107629118555E-2</v>
      </c>
      <c r="T17" s="3087">
        <v>1.5484993544595094E-2</v>
      </c>
      <c r="U17" s="3087">
        <v>-1.2788473805877554E-2</v>
      </c>
      <c r="V17" s="3091"/>
      <c r="W17" s="3092"/>
      <c r="X17" s="3084">
        <v>2.3306107629118555E-2</v>
      </c>
      <c r="Y17" s="3090">
        <v>1.434265777758803E-2</v>
      </c>
      <c r="AA17" s="163"/>
    </row>
    <row r="18" spans="2:27" ht="12">
      <c r="B18" s="1868" t="s">
        <v>1153</v>
      </c>
      <c r="C18" s="1869">
        <v>1.5283831076291186</v>
      </c>
      <c r="D18" s="1870">
        <v>1.526663804339919</v>
      </c>
      <c r="E18" s="2845">
        <v>1.7193032891995585E-3</v>
      </c>
      <c r="F18" s="1872">
        <v>1.126183305264731E-3</v>
      </c>
      <c r="G18" s="1869">
        <v>1.5245739743359175</v>
      </c>
      <c r="H18" s="1872">
        <v>2.4984903043883122E-3</v>
      </c>
      <c r="J18" s="1583"/>
      <c r="K18" s="193"/>
      <c r="L18" s="1624"/>
      <c r="M18" s="2948"/>
      <c r="N18" s="2504"/>
      <c r="O18" s="1624"/>
      <c r="P18" s="1624"/>
      <c r="Q18" s="2949"/>
      <c r="R18" s="2931"/>
      <c r="S18" s="193"/>
      <c r="T18" s="1624"/>
      <c r="U18" s="1624"/>
      <c r="V18" s="2962"/>
      <c r="W18" s="1553"/>
      <c r="X18" s="193"/>
      <c r="Y18" s="1627"/>
    </row>
    <row r="19" spans="2:27" ht="12">
      <c r="B19" s="1844" t="s">
        <v>75</v>
      </c>
      <c r="C19" s="1557">
        <v>15464.709000000001</v>
      </c>
      <c r="D19" s="1541">
        <v>15464.179301075268</v>
      </c>
      <c r="E19" s="1845">
        <v>0.52969892473265645</v>
      </c>
      <c r="F19" s="1558">
        <v>3.425328395512234E-5</v>
      </c>
      <c r="G19" s="1557">
        <v>15847.05</v>
      </c>
      <c r="H19" s="1558">
        <v>-2.4126951072912517E-2</v>
      </c>
      <c r="J19" s="3034" t="s">
        <v>2264</v>
      </c>
      <c r="K19" s="193"/>
      <c r="L19" s="1624"/>
      <c r="M19" s="2948"/>
      <c r="N19" s="2504"/>
      <c r="O19" s="1624"/>
      <c r="P19" s="1624"/>
      <c r="Q19" s="2949"/>
      <c r="R19" s="2931"/>
      <c r="S19" s="193"/>
      <c r="T19" s="1624"/>
      <c r="U19" s="1624"/>
      <c r="V19" s="2962"/>
      <c r="W19" s="1553"/>
      <c r="X19" s="193"/>
      <c r="Y19" s="1627"/>
    </row>
    <row r="20" spans="2:27" ht="12">
      <c r="B20" s="1837"/>
      <c r="C20" s="1553"/>
      <c r="D20" s="193"/>
      <c r="E20" s="1569"/>
      <c r="F20" s="1554"/>
      <c r="G20" s="1553"/>
      <c r="H20" s="1554"/>
      <c r="J20" s="3030" t="s">
        <v>84</v>
      </c>
      <c r="K20" s="3031">
        <v>45963</v>
      </c>
      <c r="L20" s="2837">
        <v>-0.10462851131803486</v>
      </c>
      <c r="M20" s="3032">
        <v>45850</v>
      </c>
      <c r="N20" s="2836">
        <v>113</v>
      </c>
      <c r="O20" s="2837">
        <v>2.464558342420986E-3</v>
      </c>
      <c r="P20" s="2837">
        <v>-0.10682978143140998</v>
      </c>
      <c r="Q20" s="3033"/>
      <c r="R20" s="2938">
        <v>46311.199999999997</v>
      </c>
      <c r="S20" s="2836">
        <v>-348.19999999999709</v>
      </c>
      <c r="T20" s="2837">
        <v>-7.518699580231103E-3</v>
      </c>
      <c r="U20" s="2837">
        <v>-9.7845482526201066E-2</v>
      </c>
      <c r="V20" s="3210" t="s">
        <v>2334</v>
      </c>
      <c r="W20" s="3013"/>
      <c r="X20" s="2836">
        <v>-348.19999999999709</v>
      </c>
      <c r="Y20" s="2838">
        <v>-9.9587140907598792E-3</v>
      </c>
      <c r="Z20" s="163"/>
    </row>
    <row r="21" spans="2:27" ht="12">
      <c r="B21" s="2699" t="s">
        <v>2189</v>
      </c>
      <c r="C21" s="2700" t="s">
        <v>654</v>
      </c>
      <c r="D21" s="3207" t="s">
        <v>655</v>
      </c>
      <c r="E21" s="2702" t="s">
        <v>1426</v>
      </c>
      <c r="F21" s="2703" t="s">
        <v>1427</v>
      </c>
      <c r="G21" s="2700" t="s">
        <v>654</v>
      </c>
      <c r="H21" s="2703" t="s">
        <v>2259</v>
      </c>
      <c r="J21" s="1584" t="s">
        <v>85</v>
      </c>
      <c r="K21" s="1639">
        <v>5559</v>
      </c>
      <c r="L21" s="1626">
        <v>-0.16656671664167921</v>
      </c>
      <c r="M21" s="2950">
        <v>5505</v>
      </c>
      <c r="N21" s="1901">
        <v>54</v>
      </c>
      <c r="O21" s="1626">
        <v>9.8092643051770345E-3</v>
      </c>
      <c r="P21" s="1626">
        <v>-0.17466266866566715</v>
      </c>
      <c r="Q21" s="2951"/>
      <c r="R21" s="2932">
        <v>5946.0550000000003</v>
      </c>
      <c r="S21" s="1901">
        <v>-387.05500000000029</v>
      </c>
      <c r="T21" s="1626">
        <v>-6.5094419745528764E-2</v>
      </c>
      <c r="U21" s="1626">
        <v>-0.10853748125937024</v>
      </c>
      <c r="V21" s="3163"/>
      <c r="W21" s="1563"/>
      <c r="X21" s="1901">
        <v>-387.05500000000029</v>
      </c>
      <c r="Y21" s="1630">
        <v>-7.4176071361600315E-2</v>
      </c>
    </row>
    <row r="22" spans="2:27">
      <c r="B22" s="2740" t="s">
        <v>84</v>
      </c>
      <c r="C22" s="1638">
        <v>45963</v>
      </c>
      <c r="D22" s="1639">
        <v>45850</v>
      </c>
      <c r="E22" s="2754">
        <v>113</v>
      </c>
      <c r="F22" s="1554">
        <v>2.4645583424209379E-3</v>
      </c>
      <c r="G22" s="1638">
        <v>51334</v>
      </c>
      <c r="H22" s="1554">
        <v>-0.10462851131803486</v>
      </c>
      <c r="I22" s="3108"/>
      <c r="J22" s="1584" t="s">
        <v>86</v>
      </c>
      <c r="K22" s="1639">
        <v>7451</v>
      </c>
      <c r="L22" s="1626">
        <v>3.9481026785714191E-2</v>
      </c>
      <c r="M22" s="2950">
        <v>7200</v>
      </c>
      <c r="N22" s="1901">
        <v>251</v>
      </c>
      <c r="O22" s="1626">
        <v>3.4861111111111009E-2</v>
      </c>
      <c r="P22" s="1626">
        <v>4.4642857142858094E-3</v>
      </c>
      <c r="Q22" s="2951"/>
      <c r="R22" s="2932">
        <v>6847.0946999999996</v>
      </c>
      <c r="S22" s="1901">
        <v>603.90530000000035</v>
      </c>
      <c r="T22" s="1626">
        <v>8.8198765528976875E-2</v>
      </c>
      <c r="U22" s="1626">
        <v>-4.4769154575892922E-2</v>
      </c>
      <c r="V22" s="3163"/>
      <c r="W22" s="1563"/>
      <c r="X22" s="1901">
        <v>603.90530000000035</v>
      </c>
      <c r="Y22" s="1630">
        <v>5.154088200357454E-2</v>
      </c>
    </row>
    <row r="23" spans="2:27">
      <c r="B23" s="2740" t="s">
        <v>85</v>
      </c>
      <c r="C23" s="1638">
        <v>5559</v>
      </c>
      <c r="D23" s="1639">
        <v>5505</v>
      </c>
      <c r="E23" s="2754">
        <v>54</v>
      </c>
      <c r="F23" s="1554">
        <v>9.8092643051771126E-3</v>
      </c>
      <c r="G23" s="1638">
        <v>6670</v>
      </c>
      <c r="H23" s="1554">
        <v>-0.16656671664167921</v>
      </c>
      <c r="I23" s="3108"/>
      <c r="J23" s="1584" t="s">
        <v>1120</v>
      </c>
      <c r="K23" s="1639">
        <v>7913</v>
      </c>
      <c r="L23" s="1626">
        <v>-9.6380038826082037E-2</v>
      </c>
      <c r="M23" s="2950">
        <v>8192.4500000000007</v>
      </c>
      <c r="N23" s="1901">
        <v>-279.45000000000073</v>
      </c>
      <c r="O23" s="1626">
        <v>-3.4110675072780539E-2</v>
      </c>
      <c r="P23" s="1626">
        <v>-6.4468425259792128E-2</v>
      </c>
      <c r="Q23" s="2951"/>
      <c r="R23" s="2932">
        <v>7802.16</v>
      </c>
      <c r="S23" s="1901">
        <v>110.84000000000015</v>
      </c>
      <c r="T23" s="1626">
        <v>1.4206322351759004E-2</v>
      </c>
      <c r="U23" s="1626">
        <v>-0.10903734155532718</v>
      </c>
      <c r="V23" s="3163"/>
      <c r="W23" s="1563"/>
      <c r="X23" s="1901">
        <v>110.84000000000015</v>
      </c>
      <c r="Y23" s="1630">
        <v>5.0023326873583907E-2</v>
      </c>
    </row>
    <row r="24" spans="2:27">
      <c r="B24" s="2740" t="s">
        <v>86</v>
      </c>
      <c r="C24" s="1638">
        <v>7451</v>
      </c>
      <c r="D24" s="1639">
        <v>7200</v>
      </c>
      <c r="E24" s="2754">
        <v>251</v>
      </c>
      <c r="F24" s="1554">
        <v>3.4861111111111114E-2</v>
      </c>
      <c r="G24" s="1638">
        <v>7168</v>
      </c>
      <c r="H24" s="1554">
        <v>3.9481026785714191E-2</v>
      </c>
      <c r="I24" s="3108"/>
      <c r="J24" s="2825" t="s">
        <v>667</v>
      </c>
      <c r="K24" s="2826">
        <v>66886</v>
      </c>
      <c r="L24" s="2827">
        <v>-9.5267080577310703E-2</v>
      </c>
      <c r="M24" s="2952">
        <v>66747.45</v>
      </c>
      <c r="N24" s="2828">
        <v>138.55000000000291</v>
      </c>
      <c r="O24" s="2827">
        <v>2.0757347284428018E-3</v>
      </c>
      <c r="P24" s="2827">
        <v>-9.7141175993182727E-2</v>
      </c>
      <c r="Q24" s="2953"/>
      <c r="R24" s="2933">
        <v>67325.25</v>
      </c>
      <c r="S24" s="2828">
        <v>-439.25</v>
      </c>
      <c r="T24" s="2827">
        <v>-6.5242980902410208E-3</v>
      </c>
      <c r="U24" s="2827">
        <v>-8.9325569127135518E-2</v>
      </c>
      <c r="V24" s="3003"/>
      <c r="W24" s="3011"/>
      <c r="X24" s="2828">
        <v>-439.25</v>
      </c>
      <c r="Y24" s="2829">
        <v>-8.5822184098833798E-3</v>
      </c>
    </row>
    <row r="25" spans="2:27" ht="12">
      <c r="B25" s="2740" t="s">
        <v>1120</v>
      </c>
      <c r="C25" s="1638">
        <v>7913</v>
      </c>
      <c r="D25" s="1639">
        <v>8192.4500000000007</v>
      </c>
      <c r="E25" s="2754">
        <v>-279.45000000000073</v>
      </c>
      <c r="F25" s="1554">
        <v>-3.4110675072780511E-2</v>
      </c>
      <c r="G25" s="1638">
        <v>8757</v>
      </c>
      <c r="H25" s="1554">
        <v>-9.6380038826082037E-2</v>
      </c>
      <c r="I25" s="163"/>
      <c r="J25" s="1907" t="s">
        <v>81</v>
      </c>
      <c r="K25" s="1639">
        <v>23867</v>
      </c>
      <c r="L25" s="1626">
        <v>0.14157937532883724</v>
      </c>
      <c r="M25" s="2950">
        <v>23909.980540937642</v>
      </c>
      <c r="N25" s="1901">
        <v>-42.980540937642218</v>
      </c>
      <c r="O25" s="1626">
        <v>-1.7975983235977155E-3</v>
      </c>
      <c r="P25" s="1626">
        <v>0.14363517199682607</v>
      </c>
      <c r="Q25" s="2951"/>
      <c r="R25" s="2932">
        <v>23124.396000000001</v>
      </c>
      <c r="S25" s="1901">
        <v>742.60399999999936</v>
      </c>
      <c r="T25" s="1626">
        <v>3.2113444173849981E-2</v>
      </c>
      <c r="U25" s="1626">
        <v>0.10605997991103466</v>
      </c>
      <c r="V25" s="3179" t="s">
        <v>2335</v>
      </c>
      <c r="W25" s="1563"/>
      <c r="X25" s="1901">
        <v>742.60399999999936</v>
      </c>
      <c r="Y25" s="1630">
        <v>3.3972110706703029E-2</v>
      </c>
    </row>
    <row r="26" spans="2:27" ht="12">
      <c r="B26" s="1841" t="s">
        <v>667</v>
      </c>
      <c r="C26" s="1638">
        <v>66886</v>
      </c>
      <c r="D26" s="1639">
        <v>66747.45</v>
      </c>
      <c r="E26" s="2754">
        <v>138.55000000000291</v>
      </c>
      <c r="F26" s="1554">
        <v>2.075734728442853E-3</v>
      </c>
      <c r="G26" s="1638">
        <v>73929</v>
      </c>
      <c r="H26" s="1554">
        <v>-9.5267080577310703E-2</v>
      </c>
      <c r="J26" s="1926" t="s">
        <v>1246</v>
      </c>
      <c r="K26" s="1889">
        <v>90753</v>
      </c>
      <c r="L26" s="1927">
        <v>-4.3053270909781061E-2</v>
      </c>
      <c r="M26" s="2954">
        <v>90657.430540937639</v>
      </c>
      <c r="N26" s="1930">
        <v>95.569459062360693</v>
      </c>
      <c r="O26" s="1927">
        <v>1.0541823046616994E-3</v>
      </c>
      <c r="P26" s="1927">
        <v>-4.4061004882769872E-2</v>
      </c>
      <c r="Q26" s="2955"/>
      <c r="R26" s="2934">
        <v>90366.11</v>
      </c>
      <c r="S26" s="1930">
        <v>386.88999999999942</v>
      </c>
      <c r="T26" s="1927">
        <v>4.2813616741939065E-3</v>
      </c>
      <c r="U26" s="1927">
        <v>-4.7132839849846064E-2</v>
      </c>
      <c r="V26" s="2964" t="s">
        <v>2331</v>
      </c>
      <c r="W26" s="3012"/>
      <c r="X26" s="1930">
        <v>386.88999999999942</v>
      </c>
      <c r="Y26" s="1931">
        <v>3.2237809167356968E-3</v>
      </c>
    </row>
    <row r="27" spans="2:27">
      <c r="B27" s="1841" t="s">
        <v>81</v>
      </c>
      <c r="C27" s="1638">
        <v>23867</v>
      </c>
      <c r="D27" s="1639">
        <v>23909.980540937642</v>
      </c>
      <c r="E27" s="2754">
        <v>-42.980540937642218</v>
      </c>
      <c r="F27" s="1554">
        <v>-1.7975983235976618E-3</v>
      </c>
      <c r="G27" s="1638">
        <v>20907</v>
      </c>
      <c r="H27" s="1554">
        <v>0.14157937532883724</v>
      </c>
      <c r="I27" s="3111"/>
      <c r="J27" s="1583"/>
      <c r="K27" s="1639"/>
      <c r="L27" s="1626"/>
      <c r="M27" s="2950"/>
      <c r="N27" s="1901"/>
      <c r="O27" s="1626"/>
      <c r="P27" s="1626"/>
      <c r="Q27" s="2951"/>
      <c r="R27" s="2932"/>
      <c r="S27" s="1901"/>
      <c r="T27" s="1626"/>
      <c r="U27" s="1626"/>
      <c r="V27" s="2963"/>
      <c r="W27" s="1563"/>
      <c r="X27" s="1901"/>
      <c r="Y27" s="1630"/>
    </row>
    <row r="28" spans="2:27" ht="12">
      <c r="B28" s="1890" t="s">
        <v>1246</v>
      </c>
      <c r="C28" s="1860">
        <v>90753</v>
      </c>
      <c r="D28" s="1889">
        <v>90657.430540937639</v>
      </c>
      <c r="E28" s="2843">
        <v>95.569459062360693</v>
      </c>
      <c r="F28" s="1861">
        <v>1.0541823046617779E-3</v>
      </c>
      <c r="G28" s="1860">
        <v>94836</v>
      </c>
      <c r="H28" s="1861">
        <v>-4.3053270909781061E-2</v>
      </c>
      <c r="J28" s="1933" t="s">
        <v>1105</v>
      </c>
      <c r="K28" s="1639">
        <v>24462</v>
      </c>
      <c r="L28" s="1626">
        <v>-9.8474238962187655E-2</v>
      </c>
      <c r="M28" s="2950">
        <v>24972.921307283999</v>
      </c>
      <c r="N28" s="1901">
        <v>-510.92130728399934</v>
      </c>
      <c r="O28" s="1626">
        <v>-2.0459012423787892E-2</v>
      </c>
      <c r="P28" s="1626">
        <v>-7.9644677994987867E-2</v>
      </c>
      <c r="Q28" s="2951"/>
      <c r="R28" s="2932">
        <v>25435.62</v>
      </c>
      <c r="S28" s="1901">
        <v>-973.61999999999898</v>
      </c>
      <c r="T28" s="1626">
        <v>-3.8277816699573197E-2</v>
      </c>
      <c r="U28" s="1626">
        <v>-6.2592319599027113E-2</v>
      </c>
      <c r="V28" s="2963"/>
      <c r="W28" s="1563"/>
      <c r="X28" s="1901">
        <v>-973.61999999999898</v>
      </c>
      <c r="Y28" s="1630">
        <v>-1.8190973631309171E-2</v>
      </c>
    </row>
    <row r="29" spans="2:27">
      <c r="B29" s="1839"/>
      <c r="C29" s="1638"/>
      <c r="D29" s="1639"/>
      <c r="E29" s="2754"/>
      <c r="F29" s="1554"/>
      <c r="G29" s="1638"/>
      <c r="H29" s="1554"/>
      <c r="J29" s="1933" t="s">
        <v>995</v>
      </c>
      <c r="K29" s="1639">
        <v>17809</v>
      </c>
      <c r="L29" s="1626">
        <v>0.19990567308988005</v>
      </c>
      <c r="M29" s="2950">
        <v>17414.558219828137</v>
      </c>
      <c r="N29" s="1901">
        <v>394.44178017186277</v>
      </c>
      <c r="O29" s="1626">
        <v>2.2650116941970611E-2</v>
      </c>
      <c r="P29" s="1626">
        <v>0.17332961998572549</v>
      </c>
      <c r="Q29" s="2951"/>
      <c r="R29" s="2932">
        <v>16631.807000000001</v>
      </c>
      <c r="S29" s="1901">
        <v>1177.1929999999993</v>
      </c>
      <c r="T29" s="1626">
        <v>7.0779621240193435E-2</v>
      </c>
      <c r="U29" s="1626">
        <v>0.12059068858644384</v>
      </c>
      <c r="V29" s="2963"/>
      <c r="W29" s="1563"/>
      <c r="X29" s="1901">
        <v>1177.1929999999993</v>
      </c>
      <c r="Y29" s="1630">
        <v>4.7063510286533328E-2</v>
      </c>
    </row>
    <row r="30" spans="2:27" ht="12">
      <c r="B30" s="1842" t="s">
        <v>1105</v>
      </c>
      <c r="C30" s="1638">
        <v>24462</v>
      </c>
      <c r="D30" s="1639">
        <v>24972.921307283999</v>
      </c>
      <c r="E30" s="2754">
        <v>-510.92130728399934</v>
      </c>
      <c r="F30" s="1554">
        <v>-2.0459012423787837E-2</v>
      </c>
      <c r="G30" s="1638">
        <v>27134</v>
      </c>
      <c r="H30" s="1554">
        <v>-9.8474238962187655E-2</v>
      </c>
      <c r="J30" s="1932" t="s">
        <v>67</v>
      </c>
      <c r="K30" s="1889">
        <v>42271</v>
      </c>
      <c r="L30" s="1927">
        <v>7.0278254240518923E-3</v>
      </c>
      <c r="M30" s="2954">
        <v>42387.47952711214</v>
      </c>
      <c r="N30" s="1930">
        <v>-116.4795271121402</v>
      </c>
      <c r="O30" s="1927">
        <v>-2.7479701178655391E-3</v>
      </c>
      <c r="P30" s="1927">
        <v>9.8027331597136946E-3</v>
      </c>
      <c r="Q30" s="2955"/>
      <c r="R30" s="2934">
        <v>42080.77</v>
      </c>
      <c r="S30" s="1930">
        <v>190.2300000000032</v>
      </c>
      <c r="T30" s="1927">
        <v>4.5205921849815756E-3</v>
      </c>
      <c r="U30" s="1927">
        <v>2.4959500667047774E-3</v>
      </c>
      <c r="V30" s="2964"/>
      <c r="W30" s="3012"/>
      <c r="X30" s="1930">
        <v>190.2300000000032</v>
      </c>
      <c r="Y30" s="1931">
        <v>7.2885911334832354E-3</v>
      </c>
    </row>
    <row r="31" spans="2:27">
      <c r="B31" s="1842" t="s">
        <v>995</v>
      </c>
      <c r="C31" s="1638">
        <v>17809</v>
      </c>
      <c r="D31" s="1639">
        <v>17414.558219828137</v>
      </c>
      <c r="E31" s="2754">
        <v>394.44178017186277</v>
      </c>
      <c r="F31" s="1554">
        <v>2.2650116941970607E-2</v>
      </c>
      <c r="G31" s="1638">
        <v>14842</v>
      </c>
      <c r="H31" s="1554">
        <v>0.19990567308988005</v>
      </c>
      <c r="J31" s="1583"/>
      <c r="L31" s="1624"/>
      <c r="M31" s="2935"/>
      <c r="O31" s="1624"/>
      <c r="P31" s="1624"/>
      <c r="Q31" s="2925"/>
      <c r="R31" s="2935"/>
      <c r="U31" s="1624"/>
      <c r="V31" s="1839"/>
      <c r="W31" s="1396"/>
      <c r="Y31" s="1397"/>
    </row>
    <row r="32" spans="2:27" ht="12">
      <c r="B32" s="1888" t="s">
        <v>67</v>
      </c>
      <c r="C32" s="1860">
        <v>42271</v>
      </c>
      <c r="D32" s="1889">
        <v>42387.47952711214</v>
      </c>
      <c r="E32" s="2843">
        <v>-116.4795271121402</v>
      </c>
      <c r="F32" s="1861">
        <v>-2.7479701178655092E-3</v>
      </c>
      <c r="G32" s="1860">
        <v>41976</v>
      </c>
      <c r="H32" s="1861">
        <v>7.0278254240518923E-3</v>
      </c>
      <c r="J32" s="1933" t="s">
        <v>1173</v>
      </c>
      <c r="K32" s="1634">
        <v>0.36572675896301171</v>
      </c>
      <c r="L32" s="1634">
        <v>-1.3010650302791582E-3</v>
      </c>
      <c r="M32" s="2936">
        <v>0.37414045491301917</v>
      </c>
      <c r="N32" s="1634">
        <v>-8.4136959500074604E-3</v>
      </c>
      <c r="O32" s="1634"/>
      <c r="P32" s="1634">
        <v>7.1126309197283022E-3</v>
      </c>
      <c r="Q32" s="2926"/>
      <c r="R32" s="2936">
        <v>0.37780208762685619</v>
      </c>
      <c r="S32" s="1634">
        <v>-1.2075328663844476E-2</v>
      </c>
      <c r="T32" s="1634"/>
      <c r="U32" s="1634">
        <v>1.0774263633565317E-2</v>
      </c>
      <c r="V32" s="2965"/>
      <c r="W32" s="1636"/>
      <c r="X32" s="1634">
        <v>-1.2075328663844476E-2</v>
      </c>
      <c r="Y32" s="1635"/>
    </row>
    <row r="33" spans="1:25">
      <c r="B33" s="1839"/>
      <c r="C33" s="1396"/>
      <c r="E33" s="1569"/>
      <c r="F33" s="1554"/>
      <c r="G33" s="1396"/>
      <c r="H33" s="1554"/>
      <c r="J33" s="1933" t="s">
        <v>1172</v>
      </c>
      <c r="K33" s="1634">
        <v>0.74617672937528801</v>
      </c>
      <c r="L33" s="1634">
        <v>3.6270956189273784E-2</v>
      </c>
      <c r="M33" s="2936">
        <v>0.72833845222130889</v>
      </c>
      <c r="N33" s="1634">
        <v>1.7838277153979121E-2</v>
      </c>
      <c r="O33" s="1634"/>
      <c r="P33" s="1634">
        <v>1.8432679035294663E-2</v>
      </c>
      <c r="Q33" s="2926"/>
      <c r="R33" s="2936">
        <v>0.71923206123956707</v>
      </c>
      <c r="S33" s="1634">
        <v>2.6944668135720939E-2</v>
      </c>
      <c r="T33" s="1634"/>
      <c r="U33" s="1634">
        <v>9.3262880535528447E-3</v>
      </c>
      <c r="V33" s="2965"/>
      <c r="W33" s="1636"/>
      <c r="X33" s="1634">
        <v>2.6944668135720939E-2</v>
      </c>
      <c r="Y33" s="1635"/>
    </row>
    <row r="34" spans="1:25" ht="12">
      <c r="B34" s="1842" t="s">
        <v>1173</v>
      </c>
      <c r="C34" s="1636">
        <v>0.36572675896301171</v>
      </c>
      <c r="D34" s="1634">
        <v>0.37414045491301917</v>
      </c>
      <c r="E34" s="1637"/>
      <c r="F34" s="1635">
        <v>-8.4136959500074604E-3</v>
      </c>
      <c r="G34" s="1636">
        <v>0.36702782399329087</v>
      </c>
      <c r="H34" s="1635">
        <v>-1.3010650302791582E-3</v>
      </c>
      <c r="J34" s="1934" t="s">
        <v>1472</v>
      </c>
      <c r="K34" s="1893">
        <v>0.46578074554009236</v>
      </c>
      <c r="L34" s="1893">
        <v>2.3164017715215701E-2</v>
      </c>
      <c r="M34" s="2937">
        <v>0.46755659491111956</v>
      </c>
      <c r="N34" s="1893">
        <v>-1.775849371027205E-3</v>
      </c>
      <c r="O34" s="1893"/>
      <c r="P34" s="1893">
        <v>2.4939867086242906E-2</v>
      </c>
      <c r="Q34" s="2927"/>
      <c r="R34" s="2937">
        <v>0.46566981803244595</v>
      </c>
      <c r="S34" s="1893">
        <v>1.109275076464078E-4</v>
      </c>
      <c r="T34" s="1893"/>
      <c r="U34" s="1893">
        <v>2.3053090207569293E-2</v>
      </c>
      <c r="V34" s="1890" t="s">
        <v>2336</v>
      </c>
      <c r="W34" s="1892"/>
      <c r="X34" s="1893">
        <v>1.109275076464078E-4</v>
      </c>
      <c r="Y34" s="1895"/>
    </row>
    <row r="35" spans="1:25" ht="12">
      <c r="B35" s="1842" t="s">
        <v>1172</v>
      </c>
      <c r="C35" s="1636">
        <v>0.74617672937528801</v>
      </c>
      <c r="D35" s="1634">
        <v>0.72833845222130889</v>
      </c>
      <c r="E35" s="1637"/>
      <c r="F35" s="1635">
        <v>1.7838277153979121E-2</v>
      </c>
      <c r="G35" s="1636">
        <v>0.70990577318601422</v>
      </c>
      <c r="H35" s="1635">
        <v>3.6270956189273784E-2</v>
      </c>
      <c r="J35" s="1934" t="s">
        <v>2251</v>
      </c>
      <c r="K35" s="1893">
        <v>0.30742785362467356</v>
      </c>
      <c r="L35" s="1893">
        <v>8.8281657424347793E-3</v>
      </c>
      <c r="M35" s="2937">
        <v>0.30946696106110455</v>
      </c>
      <c r="N35" s="1893">
        <v>-2.0391074364309869E-3</v>
      </c>
      <c r="O35" s="1893"/>
      <c r="P35" s="1893">
        <v>1.0867273178865766E-2</v>
      </c>
      <c r="Q35" s="2927"/>
      <c r="R35" s="2937">
        <v>0.30766378014943879</v>
      </c>
      <c r="S35" s="1893">
        <v>-2.3592652476522868E-4</v>
      </c>
      <c r="T35" s="1893"/>
      <c r="U35" s="1893">
        <v>9.0640922672000079E-3</v>
      </c>
      <c r="V35" s="2966"/>
      <c r="W35" s="1892"/>
      <c r="X35" s="1893">
        <v>-2.3592652476522868E-4</v>
      </c>
      <c r="Y35" s="1895"/>
    </row>
    <row r="36" spans="1:25" ht="12">
      <c r="B36" s="1891" t="s">
        <v>1428</v>
      </c>
      <c r="C36" s="1892">
        <v>0.46578074554009236</v>
      </c>
      <c r="D36" s="1893">
        <v>0.46755659491111956</v>
      </c>
      <c r="E36" s="1894"/>
      <c r="F36" s="1895">
        <v>-1.775849371027205E-3</v>
      </c>
      <c r="G36" s="1892">
        <v>0.44261672782487665</v>
      </c>
      <c r="H36" s="1895">
        <v>2.3164017715215701E-2</v>
      </c>
      <c r="J36" s="1396"/>
      <c r="M36" s="2935"/>
      <c r="Q36" s="2925"/>
      <c r="R36" s="2935"/>
      <c r="V36" s="1839"/>
      <c r="W36" s="1396"/>
      <c r="Y36" s="1397"/>
    </row>
    <row r="37" spans="1:25" ht="12">
      <c r="B37" s="1891" t="s">
        <v>2282</v>
      </c>
      <c r="C37" s="1892">
        <v>0.30742785362467356</v>
      </c>
      <c r="D37" s="1893">
        <v>0.30946696106110455</v>
      </c>
      <c r="E37" s="1894"/>
      <c r="F37" s="1895">
        <v>-2.0391074364309869E-3</v>
      </c>
      <c r="G37" s="1892">
        <v>0.29859968788223878</v>
      </c>
      <c r="H37" s="1895">
        <v>8.8281657424347793E-3</v>
      </c>
      <c r="J37" s="3025" t="s">
        <v>2250</v>
      </c>
      <c r="M37" s="2935"/>
      <c r="Q37" s="2925"/>
      <c r="R37" s="2935"/>
      <c r="V37" s="1839"/>
      <c r="W37" s="1396"/>
      <c r="Y37" s="1397"/>
    </row>
    <row r="38" spans="1:25">
      <c r="J38" s="1818" t="s">
        <v>168</v>
      </c>
      <c r="K38" s="1897">
        <v>37273</v>
      </c>
      <c r="L38" s="2541">
        <v>-1.3524243065847985E-2</v>
      </c>
      <c r="M38" s="2944">
        <v>36119.198991509424</v>
      </c>
      <c r="N38" s="1897">
        <v>1153.8010084905764</v>
      </c>
      <c r="O38" s="2541">
        <v>3.1944257921162622E-2</v>
      </c>
      <c r="P38" s="2541">
        <v>-4.4061004882769872E-2</v>
      </c>
      <c r="Q38" s="2956"/>
      <c r="R38" s="2938">
        <v>37609</v>
      </c>
      <c r="S38" s="2836">
        <v>-336</v>
      </c>
      <c r="T38" s="2837">
        <v>-8.934031747720006E-3</v>
      </c>
      <c r="U38" s="2541">
        <v>-4.6315900910438579E-3</v>
      </c>
      <c r="V38" s="2967"/>
      <c r="W38" s="3013"/>
      <c r="X38" s="2836">
        <v>-336</v>
      </c>
      <c r="Y38" s="2838">
        <v>-3.9612885439404888E-2</v>
      </c>
    </row>
    <row r="39" spans="1:25" ht="12">
      <c r="B39" s="2699" t="s">
        <v>2250</v>
      </c>
      <c r="C39" s="2700" t="s">
        <v>654</v>
      </c>
      <c r="D39" s="3207" t="s">
        <v>655</v>
      </c>
      <c r="E39" s="2702" t="s">
        <v>2215</v>
      </c>
      <c r="F39" s="2703" t="s">
        <v>1427</v>
      </c>
      <c r="G39" s="2700" t="s">
        <v>654</v>
      </c>
      <c r="H39" s="2703" t="s">
        <v>2259</v>
      </c>
      <c r="J39" s="1396" t="s">
        <v>663</v>
      </c>
      <c r="K39" s="2504">
        <v>24123</v>
      </c>
      <c r="L39" s="2523">
        <v>7.4337022342869652E-3</v>
      </c>
      <c r="M39" s="2940">
        <v>26339.500000000004</v>
      </c>
      <c r="N39" s="2504">
        <v>-2216.5000000000036</v>
      </c>
      <c r="O39" s="2523">
        <v>-8.4151179787012031E-2</v>
      </c>
      <c r="P39" s="2523">
        <v>0.10000000000000009</v>
      </c>
      <c r="Q39" s="2925"/>
      <c r="R39" s="2932">
        <v>23463</v>
      </c>
      <c r="S39" s="1901">
        <v>660</v>
      </c>
      <c r="T39" s="1626">
        <v>2.8129395218002839E-2</v>
      </c>
      <c r="U39" s="2523">
        <v>-2.0129463353518506E-2</v>
      </c>
      <c r="V39" s="2963"/>
      <c r="W39" s="1563"/>
      <c r="X39" s="1901">
        <v>660</v>
      </c>
      <c r="Y39" s="1630">
        <v>0.122597280825129</v>
      </c>
    </row>
    <row r="40" spans="1:25">
      <c r="B40" s="1841" t="s">
        <v>168</v>
      </c>
      <c r="C40" s="1638">
        <v>37273</v>
      </c>
      <c r="D40" s="1639">
        <v>36119.198991509424</v>
      </c>
      <c r="E40" s="2754">
        <v>1153.8010084905764</v>
      </c>
      <c r="F40" s="1554">
        <v>3.1944257921162691E-2</v>
      </c>
      <c r="G40" s="1638">
        <v>37784</v>
      </c>
      <c r="H40" s="1554">
        <v>-1.3524243065847985E-2</v>
      </c>
      <c r="J40" s="1396" t="s">
        <v>171</v>
      </c>
      <c r="K40" s="2504">
        <v>16372</v>
      </c>
      <c r="L40" s="2523">
        <v>-8.0844374578935563E-2</v>
      </c>
      <c r="M40" s="2940">
        <v>15140.199999999999</v>
      </c>
      <c r="N40" s="2504">
        <v>1231.8000000000011</v>
      </c>
      <c r="O40" s="2523">
        <v>8.1359559318899377E-2</v>
      </c>
      <c r="P40" s="2523">
        <v>-0.15000000000000002</v>
      </c>
      <c r="Q40" s="2925"/>
      <c r="R40" s="2932">
        <v>15253</v>
      </c>
      <c r="S40" s="1901">
        <v>1119</v>
      </c>
      <c r="T40" s="1626">
        <v>7.3362617190060986E-2</v>
      </c>
      <c r="U40" s="2523">
        <v>-0.14366719065798339</v>
      </c>
      <c r="V40" s="2963"/>
      <c r="W40" s="1563"/>
      <c r="X40" s="1901">
        <v>1119</v>
      </c>
      <c r="Y40" s="1630">
        <v>-7.3952665049499267E-3</v>
      </c>
    </row>
    <row r="41" spans="1:25">
      <c r="B41" s="1841" t="s">
        <v>663</v>
      </c>
      <c r="C41" s="1638">
        <v>24123</v>
      </c>
      <c r="D41" s="1639">
        <v>26339.500000000004</v>
      </c>
      <c r="E41" s="2754">
        <v>-2216.5000000000036</v>
      </c>
      <c r="F41" s="1554">
        <v>-8.4151179787012031E-2</v>
      </c>
      <c r="G41" s="1638">
        <v>23945</v>
      </c>
      <c r="H41" s="1554">
        <v>7.4337022342869652E-3</v>
      </c>
      <c r="J41" s="1396" t="s">
        <v>169</v>
      </c>
      <c r="K41" s="2504">
        <v>6262</v>
      </c>
      <c r="L41" s="2523">
        <v>-0.12736900780379046</v>
      </c>
      <c r="M41" s="2940">
        <v>6859.8182289612432</v>
      </c>
      <c r="N41" s="2504">
        <v>-597.81822896124322</v>
      </c>
      <c r="O41" s="2523">
        <v>-8.7147823602283458E-2</v>
      </c>
      <c r="P41" s="2523">
        <v>-4.4061004882769872E-2</v>
      </c>
      <c r="Q41" s="2925"/>
      <c r="R41" s="2932">
        <v>6455</v>
      </c>
      <c r="S41" s="1901">
        <v>-193</v>
      </c>
      <c r="T41" s="1626">
        <v>-2.9899302865995403E-2</v>
      </c>
      <c r="U41" s="2523">
        <v>-0.10047380156075814</v>
      </c>
      <c r="V41" s="2963"/>
      <c r="W41" s="1563"/>
      <c r="X41" s="1901">
        <v>-193</v>
      </c>
      <c r="Y41" s="1630">
        <v>6.271390069112992E-2</v>
      </c>
    </row>
    <row r="42" spans="1:25">
      <c r="B42" s="1841" t="s">
        <v>171</v>
      </c>
      <c r="C42" s="1638">
        <v>16372</v>
      </c>
      <c r="D42" s="1639">
        <v>15140.199999999999</v>
      </c>
      <c r="E42" s="2754">
        <v>1231.8000000000011</v>
      </c>
      <c r="F42" s="1554">
        <v>8.1359559318899433E-2</v>
      </c>
      <c r="G42" s="1638">
        <v>17812</v>
      </c>
      <c r="H42" s="1554">
        <v>-8.0844374578935563E-2</v>
      </c>
      <c r="J42" s="1396" t="s">
        <v>172</v>
      </c>
      <c r="K42" s="2504">
        <v>6723</v>
      </c>
      <c r="L42" s="2523">
        <v>-0.17194235743318143</v>
      </c>
      <c r="M42" s="2940">
        <v>6198.7133204669699</v>
      </c>
      <c r="N42" s="2504">
        <v>524.28667953303011</v>
      </c>
      <c r="O42" s="2523">
        <v>8.457992044928675E-2</v>
      </c>
      <c r="P42" s="2523">
        <v>-0.23651763511923019</v>
      </c>
      <c r="Q42" s="2925"/>
      <c r="R42" s="2932">
        <v>7580</v>
      </c>
      <c r="S42" s="1901">
        <v>-857</v>
      </c>
      <c r="T42" s="1626">
        <v>-0.11306068601583108</v>
      </c>
      <c r="U42" s="2523">
        <v>-6.6387486143613783E-2</v>
      </c>
      <c r="V42" s="2963"/>
      <c r="W42" s="1563"/>
      <c r="X42" s="1901">
        <v>-857</v>
      </c>
      <c r="Y42" s="1630">
        <v>-0.18222779413364509</v>
      </c>
    </row>
    <row r="43" spans="1:25" ht="12">
      <c r="B43" s="1841" t="s">
        <v>169</v>
      </c>
      <c r="C43" s="1638">
        <v>6262</v>
      </c>
      <c r="D43" s="1639">
        <v>6859.8182289612432</v>
      </c>
      <c r="E43" s="2754">
        <v>-597.81822896124322</v>
      </c>
      <c r="F43" s="1554">
        <v>-8.71478236022835E-2</v>
      </c>
      <c r="G43" s="1638">
        <v>7176</v>
      </c>
      <c r="H43" s="1554">
        <v>-0.12736900780379046</v>
      </c>
      <c r="J43" s="1926" t="s">
        <v>1246</v>
      </c>
      <c r="K43" s="1889">
        <v>90753</v>
      </c>
      <c r="L43" s="2839">
        <v>-4.3053270909781061E-2</v>
      </c>
      <c r="M43" s="2954">
        <v>90657.430540937639</v>
      </c>
      <c r="N43" s="1930">
        <v>95.569459062360693</v>
      </c>
      <c r="O43" s="2839">
        <v>1.0541823046616994E-3</v>
      </c>
      <c r="P43" s="2839">
        <v>-4.4061004882769872E-2</v>
      </c>
      <c r="Q43" s="2955"/>
      <c r="R43" s="2934">
        <v>90366.11</v>
      </c>
      <c r="S43" s="1930">
        <v>386.88999999999942</v>
      </c>
      <c r="T43" s="1927">
        <v>4.2813616741939065E-3</v>
      </c>
      <c r="U43" s="2839">
        <v>-4.7132839849846064E-2</v>
      </c>
      <c r="V43" s="2964"/>
      <c r="W43" s="3012"/>
      <c r="X43" s="1930">
        <v>386.88999999999942</v>
      </c>
      <c r="Y43" s="1931">
        <v>3.2237809167356968E-3</v>
      </c>
    </row>
    <row r="44" spans="1:25" ht="12">
      <c r="B44" s="1841" t="s">
        <v>172</v>
      </c>
      <c r="C44" s="1638">
        <v>6723</v>
      </c>
      <c r="D44" s="1639">
        <v>6198.7133204669699</v>
      </c>
      <c r="E44" s="2754">
        <v>524.28667953303011</v>
      </c>
      <c r="F44" s="1554">
        <v>8.4579920449286694E-2</v>
      </c>
      <c r="G44" s="1638">
        <v>8119</v>
      </c>
      <c r="H44" s="1554">
        <v>-0.17194235743318143</v>
      </c>
      <c r="J44" s="2998" t="s">
        <v>2261</v>
      </c>
      <c r="K44" s="2525">
        <v>-1.4E-2</v>
      </c>
      <c r="L44" s="2525"/>
      <c r="M44" s="2999">
        <v>-5.4655868673658421E-3</v>
      </c>
      <c r="N44" s="2525">
        <v>-8.5344131326341582E-3</v>
      </c>
      <c r="O44" s="2525"/>
      <c r="P44" s="2525"/>
      <c r="Q44" s="2969"/>
      <c r="R44" s="2970"/>
      <c r="S44" s="3000"/>
      <c r="T44" s="3122"/>
      <c r="U44" s="3015"/>
      <c r="V44" s="3001" t="s">
        <v>2277</v>
      </c>
      <c r="W44" s="3014"/>
      <c r="X44" s="2971"/>
      <c r="Y44" s="3015"/>
    </row>
    <row r="45" spans="1:25" ht="12">
      <c r="B45" s="1890" t="s">
        <v>1246</v>
      </c>
      <c r="C45" s="1860">
        <v>90753</v>
      </c>
      <c r="D45" s="1889">
        <v>90657.430540937639</v>
      </c>
      <c r="E45" s="2843">
        <v>95.569459062360693</v>
      </c>
      <c r="F45" s="1861">
        <v>1.0541823046617779E-3</v>
      </c>
      <c r="G45" s="1860">
        <v>94836</v>
      </c>
      <c r="H45" s="1861">
        <v>-4.3053270909781061E-2</v>
      </c>
    </row>
    <row r="46" spans="1:25">
      <c r="A46" s="1624" t="s">
        <v>1440</v>
      </c>
      <c r="B46" s="2997" t="s">
        <v>2261</v>
      </c>
      <c r="C46" s="2993">
        <v>-1.4E-2</v>
      </c>
      <c r="D46" s="2994">
        <v>-5.4655868673658421E-3</v>
      </c>
      <c r="E46" s="2995"/>
      <c r="F46" s="2996">
        <v>-8.5344131326341582E-3</v>
      </c>
      <c r="G46" s="2993">
        <v>-0.05</v>
      </c>
      <c r="H46" s="2992"/>
      <c r="J46" s="2745" t="s">
        <v>2237</v>
      </c>
      <c r="K46" s="2746"/>
      <c r="L46" s="2746"/>
      <c r="M46" s="3406" t="s">
        <v>720</v>
      </c>
      <c r="N46" s="3400"/>
      <c r="O46" s="3400"/>
      <c r="P46" s="3400"/>
      <c r="Q46" s="3407"/>
      <c r="R46" s="2939" t="s">
        <v>668</v>
      </c>
      <c r="S46" s="2749"/>
      <c r="T46" s="2750"/>
      <c r="U46" s="3172"/>
      <c r="V46" s="2621"/>
      <c r="W46" s="3005"/>
      <c r="X46" s="2749" t="s">
        <v>1430</v>
      </c>
      <c r="Y46" s="2750"/>
    </row>
    <row r="47" spans="1:25">
      <c r="J47" s="3026" t="s">
        <v>1431</v>
      </c>
      <c r="K47" s="2751" t="s">
        <v>654</v>
      </c>
      <c r="L47" s="2751"/>
      <c r="M47" s="2928" t="s">
        <v>720</v>
      </c>
      <c r="N47" s="2751" t="s">
        <v>1426</v>
      </c>
      <c r="O47" s="2751" t="s">
        <v>1427</v>
      </c>
      <c r="P47" s="2751"/>
      <c r="Q47" s="2751"/>
      <c r="R47" s="3035" t="s">
        <v>2265</v>
      </c>
      <c r="S47" s="2751" t="s">
        <v>1426</v>
      </c>
      <c r="T47" s="2750" t="s">
        <v>1427</v>
      </c>
      <c r="U47" s="3173"/>
      <c r="W47" s="3006"/>
      <c r="X47" s="2751" t="s">
        <v>2337</v>
      </c>
      <c r="Y47" s="2750" t="s">
        <v>1427</v>
      </c>
    </row>
    <row r="48" spans="1:25" ht="12">
      <c r="B48" s="2851" t="s">
        <v>2252</v>
      </c>
      <c r="J48" s="3027" t="s">
        <v>2236</v>
      </c>
      <c r="L48" s="2523"/>
      <c r="M48" s="2935"/>
      <c r="O48" s="2523"/>
      <c r="P48" s="2523"/>
      <c r="R48" s="2935"/>
      <c r="T48" s="3020"/>
      <c r="U48" s="2523"/>
      <c r="W48" s="1396"/>
      <c r="Y48" s="3020"/>
    </row>
    <row r="49" spans="2:25" ht="12">
      <c r="B49" s="2846" t="s">
        <v>2211</v>
      </c>
      <c r="C49" s="2847" t="s">
        <v>654</v>
      </c>
      <c r="D49" s="2848" t="s">
        <v>655</v>
      </c>
      <c r="E49" s="2849" t="s">
        <v>2213</v>
      </c>
      <c r="F49" s="2850" t="s">
        <v>1427</v>
      </c>
      <c r="G49" s="2847" t="s">
        <v>654</v>
      </c>
      <c r="H49" s="2850" t="s">
        <v>2259</v>
      </c>
      <c r="J49" s="1396" t="s">
        <v>2221</v>
      </c>
      <c r="K49" s="1641">
        <v>66886</v>
      </c>
      <c r="L49" s="2523"/>
      <c r="M49" s="2957">
        <v>66747.45</v>
      </c>
      <c r="N49" s="1641">
        <v>138.55000000000291</v>
      </c>
      <c r="O49" s="2523">
        <v>2.0757347284428018E-3</v>
      </c>
      <c r="P49" s="2523"/>
      <c r="R49" s="2940">
        <v>66792.722982435065</v>
      </c>
      <c r="S49" s="1641">
        <v>93.277017564934795</v>
      </c>
      <c r="T49" s="3020">
        <v>1.396514671058835E-3</v>
      </c>
      <c r="U49" s="2523"/>
      <c r="W49" s="1396"/>
      <c r="X49" s="1641">
        <v>93.277017564934795</v>
      </c>
      <c r="Y49" s="3020">
        <v>-6.7781309719883165E-4</v>
      </c>
    </row>
    <row r="50" spans="2:25">
      <c r="B50" s="1818" t="s">
        <v>84</v>
      </c>
      <c r="C50" s="2763">
        <v>50.1</v>
      </c>
      <c r="D50" s="2755">
        <v>50.5</v>
      </c>
      <c r="E50" s="2756">
        <v>-0.39999999999999858</v>
      </c>
      <c r="F50" s="2757">
        <v>-7.9207920792078931E-3</v>
      </c>
      <c r="G50" s="2755">
        <v>55.442641999999999</v>
      </c>
      <c r="H50" s="2757">
        <v>-9.6363409232914976E-2</v>
      </c>
      <c r="J50" s="1396" t="s">
        <v>2223</v>
      </c>
      <c r="K50" s="1641">
        <v>23867</v>
      </c>
      <c r="L50" s="2523"/>
      <c r="M50" s="2957">
        <v>23909.980540937642</v>
      </c>
      <c r="N50" s="1641">
        <v>-42.980540937642218</v>
      </c>
      <c r="O50" s="2523">
        <v>-1.7975983235977155E-3</v>
      </c>
      <c r="P50" s="2523"/>
      <c r="R50" s="2940">
        <v>23331.579200744851</v>
      </c>
      <c r="S50" s="1641">
        <v>535.42079925514918</v>
      </c>
      <c r="T50" s="3020">
        <v>2.2948330871579214E-2</v>
      </c>
      <c r="U50" s="2523"/>
      <c r="W50" s="1396"/>
      <c r="X50" s="1641">
        <v>535.42079925514918</v>
      </c>
      <c r="Y50" s="3020">
        <v>2.4790492543013354E-2</v>
      </c>
    </row>
    <row r="51" spans="2:25" ht="12">
      <c r="B51" s="1396" t="s">
        <v>85</v>
      </c>
      <c r="C51" s="2764">
        <v>10</v>
      </c>
      <c r="D51" s="2517">
        <v>10</v>
      </c>
      <c r="E51" s="2753">
        <v>0</v>
      </c>
      <c r="F51" s="1554">
        <v>0</v>
      </c>
      <c r="G51" s="2517">
        <v>12.35</v>
      </c>
      <c r="H51" s="1554">
        <v>-0.19028340080971662</v>
      </c>
      <c r="J51" s="1588" t="s">
        <v>1246</v>
      </c>
      <c r="K51" s="2768">
        <v>90753</v>
      </c>
      <c r="L51" s="2525"/>
      <c r="M51" s="2958">
        <v>90657.430540937639</v>
      </c>
      <c r="N51" s="2768">
        <v>95.569459062360693</v>
      </c>
      <c r="O51" s="2525">
        <v>1.0541823046616994E-3</v>
      </c>
      <c r="P51" s="2525"/>
      <c r="Q51" s="2502"/>
      <c r="R51" s="2943">
        <v>90355.505855209194</v>
      </c>
      <c r="S51" s="2768">
        <v>397.49414479080588</v>
      </c>
      <c r="T51" s="3021">
        <v>4.3992243862567282E-3</v>
      </c>
      <c r="U51" s="2523"/>
      <c r="W51" s="2532"/>
      <c r="X51" s="2768">
        <v>397.49414479080588</v>
      </c>
      <c r="Y51" s="3021">
        <v>3.3415195108559281E-3</v>
      </c>
    </row>
    <row r="52" spans="2:25">
      <c r="B52" s="1396" t="s">
        <v>86</v>
      </c>
      <c r="C52" s="2764">
        <v>4.8</v>
      </c>
      <c r="D52" s="2517">
        <v>4.8</v>
      </c>
      <c r="E52" s="2753">
        <v>0</v>
      </c>
      <c r="F52" s="1554">
        <v>0</v>
      </c>
      <c r="G52" s="2517">
        <v>4.2</v>
      </c>
      <c r="H52" s="1554">
        <v>0.14285714285714279</v>
      </c>
      <c r="J52" s="1396" t="s">
        <v>2224</v>
      </c>
      <c r="K52" s="2504">
        <v>24462</v>
      </c>
      <c r="L52" s="2523"/>
      <c r="M52" s="2940">
        <v>24972.921307283999</v>
      </c>
      <c r="N52" s="2504">
        <v>-510.92130728399934</v>
      </c>
      <c r="O52" s="2523">
        <v>-2.0459012423787892E-2</v>
      </c>
      <c r="P52" s="2523"/>
      <c r="R52" s="2940">
        <v>25308.345594126127</v>
      </c>
      <c r="S52" s="2504">
        <v>-846.34559412612725</v>
      </c>
      <c r="T52" s="3020">
        <v>-3.3441363876529184E-2</v>
      </c>
      <c r="U52" s="2523"/>
      <c r="W52" s="1396"/>
      <c r="X52" s="2504">
        <v>-846.34559412612725</v>
      </c>
      <c r="Y52" s="3020">
        <v>-1.3253505077786554E-2</v>
      </c>
    </row>
    <row r="53" spans="2:25">
      <c r="B53" s="2758" t="s">
        <v>1184</v>
      </c>
      <c r="C53" s="2765">
        <v>7</v>
      </c>
      <c r="D53" s="2759">
        <v>6.9750000000000005</v>
      </c>
      <c r="E53" s="2760">
        <v>2.4999999999999467E-2</v>
      </c>
      <c r="F53" s="1556">
        <v>3.5842293906809268E-3</v>
      </c>
      <c r="G53" s="2759">
        <v>9.3000000000000007</v>
      </c>
      <c r="H53" s="1556">
        <v>-0.24731182795698925</v>
      </c>
      <c r="J53" s="1396" t="s">
        <v>2225</v>
      </c>
      <c r="K53" s="2504">
        <v>17809</v>
      </c>
      <c r="L53" s="2523"/>
      <c r="M53" s="2940">
        <v>17414.558219828137</v>
      </c>
      <c r="N53" s="2504">
        <v>394.44178017186277</v>
      </c>
      <c r="O53" s="2523">
        <v>2.2650116941970611E-2</v>
      </c>
      <c r="P53" s="2523"/>
      <c r="R53" s="2940">
        <v>16772.300239934415</v>
      </c>
      <c r="S53" s="2504">
        <v>1036.699760065585</v>
      </c>
      <c r="T53" s="3020">
        <v>6.1810231467072763E-2</v>
      </c>
      <c r="U53" s="2523"/>
      <c r="W53" s="1396"/>
      <c r="X53" s="2504">
        <v>1036.699760065585</v>
      </c>
      <c r="Y53" s="3020">
        <v>3.8292778611518141E-2</v>
      </c>
    </row>
    <row r="54" spans="2:25">
      <c r="J54" s="2532" t="s">
        <v>2226</v>
      </c>
      <c r="K54" s="2505">
        <v>42271</v>
      </c>
      <c r="L54" s="2525"/>
      <c r="M54" s="2941">
        <v>42387.47952711214</v>
      </c>
      <c r="N54" s="2505">
        <v>-116.4795271121402</v>
      </c>
      <c r="O54" s="2525">
        <v>-2.7479701178655391E-3</v>
      </c>
      <c r="P54" s="2525"/>
      <c r="Q54" s="2502"/>
      <c r="R54" s="2941">
        <v>42046.301551928358</v>
      </c>
      <c r="S54" s="2505">
        <v>224.69844807164191</v>
      </c>
      <c r="T54" s="3021">
        <v>5.3440716490635864E-3</v>
      </c>
      <c r="U54" s="2523"/>
      <c r="W54" s="2532"/>
      <c r="X54" s="2505">
        <v>224.69844807164191</v>
      </c>
      <c r="Y54" s="3021">
        <v>8.1143397300336151E-3</v>
      </c>
    </row>
    <row r="55" spans="2:25" ht="12">
      <c r="B55" s="2846" t="s">
        <v>2216</v>
      </c>
      <c r="C55" s="2847" t="s">
        <v>654</v>
      </c>
      <c r="D55" s="2848" t="s">
        <v>655</v>
      </c>
      <c r="E55" s="2849" t="s">
        <v>2215</v>
      </c>
      <c r="F55" s="2850" t="s">
        <v>1427</v>
      </c>
      <c r="G55" s="2847" t="s">
        <v>654</v>
      </c>
      <c r="H55" s="2850" t="s">
        <v>2259</v>
      </c>
      <c r="J55" s="1396" t="s">
        <v>2229</v>
      </c>
      <c r="K55" s="2504">
        <v>7903</v>
      </c>
      <c r="L55" s="2523"/>
      <c r="M55" s="2940">
        <v>7896</v>
      </c>
      <c r="N55" s="2504">
        <v>7</v>
      </c>
      <c r="O55" s="2523">
        <v>8.8652482269502286E-4</v>
      </c>
      <c r="P55" s="2523"/>
      <c r="R55" s="2940">
        <v>7748.7263635710415</v>
      </c>
      <c r="S55" s="2504">
        <v>154.27363642895853</v>
      </c>
      <c r="T55" s="3020">
        <v>1.9909547606977496E-2</v>
      </c>
      <c r="U55" s="2523"/>
      <c r="W55" s="1396"/>
      <c r="X55" s="2504">
        <v>154.27363642895853</v>
      </c>
      <c r="Y55" s="3020">
        <v>1.9006173339832122E-2</v>
      </c>
    </row>
    <row r="56" spans="2:25">
      <c r="B56" s="1818" t="s">
        <v>84</v>
      </c>
      <c r="C56" s="2766">
        <v>917.42514970059881</v>
      </c>
      <c r="D56" s="1897">
        <v>907.9207920792079</v>
      </c>
      <c r="E56" s="2761">
        <v>9.5043576213909091</v>
      </c>
      <c r="F56" s="2757">
        <v>1.0468267391063052E-2</v>
      </c>
      <c r="G56" s="1897">
        <v>925.89382735404274</v>
      </c>
      <c r="H56" s="2757">
        <v>-9.1464889420908024E-3</v>
      </c>
      <c r="J56" s="1396" t="s">
        <v>2230</v>
      </c>
      <c r="K56" s="2504">
        <v>6468</v>
      </c>
      <c r="L56" s="2523"/>
      <c r="M56" s="2940">
        <v>6436</v>
      </c>
      <c r="N56" s="2504">
        <v>32</v>
      </c>
      <c r="O56" s="2523">
        <v>4.9720323182100845E-3</v>
      </c>
      <c r="P56" s="2523"/>
      <c r="R56" s="2940">
        <v>6575.0021295953202</v>
      </c>
      <c r="S56" s="2504">
        <v>-107.00212959532018</v>
      </c>
      <c r="T56" s="3020">
        <v>-1.6274082880320839E-2</v>
      </c>
      <c r="U56" s="2523"/>
      <c r="W56" s="1396"/>
      <c r="X56" s="2504">
        <v>-107.00212959532018</v>
      </c>
      <c r="Y56" s="3020">
        <v>-2.1141001456052133E-2</v>
      </c>
    </row>
    <row r="57" spans="2:25">
      <c r="B57" s="1396" t="s">
        <v>85</v>
      </c>
      <c r="C57" s="1907">
        <v>555.9</v>
      </c>
      <c r="D57" s="2504">
        <v>550.5</v>
      </c>
      <c r="E57" s="2754">
        <v>5.3999999999999773</v>
      </c>
      <c r="F57" s="1554">
        <v>9.8092643051770709E-3</v>
      </c>
      <c r="G57" s="2504">
        <v>540.0809716599191</v>
      </c>
      <c r="H57" s="1554">
        <v>2.9290104947526041E-2</v>
      </c>
      <c r="J57" s="2532" t="s">
        <v>2231</v>
      </c>
      <c r="K57" s="2505">
        <v>27900</v>
      </c>
      <c r="L57" s="2525"/>
      <c r="M57" s="2941">
        <v>28055.47952711214</v>
      </c>
      <c r="N57" s="2505">
        <v>-155.4795271121402</v>
      </c>
      <c r="O57" s="2525">
        <v>-5.5418595487518596E-3</v>
      </c>
      <c r="P57" s="2525"/>
      <c r="Q57" s="2502"/>
      <c r="R57" s="2941">
        <v>27722.573058761991</v>
      </c>
      <c r="S57" s="2505">
        <v>177.42694123800902</v>
      </c>
      <c r="T57" s="3021">
        <v>6.4000892291609102E-3</v>
      </c>
      <c r="U57" s="2523"/>
      <c r="W57" s="2532"/>
      <c r="X57" s="2505">
        <v>177.42694123800902</v>
      </c>
      <c r="Y57" s="3021">
        <v>1.200849818826355E-2</v>
      </c>
    </row>
    <row r="58" spans="2:25">
      <c r="B58" s="1396" t="s">
        <v>86</v>
      </c>
      <c r="C58" s="1907">
        <v>1552.2916666666667</v>
      </c>
      <c r="D58" s="2504">
        <v>1500</v>
      </c>
      <c r="E58" s="2754">
        <v>52.291666666666742</v>
      </c>
      <c r="F58" s="1554">
        <v>3.4861111111111162E-2</v>
      </c>
      <c r="G58" s="2504">
        <v>1706.6666666666665</v>
      </c>
      <c r="H58" s="1554">
        <v>-9.0454101562499889E-2</v>
      </c>
      <c r="J58" s="1396" t="s">
        <v>2227</v>
      </c>
      <c r="K58" s="2504">
        <v>158</v>
      </c>
      <c r="L58" s="2523"/>
      <c r="M58" s="2940">
        <v>50</v>
      </c>
      <c r="N58" s="2504">
        <v>108</v>
      </c>
      <c r="O58" s="2523">
        <v>2.16</v>
      </c>
      <c r="P58" s="2523"/>
      <c r="R58" s="2940">
        <v>-25.503212714810452</v>
      </c>
      <c r="S58" s="2504">
        <v>183.50321271481045</v>
      </c>
      <c r="T58" s="3020">
        <v>-7.1952978931256313</v>
      </c>
      <c r="U58" s="2523"/>
      <c r="W58" s="1396"/>
      <c r="X58" s="2504">
        <v>183.50321271481045</v>
      </c>
      <c r="Y58" s="3020">
        <v>-2.960537307951149</v>
      </c>
    </row>
    <row r="59" spans="2:25">
      <c r="B59" s="2758" t="s">
        <v>1184</v>
      </c>
      <c r="C59" s="2767">
        <v>550</v>
      </c>
      <c r="D59" s="1899">
        <v>550</v>
      </c>
      <c r="E59" s="2762">
        <v>0</v>
      </c>
      <c r="F59" s="1556">
        <v>0</v>
      </c>
      <c r="G59" s="1899">
        <v>445.16129032258061</v>
      </c>
      <c r="H59" s="1556">
        <v>0.23550724637681175</v>
      </c>
      <c r="J59" s="1818" t="s">
        <v>2232</v>
      </c>
      <c r="K59" s="1897">
        <v>28058</v>
      </c>
      <c r="L59" s="2541"/>
      <c r="M59" s="2944">
        <v>28105.47952711214</v>
      </c>
      <c r="N59" s="1897">
        <v>-47.479527112140204</v>
      </c>
      <c r="O59" s="2541">
        <v>-1.6893334648974134E-3</v>
      </c>
      <c r="P59" s="2541"/>
      <c r="Q59" s="2621"/>
      <c r="R59" s="2944">
        <v>27697.069846047179</v>
      </c>
      <c r="S59" s="1897">
        <v>360.93015395282055</v>
      </c>
      <c r="T59" s="3022">
        <v>1.3031347935324344E-2</v>
      </c>
      <c r="U59" s="2523"/>
      <c r="W59" s="1818"/>
      <c r="X59" s="1897">
        <v>360.93015395282055</v>
      </c>
      <c r="Y59" s="3022">
        <v>1.4745591621607934E-2</v>
      </c>
    </row>
    <row r="60" spans="2:25">
      <c r="J60" s="1396" t="s">
        <v>2233</v>
      </c>
      <c r="K60" s="2504">
        <v>4422</v>
      </c>
      <c r="L60" s="2523"/>
      <c r="M60" s="2940">
        <v>4496.8767243379425</v>
      </c>
      <c r="N60" s="2504">
        <v>-74.876724337942505</v>
      </c>
      <c r="O60" s="2523">
        <v>-1.6650828770265247E-2</v>
      </c>
      <c r="P60" s="2523"/>
      <c r="R60" s="2940">
        <v>4432.6475804093625</v>
      </c>
      <c r="S60" s="2504">
        <v>-10.64758040936249</v>
      </c>
      <c r="T60" s="3020">
        <v>-2.4020814233959298E-3</v>
      </c>
      <c r="U60" s="2523"/>
      <c r="W60" s="1396"/>
      <c r="X60" s="2504">
        <v>-10.64758040936249</v>
      </c>
      <c r="Y60" s="3020">
        <v>1.4490018158097806E-2</v>
      </c>
    </row>
    <row r="61" spans="2:25">
      <c r="B61" s="2532" t="s">
        <v>94</v>
      </c>
      <c r="C61" s="2769">
        <v>3850</v>
      </c>
      <c r="D61" s="2505">
        <v>3836.2500000000005</v>
      </c>
      <c r="E61" s="2770">
        <v>13.749999999999545</v>
      </c>
      <c r="F61" s="1558">
        <v>3.5842293906808848E-3</v>
      </c>
      <c r="G61" s="2505">
        <v>4140</v>
      </c>
      <c r="H61" s="1558">
        <v>-7.0048309178743939E-2</v>
      </c>
      <c r="J61" s="1396" t="s">
        <v>1562</v>
      </c>
      <c r="K61" s="2523">
        <v>0.1576021099151757</v>
      </c>
      <c r="L61" s="2523"/>
      <c r="M61" s="2945">
        <v>0.16</v>
      </c>
      <c r="N61" s="2523">
        <v>-2.3978900848243001E-3</v>
      </c>
      <c r="O61" s="2523"/>
      <c r="P61" s="2523"/>
      <c r="R61" s="2945">
        <v>0.16004030769493016</v>
      </c>
      <c r="S61" s="2523">
        <v>-2.4381977797544585E-3</v>
      </c>
      <c r="T61" s="3020">
        <v>-1.5234898100809469E-2</v>
      </c>
      <c r="U61" s="2523"/>
      <c r="W61" s="1396"/>
      <c r="X61" s="2523">
        <v>-2.4381977797544585E-3</v>
      </c>
      <c r="Y61" s="3020">
        <v>-2.5185964405283201E-4</v>
      </c>
    </row>
    <row r="62" spans="2:25">
      <c r="B62" s="2968"/>
      <c r="J62" s="2532" t="s">
        <v>2234</v>
      </c>
      <c r="K62" s="2768">
        <v>23636</v>
      </c>
      <c r="L62" s="2525"/>
      <c r="M62" s="2958">
        <v>23608.6028027742</v>
      </c>
      <c r="N62" s="2768">
        <v>27.397197225800483</v>
      </c>
      <c r="O62" s="2525">
        <v>1.1604751646963063E-3</v>
      </c>
      <c r="P62" s="2525"/>
      <c r="Q62" s="2502"/>
      <c r="R62" s="2941">
        <v>23264.422265637837</v>
      </c>
      <c r="S62" s="2768">
        <v>371.57773436216303</v>
      </c>
      <c r="T62" s="3021">
        <v>1.5971930448966942E-2</v>
      </c>
      <c r="U62" s="2523"/>
      <c r="W62" s="2532"/>
      <c r="X62" s="2768">
        <v>371.57773436216303</v>
      </c>
      <c r="Y62" s="3021">
        <v>1.4794286881764762E-2</v>
      </c>
    </row>
    <row r="63" spans="2:25">
      <c r="B63" s="2835" t="s">
        <v>82</v>
      </c>
      <c r="C63" s="2835">
        <v>0</v>
      </c>
      <c r="D63" s="2835">
        <v>0</v>
      </c>
      <c r="E63" s="2835">
        <v>0</v>
      </c>
      <c r="F63" s="2835"/>
      <c r="G63" s="2835">
        <v>0</v>
      </c>
      <c r="J63" s="2532" t="s">
        <v>2228</v>
      </c>
      <c r="K63" s="2771">
        <v>1.5283831076291186</v>
      </c>
      <c r="L63" s="2525"/>
      <c r="M63" s="2959">
        <v>1.526663804339919</v>
      </c>
      <c r="N63" s="2771">
        <v>1.7193032891995585E-3</v>
      </c>
      <c r="O63" s="2525">
        <v>1.1261833052647052E-3</v>
      </c>
      <c r="P63" s="2525"/>
      <c r="Q63" s="2502"/>
      <c r="R63" s="2946">
        <v>1.5002457083149909</v>
      </c>
      <c r="S63" s="2771">
        <v>2.813739931412762E-2</v>
      </c>
      <c r="T63" s="3021">
        <v>1.8755194004674181E-2</v>
      </c>
      <c r="U63" s="2523"/>
      <c r="W63" s="2532"/>
      <c r="X63" s="2771">
        <v>2.813739931412762E-2</v>
      </c>
      <c r="Y63" s="3021">
        <v>1.7609179535397423E-2</v>
      </c>
    </row>
    <row r="64" spans="2:25">
      <c r="J64" s="1396"/>
      <c r="K64" s="196"/>
      <c r="L64" s="2523"/>
      <c r="M64" s="3038"/>
      <c r="N64" s="196"/>
      <c r="O64" s="2523"/>
      <c r="P64" s="2523"/>
      <c r="R64" s="3039"/>
      <c r="S64" s="196"/>
      <c r="T64" s="3020"/>
      <c r="U64" s="2523"/>
      <c r="W64" s="1396"/>
      <c r="X64" s="196"/>
      <c r="Y64" s="3020"/>
    </row>
    <row r="65" spans="3:25" ht="12">
      <c r="J65" s="3027" t="s">
        <v>1617</v>
      </c>
      <c r="M65" s="2935"/>
      <c r="R65" s="2935"/>
      <c r="T65" s="1397"/>
      <c r="W65" s="1396"/>
      <c r="Y65" s="1397"/>
    </row>
    <row r="66" spans="3:25">
      <c r="J66" s="1396" t="s">
        <v>2217</v>
      </c>
      <c r="K66" s="1641">
        <v>45963</v>
      </c>
      <c r="L66" s="2523"/>
      <c r="M66" s="2957">
        <v>45850</v>
      </c>
      <c r="N66" s="1641">
        <v>113</v>
      </c>
      <c r="O66" s="2523">
        <v>2.464558342420986E-3</v>
      </c>
      <c r="P66" s="2523"/>
      <c r="R66" s="2940">
        <v>45947.972702693463</v>
      </c>
      <c r="S66" s="1641">
        <v>15.027297306536639</v>
      </c>
      <c r="T66" s="3020">
        <v>3.2705027931845265E-4</v>
      </c>
      <c r="U66" s="2523"/>
      <c r="W66" s="1396"/>
      <c r="X66" s="1641">
        <v>15.027297306536639</v>
      </c>
      <c r="Y66" s="3020">
        <v>-2.1322530011801399E-3</v>
      </c>
    </row>
    <row r="67" spans="3:25">
      <c r="J67" s="1396" t="s">
        <v>2218</v>
      </c>
      <c r="K67" s="1641">
        <v>5559</v>
      </c>
      <c r="L67" s="2523"/>
      <c r="M67" s="2957">
        <v>5505</v>
      </c>
      <c r="N67" s="1641">
        <v>54</v>
      </c>
      <c r="O67" s="2523">
        <v>9.8092643051770345E-3</v>
      </c>
      <c r="P67" s="2523"/>
      <c r="R67" s="2940">
        <v>5894.1646587942059</v>
      </c>
      <c r="S67" s="1641">
        <v>-335.16465879420593</v>
      </c>
      <c r="T67" s="3020">
        <v>-5.6863809919889818E-2</v>
      </c>
      <c r="U67" s="2523"/>
      <c r="W67" s="1396"/>
      <c r="X67" s="1641">
        <v>-335.16465879420593</v>
      </c>
      <c r="Y67" s="3020">
        <v>-6.6025413493252971E-2</v>
      </c>
    </row>
    <row r="68" spans="3:25">
      <c r="J68" s="1396" t="s">
        <v>2219</v>
      </c>
      <c r="K68" s="1641">
        <v>7451</v>
      </c>
      <c r="L68" s="2523"/>
      <c r="M68" s="2957">
        <v>7200</v>
      </c>
      <c r="N68" s="1641">
        <v>251</v>
      </c>
      <c r="O68" s="2523">
        <v>3.4861111111111009E-2</v>
      </c>
      <c r="P68" s="2523"/>
      <c r="R68" s="2940">
        <v>6822.5733753579598</v>
      </c>
      <c r="S68" s="1641">
        <v>628.42662464204022</v>
      </c>
      <c r="T68" s="3020">
        <v>9.210991074303676E-2</v>
      </c>
      <c r="U68" s="2523"/>
      <c r="W68" s="1396"/>
      <c r="X68" s="1641">
        <v>628.42662464204022</v>
      </c>
      <c r="Y68" s="3020">
        <v>5.5320273433077993E-2</v>
      </c>
    </row>
    <row r="69" spans="3:25">
      <c r="J69" s="3028" t="s">
        <v>2220</v>
      </c>
      <c r="K69" s="1641">
        <v>7913</v>
      </c>
      <c r="L69" s="2523"/>
      <c r="M69" s="2957">
        <v>8192.4500000000007</v>
      </c>
      <c r="N69" s="1641">
        <v>-279.45000000000073</v>
      </c>
      <c r="O69" s="2523">
        <v>-3.4110675072780539E-2</v>
      </c>
      <c r="P69" s="2523"/>
      <c r="R69" s="2940">
        <v>8125.2434858044135</v>
      </c>
      <c r="S69" s="1641">
        <v>-212.24348580441347</v>
      </c>
      <c r="T69" s="3020">
        <v>-2.612149238053274E-2</v>
      </c>
      <c r="U69" s="2523"/>
      <c r="W69" s="1396"/>
      <c r="X69" s="1641">
        <v>-212.24348580441347</v>
      </c>
      <c r="Y69" s="3020">
        <v>8.2713231071787074E-3</v>
      </c>
    </row>
    <row r="70" spans="3:25">
      <c r="J70" s="2532" t="s">
        <v>2221</v>
      </c>
      <c r="K70" s="2505">
        <v>66886</v>
      </c>
      <c r="L70" s="2525"/>
      <c r="M70" s="2941">
        <v>66747.45</v>
      </c>
      <c r="N70" s="2505">
        <v>138.55000000000291</v>
      </c>
      <c r="O70" s="2525">
        <v>2.0757347284428018E-3</v>
      </c>
      <c r="P70" s="2525"/>
      <c r="Q70" s="2502"/>
      <c r="R70" s="2941">
        <v>66792.722982435065</v>
      </c>
      <c r="S70" s="2505">
        <v>93.277017564934795</v>
      </c>
      <c r="T70" s="3021">
        <v>1.396514671058835E-3</v>
      </c>
      <c r="U70" s="2523"/>
      <c r="W70" s="2532"/>
      <c r="X70" s="2505">
        <v>93.277017564934795</v>
      </c>
      <c r="Y70" s="3021">
        <v>-6.7781309719883165E-4</v>
      </c>
    </row>
    <row r="71" spans="3:25">
      <c r="J71" s="1396" t="s">
        <v>2222</v>
      </c>
      <c r="K71" s="2504">
        <v>3850</v>
      </c>
      <c r="L71" s="2523"/>
      <c r="M71" s="2940">
        <v>3836.2500000000005</v>
      </c>
      <c r="N71" s="2517"/>
      <c r="O71" s="2523"/>
      <c r="P71" s="2523"/>
      <c r="R71" s="2940">
        <v>3369.5212627933643</v>
      </c>
      <c r="S71" s="2504">
        <v>480.47873720663574</v>
      </c>
      <c r="T71" s="3020">
        <v>0.14259554985218115</v>
      </c>
      <c r="U71" s="2523"/>
      <c r="W71" s="1396"/>
      <c r="X71" s="2504">
        <v>480.47873720663574</v>
      </c>
      <c r="Y71" s="3020">
        <v>0.13851485145985221</v>
      </c>
    </row>
    <row r="72" spans="3:25">
      <c r="E72" s="3107"/>
      <c r="J72" s="1396"/>
      <c r="L72" s="2523"/>
      <c r="M72" s="2935"/>
      <c r="O72" s="2523"/>
      <c r="P72" s="2523"/>
      <c r="R72" s="2935"/>
      <c r="T72" s="3020"/>
      <c r="U72" s="2523"/>
      <c r="W72" s="1396"/>
      <c r="Y72" s="3020"/>
    </row>
    <row r="73" spans="3:25" ht="12">
      <c r="D73" s="3107"/>
      <c r="J73" s="3025" t="s">
        <v>2208</v>
      </c>
      <c r="L73" s="2523"/>
      <c r="M73" s="2935"/>
      <c r="O73" s="2523"/>
      <c r="P73" s="2523"/>
      <c r="R73" s="2935"/>
      <c r="T73" s="3020"/>
      <c r="U73" s="2523"/>
      <c r="W73" s="1396"/>
      <c r="Y73" s="3020"/>
    </row>
    <row r="74" spans="3:25">
      <c r="C74" s="3106"/>
      <c r="J74" s="1396" t="s">
        <v>2207</v>
      </c>
      <c r="K74" s="2517">
        <v>50.1</v>
      </c>
      <c r="L74" s="2523"/>
      <c r="M74" s="2942">
        <v>50.5</v>
      </c>
      <c r="N74" s="2517">
        <v>-0.39999999999999858</v>
      </c>
      <c r="O74" s="2523">
        <v>-7.9207920792079278E-3</v>
      </c>
      <c r="P74" s="2523"/>
      <c r="R74" s="2942">
        <v>51.532949942389564</v>
      </c>
      <c r="S74" s="2517">
        <v>-1.4329499423895626</v>
      </c>
      <c r="T74" s="3020">
        <v>-2.7806480009227252E-2</v>
      </c>
      <c r="U74" s="2523"/>
      <c r="W74" s="1396"/>
      <c r="X74" s="2517">
        <v>-1.4329499423895626</v>
      </c>
      <c r="Y74" s="3020">
        <v>-2.004445589752446E-2</v>
      </c>
    </row>
    <row r="75" spans="3:25">
      <c r="J75" s="1396" t="s">
        <v>2209</v>
      </c>
      <c r="K75" s="2517">
        <v>10</v>
      </c>
      <c r="L75" s="2523"/>
      <c r="M75" s="2942">
        <v>10</v>
      </c>
      <c r="N75" s="2517">
        <v>0</v>
      </c>
      <c r="O75" s="2523">
        <v>0</v>
      </c>
      <c r="P75" s="2523"/>
      <c r="R75" s="2942">
        <v>11.692961668383333</v>
      </c>
      <c r="S75" s="2517">
        <v>-1.6929616683833331</v>
      </c>
      <c r="T75" s="3020">
        <v>-0.14478467614932344</v>
      </c>
      <c r="U75" s="2523"/>
      <c r="W75" s="1396"/>
      <c r="X75" s="2517">
        <v>-1.6929616683833331</v>
      </c>
      <c r="Y75" s="3020">
        <v>-0.14478467614932344</v>
      </c>
    </row>
    <row r="76" spans="3:25">
      <c r="J76" s="1396" t="s">
        <v>2210</v>
      </c>
      <c r="K76" s="2517">
        <v>4.8</v>
      </c>
      <c r="L76" s="2523"/>
      <c r="M76" s="2942">
        <v>4.8</v>
      </c>
      <c r="N76" s="2517">
        <v>0</v>
      </c>
      <c r="O76" s="2523">
        <v>0</v>
      </c>
      <c r="P76" s="2523"/>
      <c r="R76" s="2942">
        <v>5.1738987201198627</v>
      </c>
      <c r="S76" s="2517">
        <v>-0.37389872011986292</v>
      </c>
      <c r="T76" s="3020">
        <v>-7.2266339243532984E-2</v>
      </c>
      <c r="U76" s="2523"/>
      <c r="W76" s="1396"/>
      <c r="X76" s="2517">
        <v>-0.37389872011986292</v>
      </c>
      <c r="Y76" s="3020">
        <v>-7.2266339243532984E-2</v>
      </c>
    </row>
    <row r="77" spans="3:25">
      <c r="J77" s="3028" t="s">
        <v>2212</v>
      </c>
      <c r="K77" s="2517">
        <v>7</v>
      </c>
      <c r="L77" s="2523"/>
      <c r="M77" s="2942">
        <v>6.9750000000000005</v>
      </c>
      <c r="N77" s="2517">
        <v>2.4999999999999467E-2</v>
      </c>
      <c r="O77" s="2523">
        <v>3.5842293906809264E-3</v>
      </c>
      <c r="P77" s="2523"/>
      <c r="R77" s="2942">
        <v>8.2694204810644099</v>
      </c>
      <c r="S77" s="2517">
        <v>-1.2694204810644099</v>
      </c>
      <c r="T77" s="3020">
        <v>-0.15350779222935518</v>
      </c>
      <c r="U77" s="2523"/>
      <c r="W77" s="1396"/>
      <c r="X77" s="2517">
        <v>-1.2694204810644099</v>
      </c>
      <c r="Y77" s="3020">
        <v>-0.15653097868567889</v>
      </c>
    </row>
    <row r="78" spans="3:25">
      <c r="J78" s="1396"/>
      <c r="L78" s="2523"/>
      <c r="M78" s="2935"/>
      <c r="O78" s="2523"/>
      <c r="P78" s="2523"/>
      <c r="R78" s="2935"/>
      <c r="T78" s="3020"/>
      <c r="U78" s="2523"/>
      <c r="W78" s="1396"/>
      <c r="Y78" s="3020"/>
    </row>
    <row r="79" spans="3:25" ht="12">
      <c r="J79" s="3025" t="s">
        <v>2216</v>
      </c>
      <c r="L79" s="2523"/>
      <c r="M79" s="2935"/>
      <c r="O79" s="2523"/>
      <c r="P79" s="2523"/>
      <c r="R79" s="2935"/>
      <c r="T79" s="3020"/>
      <c r="U79" s="2523"/>
      <c r="W79" s="1396"/>
      <c r="Y79" s="3020"/>
    </row>
    <row r="80" spans="3:25">
      <c r="J80" s="1396" t="s">
        <v>84</v>
      </c>
      <c r="K80" s="2504">
        <v>917.42514970059881</v>
      </c>
      <c r="L80" s="2523"/>
      <c r="M80" s="2940">
        <v>907.9207920792079</v>
      </c>
      <c r="N80" s="2504">
        <v>9.5043576213909091</v>
      </c>
      <c r="O80" s="2523">
        <v>1.0468267391062991E-2</v>
      </c>
      <c r="P80" s="2523"/>
      <c r="R80" s="2940">
        <v>891.62318000541916</v>
      </c>
      <c r="S80" s="2504">
        <v>25.80196969517965</v>
      </c>
      <c r="T80" s="3020">
        <v>2.8938199761723071E-2</v>
      </c>
      <c r="U80" s="2523"/>
      <c r="W80" s="1396"/>
      <c r="X80" s="2504">
        <v>25.80196969517965</v>
      </c>
      <c r="Y80" s="3020">
        <v>1.8278587231984833E-2</v>
      </c>
    </row>
    <row r="81" spans="6:25">
      <c r="J81" s="1396" t="s">
        <v>85</v>
      </c>
      <c r="K81" s="2504">
        <v>555.9</v>
      </c>
      <c r="L81" s="2523"/>
      <c r="M81" s="2940">
        <v>550.5</v>
      </c>
      <c r="N81" s="2504">
        <v>5.3999999999999773</v>
      </c>
      <c r="O81" s="2523">
        <v>9.8092643051770345E-3</v>
      </c>
      <c r="P81" s="2523"/>
      <c r="R81" s="2940">
        <v>504.07799374998996</v>
      </c>
      <c r="S81" s="2504">
        <v>51.82200625001002</v>
      </c>
      <c r="T81" s="3020">
        <v>0.10280553186718255</v>
      </c>
      <c r="U81" s="2523"/>
      <c r="W81" s="1396"/>
      <c r="X81" s="2504">
        <v>51.82200625001002</v>
      </c>
      <c r="Y81" s="3020">
        <v>9.209290392675662E-2</v>
      </c>
    </row>
    <row r="82" spans="6:25">
      <c r="J82" s="1396" t="s">
        <v>86</v>
      </c>
      <c r="K82" s="2504">
        <v>1552.2916666666667</v>
      </c>
      <c r="L82" s="2523"/>
      <c r="M82" s="2940">
        <v>1500</v>
      </c>
      <c r="N82" s="2504">
        <v>52.291666666666742</v>
      </c>
      <c r="O82" s="2523">
        <v>3.4861111111111232E-2</v>
      </c>
      <c r="P82" s="2523"/>
      <c r="R82" s="2940">
        <v>1318.6522861042597</v>
      </c>
      <c r="S82" s="2504">
        <v>233.63938056240704</v>
      </c>
      <c r="T82" s="3020">
        <v>0.17718043112991966</v>
      </c>
      <c r="U82" s="2523"/>
      <c r="W82" s="1396"/>
      <c r="X82" s="2504">
        <v>233.63938056240704</v>
      </c>
      <c r="Y82" s="3020">
        <v>0.13752504417332201</v>
      </c>
    </row>
    <row r="83" spans="6:25">
      <c r="J83" s="2614" t="s">
        <v>1184</v>
      </c>
      <c r="K83" s="1899">
        <v>550</v>
      </c>
      <c r="L83" s="2615"/>
      <c r="M83" s="3037">
        <v>550</v>
      </c>
      <c r="N83" s="1899">
        <v>0</v>
      </c>
      <c r="O83" s="2615">
        <v>0</v>
      </c>
      <c r="P83" s="2615"/>
      <c r="Q83" s="195"/>
      <c r="R83" s="3037">
        <v>407.46764183886944</v>
      </c>
      <c r="S83" s="1899">
        <v>142.53235816113056</v>
      </c>
      <c r="T83" s="2616">
        <v>0.34980043450295395</v>
      </c>
      <c r="U83" s="2615"/>
      <c r="V83" s="195"/>
      <c r="W83" s="2614"/>
      <c r="X83" s="1899">
        <v>142.53235816113056</v>
      </c>
      <c r="Y83" s="2616">
        <v>0.34980043450295395</v>
      </c>
    </row>
    <row r="85" spans="6:25" ht="12">
      <c r="N85" s="2520"/>
      <c r="R85" s="2790" t="s">
        <v>544</v>
      </c>
      <c r="S85" s="2788" t="s">
        <v>545</v>
      </c>
    </row>
    <row r="86" spans="6:25" ht="12">
      <c r="R86" s="2790" t="s">
        <v>2204</v>
      </c>
      <c r="S86" s="2788" t="s">
        <v>668</v>
      </c>
      <c r="V86" s="2520">
        <v>0.13880713471757478</v>
      </c>
    </row>
    <row r="87" spans="6:25" ht="12">
      <c r="R87" s="2790" t="s">
        <v>2205</v>
      </c>
      <c r="S87" s="2789">
        <v>45414</v>
      </c>
    </row>
    <row r="88" spans="6:25" ht="12">
      <c r="N88" s="2921" t="s">
        <v>1133</v>
      </c>
      <c r="R88" s="2790" t="s">
        <v>2206</v>
      </c>
      <c r="S88" s="2791" t="s">
        <v>2246</v>
      </c>
    </row>
    <row r="89" spans="6:25">
      <c r="J89" s="2745" t="s">
        <v>2237</v>
      </c>
      <c r="K89" s="2746"/>
      <c r="L89" s="2746"/>
      <c r="M89" s="3400" t="s">
        <v>720</v>
      </c>
      <c r="N89" s="3400"/>
      <c r="O89" s="3400"/>
      <c r="P89" s="2746"/>
      <c r="Q89" s="2746"/>
      <c r="R89" s="3400" t="s">
        <v>668</v>
      </c>
      <c r="S89" s="3400"/>
      <c r="T89" s="3401"/>
      <c r="U89" s="2750"/>
      <c r="V89" s="2960" t="s">
        <v>2258</v>
      </c>
      <c r="W89" s="3005"/>
      <c r="X89" s="3400" t="s">
        <v>1430</v>
      </c>
      <c r="Y89" s="3401"/>
    </row>
    <row r="90" spans="6:25">
      <c r="J90" s="3026" t="s">
        <v>1431</v>
      </c>
      <c r="K90" s="2751"/>
      <c r="L90" s="2751"/>
      <c r="M90" s="2751" t="s">
        <v>720</v>
      </c>
      <c r="N90" s="2751" t="s">
        <v>1426</v>
      </c>
      <c r="O90" s="2749" t="s">
        <v>1427</v>
      </c>
      <c r="P90" s="2751"/>
      <c r="Q90" s="2751"/>
      <c r="R90" s="2751" t="s">
        <v>1432</v>
      </c>
      <c r="S90" s="2751" t="s">
        <v>1426</v>
      </c>
      <c r="T90" s="2750" t="s">
        <v>1427</v>
      </c>
      <c r="U90" s="3120"/>
      <c r="V90" s="2961"/>
      <c r="W90" s="3006"/>
      <c r="X90" s="2751" t="s">
        <v>2337</v>
      </c>
      <c r="Y90" s="2750" t="s">
        <v>1427</v>
      </c>
    </row>
    <row r="91" spans="6:25" ht="12">
      <c r="F91" s="2520">
        <v>-0.28724052733070293</v>
      </c>
      <c r="J91" s="3027" t="s">
        <v>2236</v>
      </c>
      <c r="L91" s="2523"/>
      <c r="O91" s="2523"/>
      <c r="P91" s="2523"/>
      <c r="T91" s="3020"/>
      <c r="U91" s="2523"/>
      <c r="W91" s="1396"/>
      <c r="Y91" s="3020"/>
    </row>
    <row r="92" spans="6:25">
      <c r="I92" s="1546" t="s">
        <v>667</v>
      </c>
      <c r="J92" s="1396" t="s">
        <v>2221</v>
      </c>
      <c r="K92" s="1641"/>
      <c r="L92" s="2523"/>
      <c r="M92" s="1641">
        <v>59496.05</v>
      </c>
      <c r="N92" s="1624"/>
      <c r="O92" s="2523"/>
      <c r="P92" s="2523"/>
      <c r="R92" s="2504">
        <v>59762.895014927693</v>
      </c>
      <c r="S92" s="1641"/>
      <c r="T92" s="3020"/>
      <c r="U92" s="2523"/>
      <c r="V92" s="1641"/>
      <c r="W92" s="1396"/>
      <c r="X92" s="1641">
        <v>-59762.895014927693</v>
      </c>
      <c r="Y92" s="3020">
        <v>-4.4650617220105548E-3</v>
      </c>
    </row>
    <row r="93" spans="6:25">
      <c r="I93" s="1546" t="s">
        <v>81</v>
      </c>
      <c r="J93" s="2614" t="s">
        <v>2223</v>
      </c>
      <c r="K93" s="1641"/>
      <c r="L93" s="2523"/>
      <c r="M93" s="1641">
        <v>24317.609175915943</v>
      </c>
      <c r="N93" s="1641"/>
      <c r="O93" s="2523"/>
      <c r="P93" s="2523"/>
      <c r="R93" s="2504">
        <v>23648.468959545156</v>
      </c>
      <c r="S93" s="1641"/>
      <c r="T93" s="3020"/>
      <c r="U93" s="2523"/>
      <c r="V93" s="1641"/>
      <c r="W93" s="1396"/>
      <c r="X93" s="1641">
        <v>-23648.468959545156</v>
      </c>
      <c r="Y93" s="3020">
        <v>2.8295287002108482E-2</v>
      </c>
    </row>
    <row r="94" spans="6:25" s="163" customFormat="1" ht="12">
      <c r="F94" s="3218">
        <v>3.7248639943270323E-3</v>
      </c>
      <c r="G94" s="3144">
        <v>-7.3695746221697833E-2</v>
      </c>
      <c r="I94" s="163" t="s">
        <v>63</v>
      </c>
      <c r="J94" s="1588" t="s">
        <v>1246</v>
      </c>
      <c r="K94" s="3145"/>
      <c r="L94" s="2543"/>
      <c r="M94" s="3145">
        <v>83813.659175915949</v>
      </c>
      <c r="N94" s="3145"/>
      <c r="O94" s="2543"/>
      <c r="P94" s="2543"/>
      <c r="Q94" s="1545"/>
      <c r="R94" s="1544">
        <v>83502.623261098823</v>
      </c>
      <c r="S94" s="3145"/>
      <c r="T94" s="3029"/>
      <c r="U94" s="2543"/>
      <c r="V94" s="3145" t="s">
        <v>2267</v>
      </c>
      <c r="W94" s="1588"/>
      <c r="X94" s="3145">
        <v>-83502.623261098823</v>
      </c>
      <c r="Y94" s="3029">
        <v>3.7248639943270323E-3</v>
      </c>
    </row>
    <row r="95" spans="6:25">
      <c r="I95" s="160" t="s">
        <v>1105</v>
      </c>
      <c r="J95" s="1396" t="s">
        <v>2224</v>
      </c>
      <c r="K95" s="2504"/>
      <c r="L95" s="2523"/>
      <c r="M95" s="2504">
        <v>20866.856787601289</v>
      </c>
      <c r="N95" s="2504"/>
      <c r="O95" s="2523"/>
      <c r="P95" s="2523"/>
      <c r="R95" s="2504">
        <v>21840.160464062279</v>
      </c>
      <c r="S95" s="2504"/>
      <c r="T95" s="3020"/>
      <c r="U95" s="2523"/>
      <c r="V95" s="2504"/>
      <c r="W95" s="1396"/>
      <c r="X95" s="2504">
        <v>-21840.160464062279</v>
      </c>
      <c r="Y95" s="3020">
        <v>-4.4564859221732811E-2</v>
      </c>
    </row>
    <row r="96" spans="6:25">
      <c r="I96" s="160" t="s">
        <v>995</v>
      </c>
      <c r="J96" s="1396" t="s">
        <v>2225</v>
      </c>
      <c r="K96" s="2504"/>
      <c r="L96" s="2523"/>
      <c r="M96" s="2504">
        <v>17902.057989352295</v>
      </c>
      <c r="N96" s="2504"/>
      <c r="O96" s="2523"/>
      <c r="P96" s="2523"/>
      <c r="R96" s="2504">
        <v>16779.077340683765</v>
      </c>
      <c r="S96" s="2504"/>
      <c r="T96" s="3020"/>
      <c r="U96" s="2523"/>
      <c r="V96" s="2504"/>
      <c r="W96" s="1396"/>
      <c r="X96" s="2504">
        <v>-16779.077340683765</v>
      </c>
      <c r="Y96" s="3020">
        <v>6.6927437419080915E-2</v>
      </c>
    </row>
    <row r="97" spans="6:25" s="163" customFormat="1" ht="12">
      <c r="I97" s="163" t="s">
        <v>67</v>
      </c>
      <c r="J97" s="1588" t="s">
        <v>2226</v>
      </c>
      <c r="K97" s="1544"/>
      <c r="L97" s="2543"/>
      <c r="M97" s="1544">
        <v>38768.914776953585</v>
      </c>
      <c r="N97" s="1544"/>
      <c r="O97" s="2543"/>
      <c r="P97" s="2543"/>
      <c r="Q97" s="1545"/>
      <c r="R97" s="1544">
        <v>38447.193121120967</v>
      </c>
      <c r="S97" s="1544"/>
      <c r="T97" s="3029"/>
      <c r="U97" s="2543"/>
      <c r="V97" s="1544"/>
      <c r="W97" s="1588"/>
      <c r="X97" s="1544">
        <v>-38447.193121120967</v>
      </c>
      <c r="Y97" s="3029">
        <v>8.3678840954419798E-3</v>
      </c>
    </row>
    <row r="98" spans="6:25" s="163" customFormat="1" ht="12">
      <c r="J98" s="1934" t="s">
        <v>2266</v>
      </c>
      <c r="K98" s="3146"/>
      <c r="L98" s="3148"/>
      <c r="M98" s="3147">
        <v>0.46256081834563217</v>
      </c>
      <c r="N98" s="3146"/>
      <c r="O98" s="3148"/>
      <c r="P98" s="3148"/>
      <c r="Q98" s="2589"/>
      <c r="R98" s="3147">
        <v>0.46043096156276414</v>
      </c>
      <c r="S98" s="3146"/>
      <c r="T98" s="3149"/>
      <c r="U98" s="3148"/>
      <c r="V98" s="3146" t="s">
        <v>2267</v>
      </c>
      <c r="W98" s="1934"/>
      <c r="X98" s="3146"/>
      <c r="Y98" s="3149"/>
    </row>
    <row r="99" spans="6:25">
      <c r="I99" s="160" t="s">
        <v>68</v>
      </c>
      <c r="J99" s="1396" t="s">
        <v>2229</v>
      </c>
      <c r="K99" s="2504"/>
      <c r="L99" s="2523"/>
      <c r="M99" s="2504">
        <v>8103</v>
      </c>
      <c r="N99" s="2504"/>
      <c r="O99" s="2523"/>
      <c r="P99" s="2523"/>
      <c r="R99" s="2504">
        <v>7777.9954235592213</v>
      </c>
      <c r="S99" s="2504"/>
      <c r="T99" s="3020"/>
      <c r="U99" s="2523"/>
      <c r="V99" s="2504"/>
      <c r="W99" s="1396"/>
      <c r="X99" s="2504">
        <v>-7777.9954235592213</v>
      </c>
      <c r="Y99" s="3020">
        <v>4.1785133410641162E-2</v>
      </c>
    </row>
    <row r="100" spans="6:25">
      <c r="I100" s="160" t="s">
        <v>76</v>
      </c>
      <c r="J100" s="1396" t="s">
        <v>2230</v>
      </c>
      <c r="K100" s="2504"/>
      <c r="L100" s="2523"/>
      <c r="M100" s="2504">
        <v>6318</v>
      </c>
      <c r="N100" s="2504"/>
      <c r="O100" s="2523"/>
      <c r="P100" s="2523"/>
      <c r="R100" s="2504">
        <v>6494.7516682432515</v>
      </c>
      <c r="S100" s="2504"/>
      <c r="T100" s="3020"/>
      <c r="U100" s="2523"/>
      <c r="V100" s="2504"/>
      <c r="W100" s="1396"/>
      <c r="X100" s="2504">
        <v>-6494.7516682432515</v>
      </c>
      <c r="Y100" s="3020">
        <v>-2.7214538333697469E-2</v>
      </c>
    </row>
    <row r="101" spans="6:25" ht="12">
      <c r="J101" s="1588" t="s">
        <v>1600</v>
      </c>
      <c r="K101" s="1544"/>
      <c r="L101" s="2543"/>
      <c r="M101" s="1544">
        <v>14421</v>
      </c>
      <c r="N101" s="1544"/>
      <c r="O101" s="2543"/>
      <c r="P101" s="2543"/>
      <c r="Q101" s="1545"/>
      <c r="R101" s="1544">
        <v>14272.747091802474</v>
      </c>
      <c r="S101" s="1544"/>
      <c r="T101" s="3029"/>
      <c r="U101" s="2543"/>
      <c r="V101" s="1544" t="s">
        <v>2267</v>
      </c>
      <c r="W101" s="1588"/>
      <c r="X101" s="1544">
        <v>-14272.747091802474</v>
      </c>
      <c r="Y101" s="3029">
        <v>1.038713201067476E-2</v>
      </c>
    </row>
    <row r="102" spans="6:25" ht="12">
      <c r="I102" s="160" t="s">
        <v>70</v>
      </c>
      <c r="J102" s="1588" t="s">
        <v>2231</v>
      </c>
      <c r="K102" s="1544"/>
      <c r="L102" s="2543"/>
      <c r="M102" s="1544">
        <v>24347.914776953592</v>
      </c>
      <c r="N102" s="1544"/>
      <c r="O102" s="2543"/>
      <c r="P102" s="2543"/>
      <c r="Q102" s="1545"/>
      <c r="R102" s="1544">
        <v>24174.446029318497</v>
      </c>
      <c r="S102" s="1544"/>
      <c r="T102" s="3029"/>
      <c r="U102" s="2543"/>
      <c r="V102" s="1544"/>
      <c r="W102" s="1588"/>
      <c r="X102" s="2505">
        <v>-24174.446029318497</v>
      </c>
      <c r="Y102" s="3021">
        <v>7.1757072499081254E-3</v>
      </c>
    </row>
    <row r="103" spans="6:25">
      <c r="I103" s="160" t="s">
        <v>689</v>
      </c>
      <c r="J103" s="1396" t="s">
        <v>2227</v>
      </c>
      <c r="K103" s="2504"/>
      <c r="L103" s="2523"/>
      <c r="M103" s="2504">
        <v>150</v>
      </c>
      <c r="N103" s="2504"/>
      <c r="O103" s="2523"/>
      <c r="P103" s="2523"/>
      <c r="R103" s="2504">
        <v>-59.505027940283625</v>
      </c>
      <c r="S103" s="2504"/>
      <c r="T103" s="3020"/>
      <c r="U103" s="2523"/>
      <c r="V103" s="2504"/>
      <c r="W103" s="1396"/>
      <c r="X103" s="2504">
        <v>59.505027940283625</v>
      </c>
      <c r="Y103" s="3020">
        <v>-3.5207953880894363</v>
      </c>
    </row>
    <row r="104" spans="6:25">
      <c r="I104" s="160" t="s">
        <v>71</v>
      </c>
      <c r="J104" s="1818" t="s">
        <v>2232</v>
      </c>
      <c r="K104" s="1897"/>
      <c r="L104" s="2541"/>
      <c r="M104" s="1897">
        <v>24497.914776953592</v>
      </c>
      <c r="N104" s="1897"/>
      <c r="O104" s="2541"/>
      <c r="P104" s="2541"/>
      <c r="Q104" s="2621"/>
      <c r="R104" s="1897">
        <v>24114.941001378218</v>
      </c>
      <c r="S104" s="1897"/>
      <c r="T104" s="3022"/>
      <c r="U104" s="2541"/>
      <c r="V104" s="1897"/>
      <c r="W104" s="1818"/>
      <c r="X104" s="1897">
        <v>-24114.941001378218</v>
      </c>
      <c r="Y104" s="3022">
        <v>1.588118235717384E-2</v>
      </c>
    </row>
    <row r="105" spans="6:25">
      <c r="I105" s="160" t="s">
        <v>72</v>
      </c>
      <c r="J105" s="1396" t="s">
        <v>2233</v>
      </c>
      <c r="K105" s="2504"/>
      <c r="L105" s="2523"/>
      <c r="M105" s="2504">
        <v>3919.6663643125748</v>
      </c>
      <c r="N105" s="2504"/>
      <c r="O105" s="2523"/>
      <c r="P105" s="2523"/>
      <c r="R105" s="2504">
        <v>3854.3586434711237</v>
      </c>
      <c r="S105" s="2504"/>
      <c r="T105" s="3020"/>
      <c r="U105" s="2523"/>
      <c r="V105" s="2504"/>
      <c r="W105" s="1396"/>
      <c r="X105" s="2504">
        <v>-3854.3586434711237</v>
      </c>
      <c r="Y105" s="3020">
        <v>1.6943861970933893E-2</v>
      </c>
    </row>
    <row r="106" spans="6:25">
      <c r="J106" s="1396" t="s">
        <v>1562</v>
      </c>
      <c r="K106" s="2523"/>
      <c r="L106" s="2523"/>
      <c r="M106" s="2523">
        <v>0.16</v>
      </c>
      <c r="N106" s="2523"/>
      <c r="O106" s="2523"/>
      <c r="P106" s="2523"/>
      <c r="R106" s="2523">
        <v>0.15983280420428311</v>
      </c>
      <c r="S106" s="2523"/>
      <c r="T106" s="3020"/>
      <c r="U106" s="2523"/>
      <c r="V106" s="3040" t="s">
        <v>2267</v>
      </c>
      <c r="W106" s="1396"/>
      <c r="X106" s="2523">
        <v>-0.15983280420428311</v>
      </c>
      <c r="Y106" s="3020">
        <v>1.046066835586501E-3</v>
      </c>
    </row>
    <row r="107" spans="6:25">
      <c r="I107" s="160" t="s">
        <v>80</v>
      </c>
      <c r="J107" s="2532" t="s">
        <v>2234</v>
      </c>
      <c r="K107" s="2768"/>
      <c r="L107" s="2525"/>
      <c r="M107" s="2768">
        <v>20578.248412641016</v>
      </c>
      <c r="N107" s="2768"/>
      <c r="O107" s="2525"/>
      <c r="P107" s="2525"/>
      <c r="Q107" s="2502"/>
      <c r="R107" s="2505">
        <v>20260.582357907089</v>
      </c>
      <c r="S107" s="2768"/>
      <c r="T107" s="3021"/>
      <c r="U107" s="2525"/>
      <c r="V107" s="2768"/>
      <c r="W107" s="2532"/>
      <c r="X107" s="2768">
        <v>-20260.582357907089</v>
      </c>
      <c r="Y107" s="3021">
        <v>1.567901895030932E-2</v>
      </c>
    </row>
    <row r="108" spans="6:25" ht="12">
      <c r="F108" s="2520"/>
      <c r="I108" s="160" t="s">
        <v>1153</v>
      </c>
      <c r="J108" s="1588" t="s">
        <v>2228</v>
      </c>
      <c r="K108" s="2923"/>
      <c r="L108" s="2543"/>
      <c r="M108" s="2923">
        <v>1.3407891901238884</v>
      </c>
      <c r="N108" s="2923"/>
      <c r="O108" s="2543"/>
      <c r="P108" s="2543"/>
      <c r="Q108" s="1545"/>
      <c r="R108" s="2924">
        <v>1.3197245041870169</v>
      </c>
      <c r="S108" s="2923"/>
      <c r="T108" s="3029"/>
      <c r="U108" s="2543"/>
      <c r="V108" s="2923"/>
      <c r="W108" s="1588"/>
      <c r="X108" s="2771">
        <v>-1.3197245041870169</v>
      </c>
      <c r="Y108" s="3021">
        <v>1.5961426699315551E-2</v>
      </c>
    </row>
    <row r="109" spans="6:25" ht="12">
      <c r="J109" s="3027"/>
      <c r="T109" s="1397"/>
      <c r="W109" s="1396"/>
      <c r="Y109" s="1397"/>
    </row>
    <row r="110" spans="6:25" ht="12">
      <c r="J110" s="3027" t="s">
        <v>1617</v>
      </c>
      <c r="T110" s="1397"/>
      <c r="W110" s="1396"/>
      <c r="Y110" s="1397"/>
    </row>
    <row r="111" spans="6:25">
      <c r="I111" s="2504" t="s">
        <v>84</v>
      </c>
      <c r="J111" s="1396" t="s">
        <v>2217</v>
      </c>
      <c r="K111" s="1641"/>
      <c r="L111" s="2523"/>
      <c r="M111" s="1641">
        <v>36590</v>
      </c>
      <c r="N111" s="1641"/>
      <c r="O111" s="2523"/>
      <c r="P111" s="2523"/>
      <c r="R111" s="2504">
        <v>38597.464744976416</v>
      </c>
      <c r="S111" s="1641"/>
      <c r="T111" s="3020"/>
      <c r="U111" s="2523"/>
      <c r="V111" s="2504"/>
      <c r="W111" s="1396"/>
      <c r="X111" s="1641">
        <v>-38597.464744976416</v>
      </c>
      <c r="Y111" s="3020">
        <v>-5.2010274722453009E-2</v>
      </c>
    </row>
    <row r="112" spans="6:25">
      <c r="I112" s="2504" t="s">
        <v>85</v>
      </c>
      <c r="J112" s="1396" t="s">
        <v>2218</v>
      </c>
      <c r="K112" s="1641"/>
      <c r="L112" s="2523"/>
      <c r="M112" s="1641">
        <v>7280</v>
      </c>
      <c r="N112" s="1641"/>
      <c r="O112" s="2523"/>
      <c r="P112" s="2523"/>
      <c r="R112" s="2504">
        <v>6162.8707577040868</v>
      </c>
      <c r="S112" s="1641"/>
      <c r="T112" s="3020"/>
      <c r="U112" s="2523"/>
      <c r="V112" s="2504"/>
      <c r="W112" s="1396"/>
      <c r="X112" s="1641">
        <v>-6162.8707577040868</v>
      </c>
      <c r="Y112" s="3020">
        <v>0.1812676731699121</v>
      </c>
    </row>
    <row r="113" spans="9:25">
      <c r="I113" s="2504" t="s">
        <v>86</v>
      </c>
      <c r="J113" s="1396" t="s">
        <v>2219</v>
      </c>
      <c r="K113" s="1641"/>
      <c r="L113" s="2523"/>
      <c r="M113" s="1641">
        <v>7500</v>
      </c>
      <c r="N113" s="1641"/>
      <c r="O113" s="2523"/>
      <c r="P113" s="2523"/>
      <c r="R113" s="2504">
        <v>6772.1495598202837</v>
      </c>
      <c r="S113" s="1641"/>
      <c r="T113" s="3020"/>
      <c r="U113" s="2523"/>
      <c r="V113" s="2504"/>
      <c r="W113" s="1396"/>
      <c r="X113" s="1641">
        <v>-6772.1495598202837</v>
      </c>
      <c r="Y113" s="3020">
        <v>0.10747701800593901</v>
      </c>
    </row>
    <row r="114" spans="9:25">
      <c r="I114" s="2504" t="s">
        <v>1120</v>
      </c>
      <c r="J114" s="3028" t="s">
        <v>2220</v>
      </c>
      <c r="K114" s="1641"/>
      <c r="L114" s="2523"/>
      <c r="M114" s="1641">
        <v>8126.0499999999993</v>
      </c>
      <c r="N114" s="1641"/>
      <c r="O114" s="2523"/>
      <c r="P114" s="2523"/>
      <c r="R114" s="2504">
        <v>8231.5795659817886</v>
      </c>
      <c r="S114" s="1641"/>
      <c r="T114" s="3020"/>
      <c r="U114" s="2523"/>
      <c r="V114" s="2504"/>
      <c r="W114" s="1396"/>
      <c r="X114" s="1641">
        <v>-8231.5795659817886</v>
      </c>
      <c r="Y114" s="3020">
        <v>-1.282008697551873E-2</v>
      </c>
    </row>
    <row r="115" spans="9:25">
      <c r="I115" s="2504" t="s">
        <v>667</v>
      </c>
      <c r="J115" s="2532" t="s">
        <v>2221</v>
      </c>
      <c r="K115" s="2505"/>
      <c r="L115" s="2525"/>
      <c r="M115" s="2505">
        <v>59496.05</v>
      </c>
      <c r="N115" s="2505"/>
      <c r="O115" s="2525"/>
      <c r="P115" s="2525"/>
      <c r="Q115" s="2502"/>
      <c r="R115" s="2505">
        <v>59762.895014927693</v>
      </c>
      <c r="S115" s="2505"/>
      <c r="T115" s="3021"/>
      <c r="U115" s="2525"/>
      <c r="V115" s="2505"/>
      <c r="W115" s="2532"/>
      <c r="X115" s="2505">
        <v>-59762.895014927693</v>
      </c>
      <c r="Y115" s="3021">
        <v>-4.4650617220105548E-3</v>
      </c>
    </row>
    <row r="116" spans="9:25">
      <c r="I116" s="160" t="s">
        <v>94</v>
      </c>
      <c r="J116" s="1396" t="s">
        <v>2222</v>
      </c>
      <c r="K116" s="2504"/>
      <c r="L116" s="2523"/>
      <c r="M116" s="2504">
        <v>3753.7499999999995</v>
      </c>
      <c r="N116" s="2517"/>
      <c r="O116" s="2523"/>
      <c r="P116" s="2523"/>
      <c r="R116" s="2504">
        <v>3519.850683548023</v>
      </c>
      <c r="S116" s="2504"/>
      <c r="T116" s="3020"/>
      <c r="U116" s="2523"/>
      <c r="V116" s="2504"/>
      <c r="W116" s="1396"/>
      <c r="X116" s="2504">
        <v>-3519.850683548023</v>
      </c>
      <c r="Y116" s="3020">
        <v>6.6451488281941806E-2</v>
      </c>
    </row>
    <row r="117" spans="9:25">
      <c r="J117" s="1396"/>
      <c r="L117" s="2523"/>
      <c r="O117" s="2523"/>
      <c r="P117" s="2523"/>
      <c r="T117" s="3020"/>
      <c r="U117" s="2523"/>
      <c r="W117" s="1396"/>
      <c r="Y117" s="3020"/>
    </row>
    <row r="118" spans="9:25" ht="12">
      <c r="J118" s="3025" t="s">
        <v>2208</v>
      </c>
      <c r="L118" s="2523"/>
      <c r="O118" s="2523"/>
      <c r="P118" s="2523"/>
      <c r="T118" s="3020"/>
      <c r="U118" s="2523"/>
      <c r="W118" s="1396"/>
      <c r="Y118" s="3020"/>
    </row>
    <row r="119" spans="9:25">
      <c r="I119" s="160" t="s">
        <v>84</v>
      </c>
      <c r="J119" s="1396" t="s">
        <v>2207</v>
      </c>
      <c r="K119" s="2517"/>
      <c r="L119" s="2523"/>
      <c r="M119" s="2517">
        <v>40.846886049910829</v>
      </c>
      <c r="N119" s="2517"/>
      <c r="O119" s="2523"/>
      <c r="P119" s="2523"/>
      <c r="R119" s="2517">
        <v>43.194580637427585</v>
      </c>
      <c r="S119" s="2517"/>
      <c r="T119" s="3020"/>
      <c r="U119" s="2523"/>
      <c r="V119" s="2517"/>
      <c r="W119" s="1396"/>
      <c r="X119" s="2517">
        <v>-43.194580637427585</v>
      </c>
      <c r="Y119" s="3020">
        <v>-5.4351600429302649E-2</v>
      </c>
    </row>
    <row r="120" spans="9:25">
      <c r="I120" s="160" t="s">
        <v>85</v>
      </c>
      <c r="J120" s="1396" t="s">
        <v>2209</v>
      </c>
      <c r="K120" s="2517"/>
      <c r="L120" s="2523"/>
      <c r="M120" s="2517">
        <v>12</v>
      </c>
      <c r="N120" s="2517"/>
      <c r="O120" s="2523"/>
      <c r="P120" s="2523"/>
      <c r="R120" s="2517">
        <v>12.679678665753734</v>
      </c>
      <c r="S120" s="2517"/>
      <c r="T120" s="3020"/>
      <c r="U120" s="2523"/>
      <c r="V120" s="2517"/>
      <c r="W120" s="1396"/>
      <c r="X120" s="2517">
        <v>-12.679678665753734</v>
      </c>
      <c r="Y120" s="3020">
        <v>-5.3603776851968932E-2</v>
      </c>
    </row>
    <row r="121" spans="9:25">
      <c r="I121" s="160" t="s">
        <v>86</v>
      </c>
      <c r="J121" s="1396" t="s">
        <v>2210</v>
      </c>
      <c r="K121" s="2517"/>
      <c r="L121" s="2523"/>
      <c r="M121" s="2517">
        <v>5</v>
      </c>
      <c r="N121" s="2517"/>
      <c r="O121" s="2523"/>
      <c r="P121" s="2523"/>
      <c r="R121" s="2517">
        <v>5.1486070534664048</v>
      </c>
      <c r="S121" s="2517"/>
      <c r="T121" s="3020"/>
      <c r="U121" s="2523"/>
      <c r="V121" s="2517"/>
      <c r="W121" s="1396"/>
      <c r="X121" s="2517">
        <v>-5.1486070534664048</v>
      </c>
      <c r="Y121" s="3020">
        <v>-2.8863545406199176E-2</v>
      </c>
    </row>
    <row r="122" spans="9:25">
      <c r="I122" s="160" t="s">
        <v>1184</v>
      </c>
      <c r="J122" s="3028" t="s">
        <v>2212</v>
      </c>
      <c r="K122" s="2517"/>
      <c r="L122" s="2523"/>
      <c r="M122" s="2517">
        <v>6.8249999999999993</v>
      </c>
      <c r="N122" s="2517"/>
      <c r="O122" s="2523"/>
      <c r="P122" s="2523"/>
      <c r="R122" s="2517">
        <v>8.7814720155972807</v>
      </c>
      <c r="S122" s="2517"/>
      <c r="T122" s="3020"/>
      <c r="U122" s="2523"/>
      <c r="V122" s="2517"/>
      <c r="W122" s="1396"/>
      <c r="X122" s="2517">
        <v>-8.7814720155972807</v>
      </c>
      <c r="Y122" s="3020">
        <v>-0.22279545070829565</v>
      </c>
    </row>
    <row r="123" spans="9:25">
      <c r="J123" s="1396"/>
      <c r="L123" s="2523"/>
      <c r="O123" s="2523"/>
      <c r="P123" s="2523"/>
      <c r="T123" s="3020"/>
      <c r="U123" s="2523"/>
      <c r="W123" s="1396"/>
      <c r="Y123" s="3020"/>
    </row>
    <row r="124" spans="9:25" ht="12">
      <c r="J124" s="3025" t="s">
        <v>2216</v>
      </c>
      <c r="L124" s="2523"/>
      <c r="O124" s="2523"/>
      <c r="P124" s="2523"/>
      <c r="T124" s="3020"/>
      <c r="U124" s="2523"/>
      <c r="W124" s="1396"/>
      <c r="Y124" s="3020"/>
    </row>
    <row r="125" spans="9:25">
      <c r="J125" s="1396" t="s">
        <v>84</v>
      </c>
      <c r="K125" s="2504"/>
      <c r="L125" s="2523"/>
      <c r="M125" s="2504">
        <v>895.78431891455966</v>
      </c>
      <c r="N125" s="2504"/>
      <c r="O125" s="2523"/>
      <c r="P125" s="2523"/>
      <c r="R125" s="2504">
        <v>893.57192905658576</v>
      </c>
      <c r="S125" s="2504"/>
      <c r="T125" s="3020"/>
      <c r="U125" s="2523"/>
      <c r="V125" s="2504"/>
      <c r="W125" s="1396"/>
      <c r="X125" s="2504">
        <v>-893.57192905658576</v>
      </c>
      <c r="Y125" s="3020">
        <v>2.4758945374545593E-3</v>
      </c>
    </row>
    <row r="126" spans="9:25">
      <c r="J126" s="1396" t="s">
        <v>85</v>
      </c>
      <c r="K126" s="2504"/>
      <c r="L126" s="2523"/>
      <c r="M126" s="2504">
        <v>606.66666666666663</v>
      </c>
      <c r="N126" s="2504"/>
      <c r="O126" s="2523"/>
      <c r="P126" s="2523"/>
      <c r="R126" s="2504">
        <v>486.04313407004935</v>
      </c>
      <c r="S126" s="2504"/>
      <c r="T126" s="3020"/>
      <c r="U126" s="2523"/>
      <c r="V126" s="2504"/>
      <c r="W126" s="1396"/>
      <c r="X126" s="2504">
        <v>-486.04313407004935</v>
      </c>
      <c r="Y126" s="3020">
        <v>0.24817454283642415</v>
      </c>
    </row>
    <row r="127" spans="9:25">
      <c r="J127" s="1396" t="s">
        <v>86</v>
      </c>
      <c r="K127" s="2504"/>
      <c r="L127" s="2523"/>
      <c r="M127" s="2504">
        <v>1500</v>
      </c>
      <c r="N127" s="2504"/>
      <c r="O127" s="2523"/>
      <c r="P127" s="2523"/>
      <c r="R127" s="2504">
        <v>1315.3362627005679</v>
      </c>
      <c r="S127" s="2504"/>
      <c r="T127" s="3020"/>
      <c r="U127" s="2523"/>
      <c r="V127" s="2504"/>
      <c r="W127" s="1396"/>
      <c r="X127" s="2504">
        <v>-1315.3362627005679</v>
      </c>
      <c r="Y127" s="3020">
        <v>0.14039279729146359</v>
      </c>
    </row>
    <row r="128" spans="9:25">
      <c r="J128" s="2614" t="s">
        <v>1184</v>
      </c>
      <c r="K128" s="1899"/>
      <c r="L128" s="2615"/>
      <c r="M128" s="1899">
        <v>550</v>
      </c>
      <c r="N128" s="1899"/>
      <c r="O128" s="2615"/>
      <c r="P128" s="2615"/>
      <c r="Q128" s="195"/>
      <c r="R128" s="1899">
        <v>400.82695444410825</v>
      </c>
      <c r="S128" s="1899"/>
      <c r="T128" s="2616"/>
      <c r="U128" s="2615"/>
      <c r="V128" s="1899"/>
      <c r="W128" s="2614"/>
      <c r="X128" s="1899">
        <v>-400.82695444410825</v>
      </c>
      <c r="Y128" s="2616">
        <v>0.37216320884101761</v>
      </c>
    </row>
    <row r="129" spans="10:25">
      <c r="J129" s="2621"/>
      <c r="K129" s="2621"/>
      <c r="L129" s="2541"/>
      <c r="M129" s="2621"/>
      <c r="N129" s="2621"/>
      <c r="O129" s="2541"/>
      <c r="P129" s="2541"/>
      <c r="Q129" s="2621"/>
      <c r="R129" s="2621"/>
      <c r="S129" s="2621"/>
      <c r="T129" s="2541"/>
      <c r="U129" s="2541"/>
      <c r="V129" s="2621"/>
      <c r="W129" s="2621"/>
      <c r="X129" s="2621"/>
      <c r="Y129" s="2541"/>
    </row>
    <row r="133" spans="10:25">
      <c r="M133" s="2520">
        <v>0.35072675896301164</v>
      </c>
      <c r="R133" s="2520">
        <v>0.36544682881588986</v>
      </c>
    </row>
    <row r="134" spans="10:25">
      <c r="M134" s="2520">
        <v>0.73617672937528822</v>
      </c>
      <c r="R134" s="2520">
        <v>0.7095206615441918</v>
      </c>
    </row>
  </sheetData>
  <mergeCells count="6">
    <mergeCell ref="M6:P6"/>
    <mergeCell ref="X6:Y6"/>
    <mergeCell ref="M46:Q46"/>
    <mergeCell ref="M89:O89"/>
    <mergeCell ref="R89:T89"/>
    <mergeCell ref="X89:Y89"/>
  </mergeCells>
  <printOptions horizontalCentered="1" verticalCentered="1"/>
  <pageMargins left="0.7" right="0.7" top="0.75" bottom="0.75" header="0.3" footer="0.3"/>
  <pageSetup scale="10" orientation="landscape" r:id="rId1"/>
  <customProperties>
    <customPr name="Qube.Worksheet.Visibility" r:id="rId2"/>
  </customPropertie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EC8CB-D69A-4E27-A696-B473D76950C5}">
  <sheetPr>
    <tabColor rgb="FF7030A0"/>
  </sheetPr>
  <dimension ref="A1:AH134"/>
  <sheetViews>
    <sheetView workbookViewId="0">
      <selection activeCell="R8" sqref="R8:R43"/>
    </sheetView>
  </sheetViews>
  <sheetFormatPr defaultColWidth="9" defaultRowHeight="11.4" outlineLevelCol="2"/>
  <cols>
    <col min="1" max="1" width="9" style="160"/>
    <col min="2" max="2" width="38.19921875" style="160" customWidth="1"/>
    <col min="3" max="3" width="11.3984375" style="160" customWidth="1"/>
    <col min="4" max="6" width="9" style="160"/>
    <col min="7" max="7" width="10.09765625" style="160" bestFit="1" customWidth="1"/>
    <col min="8" max="8" width="9" style="160"/>
    <col min="9" max="9" width="11.09765625" style="160" bestFit="1" customWidth="1"/>
    <col min="10" max="10" width="28" style="160" bestFit="1" customWidth="1"/>
    <col min="11" max="12" width="9" style="160"/>
    <col min="13" max="13" width="9" style="160" outlineLevel="1"/>
    <col min="14" max="15" width="9" style="160" outlineLevel="2"/>
    <col min="16" max="16" width="9" style="160" outlineLevel="1"/>
    <col min="17" max="17" width="1.3984375" style="160" customWidth="1"/>
    <col min="18" max="18" width="10" style="160" bestFit="1" customWidth="1"/>
    <col min="19" max="19" width="9.09765625" style="160" customWidth="1" outlineLevel="1"/>
    <col min="20" max="20" width="9" style="160" outlineLevel="1"/>
    <col min="21" max="21" width="9" style="160"/>
    <col min="22" max="22" width="55.09765625" style="160" bestFit="1" customWidth="1"/>
    <col min="23" max="23" width="1.59765625" style="160" customWidth="1" outlineLevel="1"/>
    <col min="24" max="25" width="9" style="160" outlineLevel="1"/>
    <col min="26" max="26" width="10.8984375" style="160" bestFit="1" customWidth="1"/>
    <col min="27" max="27" width="24.59765625" style="160" bestFit="1" customWidth="1"/>
    <col min="28" max="16384" width="9" style="160"/>
  </cols>
  <sheetData>
    <row r="1" spans="2:34" ht="12">
      <c r="K1" s="2520"/>
      <c r="R1" s="2921" t="s">
        <v>2340</v>
      </c>
      <c r="S1" s="2790" t="s">
        <v>544</v>
      </c>
      <c r="T1" s="2788" t="s">
        <v>545</v>
      </c>
    </row>
    <row r="2" spans="2:34" ht="12">
      <c r="B2" s="2741"/>
      <c r="C2" s="2742" t="s">
        <v>2368</v>
      </c>
      <c r="D2" s="2743"/>
      <c r="E2" s="2743"/>
      <c r="F2" s="2743"/>
      <c r="G2" s="2742" t="s">
        <v>2270</v>
      </c>
      <c r="H2" s="2744"/>
      <c r="S2" s="2790" t="s">
        <v>2204</v>
      </c>
      <c r="T2" s="2788" t="s">
        <v>668</v>
      </c>
    </row>
    <row r="3" spans="2:34" ht="12">
      <c r="B3" s="2747"/>
      <c r="C3" s="2748" t="s">
        <v>654</v>
      </c>
      <c r="D3" s="2749" t="s">
        <v>655</v>
      </c>
      <c r="E3" s="2748" t="s">
        <v>1426</v>
      </c>
      <c r="F3" s="2750" t="s">
        <v>1427</v>
      </c>
      <c r="G3" s="2748" t="s">
        <v>654</v>
      </c>
      <c r="H3" s="2990" t="s">
        <v>2259</v>
      </c>
      <c r="I3" s="3111"/>
      <c r="K3" s="3108"/>
      <c r="S3" s="2790" t="s">
        <v>2205</v>
      </c>
      <c r="T3" s="2789">
        <v>45506</v>
      </c>
    </row>
    <row r="4" spans="2:34" ht="12">
      <c r="B4" s="1830" t="s">
        <v>63</v>
      </c>
      <c r="C4" s="2833">
        <v>85777</v>
      </c>
      <c r="D4" s="2834">
        <v>85073.244756760076</v>
      </c>
      <c r="E4" s="2840">
        <v>703.75524323992431</v>
      </c>
      <c r="F4" s="1560">
        <v>8.2723451450816173E-3</v>
      </c>
      <c r="G4" s="2833">
        <v>81797</v>
      </c>
      <c r="H4" s="1560">
        <v>4.8657041211780383E-2</v>
      </c>
      <c r="I4" s="3111"/>
      <c r="K4" s="2504"/>
      <c r="S4" s="2790" t="s">
        <v>2206</v>
      </c>
      <c r="T4" s="2791" t="s">
        <v>2246</v>
      </c>
    </row>
    <row r="5" spans="2:34">
      <c r="B5" s="1831" t="s">
        <v>66</v>
      </c>
      <c r="C5" s="1640">
        <v>46099</v>
      </c>
      <c r="D5" s="1641">
        <v>45852.150694022108</v>
      </c>
      <c r="E5" s="2754">
        <v>246.84930597789207</v>
      </c>
      <c r="F5" s="1554">
        <v>5.3835927484656597E-3</v>
      </c>
      <c r="G5" s="1640">
        <v>45384</v>
      </c>
      <c r="H5" s="1554">
        <v>1.5754450907808915E-2</v>
      </c>
      <c r="I5" s="3111"/>
      <c r="K5" s="3182"/>
      <c r="N5" s="2520"/>
      <c r="R5" s="2503"/>
      <c r="V5" s="2921" t="s">
        <v>2341</v>
      </c>
      <c r="AB5" s="694" t="s">
        <v>2309</v>
      </c>
      <c r="AC5" s="694" t="s">
        <v>1134</v>
      </c>
    </row>
    <row r="6" spans="2:34" ht="12">
      <c r="B6" s="1883" t="s">
        <v>67</v>
      </c>
      <c r="C6" s="1874">
        <v>39678</v>
      </c>
      <c r="D6" s="1875">
        <v>39221.094062737968</v>
      </c>
      <c r="E6" s="2841">
        <v>456.90593726203224</v>
      </c>
      <c r="F6" s="1877">
        <v>1.1649494951139471E-2</v>
      </c>
      <c r="G6" s="1874">
        <v>36413</v>
      </c>
      <c r="H6" s="1877">
        <v>8.9665778705407373E-2</v>
      </c>
      <c r="J6" s="3004"/>
      <c r="K6" s="3241" t="s">
        <v>2260</v>
      </c>
      <c r="L6" s="3184"/>
      <c r="M6" s="3404" t="s">
        <v>2260</v>
      </c>
      <c r="N6" s="3405"/>
      <c r="O6" s="3405"/>
      <c r="P6" s="3405"/>
      <c r="Q6" s="3118"/>
      <c r="R6" s="3187" t="s">
        <v>668</v>
      </c>
      <c r="S6" s="3188"/>
      <c r="T6" s="3188"/>
      <c r="U6" s="3186"/>
      <c r="V6" s="2960" t="s">
        <v>2258</v>
      </c>
      <c r="W6" s="3016"/>
      <c r="X6" s="3409" t="s">
        <v>1430</v>
      </c>
      <c r="Y6" s="3403"/>
      <c r="AB6" s="549">
        <v>45170</v>
      </c>
      <c r="AC6" s="549">
        <v>45540</v>
      </c>
    </row>
    <row r="7" spans="2:34">
      <c r="B7" s="1831" t="s">
        <v>68</v>
      </c>
      <c r="C7" s="1640">
        <v>8006</v>
      </c>
      <c r="D7" s="1641">
        <v>8103</v>
      </c>
      <c r="E7" s="2754">
        <v>-97</v>
      </c>
      <c r="F7" s="1554">
        <v>-1.1970874984573615E-2</v>
      </c>
      <c r="G7" s="1640">
        <v>7442</v>
      </c>
      <c r="H7" s="1554">
        <v>7.5786079011018526E-2</v>
      </c>
      <c r="J7" s="3023" t="s">
        <v>2263</v>
      </c>
      <c r="K7" s="3222" t="s">
        <v>654</v>
      </c>
      <c r="L7" s="3223" t="s">
        <v>2259</v>
      </c>
      <c r="M7" s="2751" t="s">
        <v>720</v>
      </c>
      <c r="N7" s="2751" t="s">
        <v>1426</v>
      </c>
      <c r="O7" s="2751" t="s">
        <v>1427</v>
      </c>
      <c r="P7" s="3119" t="s">
        <v>2259</v>
      </c>
      <c r="Q7" s="2947"/>
      <c r="R7" s="3035" t="s">
        <v>2262</v>
      </c>
      <c r="S7" s="2751" t="s">
        <v>1426</v>
      </c>
      <c r="T7" s="2749" t="s">
        <v>1427</v>
      </c>
      <c r="U7" s="3119" t="s">
        <v>2259</v>
      </c>
      <c r="V7" s="2961"/>
      <c r="W7" s="3017"/>
      <c r="X7" s="3217" t="s">
        <v>1426</v>
      </c>
      <c r="Y7" s="3019" t="s">
        <v>1427</v>
      </c>
      <c r="AA7" s="129" t="s">
        <v>872</v>
      </c>
    </row>
    <row r="8" spans="2:34" ht="12">
      <c r="B8" s="2852" t="s">
        <v>76</v>
      </c>
      <c r="C8" s="1640">
        <v>6320</v>
      </c>
      <c r="D8" s="1641">
        <v>6318</v>
      </c>
      <c r="E8" s="2754">
        <v>2</v>
      </c>
      <c r="F8" s="1554">
        <v>3.1655587211142766E-4</v>
      </c>
      <c r="G8" s="1640">
        <v>5973</v>
      </c>
      <c r="H8" s="1554">
        <v>5.8094759752218339E-2</v>
      </c>
      <c r="I8" s="3154"/>
      <c r="J8" s="3093" t="s">
        <v>1433</v>
      </c>
      <c r="K8" s="3094">
        <v>85777</v>
      </c>
      <c r="L8" s="3097">
        <v>4.8657041211780383E-2</v>
      </c>
      <c r="M8" s="3095">
        <v>85073.244756760076</v>
      </c>
      <c r="N8" s="3096">
        <v>703.75524323992431</v>
      </c>
      <c r="O8" s="3097">
        <v>8.2723451450816832E-3</v>
      </c>
      <c r="P8" s="3097">
        <v>4.0053360841596497E-2</v>
      </c>
      <c r="Q8" s="3098"/>
      <c r="R8" s="2929">
        <v>84432.54</v>
      </c>
      <c r="S8" s="3096">
        <v>1344.4600000000064</v>
      </c>
      <c r="T8" s="3097">
        <v>1.5923481633976833E-2</v>
      </c>
      <c r="U8" s="3097">
        <v>3.2220497084245014E-2</v>
      </c>
      <c r="V8" s="3208" t="s">
        <v>2374</v>
      </c>
      <c r="W8" s="3100"/>
      <c r="X8" s="3096">
        <v>1344.4600000000064</v>
      </c>
      <c r="Y8" s="3099">
        <v>7.5883629316384482E-3</v>
      </c>
      <c r="AA8" s="1716" t="s">
        <v>84</v>
      </c>
      <c r="AB8" s="779">
        <v>43805</v>
      </c>
      <c r="AC8" s="2363">
        <v>44208.330000000016</v>
      </c>
      <c r="AD8" s="2523">
        <v>9.2073964159347099E-3</v>
      </c>
    </row>
    <row r="9" spans="2:34" ht="12">
      <c r="B9" s="2853" t="s">
        <v>69</v>
      </c>
      <c r="C9" s="2854">
        <v>14326</v>
      </c>
      <c r="D9" s="2768">
        <v>14421</v>
      </c>
      <c r="E9" s="2770">
        <v>-95</v>
      </c>
      <c r="F9" s="1558">
        <v>-6.587615283267457E-3</v>
      </c>
      <c r="G9" s="2854">
        <v>13415</v>
      </c>
      <c r="H9" s="1558">
        <v>6.7909057025717479E-2</v>
      </c>
      <c r="I9" s="163"/>
      <c r="J9" s="2976" t="s">
        <v>67</v>
      </c>
      <c r="K9" s="2977">
        <v>39678</v>
      </c>
      <c r="L9" s="2980">
        <v>8.9665778705407373E-2</v>
      </c>
      <c r="M9" s="2978">
        <v>39221.094062737968</v>
      </c>
      <c r="N9" s="2979">
        <v>456.90593726203224</v>
      </c>
      <c r="O9" s="2980">
        <v>1.1649494951139427E-2</v>
      </c>
      <c r="P9" s="2980">
        <v>7.7117899177161053E-2</v>
      </c>
      <c r="Q9" s="2981"/>
      <c r="R9" s="2975">
        <v>38977.413999999997</v>
      </c>
      <c r="S9" s="2979">
        <v>700.58600000000297</v>
      </c>
      <c r="T9" s="2980">
        <v>1.7974152928667886E-2</v>
      </c>
      <c r="U9" s="2980">
        <v>7.0425782000933745E-2</v>
      </c>
      <c r="V9" s="2982"/>
      <c r="W9" s="3007"/>
      <c r="X9" s="2979">
        <v>700.58600000000297</v>
      </c>
      <c r="Y9" s="3008">
        <v>6.2518273464209351E-3</v>
      </c>
      <c r="AA9" s="1716" t="s">
        <v>86</v>
      </c>
      <c r="AB9" s="779">
        <v>7614</v>
      </c>
      <c r="AC9" s="672">
        <v>7233.3</v>
      </c>
      <c r="AD9" s="2523">
        <v>-4.9999999999999933E-2</v>
      </c>
      <c r="AE9" s="3251" t="s">
        <v>2373</v>
      </c>
    </row>
    <row r="10" spans="2:34" ht="12">
      <c r="B10" s="1878" t="s">
        <v>70</v>
      </c>
      <c r="C10" s="2830">
        <v>25352</v>
      </c>
      <c r="D10" s="2831">
        <v>24800.094062737968</v>
      </c>
      <c r="E10" s="2842">
        <v>551.90593726203224</v>
      </c>
      <c r="F10" s="2832">
        <v>2.2254187256945467E-2</v>
      </c>
      <c r="G10" s="2830">
        <v>22998</v>
      </c>
      <c r="H10" s="2832">
        <v>0.10235672667188456</v>
      </c>
      <c r="I10" s="163"/>
      <c r="J10" s="3060" t="s">
        <v>1600</v>
      </c>
      <c r="K10" s="3061">
        <v>14326</v>
      </c>
      <c r="L10" s="3051">
        <v>6.7909057025717479E-2</v>
      </c>
      <c r="M10" s="3062">
        <v>14421</v>
      </c>
      <c r="N10" s="3050">
        <v>-95</v>
      </c>
      <c r="O10" s="3051">
        <v>-6.5876152832674562E-3</v>
      </c>
      <c r="P10" s="3051">
        <v>7.4990682072307191E-2</v>
      </c>
      <c r="Q10" s="3063"/>
      <c r="R10" s="2930">
        <v>14522.929999999997</v>
      </c>
      <c r="S10" s="3050">
        <v>-196.92999999999665</v>
      </c>
      <c r="T10" s="3051">
        <v>-1.3559935908249665E-2</v>
      </c>
      <c r="U10" s="3051">
        <v>8.2588893030189903E-2</v>
      </c>
      <c r="V10" s="3229" t="s">
        <v>2345</v>
      </c>
      <c r="W10" s="3053"/>
      <c r="X10" s="3050">
        <v>-196.92999999999665</v>
      </c>
      <c r="Y10" s="3052">
        <v>-7.0185561728932644E-3</v>
      </c>
      <c r="AA10" s="1716" t="s">
        <v>85</v>
      </c>
      <c r="AB10" s="779">
        <v>6443</v>
      </c>
      <c r="AC10" s="672">
        <v>6815</v>
      </c>
      <c r="AD10" s="2523">
        <v>5.7737079000465652E-2</v>
      </c>
      <c r="AE10" s="3251" t="s">
        <v>2372</v>
      </c>
    </row>
    <row r="11" spans="2:34" ht="12">
      <c r="B11" s="1835" t="s">
        <v>689</v>
      </c>
      <c r="C11" s="1640">
        <v>142</v>
      </c>
      <c r="D11" s="1641">
        <v>50</v>
      </c>
      <c r="E11" s="2754">
        <v>92</v>
      </c>
      <c r="F11" s="1554">
        <v>1.84</v>
      </c>
      <c r="G11" s="1640">
        <v>-265</v>
      </c>
      <c r="H11" s="1554">
        <v>-1.5358490566037735</v>
      </c>
      <c r="I11" s="3154"/>
      <c r="J11" s="3024" t="s">
        <v>70</v>
      </c>
      <c r="K11" s="2983">
        <v>25352</v>
      </c>
      <c r="L11" s="2986">
        <v>0.10235672667188456</v>
      </c>
      <c r="M11" s="2984">
        <v>24800.094062737968</v>
      </c>
      <c r="N11" s="2985">
        <v>551.90593726203224</v>
      </c>
      <c r="O11" s="2986">
        <v>2.2254187256945501E-2</v>
      </c>
      <c r="P11" s="2986">
        <v>7.8358729573787533E-2</v>
      </c>
      <c r="Q11" s="2987"/>
      <c r="R11" s="2988">
        <v>24454.484</v>
      </c>
      <c r="S11" s="2985">
        <v>897.51599999999962</v>
      </c>
      <c r="T11" s="2986">
        <v>3.6701490000770498E-2</v>
      </c>
      <c r="U11" s="2986">
        <v>6.3330898338985975E-2</v>
      </c>
      <c r="V11" s="3230"/>
      <c r="W11" s="3009"/>
      <c r="X11" s="2985">
        <v>897.51599999999962</v>
      </c>
      <c r="Y11" s="3010">
        <v>1.4132789010717461E-2</v>
      </c>
      <c r="AA11" s="1716" t="s">
        <v>1120</v>
      </c>
      <c r="AB11" s="779">
        <v>9322</v>
      </c>
      <c r="AC11" s="672">
        <v>10501.45</v>
      </c>
      <c r="AD11" s="2523">
        <v>0.12652327826646648</v>
      </c>
    </row>
    <row r="12" spans="2:34" ht="12">
      <c r="B12" s="1857" t="s">
        <v>71</v>
      </c>
      <c r="C12" s="1858">
        <v>25494</v>
      </c>
      <c r="D12" s="1859">
        <v>24850.094062737968</v>
      </c>
      <c r="E12" s="2843">
        <v>643.90593726203224</v>
      </c>
      <c r="F12" s="1861">
        <v>2.5911609655737741E-2</v>
      </c>
      <c r="G12" s="1858">
        <v>22733</v>
      </c>
      <c r="H12" s="1861">
        <v>0.12145339374477637</v>
      </c>
      <c r="I12" s="3153"/>
      <c r="J12" s="3041" t="s">
        <v>689</v>
      </c>
      <c r="K12" s="3042">
        <v>142</v>
      </c>
      <c r="L12" s="3051">
        <v>-1.5358490566037735</v>
      </c>
      <c r="M12" s="3043">
        <v>50</v>
      </c>
      <c r="N12" s="3050">
        <v>92</v>
      </c>
      <c r="O12" s="3051">
        <v>1.8399999999999999</v>
      </c>
      <c r="P12" s="3051">
        <v>-1.1886792452830188</v>
      </c>
      <c r="Q12" s="3046"/>
      <c r="R12" s="3064">
        <v>3.7969999999986612</v>
      </c>
      <c r="S12" s="3050">
        <v>138.20300000000134</v>
      </c>
      <c r="T12" s="3051">
        <v>36.397945746655274</v>
      </c>
      <c r="U12" s="3051">
        <v>-1.0143283018867875</v>
      </c>
      <c r="V12" s="3232" t="s">
        <v>2346</v>
      </c>
      <c r="W12" s="3053"/>
      <c r="X12" s="3050">
        <v>138.20300000000134</v>
      </c>
      <c r="Y12" s="3052">
        <v>12.168290755864533</v>
      </c>
      <c r="AA12" s="1143" t="s">
        <v>667</v>
      </c>
      <c r="AB12" s="1054">
        <v>67184</v>
      </c>
      <c r="AC12" s="1054">
        <v>68758.080000000016</v>
      </c>
      <c r="AD12" s="2523">
        <v>2.3429387949511993E-2</v>
      </c>
      <c r="AE12" s="3251" t="s">
        <v>2371</v>
      </c>
      <c r="AH12" s="1624"/>
    </row>
    <row r="13" spans="2:34">
      <c r="B13" s="1836" t="s">
        <v>72</v>
      </c>
      <c r="C13" s="1640">
        <v>4046</v>
      </c>
      <c r="D13" s="1641">
        <v>3976.0150500380751</v>
      </c>
      <c r="E13" s="2754">
        <v>69.98494996192494</v>
      </c>
      <c r="F13" s="1554">
        <v>1.7601781955341126E-2</v>
      </c>
      <c r="G13" s="1640">
        <v>2852</v>
      </c>
      <c r="H13" s="1554">
        <v>0.4186535764375876</v>
      </c>
      <c r="I13" s="3153"/>
      <c r="J13" s="3101" t="s">
        <v>71</v>
      </c>
      <c r="K13" s="3054">
        <v>25494</v>
      </c>
      <c r="L13" s="3056">
        <v>0.12145339374477637</v>
      </c>
      <c r="M13" s="3055">
        <v>24850.094062737968</v>
      </c>
      <c r="N13" s="2973">
        <v>643.90593726203224</v>
      </c>
      <c r="O13" s="3056">
        <v>2.5911609655737688E-2</v>
      </c>
      <c r="P13" s="3056">
        <v>9.312867033554606E-2</v>
      </c>
      <c r="Q13" s="2974"/>
      <c r="R13" s="3057">
        <v>24458.280999999999</v>
      </c>
      <c r="S13" s="2973">
        <v>1035.719000000001</v>
      </c>
      <c r="T13" s="3056">
        <v>4.2346352959147016E-2</v>
      </c>
      <c r="U13" s="3056">
        <v>7.589323890379629E-2</v>
      </c>
      <c r="V13" s="2972"/>
      <c r="W13" s="3059"/>
      <c r="X13" s="2973">
        <v>1035.719000000001</v>
      </c>
      <c r="Y13" s="3058">
        <v>1.6019648426558231E-2</v>
      </c>
      <c r="AA13" s="673" t="s">
        <v>81</v>
      </c>
      <c r="AB13" s="779">
        <v>22314</v>
      </c>
      <c r="AC13" s="1057">
        <v>25214.819999999996</v>
      </c>
      <c r="AD13" s="2560">
        <v>0.13</v>
      </c>
      <c r="AE13" s="3253" t="s">
        <v>2370</v>
      </c>
    </row>
    <row r="14" spans="2:34" ht="12" thickBot="1">
      <c r="B14" s="1836" t="s">
        <v>1562</v>
      </c>
      <c r="C14" s="3036">
        <v>0.15870400878638111</v>
      </c>
      <c r="D14" s="2520">
        <v>0.16</v>
      </c>
      <c r="E14" s="1939">
        <v>-1.2959912136188967E-3</v>
      </c>
      <c r="F14" s="1554"/>
      <c r="G14" s="3036">
        <v>0.12545638499098227</v>
      </c>
      <c r="H14" s="1940">
        <v>3.3247623795398834E-2</v>
      </c>
      <c r="I14" s="2503"/>
      <c r="J14" s="3065" t="s">
        <v>72</v>
      </c>
      <c r="K14" s="3066">
        <v>4046</v>
      </c>
      <c r="L14" s="3069"/>
      <c r="M14" s="3067">
        <v>3976.0150500380751</v>
      </c>
      <c r="N14" s="3068">
        <v>69.98494996192494</v>
      </c>
      <c r="O14" s="3069">
        <v>1.7601781955341123E-2</v>
      </c>
      <c r="P14" s="3069"/>
      <c r="Q14" s="3070"/>
      <c r="R14" s="3071">
        <v>3928.4612000000002</v>
      </c>
      <c r="S14" s="3068">
        <v>117.53879999999981</v>
      </c>
      <c r="T14" s="3069">
        <v>2.9919806768105461E-2</v>
      </c>
      <c r="U14" s="3069"/>
      <c r="V14" s="3073"/>
      <c r="W14" s="3074"/>
      <c r="X14" s="3068">
        <v>117.53879999999981</v>
      </c>
      <c r="Y14" s="3072">
        <v>1.210495601638506E-2</v>
      </c>
      <c r="AA14" s="1995" t="s">
        <v>1246</v>
      </c>
      <c r="AB14" s="1995">
        <v>89498</v>
      </c>
      <c r="AC14" s="3254">
        <v>93972.900000000009</v>
      </c>
      <c r="AD14" s="2560">
        <v>0.05</v>
      </c>
      <c r="AE14" s="3252" t="s">
        <v>2369</v>
      </c>
    </row>
    <row r="15" spans="2:34" ht="12.6" thickTop="1">
      <c r="B15" s="1873" t="s">
        <v>1154</v>
      </c>
      <c r="C15" s="1874">
        <v>21448</v>
      </c>
      <c r="D15" s="1875">
        <v>20874.079012699891</v>
      </c>
      <c r="E15" s="2841">
        <v>573.92098730010912</v>
      </c>
      <c r="F15" s="1877">
        <v>2.7494433979622899E-2</v>
      </c>
      <c r="G15" s="1874">
        <v>19881</v>
      </c>
      <c r="H15" s="1877">
        <v>7.8818972888687666E-2</v>
      </c>
      <c r="J15" s="3041" t="s">
        <v>1562</v>
      </c>
      <c r="K15" s="3102">
        <v>0.15870400878638111</v>
      </c>
      <c r="L15" s="3045"/>
      <c r="M15" s="3103">
        <v>0.16</v>
      </c>
      <c r="N15" s="3102">
        <v>-1.2959912136188967E-3</v>
      </c>
      <c r="O15" s="3045"/>
      <c r="P15" s="3045"/>
      <c r="Q15" s="3046"/>
      <c r="R15" s="3104">
        <v>0.16061885951837745</v>
      </c>
      <c r="S15" s="3044"/>
      <c r="T15" s="3045"/>
      <c r="U15" s="3045"/>
      <c r="V15" s="3231">
        <v>0.16</v>
      </c>
      <c r="W15" s="3049"/>
      <c r="X15" s="3102">
        <v>-1.9148507319963481E-3</v>
      </c>
      <c r="Y15" s="3047"/>
    </row>
    <row r="16" spans="2:34" s="163" customFormat="1" ht="12">
      <c r="B16" s="1862" t="s">
        <v>80</v>
      </c>
      <c r="C16" s="1858">
        <v>21448</v>
      </c>
      <c r="D16" s="1859">
        <v>20874.079012699891</v>
      </c>
      <c r="E16" s="2843">
        <v>573.92098730010912</v>
      </c>
      <c r="F16" s="1861">
        <v>2.7494433979622899E-2</v>
      </c>
      <c r="G16" s="1858">
        <v>19881</v>
      </c>
      <c r="H16" s="1861">
        <v>7.8818972888687666E-2</v>
      </c>
      <c r="I16" s="160"/>
      <c r="J16" s="3075" t="s">
        <v>80</v>
      </c>
      <c r="K16" s="3076">
        <v>21448</v>
      </c>
      <c r="L16" s="3079">
        <v>7.8818972888687666E-2</v>
      </c>
      <c r="M16" s="3077">
        <v>20874.079012699891</v>
      </c>
      <c r="N16" s="3078">
        <v>573.92098730010912</v>
      </c>
      <c r="O16" s="3079">
        <v>2.7494433979622812E-2</v>
      </c>
      <c r="P16" s="3079">
        <v>4.9951160037216003E-2</v>
      </c>
      <c r="Q16" s="3080"/>
      <c r="R16" s="3081">
        <v>20644.947</v>
      </c>
      <c r="S16" s="3078">
        <v>803.05299999999988</v>
      </c>
      <c r="T16" s="3079">
        <v>3.8898283439526393E-2</v>
      </c>
      <c r="U16" s="3079">
        <v>3.8425984608420061E-2</v>
      </c>
      <c r="V16" s="3082"/>
      <c r="W16" s="1561"/>
      <c r="X16" s="3078">
        <v>803.05299999999988</v>
      </c>
      <c r="Y16" s="1629">
        <v>1.1098697066158181E-2</v>
      </c>
      <c r="Z16" s="160"/>
      <c r="AA16" s="160"/>
    </row>
    <row r="17" spans="2:27" ht="12">
      <c r="B17" s="1863" t="s">
        <v>1151</v>
      </c>
      <c r="C17" s="1864">
        <v>1.3974299876043894</v>
      </c>
      <c r="D17" s="1865">
        <v>1.3585316779602168</v>
      </c>
      <c r="E17" s="2844">
        <v>3.8898309644172624E-2</v>
      </c>
      <c r="F17" s="1867">
        <v>2.8632611425430245E-2</v>
      </c>
      <c r="G17" s="1864">
        <v>1.2602835837746269</v>
      </c>
      <c r="H17" s="1867">
        <v>0.10882186009199657</v>
      </c>
      <c r="J17" s="3083" t="s">
        <v>1153</v>
      </c>
      <c r="K17" s="3084">
        <v>1.3974299876043894</v>
      </c>
      <c r="L17" s="3087">
        <v>0.10882186009199657</v>
      </c>
      <c r="M17" s="3085">
        <v>1.3585316779602168</v>
      </c>
      <c r="N17" s="3086">
        <v>3.8898309644172624E-2</v>
      </c>
      <c r="O17" s="3087">
        <v>2.8632611425430277E-2</v>
      </c>
      <c r="P17" s="3087">
        <v>7.7957132387086014E-2</v>
      </c>
      <c r="Q17" s="3088"/>
      <c r="R17" s="3089">
        <v>1.3446472</v>
      </c>
      <c r="S17" s="3084">
        <v>5.278278760438937E-2</v>
      </c>
      <c r="T17" s="3087">
        <v>3.9254004771206441E-2</v>
      </c>
      <c r="U17" s="3087">
        <v>6.6940184980192274E-2</v>
      </c>
      <c r="V17" s="3091"/>
      <c r="W17" s="3092"/>
      <c r="X17" s="3084">
        <v>5.278278760438937E-2</v>
      </c>
      <c r="Y17" s="3090">
        <v>1.032574043229828E-2</v>
      </c>
      <c r="AA17" s="163"/>
    </row>
    <row r="18" spans="2:27" ht="12">
      <c r="B18" s="1868" t="s">
        <v>1153</v>
      </c>
      <c r="C18" s="1869">
        <v>1.3974299876043894</v>
      </c>
      <c r="D18" s="1870">
        <v>1.3585316779602168</v>
      </c>
      <c r="E18" s="2845">
        <v>3.8898309644172624E-2</v>
      </c>
      <c r="F18" s="1872">
        <v>2.8632611425430245E-2</v>
      </c>
      <c r="G18" s="1869">
        <v>1.2602835837746269</v>
      </c>
      <c r="H18" s="1872">
        <v>0.10882186009199657</v>
      </c>
      <c r="J18" s="1583"/>
      <c r="K18" s="193"/>
      <c r="L18" s="1624"/>
      <c r="M18" s="2948"/>
      <c r="N18" s="2504"/>
      <c r="O18" s="1624"/>
      <c r="P18" s="1624"/>
      <c r="Q18" s="2949"/>
      <c r="R18" s="2931"/>
      <c r="S18" s="193"/>
      <c r="T18" s="1624"/>
      <c r="U18" s="1624"/>
      <c r="V18" s="2962"/>
      <c r="W18" s="1553"/>
      <c r="X18" s="193"/>
      <c r="Y18" s="1627"/>
    </row>
    <row r="19" spans="2:27" ht="12">
      <c r="B19" s="1844" t="s">
        <v>75</v>
      </c>
      <c r="C19" s="1557">
        <v>15348.174999999999</v>
      </c>
      <c r="D19" s="1541">
        <v>15365.1765</v>
      </c>
      <c r="E19" s="1845">
        <v>-17.001500000000306</v>
      </c>
      <c r="F19" s="1558">
        <v>-1.1064955876035857E-3</v>
      </c>
      <c r="G19" s="1557">
        <v>15775.021000000001</v>
      </c>
      <c r="H19" s="1558">
        <v>-2.7058347497604052E-2</v>
      </c>
      <c r="J19" s="3034" t="s">
        <v>2264</v>
      </c>
      <c r="K19" s="193"/>
      <c r="L19" s="1624"/>
      <c r="M19" s="2948"/>
      <c r="N19" s="2504"/>
      <c r="O19" s="1624"/>
      <c r="P19" s="1624"/>
      <c r="Q19" s="2949"/>
      <c r="R19" s="2931"/>
      <c r="S19" s="193"/>
      <c r="T19" s="1624"/>
      <c r="U19" s="1624"/>
      <c r="V19" s="2962"/>
      <c r="W19" s="1553"/>
      <c r="X19" s="193"/>
      <c r="Y19" s="1627"/>
    </row>
    <row r="20" spans="2:27" ht="12">
      <c r="B20" s="1837"/>
      <c r="C20" s="1553"/>
      <c r="D20" s="193"/>
      <c r="E20" s="1569"/>
      <c r="F20" s="1554"/>
      <c r="G20" s="1553"/>
      <c r="H20" s="1554"/>
      <c r="J20" s="3030" t="s">
        <v>84</v>
      </c>
      <c r="K20" s="3031">
        <v>39296</v>
      </c>
      <c r="L20" s="2837">
        <v>-9.4028082381708566E-3</v>
      </c>
      <c r="M20" s="3032">
        <v>37757.934185026752</v>
      </c>
      <c r="N20" s="2836">
        <v>1538.0658149732481</v>
      </c>
      <c r="O20" s="2837">
        <v>4.0734903753902429E-2</v>
      </c>
      <c r="P20" s="2837">
        <v>-4.8175295948303387E-2</v>
      </c>
      <c r="Q20" s="3033"/>
      <c r="R20" s="2938">
        <v>38634.639999999999</v>
      </c>
      <c r="S20" s="2836">
        <v>661.36000000000058</v>
      </c>
      <c r="T20" s="2837">
        <v>1.7118316619489704E-2</v>
      </c>
      <c r="U20" s="2837">
        <v>-2.6074768711084273E-2</v>
      </c>
      <c r="V20" s="3210"/>
      <c r="W20" s="3013"/>
      <c r="X20" s="2836">
        <v>661.36000000000058</v>
      </c>
      <c r="Y20" s="2838">
        <v>-2.2692221668773049E-2</v>
      </c>
      <c r="Z20" s="163"/>
    </row>
    <row r="21" spans="2:27" ht="12">
      <c r="B21" s="2699" t="s">
        <v>2189</v>
      </c>
      <c r="C21" s="2700" t="s">
        <v>654</v>
      </c>
      <c r="D21" s="3207" t="s">
        <v>655</v>
      </c>
      <c r="E21" s="2702" t="s">
        <v>1426</v>
      </c>
      <c r="F21" s="2703" t="s">
        <v>1427</v>
      </c>
      <c r="G21" s="2700" t="s">
        <v>654</v>
      </c>
      <c r="H21" s="2703" t="s">
        <v>2259</v>
      </c>
      <c r="J21" s="1584" t="s">
        <v>85</v>
      </c>
      <c r="K21" s="1639">
        <v>7162</v>
      </c>
      <c r="L21" s="1626">
        <v>0.23674667587635989</v>
      </c>
      <c r="M21" s="2950">
        <v>7130</v>
      </c>
      <c r="N21" s="1901">
        <v>32</v>
      </c>
      <c r="O21" s="1626">
        <v>4.4880785413745627E-3</v>
      </c>
      <c r="P21" s="1626">
        <v>0.23122085995510266</v>
      </c>
      <c r="Q21" s="2951"/>
      <c r="R21" s="2932">
        <v>6617.4062999999996</v>
      </c>
      <c r="S21" s="1901">
        <v>544.59370000000035</v>
      </c>
      <c r="T21" s="1626">
        <v>8.2297153191273731E-2</v>
      </c>
      <c r="U21" s="1626">
        <v>0.14270528406147465</v>
      </c>
      <c r="V21" s="3228" t="s">
        <v>2343</v>
      </c>
      <c r="W21" s="1563"/>
      <c r="X21" s="1901">
        <v>544.59370000000035</v>
      </c>
      <c r="Y21" s="1630">
        <v>7.7461421705359079E-2</v>
      </c>
    </row>
    <row r="22" spans="2:27">
      <c r="B22" s="2740" t="s">
        <v>84</v>
      </c>
      <c r="C22" s="1638">
        <v>39296</v>
      </c>
      <c r="D22" s="1639">
        <v>37757.934185026752</v>
      </c>
      <c r="E22" s="2754">
        <v>1538.0658149732481</v>
      </c>
      <c r="F22" s="1554">
        <v>4.0734903753902457E-2</v>
      </c>
      <c r="G22" s="1638">
        <v>39669</v>
      </c>
      <c r="H22" s="1554">
        <v>-9.4028082381708566E-3</v>
      </c>
      <c r="I22" s="3108"/>
      <c r="J22" s="1584" t="s">
        <v>86</v>
      </c>
      <c r="K22" s="1639">
        <v>7009</v>
      </c>
      <c r="L22" s="1626">
        <v>2.4707602339181234E-2</v>
      </c>
      <c r="M22" s="2950">
        <v>7714.646808510638</v>
      </c>
      <c r="N22" s="1901">
        <v>-705.64680851063804</v>
      </c>
      <c r="O22" s="1626">
        <v>-9.146845293451189E-2</v>
      </c>
      <c r="P22" s="1626">
        <v>0.12787234042553197</v>
      </c>
      <c r="Q22" s="2951"/>
      <c r="R22" s="2932">
        <v>6974.29</v>
      </c>
      <c r="S22" s="1901">
        <v>34.710000000000036</v>
      </c>
      <c r="T22" s="1626">
        <v>4.9768506901777254E-3</v>
      </c>
      <c r="U22" s="1626">
        <v>1.9633040935672419E-2</v>
      </c>
      <c r="V22" s="3163"/>
      <c r="W22" s="1563"/>
      <c r="X22" s="1901">
        <v>34.710000000000036</v>
      </c>
      <c r="Y22" s="1630">
        <v>0.10615515106349727</v>
      </c>
    </row>
    <row r="23" spans="2:27">
      <c r="B23" s="2740" t="s">
        <v>85</v>
      </c>
      <c r="C23" s="1638">
        <v>7162</v>
      </c>
      <c r="D23" s="1639">
        <v>7130</v>
      </c>
      <c r="E23" s="2754">
        <v>32</v>
      </c>
      <c r="F23" s="1554">
        <v>4.4880785413744743E-3</v>
      </c>
      <c r="G23" s="1638">
        <v>5791</v>
      </c>
      <c r="H23" s="1554">
        <v>0.23674667587635989</v>
      </c>
      <c r="I23" s="3108"/>
      <c r="J23" s="1584" t="s">
        <v>1120</v>
      </c>
      <c r="K23" s="1639">
        <v>8097</v>
      </c>
      <c r="L23" s="1626">
        <v>-2.2573635924674096E-2</v>
      </c>
      <c r="M23" s="2950">
        <v>8126.0499999999993</v>
      </c>
      <c r="N23" s="1901">
        <v>-29.049999999999272</v>
      </c>
      <c r="O23" s="1626">
        <v>-3.5749226253837252E-3</v>
      </c>
      <c r="P23" s="1626">
        <v>-1.9066875905359826E-2</v>
      </c>
      <c r="Q23" s="2951"/>
      <c r="R23" s="2932">
        <v>7811.0659999999998</v>
      </c>
      <c r="S23" s="1901">
        <v>285.9340000000002</v>
      </c>
      <c r="T23" s="1626">
        <v>3.6606271154282943E-2</v>
      </c>
      <c r="U23" s="1626">
        <v>-5.7090053114437489E-2</v>
      </c>
      <c r="V23" s="3163"/>
      <c r="W23" s="1563"/>
      <c r="X23" s="1901">
        <v>285.9340000000002</v>
      </c>
      <c r="Y23" s="1630">
        <v>4.0325353799340435E-2</v>
      </c>
    </row>
    <row r="24" spans="2:27">
      <c r="B24" s="2740" t="s">
        <v>86</v>
      </c>
      <c r="C24" s="1638">
        <v>7009</v>
      </c>
      <c r="D24" s="1639">
        <v>7714.646808510638</v>
      </c>
      <c r="E24" s="2754">
        <v>-705.64680851063804</v>
      </c>
      <c r="F24" s="1554">
        <v>-9.1468452934511946E-2</v>
      </c>
      <c r="G24" s="1638">
        <v>6840</v>
      </c>
      <c r="H24" s="1554">
        <v>2.4707602339181234E-2</v>
      </c>
      <c r="I24" s="3108"/>
      <c r="J24" s="2825" t="s">
        <v>667</v>
      </c>
      <c r="K24" s="2826">
        <v>61564</v>
      </c>
      <c r="L24" s="2827">
        <v>1.6175888023240548E-2</v>
      </c>
      <c r="M24" s="2952">
        <v>60728.630993537387</v>
      </c>
      <c r="N24" s="2828">
        <v>835.36900646261347</v>
      </c>
      <c r="O24" s="2827">
        <v>1.3755768783121569E-2</v>
      </c>
      <c r="P24" s="2827">
        <v>2.3872803634190642E-3</v>
      </c>
      <c r="Q24" s="2953"/>
      <c r="R24" s="2933">
        <v>60534.285000000003</v>
      </c>
      <c r="S24" s="2828">
        <v>1029.7149999999965</v>
      </c>
      <c r="T24" s="2827">
        <v>1.7010442925029956E-2</v>
      </c>
      <c r="U24" s="2827">
        <v>-8.2059619701568831E-4</v>
      </c>
      <c r="V24" s="3003"/>
      <c r="W24" s="3011"/>
      <c r="X24" s="2828">
        <v>1029.7149999999965</v>
      </c>
      <c r="Y24" s="2829">
        <v>3.2105110936286874E-3</v>
      </c>
    </row>
    <row r="25" spans="2:27" ht="12">
      <c r="B25" s="2740" t="s">
        <v>1120</v>
      </c>
      <c r="C25" s="1638">
        <v>8097</v>
      </c>
      <c r="D25" s="1639">
        <v>8126.0499999999993</v>
      </c>
      <c r="E25" s="2754">
        <v>-29.049999999999272</v>
      </c>
      <c r="F25" s="1554">
        <v>-3.5749226253837074E-3</v>
      </c>
      <c r="G25" s="1638">
        <v>8284</v>
      </c>
      <c r="H25" s="1554">
        <v>-2.2573635924674096E-2</v>
      </c>
      <c r="I25" s="163"/>
      <c r="J25" s="1907" t="s">
        <v>81</v>
      </c>
      <c r="K25" s="1639">
        <v>24213</v>
      </c>
      <c r="L25" s="1626">
        <v>0.1414227124876255</v>
      </c>
      <c r="M25" s="2950">
        <v>24344.613763222693</v>
      </c>
      <c r="N25" s="1901">
        <v>-131.6137632226928</v>
      </c>
      <c r="O25" s="1626">
        <v>-5.4062785510904376E-3</v>
      </c>
      <c r="P25" s="1626">
        <v>0.14762710428617787</v>
      </c>
      <c r="Q25" s="2951"/>
      <c r="R25" s="2932">
        <v>24010.232</v>
      </c>
      <c r="S25" s="1901">
        <v>202.76800000000003</v>
      </c>
      <c r="T25" s="1626">
        <v>8.4450662534205634E-3</v>
      </c>
      <c r="U25" s="1626">
        <v>0.13186404563239518</v>
      </c>
      <c r="V25" s="3233" t="s">
        <v>2347</v>
      </c>
      <c r="W25" s="1563"/>
      <c r="X25" s="1901">
        <v>202.76800000000003</v>
      </c>
      <c r="Y25" s="1630">
        <v>1.3926636078430699E-2</v>
      </c>
    </row>
    <row r="26" spans="2:27" ht="12">
      <c r="B26" s="1841" t="s">
        <v>667</v>
      </c>
      <c r="C26" s="1638">
        <v>61564</v>
      </c>
      <c r="D26" s="1639">
        <v>60728.630993537387</v>
      </c>
      <c r="E26" s="2754">
        <v>835.36900646261347</v>
      </c>
      <c r="F26" s="1554">
        <v>1.3755768783121616E-2</v>
      </c>
      <c r="G26" s="1638">
        <v>60584</v>
      </c>
      <c r="H26" s="1554">
        <v>1.6175888023240548E-2</v>
      </c>
      <c r="J26" s="1926" t="s">
        <v>1246</v>
      </c>
      <c r="K26" s="1889">
        <v>85777</v>
      </c>
      <c r="L26" s="1927">
        <v>4.8657041211780383E-2</v>
      </c>
      <c r="M26" s="2954">
        <v>85073.244756760076</v>
      </c>
      <c r="N26" s="1930">
        <v>703.75524323992431</v>
      </c>
      <c r="O26" s="1927">
        <v>8.2723451450816832E-3</v>
      </c>
      <c r="P26" s="1927">
        <v>4.0053360841596497E-2</v>
      </c>
      <c r="Q26" s="2955"/>
      <c r="R26" s="2934">
        <v>84432.54</v>
      </c>
      <c r="S26" s="1930">
        <v>1344.4600000000064</v>
      </c>
      <c r="T26" s="1927">
        <v>1.5923481633976833E-2</v>
      </c>
      <c r="U26" s="1927">
        <v>3.2220497084245014E-2</v>
      </c>
      <c r="V26" s="2964" t="s">
        <v>2374</v>
      </c>
      <c r="W26" s="3012"/>
      <c r="X26" s="1930">
        <v>1344.4600000000064</v>
      </c>
      <c r="Y26" s="1931">
        <v>7.5883629316384482E-3</v>
      </c>
    </row>
    <row r="27" spans="2:27">
      <c r="B27" s="1841" t="s">
        <v>81</v>
      </c>
      <c r="C27" s="1638">
        <v>24213</v>
      </c>
      <c r="D27" s="1639">
        <v>24344.613763222693</v>
      </c>
      <c r="E27" s="2754">
        <v>-131.6137632226928</v>
      </c>
      <c r="F27" s="1554">
        <v>-5.4062785510904741E-3</v>
      </c>
      <c r="G27" s="1638">
        <v>21213</v>
      </c>
      <c r="H27" s="1554">
        <v>0.1414227124876255</v>
      </c>
      <c r="I27" s="3111"/>
      <c r="J27" s="1583"/>
      <c r="K27" s="1639"/>
      <c r="L27" s="1626"/>
      <c r="M27" s="2950"/>
      <c r="N27" s="1901"/>
      <c r="O27" s="1626"/>
      <c r="P27" s="1626"/>
      <c r="Q27" s="2951"/>
      <c r="R27" s="2932"/>
      <c r="S27" s="1901"/>
      <c r="T27" s="1626"/>
      <c r="U27" s="1626"/>
      <c r="V27" s="2963"/>
      <c r="W27" s="1563"/>
      <c r="X27" s="1901"/>
      <c r="Y27" s="1630"/>
    </row>
    <row r="28" spans="2:27" ht="12">
      <c r="B28" s="1890" t="s">
        <v>1246</v>
      </c>
      <c r="C28" s="1860">
        <v>85777</v>
      </c>
      <c r="D28" s="1889">
        <v>85073.244756760076</v>
      </c>
      <c r="E28" s="2843">
        <v>703.75524323992431</v>
      </c>
      <c r="F28" s="1861">
        <v>8.2723451450816173E-3</v>
      </c>
      <c r="G28" s="1860">
        <v>81797</v>
      </c>
      <c r="H28" s="1861">
        <v>4.8657041211780383E-2</v>
      </c>
      <c r="J28" s="1933" t="s">
        <v>1105</v>
      </c>
      <c r="K28" s="1639">
        <v>21761</v>
      </c>
      <c r="L28" s="1626">
        <v>1.4593435285341183E-2</v>
      </c>
      <c r="M28" s="2950">
        <v>21299.155924624065</v>
      </c>
      <c r="N28" s="1901">
        <v>461.84407537593506</v>
      </c>
      <c r="O28" s="1626">
        <v>2.168367972000218E-2</v>
      </c>
      <c r="P28" s="1626">
        <v>-6.9397647974606125E-3</v>
      </c>
      <c r="Q28" s="2951"/>
      <c r="R28" s="2932">
        <v>21277.623</v>
      </c>
      <c r="S28" s="1901">
        <v>483.37700000000041</v>
      </c>
      <c r="T28" s="1626">
        <v>2.2717622170483898E-2</v>
      </c>
      <c r="U28" s="1626">
        <v>-7.9437243565834148E-3</v>
      </c>
      <c r="V28" s="2963"/>
      <c r="W28" s="1563"/>
      <c r="X28" s="1901">
        <v>483.37700000000041</v>
      </c>
      <c r="Y28" s="1630">
        <v>1.0119985970267198E-3</v>
      </c>
    </row>
    <row r="29" spans="2:27">
      <c r="B29" s="1839"/>
      <c r="C29" s="1638"/>
      <c r="D29" s="1639"/>
      <c r="E29" s="2754"/>
      <c r="F29" s="1554"/>
      <c r="G29" s="1638"/>
      <c r="H29" s="1554"/>
      <c r="J29" s="1933" t="s">
        <v>995</v>
      </c>
      <c r="K29" s="1639">
        <v>17917</v>
      </c>
      <c r="L29" s="1626">
        <v>0.19726027397260282</v>
      </c>
      <c r="M29" s="2950">
        <v>17921.938138113906</v>
      </c>
      <c r="N29" s="1901">
        <v>-4.9381381139064615</v>
      </c>
      <c r="O29" s="1626">
        <v>-2.7553594236573442E-4</v>
      </c>
      <c r="P29" s="1626">
        <v>0.19759025313156742</v>
      </c>
      <c r="Q29" s="2951"/>
      <c r="R29" s="2932">
        <v>17222.383000000002</v>
      </c>
      <c r="S29" s="1901">
        <v>694.61699999999837</v>
      </c>
      <c r="T29" s="1626">
        <v>4.0332223479178086E-2</v>
      </c>
      <c r="U29" s="1626">
        <v>0.15084416972936854</v>
      </c>
      <c r="V29" s="2963"/>
      <c r="W29" s="1563"/>
      <c r="X29" s="1901">
        <v>694.61699999999837</v>
      </c>
      <c r="Y29" s="1630">
        <v>4.0618951402596526E-2</v>
      </c>
    </row>
    <row r="30" spans="2:27" ht="12">
      <c r="B30" s="1842" t="s">
        <v>1105</v>
      </c>
      <c r="C30" s="1638">
        <v>21761</v>
      </c>
      <c r="D30" s="1639">
        <v>21299.155924624065</v>
      </c>
      <c r="E30" s="2754">
        <v>461.84407537593506</v>
      </c>
      <c r="F30" s="1554">
        <v>2.1683679720002177E-2</v>
      </c>
      <c r="G30" s="1638">
        <v>21448</v>
      </c>
      <c r="H30" s="1554">
        <v>1.4593435285341183E-2</v>
      </c>
      <c r="J30" s="1932" t="s">
        <v>67</v>
      </c>
      <c r="K30" s="1889">
        <v>39678</v>
      </c>
      <c r="L30" s="1927">
        <v>8.9665778705407373E-2</v>
      </c>
      <c r="M30" s="2954">
        <v>39221.094062737975</v>
      </c>
      <c r="N30" s="1930">
        <v>456.90593726202496</v>
      </c>
      <c r="O30" s="1927">
        <v>1.1649494951139205E-2</v>
      </c>
      <c r="P30" s="1927">
        <v>7.7117899177161275E-2</v>
      </c>
      <c r="Q30" s="2955"/>
      <c r="R30" s="2934">
        <v>38977.413999999997</v>
      </c>
      <c r="S30" s="1930">
        <v>700.58600000000297</v>
      </c>
      <c r="T30" s="1927">
        <v>1.7974152928667886E-2</v>
      </c>
      <c r="U30" s="1927">
        <v>7.0425782000933745E-2</v>
      </c>
      <c r="V30" s="2964"/>
      <c r="W30" s="3012"/>
      <c r="X30" s="1930">
        <v>700.58600000000297</v>
      </c>
      <c r="Y30" s="1931">
        <v>6.2518273464211571E-3</v>
      </c>
    </row>
    <row r="31" spans="2:27">
      <c r="B31" s="1842" t="s">
        <v>995</v>
      </c>
      <c r="C31" s="1638">
        <v>17917</v>
      </c>
      <c r="D31" s="1639">
        <v>17921.938138113906</v>
      </c>
      <c r="E31" s="2754">
        <v>-4.9381381139064615</v>
      </c>
      <c r="F31" s="1554">
        <v>-2.7553594236578185E-4</v>
      </c>
      <c r="G31" s="1638">
        <v>14965</v>
      </c>
      <c r="H31" s="1554">
        <v>0.19726027397260282</v>
      </c>
      <c r="J31" s="1583"/>
      <c r="L31" s="1624"/>
      <c r="M31" s="2935"/>
      <c r="O31" s="1624"/>
      <c r="P31" s="1624"/>
      <c r="Q31" s="2925"/>
      <c r="R31" s="2935"/>
      <c r="U31" s="1624"/>
      <c r="V31" s="1839"/>
      <c r="W31" s="1396"/>
      <c r="Y31" s="1397"/>
    </row>
    <row r="32" spans="2:27" ht="12">
      <c r="B32" s="1888" t="s">
        <v>67</v>
      </c>
      <c r="C32" s="1860">
        <v>39678</v>
      </c>
      <c r="D32" s="1889">
        <v>39221.094062737975</v>
      </c>
      <c r="E32" s="2843">
        <v>456.90593726202496</v>
      </c>
      <c r="F32" s="1861">
        <v>1.1649494951139283E-2</v>
      </c>
      <c r="G32" s="1860">
        <v>36413</v>
      </c>
      <c r="H32" s="1861">
        <v>8.9665778705407373E-2</v>
      </c>
      <c r="J32" s="1933" t="s">
        <v>1173</v>
      </c>
      <c r="K32" s="1634">
        <v>0.35346956013254499</v>
      </c>
      <c r="L32" s="1634">
        <v>-5.513034618033763E-4</v>
      </c>
      <c r="M32" s="2936">
        <v>0.35072675896301164</v>
      </c>
      <c r="N32" s="1634">
        <v>2.7428011695333487E-3</v>
      </c>
      <c r="O32" s="1634"/>
      <c r="P32" s="1634">
        <v>-3.294104631336725E-3</v>
      </c>
      <c r="Q32" s="2926"/>
      <c r="R32" s="2936">
        <v>0.35149705658537139</v>
      </c>
      <c r="S32" s="1634">
        <v>1.9725035471735985E-3</v>
      </c>
      <c r="T32" s="1634"/>
      <c r="U32" s="1634">
        <v>-2.5238070089769749E-3</v>
      </c>
      <c r="V32" s="2965"/>
      <c r="W32" s="1636"/>
      <c r="X32" s="1634">
        <v>1.9725035471735985E-3</v>
      </c>
      <c r="Y32" s="1635"/>
    </row>
    <row r="33" spans="1:25">
      <c r="B33" s="1839"/>
      <c r="C33" s="1396"/>
      <c r="E33" s="1569"/>
      <c r="F33" s="1554"/>
      <c r="G33" s="1396"/>
      <c r="H33" s="1554"/>
      <c r="J33" s="1933" t="s">
        <v>1172</v>
      </c>
      <c r="K33" s="1634">
        <v>0.73997439392062114</v>
      </c>
      <c r="L33" s="1634">
        <v>3.4510763128182576E-2</v>
      </c>
      <c r="M33" s="2936">
        <v>0.73617672937528811</v>
      </c>
      <c r="N33" s="1634">
        <v>3.7976645453330349E-3</v>
      </c>
      <c r="O33" s="1634"/>
      <c r="P33" s="1634">
        <v>3.0713098582849541E-2</v>
      </c>
      <c r="Q33" s="2926"/>
      <c r="R33" s="2936">
        <v>0.71729348554399652</v>
      </c>
      <c r="S33" s="1634">
        <v>2.268090837662462E-2</v>
      </c>
      <c r="T33" s="1634"/>
      <c r="U33" s="1634">
        <v>1.1829854751557956E-2</v>
      </c>
      <c r="V33" s="2965"/>
      <c r="W33" s="1636"/>
      <c r="X33" s="1634">
        <v>2.268090837662462E-2</v>
      </c>
      <c r="Y33" s="1635"/>
    </row>
    <row r="34" spans="1:25" ht="12">
      <c r="B34" s="1842" t="s">
        <v>1173</v>
      </c>
      <c r="C34" s="1636">
        <v>0.35346956013254499</v>
      </c>
      <c r="D34" s="1634">
        <v>0.35072675896301164</v>
      </c>
      <c r="E34" s="1637"/>
      <c r="F34" s="1635">
        <v>2.7428011695333487E-3</v>
      </c>
      <c r="G34" s="1636">
        <v>0.35402086359434837</v>
      </c>
      <c r="H34" s="1635">
        <v>-5.513034618033763E-4</v>
      </c>
      <c r="J34" s="1934" t="s">
        <v>1472</v>
      </c>
      <c r="K34" s="1893">
        <v>0.46257155181458898</v>
      </c>
      <c r="L34" s="1893">
        <v>1.740852627575501E-2</v>
      </c>
      <c r="M34" s="2937">
        <v>0.46102736735713135</v>
      </c>
      <c r="N34" s="1893">
        <v>1.5441844574576313E-3</v>
      </c>
      <c r="O34" s="1893"/>
      <c r="P34" s="1893">
        <v>1.5864341818297378E-2</v>
      </c>
      <c r="Q34" s="2927"/>
      <c r="R34" s="2937">
        <v>0.46163971852558267</v>
      </c>
      <c r="S34" s="1893">
        <v>9.318332890063119E-4</v>
      </c>
      <c r="T34" s="1893"/>
      <c r="U34" s="1893">
        <v>1.6476692986748698E-2</v>
      </c>
      <c r="V34" s="1890" t="s">
        <v>2344</v>
      </c>
      <c r="W34" s="1892"/>
      <c r="X34" s="1893">
        <v>9.318332890063119E-4</v>
      </c>
      <c r="Y34" s="1895"/>
    </row>
    <row r="35" spans="1:25" ht="12">
      <c r="B35" s="1842" t="s">
        <v>1172</v>
      </c>
      <c r="C35" s="1636">
        <v>0.73997439392062114</v>
      </c>
      <c r="D35" s="1634">
        <v>0.73617672937528811</v>
      </c>
      <c r="E35" s="1637"/>
      <c r="F35" s="1635">
        <v>3.7976645453330349E-3</v>
      </c>
      <c r="G35" s="1636">
        <v>0.70546363079243857</v>
      </c>
      <c r="H35" s="1635">
        <v>3.4510763128182576E-2</v>
      </c>
      <c r="J35" s="1934" t="s">
        <v>2251</v>
      </c>
      <c r="K35" s="1893">
        <v>0.29555708406682446</v>
      </c>
      <c r="L35" s="1893">
        <v>1.4397628341064339E-2</v>
      </c>
      <c r="M35" s="2937">
        <v>0.29151461347978391</v>
      </c>
      <c r="N35" s="1893">
        <v>4.0424705870405475E-3</v>
      </c>
      <c r="O35" s="1893"/>
      <c r="P35" s="1893">
        <v>1.0355157754023792E-2</v>
      </c>
      <c r="Q35" s="2927"/>
      <c r="R35" s="2937">
        <v>0.28963340437229534</v>
      </c>
      <c r="S35" s="1893">
        <v>5.9236796945291159E-3</v>
      </c>
      <c r="T35" s="1893"/>
      <c r="U35" s="1893">
        <v>8.4739486465352232E-3</v>
      </c>
      <c r="V35" s="2966"/>
      <c r="W35" s="1892"/>
      <c r="X35" s="1893">
        <v>5.9236796945291159E-3</v>
      </c>
      <c r="Y35" s="1895"/>
    </row>
    <row r="36" spans="1:25" ht="12">
      <c r="B36" s="1891" t="s">
        <v>1428</v>
      </c>
      <c r="C36" s="1892">
        <v>0.46257155181458898</v>
      </c>
      <c r="D36" s="1893">
        <v>0.46102736735713135</v>
      </c>
      <c r="E36" s="1894"/>
      <c r="F36" s="1895">
        <v>1.5441844574576313E-3</v>
      </c>
      <c r="G36" s="1892">
        <v>0.44516302553883397</v>
      </c>
      <c r="H36" s="1895">
        <v>1.740852627575501E-2</v>
      </c>
      <c r="J36" s="1396"/>
      <c r="M36" s="2935"/>
      <c r="Q36" s="2925"/>
      <c r="R36" s="2935"/>
      <c r="V36" s="1839"/>
      <c r="W36" s="1396"/>
      <c r="Y36" s="1397"/>
    </row>
    <row r="37" spans="1:25" ht="12">
      <c r="B37" s="1891" t="s">
        <v>2282</v>
      </c>
      <c r="C37" s="1892">
        <v>0.29555708406682446</v>
      </c>
      <c r="D37" s="1893">
        <v>0.29151461347978391</v>
      </c>
      <c r="E37" s="1894"/>
      <c r="F37" s="1895">
        <v>4.0424705870405475E-3</v>
      </c>
      <c r="G37" s="1892">
        <v>0.28115945572576012</v>
      </c>
      <c r="H37" s="1895">
        <v>1.4397628341064339E-2</v>
      </c>
      <c r="J37" s="3025" t="s">
        <v>2250</v>
      </c>
      <c r="M37" s="2935"/>
      <c r="Q37" s="2925"/>
      <c r="R37" s="2935"/>
      <c r="V37" s="1839"/>
      <c r="W37" s="1396"/>
      <c r="Y37" s="1397"/>
    </row>
    <row r="38" spans="1:25">
      <c r="J38" s="1818" t="s">
        <v>168</v>
      </c>
      <c r="K38" s="1897">
        <v>37678</v>
      </c>
      <c r="L38" s="2541">
        <v>6.4861656727807082E-2</v>
      </c>
      <c r="M38" s="2944">
        <v>36444.49</v>
      </c>
      <c r="N38" s="1897">
        <v>1233.510000000002</v>
      </c>
      <c r="O38" s="2541">
        <v>3.3846268667774071E-2</v>
      </c>
      <c r="P38" s="2541">
        <v>3.0000000000000027E-2</v>
      </c>
      <c r="Q38" s="2956"/>
      <c r="R38" s="2938">
        <v>37465</v>
      </c>
      <c r="S38" s="2836">
        <v>213</v>
      </c>
      <c r="T38" s="2837">
        <v>5.6853062858668313E-3</v>
      </c>
      <c r="U38" s="2541">
        <v>5.8841816691631577E-2</v>
      </c>
      <c r="V38" s="2967"/>
      <c r="W38" s="3013"/>
      <c r="X38" s="2836">
        <v>213</v>
      </c>
      <c r="Y38" s="2838">
        <v>-2.7239023088215686E-2</v>
      </c>
    </row>
    <row r="39" spans="1:25" ht="12">
      <c r="B39" s="2699" t="s">
        <v>2250</v>
      </c>
      <c r="C39" s="2700" t="s">
        <v>654</v>
      </c>
      <c r="D39" s="3207" t="s">
        <v>655</v>
      </c>
      <c r="E39" s="2702" t="s">
        <v>2215</v>
      </c>
      <c r="F39" s="2703" t="s">
        <v>1427</v>
      </c>
      <c r="G39" s="2700" t="s">
        <v>654</v>
      </c>
      <c r="H39" s="2703" t="s">
        <v>2259</v>
      </c>
      <c r="J39" s="1396" t="s">
        <v>663</v>
      </c>
      <c r="K39" s="2504">
        <v>21884</v>
      </c>
      <c r="L39" s="2523">
        <v>8.3098243009156247E-2</v>
      </c>
      <c r="M39" s="2940">
        <v>21215.25</v>
      </c>
      <c r="N39" s="2504">
        <v>668.75</v>
      </c>
      <c r="O39" s="2523">
        <v>3.1522136199196416E-2</v>
      </c>
      <c r="P39" s="2523">
        <v>5.0000000000000044E-2</v>
      </c>
      <c r="Q39" s="2925"/>
      <c r="R39" s="2932">
        <v>20692</v>
      </c>
      <c r="S39" s="1901">
        <v>1192</v>
      </c>
      <c r="T39" s="1626">
        <v>5.7606804562149616E-2</v>
      </c>
      <c r="U39" s="2523">
        <v>2.4102944815639793E-2</v>
      </c>
      <c r="V39" s="2963"/>
      <c r="W39" s="1563"/>
      <c r="X39" s="1901">
        <v>1192</v>
      </c>
      <c r="Y39" s="1630">
        <v>2.5287550744248932E-2</v>
      </c>
    </row>
    <row r="40" spans="1:25">
      <c r="B40" s="1841" t="s">
        <v>168</v>
      </c>
      <c r="C40" s="1638">
        <v>37678</v>
      </c>
      <c r="D40" s="1639">
        <v>36444.49</v>
      </c>
      <c r="E40" s="2754">
        <v>1233.510000000002</v>
      </c>
      <c r="F40" s="1554">
        <v>3.3846268667773981E-2</v>
      </c>
      <c r="G40" s="1638">
        <v>35383</v>
      </c>
      <c r="H40" s="1554">
        <v>6.4861656727807082E-2</v>
      </c>
      <c r="J40" s="1396" t="s">
        <v>171</v>
      </c>
      <c r="K40" s="2504">
        <v>14728</v>
      </c>
      <c r="L40" s="2523">
        <v>-6.5363624825485522E-2</v>
      </c>
      <c r="M40" s="2940">
        <v>16545.900000000001</v>
      </c>
      <c r="N40" s="2504">
        <v>-1817.9000000000015</v>
      </c>
      <c r="O40" s="2523">
        <v>-0.10987011888141485</v>
      </c>
      <c r="P40" s="2523">
        <v>5.0000000000000044E-2</v>
      </c>
      <c r="Q40" s="2925"/>
      <c r="R40" s="2932">
        <v>15663</v>
      </c>
      <c r="S40" s="1901">
        <v>-935</v>
      </c>
      <c r="T40" s="1626">
        <v>-5.9694822192428054E-2</v>
      </c>
      <c r="U40" s="2523">
        <v>-6.0286838431272693E-3</v>
      </c>
      <c r="V40" s="2963"/>
      <c r="W40" s="1563"/>
      <c r="X40" s="1901">
        <v>-935</v>
      </c>
      <c r="Y40" s="1630">
        <v>5.6368511779352648E-2</v>
      </c>
    </row>
    <row r="41" spans="1:25">
      <c r="B41" s="1841" t="s">
        <v>663</v>
      </c>
      <c r="C41" s="1638">
        <v>21884</v>
      </c>
      <c r="D41" s="1639">
        <v>21215.25</v>
      </c>
      <c r="E41" s="2754">
        <v>668.75</v>
      </c>
      <c r="F41" s="1554">
        <v>3.1522136199196332E-2</v>
      </c>
      <c r="G41" s="1638">
        <v>20205</v>
      </c>
      <c r="H41" s="1554">
        <v>8.3098243009156247E-2</v>
      </c>
      <c r="J41" s="1396" t="s">
        <v>169</v>
      </c>
      <c r="K41" s="2504">
        <v>5097</v>
      </c>
      <c r="L41" s="2523">
        <v>5.724953329184812E-2</v>
      </c>
      <c r="M41" s="2940">
        <v>5062.3072526173364</v>
      </c>
      <c r="N41" s="2504">
        <v>34.692747382663583</v>
      </c>
      <c r="O41" s="2523">
        <v>6.8531492956549478E-3</v>
      </c>
      <c r="P41" s="2523">
        <v>5.0053360841596506E-2</v>
      </c>
      <c r="Q41" s="2925"/>
      <c r="R41" s="2932">
        <v>4380</v>
      </c>
      <c r="S41" s="1901">
        <v>717</v>
      </c>
      <c r="T41" s="1626">
        <v>0.16369863013698627</v>
      </c>
      <c r="U41" s="2523">
        <v>-9.147479775980083E-2</v>
      </c>
      <c r="V41" s="2963"/>
      <c r="W41" s="1563"/>
      <c r="X41" s="1901">
        <v>717</v>
      </c>
      <c r="Y41" s="1630">
        <v>0.15577791155646947</v>
      </c>
    </row>
    <row r="42" spans="1:25">
      <c r="B42" s="1841" t="s">
        <v>171</v>
      </c>
      <c r="C42" s="1638">
        <v>14728</v>
      </c>
      <c r="D42" s="1639">
        <v>16545.900000000001</v>
      </c>
      <c r="E42" s="2754">
        <v>-1817.9000000000015</v>
      </c>
      <c r="F42" s="1554">
        <v>-0.1098701188814148</v>
      </c>
      <c r="G42" s="1638">
        <v>15758</v>
      </c>
      <c r="H42" s="1554">
        <v>-6.5363624825485522E-2</v>
      </c>
      <c r="J42" s="1396" t="s">
        <v>172</v>
      </c>
      <c r="K42" s="2504">
        <v>6390</v>
      </c>
      <c r="L42" s="2523">
        <v>0.13499111900532856</v>
      </c>
      <c r="M42" s="2940">
        <v>5805.2975041427417</v>
      </c>
      <c r="N42" s="2504">
        <v>584.70249585725833</v>
      </c>
      <c r="O42" s="2523">
        <v>0.10071878236042275</v>
      </c>
      <c r="P42" s="2523">
        <v>3.1136324004039428E-2</v>
      </c>
      <c r="Q42" s="2925"/>
      <c r="R42" s="2932">
        <v>5669</v>
      </c>
      <c r="S42" s="1901">
        <v>721</v>
      </c>
      <c r="T42" s="1626">
        <v>0.12718292467807379</v>
      </c>
      <c r="U42" s="2523">
        <v>6.9271758436943998E-3</v>
      </c>
      <c r="V42" s="2963"/>
      <c r="W42" s="1563"/>
      <c r="X42" s="1901">
        <v>721</v>
      </c>
      <c r="Y42" s="1630">
        <v>2.4042600836609918E-2</v>
      </c>
    </row>
    <row r="43" spans="1:25" ht="12">
      <c r="B43" s="1841" t="s">
        <v>169</v>
      </c>
      <c r="C43" s="1638">
        <v>5097</v>
      </c>
      <c r="D43" s="1639">
        <v>5062.3072526173364</v>
      </c>
      <c r="E43" s="2754">
        <v>34.692747382663583</v>
      </c>
      <c r="F43" s="1554">
        <v>6.8531492956549773E-3</v>
      </c>
      <c r="G43" s="1638">
        <v>4821</v>
      </c>
      <c r="H43" s="1554">
        <v>5.724953329184812E-2</v>
      </c>
      <c r="J43" s="1926" t="s">
        <v>1246</v>
      </c>
      <c r="K43" s="1889">
        <v>85777</v>
      </c>
      <c r="L43" s="2839">
        <v>4.8657041211780383E-2</v>
      </c>
      <c r="M43" s="2954">
        <v>85073.244756760076</v>
      </c>
      <c r="N43" s="1930">
        <v>703.75524323992431</v>
      </c>
      <c r="O43" s="2839">
        <v>8.2723451450816832E-3</v>
      </c>
      <c r="P43" s="2839">
        <v>4.0053360841596497E-2</v>
      </c>
      <c r="Q43" s="2955"/>
      <c r="R43" s="2934">
        <v>84432.54</v>
      </c>
      <c r="S43" s="1930">
        <v>1344.4600000000064</v>
      </c>
      <c r="T43" s="1927">
        <v>1.5923481633976833E-2</v>
      </c>
      <c r="U43" s="2839">
        <v>3.2220497084245014E-2</v>
      </c>
      <c r="V43" s="2964"/>
      <c r="W43" s="3012"/>
      <c r="X43" s="1930">
        <v>1344.4600000000064</v>
      </c>
      <c r="Y43" s="1931">
        <v>7.5883629316384482E-3</v>
      </c>
    </row>
    <row r="44" spans="1:25" ht="12">
      <c r="B44" s="1841" t="s">
        <v>172</v>
      </c>
      <c r="C44" s="1638">
        <v>6390</v>
      </c>
      <c r="D44" s="1639">
        <v>5805.2975041427417</v>
      </c>
      <c r="E44" s="2754">
        <v>584.70249585725833</v>
      </c>
      <c r="F44" s="1554">
        <v>0.10071878236042277</v>
      </c>
      <c r="G44" s="1638">
        <v>5630</v>
      </c>
      <c r="H44" s="1554">
        <v>0.13499111900532856</v>
      </c>
      <c r="J44" s="2998" t="s">
        <v>2261</v>
      </c>
      <c r="K44" s="2525">
        <v>-2.5000000000000001E-2</v>
      </c>
      <c r="L44" s="2525"/>
      <c r="M44" s="2999">
        <v>-2.5000000000000001E-2</v>
      </c>
      <c r="N44" s="2525">
        <v>0</v>
      </c>
      <c r="O44" s="2525"/>
      <c r="P44" s="2525"/>
      <c r="Q44" s="2969"/>
      <c r="R44" s="2970"/>
      <c r="S44" s="3000"/>
      <c r="T44" s="3122"/>
      <c r="U44" s="3015"/>
      <c r="V44" s="3001" t="s">
        <v>2342</v>
      </c>
      <c r="W44" s="3014"/>
      <c r="X44" s="2971"/>
      <c r="Y44" s="3015"/>
    </row>
    <row r="45" spans="1:25" ht="12">
      <c r="B45" s="1890" t="s">
        <v>1246</v>
      </c>
      <c r="C45" s="1860">
        <v>85777</v>
      </c>
      <c r="D45" s="1889">
        <v>85073.244756760076</v>
      </c>
      <c r="E45" s="2843">
        <v>703.75524323992431</v>
      </c>
      <c r="F45" s="1861">
        <v>8.2723451450816173E-3</v>
      </c>
      <c r="G45" s="1860">
        <v>81797</v>
      </c>
      <c r="H45" s="1861">
        <v>4.8657041211780383E-2</v>
      </c>
    </row>
    <row r="46" spans="1:25">
      <c r="A46" s="1624" t="s">
        <v>1440</v>
      </c>
      <c r="B46" s="2997" t="s">
        <v>2261</v>
      </c>
      <c r="C46" s="2993">
        <v>-2.5000000000000001E-2</v>
      </c>
      <c r="D46" s="2994">
        <v>-2.5000000000000001E-2</v>
      </c>
      <c r="E46" s="2995"/>
      <c r="F46" s="2996">
        <v>0</v>
      </c>
      <c r="G46" s="2993">
        <v>-0.04</v>
      </c>
      <c r="H46" s="2992"/>
      <c r="J46" s="2745" t="s">
        <v>2237</v>
      </c>
      <c r="K46" s="2746"/>
      <c r="L46" s="2746"/>
      <c r="M46" s="3406" t="s">
        <v>720</v>
      </c>
      <c r="N46" s="3400"/>
      <c r="O46" s="3400"/>
      <c r="P46" s="3400"/>
      <c r="Q46" s="3407"/>
      <c r="R46" s="2939" t="s">
        <v>668</v>
      </c>
      <c r="S46" s="2749"/>
      <c r="T46" s="2750"/>
      <c r="U46" s="3172"/>
      <c r="V46" s="2621"/>
      <c r="W46" s="3005"/>
      <c r="X46" s="2749" t="s">
        <v>1430</v>
      </c>
      <c r="Y46" s="2750"/>
    </row>
    <row r="47" spans="1:25">
      <c r="J47" s="3026" t="s">
        <v>1431</v>
      </c>
      <c r="K47" s="2751" t="s">
        <v>654</v>
      </c>
      <c r="L47" s="2751"/>
      <c r="M47" s="2928" t="s">
        <v>720</v>
      </c>
      <c r="N47" s="2751" t="s">
        <v>1426</v>
      </c>
      <c r="O47" s="2751" t="s">
        <v>1427</v>
      </c>
      <c r="P47" s="2751"/>
      <c r="Q47" s="2751"/>
      <c r="R47" s="3035" t="s">
        <v>2265</v>
      </c>
      <c r="S47" s="2751" t="s">
        <v>1426</v>
      </c>
      <c r="T47" s="2750" t="s">
        <v>1427</v>
      </c>
      <c r="U47" s="3173"/>
      <c r="W47" s="3006"/>
      <c r="X47" s="2751" t="s">
        <v>2337</v>
      </c>
      <c r="Y47" s="2750" t="s">
        <v>1427</v>
      </c>
    </row>
    <row r="48" spans="1:25" ht="12">
      <c r="B48" s="2851" t="s">
        <v>2252</v>
      </c>
      <c r="J48" s="3027" t="s">
        <v>2236</v>
      </c>
      <c r="L48" s="2523"/>
      <c r="M48" s="2935"/>
      <c r="O48" s="2523"/>
      <c r="P48" s="2523"/>
      <c r="R48" s="2935"/>
      <c r="T48" s="3020"/>
      <c r="U48" s="2523"/>
      <c r="W48" s="1396"/>
      <c r="Y48" s="3020"/>
    </row>
    <row r="49" spans="2:25" ht="12">
      <c r="B49" s="2846" t="s">
        <v>2211</v>
      </c>
      <c r="C49" s="2847" t="s">
        <v>654</v>
      </c>
      <c r="D49" s="2848" t="s">
        <v>655</v>
      </c>
      <c r="E49" s="2849" t="s">
        <v>2213</v>
      </c>
      <c r="F49" s="2850" t="s">
        <v>1427</v>
      </c>
      <c r="G49" s="2847" t="s">
        <v>654</v>
      </c>
      <c r="H49" s="2850" t="s">
        <v>2259</v>
      </c>
      <c r="J49" s="1396" t="s">
        <v>2221</v>
      </c>
      <c r="K49" s="1641">
        <v>61564</v>
      </c>
      <c r="L49" s="2523"/>
      <c r="M49" s="2957">
        <v>60728.630993537387</v>
      </c>
      <c r="N49" s="1641">
        <v>835.36900646261347</v>
      </c>
      <c r="O49" s="2523">
        <v>1.3755768783121569E-2</v>
      </c>
      <c r="P49" s="2523"/>
      <c r="R49" s="2940">
        <v>61564</v>
      </c>
      <c r="S49" s="1641">
        <v>0</v>
      </c>
      <c r="T49" s="3020">
        <v>0</v>
      </c>
      <c r="U49" s="2523"/>
      <c r="W49" s="1396"/>
      <c r="X49" s="1641">
        <v>0</v>
      </c>
      <c r="Y49" s="3020">
        <v>-1.3569115172221036E-2</v>
      </c>
    </row>
    <row r="50" spans="2:25">
      <c r="B50" s="1818" t="s">
        <v>84</v>
      </c>
      <c r="C50" s="2763">
        <v>45.2</v>
      </c>
      <c r="D50" s="2755">
        <v>45.2</v>
      </c>
      <c r="E50" s="2756">
        <v>0</v>
      </c>
      <c r="F50" s="2757">
        <v>0</v>
      </c>
      <c r="G50" s="2755">
        <v>44.545003999999999</v>
      </c>
      <c r="H50" s="2757">
        <v>1.4704140558613688E-2</v>
      </c>
      <c r="J50" s="1396" t="s">
        <v>2223</v>
      </c>
      <c r="K50" s="1641">
        <v>24213</v>
      </c>
      <c r="L50" s="2523"/>
      <c r="M50" s="2957">
        <v>24344.613763222693</v>
      </c>
      <c r="N50" s="1641">
        <v>-131.6137632226928</v>
      </c>
      <c r="O50" s="2523">
        <v>-5.4062785510904376E-3</v>
      </c>
      <c r="P50" s="2523"/>
      <c r="R50" s="2940">
        <v>24213</v>
      </c>
      <c r="S50" s="1641">
        <v>0</v>
      </c>
      <c r="T50" s="3020">
        <v>0</v>
      </c>
      <c r="U50" s="2523"/>
      <c r="W50" s="1396"/>
      <c r="X50" s="1641">
        <v>0</v>
      </c>
      <c r="Y50" s="3020">
        <v>5.4356652716596177E-3</v>
      </c>
    </row>
    <row r="51" spans="2:25" ht="12">
      <c r="B51" s="1396" t="s">
        <v>85</v>
      </c>
      <c r="C51" s="2764">
        <v>12</v>
      </c>
      <c r="D51" s="2517">
        <v>12</v>
      </c>
      <c r="E51" s="2753">
        <v>0</v>
      </c>
      <c r="F51" s="1554">
        <v>0</v>
      </c>
      <c r="G51" s="2517">
        <v>12.35</v>
      </c>
      <c r="H51" s="1554">
        <v>-2.8340080971659853E-2</v>
      </c>
      <c r="J51" s="1588" t="s">
        <v>1246</v>
      </c>
      <c r="K51" s="2768">
        <v>85777</v>
      </c>
      <c r="L51" s="2525"/>
      <c r="M51" s="2958">
        <v>85073.244756760076</v>
      </c>
      <c r="N51" s="2768">
        <v>703.75524323992431</v>
      </c>
      <c r="O51" s="2525">
        <v>8.2723451450816832E-3</v>
      </c>
      <c r="P51" s="2525"/>
      <c r="Q51" s="2502"/>
      <c r="R51" s="2943">
        <v>85777</v>
      </c>
      <c r="S51" s="2768">
        <v>0</v>
      </c>
      <c r="T51" s="3021">
        <v>0</v>
      </c>
      <c r="U51" s="2523"/>
      <c r="W51" s="2532"/>
      <c r="X51" s="2768">
        <v>0</v>
      </c>
      <c r="Y51" s="3021">
        <v>-8.2044748969994918E-3</v>
      </c>
    </row>
    <row r="52" spans="2:25">
      <c r="B52" s="1396" t="s">
        <v>86</v>
      </c>
      <c r="C52" s="2764">
        <v>5.7</v>
      </c>
      <c r="D52" s="2517">
        <v>5.7</v>
      </c>
      <c r="E52" s="2753">
        <v>0</v>
      </c>
      <c r="F52" s="1554">
        <v>0</v>
      </c>
      <c r="G52" s="2517">
        <v>4.7</v>
      </c>
      <c r="H52" s="1554">
        <v>0.2127659574468086</v>
      </c>
      <c r="J52" s="1396" t="s">
        <v>2224</v>
      </c>
      <c r="K52" s="2504">
        <v>21761</v>
      </c>
      <c r="L52" s="2523"/>
      <c r="M52" s="2940">
        <v>21299.155924624065</v>
      </c>
      <c r="N52" s="2504">
        <v>461.84407537593506</v>
      </c>
      <c r="O52" s="2523">
        <v>2.168367972000218E-2</v>
      </c>
      <c r="P52" s="2523"/>
      <c r="R52" s="2940">
        <v>21761</v>
      </c>
      <c r="S52" s="2504">
        <v>0</v>
      </c>
      <c r="T52" s="3020">
        <v>0</v>
      </c>
      <c r="U52" s="2523"/>
      <c r="W52" s="1396"/>
      <c r="X52" s="2504">
        <v>0</v>
      </c>
      <c r="Y52" s="3020">
        <v>-2.1223476649783302E-2</v>
      </c>
    </row>
    <row r="53" spans="2:25">
      <c r="B53" s="2758" t="s">
        <v>1184</v>
      </c>
      <c r="C53" s="2765">
        <v>6.8249999999999993</v>
      </c>
      <c r="D53" s="2759">
        <v>6.8249999999999993</v>
      </c>
      <c r="E53" s="2760">
        <v>0</v>
      </c>
      <c r="F53" s="1556">
        <v>0</v>
      </c>
      <c r="G53" s="2759">
        <v>9.1</v>
      </c>
      <c r="H53" s="1556">
        <v>-0.25</v>
      </c>
      <c r="J53" s="1396" t="s">
        <v>2225</v>
      </c>
      <c r="K53" s="2504">
        <v>17917</v>
      </c>
      <c r="L53" s="2523"/>
      <c r="M53" s="2940">
        <v>17921.938138113906</v>
      </c>
      <c r="N53" s="2504">
        <v>-4.9381381139064615</v>
      </c>
      <c r="O53" s="2523">
        <v>-2.7553594236573442E-4</v>
      </c>
      <c r="P53" s="2523"/>
      <c r="R53" s="2940">
        <v>17917</v>
      </c>
      <c r="S53" s="2504">
        <v>0</v>
      </c>
      <c r="T53" s="3020">
        <v>0</v>
      </c>
      <c r="U53" s="2523"/>
      <c r="W53" s="1396"/>
      <c r="X53" s="2504">
        <v>0</v>
      </c>
      <c r="Y53" s="3020">
        <v>2.7561188334579434E-4</v>
      </c>
    </row>
    <row r="54" spans="2:25">
      <c r="J54" s="2532" t="s">
        <v>2226</v>
      </c>
      <c r="K54" s="2505">
        <v>39678</v>
      </c>
      <c r="L54" s="2525"/>
      <c r="M54" s="2941">
        <v>39221.094062737975</v>
      </c>
      <c r="N54" s="2505">
        <v>456.90593726202496</v>
      </c>
      <c r="O54" s="2525">
        <v>1.1649494951139205E-2</v>
      </c>
      <c r="P54" s="2525"/>
      <c r="Q54" s="2502"/>
      <c r="R54" s="2941">
        <v>39678</v>
      </c>
      <c r="S54" s="2505">
        <v>0</v>
      </c>
      <c r="T54" s="3021">
        <v>0</v>
      </c>
      <c r="U54" s="2523"/>
      <c r="W54" s="2532"/>
      <c r="X54" s="2505">
        <v>0</v>
      </c>
      <c r="Y54" s="3021">
        <v>-1.1515346974696916E-2</v>
      </c>
    </row>
    <row r="55" spans="2:25" ht="12">
      <c r="B55" s="2846" t="s">
        <v>2216</v>
      </c>
      <c r="C55" s="2847" t="s">
        <v>654</v>
      </c>
      <c r="D55" s="2848" t="s">
        <v>655</v>
      </c>
      <c r="E55" s="2849" t="s">
        <v>2215</v>
      </c>
      <c r="F55" s="2850" t="s">
        <v>1427</v>
      </c>
      <c r="G55" s="2847" t="s">
        <v>654</v>
      </c>
      <c r="H55" s="2850" t="s">
        <v>2259</v>
      </c>
      <c r="J55" s="1396" t="s">
        <v>2229</v>
      </c>
      <c r="K55" s="2504">
        <v>8006</v>
      </c>
      <c r="L55" s="2523"/>
      <c r="M55" s="2940">
        <v>8103</v>
      </c>
      <c r="N55" s="2504">
        <v>-97</v>
      </c>
      <c r="O55" s="2523">
        <v>-1.197087498457361E-2</v>
      </c>
      <c r="P55" s="2523"/>
      <c r="R55" s="2940">
        <v>8006</v>
      </c>
      <c r="S55" s="2504">
        <v>0</v>
      </c>
      <c r="T55" s="3020">
        <v>0</v>
      </c>
      <c r="U55" s="2523"/>
      <c r="W55" s="1396"/>
      <c r="X55" s="2504">
        <v>0</v>
      </c>
      <c r="Y55" s="3020">
        <v>1.21159130652011E-2</v>
      </c>
    </row>
    <row r="56" spans="2:25">
      <c r="B56" s="1818" t="s">
        <v>84</v>
      </c>
      <c r="C56" s="2766">
        <v>869.3805309734513</v>
      </c>
      <c r="D56" s="1897">
        <v>835.35252621740597</v>
      </c>
      <c r="E56" s="2761">
        <v>34.028004756045334</v>
      </c>
      <c r="F56" s="2757">
        <v>4.0734903753902485E-2</v>
      </c>
      <c r="G56" s="1897">
        <v>890.53757858008055</v>
      </c>
      <c r="H56" s="2757">
        <v>-2.3757613508419428E-2</v>
      </c>
      <c r="J56" s="1396" t="s">
        <v>2230</v>
      </c>
      <c r="K56" s="2504">
        <v>6320</v>
      </c>
      <c r="L56" s="2523"/>
      <c r="M56" s="2940">
        <v>6318</v>
      </c>
      <c r="N56" s="2504">
        <v>2</v>
      </c>
      <c r="O56" s="2523">
        <v>3.1655587211143477E-4</v>
      </c>
      <c r="P56" s="2523"/>
      <c r="R56" s="2940">
        <v>6320</v>
      </c>
      <c r="S56" s="2504">
        <v>0</v>
      </c>
      <c r="T56" s="3020">
        <v>0</v>
      </c>
      <c r="U56" s="2523"/>
      <c r="W56" s="1396"/>
      <c r="X56" s="2504">
        <v>0</v>
      </c>
      <c r="Y56" s="3020">
        <v>-3.1645569620253333E-4</v>
      </c>
    </row>
    <row r="57" spans="2:25">
      <c r="B57" s="1396" t="s">
        <v>85</v>
      </c>
      <c r="C57" s="1907">
        <v>596.83333333333337</v>
      </c>
      <c r="D57" s="2504">
        <v>594.16666666666663</v>
      </c>
      <c r="E57" s="2754">
        <v>2.6666666666667425</v>
      </c>
      <c r="F57" s="1554">
        <v>4.4880785413746018E-3</v>
      </c>
      <c r="G57" s="2504">
        <v>468.90688259109311</v>
      </c>
      <c r="H57" s="1554">
        <v>0.27281845392275383</v>
      </c>
      <c r="J57" s="2532" t="s">
        <v>2231</v>
      </c>
      <c r="K57" s="2505">
        <v>25352</v>
      </c>
      <c r="L57" s="2525"/>
      <c r="M57" s="2941">
        <v>24800.094062737968</v>
      </c>
      <c r="N57" s="2505">
        <v>551.90593726203224</v>
      </c>
      <c r="O57" s="2525">
        <v>2.2254187256945501E-2</v>
      </c>
      <c r="P57" s="2525"/>
      <c r="Q57" s="2502"/>
      <c r="R57" s="2941">
        <v>25352</v>
      </c>
      <c r="S57" s="2505">
        <v>0</v>
      </c>
      <c r="T57" s="3021">
        <v>0</v>
      </c>
      <c r="U57" s="2523"/>
      <c r="W57" s="2532"/>
      <c r="X57" s="2505">
        <v>0</v>
      </c>
      <c r="Y57" s="3021">
        <v>-2.1769719835201595E-2</v>
      </c>
    </row>
    <row r="58" spans="2:25">
      <c r="B58" s="1396" t="s">
        <v>86</v>
      </c>
      <c r="C58" s="1907">
        <v>1229.6491228070174</v>
      </c>
      <c r="D58" s="2504">
        <v>1353.4468085106382</v>
      </c>
      <c r="E58" s="2754">
        <v>-123.7976857036208</v>
      </c>
      <c r="F58" s="1554">
        <v>-9.1468452934512015E-2</v>
      </c>
      <c r="G58" s="2504">
        <v>1455.3191489361702</v>
      </c>
      <c r="H58" s="1554">
        <v>-0.15506566122909626</v>
      </c>
      <c r="J58" s="1396" t="s">
        <v>2227</v>
      </c>
      <c r="K58" s="2504">
        <v>142</v>
      </c>
      <c r="L58" s="2523"/>
      <c r="M58" s="2940">
        <v>50</v>
      </c>
      <c r="N58" s="2504">
        <v>92</v>
      </c>
      <c r="O58" s="2523">
        <v>1.8399999999999999</v>
      </c>
      <c r="P58" s="2523"/>
      <c r="R58" s="2940">
        <v>142</v>
      </c>
      <c r="S58" s="2504">
        <v>0</v>
      </c>
      <c r="T58" s="3020">
        <v>0</v>
      </c>
      <c r="U58" s="2523"/>
      <c r="W58" s="1396"/>
      <c r="X58" s="2504">
        <v>0</v>
      </c>
      <c r="Y58" s="3020">
        <v>-0.647887323943662</v>
      </c>
    </row>
    <row r="59" spans="2:25">
      <c r="B59" s="2758" t="s">
        <v>1184</v>
      </c>
      <c r="C59" s="2767">
        <v>550</v>
      </c>
      <c r="D59" s="1899">
        <v>550</v>
      </c>
      <c r="E59" s="2762">
        <v>0</v>
      </c>
      <c r="F59" s="1556">
        <v>0</v>
      </c>
      <c r="G59" s="1899">
        <v>454.94505494505495</v>
      </c>
      <c r="H59" s="1556">
        <v>0.20893719806763289</v>
      </c>
      <c r="J59" s="1818" t="s">
        <v>2232</v>
      </c>
      <c r="K59" s="1897">
        <v>25494</v>
      </c>
      <c r="L59" s="2541"/>
      <c r="M59" s="2944">
        <v>24850.094062737968</v>
      </c>
      <c r="N59" s="1897">
        <v>643.90593726203224</v>
      </c>
      <c r="O59" s="2541">
        <v>2.5911609655737688E-2</v>
      </c>
      <c r="P59" s="2541"/>
      <c r="Q59" s="2621"/>
      <c r="R59" s="2944">
        <v>25494</v>
      </c>
      <c r="S59" s="1897">
        <v>0</v>
      </c>
      <c r="T59" s="3022">
        <v>0</v>
      </c>
      <c r="U59" s="2523"/>
      <c r="W59" s="1818"/>
      <c r="X59" s="1897">
        <v>0</v>
      </c>
      <c r="Y59" s="3022">
        <v>-2.5257156086217591E-2</v>
      </c>
    </row>
    <row r="60" spans="2:25">
      <c r="J60" s="1396" t="s">
        <v>2233</v>
      </c>
      <c r="K60" s="2504">
        <v>4046</v>
      </c>
      <c r="L60" s="2523"/>
      <c r="M60" s="2940">
        <v>3976.0150500380751</v>
      </c>
      <c r="N60" s="2504">
        <v>69.98494996192494</v>
      </c>
      <c r="O60" s="2523">
        <v>1.7601781955341123E-2</v>
      </c>
      <c r="P60" s="2523"/>
      <c r="R60" s="2940">
        <v>4046</v>
      </c>
      <c r="S60" s="2504">
        <v>0</v>
      </c>
      <c r="T60" s="3020">
        <v>0</v>
      </c>
      <c r="U60" s="2523"/>
      <c r="W60" s="1396"/>
      <c r="X60" s="2504">
        <v>0</v>
      </c>
      <c r="Y60" s="3020">
        <v>-1.7297318329689837E-2</v>
      </c>
    </row>
    <row r="61" spans="2:25">
      <c r="B61" s="2532" t="s">
        <v>94</v>
      </c>
      <c r="C61" s="2769">
        <v>3753.7499999999995</v>
      </c>
      <c r="D61" s="2505">
        <v>3753.7499999999995</v>
      </c>
      <c r="E61" s="2770">
        <v>0</v>
      </c>
      <c r="F61" s="1558">
        <v>0</v>
      </c>
      <c r="G61" s="2505">
        <v>4140</v>
      </c>
      <c r="H61" s="1558">
        <v>-9.3297101449275499E-2</v>
      </c>
      <c r="J61" s="1396" t="s">
        <v>1562</v>
      </c>
      <c r="K61" s="2523">
        <v>0.15870400878638111</v>
      </c>
      <c r="L61" s="2523"/>
      <c r="M61" s="2945">
        <v>0.16</v>
      </c>
      <c r="N61" s="2523">
        <v>-1.2959912136188967E-3</v>
      </c>
      <c r="O61" s="2523"/>
      <c r="P61" s="2523"/>
      <c r="R61" s="2945">
        <v>0.15870400878638111</v>
      </c>
      <c r="S61" s="2523">
        <v>0</v>
      </c>
      <c r="T61" s="3020">
        <v>0</v>
      </c>
      <c r="U61" s="2523"/>
      <c r="W61" s="1396"/>
      <c r="X61" s="2523">
        <v>0</v>
      </c>
      <c r="Y61" s="3020">
        <v>8.1660899653979158E-3</v>
      </c>
    </row>
    <row r="62" spans="2:25">
      <c r="B62" s="2968"/>
      <c r="J62" s="2532" t="s">
        <v>2234</v>
      </c>
      <c r="K62" s="2768">
        <v>21448</v>
      </c>
      <c r="L62" s="2525"/>
      <c r="M62" s="2958">
        <v>20874.079012699891</v>
      </c>
      <c r="N62" s="2768">
        <v>573.92098730010912</v>
      </c>
      <c r="O62" s="2525">
        <v>2.7494433979622812E-2</v>
      </c>
      <c r="P62" s="2525"/>
      <c r="Q62" s="2502"/>
      <c r="R62" s="2941">
        <v>21448</v>
      </c>
      <c r="S62" s="2768">
        <v>0</v>
      </c>
      <c r="T62" s="3021">
        <v>0</v>
      </c>
      <c r="U62" s="2523"/>
      <c r="W62" s="2532"/>
      <c r="X62" s="2768">
        <v>0</v>
      </c>
      <c r="Y62" s="3021">
        <v>-2.6758718169531348E-2</v>
      </c>
    </row>
    <row r="63" spans="2:25">
      <c r="B63" s="2835" t="s">
        <v>82</v>
      </c>
      <c r="C63" s="2835">
        <v>0</v>
      </c>
      <c r="D63" s="2835">
        <v>0</v>
      </c>
      <c r="E63" s="2835">
        <v>0</v>
      </c>
      <c r="F63" s="2835"/>
      <c r="G63" s="2835">
        <v>0</v>
      </c>
      <c r="J63" s="2532" t="s">
        <v>2228</v>
      </c>
      <c r="K63" s="2771">
        <v>1.3974299876043894</v>
      </c>
      <c r="L63" s="2525"/>
      <c r="M63" s="2959">
        <v>1.3585316779602168</v>
      </c>
      <c r="N63" s="2771">
        <v>3.8898309644172624E-2</v>
      </c>
      <c r="O63" s="2525">
        <v>2.8632611425430277E-2</v>
      </c>
      <c r="P63" s="2525"/>
      <c r="Q63" s="2502"/>
      <c r="R63" s="2946">
        <v>1.397429941925995</v>
      </c>
      <c r="S63" s="2771">
        <v>4.5678394400283651E-8</v>
      </c>
      <c r="T63" s="3021">
        <v>3.2687430762123881E-8</v>
      </c>
      <c r="U63" s="2523"/>
      <c r="W63" s="2532"/>
      <c r="X63" s="2771">
        <v>4.5678394400283651E-8</v>
      </c>
      <c r="Y63" s="3021">
        <v>-2.7835573575994088E-2</v>
      </c>
    </row>
    <row r="64" spans="2:25">
      <c r="J64" s="1396"/>
      <c r="K64" s="196"/>
      <c r="L64" s="2523"/>
      <c r="M64" s="3038"/>
      <c r="N64" s="196"/>
      <c r="O64" s="2523"/>
      <c r="P64" s="2523"/>
      <c r="R64" s="3039"/>
      <c r="S64" s="196"/>
      <c r="T64" s="3020"/>
      <c r="U64" s="2523"/>
      <c r="W64" s="1396"/>
      <c r="X64" s="196"/>
      <c r="Y64" s="3020"/>
    </row>
    <row r="65" spans="3:25" ht="12">
      <c r="J65" s="3027" t="s">
        <v>1617</v>
      </c>
      <c r="M65" s="2935"/>
      <c r="R65" s="2935"/>
      <c r="T65" s="1397"/>
      <c r="W65" s="1396"/>
      <c r="Y65" s="1397"/>
    </row>
    <row r="66" spans="3:25">
      <c r="J66" s="1396" t="s">
        <v>2217</v>
      </c>
      <c r="K66" s="1641">
        <v>39296</v>
      </c>
      <c r="L66" s="2523"/>
      <c r="M66" s="2957">
        <v>37757.934185026752</v>
      </c>
      <c r="N66" s="1641">
        <v>1538.0658149732481</v>
      </c>
      <c r="O66" s="2523">
        <v>4.0734903753902429E-2</v>
      </c>
      <c r="P66" s="2523"/>
      <c r="R66" s="2940">
        <v>39296</v>
      </c>
      <c r="S66" s="1641">
        <v>0</v>
      </c>
      <c r="T66" s="3020">
        <v>0</v>
      </c>
      <c r="U66" s="2523"/>
      <c r="W66" s="1396"/>
      <c r="X66" s="1641">
        <v>0</v>
      </c>
      <c r="Y66" s="3020">
        <v>-3.9140518499929944E-2</v>
      </c>
    </row>
    <row r="67" spans="3:25">
      <c r="J67" s="1396" t="s">
        <v>2218</v>
      </c>
      <c r="K67" s="1641">
        <v>7162</v>
      </c>
      <c r="L67" s="2523"/>
      <c r="M67" s="2957">
        <v>7130</v>
      </c>
      <c r="N67" s="1641">
        <v>32</v>
      </c>
      <c r="O67" s="2523">
        <v>4.4880785413745627E-3</v>
      </c>
      <c r="P67" s="2523"/>
      <c r="R67" s="2940">
        <v>7162</v>
      </c>
      <c r="S67" s="1641">
        <v>0</v>
      </c>
      <c r="T67" s="3020">
        <v>0</v>
      </c>
      <c r="U67" s="2523"/>
      <c r="W67" s="1396"/>
      <c r="X67" s="1641">
        <v>0</v>
      </c>
      <c r="Y67" s="3020">
        <v>-4.4680256911476812E-3</v>
      </c>
    </row>
    <row r="68" spans="3:25">
      <c r="J68" s="1396" t="s">
        <v>2219</v>
      </c>
      <c r="K68" s="1641">
        <v>7009</v>
      </c>
      <c r="L68" s="2523"/>
      <c r="M68" s="2957">
        <v>7714.646808510638</v>
      </c>
      <c r="N68" s="1641">
        <v>-705.64680851063804</v>
      </c>
      <c r="O68" s="2523">
        <v>-9.146845293451189E-2</v>
      </c>
      <c r="P68" s="2523"/>
      <c r="R68" s="2940">
        <v>7009</v>
      </c>
      <c r="S68" s="1641">
        <v>0</v>
      </c>
      <c r="T68" s="3020">
        <v>0</v>
      </c>
      <c r="U68" s="2523"/>
      <c r="W68" s="1396"/>
      <c r="X68" s="1641">
        <v>0</v>
      </c>
      <c r="Y68" s="3020">
        <v>0.10067724475825912</v>
      </c>
    </row>
    <row r="69" spans="3:25">
      <c r="J69" s="3028" t="s">
        <v>2220</v>
      </c>
      <c r="K69" s="1641">
        <v>8097</v>
      </c>
      <c r="L69" s="2523"/>
      <c r="M69" s="2957">
        <v>8126.0499999999993</v>
      </c>
      <c r="N69" s="1641">
        <v>-29.049999999999272</v>
      </c>
      <c r="O69" s="2523">
        <v>-3.5749226253837252E-3</v>
      </c>
      <c r="P69" s="2523"/>
      <c r="R69" s="2940">
        <v>8097</v>
      </c>
      <c r="S69" s="1641">
        <v>0</v>
      </c>
      <c r="T69" s="3020">
        <v>0</v>
      </c>
      <c r="U69" s="2523"/>
      <c r="W69" s="1396"/>
      <c r="X69" s="1641">
        <v>0</v>
      </c>
      <c r="Y69" s="3020">
        <v>3.5877485488451377E-3</v>
      </c>
    </row>
    <row r="70" spans="3:25">
      <c r="J70" s="2532" t="s">
        <v>2221</v>
      </c>
      <c r="K70" s="2505">
        <v>61564</v>
      </c>
      <c r="L70" s="2525"/>
      <c r="M70" s="2941">
        <v>60728.630993537387</v>
      </c>
      <c r="N70" s="2505">
        <v>835.36900646261347</v>
      </c>
      <c r="O70" s="2525">
        <v>1.3755768783121569E-2</v>
      </c>
      <c r="P70" s="2525"/>
      <c r="Q70" s="2502"/>
      <c r="R70" s="2941">
        <v>61564</v>
      </c>
      <c r="S70" s="2505">
        <v>0</v>
      </c>
      <c r="T70" s="3021">
        <v>0</v>
      </c>
      <c r="U70" s="2523"/>
      <c r="W70" s="2532"/>
      <c r="X70" s="2505">
        <v>0</v>
      </c>
      <c r="Y70" s="3021">
        <v>-1.3569115172221036E-2</v>
      </c>
    </row>
    <row r="71" spans="3:25">
      <c r="J71" s="1396" t="s">
        <v>2222</v>
      </c>
      <c r="K71" s="2504">
        <v>3753.7499999999995</v>
      </c>
      <c r="L71" s="2523"/>
      <c r="M71" s="2940">
        <v>3753.7499999999995</v>
      </c>
      <c r="N71" s="2517"/>
      <c r="O71" s="2523"/>
      <c r="P71" s="2523"/>
      <c r="R71" s="2940">
        <v>4179.686126026907</v>
      </c>
      <c r="S71" s="2504">
        <v>-425.93612602690746</v>
      </c>
      <c r="T71" s="3020">
        <v>-0.1019062468290628</v>
      </c>
      <c r="U71" s="2523"/>
      <c r="W71" s="1396"/>
      <c r="X71" s="2504">
        <v>-425.93612602690746</v>
      </c>
      <c r="Y71" s="3020">
        <v>-0.1019062468290628</v>
      </c>
    </row>
    <row r="72" spans="3:25">
      <c r="E72" s="3107"/>
      <c r="J72" s="1396"/>
      <c r="L72" s="2523"/>
      <c r="M72" s="2935"/>
      <c r="O72" s="2523"/>
      <c r="P72" s="2523"/>
      <c r="R72" s="2935"/>
      <c r="T72" s="3020"/>
      <c r="U72" s="2523"/>
      <c r="W72" s="1396"/>
      <c r="Y72" s="3020"/>
    </row>
    <row r="73" spans="3:25" ht="12">
      <c r="D73" s="3107"/>
      <c r="J73" s="3025" t="s">
        <v>2208</v>
      </c>
      <c r="L73" s="2523"/>
      <c r="M73" s="2935"/>
      <c r="O73" s="2523"/>
      <c r="P73" s="2523"/>
      <c r="R73" s="2935"/>
      <c r="T73" s="3020"/>
      <c r="U73" s="2523"/>
      <c r="W73" s="1396"/>
      <c r="Y73" s="3020"/>
    </row>
    <row r="74" spans="3:25">
      <c r="C74" s="3106"/>
      <c r="J74" s="1396" t="s">
        <v>2207</v>
      </c>
      <c r="K74" s="2517">
        <v>45.2</v>
      </c>
      <c r="L74" s="2523"/>
      <c r="M74" s="2942">
        <v>45.2</v>
      </c>
      <c r="N74" s="2517">
        <v>0</v>
      </c>
      <c r="O74" s="2523">
        <v>0</v>
      </c>
      <c r="P74" s="2523"/>
      <c r="R74" s="2942">
        <v>44.741321465173662</v>
      </c>
      <c r="S74" s="2517">
        <v>0.45867853482634047</v>
      </c>
      <c r="T74" s="3020">
        <v>1.0251787828470249E-2</v>
      </c>
      <c r="U74" s="2523"/>
      <c r="W74" s="1396"/>
      <c r="X74" s="2517">
        <v>0.45867853482634047</v>
      </c>
      <c r="Y74" s="3020">
        <v>1.0251787828470249E-2</v>
      </c>
    </row>
    <row r="75" spans="3:25">
      <c r="J75" s="1396" t="s">
        <v>2209</v>
      </c>
      <c r="K75" s="2517">
        <v>12</v>
      </c>
      <c r="L75" s="2523"/>
      <c r="M75" s="2942">
        <v>12</v>
      </c>
      <c r="N75" s="2517">
        <v>0</v>
      </c>
      <c r="O75" s="2523">
        <v>0</v>
      </c>
      <c r="P75" s="2523"/>
      <c r="R75" s="2942">
        <v>15.309464078125281</v>
      </c>
      <c r="S75" s="2517">
        <v>-3.3094640781252807</v>
      </c>
      <c r="T75" s="3020">
        <v>-0.21617112534030258</v>
      </c>
      <c r="U75" s="2523"/>
      <c r="W75" s="1396"/>
      <c r="X75" s="2517">
        <v>-3.3094640781252807</v>
      </c>
      <c r="Y75" s="3020">
        <v>-0.21617112534030258</v>
      </c>
    </row>
    <row r="76" spans="3:25">
      <c r="J76" s="1396" t="s">
        <v>2210</v>
      </c>
      <c r="K76" s="2517">
        <v>5.7</v>
      </c>
      <c r="L76" s="2523"/>
      <c r="M76" s="2942">
        <v>5.7</v>
      </c>
      <c r="N76" s="2517">
        <v>0</v>
      </c>
      <c r="O76" s="2523">
        <v>0</v>
      </c>
      <c r="P76" s="2523"/>
      <c r="R76" s="2942">
        <v>5.3562387650939884</v>
      </c>
      <c r="S76" s="2517">
        <v>0.34376123490601174</v>
      </c>
      <c r="T76" s="3020">
        <v>6.4179595044617122E-2</v>
      </c>
      <c r="U76" s="2523"/>
      <c r="W76" s="1396"/>
      <c r="X76" s="2517">
        <v>0.34376123490601174</v>
      </c>
      <c r="Y76" s="3020">
        <v>6.4179595044617122E-2</v>
      </c>
    </row>
    <row r="77" spans="3:25">
      <c r="J77" s="3028" t="s">
        <v>2212</v>
      </c>
      <c r="K77" s="2517">
        <v>6.8249999999999993</v>
      </c>
      <c r="L77" s="2523"/>
      <c r="M77" s="2942">
        <v>6.8249999999999993</v>
      </c>
      <c r="N77" s="2517">
        <v>0</v>
      </c>
      <c r="O77" s="2523">
        <v>0</v>
      </c>
      <c r="P77" s="2523"/>
      <c r="R77" s="2942">
        <v>11.648953753423015</v>
      </c>
      <c r="S77" s="2517">
        <v>-4.8239537534230159</v>
      </c>
      <c r="T77" s="3020">
        <v>-0.41411047339813756</v>
      </c>
      <c r="U77" s="2523"/>
      <c r="W77" s="1396"/>
      <c r="X77" s="2517">
        <v>-4.8239537534230159</v>
      </c>
      <c r="Y77" s="3020">
        <v>-0.41411047339813756</v>
      </c>
    </row>
    <row r="78" spans="3:25">
      <c r="J78" s="1396"/>
      <c r="L78" s="2523"/>
      <c r="M78" s="2935"/>
      <c r="O78" s="2523"/>
      <c r="P78" s="2523"/>
      <c r="R78" s="2935"/>
      <c r="T78" s="3020"/>
      <c r="U78" s="2523"/>
      <c r="W78" s="1396"/>
      <c r="Y78" s="3020"/>
    </row>
    <row r="79" spans="3:25" ht="12">
      <c r="J79" s="3025" t="s">
        <v>2216</v>
      </c>
      <c r="L79" s="2523"/>
      <c r="M79" s="2935"/>
      <c r="O79" s="2523"/>
      <c r="P79" s="2523"/>
      <c r="R79" s="2935"/>
      <c r="T79" s="3020"/>
      <c r="U79" s="2523"/>
      <c r="W79" s="1396"/>
      <c r="Y79" s="3020"/>
    </row>
    <row r="80" spans="3:25">
      <c r="J80" s="1396" t="s">
        <v>84</v>
      </c>
      <c r="K80" s="2504">
        <v>869.3805309734513</v>
      </c>
      <c r="L80" s="2523"/>
      <c r="M80" s="2940">
        <v>835.35252621740597</v>
      </c>
      <c r="N80" s="2504">
        <v>34.028004756045334</v>
      </c>
      <c r="O80" s="2523">
        <v>4.0734903753902429E-2</v>
      </c>
      <c r="P80" s="2523"/>
      <c r="R80" s="2940">
        <v>878.29323571919383</v>
      </c>
      <c r="S80" s="2504">
        <v>-8.9127047457425306</v>
      </c>
      <c r="T80" s="3020">
        <v>-1.0147755195272889E-2</v>
      </c>
      <c r="U80" s="2523"/>
      <c r="W80" s="1396"/>
      <c r="X80" s="2504">
        <v>-8.9127047457425306</v>
      </c>
      <c r="Y80" s="3020">
        <v>-4.8891085295249548E-2</v>
      </c>
    </row>
    <row r="81" spans="6:27">
      <c r="J81" s="1396" t="s">
        <v>85</v>
      </c>
      <c r="K81" s="2504">
        <v>596.83333333333337</v>
      </c>
      <c r="L81" s="2523"/>
      <c r="M81" s="2940">
        <v>594.16666666666663</v>
      </c>
      <c r="N81" s="2504">
        <v>2.6666666666667425</v>
      </c>
      <c r="O81" s="2523">
        <v>4.4880785413745627E-3</v>
      </c>
      <c r="P81" s="2523"/>
      <c r="R81" s="2940">
        <v>467.81520002606271</v>
      </c>
      <c r="S81" s="2504">
        <v>129.01813330727066</v>
      </c>
      <c r="T81" s="3020">
        <v>0.27578867317710687</v>
      </c>
      <c r="U81" s="2523"/>
      <c r="W81" s="1396"/>
      <c r="X81" s="2504">
        <v>129.01813330727066</v>
      </c>
      <c r="Y81" s="3020">
        <v>0.27008841660887617</v>
      </c>
    </row>
    <row r="82" spans="6:27">
      <c r="J82" s="1396" t="s">
        <v>86</v>
      </c>
      <c r="K82" s="2504">
        <v>1229.6491228070174</v>
      </c>
      <c r="L82" s="2523"/>
      <c r="M82" s="2940">
        <v>1353.4468085106382</v>
      </c>
      <c r="N82" s="2504">
        <v>-123.7976857036208</v>
      </c>
      <c r="O82" s="2523">
        <v>-9.1468452934512001E-2</v>
      </c>
      <c r="P82" s="2523"/>
      <c r="R82" s="2940">
        <v>1308.5675055557404</v>
      </c>
      <c r="S82" s="2504">
        <v>-78.918382748722934</v>
      </c>
      <c r="T82" s="3020">
        <v>-6.030898858000211E-2</v>
      </c>
      <c r="U82" s="2523"/>
      <c r="W82" s="1396"/>
      <c r="X82" s="2504">
        <v>-78.918382748722934</v>
      </c>
      <c r="Y82" s="3020">
        <v>3.4296513373865301E-2</v>
      </c>
    </row>
    <row r="83" spans="6:27">
      <c r="J83" s="2614" t="s">
        <v>1184</v>
      </c>
      <c r="K83" s="1899">
        <v>550</v>
      </c>
      <c r="L83" s="2615"/>
      <c r="M83" s="3037">
        <v>550</v>
      </c>
      <c r="N83" s="1899">
        <v>0</v>
      </c>
      <c r="O83" s="2615">
        <v>0</v>
      </c>
      <c r="P83" s="2615"/>
      <c r="Q83" s="195"/>
      <c r="R83" s="3037">
        <v>358.80356420839229</v>
      </c>
      <c r="S83" s="1899">
        <v>191.19643579160771</v>
      </c>
      <c r="T83" s="2616">
        <v>0.53287217537382459</v>
      </c>
      <c r="U83" s="2615"/>
      <c r="V83" s="195"/>
      <c r="W83" s="2614"/>
      <c r="X83" s="1899">
        <v>191.19643579160771</v>
      </c>
      <c r="Y83" s="2616">
        <v>0.53287217537382459</v>
      </c>
    </row>
    <row r="85" spans="6:27" ht="12">
      <c r="N85" s="2520"/>
      <c r="R85" s="2790" t="s">
        <v>544</v>
      </c>
      <c r="S85" s="2788" t="s">
        <v>545</v>
      </c>
    </row>
    <row r="86" spans="6:27" ht="12">
      <c r="R86" s="2790" t="s">
        <v>2204</v>
      </c>
      <c r="S86" s="2788" t="s">
        <v>668</v>
      </c>
      <c r="V86" s="2520">
        <v>0.20951519271983998</v>
      </c>
    </row>
    <row r="87" spans="6:27" ht="12">
      <c r="R87" s="2790" t="s">
        <v>2205</v>
      </c>
      <c r="S87" s="2789">
        <v>45506</v>
      </c>
    </row>
    <row r="88" spans="6:27" ht="12">
      <c r="N88" s="2921" t="s">
        <v>1134</v>
      </c>
      <c r="R88" s="2790" t="s">
        <v>2206</v>
      </c>
      <c r="S88" s="2791" t="s">
        <v>2247</v>
      </c>
    </row>
    <row r="89" spans="6:27">
      <c r="J89" s="2745" t="s">
        <v>2237</v>
      </c>
      <c r="K89" s="2746"/>
      <c r="L89" s="2746"/>
      <c r="M89" s="3400" t="s">
        <v>720</v>
      </c>
      <c r="N89" s="3400"/>
      <c r="O89" s="3400"/>
      <c r="P89" s="2746"/>
      <c r="Q89" s="2746"/>
      <c r="R89" s="3400" t="s">
        <v>668</v>
      </c>
      <c r="S89" s="3400"/>
      <c r="T89" s="3401"/>
      <c r="U89" s="2750"/>
      <c r="V89" s="2960" t="s">
        <v>2258</v>
      </c>
      <c r="W89" s="3005"/>
      <c r="X89" s="3400" t="s">
        <v>1430</v>
      </c>
      <c r="Y89" s="3401"/>
    </row>
    <row r="90" spans="6:27">
      <c r="J90" s="3026" t="s">
        <v>1431</v>
      </c>
      <c r="K90" s="2751"/>
      <c r="L90" s="2751"/>
      <c r="M90" s="2751" t="s">
        <v>720</v>
      </c>
      <c r="N90" s="2751" t="s">
        <v>1426</v>
      </c>
      <c r="O90" s="2749" t="s">
        <v>1427</v>
      </c>
      <c r="P90" s="2751"/>
      <c r="Q90" s="2751"/>
      <c r="R90" s="2751" t="s">
        <v>1432</v>
      </c>
      <c r="S90" s="2751" t="s">
        <v>1426</v>
      </c>
      <c r="T90" s="2750" t="s">
        <v>1427</v>
      </c>
      <c r="U90" s="3120"/>
      <c r="V90" s="2961"/>
      <c r="W90" s="3006"/>
      <c r="X90" s="2751" t="s">
        <v>2337</v>
      </c>
      <c r="Y90" s="2750" t="s">
        <v>1427</v>
      </c>
    </row>
    <row r="91" spans="6:27" ht="12">
      <c r="F91" s="2520"/>
      <c r="J91" s="3027" t="s">
        <v>2236</v>
      </c>
      <c r="L91" s="2523"/>
      <c r="O91" s="2523"/>
      <c r="P91" s="2523"/>
      <c r="T91" s="3020"/>
      <c r="U91" s="2523"/>
      <c r="W91" s="1396"/>
      <c r="Y91" s="3020"/>
    </row>
    <row r="92" spans="6:27">
      <c r="I92" s="1546" t="s">
        <v>667</v>
      </c>
      <c r="J92" s="1396" t="s">
        <v>2221</v>
      </c>
      <c r="K92" s="1641"/>
      <c r="L92" s="2523"/>
      <c r="M92" s="1641">
        <v>68952.25</v>
      </c>
      <c r="N92" s="1624"/>
      <c r="O92" s="2523"/>
      <c r="P92" s="2523"/>
      <c r="R92" s="2504">
        <v>69451.422456584201</v>
      </c>
      <c r="S92" s="1641"/>
      <c r="T92" s="3020"/>
      <c r="U92" s="2523"/>
      <c r="V92" s="1641"/>
      <c r="W92" s="1396"/>
      <c r="X92" s="1641">
        <v>-69451.422456584201</v>
      </c>
      <c r="Y92" s="3020">
        <v>-7.1873611645066893E-3</v>
      </c>
    </row>
    <row r="93" spans="6:27">
      <c r="I93" s="1546" t="s">
        <v>81</v>
      </c>
      <c r="J93" s="2614" t="s">
        <v>2223</v>
      </c>
      <c r="K93" s="1641"/>
      <c r="L93" s="2523"/>
      <c r="M93" s="1641">
        <v>25583.941313805983</v>
      </c>
      <c r="N93" s="1641"/>
      <c r="O93" s="2523"/>
      <c r="P93" s="2523"/>
      <c r="R93" s="2504">
        <v>25116.792492020199</v>
      </c>
      <c r="S93" s="1641"/>
      <c r="T93" s="3020"/>
      <c r="U93" s="2523"/>
      <c r="V93" s="1641"/>
      <c r="W93" s="1396"/>
      <c r="X93" s="1641">
        <v>-25116.792492020199</v>
      </c>
      <c r="Y93" s="3020">
        <v>1.8599063631799417E-2</v>
      </c>
    </row>
    <row r="94" spans="6:27" s="163" customFormat="1" ht="12">
      <c r="F94" s="3218"/>
      <c r="G94" s="3144"/>
      <c r="I94" s="163" t="s">
        <v>63</v>
      </c>
      <c r="J94" s="1588" t="s">
        <v>1246</v>
      </c>
      <c r="K94" s="3145"/>
      <c r="L94" s="2543"/>
      <c r="M94" s="3145">
        <v>94536.19131380599</v>
      </c>
      <c r="N94" s="3145"/>
      <c r="O94" s="2543"/>
      <c r="P94" s="2543"/>
      <c r="Q94" s="1545"/>
      <c r="R94" s="1544">
        <v>94467.702978003668</v>
      </c>
      <c r="S94" s="3145"/>
      <c r="T94" s="3029"/>
      <c r="U94" s="2543"/>
      <c r="V94" s="3145" t="s">
        <v>2267</v>
      </c>
      <c r="W94" s="1588"/>
      <c r="X94" s="3145">
        <v>-94467.702978003668</v>
      </c>
      <c r="Y94" s="3029">
        <v>7.2499207288090339E-4</v>
      </c>
      <c r="AA94" s="3218">
        <v>5.5528648439112205E-2</v>
      </c>
    </row>
    <row r="95" spans="6:27">
      <c r="I95" s="160" t="s">
        <v>1105</v>
      </c>
      <c r="J95" s="1396" t="s">
        <v>2224</v>
      </c>
      <c r="K95" s="2504"/>
      <c r="L95" s="2523"/>
      <c r="M95" s="2504">
        <v>24889.663352649281</v>
      </c>
      <c r="N95" s="2504"/>
      <c r="O95" s="2523"/>
      <c r="P95" s="2523"/>
      <c r="R95" s="2504">
        <v>23294.986370460156</v>
      </c>
      <c r="S95" s="2504"/>
      <c r="T95" s="3020"/>
      <c r="U95" s="2523"/>
      <c r="V95" s="2504"/>
      <c r="W95" s="1396"/>
      <c r="X95" s="2504">
        <v>-23294.986370460156</v>
      </c>
      <c r="Y95" s="3020">
        <v>6.8455802327117787E-2</v>
      </c>
    </row>
    <row r="96" spans="6:27">
      <c r="I96" s="160" t="s">
        <v>995</v>
      </c>
      <c r="J96" s="1396" t="s">
        <v>2225</v>
      </c>
      <c r="K96" s="2504"/>
      <c r="L96" s="2523"/>
      <c r="M96" s="2504">
        <v>18803.541761215292</v>
      </c>
      <c r="N96" s="2504"/>
      <c r="O96" s="2523"/>
      <c r="P96" s="2523"/>
      <c r="R96" s="2504">
        <v>19732.52075310942</v>
      </c>
      <c r="S96" s="2504"/>
      <c r="T96" s="3020"/>
      <c r="U96" s="2523"/>
      <c r="V96" s="2504"/>
      <c r="W96" s="1396"/>
      <c r="X96" s="2504">
        <v>-19732.52075310942</v>
      </c>
      <c r="Y96" s="3020">
        <v>-4.7078576706817366E-2</v>
      </c>
    </row>
    <row r="97" spans="6:25" s="163" customFormat="1" ht="12">
      <c r="I97" s="163" t="s">
        <v>67</v>
      </c>
      <c r="J97" s="1588" t="s">
        <v>2226</v>
      </c>
      <c r="K97" s="1544"/>
      <c r="L97" s="2543"/>
      <c r="M97" s="1544">
        <v>43693.205113864577</v>
      </c>
      <c r="N97" s="1544"/>
      <c r="O97" s="2543"/>
      <c r="P97" s="2543"/>
      <c r="Q97" s="1545"/>
      <c r="R97" s="1544">
        <v>43495.270168731302</v>
      </c>
      <c r="S97" s="1544"/>
      <c r="T97" s="3029"/>
      <c r="U97" s="2543"/>
      <c r="V97" s="1544"/>
      <c r="W97" s="1588"/>
      <c r="X97" s="1544">
        <v>-43495.270168731302</v>
      </c>
      <c r="Y97" s="3029">
        <v>4.5507234318908907E-3</v>
      </c>
    </row>
    <row r="98" spans="6:25" s="163" customFormat="1" ht="12">
      <c r="J98" s="1934" t="s">
        <v>2266</v>
      </c>
      <c r="K98" s="3146"/>
      <c r="L98" s="3148"/>
      <c r="M98" s="3147">
        <v>0.46218495273231569</v>
      </c>
      <c r="N98" s="3146"/>
      <c r="O98" s="3148"/>
      <c r="P98" s="3148"/>
      <c r="Q98" s="2589"/>
      <c r="R98" s="3147">
        <v>0.46042476738170462</v>
      </c>
      <c r="S98" s="3146"/>
      <c r="T98" s="3149"/>
      <c r="U98" s="3148"/>
      <c r="V98" s="3146" t="s">
        <v>2267</v>
      </c>
      <c r="W98" s="1934"/>
      <c r="X98" s="3146"/>
      <c r="Y98" s="3149"/>
    </row>
    <row r="99" spans="6:25">
      <c r="I99" s="160" t="s">
        <v>68</v>
      </c>
      <c r="J99" s="1396" t="s">
        <v>2229</v>
      </c>
      <c r="K99" s="2504"/>
      <c r="L99" s="2523"/>
      <c r="M99" s="2504">
        <v>8006</v>
      </c>
      <c r="N99" s="2504"/>
      <c r="O99" s="2523"/>
      <c r="P99" s="2523"/>
      <c r="R99" s="2504">
        <v>7908.1497858425937</v>
      </c>
      <c r="S99" s="2504"/>
      <c r="T99" s="3020"/>
      <c r="U99" s="2523"/>
      <c r="V99" s="2504"/>
      <c r="W99" s="1396"/>
      <c r="X99" s="2504">
        <v>-7908.1497858425937</v>
      </c>
      <c r="Y99" s="3020">
        <v>1.237333849348432E-2</v>
      </c>
    </row>
    <row r="100" spans="6:25">
      <c r="I100" s="160" t="s">
        <v>76</v>
      </c>
      <c r="J100" s="1396" t="s">
        <v>2230</v>
      </c>
      <c r="K100" s="2504"/>
      <c r="L100" s="2523"/>
      <c r="M100" s="2504">
        <v>6320</v>
      </c>
      <c r="N100" s="2504"/>
      <c r="O100" s="2523"/>
      <c r="P100" s="2523"/>
      <c r="R100" s="2504">
        <v>6488.7081026018514</v>
      </c>
      <c r="S100" s="2504"/>
      <c r="T100" s="3020"/>
      <c r="U100" s="2523"/>
      <c r="V100" s="2504"/>
      <c r="W100" s="1396"/>
      <c r="X100" s="2504">
        <v>-6488.7081026018514</v>
      </c>
      <c r="Y100" s="3020">
        <v>-2.6000260750549509E-2</v>
      </c>
    </row>
    <row r="101" spans="6:25" ht="12">
      <c r="J101" s="1588" t="s">
        <v>1600</v>
      </c>
      <c r="K101" s="1544"/>
      <c r="L101" s="2543"/>
      <c r="M101" s="1544">
        <v>14326</v>
      </c>
      <c r="N101" s="1544"/>
      <c r="O101" s="2543"/>
      <c r="P101" s="2543"/>
      <c r="Q101" s="1545"/>
      <c r="R101" s="1544">
        <v>14396.857888444445</v>
      </c>
      <c r="S101" s="1544"/>
      <c r="T101" s="3029"/>
      <c r="U101" s="2543"/>
      <c r="V101" s="1544" t="s">
        <v>2267</v>
      </c>
      <c r="W101" s="1588"/>
      <c r="X101" s="1544">
        <v>-14396.857888444445</v>
      </c>
      <c r="Y101" s="3029">
        <v>-4.9217606364870825E-3</v>
      </c>
    </row>
    <row r="102" spans="6:25" ht="12">
      <c r="I102" s="160" t="s">
        <v>70</v>
      </c>
      <c r="J102" s="1588" t="s">
        <v>2231</v>
      </c>
      <c r="K102" s="1544"/>
      <c r="L102" s="2543"/>
      <c r="M102" s="1544">
        <v>29367.205113864577</v>
      </c>
      <c r="N102" s="1544"/>
      <c r="O102" s="2543"/>
      <c r="P102" s="2543"/>
      <c r="Q102" s="1545"/>
      <c r="R102" s="1544">
        <v>29098.412280286851</v>
      </c>
      <c r="S102" s="1544"/>
      <c r="T102" s="3029"/>
      <c r="U102" s="2543"/>
      <c r="V102" s="1544"/>
      <c r="W102" s="1588"/>
      <c r="X102" s="2505">
        <v>-29098.412280286851</v>
      </c>
      <c r="Y102" s="3021">
        <v>9.2373711317514928E-3</v>
      </c>
    </row>
    <row r="103" spans="6:25">
      <c r="I103" s="160" t="s">
        <v>689</v>
      </c>
      <c r="J103" s="1396" t="s">
        <v>2227</v>
      </c>
      <c r="K103" s="2504"/>
      <c r="L103" s="2523"/>
      <c r="M103" s="2504">
        <v>-52.492500000000064</v>
      </c>
      <c r="N103" s="2504"/>
      <c r="O103" s="2523"/>
      <c r="P103" s="2523"/>
      <c r="R103" s="2504">
        <v>-18.9679</v>
      </c>
      <c r="S103" s="2504"/>
      <c r="T103" s="3020"/>
      <c r="U103" s="2523"/>
      <c r="V103" s="2504"/>
      <c r="W103" s="1396"/>
      <c r="X103" s="2504">
        <v>18.9679</v>
      </c>
      <c r="Y103" s="3020">
        <v>1.7674386727049418</v>
      </c>
    </row>
    <row r="104" spans="6:25">
      <c r="I104" s="160" t="s">
        <v>71</v>
      </c>
      <c r="J104" s="1818" t="s">
        <v>2232</v>
      </c>
      <c r="K104" s="1897"/>
      <c r="L104" s="2541"/>
      <c r="M104" s="1897">
        <v>29314.712613864576</v>
      </c>
      <c r="N104" s="1897"/>
      <c r="O104" s="2541"/>
      <c r="P104" s="2541"/>
      <c r="Q104" s="2621"/>
      <c r="R104" s="1897">
        <v>29079.444380286852</v>
      </c>
      <c r="S104" s="1897"/>
      <c r="T104" s="3022"/>
      <c r="U104" s="2541"/>
      <c r="V104" s="1897"/>
      <c r="W104" s="1818"/>
      <c r="X104" s="1897">
        <v>-29079.444380286852</v>
      </c>
      <c r="Y104" s="3022">
        <v>8.0905340040546836E-3</v>
      </c>
    </row>
    <row r="105" spans="6:25">
      <c r="I105" s="160" t="s">
        <v>72</v>
      </c>
      <c r="J105" s="1396" t="s">
        <v>2233</v>
      </c>
      <c r="K105" s="2504"/>
      <c r="L105" s="2523"/>
      <c r="M105" s="2504">
        <v>4836.9275812876549</v>
      </c>
      <c r="N105" s="2504"/>
      <c r="O105" s="2523"/>
      <c r="P105" s="2523"/>
      <c r="R105" s="2504">
        <v>4765.1216638764963</v>
      </c>
      <c r="S105" s="2504"/>
      <c r="T105" s="3020"/>
      <c r="U105" s="2523"/>
      <c r="V105" s="2504"/>
      <c r="W105" s="1396"/>
      <c r="X105" s="2504">
        <v>-4765.1216638764963</v>
      </c>
      <c r="Y105" s="3020">
        <v>1.5069062759825336E-2</v>
      </c>
    </row>
    <row r="106" spans="6:25">
      <c r="J106" s="1396" t="s">
        <v>1562</v>
      </c>
      <c r="K106" s="2523"/>
      <c r="L106" s="2523"/>
      <c r="M106" s="2523">
        <v>0.16499999999999998</v>
      </c>
      <c r="N106" s="2523"/>
      <c r="O106" s="2523"/>
      <c r="P106" s="2523"/>
      <c r="R106" s="2523">
        <v>0.16386563654932843</v>
      </c>
      <c r="S106" s="2523"/>
      <c r="T106" s="3020"/>
      <c r="U106" s="2523"/>
      <c r="V106" s="3040" t="s">
        <v>2267</v>
      </c>
      <c r="W106" s="1396"/>
      <c r="X106" s="2523">
        <v>-0.16386563654932843</v>
      </c>
      <c r="Y106" s="3020">
        <v>6.9225218572905867E-3</v>
      </c>
    </row>
    <row r="107" spans="6:25">
      <c r="I107" s="160" t="s">
        <v>80</v>
      </c>
      <c r="J107" s="2532" t="s">
        <v>2234</v>
      </c>
      <c r="K107" s="2768"/>
      <c r="L107" s="2525"/>
      <c r="M107" s="2768">
        <v>24477.785032576921</v>
      </c>
      <c r="N107" s="2768"/>
      <c r="O107" s="2525"/>
      <c r="P107" s="2525"/>
      <c r="Q107" s="2502"/>
      <c r="R107" s="2505">
        <v>24314.322716410348</v>
      </c>
      <c r="S107" s="2768"/>
      <c r="T107" s="3021"/>
      <c r="U107" s="2525"/>
      <c r="V107" s="2768"/>
      <c r="W107" s="2532"/>
      <c r="X107" s="2768">
        <v>-24314.322716410348</v>
      </c>
      <c r="Y107" s="3021">
        <v>6.7228817381883577E-3</v>
      </c>
    </row>
    <row r="108" spans="6:25" ht="12">
      <c r="F108" s="2520"/>
      <c r="I108" s="160" t="s">
        <v>1153</v>
      </c>
      <c r="J108" s="1588" t="s">
        <v>2228</v>
      </c>
      <c r="K108" s="2923"/>
      <c r="L108" s="2543"/>
      <c r="M108" s="2923">
        <v>1.6039047210191366</v>
      </c>
      <c r="N108" s="2923"/>
      <c r="O108" s="2543"/>
      <c r="P108" s="2543"/>
      <c r="Q108" s="1545"/>
      <c r="R108" s="2924">
        <v>1.599240717959562</v>
      </c>
      <c r="S108" s="2923"/>
      <c r="T108" s="3029"/>
      <c r="U108" s="2543"/>
      <c r="V108" s="2923"/>
      <c r="W108" s="1588"/>
      <c r="X108" s="2771">
        <v>-1.599240717959562</v>
      </c>
      <c r="Y108" s="3021">
        <v>2.9163858868759274E-3</v>
      </c>
    </row>
    <row r="109" spans="6:25" ht="12">
      <c r="J109" s="3027"/>
      <c r="T109" s="1397"/>
      <c r="W109" s="1396"/>
      <c r="Y109" s="1397"/>
    </row>
    <row r="110" spans="6:25" ht="12">
      <c r="J110" s="3027" t="s">
        <v>1617</v>
      </c>
      <c r="T110" s="1397"/>
      <c r="W110" s="1396"/>
      <c r="Y110" s="1397"/>
    </row>
    <row r="111" spans="6:25">
      <c r="I111" s="2504" t="s">
        <v>84</v>
      </c>
      <c r="J111" s="1396" t="s">
        <v>2217</v>
      </c>
      <c r="K111" s="1641"/>
      <c r="L111" s="2523"/>
      <c r="M111" s="1641">
        <v>44402.5</v>
      </c>
      <c r="N111" s="1641"/>
      <c r="O111" s="2523"/>
      <c r="P111" s="2523"/>
      <c r="R111" s="2504">
        <v>45486.79368888888</v>
      </c>
      <c r="S111" s="1641"/>
      <c r="T111" s="3020"/>
      <c r="U111" s="2523"/>
      <c r="V111" s="2504"/>
      <c r="W111" s="1396"/>
      <c r="X111" s="1641">
        <v>-45486.79368888888</v>
      </c>
      <c r="Y111" s="3020">
        <v>-2.3837549340254838E-2</v>
      </c>
    </row>
    <row r="112" spans="6:25">
      <c r="I112" s="2504" t="s">
        <v>85</v>
      </c>
      <c r="J112" s="1396" t="s">
        <v>2218</v>
      </c>
      <c r="K112" s="1641"/>
      <c r="L112" s="2523"/>
      <c r="M112" s="1641">
        <v>6815</v>
      </c>
      <c r="N112" s="1641"/>
      <c r="O112" s="2523"/>
      <c r="P112" s="2523"/>
      <c r="R112" s="2504">
        <v>6938.1805588093957</v>
      </c>
      <c r="S112" s="1641"/>
      <c r="T112" s="3020"/>
      <c r="U112" s="2523"/>
      <c r="V112" s="2504"/>
      <c r="W112" s="1396"/>
      <c r="X112" s="1641">
        <v>-6938.1805588093957</v>
      </c>
      <c r="Y112" s="3020">
        <v>-1.7754014581386701E-2</v>
      </c>
    </row>
    <row r="113" spans="9:25">
      <c r="I113" s="2504" t="s">
        <v>86</v>
      </c>
      <c r="J113" s="1396" t="s">
        <v>2219</v>
      </c>
      <c r="K113" s="1641"/>
      <c r="L113" s="2523"/>
      <c r="M113" s="1641">
        <v>7233.3</v>
      </c>
      <c r="N113" s="1641"/>
      <c r="O113" s="2523"/>
      <c r="P113" s="2523"/>
      <c r="R113" s="2504">
        <v>7662.1210000000001</v>
      </c>
      <c r="S113" s="1641"/>
      <c r="T113" s="3020"/>
      <c r="U113" s="2523"/>
      <c r="V113" s="2504"/>
      <c r="W113" s="1396"/>
      <c r="X113" s="1641">
        <v>-7662.1210000000001</v>
      </c>
      <c r="Y113" s="3020">
        <v>-5.5966357096161712E-2</v>
      </c>
    </row>
    <row r="114" spans="9:25">
      <c r="I114" s="2504" t="s">
        <v>1120</v>
      </c>
      <c r="J114" s="3028" t="s">
        <v>2220</v>
      </c>
      <c r="K114" s="1641"/>
      <c r="L114" s="2523"/>
      <c r="M114" s="1641">
        <v>10501.45</v>
      </c>
      <c r="N114" s="1641"/>
      <c r="O114" s="2523"/>
      <c r="P114" s="2523"/>
      <c r="R114" s="2504">
        <v>9364.3272088859212</v>
      </c>
      <c r="S114" s="1641"/>
      <c r="T114" s="3020"/>
      <c r="U114" s="2523"/>
      <c r="V114" s="2504"/>
      <c r="W114" s="1396"/>
      <c r="X114" s="1641">
        <v>-9364.3272088859212</v>
      </c>
      <c r="Y114" s="3020">
        <v>0.12143133892577462</v>
      </c>
    </row>
    <row r="115" spans="9:25">
      <c r="I115" s="2504" t="s">
        <v>667</v>
      </c>
      <c r="J115" s="2532" t="s">
        <v>2221</v>
      </c>
      <c r="K115" s="2505"/>
      <c r="L115" s="2525"/>
      <c r="M115" s="2505">
        <v>68952.25</v>
      </c>
      <c r="N115" s="2505"/>
      <c r="O115" s="2525"/>
      <c r="P115" s="2525"/>
      <c r="Q115" s="2502"/>
      <c r="R115" s="2505">
        <v>69451.422456584201</v>
      </c>
      <c r="S115" s="2505"/>
      <c r="T115" s="3021"/>
      <c r="U115" s="2525"/>
      <c r="V115" s="2505"/>
      <c r="W115" s="2532"/>
      <c r="X115" s="2505">
        <v>-69451.422456584201</v>
      </c>
      <c r="Y115" s="3021">
        <v>-7.1873611645066893E-3</v>
      </c>
    </row>
    <row r="116" spans="9:25">
      <c r="I116" s="160" t="s">
        <v>94</v>
      </c>
      <c r="J116" s="1396" t="s">
        <v>2222</v>
      </c>
      <c r="K116" s="2504"/>
      <c r="L116" s="2523"/>
      <c r="M116" s="2504">
        <v>5832.75</v>
      </c>
      <c r="N116" s="2517"/>
      <c r="O116" s="2523"/>
      <c r="P116" s="2523"/>
      <c r="R116" s="2504">
        <v>4790.6330878837771</v>
      </c>
      <c r="S116" s="2504"/>
      <c r="T116" s="3020"/>
      <c r="U116" s="2523"/>
      <c r="V116" s="2504"/>
      <c r="W116" s="1396"/>
      <c r="X116" s="2504">
        <v>-4790.6330878837771</v>
      </c>
      <c r="Y116" s="3020">
        <v>0.21753219104837962</v>
      </c>
    </row>
    <row r="117" spans="9:25">
      <c r="J117" s="1396"/>
      <c r="L117" s="2523"/>
      <c r="O117" s="2523"/>
      <c r="P117" s="2523"/>
      <c r="T117" s="3020"/>
      <c r="U117" s="2523"/>
      <c r="W117" s="1396"/>
      <c r="Y117" s="3020"/>
    </row>
    <row r="118" spans="9:25" ht="12">
      <c r="J118" s="3025" t="s">
        <v>2208</v>
      </c>
      <c r="L118" s="2523"/>
      <c r="O118" s="2523"/>
      <c r="P118" s="2523"/>
      <c r="T118" s="3020"/>
      <c r="U118" s="2523"/>
      <c r="W118" s="1396"/>
      <c r="Y118" s="3020"/>
    </row>
    <row r="119" spans="9:25">
      <c r="I119" s="160" t="s">
        <v>84</v>
      </c>
      <c r="J119" s="1396" t="s">
        <v>2207</v>
      </c>
      <c r="K119" s="2517"/>
      <c r="L119" s="2523"/>
      <c r="M119" s="2517">
        <v>53.701412596823943</v>
      </c>
      <c r="N119" s="2517"/>
      <c r="O119" s="2523"/>
      <c r="P119" s="2523"/>
      <c r="R119" s="2517">
        <v>51.165930817610061</v>
      </c>
      <c r="S119" s="2517"/>
      <c r="T119" s="3020"/>
      <c r="U119" s="2523"/>
      <c r="V119" s="2517"/>
      <c r="W119" s="1396"/>
      <c r="X119" s="2517">
        <v>-51.165930817610061</v>
      </c>
      <c r="Y119" s="3020">
        <v>4.9554102479871798E-2</v>
      </c>
    </row>
    <row r="120" spans="9:25">
      <c r="I120" s="160" t="s">
        <v>85</v>
      </c>
      <c r="J120" s="1396" t="s">
        <v>2209</v>
      </c>
      <c r="K120" s="2517"/>
      <c r="L120" s="2523"/>
      <c r="M120" s="2517">
        <v>12</v>
      </c>
      <c r="N120" s="2517"/>
      <c r="O120" s="2523"/>
      <c r="P120" s="2523"/>
      <c r="R120" s="2517">
        <v>15.22615176769636</v>
      </c>
      <c r="S120" s="2517"/>
      <c r="T120" s="3020"/>
      <c r="U120" s="2523"/>
      <c r="V120" s="2517"/>
      <c r="W120" s="1396"/>
      <c r="X120" s="2517">
        <v>-15.22615176769636</v>
      </c>
      <c r="Y120" s="3020">
        <v>-0.21188228102000983</v>
      </c>
    </row>
    <row r="121" spans="9:25">
      <c r="I121" s="160" t="s">
        <v>86</v>
      </c>
      <c r="J121" s="1396" t="s">
        <v>2210</v>
      </c>
      <c r="K121" s="2517"/>
      <c r="L121" s="2523"/>
      <c r="M121" s="2517">
        <v>7.125</v>
      </c>
      <c r="N121" s="2517"/>
      <c r="O121" s="2523"/>
      <c r="P121" s="2523"/>
      <c r="R121" s="2517">
        <v>5.657404584837546</v>
      </c>
      <c r="S121" s="2517"/>
      <c r="T121" s="3020"/>
      <c r="U121" s="2523"/>
      <c r="V121" s="2517"/>
      <c r="W121" s="1396"/>
      <c r="X121" s="2517">
        <v>-5.657404584837546</v>
      </c>
      <c r="Y121" s="3020">
        <v>0.25941143030423675</v>
      </c>
    </row>
    <row r="122" spans="9:25">
      <c r="I122" s="160" t="s">
        <v>1184</v>
      </c>
      <c r="J122" s="3028" t="s">
        <v>2212</v>
      </c>
      <c r="K122" s="2517"/>
      <c r="L122" s="2523"/>
      <c r="M122" s="2517">
        <v>10.605</v>
      </c>
      <c r="N122" s="2517"/>
      <c r="O122" s="2523"/>
      <c r="P122" s="2523"/>
      <c r="R122" s="2517">
        <v>12.218776959612585</v>
      </c>
      <c r="S122" s="2517"/>
      <c r="T122" s="3020"/>
      <c r="U122" s="2523"/>
      <c r="V122" s="2517"/>
      <c r="W122" s="1396"/>
      <c r="X122" s="2517">
        <v>-12.218776959612585</v>
      </c>
      <c r="Y122" s="3020">
        <v>-0.1320735262577174</v>
      </c>
    </row>
    <row r="123" spans="9:25">
      <c r="J123" s="1396"/>
      <c r="L123" s="2523"/>
      <c r="O123" s="2523"/>
      <c r="P123" s="2523"/>
      <c r="T123" s="3020"/>
      <c r="U123" s="2523"/>
      <c r="W123" s="1396"/>
      <c r="Y123" s="3020"/>
    </row>
    <row r="124" spans="9:25" ht="12">
      <c r="J124" s="3025" t="s">
        <v>2216</v>
      </c>
      <c r="L124" s="2523"/>
      <c r="O124" s="2523"/>
      <c r="P124" s="2523"/>
      <c r="T124" s="3020"/>
      <c r="U124" s="2523"/>
      <c r="W124" s="1396"/>
      <c r="Y124" s="3020"/>
    </row>
    <row r="125" spans="9:25">
      <c r="J125" s="1396" t="s">
        <v>84</v>
      </c>
      <c r="K125" s="2504"/>
      <c r="L125" s="2523"/>
      <c r="M125" s="2504">
        <v>826.84044707282226</v>
      </c>
      <c r="N125" s="2504"/>
      <c r="O125" s="2523"/>
      <c r="P125" s="2523"/>
      <c r="R125" s="2504">
        <v>889.00549568881172</v>
      </c>
      <c r="S125" s="2504"/>
      <c r="T125" s="3020"/>
      <c r="U125" s="2523"/>
      <c r="V125" s="2504"/>
      <c r="W125" s="1396"/>
      <c r="X125" s="2504">
        <v>-889.00549568881172</v>
      </c>
      <c r="Y125" s="3020">
        <v>-6.9926506548559919E-2</v>
      </c>
    </row>
    <row r="126" spans="9:25">
      <c r="J126" s="1396" t="s">
        <v>85</v>
      </c>
      <c r="K126" s="2504"/>
      <c r="L126" s="2523"/>
      <c r="M126" s="2504">
        <v>567.91666666666663</v>
      </c>
      <c r="N126" s="2504"/>
      <c r="O126" s="2523"/>
      <c r="P126" s="2523"/>
      <c r="R126" s="2504">
        <v>455.67525299001454</v>
      </c>
      <c r="S126" s="2504"/>
      <c r="T126" s="3020"/>
      <c r="U126" s="2523"/>
      <c r="V126" s="2504"/>
      <c r="W126" s="1396"/>
      <c r="X126" s="2504">
        <v>-455.67525299001454</v>
      </c>
      <c r="Y126" s="3020">
        <v>0.24631887059952251</v>
      </c>
    </row>
    <row r="127" spans="9:25">
      <c r="J127" s="1396" t="s">
        <v>86</v>
      </c>
      <c r="K127" s="2504"/>
      <c r="L127" s="2523"/>
      <c r="M127" s="2504">
        <v>1015.2</v>
      </c>
      <c r="N127" s="2504"/>
      <c r="O127" s="2523"/>
      <c r="P127" s="2523"/>
      <c r="R127" s="2504">
        <v>1354.3526691612813</v>
      </c>
      <c r="S127" s="2504"/>
      <c r="T127" s="3020"/>
      <c r="U127" s="2523"/>
      <c r="V127" s="2504"/>
      <c r="W127" s="1396"/>
      <c r="X127" s="2504">
        <v>-1354.3526691612813</v>
      </c>
      <c r="Y127" s="3020">
        <v>-0.25041680566946456</v>
      </c>
    </row>
    <row r="128" spans="9:25">
      <c r="J128" s="2614" t="s">
        <v>1184</v>
      </c>
      <c r="K128" s="1899"/>
      <c r="L128" s="2615"/>
      <c r="M128" s="1899">
        <v>550</v>
      </c>
      <c r="N128" s="1899"/>
      <c r="O128" s="2615"/>
      <c r="P128" s="2615"/>
      <c r="Q128" s="195"/>
      <c r="R128" s="1899">
        <v>392.07140810561708</v>
      </c>
      <c r="S128" s="1899"/>
      <c r="T128" s="2616"/>
      <c r="U128" s="2615"/>
      <c r="V128" s="1899"/>
      <c r="W128" s="2614"/>
      <c r="X128" s="1899">
        <v>-392.07140810561708</v>
      </c>
      <c r="Y128" s="2616">
        <v>0.40280568444776721</v>
      </c>
    </row>
    <row r="129" spans="10:25">
      <c r="J129" s="2621"/>
      <c r="K129" s="2621"/>
      <c r="L129" s="2541"/>
      <c r="M129" s="2621"/>
      <c r="N129" s="2621"/>
      <c r="O129" s="2541"/>
      <c r="P129" s="2541"/>
      <c r="Q129" s="2621"/>
      <c r="R129" s="2621"/>
      <c r="S129" s="2621"/>
      <c r="T129" s="2541"/>
      <c r="U129" s="2541"/>
      <c r="V129" s="2621"/>
      <c r="W129" s="2621"/>
      <c r="X129" s="2621"/>
      <c r="Y129" s="2541"/>
    </row>
    <row r="133" spans="10:25">
      <c r="M133" s="2520">
        <v>0.36096956013254505</v>
      </c>
      <c r="R133" s="2520">
        <v>0.33541410019387907</v>
      </c>
    </row>
    <row r="134" spans="10:25">
      <c r="M134" s="2520">
        <v>0.73497439392062114</v>
      </c>
      <c r="R134" s="2520">
        <v>0.78563059990158368</v>
      </c>
    </row>
  </sheetData>
  <mergeCells count="6">
    <mergeCell ref="M6:P6"/>
    <mergeCell ref="X6:Y6"/>
    <mergeCell ref="M46:Q46"/>
    <mergeCell ref="M89:O89"/>
    <mergeCell ref="R89:T89"/>
    <mergeCell ref="X89:Y89"/>
  </mergeCells>
  <pageMargins left="0.7" right="0.7" top="0.75" bottom="0.75" header="0.3" footer="0.3"/>
  <customProperties>
    <customPr name="Qube.Worksheet.Visibility" r:id="rId1"/>
  </customPropertie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9ABD8-B017-4B71-AF43-D07B8C165A11}">
  <sheetPr>
    <tabColor rgb="FF7030A0"/>
    <pageSetUpPr fitToPage="1"/>
  </sheetPr>
  <dimension ref="A1:AG134"/>
  <sheetViews>
    <sheetView showGridLines="0" zoomScale="85" zoomScaleNormal="85" zoomScaleSheetLayoutView="85" workbookViewId="0">
      <selection activeCell="R8" sqref="R8:R43"/>
    </sheetView>
  </sheetViews>
  <sheetFormatPr defaultColWidth="9" defaultRowHeight="11.4" outlineLevelCol="2"/>
  <cols>
    <col min="1" max="1" width="9" style="160"/>
    <col min="2" max="2" width="38.19921875" style="160" customWidth="1"/>
    <col min="3" max="3" width="11.3984375" style="160" customWidth="1"/>
    <col min="4" max="6" width="9" style="160"/>
    <col min="7" max="7" width="10.09765625" style="160" bestFit="1" customWidth="1"/>
    <col min="8" max="8" width="9" style="160"/>
    <col min="9" max="9" width="11.09765625" style="160" bestFit="1" customWidth="1"/>
    <col min="10" max="10" width="28" style="160" bestFit="1" customWidth="1"/>
    <col min="11" max="12" width="9" style="160" customWidth="1"/>
    <col min="13" max="13" width="9" style="160" customWidth="1" outlineLevel="1"/>
    <col min="14" max="15" width="9" style="160" customWidth="1" outlineLevel="2"/>
    <col min="16" max="16" width="9" style="160" customWidth="1" outlineLevel="1"/>
    <col min="17" max="17" width="1.3984375" style="160" customWidth="1"/>
    <col min="18" max="18" width="10" style="160" bestFit="1" customWidth="1"/>
    <col min="19" max="19" width="9.09765625" style="160" customWidth="1" outlineLevel="1"/>
    <col min="20" max="20" width="9" style="160" customWidth="1" outlineLevel="1"/>
    <col min="21" max="21" width="9" style="160" customWidth="1"/>
    <col min="22" max="22" width="55.09765625" style="160" bestFit="1" customWidth="1"/>
    <col min="23" max="24" width="9" style="160" customWidth="1" outlineLevel="1"/>
    <col min="25" max="25" width="10.8984375" style="160" bestFit="1" customWidth="1"/>
    <col min="26" max="26" width="24.59765625" style="160" bestFit="1" customWidth="1"/>
    <col min="27" max="16384" width="9" style="160"/>
  </cols>
  <sheetData>
    <row r="1" spans="2:33" ht="12">
      <c r="K1" s="2520"/>
      <c r="R1" s="2921" t="s">
        <v>2381</v>
      </c>
      <c r="S1" s="2790" t="s">
        <v>544</v>
      </c>
      <c r="T1" s="2788" t="s">
        <v>545</v>
      </c>
    </row>
    <row r="2" spans="2:33" ht="12">
      <c r="B2" s="2741"/>
      <c r="C2" s="2742" t="s">
        <v>2391</v>
      </c>
      <c r="D2" s="2743"/>
      <c r="E2" s="2743"/>
      <c r="F2" s="2743"/>
      <c r="G2" s="2742" t="s">
        <v>2327</v>
      </c>
      <c r="H2" s="2744"/>
      <c r="S2" s="2790" t="s">
        <v>2204</v>
      </c>
      <c r="T2" s="2788" t="s">
        <v>668</v>
      </c>
    </row>
    <row r="3" spans="2:33" ht="12">
      <c r="B3" s="2747"/>
      <c r="C3" s="2748" t="s">
        <v>654</v>
      </c>
      <c r="D3" s="2749" t="s">
        <v>655</v>
      </c>
      <c r="E3" s="2748" t="s">
        <v>1426</v>
      </c>
      <c r="F3" s="2750" t="s">
        <v>1427</v>
      </c>
      <c r="G3" s="2748" t="s">
        <v>654</v>
      </c>
      <c r="H3" s="2990" t="s">
        <v>2259</v>
      </c>
      <c r="I3" s="3111"/>
      <c r="K3" s="3108"/>
      <c r="S3" s="2790" t="s">
        <v>2205</v>
      </c>
      <c r="T3" s="2789">
        <v>45687</v>
      </c>
    </row>
    <row r="4" spans="2:33" ht="12">
      <c r="B4" s="1830" t="s">
        <v>63</v>
      </c>
      <c r="C4" s="2833">
        <v>124300</v>
      </c>
      <c r="D4" s="2834">
        <v>124189.15247807372</v>
      </c>
      <c r="E4" s="2840">
        <v>110.84752192627639</v>
      </c>
      <c r="F4" s="1560">
        <v>8.9257008131887468E-4</v>
      </c>
      <c r="G4" s="2833">
        <v>119575</v>
      </c>
      <c r="H4" s="1560">
        <v>3.9514948776918191E-2</v>
      </c>
      <c r="I4" s="3111"/>
      <c r="K4" s="2504"/>
      <c r="S4" s="2790" t="s">
        <v>2206</v>
      </c>
      <c r="T4" s="2791" t="s">
        <v>2375</v>
      </c>
    </row>
    <row r="5" spans="2:33">
      <c r="B5" s="1831" t="s">
        <v>66</v>
      </c>
      <c r="C5" s="1640">
        <v>66025</v>
      </c>
      <c r="D5" s="1641">
        <v>66242.229739334056</v>
      </c>
      <c r="E5" s="2754">
        <v>-217.22973933405592</v>
      </c>
      <c r="F5" s="1554">
        <v>-3.2793240835772594E-3</v>
      </c>
      <c r="G5" s="1640">
        <v>64720</v>
      </c>
      <c r="H5" s="1554">
        <v>2.0163782447466083E-2</v>
      </c>
      <c r="I5" s="3111"/>
      <c r="N5" s="2520"/>
      <c r="R5" s="2503"/>
      <c r="V5" s="2921" t="s">
        <v>2382</v>
      </c>
      <c r="AA5" s="694" t="s">
        <v>2327</v>
      </c>
      <c r="AB5" s="694" t="s">
        <v>2391</v>
      </c>
    </row>
    <row r="6" spans="2:33" ht="12">
      <c r="B6" s="1883" t="s">
        <v>67</v>
      </c>
      <c r="C6" s="1874">
        <v>58275</v>
      </c>
      <c r="D6" s="1875">
        <v>57946.922738739668</v>
      </c>
      <c r="E6" s="2841">
        <v>328.07726126033231</v>
      </c>
      <c r="F6" s="1877">
        <v>5.6616856556733165E-3</v>
      </c>
      <c r="G6" s="1874">
        <v>54855</v>
      </c>
      <c r="H6" s="1877">
        <v>6.2346185397867071E-2</v>
      </c>
      <c r="J6" s="3004"/>
      <c r="K6" s="3318" t="s">
        <v>654</v>
      </c>
      <c r="L6" s="3184"/>
      <c r="M6" s="3404" t="s">
        <v>2260</v>
      </c>
      <c r="N6" s="3405"/>
      <c r="O6" s="3405"/>
      <c r="P6" s="3405"/>
      <c r="Q6" s="3118"/>
      <c r="R6" s="3187" t="s">
        <v>668</v>
      </c>
      <c r="S6" s="3188"/>
      <c r="T6" s="3188"/>
      <c r="U6" s="3186"/>
      <c r="V6" s="2960" t="s">
        <v>2258</v>
      </c>
      <c r="W6" s="3402" t="s">
        <v>1430</v>
      </c>
      <c r="X6" s="3403"/>
      <c r="AA6" s="549">
        <v>45290</v>
      </c>
      <c r="AB6" s="549">
        <v>45655</v>
      </c>
    </row>
    <row r="7" spans="2:33">
      <c r="B7" s="1831" t="s">
        <v>68</v>
      </c>
      <c r="C7" s="1640">
        <v>8268</v>
      </c>
      <c r="D7" s="1641">
        <v>8290</v>
      </c>
      <c r="E7" s="2754">
        <v>-22</v>
      </c>
      <c r="F7" s="1554">
        <v>-2.6537997587454767E-3</v>
      </c>
      <c r="G7" s="1640">
        <v>7696</v>
      </c>
      <c r="H7" s="1554">
        <v>7.4324324324324342E-2</v>
      </c>
      <c r="J7" s="3023" t="s">
        <v>2263</v>
      </c>
      <c r="K7" s="3222"/>
      <c r="L7" s="3223" t="s">
        <v>2259</v>
      </c>
      <c r="M7" s="2751" t="s">
        <v>720</v>
      </c>
      <c r="N7" s="2751" t="s">
        <v>1426</v>
      </c>
      <c r="O7" s="2751" t="s">
        <v>1427</v>
      </c>
      <c r="P7" s="3119" t="s">
        <v>2259</v>
      </c>
      <c r="Q7" s="2947"/>
      <c r="R7" s="3035" t="s">
        <v>2262</v>
      </c>
      <c r="S7" s="2751" t="s">
        <v>1426</v>
      </c>
      <c r="T7" s="2749" t="s">
        <v>1427</v>
      </c>
      <c r="U7" s="3119" t="s">
        <v>2259</v>
      </c>
      <c r="V7" s="2961"/>
      <c r="W7" s="3217" t="s">
        <v>1426</v>
      </c>
      <c r="X7" s="3019" t="s">
        <v>1427</v>
      </c>
      <c r="Z7" s="129" t="s">
        <v>872</v>
      </c>
    </row>
    <row r="8" spans="2:33" ht="12">
      <c r="B8" s="2852" t="s">
        <v>76</v>
      </c>
      <c r="C8" s="1640">
        <v>7175</v>
      </c>
      <c r="D8" s="1641">
        <v>7048</v>
      </c>
      <c r="E8" s="2754">
        <v>127</v>
      </c>
      <c r="F8" s="1554">
        <v>1.8019296254256526E-2</v>
      </c>
      <c r="G8" s="1640">
        <v>6786</v>
      </c>
      <c r="H8" s="1554">
        <v>5.7323902151488415E-2</v>
      </c>
      <c r="I8" s="3154"/>
      <c r="J8" s="3093" t="s">
        <v>1433</v>
      </c>
      <c r="K8" s="3094">
        <v>124300</v>
      </c>
      <c r="L8" s="3097">
        <v>3.9514948776918191E-2</v>
      </c>
      <c r="M8" s="3095">
        <v>124189.15247807372</v>
      </c>
      <c r="N8" s="3096">
        <v>110.84752192627639</v>
      </c>
      <c r="O8" s="3097">
        <v>8.9257008131893301E-4</v>
      </c>
      <c r="P8" s="3097">
        <v>3.8587936258195565E-2</v>
      </c>
      <c r="Q8" s="3098"/>
      <c r="R8" s="2929" t="e">
        <v>#NAME?</v>
      </c>
      <c r="S8" s="3096" t="e">
        <v>#NAME?</v>
      </c>
      <c r="T8" s="3097" t="e">
        <v>#NAME?</v>
      </c>
      <c r="U8" s="3097" t="e">
        <v>#NAME?</v>
      </c>
      <c r="V8" s="3287" t="s">
        <v>2384</v>
      </c>
      <c r="W8" s="3096" t="e">
        <v>#NAME?</v>
      </c>
      <c r="X8" s="3099" t="e">
        <v>#NAME?</v>
      </c>
      <c r="Z8" s="1716" t="s">
        <v>84</v>
      </c>
      <c r="AA8" s="779">
        <v>69702</v>
      </c>
      <c r="AB8" s="2363">
        <v>70609.540000000008</v>
      </c>
      <c r="AC8" s="2523">
        <v>1.3020286361940858E-2</v>
      </c>
    </row>
    <row r="9" spans="2:33" ht="12">
      <c r="B9" s="2853" t="s">
        <v>69</v>
      </c>
      <c r="C9" s="2854">
        <v>15443</v>
      </c>
      <c r="D9" s="2768">
        <v>15338</v>
      </c>
      <c r="E9" s="2770">
        <v>105</v>
      </c>
      <c r="F9" s="1558">
        <v>6.8457426000782372E-3</v>
      </c>
      <c r="G9" s="2854">
        <v>14482</v>
      </c>
      <c r="H9" s="1558">
        <v>6.6358237812456755E-2</v>
      </c>
      <c r="I9" s="163"/>
      <c r="J9" s="2976" t="s">
        <v>67</v>
      </c>
      <c r="K9" s="2977">
        <v>58275</v>
      </c>
      <c r="L9" s="2980">
        <v>6.2346185397867071E-2</v>
      </c>
      <c r="M9" s="2978">
        <v>57946.922738739668</v>
      </c>
      <c r="N9" s="2979">
        <v>328.07726126033231</v>
      </c>
      <c r="O9" s="2980">
        <v>5.6616856556732653E-3</v>
      </c>
      <c r="P9" s="2980">
        <v>5.6365376697468994E-2</v>
      </c>
      <c r="Q9" s="2981"/>
      <c r="R9" s="2975" t="e">
        <v>#NAME?</v>
      </c>
      <c r="S9" s="2979" t="e">
        <v>#NAME?</v>
      </c>
      <c r="T9" s="2980" t="e">
        <v>#NAME?</v>
      </c>
      <c r="U9" s="2980" t="e">
        <v>#NAME?</v>
      </c>
      <c r="V9" s="2982"/>
      <c r="W9" s="2979" t="e">
        <v>#NAME?</v>
      </c>
      <c r="X9" s="3008" t="e">
        <v>#NAME?</v>
      </c>
      <c r="Z9" s="1716" t="s">
        <v>86</v>
      </c>
      <c r="AA9" s="779">
        <v>7780</v>
      </c>
      <c r="AB9" s="672">
        <v>8987</v>
      </c>
      <c r="AC9" s="2523">
        <v>0.15514138817480716</v>
      </c>
      <c r="AD9" s="3251" t="s">
        <v>2373</v>
      </c>
    </row>
    <row r="10" spans="2:33" ht="12">
      <c r="B10" s="1878" t="s">
        <v>70</v>
      </c>
      <c r="C10" s="2830">
        <v>42832</v>
      </c>
      <c r="D10" s="2831">
        <v>42608.922738739668</v>
      </c>
      <c r="E10" s="2842">
        <v>223.07726126033231</v>
      </c>
      <c r="F10" s="2832">
        <v>5.2354588410542559E-3</v>
      </c>
      <c r="G10" s="2830">
        <v>40373</v>
      </c>
      <c r="H10" s="2832">
        <v>6.0907041834889597E-2</v>
      </c>
      <c r="I10" s="163"/>
      <c r="J10" s="3060" t="s">
        <v>1600</v>
      </c>
      <c r="K10" s="3061">
        <v>15443</v>
      </c>
      <c r="L10" s="3051">
        <v>6.6358237812456755E-2</v>
      </c>
      <c r="M10" s="3062">
        <v>15338</v>
      </c>
      <c r="N10" s="3050">
        <v>105</v>
      </c>
      <c r="O10" s="3051">
        <v>6.8457426000783084E-3</v>
      </c>
      <c r="P10" s="3051">
        <v>5.9107858030658766E-2</v>
      </c>
      <c r="Q10" s="3063"/>
      <c r="R10" s="2930" t="e">
        <v>#NAME?</v>
      </c>
      <c r="S10" s="3050" t="e">
        <v>#NAME?</v>
      </c>
      <c r="T10" s="3051" t="e">
        <v>#NAME?</v>
      </c>
      <c r="U10" s="3051" t="e">
        <v>#NAME?</v>
      </c>
      <c r="V10" s="3289" t="s">
        <v>2386</v>
      </c>
      <c r="W10" s="3050" t="e">
        <v>#NAME?</v>
      </c>
      <c r="X10" s="3052" t="e">
        <v>#NAME?</v>
      </c>
      <c r="Z10" s="1716" t="s">
        <v>85</v>
      </c>
      <c r="AA10" s="779">
        <v>7023</v>
      </c>
      <c r="AB10" s="672">
        <v>8088</v>
      </c>
      <c r="AC10" s="2523">
        <v>0.15164459632635618</v>
      </c>
      <c r="AD10" s="3251" t="s">
        <v>2372</v>
      </c>
    </row>
    <row r="11" spans="2:33" ht="12">
      <c r="B11" s="1835" t="s">
        <v>689</v>
      </c>
      <c r="C11" s="1640">
        <v>-248</v>
      </c>
      <c r="D11" s="1641">
        <v>-250.05989244712214</v>
      </c>
      <c r="E11" s="2754">
        <v>2.059892447122138</v>
      </c>
      <c r="F11" s="1554">
        <v>-8.2375963092830833E-3</v>
      </c>
      <c r="G11" s="1640">
        <v>-50</v>
      </c>
      <c r="H11" s="1554">
        <v>3.96</v>
      </c>
      <c r="I11" s="3154"/>
      <c r="J11" s="3024" t="s">
        <v>70</v>
      </c>
      <c r="K11" s="2983">
        <v>42832</v>
      </c>
      <c r="L11" s="2986">
        <v>6.0907041834889597E-2</v>
      </c>
      <c r="M11" s="2984">
        <v>42608.922738739668</v>
      </c>
      <c r="N11" s="2985">
        <v>223.07726126033231</v>
      </c>
      <c r="O11" s="2986">
        <v>5.2354588410543634E-3</v>
      </c>
      <c r="P11" s="2986">
        <v>5.5381634724684048E-2</v>
      </c>
      <c r="Q11" s="2987"/>
      <c r="R11" s="2988" t="e">
        <v>#NAME?</v>
      </c>
      <c r="S11" s="2985" t="e">
        <v>#NAME?</v>
      </c>
      <c r="T11" s="2986" t="e">
        <v>#NAME?</v>
      </c>
      <c r="U11" s="2986" t="e">
        <v>#NAME?</v>
      </c>
      <c r="V11" s="3230"/>
      <c r="W11" s="2985" t="e">
        <v>#NAME?</v>
      </c>
      <c r="X11" s="3010" t="e">
        <v>#NAME?</v>
      </c>
      <c r="Z11" s="1716" t="s">
        <v>1120</v>
      </c>
      <c r="AA11" s="779">
        <v>11953</v>
      </c>
      <c r="AB11" s="672">
        <v>11747</v>
      </c>
      <c r="AC11" s="2523">
        <v>-1.7234167154689173E-2</v>
      </c>
    </row>
    <row r="12" spans="2:33" ht="12">
      <c r="B12" s="1857" t="s">
        <v>71</v>
      </c>
      <c r="C12" s="1858">
        <v>42584</v>
      </c>
      <c r="D12" s="1859">
        <v>42358.862846292548</v>
      </c>
      <c r="E12" s="2843">
        <v>225.13715370745194</v>
      </c>
      <c r="F12" s="1861">
        <v>5.3149952236538154E-3</v>
      </c>
      <c r="G12" s="1858">
        <v>40323</v>
      </c>
      <c r="H12" s="1861">
        <v>5.60722168489447E-2</v>
      </c>
      <c r="I12" s="3153"/>
      <c r="J12" s="3041" t="s">
        <v>689</v>
      </c>
      <c r="K12" s="3042">
        <v>-248</v>
      </c>
      <c r="L12" s="3051">
        <v>3.96</v>
      </c>
      <c r="M12" s="3043">
        <v>-250.05989244712214</v>
      </c>
      <c r="N12" s="3050">
        <v>2.059892447122138</v>
      </c>
      <c r="O12" s="3051">
        <v>-8.2375963092831128E-3</v>
      </c>
      <c r="P12" s="3051">
        <v>4.0011978489424429</v>
      </c>
      <c r="Q12" s="3046"/>
      <c r="R12" s="3064" t="e">
        <v>#NAME?</v>
      </c>
      <c r="S12" s="3050" t="e">
        <v>#NAME?</v>
      </c>
      <c r="T12" s="3051" t="e">
        <v>#NAME?</v>
      </c>
      <c r="U12" s="3051" t="e">
        <v>#NAME?</v>
      </c>
      <c r="V12" s="3290" t="s">
        <v>2387</v>
      </c>
      <c r="W12" s="3050" t="e">
        <v>#NAME?</v>
      </c>
      <c r="X12" s="3052" t="e">
        <v>#NAME?</v>
      </c>
      <c r="Z12" s="1143" t="s">
        <v>667</v>
      </c>
      <c r="AA12" s="1054">
        <v>96458</v>
      </c>
      <c r="AB12" s="1054">
        <v>99431.540000000008</v>
      </c>
      <c r="AC12" s="2523">
        <v>3.0827303074913548E-2</v>
      </c>
      <c r="AD12" s="3251" t="s">
        <v>2371</v>
      </c>
      <c r="AG12" s="1624"/>
    </row>
    <row r="13" spans="2:33">
      <c r="B13" s="1836" t="s">
        <v>2379</v>
      </c>
      <c r="C13" s="1640">
        <v>6254</v>
      </c>
      <c r="D13" s="1641">
        <v>6777.418055406808</v>
      </c>
      <c r="E13" s="2754">
        <v>-523.41805540680798</v>
      </c>
      <c r="F13" s="1554">
        <v>-7.7229713605941983E-2</v>
      </c>
      <c r="G13" s="1640">
        <v>6407</v>
      </c>
      <c r="H13" s="1554">
        <v>-2.3880131106602143E-2</v>
      </c>
      <c r="I13" s="3153"/>
      <c r="J13" s="3101" t="s">
        <v>71</v>
      </c>
      <c r="K13" s="3054">
        <v>42584</v>
      </c>
      <c r="L13" s="3056">
        <v>5.60722168489447E-2</v>
      </c>
      <c r="M13" s="3055">
        <v>42358.862846292548</v>
      </c>
      <c r="N13" s="2973">
        <v>225.13715370745194</v>
      </c>
      <c r="O13" s="3056">
        <v>5.3149952236537512E-3</v>
      </c>
      <c r="P13" s="3056">
        <v>5.0488873503770737E-2</v>
      </c>
      <c r="Q13" s="2974"/>
      <c r="R13" s="3057" t="e">
        <v>#NAME?</v>
      </c>
      <c r="S13" s="2973" t="e">
        <v>#NAME?</v>
      </c>
      <c r="T13" s="3056" t="e">
        <v>#NAME?</v>
      </c>
      <c r="U13" s="3056" t="e">
        <v>#NAME?</v>
      </c>
      <c r="V13" s="2972"/>
      <c r="W13" s="2973" t="e">
        <v>#NAME?</v>
      </c>
      <c r="X13" s="3058" t="e">
        <v>#NAME?</v>
      </c>
      <c r="Z13" s="673" t="s">
        <v>81</v>
      </c>
      <c r="AA13" s="779">
        <v>23117</v>
      </c>
      <c r="AB13" s="1057">
        <v>26122.21</v>
      </c>
      <c r="AC13" s="2560">
        <v>0.13</v>
      </c>
      <c r="AD13" s="3253" t="s">
        <v>2370</v>
      </c>
    </row>
    <row r="14" spans="2:33" ht="12" thickBot="1">
      <c r="B14" s="1836" t="s">
        <v>1562</v>
      </c>
      <c r="C14" s="3036">
        <v>0.14686267142588766</v>
      </c>
      <c r="D14" s="2520">
        <v>0.16</v>
      </c>
      <c r="E14" s="1939">
        <v>-1.3137328574112345E-2</v>
      </c>
      <c r="F14" s="1554"/>
      <c r="G14" s="3036">
        <v>0.15889194752374575</v>
      </c>
      <c r="H14" s="1940">
        <v>-1.2029276097858088E-2</v>
      </c>
      <c r="I14" s="2503"/>
      <c r="J14" s="3065" t="s">
        <v>2379</v>
      </c>
      <c r="K14" s="3066">
        <v>6254</v>
      </c>
      <c r="L14" s="3069"/>
      <c r="M14" s="3067">
        <v>6777.418055406808</v>
      </c>
      <c r="N14" s="3068">
        <v>-523.41805540680798</v>
      </c>
      <c r="O14" s="3069">
        <v>-7.7229713605941996E-2</v>
      </c>
      <c r="P14" s="3069"/>
      <c r="Q14" s="3070"/>
      <c r="R14" s="3071" t="e">
        <v>#NAME?</v>
      </c>
      <c r="S14" s="3068" t="e">
        <v>#NAME?</v>
      </c>
      <c r="T14" s="3069" t="e">
        <v>#NAME?</v>
      </c>
      <c r="U14" s="3069"/>
      <c r="V14" s="3073"/>
      <c r="W14" s="3068" t="e">
        <v>#NAME?</v>
      </c>
      <c r="X14" s="3072" t="e">
        <v>#NAME?</v>
      </c>
      <c r="Z14" s="1995" t="s">
        <v>1246</v>
      </c>
      <c r="AA14" s="1995">
        <v>119575</v>
      </c>
      <c r="AB14" s="3254">
        <v>125553.75</v>
      </c>
      <c r="AC14" s="2560">
        <v>0.05</v>
      </c>
      <c r="AD14" s="3252" t="s">
        <v>2369</v>
      </c>
    </row>
    <row r="15" spans="2:33" ht="12.6" thickTop="1">
      <c r="B15" s="1873" t="s">
        <v>1154</v>
      </c>
      <c r="C15" s="1874">
        <v>36330</v>
      </c>
      <c r="D15" s="1875">
        <v>35581.44479088574</v>
      </c>
      <c r="E15" s="2841">
        <v>748.55520911425992</v>
      </c>
      <c r="F15" s="1877">
        <v>2.1037796905481587E-2</v>
      </c>
      <c r="G15" s="1874">
        <v>33916</v>
      </c>
      <c r="H15" s="1877">
        <v>7.1175846208279214E-2</v>
      </c>
      <c r="J15" s="3041" t="s">
        <v>1562</v>
      </c>
      <c r="K15" s="3102">
        <v>0.14686267142588766</v>
      </c>
      <c r="L15" s="3045"/>
      <c r="M15" s="3103">
        <v>0.16</v>
      </c>
      <c r="N15" s="3102">
        <v>-1.3137328574112345E-2</v>
      </c>
      <c r="O15" s="3045"/>
      <c r="P15" s="3045"/>
      <c r="Q15" s="3046"/>
      <c r="R15" s="3104" t="e">
        <v>#NAME?</v>
      </c>
      <c r="S15" s="3044"/>
      <c r="T15" s="3045"/>
      <c r="U15" s="3045"/>
      <c r="V15" s="3262">
        <v>0.16</v>
      </c>
      <c r="W15" s="3102" t="e">
        <v>#NAME?</v>
      </c>
      <c r="X15" s="3047"/>
    </row>
    <row r="16" spans="2:33" s="163" customFormat="1" ht="12">
      <c r="B16" s="1862" t="s">
        <v>80</v>
      </c>
      <c r="C16" s="1858">
        <v>36330</v>
      </c>
      <c r="D16" s="1859">
        <v>35581.44479088574</v>
      </c>
      <c r="E16" s="2843">
        <v>748.55520911425992</v>
      </c>
      <c r="F16" s="1861">
        <v>2.1037796905481587E-2</v>
      </c>
      <c r="G16" s="1858">
        <v>33916</v>
      </c>
      <c r="H16" s="1861">
        <v>7.1175846208279214E-2</v>
      </c>
      <c r="I16" s="160"/>
      <c r="J16" s="3075" t="s">
        <v>2378</v>
      </c>
      <c r="K16" s="3076">
        <v>36330</v>
      </c>
      <c r="L16" s="3079">
        <v>7.1175846208279214E-2</v>
      </c>
      <c r="M16" s="3077">
        <v>35581.44479088574</v>
      </c>
      <c r="N16" s="3078">
        <v>748.55520911425992</v>
      </c>
      <c r="O16" s="3079">
        <v>2.1037796905481576E-2</v>
      </c>
      <c r="P16" s="3079">
        <v>4.9104988527118199E-2</v>
      </c>
      <c r="Q16" s="3080"/>
      <c r="R16" s="3081" t="e">
        <v>#NAME?</v>
      </c>
      <c r="S16" s="3078" t="e">
        <v>#NAME?</v>
      </c>
      <c r="T16" s="3079" t="e">
        <v>#NAME?</v>
      </c>
      <c r="U16" s="3079" t="e">
        <v>#NAME?</v>
      </c>
      <c r="V16" s="3082"/>
      <c r="W16" s="3078" t="e">
        <v>#NAME?</v>
      </c>
      <c r="X16" s="1629" t="e">
        <v>#NAME?</v>
      </c>
      <c r="Y16" s="160"/>
      <c r="Z16" s="160"/>
    </row>
    <row r="17" spans="2:26" ht="12">
      <c r="B17" s="1863" t="s">
        <v>1151</v>
      </c>
      <c r="C17" s="1864">
        <v>2.3978828931549452</v>
      </c>
      <c r="D17" s="1865">
        <v>2.3452994667006171</v>
      </c>
      <c r="E17" s="2844">
        <v>5.2583426454328119E-2</v>
      </c>
      <c r="F17" s="1867">
        <v>2.2420772784425193E-2</v>
      </c>
      <c r="G17" s="1864">
        <v>2.1773628858750742</v>
      </c>
      <c r="H17" s="1867">
        <v>0.10127848174065157</v>
      </c>
      <c r="J17" s="3083" t="s">
        <v>1151</v>
      </c>
      <c r="K17" s="3084">
        <v>2.3978828931549452</v>
      </c>
      <c r="L17" s="3087">
        <v>0.10127848174065157</v>
      </c>
      <c r="M17" s="3085">
        <v>2.3452994667006171</v>
      </c>
      <c r="N17" s="3086">
        <v>5.2583426454328119E-2</v>
      </c>
      <c r="O17" s="3087">
        <v>2.2420772784425225E-2</v>
      </c>
      <c r="P17" s="3087">
        <v>7.7128429953029931E-2</v>
      </c>
      <c r="Q17" s="3088"/>
      <c r="R17" s="3089" t="e">
        <v>#NAME?</v>
      </c>
      <c r="S17" s="3084" t="e">
        <v>#NAME?</v>
      </c>
      <c r="T17" s="3087" t="e">
        <v>#NAME?</v>
      </c>
      <c r="U17" s="3087" t="e">
        <v>#NAME?</v>
      </c>
      <c r="V17" s="3091"/>
      <c r="W17" s="3084" t="e">
        <v>#NAME?</v>
      </c>
      <c r="X17" s="3090" t="e">
        <v>#NAME?</v>
      </c>
      <c r="Z17" s="163"/>
    </row>
    <row r="18" spans="2:26" ht="12">
      <c r="B18" s="1868" t="s">
        <v>1153</v>
      </c>
      <c r="C18" s="1869">
        <v>2.3978828931549452</v>
      </c>
      <c r="D18" s="1870">
        <v>2.3452994667006171</v>
      </c>
      <c r="E18" s="2845">
        <v>5.2583426454328119E-2</v>
      </c>
      <c r="F18" s="1872">
        <v>2.2420772784425193E-2</v>
      </c>
      <c r="G18" s="1869">
        <v>2.1773628858750742</v>
      </c>
      <c r="H18" s="1872">
        <v>0.10127848174065157</v>
      </c>
      <c r="J18" s="1583"/>
      <c r="K18" s="193"/>
      <c r="L18" s="1624"/>
      <c r="M18" s="2948"/>
      <c r="N18" s="2504"/>
      <c r="O18" s="1624"/>
      <c r="P18" s="1624"/>
      <c r="Q18" s="2949"/>
      <c r="R18" s="2931"/>
      <c r="S18" s="193"/>
      <c r="T18" s="1624"/>
      <c r="U18" s="1624"/>
      <c r="V18" s="2962"/>
      <c r="W18" s="193"/>
      <c r="X18" s="1627"/>
    </row>
    <row r="19" spans="2:26" ht="12">
      <c r="B19" s="1844" t="s">
        <v>75</v>
      </c>
      <c r="C19" s="1557">
        <v>15150.865</v>
      </c>
      <c r="D19" s="1541">
        <v>15171.38655258467</v>
      </c>
      <c r="E19" s="1845">
        <v>-20.521552584670644</v>
      </c>
      <c r="F19" s="1558">
        <v>-1.3526484552708528E-3</v>
      </c>
      <c r="G19" s="1557">
        <v>15576.641</v>
      </c>
      <c r="H19" s="1558">
        <v>-2.7334262887614869E-2</v>
      </c>
      <c r="J19" s="3034" t="s">
        <v>2264</v>
      </c>
      <c r="K19" s="193"/>
      <c r="L19" s="1624"/>
      <c r="M19" s="2948"/>
      <c r="N19" s="2504"/>
      <c r="O19" s="1624"/>
      <c r="P19" s="1624"/>
      <c r="Q19" s="2949"/>
      <c r="R19" s="2931"/>
      <c r="S19" s="193"/>
      <c r="T19" s="1624"/>
      <c r="U19" s="1624"/>
      <c r="V19" s="2962"/>
      <c r="W19" s="193"/>
      <c r="X19" s="1627"/>
    </row>
    <row r="20" spans="2:26" ht="12">
      <c r="B20" s="1837"/>
      <c r="C20" s="1553"/>
      <c r="D20" s="193"/>
      <c r="E20" s="1569"/>
      <c r="F20" s="1554"/>
      <c r="G20" s="1553"/>
      <c r="H20" s="1554"/>
      <c r="J20" s="3030" t="s">
        <v>84</v>
      </c>
      <c r="K20" s="3031">
        <v>69138</v>
      </c>
      <c r="L20" s="2837">
        <v>-8.0915899113368495E-3</v>
      </c>
      <c r="M20" s="3032">
        <v>70139.940336438231</v>
      </c>
      <c r="N20" s="2836">
        <v>-1001.9403364382306</v>
      </c>
      <c r="O20" s="2837">
        <v>-1.4284875801608199E-2</v>
      </c>
      <c r="P20" s="2837">
        <v>6.2830383122181033E-3</v>
      </c>
      <c r="Q20" s="3033"/>
      <c r="R20" s="2938" t="e">
        <v>#NAME?</v>
      </c>
      <c r="S20" s="2836" t="e">
        <v>#NAME?</v>
      </c>
      <c r="T20" s="2837" t="e">
        <v>#NAME?</v>
      </c>
      <c r="U20" s="2837" t="e">
        <v>#NAME?</v>
      </c>
      <c r="V20" s="3210"/>
      <c r="W20" s="2836" t="e">
        <v>#NAME?</v>
      </c>
      <c r="X20" s="2838" t="e">
        <v>#NAME?</v>
      </c>
      <c r="Y20" s="163"/>
    </row>
    <row r="21" spans="2:26" ht="12">
      <c r="B21" s="2699" t="s">
        <v>2189</v>
      </c>
      <c r="C21" s="2700" t="s">
        <v>654</v>
      </c>
      <c r="D21" s="3207" t="s">
        <v>655</v>
      </c>
      <c r="E21" s="2702" t="s">
        <v>1426</v>
      </c>
      <c r="F21" s="2703" t="s">
        <v>1427</v>
      </c>
      <c r="G21" s="2700" t="s">
        <v>654</v>
      </c>
      <c r="H21" s="2703" t="s">
        <v>2259</v>
      </c>
      <c r="J21" s="1584" t="s">
        <v>85</v>
      </c>
      <c r="K21" s="1639">
        <v>8088</v>
      </c>
      <c r="L21" s="1626">
        <v>0.15164459632635618</v>
      </c>
      <c r="M21" s="2950">
        <v>7230</v>
      </c>
      <c r="N21" s="1901">
        <v>858</v>
      </c>
      <c r="O21" s="1626">
        <v>0.1186721991701245</v>
      </c>
      <c r="P21" s="1626">
        <v>2.9474583511319929E-2</v>
      </c>
      <c r="Q21" s="2951"/>
      <c r="R21" s="2932" t="e">
        <v>#NAME?</v>
      </c>
      <c r="S21" s="1901" t="e">
        <v>#NAME?</v>
      </c>
      <c r="T21" s="1626" t="e">
        <v>#NAME?</v>
      </c>
      <c r="U21" s="1626" t="e">
        <v>#NAME?</v>
      </c>
      <c r="V21" s="3228"/>
      <c r="W21" s="1901" t="e">
        <v>#NAME?</v>
      </c>
      <c r="X21" s="1630" t="e">
        <v>#NAME?</v>
      </c>
    </row>
    <row r="22" spans="2:26">
      <c r="B22" s="2740" t="s">
        <v>84</v>
      </c>
      <c r="C22" s="1638">
        <v>69138</v>
      </c>
      <c r="D22" s="1639">
        <v>70139.940336438231</v>
      </c>
      <c r="E22" s="2754">
        <v>-1001.9403364382306</v>
      </c>
      <c r="F22" s="1554">
        <v>-1.4284875801608216E-2</v>
      </c>
      <c r="G22" s="1638">
        <v>69702</v>
      </c>
      <c r="H22" s="1554">
        <v>-8.0915899113368495E-3</v>
      </c>
      <c r="I22" s="3108"/>
      <c r="J22" s="1584" t="s">
        <v>86</v>
      </c>
      <c r="K22" s="1639">
        <v>8987</v>
      </c>
      <c r="L22" s="1626">
        <v>0.15514138817480716</v>
      </c>
      <c r="M22" s="2950">
        <v>8215.8669381783529</v>
      </c>
      <c r="N22" s="1901">
        <v>771.13306182164706</v>
      </c>
      <c r="O22" s="1626">
        <v>9.3859000836328699E-2</v>
      </c>
      <c r="P22" s="1626">
        <v>5.6024028043490048E-2</v>
      </c>
      <c r="Q22" s="2951"/>
      <c r="R22" s="2932" t="e">
        <v>#NAME?</v>
      </c>
      <c r="S22" s="1901" t="e">
        <v>#NAME?</v>
      </c>
      <c r="T22" s="1626" t="e">
        <v>#NAME?</v>
      </c>
      <c r="U22" s="1626" t="e">
        <v>#NAME?</v>
      </c>
      <c r="V22" s="3163"/>
      <c r="W22" s="1901" t="e">
        <v>#NAME?</v>
      </c>
      <c r="X22" s="1630" t="e">
        <v>#NAME?</v>
      </c>
    </row>
    <row r="23" spans="2:26">
      <c r="B23" s="2740" t="s">
        <v>85</v>
      </c>
      <c r="C23" s="1638">
        <v>8088</v>
      </c>
      <c r="D23" s="1639">
        <v>7230</v>
      </c>
      <c r="E23" s="2754">
        <v>858</v>
      </c>
      <c r="F23" s="1554">
        <v>0.11867219917012448</v>
      </c>
      <c r="G23" s="1638">
        <v>7023</v>
      </c>
      <c r="H23" s="1554">
        <v>0.15164459632635618</v>
      </c>
      <c r="I23" s="3108"/>
      <c r="J23" s="1584" t="s">
        <v>1120</v>
      </c>
      <c r="K23" s="1639">
        <v>11747</v>
      </c>
      <c r="L23" s="1626">
        <v>-1.7234167154689173E-2</v>
      </c>
      <c r="M23" s="2950">
        <v>12250.5</v>
      </c>
      <c r="N23" s="1901">
        <v>-503.5</v>
      </c>
      <c r="O23" s="1626">
        <v>-4.110036325047961E-2</v>
      </c>
      <c r="P23" s="1626">
        <v>2.4889149167572899E-2</v>
      </c>
      <c r="Q23" s="2951"/>
      <c r="R23" s="2932" t="e">
        <v>#NAME?</v>
      </c>
      <c r="S23" s="1901" t="e">
        <v>#NAME?</v>
      </c>
      <c r="T23" s="1626" t="e">
        <v>#NAME?</v>
      </c>
      <c r="U23" s="1626" t="e">
        <v>#NAME?</v>
      </c>
      <c r="V23" s="3163"/>
      <c r="W23" s="1901" t="e">
        <v>#NAME?</v>
      </c>
      <c r="X23" s="1630" t="e">
        <v>#NAME?</v>
      </c>
    </row>
    <row r="24" spans="2:26">
      <c r="B24" s="2740" t="s">
        <v>86</v>
      </c>
      <c r="C24" s="1638">
        <v>8987</v>
      </c>
      <c r="D24" s="1639">
        <v>8215.8669381783529</v>
      </c>
      <c r="E24" s="2754">
        <v>771.13306182164706</v>
      </c>
      <c r="F24" s="1554">
        <v>9.3859000836328671E-2</v>
      </c>
      <c r="G24" s="1638">
        <v>7780</v>
      </c>
      <c r="H24" s="1554">
        <v>0.15514138817480716</v>
      </c>
      <c r="I24" s="3108"/>
      <c r="J24" s="2825" t="s">
        <v>667</v>
      </c>
      <c r="K24" s="2826">
        <v>97960</v>
      </c>
      <c r="L24" s="2827">
        <v>1.5571544091729006E-2</v>
      </c>
      <c r="M24" s="2952">
        <v>97836.307274616585</v>
      </c>
      <c r="N24" s="2828">
        <v>123.69272538341465</v>
      </c>
      <c r="O24" s="2827">
        <v>1.2642824410391551E-3</v>
      </c>
      <c r="P24" s="2827">
        <v>1.4289196071000765E-2</v>
      </c>
      <c r="Q24" s="2953"/>
      <c r="R24" s="2933" t="e">
        <v>#NAME?</v>
      </c>
      <c r="S24" s="2828" t="e">
        <v>#NAME?</v>
      </c>
      <c r="T24" s="2827" t="e">
        <v>#NAME?</v>
      </c>
      <c r="U24" s="2827" t="e">
        <v>#NAME?</v>
      </c>
      <c r="V24" s="3003"/>
      <c r="W24" s="2828" t="e">
        <v>#NAME?</v>
      </c>
      <c r="X24" s="2829" t="e">
        <v>#NAME?</v>
      </c>
    </row>
    <row r="25" spans="2:26" ht="12">
      <c r="B25" s="2740" t="s">
        <v>1120</v>
      </c>
      <c r="C25" s="1638">
        <v>11747</v>
      </c>
      <c r="D25" s="1639">
        <v>12250.5</v>
      </c>
      <c r="E25" s="2754">
        <v>-503.5</v>
      </c>
      <c r="F25" s="1554">
        <v>-4.1100363250479575E-2</v>
      </c>
      <c r="G25" s="1638">
        <v>11953</v>
      </c>
      <c r="H25" s="1554">
        <v>-1.7234167154689173E-2</v>
      </c>
      <c r="I25" s="163"/>
      <c r="J25" s="1907" t="s">
        <v>81</v>
      </c>
      <c r="K25" s="1639">
        <v>26340</v>
      </c>
      <c r="L25" s="1626">
        <v>0.13942120517368162</v>
      </c>
      <c r="M25" s="2950">
        <v>26352.845203457138</v>
      </c>
      <c r="N25" s="1901">
        <v>-12.845203457138268</v>
      </c>
      <c r="O25" s="1626">
        <v>-4.8743137061546538E-4</v>
      </c>
      <c r="P25" s="1626">
        <v>0.13997686565978018</v>
      </c>
      <c r="Q25" s="2951"/>
      <c r="R25" s="2932" t="e">
        <v>#NAME?</v>
      </c>
      <c r="S25" s="1901" t="e">
        <v>#NAME?</v>
      </c>
      <c r="T25" s="1626" t="e">
        <v>#NAME?</v>
      </c>
      <c r="U25" s="1626" t="e">
        <v>#NAME?</v>
      </c>
      <c r="V25" s="3288" t="s">
        <v>2385</v>
      </c>
      <c r="W25" s="1901" t="e">
        <v>#NAME?</v>
      </c>
      <c r="X25" s="1630" t="e">
        <v>#NAME?</v>
      </c>
    </row>
    <row r="26" spans="2:26" ht="12">
      <c r="B26" s="1841" t="s">
        <v>667</v>
      </c>
      <c r="C26" s="1638">
        <v>97960</v>
      </c>
      <c r="D26" s="1639">
        <v>97836.307274616585</v>
      </c>
      <c r="E26" s="2754">
        <v>123.69272538341465</v>
      </c>
      <c r="F26" s="1554">
        <v>1.2642824410392119E-3</v>
      </c>
      <c r="G26" s="1638">
        <v>96458</v>
      </c>
      <c r="H26" s="1554">
        <v>1.5571544091729006E-2</v>
      </c>
      <c r="J26" s="1926" t="s">
        <v>1246</v>
      </c>
      <c r="K26" s="1889">
        <v>124300</v>
      </c>
      <c r="L26" s="1927">
        <v>3.9514948776918191E-2</v>
      </c>
      <c r="M26" s="2954">
        <v>124189.15247807372</v>
      </c>
      <c r="N26" s="1930">
        <v>110.84752192627639</v>
      </c>
      <c r="O26" s="1927">
        <v>8.9257008131893301E-4</v>
      </c>
      <c r="P26" s="1927">
        <v>3.8587936258195565E-2</v>
      </c>
      <c r="Q26" s="2955"/>
      <c r="R26" s="2934" t="e">
        <v>#NAME?</v>
      </c>
      <c r="S26" s="1930" t="e">
        <v>#NAME?</v>
      </c>
      <c r="T26" s="1927" t="e">
        <v>#NAME?</v>
      </c>
      <c r="U26" s="1927" t="e">
        <v>#NAME?</v>
      </c>
      <c r="V26" s="2964" t="s">
        <v>2384</v>
      </c>
      <c r="W26" s="1930" t="e">
        <v>#NAME?</v>
      </c>
      <c r="X26" s="1931" t="e">
        <v>#NAME?</v>
      </c>
    </row>
    <row r="27" spans="2:26">
      <c r="B27" s="1841" t="s">
        <v>81</v>
      </c>
      <c r="C27" s="1638">
        <v>26340</v>
      </c>
      <c r="D27" s="1639">
        <v>26352.845203457138</v>
      </c>
      <c r="E27" s="2754">
        <v>-12.845203457138268</v>
      </c>
      <c r="F27" s="1554">
        <v>-4.8743137061546397E-4</v>
      </c>
      <c r="G27" s="1638">
        <v>23117</v>
      </c>
      <c r="H27" s="1554">
        <v>0.13942120517368162</v>
      </c>
      <c r="I27" s="3111"/>
      <c r="J27" s="1583"/>
      <c r="K27" s="1639"/>
      <c r="L27" s="1626"/>
      <c r="M27" s="2950"/>
      <c r="N27" s="1901"/>
      <c r="O27" s="1626"/>
      <c r="P27" s="1626"/>
      <c r="Q27" s="2951"/>
      <c r="R27" s="2932"/>
      <c r="S27" s="1901"/>
      <c r="T27" s="1626"/>
      <c r="U27" s="1626"/>
      <c r="V27" s="2963"/>
      <c r="W27" s="1901"/>
      <c r="X27" s="1630"/>
    </row>
    <row r="28" spans="2:26" ht="12">
      <c r="B28" s="1890" t="s">
        <v>1246</v>
      </c>
      <c r="C28" s="1860">
        <v>124300</v>
      </c>
      <c r="D28" s="1889">
        <v>124189.15247807372</v>
      </c>
      <c r="E28" s="2843">
        <v>110.84752192627639</v>
      </c>
      <c r="F28" s="1861">
        <v>8.9257008131887468E-4</v>
      </c>
      <c r="G28" s="1860">
        <v>119575</v>
      </c>
      <c r="H28" s="1861">
        <v>3.9514948776918191E-2</v>
      </c>
      <c r="J28" s="1933" t="s">
        <v>1105</v>
      </c>
      <c r="K28" s="1639">
        <v>38513</v>
      </c>
      <c r="L28" s="1626">
        <v>1.3020148350781247E-2</v>
      </c>
      <c r="M28" s="2950">
        <v>38445.817288181388</v>
      </c>
      <c r="N28" s="1901">
        <v>67.182711818612006</v>
      </c>
      <c r="O28" s="1626">
        <v>1.7474647844009095E-3</v>
      </c>
      <c r="P28" s="1626">
        <v>1.1253019311415313E-2</v>
      </c>
      <c r="Q28" s="2951"/>
      <c r="R28" s="2932" t="e">
        <v>#NAME?</v>
      </c>
      <c r="S28" s="1901" t="e">
        <v>#NAME?</v>
      </c>
      <c r="T28" s="1626" t="e">
        <v>#NAME?</v>
      </c>
      <c r="U28" s="1626" t="e">
        <v>#NAME?</v>
      </c>
      <c r="V28" s="2963"/>
      <c r="W28" s="1901" t="e">
        <v>#NAME?</v>
      </c>
      <c r="X28" s="1630" t="e">
        <v>#NAME?</v>
      </c>
    </row>
    <row r="29" spans="2:26">
      <c r="B29" s="1839"/>
      <c r="C29" s="1638"/>
      <c r="D29" s="1639"/>
      <c r="E29" s="2754"/>
      <c r="F29" s="1554"/>
      <c r="G29" s="1638"/>
      <c r="H29" s="1554"/>
      <c r="J29" s="1933" t="s">
        <v>995</v>
      </c>
      <c r="K29" s="1639">
        <v>19762</v>
      </c>
      <c r="L29" s="1626">
        <v>0.17372453524974762</v>
      </c>
      <c r="M29" s="2950">
        <v>19501.105450558283</v>
      </c>
      <c r="N29" s="1901">
        <v>260.89454944171666</v>
      </c>
      <c r="O29" s="1626">
        <v>1.3378449242437584E-2</v>
      </c>
      <c r="P29" s="1626">
        <v>0.15822922436053233</v>
      </c>
      <c r="Q29" s="2951"/>
      <c r="R29" s="2932" t="e">
        <v>#NAME?</v>
      </c>
      <c r="S29" s="1901" t="e">
        <v>#NAME?</v>
      </c>
      <c r="T29" s="1626" t="e">
        <v>#NAME?</v>
      </c>
      <c r="U29" s="1626" t="e">
        <v>#NAME?</v>
      </c>
      <c r="V29" s="2963"/>
      <c r="W29" s="1901" t="e">
        <v>#NAME?</v>
      </c>
      <c r="X29" s="1630" t="e">
        <v>#NAME?</v>
      </c>
    </row>
    <row r="30" spans="2:26" ht="12">
      <c r="B30" s="1842" t="s">
        <v>1105</v>
      </c>
      <c r="C30" s="1638">
        <v>38513</v>
      </c>
      <c r="D30" s="1639">
        <v>38445.817288181388</v>
      </c>
      <c r="E30" s="2754">
        <v>67.182711818612006</v>
      </c>
      <c r="F30" s="1554">
        <v>1.7474647844009969E-3</v>
      </c>
      <c r="G30" s="1638">
        <v>38018</v>
      </c>
      <c r="H30" s="1554">
        <v>1.3020148350781247E-2</v>
      </c>
      <c r="J30" s="1932" t="s">
        <v>67</v>
      </c>
      <c r="K30" s="1889">
        <v>58275</v>
      </c>
      <c r="L30" s="1927">
        <v>6.2346185397867071E-2</v>
      </c>
      <c r="M30" s="2954">
        <v>57946.922738739668</v>
      </c>
      <c r="N30" s="1930">
        <v>328.07726126033231</v>
      </c>
      <c r="O30" s="1927">
        <v>5.6616856556732653E-3</v>
      </c>
      <c r="P30" s="1927">
        <v>5.6365376697468994E-2</v>
      </c>
      <c r="Q30" s="2955"/>
      <c r="R30" s="2934" t="e">
        <v>#NAME?</v>
      </c>
      <c r="S30" s="1930" t="e">
        <v>#NAME?</v>
      </c>
      <c r="T30" s="1927" t="e">
        <v>#NAME?</v>
      </c>
      <c r="U30" s="1927" t="e">
        <v>#NAME?</v>
      </c>
      <c r="V30" s="2964"/>
      <c r="W30" s="1930" t="e">
        <v>#NAME?</v>
      </c>
      <c r="X30" s="1931" t="e">
        <v>#NAME?</v>
      </c>
    </row>
    <row r="31" spans="2:26">
      <c r="B31" s="1842" t="s">
        <v>995</v>
      </c>
      <c r="C31" s="1638">
        <v>19762</v>
      </c>
      <c r="D31" s="1639">
        <v>19501.105450558283</v>
      </c>
      <c r="E31" s="2754">
        <v>260.89454944171666</v>
      </c>
      <c r="F31" s="1554">
        <v>1.3378449242437572E-2</v>
      </c>
      <c r="G31" s="1638">
        <v>16837</v>
      </c>
      <c r="H31" s="1554">
        <v>0.17372453524974762</v>
      </c>
      <c r="J31" s="1583"/>
      <c r="L31" s="1624"/>
      <c r="M31" s="2935"/>
      <c r="O31" s="1624"/>
      <c r="P31" s="1624"/>
      <c r="Q31" s="2925"/>
      <c r="R31" s="2935"/>
      <c r="U31" s="1624"/>
      <c r="V31" s="1839"/>
      <c r="X31" s="1397"/>
    </row>
    <row r="32" spans="2:26" ht="12">
      <c r="B32" s="1888" t="s">
        <v>67</v>
      </c>
      <c r="C32" s="1860">
        <v>58275</v>
      </c>
      <c r="D32" s="1889">
        <v>57946.922738739668</v>
      </c>
      <c r="E32" s="2843">
        <v>328.07726126033231</v>
      </c>
      <c r="F32" s="1861">
        <v>5.6616856556733165E-3</v>
      </c>
      <c r="G32" s="1860">
        <v>54855</v>
      </c>
      <c r="H32" s="1861">
        <v>6.2346185397867071E-2</v>
      </c>
      <c r="J32" s="1933" t="s">
        <v>1173</v>
      </c>
      <c r="K32" s="1634">
        <v>0.39315026541445486</v>
      </c>
      <c r="L32" s="1634">
        <v>-9.9018949856427563E-4</v>
      </c>
      <c r="M32" s="2936">
        <v>0.392960633522971</v>
      </c>
      <c r="N32" s="1634">
        <v>1.8963189148385462E-4</v>
      </c>
      <c r="O32" s="1634"/>
      <c r="P32" s="1634">
        <v>-1.1798213900481302E-3</v>
      </c>
      <c r="Q32" s="2926"/>
      <c r="R32" s="2936" t="e">
        <v>#NAME?</v>
      </c>
      <c r="S32" s="1634" t="e">
        <v>#NAME?</v>
      </c>
      <c r="T32" s="1634"/>
      <c r="U32" s="1634" t="e">
        <v>#NAME?</v>
      </c>
      <c r="V32" s="2965"/>
      <c r="W32" s="1634" t="e">
        <v>#NAME?</v>
      </c>
      <c r="X32" s="1635"/>
    </row>
    <row r="33" spans="1:24">
      <c r="B33" s="1839"/>
      <c r="C33" s="1396"/>
      <c r="E33" s="1569"/>
      <c r="F33" s="1554"/>
      <c r="G33" s="1396"/>
      <c r="H33" s="1554"/>
      <c r="J33" s="1933" t="s">
        <v>1172</v>
      </c>
      <c r="K33" s="1634">
        <v>0.75026575550493546</v>
      </c>
      <c r="L33" s="1634">
        <v>2.1927303283626465E-2</v>
      </c>
      <c r="M33" s="2936">
        <v>0.74</v>
      </c>
      <c r="N33" s="1634">
        <v>1.026575550493547E-2</v>
      </c>
      <c r="O33" s="1634"/>
      <c r="P33" s="1634">
        <v>1.1661547778690995E-2</v>
      </c>
      <c r="Q33" s="2926"/>
      <c r="R33" s="2936" t="e">
        <v>#NAME?</v>
      </c>
      <c r="S33" s="1634" t="e">
        <v>#NAME?</v>
      </c>
      <c r="T33" s="1634"/>
      <c r="U33" s="1634" t="e">
        <v>#NAME?</v>
      </c>
      <c r="V33" s="2965"/>
      <c r="W33" s="1634" t="e">
        <v>#NAME?</v>
      </c>
      <c r="X33" s="1635"/>
    </row>
    <row r="34" spans="1:24" ht="12">
      <c r="B34" s="1842" t="s">
        <v>1173</v>
      </c>
      <c r="C34" s="1636">
        <v>0.39315026541445486</v>
      </c>
      <c r="D34" s="1634">
        <v>0.392960633522971</v>
      </c>
      <c r="E34" s="1637"/>
      <c r="F34" s="1635">
        <v>1.8963189148385462E-4</v>
      </c>
      <c r="G34" s="1636">
        <v>0.39414045491301913</v>
      </c>
      <c r="H34" s="1635">
        <v>-9.9018949856427563E-4</v>
      </c>
      <c r="J34" s="1934" t="s">
        <v>1472</v>
      </c>
      <c r="K34" s="1893">
        <v>0.46882542236524538</v>
      </c>
      <c r="L34" s="1893">
        <v>1.0075683707499172E-2</v>
      </c>
      <c r="M34" s="2937">
        <v>0.46660212733934642</v>
      </c>
      <c r="N34" s="1893">
        <v>2.2232950258989637E-3</v>
      </c>
      <c r="O34" s="1893"/>
      <c r="P34" s="1893">
        <v>7.8523886816002086E-3</v>
      </c>
      <c r="Q34" s="2927"/>
      <c r="R34" s="2937" t="e">
        <v>#NAME?</v>
      </c>
      <c r="S34" s="1893" t="e">
        <v>#NAME?</v>
      </c>
      <c r="T34" s="1893"/>
      <c r="U34" s="1893" t="e">
        <v>#NAME?</v>
      </c>
      <c r="V34" s="1890" t="s">
        <v>2388</v>
      </c>
      <c r="W34" s="1893" t="e">
        <v>#NAME?</v>
      </c>
      <c r="X34" s="1895"/>
    </row>
    <row r="35" spans="1:24" ht="12">
      <c r="B35" s="1842" t="s">
        <v>1172</v>
      </c>
      <c r="C35" s="1636">
        <v>0.75026575550493546</v>
      </c>
      <c r="D35" s="1634">
        <v>0.74</v>
      </c>
      <c r="E35" s="1637"/>
      <c r="F35" s="1635">
        <v>1.026575550493547E-2</v>
      </c>
      <c r="G35" s="1636">
        <v>0.728338452221309</v>
      </c>
      <c r="H35" s="1635">
        <v>2.1927303283626465E-2</v>
      </c>
      <c r="J35" s="1934" t="s">
        <v>2251</v>
      </c>
      <c r="K35" s="1893">
        <v>0.34458567980691873</v>
      </c>
      <c r="L35" s="1893">
        <v>6.9482137814117495E-3</v>
      </c>
      <c r="M35" s="2937">
        <v>0.34309697657581251</v>
      </c>
      <c r="N35" s="1893">
        <v>1.4887032311062254E-3</v>
      </c>
      <c r="O35" s="1893"/>
      <c r="P35" s="1893">
        <v>5.4595105503055241E-3</v>
      </c>
      <c r="Q35" s="2927"/>
      <c r="R35" s="2937" t="e">
        <v>#NAME?</v>
      </c>
      <c r="S35" s="1893" t="e">
        <v>#NAME?</v>
      </c>
      <c r="T35" s="1893"/>
      <c r="U35" s="1893" t="e">
        <v>#NAME?</v>
      </c>
      <c r="V35" s="2966"/>
      <c r="W35" s="1893" t="e">
        <v>#NAME?</v>
      </c>
      <c r="X35" s="1895"/>
    </row>
    <row r="36" spans="1:24" ht="12">
      <c r="B36" s="1891" t="s">
        <v>1428</v>
      </c>
      <c r="C36" s="1892">
        <v>0.46882542236524538</v>
      </c>
      <c r="D36" s="1893">
        <v>0.46660212733934642</v>
      </c>
      <c r="E36" s="1894"/>
      <c r="F36" s="1895">
        <v>2.2232950258989637E-3</v>
      </c>
      <c r="G36" s="1892">
        <v>0.45874973865774621</v>
      </c>
      <c r="H36" s="1895">
        <v>1.0075683707499172E-2</v>
      </c>
      <c r="J36" s="1396"/>
      <c r="M36" s="2935"/>
      <c r="Q36" s="2925"/>
      <c r="R36" s="2935"/>
      <c r="V36" s="1839"/>
      <c r="X36" s="1397"/>
    </row>
    <row r="37" spans="1:24" ht="12">
      <c r="B37" s="1891" t="s">
        <v>2282</v>
      </c>
      <c r="C37" s="1892">
        <v>0.34458567980691873</v>
      </c>
      <c r="D37" s="1893">
        <v>0.34309697657581251</v>
      </c>
      <c r="E37" s="1894"/>
      <c r="F37" s="1895">
        <v>1.4887032311062254E-3</v>
      </c>
      <c r="G37" s="1892">
        <v>0.33763746602550698</v>
      </c>
      <c r="H37" s="1895">
        <v>6.9482137814117495E-3</v>
      </c>
      <c r="J37" s="3025" t="s">
        <v>2250</v>
      </c>
      <c r="M37" s="2935"/>
      <c r="Q37" s="2925"/>
      <c r="R37" s="2935"/>
      <c r="V37" s="1839"/>
      <c r="X37" s="1397"/>
    </row>
    <row r="38" spans="1:24">
      <c r="J38" s="1818" t="s">
        <v>168</v>
      </c>
      <c r="K38" s="1897">
        <v>52648</v>
      </c>
      <c r="L38" s="2541">
        <v>4.3981756890739687E-2</v>
      </c>
      <c r="M38" s="2944">
        <v>52880.289625500802</v>
      </c>
      <c r="N38" s="1897">
        <v>-232.28962550080178</v>
      </c>
      <c r="O38" s="2541">
        <v>-4.3927449555568598E-3</v>
      </c>
      <c r="P38" s="2541">
        <v>4.8587936258195574E-2</v>
      </c>
      <c r="Q38" s="2956"/>
      <c r="R38" s="2938"/>
      <c r="S38" s="2836"/>
      <c r="T38" s="2837"/>
      <c r="U38" s="2541"/>
      <c r="V38" s="2967"/>
      <c r="W38" s="2836">
        <v>52648</v>
      </c>
      <c r="X38" s="2838" t="e">
        <v>#DIV/0!</v>
      </c>
    </row>
    <row r="39" spans="1:24" ht="12">
      <c r="B39" s="2699" t="s">
        <v>2250</v>
      </c>
      <c r="C39" s="2700" t="s">
        <v>654</v>
      </c>
      <c r="D39" s="3286" t="s">
        <v>655</v>
      </c>
      <c r="E39" s="2702" t="s">
        <v>2215</v>
      </c>
      <c r="F39" s="2703" t="s">
        <v>1427</v>
      </c>
      <c r="G39" s="2700" t="s">
        <v>654</v>
      </c>
      <c r="H39" s="2703" t="s">
        <v>2259</v>
      </c>
      <c r="J39" s="1396" t="s">
        <v>663</v>
      </c>
      <c r="K39" s="2504">
        <v>33861</v>
      </c>
      <c r="L39" s="2523">
        <v>0.1139586143369411</v>
      </c>
      <c r="M39" s="2940">
        <v>31873.927498440371</v>
      </c>
      <c r="N39" s="2504">
        <v>1987.072501559629</v>
      </c>
      <c r="O39" s="2523">
        <v>6.2341627076137884E-2</v>
      </c>
      <c r="P39" s="2523">
        <v>4.8587936258195574E-2</v>
      </c>
      <c r="Q39" s="2925"/>
      <c r="R39" s="2932"/>
      <c r="S39" s="1901"/>
      <c r="T39" s="1626"/>
      <c r="U39" s="2523"/>
      <c r="V39" s="2963"/>
      <c r="W39" s="1901">
        <v>33861</v>
      </c>
      <c r="X39" s="1630" t="e">
        <v>#DIV/0!</v>
      </c>
    </row>
    <row r="40" spans="1:24">
      <c r="B40" s="1841" t="s">
        <v>168</v>
      </c>
      <c r="C40" s="1638">
        <v>52648</v>
      </c>
      <c r="D40" s="1639">
        <v>52880.289625500802</v>
      </c>
      <c r="E40" s="2754">
        <v>-232.28962550080178</v>
      </c>
      <c r="F40" s="1554">
        <v>-4.3927449555568104E-3</v>
      </c>
      <c r="G40" s="1638">
        <v>50430</v>
      </c>
      <c r="H40" s="1554">
        <v>4.3981756890739687E-2</v>
      </c>
      <c r="J40" s="1396" t="s">
        <v>171</v>
      </c>
      <c r="K40" s="2504">
        <v>18513</v>
      </c>
      <c r="L40" s="2523">
        <v>-0.11076420577357227</v>
      </c>
      <c r="M40" s="2940">
        <v>21859.95</v>
      </c>
      <c r="N40" s="2504">
        <v>-3346.9500000000007</v>
      </c>
      <c r="O40" s="2523">
        <v>-0.15310876740340218</v>
      </c>
      <c r="P40" s="2523">
        <v>5.0000000000000044E-2</v>
      </c>
      <c r="Q40" s="2925"/>
      <c r="R40" s="2932"/>
      <c r="S40" s="1901"/>
      <c r="T40" s="1626"/>
      <c r="U40" s="2523"/>
      <c r="V40" s="2963"/>
      <c r="W40" s="1901">
        <v>18513</v>
      </c>
      <c r="X40" s="1630" t="e">
        <v>#DIV/0!</v>
      </c>
    </row>
    <row r="41" spans="1:24">
      <c r="B41" s="1841" t="s">
        <v>663</v>
      </c>
      <c r="C41" s="1638">
        <v>33861</v>
      </c>
      <c r="D41" s="1639">
        <v>31873.927498440371</v>
      </c>
      <c r="E41" s="2754">
        <v>1987.072501559629</v>
      </c>
      <c r="F41" s="1554">
        <v>6.2341627076137975E-2</v>
      </c>
      <c r="G41" s="1638">
        <v>30397</v>
      </c>
      <c r="H41" s="1554">
        <v>0.1139586143369411</v>
      </c>
      <c r="J41" s="1396" t="s">
        <v>169</v>
      </c>
      <c r="K41" s="2504">
        <v>8987</v>
      </c>
      <c r="L41" s="2523">
        <v>0.15707480365649551</v>
      </c>
      <c r="M41" s="2940">
        <v>8066.7125009174051</v>
      </c>
      <c r="N41" s="2504">
        <v>920.28749908259488</v>
      </c>
      <c r="O41" s="2523">
        <v>0.11408457893818991</v>
      </c>
      <c r="P41" s="2523">
        <v>3.8587936258195565E-2</v>
      </c>
      <c r="Q41" s="2925"/>
      <c r="R41" s="2932"/>
      <c r="S41" s="1901"/>
      <c r="T41" s="1626"/>
      <c r="U41" s="2523"/>
      <c r="V41" s="2963"/>
      <c r="W41" s="1901">
        <v>8987</v>
      </c>
      <c r="X41" s="1630" t="e">
        <v>#DIV/0!</v>
      </c>
    </row>
    <row r="42" spans="1:24">
      <c r="B42" s="1841" t="s">
        <v>171</v>
      </c>
      <c r="C42" s="1638">
        <v>18513</v>
      </c>
      <c r="D42" s="1639">
        <v>21859.95</v>
      </c>
      <c r="E42" s="2754">
        <v>-3346.9500000000007</v>
      </c>
      <c r="F42" s="1554">
        <v>-0.15310876740340215</v>
      </c>
      <c r="G42" s="1638">
        <v>20819</v>
      </c>
      <c r="H42" s="1554">
        <v>-0.11076420577357227</v>
      </c>
      <c r="J42" s="1396" t="s">
        <v>172</v>
      </c>
      <c r="K42" s="2504">
        <v>10291</v>
      </c>
      <c r="L42" s="2523">
        <v>1.2694351505609047E-2</v>
      </c>
      <c r="M42" s="2940">
        <v>9508.2728532151486</v>
      </c>
      <c r="N42" s="2504">
        <v>782.72714678485136</v>
      </c>
      <c r="O42" s="2523">
        <v>8.2320644229322726E-2</v>
      </c>
      <c r="P42" s="2523">
        <v>-6.4330559612758464E-2</v>
      </c>
      <c r="Q42" s="2925"/>
      <c r="R42" s="2932"/>
      <c r="S42" s="1901"/>
      <c r="T42" s="1626"/>
      <c r="U42" s="2523"/>
      <c r="V42" s="2963"/>
      <c r="W42" s="1901">
        <v>10291</v>
      </c>
      <c r="X42" s="1630" t="e">
        <v>#DIV/0!</v>
      </c>
    </row>
    <row r="43" spans="1:24" ht="12">
      <c r="B43" s="1841" t="s">
        <v>169</v>
      </c>
      <c r="C43" s="1638">
        <v>8987</v>
      </c>
      <c r="D43" s="1639">
        <v>8066.7125009174051</v>
      </c>
      <c r="E43" s="2754">
        <v>920.28749908259488</v>
      </c>
      <c r="F43" s="1554">
        <v>0.11408457893818989</v>
      </c>
      <c r="G43" s="1638">
        <v>7767</v>
      </c>
      <c r="H43" s="1554">
        <v>0.15707480365649551</v>
      </c>
      <c r="J43" s="1926" t="s">
        <v>1246</v>
      </c>
      <c r="K43" s="1889">
        <v>124300</v>
      </c>
      <c r="L43" s="2839">
        <v>3.9514948776918191E-2</v>
      </c>
      <c r="M43" s="2954">
        <v>124189.15247807372</v>
      </c>
      <c r="N43" s="1930">
        <v>110.84752192627639</v>
      </c>
      <c r="O43" s="2839">
        <v>8.9257008131893301E-4</v>
      </c>
      <c r="P43" s="2839">
        <v>3.8587936258195565E-2</v>
      </c>
      <c r="Q43" s="2955"/>
      <c r="R43" s="2934" t="e">
        <v>#NAME?</v>
      </c>
      <c r="S43" s="1930" t="e">
        <v>#NAME?</v>
      </c>
      <c r="T43" s="1927" t="e">
        <v>#NAME?</v>
      </c>
      <c r="U43" s="2839" t="e">
        <v>#NAME?</v>
      </c>
      <c r="V43" s="2964"/>
      <c r="W43" s="1930" t="e">
        <v>#NAME?</v>
      </c>
      <c r="X43" s="1931" t="e">
        <v>#NAME?</v>
      </c>
    </row>
    <row r="44" spans="1:24" ht="12">
      <c r="B44" s="1841" t="s">
        <v>172</v>
      </c>
      <c r="C44" s="1638">
        <v>10291</v>
      </c>
      <c r="D44" s="1639">
        <v>9508.2728532151486</v>
      </c>
      <c r="E44" s="2754">
        <v>782.72714678485136</v>
      </c>
      <c r="F44" s="1554">
        <v>8.2320644229322698E-2</v>
      </c>
      <c r="G44" s="1638">
        <v>10162</v>
      </c>
      <c r="H44" s="1554">
        <v>1.2694351505609047E-2</v>
      </c>
      <c r="J44" s="2998" t="s">
        <v>2261</v>
      </c>
      <c r="K44" s="2525">
        <v>0</v>
      </c>
      <c r="L44" s="2525"/>
      <c r="M44" s="2999">
        <v>7.7718587736343896E-3</v>
      </c>
      <c r="N44" s="2525">
        <v>-7.7718587736343896E-3</v>
      </c>
      <c r="O44" s="2525"/>
      <c r="P44" s="2525"/>
      <c r="Q44" s="2969"/>
      <c r="R44" s="2970"/>
      <c r="S44" s="3000"/>
      <c r="T44" s="3122"/>
      <c r="U44" s="3015"/>
      <c r="V44" s="3001"/>
      <c r="W44" s="2971"/>
      <c r="X44" s="3015"/>
    </row>
    <row r="45" spans="1:24" ht="12">
      <c r="B45" s="1890" t="s">
        <v>1246</v>
      </c>
      <c r="C45" s="1860">
        <v>124300</v>
      </c>
      <c r="D45" s="1889">
        <v>124189.15247807372</v>
      </c>
      <c r="E45" s="2843">
        <v>110.84752192627639</v>
      </c>
      <c r="F45" s="1861">
        <v>8.9257008131887468E-4</v>
      </c>
      <c r="G45" s="1860">
        <v>119575</v>
      </c>
      <c r="H45" s="1861">
        <v>3.9514948776918191E-2</v>
      </c>
    </row>
    <row r="46" spans="1:24">
      <c r="A46" s="1624" t="s">
        <v>1440</v>
      </c>
      <c r="B46" s="2997" t="s">
        <v>2261</v>
      </c>
      <c r="C46" s="2993">
        <v>0</v>
      </c>
      <c r="D46" s="2994">
        <v>7.7718587736343896E-3</v>
      </c>
      <c r="E46" s="2995"/>
      <c r="F46" s="2996">
        <v>-7.7718587736343896E-3</v>
      </c>
      <c r="G46" s="2993">
        <v>0</v>
      </c>
      <c r="H46" s="2992"/>
      <c r="J46" s="2745" t="s">
        <v>2237</v>
      </c>
      <c r="K46" s="2746"/>
      <c r="L46" s="2746"/>
      <c r="M46" s="3406" t="s">
        <v>720</v>
      </c>
      <c r="N46" s="3400"/>
      <c r="O46" s="3400"/>
      <c r="P46" s="3400"/>
      <c r="Q46" s="3407"/>
      <c r="R46" s="2939" t="s">
        <v>668</v>
      </c>
      <c r="S46" s="2749"/>
      <c r="T46" s="2750"/>
      <c r="U46" s="3172"/>
      <c r="V46" s="2621"/>
      <c r="W46" s="3263" t="s">
        <v>2376</v>
      </c>
      <c r="X46" s="2750"/>
    </row>
    <row r="47" spans="1:24">
      <c r="J47" s="3026" t="s">
        <v>1431</v>
      </c>
      <c r="K47" s="2751" t="s">
        <v>654</v>
      </c>
      <c r="L47" s="2751"/>
      <c r="M47" s="2928" t="s">
        <v>720</v>
      </c>
      <c r="N47" s="2751" t="s">
        <v>1426</v>
      </c>
      <c r="O47" s="2751" t="s">
        <v>1427</v>
      </c>
      <c r="P47" s="2751"/>
      <c r="Q47" s="2751"/>
      <c r="R47" s="3035" t="s">
        <v>2265</v>
      </c>
      <c r="S47" s="2751" t="s">
        <v>1426</v>
      </c>
      <c r="T47" s="2750" t="s">
        <v>1427</v>
      </c>
      <c r="U47" s="3173"/>
      <c r="W47" s="2751" t="s">
        <v>2337</v>
      </c>
      <c r="X47" s="2750" t="s">
        <v>1427</v>
      </c>
    </row>
    <row r="48" spans="1:24" ht="12">
      <c r="B48" s="2851" t="s">
        <v>2252</v>
      </c>
      <c r="J48" s="3027" t="s">
        <v>2236</v>
      </c>
      <c r="L48" s="2523"/>
      <c r="M48" s="2935"/>
      <c r="O48" s="2523"/>
      <c r="P48" s="2523"/>
      <c r="R48" s="2935"/>
      <c r="T48" s="3020"/>
      <c r="U48" s="2523"/>
      <c r="X48" s="3020"/>
    </row>
    <row r="49" spans="2:24" ht="12">
      <c r="B49" s="2846" t="s">
        <v>2211</v>
      </c>
      <c r="C49" s="2847" t="s">
        <v>654</v>
      </c>
      <c r="D49" s="2848" t="s">
        <v>655</v>
      </c>
      <c r="E49" s="2849" t="s">
        <v>2213</v>
      </c>
      <c r="F49" s="2850" t="s">
        <v>1427</v>
      </c>
      <c r="G49" s="2847" t="s">
        <v>654</v>
      </c>
      <c r="H49" s="2850" t="s">
        <v>2259</v>
      </c>
      <c r="J49" s="1396" t="s">
        <v>2221</v>
      </c>
      <c r="K49" s="1641">
        <v>97960</v>
      </c>
      <c r="L49" s="2523"/>
      <c r="M49" s="2957">
        <v>97836.307274616585</v>
      </c>
      <c r="N49" s="1641">
        <v>123.69272538341465</v>
      </c>
      <c r="O49" s="2523">
        <v>1.2642824410391551E-3</v>
      </c>
      <c r="P49" s="2523"/>
      <c r="R49" s="2940">
        <v>98129.02229072139</v>
      </c>
      <c r="S49" s="1641">
        <v>-169.02229072139016</v>
      </c>
      <c r="T49" s="3020">
        <v>-1.7224495544309049E-3</v>
      </c>
      <c r="U49" s="2523"/>
      <c r="W49" s="1641">
        <v>-169.02229072139016</v>
      </c>
      <c r="X49" s="3020">
        <v>-2.9829606906466299E-3</v>
      </c>
    </row>
    <row r="50" spans="2:24">
      <c r="B50" s="1818" t="s">
        <v>84</v>
      </c>
      <c r="C50" s="2763">
        <v>76.900000000000006</v>
      </c>
      <c r="D50" s="2755">
        <v>76.900000000000006</v>
      </c>
      <c r="E50" s="2756">
        <v>0</v>
      </c>
      <c r="F50" s="2757">
        <v>0</v>
      </c>
      <c r="G50" s="2755">
        <v>80.190387000000001</v>
      </c>
      <c r="H50" s="2757">
        <v>-4.1032187561334421E-2</v>
      </c>
      <c r="J50" s="1396" t="s">
        <v>2223</v>
      </c>
      <c r="K50" s="1641">
        <v>26340</v>
      </c>
      <c r="L50" s="2523"/>
      <c r="M50" s="2957">
        <v>26352.845203457138</v>
      </c>
      <c r="N50" s="1641">
        <v>-12.845203457138268</v>
      </c>
      <c r="O50" s="2523">
        <v>-4.8743137061546538E-4</v>
      </c>
      <c r="P50" s="2523"/>
      <c r="R50" s="2940">
        <v>26061.675786020776</v>
      </c>
      <c r="S50" s="1641">
        <v>278.32421397922371</v>
      </c>
      <c r="T50" s="3020">
        <v>1.0679444263845594E-2</v>
      </c>
      <c r="U50" s="2523"/>
      <c r="W50" s="1641">
        <v>278.32421397922371</v>
      </c>
      <c r="X50" s="3020">
        <v>1.1172321374381511E-2</v>
      </c>
    </row>
    <row r="51" spans="2:24" ht="12">
      <c r="B51" s="1396" t="s">
        <v>85</v>
      </c>
      <c r="C51" s="2764">
        <v>15</v>
      </c>
      <c r="D51" s="2517">
        <v>14</v>
      </c>
      <c r="E51" s="2753">
        <v>1</v>
      </c>
      <c r="F51" s="1554">
        <v>7.1428571428571425E-2</v>
      </c>
      <c r="G51" s="2517">
        <v>14.801</v>
      </c>
      <c r="H51" s="1554">
        <v>1.3445037497466394E-2</v>
      </c>
      <c r="J51" s="1588" t="s">
        <v>1246</v>
      </c>
      <c r="K51" s="2768">
        <v>124300</v>
      </c>
      <c r="L51" s="2525"/>
      <c r="M51" s="2958">
        <v>124189.15247807372</v>
      </c>
      <c r="N51" s="2768">
        <v>110.84752192627639</v>
      </c>
      <c r="O51" s="2525">
        <v>8.9257008131893301E-4</v>
      </c>
      <c r="P51" s="2525"/>
      <c r="Q51" s="2502"/>
      <c r="R51" s="2943">
        <v>124376.28563257282</v>
      </c>
      <c r="S51" s="2768">
        <v>-76.285632572820759</v>
      </c>
      <c r="T51" s="3021">
        <v>-6.1334547968561193E-4</v>
      </c>
      <c r="U51" s="2523"/>
      <c r="W51" s="2768">
        <v>-76.285632572820759</v>
      </c>
      <c r="X51" s="3021">
        <v>-1.50457262449466E-3</v>
      </c>
    </row>
    <row r="52" spans="2:24">
      <c r="B52" s="1396" t="s">
        <v>86</v>
      </c>
      <c r="C52" s="2764">
        <v>6.9710000000000001</v>
      </c>
      <c r="D52" s="2517">
        <v>6.9710000000000001</v>
      </c>
      <c r="E52" s="2753">
        <v>0</v>
      </c>
      <c r="F52" s="1554">
        <v>0</v>
      </c>
      <c r="G52" s="2517">
        <v>5.941058</v>
      </c>
      <c r="H52" s="1554">
        <v>0.17336003115943321</v>
      </c>
      <c r="J52" s="1396" t="s">
        <v>2224</v>
      </c>
      <c r="K52" s="2504">
        <v>38513</v>
      </c>
      <c r="L52" s="2523"/>
      <c r="M52" s="2940">
        <v>38445.817288181388</v>
      </c>
      <c r="N52" s="2504">
        <v>67.182711818612006</v>
      </c>
      <c r="O52" s="2523">
        <v>1.7474647844009095E-3</v>
      </c>
      <c r="P52" s="2523"/>
      <c r="R52" s="2940">
        <v>38434.486481882406</v>
      </c>
      <c r="S52" s="2504">
        <v>78.513518117593776</v>
      </c>
      <c r="T52" s="3020">
        <v>2.0427882691915755E-3</v>
      </c>
      <c r="U52" s="2523"/>
      <c r="W52" s="2504">
        <v>78.513518117593776</v>
      </c>
      <c r="X52" s="3020">
        <v>2.9480831763750714E-4</v>
      </c>
    </row>
    <row r="53" spans="2:24">
      <c r="B53" s="2758" t="s">
        <v>1184</v>
      </c>
      <c r="C53" s="2765">
        <v>12.705</v>
      </c>
      <c r="D53" s="2759">
        <v>12.705</v>
      </c>
      <c r="E53" s="2760">
        <v>0</v>
      </c>
      <c r="F53" s="1556">
        <v>0</v>
      </c>
      <c r="G53" s="2759">
        <v>12.1</v>
      </c>
      <c r="H53" s="1556">
        <v>5.0000000000000044E-2</v>
      </c>
      <c r="J53" s="1396" t="s">
        <v>2225</v>
      </c>
      <c r="K53" s="2504">
        <v>19762</v>
      </c>
      <c r="L53" s="2523"/>
      <c r="M53" s="2940">
        <v>19501.105450558283</v>
      </c>
      <c r="N53" s="2504">
        <v>260.89454944171666</v>
      </c>
      <c r="O53" s="2523">
        <v>1.3378449242437584E-2</v>
      </c>
      <c r="P53" s="2523"/>
      <c r="R53" s="2940">
        <v>19301.227733522752</v>
      </c>
      <c r="S53" s="2504">
        <v>460.77226647724819</v>
      </c>
      <c r="T53" s="3020">
        <v>2.387269208149756E-2</v>
      </c>
      <c r="U53" s="2523"/>
      <c r="W53" s="2504">
        <v>460.77226647724819</v>
      </c>
      <c r="X53" s="3020">
        <v>1.0355699637095039E-2</v>
      </c>
    </row>
    <row r="54" spans="2:24">
      <c r="J54" s="2532" t="s">
        <v>2226</v>
      </c>
      <c r="K54" s="2505">
        <v>58275</v>
      </c>
      <c r="L54" s="2525"/>
      <c r="M54" s="2941">
        <v>57946.922738739668</v>
      </c>
      <c r="N54" s="2505">
        <v>328.07726126033231</v>
      </c>
      <c r="O54" s="2525">
        <v>5.6616856556732653E-3</v>
      </c>
      <c r="P54" s="2525"/>
      <c r="Q54" s="2502"/>
      <c r="R54" s="2941">
        <v>57878.992582350409</v>
      </c>
      <c r="S54" s="2505">
        <v>396.00741764959093</v>
      </c>
      <c r="T54" s="3021">
        <v>6.8419887766040244E-3</v>
      </c>
      <c r="U54" s="2523"/>
      <c r="W54" s="2505">
        <v>396.00741764959093</v>
      </c>
      <c r="X54" s="3021">
        <v>1.1736582369261672E-3</v>
      </c>
    </row>
    <row r="55" spans="2:24" ht="12">
      <c r="B55" s="2846" t="s">
        <v>2216</v>
      </c>
      <c r="C55" s="2847" t="s">
        <v>654</v>
      </c>
      <c r="D55" s="2848" t="s">
        <v>655</v>
      </c>
      <c r="E55" s="2849" t="s">
        <v>2215</v>
      </c>
      <c r="F55" s="2850" t="s">
        <v>1427</v>
      </c>
      <c r="G55" s="2847" t="s">
        <v>654</v>
      </c>
      <c r="H55" s="2850" t="s">
        <v>2259</v>
      </c>
      <c r="J55" s="1396" t="s">
        <v>2229</v>
      </c>
      <c r="K55" s="2504">
        <v>8268</v>
      </c>
      <c r="L55" s="2523"/>
      <c r="M55" s="2940">
        <v>8290</v>
      </c>
      <c r="N55" s="2504">
        <v>-22</v>
      </c>
      <c r="O55" s="2523">
        <v>-2.6537997587454676E-3</v>
      </c>
      <c r="P55" s="2523"/>
      <c r="R55" s="2940">
        <v>8224.9636457769593</v>
      </c>
      <c r="S55" s="2504">
        <v>43.036354223040689</v>
      </c>
      <c r="T55" s="3020">
        <v>5.2324066192239727E-3</v>
      </c>
      <c r="U55" s="2523"/>
      <c r="W55" s="2504">
        <v>43.036354223040689</v>
      </c>
      <c r="X55" s="3020">
        <v>7.9071904781529145E-3</v>
      </c>
    </row>
    <row r="56" spans="2:24">
      <c r="B56" s="1818" t="s">
        <v>84</v>
      </c>
      <c r="C56" s="2766">
        <v>899.06371911573467</v>
      </c>
      <c r="D56" s="1897">
        <v>912.09285222936569</v>
      </c>
      <c r="E56" s="2761">
        <v>-13.029133113631019</v>
      </c>
      <c r="F56" s="2757">
        <v>-1.4284875801608145E-2</v>
      </c>
      <c r="G56" s="1897">
        <v>869.20642994278103</v>
      </c>
      <c r="H56" s="2757">
        <v>3.4350055573011629E-2</v>
      </c>
      <c r="J56" s="1396" t="s">
        <v>2230</v>
      </c>
      <c r="K56" s="2504">
        <v>7175</v>
      </c>
      <c r="L56" s="2523"/>
      <c r="M56" s="2940">
        <v>7048</v>
      </c>
      <c r="N56" s="2504">
        <v>127</v>
      </c>
      <c r="O56" s="2523">
        <v>1.8019296254256467E-2</v>
      </c>
      <c r="P56" s="2523"/>
      <c r="R56" s="2940">
        <v>7061.3128187546818</v>
      </c>
      <c r="S56" s="2504">
        <v>113.68718124531824</v>
      </c>
      <c r="T56" s="3020">
        <v>1.6100006353403362E-2</v>
      </c>
      <c r="U56" s="2523"/>
      <c r="W56" s="2504">
        <v>113.68718124531824</v>
      </c>
      <c r="X56" s="3020">
        <v>-1.8853178008660931E-3</v>
      </c>
    </row>
    <row r="57" spans="2:24">
      <c r="B57" s="1396" t="s">
        <v>85</v>
      </c>
      <c r="C57" s="1907">
        <v>539.20000000000005</v>
      </c>
      <c r="D57" s="2504">
        <v>516.42857142857144</v>
      </c>
      <c r="E57" s="2754">
        <v>22.771428571428601</v>
      </c>
      <c r="F57" s="1554">
        <v>4.4094052558782904E-2</v>
      </c>
      <c r="G57" s="2504">
        <v>474.49496655631378</v>
      </c>
      <c r="H57" s="1554">
        <v>0.13636611134842669</v>
      </c>
      <c r="J57" s="2532" t="s">
        <v>2231</v>
      </c>
      <c r="K57" s="2505">
        <v>42832</v>
      </c>
      <c r="L57" s="2525"/>
      <c r="M57" s="2941">
        <v>42608.922738739668</v>
      </c>
      <c r="N57" s="2505">
        <v>223.07726126033231</v>
      </c>
      <c r="O57" s="2525">
        <v>5.2354588410543634E-3</v>
      </c>
      <c r="P57" s="2525"/>
      <c r="Q57" s="2502"/>
      <c r="R57" s="2941">
        <v>42572.247417060011</v>
      </c>
      <c r="S57" s="2505">
        <v>259.75258293998922</v>
      </c>
      <c r="T57" s="3021">
        <v>6.1014533810093141E-3</v>
      </c>
      <c r="U57" s="2523"/>
      <c r="W57" s="2505">
        <v>259.75258293998922</v>
      </c>
      <c r="X57" s="3021">
        <v>8.6148427449384002E-4</v>
      </c>
    </row>
    <row r="58" spans="2:24">
      <c r="B58" s="1396" t="s">
        <v>86</v>
      </c>
      <c r="C58" s="1907">
        <v>1289.1981064409697</v>
      </c>
      <c r="D58" s="2504">
        <v>1178.5779569901524</v>
      </c>
      <c r="E58" s="2754">
        <v>110.62014945081728</v>
      </c>
      <c r="F58" s="1554">
        <v>9.3859000836328699E-2</v>
      </c>
      <c r="G58" s="2504">
        <v>1309.5310633223914</v>
      </c>
      <c r="H58" s="1554">
        <v>-1.5526899247304105E-2</v>
      </c>
      <c r="J58" s="1396" t="s">
        <v>2227</v>
      </c>
      <c r="K58" s="2504">
        <v>-248</v>
      </c>
      <c r="L58" s="2523"/>
      <c r="M58" s="2940">
        <v>-250.05989244712214</v>
      </c>
      <c r="N58" s="2504">
        <v>2.059892447122138</v>
      </c>
      <c r="O58" s="2523">
        <v>-8.2375963092831128E-3</v>
      </c>
      <c r="P58" s="2523"/>
      <c r="R58" s="2940">
        <v>-134.65350622603702</v>
      </c>
      <c r="S58" s="2504">
        <v>-113.34649377396298</v>
      </c>
      <c r="T58" s="3020">
        <v>0.84176414674039846</v>
      </c>
      <c r="U58" s="2523"/>
      <c r="W58" s="2504">
        <v>-113.34649377396298</v>
      </c>
      <c r="X58" s="3020">
        <v>0.85706187276963597</v>
      </c>
    </row>
    <row r="59" spans="2:24">
      <c r="B59" s="2758" t="s">
        <v>1184</v>
      </c>
      <c r="C59" s="2767">
        <v>500</v>
      </c>
      <c r="D59" s="1899">
        <v>500</v>
      </c>
      <c r="E59" s="2762">
        <v>0</v>
      </c>
      <c r="F59" s="1556">
        <v>0</v>
      </c>
      <c r="G59" s="1899">
        <v>342.14876033057851</v>
      </c>
      <c r="H59" s="1556">
        <v>0.46135265700483097</v>
      </c>
      <c r="J59" s="1818" t="s">
        <v>2232</v>
      </c>
      <c r="K59" s="1897">
        <v>42584</v>
      </c>
      <c r="L59" s="2541"/>
      <c r="M59" s="2944">
        <v>42358.862846292548</v>
      </c>
      <c r="N59" s="1897">
        <v>225.13715370745194</v>
      </c>
      <c r="O59" s="2541">
        <v>5.3149952236537512E-3</v>
      </c>
      <c r="P59" s="2541"/>
      <c r="Q59" s="2621"/>
      <c r="R59" s="2944">
        <v>42437.593828045348</v>
      </c>
      <c r="S59" s="1897">
        <v>146.40617195465165</v>
      </c>
      <c r="T59" s="3022">
        <v>3.4499168955686166E-3</v>
      </c>
      <c r="U59" s="2523"/>
      <c r="W59" s="1897">
        <v>146.40617195465165</v>
      </c>
      <c r="X59" s="3022">
        <v>-1.8552178540520714E-3</v>
      </c>
    </row>
    <row r="60" spans="2:24">
      <c r="J60" s="1396" t="s">
        <v>2233</v>
      </c>
      <c r="K60" s="2504">
        <v>6254</v>
      </c>
      <c r="L60" s="2523"/>
      <c r="M60" s="2940">
        <v>6777.418055406808</v>
      </c>
      <c r="N60" s="2504">
        <v>-523.41805540680798</v>
      </c>
      <c r="O60" s="2523">
        <v>-7.7229713605941996E-2</v>
      </c>
      <c r="P60" s="2523"/>
      <c r="R60" s="2940">
        <v>6814.5809539853253</v>
      </c>
      <c r="S60" s="2504">
        <v>-560.58095398532532</v>
      </c>
      <c r="T60" s="3020">
        <v>-8.2261984672364119E-2</v>
      </c>
      <c r="U60" s="2523"/>
      <c r="W60" s="2504">
        <v>-560.58095398532532</v>
      </c>
      <c r="X60" s="3020">
        <v>-5.4534385649617212E-3</v>
      </c>
    </row>
    <row r="61" spans="2:24">
      <c r="B61" s="2532" t="s">
        <v>94</v>
      </c>
      <c r="C61" s="2769">
        <v>6352.5</v>
      </c>
      <c r="D61" s="2505">
        <v>6352.5</v>
      </c>
      <c r="E61" s="2770">
        <v>0</v>
      </c>
      <c r="F61" s="1558">
        <v>0</v>
      </c>
      <c r="G61" s="2505">
        <v>4140</v>
      </c>
      <c r="H61" s="1558">
        <v>0.53442028985507251</v>
      </c>
      <c r="J61" s="1396" t="s">
        <v>1562</v>
      </c>
      <c r="K61" s="2523">
        <v>0.14686267142588766</v>
      </c>
      <c r="L61" s="2523"/>
      <c r="M61" s="2945">
        <v>0.16</v>
      </c>
      <c r="N61" s="2523">
        <v>-1.3137328574112345E-2</v>
      </c>
      <c r="O61" s="2523"/>
      <c r="P61" s="2523"/>
      <c r="R61" s="2945">
        <v>0.16057887215749342</v>
      </c>
      <c r="S61" s="2523">
        <v>-1.371620073160576E-2</v>
      </c>
      <c r="T61" s="3020">
        <v>-8.5417219260035093E-2</v>
      </c>
      <c r="U61" s="2523"/>
      <c r="W61" s="2523">
        <v>-1.371620073160576E-2</v>
      </c>
      <c r="X61" s="3020">
        <v>-3.6049086017098109E-3</v>
      </c>
    </row>
    <row r="62" spans="2:24">
      <c r="B62" s="2968"/>
      <c r="J62" s="2532" t="s">
        <v>2234</v>
      </c>
      <c r="K62" s="2768">
        <v>36330</v>
      </c>
      <c r="L62" s="2525"/>
      <c r="M62" s="2958">
        <v>35581.44479088574</v>
      </c>
      <c r="N62" s="2768">
        <v>748.55520911425992</v>
      </c>
      <c r="O62" s="2525">
        <v>2.1037796905481576E-2</v>
      </c>
      <c r="P62" s="2525"/>
      <c r="Q62" s="2502"/>
      <c r="R62" s="2941">
        <v>35623.012874060027</v>
      </c>
      <c r="S62" s="2768">
        <v>706.98712593997334</v>
      </c>
      <c r="T62" s="3021">
        <v>1.9846359667539115E-2</v>
      </c>
      <c r="U62" s="2523"/>
      <c r="W62" s="2768">
        <v>706.98712593997334</v>
      </c>
      <c r="X62" s="3021">
        <v>-1.1668884751899755E-3</v>
      </c>
    </row>
    <row r="63" spans="2:24">
      <c r="B63" s="2835" t="s">
        <v>82</v>
      </c>
      <c r="C63" s="2835">
        <v>0</v>
      </c>
      <c r="D63" s="2835">
        <v>0</v>
      </c>
      <c r="E63" s="2835">
        <v>0</v>
      </c>
      <c r="F63" s="2835"/>
      <c r="G63" s="2835">
        <v>0</v>
      </c>
      <c r="J63" s="2532" t="s">
        <v>2228</v>
      </c>
      <c r="K63" s="2771">
        <v>2.3978828931549452</v>
      </c>
      <c r="L63" s="2525"/>
      <c r="M63" s="2959">
        <v>2.3452994667006171</v>
      </c>
      <c r="N63" s="2771">
        <v>5.2583426454328119E-2</v>
      </c>
      <c r="O63" s="2525">
        <v>2.2420772784425225E-2</v>
      </c>
      <c r="P63" s="2525"/>
      <c r="Q63" s="2502"/>
      <c r="R63" s="2946">
        <v>2.3542154707937528</v>
      </c>
      <c r="S63" s="2771">
        <v>4.3667422361192365E-2</v>
      </c>
      <c r="T63" s="3021">
        <v>1.8548609038946395E-2</v>
      </c>
      <c r="U63" s="2523"/>
      <c r="W63" s="2771">
        <v>4.3667422361192365E-2</v>
      </c>
      <c r="X63" s="3021">
        <v>-3.7872506589762267E-3</v>
      </c>
    </row>
    <row r="64" spans="2:24">
      <c r="J64" s="1396"/>
      <c r="K64" s="196"/>
      <c r="L64" s="2523"/>
      <c r="M64" s="3038"/>
      <c r="N64" s="196"/>
      <c r="O64" s="2523"/>
      <c r="P64" s="2523"/>
      <c r="R64" s="3039"/>
      <c r="S64" s="196"/>
      <c r="T64" s="3020"/>
      <c r="U64" s="2523"/>
      <c r="W64" s="196"/>
      <c r="X64" s="3020"/>
    </row>
    <row r="65" spans="3:24" ht="12">
      <c r="J65" s="3027" t="s">
        <v>1617</v>
      </c>
      <c r="M65" s="2935"/>
      <c r="R65" s="2935"/>
      <c r="T65" s="1397"/>
      <c r="X65" s="1397"/>
    </row>
    <row r="66" spans="3:24">
      <c r="J66" s="1396" t="s">
        <v>2217</v>
      </c>
      <c r="K66" s="1641">
        <v>69138</v>
      </c>
      <c r="L66" s="2523"/>
      <c r="M66" s="2957">
        <v>70139.940336438231</v>
      </c>
      <c r="N66" s="1641">
        <v>-1001.9403364382306</v>
      </c>
      <c r="O66" s="2523">
        <v>-1.4284875801608199E-2</v>
      </c>
      <c r="P66" s="2523"/>
      <c r="R66" s="2940">
        <v>70727.170327253887</v>
      </c>
      <c r="S66" s="1641">
        <v>-1589.1703272538871</v>
      </c>
      <c r="T66" s="3020">
        <v>-2.2469021733809158E-2</v>
      </c>
      <c r="U66" s="2523"/>
      <c r="W66" s="1641">
        <v>-1589.1703272538871</v>
      </c>
      <c r="X66" s="3020">
        <v>-8.3027496801942879E-3</v>
      </c>
    </row>
    <row r="67" spans="3:24">
      <c r="J67" s="1396" t="s">
        <v>2218</v>
      </c>
      <c r="K67" s="1641">
        <v>8088</v>
      </c>
      <c r="L67" s="2523"/>
      <c r="M67" s="2957">
        <v>7230</v>
      </c>
      <c r="N67" s="1641">
        <v>858</v>
      </c>
      <c r="O67" s="2523">
        <v>0.1186721991701245</v>
      </c>
      <c r="P67" s="2523"/>
      <c r="R67" s="2940">
        <v>7366.0984567686419</v>
      </c>
      <c r="S67" s="1641">
        <v>721.90154323135812</v>
      </c>
      <c r="T67" s="3020">
        <v>9.8003243843151289E-2</v>
      </c>
      <c r="U67" s="2523"/>
      <c r="W67" s="1641">
        <v>721.90154323135812</v>
      </c>
      <c r="X67" s="3020">
        <v>-1.8476328760387739E-2</v>
      </c>
    </row>
    <row r="68" spans="3:24">
      <c r="J68" s="1396" t="s">
        <v>2219</v>
      </c>
      <c r="K68" s="1641">
        <v>8987</v>
      </c>
      <c r="L68" s="2523"/>
      <c r="M68" s="2957">
        <v>8215.8669381783529</v>
      </c>
      <c r="N68" s="1641">
        <v>771.13306182164706</v>
      </c>
      <c r="O68" s="2523">
        <v>9.3859000836328699E-2</v>
      </c>
      <c r="P68" s="2523"/>
      <c r="R68" s="2940">
        <v>8068.5504960402668</v>
      </c>
      <c r="S68" s="1641">
        <v>918.44950395973319</v>
      </c>
      <c r="T68" s="3020">
        <v>0.11383079332656743</v>
      </c>
      <c r="U68" s="2523"/>
      <c r="W68" s="1641">
        <v>918.44950395973319</v>
      </c>
      <c r="X68" s="3020">
        <v>1.8258104997965097E-2</v>
      </c>
    </row>
    <row r="69" spans="3:24">
      <c r="J69" s="3028" t="s">
        <v>2220</v>
      </c>
      <c r="K69" s="1641">
        <v>11747</v>
      </c>
      <c r="L69" s="2523"/>
      <c r="M69" s="2957">
        <v>12250.5</v>
      </c>
      <c r="N69" s="1641">
        <v>-503.5</v>
      </c>
      <c r="O69" s="2523">
        <v>-4.110036325047961E-2</v>
      </c>
      <c r="P69" s="2523"/>
      <c r="R69" s="2940">
        <v>11972.800888666061</v>
      </c>
      <c r="S69" s="1641">
        <v>-225.80088866606093</v>
      </c>
      <c r="T69" s="3020">
        <v>-1.8859487497183136E-2</v>
      </c>
      <c r="U69" s="2523"/>
      <c r="W69" s="1641">
        <v>-225.80088866606093</v>
      </c>
      <c r="X69" s="3020">
        <v>2.3194164332660083E-2</v>
      </c>
    </row>
    <row r="70" spans="3:24">
      <c r="J70" s="2532" t="s">
        <v>2221</v>
      </c>
      <c r="K70" s="2505">
        <v>97960</v>
      </c>
      <c r="L70" s="2525"/>
      <c r="M70" s="2941">
        <v>97836.307274616585</v>
      </c>
      <c r="N70" s="2505">
        <v>123.69272538341465</v>
      </c>
      <c r="O70" s="2525">
        <v>1.2642824410391551E-3</v>
      </c>
      <c r="P70" s="2525"/>
      <c r="Q70" s="2502"/>
      <c r="R70" s="2941">
        <v>98129.02229072139</v>
      </c>
      <c r="S70" s="2505">
        <v>-169.02229072139016</v>
      </c>
      <c r="T70" s="3021">
        <v>-1.7224495544309049E-3</v>
      </c>
      <c r="U70" s="2523"/>
      <c r="W70" s="2505">
        <v>-169.02229072139016</v>
      </c>
      <c r="X70" s="3021">
        <v>-2.9829606906466299E-3</v>
      </c>
    </row>
    <row r="71" spans="3:24">
      <c r="J71" s="1396" t="s">
        <v>2222</v>
      </c>
      <c r="K71" s="2504">
        <v>6352.5</v>
      </c>
      <c r="L71" s="2523"/>
      <c r="M71" s="2940">
        <v>6352.5</v>
      </c>
      <c r="N71" s="2517"/>
      <c r="O71" s="2523"/>
      <c r="P71" s="2523"/>
      <c r="R71" s="2940">
        <v>5691.9140598599461</v>
      </c>
      <c r="S71" s="2504">
        <v>660.58594014005394</v>
      </c>
      <c r="T71" s="3020">
        <v>0.11605690690212356</v>
      </c>
      <c r="U71" s="2523"/>
      <c r="W71" s="2504">
        <v>660.58594014005394</v>
      </c>
      <c r="X71" s="3020">
        <v>0.11605690690212356</v>
      </c>
    </row>
    <row r="72" spans="3:24">
      <c r="E72" s="3107"/>
      <c r="J72" s="1396"/>
      <c r="L72" s="2523"/>
      <c r="M72" s="2935"/>
      <c r="O72" s="2523"/>
      <c r="P72" s="2523"/>
      <c r="R72" s="2935"/>
      <c r="T72" s="3020"/>
      <c r="U72" s="2523"/>
      <c r="X72" s="3020"/>
    </row>
    <row r="73" spans="3:24" ht="12">
      <c r="D73" s="3107"/>
      <c r="J73" s="3025" t="s">
        <v>2208</v>
      </c>
      <c r="L73" s="2523"/>
      <c r="M73" s="2935"/>
      <c r="O73" s="2523"/>
      <c r="P73" s="2523"/>
      <c r="R73" s="2935"/>
      <c r="T73" s="3020"/>
      <c r="U73" s="2523"/>
      <c r="X73" s="3020"/>
    </row>
    <row r="74" spans="3:24">
      <c r="C74" s="3106"/>
      <c r="J74" s="1396" t="s">
        <v>2207</v>
      </c>
      <c r="K74" s="2517">
        <v>76.900000000000006</v>
      </c>
      <c r="L74" s="2523"/>
      <c r="M74" s="2942">
        <v>76.900000000000006</v>
      </c>
      <c r="N74" s="2517">
        <v>0</v>
      </c>
      <c r="O74" s="2523">
        <v>0</v>
      </c>
      <c r="P74" s="2523"/>
      <c r="R74" s="2942">
        <v>77.053719173939086</v>
      </c>
      <c r="S74" s="2517">
        <v>-0.15371917393908063</v>
      </c>
      <c r="T74" s="3020">
        <v>-1.9949611204629347E-3</v>
      </c>
      <c r="U74" s="2523"/>
      <c r="W74" s="2517">
        <v>-0.15371917393908063</v>
      </c>
      <c r="X74" s="3020">
        <v>-1.9949611204629347E-3</v>
      </c>
    </row>
    <row r="75" spans="3:24">
      <c r="J75" s="1396" t="s">
        <v>2209</v>
      </c>
      <c r="K75" s="2517">
        <v>15</v>
      </c>
      <c r="L75" s="2523"/>
      <c r="M75" s="2942">
        <v>14</v>
      </c>
      <c r="N75" s="2517">
        <v>1</v>
      </c>
      <c r="O75" s="2523">
        <v>7.1428571428571397E-2</v>
      </c>
      <c r="P75" s="2523"/>
      <c r="R75" s="2942">
        <v>15.616457728941805</v>
      </c>
      <c r="S75" s="2517">
        <v>-0.61645772894180517</v>
      </c>
      <c r="T75" s="3020">
        <v>-3.9474875777964158E-2</v>
      </c>
      <c r="U75" s="2523"/>
      <c r="W75" s="2517">
        <v>-0.61645772894180517</v>
      </c>
      <c r="X75" s="3020">
        <v>-0.10350988405943318</v>
      </c>
    </row>
    <row r="76" spans="3:24">
      <c r="J76" s="1396" t="s">
        <v>2210</v>
      </c>
      <c r="K76" s="2517">
        <v>6.9710000000000001</v>
      </c>
      <c r="L76" s="2523"/>
      <c r="M76" s="2942">
        <v>6.9710000000000001</v>
      </c>
      <c r="N76" s="2517">
        <v>0</v>
      </c>
      <c r="O76" s="2523">
        <v>0</v>
      </c>
      <c r="P76" s="2523"/>
      <c r="R76" s="2942">
        <v>6.2903539466528198</v>
      </c>
      <c r="S76" s="2517">
        <v>0.68064605334718031</v>
      </c>
      <c r="T76" s="3020">
        <v>0.10820473046820545</v>
      </c>
      <c r="U76" s="2523"/>
      <c r="W76" s="2517">
        <v>0.68064605334718031</v>
      </c>
      <c r="X76" s="3020">
        <v>0.10820473046820545</v>
      </c>
    </row>
    <row r="77" spans="3:24">
      <c r="J77" s="3028" t="s">
        <v>2212</v>
      </c>
      <c r="K77" s="2517">
        <v>12.705</v>
      </c>
      <c r="L77" s="2523"/>
      <c r="M77" s="2942">
        <v>12.705</v>
      </c>
      <c r="N77" s="2517">
        <v>0</v>
      </c>
      <c r="O77" s="2523">
        <v>0</v>
      </c>
      <c r="P77" s="2523"/>
      <c r="R77" s="2942">
        <v>13.560791828899333</v>
      </c>
      <c r="S77" s="2517">
        <v>-0.85579182889933314</v>
      </c>
      <c r="T77" s="3020">
        <v>-6.3107806660342658E-2</v>
      </c>
      <c r="U77" s="2523"/>
      <c r="W77" s="2517">
        <v>-0.85579182889933314</v>
      </c>
      <c r="X77" s="3020">
        <v>-6.3107806660342658E-2</v>
      </c>
    </row>
    <row r="78" spans="3:24">
      <c r="J78" s="1396"/>
      <c r="L78" s="2523"/>
      <c r="M78" s="2935"/>
      <c r="O78" s="2523"/>
      <c r="P78" s="2523"/>
      <c r="R78" s="2935"/>
      <c r="T78" s="3020"/>
      <c r="U78" s="2523"/>
      <c r="X78" s="3020"/>
    </row>
    <row r="79" spans="3:24" ht="12">
      <c r="J79" s="3025" t="s">
        <v>2216</v>
      </c>
      <c r="L79" s="2523"/>
      <c r="M79" s="2935"/>
      <c r="O79" s="2523"/>
      <c r="P79" s="2523"/>
      <c r="R79" s="2935"/>
      <c r="T79" s="3020"/>
      <c r="U79" s="2523"/>
      <c r="X79" s="3020"/>
    </row>
    <row r="80" spans="3:24">
      <c r="J80" s="1396" t="s">
        <v>84</v>
      </c>
      <c r="K80" s="2504">
        <v>899.06371911573467</v>
      </c>
      <c r="L80" s="2523"/>
      <c r="M80" s="2940">
        <v>912.09285222936569</v>
      </c>
      <c r="N80" s="2504">
        <v>-13.029133113631019</v>
      </c>
      <c r="O80" s="2523">
        <v>-1.4284875801608199E-2</v>
      </c>
      <c r="P80" s="2523"/>
      <c r="R80" s="2940">
        <v>917.89430913251817</v>
      </c>
      <c r="S80" s="2504">
        <v>-18.830590016783503</v>
      </c>
      <c r="T80" s="3020">
        <v>-2.0514987215227265E-2</v>
      </c>
      <c r="U80" s="2523"/>
      <c r="W80" s="2504">
        <v>-18.830590016783503</v>
      </c>
      <c r="X80" s="3020">
        <v>-6.3203975070237339E-3</v>
      </c>
    </row>
    <row r="81" spans="6:26">
      <c r="J81" s="1396" t="s">
        <v>85</v>
      </c>
      <c r="K81" s="2504">
        <v>539.20000000000005</v>
      </c>
      <c r="L81" s="2523"/>
      <c r="M81" s="2940">
        <v>516.42857142857144</v>
      </c>
      <c r="N81" s="2504">
        <v>22.771428571428601</v>
      </c>
      <c r="O81" s="2523">
        <v>4.4094052558782959E-2</v>
      </c>
      <c r="P81" s="2523"/>
      <c r="R81" s="2940">
        <v>471.68817568129646</v>
      </c>
      <c r="S81" s="2504">
        <v>67.511824318703589</v>
      </c>
      <c r="T81" s="3020">
        <v>0.14312808291450363</v>
      </c>
      <c r="U81" s="2523"/>
      <c r="W81" s="2504">
        <v>67.511824318703589</v>
      </c>
      <c r="X81" s="3020">
        <v>9.4851637276369916E-2</v>
      </c>
    </row>
    <row r="82" spans="6:26">
      <c r="J82" s="1396" t="s">
        <v>86</v>
      </c>
      <c r="K82" s="2504">
        <v>1289.1981064409697</v>
      </c>
      <c r="L82" s="2523"/>
      <c r="M82" s="2940">
        <v>1178.5779569901524</v>
      </c>
      <c r="N82" s="2504">
        <v>110.62014945081728</v>
      </c>
      <c r="O82" s="2523">
        <v>9.3859000836328699E-2</v>
      </c>
      <c r="P82" s="2523"/>
      <c r="R82" s="2940">
        <v>1282.6862469851396</v>
      </c>
      <c r="S82" s="2504">
        <v>6.5118594558300629</v>
      </c>
      <c r="T82" s="3020">
        <v>5.0767360070600454E-3</v>
      </c>
      <c r="U82" s="2523"/>
      <c r="W82" s="2504">
        <v>6.5118594558300629</v>
      </c>
      <c r="X82" s="3020">
        <v>-8.1164267754243236E-2</v>
      </c>
    </row>
    <row r="83" spans="6:26">
      <c r="J83" s="2614" t="s">
        <v>1184</v>
      </c>
      <c r="K83" s="1899">
        <v>500</v>
      </c>
      <c r="L83" s="2615"/>
      <c r="M83" s="3037">
        <v>500</v>
      </c>
      <c r="N83" s="1899">
        <v>0</v>
      </c>
      <c r="O83" s="2615">
        <v>0</v>
      </c>
      <c r="P83" s="2615"/>
      <c r="Q83" s="195"/>
      <c r="R83" s="3037">
        <v>419.73316393884443</v>
      </c>
      <c r="S83" s="1899">
        <v>80.266836061155573</v>
      </c>
      <c r="T83" s="2616">
        <v>0.19123300934317045</v>
      </c>
      <c r="U83" s="2615"/>
      <c r="V83" s="195"/>
      <c r="W83" s="1899">
        <v>80.266836061155573</v>
      </c>
      <c r="X83" s="2616">
        <v>0.19123300934317045</v>
      </c>
    </row>
    <row r="85" spans="6:26" ht="12">
      <c r="N85" s="2520"/>
      <c r="R85" s="2790" t="s">
        <v>544</v>
      </c>
      <c r="S85" s="2788" t="s">
        <v>545</v>
      </c>
    </row>
    <row r="86" spans="6:26" ht="12">
      <c r="R86" s="2790" t="s">
        <v>2204</v>
      </c>
      <c r="S86" s="2788" t="s">
        <v>668</v>
      </c>
      <c r="V86" s="2520">
        <v>0.27893862480031872</v>
      </c>
    </row>
    <row r="87" spans="6:26" ht="12">
      <c r="R87" s="2790" t="s">
        <v>2205</v>
      </c>
      <c r="S87" s="2789">
        <v>45687</v>
      </c>
      <c r="V87" s="3285">
        <v>-0.20097560715663898</v>
      </c>
    </row>
    <row r="88" spans="6:26" ht="12">
      <c r="N88" s="2921" t="s">
        <v>1161</v>
      </c>
      <c r="O88" s="2921" t="s">
        <v>2339</v>
      </c>
      <c r="R88" s="2790" t="s">
        <v>2206</v>
      </c>
      <c r="S88" s="2791" t="s">
        <v>2383</v>
      </c>
    </row>
    <row r="89" spans="6:26">
      <c r="J89" s="2745" t="s">
        <v>2237</v>
      </c>
      <c r="K89" s="2746"/>
      <c r="L89" s="2746"/>
      <c r="M89" s="3400" t="s">
        <v>720</v>
      </c>
      <c r="N89" s="3400"/>
      <c r="O89" s="3400"/>
      <c r="P89" s="2746"/>
      <c r="Q89" s="2746"/>
      <c r="R89" s="3400" t="s">
        <v>668</v>
      </c>
      <c r="S89" s="3400"/>
      <c r="T89" s="3401"/>
      <c r="U89" s="2750"/>
      <c r="V89" s="2960" t="s">
        <v>2258</v>
      </c>
      <c r="W89" s="3400" t="s">
        <v>2376</v>
      </c>
      <c r="X89" s="3401"/>
    </row>
    <row r="90" spans="6:26">
      <c r="J90" s="3026" t="s">
        <v>1431</v>
      </c>
      <c r="K90" s="2751"/>
      <c r="L90" s="2751"/>
      <c r="M90" s="2751" t="s">
        <v>720</v>
      </c>
      <c r="N90" s="2751" t="s">
        <v>1426</v>
      </c>
      <c r="O90" s="2749" t="s">
        <v>1427</v>
      </c>
      <c r="P90" s="2751"/>
      <c r="Q90" s="2751"/>
      <c r="R90" s="2751" t="s">
        <v>1432</v>
      </c>
      <c r="S90" s="2751" t="s">
        <v>1426</v>
      </c>
      <c r="T90" s="2750" t="s">
        <v>1427</v>
      </c>
      <c r="U90" s="3120"/>
      <c r="V90" s="2961"/>
      <c r="W90" s="2751" t="s">
        <v>2337</v>
      </c>
      <c r="X90" s="2750" t="s">
        <v>1427</v>
      </c>
    </row>
    <row r="91" spans="6:26" ht="12">
      <c r="F91" s="2520"/>
      <c r="J91" s="3027" t="s">
        <v>2236</v>
      </c>
      <c r="L91" s="2523"/>
      <c r="O91" s="2523"/>
      <c r="P91" s="2523"/>
      <c r="T91" s="3020"/>
      <c r="U91" s="2523"/>
      <c r="X91" s="3020"/>
    </row>
    <row r="92" spans="6:26">
      <c r="I92" s="1546" t="s">
        <v>667</v>
      </c>
      <c r="J92" s="1396" t="s">
        <v>2221</v>
      </c>
      <c r="K92" s="1641"/>
      <c r="L92" s="2523"/>
      <c r="M92" s="1641">
        <v>69052.489000000001</v>
      </c>
      <c r="N92" s="1641">
        <v>66886</v>
      </c>
      <c r="O92" s="2523">
        <v>3.2390769368776828E-2</v>
      </c>
      <c r="P92" s="2523"/>
      <c r="R92" s="2504">
        <v>68855.717713247053</v>
      </c>
      <c r="S92" s="1641"/>
      <c r="T92" s="3020"/>
      <c r="U92" s="2523"/>
      <c r="V92" s="1641"/>
      <c r="W92" s="1641">
        <v>-68855.717713247053</v>
      </c>
      <c r="X92" s="3020">
        <v>2.8577334357680062E-3</v>
      </c>
    </row>
    <row r="93" spans="6:26">
      <c r="I93" s="1546" t="s">
        <v>81</v>
      </c>
      <c r="J93" s="2614" t="s">
        <v>2223</v>
      </c>
      <c r="K93" s="1641"/>
      <c r="L93" s="2523"/>
      <c r="M93" s="1641">
        <v>26850.90847973336</v>
      </c>
      <c r="N93" s="1641">
        <v>23867</v>
      </c>
      <c r="O93" s="2523">
        <v>0.12502235219061308</v>
      </c>
      <c r="P93" s="2523"/>
      <c r="R93" s="2504">
        <v>26558.439482603419</v>
      </c>
      <c r="S93" s="1641"/>
      <c r="T93" s="3020"/>
      <c r="U93" s="2523"/>
      <c r="V93" s="1641"/>
      <c r="W93" s="1641">
        <v>-26558.439482603419</v>
      </c>
      <c r="X93" s="3020">
        <v>1.1012280948265785E-2</v>
      </c>
    </row>
    <row r="94" spans="6:26" s="163" customFormat="1" ht="12">
      <c r="F94" s="3218"/>
      <c r="G94" s="3144"/>
      <c r="I94" s="163" t="s">
        <v>63</v>
      </c>
      <c r="J94" s="1588" t="s">
        <v>1246</v>
      </c>
      <c r="K94" s="3145"/>
      <c r="L94" s="2543"/>
      <c r="M94" s="3145">
        <v>95903.397479733365</v>
      </c>
      <c r="N94" s="3145">
        <v>90753</v>
      </c>
      <c r="O94" s="2543">
        <v>5.6751815143668782E-2</v>
      </c>
      <c r="P94" s="2543"/>
      <c r="Q94" s="1545"/>
      <c r="R94" s="1544">
        <v>95543.341774244895</v>
      </c>
      <c r="S94" s="3145"/>
      <c r="T94" s="3029"/>
      <c r="U94" s="2543"/>
      <c r="V94" s="3145" t="s">
        <v>2267</v>
      </c>
      <c r="W94" s="3145">
        <v>-95543.341774244895</v>
      </c>
      <c r="X94" s="3029">
        <v>3.7685065102623927E-3</v>
      </c>
      <c r="Y94" s="3218">
        <v>-0.20097560715663898</v>
      </c>
      <c r="Z94" s="3218">
        <v>6.7547227583240943E-2</v>
      </c>
    </row>
    <row r="95" spans="6:26">
      <c r="I95" s="160" t="s">
        <v>1105</v>
      </c>
      <c r="J95" s="1396" t="s">
        <v>2224</v>
      </c>
      <c r="K95" s="2504"/>
      <c r="L95" s="2523"/>
      <c r="M95" s="2504">
        <v>25421.692152878724</v>
      </c>
      <c r="N95" s="2504">
        <v>24462</v>
      </c>
      <c r="O95" s="2523">
        <v>3.9231957848038679E-2</v>
      </c>
      <c r="P95" s="2523"/>
      <c r="R95" s="2504">
        <v>25290.905762779472</v>
      </c>
      <c r="S95" s="2504"/>
      <c r="T95" s="3020"/>
      <c r="U95" s="2523"/>
      <c r="V95" s="2504"/>
      <c r="W95" s="2504">
        <v>-25290.905762779472</v>
      </c>
      <c r="X95" s="3020">
        <v>5.1712813817736958E-3</v>
      </c>
    </row>
    <row r="96" spans="6:26">
      <c r="I96" s="160" t="s">
        <v>995</v>
      </c>
      <c r="J96" s="1396" t="s">
        <v>2225</v>
      </c>
      <c r="K96" s="2504"/>
      <c r="L96" s="2523"/>
      <c r="M96" s="2504">
        <v>20003.926817401352</v>
      </c>
      <c r="N96" s="2504">
        <v>17809</v>
      </c>
      <c r="O96" s="2523">
        <v>0.12324817886469486</v>
      </c>
      <c r="P96" s="2523"/>
      <c r="R96" s="2504">
        <v>19599.226088684387</v>
      </c>
      <c r="S96" s="2504"/>
      <c r="T96" s="3020"/>
      <c r="U96" s="2523"/>
      <c r="V96" s="2504"/>
      <c r="W96" s="2504">
        <v>-19599.226088684387</v>
      </c>
      <c r="X96" s="3020">
        <v>2.0648811687040025E-2</v>
      </c>
    </row>
    <row r="97" spans="6:26" s="163" customFormat="1" ht="12">
      <c r="I97" s="163" t="s">
        <v>67</v>
      </c>
      <c r="J97" s="1588" t="s">
        <v>2226</v>
      </c>
      <c r="K97" s="1544"/>
      <c r="L97" s="2543"/>
      <c r="M97" s="1544">
        <v>45425.618970280077</v>
      </c>
      <c r="N97" s="1544">
        <v>42271</v>
      </c>
      <c r="O97" s="2543">
        <v>7.4628444330157251E-2</v>
      </c>
      <c r="P97" s="2543"/>
      <c r="Q97" s="1545"/>
      <c r="R97" s="1544">
        <v>44960.923010492435</v>
      </c>
      <c r="S97" s="1544"/>
      <c r="T97" s="3029"/>
      <c r="U97" s="2543"/>
      <c r="V97" s="1544"/>
      <c r="W97" s="1544">
        <v>-44960.923010492435</v>
      </c>
      <c r="X97" s="3029">
        <v>1.0335552045477314E-2</v>
      </c>
    </row>
    <row r="98" spans="6:26" s="163" customFormat="1" ht="12">
      <c r="J98" s="1934" t="s">
        <v>2266</v>
      </c>
      <c r="K98" s="3146"/>
      <c r="L98" s="3148"/>
      <c r="M98" s="3147">
        <v>0.47366016391525206</v>
      </c>
      <c r="N98" s="3147">
        <v>0.46578074554009236</v>
      </c>
      <c r="O98" s="3148">
        <v>1.6916582427689564E-2</v>
      </c>
      <c r="P98" s="3148"/>
      <c r="Q98" s="2589"/>
      <c r="R98" s="3147">
        <v>0.47058143639908051</v>
      </c>
      <c r="S98" s="3146"/>
      <c r="T98" s="3149"/>
      <c r="U98" s="3148"/>
      <c r="V98" s="3146" t="s">
        <v>2267</v>
      </c>
      <c r="W98" s="3146"/>
      <c r="X98" s="3149"/>
    </row>
    <row r="99" spans="6:26">
      <c r="I99" s="160" t="s">
        <v>68</v>
      </c>
      <c r="J99" s="1396" t="s">
        <v>2229</v>
      </c>
      <c r="K99" s="2504"/>
      <c r="L99" s="2523"/>
      <c r="M99" s="2504">
        <v>8368</v>
      </c>
      <c r="N99" s="2504">
        <v>7903</v>
      </c>
      <c r="O99" s="2523">
        <v>5.8838415791471643E-2</v>
      </c>
      <c r="P99" s="2523"/>
      <c r="R99" s="2504">
        <v>8351.3739575680374</v>
      </c>
      <c r="S99" s="2504"/>
      <c r="T99" s="3020"/>
      <c r="U99" s="2523"/>
      <c r="V99" s="2504"/>
      <c r="W99" s="2504">
        <v>-8351.3739575680374</v>
      </c>
      <c r="X99" s="3020">
        <v>1.9908152259060508E-3</v>
      </c>
    </row>
    <row r="100" spans="6:26">
      <c r="I100" s="160" t="s">
        <v>76</v>
      </c>
      <c r="J100" s="1396" t="s">
        <v>2230</v>
      </c>
      <c r="K100" s="2504"/>
      <c r="L100" s="2523"/>
      <c r="M100" s="2504">
        <v>6825</v>
      </c>
      <c r="N100" s="2504">
        <v>6468</v>
      </c>
      <c r="O100" s="2523">
        <v>5.5194805194805241E-2</v>
      </c>
      <c r="P100" s="2523"/>
      <c r="R100" s="2504">
        <v>6788.054297405175</v>
      </c>
      <c r="S100" s="2504"/>
      <c r="T100" s="3020"/>
      <c r="U100" s="2523"/>
      <c r="V100" s="2504"/>
      <c r="W100" s="2504">
        <v>-6788.054297405175</v>
      </c>
      <c r="X100" s="3020">
        <v>5.4427529563143562E-3</v>
      </c>
    </row>
    <row r="101" spans="6:26" ht="12">
      <c r="J101" s="1588" t="s">
        <v>1600</v>
      </c>
      <c r="K101" s="1544"/>
      <c r="L101" s="2543"/>
      <c r="M101" s="1544">
        <v>15193</v>
      </c>
      <c r="N101" s="1544">
        <v>14371</v>
      </c>
      <c r="O101" s="2543">
        <v>5.7198524806902684E-2</v>
      </c>
      <c r="P101" s="2543"/>
      <c r="Q101" s="1545"/>
      <c r="R101" s="1544">
        <v>15139.428254973212</v>
      </c>
      <c r="S101" s="1544"/>
      <c r="T101" s="3029"/>
      <c r="U101" s="2543"/>
      <c r="V101" s="1544" t="s">
        <v>2267</v>
      </c>
      <c r="W101" s="1544">
        <v>-15139.428254973212</v>
      </c>
      <c r="X101" s="3029">
        <v>3.5385580039450915E-3</v>
      </c>
    </row>
    <row r="102" spans="6:26" ht="12">
      <c r="I102" s="160" t="s">
        <v>70</v>
      </c>
      <c r="J102" s="1588" t="s">
        <v>2231</v>
      </c>
      <c r="K102" s="1544"/>
      <c r="L102" s="2543"/>
      <c r="M102" s="1544">
        <v>30232.618970280077</v>
      </c>
      <c r="N102" s="1544">
        <v>27900</v>
      </c>
      <c r="O102" s="2543">
        <v>8.3606414705378995E-2</v>
      </c>
      <c r="P102" s="2543"/>
      <c r="Q102" s="1545"/>
      <c r="R102" s="1544">
        <v>29837.923985052741</v>
      </c>
      <c r="S102" s="1544"/>
      <c r="T102" s="3029"/>
      <c r="U102" s="2543"/>
      <c r="V102" s="1544"/>
      <c r="W102" s="2505">
        <v>-29837.923985052741</v>
      </c>
      <c r="X102" s="3021">
        <v>1.3227964030777084E-2</v>
      </c>
    </row>
    <row r="103" spans="6:26">
      <c r="I103" s="160" t="s">
        <v>689</v>
      </c>
      <c r="J103" s="1396" t="s">
        <v>2227</v>
      </c>
      <c r="K103" s="2504"/>
      <c r="L103" s="2523"/>
      <c r="M103" s="2504">
        <v>-300</v>
      </c>
      <c r="N103" s="2504">
        <v>158</v>
      </c>
      <c r="O103" s="2523">
        <v>-2.8987341772151898</v>
      </c>
      <c r="P103" s="2523"/>
      <c r="R103" s="2504">
        <v>-48.661630771285871</v>
      </c>
      <c r="S103" s="2504"/>
      <c r="T103" s="3020"/>
      <c r="U103" s="2523"/>
      <c r="V103" s="2504"/>
      <c r="W103" s="2504">
        <v>48.661630771285871</v>
      </c>
      <c r="X103" s="3020">
        <v>5.1650215014377041</v>
      </c>
    </row>
    <row r="104" spans="6:26">
      <c r="I104" s="160" t="s">
        <v>71</v>
      </c>
      <c r="J104" s="1818" t="s">
        <v>2232</v>
      </c>
      <c r="K104" s="1897"/>
      <c r="L104" s="2541"/>
      <c r="M104" s="1897">
        <v>29932.618970280077</v>
      </c>
      <c r="N104" s="1897">
        <v>28058</v>
      </c>
      <c r="O104" s="2541">
        <v>6.6812280642956523E-2</v>
      </c>
      <c r="P104" s="2541"/>
      <c r="Q104" s="2621"/>
      <c r="R104" s="1897">
        <v>29789.262566168782</v>
      </c>
      <c r="S104" s="1897"/>
      <c r="T104" s="3022"/>
      <c r="U104" s="2541"/>
      <c r="V104" s="1897"/>
      <c r="W104" s="1897">
        <v>-29789.262566168782</v>
      </c>
      <c r="X104" s="3022">
        <v>4.812351557641481E-3</v>
      </c>
    </row>
    <row r="105" spans="6:26">
      <c r="I105" s="193" t="s">
        <v>2379</v>
      </c>
      <c r="J105" s="1396" t="s">
        <v>2233</v>
      </c>
      <c r="K105" s="2504"/>
      <c r="L105" s="2523"/>
      <c r="M105" s="2504">
        <v>4789.2190352448124</v>
      </c>
      <c r="N105" s="2504">
        <v>4422</v>
      </c>
      <c r="O105" s="2523">
        <v>8.3043653379649918E-2</v>
      </c>
      <c r="P105" s="2523"/>
      <c r="R105" s="2504">
        <v>4761.5151504476753</v>
      </c>
      <c r="S105" s="2504"/>
      <c r="T105" s="3020"/>
      <c r="U105" s="2523"/>
      <c r="V105" s="2504"/>
      <c r="W105" s="2504">
        <v>-4761.5151504476753</v>
      </c>
      <c r="X105" s="3020">
        <v>5.8182918507636572E-3</v>
      </c>
    </row>
    <row r="106" spans="6:26">
      <c r="J106" s="1396" t="s">
        <v>1562</v>
      </c>
      <c r="K106" s="2523"/>
      <c r="L106" s="2523"/>
      <c r="M106" s="2523">
        <v>0.16</v>
      </c>
      <c r="N106" s="2523">
        <v>0.1576021099151757</v>
      </c>
      <c r="O106" s="2523">
        <v>1.5214834916327469E-2</v>
      </c>
      <c r="P106" s="2523"/>
      <c r="R106" s="2523">
        <v>0.15983998059271384</v>
      </c>
      <c r="S106" s="2523"/>
      <c r="T106" s="3020"/>
      <c r="U106" s="2523"/>
      <c r="V106" s="3040" t="s">
        <v>2267</v>
      </c>
      <c r="W106" s="2523">
        <v>-0.15983998059271384</v>
      </c>
      <c r="X106" s="3020">
        <v>1.0011225395096801E-3</v>
      </c>
    </row>
    <row r="107" spans="6:26">
      <c r="I107" s="160" t="s">
        <v>80</v>
      </c>
      <c r="J107" s="2532" t="s">
        <v>2234</v>
      </c>
      <c r="K107" s="2768"/>
      <c r="L107" s="2525"/>
      <c r="M107" s="2768">
        <v>25143.399935035264</v>
      </c>
      <c r="N107" s="2768">
        <v>23636</v>
      </c>
      <c r="O107" s="2525">
        <v>6.3775593799088925E-2</v>
      </c>
      <c r="P107" s="2525"/>
      <c r="Q107" s="2502"/>
      <c r="R107" s="2505">
        <v>25027.747415721104</v>
      </c>
      <c r="S107" s="2768"/>
      <c r="T107" s="3021"/>
      <c r="U107" s="2525"/>
      <c r="V107" s="2768"/>
      <c r="W107" s="2768">
        <v>-25027.747415721104</v>
      </c>
      <c r="X107" s="3021">
        <v>4.6209719713534714E-3</v>
      </c>
    </row>
    <row r="108" spans="6:26" ht="12">
      <c r="F108" s="2520"/>
      <c r="I108" s="160" t="s">
        <v>1153</v>
      </c>
      <c r="J108" s="1588" t="s">
        <v>2228</v>
      </c>
      <c r="K108" s="2923"/>
      <c r="L108" s="2543"/>
      <c r="M108" s="2923">
        <v>1.6667751613395243</v>
      </c>
      <c r="N108" s="2923">
        <v>1.5283831076291186</v>
      </c>
      <c r="O108" s="2543">
        <v>9.0548013138593397E-2</v>
      </c>
      <c r="P108" s="2543"/>
      <c r="Q108" s="1545"/>
      <c r="R108" s="2924">
        <v>1.6655446303953649</v>
      </c>
      <c r="S108" s="2923"/>
      <c r="T108" s="3029"/>
      <c r="U108" s="2543"/>
      <c r="V108" s="2923"/>
      <c r="W108" s="2771">
        <v>-1.6655446303953649</v>
      </c>
      <c r="X108" s="3021">
        <v>7.3881595347424778E-4</v>
      </c>
    </row>
    <row r="109" spans="6:26" ht="12">
      <c r="J109" s="3027"/>
      <c r="T109" s="1397"/>
      <c r="X109" s="1397"/>
    </row>
    <row r="110" spans="6:26" ht="12">
      <c r="J110" s="3027" t="s">
        <v>1617</v>
      </c>
      <c r="T110" s="1397"/>
      <c r="X110" s="1397"/>
    </row>
    <row r="111" spans="6:26">
      <c r="I111" s="2504" t="s">
        <v>84</v>
      </c>
      <c r="J111" s="1396" t="s">
        <v>2217</v>
      </c>
      <c r="K111" s="1641"/>
      <c r="L111" s="2523"/>
      <c r="M111" s="1641">
        <v>47759</v>
      </c>
      <c r="N111" s="1641">
        <v>45963</v>
      </c>
      <c r="O111" s="2523">
        <v>3.9074908078236881E-2</v>
      </c>
      <c r="P111" s="2523"/>
      <c r="R111" s="2504">
        <v>47140.728343843795</v>
      </c>
      <c r="S111" s="1641"/>
      <c r="T111" s="3020"/>
      <c r="U111" s="2523"/>
      <c r="V111" s="2504"/>
      <c r="W111" s="1641">
        <v>-47140.728343843795</v>
      </c>
      <c r="X111" s="3020">
        <v>1.3115445557958738E-2</v>
      </c>
      <c r="Z111" s="1641">
        <v>618.2716561562047</v>
      </c>
    </row>
    <row r="112" spans="6:26">
      <c r="I112" s="2504" t="s">
        <v>85</v>
      </c>
      <c r="J112" s="1396" t="s">
        <v>2218</v>
      </c>
      <c r="K112" s="1641"/>
      <c r="L112" s="2523"/>
      <c r="M112" s="1641">
        <v>6305</v>
      </c>
      <c r="N112" s="1641">
        <v>5559</v>
      </c>
      <c r="O112" s="2523">
        <v>0.13419679798524919</v>
      </c>
      <c r="P112" s="2523"/>
      <c r="R112" s="2504">
        <v>6125.5972978930076</v>
      </c>
      <c r="S112" s="1641"/>
      <c r="T112" s="3020"/>
      <c r="U112" s="2523"/>
      <c r="V112" s="2504"/>
      <c r="W112" s="1641">
        <v>-6125.5972978930076</v>
      </c>
      <c r="X112" s="3020">
        <v>2.9287381031185333E-2</v>
      </c>
      <c r="Z112" s="1641">
        <v>179.40270210699236</v>
      </c>
    </row>
    <row r="113" spans="9:26">
      <c r="I113" s="2504" t="s">
        <v>86</v>
      </c>
      <c r="J113" s="1396" t="s">
        <v>2219</v>
      </c>
      <c r="K113" s="1641"/>
      <c r="L113" s="2523"/>
      <c r="M113" s="1641">
        <v>7667.0790000000006</v>
      </c>
      <c r="N113" s="1641">
        <v>7451</v>
      </c>
      <c r="O113" s="2523">
        <v>2.9000000000000137E-2</v>
      </c>
      <c r="P113" s="2523"/>
      <c r="R113" s="2504">
        <v>7618.3550893453503</v>
      </c>
      <c r="S113" s="1641"/>
      <c r="T113" s="3020"/>
      <c r="U113" s="2523"/>
      <c r="V113" s="2504"/>
      <c r="W113" s="1641">
        <v>-7618.3550893453503</v>
      </c>
      <c r="X113" s="3020">
        <v>6.3955945979459194E-3</v>
      </c>
      <c r="Z113" s="1641">
        <v>48.723910654650354</v>
      </c>
    </row>
    <row r="114" spans="9:26">
      <c r="I114" s="2504" t="s">
        <v>1120</v>
      </c>
      <c r="J114" s="3028" t="s">
        <v>2220</v>
      </c>
      <c r="K114" s="1641"/>
      <c r="L114" s="2523"/>
      <c r="M114" s="1641">
        <v>7321.41</v>
      </c>
      <c r="N114" s="1641">
        <v>7913</v>
      </c>
      <c r="O114" s="2523">
        <v>-7.4761784405408815E-2</v>
      </c>
      <c r="P114" s="2523"/>
      <c r="R114" s="2504">
        <v>8101.103833111295</v>
      </c>
      <c r="S114" s="1641"/>
      <c r="T114" s="3020"/>
      <c r="U114" s="2523"/>
      <c r="V114" s="2504"/>
      <c r="W114" s="1641">
        <v>-8101.103833111295</v>
      </c>
      <c r="X114" s="3020">
        <v>-9.6245382008867231E-2</v>
      </c>
      <c r="Z114" s="1641">
        <v>-779.69383311129513</v>
      </c>
    </row>
    <row r="115" spans="9:26">
      <c r="I115" s="2504" t="s">
        <v>667</v>
      </c>
      <c r="J115" s="2532" t="s">
        <v>2221</v>
      </c>
      <c r="K115" s="2505"/>
      <c r="L115" s="2525"/>
      <c r="M115" s="2505">
        <v>69052.489000000001</v>
      </c>
      <c r="N115" s="2505">
        <v>66886</v>
      </c>
      <c r="O115" s="2525">
        <v>3.2390769368776828E-2</v>
      </c>
      <c r="P115" s="2525"/>
      <c r="Q115" s="2502"/>
      <c r="R115" s="2505">
        <v>68855.717713247053</v>
      </c>
      <c r="S115" s="2505"/>
      <c r="T115" s="3021"/>
      <c r="U115" s="2525"/>
      <c r="V115" s="2505"/>
      <c r="W115" s="2505">
        <v>-68855.717713247053</v>
      </c>
      <c r="X115" s="3021">
        <v>2.8577334357680062E-3</v>
      </c>
      <c r="Z115" s="1641">
        <v>196.77128675294807</v>
      </c>
    </row>
    <row r="116" spans="9:26">
      <c r="I116" s="160" t="s">
        <v>94</v>
      </c>
      <c r="J116" s="1396" t="s">
        <v>2222</v>
      </c>
      <c r="K116" s="2504"/>
      <c r="L116" s="2523"/>
      <c r="M116" s="2504">
        <v>3750</v>
      </c>
      <c r="N116" s="2504">
        <v>4435.2</v>
      </c>
      <c r="O116" s="2523">
        <v>-0.15449134199134196</v>
      </c>
      <c r="P116" s="2523"/>
      <c r="R116" s="2504">
        <v>3496.9903254687565</v>
      </c>
      <c r="S116" s="2504"/>
      <c r="T116" s="3020"/>
      <c r="U116" s="2523"/>
      <c r="V116" s="2504"/>
      <c r="W116" s="2504">
        <v>-3496.9903254687565</v>
      </c>
      <c r="X116" s="3020">
        <v>7.2350693305772484E-2</v>
      </c>
    </row>
    <row r="117" spans="9:26">
      <c r="J117" s="1396"/>
      <c r="L117" s="2523"/>
      <c r="O117" s="2523"/>
      <c r="P117" s="2523"/>
      <c r="T117" s="3020"/>
      <c r="U117" s="2523"/>
      <c r="X117" s="3020"/>
    </row>
    <row r="118" spans="9:26" ht="12">
      <c r="J118" s="3025" t="s">
        <v>2208</v>
      </c>
      <c r="L118" s="2523"/>
      <c r="O118" s="2523"/>
      <c r="P118" s="2523"/>
      <c r="T118" s="3020"/>
      <c r="U118" s="2523"/>
      <c r="X118" s="3020"/>
    </row>
    <row r="119" spans="9:26">
      <c r="I119" s="160" t="s">
        <v>84</v>
      </c>
      <c r="J119" s="1396" t="s">
        <v>2207</v>
      </c>
      <c r="K119" s="2517"/>
      <c r="L119" s="2523"/>
      <c r="M119" s="2517">
        <v>55.25</v>
      </c>
      <c r="N119" s="2517">
        <v>52.590130000000002</v>
      </c>
      <c r="O119" s="2523">
        <v>5.0577361189257264E-2</v>
      </c>
      <c r="P119" s="2523"/>
      <c r="R119" s="2517">
        <v>50.841000846849305</v>
      </c>
      <c r="S119" s="2517"/>
      <c r="T119" s="3020"/>
      <c r="U119" s="2523"/>
      <c r="V119" s="2517"/>
      <c r="W119" s="2517">
        <v>-50.841000846849305</v>
      </c>
      <c r="X119" s="3020">
        <v>8.6721328843075485E-2</v>
      </c>
    </row>
    <row r="120" spans="9:26">
      <c r="I120" s="160" t="s">
        <v>85</v>
      </c>
      <c r="J120" s="1396" t="s">
        <v>2209</v>
      </c>
      <c r="K120" s="2517"/>
      <c r="L120" s="2523"/>
      <c r="M120" s="2517">
        <v>12.5</v>
      </c>
      <c r="N120" s="2517">
        <v>12.012</v>
      </c>
      <c r="O120" s="2523">
        <v>4.0626040626040583E-2</v>
      </c>
      <c r="P120" s="2523"/>
      <c r="R120" s="2517">
        <v>12.58749262878729</v>
      </c>
      <c r="S120" s="2517"/>
      <c r="T120" s="3020"/>
      <c r="U120" s="2523"/>
      <c r="V120" s="2517"/>
      <c r="W120" s="2517">
        <v>-12.58749262878729</v>
      </c>
      <c r="X120" s="3020">
        <v>-6.9507590882076364E-3</v>
      </c>
    </row>
    <row r="121" spans="9:26">
      <c r="I121" s="160" t="s">
        <v>86</v>
      </c>
      <c r="J121" s="1396" t="s">
        <v>2210</v>
      </c>
      <c r="K121" s="2517"/>
      <c r="L121" s="2523"/>
      <c r="M121" s="2517">
        <v>5.0312283000000004</v>
      </c>
      <c r="N121" s="2517">
        <v>4.7916460000000001</v>
      </c>
      <c r="O121" s="2523">
        <v>5.0000000000000044E-2</v>
      </c>
      <c r="P121" s="2523"/>
      <c r="R121" s="2517">
        <v>5.5087368466742523</v>
      </c>
      <c r="S121" s="2517"/>
      <c r="T121" s="3020"/>
      <c r="U121" s="2523"/>
      <c r="V121" s="2517"/>
      <c r="W121" s="2517">
        <v>-5.5087368466742523</v>
      </c>
      <c r="X121" s="3020">
        <v>-8.6682039815086598E-2</v>
      </c>
    </row>
    <row r="122" spans="9:26">
      <c r="I122" s="160" t="s">
        <v>1184</v>
      </c>
      <c r="J122" s="3028" t="s">
        <v>2212</v>
      </c>
      <c r="K122" s="2517"/>
      <c r="L122" s="2523"/>
      <c r="M122" s="2517">
        <v>7.5</v>
      </c>
      <c r="N122" s="2517">
        <v>8.0640000000000001</v>
      </c>
      <c r="O122" s="2523">
        <v>-6.9940476190476164E-2</v>
      </c>
      <c r="P122" s="2523"/>
      <c r="R122" s="2517">
        <v>8.3633013528449212</v>
      </c>
      <c r="S122" s="2517"/>
      <c r="T122" s="3020"/>
      <c r="U122" s="2523"/>
      <c r="V122" s="2517"/>
      <c r="W122" s="2517">
        <v>-8.3633013528449212</v>
      </c>
      <c r="X122" s="3020">
        <v>-0.10322494866829768</v>
      </c>
    </row>
    <row r="123" spans="9:26">
      <c r="J123" s="1396"/>
      <c r="L123" s="2523"/>
      <c r="O123" s="2523"/>
      <c r="P123" s="2523"/>
      <c r="T123" s="3020"/>
      <c r="U123" s="2523"/>
      <c r="X123" s="3020"/>
    </row>
    <row r="124" spans="9:26" ht="12">
      <c r="J124" s="3025" t="s">
        <v>2216</v>
      </c>
      <c r="L124" s="2523"/>
      <c r="O124" s="2523"/>
      <c r="P124" s="2523"/>
      <c r="T124" s="3020"/>
      <c r="U124" s="2523"/>
      <c r="X124" s="3020"/>
    </row>
    <row r="125" spans="9:26">
      <c r="J125" s="1396" t="s">
        <v>84</v>
      </c>
      <c r="K125" s="2504"/>
      <c r="L125" s="2523"/>
      <c r="M125" s="2504">
        <v>864.41628959276022</v>
      </c>
      <c r="N125" s="2504">
        <v>873.98528963514639</v>
      </c>
      <c r="O125" s="2523"/>
      <c r="P125" s="2523"/>
      <c r="R125" s="2504">
        <v>927.21873209868522</v>
      </c>
      <c r="S125" s="2504"/>
      <c r="T125" s="3020"/>
      <c r="U125" s="2523"/>
      <c r="V125" s="2504"/>
      <c r="W125" s="2504">
        <v>-927.21873209868522</v>
      </c>
      <c r="X125" s="3020">
        <v>-6.7732068315506044E-2</v>
      </c>
    </row>
    <row r="126" spans="9:26">
      <c r="J126" s="1396" t="s">
        <v>85</v>
      </c>
      <c r="K126" s="2504"/>
      <c r="L126" s="2523"/>
      <c r="M126" s="2504">
        <v>504.4</v>
      </c>
      <c r="N126" s="2504">
        <v>462.78721278721275</v>
      </c>
      <c r="O126" s="2523"/>
      <c r="P126" s="2523"/>
      <c r="R126" s="2504">
        <v>486.64157974431822</v>
      </c>
      <c r="S126" s="2504"/>
      <c r="T126" s="3020"/>
      <c r="U126" s="2523"/>
      <c r="V126" s="2504"/>
      <c r="W126" s="2504">
        <v>-486.64157974431822</v>
      </c>
      <c r="X126" s="3020">
        <v>3.6491785730705661E-2</v>
      </c>
    </row>
    <row r="127" spans="9:26">
      <c r="J127" s="1396" t="s">
        <v>86</v>
      </c>
      <c r="K127" s="2504"/>
      <c r="L127" s="2523"/>
      <c r="M127" s="2504">
        <v>1523.8980508994196</v>
      </c>
      <c r="N127" s="2504">
        <v>1554.9980111218567</v>
      </c>
      <c r="O127" s="2523"/>
      <c r="P127" s="2523"/>
      <c r="R127" s="2504">
        <v>1382.958616718953</v>
      </c>
      <c r="S127" s="2504"/>
      <c r="T127" s="3020"/>
      <c r="U127" s="2523"/>
      <c r="V127" s="2504"/>
      <c r="W127" s="2504">
        <v>-1382.958616718953</v>
      </c>
      <c r="X127" s="3020">
        <v>0.1019115340666108</v>
      </c>
    </row>
    <row r="128" spans="9:26">
      <c r="J128" s="2614" t="s">
        <v>1184</v>
      </c>
      <c r="K128" s="1899"/>
      <c r="L128" s="2615"/>
      <c r="M128" s="1899">
        <v>500</v>
      </c>
      <c r="N128" s="1899">
        <v>550</v>
      </c>
      <c r="O128" s="2615"/>
      <c r="P128" s="2615"/>
      <c r="Q128" s="195"/>
      <c r="R128" s="1899">
        <v>418.13515715049476</v>
      </c>
      <c r="S128" s="1899"/>
      <c r="T128" s="2616"/>
      <c r="U128" s="2615"/>
      <c r="V128" s="1899"/>
      <c r="W128" s="1899">
        <v>-418.13515715049476</v>
      </c>
      <c r="X128" s="2616">
        <v>0.19578560053978089</v>
      </c>
    </row>
    <row r="129" spans="10:24">
      <c r="J129" s="2621"/>
      <c r="K129" s="2621"/>
      <c r="L129" s="2541"/>
      <c r="M129" s="2621"/>
      <c r="N129" s="2621"/>
      <c r="O129" s="2541"/>
      <c r="P129" s="2541"/>
      <c r="Q129" s="2621"/>
      <c r="R129" s="2621"/>
      <c r="S129" s="2621"/>
      <c r="T129" s="2541"/>
      <c r="U129" s="2541"/>
      <c r="V129" s="2621"/>
      <c r="W129" s="2621"/>
      <c r="X129" s="2541"/>
    </row>
    <row r="133" spans="10:24">
      <c r="M133" s="2520">
        <v>0.36815026541445484</v>
      </c>
      <c r="R133" s="2520">
        <v>0.36730291401659138</v>
      </c>
    </row>
    <row r="134" spans="10:24">
      <c r="M134" s="2520">
        <v>0.745</v>
      </c>
      <c r="R134" s="2520">
        <v>0.73796602776765075</v>
      </c>
    </row>
  </sheetData>
  <mergeCells count="6">
    <mergeCell ref="M6:P6"/>
    <mergeCell ref="W6:X6"/>
    <mergeCell ref="M46:Q46"/>
    <mergeCell ref="M89:O89"/>
    <mergeCell ref="R89:T89"/>
    <mergeCell ref="W89:X89"/>
  </mergeCells>
  <printOptions horizontalCentered="1" verticalCentered="1"/>
  <pageMargins left="0.7" right="0.7" top="0.75" bottom="0.75" header="0.3" footer="0.3"/>
  <pageSetup scale="19" orientation="landscape" r:id="rId1"/>
  <customProperties>
    <customPr name="Qube.Worksheet.Visibility" r:id="rId2"/>
  </customPropertie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6092E-057A-45A9-91B8-2AAB6735EA43}">
  <sheetPr>
    <tabColor rgb="FFFFCCFF"/>
    <pageSetUpPr fitToPage="1"/>
  </sheetPr>
  <dimension ref="B1:U36"/>
  <sheetViews>
    <sheetView showGridLines="0" zoomScale="85" zoomScaleNormal="85" workbookViewId="0">
      <selection activeCell="Q3" sqref="Q3"/>
    </sheetView>
  </sheetViews>
  <sheetFormatPr defaultRowHeight="13.8"/>
  <cols>
    <col min="2" max="2" width="38.19921875" customWidth="1"/>
    <col min="3" max="3" width="11.3984375" customWidth="1"/>
    <col min="7" max="7" width="10.09765625" bestFit="1" customWidth="1"/>
    <col min="10" max="10" width="20.5" bestFit="1" customWidth="1"/>
    <col min="15" max="15" width="1.3984375" customWidth="1"/>
    <col min="16" max="16" width="10" bestFit="1" customWidth="1"/>
    <col min="17" max="17" width="9.09765625" bestFit="1" customWidth="1"/>
    <col min="19" max="19" width="1.59765625" customWidth="1"/>
  </cols>
  <sheetData>
    <row r="1" spans="2:21">
      <c r="J1" s="388"/>
      <c r="K1" s="388"/>
      <c r="L1" s="388"/>
      <c r="M1" s="388"/>
      <c r="N1" s="388"/>
      <c r="O1" s="388"/>
      <c r="P1" t="s">
        <v>1471</v>
      </c>
      <c r="Q1" s="388"/>
      <c r="R1" s="388"/>
      <c r="S1" s="388"/>
      <c r="T1" s="388"/>
      <c r="U1" s="388"/>
    </row>
    <row r="2" spans="2:21">
      <c r="B2" s="1846"/>
      <c r="C2" s="1847" t="str">
        <f>'Income Statement'!DF7</f>
      </c>
      <c r="D2" s="1848"/>
      <c r="E2" s="1848"/>
      <c r="F2" s="1848"/>
      <c r="G2" s="1847" t="str">
        <f>'Revenue summary'!DB8</f>
      </c>
      <c r="H2" s="1849"/>
      <c r="J2" s="1902" t="s">
        <v>1429</v>
      </c>
      <c r="K2" s="1903"/>
      <c r="L2" s="3410" t="s">
        <v>720</v>
      </c>
      <c r="M2" s="3410"/>
      <c r="N2" s="3410"/>
      <c r="O2" s="1903"/>
      <c r="P2" s="3410" t="s">
        <v>668</v>
      </c>
      <c r="Q2" s="3410"/>
      <c r="R2" s="3410"/>
      <c r="S2" s="1903"/>
      <c r="T2" s="3410" t="s">
        <v>1430</v>
      </c>
      <c r="U2" s="3411"/>
    </row>
    <row r="3" spans="2:21">
      <c r="B3" s="1850"/>
      <c r="C3" s="1851" t="s">
        <v>1424</v>
      </c>
      <c r="D3" s="2679" t="s">
        <v>1425</v>
      </c>
      <c r="E3" s="1851" t="s">
        <v>1426</v>
      </c>
      <c r="F3" s="2680" t="s">
        <v>1427</v>
      </c>
      <c r="G3" s="1852" t="s">
        <v>654</v>
      </c>
      <c r="H3" s="2680" t="s">
        <v>1427</v>
      </c>
      <c r="J3" s="1904" t="s">
        <v>1431</v>
      </c>
      <c r="K3" s="1905" t="s">
        <v>654</v>
      </c>
      <c r="L3" s="1905" t="s">
        <v>720</v>
      </c>
      <c r="M3" s="1905" t="s">
        <v>1426</v>
      </c>
      <c r="N3" s="2679" t="s">
        <v>1427</v>
      </c>
      <c r="O3" s="1905"/>
      <c r="P3" s="1905" t="s">
        <v>1432</v>
      </c>
      <c r="Q3" s="1905" t="s">
        <v>1426</v>
      </c>
      <c r="R3" s="2679" t="s">
        <v>1427</v>
      </c>
      <c r="S3" s="1905"/>
      <c r="T3" s="1905" t="s">
        <v>1426</v>
      </c>
      <c r="U3" s="2680" t="s">
        <v>1427</v>
      </c>
    </row>
    <row r="4" spans="2:21">
      <c r="B4" s="1830" t="s">
        <v>63</v>
      </c>
      <c r="C4" s="1640">
        <v>117154</v>
      </c>
      <c r="D4" s="1641">
        <v>115309.64168143545</v>
      </c>
      <c r="E4" s="1638">
        <f>C4-D4</f>
      </c>
      <c r="F4" s="1554">
        <f>E4/D4</f>
      </c>
      <c r="G4" s="1640">
        <f>'Income Statement'!DB9</f>
      </c>
      <c r="H4" s="1554">
        <f>C4/G4-1</f>
      </c>
      <c r="I4" s="1936"/>
      <c r="J4" s="1579" t="s">
        <v>1433</v>
      </c>
      <c r="K4" s="1645">
        <f>C4</f>
      </c>
      <c r="L4" s="1645">
        <v>115309.64168143545</v>
      </c>
      <c r="M4" s="1645">
        <f>K4-L4</f>
      </c>
      <c r="N4" s="1623">
        <f>K4/L4-1</f>
      </c>
      <c r="O4" s="1540"/>
      <c r="P4" s="1896">
        <v>121415.03999999999</v>
      </c>
      <c r="Q4" s="1897">
        <f>K4-P4</f>
      </c>
      <c r="R4" s="1623">
        <f>K4/P4-1</f>
      </c>
      <c r="S4" s="1540"/>
      <c r="T4" s="1897">
        <f>L4-P4</f>
      </c>
      <c r="U4" s="1913">
        <f>L4/P4-1</f>
      </c>
    </row>
    <row r="5" spans="2:21">
      <c r="B5" s="1831" t="s">
        <v>66</v>
      </c>
      <c r="C5" s="1640">
        <v>66822</v>
      </c>
      <c r="D5" s="1641">
        <v>65624.387995723606</v>
      </c>
      <c r="E5" s="1638">
        <f t="shared" ref="E5:E18" si="0">C5-D5</f>
      </c>
      <c r="F5" s="1554">
        <f t="shared" ref="F5:F18" si="1">E5/D5</f>
      </c>
      <c r="G5" s="1640">
        <f>'Income Statement'!DB10</f>
      </c>
      <c r="H5" s="1554">
        <f t="shared" ref="H5:H18" si="2">C5/G5-1</f>
      </c>
      <c r="J5" s="1925" t="s">
        <v>67</v>
      </c>
      <c r="K5" s="1854">
        <f t="shared" ref="K5" si="3">C6</f>
      </c>
      <c r="L5" s="1854">
        <v>49685.253685711839</v>
      </c>
      <c r="M5" s="1854">
        <f t="shared" ref="M5:M8" si="4">K5-L5</f>
      </c>
      <c r="N5" s="1915">
        <f t="shared" ref="N5:N8" si="5">K5/L5-1</f>
      </c>
      <c r="O5" s="1916"/>
      <c r="P5" s="1917">
        <v>52155.565999999999</v>
      </c>
      <c r="Q5" s="1918">
        <f>K5-P5</f>
      </c>
      <c r="R5" s="1915">
        <f>K5/P5-1</f>
      </c>
      <c r="S5" s="1916"/>
      <c r="T5" s="1918">
        <f>L5-P5</f>
      </c>
      <c r="U5" s="1906">
        <f>L5/P5-1</f>
      </c>
    </row>
    <row r="6" spans="2:21">
      <c r="B6" s="1883" t="s">
        <v>67</v>
      </c>
      <c r="C6" s="1884">
        <v>50332</v>
      </c>
      <c r="D6" s="1885">
        <v>49685.253685711839</v>
      </c>
      <c r="E6" s="1886">
        <f t="shared" si="0"/>
      </c>
      <c r="F6" s="1887">
        <f t="shared" si="1"/>
      </c>
      <c r="G6" s="1884">
        <f>'Income Statement'!DB11</f>
      </c>
      <c r="H6" s="1887">
        <f t="shared" si="2"/>
      </c>
      <c r="J6" s="1581" t="s">
        <v>70</v>
      </c>
      <c r="K6" s="1643">
        <f>C10</f>
      </c>
      <c r="L6" s="1643">
        <v>34868.7921472503</v>
      </c>
      <c r="M6" s="1643">
        <f t="shared" si="4"/>
      </c>
      <c r="N6" s="1625">
        <f t="shared" si="5"/>
      </c>
      <c r="O6" s="1537"/>
      <c r="P6" s="1898">
        <v>37562.245999999999</v>
      </c>
      <c r="Q6" s="1899">
        <f>K6-P6</f>
      </c>
      <c r="R6" s="1625">
        <f>K6/P6-1</f>
      </c>
      <c r="S6" s="1537"/>
      <c r="T6" s="1899">
        <f>L6-P6</f>
      </c>
      <c r="U6" s="1628">
        <f>L6/P6-1</f>
      </c>
    </row>
    <row r="7" spans="2:21">
      <c r="B7" s="1832" t="s">
        <v>68</v>
      </c>
      <c r="C7" s="1640">
        <v>7709</v>
      </c>
      <c r="D7" s="1641">
        <v>7381.0769230769229</v>
      </c>
      <c r="E7" s="1638">
        <f t="shared" si="0"/>
      </c>
      <c r="F7" s="1554">
        <f t="shared" si="1"/>
      </c>
      <c r="G7" s="1640">
        <f>'Income Statement'!DB12</f>
      </c>
      <c r="H7" s="1554">
        <f t="shared" si="2"/>
      </c>
      <c r="J7" s="1914" t="s">
        <v>80</v>
      </c>
      <c r="K7" s="1854">
        <f>C15</f>
      </c>
      <c r="L7" s="1854">
        <v>28864.941442954001</v>
      </c>
      <c r="M7" s="1854">
        <f t="shared" si="4"/>
      </c>
      <c r="N7" s="1915">
        <f t="shared" si="5"/>
      </c>
      <c r="O7" s="1916"/>
      <c r="P7" s="1917">
        <v>31018.186000000002</v>
      </c>
      <c r="Q7" s="1918">
        <f t="shared" ref="Q7:Q8" si="6">K7-P7</f>
      </c>
      <c r="R7" s="1915">
        <f t="shared" ref="R7:R8" si="7">K7/P7-1</f>
      </c>
      <c r="S7" s="1916"/>
      <c r="T7" s="1918">
        <f t="shared" ref="T7:T8" si="8">L7-P7</f>
      </c>
      <c r="U7" s="1919">
        <f t="shared" ref="U7:U8" si="9">L7/P7-1</f>
      </c>
    </row>
    <row r="8" spans="2:21">
      <c r="B8" s="1833" t="s">
        <v>76</v>
      </c>
      <c r="C8" s="1640">
        <v>6607</v>
      </c>
      <c r="D8" s="1641">
        <v>7435.3846153846152</v>
      </c>
      <c r="E8" s="1638">
        <f t="shared" si="0"/>
      </c>
      <c r="F8" s="1554">
        <f t="shared" si="1"/>
      </c>
      <c r="G8" s="1640">
        <f>'Income Statement'!DB13</f>
      </c>
      <c r="H8" s="1554">
        <f t="shared" si="2"/>
      </c>
      <c r="J8" s="1920" t="s">
        <v>1153</v>
      </c>
      <c r="K8" s="1921">
        <f>C17</f>
      </c>
      <c r="L8" s="1921">
        <v>1.8030849449040154</v>
      </c>
      <c r="M8" s="1921">
        <f t="shared" si="4"/>
      </c>
      <c r="N8" s="1922">
        <f t="shared" si="5"/>
      </c>
      <c r="O8" s="1921"/>
      <c r="P8" s="1923">
        <v>1.9380250000000001</v>
      </c>
      <c r="Q8" s="1921">
        <f t="shared" si="6"/>
      </c>
      <c r="R8" s="1922">
        <f t="shared" si="7"/>
      </c>
      <c r="S8" s="1921"/>
      <c r="T8" s="1921">
        <f t="shared" si="8"/>
      </c>
      <c r="U8" s="1924">
        <f t="shared" si="9"/>
      </c>
    </row>
    <row r="9" spans="2:21">
      <c r="B9" s="1834" t="s">
        <v>69</v>
      </c>
      <c r="C9" s="1642">
        <v>14316</v>
      </c>
      <c r="D9" s="1643">
        <v>14816.461538461539</v>
      </c>
      <c r="E9" s="1644">
        <f t="shared" si="0"/>
      </c>
      <c r="F9" s="1556">
        <f t="shared" si="1"/>
      </c>
      <c r="G9" s="1642">
        <f>'Income Statement'!DB14</f>
      </c>
      <c r="H9" s="1556">
        <f t="shared" si="2"/>
      </c>
      <c r="J9" s="1583"/>
      <c r="K9" s="193"/>
      <c r="L9" s="193"/>
      <c r="M9" s="193"/>
      <c r="N9" s="1624"/>
      <c r="O9" s="193"/>
      <c r="P9" s="1574"/>
      <c r="Q9" s="193"/>
      <c r="R9" s="1624"/>
      <c r="S9" s="193"/>
      <c r="T9" s="193"/>
      <c r="U9" s="1627"/>
    </row>
    <row r="10" spans="2:21">
      <c r="B10" s="1878" t="s">
        <v>70</v>
      </c>
      <c r="C10" s="1879">
        <v>36016</v>
      </c>
      <c r="D10" s="1880">
        <v>34868.7921472503</v>
      </c>
      <c r="E10" s="1881">
        <f t="shared" si="0"/>
      </c>
      <c r="F10" s="1882">
        <f t="shared" si="1"/>
      </c>
      <c r="G10" s="1879">
        <f>'Income Statement'!DB15</f>
      </c>
      <c r="H10" s="1882">
        <f t="shared" si="2"/>
      </c>
      <c r="J10" s="1935" t="s">
        <v>261</v>
      </c>
      <c r="K10" s="1909">
        <f>C20</f>
      </c>
      <c r="L10" s="1909">
        <v>37860.367825941263</v>
      </c>
      <c r="M10" s="1909">
        <f t="shared" ref="M10" si="10">K10-L10</f>
      </c>
      <c r="N10" s="1910">
        <f t="shared" ref="N10" si="11">K10/L10-1</f>
      </c>
      <c r="O10" s="1911"/>
      <c r="P10" s="1912">
        <v>39983.949999999997</v>
      </c>
      <c r="Q10" s="1909">
        <f>K10-P10</f>
      </c>
      <c r="R10" s="1910">
        <f>K10/P10-1</f>
      </c>
      <c r="S10" s="1911"/>
      <c r="T10" s="1909">
        <f>L10-P10</f>
      </c>
      <c r="U10" s="1629">
        <f>L10/P10-1</f>
      </c>
    </row>
    <row r="11" spans="2:21">
      <c r="B11" s="1835" t="s">
        <v>689</v>
      </c>
      <c r="C11" s="1640">
        <v>-393</v>
      </c>
      <c r="D11" s="1641">
        <v>-300</v>
      </c>
      <c r="E11" s="1638">
        <f t="shared" si="0"/>
      </c>
      <c r="F11" s="1554">
        <f t="shared" si="1"/>
      </c>
      <c r="G11" s="1640">
        <f>'Income Statement'!DB18</f>
      </c>
      <c r="H11" s="1554">
        <f t="shared" si="2"/>
      </c>
      <c r="J11" s="1583"/>
      <c r="K11" s="160"/>
      <c r="L11" s="160"/>
      <c r="M11" s="160"/>
      <c r="N11" s="1624"/>
      <c r="O11" s="160"/>
      <c r="P11" s="1576"/>
      <c r="Q11" s="160"/>
      <c r="R11" s="1624"/>
      <c r="S11" s="160"/>
      <c r="T11" s="160"/>
      <c r="U11" s="1627"/>
    </row>
    <row r="12" spans="2:21">
      <c r="B12" s="1857" t="s">
        <v>71</v>
      </c>
      <c r="C12" s="1853">
        <v>35623</v>
      </c>
      <c r="D12" s="1854">
        <v>34568.7921472503</v>
      </c>
      <c r="E12" s="1855">
        <f t="shared" si="0"/>
      </c>
      <c r="F12" s="1856">
        <f t="shared" si="1"/>
      </c>
      <c r="G12" s="1853">
        <f>'Income Statement'!DB23</f>
      </c>
      <c r="H12" s="1856">
        <f t="shared" si="2"/>
      </c>
      <c r="J12" s="1908" t="s">
        <v>84</v>
      </c>
      <c r="K12" s="1639">
        <f t="shared" ref="K12:K18" si="12">C22</f>
      </c>
      <c r="L12" s="1639">
        <v>61465.000000000007</v>
      </c>
      <c r="M12" s="1639">
        <f t="shared" ref="M12:M18" si="13">K12-L12</f>
      </c>
      <c r="N12" s="1626">
        <f t="shared" ref="N12:N18" si="14">K12/L12-1</f>
      </c>
      <c r="O12" s="1564"/>
      <c r="P12" s="1900">
        <v>67803.335999999996</v>
      </c>
      <c r="Q12" s="1901">
        <f t="shared" ref="Q12:Q18" si="15">K12-P12</f>
      </c>
      <c r="R12" s="1626">
        <f t="shared" ref="R12:R18" si="16">K12/P12-1</f>
      </c>
      <c r="S12" s="1564"/>
      <c r="T12" s="1901">
        <f t="shared" ref="T12:T18" si="17">L12-P12</f>
      </c>
      <c r="U12" s="1630">
        <f t="shared" ref="U12:U18" si="18">L12/P12-1</f>
      </c>
    </row>
    <row r="13" spans="2:21">
      <c r="B13" s="1836" t="s">
        <v>72</v>
      </c>
      <c r="C13" s="1640">
        <v>5625</v>
      </c>
      <c r="D13" s="1641">
        <v>5703.8507042963001</v>
      </c>
      <c r="E13" s="1638">
        <f t="shared" si="0"/>
      </c>
      <c r="F13" s="1554">
        <f t="shared" si="1"/>
      </c>
      <c r="G13" s="1640">
        <f>'Income Statement'!DB24</f>
      </c>
      <c r="H13" s="1554">
        <f t="shared" si="2"/>
      </c>
      <c r="J13" s="1908" t="s">
        <v>85</v>
      </c>
      <c r="K13" s="1639">
        <f t="shared" si="12"/>
      </c>
      <c r="L13" s="1639">
        <v>9046.1538461538476</v>
      </c>
      <c r="M13" s="1639">
        <f t="shared" si="13"/>
      </c>
      <c r="N13" s="1626">
        <f t="shared" si="14"/>
      </c>
      <c r="O13" s="1564"/>
      <c r="P13" s="1900">
        <v>7838.9224000000004</v>
      </c>
      <c r="Q13" s="1901">
        <f t="shared" si="15"/>
      </c>
      <c r="R13" s="1626">
        <f t="shared" si="16"/>
      </c>
      <c r="S13" s="1564"/>
      <c r="T13" s="1901">
        <f t="shared" si="17"/>
      </c>
      <c r="U13" s="1630">
        <f t="shared" si="18"/>
      </c>
    </row>
    <row r="14" spans="2:21">
      <c r="B14" s="1873" t="s">
        <v>1154</v>
      </c>
      <c r="C14" s="1874">
        <v>29998</v>
      </c>
      <c r="D14" s="1875">
        <v>28864.941442954001</v>
      </c>
      <c r="E14" s="1876">
        <f t="shared" si="0"/>
      </c>
      <c r="F14" s="1877">
        <f t="shared" si="1"/>
      </c>
      <c r="G14" s="1874">
        <f>'Income Statement'!DB26</f>
      </c>
      <c r="H14" s="1877">
        <f t="shared" si="2"/>
      </c>
      <c r="J14" s="1908" t="s">
        <v>86</v>
      </c>
      <c r="K14" s="1639">
        <f t="shared" si="12"/>
      </c>
      <c r="L14" s="1639">
        <v>9394</v>
      </c>
      <c r="M14" s="1639">
        <f t="shared" si="13"/>
      </c>
      <c r="N14" s="1626">
        <f t="shared" si="14"/>
      </c>
      <c r="O14" s="1564"/>
      <c r="P14" s="1900">
        <v>9385.9230000000007</v>
      </c>
      <c r="Q14" s="1901">
        <f t="shared" si="15"/>
      </c>
      <c r="R14" s="1626">
        <f t="shared" si="16"/>
      </c>
      <c r="S14" s="1564"/>
      <c r="T14" s="1901">
        <f t="shared" si="17"/>
      </c>
      <c r="U14" s="1630">
        <f t="shared" si="18"/>
      </c>
    </row>
    <row r="15" spans="2:21">
      <c r="B15" s="1862" t="s">
        <v>80</v>
      </c>
      <c r="C15" s="1858">
        <v>29998</v>
      </c>
      <c r="D15" s="1859">
        <v>28864.941442954001</v>
      </c>
      <c r="E15" s="1860">
        <f t="shared" si="0"/>
      </c>
      <c r="F15" s="1861">
        <f t="shared" si="1"/>
      </c>
      <c r="G15" s="1858">
        <f>'Income Statement'!DB28</f>
      </c>
      <c r="H15" s="1861">
        <f t="shared" si="2"/>
      </c>
      <c r="J15" s="1908" t="s">
        <v>1120</v>
      </c>
      <c r="K15" s="1639">
        <f t="shared" si="12"/>
      </c>
      <c r="L15" s="1639">
        <v>14807.763854839999</v>
      </c>
      <c r="M15" s="1639">
        <f t="shared" si="13"/>
      </c>
      <c r="N15" s="1626">
        <f t="shared" si="14"/>
      </c>
      <c r="O15" s="1564"/>
      <c r="P15" s="1900">
        <v>15271.325000000001</v>
      </c>
      <c r="Q15" s="1901">
        <f t="shared" si="15"/>
      </c>
      <c r="R15" s="1626">
        <f t="shared" si="16"/>
      </c>
      <c r="S15" s="1564"/>
      <c r="T15" s="1901">
        <f t="shared" si="17"/>
      </c>
      <c r="U15" s="1630">
        <f t="shared" si="18"/>
      </c>
    </row>
    <row r="16" spans="2:21" s="97" customFormat="1">
      <c r="B16" s="1863" t="s">
        <v>1151</v>
      </c>
      <c r="C16" s="1864">
        <v>1.8800783518485347</v>
      </c>
      <c r="D16" s="1865">
        <v>1.8030849449040154</v>
      </c>
      <c r="E16" s="1866">
        <f t="shared" si="0"/>
      </c>
      <c r="F16" s="1867">
        <f t="shared" si="1"/>
      </c>
      <c r="G16" s="1864">
        <f>'Income Statement'!DB30</f>
      </c>
      <c r="H16" s="1867">
        <f t="shared" si="2"/>
      </c>
      <c r="J16" s="1907" t="s">
        <v>667</v>
      </c>
      <c r="K16" s="1639">
        <f t="shared" si="12"/>
      </c>
      <c r="L16" s="1639">
        <v>94712.917700993843</v>
      </c>
      <c r="M16" s="1639">
        <f t="shared" si="13"/>
      </c>
      <c r="N16" s="1626">
        <f t="shared" si="14"/>
      </c>
      <c r="O16" s="1564"/>
      <c r="P16" s="1900">
        <v>99480.31</v>
      </c>
      <c r="Q16" s="1901">
        <f t="shared" si="15"/>
      </c>
      <c r="R16" s="1626">
        <f t="shared" si="16"/>
      </c>
      <c r="S16" s="1564"/>
      <c r="T16" s="1901">
        <f t="shared" si="17"/>
      </c>
      <c r="U16" s="1630">
        <f t="shared" si="18"/>
      </c>
    </row>
    <row r="17" spans="2:21">
      <c r="B17" s="1868" t="s">
        <v>1153</v>
      </c>
      <c r="C17" s="1869">
        <v>1.8800783518485347</v>
      </c>
      <c r="D17" s="1870">
        <v>1.8030849449040154</v>
      </c>
      <c r="E17" s="1871">
        <f t="shared" si="0"/>
      </c>
      <c r="F17" s="1872">
        <f t="shared" si="1"/>
      </c>
      <c r="G17" s="1869">
        <f>'Income Statement'!DB32</f>
      </c>
      <c r="H17" s="1872">
        <f t="shared" si="2"/>
      </c>
      <c r="J17" s="1907" t="s">
        <v>81</v>
      </c>
      <c r="K17" s="1639">
        <f t="shared" si="12"/>
      </c>
      <c r="L17" s="1639">
        <v>20596.723980441599</v>
      </c>
      <c r="M17" s="1639">
        <f t="shared" si="13"/>
      </c>
      <c r="N17" s="1626">
        <f t="shared" si="14"/>
      </c>
      <c r="O17" s="1564"/>
      <c r="P17" s="1900">
        <v>20357.805</v>
      </c>
      <c r="Q17" s="1901">
        <f t="shared" si="15"/>
      </c>
      <c r="R17" s="1626">
        <f t="shared" si="16"/>
      </c>
      <c r="S17" s="1564"/>
      <c r="T17" s="1901">
        <f t="shared" si="17"/>
      </c>
      <c r="U17" s="1630">
        <f t="shared" si="18"/>
      </c>
    </row>
    <row r="18" spans="2:21">
      <c r="B18" s="1844" t="s">
        <v>75</v>
      </c>
      <c r="C18" s="1557">
        <v>15955.718000000001</v>
      </c>
      <c r="D18" s="1541">
        <v>16008.642035714287</v>
      </c>
      <c r="E18" s="1845">
        <f t="shared" si="0"/>
      </c>
      <c r="F18" s="1558">
        <f t="shared" si="1"/>
      </c>
      <c r="G18" s="1557">
        <f>'Income Statement'!DB34</f>
      </c>
      <c r="H18" s="1558">
        <f t="shared" si="2"/>
      </c>
      <c r="J18" s="1926" t="s">
        <v>1246</v>
      </c>
      <c r="K18" s="1889">
        <f t="shared" si="12"/>
      </c>
      <c r="L18" s="1889">
        <v>115309.64168143545</v>
      </c>
      <c r="M18" s="1889">
        <f t="shared" si="13"/>
      </c>
      <c r="N18" s="1927">
        <f t="shared" si="14"/>
      </c>
      <c r="O18" s="1928"/>
      <c r="P18" s="1929">
        <v>121415.03999999999</v>
      </c>
      <c r="Q18" s="1930">
        <f t="shared" si="15"/>
      </c>
      <c r="R18" s="1927">
        <f t="shared" si="16"/>
      </c>
      <c r="S18" s="1928"/>
      <c r="T18" s="1930">
        <f t="shared" si="17"/>
      </c>
      <c r="U18" s="1931">
        <f t="shared" si="18"/>
      </c>
    </row>
    <row r="19" spans="2:21">
      <c r="B19" s="1837"/>
      <c r="C19" s="1553"/>
      <c r="D19" s="193"/>
      <c r="E19" s="1569"/>
      <c r="F19" s="1554"/>
      <c r="G19" s="1553"/>
      <c r="H19" s="1554"/>
      <c r="J19" s="1583"/>
      <c r="K19" s="1639"/>
      <c r="L19" s="1639"/>
      <c r="M19" s="1639"/>
      <c r="N19" s="1626"/>
      <c r="O19" s="1564"/>
      <c r="P19" s="1900"/>
      <c r="Q19" s="1901"/>
      <c r="R19" s="1626"/>
      <c r="S19" s="1564"/>
      <c r="T19" s="1901"/>
      <c r="U19" s="1630"/>
    </row>
    <row r="20" spans="2:21">
      <c r="B20" s="1838" t="s">
        <v>261</v>
      </c>
      <c r="C20" s="1561">
        <v>38932</v>
      </c>
      <c r="D20" s="1543">
        <v>37860.367825941263</v>
      </c>
      <c r="E20" s="1571">
        <f t="shared" ref="E20" si="19">C20-D20</f>
      </c>
      <c r="F20" s="1562">
        <f t="shared" ref="F20" si="20">E20/D20</f>
      </c>
      <c r="G20" s="1561">
        <f>'Income Statement'!DB17</f>
      </c>
      <c r="H20" s="1562">
        <f t="shared" ref="H20" si="21">C20/G20-1</f>
      </c>
      <c r="J20" s="1933" t="s">
        <v>1105</v>
      </c>
      <c r="K20" s="1639">
        <f t="shared" ref="K20:K22" si="22">C30</f>
      </c>
      <c r="L20" s="1639">
        <v>35164.563279500515</v>
      </c>
      <c r="M20" s="1639">
        <f t="shared" ref="M20:M22" si="23">K20-L20</f>
      </c>
      <c r="N20" s="1626">
        <f t="shared" ref="N20:N22" si="24">K20/L20-1</f>
      </c>
      <c r="O20" s="1564"/>
      <c r="P20" s="1900">
        <v>37230.910000000003</v>
      </c>
      <c r="Q20" s="1901">
        <f t="shared" ref="Q20:Q22" si="25">K20-P20</f>
      </c>
      <c r="R20" s="1626">
        <f t="shared" ref="R20:R22" si="26">K20/P20-1</f>
      </c>
      <c r="S20" s="1564"/>
      <c r="T20" s="1901">
        <f t="shared" ref="T20:T22" si="27">L20-P20</f>
      </c>
      <c r="U20" s="1630">
        <f t="shared" ref="U20:U22" si="28">L20/P20-1</f>
      </c>
    </row>
    <row r="21" spans="2:21">
      <c r="B21" s="1839"/>
      <c r="C21" s="1396"/>
      <c r="D21" s="160"/>
      <c r="E21" s="1569"/>
      <c r="F21" s="1554"/>
      <c r="G21" s="1396"/>
      <c r="H21" s="1554"/>
      <c r="J21" s="1933" t="s">
        <v>995</v>
      </c>
      <c r="K21" s="1639">
        <f t="shared" si="22"/>
      </c>
      <c r="L21" s="1639">
        <v>14520.690406211326</v>
      </c>
      <c r="M21" s="1639">
        <f t="shared" si="23"/>
      </c>
      <c r="N21" s="1626">
        <f t="shared" si="24"/>
      </c>
      <c r="O21" s="1564"/>
      <c r="P21" s="1900">
        <v>14399.341</v>
      </c>
      <c r="Q21" s="1901">
        <f t="shared" si="25"/>
      </c>
      <c r="R21" s="1626">
        <f t="shared" si="26"/>
      </c>
      <c r="S21" s="1564"/>
      <c r="T21" s="1901">
        <f t="shared" si="27"/>
      </c>
      <c r="U21" s="1630">
        <f t="shared" si="28"/>
      </c>
    </row>
    <row r="22" spans="2:21">
      <c r="B22" s="1840" t="s">
        <v>84</v>
      </c>
      <c r="C22" s="1638">
        <v>65775</v>
      </c>
      <c r="D22" s="1639">
        <v>61465.000000000007</v>
      </c>
      <c r="E22" s="1638">
        <f t="shared" ref="E22:E32" si="29">C22-D22</f>
      </c>
      <c r="F22" s="1554">
        <f t="shared" ref="F22:F32" si="30">E22/D22</f>
      </c>
      <c r="G22" s="1638">
        <f>'Revenue summary'!DB11</f>
      </c>
      <c r="H22" s="1554">
        <f t="shared" ref="H22:H32" si="31">C22/G22-1</f>
      </c>
      <c r="J22" s="1932" t="s">
        <v>67</v>
      </c>
      <c r="K22" s="1889">
        <f t="shared" si="22"/>
      </c>
      <c r="L22" s="1889">
        <v>49685.253685711839</v>
      </c>
      <c r="M22" s="1889">
        <f t="shared" si="23"/>
      </c>
      <c r="N22" s="1927">
        <f t="shared" si="24"/>
      </c>
      <c r="O22" s="1928"/>
      <c r="P22" s="1929">
        <v>52155.565999999999</v>
      </c>
      <c r="Q22" s="1930">
        <f t="shared" si="25"/>
      </c>
      <c r="R22" s="1927">
        <f t="shared" si="26"/>
      </c>
      <c r="S22" s="1928"/>
      <c r="T22" s="1930">
        <f t="shared" si="27"/>
      </c>
      <c r="U22" s="1931">
        <f t="shared" si="28"/>
      </c>
    </row>
    <row r="23" spans="2:21">
      <c r="B23" s="1840" t="s">
        <v>85</v>
      </c>
      <c r="C23" s="1638">
        <v>9396</v>
      </c>
      <c r="D23" s="1639">
        <v>9046.1538461538476</v>
      </c>
      <c r="E23" s="1638">
        <f t="shared" si="29"/>
      </c>
      <c r="F23" s="1554">
        <f t="shared" si="30"/>
      </c>
      <c r="G23" s="1638">
        <f>'Revenue summary'!DB13</f>
      </c>
      <c r="H23" s="1554">
        <f t="shared" si="31"/>
      </c>
      <c r="J23" s="1583"/>
      <c r="K23" s="160"/>
      <c r="L23" s="160"/>
      <c r="M23" s="160"/>
      <c r="N23" s="1624"/>
      <c r="O23" s="160"/>
      <c r="P23" s="160"/>
      <c r="Q23" s="160"/>
      <c r="R23" s="160"/>
      <c r="S23" s="160"/>
      <c r="T23" s="160"/>
      <c r="U23" s="1397"/>
    </row>
    <row r="24" spans="2:21">
      <c r="B24" s="1840" t="s">
        <v>86</v>
      </c>
      <c r="C24" s="1638">
        <v>7735</v>
      </c>
      <c r="D24" s="1639">
        <v>9394</v>
      </c>
      <c r="E24" s="1638">
        <f t="shared" si="29"/>
      </c>
      <c r="F24" s="1554">
        <f t="shared" si="30"/>
      </c>
      <c r="G24" s="1638">
        <f>'Revenue summary'!DB12</f>
      </c>
      <c r="H24" s="1554">
        <f t="shared" si="31"/>
      </c>
      <c r="J24" s="1933" t="s">
        <v>1173</v>
      </c>
      <c r="K24" s="1634">
        <f t="shared" ref="K24:K26" si="32">C34</f>
      </c>
      <c r="L24" s="1634">
        <v>0.37127526142224976</v>
      </c>
      <c r="M24" s="1634">
        <f t="shared" ref="M24:M26" si="33">K24-L24</f>
      </c>
      <c r="N24" s="1634"/>
      <c r="O24" s="1634"/>
      <c r="P24" s="1634">
        <v>0.37425406092924324</v>
      </c>
      <c r="Q24" s="1634">
        <f t="shared" ref="Q24:Q26" si="34">K24-P24</f>
      </c>
      <c r="R24" s="1634"/>
      <c r="S24" s="1634"/>
      <c r="T24" s="1634">
        <f t="shared" ref="T24:T26" si="35">L24-P24</f>
      </c>
      <c r="U24" s="1635"/>
    </row>
    <row r="25" spans="2:21">
      <c r="B25" s="1840" t="s">
        <v>1120</v>
      </c>
      <c r="C25" s="1638">
        <v>13482</v>
      </c>
      <c r="D25" s="1639">
        <v>14807.763854839999</v>
      </c>
      <c r="E25" s="1638">
        <f t="shared" si="29"/>
      </c>
      <c r="F25" s="1554">
        <f t="shared" si="30"/>
      </c>
      <c r="G25" s="1638">
        <f>'Revenue summary'!DB14</f>
      </c>
      <c r="H25" s="1554">
        <f t="shared" si="31"/>
      </c>
      <c r="J25" s="1933" t="s">
        <v>1172</v>
      </c>
      <c r="K25" s="1634">
        <f t="shared" si="32"/>
      </c>
      <c r="L25" s="1634">
        <v>0.70499999999999996</v>
      </c>
      <c r="M25" s="1634">
        <f t="shared" si="33"/>
      </c>
      <c r="N25" s="1634"/>
      <c r="O25" s="1634"/>
      <c r="P25" s="1634">
        <v>0.70731304283541374</v>
      </c>
      <c r="Q25" s="1634">
        <f t="shared" si="34"/>
      </c>
      <c r="R25" s="1634"/>
      <c r="S25" s="1634"/>
      <c r="T25" s="1634">
        <f t="shared" si="35"/>
      </c>
      <c r="U25" s="1635"/>
    </row>
    <row r="26" spans="2:21">
      <c r="B26" s="1841" t="s">
        <v>667</v>
      </c>
      <c r="C26" s="1638">
        <v>96388</v>
      </c>
      <c r="D26" s="1639">
        <v>94712.917700993843</v>
      </c>
      <c r="E26" s="1638">
        <f t="shared" si="29"/>
      </c>
      <c r="F26" s="1554">
        <f t="shared" si="30"/>
      </c>
      <c r="G26" s="1638">
        <f>'Revenue summary'!DB15</f>
      </c>
      <c r="H26" s="1554">
        <f t="shared" si="31"/>
      </c>
      <c r="J26" s="1934" t="s">
        <v>1472</v>
      </c>
      <c r="K26" s="1893">
        <f t="shared" si="32"/>
      </c>
      <c r="L26" s="1893">
        <v>0.43088550932260017</v>
      </c>
      <c r="M26" s="1893">
        <f t="shared" si="33"/>
      </c>
      <c r="N26" s="1893"/>
      <c r="O26" s="1893"/>
      <c r="P26" s="1893">
        <v>0.42956429450585365</v>
      </c>
      <c r="Q26" s="1893">
        <f t="shared" si="34"/>
      </c>
      <c r="R26" s="1893"/>
      <c r="S26" s="1893"/>
      <c r="T26" s="1893">
        <f t="shared" si="35"/>
      </c>
      <c r="U26" s="1895"/>
    </row>
    <row r="27" spans="2:21">
      <c r="B27" s="1841" t="s">
        <v>81</v>
      </c>
      <c r="C27" s="1638">
        <v>20766</v>
      </c>
      <c r="D27" s="1639">
        <v>20596.723980441599</v>
      </c>
      <c r="E27" s="1638">
        <f t="shared" si="29"/>
      </c>
      <c r="F27" s="1554">
        <f t="shared" si="30"/>
      </c>
      <c r="G27" s="1638">
        <f>'Revenue summary'!DB16</f>
      </c>
      <c r="H27" s="1554">
        <f t="shared" si="31"/>
      </c>
    </row>
    <row r="28" spans="2:21">
      <c r="B28" s="1890" t="s">
        <v>1246</v>
      </c>
      <c r="C28" s="1860">
        <v>117154</v>
      </c>
      <c r="D28" s="1889">
        <v>115309.64168143545</v>
      </c>
      <c r="E28" s="1860">
        <f t="shared" si="29"/>
      </c>
      <c r="F28" s="1861">
        <f t="shared" si="30"/>
      </c>
      <c r="G28" s="1860">
        <f>'Revenue summary'!DB17</f>
      </c>
      <c r="H28" s="1861">
        <f t="shared" si="31"/>
      </c>
    </row>
    <row r="29" spans="2:21">
      <c r="B29" s="1839"/>
      <c r="C29" s="1638"/>
      <c r="D29" s="1639"/>
      <c r="E29" s="1638"/>
      <c r="F29" s="1554"/>
      <c r="G29" s="1638"/>
      <c r="H29" s="1554"/>
    </row>
    <row r="30" spans="2:21">
      <c r="B30" s="1842" t="s">
        <v>1105</v>
      </c>
      <c r="C30" s="1638">
        <v>35623.000000000007</v>
      </c>
      <c r="D30" s="1639">
        <v>35164.563279500515</v>
      </c>
      <c r="E30" s="1638">
        <f t="shared" si="29"/>
      </c>
      <c r="F30" s="1554">
        <f t="shared" si="30"/>
      </c>
      <c r="G30" s="1638">
        <f>'Revenue summary'!DB52</f>
      </c>
      <c r="H30" s="1554">
        <f t="shared" si="31"/>
      </c>
    </row>
    <row r="31" spans="2:21">
      <c r="B31" s="1842" t="s">
        <v>995</v>
      </c>
      <c r="C31" s="1638">
        <v>14709.000000000002</v>
      </c>
      <c r="D31" s="1639">
        <v>14520.690406211326</v>
      </c>
      <c r="E31" s="1638">
        <f t="shared" si="29"/>
      </c>
      <c r="F31" s="1554">
        <f t="shared" si="30"/>
      </c>
      <c r="G31" s="1638">
        <f>'Revenue summary'!DB53</f>
      </c>
      <c r="H31" s="1554">
        <f t="shared" si="31"/>
      </c>
    </row>
    <row r="32" spans="2:21">
      <c r="B32" s="1888" t="s">
        <v>67</v>
      </c>
      <c r="C32" s="1860">
        <v>50332.000000000007</v>
      </c>
      <c r="D32" s="1889">
        <v>49685.253685711839</v>
      </c>
      <c r="E32" s="1860">
        <f t="shared" si="29"/>
      </c>
      <c r="F32" s="1861">
        <f t="shared" si="30"/>
      </c>
      <c r="G32" s="1860">
        <f>'Revenue summary'!DB54</f>
      </c>
      <c r="H32" s="1861">
        <f t="shared" si="31"/>
      </c>
    </row>
    <row r="33" spans="2:8">
      <c r="B33" s="1839"/>
      <c r="C33" s="1396"/>
      <c r="D33" s="160"/>
      <c r="E33" s="1569"/>
      <c r="F33" s="1554"/>
      <c r="G33" s="1396"/>
      <c r="H33" s="1554"/>
    </row>
    <row r="34" spans="2:8">
      <c r="B34" s="1842" t="s">
        <v>1173</v>
      </c>
      <c r="C34" s="1636">
        <v>0.36957920073038147</v>
      </c>
      <c r="D34" s="1634">
        <v>0.37127526142224976</v>
      </c>
      <c r="E34" s="1637"/>
      <c r="F34" s="1635">
        <f>C34-D34</f>
      </c>
      <c r="G34" s="1636">
        <f>G30/G26</f>
      </c>
      <c r="H34" s="1635">
        <f>C34-G34</f>
      </c>
    </row>
    <row r="35" spans="2:8">
      <c r="B35" s="1842" t="s">
        <v>1172</v>
      </c>
      <c r="C35" s="1636">
        <v>0.70832129442357705</v>
      </c>
      <c r="D35" s="1634">
        <v>0.70499999999999996</v>
      </c>
      <c r="E35" s="1637"/>
      <c r="F35" s="1635">
        <f t="shared" ref="F35:F36" si="36">C35-D35</f>
      </c>
      <c r="G35" s="1636">
        <f t="shared" ref="G35:G36" si="37">G31/G27</f>
      </c>
      <c r="H35" s="1635">
        <f t="shared" ref="H35:H36" si="38">C35-G35</f>
      </c>
    </row>
    <row r="36" spans="2:8">
      <c r="B36" s="1891" t="s">
        <v>1428</v>
      </c>
      <c r="C36" s="1892">
        <v>0.42962254809908335</v>
      </c>
      <c r="D36" s="1893">
        <v>0.43088550932260017</v>
      </c>
      <c r="E36" s="1894"/>
      <c r="F36" s="1895">
        <f t="shared" si="36"/>
      </c>
      <c r="G36" s="1892">
        <f t="shared" si="37"/>
      </c>
      <c r="H36" s="1895">
        <f t="shared" si="38"/>
      </c>
    </row>
  </sheetData>
  <mergeCells count="3">
    <mergeCell ref="L2:N2"/>
    <mergeCell ref="P2:R2"/>
    <mergeCell ref="T2:U2"/>
  </mergeCells>
  <pageMargins left="0.7" right="0.7" top="0.75" bottom="0.75" header="0.3" footer="0.3"/>
  <pageSetup scale="26" orientation="landscape" r:id="rId1"/>
  <customProperties>
    <customPr name="Qube.Worksheet.Visibility" r:id="rId2"/>
  </customPropertie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43"/>
  <dimension ref="A1"/>
  <sheetViews>
    <sheetView zoomScale="85" zoomScaleNormal="85" workbookViewId="0"/>
  </sheetViews>
  <sheetFormatPr defaultRowHeight="13.8"/>
  <sheetData/>
  <pageMargins left="0.7" right="0.7" top="0.75" bottom="0.75" header="0.3" footer="0.3"/>
  <pageSetup paperSize="9" orientation="portrait" r:id="rId1"/>
  <customProperties>
    <customPr name="Qube.Worksheet.Visibility" r:id="rId2"/>
  </customPropertie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59"/>
  <dimension ref="F11:CF250"/>
  <sheetViews>
    <sheetView zoomScaleNormal="100" workbookViewId="0">
      <selection activeCell="H15" sqref="H15"/>
    </sheetView>
  </sheetViews>
  <sheetFormatPr defaultColWidth="9" defaultRowHeight="10.199999999999999"/>
  <cols>
    <col min="1" max="16384" width="9" style="11"/>
  </cols>
  <sheetData>
    <row r="11" spans="6:84">
      <c r="F11" s="51" t="e">
        <f>Ticker0001_Exchange_Sheet!F11-#REF!</f>
      </c>
      <c r="G11" s="51" t="e">
        <f>Ticker0001_Exchange_Sheet!G11-#REF!</f>
      </c>
      <c r="H11" s="51" t="e">
        <f>Ticker0001_Exchange_Sheet!H11-#REF!</f>
      </c>
      <c r="I11" s="51" t="e">
        <f>Ticker0001_Exchange_Sheet!I11-#REF!</f>
      </c>
      <c r="J11" s="51" t="e">
        <f>Ticker0001_Exchange_Sheet!J11-#REF!</f>
      </c>
      <c r="K11" s="51" t="e">
        <f>Ticker0001_Exchange_Sheet!K11-#REF!</f>
      </c>
      <c r="L11" s="51" t="e">
        <f>Ticker0001_Exchange_Sheet!L11-#REF!</f>
      </c>
      <c r="M11" s="51" t="e">
        <f>Ticker0001_Exchange_Sheet!M11-#REF!</f>
      </c>
      <c r="N11" s="51" t="e">
        <f>Ticker0001_Exchange_Sheet!N11-#REF!</f>
      </c>
      <c r="O11" s="51" t="e">
        <f>Ticker0001_Exchange_Sheet!O11-#REF!</f>
      </c>
      <c r="P11" s="51" t="e">
        <f>Ticker0001_Exchange_Sheet!P11-#REF!</f>
      </c>
      <c r="Q11" s="51" t="e">
        <f>Ticker0001_Exchange_Sheet!Q11-#REF!</f>
      </c>
      <c r="R11" s="51" t="e">
        <f>Ticker0001_Exchange_Sheet!R11-#REF!</f>
      </c>
      <c r="S11" s="51" t="e">
        <f>Ticker0001_Exchange_Sheet!S11-#REF!</f>
      </c>
      <c r="T11" s="51" t="e">
        <f>Ticker0001_Exchange_Sheet!T11-#REF!</f>
      </c>
      <c r="U11" s="51" t="e">
        <f>Ticker0001_Exchange_Sheet!U11-#REF!</f>
      </c>
      <c r="V11" s="51" t="e">
        <f>Ticker0001_Exchange_Sheet!V11-#REF!</f>
      </c>
      <c r="W11" s="51" t="e">
        <f>Ticker0001_Exchange_Sheet!W11-#REF!</f>
      </c>
      <c r="X11" s="51" t="e">
        <f>Ticker0001_Exchange_Sheet!AK11-#REF!</f>
      </c>
      <c r="Y11" s="51" t="e">
        <f>Ticker0001_Exchange_Sheet!AX11-#REF!</f>
      </c>
      <c r="Z11" s="51" t="e">
        <f>Ticker0001_Exchange_Sheet!AY11-#REF!</f>
      </c>
      <c r="AA11" s="51" t="e">
        <f>Ticker0001_Exchange_Sheet!AZ11-#REF!</f>
      </c>
      <c r="AB11" s="51" t="e">
        <f>Ticker0001_Exchange_Sheet!BA11-#REF!</f>
      </c>
      <c r="AC11" s="51" t="e">
        <f>Ticker0001_Exchange_Sheet!BB11-#REF!</f>
      </c>
      <c r="AD11" s="51" t="e">
        <f>Ticker0001_Exchange_Sheet!BC11-#REF!</f>
      </c>
      <c r="AE11" s="51" t="e">
        <f>Ticker0001_Exchange_Sheet!BD11-#REF!</f>
      </c>
      <c r="AF11" s="51" t="e">
        <f>Ticker0001_Exchange_Sheet!BE11-#REF!</f>
      </c>
      <c r="AG11" s="51" t="e">
        <f>Ticker0001_Exchange_Sheet!BF11-#REF!</f>
      </c>
      <c r="AH11" s="51" t="e">
        <f>Ticker0001_Exchange_Sheet!BG11-#REF!</f>
      </c>
      <c r="AI11" s="51" t="e">
        <f>Ticker0001_Exchange_Sheet!BH11-#REF!</f>
      </c>
      <c r="AJ11" s="51" t="e">
        <f>Ticker0001_Exchange_Sheet!BI11-#REF!</f>
      </c>
      <c r="AK11" s="51" t="e">
        <f>Ticker0001_Exchange_Sheet!BJ11-#REF!</f>
      </c>
      <c r="AL11" s="51" t="e">
        <f>Ticker0001_Exchange_Sheet!BK11-#REF!</f>
      </c>
      <c r="AM11" s="51" t="e">
        <f>Ticker0001_Exchange_Sheet!BL11-#REF!</f>
      </c>
      <c r="AN11" s="51" t="e">
        <f>Ticker0001_Exchange_Sheet!BM11-#REF!</f>
      </c>
      <c r="AO11" s="51" t="e">
        <f>Ticker0001_Exchange_Sheet!BN11-#REF!</f>
      </c>
      <c r="AP11" s="51" t="e">
        <f>Ticker0001_Exchange_Sheet!BO11-#REF!</f>
      </c>
      <c r="AQ11" s="51" t="e">
        <f>Ticker0001_Exchange_Sheet!BP11-#REF!</f>
      </c>
      <c r="AR11" s="51" t="e">
        <f>Ticker0001_Exchange_Sheet!BQ11-#REF!</f>
      </c>
      <c r="AS11" s="51" t="e">
        <f>Ticker0001_Exchange_Sheet!BR11-#REF!</f>
      </c>
      <c r="AT11" s="51" t="e">
        <f>Ticker0001_Exchange_Sheet!BS11-#REF!</f>
      </c>
      <c r="AU11" s="51" t="e">
        <f>Ticker0001_Exchange_Sheet!BT11-#REF!</f>
      </c>
      <c r="AV11" s="51" t="e">
        <f>Ticker0001_Exchange_Sheet!BU11-#REF!</f>
      </c>
      <c r="AW11" s="51" t="e">
        <f>Ticker0001_Exchange_Sheet!BV11-#REF!</f>
      </c>
      <c r="AX11" s="51" t="e">
        <f>Ticker0001_Exchange_Sheet!BW11-#REF!</f>
      </c>
      <c r="AY11" s="51" t="e">
        <f>Ticker0001_Exchange_Sheet!BX11-#REF!</f>
      </c>
      <c r="AZ11" s="51" t="e">
        <f>Ticker0001_Exchange_Sheet!BY11-#REF!</f>
      </c>
      <c r="BA11" s="51" t="e">
        <f>Ticker0001_Exchange_Sheet!BZ11-#REF!</f>
      </c>
      <c r="BB11" s="51" t="e">
        <f>Ticker0001_Exchange_Sheet!CA11-#REF!</f>
      </c>
      <c r="BC11" s="51" t="e">
        <f>Ticker0001_Exchange_Sheet!CB11-#REF!</f>
      </c>
      <c r="BD11" s="51" t="e">
        <f>Ticker0001_Exchange_Sheet!CC11-#REF!</f>
      </c>
      <c r="BE11" s="51" t="e">
        <f>Ticker0001_Exchange_Sheet!CD11-#REF!</f>
      </c>
      <c r="BF11" s="51" t="e">
        <f>Ticker0001_Exchange_Sheet!CE11-#REF!</f>
      </c>
      <c r="BG11" s="51" t="e">
        <f>Ticker0001_Exchange_Sheet!CF11-#REF!</f>
      </c>
      <c r="BH11" s="51" t="e">
        <f>Ticker0001_Exchange_Sheet!CG11-#REF!</f>
      </c>
      <c r="BI11" s="51" t="e">
        <f>Ticker0001_Exchange_Sheet!CH11-#REF!</f>
      </c>
      <c r="BJ11" s="51" t="e">
        <f>Ticker0001_Exchange_Sheet!CI11-#REF!</f>
      </c>
      <c r="BK11" s="51" t="e">
        <f>Ticker0001_Exchange_Sheet!CJ11-#REF!</f>
      </c>
      <c r="BL11" s="51" t="e">
        <f>Ticker0001_Exchange_Sheet!CK11-#REF!</f>
      </c>
      <c r="BM11" s="51" t="e">
        <f>Ticker0001_Exchange_Sheet!CL11-#REF!</f>
      </c>
      <c r="BN11" s="51" t="e">
        <f>Ticker0001_Exchange_Sheet!CM11-#REF!</f>
      </c>
      <c r="BO11" s="51" t="e">
        <f>Ticker0001_Exchange_Sheet!CN11-#REF!</f>
      </c>
      <c r="BP11" s="51" t="e">
        <f>Ticker0001_Exchange_Sheet!CO11-#REF!</f>
      </c>
      <c r="BQ11" s="51" t="e">
        <f>Ticker0001_Exchange_Sheet!CP11-#REF!</f>
      </c>
      <c r="BR11" s="51" t="e">
        <f>Ticker0001_Exchange_Sheet!CQ11-#REF!</f>
      </c>
      <c r="BS11" s="51" t="e">
        <f>Ticker0001_Exchange_Sheet!CR11-#REF!</f>
      </c>
      <c r="BT11" s="51" t="e">
        <f>Ticker0001_Exchange_Sheet!CS11-#REF!</f>
      </c>
      <c r="BU11" s="51" t="e">
        <f>Ticker0001_Exchange_Sheet!CT11-#REF!</f>
      </c>
      <c r="BV11" s="51" t="e">
        <f>Ticker0001_Exchange_Sheet!CU11-#REF!</f>
      </c>
      <c r="BW11" s="51" t="e">
        <f>Ticker0001_Exchange_Sheet!CV11-#REF!</f>
      </c>
      <c r="BX11" s="51" t="e">
        <f>Ticker0001_Exchange_Sheet!CW11-#REF!</f>
      </c>
      <c r="BY11" s="51" t="e">
        <f>Ticker0001_Exchange_Sheet!CX11-#REF!</f>
      </c>
      <c r="BZ11" s="51" t="e">
        <f>Ticker0001_Exchange_Sheet!CY11-#REF!</f>
      </c>
      <c r="CA11" s="51" t="e">
        <f>Ticker0001_Exchange_Sheet!CZ11-#REF!</f>
      </c>
      <c r="CB11" s="51" t="e">
        <f>Ticker0001_Exchange_Sheet!DA11-#REF!</f>
      </c>
      <c r="CC11" s="51" t="e">
        <f>Ticker0001_Exchange_Sheet!DB11-#REF!</f>
      </c>
      <c r="CD11" s="51" t="e">
        <f>Ticker0001_Exchange_Sheet!DC11-#REF!</f>
      </c>
      <c r="CE11" s="51" t="e">
        <f>Ticker0001_Exchange_Sheet!DD11-#REF!</f>
      </c>
      <c r="CF11" s="51" t="e">
        <f>Ticker0001_Exchange_Sheet!DE11-#REF!</f>
      </c>
    </row>
    <row r="12" spans="6:84">
      <c r="F12" s="51" t="e">
        <f>Ticker0001_Exchange_Sheet!F12-#REF!</f>
      </c>
      <c r="G12" s="51" t="e">
        <f>Ticker0001_Exchange_Sheet!G12-#REF!</f>
      </c>
      <c r="H12" s="51" t="e">
        <f>Ticker0001_Exchange_Sheet!H12-#REF!</f>
      </c>
      <c r="I12" s="51" t="e">
        <f>Ticker0001_Exchange_Sheet!I12-#REF!</f>
      </c>
      <c r="J12" s="51" t="e">
        <f>Ticker0001_Exchange_Sheet!J12-#REF!</f>
      </c>
      <c r="K12" s="51" t="e">
        <f>Ticker0001_Exchange_Sheet!K12-#REF!</f>
      </c>
      <c r="L12" s="51" t="e">
        <f>Ticker0001_Exchange_Sheet!L12-#REF!</f>
      </c>
      <c r="M12" s="51" t="e">
        <f>Ticker0001_Exchange_Sheet!M12-#REF!</f>
      </c>
      <c r="N12" s="51" t="e">
        <f>Ticker0001_Exchange_Sheet!N12-#REF!</f>
      </c>
      <c r="O12" s="51" t="e">
        <f>Ticker0001_Exchange_Sheet!O12-#REF!</f>
      </c>
      <c r="P12" s="51" t="e">
        <f>Ticker0001_Exchange_Sheet!P12-#REF!</f>
      </c>
      <c r="Q12" s="51" t="e">
        <f>Ticker0001_Exchange_Sheet!Q12-#REF!</f>
      </c>
      <c r="R12" s="51" t="e">
        <f>Ticker0001_Exchange_Sheet!R12-#REF!</f>
      </c>
      <c r="S12" s="51" t="e">
        <f>Ticker0001_Exchange_Sheet!S12-#REF!</f>
      </c>
      <c r="T12" s="51" t="e">
        <f>Ticker0001_Exchange_Sheet!T12-#REF!</f>
      </c>
      <c r="U12" s="51" t="e">
        <f>Ticker0001_Exchange_Sheet!U12-#REF!</f>
      </c>
      <c r="V12" s="51" t="e">
        <f>Ticker0001_Exchange_Sheet!V12-#REF!</f>
      </c>
      <c r="W12" s="51" t="e">
        <f>Ticker0001_Exchange_Sheet!W12-#REF!</f>
      </c>
      <c r="X12" s="51" t="e">
        <f>Ticker0001_Exchange_Sheet!AK12-#REF!</f>
      </c>
      <c r="Y12" s="51" t="e">
        <f>Ticker0001_Exchange_Sheet!AX12-#REF!</f>
      </c>
      <c r="Z12" s="51" t="e">
        <f>Ticker0001_Exchange_Sheet!AY12-#REF!</f>
      </c>
      <c r="AA12" s="51" t="e">
        <f>Ticker0001_Exchange_Sheet!AZ12-#REF!</f>
      </c>
      <c r="AB12" s="51" t="e">
        <f>Ticker0001_Exchange_Sheet!BA12-#REF!</f>
      </c>
      <c r="AC12" s="51" t="e">
        <f>Ticker0001_Exchange_Sheet!BB12-#REF!</f>
      </c>
      <c r="AD12" s="51" t="e">
        <f>Ticker0001_Exchange_Sheet!BC12-#REF!</f>
      </c>
      <c r="AE12" s="51" t="e">
        <f>Ticker0001_Exchange_Sheet!BD12-#REF!</f>
      </c>
      <c r="AF12" s="51" t="e">
        <f>Ticker0001_Exchange_Sheet!BE12-#REF!</f>
      </c>
      <c r="AG12" s="51" t="e">
        <f>Ticker0001_Exchange_Sheet!BF12-#REF!</f>
      </c>
      <c r="AH12" s="51" t="e">
        <f>Ticker0001_Exchange_Sheet!BG12-#REF!</f>
      </c>
      <c r="AI12" s="51" t="e">
        <f>Ticker0001_Exchange_Sheet!BH12-#REF!</f>
      </c>
      <c r="AJ12" s="51" t="e">
        <f>Ticker0001_Exchange_Sheet!BI12-#REF!</f>
      </c>
      <c r="AK12" s="51" t="e">
        <f>Ticker0001_Exchange_Sheet!BJ12-#REF!</f>
      </c>
      <c r="AL12" s="51" t="e">
        <f>Ticker0001_Exchange_Sheet!BK12-#REF!</f>
      </c>
      <c r="AM12" s="51" t="e">
        <f>Ticker0001_Exchange_Sheet!BL12-#REF!</f>
      </c>
      <c r="AN12" s="51" t="e">
        <f>Ticker0001_Exchange_Sheet!BM12-#REF!</f>
      </c>
      <c r="AO12" s="51" t="e">
        <f>Ticker0001_Exchange_Sheet!BN12-#REF!</f>
      </c>
      <c r="AP12" s="51" t="e">
        <f>Ticker0001_Exchange_Sheet!BO12-#REF!</f>
      </c>
      <c r="AQ12" s="51" t="e">
        <f>Ticker0001_Exchange_Sheet!BP12-#REF!</f>
      </c>
      <c r="AR12" s="51" t="e">
        <f>Ticker0001_Exchange_Sheet!BQ12-#REF!</f>
      </c>
      <c r="AS12" s="51" t="e">
        <f>Ticker0001_Exchange_Sheet!BR12-#REF!</f>
      </c>
      <c r="AT12" s="51" t="e">
        <f>Ticker0001_Exchange_Sheet!BS12-#REF!</f>
      </c>
      <c r="AU12" s="51" t="e">
        <f>Ticker0001_Exchange_Sheet!BT12-#REF!</f>
      </c>
      <c r="AV12" s="51" t="e">
        <f>Ticker0001_Exchange_Sheet!BU12-#REF!</f>
      </c>
      <c r="AW12" s="51" t="e">
        <f>Ticker0001_Exchange_Sheet!BV12-#REF!</f>
      </c>
      <c r="AX12" s="51" t="e">
        <f>Ticker0001_Exchange_Sheet!BW12-#REF!</f>
      </c>
      <c r="AY12" s="51" t="e">
        <f>Ticker0001_Exchange_Sheet!BX12-#REF!</f>
      </c>
      <c r="AZ12" s="51" t="e">
        <f>Ticker0001_Exchange_Sheet!BY12-#REF!</f>
      </c>
      <c r="BA12" s="51" t="e">
        <f>Ticker0001_Exchange_Sheet!BZ12-#REF!</f>
      </c>
      <c r="BB12" s="51" t="e">
        <f>Ticker0001_Exchange_Sheet!CA12-#REF!</f>
      </c>
      <c r="BC12" s="51" t="e">
        <f>Ticker0001_Exchange_Sheet!CB12-#REF!</f>
      </c>
      <c r="BD12" s="51" t="e">
        <f>Ticker0001_Exchange_Sheet!CC12-#REF!</f>
      </c>
      <c r="BE12" s="51" t="e">
        <f>Ticker0001_Exchange_Sheet!CD12-#REF!</f>
      </c>
      <c r="BF12" s="51" t="e">
        <f>Ticker0001_Exchange_Sheet!CE12-#REF!</f>
      </c>
      <c r="BG12" s="51" t="e">
        <f>Ticker0001_Exchange_Sheet!CF12-#REF!</f>
      </c>
      <c r="BH12" s="51" t="e">
        <f>Ticker0001_Exchange_Sheet!CG12-#REF!</f>
      </c>
      <c r="BI12" s="51" t="e">
        <f>Ticker0001_Exchange_Sheet!CH12-#REF!</f>
      </c>
      <c r="BJ12" s="51" t="e">
        <f>Ticker0001_Exchange_Sheet!CI12-#REF!</f>
      </c>
      <c r="BK12" s="51" t="e">
        <f>Ticker0001_Exchange_Sheet!CJ12-#REF!</f>
      </c>
      <c r="BL12" s="51" t="e">
        <f>Ticker0001_Exchange_Sheet!CK12-#REF!</f>
      </c>
      <c r="BM12" s="51" t="e">
        <f>Ticker0001_Exchange_Sheet!CL12-#REF!</f>
      </c>
      <c r="BN12" s="51" t="e">
        <f>Ticker0001_Exchange_Sheet!CM12-#REF!</f>
      </c>
      <c r="BO12" s="51" t="e">
        <f>Ticker0001_Exchange_Sheet!CN12-#REF!</f>
      </c>
      <c r="BP12" s="51" t="e">
        <f>Ticker0001_Exchange_Sheet!CO12-#REF!</f>
      </c>
      <c r="BQ12" s="51" t="e">
        <f>Ticker0001_Exchange_Sheet!CP12-#REF!</f>
      </c>
      <c r="BR12" s="51" t="e">
        <f>Ticker0001_Exchange_Sheet!CQ12-#REF!</f>
      </c>
      <c r="BS12" s="51" t="e">
        <f>Ticker0001_Exchange_Sheet!CR12-#REF!</f>
      </c>
      <c r="BT12" s="51" t="e">
        <f>Ticker0001_Exchange_Sheet!CS12-#REF!</f>
      </c>
      <c r="BU12" s="51" t="e">
        <f>Ticker0001_Exchange_Sheet!CT12-#REF!</f>
      </c>
      <c r="BV12" s="51" t="e">
        <f>Ticker0001_Exchange_Sheet!CU12-#REF!</f>
      </c>
      <c r="BW12" s="51" t="e">
        <f>Ticker0001_Exchange_Sheet!CV12-#REF!</f>
      </c>
      <c r="BX12" s="51" t="e">
        <f>Ticker0001_Exchange_Sheet!CW12-#REF!</f>
      </c>
      <c r="BY12" s="51" t="e">
        <f>Ticker0001_Exchange_Sheet!CX12-#REF!</f>
      </c>
      <c r="BZ12" s="51" t="e">
        <f>Ticker0001_Exchange_Sheet!CY12-#REF!</f>
      </c>
      <c r="CA12" s="51" t="e">
        <f>Ticker0001_Exchange_Sheet!CZ12-#REF!</f>
      </c>
      <c r="CB12" s="51" t="e">
        <f>Ticker0001_Exchange_Sheet!DA12-#REF!</f>
      </c>
      <c r="CC12" s="51" t="e">
        <f>Ticker0001_Exchange_Sheet!DB12-#REF!</f>
      </c>
      <c r="CD12" s="51" t="e">
        <f>Ticker0001_Exchange_Sheet!DC12-#REF!</f>
      </c>
      <c r="CE12" s="51" t="e">
        <f>Ticker0001_Exchange_Sheet!DD12-#REF!</f>
      </c>
      <c r="CF12" s="51" t="e">
        <f>Ticker0001_Exchange_Sheet!DE12-#REF!</f>
      </c>
    </row>
    <row r="13" spans="6:84">
      <c r="F13" s="51" t="e">
        <f>Ticker0001_Exchange_Sheet!F13-#REF!</f>
      </c>
      <c r="G13" s="51" t="e">
        <f>Ticker0001_Exchange_Sheet!G13-#REF!</f>
      </c>
      <c r="H13" s="51" t="e">
        <f>Ticker0001_Exchange_Sheet!H13-#REF!</f>
      </c>
      <c r="I13" s="51" t="e">
        <f>Ticker0001_Exchange_Sheet!I13-#REF!</f>
      </c>
      <c r="J13" s="51" t="e">
        <f>Ticker0001_Exchange_Sheet!J13-#REF!</f>
      </c>
      <c r="K13" s="51" t="e">
        <f>Ticker0001_Exchange_Sheet!K13-#REF!</f>
      </c>
      <c r="L13" s="51" t="e">
        <f>Ticker0001_Exchange_Sheet!L13-#REF!</f>
      </c>
      <c r="M13" s="51" t="e">
        <f>Ticker0001_Exchange_Sheet!M13-#REF!</f>
      </c>
      <c r="N13" s="51" t="e">
        <f>Ticker0001_Exchange_Sheet!N13-#REF!</f>
      </c>
      <c r="O13" s="51" t="e">
        <f>Ticker0001_Exchange_Sheet!O13-#REF!</f>
      </c>
      <c r="P13" s="51" t="e">
        <f>Ticker0001_Exchange_Sheet!P13-#REF!</f>
      </c>
      <c r="Q13" s="51" t="e">
        <f>Ticker0001_Exchange_Sheet!Q13-#REF!</f>
      </c>
      <c r="R13" s="51" t="e">
        <f>Ticker0001_Exchange_Sheet!R13-#REF!</f>
      </c>
      <c r="S13" s="51" t="e">
        <f>Ticker0001_Exchange_Sheet!S13-#REF!</f>
      </c>
      <c r="T13" s="51" t="e">
        <f>Ticker0001_Exchange_Sheet!T13-#REF!</f>
      </c>
      <c r="U13" s="51" t="e">
        <f>Ticker0001_Exchange_Sheet!U13-#REF!</f>
      </c>
      <c r="V13" s="51" t="e">
        <f>Ticker0001_Exchange_Sheet!V13-#REF!</f>
      </c>
      <c r="W13" s="51" t="e">
        <f>Ticker0001_Exchange_Sheet!W13-#REF!</f>
      </c>
      <c r="X13" s="51" t="e">
        <f>Ticker0001_Exchange_Sheet!AK13-#REF!</f>
      </c>
      <c r="Y13" s="51" t="e">
        <f>Ticker0001_Exchange_Sheet!AX13-#REF!</f>
      </c>
      <c r="Z13" s="51" t="e">
        <f>Ticker0001_Exchange_Sheet!AY13-#REF!</f>
      </c>
      <c r="AA13" s="51" t="e">
        <f>Ticker0001_Exchange_Sheet!AZ13-#REF!</f>
      </c>
      <c r="AB13" s="51" t="e">
        <f>Ticker0001_Exchange_Sheet!BA13-#REF!</f>
      </c>
      <c r="AC13" s="51" t="e">
        <f>Ticker0001_Exchange_Sheet!BB13-#REF!</f>
      </c>
      <c r="AD13" s="51" t="e">
        <f>Ticker0001_Exchange_Sheet!BC13-#REF!</f>
      </c>
      <c r="AE13" s="51" t="e">
        <f>Ticker0001_Exchange_Sheet!BD13-#REF!</f>
      </c>
      <c r="AF13" s="51" t="e">
        <f>Ticker0001_Exchange_Sheet!BE13-#REF!</f>
      </c>
      <c r="AG13" s="51" t="e">
        <f>Ticker0001_Exchange_Sheet!BF13-#REF!</f>
      </c>
      <c r="AH13" s="51" t="e">
        <f>Ticker0001_Exchange_Sheet!BG13-#REF!</f>
      </c>
      <c r="AI13" s="51" t="e">
        <f>Ticker0001_Exchange_Sheet!BH13-#REF!</f>
      </c>
      <c r="AJ13" s="51" t="e">
        <f>Ticker0001_Exchange_Sheet!BI13-#REF!</f>
      </c>
      <c r="AK13" s="51" t="e">
        <f>Ticker0001_Exchange_Sheet!BJ13-#REF!</f>
      </c>
      <c r="AL13" s="51" t="e">
        <f>Ticker0001_Exchange_Sheet!BK13-#REF!</f>
      </c>
      <c r="AM13" s="51" t="e">
        <f>Ticker0001_Exchange_Sheet!BL13-#REF!</f>
      </c>
      <c r="AN13" s="51" t="e">
        <f>Ticker0001_Exchange_Sheet!BM13-#REF!</f>
      </c>
      <c r="AO13" s="51" t="e">
        <f>Ticker0001_Exchange_Sheet!BN13-#REF!</f>
      </c>
      <c r="AP13" s="51" t="e">
        <f>Ticker0001_Exchange_Sheet!BO13-#REF!</f>
      </c>
      <c r="AQ13" s="51" t="e">
        <f>Ticker0001_Exchange_Sheet!BP13-#REF!</f>
      </c>
      <c r="AR13" s="51" t="e">
        <f>Ticker0001_Exchange_Sheet!BQ13-#REF!</f>
      </c>
      <c r="AS13" s="51" t="e">
        <f>Ticker0001_Exchange_Sheet!BR13-#REF!</f>
      </c>
      <c r="AT13" s="51" t="e">
        <f>Ticker0001_Exchange_Sheet!BS13-#REF!</f>
      </c>
      <c r="AU13" s="51" t="e">
        <f>Ticker0001_Exchange_Sheet!BT13-#REF!</f>
      </c>
      <c r="AV13" s="51" t="e">
        <f>Ticker0001_Exchange_Sheet!BU13-#REF!</f>
      </c>
      <c r="AW13" s="51" t="e">
        <f>Ticker0001_Exchange_Sheet!BV13-#REF!</f>
      </c>
      <c r="AX13" s="51" t="e">
        <f>Ticker0001_Exchange_Sheet!BW13-#REF!</f>
      </c>
      <c r="AY13" s="51" t="e">
        <f>Ticker0001_Exchange_Sheet!BX13-#REF!</f>
      </c>
      <c r="AZ13" s="51" t="e">
        <f>Ticker0001_Exchange_Sheet!BY13-#REF!</f>
      </c>
      <c r="BA13" s="51" t="e">
        <f>Ticker0001_Exchange_Sheet!BZ13-#REF!</f>
      </c>
      <c r="BB13" s="51" t="e">
        <f>Ticker0001_Exchange_Sheet!CA13-#REF!</f>
      </c>
      <c r="BC13" s="51" t="e">
        <f>Ticker0001_Exchange_Sheet!CB13-#REF!</f>
      </c>
      <c r="BD13" s="51" t="e">
        <f>Ticker0001_Exchange_Sheet!CC13-#REF!</f>
      </c>
      <c r="BE13" s="51" t="e">
        <f>Ticker0001_Exchange_Sheet!CD13-#REF!</f>
      </c>
      <c r="BF13" s="51" t="e">
        <f>Ticker0001_Exchange_Sheet!CE13-#REF!</f>
      </c>
      <c r="BG13" s="51" t="e">
        <f>Ticker0001_Exchange_Sheet!CF13-#REF!</f>
      </c>
      <c r="BH13" s="51" t="e">
        <f>Ticker0001_Exchange_Sheet!CG13-#REF!</f>
      </c>
      <c r="BI13" s="51" t="e">
        <f>Ticker0001_Exchange_Sheet!CH13-#REF!</f>
      </c>
      <c r="BJ13" s="51" t="e">
        <f>Ticker0001_Exchange_Sheet!CI13-#REF!</f>
      </c>
      <c r="BK13" s="51" t="e">
        <f>Ticker0001_Exchange_Sheet!CJ13-#REF!</f>
      </c>
      <c r="BL13" s="51" t="e">
        <f>Ticker0001_Exchange_Sheet!CK13-#REF!</f>
      </c>
      <c r="BM13" s="51" t="e">
        <f>Ticker0001_Exchange_Sheet!CL13-#REF!</f>
      </c>
      <c r="BN13" s="51" t="e">
        <f>Ticker0001_Exchange_Sheet!CM13-#REF!</f>
      </c>
      <c r="BO13" s="51" t="e">
        <f>Ticker0001_Exchange_Sheet!CN13-#REF!</f>
      </c>
      <c r="BP13" s="51" t="e">
        <f>Ticker0001_Exchange_Sheet!CO13-#REF!</f>
      </c>
      <c r="BQ13" s="51" t="e">
        <f>Ticker0001_Exchange_Sheet!CP13-#REF!</f>
      </c>
      <c r="BR13" s="51" t="e">
        <f>Ticker0001_Exchange_Sheet!CQ13-#REF!</f>
      </c>
      <c r="BS13" s="51" t="e">
        <f>Ticker0001_Exchange_Sheet!CR13-#REF!</f>
      </c>
      <c r="BT13" s="51" t="e">
        <f>Ticker0001_Exchange_Sheet!CS13-#REF!</f>
      </c>
      <c r="BU13" s="51" t="e">
        <f>Ticker0001_Exchange_Sheet!CT13-#REF!</f>
      </c>
      <c r="BV13" s="51" t="e">
        <f>Ticker0001_Exchange_Sheet!CU13-#REF!</f>
      </c>
      <c r="BW13" s="51" t="e">
        <f>Ticker0001_Exchange_Sheet!CV13-#REF!</f>
      </c>
      <c r="BX13" s="51" t="e">
        <f>Ticker0001_Exchange_Sheet!CW13-#REF!</f>
      </c>
      <c r="BY13" s="51" t="e">
        <f>Ticker0001_Exchange_Sheet!CX13-#REF!</f>
      </c>
      <c r="BZ13" s="51" t="e">
        <f>Ticker0001_Exchange_Sheet!CY13-#REF!</f>
      </c>
      <c r="CA13" s="51" t="e">
        <f>Ticker0001_Exchange_Sheet!CZ13-#REF!</f>
      </c>
      <c r="CB13" s="51" t="e">
        <f>Ticker0001_Exchange_Sheet!DA13-#REF!</f>
      </c>
      <c r="CC13" s="51" t="e">
        <f>Ticker0001_Exchange_Sheet!DB13-#REF!</f>
      </c>
      <c r="CD13" s="51" t="e">
        <f>Ticker0001_Exchange_Sheet!DC13-#REF!</f>
      </c>
      <c r="CE13" s="51" t="e">
        <f>Ticker0001_Exchange_Sheet!DD13-#REF!</f>
      </c>
      <c r="CF13" s="51" t="e">
        <f>Ticker0001_Exchange_Sheet!DE13-#REF!</f>
      </c>
    </row>
    <row r="14" spans="6:84">
      <c r="F14" s="51" t="e">
        <f>Ticker0001_Exchange_Sheet!F14-#REF!</f>
      </c>
      <c r="G14" s="51" t="e">
        <f>Ticker0001_Exchange_Sheet!G14-#REF!</f>
      </c>
      <c r="H14" s="51" t="e">
        <f>Ticker0001_Exchange_Sheet!H14-#REF!</f>
      </c>
      <c r="I14" s="51" t="e">
        <f>Ticker0001_Exchange_Sheet!I14-#REF!</f>
      </c>
      <c r="J14" s="51" t="e">
        <f>Ticker0001_Exchange_Sheet!J14-#REF!</f>
      </c>
      <c r="K14" s="51" t="e">
        <f>Ticker0001_Exchange_Sheet!K14-#REF!</f>
      </c>
      <c r="L14" s="51" t="e">
        <f>Ticker0001_Exchange_Sheet!L14-#REF!</f>
      </c>
      <c r="M14" s="51" t="e">
        <f>Ticker0001_Exchange_Sheet!M14-#REF!</f>
      </c>
      <c r="N14" s="51" t="e">
        <f>Ticker0001_Exchange_Sheet!N14-#REF!</f>
      </c>
      <c r="O14" s="51" t="e">
        <f>Ticker0001_Exchange_Sheet!O14-#REF!</f>
      </c>
      <c r="P14" s="51" t="e">
        <f>Ticker0001_Exchange_Sheet!P14-#REF!</f>
      </c>
      <c r="Q14" s="51" t="e">
        <f>Ticker0001_Exchange_Sheet!Q14-#REF!</f>
      </c>
      <c r="R14" s="51" t="e">
        <f>Ticker0001_Exchange_Sheet!R14-#REF!</f>
      </c>
      <c r="S14" s="51" t="e">
        <f>Ticker0001_Exchange_Sheet!S14-#REF!</f>
      </c>
      <c r="T14" s="51" t="e">
        <f>Ticker0001_Exchange_Sheet!T14-#REF!</f>
      </c>
      <c r="U14" s="51" t="e">
        <f>Ticker0001_Exchange_Sheet!U14-#REF!</f>
      </c>
      <c r="V14" s="51" t="e">
        <f>Ticker0001_Exchange_Sheet!V14-#REF!</f>
      </c>
      <c r="W14" s="51" t="e">
        <f>Ticker0001_Exchange_Sheet!W14-#REF!</f>
      </c>
      <c r="X14" s="51" t="e">
        <f>Ticker0001_Exchange_Sheet!AK14-#REF!</f>
      </c>
      <c r="Y14" s="51" t="e">
        <f>Ticker0001_Exchange_Sheet!AX14-#REF!</f>
      </c>
      <c r="Z14" s="51" t="e">
        <f>Ticker0001_Exchange_Sheet!AY14-#REF!</f>
      </c>
      <c r="AA14" s="51" t="e">
        <f>Ticker0001_Exchange_Sheet!AZ14-#REF!</f>
      </c>
      <c r="AB14" s="51" t="e">
        <f>Ticker0001_Exchange_Sheet!BA14-#REF!</f>
      </c>
      <c r="AC14" s="51" t="e">
        <f>Ticker0001_Exchange_Sheet!BB14-#REF!</f>
      </c>
      <c r="AD14" s="51" t="e">
        <f>Ticker0001_Exchange_Sheet!BC14-#REF!</f>
      </c>
      <c r="AE14" s="51" t="e">
        <f>Ticker0001_Exchange_Sheet!BD14-#REF!</f>
      </c>
      <c r="AF14" s="51" t="e">
        <f>Ticker0001_Exchange_Sheet!BE14-#REF!</f>
      </c>
      <c r="AG14" s="51" t="e">
        <f>Ticker0001_Exchange_Sheet!BF14-#REF!</f>
      </c>
      <c r="AH14" s="51" t="e">
        <f>Ticker0001_Exchange_Sheet!BG14-#REF!</f>
      </c>
      <c r="AI14" s="51" t="e">
        <f>Ticker0001_Exchange_Sheet!BH14-#REF!</f>
      </c>
      <c r="AJ14" s="51" t="e">
        <f>Ticker0001_Exchange_Sheet!BI14-#REF!</f>
      </c>
      <c r="AK14" s="51" t="e">
        <f>Ticker0001_Exchange_Sheet!BJ14-#REF!</f>
      </c>
      <c r="AL14" s="51" t="e">
        <f>Ticker0001_Exchange_Sheet!BK14-#REF!</f>
      </c>
      <c r="AM14" s="51" t="e">
        <f>Ticker0001_Exchange_Sheet!BL14-#REF!</f>
      </c>
      <c r="AN14" s="51" t="e">
        <f>Ticker0001_Exchange_Sheet!BM14-#REF!</f>
      </c>
      <c r="AO14" s="51" t="e">
        <f>Ticker0001_Exchange_Sheet!BN14-#REF!</f>
      </c>
      <c r="AP14" s="51" t="e">
        <f>Ticker0001_Exchange_Sheet!BO14-#REF!</f>
      </c>
      <c r="AQ14" s="51" t="e">
        <f>Ticker0001_Exchange_Sheet!BP14-#REF!</f>
      </c>
      <c r="AR14" s="51" t="e">
        <f>Ticker0001_Exchange_Sheet!BQ14-#REF!</f>
      </c>
      <c r="AS14" s="51" t="e">
        <f>Ticker0001_Exchange_Sheet!BR14-#REF!</f>
      </c>
      <c r="AT14" s="51" t="e">
        <f>Ticker0001_Exchange_Sheet!BS14-#REF!</f>
      </c>
      <c r="AU14" s="51" t="e">
        <f>Ticker0001_Exchange_Sheet!BT14-#REF!</f>
      </c>
      <c r="AV14" s="51" t="e">
        <f>Ticker0001_Exchange_Sheet!BU14-#REF!</f>
      </c>
      <c r="AW14" s="51" t="e">
        <f>Ticker0001_Exchange_Sheet!BV14-#REF!</f>
      </c>
      <c r="AX14" s="51" t="e">
        <f>Ticker0001_Exchange_Sheet!BW14-#REF!</f>
      </c>
      <c r="AY14" s="51" t="e">
        <f>Ticker0001_Exchange_Sheet!BX14-#REF!</f>
      </c>
      <c r="AZ14" s="51" t="e">
        <f>Ticker0001_Exchange_Sheet!BY14-#REF!</f>
      </c>
      <c r="BA14" s="51" t="e">
        <f>Ticker0001_Exchange_Sheet!BZ14-#REF!</f>
      </c>
      <c r="BB14" s="51" t="e">
        <f>Ticker0001_Exchange_Sheet!CA14-#REF!</f>
      </c>
      <c r="BC14" s="51" t="e">
        <f>Ticker0001_Exchange_Sheet!CB14-#REF!</f>
      </c>
      <c r="BD14" s="51" t="e">
        <f>Ticker0001_Exchange_Sheet!CC14-#REF!</f>
      </c>
      <c r="BE14" s="51" t="e">
        <f>Ticker0001_Exchange_Sheet!CD14-#REF!</f>
      </c>
      <c r="BF14" s="51" t="e">
        <f>Ticker0001_Exchange_Sheet!CE14-#REF!</f>
      </c>
      <c r="BG14" s="51" t="e">
        <f>Ticker0001_Exchange_Sheet!CF14-#REF!</f>
      </c>
      <c r="BH14" s="51" t="e">
        <f>Ticker0001_Exchange_Sheet!CG14-#REF!</f>
      </c>
      <c r="BI14" s="51" t="e">
        <f>Ticker0001_Exchange_Sheet!CH14-#REF!</f>
      </c>
      <c r="BJ14" s="51" t="e">
        <f>Ticker0001_Exchange_Sheet!CI14-#REF!</f>
      </c>
      <c r="BK14" s="51" t="e">
        <f>Ticker0001_Exchange_Sheet!CJ14-#REF!</f>
      </c>
      <c r="BL14" s="51" t="e">
        <f>Ticker0001_Exchange_Sheet!CK14-#REF!</f>
      </c>
      <c r="BM14" s="51" t="e">
        <f>Ticker0001_Exchange_Sheet!CL14-#REF!</f>
      </c>
      <c r="BN14" s="51" t="e">
        <f>Ticker0001_Exchange_Sheet!CM14-#REF!</f>
      </c>
      <c r="BO14" s="51" t="e">
        <f>Ticker0001_Exchange_Sheet!CN14-#REF!</f>
      </c>
      <c r="BP14" s="51" t="e">
        <f>Ticker0001_Exchange_Sheet!CO14-#REF!</f>
      </c>
      <c r="BQ14" s="51" t="e">
        <f>Ticker0001_Exchange_Sheet!CP14-#REF!</f>
      </c>
      <c r="BR14" s="51" t="e">
        <f>Ticker0001_Exchange_Sheet!CQ14-#REF!</f>
      </c>
      <c r="BS14" s="51" t="e">
        <f>Ticker0001_Exchange_Sheet!CR14-#REF!</f>
      </c>
      <c r="BT14" s="51" t="e">
        <f>Ticker0001_Exchange_Sheet!CS14-#REF!</f>
      </c>
      <c r="BU14" s="51" t="e">
        <f>Ticker0001_Exchange_Sheet!CT14-#REF!</f>
      </c>
      <c r="BV14" s="51" t="e">
        <f>Ticker0001_Exchange_Sheet!CU14-#REF!</f>
      </c>
      <c r="BW14" s="51" t="e">
        <f>Ticker0001_Exchange_Sheet!CV14-#REF!</f>
      </c>
      <c r="BX14" s="51" t="e">
        <f>Ticker0001_Exchange_Sheet!CW14-#REF!</f>
      </c>
      <c r="BY14" s="51" t="e">
        <f>Ticker0001_Exchange_Sheet!CX14-#REF!</f>
      </c>
      <c r="BZ14" s="51" t="e">
        <f>Ticker0001_Exchange_Sheet!CY14-#REF!</f>
      </c>
      <c r="CA14" s="51" t="e">
        <f>Ticker0001_Exchange_Sheet!CZ14-#REF!</f>
      </c>
      <c r="CB14" s="51" t="e">
        <f>Ticker0001_Exchange_Sheet!DA14-#REF!</f>
      </c>
      <c r="CC14" s="51" t="e">
        <f>Ticker0001_Exchange_Sheet!DB14-#REF!</f>
      </c>
      <c r="CD14" s="51" t="e">
        <f>Ticker0001_Exchange_Sheet!DC14-#REF!</f>
      </c>
      <c r="CE14" s="51" t="e">
        <f>Ticker0001_Exchange_Sheet!DD14-#REF!</f>
      </c>
      <c r="CF14" s="51" t="e">
        <f>Ticker0001_Exchange_Sheet!DE14-#REF!</f>
      </c>
    </row>
    <row r="15" spans="6:84">
      <c r="F15" s="51" t="e">
        <f>Ticker0001_Exchange_Sheet!F15-#REF!</f>
      </c>
      <c r="G15" s="51" t="e">
        <f>Ticker0001_Exchange_Sheet!G15-#REF!</f>
      </c>
      <c r="H15" s="51" t="e">
        <f>Ticker0001_Exchange_Sheet!H15-#REF!</f>
      </c>
      <c r="I15" s="51" t="e">
        <f>Ticker0001_Exchange_Sheet!I15-#REF!</f>
      </c>
      <c r="J15" s="51" t="e">
        <f>Ticker0001_Exchange_Sheet!J15-#REF!</f>
      </c>
      <c r="K15" s="51" t="e">
        <f>Ticker0001_Exchange_Sheet!K15-#REF!</f>
      </c>
      <c r="L15" s="51" t="e">
        <f>Ticker0001_Exchange_Sheet!L15-#REF!</f>
      </c>
      <c r="M15" s="51" t="e">
        <f>Ticker0001_Exchange_Sheet!M15-#REF!</f>
      </c>
      <c r="N15" s="51" t="e">
        <f>Ticker0001_Exchange_Sheet!N15-#REF!</f>
      </c>
      <c r="O15" s="51" t="e">
        <f>Ticker0001_Exchange_Sheet!O15-#REF!</f>
      </c>
      <c r="P15" s="51" t="e">
        <f>Ticker0001_Exchange_Sheet!P15-#REF!</f>
      </c>
      <c r="Q15" s="51" t="e">
        <f>Ticker0001_Exchange_Sheet!Q15-#REF!</f>
      </c>
      <c r="R15" s="51" t="e">
        <f>Ticker0001_Exchange_Sheet!R15-#REF!</f>
      </c>
      <c r="S15" s="51" t="e">
        <f>Ticker0001_Exchange_Sheet!S15-#REF!</f>
      </c>
      <c r="T15" s="51" t="e">
        <f>Ticker0001_Exchange_Sheet!T15-#REF!</f>
      </c>
      <c r="U15" s="51" t="e">
        <f>Ticker0001_Exchange_Sheet!U15-#REF!</f>
      </c>
      <c r="V15" s="51" t="e">
        <f>Ticker0001_Exchange_Sheet!V15-#REF!</f>
      </c>
      <c r="W15" s="51" t="e">
        <f>Ticker0001_Exchange_Sheet!W15-#REF!</f>
      </c>
      <c r="X15" s="51" t="e">
        <f>Ticker0001_Exchange_Sheet!AK15-#REF!</f>
      </c>
      <c r="Y15" s="51" t="e">
        <f>Ticker0001_Exchange_Sheet!AX15-#REF!</f>
      </c>
      <c r="Z15" s="51" t="e">
        <f>Ticker0001_Exchange_Sheet!AY15-#REF!</f>
      </c>
      <c r="AA15" s="51" t="e">
        <f>Ticker0001_Exchange_Sheet!AZ15-#REF!</f>
      </c>
      <c r="AB15" s="51" t="e">
        <f>Ticker0001_Exchange_Sheet!BA15-#REF!</f>
      </c>
      <c r="AC15" s="51" t="e">
        <f>Ticker0001_Exchange_Sheet!BB15-#REF!</f>
      </c>
      <c r="AD15" s="51" t="e">
        <f>Ticker0001_Exchange_Sheet!BC15-#REF!</f>
      </c>
      <c r="AE15" s="51" t="e">
        <f>Ticker0001_Exchange_Sheet!BD15-#REF!</f>
      </c>
      <c r="AF15" s="51" t="e">
        <f>Ticker0001_Exchange_Sheet!BE15-#REF!</f>
      </c>
      <c r="AG15" s="51" t="e">
        <f>Ticker0001_Exchange_Sheet!BF15-#REF!</f>
      </c>
      <c r="AH15" s="51" t="e">
        <f>Ticker0001_Exchange_Sheet!BG15-#REF!</f>
      </c>
      <c r="AI15" s="51" t="e">
        <f>Ticker0001_Exchange_Sheet!BH15-#REF!</f>
      </c>
      <c r="AJ15" s="51" t="e">
        <f>Ticker0001_Exchange_Sheet!BI15-#REF!</f>
      </c>
      <c r="AK15" s="51" t="e">
        <f>Ticker0001_Exchange_Sheet!BJ15-#REF!</f>
      </c>
      <c r="AL15" s="51" t="e">
        <f>Ticker0001_Exchange_Sheet!BK15-#REF!</f>
      </c>
      <c r="AM15" s="51" t="e">
        <f>Ticker0001_Exchange_Sheet!BL15-#REF!</f>
      </c>
      <c r="AN15" s="51" t="e">
        <f>Ticker0001_Exchange_Sheet!BM15-#REF!</f>
      </c>
      <c r="AO15" s="51" t="e">
        <f>Ticker0001_Exchange_Sheet!BN15-#REF!</f>
      </c>
      <c r="AP15" s="51" t="e">
        <f>Ticker0001_Exchange_Sheet!BO15-#REF!</f>
      </c>
      <c r="AQ15" s="51" t="e">
        <f>Ticker0001_Exchange_Sheet!BP15-#REF!</f>
      </c>
      <c r="AR15" s="51" t="e">
        <f>Ticker0001_Exchange_Sheet!BQ15-#REF!</f>
      </c>
      <c r="AS15" s="51" t="e">
        <f>Ticker0001_Exchange_Sheet!BR15-#REF!</f>
      </c>
      <c r="AT15" s="51" t="e">
        <f>Ticker0001_Exchange_Sheet!BS15-#REF!</f>
      </c>
      <c r="AU15" s="51" t="e">
        <f>Ticker0001_Exchange_Sheet!BT15-#REF!</f>
      </c>
      <c r="AV15" s="51" t="e">
        <f>Ticker0001_Exchange_Sheet!BU15-#REF!</f>
      </c>
      <c r="AW15" s="51" t="e">
        <f>Ticker0001_Exchange_Sheet!BV15-#REF!</f>
      </c>
      <c r="AX15" s="51" t="e">
        <f>Ticker0001_Exchange_Sheet!BW15-#REF!</f>
      </c>
      <c r="AY15" s="51" t="e">
        <f>Ticker0001_Exchange_Sheet!BX15-#REF!</f>
      </c>
      <c r="AZ15" s="51" t="e">
        <f>Ticker0001_Exchange_Sheet!BY15-#REF!</f>
      </c>
      <c r="BA15" s="51" t="e">
        <f>Ticker0001_Exchange_Sheet!BZ15-#REF!</f>
      </c>
      <c r="BB15" s="51" t="e">
        <f>Ticker0001_Exchange_Sheet!CA15-#REF!</f>
      </c>
      <c r="BC15" s="51" t="e">
        <f>Ticker0001_Exchange_Sheet!CB15-#REF!</f>
      </c>
      <c r="BD15" s="51" t="e">
        <f>Ticker0001_Exchange_Sheet!CC15-#REF!</f>
      </c>
      <c r="BE15" s="51" t="e">
        <f>Ticker0001_Exchange_Sheet!CD15-#REF!</f>
      </c>
      <c r="BF15" s="51" t="e">
        <f>Ticker0001_Exchange_Sheet!CE15-#REF!</f>
      </c>
      <c r="BG15" s="51" t="e">
        <f>Ticker0001_Exchange_Sheet!CF15-#REF!</f>
      </c>
      <c r="BH15" s="51" t="e">
        <f>Ticker0001_Exchange_Sheet!CG15-#REF!</f>
      </c>
      <c r="BI15" s="51" t="e">
        <f>Ticker0001_Exchange_Sheet!CH15-#REF!</f>
      </c>
      <c r="BJ15" s="51" t="e">
        <f>Ticker0001_Exchange_Sheet!CI15-#REF!</f>
      </c>
      <c r="BK15" s="51" t="e">
        <f>Ticker0001_Exchange_Sheet!CJ15-#REF!</f>
      </c>
      <c r="BL15" s="51" t="e">
        <f>Ticker0001_Exchange_Sheet!CK15-#REF!</f>
      </c>
      <c r="BM15" s="51" t="e">
        <f>Ticker0001_Exchange_Sheet!CL15-#REF!</f>
      </c>
      <c r="BN15" s="51" t="e">
        <f>Ticker0001_Exchange_Sheet!CM15-#REF!</f>
      </c>
      <c r="BO15" s="51" t="e">
        <f>Ticker0001_Exchange_Sheet!CN15-#REF!</f>
      </c>
      <c r="BP15" s="51" t="e">
        <f>Ticker0001_Exchange_Sheet!CO15-#REF!</f>
      </c>
      <c r="BQ15" s="51" t="e">
        <f>Ticker0001_Exchange_Sheet!CP15-#REF!</f>
      </c>
      <c r="BR15" s="51" t="e">
        <f>Ticker0001_Exchange_Sheet!CQ15-#REF!</f>
      </c>
      <c r="BS15" s="51" t="e">
        <f>Ticker0001_Exchange_Sheet!CR15-#REF!</f>
      </c>
      <c r="BT15" s="51" t="e">
        <f>Ticker0001_Exchange_Sheet!CS15-#REF!</f>
      </c>
      <c r="BU15" s="51" t="e">
        <f>Ticker0001_Exchange_Sheet!CT15-#REF!</f>
      </c>
      <c r="BV15" s="51" t="e">
        <f>Ticker0001_Exchange_Sheet!CU15-#REF!</f>
      </c>
      <c r="BW15" s="51" t="e">
        <f>Ticker0001_Exchange_Sheet!CV15-#REF!</f>
      </c>
      <c r="BX15" s="51" t="e">
        <f>Ticker0001_Exchange_Sheet!CW15-#REF!</f>
      </c>
      <c r="BY15" s="51" t="e">
        <f>Ticker0001_Exchange_Sheet!CX15-#REF!</f>
      </c>
      <c r="BZ15" s="51" t="e">
        <f>Ticker0001_Exchange_Sheet!CY15-#REF!</f>
      </c>
      <c r="CA15" s="51" t="e">
        <f>Ticker0001_Exchange_Sheet!CZ15-#REF!</f>
      </c>
      <c r="CB15" s="51" t="e">
        <f>Ticker0001_Exchange_Sheet!DA15-#REF!</f>
      </c>
      <c r="CC15" s="51" t="e">
        <f>Ticker0001_Exchange_Sheet!DB15-#REF!</f>
      </c>
      <c r="CD15" s="51" t="e">
        <f>Ticker0001_Exchange_Sheet!DC15-#REF!</f>
      </c>
      <c r="CE15" s="51" t="e">
        <f>Ticker0001_Exchange_Sheet!DD15-#REF!</f>
      </c>
      <c r="CF15" s="51" t="e">
        <f>Ticker0001_Exchange_Sheet!DE15-#REF!</f>
      </c>
    </row>
    <row r="16" spans="6:84">
      <c r="F16" s="51" t="e">
        <f>Ticker0001_Exchange_Sheet!F16-#REF!</f>
      </c>
      <c r="G16" s="51" t="e">
        <f>Ticker0001_Exchange_Sheet!G16-#REF!</f>
      </c>
      <c r="H16" s="51" t="e">
        <f>Ticker0001_Exchange_Sheet!H16-#REF!</f>
      </c>
      <c r="I16" s="51" t="e">
        <f>Ticker0001_Exchange_Sheet!I16-#REF!</f>
      </c>
      <c r="J16" s="51" t="e">
        <f>Ticker0001_Exchange_Sheet!J16-#REF!</f>
      </c>
      <c r="K16" s="51" t="e">
        <f>Ticker0001_Exchange_Sheet!K16-#REF!</f>
      </c>
      <c r="L16" s="51" t="e">
        <f>Ticker0001_Exchange_Sheet!L16-#REF!</f>
      </c>
      <c r="M16" s="51" t="e">
        <f>Ticker0001_Exchange_Sheet!M16-#REF!</f>
      </c>
      <c r="N16" s="51" t="e">
        <f>Ticker0001_Exchange_Sheet!N16-#REF!</f>
      </c>
      <c r="O16" s="51" t="e">
        <f>Ticker0001_Exchange_Sheet!O16-#REF!</f>
      </c>
      <c r="P16" s="51" t="e">
        <f>Ticker0001_Exchange_Sheet!P16-#REF!</f>
      </c>
      <c r="Q16" s="51" t="e">
        <f>Ticker0001_Exchange_Sheet!Q16-#REF!</f>
      </c>
      <c r="R16" s="51" t="e">
        <f>Ticker0001_Exchange_Sheet!R16-#REF!</f>
      </c>
      <c r="S16" s="51" t="e">
        <f>Ticker0001_Exchange_Sheet!S16-#REF!</f>
      </c>
      <c r="T16" s="51" t="e">
        <f>Ticker0001_Exchange_Sheet!T16-#REF!</f>
      </c>
      <c r="U16" s="51" t="e">
        <f>Ticker0001_Exchange_Sheet!U16-#REF!</f>
      </c>
      <c r="V16" s="51" t="e">
        <f>Ticker0001_Exchange_Sheet!V16-#REF!</f>
      </c>
      <c r="W16" s="51" t="e">
        <f>Ticker0001_Exchange_Sheet!W16-#REF!</f>
      </c>
      <c r="X16" s="51" t="e">
        <f>Ticker0001_Exchange_Sheet!AK16-#REF!</f>
      </c>
      <c r="Y16" s="51" t="e">
        <f>Ticker0001_Exchange_Sheet!AX16-#REF!</f>
      </c>
      <c r="Z16" s="51" t="e">
        <f>Ticker0001_Exchange_Sheet!AY16-#REF!</f>
      </c>
      <c r="AA16" s="51" t="e">
        <f>Ticker0001_Exchange_Sheet!AZ16-#REF!</f>
      </c>
      <c r="AB16" s="51" t="e">
        <f>Ticker0001_Exchange_Sheet!BA16-#REF!</f>
      </c>
      <c r="AC16" s="51" t="e">
        <f>Ticker0001_Exchange_Sheet!BB16-#REF!</f>
      </c>
      <c r="AD16" s="51" t="e">
        <f>Ticker0001_Exchange_Sheet!BC16-#REF!</f>
      </c>
      <c r="AE16" s="51" t="e">
        <f>Ticker0001_Exchange_Sheet!BD16-#REF!</f>
      </c>
      <c r="AF16" s="51" t="e">
        <f>Ticker0001_Exchange_Sheet!BE16-#REF!</f>
      </c>
      <c r="AG16" s="51" t="e">
        <f>Ticker0001_Exchange_Sheet!BF16-#REF!</f>
      </c>
      <c r="AH16" s="51" t="e">
        <f>Ticker0001_Exchange_Sheet!BG16-#REF!</f>
      </c>
      <c r="AI16" s="51" t="e">
        <f>Ticker0001_Exchange_Sheet!BH16-#REF!</f>
      </c>
      <c r="AJ16" s="51" t="e">
        <f>Ticker0001_Exchange_Sheet!BI16-#REF!</f>
      </c>
      <c r="AK16" s="51" t="e">
        <f>Ticker0001_Exchange_Sheet!BJ16-#REF!</f>
      </c>
      <c r="AL16" s="51" t="e">
        <f>Ticker0001_Exchange_Sheet!BK16-#REF!</f>
      </c>
      <c r="AM16" s="51" t="e">
        <f>Ticker0001_Exchange_Sheet!BL16-#REF!</f>
      </c>
      <c r="AN16" s="51" t="e">
        <f>Ticker0001_Exchange_Sheet!BM16-#REF!</f>
      </c>
      <c r="AO16" s="51" t="e">
        <f>Ticker0001_Exchange_Sheet!BN16-#REF!</f>
      </c>
      <c r="AP16" s="51" t="e">
        <f>Ticker0001_Exchange_Sheet!BO16-#REF!</f>
      </c>
      <c r="AQ16" s="51" t="e">
        <f>Ticker0001_Exchange_Sheet!BP16-#REF!</f>
      </c>
      <c r="AR16" s="51" t="e">
        <f>Ticker0001_Exchange_Sheet!BQ16-#REF!</f>
      </c>
      <c r="AS16" s="51" t="e">
        <f>Ticker0001_Exchange_Sheet!BR16-#REF!</f>
      </c>
      <c r="AT16" s="51" t="e">
        <f>Ticker0001_Exchange_Sheet!BS16-#REF!</f>
      </c>
      <c r="AU16" s="51" t="e">
        <f>Ticker0001_Exchange_Sheet!BT16-#REF!</f>
      </c>
      <c r="AV16" s="51" t="e">
        <f>Ticker0001_Exchange_Sheet!BU16-#REF!</f>
      </c>
      <c r="AW16" s="51" t="e">
        <f>Ticker0001_Exchange_Sheet!BV16-#REF!</f>
      </c>
      <c r="AX16" s="51" t="e">
        <f>Ticker0001_Exchange_Sheet!BW16-#REF!</f>
      </c>
      <c r="AY16" s="51" t="e">
        <f>Ticker0001_Exchange_Sheet!BX16-#REF!</f>
      </c>
      <c r="AZ16" s="51" t="e">
        <f>Ticker0001_Exchange_Sheet!BY16-#REF!</f>
      </c>
      <c r="BA16" s="51" t="e">
        <f>Ticker0001_Exchange_Sheet!BZ16-#REF!</f>
      </c>
      <c r="BB16" s="51" t="e">
        <f>Ticker0001_Exchange_Sheet!CA16-#REF!</f>
      </c>
      <c r="BC16" s="51" t="e">
        <f>Ticker0001_Exchange_Sheet!CB16-#REF!</f>
      </c>
      <c r="BD16" s="51" t="e">
        <f>Ticker0001_Exchange_Sheet!CC16-#REF!</f>
      </c>
      <c r="BE16" s="51" t="e">
        <f>Ticker0001_Exchange_Sheet!CD16-#REF!</f>
      </c>
      <c r="BF16" s="51" t="e">
        <f>Ticker0001_Exchange_Sheet!CE16-#REF!</f>
      </c>
      <c r="BG16" s="51" t="e">
        <f>Ticker0001_Exchange_Sheet!CF16-#REF!</f>
      </c>
      <c r="BH16" s="51" t="e">
        <f>Ticker0001_Exchange_Sheet!CG16-#REF!</f>
      </c>
      <c r="BI16" s="51" t="e">
        <f>Ticker0001_Exchange_Sheet!CH16-#REF!</f>
      </c>
      <c r="BJ16" s="51" t="e">
        <f>Ticker0001_Exchange_Sheet!CI16-#REF!</f>
      </c>
      <c r="BK16" s="51" t="e">
        <f>Ticker0001_Exchange_Sheet!CJ16-#REF!</f>
      </c>
      <c r="BL16" s="51" t="e">
        <f>Ticker0001_Exchange_Sheet!CK16-#REF!</f>
      </c>
      <c r="BM16" s="51" t="e">
        <f>Ticker0001_Exchange_Sheet!CL16-#REF!</f>
      </c>
      <c r="BN16" s="51" t="e">
        <f>Ticker0001_Exchange_Sheet!CM16-#REF!</f>
      </c>
      <c r="BO16" s="51" t="e">
        <f>Ticker0001_Exchange_Sheet!CN16-#REF!</f>
      </c>
      <c r="BP16" s="51" t="e">
        <f>Ticker0001_Exchange_Sheet!CO16-#REF!</f>
      </c>
      <c r="BQ16" s="51" t="e">
        <f>Ticker0001_Exchange_Sheet!CP16-#REF!</f>
      </c>
      <c r="BR16" s="51" t="e">
        <f>Ticker0001_Exchange_Sheet!CQ16-#REF!</f>
      </c>
      <c r="BS16" s="51" t="e">
        <f>Ticker0001_Exchange_Sheet!CR16-#REF!</f>
      </c>
      <c r="BT16" s="51" t="e">
        <f>Ticker0001_Exchange_Sheet!CS16-#REF!</f>
      </c>
      <c r="BU16" s="51" t="e">
        <f>Ticker0001_Exchange_Sheet!CT16-#REF!</f>
      </c>
      <c r="BV16" s="51" t="e">
        <f>Ticker0001_Exchange_Sheet!CU16-#REF!</f>
      </c>
      <c r="BW16" s="51" t="e">
        <f>Ticker0001_Exchange_Sheet!CV16-#REF!</f>
      </c>
      <c r="BX16" s="51" t="e">
        <f>Ticker0001_Exchange_Sheet!CW16-#REF!</f>
      </c>
      <c r="BY16" s="51" t="e">
        <f>Ticker0001_Exchange_Sheet!CX16-#REF!</f>
      </c>
      <c r="BZ16" s="51" t="e">
        <f>Ticker0001_Exchange_Sheet!CY16-#REF!</f>
      </c>
      <c r="CA16" s="51" t="e">
        <f>Ticker0001_Exchange_Sheet!CZ16-#REF!</f>
      </c>
      <c r="CB16" s="51" t="e">
        <f>Ticker0001_Exchange_Sheet!DA16-#REF!</f>
      </c>
      <c r="CC16" s="51" t="e">
        <f>Ticker0001_Exchange_Sheet!DB16-#REF!</f>
      </c>
      <c r="CD16" s="51" t="e">
        <f>Ticker0001_Exchange_Sheet!DC16-#REF!</f>
      </c>
      <c r="CE16" s="51" t="e">
        <f>Ticker0001_Exchange_Sheet!DD16-#REF!</f>
      </c>
      <c r="CF16" s="51" t="e">
        <f>Ticker0001_Exchange_Sheet!DE16-#REF!</f>
      </c>
    </row>
    <row r="17" spans="6:84">
      <c r="F17" s="51" t="e">
        <f>Ticker0001_Exchange_Sheet!F17-#REF!</f>
      </c>
      <c r="G17" s="51" t="e">
        <f>Ticker0001_Exchange_Sheet!G17-#REF!</f>
      </c>
      <c r="H17" s="51" t="e">
        <f>Ticker0001_Exchange_Sheet!H17-#REF!</f>
      </c>
      <c r="I17" s="51" t="e">
        <f>Ticker0001_Exchange_Sheet!I17-#REF!</f>
      </c>
      <c r="J17" s="51" t="e">
        <f>Ticker0001_Exchange_Sheet!J17-#REF!</f>
      </c>
      <c r="K17" s="51" t="e">
        <f>Ticker0001_Exchange_Sheet!K17-#REF!</f>
      </c>
      <c r="L17" s="51" t="e">
        <f>Ticker0001_Exchange_Sheet!L17-#REF!</f>
      </c>
      <c r="M17" s="51" t="e">
        <f>Ticker0001_Exchange_Sheet!M17-#REF!</f>
      </c>
      <c r="N17" s="51" t="e">
        <f>Ticker0001_Exchange_Sheet!N17-#REF!</f>
      </c>
      <c r="O17" s="51" t="e">
        <f>Ticker0001_Exchange_Sheet!O17-#REF!</f>
      </c>
      <c r="P17" s="51" t="e">
        <f>Ticker0001_Exchange_Sheet!P17-#REF!</f>
      </c>
      <c r="Q17" s="51" t="e">
        <f>Ticker0001_Exchange_Sheet!Q17-#REF!</f>
      </c>
      <c r="R17" s="51" t="e">
        <f>Ticker0001_Exchange_Sheet!R17-#REF!</f>
      </c>
      <c r="S17" s="51" t="e">
        <f>Ticker0001_Exchange_Sheet!S17-#REF!</f>
      </c>
      <c r="T17" s="51" t="e">
        <f>Ticker0001_Exchange_Sheet!T17-#REF!</f>
      </c>
      <c r="U17" s="51" t="e">
        <f>Ticker0001_Exchange_Sheet!U17-#REF!</f>
      </c>
      <c r="V17" s="51" t="e">
        <f>Ticker0001_Exchange_Sheet!V17-#REF!</f>
      </c>
      <c r="W17" s="51" t="e">
        <f>Ticker0001_Exchange_Sheet!W17-#REF!</f>
      </c>
      <c r="X17" s="51" t="e">
        <f>Ticker0001_Exchange_Sheet!AK17-#REF!</f>
      </c>
      <c r="Y17" s="51" t="e">
        <f>Ticker0001_Exchange_Sheet!AX17-#REF!</f>
      </c>
      <c r="Z17" s="51" t="e">
        <f>Ticker0001_Exchange_Sheet!AY17-#REF!</f>
      </c>
      <c r="AA17" s="51" t="e">
        <f>Ticker0001_Exchange_Sheet!AZ17-#REF!</f>
      </c>
      <c r="AB17" s="51" t="e">
        <f>Ticker0001_Exchange_Sheet!BA17-#REF!</f>
      </c>
      <c r="AC17" s="51" t="e">
        <f>Ticker0001_Exchange_Sheet!BB17-#REF!</f>
      </c>
      <c r="AD17" s="51" t="e">
        <f>Ticker0001_Exchange_Sheet!BC17-#REF!</f>
      </c>
      <c r="AE17" s="51" t="e">
        <f>Ticker0001_Exchange_Sheet!BD17-#REF!</f>
      </c>
      <c r="AF17" s="51" t="e">
        <f>Ticker0001_Exchange_Sheet!BE17-#REF!</f>
      </c>
      <c r="AG17" s="51" t="e">
        <f>Ticker0001_Exchange_Sheet!BF17-#REF!</f>
      </c>
      <c r="AH17" s="51" t="e">
        <f>Ticker0001_Exchange_Sheet!BG17-#REF!</f>
      </c>
      <c r="AI17" s="51" t="e">
        <f>Ticker0001_Exchange_Sheet!BH17-#REF!</f>
      </c>
      <c r="AJ17" s="51" t="e">
        <f>Ticker0001_Exchange_Sheet!BI17-#REF!</f>
      </c>
      <c r="AK17" s="51" t="e">
        <f>Ticker0001_Exchange_Sheet!BJ17-#REF!</f>
      </c>
      <c r="AL17" s="51" t="e">
        <f>Ticker0001_Exchange_Sheet!BK17-#REF!</f>
      </c>
      <c r="AM17" s="51" t="e">
        <f>Ticker0001_Exchange_Sheet!BL17-#REF!</f>
      </c>
      <c r="AN17" s="51" t="e">
        <f>Ticker0001_Exchange_Sheet!BM17-#REF!</f>
      </c>
      <c r="AO17" s="51" t="e">
        <f>Ticker0001_Exchange_Sheet!BN17-#REF!</f>
      </c>
      <c r="AP17" s="51" t="e">
        <f>Ticker0001_Exchange_Sheet!BO17-#REF!</f>
      </c>
      <c r="AQ17" s="51" t="e">
        <f>Ticker0001_Exchange_Sheet!BP17-#REF!</f>
      </c>
      <c r="AR17" s="51" t="e">
        <f>Ticker0001_Exchange_Sheet!BQ17-#REF!</f>
      </c>
      <c r="AS17" s="51" t="e">
        <f>Ticker0001_Exchange_Sheet!BR17-#REF!</f>
      </c>
      <c r="AT17" s="51" t="e">
        <f>Ticker0001_Exchange_Sheet!BS17-#REF!</f>
      </c>
      <c r="AU17" s="51" t="e">
        <f>Ticker0001_Exchange_Sheet!BT17-#REF!</f>
      </c>
      <c r="AV17" s="51" t="e">
        <f>Ticker0001_Exchange_Sheet!BU17-#REF!</f>
      </c>
      <c r="AW17" s="51" t="e">
        <f>Ticker0001_Exchange_Sheet!BV17-#REF!</f>
      </c>
      <c r="AX17" s="51" t="e">
        <f>Ticker0001_Exchange_Sheet!BW17-#REF!</f>
      </c>
      <c r="AY17" s="51" t="e">
        <f>Ticker0001_Exchange_Sheet!BX17-#REF!</f>
      </c>
      <c r="AZ17" s="51" t="e">
        <f>Ticker0001_Exchange_Sheet!BY17-#REF!</f>
      </c>
      <c r="BA17" s="51" t="e">
        <f>Ticker0001_Exchange_Sheet!BZ17-#REF!</f>
      </c>
      <c r="BB17" s="51" t="e">
        <f>Ticker0001_Exchange_Sheet!CA17-#REF!</f>
      </c>
      <c r="BC17" s="51" t="e">
        <f>Ticker0001_Exchange_Sheet!CB17-#REF!</f>
      </c>
      <c r="BD17" s="51" t="e">
        <f>Ticker0001_Exchange_Sheet!CC17-#REF!</f>
      </c>
      <c r="BE17" s="51" t="e">
        <f>Ticker0001_Exchange_Sheet!CD17-#REF!</f>
      </c>
      <c r="BF17" s="51" t="e">
        <f>Ticker0001_Exchange_Sheet!CE17-#REF!</f>
      </c>
      <c r="BG17" s="51" t="e">
        <f>Ticker0001_Exchange_Sheet!CF17-#REF!</f>
      </c>
      <c r="BH17" s="51" t="e">
        <f>Ticker0001_Exchange_Sheet!CG17-#REF!</f>
      </c>
      <c r="BI17" s="51" t="e">
        <f>Ticker0001_Exchange_Sheet!CH17-#REF!</f>
      </c>
      <c r="BJ17" s="51" t="e">
        <f>Ticker0001_Exchange_Sheet!CI17-#REF!</f>
      </c>
      <c r="BK17" s="51" t="e">
        <f>Ticker0001_Exchange_Sheet!CJ17-#REF!</f>
      </c>
      <c r="BL17" s="51" t="e">
        <f>Ticker0001_Exchange_Sheet!CK17-#REF!</f>
      </c>
      <c r="BM17" s="51" t="e">
        <f>Ticker0001_Exchange_Sheet!CL17-#REF!</f>
      </c>
      <c r="BN17" s="51" t="e">
        <f>Ticker0001_Exchange_Sheet!CM17-#REF!</f>
      </c>
      <c r="BO17" s="51" t="e">
        <f>Ticker0001_Exchange_Sheet!CN17-#REF!</f>
      </c>
      <c r="BP17" s="51" t="e">
        <f>Ticker0001_Exchange_Sheet!CO17-#REF!</f>
      </c>
      <c r="BQ17" s="51" t="e">
        <f>Ticker0001_Exchange_Sheet!CP17-#REF!</f>
      </c>
      <c r="BR17" s="51" t="e">
        <f>Ticker0001_Exchange_Sheet!CQ17-#REF!</f>
      </c>
      <c r="BS17" s="51" t="e">
        <f>Ticker0001_Exchange_Sheet!CR17-#REF!</f>
      </c>
      <c r="BT17" s="51" t="e">
        <f>Ticker0001_Exchange_Sheet!CS17-#REF!</f>
      </c>
      <c r="BU17" s="51" t="e">
        <f>Ticker0001_Exchange_Sheet!CT17-#REF!</f>
      </c>
      <c r="BV17" s="51" t="e">
        <f>Ticker0001_Exchange_Sheet!CU17-#REF!</f>
      </c>
      <c r="BW17" s="51" t="e">
        <f>Ticker0001_Exchange_Sheet!CV17-#REF!</f>
      </c>
      <c r="BX17" s="51" t="e">
        <f>Ticker0001_Exchange_Sheet!CW17-#REF!</f>
      </c>
      <c r="BY17" s="51" t="e">
        <f>Ticker0001_Exchange_Sheet!CX17-#REF!</f>
      </c>
      <c r="BZ17" s="51" t="e">
        <f>Ticker0001_Exchange_Sheet!CY17-#REF!</f>
      </c>
      <c r="CA17" s="51" t="e">
        <f>Ticker0001_Exchange_Sheet!CZ17-#REF!</f>
      </c>
      <c r="CB17" s="51" t="e">
        <f>Ticker0001_Exchange_Sheet!DA17-#REF!</f>
      </c>
      <c r="CC17" s="51" t="e">
        <f>Ticker0001_Exchange_Sheet!DB17-#REF!</f>
      </c>
      <c r="CD17" s="51" t="e">
        <f>Ticker0001_Exchange_Sheet!DC17-#REF!</f>
      </c>
      <c r="CE17" s="51" t="e">
        <f>Ticker0001_Exchange_Sheet!DD17-#REF!</f>
      </c>
      <c r="CF17" s="51" t="e">
        <f>Ticker0001_Exchange_Sheet!DE17-#REF!</f>
      </c>
    </row>
    <row r="18" spans="6:84">
      <c r="F18" s="51" t="e">
        <f>Ticker0001_Exchange_Sheet!F18-#REF!</f>
      </c>
      <c r="G18" s="51" t="e">
        <f>Ticker0001_Exchange_Sheet!G18-#REF!</f>
      </c>
      <c r="H18" s="51" t="e">
        <f>Ticker0001_Exchange_Sheet!H18-#REF!</f>
      </c>
      <c r="I18" s="51" t="e">
        <f>Ticker0001_Exchange_Sheet!I18-#REF!</f>
      </c>
      <c r="J18" s="51" t="e">
        <f>Ticker0001_Exchange_Sheet!J18-#REF!</f>
      </c>
      <c r="K18" s="51" t="e">
        <f>Ticker0001_Exchange_Sheet!K18-#REF!</f>
      </c>
      <c r="L18" s="51" t="e">
        <f>Ticker0001_Exchange_Sheet!L18-#REF!</f>
      </c>
      <c r="M18" s="51" t="e">
        <f>Ticker0001_Exchange_Sheet!M18-#REF!</f>
      </c>
      <c r="N18" s="51" t="e">
        <f>Ticker0001_Exchange_Sheet!N18-#REF!</f>
      </c>
      <c r="O18" s="51" t="e">
        <f>Ticker0001_Exchange_Sheet!O18-#REF!</f>
      </c>
      <c r="P18" s="51" t="e">
        <f>Ticker0001_Exchange_Sheet!P18-#REF!</f>
      </c>
      <c r="Q18" s="51" t="e">
        <f>Ticker0001_Exchange_Sheet!Q18-#REF!</f>
      </c>
      <c r="R18" s="51" t="e">
        <f>Ticker0001_Exchange_Sheet!R18-#REF!</f>
      </c>
      <c r="S18" s="51" t="e">
        <f>Ticker0001_Exchange_Sheet!S18-#REF!</f>
      </c>
      <c r="T18" s="51" t="e">
        <f>Ticker0001_Exchange_Sheet!T18-#REF!</f>
      </c>
      <c r="U18" s="51" t="e">
        <f>Ticker0001_Exchange_Sheet!U18-#REF!</f>
      </c>
      <c r="V18" s="51" t="e">
        <f>Ticker0001_Exchange_Sheet!V18-#REF!</f>
      </c>
      <c r="W18" s="51" t="e">
        <f>Ticker0001_Exchange_Sheet!W18-#REF!</f>
      </c>
      <c r="X18" s="51" t="e">
        <f>Ticker0001_Exchange_Sheet!AK18-#REF!</f>
      </c>
      <c r="Y18" s="51" t="e">
        <f>Ticker0001_Exchange_Sheet!AX18-#REF!</f>
      </c>
      <c r="Z18" s="51" t="e">
        <f>Ticker0001_Exchange_Sheet!AY18-#REF!</f>
      </c>
      <c r="AA18" s="51" t="e">
        <f>Ticker0001_Exchange_Sheet!AZ18-#REF!</f>
      </c>
      <c r="AB18" s="51" t="e">
        <f>Ticker0001_Exchange_Sheet!BA18-#REF!</f>
      </c>
      <c r="AC18" s="51" t="e">
        <f>Ticker0001_Exchange_Sheet!BB18-#REF!</f>
      </c>
      <c r="AD18" s="51" t="e">
        <f>Ticker0001_Exchange_Sheet!BC18-#REF!</f>
      </c>
      <c r="AE18" s="51" t="e">
        <f>Ticker0001_Exchange_Sheet!BD18-#REF!</f>
      </c>
      <c r="AF18" s="51" t="e">
        <f>Ticker0001_Exchange_Sheet!BE18-#REF!</f>
      </c>
      <c r="AG18" s="51" t="e">
        <f>Ticker0001_Exchange_Sheet!BF18-#REF!</f>
      </c>
      <c r="AH18" s="51" t="e">
        <f>Ticker0001_Exchange_Sheet!BG18-#REF!</f>
      </c>
      <c r="AI18" s="51" t="e">
        <f>Ticker0001_Exchange_Sheet!BH18-#REF!</f>
      </c>
      <c r="AJ18" s="51" t="e">
        <f>Ticker0001_Exchange_Sheet!BI18-#REF!</f>
      </c>
      <c r="AK18" s="51" t="e">
        <f>Ticker0001_Exchange_Sheet!BJ18-#REF!</f>
      </c>
      <c r="AL18" s="51" t="e">
        <f>Ticker0001_Exchange_Sheet!BK18-#REF!</f>
      </c>
      <c r="AM18" s="51" t="e">
        <f>Ticker0001_Exchange_Sheet!BL18-#REF!</f>
      </c>
      <c r="AN18" s="51" t="e">
        <f>Ticker0001_Exchange_Sheet!BM18-#REF!</f>
      </c>
      <c r="AO18" s="51" t="e">
        <f>Ticker0001_Exchange_Sheet!BN18-#REF!</f>
      </c>
      <c r="AP18" s="51" t="e">
        <f>Ticker0001_Exchange_Sheet!BO18-#REF!</f>
      </c>
      <c r="AQ18" s="51" t="e">
        <f>Ticker0001_Exchange_Sheet!BP18-#REF!</f>
      </c>
      <c r="AR18" s="51" t="e">
        <f>Ticker0001_Exchange_Sheet!BQ18-#REF!</f>
      </c>
      <c r="AS18" s="51" t="e">
        <f>Ticker0001_Exchange_Sheet!BR18-#REF!</f>
      </c>
      <c r="AT18" s="51" t="e">
        <f>Ticker0001_Exchange_Sheet!BS18-#REF!</f>
      </c>
      <c r="AU18" s="51" t="e">
        <f>Ticker0001_Exchange_Sheet!BT18-#REF!</f>
      </c>
      <c r="AV18" s="51" t="e">
        <f>Ticker0001_Exchange_Sheet!BU18-#REF!</f>
      </c>
      <c r="AW18" s="51" t="e">
        <f>Ticker0001_Exchange_Sheet!BV18-#REF!</f>
      </c>
      <c r="AX18" s="51" t="e">
        <f>Ticker0001_Exchange_Sheet!BW18-#REF!</f>
      </c>
      <c r="AY18" s="51" t="e">
        <f>Ticker0001_Exchange_Sheet!BX18-#REF!</f>
      </c>
      <c r="AZ18" s="51" t="e">
        <f>Ticker0001_Exchange_Sheet!BY18-#REF!</f>
      </c>
      <c r="BA18" s="51" t="e">
        <f>Ticker0001_Exchange_Sheet!BZ18-#REF!</f>
      </c>
      <c r="BB18" s="51" t="e">
        <f>Ticker0001_Exchange_Sheet!CA18-#REF!</f>
      </c>
      <c r="BC18" s="51" t="e">
        <f>Ticker0001_Exchange_Sheet!CB18-#REF!</f>
      </c>
      <c r="BD18" s="51" t="e">
        <f>Ticker0001_Exchange_Sheet!CC18-#REF!</f>
      </c>
      <c r="BE18" s="51" t="e">
        <f>Ticker0001_Exchange_Sheet!CD18-#REF!</f>
      </c>
      <c r="BF18" s="51" t="e">
        <f>Ticker0001_Exchange_Sheet!CE18-#REF!</f>
      </c>
      <c r="BG18" s="51" t="e">
        <f>Ticker0001_Exchange_Sheet!CF18-#REF!</f>
      </c>
      <c r="BH18" s="51" t="e">
        <f>Ticker0001_Exchange_Sheet!CG18-#REF!</f>
      </c>
      <c r="BI18" s="51" t="e">
        <f>Ticker0001_Exchange_Sheet!CH18-#REF!</f>
      </c>
      <c r="BJ18" s="51" t="e">
        <f>Ticker0001_Exchange_Sheet!CI18-#REF!</f>
      </c>
      <c r="BK18" s="51" t="e">
        <f>Ticker0001_Exchange_Sheet!CJ18-#REF!</f>
      </c>
      <c r="BL18" s="51" t="e">
        <f>Ticker0001_Exchange_Sheet!CK18-#REF!</f>
      </c>
      <c r="BM18" s="51" t="e">
        <f>Ticker0001_Exchange_Sheet!CL18-#REF!</f>
      </c>
      <c r="BN18" s="51" t="e">
        <f>Ticker0001_Exchange_Sheet!CM18-#REF!</f>
      </c>
      <c r="BO18" s="51" t="e">
        <f>Ticker0001_Exchange_Sheet!CN18-#REF!</f>
      </c>
      <c r="BP18" s="51" t="e">
        <f>Ticker0001_Exchange_Sheet!CO18-#REF!</f>
      </c>
      <c r="BQ18" s="51" t="e">
        <f>Ticker0001_Exchange_Sheet!CP18-#REF!</f>
      </c>
      <c r="BR18" s="51" t="e">
        <f>Ticker0001_Exchange_Sheet!CQ18-#REF!</f>
      </c>
      <c r="BS18" s="51" t="e">
        <f>Ticker0001_Exchange_Sheet!CR18-#REF!</f>
      </c>
      <c r="BT18" s="51" t="e">
        <f>Ticker0001_Exchange_Sheet!CS18-#REF!</f>
      </c>
      <c r="BU18" s="51" t="e">
        <f>Ticker0001_Exchange_Sheet!CT18-#REF!</f>
      </c>
      <c r="BV18" s="51" t="e">
        <f>Ticker0001_Exchange_Sheet!CU18-#REF!</f>
      </c>
      <c r="BW18" s="51" t="e">
        <f>Ticker0001_Exchange_Sheet!CV18-#REF!</f>
      </c>
      <c r="BX18" s="51" t="e">
        <f>Ticker0001_Exchange_Sheet!CW18-#REF!</f>
      </c>
      <c r="BY18" s="51" t="e">
        <f>Ticker0001_Exchange_Sheet!CX18-#REF!</f>
      </c>
      <c r="BZ18" s="51" t="e">
        <f>Ticker0001_Exchange_Sheet!CY18-#REF!</f>
      </c>
      <c r="CA18" s="51" t="e">
        <f>Ticker0001_Exchange_Sheet!CZ18-#REF!</f>
      </c>
      <c r="CB18" s="51" t="e">
        <f>Ticker0001_Exchange_Sheet!DA18-#REF!</f>
      </c>
      <c r="CC18" s="51" t="e">
        <f>Ticker0001_Exchange_Sheet!DB18-#REF!</f>
      </c>
      <c r="CD18" s="51" t="e">
        <f>Ticker0001_Exchange_Sheet!DC18-#REF!</f>
      </c>
      <c r="CE18" s="51" t="e">
        <f>Ticker0001_Exchange_Sheet!DD18-#REF!</f>
      </c>
      <c r="CF18" s="51" t="e">
        <f>Ticker0001_Exchange_Sheet!DE18-#REF!</f>
      </c>
    </row>
    <row r="19" spans="6:84">
      <c r="F19" s="51" t="e">
        <f>Ticker0001_Exchange_Sheet!F19-#REF!</f>
      </c>
      <c r="G19" s="51" t="e">
        <f>Ticker0001_Exchange_Sheet!G19-#REF!</f>
      </c>
      <c r="H19" s="51" t="e">
        <f>Ticker0001_Exchange_Sheet!H19-#REF!</f>
      </c>
      <c r="I19" s="51" t="e">
        <f>Ticker0001_Exchange_Sheet!I19-#REF!</f>
      </c>
      <c r="J19" s="51" t="e">
        <f>Ticker0001_Exchange_Sheet!J19-#REF!</f>
      </c>
      <c r="K19" s="51" t="e">
        <f>Ticker0001_Exchange_Sheet!K19-#REF!</f>
      </c>
      <c r="L19" s="51" t="e">
        <f>Ticker0001_Exchange_Sheet!L19-#REF!</f>
      </c>
      <c r="M19" s="51" t="e">
        <f>Ticker0001_Exchange_Sheet!M19-#REF!</f>
      </c>
      <c r="N19" s="51" t="e">
        <f>Ticker0001_Exchange_Sheet!N19-#REF!</f>
      </c>
      <c r="O19" s="51" t="e">
        <f>Ticker0001_Exchange_Sheet!O19-#REF!</f>
      </c>
      <c r="P19" s="51" t="e">
        <f>Ticker0001_Exchange_Sheet!P19-#REF!</f>
      </c>
      <c r="Q19" s="51" t="e">
        <f>Ticker0001_Exchange_Sheet!Q19-#REF!</f>
      </c>
      <c r="R19" s="51" t="e">
        <f>Ticker0001_Exchange_Sheet!R19-#REF!</f>
      </c>
      <c r="S19" s="51" t="e">
        <f>Ticker0001_Exchange_Sheet!S19-#REF!</f>
      </c>
      <c r="T19" s="51" t="e">
        <f>Ticker0001_Exchange_Sheet!T19-#REF!</f>
      </c>
      <c r="U19" s="51" t="e">
        <f>Ticker0001_Exchange_Sheet!U19-#REF!</f>
      </c>
      <c r="V19" s="51" t="e">
        <f>Ticker0001_Exchange_Sheet!V19-#REF!</f>
      </c>
      <c r="W19" s="51" t="e">
        <f>Ticker0001_Exchange_Sheet!W19-#REF!</f>
      </c>
      <c r="X19" s="51" t="e">
        <f>Ticker0001_Exchange_Sheet!AK19-#REF!</f>
      </c>
      <c r="Y19" s="51" t="e">
        <f>Ticker0001_Exchange_Sheet!AX19-#REF!</f>
      </c>
      <c r="Z19" s="51" t="e">
        <f>Ticker0001_Exchange_Sheet!AY19-#REF!</f>
      </c>
      <c r="AA19" s="51" t="e">
        <f>Ticker0001_Exchange_Sheet!AZ19-#REF!</f>
      </c>
      <c r="AB19" s="51" t="e">
        <f>Ticker0001_Exchange_Sheet!BA19-#REF!</f>
      </c>
      <c r="AC19" s="51" t="e">
        <f>Ticker0001_Exchange_Sheet!BB19-#REF!</f>
      </c>
      <c r="AD19" s="51" t="e">
        <f>Ticker0001_Exchange_Sheet!BC19-#REF!</f>
      </c>
      <c r="AE19" s="51" t="e">
        <f>Ticker0001_Exchange_Sheet!BD19-#REF!</f>
      </c>
      <c r="AF19" s="51" t="e">
        <f>Ticker0001_Exchange_Sheet!BE19-#REF!</f>
      </c>
      <c r="AG19" s="51" t="e">
        <f>Ticker0001_Exchange_Sheet!BF19-#REF!</f>
      </c>
      <c r="AH19" s="51" t="e">
        <f>Ticker0001_Exchange_Sheet!BG19-#REF!</f>
      </c>
      <c r="AI19" s="51" t="e">
        <f>Ticker0001_Exchange_Sheet!BH19-#REF!</f>
      </c>
      <c r="AJ19" s="51" t="e">
        <f>Ticker0001_Exchange_Sheet!BI19-#REF!</f>
      </c>
      <c r="AK19" s="51" t="e">
        <f>Ticker0001_Exchange_Sheet!BJ19-#REF!</f>
      </c>
      <c r="AL19" s="51" t="e">
        <f>Ticker0001_Exchange_Sheet!BK19-#REF!</f>
      </c>
      <c r="AM19" s="51" t="e">
        <f>Ticker0001_Exchange_Sheet!BL19-#REF!</f>
      </c>
      <c r="AN19" s="51" t="e">
        <f>Ticker0001_Exchange_Sheet!BM19-#REF!</f>
      </c>
      <c r="AO19" s="51" t="e">
        <f>Ticker0001_Exchange_Sheet!BN19-#REF!</f>
      </c>
      <c r="AP19" s="51" t="e">
        <f>Ticker0001_Exchange_Sheet!BO19-#REF!</f>
      </c>
      <c r="AQ19" s="51" t="e">
        <f>Ticker0001_Exchange_Sheet!BP19-#REF!</f>
      </c>
      <c r="AR19" s="51" t="e">
        <f>Ticker0001_Exchange_Sheet!BQ19-#REF!</f>
      </c>
      <c r="AS19" s="51" t="e">
        <f>Ticker0001_Exchange_Sheet!BR19-#REF!</f>
      </c>
      <c r="AT19" s="51" t="e">
        <f>Ticker0001_Exchange_Sheet!BS19-#REF!</f>
      </c>
      <c r="AU19" s="51" t="e">
        <f>Ticker0001_Exchange_Sheet!BT19-#REF!</f>
      </c>
      <c r="AV19" s="51" t="e">
        <f>Ticker0001_Exchange_Sheet!BU19-#REF!</f>
      </c>
      <c r="AW19" s="51" t="e">
        <f>Ticker0001_Exchange_Sheet!BV19-#REF!</f>
      </c>
      <c r="AX19" s="51" t="e">
        <f>Ticker0001_Exchange_Sheet!BW19-#REF!</f>
      </c>
      <c r="AY19" s="51" t="e">
        <f>Ticker0001_Exchange_Sheet!BX19-#REF!</f>
      </c>
      <c r="AZ19" s="51" t="e">
        <f>Ticker0001_Exchange_Sheet!BY19-#REF!</f>
      </c>
      <c r="BA19" s="51" t="e">
        <f>Ticker0001_Exchange_Sheet!BZ19-#REF!</f>
      </c>
      <c r="BB19" s="51" t="e">
        <f>Ticker0001_Exchange_Sheet!CA19-#REF!</f>
      </c>
      <c r="BC19" s="51" t="e">
        <f>Ticker0001_Exchange_Sheet!CB19-#REF!</f>
      </c>
      <c r="BD19" s="51" t="e">
        <f>Ticker0001_Exchange_Sheet!CC19-#REF!</f>
      </c>
      <c r="BE19" s="51" t="e">
        <f>Ticker0001_Exchange_Sheet!CD19-#REF!</f>
      </c>
      <c r="BF19" s="51" t="e">
        <f>Ticker0001_Exchange_Sheet!CE19-#REF!</f>
      </c>
      <c r="BG19" s="51" t="e">
        <f>Ticker0001_Exchange_Sheet!CF19-#REF!</f>
      </c>
      <c r="BH19" s="51" t="e">
        <f>Ticker0001_Exchange_Sheet!CG19-#REF!</f>
      </c>
      <c r="BI19" s="51" t="e">
        <f>Ticker0001_Exchange_Sheet!CH19-#REF!</f>
      </c>
      <c r="BJ19" s="51" t="e">
        <f>Ticker0001_Exchange_Sheet!CI19-#REF!</f>
      </c>
      <c r="BK19" s="51" t="e">
        <f>Ticker0001_Exchange_Sheet!CJ19-#REF!</f>
      </c>
      <c r="BL19" s="51" t="e">
        <f>Ticker0001_Exchange_Sheet!CK19-#REF!</f>
      </c>
      <c r="BM19" s="51" t="e">
        <f>Ticker0001_Exchange_Sheet!CL19-#REF!</f>
      </c>
      <c r="BN19" s="51" t="e">
        <f>Ticker0001_Exchange_Sheet!CM19-#REF!</f>
      </c>
      <c r="BO19" s="51" t="e">
        <f>Ticker0001_Exchange_Sheet!CN19-#REF!</f>
      </c>
      <c r="BP19" s="51" t="e">
        <f>Ticker0001_Exchange_Sheet!CO19-#REF!</f>
      </c>
      <c r="BQ19" s="51" t="e">
        <f>Ticker0001_Exchange_Sheet!CP19-#REF!</f>
      </c>
      <c r="BR19" s="51" t="e">
        <f>Ticker0001_Exchange_Sheet!CQ19-#REF!</f>
      </c>
      <c r="BS19" s="51" t="e">
        <f>Ticker0001_Exchange_Sheet!CR19-#REF!</f>
      </c>
      <c r="BT19" s="51" t="e">
        <f>Ticker0001_Exchange_Sheet!CS19-#REF!</f>
      </c>
      <c r="BU19" s="51" t="e">
        <f>Ticker0001_Exchange_Sheet!CT19-#REF!</f>
      </c>
      <c r="BV19" s="51" t="e">
        <f>Ticker0001_Exchange_Sheet!CU19-#REF!</f>
      </c>
      <c r="BW19" s="51" t="e">
        <f>Ticker0001_Exchange_Sheet!CV19-#REF!</f>
      </c>
      <c r="BX19" s="51" t="e">
        <f>Ticker0001_Exchange_Sheet!CW19-#REF!</f>
      </c>
      <c r="BY19" s="51" t="e">
        <f>Ticker0001_Exchange_Sheet!CX19-#REF!</f>
      </c>
      <c r="BZ19" s="51" t="e">
        <f>Ticker0001_Exchange_Sheet!CY19-#REF!</f>
      </c>
      <c r="CA19" s="51" t="e">
        <f>Ticker0001_Exchange_Sheet!CZ19-#REF!</f>
      </c>
      <c r="CB19" s="51" t="e">
        <f>Ticker0001_Exchange_Sheet!DA19-#REF!</f>
      </c>
      <c r="CC19" s="51" t="e">
        <f>Ticker0001_Exchange_Sheet!DB19-#REF!</f>
      </c>
      <c r="CD19" s="51" t="e">
        <f>Ticker0001_Exchange_Sheet!DC19-#REF!</f>
      </c>
      <c r="CE19" s="51" t="e">
        <f>Ticker0001_Exchange_Sheet!DD19-#REF!</f>
      </c>
      <c r="CF19" s="51" t="e">
        <f>Ticker0001_Exchange_Sheet!DE19-#REF!</f>
      </c>
    </row>
    <row r="20" spans="6:84">
      <c r="F20" s="51" t="e">
        <f>Ticker0001_Exchange_Sheet!F20-#REF!</f>
      </c>
      <c r="G20" s="51" t="e">
        <f>Ticker0001_Exchange_Sheet!G20-#REF!</f>
      </c>
      <c r="H20" s="51" t="e">
        <f>Ticker0001_Exchange_Sheet!H20-#REF!</f>
      </c>
      <c r="I20" s="51" t="e">
        <f>Ticker0001_Exchange_Sheet!I20-#REF!</f>
      </c>
      <c r="J20" s="51" t="e">
        <f>Ticker0001_Exchange_Sheet!J20-#REF!</f>
      </c>
      <c r="K20" s="51" t="e">
        <f>Ticker0001_Exchange_Sheet!K20-#REF!</f>
      </c>
      <c r="L20" s="51" t="e">
        <f>Ticker0001_Exchange_Sheet!L20-#REF!</f>
      </c>
      <c r="M20" s="51" t="e">
        <f>Ticker0001_Exchange_Sheet!M20-#REF!</f>
      </c>
      <c r="N20" s="51" t="e">
        <f>Ticker0001_Exchange_Sheet!N20-#REF!</f>
      </c>
      <c r="O20" s="51" t="e">
        <f>Ticker0001_Exchange_Sheet!O20-#REF!</f>
      </c>
      <c r="P20" s="51" t="e">
        <f>Ticker0001_Exchange_Sheet!P20-#REF!</f>
      </c>
      <c r="Q20" s="51" t="e">
        <f>Ticker0001_Exchange_Sheet!Q20-#REF!</f>
      </c>
      <c r="R20" s="51" t="e">
        <f>Ticker0001_Exchange_Sheet!R20-#REF!</f>
      </c>
      <c r="S20" s="51" t="e">
        <f>Ticker0001_Exchange_Sheet!S20-#REF!</f>
      </c>
      <c r="T20" s="51" t="e">
        <f>Ticker0001_Exchange_Sheet!T20-#REF!</f>
      </c>
      <c r="U20" s="51" t="e">
        <f>Ticker0001_Exchange_Sheet!U20-#REF!</f>
      </c>
      <c r="V20" s="51" t="e">
        <f>Ticker0001_Exchange_Sheet!V20-#REF!</f>
      </c>
      <c r="W20" s="51" t="e">
        <f>Ticker0001_Exchange_Sheet!W20-#REF!</f>
      </c>
      <c r="X20" s="51" t="e">
        <f>Ticker0001_Exchange_Sheet!AK20-#REF!</f>
      </c>
      <c r="Y20" s="51" t="e">
        <f>Ticker0001_Exchange_Sheet!AX20-#REF!</f>
      </c>
      <c r="Z20" s="51" t="e">
        <f>Ticker0001_Exchange_Sheet!AY20-#REF!</f>
      </c>
      <c r="AA20" s="51" t="e">
        <f>Ticker0001_Exchange_Sheet!AZ20-#REF!</f>
      </c>
      <c r="AB20" s="51" t="e">
        <f>Ticker0001_Exchange_Sheet!BA20-#REF!</f>
      </c>
      <c r="AC20" s="51" t="e">
        <f>Ticker0001_Exchange_Sheet!BB20-#REF!</f>
      </c>
      <c r="AD20" s="51" t="e">
        <f>Ticker0001_Exchange_Sheet!BC20-#REF!</f>
      </c>
      <c r="AE20" s="51" t="e">
        <f>Ticker0001_Exchange_Sheet!BD20-#REF!</f>
      </c>
      <c r="AF20" s="51" t="e">
        <f>Ticker0001_Exchange_Sheet!BE20-#REF!</f>
      </c>
      <c r="AG20" s="51" t="e">
        <f>Ticker0001_Exchange_Sheet!BF20-#REF!</f>
      </c>
      <c r="AH20" s="51" t="e">
        <f>Ticker0001_Exchange_Sheet!BG20-#REF!</f>
      </c>
      <c r="AI20" s="51" t="e">
        <f>Ticker0001_Exchange_Sheet!BH20-#REF!</f>
      </c>
      <c r="AJ20" s="51" t="e">
        <f>Ticker0001_Exchange_Sheet!BI20-#REF!</f>
      </c>
      <c r="AK20" s="51" t="e">
        <f>Ticker0001_Exchange_Sheet!BJ20-#REF!</f>
      </c>
      <c r="AL20" s="51" t="e">
        <f>Ticker0001_Exchange_Sheet!BK20-#REF!</f>
      </c>
      <c r="AM20" s="51" t="e">
        <f>Ticker0001_Exchange_Sheet!BL20-#REF!</f>
      </c>
      <c r="AN20" s="51" t="e">
        <f>Ticker0001_Exchange_Sheet!BM20-#REF!</f>
      </c>
      <c r="AO20" s="51" t="e">
        <f>Ticker0001_Exchange_Sheet!BN20-#REF!</f>
      </c>
      <c r="AP20" s="51" t="e">
        <f>Ticker0001_Exchange_Sheet!BO20-#REF!</f>
      </c>
      <c r="AQ20" s="51" t="e">
        <f>Ticker0001_Exchange_Sheet!BP20-#REF!</f>
      </c>
      <c r="AR20" s="51" t="e">
        <f>Ticker0001_Exchange_Sheet!BQ20-#REF!</f>
      </c>
      <c r="AS20" s="51" t="e">
        <f>Ticker0001_Exchange_Sheet!BR20-#REF!</f>
      </c>
      <c r="AT20" s="51" t="e">
        <f>Ticker0001_Exchange_Sheet!BS20-#REF!</f>
      </c>
      <c r="AU20" s="51" t="e">
        <f>Ticker0001_Exchange_Sheet!BT20-#REF!</f>
      </c>
      <c r="AV20" s="51" t="e">
        <f>Ticker0001_Exchange_Sheet!BU20-#REF!</f>
      </c>
      <c r="AW20" s="51" t="e">
        <f>Ticker0001_Exchange_Sheet!BV20-#REF!</f>
      </c>
      <c r="AX20" s="51" t="e">
        <f>Ticker0001_Exchange_Sheet!BW20-#REF!</f>
      </c>
      <c r="AY20" s="51" t="e">
        <f>Ticker0001_Exchange_Sheet!BX20-#REF!</f>
      </c>
      <c r="AZ20" s="51" t="e">
        <f>Ticker0001_Exchange_Sheet!BY20-#REF!</f>
      </c>
      <c r="BA20" s="51" t="e">
        <f>Ticker0001_Exchange_Sheet!BZ20-#REF!</f>
      </c>
      <c r="BB20" s="51" t="e">
        <f>Ticker0001_Exchange_Sheet!CA20-#REF!</f>
      </c>
      <c r="BC20" s="51" t="e">
        <f>Ticker0001_Exchange_Sheet!CB20-#REF!</f>
      </c>
      <c r="BD20" s="51" t="e">
        <f>Ticker0001_Exchange_Sheet!CC20-#REF!</f>
      </c>
      <c r="BE20" s="51" t="e">
        <f>Ticker0001_Exchange_Sheet!CD20-#REF!</f>
      </c>
      <c r="BF20" s="51" t="e">
        <f>Ticker0001_Exchange_Sheet!CE20-#REF!</f>
      </c>
      <c r="BG20" s="51" t="e">
        <f>Ticker0001_Exchange_Sheet!CF20-#REF!</f>
      </c>
      <c r="BH20" s="51" t="e">
        <f>Ticker0001_Exchange_Sheet!CG20-#REF!</f>
      </c>
      <c r="BI20" s="51" t="e">
        <f>Ticker0001_Exchange_Sheet!CH20-#REF!</f>
      </c>
      <c r="BJ20" s="51" t="e">
        <f>Ticker0001_Exchange_Sheet!CI20-#REF!</f>
      </c>
      <c r="BK20" s="51" t="e">
        <f>Ticker0001_Exchange_Sheet!CJ20-#REF!</f>
      </c>
      <c r="BL20" s="51" t="e">
        <f>Ticker0001_Exchange_Sheet!CK20-#REF!</f>
      </c>
      <c r="BM20" s="51" t="e">
        <f>Ticker0001_Exchange_Sheet!CL20-#REF!</f>
      </c>
      <c r="BN20" s="51" t="e">
        <f>Ticker0001_Exchange_Sheet!CM20-#REF!</f>
      </c>
      <c r="BO20" s="51" t="e">
        <f>Ticker0001_Exchange_Sheet!CN20-#REF!</f>
      </c>
      <c r="BP20" s="51" t="e">
        <f>Ticker0001_Exchange_Sheet!CO20-#REF!</f>
      </c>
      <c r="BQ20" s="51" t="e">
        <f>Ticker0001_Exchange_Sheet!CP20-#REF!</f>
      </c>
      <c r="BR20" s="51" t="e">
        <f>Ticker0001_Exchange_Sheet!CQ20-#REF!</f>
      </c>
      <c r="BS20" s="51" t="e">
        <f>Ticker0001_Exchange_Sheet!CR20-#REF!</f>
      </c>
      <c r="BT20" s="51" t="e">
        <f>Ticker0001_Exchange_Sheet!CS20-#REF!</f>
      </c>
      <c r="BU20" s="51" t="e">
        <f>Ticker0001_Exchange_Sheet!CT20-#REF!</f>
      </c>
      <c r="BV20" s="51" t="e">
        <f>Ticker0001_Exchange_Sheet!CU20-#REF!</f>
      </c>
      <c r="BW20" s="51" t="e">
        <f>Ticker0001_Exchange_Sheet!CV20-#REF!</f>
      </c>
      <c r="BX20" s="51" t="e">
        <f>Ticker0001_Exchange_Sheet!CW20-#REF!</f>
      </c>
      <c r="BY20" s="51" t="e">
        <f>Ticker0001_Exchange_Sheet!CX20-#REF!</f>
      </c>
      <c r="BZ20" s="51" t="e">
        <f>Ticker0001_Exchange_Sheet!CY20-#REF!</f>
      </c>
      <c r="CA20" s="51" t="e">
        <f>Ticker0001_Exchange_Sheet!CZ20-#REF!</f>
      </c>
      <c r="CB20" s="51" t="e">
        <f>Ticker0001_Exchange_Sheet!DA20-#REF!</f>
      </c>
      <c r="CC20" s="51" t="e">
        <f>Ticker0001_Exchange_Sheet!DB20-#REF!</f>
      </c>
      <c r="CD20" s="51" t="e">
        <f>Ticker0001_Exchange_Sheet!DC20-#REF!</f>
      </c>
      <c r="CE20" s="51" t="e">
        <f>Ticker0001_Exchange_Sheet!DD20-#REF!</f>
      </c>
      <c r="CF20" s="51" t="e">
        <f>Ticker0001_Exchange_Sheet!DE20-#REF!</f>
      </c>
    </row>
    <row r="21" spans="6:84">
      <c r="F21" s="51" t="e">
        <f>Ticker0001_Exchange_Sheet!F21-#REF!</f>
      </c>
      <c r="G21" s="51" t="e">
        <f>Ticker0001_Exchange_Sheet!G21-#REF!</f>
      </c>
      <c r="H21" s="51" t="e">
        <f>Ticker0001_Exchange_Sheet!H21-#REF!</f>
      </c>
      <c r="I21" s="51" t="e">
        <f>Ticker0001_Exchange_Sheet!I21-#REF!</f>
      </c>
      <c r="J21" s="51" t="e">
        <f>Ticker0001_Exchange_Sheet!J21-#REF!</f>
      </c>
      <c r="K21" s="51" t="e">
        <f>Ticker0001_Exchange_Sheet!K21-#REF!</f>
      </c>
      <c r="L21" s="51" t="e">
        <f>Ticker0001_Exchange_Sheet!L21-#REF!</f>
      </c>
      <c r="M21" s="51" t="e">
        <f>Ticker0001_Exchange_Sheet!M21-#REF!</f>
      </c>
      <c r="N21" s="51" t="e">
        <f>Ticker0001_Exchange_Sheet!N21-#REF!</f>
      </c>
      <c r="O21" s="51" t="e">
        <f>Ticker0001_Exchange_Sheet!O21-#REF!</f>
      </c>
      <c r="P21" s="51" t="e">
        <f>Ticker0001_Exchange_Sheet!P21-#REF!</f>
      </c>
      <c r="Q21" s="51" t="e">
        <f>Ticker0001_Exchange_Sheet!Q21-#REF!</f>
      </c>
      <c r="R21" s="51" t="e">
        <f>Ticker0001_Exchange_Sheet!R21-#REF!</f>
      </c>
      <c r="S21" s="51" t="e">
        <f>Ticker0001_Exchange_Sheet!S21-#REF!</f>
      </c>
      <c r="T21" s="51" t="e">
        <f>Ticker0001_Exchange_Sheet!T21-#REF!</f>
      </c>
      <c r="U21" s="51" t="e">
        <f>Ticker0001_Exchange_Sheet!U21-#REF!</f>
      </c>
      <c r="V21" s="51" t="e">
        <f>Ticker0001_Exchange_Sheet!V21-#REF!</f>
      </c>
      <c r="W21" s="51" t="e">
        <f>Ticker0001_Exchange_Sheet!W21-#REF!</f>
      </c>
      <c r="X21" s="51" t="e">
        <f>Ticker0001_Exchange_Sheet!AK21-#REF!</f>
      </c>
      <c r="Y21" s="51" t="e">
        <f>Ticker0001_Exchange_Sheet!AX21-#REF!</f>
      </c>
      <c r="Z21" s="51" t="e">
        <f>Ticker0001_Exchange_Sheet!AY21-#REF!</f>
      </c>
      <c r="AA21" s="51" t="e">
        <f>Ticker0001_Exchange_Sheet!AZ21-#REF!</f>
      </c>
      <c r="AB21" s="51" t="e">
        <f>Ticker0001_Exchange_Sheet!BA21-#REF!</f>
      </c>
      <c r="AC21" s="51" t="e">
        <f>Ticker0001_Exchange_Sheet!BB21-#REF!</f>
      </c>
      <c r="AD21" s="51" t="e">
        <f>Ticker0001_Exchange_Sheet!BC21-#REF!</f>
      </c>
      <c r="AE21" s="51" t="e">
        <f>Ticker0001_Exchange_Sheet!BD21-#REF!</f>
      </c>
      <c r="AF21" s="51" t="e">
        <f>Ticker0001_Exchange_Sheet!BE21-#REF!</f>
      </c>
      <c r="AG21" s="51" t="e">
        <f>Ticker0001_Exchange_Sheet!BF21-#REF!</f>
      </c>
      <c r="AH21" s="51" t="e">
        <f>Ticker0001_Exchange_Sheet!BG21-#REF!</f>
      </c>
      <c r="AI21" s="51" t="e">
        <f>Ticker0001_Exchange_Sheet!BH21-#REF!</f>
      </c>
      <c r="AJ21" s="51" t="e">
        <f>Ticker0001_Exchange_Sheet!BI21-#REF!</f>
      </c>
      <c r="AK21" s="51" t="e">
        <f>Ticker0001_Exchange_Sheet!BJ21-#REF!</f>
      </c>
      <c r="AL21" s="51" t="e">
        <f>Ticker0001_Exchange_Sheet!BK21-#REF!</f>
      </c>
      <c r="AM21" s="51" t="e">
        <f>Ticker0001_Exchange_Sheet!BL21-#REF!</f>
      </c>
      <c r="AN21" s="51" t="e">
        <f>Ticker0001_Exchange_Sheet!BM21-#REF!</f>
      </c>
      <c r="AO21" s="51" t="e">
        <f>Ticker0001_Exchange_Sheet!BN21-#REF!</f>
      </c>
      <c r="AP21" s="51" t="e">
        <f>Ticker0001_Exchange_Sheet!BO21-#REF!</f>
      </c>
      <c r="AQ21" s="51" t="e">
        <f>Ticker0001_Exchange_Sheet!BP21-#REF!</f>
      </c>
      <c r="AR21" s="51" t="e">
        <f>Ticker0001_Exchange_Sheet!BQ21-#REF!</f>
      </c>
      <c r="AS21" s="51" t="e">
        <f>Ticker0001_Exchange_Sheet!BR21-#REF!</f>
      </c>
      <c r="AT21" s="51" t="e">
        <f>Ticker0001_Exchange_Sheet!BS21-#REF!</f>
      </c>
      <c r="AU21" s="51" t="e">
        <f>Ticker0001_Exchange_Sheet!BT21-#REF!</f>
      </c>
      <c r="AV21" s="51" t="e">
        <f>Ticker0001_Exchange_Sheet!BU21-#REF!</f>
      </c>
      <c r="AW21" s="51" t="e">
        <f>Ticker0001_Exchange_Sheet!BV21-#REF!</f>
      </c>
      <c r="AX21" s="51" t="e">
        <f>Ticker0001_Exchange_Sheet!BW21-#REF!</f>
      </c>
      <c r="AY21" s="51" t="e">
        <f>Ticker0001_Exchange_Sheet!BX21-#REF!</f>
      </c>
      <c r="AZ21" s="51" t="e">
        <f>Ticker0001_Exchange_Sheet!BY21-#REF!</f>
      </c>
      <c r="BA21" s="51" t="e">
        <f>Ticker0001_Exchange_Sheet!BZ21-#REF!</f>
      </c>
      <c r="BB21" s="51" t="e">
        <f>Ticker0001_Exchange_Sheet!CA21-#REF!</f>
      </c>
      <c r="BC21" s="51" t="e">
        <f>Ticker0001_Exchange_Sheet!CB21-#REF!</f>
      </c>
      <c r="BD21" s="51" t="e">
        <f>Ticker0001_Exchange_Sheet!CC21-#REF!</f>
      </c>
      <c r="BE21" s="51" t="e">
        <f>Ticker0001_Exchange_Sheet!CD21-#REF!</f>
      </c>
      <c r="BF21" s="51" t="e">
        <f>Ticker0001_Exchange_Sheet!CE21-#REF!</f>
      </c>
      <c r="BG21" s="51" t="e">
        <f>Ticker0001_Exchange_Sheet!CF21-#REF!</f>
      </c>
      <c r="BH21" s="51" t="e">
        <f>Ticker0001_Exchange_Sheet!CG21-#REF!</f>
      </c>
      <c r="BI21" s="51" t="e">
        <f>Ticker0001_Exchange_Sheet!CH21-#REF!</f>
      </c>
      <c r="BJ21" s="51" t="e">
        <f>Ticker0001_Exchange_Sheet!CI21-#REF!</f>
      </c>
      <c r="BK21" s="51" t="e">
        <f>Ticker0001_Exchange_Sheet!CJ21-#REF!</f>
      </c>
      <c r="BL21" s="51" t="e">
        <f>Ticker0001_Exchange_Sheet!CK21-#REF!</f>
      </c>
      <c r="BM21" s="51" t="e">
        <f>Ticker0001_Exchange_Sheet!CL21-#REF!</f>
      </c>
      <c r="BN21" s="51" t="e">
        <f>Ticker0001_Exchange_Sheet!CM21-#REF!</f>
      </c>
      <c r="BO21" s="51" t="e">
        <f>Ticker0001_Exchange_Sheet!CN21-#REF!</f>
      </c>
      <c r="BP21" s="51" t="e">
        <f>Ticker0001_Exchange_Sheet!CO21-#REF!</f>
      </c>
      <c r="BQ21" s="51" t="e">
        <f>Ticker0001_Exchange_Sheet!CP21-#REF!</f>
      </c>
      <c r="BR21" s="51" t="e">
        <f>Ticker0001_Exchange_Sheet!CQ21-#REF!</f>
      </c>
      <c r="BS21" s="51" t="e">
        <f>Ticker0001_Exchange_Sheet!CR21-#REF!</f>
      </c>
      <c r="BT21" s="51" t="e">
        <f>Ticker0001_Exchange_Sheet!CS21-#REF!</f>
      </c>
      <c r="BU21" s="51" t="e">
        <f>Ticker0001_Exchange_Sheet!CT21-#REF!</f>
      </c>
      <c r="BV21" s="51" t="e">
        <f>Ticker0001_Exchange_Sheet!CU21-#REF!</f>
      </c>
      <c r="BW21" s="51" t="e">
        <f>Ticker0001_Exchange_Sheet!CV21-#REF!</f>
      </c>
      <c r="BX21" s="51" t="e">
        <f>Ticker0001_Exchange_Sheet!CW21-#REF!</f>
      </c>
      <c r="BY21" s="51" t="e">
        <f>Ticker0001_Exchange_Sheet!CX21-#REF!</f>
      </c>
      <c r="BZ21" s="51" t="e">
        <f>Ticker0001_Exchange_Sheet!CY21-#REF!</f>
      </c>
      <c r="CA21" s="51" t="e">
        <f>Ticker0001_Exchange_Sheet!CZ21-#REF!</f>
      </c>
      <c r="CB21" s="51" t="e">
        <f>Ticker0001_Exchange_Sheet!DA21-#REF!</f>
      </c>
      <c r="CC21" s="51" t="e">
        <f>Ticker0001_Exchange_Sheet!DB21-#REF!</f>
      </c>
      <c r="CD21" s="51" t="e">
        <f>Ticker0001_Exchange_Sheet!DC21-#REF!</f>
      </c>
      <c r="CE21" s="51" t="e">
        <f>Ticker0001_Exchange_Sheet!DD21-#REF!</f>
      </c>
      <c r="CF21" s="51" t="e">
        <f>Ticker0001_Exchange_Sheet!DE21-#REF!</f>
      </c>
    </row>
    <row r="22" spans="6:84">
      <c r="F22" s="51" t="e">
        <f>Ticker0001_Exchange_Sheet!F22-#REF!</f>
      </c>
      <c r="G22" s="51" t="e">
        <f>Ticker0001_Exchange_Sheet!G22-#REF!</f>
      </c>
      <c r="H22" s="51" t="e">
        <f>Ticker0001_Exchange_Sheet!H22-#REF!</f>
      </c>
      <c r="I22" s="51" t="e">
        <f>Ticker0001_Exchange_Sheet!I22-#REF!</f>
      </c>
      <c r="J22" s="51" t="e">
        <f>Ticker0001_Exchange_Sheet!J22-#REF!</f>
      </c>
      <c r="K22" s="51" t="e">
        <f>Ticker0001_Exchange_Sheet!K22-#REF!</f>
      </c>
      <c r="L22" s="51" t="e">
        <f>Ticker0001_Exchange_Sheet!L22-#REF!</f>
      </c>
      <c r="M22" s="51" t="e">
        <f>Ticker0001_Exchange_Sheet!M22-#REF!</f>
      </c>
      <c r="N22" s="51" t="e">
        <f>Ticker0001_Exchange_Sheet!N22-#REF!</f>
      </c>
      <c r="O22" s="51" t="e">
        <f>Ticker0001_Exchange_Sheet!O22-#REF!</f>
      </c>
      <c r="P22" s="51" t="e">
        <f>Ticker0001_Exchange_Sheet!P22-#REF!</f>
      </c>
      <c r="Q22" s="51" t="e">
        <f>Ticker0001_Exchange_Sheet!Q22-#REF!</f>
      </c>
      <c r="R22" s="51" t="e">
        <f>Ticker0001_Exchange_Sheet!R22-#REF!</f>
      </c>
      <c r="S22" s="51" t="e">
        <f>Ticker0001_Exchange_Sheet!S22-#REF!</f>
      </c>
      <c r="T22" s="51" t="e">
        <f>Ticker0001_Exchange_Sheet!T22-#REF!</f>
      </c>
      <c r="U22" s="51" t="e">
        <f>Ticker0001_Exchange_Sheet!U22-#REF!</f>
      </c>
      <c r="V22" s="51" t="e">
        <f>Ticker0001_Exchange_Sheet!V22-#REF!</f>
      </c>
      <c r="W22" s="51" t="e">
        <f>Ticker0001_Exchange_Sheet!W22-#REF!</f>
      </c>
      <c r="X22" s="51" t="e">
        <f>Ticker0001_Exchange_Sheet!AK22-#REF!</f>
      </c>
      <c r="Y22" s="51" t="e">
        <f>Ticker0001_Exchange_Sheet!AX22-#REF!</f>
      </c>
      <c r="Z22" s="51" t="e">
        <f>Ticker0001_Exchange_Sheet!AY22-#REF!</f>
      </c>
      <c r="AA22" s="51" t="e">
        <f>Ticker0001_Exchange_Sheet!AZ22-#REF!</f>
      </c>
      <c r="AB22" s="51" t="e">
        <f>Ticker0001_Exchange_Sheet!BA22-#REF!</f>
      </c>
      <c r="AC22" s="51" t="e">
        <f>Ticker0001_Exchange_Sheet!BB22-#REF!</f>
      </c>
      <c r="AD22" s="51" t="e">
        <f>Ticker0001_Exchange_Sheet!BC22-#REF!</f>
      </c>
      <c r="AE22" s="51" t="e">
        <f>Ticker0001_Exchange_Sheet!BD22-#REF!</f>
      </c>
      <c r="AF22" s="51" t="e">
        <f>Ticker0001_Exchange_Sheet!BE22-#REF!</f>
      </c>
      <c r="AG22" s="51" t="e">
        <f>Ticker0001_Exchange_Sheet!BF22-#REF!</f>
      </c>
      <c r="AH22" s="51" t="e">
        <f>Ticker0001_Exchange_Sheet!BG22-#REF!</f>
      </c>
      <c r="AI22" s="51" t="e">
        <f>Ticker0001_Exchange_Sheet!BH22-#REF!</f>
      </c>
      <c r="AJ22" s="51" t="e">
        <f>Ticker0001_Exchange_Sheet!BI22-#REF!</f>
      </c>
      <c r="AK22" s="51" t="e">
        <f>Ticker0001_Exchange_Sheet!BJ22-#REF!</f>
      </c>
      <c r="AL22" s="51" t="e">
        <f>Ticker0001_Exchange_Sheet!BK22-#REF!</f>
      </c>
      <c r="AM22" s="51" t="e">
        <f>Ticker0001_Exchange_Sheet!BL22-#REF!</f>
      </c>
      <c r="AN22" s="51" t="e">
        <f>Ticker0001_Exchange_Sheet!BM22-#REF!</f>
      </c>
      <c r="AO22" s="51" t="e">
        <f>Ticker0001_Exchange_Sheet!BN22-#REF!</f>
      </c>
      <c r="AP22" s="51" t="e">
        <f>Ticker0001_Exchange_Sheet!BO22-#REF!</f>
      </c>
      <c r="AQ22" s="51" t="e">
        <f>Ticker0001_Exchange_Sheet!BP22-#REF!</f>
      </c>
      <c r="AR22" s="51" t="e">
        <f>Ticker0001_Exchange_Sheet!BQ22-#REF!</f>
      </c>
      <c r="AS22" s="51" t="e">
        <f>Ticker0001_Exchange_Sheet!BR22-#REF!</f>
      </c>
      <c r="AT22" s="51" t="e">
        <f>Ticker0001_Exchange_Sheet!BS22-#REF!</f>
      </c>
      <c r="AU22" s="51" t="e">
        <f>Ticker0001_Exchange_Sheet!BT22-#REF!</f>
      </c>
      <c r="AV22" s="51" t="e">
        <f>Ticker0001_Exchange_Sheet!BU22-#REF!</f>
      </c>
      <c r="AW22" s="51" t="e">
        <f>Ticker0001_Exchange_Sheet!BV22-#REF!</f>
      </c>
      <c r="AX22" s="51" t="e">
        <f>Ticker0001_Exchange_Sheet!BW22-#REF!</f>
      </c>
      <c r="AY22" s="51" t="e">
        <f>Ticker0001_Exchange_Sheet!BX22-#REF!</f>
      </c>
      <c r="AZ22" s="51" t="e">
        <f>Ticker0001_Exchange_Sheet!BY22-#REF!</f>
      </c>
      <c r="BA22" s="51" t="e">
        <f>Ticker0001_Exchange_Sheet!BZ22-#REF!</f>
      </c>
      <c r="BB22" s="51" t="e">
        <f>Ticker0001_Exchange_Sheet!CA22-#REF!</f>
      </c>
      <c r="BC22" s="51" t="e">
        <f>Ticker0001_Exchange_Sheet!CB22-#REF!</f>
      </c>
      <c r="BD22" s="51" t="e">
        <f>Ticker0001_Exchange_Sheet!CC22-#REF!</f>
      </c>
      <c r="BE22" s="51" t="e">
        <f>Ticker0001_Exchange_Sheet!CD22-#REF!</f>
      </c>
      <c r="BF22" s="51" t="e">
        <f>Ticker0001_Exchange_Sheet!CE22-#REF!</f>
      </c>
      <c r="BG22" s="51" t="e">
        <f>Ticker0001_Exchange_Sheet!CF22-#REF!</f>
      </c>
      <c r="BH22" s="51" t="e">
        <f>Ticker0001_Exchange_Sheet!CG22-#REF!</f>
      </c>
      <c r="BI22" s="51" t="e">
        <f>Ticker0001_Exchange_Sheet!CH22-#REF!</f>
      </c>
      <c r="BJ22" s="51" t="e">
        <f>Ticker0001_Exchange_Sheet!CI22-#REF!</f>
      </c>
      <c r="BK22" s="51" t="e">
        <f>Ticker0001_Exchange_Sheet!CJ22-#REF!</f>
      </c>
      <c r="BL22" s="51" t="e">
        <f>Ticker0001_Exchange_Sheet!CK22-#REF!</f>
      </c>
      <c r="BM22" s="51" t="e">
        <f>Ticker0001_Exchange_Sheet!CL22-#REF!</f>
      </c>
      <c r="BN22" s="51" t="e">
        <f>Ticker0001_Exchange_Sheet!CM22-#REF!</f>
      </c>
      <c r="BO22" s="51" t="e">
        <f>Ticker0001_Exchange_Sheet!CN22-#REF!</f>
      </c>
      <c r="BP22" s="51" t="e">
        <f>Ticker0001_Exchange_Sheet!CO22-#REF!</f>
      </c>
      <c r="BQ22" s="51" t="e">
        <f>Ticker0001_Exchange_Sheet!CP22-#REF!</f>
      </c>
      <c r="BR22" s="51" t="e">
        <f>Ticker0001_Exchange_Sheet!CQ22-#REF!</f>
      </c>
      <c r="BS22" s="51" t="e">
        <f>Ticker0001_Exchange_Sheet!CR22-#REF!</f>
      </c>
      <c r="BT22" s="51" t="e">
        <f>Ticker0001_Exchange_Sheet!CS22-#REF!</f>
      </c>
      <c r="BU22" s="51" t="e">
        <f>Ticker0001_Exchange_Sheet!CT22-#REF!</f>
      </c>
      <c r="BV22" s="51" t="e">
        <f>Ticker0001_Exchange_Sheet!CU22-#REF!</f>
      </c>
      <c r="BW22" s="51" t="e">
        <f>Ticker0001_Exchange_Sheet!CV22-#REF!</f>
      </c>
      <c r="BX22" s="51" t="e">
        <f>Ticker0001_Exchange_Sheet!CW22-#REF!</f>
      </c>
      <c r="BY22" s="51" t="e">
        <f>Ticker0001_Exchange_Sheet!CX22-#REF!</f>
      </c>
      <c r="BZ22" s="51" t="e">
        <f>Ticker0001_Exchange_Sheet!CY22-#REF!</f>
      </c>
      <c r="CA22" s="51" t="e">
        <f>Ticker0001_Exchange_Sheet!CZ22-#REF!</f>
      </c>
      <c r="CB22" s="51" t="e">
        <f>Ticker0001_Exchange_Sheet!DA22-#REF!</f>
      </c>
      <c r="CC22" s="51" t="e">
        <f>Ticker0001_Exchange_Sheet!DB22-#REF!</f>
      </c>
      <c r="CD22" s="51" t="e">
        <f>Ticker0001_Exchange_Sheet!DC22-#REF!</f>
      </c>
      <c r="CE22" s="51" t="e">
        <f>Ticker0001_Exchange_Sheet!DD22-#REF!</f>
      </c>
      <c r="CF22" s="51" t="e">
        <f>Ticker0001_Exchange_Sheet!DE22-#REF!</f>
      </c>
    </row>
    <row r="23" spans="6:84">
      <c r="F23" s="51" t="e">
        <f>Ticker0001_Exchange_Sheet!F23-#REF!</f>
      </c>
      <c r="G23" s="51" t="e">
        <f>Ticker0001_Exchange_Sheet!G23-#REF!</f>
      </c>
      <c r="H23" s="51" t="e">
        <f>Ticker0001_Exchange_Sheet!H23-#REF!</f>
      </c>
      <c r="I23" s="51" t="e">
        <f>Ticker0001_Exchange_Sheet!I23-#REF!</f>
      </c>
      <c r="J23" s="51" t="e">
        <f>Ticker0001_Exchange_Sheet!J23-#REF!</f>
      </c>
      <c r="K23" s="51" t="e">
        <f>Ticker0001_Exchange_Sheet!K23-#REF!</f>
      </c>
      <c r="L23" s="51" t="e">
        <f>Ticker0001_Exchange_Sheet!L23-#REF!</f>
      </c>
      <c r="M23" s="51" t="e">
        <f>Ticker0001_Exchange_Sheet!M23-#REF!</f>
      </c>
      <c r="N23" s="51" t="e">
        <f>Ticker0001_Exchange_Sheet!N23-#REF!</f>
      </c>
      <c r="O23" s="51" t="e">
        <f>Ticker0001_Exchange_Sheet!O23-#REF!</f>
      </c>
      <c r="P23" s="51" t="e">
        <f>Ticker0001_Exchange_Sheet!P23-#REF!</f>
      </c>
      <c r="Q23" s="51" t="e">
        <f>Ticker0001_Exchange_Sheet!Q23-#REF!</f>
      </c>
      <c r="R23" s="51" t="e">
        <f>Ticker0001_Exchange_Sheet!R23-#REF!</f>
      </c>
      <c r="S23" s="51" t="e">
        <f>Ticker0001_Exchange_Sheet!S23-#REF!</f>
      </c>
      <c r="T23" s="51" t="e">
        <f>Ticker0001_Exchange_Sheet!T23-#REF!</f>
      </c>
      <c r="U23" s="51" t="e">
        <f>Ticker0001_Exchange_Sheet!U23-#REF!</f>
      </c>
      <c r="V23" s="51" t="e">
        <f>Ticker0001_Exchange_Sheet!V23-#REF!</f>
      </c>
      <c r="W23" s="51" t="e">
        <f>Ticker0001_Exchange_Sheet!W23-#REF!</f>
      </c>
      <c r="X23" s="51" t="e">
        <f>Ticker0001_Exchange_Sheet!AK23-#REF!</f>
      </c>
      <c r="Y23" s="51" t="e">
        <f>Ticker0001_Exchange_Sheet!AX23-#REF!</f>
      </c>
      <c r="Z23" s="51" t="e">
        <f>Ticker0001_Exchange_Sheet!AY23-#REF!</f>
      </c>
      <c r="AA23" s="51" t="e">
        <f>Ticker0001_Exchange_Sheet!AZ23-#REF!</f>
      </c>
      <c r="AB23" s="51" t="e">
        <f>Ticker0001_Exchange_Sheet!BA23-#REF!</f>
      </c>
      <c r="AC23" s="51" t="e">
        <f>Ticker0001_Exchange_Sheet!BB23-#REF!</f>
      </c>
      <c r="AD23" s="51" t="e">
        <f>Ticker0001_Exchange_Sheet!BC23-#REF!</f>
      </c>
      <c r="AE23" s="51" t="e">
        <f>Ticker0001_Exchange_Sheet!BD23-#REF!</f>
      </c>
      <c r="AF23" s="51" t="e">
        <f>Ticker0001_Exchange_Sheet!BE23-#REF!</f>
      </c>
      <c r="AG23" s="51" t="e">
        <f>Ticker0001_Exchange_Sheet!BF23-#REF!</f>
      </c>
      <c r="AH23" s="51" t="e">
        <f>Ticker0001_Exchange_Sheet!BG23-#REF!</f>
      </c>
      <c r="AI23" s="51" t="e">
        <f>Ticker0001_Exchange_Sheet!BH23-#REF!</f>
      </c>
      <c r="AJ23" s="51" t="e">
        <f>Ticker0001_Exchange_Sheet!BI23-#REF!</f>
      </c>
      <c r="AK23" s="51" t="e">
        <f>Ticker0001_Exchange_Sheet!BJ23-#REF!</f>
      </c>
      <c r="AL23" s="51" t="e">
        <f>Ticker0001_Exchange_Sheet!BK23-#REF!</f>
      </c>
      <c r="AM23" s="51" t="e">
        <f>Ticker0001_Exchange_Sheet!BL23-#REF!</f>
      </c>
      <c r="AN23" s="51" t="e">
        <f>Ticker0001_Exchange_Sheet!BM23-#REF!</f>
      </c>
      <c r="AO23" s="51" t="e">
        <f>Ticker0001_Exchange_Sheet!BN23-#REF!</f>
      </c>
      <c r="AP23" s="51" t="e">
        <f>Ticker0001_Exchange_Sheet!BO23-#REF!</f>
      </c>
      <c r="AQ23" s="51" t="e">
        <f>Ticker0001_Exchange_Sheet!BP23-#REF!</f>
      </c>
      <c r="AR23" s="51" t="e">
        <f>Ticker0001_Exchange_Sheet!BQ23-#REF!</f>
      </c>
      <c r="AS23" s="51" t="e">
        <f>Ticker0001_Exchange_Sheet!BR23-#REF!</f>
      </c>
      <c r="AT23" s="51" t="e">
        <f>Ticker0001_Exchange_Sheet!BS23-#REF!</f>
      </c>
      <c r="AU23" s="51" t="e">
        <f>Ticker0001_Exchange_Sheet!BT23-#REF!</f>
      </c>
      <c r="AV23" s="51" t="e">
        <f>Ticker0001_Exchange_Sheet!BU23-#REF!</f>
      </c>
      <c r="AW23" s="51" t="e">
        <f>Ticker0001_Exchange_Sheet!BV23-#REF!</f>
      </c>
      <c r="AX23" s="51" t="e">
        <f>Ticker0001_Exchange_Sheet!BW23-#REF!</f>
      </c>
      <c r="AY23" s="51" t="e">
        <f>Ticker0001_Exchange_Sheet!BX23-#REF!</f>
      </c>
      <c r="AZ23" s="51" t="e">
        <f>Ticker0001_Exchange_Sheet!BY23-#REF!</f>
      </c>
      <c r="BA23" s="51" t="e">
        <f>Ticker0001_Exchange_Sheet!BZ23-#REF!</f>
      </c>
      <c r="BB23" s="51" t="e">
        <f>Ticker0001_Exchange_Sheet!CA23-#REF!</f>
      </c>
      <c r="BC23" s="51" t="e">
        <f>Ticker0001_Exchange_Sheet!CB23-#REF!</f>
      </c>
      <c r="BD23" s="51" t="e">
        <f>Ticker0001_Exchange_Sheet!CC23-#REF!</f>
      </c>
      <c r="BE23" s="51" t="e">
        <f>Ticker0001_Exchange_Sheet!CD23-#REF!</f>
      </c>
      <c r="BF23" s="51" t="e">
        <f>Ticker0001_Exchange_Sheet!CE23-#REF!</f>
      </c>
      <c r="BG23" s="51" t="e">
        <f>Ticker0001_Exchange_Sheet!CF23-#REF!</f>
      </c>
      <c r="BH23" s="51" t="e">
        <f>Ticker0001_Exchange_Sheet!CG23-#REF!</f>
      </c>
      <c r="BI23" s="51" t="e">
        <f>Ticker0001_Exchange_Sheet!CH23-#REF!</f>
      </c>
      <c r="BJ23" s="51" t="e">
        <f>Ticker0001_Exchange_Sheet!CI23-#REF!</f>
      </c>
      <c r="BK23" s="51" t="e">
        <f>Ticker0001_Exchange_Sheet!CJ23-#REF!</f>
      </c>
      <c r="BL23" s="51" t="e">
        <f>Ticker0001_Exchange_Sheet!CK23-#REF!</f>
      </c>
      <c r="BM23" s="51" t="e">
        <f>Ticker0001_Exchange_Sheet!CL23-#REF!</f>
      </c>
      <c r="BN23" s="51" t="e">
        <f>Ticker0001_Exchange_Sheet!CM23-#REF!</f>
      </c>
      <c r="BO23" s="51" t="e">
        <f>Ticker0001_Exchange_Sheet!CN23-#REF!</f>
      </c>
      <c r="BP23" s="51" t="e">
        <f>Ticker0001_Exchange_Sheet!CO23-#REF!</f>
      </c>
      <c r="BQ23" s="51" t="e">
        <f>Ticker0001_Exchange_Sheet!CP23-#REF!</f>
      </c>
      <c r="BR23" s="51" t="e">
        <f>Ticker0001_Exchange_Sheet!CQ23-#REF!</f>
      </c>
      <c r="BS23" s="51" t="e">
        <f>Ticker0001_Exchange_Sheet!CR23-#REF!</f>
      </c>
      <c r="BT23" s="51" t="e">
        <f>Ticker0001_Exchange_Sheet!CS23-#REF!</f>
      </c>
      <c r="BU23" s="51" t="e">
        <f>Ticker0001_Exchange_Sheet!CT23-#REF!</f>
      </c>
      <c r="BV23" s="51" t="e">
        <f>Ticker0001_Exchange_Sheet!CU23-#REF!</f>
      </c>
      <c r="BW23" s="51" t="e">
        <f>Ticker0001_Exchange_Sheet!CV23-#REF!</f>
      </c>
      <c r="BX23" s="51" t="e">
        <f>Ticker0001_Exchange_Sheet!CW23-#REF!</f>
      </c>
      <c r="BY23" s="51" t="e">
        <f>Ticker0001_Exchange_Sheet!CX23-#REF!</f>
      </c>
      <c r="BZ23" s="51" t="e">
        <f>Ticker0001_Exchange_Sheet!CY23-#REF!</f>
      </c>
      <c r="CA23" s="51" t="e">
        <f>Ticker0001_Exchange_Sheet!CZ23-#REF!</f>
      </c>
      <c r="CB23" s="51" t="e">
        <f>Ticker0001_Exchange_Sheet!DA23-#REF!</f>
      </c>
      <c r="CC23" s="51" t="e">
        <f>Ticker0001_Exchange_Sheet!DB23-#REF!</f>
      </c>
      <c r="CD23" s="51" t="e">
        <f>Ticker0001_Exchange_Sheet!DC23-#REF!</f>
      </c>
      <c r="CE23" s="51" t="e">
        <f>Ticker0001_Exchange_Sheet!DD23-#REF!</f>
      </c>
      <c r="CF23" s="51" t="e">
        <f>Ticker0001_Exchange_Sheet!DE23-#REF!</f>
      </c>
    </row>
    <row r="24" spans="6:84">
      <c r="F24" s="51" t="e">
        <f>Ticker0001_Exchange_Sheet!F24-#REF!</f>
      </c>
      <c r="G24" s="51" t="e">
        <f>Ticker0001_Exchange_Sheet!G24-#REF!</f>
      </c>
      <c r="H24" s="51" t="e">
        <f>Ticker0001_Exchange_Sheet!H24-#REF!</f>
      </c>
      <c r="I24" s="51" t="e">
        <f>Ticker0001_Exchange_Sheet!I24-#REF!</f>
      </c>
      <c r="J24" s="51" t="e">
        <f>Ticker0001_Exchange_Sheet!J24-#REF!</f>
      </c>
      <c r="K24" s="51" t="e">
        <f>Ticker0001_Exchange_Sheet!K24-#REF!</f>
      </c>
      <c r="L24" s="51" t="e">
        <f>Ticker0001_Exchange_Sheet!L24-#REF!</f>
      </c>
      <c r="M24" s="51" t="e">
        <f>Ticker0001_Exchange_Sheet!M24-#REF!</f>
      </c>
      <c r="N24" s="51" t="e">
        <f>Ticker0001_Exchange_Sheet!N24-#REF!</f>
      </c>
      <c r="O24" s="51" t="e">
        <f>Ticker0001_Exchange_Sheet!O24-#REF!</f>
      </c>
      <c r="P24" s="51" t="e">
        <f>Ticker0001_Exchange_Sheet!P24-#REF!</f>
      </c>
      <c r="Q24" s="51" t="e">
        <f>Ticker0001_Exchange_Sheet!Q24-#REF!</f>
      </c>
      <c r="R24" s="51" t="e">
        <f>Ticker0001_Exchange_Sheet!R24-#REF!</f>
      </c>
      <c r="S24" s="51" t="e">
        <f>Ticker0001_Exchange_Sheet!S24-#REF!</f>
      </c>
      <c r="T24" s="51" t="e">
        <f>Ticker0001_Exchange_Sheet!T24-#REF!</f>
      </c>
      <c r="U24" s="51" t="e">
        <f>Ticker0001_Exchange_Sheet!U24-#REF!</f>
      </c>
      <c r="V24" s="51" t="e">
        <f>Ticker0001_Exchange_Sheet!V24-#REF!</f>
      </c>
      <c r="W24" s="51" t="e">
        <f>Ticker0001_Exchange_Sheet!W24-#REF!</f>
      </c>
      <c r="X24" s="51" t="e">
        <f>Ticker0001_Exchange_Sheet!AK24-#REF!</f>
      </c>
      <c r="Y24" s="51" t="e">
        <f>Ticker0001_Exchange_Sheet!AX24-#REF!</f>
      </c>
      <c r="Z24" s="51" t="e">
        <f>Ticker0001_Exchange_Sheet!AY24-#REF!</f>
      </c>
      <c r="AA24" s="51" t="e">
        <f>Ticker0001_Exchange_Sheet!AZ24-#REF!</f>
      </c>
      <c r="AB24" s="51" t="e">
        <f>Ticker0001_Exchange_Sheet!BA24-#REF!</f>
      </c>
      <c r="AC24" s="51" t="e">
        <f>Ticker0001_Exchange_Sheet!BB24-#REF!</f>
      </c>
      <c r="AD24" s="51" t="e">
        <f>Ticker0001_Exchange_Sheet!BC24-#REF!</f>
      </c>
      <c r="AE24" s="51" t="e">
        <f>Ticker0001_Exchange_Sheet!BD24-#REF!</f>
      </c>
      <c r="AF24" s="51" t="e">
        <f>Ticker0001_Exchange_Sheet!BE24-#REF!</f>
      </c>
      <c r="AG24" s="51" t="e">
        <f>Ticker0001_Exchange_Sheet!BF24-#REF!</f>
      </c>
      <c r="AH24" s="51" t="e">
        <f>Ticker0001_Exchange_Sheet!BG24-#REF!</f>
      </c>
      <c r="AI24" s="51" t="e">
        <f>Ticker0001_Exchange_Sheet!BH24-#REF!</f>
      </c>
      <c r="AJ24" s="51" t="e">
        <f>Ticker0001_Exchange_Sheet!BI24-#REF!</f>
      </c>
      <c r="AK24" s="51" t="e">
        <f>Ticker0001_Exchange_Sheet!BJ24-#REF!</f>
      </c>
      <c r="AL24" s="51" t="e">
        <f>Ticker0001_Exchange_Sheet!BK24-#REF!</f>
      </c>
      <c r="AM24" s="51" t="e">
        <f>Ticker0001_Exchange_Sheet!BL24-#REF!</f>
      </c>
      <c r="AN24" s="51" t="e">
        <f>Ticker0001_Exchange_Sheet!BM24-#REF!</f>
      </c>
      <c r="AO24" s="51" t="e">
        <f>Ticker0001_Exchange_Sheet!BN24-#REF!</f>
      </c>
      <c r="AP24" s="51" t="e">
        <f>Ticker0001_Exchange_Sheet!BO24-#REF!</f>
      </c>
      <c r="AQ24" s="51" t="e">
        <f>Ticker0001_Exchange_Sheet!BP24-#REF!</f>
      </c>
      <c r="AR24" s="51" t="e">
        <f>Ticker0001_Exchange_Sheet!BQ24-#REF!</f>
      </c>
      <c r="AS24" s="51" t="e">
        <f>Ticker0001_Exchange_Sheet!BR24-#REF!</f>
      </c>
      <c r="AT24" s="51" t="e">
        <f>Ticker0001_Exchange_Sheet!BS24-#REF!</f>
      </c>
      <c r="AU24" s="51" t="e">
        <f>Ticker0001_Exchange_Sheet!BT24-#REF!</f>
      </c>
      <c r="AV24" s="51" t="e">
        <f>Ticker0001_Exchange_Sheet!BU24-#REF!</f>
      </c>
      <c r="AW24" s="51" t="e">
        <f>Ticker0001_Exchange_Sheet!BV24-#REF!</f>
      </c>
      <c r="AX24" s="51" t="e">
        <f>Ticker0001_Exchange_Sheet!BW24-#REF!</f>
      </c>
      <c r="AY24" s="51" t="e">
        <f>Ticker0001_Exchange_Sheet!BX24-#REF!</f>
      </c>
      <c r="AZ24" s="51" t="e">
        <f>Ticker0001_Exchange_Sheet!BY24-#REF!</f>
      </c>
      <c r="BA24" s="51" t="e">
        <f>Ticker0001_Exchange_Sheet!BZ24-#REF!</f>
      </c>
      <c r="BB24" s="51" t="e">
        <f>Ticker0001_Exchange_Sheet!CA24-#REF!</f>
      </c>
      <c r="BC24" s="51" t="e">
        <f>Ticker0001_Exchange_Sheet!CB24-#REF!</f>
      </c>
      <c r="BD24" s="51" t="e">
        <f>Ticker0001_Exchange_Sheet!CC24-#REF!</f>
      </c>
      <c r="BE24" s="51" t="e">
        <f>Ticker0001_Exchange_Sheet!CD24-#REF!</f>
      </c>
      <c r="BF24" s="51" t="e">
        <f>Ticker0001_Exchange_Sheet!CE24-#REF!</f>
      </c>
      <c r="BG24" s="51" t="e">
        <f>Ticker0001_Exchange_Sheet!CF24-#REF!</f>
      </c>
      <c r="BH24" s="51" t="e">
        <f>Ticker0001_Exchange_Sheet!CG24-#REF!</f>
      </c>
      <c r="BI24" s="51" t="e">
        <f>Ticker0001_Exchange_Sheet!CH24-#REF!</f>
      </c>
      <c r="BJ24" s="51" t="e">
        <f>Ticker0001_Exchange_Sheet!CI24-#REF!</f>
      </c>
      <c r="BK24" s="51" t="e">
        <f>Ticker0001_Exchange_Sheet!CJ24-#REF!</f>
      </c>
      <c r="BL24" s="51" t="e">
        <f>Ticker0001_Exchange_Sheet!CK24-#REF!</f>
      </c>
      <c r="BM24" s="51" t="e">
        <f>Ticker0001_Exchange_Sheet!CL24-#REF!</f>
      </c>
      <c r="BN24" s="51" t="e">
        <f>Ticker0001_Exchange_Sheet!CM24-#REF!</f>
      </c>
      <c r="BO24" s="51" t="e">
        <f>Ticker0001_Exchange_Sheet!CN24-#REF!</f>
      </c>
      <c r="BP24" s="51" t="e">
        <f>Ticker0001_Exchange_Sheet!CO24-#REF!</f>
      </c>
      <c r="BQ24" s="51" t="e">
        <f>Ticker0001_Exchange_Sheet!CP24-#REF!</f>
      </c>
      <c r="BR24" s="51" t="e">
        <f>Ticker0001_Exchange_Sheet!CQ24-#REF!</f>
      </c>
      <c r="BS24" s="51" t="e">
        <f>Ticker0001_Exchange_Sheet!CR24-#REF!</f>
      </c>
      <c r="BT24" s="51" t="e">
        <f>Ticker0001_Exchange_Sheet!CS24-#REF!</f>
      </c>
      <c r="BU24" s="51" t="e">
        <f>Ticker0001_Exchange_Sheet!CT24-#REF!</f>
      </c>
      <c r="BV24" s="51" t="e">
        <f>Ticker0001_Exchange_Sheet!CU24-#REF!</f>
      </c>
      <c r="BW24" s="51" t="e">
        <f>Ticker0001_Exchange_Sheet!CV24-#REF!</f>
      </c>
      <c r="BX24" s="51" t="e">
        <f>Ticker0001_Exchange_Sheet!CW24-#REF!</f>
      </c>
      <c r="BY24" s="51" t="e">
        <f>Ticker0001_Exchange_Sheet!CX24-#REF!</f>
      </c>
      <c r="BZ24" s="51" t="e">
        <f>Ticker0001_Exchange_Sheet!CY24-#REF!</f>
      </c>
      <c r="CA24" s="51" t="e">
        <f>Ticker0001_Exchange_Sheet!CZ24-#REF!</f>
      </c>
      <c r="CB24" s="51" t="e">
        <f>Ticker0001_Exchange_Sheet!DA24-#REF!</f>
      </c>
      <c r="CC24" s="51" t="e">
        <f>Ticker0001_Exchange_Sheet!DB24-#REF!</f>
      </c>
      <c r="CD24" s="51" t="e">
        <f>Ticker0001_Exchange_Sheet!DC24-#REF!</f>
      </c>
      <c r="CE24" s="51" t="e">
        <f>Ticker0001_Exchange_Sheet!DD24-#REF!</f>
      </c>
      <c r="CF24" s="51" t="e">
        <f>Ticker0001_Exchange_Sheet!DE24-#REF!</f>
      </c>
    </row>
    <row r="25" spans="6:84">
      <c r="F25" s="51" t="e">
        <f>Ticker0001_Exchange_Sheet!F25-#REF!</f>
      </c>
      <c r="G25" s="51" t="e">
        <f>Ticker0001_Exchange_Sheet!G25-#REF!</f>
      </c>
      <c r="H25" s="51" t="e">
        <f>Ticker0001_Exchange_Sheet!H25-#REF!</f>
      </c>
      <c r="I25" s="51" t="e">
        <f>Ticker0001_Exchange_Sheet!I25-#REF!</f>
      </c>
      <c r="J25" s="51" t="e">
        <f>Ticker0001_Exchange_Sheet!J25-#REF!</f>
      </c>
      <c r="K25" s="51" t="e">
        <f>Ticker0001_Exchange_Sheet!K25-#REF!</f>
      </c>
      <c r="L25" s="51" t="e">
        <f>Ticker0001_Exchange_Sheet!L25-#REF!</f>
      </c>
      <c r="M25" s="51" t="e">
        <f>Ticker0001_Exchange_Sheet!M25-#REF!</f>
      </c>
      <c r="N25" s="51" t="e">
        <f>Ticker0001_Exchange_Sheet!N25-#REF!</f>
      </c>
      <c r="O25" s="51" t="e">
        <f>Ticker0001_Exchange_Sheet!O25-#REF!</f>
      </c>
      <c r="P25" s="51" t="e">
        <f>Ticker0001_Exchange_Sheet!P25-#REF!</f>
      </c>
      <c r="Q25" s="51" t="e">
        <f>Ticker0001_Exchange_Sheet!Q25-#REF!</f>
      </c>
      <c r="R25" s="51" t="e">
        <f>Ticker0001_Exchange_Sheet!R25-#REF!</f>
      </c>
      <c r="S25" s="51" t="e">
        <f>Ticker0001_Exchange_Sheet!S25-#REF!</f>
      </c>
      <c r="T25" s="51" t="e">
        <f>Ticker0001_Exchange_Sheet!T25-#REF!</f>
      </c>
      <c r="U25" s="51" t="e">
        <f>Ticker0001_Exchange_Sheet!U25-#REF!</f>
      </c>
      <c r="V25" s="51" t="e">
        <f>Ticker0001_Exchange_Sheet!V25-#REF!</f>
      </c>
      <c r="W25" s="51" t="e">
        <f>Ticker0001_Exchange_Sheet!W25-#REF!</f>
      </c>
      <c r="X25" s="51" t="e">
        <f>Ticker0001_Exchange_Sheet!AK25-#REF!</f>
      </c>
      <c r="Y25" s="51" t="e">
        <f>Ticker0001_Exchange_Sheet!AX25-#REF!</f>
      </c>
      <c r="Z25" s="51" t="e">
        <f>Ticker0001_Exchange_Sheet!AY25-#REF!</f>
      </c>
      <c r="AA25" s="51" t="e">
        <f>Ticker0001_Exchange_Sheet!AZ25-#REF!</f>
      </c>
      <c r="AB25" s="51" t="e">
        <f>Ticker0001_Exchange_Sheet!BA25-#REF!</f>
      </c>
      <c r="AC25" s="51" t="e">
        <f>Ticker0001_Exchange_Sheet!BB25-#REF!</f>
      </c>
      <c r="AD25" s="51" t="e">
        <f>Ticker0001_Exchange_Sheet!BC25-#REF!</f>
      </c>
      <c r="AE25" s="51" t="e">
        <f>Ticker0001_Exchange_Sheet!BD25-#REF!</f>
      </c>
      <c r="AF25" s="51" t="e">
        <f>Ticker0001_Exchange_Sheet!BE25-#REF!</f>
      </c>
      <c r="AG25" s="51" t="e">
        <f>Ticker0001_Exchange_Sheet!BF25-#REF!</f>
      </c>
      <c r="AH25" s="51" t="e">
        <f>Ticker0001_Exchange_Sheet!BG25-#REF!</f>
      </c>
      <c r="AI25" s="51" t="e">
        <f>Ticker0001_Exchange_Sheet!BH25-#REF!</f>
      </c>
      <c r="AJ25" s="51" t="e">
        <f>Ticker0001_Exchange_Sheet!BI25-#REF!</f>
      </c>
      <c r="AK25" s="51" t="e">
        <f>Ticker0001_Exchange_Sheet!BJ25-#REF!</f>
      </c>
      <c r="AL25" s="51" t="e">
        <f>Ticker0001_Exchange_Sheet!BK25-#REF!</f>
      </c>
      <c r="AM25" s="51" t="e">
        <f>Ticker0001_Exchange_Sheet!BL25-#REF!</f>
      </c>
      <c r="AN25" s="51" t="e">
        <f>Ticker0001_Exchange_Sheet!BM25-#REF!</f>
      </c>
      <c r="AO25" s="51" t="e">
        <f>Ticker0001_Exchange_Sheet!BN25-#REF!</f>
      </c>
      <c r="AP25" s="51" t="e">
        <f>Ticker0001_Exchange_Sheet!BO25-#REF!</f>
      </c>
      <c r="AQ25" s="51" t="e">
        <f>Ticker0001_Exchange_Sheet!BP25-#REF!</f>
      </c>
      <c r="AR25" s="51" t="e">
        <f>Ticker0001_Exchange_Sheet!BQ25-#REF!</f>
      </c>
      <c r="AS25" s="51" t="e">
        <f>Ticker0001_Exchange_Sheet!BR25-#REF!</f>
      </c>
      <c r="AT25" s="51" t="e">
        <f>Ticker0001_Exchange_Sheet!BS25-#REF!</f>
      </c>
      <c r="AU25" s="51" t="e">
        <f>Ticker0001_Exchange_Sheet!BT25-#REF!</f>
      </c>
      <c r="AV25" s="51" t="e">
        <f>Ticker0001_Exchange_Sheet!BU25-#REF!</f>
      </c>
      <c r="AW25" s="51" t="e">
        <f>Ticker0001_Exchange_Sheet!BV25-#REF!</f>
      </c>
      <c r="AX25" s="51" t="e">
        <f>Ticker0001_Exchange_Sheet!BW25-#REF!</f>
      </c>
      <c r="AY25" s="51" t="e">
        <f>Ticker0001_Exchange_Sheet!BX25-#REF!</f>
      </c>
      <c r="AZ25" s="51" t="e">
        <f>Ticker0001_Exchange_Sheet!BY25-#REF!</f>
      </c>
      <c r="BA25" s="51" t="e">
        <f>Ticker0001_Exchange_Sheet!BZ25-#REF!</f>
      </c>
      <c r="BB25" s="51" t="e">
        <f>Ticker0001_Exchange_Sheet!CA25-#REF!</f>
      </c>
      <c r="BC25" s="51" t="e">
        <f>Ticker0001_Exchange_Sheet!CB25-#REF!</f>
      </c>
      <c r="BD25" s="51" t="e">
        <f>Ticker0001_Exchange_Sheet!CC25-#REF!</f>
      </c>
      <c r="BE25" s="51" t="e">
        <f>Ticker0001_Exchange_Sheet!CD25-#REF!</f>
      </c>
      <c r="BF25" s="51" t="e">
        <f>Ticker0001_Exchange_Sheet!CE25-#REF!</f>
      </c>
      <c r="BG25" s="51" t="e">
        <f>Ticker0001_Exchange_Sheet!CF25-#REF!</f>
      </c>
      <c r="BH25" s="51" t="e">
        <f>Ticker0001_Exchange_Sheet!CG25-#REF!</f>
      </c>
      <c r="BI25" s="51" t="e">
        <f>Ticker0001_Exchange_Sheet!CH25-#REF!</f>
      </c>
      <c r="BJ25" s="51" t="e">
        <f>Ticker0001_Exchange_Sheet!CI25-#REF!</f>
      </c>
      <c r="BK25" s="51" t="e">
        <f>Ticker0001_Exchange_Sheet!CJ25-#REF!</f>
      </c>
      <c r="BL25" s="51" t="e">
        <f>Ticker0001_Exchange_Sheet!CK25-#REF!</f>
      </c>
      <c r="BM25" s="51" t="e">
        <f>Ticker0001_Exchange_Sheet!CL25-#REF!</f>
      </c>
      <c r="BN25" s="51" t="e">
        <f>Ticker0001_Exchange_Sheet!CM25-#REF!</f>
      </c>
      <c r="BO25" s="51" t="e">
        <f>Ticker0001_Exchange_Sheet!CN25-#REF!</f>
      </c>
      <c r="BP25" s="51" t="e">
        <f>Ticker0001_Exchange_Sheet!CO25-#REF!</f>
      </c>
      <c r="BQ25" s="51" t="e">
        <f>Ticker0001_Exchange_Sheet!CP25-#REF!</f>
      </c>
      <c r="BR25" s="51" t="e">
        <f>Ticker0001_Exchange_Sheet!CQ25-#REF!</f>
      </c>
      <c r="BS25" s="51" t="e">
        <f>Ticker0001_Exchange_Sheet!CR25-#REF!</f>
      </c>
      <c r="BT25" s="51" t="e">
        <f>Ticker0001_Exchange_Sheet!CS25-#REF!</f>
      </c>
      <c r="BU25" s="51" t="e">
        <f>Ticker0001_Exchange_Sheet!CT25-#REF!</f>
      </c>
      <c r="BV25" s="51" t="e">
        <f>Ticker0001_Exchange_Sheet!CU25-#REF!</f>
      </c>
      <c r="BW25" s="51" t="e">
        <f>Ticker0001_Exchange_Sheet!CV25-#REF!</f>
      </c>
      <c r="BX25" s="51" t="e">
        <f>Ticker0001_Exchange_Sheet!CW25-#REF!</f>
      </c>
      <c r="BY25" s="51" t="e">
        <f>Ticker0001_Exchange_Sheet!CX25-#REF!</f>
      </c>
      <c r="BZ25" s="51" t="e">
        <f>Ticker0001_Exchange_Sheet!CY25-#REF!</f>
      </c>
      <c r="CA25" s="51" t="e">
        <f>Ticker0001_Exchange_Sheet!CZ25-#REF!</f>
      </c>
      <c r="CB25" s="51" t="e">
        <f>Ticker0001_Exchange_Sheet!DA25-#REF!</f>
      </c>
      <c r="CC25" s="51" t="e">
        <f>Ticker0001_Exchange_Sheet!DB25-#REF!</f>
      </c>
      <c r="CD25" s="51" t="e">
        <f>Ticker0001_Exchange_Sheet!DC25-#REF!</f>
      </c>
      <c r="CE25" s="51" t="e">
        <f>Ticker0001_Exchange_Sheet!DD25-#REF!</f>
      </c>
      <c r="CF25" s="51" t="e">
        <f>Ticker0001_Exchange_Sheet!DE25-#REF!</f>
      </c>
    </row>
    <row r="26" spans="6:84">
      <c r="F26" s="51" t="e">
        <f>Ticker0001_Exchange_Sheet!F26-#REF!</f>
      </c>
      <c r="G26" s="51" t="e">
        <f>Ticker0001_Exchange_Sheet!G26-#REF!</f>
      </c>
      <c r="H26" s="51" t="e">
        <f>Ticker0001_Exchange_Sheet!H26-#REF!</f>
      </c>
      <c r="I26" s="51" t="e">
        <f>Ticker0001_Exchange_Sheet!I26-#REF!</f>
      </c>
      <c r="J26" s="51" t="e">
        <f>Ticker0001_Exchange_Sheet!J26-#REF!</f>
      </c>
      <c r="K26" s="51" t="e">
        <f>Ticker0001_Exchange_Sheet!K26-#REF!</f>
      </c>
      <c r="L26" s="51" t="e">
        <f>Ticker0001_Exchange_Sheet!L26-#REF!</f>
      </c>
      <c r="M26" s="51" t="e">
        <f>Ticker0001_Exchange_Sheet!M26-#REF!</f>
      </c>
      <c r="N26" s="51" t="e">
        <f>Ticker0001_Exchange_Sheet!N26-#REF!</f>
      </c>
      <c r="O26" s="51" t="e">
        <f>Ticker0001_Exchange_Sheet!O26-#REF!</f>
      </c>
      <c r="P26" s="51" t="e">
        <f>Ticker0001_Exchange_Sheet!P26-#REF!</f>
      </c>
      <c r="Q26" s="51" t="e">
        <f>Ticker0001_Exchange_Sheet!Q26-#REF!</f>
      </c>
      <c r="R26" s="51" t="e">
        <f>Ticker0001_Exchange_Sheet!R26-#REF!</f>
      </c>
      <c r="S26" s="51" t="e">
        <f>Ticker0001_Exchange_Sheet!S26-#REF!</f>
      </c>
      <c r="T26" s="51" t="e">
        <f>Ticker0001_Exchange_Sheet!T26-#REF!</f>
      </c>
      <c r="U26" s="51" t="e">
        <f>Ticker0001_Exchange_Sheet!U26-#REF!</f>
      </c>
      <c r="V26" s="51" t="e">
        <f>Ticker0001_Exchange_Sheet!V26-#REF!</f>
      </c>
      <c r="W26" s="51" t="e">
        <f>Ticker0001_Exchange_Sheet!W26-#REF!</f>
      </c>
      <c r="X26" s="51" t="e">
        <f>Ticker0001_Exchange_Sheet!AK26-#REF!</f>
      </c>
      <c r="Y26" s="51" t="e">
        <f>Ticker0001_Exchange_Sheet!AX26-#REF!</f>
      </c>
      <c r="Z26" s="51" t="e">
        <f>Ticker0001_Exchange_Sheet!AY26-#REF!</f>
      </c>
      <c r="AA26" s="51" t="e">
        <f>Ticker0001_Exchange_Sheet!AZ26-#REF!</f>
      </c>
      <c r="AB26" s="51" t="e">
        <f>Ticker0001_Exchange_Sheet!BA26-#REF!</f>
      </c>
      <c r="AC26" s="51" t="e">
        <f>Ticker0001_Exchange_Sheet!BB26-#REF!</f>
      </c>
      <c r="AD26" s="51" t="e">
        <f>Ticker0001_Exchange_Sheet!BC26-#REF!</f>
      </c>
      <c r="AE26" s="51" t="e">
        <f>Ticker0001_Exchange_Sheet!BD26-#REF!</f>
      </c>
      <c r="AF26" s="51" t="e">
        <f>Ticker0001_Exchange_Sheet!BE26-#REF!</f>
      </c>
      <c r="AG26" s="51" t="e">
        <f>Ticker0001_Exchange_Sheet!BF26-#REF!</f>
      </c>
      <c r="AH26" s="51" t="e">
        <f>Ticker0001_Exchange_Sheet!BG26-#REF!</f>
      </c>
      <c r="AI26" s="51" t="e">
        <f>Ticker0001_Exchange_Sheet!BH26-#REF!</f>
      </c>
      <c r="AJ26" s="51" t="e">
        <f>Ticker0001_Exchange_Sheet!BI26-#REF!</f>
      </c>
      <c r="AK26" s="51" t="e">
        <f>Ticker0001_Exchange_Sheet!BJ26-#REF!</f>
      </c>
      <c r="AL26" s="51" t="e">
        <f>Ticker0001_Exchange_Sheet!BK26-#REF!</f>
      </c>
      <c r="AM26" s="51" t="e">
        <f>Ticker0001_Exchange_Sheet!BL26-#REF!</f>
      </c>
      <c r="AN26" s="51" t="e">
        <f>Ticker0001_Exchange_Sheet!BM26-#REF!</f>
      </c>
      <c r="AO26" s="51" t="e">
        <f>Ticker0001_Exchange_Sheet!BN26-#REF!</f>
      </c>
      <c r="AP26" s="51" t="e">
        <f>Ticker0001_Exchange_Sheet!BO26-#REF!</f>
      </c>
      <c r="AQ26" s="51" t="e">
        <f>Ticker0001_Exchange_Sheet!BP26-#REF!</f>
      </c>
      <c r="AR26" s="51" t="e">
        <f>Ticker0001_Exchange_Sheet!BQ26-#REF!</f>
      </c>
      <c r="AS26" s="51" t="e">
        <f>Ticker0001_Exchange_Sheet!BR26-#REF!</f>
      </c>
      <c r="AT26" s="51" t="e">
        <f>Ticker0001_Exchange_Sheet!BS26-#REF!</f>
      </c>
      <c r="AU26" s="51" t="e">
        <f>Ticker0001_Exchange_Sheet!BT26-#REF!</f>
      </c>
      <c r="AV26" s="51" t="e">
        <f>Ticker0001_Exchange_Sheet!BU26-#REF!</f>
      </c>
      <c r="AW26" s="51" t="e">
        <f>Ticker0001_Exchange_Sheet!BV26-#REF!</f>
      </c>
      <c r="AX26" s="51" t="e">
        <f>Ticker0001_Exchange_Sheet!BW26-#REF!</f>
      </c>
      <c r="AY26" s="51" t="e">
        <f>Ticker0001_Exchange_Sheet!BX26-#REF!</f>
      </c>
      <c r="AZ26" s="51" t="e">
        <f>Ticker0001_Exchange_Sheet!BY26-#REF!</f>
      </c>
      <c r="BA26" s="51" t="e">
        <f>Ticker0001_Exchange_Sheet!BZ26-#REF!</f>
      </c>
      <c r="BB26" s="51" t="e">
        <f>Ticker0001_Exchange_Sheet!CA26-#REF!</f>
      </c>
      <c r="BC26" s="51" t="e">
        <f>Ticker0001_Exchange_Sheet!CB26-#REF!</f>
      </c>
      <c r="BD26" s="51" t="e">
        <f>Ticker0001_Exchange_Sheet!CC26-#REF!</f>
      </c>
      <c r="BE26" s="51" t="e">
        <f>Ticker0001_Exchange_Sheet!CD26-#REF!</f>
      </c>
      <c r="BF26" s="51" t="e">
        <f>Ticker0001_Exchange_Sheet!CE26-#REF!</f>
      </c>
      <c r="BG26" s="51" t="e">
        <f>Ticker0001_Exchange_Sheet!CF26-#REF!</f>
      </c>
      <c r="BH26" s="51" t="e">
        <f>Ticker0001_Exchange_Sheet!CG26-#REF!</f>
      </c>
      <c r="BI26" s="51" t="e">
        <f>Ticker0001_Exchange_Sheet!CH26-#REF!</f>
      </c>
      <c r="BJ26" s="51" t="e">
        <f>Ticker0001_Exchange_Sheet!CI26-#REF!</f>
      </c>
      <c r="BK26" s="51" t="e">
        <f>Ticker0001_Exchange_Sheet!CJ26-#REF!</f>
      </c>
      <c r="BL26" s="51" t="e">
        <f>Ticker0001_Exchange_Sheet!CK26-#REF!</f>
      </c>
      <c r="BM26" s="51" t="e">
        <f>Ticker0001_Exchange_Sheet!CL26-#REF!</f>
      </c>
      <c r="BN26" s="51" t="e">
        <f>Ticker0001_Exchange_Sheet!CM26-#REF!</f>
      </c>
      <c r="BO26" s="51" t="e">
        <f>Ticker0001_Exchange_Sheet!CN26-#REF!</f>
      </c>
      <c r="BP26" s="51" t="e">
        <f>Ticker0001_Exchange_Sheet!CO26-#REF!</f>
      </c>
      <c r="BQ26" s="51" t="e">
        <f>Ticker0001_Exchange_Sheet!CP26-#REF!</f>
      </c>
      <c r="BR26" s="51" t="e">
        <f>Ticker0001_Exchange_Sheet!CQ26-#REF!</f>
      </c>
      <c r="BS26" s="51" t="e">
        <f>Ticker0001_Exchange_Sheet!CR26-#REF!</f>
      </c>
      <c r="BT26" s="51" t="e">
        <f>Ticker0001_Exchange_Sheet!CS26-#REF!</f>
      </c>
      <c r="BU26" s="51" t="e">
        <f>Ticker0001_Exchange_Sheet!CT26-#REF!</f>
      </c>
      <c r="BV26" s="51" t="e">
        <f>Ticker0001_Exchange_Sheet!CU26-#REF!</f>
      </c>
      <c r="BW26" s="51" t="e">
        <f>Ticker0001_Exchange_Sheet!CV26-#REF!</f>
      </c>
      <c r="BX26" s="51" t="e">
        <f>Ticker0001_Exchange_Sheet!CW26-#REF!</f>
      </c>
      <c r="BY26" s="51" t="e">
        <f>Ticker0001_Exchange_Sheet!CX26-#REF!</f>
      </c>
      <c r="BZ26" s="51" t="e">
        <f>Ticker0001_Exchange_Sheet!CY26-#REF!</f>
      </c>
      <c r="CA26" s="51" t="e">
        <f>Ticker0001_Exchange_Sheet!CZ26-#REF!</f>
      </c>
      <c r="CB26" s="51" t="e">
        <f>Ticker0001_Exchange_Sheet!DA26-#REF!</f>
      </c>
      <c r="CC26" s="51" t="e">
        <f>Ticker0001_Exchange_Sheet!DB26-#REF!</f>
      </c>
      <c r="CD26" s="51" t="e">
        <f>Ticker0001_Exchange_Sheet!DC26-#REF!</f>
      </c>
      <c r="CE26" s="51" t="e">
        <f>Ticker0001_Exchange_Sheet!DD26-#REF!</f>
      </c>
      <c r="CF26" s="51" t="e">
        <f>Ticker0001_Exchange_Sheet!DE26-#REF!</f>
      </c>
    </row>
    <row r="27" spans="6:84">
      <c r="F27" s="51" t="e">
        <f>Ticker0001_Exchange_Sheet!F27-#REF!</f>
      </c>
      <c r="G27" s="51" t="e">
        <f>Ticker0001_Exchange_Sheet!G27-#REF!</f>
      </c>
      <c r="H27" s="51" t="e">
        <f>Ticker0001_Exchange_Sheet!H27-#REF!</f>
      </c>
      <c r="I27" s="51" t="e">
        <f>Ticker0001_Exchange_Sheet!I27-#REF!</f>
      </c>
      <c r="J27" s="51" t="e">
        <f>Ticker0001_Exchange_Sheet!J27-#REF!</f>
      </c>
      <c r="K27" s="51" t="e">
        <f>Ticker0001_Exchange_Sheet!K27-#REF!</f>
      </c>
      <c r="L27" s="51" t="e">
        <f>Ticker0001_Exchange_Sheet!L27-#REF!</f>
      </c>
      <c r="M27" s="51" t="e">
        <f>Ticker0001_Exchange_Sheet!M27-#REF!</f>
      </c>
      <c r="N27" s="51" t="e">
        <f>Ticker0001_Exchange_Sheet!N27-#REF!</f>
      </c>
      <c r="O27" s="51" t="e">
        <f>Ticker0001_Exchange_Sheet!O27-#REF!</f>
      </c>
      <c r="P27" s="51" t="e">
        <f>Ticker0001_Exchange_Sheet!P27-#REF!</f>
      </c>
      <c r="Q27" s="51" t="e">
        <f>Ticker0001_Exchange_Sheet!Q27-#REF!</f>
      </c>
      <c r="R27" s="51" t="e">
        <f>Ticker0001_Exchange_Sheet!R27-#REF!</f>
      </c>
      <c r="S27" s="51" t="e">
        <f>Ticker0001_Exchange_Sheet!S27-#REF!</f>
      </c>
      <c r="T27" s="51" t="e">
        <f>Ticker0001_Exchange_Sheet!T27-#REF!</f>
      </c>
      <c r="U27" s="51" t="e">
        <f>Ticker0001_Exchange_Sheet!U27-#REF!</f>
      </c>
      <c r="V27" s="51" t="e">
        <f>Ticker0001_Exchange_Sheet!V27-#REF!</f>
      </c>
      <c r="W27" s="51" t="e">
        <f>Ticker0001_Exchange_Sheet!W27-#REF!</f>
      </c>
      <c r="X27" s="51" t="e">
        <f>Ticker0001_Exchange_Sheet!AK27-#REF!</f>
      </c>
      <c r="Y27" s="51" t="e">
        <f>Ticker0001_Exchange_Sheet!AX27-#REF!</f>
      </c>
      <c r="Z27" s="51" t="e">
        <f>Ticker0001_Exchange_Sheet!AY27-#REF!</f>
      </c>
      <c r="AA27" s="51" t="e">
        <f>Ticker0001_Exchange_Sheet!AZ27-#REF!</f>
      </c>
      <c r="AB27" s="51" t="e">
        <f>Ticker0001_Exchange_Sheet!BA27-#REF!</f>
      </c>
      <c r="AC27" s="51" t="e">
        <f>Ticker0001_Exchange_Sheet!BB27-#REF!</f>
      </c>
      <c r="AD27" s="51" t="e">
        <f>Ticker0001_Exchange_Sheet!BC27-#REF!</f>
      </c>
      <c r="AE27" s="51" t="e">
        <f>Ticker0001_Exchange_Sheet!BD27-#REF!</f>
      </c>
      <c r="AF27" s="51" t="e">
        <f>Ticker0001_Exchange_Sheet!BE27-#REF!</f>
      </c>
      <c r="AG27" s="51" t="e">
        <f>Ticker0001_Exchange_Sheet!BF27-#REF!</f>
      </c>
      <c r="AH27" s="51" t="e">
        <f>Ticker0001_Exchange_Sheet!BG27-#REF!</f>
      </c>
      <c r="AI27" s="51" t="e">
        <f>Ticker0001_Exchange_Sheet!BH27-#REF!</f>
      </c>
      <c r="AJ27" s="51" t="e">
        <f>Ticker0001_Exchange_Sheet!BI27-#REF!</f>
      </c>
      <c r="AK27" s="51" t="e">
        <f>Ticker0001_Exchange_Sheet!BJ27-#REF!</f>
      </c>
      <c r="AL27" s="51" t="e">
        <f>Ticker0001_Exchange_Sheet!BK27-#REF!</f>
      </c>
      <c r="AM27" s="51" t="e">
        <f>Ticker0001_Exchange_Sheet!BL27-#REF!</f>
      </c>
      <c r="AN27" s="51" t="e">
        <f>Ticker0001_Exchange_Sheet!BM27-#REF!</f>
      </c>
      <c r="AO27" s="51" t="e">
        <f>Ticker0001_Exchange_Sheet!BN27-#REF!</f>
      </c>
      <c r="AP27" s="51" t="e">
        <f>Ticker0001_Exchange_Sheet!BO27-#REF!</f>
      </c>
      <c r="AQ27" s="51" t="e">
        <f>Ticker0001_Exchange_Sheet!BP27-#REF!</f>
      </c>
      <c r="AR27" s="51" t="e">
        <f>Ticker0001_Exchange_Sheet!BQ27-#REF!</f>
      </c>
      <c r="AS27" s="51" t="e">
        <f>Ticker0001_Exchange_Sheet!BR27-#REF!</f>
      </c>
      <c r="AT27" s="51" t="e">
        <f>Ticker0001_Exchange_Sheet!BS27-#REF!</f>
      </c>
      <c r="AU27" s="51" t="e">
        <f>Ticker0001_Exchange_Sheet!BT27-#REF!</f>
      </c>
      <c r="AV27" s="51" t="e">
        <f>Ticker0001_Exchange_Sheet!BU27-#REF!</f>
      </c>
      <c r="AW27" s="51" t="e">
        <f>Ticker0001_Exchange_Sheet!BV27-#REF!</f>
      </c>
      <c r="AX27" s="51" t="e">
        <f>Ticker0001_Exchange_Sheet!BW27-#REF!</f>
      </c>
      <c r="AY27" s="51" t="e">
        <f>Ticker0001_Exchange_Sheet!BX27-#REF!</f>
      </c>
      <c r="AZ27" s="51" t="e">
        <f>Ticker0001_Exchange_Sheet!BY27-#REF!</f>
      </c>
      <c r="BA27" s="51" t="e">
        <f>Ticker0001_Exchange_Sheet!BZ27-#REF!</f>
      </c>
      <c r="BB27" s="51" t="e">
        <f>Ticker0001_Exchange_Sheet!CA27-#REF!</f>
      </c>
      <c r="BC27" s="51" t="e">
        <f>Ticker0001_Exchange_Sheet!CB27-#REF!</f>
      </c>
      <c r="BD27" s="51" t="e">
        <f>Ticker0001_Exchange_Sheet!CC27-#REF!</f>
      </c>
      <c r="BE27" s="51" t="e">
        <f>Ticker0001_Exchange_Sheet!CD27-#REF!</f>
      </c>
      <c r="BF27" s="51" t="e">
        <f>Ticker0001_Exchange_Sheet!CE27-#REF!</f>
      </c>
      <c r="BG27" s="51" t="e">
        <f>Ticker0001_Exchange_Sheet!CF27-#REF!</f>
      </c>
      <c r="BH27" s="51" t="e">
        <f>Ticker0001_Exchange_Sheet!CG27-#REF!</f>
      </c>
      <c r="BI27" s="51" t="e">
        <f>Ticker0001_Exchange_Sheet!CH27-#REF!</f>
      </c>
      <c r="BJ27" s="51" t="e">
        <f>Ticker0001_Exchange_Sheet!CI27-#REF!</f>
      </c>
      <c r="BK27" s="51" t="e">
        <f>Ticker0001_Exchange_Sheet!CJ27-#REF!</f>
      </c>
      <c r="BL27" s="51" t="e">
        <f>Ticker0001_Exchange_Sheet!CK27-#REF!</f>
      </c>
      <c r="BM27" s="51" t="e">
        <f>Ticker0001_Exchange_Sheet!CL27-#REF!</f>
      </c>
      <c r="BN27" s="51" t="e">
        <f>Ticker0001_Exchange_Sheet!CM27-#REF!</f>
      </c>
      <c r="BO27" s="51" t="e">
        <f>Ticker0001_Exchange_Sheet!CN27-#REF!</f>
      </c>
      <c r="BP27" s="51" t="e">
        <f>Ticker0001_Exchange_Sheet!CO27-#REF!</f>
      </c>
      <c r="BQ27" s="51" t="e">
        <f>Ticker0001_Exchange_Sheet!CP27-#REF!</f>
      </c>
      <c r="BR27" s="51" t="e">
        <f>Ticker0001_Exchange_Sheet!CQ27-#REF!</f>
      </c>
      <c r="BS27" s="51" t="e">
        <f>Ticker0001_Exchange_Sheet!CR27-#REF!</f>
      </c>
      <c r="BT27" s="51" t="e">
        <f>Ticker0001_Exchange_Sheet!CS27-#REF!</f>
      </c>
      <c r="BU27" s="51" t="e">
        <f>Ticker0001_Exchange_Sheet!CT27-#REF!</f>
      </c>
      <c r="BV27" s="51" t="e">
        <f>Ticker0001_Exchange_Sheet!CU27-#REF!</f>
      </c>
      <c r="BW27" s="51" t="e">
        <f>Ticker0001_Exchange_Sheet!CV27-#REF!</f>
      </c>
      <c r="BX27" s="51" t="e">
        <f>Ticker0001_Exchange_Sheet!CW27-#REF!</f>
      </c>
      <c r="BY27" s="51" t="e">
        <f>Ticker0001_Exchange_Sheet!CX27-#REF!</f>
      </c>
      <c r="BZ27" s="51" t="e">
        <f>Ticker0001_Exchange_Sheet!CY27-#REF!</f>
      </c>
      <c r="CA27" s="51" t="e">
        <f>Ticker0001_Exchange_Sheet!CZ27-#REF!</f>
      </c>
      <c r="CB27" s="51" t="e">
        <f>Ticker0001_Exchange_Sheet!DA27-#REF!</f>
      </c>
      <c r="CC27" s="51" t="e">
        <f>Ticker0001_Exchange_Sheet!DB27-#REF!</f>
      </c>
      <c r="CD27" s="51" t="e">
        <f>Ticker0001_Exchange_Sheet!DC27-#REF!</f>
      </c>
      <c r="CE27" s="51" t="e">
        <f>Ticker0001_Exchange_Sheet!DD27-#REF!</f>
      </c>
      <c r="CF27" s="51" t="e">
        <f>Ticker0001_Exchange_Sheet!DE27-#REF!</f>
      </c>
    </row>
    <row r="28" spans="6:84">
      <c r="F28" s="51" t="e">
        <f>Ticker0001_Exchange_Sheet!F28-#REF!</f>
      </c>
      <c r="G28" s="51" t="e">
        <f>Ticker0001_Exchange_Sheet!G28-#REF!</f>
      </c>
      <c r="H28" s="51" t="e">
        <f>Ticker0001_Exchange_Sheet!H28-#REF!</f>
      </c>
      <c r="I28" s="51" t="e">
        <f>Ticker0001_Exchange_Sheet!I28-#REF!</f>
      </c>
      <c r="J28" s="51" t="e">
        <f>Ticker0001_Exchange_Sheet!J28-#REF!</f>
      </c>
      <c r="K28" s="51" t="e">
        <f>Ticker0001_Exchange_Sheet!K28-#REF!</f>
      </c>
      <c r="L28" s="51" t="e">
        <f>Ticker0001_Exchange_Sheet!L28-#REF!</f>
      </c>
      <c r="M28" s="51" t="e">
        <f>Ticker0001_Exchange_Sheet!M28-#REF!</f>
      </c>
      <c r="N28" s="51" t="e">
        <f>Ticker0001_Exchange_Sheet!N28-#REF!</f>
      </c>
      <c r="O28" s="51" t="e">
        <f>Ticker0001_Exchange_Sheet!O28-#REF!</f>
      </c>
      <c r="P28" s="51" t="e">
        <f>Ticker0001_Exchange_Sheet!P28-#REF!</f>
      </c>
      <c r="Q28" s="51" t="e">
        <f>Ticker0001_Exchange_Sheet!Q28-#REF!</f>
      </c>
      <c r="R28" s="51" t="e">
        <f>Ticker0001_Exchange_Sheet!R28-#REF!</f>
      </c>
      <c r="S28" s="51" t="e">
        <f>Ticker0001_Exchange_Sheet!S28-#REF!</f>
      </c>
      <c r="T28" s="51" t="e">
        <f>Ticker0001_Exchange_Sheet!T28-#REF!</f>
      </c>
      <c r="U28" s="51" t="e">
        <f>Ticker0001_Exchange_Sheet!U28-#REF!</f>
      </c>
      <c r="V28" s="51" t="e">
        <f>Ticker0001_Exchange_Sheet!V28-#REF!</f>
      </c>
      <c r="W28" s="51" t="e">
        <f>Ticker0001_Exchange_Sheet!W28-#REF!</f>
      </c>
      <c r="X28" s="51" t="e">
        <f>Ticker0001_Exchange_Sheet!AK28-#REF!</f>
      </c>
      <c r="Y28" s="51" t="e">
        <f>Ticker0001_Exchange_Sheet!AX28-#REF!</f>
      </c>
      <c r="Z28" s="51" t="e">
        <f>Ticker0001_Exchange_Sheet!AY28-#REF!</f>
      </c>
      <c r="AA28" s="51" t="e">
        <f>Ticker0001_Exchange_Sheet!AZ28-#REF!</f>
      </c>
      <c r="AB28" s="51" t="e">
        <f>Ticker0001_Exchange_Sheet!BA28-#REF!</f>
      </c>
      <c r="AC28" s="51" t="e">
        <f>Ticker0001_Exchange_Sheet!BB28-#REF!</f>
      </c>
      <c r="AD28" s="51" t="e">
        <f>Ticker0001_Exchange_Sheet!BC28-#REF!</f>
      </c>
      <c r="AE28" s="51" t="e">
        <f>Ticker0001_Exchange_Sheet!BD28-#REF!</f>
      </c>
      <c r="AF28" s="51" t="e">
        <f>Ticker0001_Exchange_Sheet!BE28-#REF!</f>
      </c>
      <c r="AG28" s="51" t="e">
        <f>Ticker0001_Exchange_Sheet!BF28-#REF!</f>
      </c>
      <c r="AH28" s="51" t="e">
        <f>Ticker0001_Exchange_Sheet!BG28-#REF!</f>
      </c>
      <c r="AI28" s="51" t="e">
        <f>Ticker0001_Exchange_Sheet!BH28-#REF!</f>
      </c>
      <c r="AJ28" s="51" t="e">
        <f>Ticker0001_Exchange_Sheet!BI28-#REF!</f>
      </c>
      <c r="AK28" s="51" t="e">
        <f>Ticker0001_Exchange_Sheet!BJ28-#REF!</f>
      </c>
      <c r="AL28" s="51" t="e">
        <f>Ticker0001_Exchange_Sheet!BK28-#REF!</f>
      </c>
      <c r="AM28" s="51" t="e">
        <f>Ticker0001_Exchange_Sheet!BL28-#REF!</f>
      </c>
      <c r="AN28" s="51" t="e">
        <f>Ticker0001_Exchange_Sheet!BM28-#REF!</f>
      </c>
      <c r="AO28" s="51" t="e">
        <f>Ticker0001_Exchange_Sheet!BN28-#REF!</f>
      </c>
      <c r="AP28" s="51" t="e">
        <f>Ticker0001_Exchange_Sheet!BO28-#REF!</f>
      </c>
      <c r="AQ28" s="51" t="e">
        <f>Ticker0001_Exchange_Sheet!BP28-#REF!</f>
      </c>
      <c r="AR28" s="51" t="e">
        <f>Ticker0001_Exchange_Sheet!BQ28-#REF!</f>
      </c>
      <c r="AS28" s="51" t="e">
        <f>Ticker0001_Exchange_Sheet!BR28-#REF!</f>
      </c>
      <c r="AT28" s="51" t="e">
        <f>Ticker0001_Exchange_Sheet!BS28-#REF!</f>
      </c>
      <c r="AU28" s="51" t="e">
        <f>Ticker0001_Exchange_Sheet!BT28-#REF!</f>
      </c>
      <c r="AV28" s="51" t="e">
        <f>Ticker0001_Exchange_Sheet!BU28-#REF!</f>
      </c>
      <c r="AW28" s="51" t="e">
        <f>Ticker0001_Exchange_Sheet!BV28-#REF!</f>
      </c>
      <c r="AX28" s="51" t="e">
        <f>Ticker0001_Exchange_Sheet!BW28-#REF!</f>
      </c>
      <c r="AY28" s="51" t="e">
        <f>Ticker0001_Exchange_Sheet!BX28-#REF!</f>
      </c>
      <c r="AZ28" s="51" t="e">
        <f>Ticker0001_Exchange_Sheet!BY28-#REF!</f>
      </c>
      <c r="BA28" s="51" t="e">
        <f>Ticker0001_Exchange_Sheet!BZ28-#REF!</f>
      </c>
      <c r="BB28" s="51" t="e">
        <f>Ticker0001_Exchange_Sheet!CA28-#REF!</f>
      </c>
      <c r="BC28" s="51" t="e">
        <f>Ticker0001_Exchange_Sheet!CB28-#REF!</f>
      </c>
      <c r="BD28" s="51" t="e">
        <f>Ticker0001_Exchange_Sheet!CC28-#REF!</f>
      </c>
      <c r="BE28" s="51" t="e">
        <f>Ticker0001_Exchange_Sheet!CD28-#REF!</f>
      </c>
      <c r="BF28" s="51" t="e">
        <f>Ticker0001_Exchange_Sheet!CE28-#REF!</f>
      </c>
      <c r="BG28" s="51" t="e">
        <f>Ticker0001_Exchange_Sheet!CF28-#REF!</f>
      </c>
      <c r="BH28" s="51" t="e">
        <f>Ticker0001_Exchange_Sheet!CG28-#REF!</f>
      </c>
      <c r="BI28" s="51" t="e">
        <f>Ticker0001_Exchange_Sheet!CH28-#REF!</f>
      </c>
      <c r="BJ28" s="51" t="e">
        <f>Ticker0001_Exchange_Sheet!CI28-#REF!</f>
      </c>
      <c r="BK28" s="51" t="e">
        <f>Ticker0001_Exchange_Sheet!CJ28-#REF!</f>
      </c>
      <c r="BL28" s="51" t="e">
        <f>Ticker0001_Exchange_Sheet!CK28-#REF!</f>
      </c>
      <c r="BM28" s="51" t="e">
        <f>Ticker0001_Exchange_Sheet!CL28-#REF!</f>
      </c>
      <c r="BN28" s="51" t="e">
        <f>Ticker0001_Exchange_Sheet!CM28-#REF!</f>
      </c>
      <c r="BO28" s="51" t="e">
        <f>Ticker0001_Exchange_Sheet!CN28-#REF!</f>
      </c>
      <c r="BP28" s="51" t="e">
        <f>Ticker0001_Exchange_Sheet!CO28-#REF!</f>
      </c>
      <c r="BQ28" s="51" t="e">
        <f>Ticker0001_Exchange_Sheet!CP28-#REF!</f>
      </c>
      <c r="BR28" s="51" t="e">
        <f>Ticker0001_Exchange_Sheet!CQ28-#REF!</f>
      </c>
      <c r="BS28" s="51" t="e">
        <f>Ticker0001_Exchange_Sheet!CR28-#REF!</f>
      </c>
      <c r="BT28" s="51" t="e">
        <f>Ticker0001_Exchange_Sheet!CS28-#REF!</f>
      </c>
      <c r="BU28" s="51" t="e">
        <f>Ticker0001_Exchange_Sheet!CT28-#REF!</f>
      </c>
      <c r="BV28" s="51" t="e">
        <f>Ticker0001_Exchange_Sheet!CU28-#REF!</f>
      </c>
      <c r="BW28" s="51" t="e">
        <f>Ticker0001_Exchange_Sheet!CV28-#REF!</f>
      </c>
      <c r="BX28" s="51" t="e">
        <f>Ticker0001_Exchange_Sheet!CW28-#REF!</f>
      </c>
      <c r="BY28" s="51" t="e">
        <f>Ticker0001_Exchange_Sheet!CX28-#REF!</f>
      </c>
      <c r="BZ28" s="51" t="e">
        <f>Ticker0001_Exchange_Sheet!CY28-#REF!</f>
      </c>
      <c r="CA28" s="51" t="e">
        <f>Ticker0001_Exchange_Sheet!CZ28-#REF!</f>
      </c>
      <c r="CB28" s="51" t="e">
        <f>Ticker0001_Exchange_Sheet!DA28-#REF!</f>
      </c>
      <c r="CC28" s="51" t="e">
        <f>Ticker0001_Exchange_Sheet!DB28-#REF!</f>
      </c>
      <c r="CD28" s="51" t="e">
        <f>Ticker0001_Exchange_Sheet!DC28-#REF!</f>
      </c>
      <c r="CE28" s="51" t="e">
        <f>Ticker0001_Exchange_Sheet!DD28-#REF!</f>
      </c>
      <c r="CF28" s="51" t="e">
        <f>Ticker0001_Exchange_Sheet!DE28-#REF!</f>
      </c>
    </row>
    <row r="29" spans="6:84">
      <c r="F29" s="51" t="e">
        <f>Ticker0001_Exchange_Sheet!F29-#REF!</f>
      </c>
      <c r="G29" s="51" t="e">
        <f>Ticker0001_Exchange_Sheet!G29-#REF!</f>
      </c>
      <c r="H29" s="51" t="e">
        <f>Ticker0001_Exchange_Sheet!H29-#REF!</f>
      </c>
      <c r="I29" s="51" t="e">
        <f>Ticker0001_Exchange_Sheet!I29-#REF!</f>
      </c>
      <c r="J29" s="51" t="e">
        <f>Ticker0001_Exchange_Sheet!J29-#REF!</f>
      </c>
      <c r="K29" s="51" t="e">
        <f>Ticker0001_Exchange_Sheet!K29-#REF!</f>
      </c>
      <c r="L29" s="51" t="e">
        <f>Ticker0001_Exchange_Sheet!L29-#REF!</f>
      </c>
      <c r="M29" s="51" t="e">
        <f>Ticker0001_Exchange_Sheet!M29-#REF!</f>
      </c>
      <c r="N29" s="51" t="e">
        <f>Ticker0001_Exchange_Sheet!N29-#REF!</f>
      </c>
      <c r="O29" s="51" t="e">
        <f>Ticker0001_Exchange_Sheet!O29-#REF!</f>
      </c>
      <c r="P29" s="51" t="e">
        <f>Ticker0001_Exchange_Sheet!P29-#REF!</f>
      </c>
      <c r="Q29" s="51" t="e">
        <f>Ticker0001_Exchange_Sheet!Q29-#REF!</f>
      </c>
      <c r="R29" s="51" t="e">
        <f>Ticker0001_Exchange_Sheet!R29-#REF!</f>
      </c>
      <c r="S29" s="51" t="e">
        <f>Ticker0001_Exchange_Sheet!S29-#REF!</f>
      </c>
      <c r="T29" s="51" t="e">
        <f>Ticker0001_Exchange_Sheet!T29-#REF!</f>
      </c>
      <c r="U29" s="51" t="e">
        <f>Ticker0001_Exchange_Sheet!U29-#REF!</f>
      </c>
      <c r="V29" s="51" t="e">
        <f>Ticker0001_Exchange_Sheet!V29-#REF!</f>
      </c>
      <c r="W29" s="51" t="e">
        <f>Ticker0001_Exchange_Sheet!W29-#REF!</f>
      </c>
      <c r="X29" s="51" t="e">
        <f>Ticker0001_Exchange_Sheet!AK29-#REF!</f>
      </c>
      <c r="Y29" s="51" t="e">
        <f>Ticker0001_Exchange_Sheet!AX29-#REF!</f>
      </c>
      <c r="Z29" s="51" t="e">
        <f>Ticker0001_Exchange_Sheet!AY29-#REF!</f>
      </c>
      <c r="AA29" s="51" t="e">
        <f>Ticker0001_Exchange_Sheet!AZ29-#REF!</f>
      </c>
      <c r="AB29" s="51" t="e">
        <f>Ticker0001_Exchange_Sheet!BA29-#REF!</f>
      </c>
      <c r="AC29" s="51" t="e">
        <f>Ticker0001_Exchange_Sheet!BB29-#REF!</f>
      </c>
      <c r="AD29" s="51" t="e">
        <f>Ticker0001_Exchange_Sheet!BC29-#REF!</f>
      </c>
      <c r="AE29" s="51" t="e">
        <f>Ticker0001_Exchange_Sheet!BD29-#REF!</f>
      </c>
      <c r="AF29" s="51" t="e">
        <f>Ticker0001_Exchange_Sheet!BE29-#REF!</f>
      </c>
      <c r="AG29" s="51" t="e">
        <f>Ticker0001_Exchange_Sheet!BF29-#REF!</f>
      </c>
      <c r="AH29" s="51" t="e">
        <f>Ticker0001_Exchange_Sheet!BG29-#REF!</f>
      </c>
      <c r="AI29" s="51" t="e">
        <f>Ticker0001_Exchange_Sheet!BH29-#REF!</f>
      </c>
      <c r="AJ29" s="51" t="e">
        <f>Ticker0001_Exchange_Sheet!BI29-#REF!</f>
      </c>
      <c r="AK29" s="51" t="e">
        <f>Ticker0001_Exchange_Sheet!BJ29-#REF!</f>
      </c>
      <c r="AL29" s="51" t="e">
        <f>Ticker0001_Exchange_Sheet!BK29-#REF!</f>
      </c>
      <c r="AM29" s="51" t="e">
        <f>Ticker0001_Exchange_Sheet!BL29-#REF!</f>
      </c>
      <c r="AN29" s="51" t="e">
        <f>Ticker0001_Exchange_Sheet!BM29-#REF!</f>
      </c>
      <c r="AO29" s="51" t="e">
        <f>Ticker0001_Exchange_Sheet!BN29-#REF!</f>
      </c>
      <c r="AP29" s="51" t="e">
        <f>Ticker0001_Exchange_Sheet!BO29-#REF!</f>
      </c>
      <c r="AQ29" s="51" t="e">
        <f>Ticker0001_Exchange_Sheet!BP29-#REF!</f>
      </c>
      <c r="AR29" s="51" t="e">
        <f>Ticker0001_Exchange_Sheet!BQ29-#REF!</f>
      </c>
      <c r="AS29" s="51" t="e">
        <f>Ticker0001_Exchange_Sheet!BR29-#REF!</f>
      </c>
      <c r="AT29" s="51" t="e">
        <f>Ticker0001_Exchange_Sheet!BS29-#REF!</f>
      </c>
      <c r="AU29" s="51" t="e">
        <f>Ticker0001_Exchange_Sheet!BT29-#REF!</f>
      </c>
      <c r="AV29" s="51" t="e">
        <f>Ticker0001_Exchange_Sheet!BU29-#REF!</f>
      </c>
      <c r="AW29" s="51" t="e">
        <f>Ticker0001_Exchange_Sheet!BV29-#REF!</f>
      </c>
      <c r="AX29" s="51" t="e">
        <f>Ticker0001_Exchange_Sheet!BW29-#REF!</f>
      </c>
      <c r="AY29" s="51" t="e">
        <f>Ticker0001_Exchange_Sheet!BX29-#REF!</f>
      </c>
      <c r="AZ29" s="51" t="e">
        <f>Ticker0001_Exchange_Sheet!BY29-#REF!</f>
      </c>
      <c r="BA29" s="51" t="e">
        <f>Ticker0001_Exchange_Sheet!BZ29-#REF!</f>
      </c>
      <c r="BB29" s="51" t="e">
        <f>Ticker0001_Exchange_Sheet!CA29-#REF!</f>
      </c>
      <c r="BC29" s="51" t="e">
        <f>Ticker0001_Exchange_Sheet!CB29-#REF!</f>
      </c>
      <c r="BD29" s="51" t="e">
        <f>Ticker0001_Exchange_Sheet!CC29-#REF!</f>
      </c>
      <c r="BE29" s="51" t="e">
        <f>Ticker0001_Exchange_Sheet!CD29-#REF!</f>
      </c>
      <c r="BF29" s="51" t="e">
        <f>Ticker0001_Exchange_Sheet!CE29-#REF!</f>
      </c>
      <c r="BG29" s="51" t="e">
        <f>Ticker0001_Exchange_Sheet!CF29-#REF!</f>
      </c>
      <c r="BH29" s="51" t="e">
        <f>Ticker0001_Exchange_Sheet!CG29-#REF!</f>
      </c>
      <c r="BI29" s="51" t="e">
        <f>Ticker0001_Exchange_Sheet!CH29-#REF!</f>
      </c>
      <c r="BJ29" s="51" t="e">
        <f>Ticker0001_Exchange_Sheet!CI29-#REF!</f>
      </c>
      <c r="BK29" s="51" t="e">
        <f>Ticker0001_Exchange_Sheet!CJ29-#REF!</f>
      </c>
      <c r="BL29" s="51" t="e">
        <f>Ticker0001_Exchange_Sheet!CK29-#REF!</f>
      </c>
      <c r="BM29" s="51" t="e">
        <f>Ticker0001_Exchange_Sheet!CL29-#REF!</f>
      </c>
      <c r="BN29" s="51" t="e">
        <f>Ticker0001_Exchange_Sheet!CM29-#REF!</f>
      </c>
      <c r="BO29" s="51" t="e">
        <f>Ticker0001_Exchange_Sheet!CN29-#REF!</f>
      </c>
      <c r="BP29" s="51" t="e">
        <f>Ticker0001_Exchange_Sheet!CO29-#REF!</f>
      </c>
      <c r="BQ29" s="51" t="e">
        <f>Ticker0001_Exchange_Sheet!CP29-#REF!</f>
      </c>
      <c r="BR29" s="51" t="e">
        <f>Ticker0001_Exchange_Sheet!CQ29-#REF!</f>
      </c>
      <c r="BS29" s="51" t="e">
        <f>Ticker0001_Exchange_Sheet!CR29-#REF!</f>
      </c>
      <c r="BT29" s="51" t="e">
        <f>Ticker0001_Exchange_Sheet!CS29-#REF!</f>
      </c>
      <c r="BU29" s="51" t="e">
        <f>Ticker0001_Exchange_Sheet!CT29-#REF!</f>
      </c>
      <c r="BV29" s="51" t="e">
        <f>Ticker0001_Exchange_Sheet!CU29-#REF!</f>
      </c>
      <c r="BW29" s="51" t="e">
        <f>Ticker0001_Exchange_Sheet!CV29-#REF!</f>
      </c>
      <c r="BX29" s="51" t="e">
        <f>Ticker0001_Exchange_Sheet!CW29-#REF!</f>
      </c>
      <c r="BY29" s="51" t="e">
        <f>Ticker0001_Exchange_Sheet!CX29-#REF!</f>
      </c>
      <c r="BZ29" s="51" t="e">
        <f>Ticker0001_Exchange_Sheet!CY29-#REF!</f>
      </c>
      <c r="CA29" s="51" t="e">
        <f>Ticker0001_Exchange_Sheet!CZ29-#REF!</f>
      </c>
      <c r="CB29" s="51" t="e">
        <f>Ticker0001_Exchange_Sheet!DA29-#REF!</f>
      </c>
      <c r="CC29" s="51" t="e">
        <f>Ticker0001_Exchange_Sheet!DB29-#REF!</f>
      </c>
      <c r="CD29" s="51" t="e">
        <f>Ticker0001_Exchange_Sheet!DC29-#REF!</f>
      </c>
      <c r="CE29" s="51" t="e">
        <f>Ticker0001_Exchange_Sheet!DD29-#REF!</f>
      </c>
      <c r="CF29" s="51" t="e">
        <f>Ticker0001_Exchange_Sheet!DE29-#REF!</f>
      </c>
    </row>
    <row r="30" spans="6:84">
      <c r="F30" s="51" t="e">
        <f>Ticker0001_Exchange_Sheet!F30-#REF!</f>
      </c>
      <c r="G30" s="51" t="e">
        <f>Ticker0001_Exchange_Sheet!G30-#REF!</f>
      </c>
      <c r="H30" s="51" t="e">
        <f>Ticker0001_Exchange_Sheet!H30-#REF!</f>
      </c>
      <c r="I30" s="51" t="e">
        <f>Ticker0001_Exchange_Sheet!I30-#REF!</f>
      </c>
      <c r="J30" s="51" t="e">
        <f>Ticker0001_Exchange_Sheet!J30-#REF!</f>
      </c>
      <c r="K30" s="51" t="e">
        <f>Ticker0001_Exchange_Sheet!K30-#REF!</f>
      </c>
      <c r="L30" s="51" t="e">
        <f>Ticker0001_Exchange_Sheet!L30-#REF!</f>
      </c>
      <c r="M30" s="51" t="e">
        <f>Ticker0001_Exchange_Sheet!M30-#REF!</f>
      </c>
      <c r="N30" s="51" t="e">
        <f>Ticker0001_Exchange_Sheet!N30-#REF!</f>
      </c>
      <c r="O30" s="51" t="e">
        <f>Ticker0001_Exchange_Sheet!O30-#REF!</f>
      </c>
      <c r="P30" s="51" t="e">
        <f>Ticker0001_Exchange_Sheet!P30-#REF!</f>
      </c>
      <c r="Q30" s="51" t="e">
        <f>Ticker0001_Exchange_Sheet!Q30-#REF!</f>
      </c>
      <c r="R30" s="51" t="e">
        <f>Ticker0001_Exchange_Sheet!R30-#REF!</f>
      </c>
      <c r="S30" s="51" t="e">
        <f>Ticker0001_Exchange_Sheet!S30-#REF!</f>
      </c>
      <c r="T30" s="51" t="e">
        <f>Ticker0001_Exchange_Sheet!T30-#REF!</f>
      </c>
      <c r="U30" s="51" t="e">
        <f>Ticker0001_Exchange_Sheet!U30-#REF!</f>
      </c>
      <c r="V30" s="51" t="e">
        <f>Ticker0001_Exchange_Sheet!V30-#REF!</f>
      </c>
      <c r="W30" s="51" t="e">
        <f>Ticker0001_Exchange_Sheet!W30-#REF!</f>
      </c>
      <c r="X30" s="51" t="e">
        <f>Ticker0001_Exchange_Sheet!AK30-#REF!</f>
      </c>
      <c r="Y30" s="51" t="e">
        <f>Ticker0001_Exchange_Sheet!AX30-#REF!</f>
      </c>
      <c r="Z30" s="51" t="e">
        <f>Ticker0001_Exchange_Sheet!AY30-#REF!</f>
      </c>
      <c r="AA30" s="51" t="e">
        <f>Ticker0001_Exchange_Sheet!AZ30-#REF!</f>
      </c>
      <c r="AB30" s="51" t="e">
        <f>Ticker0001_Exchange_Sheet!BA30-#REF!</f>
      </c>
      <c r="AC30" s="51" t="e">
        <f>Ticker0001_Exchange_Sheet!BB30-#REF!</f>
      </c>
      <c r="AD30" s="51" t="e">
        <f>Ticker0001_Exchange_Sheet!BC30-#REF!</f>
      </c>
      <c r="AE30" s="51" t="e">
        <f>Ticker0001_Exchange_Sheet!BD30-#REF!</f>
      </c>
      <c r="AF30" s="51" t="e">
        <f>Ticker0001_Exchange_Sheet!BE30-#REF!</f>
      </c>
      <c r="AG30" s="51" t="e">
        <f>Ticker0001_Exchange_Sheet!BF30-#REF!</f>
      </c>
      <c r="AH30" s="51" t="e">
        <f>Ticker0001_Exchange_Sheet!BG30-#REF!</f>
      </c>
      <c r="AI30" s="51" t="e">
        <f>Ticker0001_Exchange_Sheet!BH30-#REF!</f>
      </c>
      <c r="AJ30" s="51" t="e">
        <f>Ticker0001_Exchange_Sheet!BI30-#REF!</f>
      </c>
      <c r="AK30" s="51" t="e">
        <f>Ticker0001_Exchange_Sheet!BJ30-#REF!</f>
      </c>
      <c r="AL30" s="51" t="e">
        <f>Ticker0001_Exchange_Sheet!BK30-#REF!</f>
      </c>
      <c r="AM30" s="51" t="e">
        <f>Ticker0001_Exchange_Sheet!BL30-#REF!</f>
      </c>
      <c r="AN30" s="51" t="e">
        <f>Ticker0001_Exchange_Sheet!BM30-#REF!</f>
      </c>
      <c r="AO30" s="51" t="e">
        <f>Ticker0001_Exchange_Sheet!BN30-#REF!</f>
      </c>
      <c r="AP30" s="51" t="e">
        <f>Ticker0001_Exchange_Sheet!BO30-#REF!</f>
      </c>
      <c r="AQ30" s="51" t="e">
        <f>Ticker0001_Exchange_Sheet!BP30-#REF!</f>
      </c>
      <c r="AR30" s="51" t="e">
        <f>Ticker0001_Exchange_Sheet!BQ30-#REF!</f>
      </c>
      <c r="AS30" s="51" t="e">
        <f>Ticker0001_Exchange_Sheet!BR30-#REF!</f>
      </c>
      <c r="AT30" s="51" t="e">
        <f>Ticker0001_Exchange_Sheet!BS30-#REF!</f>
      </c>
      <c r="AU30" s="51" t="e">
        <f>Ticker0001_Exchange_Sheet!BT30-#REF!</f>
      </c>
      <c r="AV30" s="51" t="e">
        <f>Ticker0001_Exchange_Sheet!BU30-#REF!</f>
      </c>
      <c r="AW30" s="51" t="e">
        <f>Ticker0001_Exchange_Sheet!BV30-#REF!</f>
      </c>
      <c r="AX30" s="51" t="e">
        <f>Ticker0001_Exchange_Sheet!BW30-#REF!</f>
      </c>
      <c r="AY30" s="51" t="e">
        <f>Ticker0001_Exchange_Sheet!BX30-#REF!</f>
      </c>
      <c r="AZ30" s="51" t="e">
        <f>Ticker0001_Exchange_Sheet!BY30-#REF!</f>
      </c>
      <c r="BA30" s="51" t="e">
        <f>Ticker0001_Exchange_Sheet!BZ30-#REF!</f>
      </c>
      <c r="BB30" s="51" t="e">
        <f>Ticker0001_Exchange_Sheet!CA30-#REF!</f>
      </c>
      <c r="BC30" s="51" t="e">
        <f>Ticker0001_Exchange_Sheet!CB30-#REF!</f>
      </c>
      <c r="BD30" s="51" t="e">
        <f>Ticker0001_Exchange_Sheet!CC30-#REF!</f>
      </c>
      <c r="BE30" s="51" t="e">
        <f>Ticker0001_Exchange_Sheet!CD30-#REF!</f>
      </c>
      <c r="BF30" s="51" t="e">
        <f>Ticker0001_Exchange_Sheet!CE30-#REF!</f>
      </c>
      <c r="BG30" s="51" t="e">
        <f>Ticker0001_Exchange_Sheet!CF30-#REF!</f>
      </c>
      <c r="BH30" s="51" t="e">
        <f>Ticker0001_Exchange_Sheet!CG30-#REF!</f>
      </c>
      <c r="BI30" s="51" t="e">
        <f>Ticker0001_Exchange_Sheet!CH30-#REF!</f>
      </c>
      <c r="BJ30" s="51" t="e">
        <f>Ticker0001_Exchange_Sheet!CI30-#REF!</f>
      </c>
      <c r="BK30" s="51" t="e">
        <f>Ticker0001_Exchange_Sheet!CJ30-#REF!</f>
      </c>
      <c r="BL30" s="51" t="e">
        <f>Ticker0001_Exchange_Sheet!CK30-#REF!</f>
      </c>
      <c r="BM30" s="51" t="e">
        <f>Ticker0001_Exchange_Sheet!CL30-#REF!</f>
      </c>
      <c r="BN30" s="51" t="e">
        <f>Ticker0001_Exchange_Sheet!CM30-#REF!</f>
      </c>
      <c r="BO30" s="51" t="e">
        <f>Ticker0001_Exchange_Sheet!CN30-#REF!</f>
      </c>
      <c r="BP30" s="51" t="e">
        <f>Ticker0001_Exchange_Sheet!CO30-#REF!</f>
      </c>
      <c r="BQ30" s="51" t="e">
        <f>Ticker0001_Exchange_Sheet!CP30-#REF!</f>
      </c>
      <c r="BR30" s="51" t="e">
        <f>Ticker0001_Exchange_Sheet!CQ30-#REF!</f>
      </c>
      <c r="BS30" s="51" t="e">
        <f>Ticker0001_Exchange_Sheet!CR30-#REF!</f>
      </c>
      <c r="BT30" s="51" t="e">
        <f>Ticker0001_Exchange_Sheet!CS30-#REF!</f>
      </c>
      <c r="BU30" s="51" t="e">
        <f>Ticker0001_Exchange_Sheet!CT30-#REF!</f>
      </c>
      <c r="BV30" s="51" t="e">
        <f>Ticker0001_Exchange_Sheet!CU30-#REF!</f>
      </c>
      <c r="BW30" s="51" t="e">
        <f>Ticker0001_Exchange_Sheet!CV30-#REF!</f>
      </c>
      <c r="BX30" s="51" t="e">
        <f>Ticker0001_Exchange_Sheet!CW30-#REF!</f>
      </c>
      <c r="BY30" s="51" t="e">
        <f>Ticker0001_Exchange_Sheet!CX30-#REF!</f>
      </c>
      <c r="BZ30" s="51" t="e">
        <f>Ticker0001_Exchange_Sheet!CY30-#REF!</f>
      </c>
      <c r="CA30" s="51" t="e">
        <f>Ticker0001_Exchange_Sheet!CZ30-#REF!</f>
      </c>
      <c r="CB30" s="51" t="e">
        <f>Ticker0001_Exchange_Sheet!DA30-#REF!</f>
      </c>
      <c r="CC30" s="51" t="e">
        <f>Ticker0001_Exchange_Sheet!DB30-#REF!</f>
      </c>
      <c r="CD30" s="51" t="e">
        <f>Ticker0001_Exchange_Sheet!DC30-#REF!</f>
      </c>
      <c r="CE30" s="51" t="e">
        <f>Ticker0001_Exchange_Sheet!DD30-#REF!</f>
      </c>
      <c r="CF30" s="51" t="e">
        <f>Ticker0001_Exchange_Sheet!DE30-#REF!</f>
      </c>
    </row>
    <row r="31" spans="6:84">
      <c r="F31" s="51" t="e">
        <f>Ticker0001_Exchange_Sheet!F31-#REF!</f>
      </c>
      <c r="G31" s="51" t="e">
        <f>Ticker0001_Exchange_Sheet!G31-#REF!</f>
      </c>
      <c r="H31" s="51" t="e">
        <f>Ticker0001_Exchange_Sheet!H31-#REF!</f>
      </c>
      <c r="I31" s="51" t="e">
        <f>Ticker0001_Exchange_Sheet!I31-#REF!</f>
      </c>
      <c r="J31" s="51" t="e">
        <f>Ticker0001_Exchange_Sheet!J31-#REF!</f>
      </c>
      <c r="K31" s="51" t="e">
        <f>Ticker0001_Exchange_Sheet!K31-#REF!</f>
      </c>
      <c r="L31" s="51" t="e">
        <f>Ticker0001_Exchange_Sheet!L31-#REF!</f>
      </c>
      <c r="M31" s="51" t="e">
        <f>Ticker0001_Exchange_Sheet!M31-#REF!</f>
      </c>
      <c r="N31" s="51" t="e">
        <f>Ticker0001_Exchange_Sheet!N31-#REF!</f>
      </c>
      <c r="O31" s="51" t="e">
        <f>Ticker0001_Exchange_Sheet!O31-#REF!</f>
      </c>
      <c r="P31" s="51" t="e">
        <f>Ticker0001_Exchange_Sheet!P31-#REF!</f>
      </c>
      <c r="Q31" s="51" t="e">
        <f>Ticker0001_Exchange_Sheet!Q31-#REF!</f>
      </c>
      <c r="R31" s="51" t="e">
        <f>Ticker0001_Exchange_Sheet!R31-#REF!</f>
      </c>
      <c r="S31" s="51" t="e">
        <f>Ticker0001_Exchange_Sheet!S31-#REF!</f>
      </c>
      <c r="T31" s="51" t="e">
        <f>Ticker0001_Exchange_Sheet!T31-#REF!</f>
      </c>
      <c r="U31" s="51" t="e">
        <f>Ticker0001_Exchange_Sheet!U31-#REF!</f>
      </c>
      <c r="V31" s="51" t="e">
        <f>Ticker0001_Exchange_Sheet!V31-#REF!</f>
      </c>
      <c r="W31" s="51" t="e">
        <f>Ticker0001_Exchange_Sheet!W31-#REF!</f>
      </c>
      <c r="X31" s="51" t="e">
        <f>Ticker0001_Exchange_Sheet!AK31-#REF!</f>
      </c>
      <c r="Y31" s="51" t="e">
        <f>Ticker0001_Exchange_Sheet!AX31-#REF!</f>
      </c>
      <c r="Z31" s="51" t="e">
        <f>Ticker0001_Exchange_Sheet!AY31-#REF!</f>
      </c>
      <c r="AA31" s="51" t="e">
        <f>Ticker0001_Exchange_Sheet!AZ31-#REF!</f>
      </c>
      <c r="AB31" s="51" t="e">
        <f>Ticker0001_Exchange_Sheet!BA31-#REF!</f>
      </c>
      <c r="AC31" s="51" t="e">
        <f>Ticker0001_Exchange_Sheet!BB31-#REF!</f>
      </c>
      <c r="AD31" s="51" t="e">
        <f>Ticker0001_Exchange_Sheet!BC31-#REF!</f>
      </c>
      <c r="AE31" s="51" t="e">
        <f>Ticker0001_Exchange_Sheet!BD31-#REF!</f>
      </c>
      <c r="AF31" s="51" t="e">
        <f>Ticker0001_Exchange_Sheet!BE31-#REF!</f>
      </c>
      <c r="AG31" s="51" t="e">
        <f>Ticker0001_Exchange_Sheet!BF31-#REF!</f>
      </c>
      <c r="AH31" s="51" t="e">
        <f>Ticker0001_Exchange_Sheet!BG31-#REF!</f>
      </c>
      <c r="AI31" s="51" t="e">
        <f>Ticker0001_Exchange_Sheet!BH31-#REF!</f>
      </c>
      <c r="AJ31" s="51" t="e">
        <f>Ticker0001_Exchange_Sheet!BI31-#REF!</f>
      </c>
      <c r="AK31" s="51" t="e">
        <f>Ticker0001_Exchange_Sheet!BJ31-#REF!</f>
      </c>
      <c r="AL31" s="51" t="e">
        <f>Ticker0001_Exchange_Sheet!BK31-#REF!</f>
      </c>
      <c r="AM31" s="51" t="e">
        <f>Ticker0001_Exchange_Sheet!BL31-#REF!</f>
      </c>
      <c r="AN31" s="51" t="e">
        <f>Ticker0001_Exchange_Sheet!BM31-#REF!</f>
      </c>
      <c r="AO31" s="51" t="e">
        <f>Ticker0001_Exchange_Sheet!BN31-#REF!</f>
      </c>
      <c r="AP31" s="51" t="e">
        <f>Ticker0001_Exchange_Sheet!BO31-#REF!</f>
      </c>
      <c r="AQ31" s="51" t="e">
        <f>Ticker0001_Exchange_Sheet!BP31-#REF!</f>
      </c>
      <c r="AR31" s="51" t="e">
        <f>Ticker0001_Exchange_Sheet!BQ31-#REF!</f>
      </c>
      <c r="AS31" s="51" t="e">
        <f>Ticker0001_Exchange_Sheet!BR31-#REF!</f>
      </c>
      <c r="AT31" s="51" t="e">
        <f>Ticker0001_Exchange_Sheet!BS31-#REF!</f>
      </c>
      <c r="AU31" s="51" t="e">
        <f>Ticker0001_Exchange_Sheet!BT31-#REF!</f>
      </c>
      <c r="AV31" s="51" t="e">
        <f>Ticker0001_Exchange_Sheet!BU31-#REF!</f>
      </c>
      <c r="AW31" s="51" t="e">
        <f>Ticker0001_Exchange_Sheet!BV31-#REF!</f>
      </c>
      <c r="AX31" s="51" t="e">
        <f>Ticker0001_Exchange_Sheet!BW31-#REF!</f>
      </c>
      <c r="AY31" s="51" t="e">
        <f>Ticker0001_Exchange_Sheet!BX31-#REF!</f>
      </c>
      <c r="AZ31" s="51" t="e">
        <f>Ticker0001_Exchange_Sheet!BY31-#REF!</f>
      </c>
      <c r="BA31" s="51" t="e">
        <f>Ticker0001_Exchange_Sheet!BZ31-#REF!</f>
      </c>
      <c r="BB31" s="51" t="e">
        <f>Ticker0001_Exchange_Sheet!CA31-#REF!</f>
      </c>
      <c r="BC31" s="51" t="e">
        <f>Ticker0001_Exchange_Sheet!CB31-#REF!</f>
      </c>
      <c r="BD31" s="51" t="e">
        <f>Ticker0001_Exchange_Sheet!CC31-#REF!</f>
      </c>
      <c r="BE31" s="51" t="e">
        <f>Ticker0001_Exchange_Sheet!CD31-#REF!</f>
      </c>
      <c r="BF31" s="51" t="e">
        <f>Ticker0001_Exchange_Sheet!CE31-#REF!</f>
      </c>
      <c r="BG31" s="51" t="e">
        <f>Ticker0001_Exchange_Sheet!CF31-#REF!</f>
      </c>
      <c r="BH31" s="51" t="e">
        <f>Ticker0001_Exchange_Sheet!CG31-#REF!</f>
      </c>
      <c r="BI31" s="51" t="e">
        <f>Ticker0001_Exchange_Sheet!CH31-#REF!</f>
      </c>
      <c r="BJ31" s="51" t="e">
        <f>Ticker0001_Exchange_Sheet!CI31-#REF!</f>
      </c>
      <c r="BK31" s="51" t="e">
        <f>Ticker0001_Exchange_Sheet!CJ31-#REF!</f>
      </c>
      <c r="BL31" s="51" t="e">
        <f>Ticker0001_Exchange_Sheet!CK31-#REF!</f>
      </c>
      <c r="BM31" s="51" t="e">
        <f>Ticker0001_Exchange_Sheet!CL31-#REF!</f>
      </c>
      <c r="BN31" s="51" t="e">
        <f>Ticker0001_Exchange_Sheet!CM31-#REF!</f>
      </c>
      <c r="BO31" s="51" t="e">
        <f>Ticker0001_Exchange_Sheet!CN31-#REF!</f>
      </c>
      <c r="BP31" s="51" t="e">
        <f>Ticker0001_Exchange_Sheet!CO31-#REF!</f>
      </c>
      <c r="BQ31" s="51" t="e">
        <f>Ticker0001_Exchange_Sheet!CP31-#REF!</f>
      </c>
      <c r="BR31" s="51" t="e">
        <f>Ticker0001_Exchange_Sheet!CQ31-#REF!</f>
      </c>
      <c r="BS31" s="51" t="e">
        <f>Ticker0001_Exchange_Sheet!CR31-#REF!</f>
      </c>
      <c r="BT31" s="51" t="e">
        <f>Ticker0001_Exchange_Sheet!CS31-#REF!</f>
      </c>
      <c r="BU31" s="51" t="e">
        <f>Ticker0001_Exchange_Sheet!CT31-#REF!</f>
      </c>
      <c r="BV31" s="51" t="e">
        <f>Ticker0001_Exchange_Sheet!CU31-#REF!</f>
      </c>
      <c r="BW31" s="51" t="e">
        <f>Ticker0001_Exchange_Sheet!CV31-#REF!</f>
      </c>
      <c r="BX31" s="51" t="e">
        <f>Ticker0001_Exchange_Sheet!CW31-#REF!</f>
      </c>
      <c r="BY31" s="51" t="e">
        <f>Ticker0001_Exchange_Sheet!CX31-#REF!</f>
      </c>
      <c r="BZ31" s="51" t="e">
        <f>Ticker0001_Exchange_Sheet!CY31-#REF!</f>
      </c>
      <c r="CA31" s="51" t="e">
        <f>Ticker0001_Exchange_Sheet!CZ31-#REF!</f>
      </c>
      <c r="CB31" s="51" t="e">
        <f>Ticker0001_Exchange_Sheet!DA31-#REF!</f>
      </c>
      <c r="CC31" s="51" t="e">
        <f>Ticker0001_Exchange_Sheet!DB31-#REF!</f>
      </c>
      <c r="CD31" s="51" t="e">
        <f>Ticker0001_Exchange_Sheet!DC31-#REF!</f>
      </c>
      <c r="CE31" s="51" t="e">
        <f>Ticker0001_Exchange_Sheet!DD31-#REF!</f>
      </c>
      <c r="CF31" s="51" t="e">
        <f>Ticker0001_Exchange_Sheet!DE31-#REF!</f>
      </c>
    </row>
    <row r="32" spans="6:84">
      <c r="F32" s="51" t="e">
        <f>Ticker0001_Exchange_Sheet!#REF!-#REF!</f>
      </c>
      <c r="G32" s="51" t="e">
        <f>Ticker0001_Exchange_Sheet!#REF!-#REF!</f>
      </c>
      <c r="H32" s="51" t="e">
        <f>Ticker0001_Exchange_Sheet!#REF!-#REF!</f>
      </c>
      <c r="I32" s="51" t="e">
        <f>Ticker0001_Exchange_Sheet!#REF!-#REF!</f>
      </c>
      <c r="J32" s="51" t="e">
        <f>Ticker0001_Exchange_Sheet!#REF!-#REF!</f>
      </c>
      <c r="K32" s="51" t="e">
        <f>Ticker0001_Exchange_Sheet!#REF!-#REF!</f>
      </c>
      <c r="L32" s="51" t="e">
        <f>Ticker0001_Exchange_Sheet!#REF!-#REF!</f>
      </c>
      <c r="M32" s="51" t="e">
        <f>Ticker0001_Exchange_Sheet!#REF!-#REF!</f>
      </c>
      <c r="N32" s="51" t="e">
        <f>Ticker0001_Exchange_Sheet!#REF!-#REF!</f>
      </c>
      <c r="O32" s="51" t="e">
        <f>Ticker0001_Exchange_Sheet!#REF!-#REF!</f>
      </c>
      <c r="P32" s="51" t="e">
        <f>Ticker0001_Exchange_Sheet!#REF!-#REF!</f>
      </c>
      <c r="Q32" s="51" t="e">
        <f>Ticker0001_Exchange_Sheet!#REF!-#REF!</f>
      </c>
      <c r="R32" s="51" t="e">
        <f>Ticker0001_Exchange_Sheet!#REF!-#REF!</f>
      </c>
      <c r="S32" s="51" t="e">
        <f>Ticker0001_Exchange_Sheet!#REF!-#REF!</f>
      </c>
      <c r="T32" s="51" t="e">
        <f>Ticker0001_Exchange_Sheet!#REF!-#REF!</f>
      </c>
      <c r="U32" s="51" t="e">
        <f>Ticker0001_Exchange_Sheet!#REF!-#REF!</f>
      </c>
      <c r="V32" s="51" t="e">
        <f>Ticker0001_Exchange_Sheet!#REF!-#REF!</f>
      </c>
      <c r="W32" s="51" t="e">
        <f>Ticker0001_Exchange_Sheet!#REF!-#REF!</f>
      </c>
      <c r="X32" s="51" t="e">
        <f>Ticker0001_Exchange_Sheet!#REF!-#REF!</f>
      </c>
      <c r="Y32" s="51" t="e">
        <f>Ticker0001_Exchange_Sheet!#REF!-#REF!</f>
      </c>
      <c r="Z32" s="51" t="e">
        <f>Ticker0001_Exchange_Sheet!#REF!-#REF!</f>
      </c>
      <c r="AA32" s="51" t="e">
        <f>Ticker0001_Exchange_Sheet!#REF!-#REF!</f>
      </c>
      <c r="AB32" s="51" t="e">
        <f>Ticker0001_Exchange_Sheet!#REF!-#REF!</f>
      </c>
      <c r="AC32" s="51" t="e">
        <f>Ticker0001_Exchange_Sheet!#REF!-#REF!</f>
      </c>
      <c r="AD32" s="51" t="e">
        <f>Ticker0001_Exchange_Sheet!#REF!-#REF!</f>
      </c>
      <c r="AE32" s="51" t="e">
        <f>Ticker0001_Exchange_Sheet!#REF!-#REF!</f>
      </c>
      <c r="AF32" s="51" t="e">
        <f>Ticker0001_Exchange_Sheet!#REF!-#REF!</f>
      </c>
      <c r="AG32" s="51" t="e">
        <f>Ticker0001_Exchange_Sheet!#REF!-#REF!</f>
      </c>
      <c r="AH32" s="51" t="e">
        <f>Ticker0001_Exchange_Sheet!#REF!-#REF!</f>
      </c>
      <c r="AI32" s="51" t="e">
        <f>Ticker0001_Exchange_Sheet!#REF!-#REF!</f>
      </c>
      <c r="AJ32" s="51" t="e">
        <f>Ticker0001_Exchange_Sheet!#REF!-#REF!</f>
      </c>
      <c r="AK32" s="51" t="e">
        <f>Ticker0001_Exchange_Sheet!#REF!-#REF!</f>
      </c>
      <c r="AL32" s="51" t="e">
        <f>Ticker0001_Exchange_Sheet!#REF!-#REF!</f>
      </c>
      <c r="AM32" s="51" t="e">
        <f>Ticker0001_Exchange_Sheet!#REF!-#REF!</f>
      </c>
      <c r="AN32" s="51" t="e">
        <f>Ticker0001_Exchange_Sheet!#REF!-#REF!</f>
      </c>
      <c r="AO32" s="51" t="e">
        <f>Ticker0001_Exchange_Sheet!#REF!-#REF!</f>
      </c>
      <c r="AP32" s="51" t="e">
        <f>Ticker0001_Exchange_Sheet!#REF!-#REF!</f>
      </c>
      <c r="AQ32" s="51" t="e">
        <f>Ticker0001_Exchange_Sheet!#REF!-#REF!</f>
      </c>
      <c r="AR32" s="51" t="e">
        <f>Ticker0001_Exchange_Sheet!#REF!-#REF!</f>
      </c>
      <c r="AS32" s="51" t="e">
        <f>Ticker0001_Exchange_Sheet!#REF!-#REF!</f>
      </c>
      <c r="AT32" s="51" t="e">
        <f>Ticker0001_Exchange_Sheet!#REF!-#REF!</f>
      </c>
      <c r="AU32" s="51" t="e">
        <f>Ticker0001_Exchange_Sheet!#REF!-#REF!</f>
      </c>
      <c r="AV32" s="51" t="e">
        <f>Ticker0001_Exchange_Sheet!#REF!-#REF!</f>
      </c>
      <c r="AW32" s="51" t="e">
        <f>Ticker0001_Exchange_Sheet!#REF!-#REF!</f>
      </c>
      <c r="AX32" s="51" t="e">
        <f>Ticker0001_Exchange_Sheet!#REF!-#REF!</f>
      </c>
      <c r="AY32" s="51" t="e">
        <f>Ticker0001_Exchange_Sheet!#REF!-#REF!</f>
      </c>
      <c r="AZ32" s="51" t="e">
        <f>Ticker0001_Exchange_Sheet!#REF!-#REF!</f>
      </c>
      <c r="BA32" s="51" t="e">
        <f>Ticker0001_Exchange_Sheet!#REF!-#REF!</f>
      </c>
      <c r="BB32" s="51" t="e">
        <f>Ticker0001_Exchange_Sheet!#REF!-#REF!</f>
      </c>
      <c r="BC32" s="51" t="e">
        <f>Ticker0001_Exchange_Sheet!#REF!-#REF!</f>
      </c>
      <c r="BD32" s="51" t="e">
        <f>Ticker0001_Exchange_Sheet!#REF!-#REF!</f>
      </c>
      <c r="BE32" s="51" t="e">
        <f>Ticker0001_Exchange_Sheet!#REF!-#REF!</f>
      </c>
      <c r="BF32" s="51" t="e">
        <f>Ticker0001_Exchange_Sheet!#REF!-#REF!</f>
      </c>
      <c r="BG32" s="51" t="e">
        <f>Ticker0001_Exchange_Sheet!#REF!-#REF!</f>
      </c>
      <c r="BH32" s="51" t="e">
        <f>Ticker0001_Exchange_Sheet!#REF!-#REF!</f>
      </c>
      <c r="BI32" s="51" t="e">
        <f>Ticker0001_Exchange_Sheet!#REF!-#REF!</f>
      </c>
      <c r="BJ32" s="51" t="e">
        <f>Ticker0001_Exchange_Sheet!#REF!-#REF!</f>
      </c>
      <c r="BK32" s="51" t="e">
        <f>Ticker0001_Exchange_Sheet!#REF!-#REF!</f>
      </c>
      <c r="BL32" s="51" t="e">
        <f>Ticker0001_Exchange_Sheet!#REF!-#REF!</f>
      </c>
      <c r="BM32" s="51" t="e">
        <f>Ticker0001_Exchange_Sheet!#REF!-#REF!</f>
      </c>
      <c r="BN32" s="51" t="e">
        <f>Ticker0001_Exchange_Sheet!#REF!-#REF!</f>
      </c>
      <c r="BO32" s="51" t="e">
        <f>Ticker0001_Exchange_Sheet!#REF!-#REF!</f>
      </c>
      <c r="BP32" s="51" t="e">
        <f>Ticker0001_Exchange_Sheet!#REF!-#REF!</f>
      </c>
      <c r="BQ32" s="51" t="e">
        <f>Ticker0001_Exchange_Sheet!#REF!-#REF!</f>
      </c>
      <c r="BR32" s="51" t="e">
        <f>Ticker0001_Exchange_Sheet!#REF!-#REF!</f>
      </c>
      <c r="BS32" s="51" t="e">
        <f>Ticker0001_Exchange_Sheet!#REF!-#REF!</f>
      </c>
      <c r="BT32" s="51" t="e">
        <f>Ticker0001_Exchange_Sheet!#REF!-#REF!</f>
      </c>
      <c r="BU32" s="51" t="e">
        <f>Ticker0001_Exchange_Sheet!#REF!-#REF!</f>
      </c>
      <c r="BV32" s="51" t="e">
        <f>Ticker0001_Exchange_Sheet!#REF!-#REF!</f>
      </c>
      <c r="BW32" s="51" t="e">
        <f>Ticker0001_Exchange_Sheet!#REF!-#REF!</f>
      </c>
      <c r="BX32" s="51" t="e">
        <f>Ticker0001_Exchange_Sheet!#REF!-#REF!</f>
      </c>
      <c r="BY32" s="51" t="e">
        <f>Ticker0001_Exchange_Sheet!#REF!-#REF!</f>
      </c>
      <c r="BZ32" s="51" t="e">
        <f>Ticker0001_Exchange_Sheet!#REF!-#REF!</f>
      </c>
      <c r="CA32" s="51" t="e">
        <f>Ticker0001_Exchange_Sheet!#REF!-#REF!</f>
      </c>
      <c r="CB32" s="51" t="e">
        <f>Ticker0001_Exchange_Sheet!#REF!-#REF!</f>
      </c>
      <c r="CC32" s="51" t="e">
        <f>Ticker0001_Exchange_Sheet!#REF!-#REF!</f>
      </c>
      <c r="CD32" s="51" t="e">
        <f>Ticker0001_Exchange_Sheet!#REF!-#REF!</f>
      </c>
      <c r="CE32" s="51" t="e">
        <f>Ticker0001_Exchange_Sheet!#REF!-#REF!</f>
      </c>
      <c r="CF32" s="51" t="e">
        <f>Ticker0001_Exchange_Sheet!#REF!-#REF!</f>
      </c>
    </row>
    <row r="33" spans="6:84">
      <c r="F33" s="51" t="e">
        <f>Ticker0001_Exchange_Sheet!F32-#REF!</f>
      </c>
      <c r="G33" s="51" t="e">
        <f>Ticker0001_Exchange_Sheet!G32-#REF!</f>
      </c>
      <c r="H33" s="51" t="e">
        <f>Ticker0001_Exchange_Sheet!H32-#REF!</f>
      </c>
      <c r="I33" s="51" t="e">
        <f>Ticker0001_Exchange_Sheet!I32-#REF!</f>
      </c>
      <c r="J33" s="51" t="e">
        <f>Ticker0001_Exchange_Sheet!J32-#REF!</f>
      </c>
      <c r="K33" s="51" t="e">
        <f>Ticker0001_Exchange_Sheet!K32-#REF!</f>
      </c>
      <c r="L33" s="51" t="e">
        <f>Ticker0001_Exchange_Sheet!L32-#REF!</f>
      </c>
      <c r="M33" s="51" t="e">
        <f>Ticker0001_Exchange_Sheet!M32-#REF!</f>
      </c>
      <c r="N33" s="51" t="e">
        <f>Ticker0001_Exchange_Sheet!N32-#REF!</f>
      </c>
      <c r="O33" s="51" t="e">
        <f>Ticker0001_Exchange_Sheet!O32-#REF!</f>
      </c>
      <c r="P33" s="51" t="e">
        <f>Ticker0001_Exchange_Sheet!P32-#REF!</f>
      </c>
      <c r="Q33" s="51" t="e">
        <f>Ticker0001_Exchange_Sheet!Q32-#REF!</f>
      </c>
      <c r="R33" s="51" t="e">
        <f>Ticker0001_Exchange_Sheet!R32-#REF!</f>
      </c>
      <c r="S33" s="51" t="e">
        <f>Ticker0001_Exchange_Sheet!S32-#REF!</f>
      </c>
      <c r="T33" s="51" t="e">
        <f>Ticker0001_Exchange_Sheet!T32-#REF!</f>
      </c>
      <c r="U33" s="51" t="e">
        <f>Ticker0001_Exchange_Sheet!U32-#REF!</f>
      </c>
      <c r="V33" s="51" t="e">
        <f>Ticker0001_Exchange_Sheet!V32-#REF!</f>
      </c>
      <c r="W33" s="51" t="e">
        <f>Ticker0001_Exchange_Sheet!W32-#REF!</f>
      </c>
      <c r="X33" s="51" t="e">
        <f>Ticker0001_Exchange_Sheet!AK32-#REF!</f>
      </c>
      <c r="Y33" s="51" t="e">
        <f>Ticker0001_Exchange_Sheet!AX32-#REF!</f>
      </c>
      <c r="Z33" s="51" t="e">
        <f>Ticker0001_Exchange_Sheet!AY32-#REF!</f>
      </c>
      <c r="AA33" s="51" t="e">
        <f>Ticker0001_Exchange_Sheet!AZ32-#REF!</f>
      </c>
      <c r="AB33" s="51" t="e">
        <f>Ticker0001_Exchange_Sheet!BA32-#REF!</f>
      </c>
      <c r="AC33" s="51" t="e">
        <f>Ticker0001_Exchange_Sheet!BB32-#REF!</f>
      </c>
      <c r="AD33" s="51" t="e">
        <f>Ticker0001_Exchange_Sheet!BC32-#REF!</f>
      </c>
      <c r="AE33" s="51" t="e">
        <f>Ticker0001_Exchange_Sheet!BD32-#REF!</f>
      </c>
      <c r="AF33" s="51" t="e">
        <f>Ticker0001_Exchange_Sheet!BE32-#REF!</f>
      </c>
      <c r="AG33" s="51" t="e">
        <f>Ticker0001_Exchange_Sheet!BF32-#REF!</f>
      </c>
      <c r="AH33" s="51" t="e">
        <f>Ticker0001_Exchange_Sheet!BG32-#REF!</f>
      </c>
      <c r="AI33" s="51" t="e">
        <f>Ticker0001_Exchange_Sheet!BH32-#REF!</f>
      </c>
      <c r="AJ33" s="51" t="e">
        <f>Ticker0001_Exchange_Sheet!BI32-#REF!</f>
      </c>
      <c r="AK33" s="51" t="e">
        <f>Ticker0001_Exchange_Sheet!BJ32-#REF!</f>
      </c>
      <c r="AL33" s="51" t="e">
        <f>Ticker0001_Exchange_Sheet!BK32-#REF!</f>
      </c>
      <c r="AM33" s="51" t="e">
        <f>Ticker0001_Exchange_Sheet!BL32-#REF!</f>
      </c>
      <c r="AN33" s="51" t="e">
        <f>Ticker0001_Exchange_Sheet!BM32-#REF!</f>
      </c>
      <c r="AO33" s="51" t="e">
        <f>Ticker0001_Exchange_Sheet!BN32-#REF!</f>
      </c>
      <c r="AP33" s="51" t="e">
        <f>Ticker0001_Exchange_Sheet!BO32-#REF!</f>
      </c>
      <c r="AQ33" s="51" t="e">
        <f>Ticker0001_Exchange_Sheet!BP32-#REF!</f>
      </c>
      <c r="AR33" s="51" t="e">
        <f>Ticker0001_Exchange_Sheet!BQ32-#REF!</f>
      </c>
      <c r="AS33" s="51" t="e">
        <f>Ticker0001_Exchange_Sheet!BR32-#REF!</f>
      </c>
      <c r="AT33" s="51" t="e">
        <f>Ticker0001_Exchange_Sheet!BS32-#REF!</f>
      </c>
      <c r="AU33" s="51" t="e">
        <f>Ticker0001_Exchange_Sheet!BT32-#REF!</f>
      </c>
      <c r="AV33" s="51" t="e">
        <f>Ticker0001_Exchange_Sheet!BU32-#REF!</f>
      </c>
      <c r="AW33" s="51" t="e">
        <f>Ticker0001_Exchange_Sheet!BV32-#REF!</f>
      </c>
      <c r="AX33" s="51" t="e">
        <f>Ticker0001_Exchange_Sheet!BW32-#REF!</f>
      </c>
      <c r="AY33" s="51" t="e">
        <f>Ticker0001_Exchange_Sheet!BX32-#REF!</f>
      </c>
      <c r="AZ33" s="51" t="e">
        <f>Ticker0001_Exchange_Sheet!BY32-#REF!</f>
      </c>
      <c r="BA33" s="51" t="e">
        <f>Ticker0001_Exchange_Sheet!BZ32-#REF!</f>
      </c>
      <c r="BB33" s="51" t="e">
        <f>Ticker0001_Exchange_Sheet!CA32-#REF!</f>
      </c>
      <c r="BC33" s="51" t="e">
        <f>Ticker0001_Exchange_Sheet!CB32-#REF!</f>
      </c>
      <c r="BD33" s="51" t="e">
        <f>Ticker0001_Exchange_Sheet!CC32-#REF!</f>
      </c>
      <c r="BE33" s="51" t="e">
        <f>Ticker0001_Exchange_Sheet!CD32-#REF!</f>
      </c>
      <c r="BF33" s="51" t="e">
        <f>Ticker0001_Exchange_Sheet!CE32-#REF!</f>
      </c>
      <c r="BG33" s="51" t="e">
        <f>Ticker0001_Exchange_Sheet!CF32-#REF!</f>
      </c>
      <c r="BH33" s="51" t="e">
        <f>Ticker0001_Exchange_Sheet!CG32-#REF!</f>
      </c>
      <c r="BI33" s="51" t="e">
        <f>Ticker0001_Exchange_Sheet!CH32-#REF!</f>
      </c>
      <c r="BJ33" s="51" t="e">
        <f>Ticker0001_Exchange_Sheet!CI32-#REF!</f>
      </c>
      <c r="BK33" s="51" t="e">
        <f>Ticker0001_Exchange_Sheet!CJ32-#REF!</f>
      </c>
      <c r="BL33" s="51" t="e">
        <f>Ticker0001_Exchange_Sheet!CK32-#REF!</f>
      </c>
      <c r="BM33" s="51" t="e">
        <f>Ticker0001_Exchange_Sheet!CL32-#REF!</f>
      </c>
      <c r="BN33" s="51" t="e">
        <f>Ticker0001_Exchange_Sheet!CM32-#REF!</f>
      </c>
      <c r="BO33" s="51" t="e">
        <f>Ticker0001_Exchange_Sheet!CN32-#REF!</f>
      </c>
      <c r="BP33" s="51" t="e">
        <f>Ticker0001_Exchange_Sheet!CO32-#REF!</f>
      </c>
      <c r="BQ33" s="51" t="e">
        <f>Ticker0001_Exchange_Sheet!CP32-#REF!</f>
      </c>
      <c r="BR33" s="51" t="e">
        <f>Ticker0001_Exchange_Sheet!CQ32-#REF!</f>
      </c>
      <c r="BS33" s="51" t="e">
        <f>Ticker0001_Exchange_Sheet!CR32-#REF!</f>
      </c>
      <c r="BT33" s="51" t="e">
        <f>Ticker0001_Exchange_Sheet!CS32-#REF!</f>
      </c>
      <c r="BU33" s="51" t="e">
        <f>Ticker0001_Exchange_Sheet!CT32-#REF!</f>
      </c>
      <c r="BV33" s="51" t="e">
        <f>Ticker0001_Exchange_Sheet!CU32-#REF!</f>
      </c>
      <c r="BW33" s="51" t="e">
        <f>Ticker0001_Exchange_Sheet!CV32-#REF!</f>
      </c>
      <c r="BX33" s="51" t="e">
        <f>Ticker0001_Exchange_Sheet!CW32-#REF!</f>
      </c>
      <c r="BY33" s="51" t="e">
        <f>Ticker0001_Exchange_Sheet!CX32-#REF!</f>
      </c>
      <c r="BZ33" s="51" t="e">
        <f>Ticker0001_Exchange_Sheet!CY32-#REF!</f>
      </c>
      <c r="CA33" s="51" t="e">
        <f>Ticker0001_Exchange_Sheet!CZ32-#REF!</f>
      </c>
      <c r="CB33" s="51" t="e">
        <f>Ticker0001_Exchange_Sheet!DA32-#REF!</f>
      </c>
      <c r="CC33" s="51" t="e">
        <f>Ticker0001_Exchange_Sheet!DB32-#REF!</f>
      </c>
      <c r="CD33" s="51" t="e">
        <f>Ticker0001_Exchange_Sheet!DC32-#REF!</f>
      </c>
      <c r="CE33" s="51" t="e">
        <f>Ticker0001_Exchange_Sheet!DD32-#REF!</f>
      </c>
      <c r="CF33" s="51" t="e">
        <f>Ticker0001_Exchange_Sheet!DE32-#REF!</f>
      </c>
    </row>
    <row r="34" spans="6:84">
      <c r="F34" s="51" t="e">
        <f>Ticker0001_Exchange_Sheet!F33-#REF!</f>
      </c>
      <c r="G34" s="51" t="e">
        <f>Ticker0001_Exchange_Sheet!G33-#REF!</f>
      </c>
      <c r="H34" s="51" t="e">
        <f>Ticker0001_Exchange_Sheet!H33-#REF!</f>
      </c>
      <c r="I34" s="51" t="e">
        <f>Ticker0001_Exchange_Sheet!I33-#REF!</f>
      </c>
      <c r="J34" s="51" t="e">
        <f>Ticker0001_Exchange_Sheet!J33-#REF!</f>
      </c>
      <c r="K34" s="51" t="e">
        <f>Ticker0001_Exchange_Sheet!K33-#REF!</f>
      </c>
      <c r="L34" s="51" t="e">
        <f>Ticker0001_Exchange_Sheet!L33-#REF!</f>
      </c>
      <c r="M34" s="51" t="e">
        <f>Ticker0001_Exchange_Sheet!M33-#REF!</f>
      </c>
      <c r="N34" s="51" t="e">
        <f>Ticker0001_Exchange_Sheet!N33-#REF!</f>
      </c>
      <c r="O34" s="51" t="e">
        <f>Ticker0001_Exchange_Sheet!O33-#REF!</f>
      </c>
      <c r="P34" s="51" t="e">
        <f>Ticker0001_Exchange_Sheet!P33-#REF!</f>
      </c>
      <c r="Q34" s="51" t="e">
        <f>Ticker0001_Exchange_Sheet!Q33-#REF!</f>
      </c>
      <c r="R34" s="51" t="e">
        <f>Ticker0001_Exchange_Sheet!R33-#REF!</f>
      </c>
      <c r="S34" s="51" t="e">
        <f>Ticker0001_Exchange_Sheet!S33-#REF!</f>
      </c>
      <c r="T34" s="51" t="e">
        <f>Ticker0001_Exchange_Sheet!T33-#REF!</f>
      </c>
      <c r="U34" s="51" t="e">
        <f>Ticker0001_Exchange_Sheet!U33-#REF!</f>
      </c>
      <c r="V34" s="51" t="e">
        <f>Ticker0001_Exchange_Sheet!V33-#REF!</f>
      </c>
      <c r="W34" s="51" t="e">
        <f>Ticker0001_Exchange_Sheet!W33-#REF!</f>
      </c>
      <c r="X34" s="51" t="e">
        <f>Ticker0001_Exchange_Sheet!AK33-#REF!</f>
      </c>
      <c r="Y34" s="51" t="e">
        <f>Ticker0001_Exchange_Sheet!AX33-#REF!</f>
      </c>
      <c r="Z34" s="51" t="e">
        <f>Ticker0001_Exchange_Sheet!AY33-#REF!</f>
      </c>
      <c r="AA34" s="51" t="e">
        <f>Ticker0001_Exchange_Sheet!AZ33-#REF!</f>
      </c>
      <c r="AB34" s="51" t="e">
        <f>Ticker0001_Exchange_Sheet!BA33-#REF!</f>
      </c>
      <c r="AC34" s="51" t="e">
        <f>Ticker0001_Exchange_Sheet!BB33-#REF!</f>
      </c>
      <c r="AD34" s="51" t="e">
        <f>Ticker0001_Exchange_Sheet!BC33-#REF!</f>
      </c>
      <c r="AE34" s="51" t="e">
        <f>Ticker0001_Exchange_Sheet!BD33-#REF!</f>
      </c>
      <c r="AF34" s="51" t="e">
        <f>Ticker0001_Exchange_Sheet!BE33-#REF!</f>
      </c>
      <c r="AG34" s="51" t="e">
        <f>Ticker0001_Exchange_Sheet!BF33-#REF!</f>
      </c>
      <c r="AH34" s="51" t="e">
        <f>Ticker0001_Exchange_Sheet!BG33-#REF!</f>
      </c>
      <c r="AI34" s="51" t="e">
        <f>Ticker0001_Exchange_Sheet!BH33-#REF!</f>
      </c>
      <c r="AJ34" s="51" t="e">
        <f>Ticker0001_Exchange_Sheet!BI33-#REF!</f>
      </c>
      <c r="AK34" s="51" t="e">
        <f>Ticker0001_Exchange_Sheet!BJ33-#REF!</f>
      </c>
      <c r="AL34" s="51" t="e">
        <f>Ticker0001_Exchange_Sheet!BK33-#REF!</f>
      </c>
      <c r="AM34" s="51" t="e">
        <f>Ticker0001_Exchange_Sheet!BL33-#REF!</f>
      </c>
      <c r="AN34" s="51" t="e">
        <f>Ticker0001_Exchange_Sheet!BM33-#REF!</f>
      </c>
      <c r="AO34" s="51" t="e">
        <f>Ticker0001_Exchange_Sheet!BN33-#REF!</f>
      </c>
      <c r="AP34" s="51" t="e">
        <f>Ticker0001_Exchange_Sheet!BO33-#REF!</f>
      </c>
      <c r="AQ34" s="51" t="e">
        <f>Ticker0001_Exchange_Sheet!BP33-#REF!</f>
      </c>
      <c r="AR34" s="51" t="e">
        <f>Ticker0001_Exchange_Sheet!BQ33-#REF!</f>
      </c>
      <c r="AS34" s="51" t="e">
        <f>Ticker0001_Exchange_Sheet!BR33-#REF!</f>
      </c>
      <c r="AT34" s="51" t="e">
        <f>Ticker0001_Exchange_Sheet!BS33-#REF!</f>
      </c>
      <c r="AU34" s="51" t="e">
        <f>Ticker0001_Exchange_Sheet!BT33-#REF!</f>
      </c>
      <c r="AV34" s="51" t="e">
        <f>Ticker0001_Exchange_Sheet!BU33-#REF!</f>
      </c>
      <c r="AW34" s="51" t="e">
        <f>Ticker0001_Exchange_Sheet!BV33-#REF!</f>
      </c>
      <c r="AX34" s="51" t="e">
        <f>Ticker0001_Exchange_Sheet!BW33-#REF!</f>
      </c>
      <c r="AY34" s="51" t="e">
        <f>Ticker0001_Exchange_Sheet!BX33-#REF!</f>
      </c>
      <c r="AZ34" s="51" t="e">
        <f>Ticker0001_Exchange_Sheet!BY33-#REF!</f>
      </c>
      <c r="BA34" s="51" t="e">
        <f>Ticker0001_Exchange_Sheet!BZ33-#REF!</f>
      </c>
      <c r="BB34" s="51" t="e">
        <f>Ticker0001_Exchange_Sheet!CA33-#REF!</f>
      </c>
      <c r="BC34" s="51" t="e">
        <f>Ticker0001_Exchange_Sheet!CB33-#REF!</f>
      </c>
      <c r="BD34" s="51" t="e">
        <f>Ticker0001_Exchange_Sheet!CC33-#REF!</f>
      </c>
      <c r="BE34" s="51" t="e">
        <f>Ticker0001_Exchange_Sheet!CD33-#REF!</f>
      </c>
      <c r="BF34" s="51" t="e">
        <f>Ticker0001_Exchange_Sheet!CE33-#REF!</f>
      </c>
      <c r="BG34" s="51" t="e">
        <f>Ticker0001_Exchange_Sheet!CF33-#REF!</f>
      </c>
      <c r="BH34" s="51" t="e">
        <f>Ticker0001_Exchange_Sheet!CG33-#REF!</f>
      </c>
      <c r="BI34" s="51" t="e">
        <f>Ticker0001_Exchange_Sheet!CH33-#REF!</f>
      </c>
      <c r="BJ34" s="51" t="e">
        <f>Ticker0001_Exchange_Sheet!CI33-#REF!</f>
      </c>
      <c r="BK34" s="51" t="e">
        <f>Ticker0001_Exchange_Sheet!CJ33-#REF!</f>
      </c>
      <c r="BL34" s="51" t="e">
        <f>Ticker0001_Exchange_Sheet!CK33-#REF!</f>
      </c>
      <c r="BM34" s="51" t="e">
        <f>Ticker0001_Exchange_Sheet!CL33-#REF!</f>
      </c>
      <c r="BN34" s="51" t="e">
        <f>Ticker0001_Exchange_Sheet!CM33-#REF!</f>
      </c>
      <c r="BO34" s="51" t="e">
        <f>Ticker0001_Exchange_Sheet!CN33-#REF!</f>
      </c>
      <c r="BP34" s="51" t="e">
        <f>Ticker0001_Exchange_Sheet!CO33-#REF!</f>
      </c>
      <c r="BQ34" s="51" t="e">
        <f>Ticker0001_Exchange_Sheet!CP33-#REF!</f>
      </c>
      <c r="BR34" s="51" t="e">
        <f>Ticker0001_Exchange_Sheet!CQ33-#REF!</f>
      </c>
      <c r="BS34" s="51" t="e">
        <f>Ticker0001_Exchange_Sheet!CR33-#REF!</f>
      </c>
      <c r="BT34" s="51" t="e">
        <f>Ticker0001_Exchange_Sheet!CS33-#REF!</f>
      </c>
      <c r="BU34" s="51" t="e">
        <f>Ticker0001_Exchange_Sheet!CT33-#REF!</f>
      </c>
      <c r="BV34" s="51" t="e">
        <f>Ticker0001_Exchange_Sheet!CU33-#REF!</f>
      </c>
      <c r="BW34" s="51" t="e">
        <f>Ticker0001_Exchange_Sheet!CV33-#REF!</f>
      </c>
      <c r="BX34" s="51" t="e">
        <f>Ticker0001_Exchange_Sheet!CW33-#REF!</f>
      </c>
      <c r="BY34" s="51" t="e">
        <f>Ticker0001_Exchange_Sheet!CX33-#REF!</f>
      </c>
      <c r="BZ34" s="51" t="e">
        <f>Ticker0001_Exchange_Sheet!CY33-#REF!</f>
      </c>
      <c r="CA34" s="51" t="e">
        <f>Ticker0001_Exchange_Sheet!CZ33-#REF!</f>
      </c>
      <c r="CB34" s="51" t="e">
        <f>Ticker0001_Exchange_Sheet!DA33-#REF!</f>
      </c>
      <c r="CC34" s="51" t="e">
        <f>Ticker0001_Exchange_Sheet!DB33-#REF!</f>
      </c>
      <c r="CD34" s="51" t="e">
        <f>Ticker0001_Exchange_Sheet!DC33-#REF!</f>
      </c>
      <c r="CE34" s="51" t="e">
        <f>Ticker0001_Exchange_Sheet!DD33-#REF!</f>
      </c>
      <c r="CF34" s="51" t="e">
        <f>Ticker0001_Exchange_Sheet!DE33-#REF!</f>
      </c>
    </row>
    <row r="35" spans="6:84">
      <c r="F35" s="51" t="e">
        <f>Ticker0001_Exchange_Sheet!F34-#REF!</f>
      </c>
      <c r="G35" s="51" t="e">
        <f>Ticker0001_Exchange_Sheet!G34-#REF!</f>
      </c>
      <c r="H35" s="51" t="e">
        <f>Ticker0001_Exchange_Sheet!H34-#REF!</f>
      </c>
      <c r="I35" s="51" t="e">
        <f>Ticker0001_Exchange_Sheet!I34-#REF!</f>
      </c>
      <c r="J35" s="51" t="e">
        <f>Ticker0001_Exchange_Sheet!J34-#REF!</f>
      </c>
      <c r="K35" s="51" t="e">
        <f>Ticker0001_Exchange_Sheet!K34-#REF!</f>
      </c>
      <c r="L35" s="51" t="e">
        <f>Ticker0001_Exchange_Sheet!L34-#REF!</f>
      </c>
      <c r="M35" s="51" t="e">
        <f>Ticker0001_Exchange_Sheet!M34-#REF!</f>
      </c>
      <c r="N35" s="51" t="e">
        <f>Ticker0001_Exchange_Sheet!N34-#REF!</f>
      </c>
      <c r="O35" s="51" t="e">
        <f>Ticker0001_Exchange_Sheet!O34-#REF!</f>
      </c>
      <c r="P35" s="51" t="e">
        <f>Ticker0001_Exchange_Sheet!P34-#REF!</f>
      </c>
      <c r="Q35" s="51" t="e">
        <f>Ticker0001_Exchange_Sheet!Q34-#REF!</f>
      </c>
      <c r="R35" s="51" t="e">
        <f>Ticker0001_Exchange_Sheet!R34-#REF!</f>
      </c>
      <c r="S35" s="51" t="e">
        <f>Ticker0001_Exchange_Sheet!S34-#REF!</f>
      </c>
      <c r="T35" s="51" t="e">
        <f>Ticker0001_Exchange_Sheet!T34-#REF!</f>
      </c>
      <c r="U35" s="51" t="e">
        <f>Ticker0001_Exchange_Sheet!U34-#REF!</f>
      </c>
      <c r="V35" s="51" t="e">
        <f>Ticker0001_Exchange_Sheet!V34-#REF!</f>
      </c>
      <c r="W35" s="51" t="e">
        <f>Ticker0001_Exchange_Sheet!W34-#REF!</f>
      </c>
      <c r="X35" s="51" t="e">
        <f>Ticker0001_Exchange_Sheet!AK34-#REF!</f>
      </c>
      <c r="Y35" s="51" t="e">
        <f>Ticker0001_Exchange_Sheet!AX34-#REF!</f>
      </c>
      <c r="Z35" s="51" t="e">
        <f>Ticker0001_Exchange_Sheet!AY34-#REF!</f>
      </c>
      <c r="AA35" s="51" t="e">
        <f>Ticker0001_Exchange_Sheet!AZ34-#REF!</f>
      </c>
      <c r="AB35" s="51" t="e">
        <f>Ticker0001_Exchange_Sheet!BA34-#REF!</f>
      </c>
      <c r="AC35" s="51" t="e">
        <f>Ticker0001_Exchange_Sheet!BB34-#REF!</f>
      </c>
      <c r="AD35" s="51" t="e">
        <f>Ticker0001_Exchange_Sheet!BC34-#REF!</f>
      </c>
      <c r="AE35" s="51" t="e">
        <f>Ticker0001_Exchange_Sheet!BD34-#REF!</f>
      </c>
      <c r="AF35" s="51" t="e">
        <f>Ticker0001_Exchange_Sheet!BE34-#REF!</f>
      </c>
      <c r="AG35" s="51" t="e">
        <f>Ticker0001_Exchange_Sheet!BF34-#REF!</f>
      </c>
      <c r="AH35" s="51" t="e">
        <f>Ticker0001_Exchange_Sheet!BG34-#REF!</f>
      </c>
      <c r="AI35" s="51" t="e">
        <f>Ticker0001_Exchange_Sheet!BH34-#REF!</f>
      </c>
      <c r="AJ35" s="51" t="e">
        <f>Ticker0001_Exchange_Sheet!BI34-#REF!</f>
      </c>
      <c r="AK35" s="51" t="e">
        <f>Ticker0001_Exchange_Sheet!BJ34-#REF!</f>
      </c>
      <c r="AL35" s="51" t="e">
        <f>Ticker0001_Exchange_Sheet!BK34-#REF!</f>
      </c>
      <c r="AM35" s="51" t="e">
        <f>Ticker0001_Exchange_Sheet!BL34-#REF!</f>
      </c>
      <c r="AN35" s="51" t="e">
        <f>Ticker0001_Exchange_Sheet!BM34-#REF!</f>
      </c>
      <c r="AO35" s="51" t="e">
        <f>Ticker0001_Exchange_Sheet!BN34-#REF!</f>
      </c>
      <c r="AP35" s="51" t="e">
        <f>Ticker0001_Exchange_Sheet!BO34-#REF!</f>
      </c>
      <c r="AQ35" s="51" t="e">
        <f>Ticker0001_Exchange_Sheet!BP34-#REF!</f>
      </c>
      <c r="AR35" s="51" t="e">
        <f>Ticker0001_Exchange_Sheet!BQ34-#REF!</f>
      </c>
      <c r="AS35" s="51" t="e">
        <f>Ticker0001_Exchange_Sheet!BR34-#REF!</f>
      </c>
      <c r="AT35" s="51" t="e">
        <f>Ticker0001_Exchange_Sheet!BS34-#REF!</f>
      </c>
      <c r="AU35" s="51" t="e">
        <f>Ticker0001_Exchange_Sheet!BT34-#REF!</f>
      </c>
      <c r="AV35" s="51" t="e">
        <f>Ticker0001_Exchange_Sheet!BU34-#REF!</f>
      </c>
      <c r="AW35" s="51" t="e">
        <f>Ticker0001_Exchange_Sheet!BV34-#REF!</f>
      </c>
      <c r="AX35" s="51" t="e">
        <f>Ticker0001_Exchange_Sheet!BW34-#REF!</f>
      </c>
      <c r="AY35" s="51" t="e">
        <f>Ticker0001_Exchange_Sheet!BX34-#REF!</f>
      </c>
      <c r="AZ35" s="51" t="e">
        <f>Ticker0001_Exchange_Sheet!BY34-#REF!</f>
      </c>
      <c r="BA35" s="51" t="e">
        <f>Ticker0001_Exchange_Sheet!BZ34-#REF!</f>
      </c>
      <c r="BB35" s="51" t="e">
        <f>Ticker0001_Exchange_Sheet!CA34-#REF!</f>
      </c>
      <c r="BC35" s="51" t="e">
        <f>Ticker0001_Exchange_Sheet!CB34-#REF!</f>
      </c>
      <c r="BD35" s="51" t="e">
        <f>Ticker0001_Exchange_Sheet!CC34-#REF!</f>
      </c>
      <c r="BE35" s="51" t="e">
        <f>Ticker0001_Exchange_Sheet!CD34-#REF!</f>
      </c>
      <c r="BF35" s="51" t="e">
        <f>Ticker0001_Exchange_Sheet!CE34-#REF!</f>
      </c>
      <c r="BG35" s="51" t="e">
        <f>Ticker0001_Exchange_Sheet!CF34-#REF!</f>
      </c>
      <c r="BH35" s="51" t="e">
        <f>Ticker0001_Exchange_Sheet!CG34-#REF!</f>
      </c>
      <c r="BI35" s="51" t="e">
        <f>Ticker0001_Exchange_Sheet!CH34-#REF!</f>
      </c>
      <c r="BJ35" s="51" t="e">
        <f>Ticker0001_Exchange_Sheet!CI34-#REF!</f>
      </c>
      <c r="BK35" s="51" t="e">
        <f>Ticker0001_Exchange_Sheet!CJ34-#REF!</f>
      </c>
      <c r="BL35" s="51" t="e">
        <f>Ticker0001_Exchange_Sheet!CK34-#REF!</f>
      </c>
      <c r="BM35" s="51" t="e">
        <f>Ticker0001_Exchange_Sheet!CL34-#REF!</f>
      </c>
      <c r="BN35" s="51" t="e">
        <f>Ticker0001_Exchange_Sheet!CM34-#REF!</f>
      </c>
      <c r="BO35" s="51" t="e">
        <f>Ticker0001_Exchange_Sheet!CN34-#REF!</f>
      </c>
      <c r="BP35" s="51" t="e">
        <f>Ticker0001_Exchange_Sheet!CO34-#REF!</f>
      </c>
      <c r="BQ35" s="51" t="e">
        <f>Ticker0001_Exchange_Sheet!CP34-#REF!</f>
      </c>
      <c r="BR35" s="51" t="e">
        <f>Ticker0001_Exchange_Sheet!CQ34-#REF!</f>
      </c>
      <c r="BS35" s="51" t="e">
        <f>Ticker0001_Exchange_Sheet!CR34-#REF!</f>
      </c>
      <c r="BT35" s="51" t="e">
        <f>Ticker0001_Exchange_Sheet!CS34-#REF!</f>
      </c>
      <c r="BU35" s="51" t="e">
        <f>Ticker0001_Exchange_Sheet!CT34-#REF!</f>
      </c>
      <c r="BV35" s="51" t="e">
        <f>Ticker0001_Exchange_Sheet!CU34-#REF!</f>
      </c>
      <c r="BW35" s="51" t="e">
        <f>Ticker0001_Exchange_Sheet!CV34-#REF!</f>
      </c>
      <c r="BX35" s="51" t="e">
        <f>Ticker0001_Exchange_Sheet!CW34-#REF!</f>
      </c>
      <c r="BY35" s="51" t="e">
        <f>Ticker0001_Exchange_Sheet!CX34-#REF!</f>
      </c>
      <c r="BZ35" s="51" t="e">
        <f>Ticker0001_Exchange_Sheet!CY34-#REF!</f>
      </c>
      <c r="CA35" s="51" t="e">
        <f>Ticker0001_Exchange_Sheet!CZ34-#REF!</f>
      </c>
      <c r="CB35" s="51" t="e">
        <f>Ticker0001_Exchange_Sheet!DA34-#REF!</f>
      </c>
      <c r="CC35" s="51" t="e">
        <f>Ticker0001_Exchange_Sheet!DB34-#REF!</f>
      </c>
      <c r="CD35" s="51" t="e">
        <f>Ticker0001_Exchange_Sheet!DC34-#REF!</f>
      </c>
      <c r="CE35" s="51" t="e">
        <f>Ticker0001_Exchange_Sheet!DD34-#REF!</f>
      </c>
      <c r="CF35" s="51" t="e">
        <f>Ticker0001_Exchange_Sheet!DE34-#REF!</f>
      </c>
    </row>
    <row r="36" spans="6:84">
      <c r="F36" s="51" t="e">
        <f>Ticker0001_Exchange_Sheet!F35-#REF!</f>
      </c>
      <c r="G36" s="51" t="e">
        <f>Ticker0001_Exchange_Sheet!G35-#REF!</f>
      </c>
      <c r="H36" s="51" t="e">
        <f>Ticker0001_Exchange_Sheet!H35-#REF!</f>
      </c>
      <c r="I36" s="51" t="e">
        <f>Ticker0001_Exchange_Sheet!I35-#REF!</f>
      </c>
      <c r="J36" s="51" t="e">
        <f>Ticker0001_Exchange_Sheet!J35-#REF!</f>
      </c>
      <c r="K36" s="51" t="e">
        <f>Ticker0001_Exchange_Sheet!K35-#REF!</f>
      </c>
      <c r="L36" s="51" t="e">
        <f>Ticker0001_Exchange_Sheet!L35-#REF!</f>
      </c>
      <c r="M36" s="51" t="e">
        <f>Ticker0001_Exchange_Sheet!M35-#REF!</f>
      </c>
      <c r="N36" s="51" t="e">
        <f>Ticker0001_Exchange_Sheet!N35-#REF!</f>
      </c>
      <c r="O36" s="51" t="e">
        <f>Ticker0001_Exchange_Sheet!O35-#REF!</f>
      </c>
      <c r="P36" s="51" t="e">
        <f>Ticker0001_Exchange_Sheet!P35-#REF!</f>
      </c>
      <c r="Q36" s="51" t="e">
        <f>Ticker0001_Exchange_Sheet!Q35-#REF!</f>
      </c>
      <c r="R36" s="51" t="e">
        <f>Ticker0001_Exchange_Sheet!R35-#REF!</f>
      </c>
      <c r="S36" s="51" t="e">
        <f>Ticker0001_Exchange_Sheet!S35-#REF!</f>
      </c>
      <c r="T36" s="51" t="e">
        <f>Ticker0001_Exchange_Sheet!T35-#REF!</f>
      </c>
      <c r="U36" s="51" t="e">
        <f>Ticker0001_Exchange_Sheet!U35-#REF!</f>
      </c>
      <c r="V36" s="51" t="e">
        <f>Ticker0001_Exchange_Sheet!V35-#REF!</f>
      </c>
      <c r="W36" s="51" t="e">
        <f>Ticker0001_Exchange_Sheet!W35-#REF!</f>
      </c>
      <c r="X36" s="51" t="e">
        <f>Ticker0001_Exchange_Sheet!AK35-#REF!</f>
      </c>
      <c r="Y36" s="51" t="e">
        <f>Ticker0001_Exchange_Sheet!AX35-#REF!</f>
      </c>
      <c r="Z36" s="51" t="e">
        <f>Ticker0001_Exchange_Sheet!AY35-#REF!</f>
      </c>
      <c r="AA36" s="51" t="e">
        <f>Ticker0001_Exchange_Sheet!AZ35-#REF!</f>
      </c>
      <c r="AB36" s="51" t="e">
        <f>Ticker0001_Exchange_Sheet!BA35-#REF!</f>
      </c>
      <c r="AC36" s="51" t="e">
        <f>Ticker0001_Exchange_Sheet!BB35-#REF!</f>
      </c>
      <c r="AD36" s="51" t="e">
        <f>Ticker0001_Exchange_Sheet!BC35-#REF!</f>
      </c>
      <c r="AE36" s="51" t="e">
        <f>Ticker0001_Exchange_Sheet!BD35-#REF!</f>
      </c>
      <c r="AF36" s="51" t="e">
        <f>Ticker0001_Exchange_Sheet!BE35-#REF!</f>
      </c>
      <c r="AG36" s="51" t="e">
        <f>Ticker0001_Exchange_Sheet!BF35-#REF!</f>
      </c>
      <c r="AH36" s="51" t="e">
        <f>Ticker0001_Exchange_Sheet!BG35-#REF!</f>
      </c>
      <c r="AI36" s="51" t="e">
        <f>Ticker0001_Exchange_Sheet!BH35-#REF!</f>
      </c>
      <c r="AJ36" s="51" t="e">
        <f>Ticker0001_Exchange_Sheet!BI35-#REF!</f>
      </c>
      <c r="AK36" s="51" t="e">
        <f>Ticker0001_Exchange_Sheet!BJ35-#REF!</f>
      </c>
      <c r="AL36" s="51" t="e">
        <f>Ticker0001_Exchange_Sheet!BK35-#REF!</f>
      </c>
      <c r="AM36" s="51" t="e">
        <f>Ticker0001_Exchange_Sheet!BL35-#REF!</f>
      </c>
      <c r="AN36" s="51" t="e">
        <f>Ticker0001_Exchange_Sheet!BM35-#REF!</f>
      </c>
      <c r="AO36" s="51" t="e">
        <f>Ticker0001_Exchange_Sheet!BN35-#REF!</f>
      </c>
      <c r="AP36" s="51" t="e">
        <f>Ticker0001_Exchange_Sheet!BO35-#REF!</f>
      </c>
      <c r="AQ36" s="51" t="e">
        <f>Ticker0001_Exchange_Sheet!BP35-#REF!</f>
      </c>
      <c r="AR36" s="51" t="e">
        <f>Ticker0001_Exchange_Sheet!BQ35-#REF!</f>
      </c>
      <c r="AS36" s="51" t="e">
        <f>Ticker0001_Exchange_Sheet!BR35-#REF!</f>
      </c>
      <c r="AT36" s="51" t="e">
        <f>Ticker0001_Exchange_Sheet!BS35-#REF!</f>
      </c>
      <c r="AU36" s="51" t="e">
        <f>Ticker0001_Exchange_Sheet!BT35-#REF!</f>
      </c>
      <c r="AV36" s="51" t="e">
        <f>Ticker0001_Exchange_Sheet!BU35-#REF!</f>
      </c>
      <c r="AW36" s="51" t="e">
        <f>Ticker0001_Exchange_Sheet!BV35-#REF!</f>
      </c>
      <c r="AX36" s="51" t="e">
        <f>Ticker0001_Exchange_Sheet!BW35-#REF!</f>
      </c>
      <c r="AY36" s="51" t="e">
        <f>Ticker0001_Exchange_Sheet!BX35-#REF!</f>
      </c>
      <c r="AZ36" s="51" t="e">
        <f>Ticker0001_Exchange_Sheet!BY35-#REF!</f>
      </c>
      <c r="BA36" s="51" t="e">
        <f>Ticker0001_Exchange_Sheet!BZ35-#REF!</f>
      </c>
      <c r="BB36" s="51" t="e">
        <f>Ticker0001_Exchange_Sheet!CA35-#REF!</f>
      </c>
      <c r="BC36" s="51" t="e">
        <f>Ticker0001_Exchange_Sheet!CB35-#REF!</f>
      </c>
      <c r="BD36" s="51" t="e">
        <f>Ticker0001_Exchange_Sheet!CC35-#REF!</f>
      </c>
      <c r="BE36" s="51" t="e">
        <f>Ticker0001_Exchange_Sheet!CD35-#REF!</f>
      </c>
      <c r="BF36" s="51" t="e">
        <f>Ticker0001_Exchange_Sheet!CE35-#REF!</f>
      </c>
      <c r="BG36" s="51" t="e">
        <f>Ticker0001_Exchange_Sheet!CF35-#REF!</f>
      </c>
      <c r="BH36" s="51" t="e">
        <f>Ticker0001_Exchange_Sheet!CG35-#REF!</f>
      </c>
      <c r="BI36" s="51" t="e">
        <f>Ticker0001_Exchange_Sheet!CH35-#REF!</f>
      </c>
      <c r="BJ36" s="51" t="e">
        <f>Ticker0001_Exchange_Sheet!CI35-#REF!</f>
      </c>
      <c r="BK36" s="51" t="e">
        <f>Ticker0001_Exchange_Sheet!CJ35-#REF!</f>
      </c>
      <c r="BL36" s="51" t="e">
        <f>Ticker0001_Exchange_Sheet!CK35-#REF!</f>
      </c>
      <c r="BM36" s="51" t="e">
        <f>Ticker0001_Exchange_Sheet!CL35-#REF!</f>
      </c>
      <c r="BN36" s="51" t="e">
        <f>Ticker0001_Exchange_Sheet!CM35-#REF!</f>
      </c>
      <c r="BO36" s="51" t="e">
        <f>Ticker0001_Exchange_Sheet!CN35-#REF!</f>
      </c>
      <c r="BP36" s="51" t="e">
        <f>Ticker0001_Exchange_Sheet!CO35-#REF!</f>
      </c>
      <c r="BQ36" s="51" t="e">
        <f>Ticker0001_Exchange_Sheet!CP35-#REF!</f>
      </c>
      <c r="BR36" s="51" t="e">
        <f>Ticker0001_Exchange_Sheet!CQ35-#REF!</f>
      </c>
      <c r="BS36" s="51" t="e">
        <f>Ticker0001_Exchange_Sheet!CR35-#REF!</f>
      </c>
      <c r="BT36" s="51" t="e">
        <f>Ticker0001_Exchange_Sheet!CS35-#REF!</f>
      </c>
      <c r="BU36" s="51" t="e">
        <f>Ticker0001_Exchange_Sheet!CT35-#REF!</f>
      </c>
      <c r="BV36" s="51" t="e">
        <f>Ticker0001_Exchange_Sheet!CU35-#REF!</f>
      </c>
      <c r="BW36" s="51" t="e">
        <f>Ticker0001_Exchange_Sheet!CV35-#REF!</f>
      </c>
      <c r="BX36" s="51" t="e">
        <f>Ticker0001_Exchange_Sheet!CW35-#REF!</f>
      </c>
      <c r="BY36" s="51" t="e">
        <f>Ticker0001_Exchange_Sheet!CX35-#REF!</f>
      </c>
      <c r="BZ36" s="51" t="e">
        <f>Ticker0001_Exchange_Sheet!CY35-#REF!</f>
      </c>
      <c r="CA36" s="51" t="e">
        <f>Ticker0001_Exchange_Sheet!CZ35-#REF!</f>
      </c>
      <c r="CB36" s="51" t="e">
        <f>Ticker0001_Exchange_Sheet!DA35-#REF!</f>
      </c>
      <c r="CC36" s="51" t="e">
        <f>Ticker0001_Exchange_Sheet!DB35-#REF!</f>
      </c>
      <c r="CD36" s="51" t="e">
        <f>Ticker0001_Exchange_Sheet!DC35-#REF!</f>
      </c>
      <c r="CE36" s="51" t="e">
        <f>Ticker0001_Exchange_Sheet!DD35-#REF!</f>
      </c>
      <c r="CF36" s="51" t="e">
        <f>Ticker0001_Exchange_Sheet!DE35-#REF!</f>
      </c>
    </row>
    <row r="37" spans="6:84">
      <c r="F37" s="51" t="e">
        <f>Ticker0001_Exchange_Sheet!F36-#REF!</f>
      </c>
      <c r="G37" s="51" t="e">
        <f>Ticker0001_Exchange_Sheet!G36-#REF!</f>
      </c>
      <c r="H37" s="51" t="e">
        <f>Ticker0001_Exchange_Sheet!H36-#REF!</f>
      </c>
      <c r="I37" s="51" t="e">
        <f>Ticker0001_Exchange_Sheet!I36-#REF!</f>
      </c>
      <c r="J37" s="51" t="e">
        <f>Ticker0001_Exchange_Sheet!J36-#REF!</f>
      </c>
      <c r="K37" s="51" t="e">
        <f>Ticker0001_Exchange_Sheet!K36-#REF!</f>
      </c>
      <c r="L37" s="51" t="e">
        <f>Ticker0001_Exchange_Sheet!L36-#REF!</f>
      </c>
      <c r="M37" s="51" t="e">
        <f>Ticker0001_Exchange_Sheet!M36-#REF!</f>
      </c>
      <c r="N37" s="51" t="e">
        <f>Ticker0001_Exchange_Sheet!N36-#REF!</f>
      </c>
      <c r="O37" s="51" t="e">
        <f>Ticker0001_Exchange_Sheet!O36-#REF!</f>
      </c>
      <c r="P37" s="51" t="e">
        <f>Ticker0001_Exchange_Sheet!P36-#REF!</f>
      </c>
      <c r="Q37" s="51" t="e">
        <f>Ticker0001_Exchange_Sheet!Q36-#REF!</f>
      </c>
      <c r="R37" s="51" t="e">
        <f>Ticker0001_Exchange_Sheet!R36-#REF!</f>
      </c>
      <c r="S37" s="51" t="e">
        <f>Ticker0001_Exchange_Sheet!S36-#REF!</f>
      </c>
      <c r="T37" s="51" t="e">
        <f>Ticker0001_Exchange_Sheet!T36-#REF!</f>
      </c>
      <c r="U37" s="51" t="e">
        <f>Ticker0001_Exchange_Sheet!U36-#REF!</f>
      </c>
      <c r="V37" s="51" t="e">
        <f>Ticker0001_Exchange_Sheet!V36-#REF!</f>
      </c>
      <c r="W37" s="51" t="e">
        <f>Ticker0001_Exchange_Sheet!W36-#REF!</f>
      </c>
      <c r="X37" s="51" t="e">
        <f>Ticker0001_Exchange_Sheet!AK36-#REF!</f>
      </c>
      <c r="Y37" s="51" t="e">
        <f>Ticker0001_Exchange_Sheet!AX36-#REF!</f>
      </c>
      <c r="Z37" s="51" t="e">
        <f>Ticker0001_Exchange_Sheet!AY36-#REF!</f>
      </c>
      <c r="AA37" s="51" t="e">
        <f>Ticker0001_Exchange_Sheet!AZ36-#REF!</f>
      </c>
      <c r="AB37" s="51" t="e">
        <f>Ticker0001_Exchange_Sheet!BA36-#REF!</f>
      </c>
      <c r="AC37" s="51" t="e">
        <f>Ticker0001_Exchange_Sheet!BB36-#REF!</f>
      </c>
      <c r="AD37" s="51" t="e">
        <f>Ticker0001_Exchange_Sheet!BC36-#REF!</f>
      </c>
      <c r="AE37" s="51" t="e">
        <f>Ticker0001_Exchange_Sheet!BD36-#REF!</f>
      </c>
      <c r="AF37" s="51" t="e">
        <f>Ticker0001_Exchange_Sheet!BE36-#REF!</f>
      </c>
      <c r="AG37" s="51" t="e">
        <f>Ticker0001_Exchange_Sheet!BF36-#REF!</f>
      </c>
      <c r="AH37" s="51" t="e">
        <f>Ticker0001_Exchange_Sheet!BG36-#REF!</f>
      </c>
      <c r="AI37" s="51" t="e">
        <f>Ticker0001_Exchange_Sheet!BH36-#REF!</f>
      </c>
      <c r="AJ37" s="51" t="e">
        <f>Ticker0001_Exchange_Sheet!BI36-#REF!</f>
      </c>
      <c r="AK37" s="51" t="e">
        <f>Ticker0001_Exchange_Sheet!BJ36-#REF!</f>
      </c>
      <c r="AL37" s="51" t="e">
        <f>Ticker0001_Exchange_Sheet!BK36-#REF!</f>
      </c>
      <c r="AM37" s="51" t="e">
        <f>Ticker0001_Exchange_Sheet!BL36-#REF!</f>
      </c>
      <c r="AN37" s="51" t="e">
        <f>Ticker0001_Exchange_Sheet!BM36-#REF!</f>
      </c>
      <c r="AO37" s="51" t="e">
        <f>Ticker0001_Exchange_Sheet!BN36-#REF!</f>
      </c>
      <c r="AP37" s="51" t="e">
        <f>Ticker0001_Exchange_Sheet!BO36-#REF!</f>
      </c>
      <c r="AQ37" s="51" t="e">
        <f>Ticker0001_Exchange_Sheet!BP36-#REF!</f>
      </c>
      <c r="AR37" s="51" t="e">
        <f>Ticker0001_Exchange_Sheet!BQ36-#REF!</f>
      </c>
      <c r="AS37" s="51" t="e">
        <f>Ticker0001_Exchange_Sheet!BR36-#REF!</f>
      </c>
      <c r="AT37" s="51" t="e">
        <f>Ticker0001_Exchange_Sheet!BS36-#REF!</f>
      </c>
      <c r="AU37" s="51" t="e">
        <f>Ticker0001_Exchange_Sheet!BT36-#REF!</f>
      </c>
      <c r="AV37" s="51" t="e">
        <f>Ticker0001_Exchange_Sheet!BU36-#REF!</f>
      </c>
      <c r="AW37" s="51" t="e">
        <f>Ticker0001_Exchange_Sheet!BV36-#REF!</f>
      </c>
      <c r="AX37" s="51" t="e">
        <f>Ticker0001_Exchange_Sheet!BW36-#REF!</f>
      </c>
      <c r="AY37" s="51" t="e">
        <f>Ticker0001_Exchange_Sheet!BX36-#REF!</f>
      </c>
      <c r="AZ37" s="51" t="e">
        <f>Ticker0001_Exchange_Sheet!BY36-#REF!</f>
      </c>
      <c r="BA37" s="51" t="e">
        <f>Ticker0001_Exchange_Sheet!BZ36-#REF!</f>
      </c>
      <c r="BB37" s="51" t="e">
        <f>Ticker0001_Exchange_Sheet!CA36-#REF!</f>
      </c>
      <c r="BC37" s="51" t="e">
        <f>Ticker0001_Exchange_Sheet!CB36-#REF!</f>
      </c>
      <c r="BD37" s="51" t="e">
        <f>Ticker0001_Exchange_Sheet!CC36-#REF!</f>
      </c>
      <c r="BE37" s="51" t="e">
        <f>Ticker0001_Exchange_Sheet!CD36-#REF!</f>
      </c>
      <c r="BF37" s="51" t="e">
        <f>Ticker0001_Exchange_Sheet!CE36-#REF!</f>
      </c>
      <c r="BG37" s="51" t="e">
        <f>Ticker0001_Exchange_Sheet!CF36-#REF!</f>
      </c>
      <c r="BH37" s="51" t="e">
        <f>Ticker0001_Exchange_Sheet!CG36-#REF!</f>
      </c>
      <c r="BI37" s="51" t="e">
        <f>Ticker0001_Exchange_Sheet!CH36-#REF!</f>
      </c>
      <c r="BJ37" s="51" t="e">
        <f>Ticker0001_Exchange_Sheet!CI36-#REF!</f>
      </c>
      <c r="BK37" s="51" t="e">
        <f>Ticker0001_Exchange_Sheet!CJ36-#REF!</f>
      </c>
      <c r="BL37" s="51" t="e">
        <f>Ticker0001_Exchange_Sheet!CK36-#REF!</f>
      </c>
      <c r="BM37" s="51" t="e">
        <f>Ticker0001_Exchange_Sheet!CL36-#REF!</f>
      </c>
      <c r="BN37" s="51" t="e">
        <f>Ticker0001_Exchange_Sheet!CM36-#REF!</f>
      </c>
      <c r="BO37" s="51" t="e">
        <f>Ticker0001_Exchange_Sheet!CN36-#REF!</f>
      </c>
      <c r="BP37" s="51" t="e">
        <f>Ticker0001_Exchange_Sheet!CO36-#REF!</f>
      </c>
      <c r="BQ37" s="51" t="e">
        <f>Ticker0001_Exchange_Sheet!CP36-#REF!</f>
      </c>
      <c r="BR37" s="51" t="e">
        <f>Ticker0001_Exchange_Sheet!CQ36-#REF!</f>
      </c>
      <c r="BS37" s="51" t="e">
        <f>Ticker0001_Exchange_Sheet!CR36-#REF!</f>
      </c>
      <c r="BT37" s="51" t="e">
        <f>Ticker0001_Exchange_Sheet!CS36-#REF!</f>
      </c>
      <c r="BU37" s="51" t="e">
        <f>Ticker0001_Exchange_Sheet!CT36-#REF!</f>
      </c>
      <c r="BV37" s="51" t="e">
        <f>Ticker0001_Exchange_Sheet!CU36-#REF!</f>
      </c>
      <c r="BW37" s="51" t="e">
        <f>Ticker0001_Exchange_Sheet!CV36-#REF!</f>
      </c>
      <c r="BX37" s="51" t="e">
        <f>Ticker0001_Exchange_Sheet!CW36-#REF!</f>
      </c>
      <c r="BY37" s="51" t="e">
        <f>Ticker0001_Exchange_Sheet!CX36-#REF!</f>
      </c>
      <c r="BZ37" s="51" t="e">
        <f>Ticker0001_Exchange_Sheet!CY36-#REF!</f>
      </c>
      <c r="CA37" s="51" t="e">
        <f>Ticker0001_Exchange_Sheet!CZ36-#REF!</f>
      </c>
      <c r="CB37" s="51" t="e">
        <f>Ticker0001_Exchange_Sheet!DA36-#REF!</f>
      </c>
      <c r="CC37" s="51" t="e">
        <f>Ticker0001_Exchange_Sheet!DB36-#REF!</f>
      </c>
      <c r="CD37" s="51" t="e">
        <f>Ticker0001_Exchange_Sheet!DC36-#REF!</f>
      </c>
      <c r="CE37" s="51" t="e">
        <f>Ticker0001_Exchange_Sheet!DD36-#REF!</f>
      </c>
      <c r="CF37" s="51" t="e">
        <f>Ticker0001_Exchange_Sheet!DE36-#REF!</f>
      </c>
    </row>
    <row r="38" spans="6:84">
      <c r="F38" s="51" t="e">
        <f>Ticker0001_Exchange_Sheet!F40-#REF!</f>
      </c>
      <c r="G38" s="51" t="e">
        <f>Ticker0001_Exchange_Sheet!G40-#REF!</f>
      </c>
      <c r="H38" s="51" t="e">
        <f>Ticker0001_Exchange_Sheet!H40-#REF!</f>
      </c>
      <c r="I38" s="51" t="e">
        <f>Ticker0001_Exchange_Sheet!I40-#REF!</f>
      </c>
      <c r="J38" s="51" t="e">
        <f>Ticker0001_Exchange_Sheet!J40-#REF!</f>
      </c>
      <c r="K38" s="51" t="e">
        <f>Ticker0001_Exchange_Sheet!K40-#REF!</f>
      </c>
      <c r="L38" s="51" t="e">
        <f>Ticker0001_Exchange_Sheet!L40-#REF!</f>
      </c>
      <c r="M38" s="51" t="e">
        <f>Ticker0001_Exchange_Sheet!M40-#REF!</f>
      </c>
      <c r="N38" s="51" t="e">
        <f>Ticker0001_Exchange_Sheet!N40-#REF!</f>
      </c>
      <c r="O38" s="51" t="e">
        <f>Ticker0001_Exchange_Sheet!O40-#REF!</f>
      </c>
      <c r="P38" s="51" t="e">
        <f>Ticker0001_Exchange_Sheet!P40-#REF!</f>
      </c>
      <c r="Q38" s="51" t="e">
        <f>Ticker0001_Exchange_Sheet!Q40-#REF!</f>
      </c>
      <c r="R38" s="51" t="e">
        <f>Ticker0001_Exchange_Sheet!R40-#REF!</f>
      </c>
      <c r="S38" s="51" t="e">
        <f>Ticker0001_Exchange_Sheet!S40-#REF!</f>
      </c>
      <c r="T38" s="51" t="e">
        <f>Ticker0001_Exchange_Sheet!T40-#REF!</f>
      </c>
      <c r="U38" s="51" t="e">
        <f>Ticker0001_Exchange_Sheet!U40-#REF!</f>
      </c>
      <c r="V38" s="51" t="e">
        <f>Ticker0001_Exchange_Sheet!V40-#REF!</f>
      </c>
      <c r="W38" s="51" t="e">
        <f>Ticker0001_Exchange_Sheet!W40-#REF!</f>
      </c>
      <c r="X38" s="51" t="e">
        <f>Ticker0001_Exchange_Sheet!AK40-#REF!</f>
      </c>
      <c r="Y38" s="51" t="e">
        <f>Ticker0001_Exchange_Sheet!AX40-#REF!</f>
      </c>
      <c r="Z38" s="51" t="e">
        <f>Ticker0001_Exchange_Sheet!AY40-#REF!</f>
      </c>
      <c r="AA38" s="51" t="e">
        <f>Ticker0001_Exchange_Sheet!AZ40-#REF!</f>
      </c>
      <c r="AB38" s="51" t="e">
        <f>Ticker0001_Exchange_Sheet!BA40-#REF!</f>
      </c>
      <c r="AC38" s="51" t="e">
        <f>Ticker0001_Exchange_Sheet!BB40-#REF!</f>
      </c>
      <c r="AD38" s="51" t="e">
        <f>Ticker0001_Exchange_Sheet!BC40-#REF!</f>
      </c>
      <c r="AE38" s="51" t="e">
        <f>Ticker0001_Exchange_Sheet!BD40-#REF!</f>
      </c>
      <c r="AF38" s="51" t="e">
        <f>Ticker0001_Exchange_Sheet!BE40-#REF!</f>
      </c>
      <c r="AG38" s="51" t="e">
        <f>Ticker0001_Exchange_Sheet!BF40-#REF!</f>
      </c>
      <c r="AH38" s="51" t="e">
        <f>Ticker0001_Exchange_Sheet!BG40-#REF!</f>
      </c>
      <c r="AI38" s="51" t="e">
        <f>Ticker0001_Exchange_Sheet!BH40-#REF!</f>
      </c>
      <c r="AJ38" s="51" t="e">
        <f>Ticker0001_Exchange_Sheet!BI40-#REF!</f>
      </c>
      <c r="AK38" s="51" t="e">
        <f>Ticker0001_Exchange_Sheet!BJ40-#REF!</f>
      </c>
      <c r="AL38" s="51" t="e">
        <f>Ticker0001_Exchange_Sheet!BK40-#REF!</f>
      </c>
      <c r="AM38" s="51" t="e">
        <f>Ticker0001_Exchange_Sheet!BL40-#REF!</f>
      </c>
      <c r="AN38" s="51" t="e">
        <f>Ticker0001_Exchange_Sheet!BM40-#REF!</f>
      </c>
      <c r="AO38" s="51" t="e">
        <f>Ticker0001_Exchange_Sheet!BN40-#REF!</f>
      </c>
      <c r="AP38" s="51" t="e">
        <f>Ticker0001_Exchange_Sheet!BO40-#REF!</f>
      </c>
      <c r="AQ38" s="51" t="e">
        <f>Ticker0001_Exchange_Sheet!BP40-#REF!</f>
      </c>
      <c r="AR38" s="51" t="e">
        <f>Ticker0001_Exchange_Sheet!BQ40-#REF!</f>
      </c>
      <c r="AS38" s="51" t="e">
        <f>Ticker0001_Exchange_Sheet!BR40-#REF!</f>
      </c>
      <c r="AT38" s="51" t="e">
        <f>Ticker0001_Exchange_Sheet!BS40-#REF!</f>
      </c>
      <c r="AU38" s="51" t="e">
        <f>Ticker0001_Exchange_Sheet!BT40-#REF!</f>
      </c>
      <c r="AV38" s="51" t="e">
        <f>Ticker0001_Exchange_Sheet!BU40-#REF!</f>
      </c>
      <c r="AW38" s="51" t="e">
        <f>Ticker0001_Exchange_Sheet!BV40-#REF!</f>
      </c>
      <c r="AX38" s="51" t="e">
        <f>Ticker0001_Exchange_Sheet!BW40-#REF!</f>
      </c>
      <c r="AY38" s="51" t="e">
        <f>Ticker0001_Exchange_Sheet!BX40-#REF!</f>
      </c>
      <c r="AZ38" s="51" t="e">
        <f>Ticker0001_Exchange_Sheet!BY40-#REF!</f>
      </c>
      <c r="BA38" s="51" t="e">
        <f>Ticker0001_Exchange_Sheet!BZ40-#REF!</f>
      </c>
      <c r="BB38" s="51" t="e">
        <f>Ticker0001_Exchange_Sheet!CA40-#REF!</f>
      </c>
      <c r="BC38" s="51" t="e">
        <f>Ticker0001_Exchange_Sheet!CB40-#REF!</f>
      </c>
      <c r="BD38" s="51" t="e">
        <f>Ticker0001_Exchange_Sheet!CC40-#REF!</f>
      </c>
      <c r="BE38" s="51" t="e">
        <f>Ticker0001_Exchange_Sheet!CD40-#REF!</f>
      </c>
      <c r="BF38" s="51" t="e">
        <f>Ticker0001_Exchange_Sheet!CE40-#REF!</f>
      </c>
      <c r="BG38" s="51" t="e">
        <f>Ticker0001_Exchange_Sheet!CF40-#REF!</f>
      </c>
      <c r="BH38" s="51" t="e">
        <f>Ticker0001_Exchange_Sheet!CG40-#REF!</f>
      </c>
      <c r="BI38" s="51" t="e">
        <f>Ticker0001_Exchange_Sheet!CH40-#REF!</f>
      </c>
      <c r="BJ38" s="51" t="e">
        <f>Ticker0001_Exchange_Sheet!CI40-#REF!</f>
      </c>
      <c r="BK38" s="51" t="e">
        <f>Ticker0001_Exchange_Sheet!CJ40-#REF!</f>
      </c>
      <c r="BL38" s="51" t="e">
        <f>Ticker0001_Exchange_Sheet!CK40-#REF!</f>
      </c>
      <c r="BM38" s="51" t="e">
        <f>Ticker0001_Exchange_Sheet!CL40-#REF!</f>
      </c>
      <c r="BN38" s="51" t="e">
        <f>Ticker0001_Exchange_Sheet!CM40-#REF!</f>
      </c>
      <c r="BO38" s="51" t="e">
        <f>Ticker0001_Exchange_Sheet!CN40-#REF!</f>
      </c>
      <c r="BP38" s="51" t="e">
        <f>Ticker0001_Exchange_Sheet!CO40-#REF!</f>
      </c>
      <c r="BQ38" s="51" t="e">
        <f>Ticker0001_Exchange_Sheet!CP40-#REF!</f>
      </c>
      <c r="BR38" s="51" t="e">
        <f>Ticker0001_Exchange_Sheet!CQ40-#REF!</f>
      </c>
      <c r="BS38" s="51" t="e">
        <f>Ticker0001_Exchange_Sheet!CR40-#REF!</f>
      </c>
      <c r="BT38" s="51" t="e">
        <f>Ticker0001_Exchange_Sheet!CS40-#REF!</f>
      </c>
      <c r="BU38" s="51" t="e">
        <f>Ticker0001_Exchange_Sheet!CT40-#REF!</f>
      </c>
      <c r="BV38" s="51" t="e">
        <f>Ticker0001_Exchange_Sheet!CU40-#REF!</f>
      </c>
      <c r="BW38" s="51" t="e">
        <f>Ticker0001_Exchange_Sheet!CV40-#REF!</f>
      </c>
      <c r="BX38" s="51" t="e">
        <f>Ticker0001_Exchange_Sheet!CW40-#REF!</f>
      </c>
      <c r="BY38" s="51" t="e">
        <f>Ticker0001_Exchange_Sheet!CX40-#REF!</f>
      </c>
      <c r="BZ38" s="51" t="e">
        <f>Ticker0001_Exchange_Sheet!CY40-#REF!</f>
      </c>
      <c r="CA38" s="51" t="e">
        <f>Ticker0001_Exchange_Sheet!CZ40-#REF!</f>
      </c>
      <c r="CB38" s="51" t="e">
        <f>Ticker0001_Exchange_Sheet!DA40-#REF!</f>
      </c>
      <c r="CC38" s="51" t="e">
        <f>Ticker0001_Exchange_Sheet!DB40-#REF!</f>
      </c>
      <c r="CD38" s="51" t="e">
        <f>Ticker0001_Exchange_Sheet!DC40-#REF!</f>
      </c>
      <c r="CE38" s="51" t="e">
        <f>Ticker0001_Exchange_Sheet!DD40-#REF!</f>
      </c>
      <c r="CF38" s="51" t="e">
        <f>Ticker0001_Exchange_Sheet!DE40-#REF!</f>
      </c>
    </row>
    <row r="39" spans="6:84">
      <c r="F39" s="51" t="e">
        <f>Ticker0001_Exchange_Sheet!F41-#REF!</f>
      </c>
      <c r="G39" s="51" t="e">
        <f>Ticker0001_Exchange_Sheet!G41-#REF!</f>
      </c>
      <c r="H39" s="51" t="e">
        <f>Ticker0001_Exchange_Sheet!H41-#REF!</f>
      </c>
      <c r="I39" s="51" t="e">
        <f>Ticker0001_Exchange_Sheet!I41-#REF!</f>
      </c>
      <c r="J39" s="51" t="e">
        <f>Ticker0001_Exchange_Sheet!J41-#REF!</f>
      </c>
      <c r="K39" s="51" t="e">
        <f>Ticker0001_Exchange_Sheet!K41-#REF!</f>
      </c>
      <c r="L39" s="51" t="e">
        <f>Ticker0001_Exchange_Sheet!L41-#REF!</f>
      </c>
      <c r="M39" s="51" t="e">
        <f>Ticker0001_Exchange_Sheet!M41-#REF!</f>
      </c>
      <c r="N39" s="51" t="e">
        <f>Ticker0001_Exchange_Sheet!N41-#REF!</f>
      </c>
      <c r="O39" s="51" t="e">
        <f>Ticker0001_Exchange_Sheet!O41-#REF!</f>
      </c>
      <c r="P39" s="51" t="e">
        <f>Ticker0001_Exchange_Sheet!P41-#REF!</f>
      </c>
      <c r="Q39" s="51" t="e">
        <f>Ticker0001_Exchange_Sheet!Q41-#REF!</f>
      </c>
      <c r="R39" s="51" t="e">
        <f>Ticker0001_Exchange_Sheet!R41-#REF!</f>
      </c>
      <c r="S39" s="51" t="e">
        <f>Ticker0001_Exchange_Sheet!S41-#REF!</f>
      </c>
      <c r="T39" s="51" t="e">
        <f>Ticker0001_Exchange_Sheet!T41-#REF!</f>
      </c>
      <c r="U39" s="51" t="e">
        <f>Ticker0001_Exchange_Sheet!U41-#REF!</f>
      </c>
      <c r="V39" s="51" t="e">
        <f>Ticker0001_Exchange_Sheet!V41-#REF!</f>
      </c>
      <c r="W39" s="51" t="e">
        <f>Ticker0001_Exchange_Sheet!W41-#REF!</f>
      </c>
      <c r="X39" s="51" t="e">
        <f>Ticker0001_Exchange_Sheet!AK41-#REF!</f>
      </c>
      <c r="Y39" s="51" t="e">
        <f>Ticker0001_Exchange_Sheet!AX41-#REF!</f>
      </c>
      <c r="Z39" s="51" t="e">
        <f>Ticker0001_Exchange_Sheet!AY41-#REF!</f>
      </c>
      <c r="AA39" s="51" t="e">
        <f>Ticker0001_Exchange_Sheet!AZ41-#REF!</f>
      </c>
      <c r="AB39" s="51" t="e">
        <f>Ticker0001_Exchange_Sheet!BA41-#REF!</f>
      </c>
      <c r="AC39" s="51" t="e">
        <f>Ticker0001_Exchange_Sheet!BB41-#REF!</f>
      </c>
      <c r="AD39" s="51" t="e">
        <f>Ticker0001_Exchange_Sheet!BC41-#REF!</f>
      </c>
      <c r="AE39" s="51" t="e">
        <f>Ticker0001_Exchange_Sheet!BD41-#REF!</f>
      </c>
      <c r="AF39" s="51" t="e">
        <f>Ticker0001_Exchange_Sheet!BE41-#REF!</f>
      </c>
      <c r="AG39" s="51" t="e">
        <f>Ticker0001_Exchange_Sheet!BF41-#REF!</f>
      </c>
      <c r="AH39" s="51" t="e">
        <f>Ticker0001_Exchange_Sheet!BG41-#REF!</f>
      </c>
      <c r="AI39" s="51" t="e">
        <f>Ticker0001_Exchange_Sheet!BH41-#REF!</f>
      </c>
      <c r="AJ39" s="51" t="e">
        <f>Ticker0001_Exchange_Sheet!BI41-#REF!</f>
      </c>
      <c r="AK39" s="51" t="e">
        <f>Ticker0001_Exchange_Sheet!BJ41-#REF!</f>
      </c>
      <c r="AL39" s="51" t="e">
        <f>Ticker0001_Exchange_Sheet!BK41-#REF!</f>
      </c>
      <c r="AM39" s="51" t="e">
        <f>Ticker0001_Exchange_Sheet!BL41-#REF!</f>
      </c>
      <c r="AN39" s="51" t="e">
        <f>Ticker0001_Exchange_Sheet!BM41-#REF!</f>
      </c>
      <c r="AO39" s="51" t="e">
        <f>Ticker0001_Exchange_Sheet!BN41-#REF!</f>
      </c>
      <c r="AP39" s="51" t="e">
        <f>Ticker0001_Exchange_Sheet!BO41-#REF!</f>
      </c>
      <c r="AQ39" s="51" t="e">
        <f>Ticker0001_Exchange_Sheet!BP41-#REF!</f>
      </c>
      <c r="AR39" s="51" t="e">
        <f>Ticker0001_Exchange_Sheet!BQ41-#REF!</f>
      </c>
      <c r="AS39" s="51" t="e">
        <f>Ticker0001_Exchange_Sheet!BR41-#REF!</f>
      </c>
      <c r="AT39" s="51" t="e">
        <f>Ticker0001_Exchange_Sheet!BS41-#REF!</f>
      </c>
      <c r="AU39" s="51" t="e">
        <f>Ticker0001_Exchange_Sheet!BT41-#REF!</f>
      </c>
      <c r="AV39" s="51" t="e">
        <f>Ticker0001_Exchange_Sheet!BU41-#REF!</f>
      </c>
      <c r="AW39" s="51" t="e">
        <f>Ticker0001_Exchange_Sheet!BV41-#REF!</f>
      </c>
      <c r="AX39" s="51" t="e">
        <f>Ticker0001_Exchange_Sheet!BW41-#REF!</f>
      </c>
      <c r="AY39" s="51" t="e">
        <f>Ticker0001_Exchange_Sheet!BX41-#REF!</f>
      </c>
      <c r="AZ39" s="51" t="e">
        <f>Ticker0001_Exchange_Sheet!BY41-#REF!</f>
      </c>
      <c r="BA39" s="51" t="e">
        <f>Ticker0001_Exchange_Sheet!BZ41-#REF!</f>
      </c>
      <c r="BB39" s="51" t="e">
        <f>Ticker0001_Exchange_Sheet!CA41-#REF!</f>
      </c>
      <c r="BC39" s="51" t="e">
        <f>Ticker0001_Exchange_Sheet!CB41-#REF!</f>
      </c>
      <c r="BD39" s="51" t="e">
        <f>Ticker0001_Exchange_Sheet!CC41-#REF!</f>
      </c>
      <c r="BE39" s="51" t="e">
        <f>Ticker0001_Exchange_Sheet!CD41-#REF!</f>
      </c>
      <c r="BF39" s="51" t="e">
        <f>Ticker0001_Exchange_Sheet!CE41-#REF!</f>
      </c>
      <c r="BG39" s="51" t="e">
        <f>Ticker0001_Exchange_Sheet!CF41-#REF!</f>
      </c>
      <c r="BH39" s="51" t="e">
        <f>Ticker0001_Exchange_Sheet!CG41-#REF!</f>
      </c>
      <c r="BI39" s="51" t="e">
        <f>Ticker0001_Exchange_Sheet!CH41-#REF!</f>
      </c>
      <c r="BJ39" s="51" t="e">
        <f>Ticker0001_Exchange_Sheet!CI41-#REF!</f>
      </c>
      <c r="BK39" s="51" t="e">
        <f>Ticker0001_Exchange_Sheet!CJ41-#REF!</f>
      </c>
      <c r="BL39" s="51" t="e">
        <f>Ticker0001_Exchange_Sheet!CK41-#REF!</f>
      </c>
      <c r="BM39" s="51" t="e">
        <f>Ticker0001_Exchange_Sheet!CL41-#REF!</f>
      </c>
      <c r="BN39" s="51" t="e">
        <f>Ticker0001_Exchange_Sheet!CM41-#REF!</f>
      </c>
      <c r="BO39" s="51" t="e">
        <f>Ticker0001_Exchange_Sheet!CN41-#REF!</f>
      </c>
      <c r="BP39" s="51" t="e">
        <f>Ticker0001_Exchange_Sheet!CO41-#REF!</f>
      </c>
      <c r="BQ39" s="51" t="e">
        <f>Ticker0001_Exchange_Sheet!CP41-#REF!</f>
      </c>
      <c r="BR39" s="51" t="e">
        <f>Ticker0001_Exchange_Sheet!CQ41-#REF!</f>
      </c>
      <c r="BS39" s="51" t="e">
        <f>Ticker0001_Exchange_Sheet!CR41-#REF!</f>
      </c>
      <c r="BT39" s="51" t="e">
        <f>Ticker0001_Exchange_Sheet!CS41-#REF!</f>
      </c>
      <c r="BU39" s="51" t="e">
        <f>Ticker0001_Exchange_Sheet!CT41-#REF!</f>
      </c>
      <c r="BV39" s="51" t="e">
        <f>Ticker0001_Exchange_Sheet!CU41-#REF!</f>
      </c>
      <c r="BW39" s="51" t="e">
        <f>Ticker0001_Exchange_Sheet!CV41-#REF!</f>
      </c>
      <c r="BX39" s="51" t="e">
        <f>Ticker0001_Exchange_Sheet!CW41-#REF!</f>
      </c>
      <c r="BY39" s="51" t="e">
        <f>Ticker0001_Exchange_Sheet!CX41-#REF!</f>
      </c>
      <c r="BZ39" s="51" t="e">
        <f>Ticker0001_Exchange_Sheet!CY41-#REF!</f>
      </c>
      <c r="CA39" s="51" t="e">
        <f>Ticker0001_Exchange_Sheet!CZ41-#REF!</f>
      </c>
      <c r="CB39" s="51" t="e">
        <f>Ticker0001_Exchange_Sheet!DA41-#REF!</f>
      </c>
      <c r="CC39" s="51" t="e">
        <f>Ticker0001_Exchange_Sheet!DB41-#REF!</f>
      </c>
      <c r="CD39" s="51" t="e">
        <f>Ticker0001_Exchange_Sheet!DC41-#REF!</f>
      </c>
      <c r="CE39" s="51" t="e">
        <f>Ticker0001_Exchange_Sheet!DD41-#REF!</f>
      </c>
      <c r="CF39" s="51" t="e">
        <f>Ticker0001_Exchange_Sheet!DE41-#REF!</f>
      </c>
    </row>
    <row r="40" spans="6:84">
      <c r="F40" s="51" t="e">
        <f>Ticker0001_Exchange_Sheet!F42-#REF!</f>
      </c>
      <c r="G40" s="51" t="e">
        <f>Ticker0001_Exchange_Sheet!G42-#REF!</f>
      </c>
      <c r="H40" s="51" t="e">
        <f>Ticker0001_Exchange_Sheet!H42-#REF!</f>
      </c>
      <c r="I40" s="51" t="e">
        <f>Ticker0001_Exchange_Sheet!I42-#REF!</f>
      </c>
      <c r="J40" s="51" t="e">
        <f>Ticker0001_Exchange_Sheet!J42-#REF!</f>
      </c>
      <c r="K40" s="51" t="e">
        <f>Ticker0001_Exchange_Sheet!K42-#REF!</f>
      </c>
      <c r="L40" s="51" t="e">
        <f>Ticker0001_Exchange_Sheet!L42-#REF!</f>
      </c>
      <c r="M40" s="51" t="e">
        <f>Ticker0001_Exchange_Sheet!M42-#REF!</f>
      </c>
      <c r="N40" s="51" t="e">
        <f>Ticker0001_Exchange_Sheet!N42-#REF!</f>
      </c>
      <c r="O40" s="51" t="e">
        <f>Ticker0001_Exchange_Sheet!O42-#REF!</f>
      </c>
      <c r="P40" s="51" t="e">
        <f>Ticker0001_Exchange_Sheet!P42-#REF!</f>
      </c>
      <c r="Q40" s="51" t="e">
        <f>Ticker0001_Exchange_Sheet!Q42-#REF!</f>
      </c>
      <c r="R40" s="51" t="e">
        <f>Ticker0001_Exchange_Sheet!R42-#REF!</f>
      </c>
      <c r="S40" s="51" t="e">
        <f>Ticker0001_Exchange_Sheet!S42-#REF!</f>
      </c>
      <c r="T40" s="51" t="e">
        <f>Ticker0001_Exchange_Sheet!T42-#REF!</f>
      </c>
      <c r="U40" s="51" t="e">
        <f>Ticker0001_Exchange_Sheet!U42-#REF!</f>
      </c>
      <c r="V40" s="51" t="e">
        <f>Ticker0001_Exchange_Sheet!V42-#REF!</f>
      </c>
      <c r="W40" s="51" t="e">
        <f>Ticker0001_Exchange_Sheet!W42-#REF!</f>
      </c>
      <c r="X40" s="51" t="e">
        <f>Ticker0001_Exchange_Sheet!AK42-#REF!</f>
      </c>
      <c r="Y40" s="51" t="e">
        <f>Ticker0001_Exchange_Sheet!AX42-#REF!</f>
      </c>
      <c r="Z40" s="51" t="e">
        <f>Ticker0001_Exchange_Sheet!AY42-#REF!</f>
      </c>
      <c r="AA40" s="51" t="e">
        <f>Ticker0001_Exchange_Sheet!AZ42-#REF!</f>
      </c>
      <c r="AB40" s="51" t="e">
        <f>Ticker0001_Exchange_Sheet!BA42-#REF!</f>
      </c>
      <c r="AC40" s="51" t="e">
        <f>Ticker0001_Exchange_Sheet!BB42-#REF!</f>
      </c>
      <c r="AD40" s="51" t="e">
        <f>Ticker0001_Exchange_Sheet!BC42-#REF!</f>
      </c>
      <c r="AE40" s="51" t="e">
        <f>Ticker0001_Exchange_Sheet!BD42-#REF!</f>
      </c>
      <c r="AF40" s="51" t="e">
        <f>Ticker0001_Exchange_Sheet!BE42-#REF!</f>
      </c>
      <c r="AG40" s="51" t="e">
        <f>Ticker0001_Exchange_Sheet!BF42-#REF!</f>
      </c>
      <c r="AH40" s="51" t="e">
        <f>Ticker0001_Exchange_Sheet!BG42-#REF!</f>
      </c>
      <c r="AI40" s="51" t="e">
        <f>Ticker0001_Exchange_Sheet!BH42-#REF!</f>
      </c>
      <c r="AJ40" s="51" t="e">
        <f>Ticker0001_Exchange_Sheet!BI42-#REF!</f>
      </c>
      <c r="AK40" s="51" t="e">
        <f>Ticker0001_Exchange_Sheet!BJ42-#REF!</f>
      </c>
      <c r="AL40" s="51" t="e">
        <f>Ticker0001_Exchange_Sheet!BK42-#REF!</f>
      </c>
      <c r="AM40" s="51" t="e">
        <f>Ticker0001_Exchange_Sheet!BL42-#REF!</f>
      </c>
      <c r="AN40" s="51" t="e">
        <f>Ticker0001_Exchange_Sheet!BM42-#REF!</f>
      </c>
      <c r="AO40" s="51" t="e">
        <f>Ticker0001_Exchange_Sheet!BN42-#REF!</f>
      </c>
      <c r="AP40" s="51" t="e">
        <f>Ticker0001_Exchange_Sheet!BO42-#REF!</f>
      </c>
      <c r="AQ40" s="51" t="e">
        <f>Ticker0001_Exchange_Sheet!BP42-#REF!</f>
      </c>
      <c r="AR40" s="51" t="e">
        <f>Ticker0001_Exchange_Sheet!BQ42-#REF!</f>
      </c>
      <c r="AS40" s="51" t="e">
        <f>Ticker0001_Exchange_Sheet!BR42-#REF!</f>
      </c>
      <c r="AT40" s="51" t="e">
        <f>Ticker0001_Exchange_Sheet!BS42-#REF!</f>
      </c>
      <c r="AU40" s="51" t="e">
        <f>Ticker0001_Exchange_Sheet!BT42-#REF!</f>
      </c>
      <c r="AV40" s="51" t="e">
        <f>Ticker0001_Exchange_Sheet!BU42-#REF!</f>
      </c>
      <c r="AW40" s="51" t="e">
        <f>Ticker0001_Exchange_Sheet!BV42-#REF!</f>
      </c>
      <c r="AX40" s="51" t="e">
        <f>Ticker0001_Exchange_Sheet!BW42-#REF!</f>
      </c>
      <c r="AY40" s="51" t="e">
        <f>Ticker0001_Exchange_Sheet!BX42-#REF!</f>
      </c>
      <c r="AZ40" s="51" t="e">
        <f>Ticker0001_Exchange_Sheet!BY42-#REF!</f>
      </c>
      <c r="BA40" s="51" t="e">
        <f>Ticker0001_Exchange_Sheet!BZ42-#REF!</f>
      </c>
      <c r="BB40" s="51" t="e">
        <f>Ticker0001_Exchange_Sheet!CA42-#REF!</f>
      </c>
      <c r="BC40" s="51" t="e">
        <f>Ticker0001_Exchange_Sheet!CB42-#REF!</f>
      </c>
      <c r="BD40" s="51" t="e">
        <f>Ticker0001_Exchange_Sheet!CC42-#REF!</f>
      </c>
      <c r="BE40" s="51" t="e">
        <f>Ticker0001_Exchange_Sheet!CD42-#REF!</f>
      </c>
      <c r="BF40" s="51" t="e">
        <f>Ticker0001_Exchange_Sheet!CE42-#REF!</f>
      </c>
      <c r="BG40" s="51" t="e">
        <f>Ticker0001_Exchange_Sheet!CF42-#REF!</f>
      </c>
      <c r="BH40" s="51" t="e">
        <f>Ticker0001_Exchange_Sheet!CG42-#REF!</f>
      </c>
      <c r="BI40" s="51" t="e">
        <f>Ticker0001_Exchange_Sheet!CH42-#REF!</f>
      </c>
      <c r="BJ40" s="51" t="e">
        <f>Ticker0001_Exchange_Sheet!CI42-#REF!</f>
      </c>
      <c r="BK40" s="51" t="e">
        <f>Ticker0001_Exchange_Sheet!CJ42-#REF!</f>
      </c>
      <c r="BL40" s="51" t="e">
        <f>Ticker0001_Exchange_Sheet!CK42-#REF!</f>
      </c>
      <c r="BM40" s="51" t="e">
        <f>Ticker0001_Exchange_Sheet!CL42-#REF!</f>
      </c>
      <c r="BN40" s="51" t="e">
        <f>Ticker0001_Exchange_Sheet!CM42-#REF!</f>
      </c>
      <c r="BO40" s="51" t="e">
        <f>Ticker0001_Exchange_Sheet!CN42-#REF!</f>
      </c>
      <c r="BP40" s="51" t="e">
        <f>Ticker0001_Exchange_Sheet!CO42-#REF!</f>
      </c>
      <c r="BQ40" s="51" t="e">
        <f>Ticker0001_Exchange_Sheet!CP42-#REF!</f>
      </c>
      <c r="BR40" s="51" t="e">
        <f>Ticker0001_Exchange_Sheet!CQ42-#REF!</f>
      </c>
      <c r="BS40" s="51" t="e">
        <f>Ticker0001_Exchange_Sheet!CR42-#REF!</f>
      </c>
      <c r="BT40" s="51" t="e">
        <f>Ticker0001_Exchange_Sheet!CS42-#REF!</f>
      </c>
      <c r="BU40" s="51" t="e">
        <f>Ticker0001_Exchange_Sheet!CT42-#REF!</f>
      </c>
      <c r="BV40" s="51" t="e">
        <f>Ticker0001_Exchange_Sheet!CU42-#REF!</f>
      </c>
      <c r="BW40" s="51" t="e">
        <f>Ticker0001_Exchange_Sheet!CV42-#REF!</f>
      </c>
      <c r="BX40" s="51" t="e">
        <f>Ticker0001_Exchange_Sheet!CW42-#REF!</f>
      </c>
      <c r="BY40" s="51" t="e">
        <f>Ticker0001_Exchange_Sheet!CX42-#REF!</f>
      </c>
      <c r="BZ40" s="51" t="e">
        <f>Ticker0001_Exchange_Sheet!CY42-#REF!</f>
      </c>
      <c r="CA40" s="51" t="e">
        <f>Ticker0001_Exchange_Sheet!CZ42-#REF!</f>
      </c>
      <c r="CB40" s="51" t="e">
        <f>Ticker0001_Exchange_Sheet!DA42-#REF!</f>
      </c>
      <c r="CC40" s="51" t="e">
        <f>Ticker0001_Exchange_Sheet!DB42-#REF!</f>
      </c>
      <c r="CD40" s="51" t="e">
        <f>Ticker0001_Exchange_Sheet!DC42-#REF!</f>
      </c>
      <c r="CE40" s="51" t="e">
        <f>Ticker0001_Exchange_Sheet!DD42-#REF!</f>
      </c>
      <c r="CF40" s="51" t="e">
        <f>Ticker0001_Exchange_Sheet!DE42-#REF!</f>
      </c>
    </row>
    <row r="41" spans="6:84">
      <c r="F41" s="51" t="e">
        <f>Ticker0001_Exchange_Sheet!F43-#REF!</f>
      </c>
      <c r="G41" s="51" t="e">
        <f>Ticker0001_Exchange_Sheet!G43-#REF!</f>
      </c>
      <c r="H41" s="51" t="e">
        <f>Ticker0001_Exchange_Sheet!H43-#REF!</f>
      </c>
      <c r="I41" s="51" t="e">
        <f>Ticker0001_Exchange_Sheet!I43-#REF!</f>
      </c>
      <c r="J41" s="51" t="e">
        <f>Ticker0001_Exchange_Sheet!J43-#REF!</f>
      </c>
      <c r="K41" s="51" t="e">
        <f>Ticker0001_Exchange_Sheet!K43-#REF!</f>
      </c>
      <c r="L41" s="51" t="e">
        <f>Ticker0001_Exchange_Sheet!L43-#REF!</f>
      </c>
      <c r="M41" s="51" t="e">
        <f>Ticker0001_Exchange_Sheet!M43-#REF!</f>
      </c>
      <c r="N41" s="51" t="e">
        <f>Ticker0001_Exchange_Sheet!N43-#REF!</f>
      </c>
      <c r="O41" s="51" t="e">
        <f>Ticker0001_Exchange_Sheet!O43-#REF!</f>
      </c>
      <c r="P41" s="51" t="e">
        <f>Ticker0001_Exchange_Sheet!P43-#REF!</f>
      </c>
      <c r="Q41" s="51" t="e">
        <f>Ticker0001_Exchange_Sheet!Q43-#REF!</f>
      </c>
      <c r="R41" s="51" t="e">
        <f>Ticker0001_Exchange_Sheet!R43-#REF!</f>
      </c>
      <c r="S41" s="51" t="e">
        <f>Ticker0001_Exchange_Sheet!S43-#REF!</f>
      </c>
      <c r="T41" s="51" t="e">
        <f>Ticker0001_Exchange_Sheet!T43-#REF!</f>
      </c>
      <c r="U41" s="51" t="e">
        <f>Ticker0001_Exchange_Sheet!U43-#REF!</f>
      </c>
      <c r="V41" s="51" t="e">
        <f>Ticker0001_Exchange_Sheet!V43-#REF!</f>
      </c>
      <c r="W41" s="51" t="e">
        <f>Ticker0001_Exchange_Sheet!W43-#REF!</f>
      </c>
      <c r="X41" s="51" t="e">
        <f>Ticker0001_Exchange_Sheet!AK43-#REF!</f>
      </c>
      <c r="Y41" s="51" t="e">
        <f>Ticker0001_Exchange_Sheet!AX43-#REF!</f>
      </c>
      <c r="Z41" s="51" t="e">
        <f>Ticker0001_Exchange_Sheet!AY43-#REF!</f>
      </c>
      <c r="AA41" s="51" t="e">
        <f>Ticker0001_Exchange_Sheet!AZ43-#REF!</f>
      </c>
      <c r="AB41" s="51" t="e">
        <f>Ticker0001_Exchange_Sheet!BA43-#REF!</f>
      </c>
      <c r="AC41" s="51" t="e">
        <f>Ticker0001_Exchange_Sheet!BB43-#REF!</f>
      </c>
      <c r="AD41" s="51" t="e">
        <f>Ticker0001_Exchange_Sheet!BC43-#REF!</f>
      </c>
      <c r="AE41" s="51" t="e">
        <f>Ticker0001_Exchange_Sheet!BD43-#REF!</f>
      </c>
      <c r="AF41" s="51" t="e">
        <f>Ticker0001_Exchange_Sheet!BE43-#REF!</f>
      </c>
      <c r="AG41" s="51" t="e">
        <f>Ticker0001_Exchange_Sheet!BF43-#REF!</f>
      </c>
      <c r="AH41" s="51" t="e">
        <f>Ticker0001_Exchange_Sheet!BG43-#REF!</f>
      </c>
      <c r="AI41" s="51" t="e">
        <f>Ticker0001_Exchange_Sheet!BH43-#REF!</f>
      </c>
      <c r="AJ41" s="51" t="e">
        <f>Ticker0001_Exchange_Sheet!BI43-#REF!</f>
      </c>
      <c r="AK41" s="51" t="e">
        <f>Ticker0001_Exchange_Sheet!BJ43-#REF!</f>
      </c>
      <c r="AL41" s="51" t="e">
        <f>Ticker0001_Exchange_Sheet!BK43-#REF!</f>
      </c>
      <c r="AM41" s="51" t="e">
        <f>Ticker0001_Exchange_Sheet!BL43-#REF!</f>
      </c>
      <c r="AN41" s="51" t="e">
        <f>Ticker0001_Exchange_Sheet!BM43-#REF!</f>
      </c>
      <c r="AO41" s="51" t="e">
        <f>Ticker0001_Exchange_Sheet!BN43-#REF!</f>
      </c>
      <c r="AP41" s="51" t="e">
        <f>Ticker0001_Exchange_Sheet!BO43-#REF!</f>
      </c>
      <c r="AQ41" s="51" t="e">
        <f>Ticker0001_Exchange_Sheet!BP43-#REF!</f>
      </c>
      <c r="AR41" s="51" t="e">
        <f>Ticker0001_Exchange_Sheet!BQ43-#REF!</f>
      </c>
      <c r="AS41" s="51" t="e">
        <f>Ticker0001_Exchange_Sheet!BR43-#REF!</f>
      </c>
      <c r="AT41" s="51" t="e">
        <f>Ticker0001_Exchange_Sheet!BS43-#REF!</f>
      </c>
      <c r="AU41" s="51" t="e">
        <f>Ticker0001_Exchange_Sheet!BT43-#REF!</f>
      </c>
      <c r="AV41" s="51" t="e">
        <f>Ticker0001_Exchange_Sheet!BU43-#REF!</f>
      </c>
      <c r="AW41" s="51" t="e">
        <f>Ticker0001_Exchange_Sheet!BV43-#REF!</f>
      </c>
      <c r="AX41" s="51" t="e">
        <f>Ticker0001_Exchange_Sheet!BW43-#REF!</f>
      </c>
      <c r="AY41" s="51" t="e">
        <f>Ticker0001_Exchange_Sheet!BX43-#REF!</f>
      </c>
      <c r="AZ41" s="51" t="e">
        <f>Ticker0001_Exchange_Sheet!BY43-#REF!</f>
      </c>
      <c r="BA41" s="51" t="e">
        <f>Ticker0001_Exchange_Sheet!BZ43-#REF!</f>
      </c>
      <c r="BB41" s="51" t="e">
        <f>Ticker0001_Exchange_Sheet!CA43-#REF!</f>
      </c>
      <c r="BC41" s="51" t="e">
        <f>Ticker0001_Exchange_Sheet!CB43-#REF!</f>
      </c>
      <c r="BD41" s="51" t="e">
        <f>Ticker0001_Exchange_Sheet!CC43-#REF!</f>
      </c>
      <c r="BE41" s="51" t="e">
        <f>Ticker0001_Exchange_Sheet!CD43-#REF!</f>
      </c>
      <c r="BF41" s="51" t="e">
        <f>Ticker0001_Exchange_Sheet!CE43-#REF!</f>
      </c>
      <c r="BG41" s="51" t="e">
        <f>Ticker0001_Exchange_Sheet!CF43-#REF!</f>
      </c>
      <c r="BH41" s="51" t="e">
        <f>Ticker0001_Exchange_Sheet!CG43-#REF!</f>
      </c>
      <c r="BI41" s="51" t="e">
        <f>Ticker0001_Exchange_Sheet!CH43-#REF!</f>
      </c>
      <c r="BJ41" s="51" t="e">
        <f>Ticker0001_Exchange_Sheet!CI43-#REF!</f>
      </c>
      <c r="BK41" s="51" t="e">
        <f>Ticker0001_Exchange_Sheet!CJ43-#REF!</f>
      </c>
      <c r="BL41" s="51" t="e">
        <f>Ticker0001_Exchange_Sheet!CK43-#REF!</f>
      </c>
      <c r="BM41" s="51" t="e">
        <f>Ticker0001_Exchange_Sheet!CL43-#REF!</f>
      </c>
      <c r="BN41" s="51" t="e">
        <f>Ticker0001_Exchange_Sheet!CM43-#REF!</f>
      </c>
      <c r="BO41" s="51" t="e">
        <f>Ticker0001_Exchange_Sheet!CN43-#REF!</f>
      </c>
      <c r="BP41" s="51" t="e">
        <f>Ticker0001_Exchange_Sheet!CO43-#REF!</f>
      </c>
      <c r="BQ41" s="51" t="e">
        <f>Ticker0001_Exchange_Sheet!CP43-#REF!</f>
      </c>
      <c r="BR41" s="51" t="e">
        <f>Ticker0001_Exchange_Sheet!CQ43-#REF!</f>
      </c>
      <c r="BS41" s="51" t="e">
        <f>Ticker0001_Exchange_Sheet!CR43-#REF!</f>
      </c>
      <c r="BT41" s="51" t="e">
        <f>Ticker0001_Exchange_Sheet!CS43-#REF!</f>
      </c>
      <c r="BU41" s="51" t="e">
        <f>Ticker0001_Exchange_Sheet!CT43-#REF!</f>
      </c>
      <c r="BV41" s="51" t="e">
        <f>Ticker0001_Exchange_Sheet!CU43-#REF!</f>
      </c>
      <c r="BW41" s="51" t="e">
        <f>Ticker0001_Exchange_Sheet!CV43-#REF!</f>
      </c>
      <c r="BX41" s="51" t="e">
        <f>Ticker0001_Exchange_Sheet!CW43-#REF!</f>
      </c>
      <c r="BY41" s="51" t="e">
        <f>Ticker0001_Exchange_Sheet!CX43-#REF!</f>
      </c>
      <c r="BZ41" s="51" t="e">
        <f>Ticker0001_Exchange_Sheet!CY43-#REF!</f>
      </c>
      <c r="CA41" s="51" t="e">
        <f>Ticker0001_Exchange_Sheet!CZ43-#REF!</f>
      </c>
      <c r="CB41" s="51" t="e">
        <f>Ticker0001_Exchange_Sheet!DA43-#REF!</f>
      </c>
      <c r="CC41" s="51" t="e">
        <f>Ticker0001_Exchange_Sheet!DB43-#REF!</f>
      </c>
      <c r="CD41" s="51" t="e">
        <f>Ticker0001_Exchange_Sheet!DC43-#REF!</f>
      </c>
      <c r="CE41" s="51" t="e">
        <f>Ticker0001_Exchange_Sheet!DD43-#REF!</f>
      </c>
      <c r="CF41" s="51" t="e">
        <f>Ticker0001_Exchange_Sheet!DE43-#REF!</f>
      </c>
    </row>
    <row r="42" spans="6:84">
      <c r="F42" s="51" t="e">
        <f>Ticker0001_Exchange_Sheet!F44-#REF!</f>
      </c>
      <c r="G42" s="51" t="e">
        <f>Ticker0001_Exchange_Sheet!G44-#REF!</f>
      </c>
      <c r="H42" s="51" t="e">
        <f>Ticker0001_Exchange_Sheet!H44-#REF!</f>
      </c>
      <c r="I42" s="51" t="e">
        <f>Ticker0001_Exchange_Sheet!I44-#REF!</f>
      </c>
      <c r="J42" s="51" t="e">
        <f>Ticker0001_Exchange_Sheet!J44-#REF!</f>
      </c>
      <c r="K42" s="51" t="e">
        <f>Ticker0001_Exchange_Sheet!K44-#REF!</f>
      </c>
      <c r="L42" s="51" t="e">
        <f>Ticker0001_Exchange_Sheet!L44-#REF!</f>
      </c>
      <c r="M42" s="51" t="e">
        <f>Ticker0001_Exchange_Sheet!M44-#REF!</f>
      </c>
      <c r="N42" s="51" t="e">
        <f>Ticker0001_Exchange_Sheet!N44-#REF!</f>
      </c>
      <c r="O42" s="51" t="e">
        <f>Ticker0001_Exchange_Sheet!O44-#REF!</f>
      </c>
      <c r="P42" s="51" t="e">
        <f>Ticker0001_Exchange_Sheet!P44-#REF!</f>
      </c>
      <c r="Q42" s="51" t="e">
        <f>Ticker0001_Exchange_Sheet!Q44-#REF!</f>
      </c>
      <c r="R42" s="51" t="e">
        <f>Ticker0001_Exchange_Sheet!R44-#REF!</f>
      </c>
      <c r="S42" s="51" t="e">
        <f>Ticker0001_Exchange_Sheet!S44-#REF!</f>
      </c>
      <c r="T42" s="51" t="e">
        <f>Ticker0001_Exchange_Sheet!T44-#REF!</f>
      </c>
      <c r="U42" s="51" t="e">
        <f>Ticker0001_Exchange_Sheet!U44-#REF!</f>
      </c>
      <c r="V42" s="51" t="e">
        <f>Ticker0001_Exchange_Sheet!V44-#REF!</f>
      </c>
      <c r="W42" s="51" t="e">
        <f>Ticker0001_Exchange_Sheet!W44-#REF!</f>
      </c>
      <c r="X42" s="51" t="e">
        <f>Ticker0001_Exchange_Sheet!AK44-#REF!</f>
      </c>
      <c r="Y42" s="51" t="e">
        <f>Ticker0001_Exchange_Sheet!AX44-#REF!</f>
      </c>
      <c r="Z42" s="51" t="e">
        <f>Ticker0001_Exchange_Sheet!AY44-#REF!</f>
      </c>
      <c r="AA42" s="51" t="e">
        <f>Ticker0001_Exchange_Sheet!AZ44-#REF!</f>
      </c>
      <c r="AB42" s="51" t="e">
        <f>Ticker0001_Exchange_Sheet!BA44-#REF!</f>
      </c>
      <c r="AC42" s="51" t="e">
        <f>Ticker0001_Exchange_Sheet!BB44-#REF!</f>
      </c>
      <c r="AD42" s="51" t="e">
        <f>Ticker0001_Exchange_Sheet!BC44-#REF!</f>
      </c>
      <c r="AE42" s="51" t="e">
        <f>Ticker0001_Exchange_Sheet!BD44-#REF!</f>
      </c>
      <c r="AF42" s="51" t="e">
        <f>Ticker0001_Exchange_Sheet!BE44-#REF!</f>
      </c>
      <c r="AG42" s="51" t="e">
        <f>Ticker0001_Exchange_Sheet!BF44-#REF!</f>
      </c>
      <c r="AH42" s="51" t="e">
        <f>Ticker0001_Exchange_Sheet!BG44-#REF!</f>
      </c>
      <c r="AI42" s="51" t="e">
        <f>Ticker0001_Exchange_Sheet!BH44-#REF!</f>
      </c>
      <c r="AJ42" s="51" t="e">
        <f>Ticker0001_Exchange_Sheet!BI44-#REF!</f>
      </c>
      <c r="AK42" s="51" t="e">
        <f>Ticker0001_Exchange_Sheet!BJ44-#REF!</f>
      </c>
      <c r="AL42" s="51" t="e">
        <f>Ticker0001_Exchange_Sheet!BK44-#REF!</f>
      </c>
      <c r="AM42" s="51" t="e">
        <f>Ticker0001_Exchange_Sheet!BL44-#REF!</f>
      </c>
      <c r="AN42" s="51" t="e">
        <f>Ticker0001_Exchange_Sheet!BM44-#REF!</f>
      </c>
      <c r="AO42" s="51" t="e">
        <f>Ticker0001_Exchange_Sheet!BN44-#REF!</f>
      </c>
      <c r="AP42" s="51" t="e">
        <f>Ticker0001_Exchange_Sheet!BO44-#REF!</f>
      </c>
      <c r="AQ42" s="51" t="e">
        <f>Ticker0001_Exchange_Sheet!BP44-#REF!</f>
      </c>
      <c r="AR42" s="51" t="e">
        <f>Ticker0001_Exchange_Sheet!BQ44-#REF!</f>
      </c>
      <c r="AS42" s="51" t="e">
        <f>Ticker0001_Exchange_Sheet!BR44-#REF!</f>
      </c>
      <c r="AT42" s="51" t="e">
        <f>Ticker0001_Exchange_Sheet!BS44-#REF!</f>
      </c>
      <c r="AU42" s="51" t="e">
        <f>Ticker0001_Exchange_Sheet!BT44-#REF!</f>
      </c>
      <c r="AV42" s="51" t="e">
        <f>Ticker0001_Exchange_Sheet!BU44-#REF!</f>
      </c>
      <c r="AW42" s="51" t="e">
        <f>Ticker0001_Exchange_Sheet!BV44-#REF!</f>
      </c>
      <c r="AX42" s="51" t="e">
        <f>Ticker0001_Exchange_Sheet!BW44-#REF!</f>
      </c>
      <c r="AY42" s="51" t="e">
        <f>Ticker0001_Exchange_Sheet!BX44-#REF!</f>
      </c>
      <c r="AZ42" s="51" t="e">
        <f>Ticker0001_Exchange_Sheet!BY44-#REF!</f>
      </c>
      <c r="BA42" s="51" t="e">
        <f>Ticker0001_Exchange_Sheet!BZ44-#REF!</f>
      </c>
      <c r="BB42" s="51" t="e">
        <f>Ticker0001_Exchange_Sheet!CA44-#REF!</f>
      </c>
      <c r="BC42" s="51" t="e">
        <f>Ticker0001_Exchange_Sheet!CB44-#REF!</f>
      </c>
      <c r="BD42" s="51" t="e">
        <f>Ticker0001_Exchange_Sheet!CC44-#REF!</f>
      </c>
      <c r="BE42" s="51" t="e">
        <f>Ticker0001_Exchange_Sheet!CD44-#REF!</f>
      </c>
      <c r="BF42" s="51" t="e">
        <f>Ticker0001_Exchange_Sheet!CE44-#REF!</f>
      </c>
      <c r="BG42" s="51" t="e">
        <f>Ticker0001_Exchange_Sheet!CF44-#REF!</f>
      </c>
      <c r="BH42" s="51" t="e">
        <f>Ticker0001_Exchange_Sheet!CG44-#REF!</f>
      </c>
      <c r="BI42" s="51" t="e">
        <f>Ticker0001_Exchange_Sheet!CH44-#REF!</f>
      </c>
      <c r="BJ42" s="51" t="e">
        <f>Ticker0001_Exchange_Sheet!CI44-#REF!</f>
      </c>
      <c r="BK42" s="51" t="e">
        <f>Ticker0001_Exchange_Sheet!CJ44-#REF!</f>
      </c>
      <c r="BL42" s="51" t="e">
        <f>Ticker0001_Exchange_Sheet!CK44-#REF!</f>
      </c>
      <c r="BM42" s="51" t="e">
        <f>Ticker0001_Exchange_Sheet!CL44-#REF!</f>
      </c>
      <c r="BN42" s="51" t="e">
        <f>Ticker0001_Exchange_Sheet!CM44-#REF!</f>
      </c>
      <c r="BO42" s="51" t="e">
        <f>Ticker0001_Exchange_Sheet!CN44-#REF!</f>
      </c>
      <c r="BP42" s="51" t="e">
        <f>Ticker0001_Exchange_Sheet!CO44-#REF!</f>
      </c>
      <c r="BQ42" s="51" t="e">
        <f>Ticker0001_Exchange_Sheet!CP44-#REF!</f>
      </c>
      <c r="BR42" s="51" t="e">
        <f>Ticker0001_Exchange_Sheet!CQ44-#REF!</f>
      </c>
      <c r="BS42" s="51" t="e">
        <f>Ticker0001_Exchange_Sheet!CR44-#REF!</f>
      </c>
      <c r="BT42" s="51" t="e">
        <f>Ticker0001_Exchange_Sheet!CS44-#REF!</f>
      </c>
      <c r="BU42" s="51" t="e">
        <f>Ticker0001_Exchange_Sheet!CT44-#REF!</f>
      </c>
      <c r="BV42" s="51" t="e">
        <f>Ticker0001_Exchange_Sheet!CU44-#REF!</f>
      </c>
      <c r="BW42" s="51" t="e">
        <f>Ticker0001_Exchange_Sheet!CV44-#REF!</f>
      </c>
      <c r="BX42" s="51" t="e">
        <f>Ticker0001_Exchange_Sheet!CW44-#REF!</f>
      </c>
      <c r="BY42" s="51" t="e">
        <f>Ticker0001_Exchange_Sheet!CX44-#REF!</f>
      </c>
      <c r="BZ42" s="51" t="e">
        <f>Ticker0001_Exchange_Sheet!CY44-#REF!</f>
      </c>
      <c r="CA42" s="51" t="e">
        <f>Ticker0001_Exchange_Sheet!CZ44-#REF!</f>
      </c>
      <c r="CB42" s="51" t="e">
        <f>Ticker0001_Exchange_Sheet!DA44-#REF!</f>
      </c>
      <c r="CC42" s="51" t="e">
        <f>Ticker0001_Exchange_Sheet!DB44-#REF!</f>
      </c>
      <c r="CD42" s="51" t="e">
        <f>Ticker0001_Exchange_Sheet!DC44-#REF!</f>
      </c>
      <c r="CE42" s="51" t="e">
        <f>Ticker0001_Exchange_Sheet!DD44-#REF!</f>
      </c>
      <c r="CF42" s="51" t="e">
        <f>Ticker0001_Exchange_Sheet!DE44-#REF!</f>
      </c>
    </row>
    <row r="43" spans="6:84">
      <c r="F43" s="51" t="e">
        <f>Ticker0001_Exchange_Sheet!F45-#REF!</f>
      </c>
      <c r="G43" s="51" t="e">
        <f>Ticker0001_Exchange_Sheet!G45-#REF!</f>
      </c>
      <c r="H43" s="51" t="e">
        <f>Ticker0001_Exchange_Sheet!H45-#REF!</f>
      </c>
      <c r="I43" s="51" t="e">
        <f>Ticker0001_Exchange_Sheet!I45-#REF!</f>
      </c>
      <c r="J43" s="51" t="e">
        <f>Ticker0001_Exchange_Sheet!J45-#REF!</f>
      </c>
      <c r="K43" s="51" t="e">
        <f>Ticker0001_Exchange_Sheet!K45-#REF!</f>
      </c>
      <c r="L43" s="51" t="e">
        <f>Ticker0001_Exchange_Sheet!L45-#REF!</f>
      </c>
      <c r="M43" s="51" t="e">
        <f>Ticker0001_Exchange_Sheet!M45-#REF!</f>
      </c>
      <c r="N43" s="51" t="e">
        <f>Ticker0001_Exchange_Sheet!N45-#REF!</f>
      </c>
      <c r="O43" s="51" t="e">
        <f>Ticker0001_Exchange_Sheet!O45-#REF!</f>
      </c>
      <c r="P43" s="51" t="e">
        <f>Ticker0001_Exchange_Sheet!P45-#REF!</f>
      </c>
      <c r="Q43" s="51" t="e">
        <f>Ticker0001_Exchange_Sheet!Q45-#REF!</f>
      </c>
      <c r="R43" s="51" t="e">
        <f>Ticker0001_Exchange_Sheet!R45-#REF!</f>
      </c>
      <c r="S43" s="51" t="e">
        <f>Ticker0001_Exchange_Sheet!S45-#REF!</f>
      </c>
      <c r="T43" s="51" t="e">
        <f>Ticker0001_Exchange_Sheet!T45-#REF!</f>
      </c>
      <c r="U43" s="51" t="e">
        <f>Ticker0001_Exchange_Sheet!U45-#REF!</f>
      </c>
      <c r="V43" s="51" t="e">
        <f>Ticker0001_Exchange_Sheet!V45-#REF!</f>
      </c>
      <c r="W43" s="51" t="e">
        <f>Ticker0001_Exchange_Sheet!W45-#REF!</f>
      </c>
      <c r="X43" s="51" t="e">
        <f>Ticker0001_Exchange_Sheet!AK45-#REF!</f>
      </c>
      <c r="Y43" s="51" t="e">
        <f>Ticker0001_Exchange_Sheet!AX45-#REF!</f>
      </c>
      <c r="Z43" s="51" t="e">
        <f>Ticker0001_Exchange_Sheet!AY45-#REF!</f>
      </c>
      <c r="AA43" s="51" t="e">
        <f>Ticker0001_Exchange_Sheet!AZ45-#REF!</f>
      </c>
      <c r="AB43" s="51" t="e">
        <f>Ticker0001_Exchange_Sheet!BA45-#REF!</f>
      </c>
      <c r="AC43" s="51" t="e">
        <f>Ticker0001_Exchange_Sheet!BB45-#REF!</f>
      </c>
      <c r="AD43" s="51" t="e">
        <f>Ticker0001_Exchange_Sheet!BC45-#REF!</f>
      </c>
      <c r="AE43" s="51" t="e">
        <f>Ticker0001_Exchange_Sheet!BD45-#REF!</f>
      </c>
      <c r="AF43" s="51" t="e">
        <f>Ticker0001_Exchange_Sheet!BE45-#REF!</f>
      </c>
      <c r="AG43" s="51" t="e">
        <f>Ticker0001_Exchange_Sheet!BF45-#REF!</f>
      </c>
      <c r="AH43" s="51" t="e">
        <f>Ticker0001_Exchange_Sheet!BG45-#REF!</f>
      </c>
      <c r="AI43" s="51" t="e">
        <f>Ticker0001_Exchange_Sheet!BH45-#REF!</f>
      </c>
      <c r="AJ43" s="51" t="e">
        <f>Ticker0001_Exchange_Sheet!BI45-#REF!</f>
      </c>
      <c r="AK43" s="51" t="e">
        <f>Ticker0001_Exchange_Sheet!BJ45-#REF!</f>
      </c>
      <c r="AL43" s="51" t="e">
        <f>Ticker0001_Exchange_Sheet!BK45-#REF!</f>
      </c>
      <c r="AM43" s="51" t="e">
        <f>Ticker0001_Exchange_Sheet!BL45-#REF!</f>
      </c>
      <c r="AN43" s="51" t="e">
        <f>Ticker0001_Exchange_Sheet!BM45-#REF!</f>
      </c>
      <c r="AO43" s="51" t="e">
        <f>Ticker0001_Exchange_Sheet!BN45-#REF!</f>
      </c>
      <c r="AP43" s="51" t="e">
        <f>Ticker0001_Exchange_Sheet!BO45-#REF!</f>
      </c>
      <c r="AQ43" s="51" t="e">
        <f>Ticker0001_Exchange_Sheet!BP45-#REF!</f>
      </c>
      <c r="AR43" s="51" t="e">
        <f>Ticker0001_Exchange_Sheet!BQ45-#REF!</f>
      </c>
      <c r="AS43" s="51" t="e">
        <f>Ticker0001_Exchange_Sheet!BR45-#REF!</f>
      </c>
      <c r="AT43" s="51" t="e">
        <f>Ticker0001_Exchange_Sheet!BS45-#REF!</f>
      </c>
      <c r="AU43" s="51" t="e">
        <f>Ticker0001_Exchange_Sheet!BT45-#REF!</f>
      </c>
      <c r="AV43" s="51" t="e">
        <f>Ticker0001_Exchange_Sheet!BU45-#REF!</f>
      </c>
      <c r="AW43" s="51" t="e">
        <f>Ticker0001_Exchange_Sheet!BV45-#REF!</f>
      </c>
      <c r="AX43" s="51" t="e">
        <f>Ticker0001_Exchange_Sheet!BW45-#REF!</f>
      </c>
      <c r="AY43" s="51" t="e">
        <f>Ticker0001_Exchange_Sheet!BX45-#REF!</f>
      </c>
      <c r="AZ43" s="51" t="e">
        <f>Ticker0001_Exchange_Sheet!BY45-#REF!</f>
      </c>
      <c r="BA43" s="51" t="e">
        <f>Ticker0001_Exchange_Sheet!BZ45-#REF!</f>
      </c>
      <c r="BB43" s="51" t="e">
        <f>Ticker0001_Exchange_Sheet!CA45-#REF!</f>
      </c>
      <c r="BC43" s="51" t="e">
        <f>Ticker0001_Exchange_Sheet!CB45-#REF!</f>
      </c>
      <c r="BD43" s="51" t="e">
        <f>Ticker0001_Exchange_Sheet!CC45-#REF!</f>
      </c>
      <c r="BE43" s="51" t="e">
        <f>Ticker0001_Exchange_Sheet!CD45-#REF!</f>
      </c>
      <c r="BF43" s="51" t="e">
        <f>Ticker0001_Exchange_Sheet!CE45-#REF!</f>
      </c>
      <c r="BG43" s="51" t="e">
        <f>Ticker0001_Exchange_Sheet!CF45-#REF!</f>
      </c>
      <c r="BH43" s="51" t="e">
        <f>Ticker0001_Exchange_Sheet!CG45-#REF!</f>
      </c>
      <c r="BI43" s="51" t="e">
        <f>Ticker0001_Exchange_Sheet!CH45-#REF!</f>
      </c>
      <c r="BJ43" s="51" t="e">
        <f>Ticker0001_Exchange_Sheet!CI45-#REF!</f>
      </c>
      <c r="BK43" s="51" t="e">
        <f>Ticker0001_Exchange_Sheet!CJ45-#REF!</f>
      </c>
      <c r="BL43" s="51" t="e">
        <f>Ticker0001_Exchange_Sheet!CK45-#REF!</f>
      </c>
      <c r="BM43" s="51" t="e">
        <f>Ticker0001_Exchange_Sheet!CL45-#REF!</f>
      </c>
      <c r="BN43" s="51" t="e">
        <f>Ticker0001_Exchange_Sheet!CM45-#REF!</f>
      </c>
      <c r="BO43" s="51" t="e">
        <f>Ticker0001_Exchange_Sheet!CN45-#REF!</f>
      </c>
      <c r="BP43" s="51" t="e">
        <f>Ticker0001_Exchange_Sheet!CO45-#REF!</f>
      </c>
      <c r="BQ43" s="51" t="e">
        <f>Ticker0001_Exchange_Sheet!CP45-#REF!</f>
      </c>
      <c r="BR43" s="51" t="e">
        <f>Ticker0001_Exchange_Sheet!CQ45-#REF!</f>
      </c>
      <c r="BS43" s="51" t="e">
        <f>Ticker0001_Exchange_Sheet!CR45-#REF!</f>
      </c>
      <c r="BT43" s="51" t="e">
        <f>Ticker0001_Exchange_Sheet!CS45-#REF!</f>
      </c>
      <c r="BU43" s="51" t="e">
        <f>Ticker0001_Exchange_Sheet!CT45-#REF!</f>
      </c>
      <c r="BV43" s="51" t="e">
        <f>Ticker0001_Exchange_Sheet!CU45-#REF!</f>
      </c>
      <c r="BW43" s="51" t="e">
        <f>Ticker0001_Exchange_Sheet!CV45-#REF!</f>
      </c>
      <c r="BX43" s="51" t="e">
        <f>Ticker0001_Exchange_Sheet!CW45-#REF!</f>
      </c>
      <c r="BY43" s="51" t="e">
        <f>Ticker0001_Exchange_Sheet!CX45-#REF!</f>
      </c>
      <c r="BZ43" s="51" t="e">
        <f>Ticker0001_Exchange_Sheet!CY45-#REF!</f>
      </c>
      <c r="CA43" s="51" t="e">
        <f>Ticker0001_Exchange_Sheet!CZ45-#REF!</f>
      </c>
      <c r="CB43" s="51" t="e">
        <f>Ticker0001_Exchange_Sheet!DA45-#REF!</f>
      </c>
      <c r="CC43" s="51" t="e">
        <f>Ticker0001_Exchange_Sheet!DB45-#REF!</f>
      </c>
      <c r="CD43" s="51" t="e">
        <f>Ticker0001_Exchange_Sheet!DC45-#REF!</f>
      </c>
      <c r="CE43" s="51" t="e">
        <f>Ticker0001_Exchange_Sheet!DD45-#REF!</f>
      </c>
      <c r="CF43" s="51" t="e">
        <f>Ticker0001_Exchange_Sheet!DE45-#REF!</f>
      </c>
    </row>
    <row r="44" spans="6:84">
      <c r="F44" s="51" t="e">
        <f>Ticker0001_Exchange_Sheet!F46-#REF!</f>
      </c>
      <c r="G44" s="51" t="e">
        <f>Ticker0001_Exchange_Sheet!G46-#REF!</f>
      </c>
      <c r="H44" s="51" t="e">
        <f>Ticker0001_Exchange_Sheet!H46-#REF!</f>
      </c>
      <c r="I44" s="51" t="e">
        <f>Ticker0001_Exchange_Sheet!I46-#REF!</f>
      </c>
      <c r="J44" s="51" t="e">
        <f>Ticker0001_Exchange_Sheet!J46-#REF!</f>
      </c>
      <c r="K44" s="51" t="e">
        <f>Ticker0001_Exchange_Sheet!K46-#REF!</f>
      </c>
      <c r="L44" s="51" t="e">
        <f>Ticker0001_Exchange_Sheet!L46-#REF!</f>
      </c>
      <c r="M44" s="51" t="e">
        <f>Ticker0001_Exchange_Sheet!M46-#REF!</f>
      </c>
      <c r="N44" s="51" t="e">
        <f>Ticker0001_Exchange_Sheet!N46-#REF!</f>
      </c>
      <c r="O44" s="51" t="e">
        <f>Ticker0001_Exchange_Sheet!O46-#REF!</f>
      </c>
      <c r="P44" s="51" t="e">
        <f>Ticker0001_Exchange_Sheet!P46-#REF!</f>
      </c>
      <c r="Q44" s="51" t="e">
        <f>Ticker0001_Exchange_Sheet!Q46-#REF!</f>
      </c>
      <c r="R44" s="51" t="e">
        <f>Ticker0001_Exchange_Sheet!R46-#REF!</f>
      </c>
      <c r="S44" s="51" t="e">
        <f>Ticker0001_Exchange_Sheet!S46-#REF!</f>
      </c>
      <c r="T44" s="51" t="e">
        <f>Ticker0001_Exchange_Sheet!T46-#REF!</f>
      </c>
      <c r="U44" s="51" t="e">
        <f>Ticker0001_Exchange_Sheet!U46-#REF!</f>
      </c>
      <c r="V44" s="51" t="e">
        <f>Ticker0001_Exchange_Sheet!V46-#REF!</f>
      </c>
      <c r="W44" s="51" t="e">
        <f>Ticker0001_Exchange_Sheet!W46-#REF!</f>
      </c>
      <c r="X44" s="51" t="e">
        <f>Ticker0001_Exchange_Sheet!AK46-#REF!</f>
      </c>
      <c r="Y44" s="51" t="e">
        <f>Ticker0001_Exchange_Sheet!AX46-#REF!</f>
      </c>
      <c r="Z44" s="51" t="e">
        <f>Ticker0001_Exchange_Sheet!AY46-#REF!</f>
      </c>
      <c r="AA44" s="51" t="e">
        <f>Ticker0001_Exchange_Sheet!AZ46-#REF!</f>
      </c>
      <c r="AB44" s="51" t="e">
        <f>Ticker0001_Exchange_Sheet!BA46-#REF!</f>
      </c>
      <c r="AC44" s="51" t="e">
        <f>Ticker0001_Exchange_Sheet!BB46-#REF!</f>
      </c>
      <c r="AD44" s="51" t="e">
        <f>Ticker0001_Exchange_Sheet!BC46-#REF!</f>
      </c>
      <c r="AE44" s="51" t="e">
        <f>Ticker0001_Exchange_Sheet!BD46-#REF!</f>
      </c>
      <c r="AF44" s="51" t="e">
        <f>Ticker0001_Exchange_Sheet!BE46-#REF!</f>
      </c>
      <c r="AG44" s="51" t="e">
        <f>Ticker0001_Exchange_Sheet!BF46-#REF!</f>
      </c>
      <c r="AH44" s="51" t="e">
        <f>Ticker0001_Exchange_Sheet!BG46-#REF!</f>
      </c>
      <c r="AI44" s="51" t="e">
        <f>Ticker0001_Exchange_Sheet!BH46-#REF!</f>
      </c>
      <c r="AJ44" s="51" t="e">
        <f>Ticker0001_Exchange_Sheet!BI46-#REF!</f>
      </c>
      <c r="AK44" s="51" t="e">
        <f>Ticker0001_Exchange_Sheet!BJ46-#REF!</f>
      </c>
      <c r="AL44" s="51" t="e">
        <f>Ticker0001_Exchange_Sheet!BK46-#REF!</f>
      </c>
      <c r="AM44" s="51" t="e">
        <f>Ticker0001_Exchange_Sheet!BL46-#REF!</f>
      </c>
      <c r="AN44" s="51" t="e">
        <f>Ticker0001_Exchange_Sheet!BM46-#REF!</f>
      </c>
      <c r="AO44" s="51" t="e">
        <f>Ticker0001_Exchange_Sheet!BN46-#REF!</f>
      </c>
      <c r="AP44" s="51" t="e">
        <f>Ticker0001_Exchange_Sheet!BO46-#REF!</f>
      </c>
      <c r="AQ44" s="51" t="e">
        <f>Ticker0001_Exchange_Sheet!BP46-#REF!</f>
      </c>
      <c r="AR44" s="51" t="e">
        <f>Ticker0001_Exchange_Sheet!BQ46-#REF!</f>
      </c>
      <c r="AS44" s="51" t="e">
        <f>Ticker0001_Exchange_Sheet!BR46-#REF!</f>
      </c>
      <c r="AT44" s="51" t="e">
        <f>Ticker0001_Exchange_Sheet!BS46-#REF!</f>
      </c>
      <c r="AU44" s="51" t="e">
        <f>Ticker0001_Exchange_Sheet!BT46-#REF!</f>
      </c>
      <c r="AV44" s="51" t="e">
        <f>Ticker0001_Exchange_Sheet!BU46-#REF!</f>
      </c>
      <c r="AW44" s="51" t="e">
        <f>Ticker0001_Exchange_Sheet!BV46-#REF!</f>
      </c>
      <c r="AX44" s="51" t="e">
        <f>Ticker0001_Exchange_Sheet!BW46-#REF!</f>
      </c>
      <c r="AY44" s="51" t="e">
        <f>Ticker0001_Exchange_Sheet!BX46-#REF!</f>
      </c>
      <c r="AZ44" s="51" t="e">
        <f>Ticker0001_Exchange_Sheet!BY46-#REF!</f>
      </c>
      <c r="BA44" s="51" t="e">
        <f>Ticker0001_Exchange_Sheet!BZ46-#REF!</f>
      </c>
      <c r="BB44" s="51" t="e">
        <f>Ticker0001_Exchange_Sheet!CA46-#REF!</f>
      </c>
      <c r="BC44" s="51" t="e">
        <f>Ticker0001_Exchange_Sheet!CB46-#REF!</f>
      </c>
      <c r="BD44" s="51" t="e">
        <f>Ticker0001_Exchange_Sheet!CC46-#REF!</f>
      </c>
      <c r="BE44" s="51" t="e">
        <f>Ticker0001_Exchange_Sheet!CD46-#REF!</f>
      </c>
      <c r="BF44" s="51" t="e">
        <f>Ticker0001_Exchange_Sheet!CE46-#REF!</f>
      </c>
      <c r="BG44" s="51" t="e">
        <f>Ticker0001_Exchange_Sheet!CF46-#REF!</f>
      </c>
      <c r="BH44" s="51" t="e">
        <f>Ticker0001_Exchange_Sheet!CG46-#REF!</f>
      </c>
      <c r="BI44" s="51" t="e">
        <f>Ticker0001_Exchange_Sheet!CH46-#REF!</f>
      </c>
      <c r="BJ44" s="51" t="e">
        <f>Ticker0001_Exchange_Sheet!CI46-#REF!</f>
      </c>
      <c r="BK44" s="51" t="e">
        <f>Ticker0001_Exchange_Sheet!CJ46-#REF!</f>
      </c>
      <c r="BL44" s="51" t="e">
        <f>Ticker0001_Exchange_Sheet!CK46-#REF!</f>
      </c>
      <c r="BM44" s="51" t="e">
        <f>Ticker0001_Exchange_Sheet!CL46-#REF!</f>
      </c>
      <c r="BN44" s="51" t="e">
        <f>Ticker0001_Exchange_Sheet!CM46-#REF!</f>
      </c>
      <c r="BO44" s="51" t="e">
        <f>Ticker0001_Exchange_Sheet!CN46-#REF!</f>
      </c>
      <c r="BP44" s="51" t="e">
        <f>Ticker0001_Exchange_Sheet!CO46-#REF!</f>
      </c>
      <c r="BQ44" s="51" t="e">
        <f>Ticker0001_Exchange_Sheet!CP46-#REF!</f>
      </c>
      <c r="BR44" s="51" t="e">
        <f>Ticker0001_Exchange_Sheet!CQ46-#REF!</f>
      </c>
      <c r="BS44" s="51" t="e">
        <f>Ticker0001_Exchange_Sheet!CR46-#REF!</f>
      </c>
      <c r="BT44" s="51" t="e">
        <f>Ticker0001_Exchange_Sheet!CS46-#REF!</f>
      </c>
      <c r="BU44" s="51" t="e">
        <f>Ticker0001_Exchange_Sheet!CT46-#REF!</f>
      </c>
      <c r="BV44" s="51" t="e">
        <f>Ticker0001_Exchange_Sheet!CU46-#REF!</f>
      </c>
      <c r="BW44" s="51" t="e">
        <f>Ticker0001_Exchange_Sheet!CV46-#REF!</f>
      </c>
      <c r="BX44" s="51" t="e">
        <f>Ticker0001_Exchange_Sheet!CW46-#REF!</f>
      </c>
      <c r="BY44" s="51" t="e">
        <f>Ticker0001_Exchange_Sheet!CX46-#REF!</f>
      </c>
      <c r="BZ44" s="51" t="e">
        <f>Ticker0001_Exchange_Sheet!CY46-#REF!</f>
      </c>
      <c r="CA44" s="51" t="e">
        <f>Ticker0001_Exchange_Sheet!CZ46-#REF!</f>
      </c>
      <c r="CB44" s="51" t="e">
        <f>Ticker0001_Exchange_Sheet!DA46-#REF!</f>
      </c>
      <c r="CC44" s="51" t="e">
        <f>Ticker0001_Exchange_Sheet!DB46-#REF!</f>
      </c>
      <c r="CD44" s="51" t="e">
        <f>Ticker0001_Exchange_Sheet!DC46-#REF!</f>
      </c>
      <c r="CE44" s="51" t="e">
        <f>Ticker0001_Exchange_Sheet!DD46-#REF!</f>
      </c>
      <c r="CF44" s="51" t="e">
        <f>Ticker0001_Exchange_Sheet!DE46-#REF!</f>
      </c>
    </row>
    <row r="45" spans="6:84">
      <c r="F45" s="51" t="e">
        <f>Ticker0001_Exchange_Sheet!F47-#REF!</f>
      </c>
      <c r="G45" s="51" t="e">
        <f>Ticker0001_Exchange_Sheet!G47-#REF!</f>
      </c>
      <c r="H45" s="51" t="e">
        <f>Ticker0001_Exchange_Sheet!H47-#REF!</f>
      </c>
      <c r="I45" s="51" t="e">
        <f>Ticker0001_Exchange_Sheet!I47-#REF!</f>
      </c>
      <c r="J45" s="51" t="e">
        <f>Ticker0001_Exchange_Sheet!J47-#REF!</f>
      </c>
      <c r="K45" s="51" t="e">
        <f>Ticker0001_Exchange_Sheet!K47-#REF!</f>
      </c>
      <c r="L45" s="51" t="e">
        <f>Ticker0001_Exchange_Sheet!L47-#REF!</f>
      </c>
      <c r="M45" s="51" t="e">
        <f>Ticker0001_Exchange_Sheet!M47-#REF!</f>
      </c>
      <c r="N45" s="51" t="e">
        <f>Ticker0001_Exchange_Sheet!N47-#REF!</f>
      </c>
      <c r="O45" s="51" t="e">
        <f>Ticker0001_Exchange_Sheet!O47-#REF!</f>
      </c>
      <c r="P45" s="51" t="e">
        <f>Ticker0001_Exchange_Sheet!P47-#REF!</f>
      </c>
      <c r="Q45" s="51" t="e">
        <f>Ticker0001_Exchange_Sheet!Q47-#REF!</f>
      </c>
      <c r="R45" s="51" t="e">
        <f>Ticker0001_Exchange_Sheet!R47-#REF!</f>
      </c>
      <c r="S45" s="51" t="e">
        <f>Ticker0001_Exchange_Sheet!S47-#REF!</f>
      </c>
      <c r="T45" s="51" t="e">
        <f>Ticker0001_Exchange_Sheet!T47-#REF!</f>
      </c>
      <c r="U45" s="51" t="e">
        <f>Ticker0001_Exchange_Sheet!U47-#REF!</f>
      </c>
      <c r="V45" s="51" t="e">
        <f>Ticker0001_Exchange_Sheet!V47-#REF!</f>
      </c>
      <c r="W45" s="51" t="e">
        <f>Ticker0001_Exchange_Sheet!W47-#REF!</f>
      </c>
      <c r="X45" s="51" t="e">
        <f>Ticker0001_Exchange_Sheet!AK47-#REF!</f>
      </c>
      <c r="Y45" s="51" t="e">
        <f>Ticker0001_Exchange_Sheet!AX47-#REF!</f>
      </c>
      <c r="Z45" s="51" t="e">
        <f>Ticker0001_Exchange_Sheet!AY47-#REF!</f>
      </c>
      <c r="AA45" s="51" t="e">
        <f>Ticker0001_Exchange_Sheet!AZ47-#REF!</f>
      </c>
      <c r="AB45" s="51" t="e">
        <f>Ticker0001_Exchange_Sheet!BA47-#REF!</f>
      </c>
      <c r="AC45" s="51" t="e">
        <f>Ticker0001_Exchange_Sheet!BB47-#REF!</f>
      </c>
      <c r="AD45" s="51" t="e">
        <f>Ticker0001_Exchange_Sheet!BC47-#REF!</f>
      </c>
      <c r="AE45" s="51" t="e">
        <f>Ticker0001_Exchange_Sheet!BD47-#REF!</f>
      </c>
      <c r="AF45" s="51" t="e">
        <f>Ticker0001_Exchange_Sheet!BE47-#REF!</f>
      </c>
      <c r="AG45" s="51" t="e">
        <f>Ticker0001_Exchange_Sheet!BF47-#REF!</f>
      </c>
      <c r="AH45" s="51" t="e">
        <f>Ticker0001_Exchange_Sheet!BG47-#REF!</f>
      </c>
      <c r="AI45" s="51" t="e">
        <f>Ticker0001_Exchange_Sheet!BH47-#REF!</f>
      </c>
      <c r="AJ45" s="51" t="e">
        <f>Ticker0001_Exchange_Sheet!BI47-#REF!</f>
      </c>
      <c r="AK45" s="51" t="e">
        <f>Ticker0001_Exchange_Sheet!BJ47-#REF!</f>
      </c>
      <c r="AL45" s="51" t="e">
        <f>Ticker0001_Exchange_Sheet!BK47-#REF!</f>
      </c>
      <c r="AM45" s="51" t="e">
        <f>Ticker0001_Exchange_Sheet!BL47-#REF!</f>
      </c>
      <c r="AN45" s="51" t="e">
        <f>Ticker0001_Exchange_Sheet!BM47-#REF!</f>
      </c>
      <c r="AO45" s="51" t="e">
        <f>Ticker0001_Exchange_Sheet!BN47-#REF!</f>
      </c>
      <c r="AP45" s="51" t="e">
        <f>Ticker0001_Exchange_Sheet!BO47-#REF!</f>
      </c>
      <c r="AQ45" s="51" t="e">
        <f>Ticker0001_Exchange_Sheet!BP47-#REF!</f>
      </c>
      <c r="AR45" s="51" t="e">
        <f>Ticker0001_Exchange_Sheet!BQ47-#REF!</f>
      </c>
      <c r="AS45" s="51" t="e">
        <f>Ticker0001_Exchange_Sheet!BR47-#REF!</f>
      </c>
      <c r="AT45" s="51" t="e">
        <f>Ticker0001_Exchange_Sheet!BS47-#REF!</f>
      </c>
      <c r="AU45" s="51" t="e">
        <f>Ticker0001_Exchange_Sheet!BT47-#REF!</f>
      </c>
      <c r="AV45" s="51" t="e">
        <f>Ticker0001_Exchange_Sheet!BU47-#REF!</f>
      </c>
      <c r="AW45" s="51" t="e">
        <f>Ticker0001_Exchange_Sheet!BV47-#REF!</f>
      </c>
      <c r="AX45" s="51" t="e">
        <f>Ticker0001_Exchange_Sheet!BW47-#REF!</f>
      </c>
      <c r="AY45" s="51" t="e">
        <f>Ticker0001_Exchange_Sheet!BX47-#REF!</f>
      </c>
      <c r="AZ45" s="51" t="e">
        <f>Ticker0001_Exchange_Sheet!BY47-#REF!</f>
      </c>
      <c r="BA45" s="51" t="e">
        <f>Ticker0001_Exchange_Sheet!BZ47-#REF!</f>
      </c>
      <c r="BB45" s="51" t="e">
        <f>Ticker0001_Exchange_Sheet!CA47-#REF!</f>
      </c>
      <c r="BC45" s="51" t="e">
        <f>Ticker0001_Exchange_Sheet!CB47-#REF!</f>
      </c>
      <c r="BD45" s="51" t="e">
        <f>Ticker0001_Exchange_Sheet!CC47-#REF!</f>
      </c>
      <c r="BE45" s="51" t="e">
        <f>Ticker0001_Exchange_Sheet!CD47-#REF!</f>
      </c>
      <c r="BF45" s="51" t="e">
        <f>Ticker0001_Exchange_Sheet!CE47-#REF!</f>
      </c>
      <c r="BG45" s="51" t="e">
        <f>Ticker0001_Exchange_Sheet!CF47-#REF!</f>
      </c>
      <c r="BH45" s="51" t="e">
        <f>Ticker0001_Exchange_Sheet!CG47-#REF!</f>
      </c>
      <c r="BI45" s="51" t="e">
        <f>Ticker0001_Exchange_Sheet!CH47-#REF!</f>
      </c>
      <c r="BJ45" s="51" t="e">
        <f>Ticker0001_Exchange_Sheet!CI47-#REF!</f>
      </c>
      <c r="BK45" s="51" t="e">
        <f>Ticker0001_Exchange_Sheet!CJ47-#REF!</f>
      </c>
      <c r="BL45" s="51" t="e">
        <f>Ticker0001_Exchange_Sheet!CK47-#REF!</f>
      </c>
      <c r="BM45" s="51" t="e">
        <f>Ticker0001_Exchange_Sheet!CL47-#REF!</f>
      </c>
      <c r="BN45" s="51" t="e">
        <f>Ticker0001_Exchange_Sheet!CM47-#REF!</f>
      </c>
      <c r="BO45" s="51" t="e">
        <f>Ticker0001_Exchange_Sheet!CN47-#REF!</f>
      </c>
      <c r="BP45" s="51" t="e">
        <f>Ticker0001_Exchange_Sheet!CO47-#REF!</f>
      </c>
      <c r="BQ45" s="51" t="e">
        <f>Ticker0001_Exchange_Sheet!CP47-#REF!</f>
      </c>
      <c r="BR45" s="51" t="e">
        <f>Ticker0001_Exchange_Sheet!CQ47-#REF!</f>
      </c>
      <c r="BS45" s="51" t="e">
        <f>Ticker0001_Exchange_Sheet!CR47-#REF!</f>
      </c>
      <c r="BT45" s="51" t="e">
        <f>Ticker0001_Exchange_Sheet!CS47-#REF!</f>
      </c>
      <c r="BU45" s="51" t="e">
        <f>Ticker0001_Exchange_Sheet!CT47-#REF!</f>
      </c>
      <c r="BV45" s="51" t="e">
        <f>Ticker0001_Exchange_Sheet!CU47-#REF!</f>
      </c>
      <c r="BW45" s="51" t="e">
        <f>Ticker0001_Exchange_Sheet!CV47-#REF!</f>
      </c>
      <c r="BX45" s="51" t="e">
        <f>Ticker0001_Exchange_Sheet!CW47-#REF!</f>
      </c>
      <c r="BY45" s="51" t="e">
        <f>Ticker0001_Exchange_Sheet!CX47-#REF!</f>
      </c>
      <c r="BZ45" s="51" t="e">
        <f>Ticker0001_Exchange_Sheet!CY47-#REF!</f>
      </c>
      <c r="CA45" s="51" t="e">
        <f>Ticker0001_Exchange_Sheet!CZ47-#REF!</f>
      </c>
      <c r="CB45" s="51" t="e">
        <f>Ticker0001_Exchange_Sheet!DA47-#REF!</f>
      </c>
      <c r="CC45" s="51" t="e">
        <f>Ticker0001_Exchange_Sheet!DB47-#REF!</f>
      </c>
      <c r="CD45" s="51" t="e">
        <f>Ticker0001_Exchange_Sheet!DC47-#REF!</f>
      </c>
      <c r="CE45" s="51" t="e">
        <f>Ticker0001_Exchange_Sheet!DD47-#REF!</f>
      </c>
      <c r="CF45" s="51" t="e">
        <f>Ticker0001_Exchange_Sheet!DE47-#REF!</f>
      </c>
    </row>
    <row r="46" spans="6:84">
      <c r="F46" s="51" t="e">
        <f>Ticker0001_Exchange_Sheet!F48-#REF!</f>
      </c>
      <c r="G46" s="51" t="e">
        <f>Ticker0001_Exchange_Sheet!G48-#REF!</f>
      </c>
      <c r="H46" s="51" t="e">
        <f>Ticker0001_Exchange_Sheet!H48-#REF!</f>
      </c>
      <c r="I46" s="51" t="e">
        <f>Ticker0001_Exchange_Sheet!I48-#REF!</f>
      </c>
      <c r="J46" s="51" t="e">
        <f>Ticker0001_Exchange_Sheet!J48-#REF!</f>
      </c>
      <c r="K46" s="51" t="e">
        <f>Ticker0001_Exchange_Sheet!K48-#REF!</f>
      </c>
      <c r="L46" s="51" t="e">
        <f>Ticker0001_Exchange_Sheet!L48-#REF!</f>
      </c>
      <c r="M46" s="51" t="e">
        <f>Ticker0001_Exchange_Sheet!M48-#REF!</f>
      </c>
      <c r="N46" s="51" t="e">
        <f>Ticker0001_Exchange_Sheet!N48-#REF!</f>
      </c>
      <c r="O46" s="51" t="e">
        <f>Ticker0001_Exchange_Sheet!O48-#REF!</f>
      </c>
      <c r="P46" s="51" t="e">
        <f>Ticker0001_Exchange_Sheet!P48-#REF!</f>
      </c>
      <c r="Q46" s="51" t="e">
        <f>Ticker0001_Exchange_Sheet!Q48-#REF!</f>
      </c>
      <c r="R46" s="51" t="e">
        <f>Ticker0001_Exchange_Sheet!R48-#REF!</f>
      </c>
      <c r="S46" s="51" t="e">
        <f>Ticker0001_Exchange_Sheet!S48-#REF!</f>
      </c>
      <c r="T46" s="51" t="e">
        <f>Ticker0001_Exchange_Sheet!T48-#REF!</f>
      </c>
      <c r="U46" s="51" t="e">
        <f>Ticker0001_Exchange_Sheet!U48-#REF!</f>
      </c>
      <c r="V46" s="51" t="e">
        <f>Ticker0001_Exchange_Sheet!V48-#REF!</f>
      </c>
      <c r="W46" s="51" t="e">
        <f>Ticker0001_Exchange_Sheet!W48-#REF!</f>
      </c>
      <c r="X46" s="51" t="e">
        <f>Ticker0001_Exchange_Sheet!AK48-#REF!</f>
      </c>
      <c r="Y46" s="51" t="e">
        <f>Ticker0001_Exchange_Sheet!AX48-#REF!</f>
      </c>
      <c r="Z46" s="51" t="e">
        <f>Ticker0001_Exchange_Sheet!AY48-#REF!</f>
      </c>
      <c r="AA46" s="51" t="e">
        <f>Ticker0001_Exchange_Sheet!AZ48-#REF!</f>
      </c>
      <c r="AB46" s="51" t="e">
        <f>Ticker0001_Exchange_Sheet!BA48-#REF!</f>
      </c>
      <c r="AC46" s="51" t="e">
        <f>Ticker0001_Exchange_Sheet!BB48-#REF!</f>
      </c>
      <c r="AD46" s="51" t="e">
        <f>Ticker0001_Exchange_Sheet!BC48-#REF!</f>
      </c>
      <c r="AE46" s="51" t="e">
        <f>Ticker0001_Exchange_Sheet!BD48-#REF!</f>
      </c>
      <c r="AF46" s="51" t="e">
        <f>Ticker0001_Exchange_Sheet!BE48-#REF!</f>
      </c>
      <c r="AG46" s="51" t="e">
        <f>Ticker0001_Exchange_Sheet!BF48-#REF!</f>
      </c>
      <c r="AH46" s="51" t="e">
        <f>Ticker0001_Exchange_Sheet!BG48-#REF!</f>
      </c>
      <c r="AI46" s="51" t="e">
        <f>Ticker0001_Exchange_Sheet!BH48-#REF!</f>
      </c>
      <c r="AJ46" s="51" t="e">
        <f>Ticker0001_Exchange_Sheet!BI48-#REF!</f>
      </c>
      <c r="AK46" s="51" t="e">
        <f>Ticker0001_Exchange_Sheet!BJ48-#REF!</f>
      </c>
      <c r="AL46" s="51" t="e">
        <f>Ticker0001_Exchange_Sheet!BK48-#REF!</f>
      </c>
      <c r="AM46" s="51" t="e">
        <f>Ticker0001_Exchange_Sheet!BL48-#REF!</f>
      </c>
      <c r="AN46" s="51" t="e">
        <f>Ticker0001_Exchange_Sheet!BM48-#REF!</f>
      </c>
      <c r="AO46" s="51" t="e">
        <f>Ticker0001_Exchange_Sheet!BN48-#REF!</f>
      </c>
      <c r="AP46" s="51" t="e">
        <f>Ticker0001_Exchange_Sheet!BO48-#REF!</f>
      </c>
      <c r="AQ46" s="51" t="e">
        <f>Ticker0001_Exchange_Sheet!BP48-#REF!</f>
      </c>
      <c r="AR46" s="51" t="e">
        <f>Ticker0001_Exchange_Sheet!BQ48-#REF!</f>
      </c>
      <c r="AS46" s="51" t="e">
        <f>Ticker0001_Exchange_Sheet!BR48-#REF!</f>
      </c>
      <c r="AT46" s="51" t="e">
        <f>Ticker0001_Exchange_Sheet!BS48-#REF!</f>
      </c>
      <c r="AU46" s="51" t="e">
        <f>Ticker0001_Exchange_Sheet!BT48-#REF!</f>
      </c>
      <c r="AV46" s="51" t="e">
        <f>Ticker0001_Exchange_Sheet!BU48-#REF!</f>
      </c>
      <c r="AW46" s="51" t="e">
        <f>Ticker0001_Exchange_Sheet!BV48-#REF!</f>
      </c>
      <c r="AX46" s="51" t="e">
        <f>Ticker0001_Exchange_Sheet!BW48-#REF!</f>
      </c>
      <c r="AY46" s="51" t="e">
        <f>Ticker0001_Exchange_Sheet!BX48-#REF!</f>
      </c>
      <c r="AZ46" s="51" t="e">
        <f>Ticker0001_Exchange_Sheet!BY48-#REF!</f>
      </c>
      <c r="BA46" s="51" t="e">
        <f>Ticker0001_Exchange_Sheet!BZ48-#REF!</f>
      </c>
      <c r="BB46" s="51" t="e">
        <f>Ticker0001_Exchange_Sheet!CA48-#REF!</f>
      </c>
      <c r="BC46" s="51" t="e">
        <f>Ticker0001_Exchange_Sheet!CB48-#REF!</f>
      </c>
      <c r="BD46" s="51" t="e">
        <f>Ticker0001_Exchange_Sheet!CC48-#REF!</f>
      </c>
      <c r="BE46" s="51" t="e">
        <f>Ticker0001_Exchange_Sheet!CD48-#REF!</f>
      </c>
      <c r="BF46" s="51" t="e">
        <f>Ticker0001_Exchange_Sheet!CE48-#REF!</f>
      </c>
      <c r="BG46" s="51" t="e">
        <f>Ticker0001_Exchange_Sheet!CF48-#REF!</f>
      </c>
      <c r="BH46" s="51" t="e">
        <f>Ticker0001_Exchange_Sheet!CG48-#REF!</f>
      </c>
      <c r="BI46" s="51" t="e">
        <f>Ticker0001_Exchange_Sheet!CH48-#REF!</f>
      </c>
      <c r="BJ46" s="51" t="e">
        <f>Ticker0001_Exchange_Sheet!CI48-#REF!</f>
      </c>
      <c r="BK46" s="51" t="e">
        <f>Ticker0001_Exchange_Sheet!CJ48-#REF!</f>
      </c>
      <c r="BL46" s="51" t="e">
        <f>Ticker0001_Exchange_Sheet!CK48-#REF!</f>
      </c>
      <c r="BM46" s="51" t="e">
        <f>Ticker0001_Exchange_Sheet!CL48-#REF!</f>
      </c>
      <c r="BN46" s="51" t="e">
        <f>Ticker0001_Exchange_Sheet!CM48-#REF!</f>
      </c>
      <c r="BO46" s="51" t="e">
        <f>Ticker0001_Exchange_Sheet!CN48-#REF!</f>
      </c>
      <c r="BP46" s="51" t="e">
        <f>Ticker0001_Exchange_Sheet!CO48-#REF!</f>
      </c>
      <c r="BQ46" s="51" t="e">
        <f>Ticker0001_Exchange_Sheet!CP48-#REF!</f>
      </c>
      <c r="BR46" s="51" t="e">
        <f>Ticker0001_Exchange_Sheet!CQ48-#REF!</f>
      </c>
      <c r="BS46" s="51" t="e">
        <f>Ticker0001_Exchange_Sheet!CR48-#REF!</f>
      </c>
      <c r="BT46" s="51" t="e">
        <f>Ticker0001_Exchange_Sheet!CS48-#REF!</f>
      </c>
      <c r="BU46" s="51" t="e">
        <f>Ticker0001_Exchange_Sheet!CT48-#REF!</f>
      </c>
      <c r="BV46" s="51" t="e">
        <f>Ticker0001_Exchange_Sheet!CU48-#REF!</f>
      </c>
      <c r="BW46" s="51" t="e">
        <f>Ticker0001_Exchange_Sheet!CV48-#REF!</f>
      </c>
      <c r="BX46" s="51" t="e">
        <f>Ticker0001_Exchange_Sheet!CW48-#REF!</f>
      </c>
      <c r="BY46" s="51" t="e">
        <f>Ticker0001_Exchange_Sheet!CX48-#REF!</f>
      </c>
      <c r="BZ46" s="51" t="e">
        <f>Ticker0001_Exchange_Sheet!CY48-#REF!</f>
      </c>
      <c r="CA46" s="51" t="e">
        <f>Ticker0001_Exchange_Sheet!CZ48-#REF!</f>
      </c>
      <c r="CB46" s="51" t="e">
        <f>Ticker0001_Exchange_Sheet!DA48-#REF!</f>
      </c>
      <c r="CC46" s="51" t="e">
        <f>Ticker0001_Exchange_Sheet!DB48-#REF!</f>
      </c>
      <c r="CD46" s="51" t="e">
        <f>Ticker0001_Exchange_Sheet!DC48-#REF!</f>
      </c>
      <c r="CE46" s="51" t="e">
        <f>Ticker0001_Exchange_Sheet!DD48-#REF!</f>
      </c>
      <c r="CF46" s="51" t="e">
        <f>Ticker0001_Exchange_Sheet!DE48-#REF!</f>
      </c>
    </row>
    <row r="47" spans="6:84">
      <c r="F47" s="51" t="e">
        <f>Ticker0001_Exchange_Sheet!F49-#REF!</f>
      </c>
      <c r="G47" s="51" t="e">
        <f>Ticker0001_Exchange_Sheet!G49-#REF!</f>
      </c>
      <c r="H47" s="51" t="e">
        <f>Ticker0001_Exchange_Sheet!H49-#REF!</f>
      </c>
      <c r="I47" s="51" t="e">
        <f>Ticker0001_Exchange_Sheet!I49-#REF!</f>
      </c>
      <c r="J47" s="51" t="e">
        <f>Ticker0001_Exchange_Sheet!J49-#REF!</f>
      </c>
      <c r="K47" s="51" t="e">
        <f>Ticker0001_Exchange_Sheet!K49-#REF!</f>
      </c>
      <c r="L47" s="51" t="e">
        <f>Ticker0001_Exchange_Sheet!L49-#REF!</f>
      </c>
      <c r="M47" s="51" t="e">
        <f>Ticker0001_Exchange_Sheet!M49-#REF!</f>
      </c>
      <c r="N47" s="51" t="e">
        <f>Ticker0001_Exchange_Sheet!N49-#REF!</f>
      </c>
      <c r="O47" s="51" t="e">
        <f>Ticker0001_Exchange_Sheet!O49-#REF!</f>
      </c>
      <c r="P47" s="51" t="e">
        <f>Ticker0001_Exchange_Sheet!P49-#REF!</f>
      </c>
      <c r="Q47" s="51" t="e">
        <f>Ticker0001_Exchange_Sheet!Q49-#REF!</f>
      </c>
      <c r="R47" s="51" t="e">
        <f>Ticker0001_Exchange_Sheet!R49-#REF!</f>
      </c>
      <c r="S47" s="51" t="e">
        <f>Ticker0001_Exchange_Sheet!S49-#REF!</f>
      </c>
      <c r="T47" s="51" t="e">
        <f>Ticker0001_Exchange_Sheet!T49-#REF!</f>
      </c>
      <c r="U47" s="51" t="e">
        <f>Ticker0001_Exchange_Sheet!U49-#REF!</f>
      </c>
      <c r="V47" s="51" t="e">
        <f>Ticker0001_Exchange_Sheet!V49-#REF!</f>
      </c>
      <c r="W47" s="51" t="e">
        <f>Ticker0001_Exchange_Sheet!W49-#REF!</f>
      </c>
      <c r="X47" s="51" t="e">
        <f>Ticker0001_Exchange_Sheet!AK49-#REF!</f>
      </c>
      <c r="Y47" s="51" t="e">
        <f>Ticker0001_Exchange_Sheet!AX49-#REF!</f>
      </c>
      <c r="Z47" s="51" t="e">
        <f>Ticker0001_Exchange_Sheet!AY49-#REF!</f>
      </c>
      <c r="AA47" s="51" t="e">
        <f>Ticker0001_Exchange_Sheet!AZ49-#REF!</f>
      </c>
      <c r="AB47" s="51" t="e">
        <f>Ticker0001_Exchange_Sheet!BA49-#REF!</f>
      </c>
      <c r="AC47" s="51" t="e">
        <f>Ticker0001_Exchange_Sheet!BB49-#REF!</f>
      </c>
      <c r="AD47" s="51" t="e">
        <f>Ticker0001_Exchange_Sheet!BC49-#REF!</f>
      </c>
      <c r="AE47" s="51" t="e">
        <f>Ticker0001_Exchange_Sheet!BD49-#REF!</f>
      </c>
      <c r="AF47" s="51" t="e">
        <f>Ticker0001_Exchange_Sheet!BE49-#REF!</f>
      </c>
      <c r="AG47" s="51" t="e">
        <f>Ticker0001_Exchange_Sheet!BF49-#REF!</f>
      </c>
      <c r="AH47" s="51" t="e">
        <f>Ticker0001_Exchange_Sheet!BG49-#REF!</f>
      </c>
      <c r="AI47" s="51" t="e">
        <f>Ticker0001_Exchange_Sheet!BH49-#REF!</f>
      </c>
      <c r="AJ47" s="51" t="e">
        <f>Ticker0001_Exchange_Sheet!BI49-#REF!</f>
      </c>
      <c r="AK47" s="51" t="e">
        <f>Ticker0001_Exchange_Sheet!BJ49-#REF!</f>
      </c>
      <c r="AL47" s="51" t="e">
        <f>Ticker0001_Exchange_Sheet!BK49-#REF!</f>
      </c>
      <c r="AM47" s="51" t="e">
        <f>Ticker0001_Exchange_Sheet!BL49-#REF!</f>
      </c>
      <c r="AN47" s="51" t="e">
        <f>Ticker0001_Exchange_Sheet!BM49-#REF!</f>
      </c>
      <c r="AO47" s="51" t="e">
        <f>Ticker0001_Exchange_Sheet!BN49-#REF!</f>
      </c>
      <c r="AP47" s="51" t="e">
        <f>Ticker0001_Exchange_Sheet!BO49-#REF!</f>
      </c>
      <c r="AQ47" s="51" t="e">
        <f>Ticker0001_Exchange_Sheet!BP49-#REF!</f>
      </c>
      <c r="AR47" s="51" t="e">
        <f>Ticker0001_Exchange_Sheet!BQ49-#REF!</f>
      </c>
      <c r="AS47" s="51" t="e">
        <f>Ticker0001_Exchange_Sheet!BR49-#REF!</f>
      </c>
      <c r="AT47" s="51" t="e">
        <f>Ticker0001_Exchange_Sheet!BS49-#REF!</f>
      </c>
      <c r="AU47" s="51" t="e">
        <f>Ticker0001_Exchange_Sheet!BT49-#REF!</f>
      </c>
      <c r="AV47" s="51" t="e">
        <f>Ticker0001_Exchange_Sheet!BU49-#REF!</f>
      </c>
      <c r="AW47" s="51" t="e">
        <f>Ticker0001_Exchange_Sheet!BV49-#REF!</f>
      </c>
      <c r="AX47" s="51" t="e">
        <f>Ticker0001_Exchange_Sheet!BW49-#REF!</f>
      </c>
      <c r="AY47" s="51" t="e">
        <f>Ticker0001_Exchange_Sheet!BX49-#REF!</f>
      </c>
      <c r="AZ47" s="51" t="e">
        <f>Ticker0001_Exchange_Sheet!BY49-#REF!</f>
      </c>
      <c r="BA47" s="51" t="e">
        <f>Ticker0001_Exchange_Sheet!BZ49-#REF!</f>
      </c>
      <c r="BB47" s="51" t="e">
        <f>Ticker0001_Exchange_Sheet!CA49-#REF!</f>
      </c>
      <c r="BC47" s="51" t="e">
        <f>Ticker0001_Exchange_Sheet!CB49-#REF!</f>
      </c>
      <c r="BD47" s="51" t="e">
        <f>Ticker0001_Exchange_Sheet!CC49-#REF!</f>
      </c>
      <c r="BE47" s="51" t="e">
        <f>Ticker0001_Exchange_Sheet!CD49-#REF!</f>
      </c>
      <c r="BF47" s="51" t="e">
        <f>Ticker0001_Exchange_Sheet!CE49-#REF!</f>
      </c>
      <c r="BG47" s="51" t="e">
        <f>Ticker0001_Exchange_Sheet!CF49-#REF!</f>
      </c>
      <c r="BH47" s="51" t="e">
        <f>Ticker0001_Exchange_Sheet!CG49-#REF!</f>
      </c>
      <c r="BI47" s="51" t="e">
        <f>Ticker0001_Exchange_Sheet!CH49-#REF!</f>
      </c>
      <c r="BJ47" s="51" t="e">
        <f>Ticker0001_Exchange_Sheet!CI49-#REF!</f>
      </c>
      <c r="BK47" s="51" t="e">
        <f>Ticker0001_Exchange_Sheet!CJ49-#REF!</f>
      </c>
      <c r="BL47" s="51" t="e">
        <f>Ticker0001_Exchange_Sheet!CK49-#REF!</f>
      </c>
      <c r="BM47" s="51" t="e">
        <f>Ticker0001_Exchange_Sheet!CL49-#REF!</f>
      </c>
      <c r="BN47" s="51" t="e">
        <f>Ticker0001_Exchange_Sheet!CM49-#REF!</f>
      </c>
      <c r="BO47" s="51" t="e">
        <f>Ticker0001_Exchange_Sheet!CN49-#REF!</f>
      </c>
      <c r="BP47" s="51" t="e">
        <f>Ticker0001_Exchange_Sheet!CO49-#REF!</f>
      </c>
      <c r="BQ47" s="51" t="e">
        <f>Ticker0001_Exchange_Sheet!CP49-#REF!</f>
      </c>
      <c r="BR47" s="51" t="e">
        <f>Ticker0001_Exchange_Sheet!CQ49-#REF!</f>
      </c>
      <c r="BS47" s="51" t="e">
        <f>Ticker0001_Exchange_Sheet!CR49-#REF!</f>
      </c>
      <c r="BT47" s="51" t="e">
        <f>Ticker0001_Exchange_Sheet!CS49-#REF!</f>
      </c>
      <c r="BU47" s="51" t="e">
        <f>Ticker0001_Exchange_Sheet!CT49-#REF!</f>
      </c>
      <c r="BV47" s="51" t="e">
        <f>Ticker0001_Exchange_Sheet!CU49-#REF!</f>
      </c>
      <c r="BW47" s="51" t="e">
        <f>Ticker0001_Exchange_Sheet!CV49-#REF!</f>
      </c>
      <c r="BX47" s="51" t="e">
        <f>Ticker0001_Exchange_Sheet!CW49-#REF!</f>
      </c>
      <c r="BY47" s="51" t="e">
        <f>Ticker0001_Exchange_Sheet!CX49-#REF!</f>
      </c>
      <c r="BZ47" s="51" t="e">
        <f>Ticker0001_Exchange_Sheet!CY49-#REF!</f>
      </c>
      <c r="CA47" s="51" t="e">
        <f>Ticker0001_Exchange_Sheet!CZ49-#REF!</f>
      </c>
      <c r="CB47" s="51" t="e">
        <f>Ticker0001_Exchange_Sheet!DA49-#REF!</f>
      </c>
      <c r="CC47" s="51" t="e">
        <f>Ticker0001_Exchange_Sheet!DB49-#REF!</f>
      </c>
      <c r="CD47" s="51" t="e">
        <f>Ticker0001_Exchange_Sheet!DC49-#REF!</f>
      </c>
      <c r="CE47" s="51" t="e">
        <f>Ticker0001_Exchange_Sheet!DD49-#REF!</f>
      </c>
      <c r="CF47" s="51" t="e">
        <f>Ticker0001_Exchange_Sheet!DE49-#REF!</f>
      </c>
    </row>
    <row r="48" spans="6:84">
      <c r="F48" s="51" t="e">
        <f>Ticker0001_Exchange_Sheet!F50-#REF!</f>
      </c>
      <c r="G48" s="51" t="e">
        <f>Ticker0001_Exchange_Sheet!G50-#REF!</f>
      </c>
      <c r="H48" s="51" t="e">
        <f>Ticker0001_Exchange_Sheet!H50-#REF!</f>
      </c>
      <c r="I48" s="51" t="e">
        <f>Ticker0001_Exchange_Sheet!I50-#REF!</f>
      </c>
      <c r="J48" s="51" t="e">
        <f>Ticker0001_Exchange_Sheet!J50-#REF!</f>
      </c>
      <c r="K48" s="51" t="e">
        <f>Ticker0001_Exchange_Sheet!K50-#REF!</f>
      </c>
      <c r="L48" s="51" t="e">
        <f>Ticker0001_Exchange_Sheet!L50-#REF!</f>
      </c>
      <c r="M48" s="51" t="e">
        <f>Ticker0001_Exchange_Sheet!M50-#REF!</f>
      </c>
      <c r="N48" s="51" t="e">
        <f>Ticker0001_Exchange_Sheet!N50-#REF!</f>
      </c>
      <c r="O48" s="51" t="e">
        <f>Ticker0001_Exchange_Sheet!O50-#REF!</f>
      </c>
      <c r="P48" s="51" t="e">
        <f>Ticker0001_Exchange_Sheet!P50-#REF!</f>
      </c>
      <c r="Q48" s="51" t="e">
        <f>Ticker0001_Exchange_Sheet!Q50-#REF!</f>
      </c>
      <c r="R48" s="51" t="e">
        <f>Ticker0001_Exchange_Sheet!R50-#REF!</f>
      </c>
      <c r="S48" s="51" t="e">
        <f>Ticker0001_Exchange_Sheet!S50-#REF!</f>
      </c>
      <c r="T48" s="51" t="e">
        <f>Ticker0001_Exchange_Sheet!T50-#REF!</f>
      </c>
      <c r="U48" s="51" t="e">
        <f>Ticker0001_Exchange_Sheet!U50-#REF!</f>
      </c>
      <c r="V48" s="51" t="e">
        <f>Ticker0001_Exchange_Sheet!V50-#REF!</f>
      </c>
      <c r="W48" s="51" t="e">
        <f>Ticker0001_Exchange_Sheet!W50-#REF!</f>
      </c>
      <c r="X48" s="51" t="e">
        <f>Ticker0001_Exchange_Sheet!AK50-#REF!</f>
      </c>
      <c r="Y48" s="51" t="e">
        <f>Ticker0001_Exchange_Sheet!AX50-#REF!</f>
      </c>
      <c r="Z48" s="51" t="e">
        <f>Ticker0001_Exchange_Sheet!AY50-#REF!</f>
      </c>
      <c r="AA48" s="51" t="e">
        <f>Ticker0001_Exchange_Sheet!AZ50-#REF!</f>
      </c>
      <c r="AB48" s="51" t="e">
        <f>Ticker0001_Exchange_Sheet!BA50-#REF!</f>
      </c>
      <c r="AC48" s="51" t="e">
        <f>Ticker0001_Exchange_Sheet!BB50-#REF!</f>
      </c>
      <c r="AD48" s="51" t="e">
        <f>Ticker0001_Exchange_Sheet!BC50-#REF!</f>
      </c>
      <c r="AE48" s="51" t="e">
        <f>Ticker0001_Exchange_Sheet!BD50-#REF!</f>
      </c>
      <c r="AF48" s="51" t="e">
        <f>Ticker0001_Exchange_Sheet!BE50-#REF!</f>
      </c>
      <c r="AG48" s="51" t="e">
        <f>Ticker0001_Exchange_Sheet!BF50-#REF!</f>
      </c>
      <c r="AH48" s="51" t="e">
        <f>Ticker0001_Exchange_Sheet!BG50-#REF!</f>
      </c>
      <c r="AI48" s="51" t="e">
        <f>Ticker0001_Exchange_Sheet!BH50-#REF!</f>
      </c>
      <c r="AJ48" s="51" t="e">
        <f>Ticker0001_Exchange_Sheet!BI50-#REF!</f>
      </c>
      <c r="AK48" s="51" t="e">
        <f>Ticker0001_Exchange_Sheet!BJ50-#REF!</f>
      </c>
      <c r="AL48" s="51" t="e">
        <f>Ticker0001_Exchange_Sheet!BK50-#REF!</f>
      </c>
      <c r="AM48" s="51" t="e">
        <f>Ticker0001_Exchange_Sheet!BL50-#REF!</f>
      </c>
      <c r="AN48" s="51" t="e">
        <f>Ticker0001_Exchange_Sheet!BM50-#REF!</f>
      </c>
      <c r="AO48" s="51" t="e">
        <f>Ticker0001_Exchange_Sheet!BN50-#REF!</f>
      </c>
      <c r="AP48" s="51" t="e">
        <f>Ticker0001_Exchange_Sheet!BO50-#REF!</f>
      </c>
      <c r="AQ48" s="51" t="e">
        <f>Ticker0001_Exchange_Sheet!BP50-#REF!</f>
      </c>
      <c r="AR48" s="51" t="e">
        <f>Ticker0001_Exchange_Sheet!BQ50-#REF!</f>
      </c>
      <c r="AS48" s="51" t="e">
        <f>Ticker0001_Exchange_Sheet!BR50-#REF!</f>
      </c>
      <c r="AT48" s="51" t="e">
        <f>Ticker0001_Exchange_Sheet!BS50-#REF!</f>
      </c>
      <c r="AU48" s="51" t="e">
        <f>Ticker0001_Exchange_Sheet!BT50-#REF!</f>
      </c>
      <c r="AV48" s="51" t="e">
        <f>Ticker0001_Exchange_Sheet!BU50-#REF!</f>
      </c>
      <c r="AW48" s="51" t="e">
        <f>Ticker0001_Exchange_Sheet!BV50-#REF!</f>
      </c>
      <c r="AX48" s="51" t="e">
        <f>Ticker0001_Exchange_Sheet!BW50-#REF!</f>
      </c>
      <c r="AY48" s="51" t="e">
        <f>Ticker0001_Exchange_Sheet!BX50-#REF!</f>
      </c>
      <c r="AZ48" s="51" t="e">
        <f>Ticker0001_Exchange_Sheet!BY50-#REF!</f>
      </c>
      <c r="BA48" s="51" t="e">
        <f>Ticker0001_Exchange_Sheet!BZ50-#REF!</f>
      </c>
      <c r="BB48" s="51" t="e">
        <f>Ticker0001_Exchange_Sheet!CA50-#REF!</f>
      </c>
      <c r="BC48" s="51" t="e">
        <f>Ticker0001_Exchange_Sheet!CB50-#REF!</f>
      </c>
      <c r="BD48" s="51" t="e">
        <f>Ticker0001_Exchange_Sheet!CC50-#REF!</f>
      </c>
      <c r="BE48" s="51" t="e">
        <f>Ticker0001_Exchange_Sheet!CD50-#REF!</f>
      </c>
      <c r="BF48" s="51" t="e">
        <f>Ticker0001_Exchange_Sheet!CE50-#REF!</f>
      </c>
      <c r="BG48" s="51" t="e">
        <f>Ticker0001_Exchange_Sheet!CF50-#REF!</f>
      </c>
      <c r="BH48" s="51" t="e">
        <f>Ticker0001_Exchange_Sheet!CG50-#REF!</f>
      </c>
      <c r="BI48" s="51" t="e">
        <f>Ticker0001_Exchange_Sheet!CH50-#REF!</f>
      </c>
      <c r="BJ48" s="51" t="e">
        <f>Ticker0001_Exchange_Sheet!CI50-#REF!</f>
      </c>
      <c r="BK48" s="51" t="e">
        <f>Ticker0001_Exchange_Sheet!CJ50-#REF!</f>
      </c>
      <c r="BL48" s="51" t="e">
        <f>Ticker0001_Exchange_Sheet!CK50-#REF!</f>
      </c>
      <c r="BM48" s="51" t="e">
        <f>Ticker0001_Exchange_Sheet!CL50-#REF!</f>
      </c>
      <c r="BN48" s="51" t="e">
        <f>Ticker0001_Exchange_Sheet!CM50-#REF!</f>
      </c>
      <c r="BO48" s="51" t="e">
        <f>Ticker0001_Exchange_Sheet!CN50-#REF!</f>
      </c>
      <c r="BP48" s="51" t="e">
        <f>Ticker0001_Exchange_Sheet!CO50-#REF!</f>
      </c>
      <c r="BQ48" s="51" t="e">
        <f>Ticker0001_Exchange_Sheet!CP50-#REF!</f>
      </c>
      <c r="BR48" s="51" t="e">
        <f>Ticker0001_Exchange_Sheet!CQ50-#REF!</f>
      </c>
      <c r="BS48" s="51" t="e">
        <f>Ticker0001_Exchange_Sheet!CR50-#REF!</f>
      </c>
      <c r="BT48" s="51" t="e">
        <f>Ticker0001_Exchange_Sheet!CS50-#REF!</f>
      </c>
      <c r="BU48" s="51" t="e">
        <f>Ticker0001_Exchange_Sheet!CT50-#REF!</f>
      </c>
      <c r="BV48" s="51" t="e">
        <f>Ticker0001_Exchange_Sheet!CU50-#REF!</f>
      </c>
      <c r="BW48" s="51" t="e">
        <f>Ticker0001_Exchange_Sheet!CV50-#REF!</f>
      </c>
      <c r="BX48" s="51" t="e">
        <f>Ticker0001_Exchange_Sheet!CW50-#REF!</f>
      </c>
      <c r="BY48" s="51" t="e">
        <f>Ticker0001_Exchange_Sheet!CX50-#REF!</f>
      </c>
      <c r="BZ48" s="51" t="e">
        <f>Ticker0001_Exchange_Sheet!CY50-#REF!</f>
      </c>
      <c r="CA48" s="51" t="e">
        <f>Ticker0001_Exchange_Sheet!CZ50-#REF!</f>
      </c>
      <c r="CB48" s="51" t="e">
        <f>Ticker0001_Exchange_Sheet!DA50-#REF!</f>
      </c>
      <c r="CC48" s="51" t="e">
        <f>Ticker0001_Exchange_Sheet!DB50-#REF!</f>
      </c>
      <c r="CD48" s="51" t="e">
        <f>Ticker0001_Exchange_Sheet!DC50-#REF!</f>
      </c>
      <c r="CE48" s="51" t="e">
        <f>Ticker0001_Exchange_Sheet!DD50-#REF!</f>
      </c>
      <c r="CF48" s="51" t="e">
        <f>Ticker0001_Exchange_Sheet!DE50-#REF!</f>
      </c>
    </row>
    <row r="49" spans="6:84">
      <c r="F49" s="51" t="e">
        <f>Ticker0001_Exchange_Sheet!F51-#REF!</f>
      </c>
      <c r="G49" s="51" t="e">
        <f>Ticker0001_Exchange_Sheet!G51-#REF!</f>
      </c>
      <c r="H49" s="51" t="e">
        <f>Ticker0001_Exchange_Sheet!H51-#REF!</f>
      </c>
      <c r="I49" s="51" t="e">
        <f>Ticker0001_Exchange_Sheet!I51-#REF!</f>
      </c>
      <c r="J49" s="51" t="e">
        <f>Ticker0001_Exchange_Sheet!J51-#REF!</f>
      </c>
      <c r="K49" s="51" t="e">
        <f>Ticker0001_Exchange_Sheet!K51-#REF!</f>
      </c>
      <c r="L49" s="51" t="e">
        <f>Ticker0001_Exchange_Sheet!L51-#REF!</f>
      </c>
      <c r="M49" s="51" t="e">
        <f>Ticker0001_Exchange_Sheet!M51-#REF!</f>
      </c>
      <c r="N49" s="51" t="e">
        <f>Ticker0001_Exchange_Sheet!N51-#REF!</f>
      </c>
      <c r="O49" s="51" t="e">
        <f>Ticker0001_Exchange_Sheet!O51-#REF!</f>
      </c>
      <c r="P49" s="51" t="e">
        <f>Ticker0001_Exchange_Sheet!P51-#REF!</f>
      </c>
      <c r="Q49" s="51" t="e">
        <f>Ticker0001_Exchange_Sheet!Q51-#REF!</f>
      </c>
      <c r="R49" s="51" t="e">
        <f>Ticker0001_Exchange_Sheet!R51-#REF!</f>
      </c>
      <c r="S49" s="51" t="e">
        <f>Ticker0001_Exchange_Sheet!S51-#REF!</f>
      </c>
      <c r="T49" s="51" t="e">
        <f>Ticker0001_Exchange_Sheet!T51-#REF!</f>
      </c>
      <c r="U49" s="51" t="e">
        <f>Ticker0001_Exchange_Sheet!U51-#REF!</f>
      </c>
      <c r="V49" s="51" t="e">
        <f>Ticker0001_Exchange_Sheet!V51-#REF!</f>
      </c>
      <c r="W49" s="51" t="e">
        <f>Ticker0001_Exchange_Sheet!W51-#REF!</f>
      </c>
      <c r="X49" s="51" t="e">
        <f>Ticker0001_Exchange_Sheet!AK51-#REF!</f>
      </c>
      <c r="Y49" s="51" t="e">
        <f>Ticker0001_Exchange_Sheet!AX51-#REF!</f>
      </c>
      <c r="Z49" s="51" t="e">
        <f>Ticker0001_Exchange_Sheet!AY51-#REF!</f>
      </c>
      <c r="AA49" s="51" t="e">
        <f>Ticker0001_Exchange_Sheet!AZ51-#REF!</f>
      </c>
      <c r="AB49" s="51" t="e">
        <f>Ticker0001_Exchange_Sheet!BA51-#REF!</f>
      </c>
      <c r="AC49" s="51" t="e">
        <f>Ticker0001_Exchange_Sheet!BB51-#REF!</f>
      </c>
      <c r="AD49" s="51" t="e">
        <f>Ticker0001_Exchange_Sheet!BC51-#REF!</f>
      </c>
      <c r="AE49" s="51" t="e">
        <f>Ticker0001_Exchange_Sheet!BD51-#REF!</f>
      </c>
      <c r="AF49" s="51" t="e">
        <f>Ticker0001_Exchange_Sheet!BE51-#REF!</f>
      </c>
      <c r="AG49" s="51" t="e">
        <f>Ticker0001_Exchange_Sheet!BF51-#REF!</f>
      </c>
      <c r="AH49" s="51" t="e">
        <f>Ticker0001_Exchange_Sheet!BG51-#REF!</f>
      </c>
      <c r="AI49" s="51" t="e">
        <f>Ticker0001_Exchange_Sheet!BH51-#REF!</f>
      </c>
      <c r="AJ49" s="51" t="e">
        <f>Ticker0001_Exchange_Sheet!BI51-#REF!</f>
      </c>
      <c r="AK49" s="51" t="e">
        <f>Ticker0001_Exchange_Sheet!BJ51-#REF!</f>
      </c>
      <c r="AL49" s="51" t="e">
        <f>Ticker0001_Exchange_Sheet!BK51-#REF!</f>
      </c>
      <c r="AM49" s="51" t="e">
        <f>Ticker0001_Exchange_Sheet!BL51-#REF!</f>
      </c>
      <c r="AN49" s="51" t="e">
        <f>Ticker0001_Exchange_Sheet!BM51-#REF!</f>
      </c>
      <c r="AO49" s="51" t="e">
        <f>Ticker0001_Exchange_Sheet!BN51-#REF!</f>
      </c>
      <c r="AP49" s="51" t="e">
        <f>Ticker0001_Exchange_Sheet!BO51-#REF!</f>
      </c>
      <c r="AQ49" s="51" t="e">
        <f>Ticker0001_Exchange_Sheet!BP51-#REF!</f>
      </c>
      <c r="AR49" s="51" t="e">
        <f>Ticker0001_Exchange_Sheet!BQ51-#REF!</f>
      </c>
      <c r="AS49" s="51" t="e">
        <f>Ticker0001_Exchange_Sheet!BR51-#REF!</f>
      </c>
      <c r="AT49" s="51" t="e">
        <f>Ticker0001_Exchange_Sheet!BS51-#REF!</f>
      </c>
      <c r="AU49" s="51" t="e">
        <f>Ticker0001_Exchange_Sheet!BT51-#REF!</f>
      </c>
      <c r="AV49" s="51" t="e">
        <f>Ticker0001_Exchange_Sheet!BU51-#REF!</f>
      </c>
      <c r="AW49" s="51" t="e">
        <f>Ticker0001_Exchange_Sheet!BV51-#REF!</f>
      </c>
      <c r="AX49" s="51" t="e">
        <f>Ticker0001_Exchange_Sheet!BW51-#REF!</f>
      </c>
      <c r="AY49" s="51" t="e">
        <f>Ticker0001_Exchange_Sheet!BX51-#REF!</f>
      </c>
      <c r="AZ49" s="51" t="e">
        <f>Ticker0001_Exchange_Sheet!BY51-#REF!</f>
      </c>
      <c r="BA49" s="51" t="e">
        <f>Ticker0001_Exchange_Sheet!BZ51-#REF!</f>
      </c>
      <c r="BB49" s="51" t="e">
        <f>Ticker0001_Exchange_Sheet!CA51-#REF!</f>
      </c>
      <c r="BC49" s="51" t="e">
        <f>Ticker0001_Exchange_Sheet!CB51-#REF!</f>
      </c>
      <c r="BD49" s="51" t="e">
        <f>Ticker0001_Exchange_Sheet!CC51-#REF!</f>
      </c>
      <c r="BE49" s="51" t="e">
        <f>Ticker0001_Exchange_Sheet!CD51-#REF!</f>
      </c>
      <c r="BF49" s="51" t="e">
        <f>Ticker0001_Exchange_Sheet!CE51-#REF!</f>
      </c>
      <c r="BG49" s="51" t="e">
        <f>Ticker0001_Exchange_Sheet!CF51-#REF!</f>
      </c>
      <c r="BH49" s="51" t="e">
        <f>Ticker0001_Exchange_Sheet!CG51-#REF!</f>
      </c>
      <c r="BI49" s="51" t="e">
        <f>Ticker0001_Exchange_Sheet!CH51-#REF!</f>
      </c>
      <c r="BJ49" s="51" t="e">
        <f>Ticker0001_Exchange_Sheet!CI51-#REF!</f>
      </c>
      <c r="BK49" s="51" t="e">
        <f>Ticker0001_Exchange_Sheet!CJ51-#REF!</f>
      </c>
      <c r="BL49" s="51" t="e">
        <f>Ticker0001_Exchange_Sheet!CK51-#REF!</f>
      </c>
      <c r="BM49" s="51" t="e">
        <f>Ticker0001_Exchange_Sheet!CL51-#REF!</f>
      </c>
      <c r="BN49" s="51" t="e">
        <f>Ticker0001_Exchange_Sheet!CM51-#REF!</f>
      </c>
      <c r="BO49" s="51" t="e">
        <f>Ticker0001_Exchange_Sheet!CN51-#REF!</f>
      </c>
      <c r="BP49" s="51" t="e">
        <f>Ticker0001_Exchange_Sheet!CO51-#REF!</f>
      </c>
      <c r="BQ49" s="51" t="e">
        <f>Ticker0001_Exchange_Sheet!CP51-#REF!</f>
      </c>
      <c r="BR49" s="51" t="e">
        <f>Ticker0001_Exchange_Sheet!CQ51-#REF!</f>
      </c>
      <c r="BS49" s="51" t="e">
        <f>Ticker0001_Exchange_Sheet!CR51-#REF!</f>
      </c>
      <c r="BT49" s="51" t="e">
        <f>Ticker0001_Exchange_Sheet!CS51-#REF!</f>
      </c>
      <c r="BU49" s="51" t="e">
        <f>Ticker0001_Exchange_Sheet!CT51-#REF!</f>
      </c>
      <c r="BV49" s="51" t="e">
        <f>Ticker0001_Exchange_Sheet!CU51-#REF!</f>
      </c>
      <c r="BW49" s="51" t="e">
        <f>Ticker0001_Exchange_Sheet!CV51-#REF!</f>
      </c>
      <c r="BX49" s="51" t="e">
        <f>Ticker0001_Exchange_Sheet!CW51-#REF!</f>
      </c>
      <c r="BY49" s="51" t="e">
        <f>Ticker0001_Exchange_Sheet!CX51-#REF!</f>
      </c>
      <c r="BZ49" s="51" t="e">
        <f>Ticker0001_Exchange_Sheet!CY51-#REF!</f>
      </c>
      <c r="CA49" s="51" t="e">
        <f>Ticker0001_Exchange_Sheet!CZ51-#REF!</f>
      </c>
      <c r="CB49" s="51" t="e">
        <f>Ticker0001_Exchange_Sheet!DA51-#REF!</f>
      </c>
      <c r="CC49" s="51" t="e">
        <f>Ticker0001_Exchange_Sheet!DB51-#REF!</f>
      </c>
      <c r="CD49" s="51" t="e">
        <f>Ticker0001_Exchange_Sheet!DC51-#REF!</f>
      </c>
      <c r="CE49" s="51" t="e">
        <f>Ticker0001_Exchange_Sheet!DD51-#REF!</f>
      </c>
      <c r="CF49" s="51" t="e">
        <f>Ticker0001_Exchange_Sheet!DE51-#REF!</f>
      </c>
    </row>
    <row r="50" spans="6:84">
      <c r="F50" s="51" t="e">
        <f>Ticker0001_Exchange_Sheet!F52-#REF!</f>
      </c>
      <c r="G50" s="51" t="e">
        <f>Ticker0001_Exchange_Sheet!G52-#REF!</f>
      </c>
      <c r="H50" s="51" t="e">
        <f>Ticker0001_Exchange_Sheet!H52-#REF!</f>
      </c>
      <c r="I50" s="51" t="e">
        <f>Ticker0001_Exchange_Sheet!I52-#REF!</f>
      </c>
      <c r="J50" s="51" t="e">
        <f>Ticker0001_Exchange_Sheet!J52-#REF!</f>
      </c>
      <c r="K50" s="51" t="e">
        <f>Ticker0001_Exchange_Sheet!K52-#REF!</f>
      </c>
      <c r="L50" s="51" t="e">
        <f>Ticker0001_Exchange_Sheet!L52-#REF!</f>
      </c>
      <c r="M50" s="51" t="e">
        <f>Ticker0001_Exchange_Sheet!M52-#REF!</f>
      </c>
      <c r="N50" s="51" t="e">
        <f>Ticker0001_Exchange_Sheet!N52-#REF!</f>
      </c>
      <c r="O50" s="51" t="e">
        <f>Ticker0001_Exchange_Sheet!O52-#REF!</f>
      </c>
      <c r="P50" s="51" t="e">
        <f>Ticker0001_Exchange_Sheet!P52-#REF!</f>
      </c>
      <c r="Q50" s="51" t="e">
        <f>Ticker0001_Exchange_Sheet!Q52-#REF!</f>
      </c>
      <c r="R50" s="51" t="e">
        <f>Ticker0001_Exchange_Sheet!R52-#REF!</f>
      </c>
      <c r="S50" s="51" t="e">
        <f>Ticker0001_Exchange_Sheet!S52-#REF!</f>
      </c>
      <c r="T50" s="51" t="e">
        <f>Ticker0001_Exchange_Sheet!T52-#REF!</f>
      </c>
      <c r="U50" s="51" t="e">
        <f>Ticker0001_Exchange_Sheet!U52-#REF!</f>
      </c>
      <c r="V50" s="51" t="e">
        <f>Ticker0001_Exchange_Sheet!V52-#REF!</f>
      </c>
      <c r="W50" s="51" t="e">
        <f>Ticker0001_Exchange_Sheet!W52-#REF!</f>
      </c>
      <c r="X50" s="51" t="e">
        <f>Ticker0001_Exchange_Sheet!AK52-#REF!</f>
      </c>
      <c r="Y50" s="51" t="e">
        <f>Ticker0001_Exchange_Sheet!AX52-#REF!</f>
      </c>
      <c r="Z50" s="51" t="e">
        <f>Ticker0001_Exchange_Sheet!AY52-#REF!</f>
      </c>
      <c r="AA50" s="51" t="e">
        <f>Ticker0001_Exchange_Sheet!AZ52-#REF!</f>
      </c>
      <c r="AB50" s="51" t="e">
        <f>Ticker0001_Exchange_Sheet!BA52-#REF!</f>
      </c>
      <c r="AC50" s="51" t="e">
        <f>Ticker0001_Exchange_Sheet!BB52-#REF!</f>
      </c>
      <c r="AD50" s="51" t="e">
        <f>Ticker0001_Exchange_Sheet!BC52-#REF!</f>
      </c>
      <c r="AE50" s="51" t="e">
        <f>Ticker0001_Exchange_Sheet!BD52-#REF!</f>
      </c>
      <c r="AF50" s="51" t="e">
        <f>Ticker0001_Exchange_Sheet!BE52-#REF!</f>
      </c>
      <c r="AG50" s="51" t="e">
        <f>Ticker0001_Exchange_Sheet!BF52-#REF!</f>
      </c>
      <c r="AH50" s="51" t="e">
        <f>Ticker0001_Exchange_Sheet!BG52-#REF!</f>
      </c>
      <c r="AI50" s="51" t="e">
        <f>Ticker0001_Exchange_Sheet!BH52-#REF!</f>
      </c>
      <c r="AJ50" s="51" t="e">
        <f>Ticker0001_Exchange_Sheet!BI52-#REF!</f>
      </c>
      <c r="AK50" s="51" t="e">
        <f>Ticker0001_Exchange_Sheet!BJ52-#REF!</f>
      </c>
      <c r="AL50" s="51" t="e">
        <f>Ticker0001_Exchange_Sheet!BK52-#REF!</f>
      </c>
      <c r="AM50" s="51" t="e">
        <f>Ticker0001_Exchange_Sheet!BL52-#REF!</f>
      </c>
      <c r="AN50" s="51" t="e">
        <f>Ticker0001_Exchange_Sheet!BM52-#REF!</f>
      </c>
      <c r="AO50" s="51" t="e">
        <f>Ticker0001_Exchange_Sheet!BN52-#REF!</f>
      </c>
      <c r="AP50" s="51" t="e">
        <f>Ticker0001_Exchange_Sheet!BO52-#REF!</f>
      </c>
      <c r="AQ50" s="51" t="e">
        <f>Ticker0001_Exchange_Sheet!BP52-#REF!</f>
      </c>
      <c r="AR50" s="51" t="e">
        <f>Ticker0001_Exchange_Sheet!BQ52-#REF!</f>
      </c>
      <c r="AS50" s="51" t="e">
        <f>Ticker0001_Exchange_Sheet!BR52-#REF!</f>
      </c>
      <c r="AT50" s="51" t="e">
        <f>Ticker0001_Exchange_Sheet!BS52-#REF!</f>
      </c>
      <c r="AU50" s="51" t="e">
        <f>Ticker0001_Exchange_Sheet!BT52-#REF!</f>
      </c>
      <c r="AV50" s="51" t="e">
        <f>Ticker0001_Exchange_Sheet!BU52-#REF!</f>
      </c>
      <c r="AW50" s="51" t="e">
        <f>Ticker0001_Exchange_Sheet!BV52-#REF!</f>
      </c>
      <c r="AX50" s="51" t="e">
        <f>Ticker0001_Exchange_Sheet!BW52-#REF!</f>
      </c>
      <c r="AY50" s="51" t="e">
        <f>Ticker0001_Exchange_Sheet!BX52-#REF!</f>
      </c>
      <c r="AZ50" s="51" t="e">
        <f>Ticker0001_Exchange_Sheet!BY52-#REF!</f>
      </c>
      <c r="BA50" s="51" t="e">
        <f>Ticker0001_Exchange_Sheet!BZ52-#REF!</f>
      </c>
      <c r="BB50" s="51" t="e">
        <f>Ticker0001_Exchange_Sheet!CA52-#REF!</f>
      </c>
      <c r="BC50" s="51" t="e">
        <f>Ticker0001_Exchange_Sheet!CB52-#REF!</f>
      </c>
      <c r="BD50" s="51" t="e">
        <f>Ticker0001_Exchange_Sheet!CC52-#REF!</f>
      </c>
      <c r="BE50" s="51" t="e">
        <f>Ticker0001_Exchange_Sheet!CD52-#REF!</f>
      </c>
      <c r="BF50" s="51" t="e">
        <f>Ticker0001_Exchange_Sheet!CE52-#REF!</f>
      </c>
      <c r="BG50" s="51" t="e">
        <f>Ticker0001_Exchange_Sheet!CF52-#REF!</f>
      </c>
      <c r="BH50" s="51" t="e">
        <f>Ticker0001_Exchange_Sheet!CG52-#REF!</f>
      </c>
      <c r="BI50" s="51" t="e">
        <f>Ticker0001_Exchange_Sheet!CH52-#REF!</f>
      </c>
      <c r="BJ50" s="51" t="e">
        <f>Ticker0001_Exchange_Sheet!CI52-#REF!</f>
      </c>
      <c r="BK50" s="51" t="e">
        <f>Ticker0001_Exchange_Sheet!CJ52-#REF!</f>
      </c>
      <c r="BL50" s="51" t="e">
        <f>Ticker0001_Exchange_Sheet!CK52-#REF!</f>
      </c>
      <c r="BM50" s="51" t="e">
        <f>Ticker0001_Exchange_Sheet!CL52-#REF!</f>
      </c>
      <c r="BN50" s="51" t="e">
        <f>Ticker0001_Exchange_Sheet!CM52-#REF!</f>
      </c>
      <c r="BO50" s="51" t="e">
        <f>Ticker0001_Exchange_Sheet!CN52-#REF!</f>
      </c>
      <c r="BP50" s="51" t="e">
        <f>Ticker0001_Exchange_Sheet!CO52-#REF!</f>
      </c>
      <c r="BQ50" s="51" t="e">
        <f>Ticker0001_Exchange_Sheet!CP52-#REF!</f>
      </c>
      <c r="BR50" s="51" t="e">
        <f>Ticker0001_Exchange_Sheet!CQ52-#REF!</f>
      </c>
      <c r="BS50" s="51" t="e">
        <f>Ticker0001_Exchange_Sheet!CR52-#REF!</f>
      </c>
      <c r="BT50" s="51" t="e">
        <f>Ticker0001_Exchange_Sheet!CS52-#REF!</f>
      </c>
      <c r="BU50" s="51" t="e">
        <f>Ticker0001_Exchange_Sheet!CT52-#REF!</f>
      </c>
      <c r="BV50" s="51" t="e">
        <f>Ticker0001_Exchange_Sheet!CU52-#REF!</f>
      </c>
      <c r="BW50" s="51" t="e">
        <f>Ticker0001_Exchange_Sheet!CV52-#REF!</f>
      </c>
      <c r="BX50" s="51" t="e">
        <f>Ticker0001_Exchange_Sheet!CW52-#REF!</f>
      </c>
      <c r="BY50" s="51" t="e">
        <f>Ticker0001_Exchange_Sheet!CX52-#REF!</f>
      </c>
      <c r="BZ50" s="51" t="e">
        <f>Ticker0001_Exchange_Sheet!CY52-#REF!</f>
      </c>
      <c r="CA50" s="51" t="e">
        <f>Ticker0001_Exchange_Sheet!CZ52-#REF!</f>
      </c>
      <c r="CB50" s="51" t="e">
        <f>Ticker0001_Exchange_Sheet!DA52-#REF!</f>
      </c>
      <c r="CC50" s="51" t="e">
        <f>Ticker0001_Exchange_Sheet!DB52-#REF!</f>
      </c>
      <c r="CD50" s="51" t="e">
        <f>Ticker0001_Exchange_Sheet!DC52-#REF!</f>
      </c>
      <c r="CE50" s="51" t="e">
        <f>Ticker0001_Exchange_Sheet!DD52-#REF!</f>
      </c>
      <c r="CF50" s="51" t="e">
        <f>Ticker0001_Exchange_Sheet!DE52-#REF!</f>
      </c>
    </row>
    <row r="51" spans="6:84">
      <c r="F51" s="51" t="e">
        <f>Ticker0001_Exchange_Sheet!F53-#REF!</f>
      </c>
      <c r="G51" s="51" t="e">
        <f>Ticker0001_Exchange_Sheet!G53-#REF!</f>
      </c>
      <c r="H51" s="51" t="e">
        <f>Ticker0001_Exchange_Sheet!H53-#REF!</f>
      </c>
      <c r="I51" s="51" t="e">
        <f>Ticker0001_Exchange_Sheet!I53-#REF!</f>
      </c>
      <c r="J51" s="51" t="e">
        <f>Ticker0001_Exchange_Sheet!J53-#REF!</f>
      </c>
      <c r="K51" s="51" t="e">
        <f>Ticker0001_Exchange_Sheet!K53-#REF!</f>
      </c>
      <c r="L51" s="51" t="e">
        <f>Ticker0001_Exchange_Sheet!L53-#REF!</f>
      </c>
      <c r="M51" s="51" t="e">
        <f>Ticker0001_Exchange_Sheet!M53-#REF!</f>
      </c>
      <c r="N51" s="51" t="e">
        <f>Ticker0001_Exchange_Sheet!N53-#REF!</f>
      </c>
      <c r="O51" s="51" t="e">
        <f>Ticker0001_Exchange_Sheet!O53-#REF!</f>
      </c>
      <c r="P51" s="51" t="e">
        <f>Ticker0001_Exchange_Sheet!P53-#REF!</f>
      </c>
      <c r="Q51" s="51" t="e">
        <f>Ticker0001_Exchange_Sheet!Q53-#REF!</f>
      </c>
      <c r="R51" s="51" t="e">
        <f>Ticker0001_Exchange_Sheet!R53-#REF!</f>
      </c>
      <c r="S51" s="51" t="e">
        <f>Ticker0001_Exchange_Sheet!S53-#REF!</f>
      </c>
      <c r="T51" s="51" t="e">
        <f>Ticker0001_Exchange_Sheet!T53-#REF!</f>
      </c>
      <c r="U51" s="51" t="e">
        <f>Ticker0001_Exchange_Sheet!U53-#REF!</f>
      </c>
      <c r="V51" s="51" t="e">
        <f>Ticker0001_Exchange_Sheet!V53-#REF!</f>
      </c>
      <c r="W51" s="51" t="e">
        <f>Ticker0001_Exchange_Sheet!W53-#REF!</f>
      </c>
      <c r="X51" s="51" t="e">
        <f>Ticker0001_Exchange_Sheet!AK53-#REF!</f>
      </c>
      <c r="Y51" s="51" t="e">
        <f>Ticker0001_Exchange_Sheet!AX53-#REF!</f>
      </c>
      <c r="Z51" s="51" t="e">
        <f>Ticker0001_Exchange_Sheet!AY53-#REF!</f>
      </c>
      <c r="AA51" s="51" t="e">
        <f>Ticker0001_Exchange_Sheet!AZ53-#REF!</f>
      </c>
      <c r="AB51" s="51" t="e">
        <f>Ticker0001_Exchange_Sheet!BA53-#REF!</f>
      </c>
      <c r="AC51" s="51" t="e">
        <f>Ticker0001_Exchange_Sheet!BB53-#REF!</f>
      </c>
      <c r="AD51" s="51" t="e">
        <f>Ticker0001_Exchange_Sheet!BC53-#REF!</f>
      </c>
      <c r="AE51" s="51" t="e">
        <f>Ticker0001_Exchange_Sheet!BD53-#REF!</f>
      </c>
      <c r="AF51" s="51" t="e">
        <f>Ticker0001_Exchange_Sheet!BE53-#REF!</f>
      </c>
      <c r="AG51" s="51" t="e">
        <f>Ticker0001_Exchange_Sheet!BF53-#REF!</f>
      </c>
      <c r="AH51" s="51" t="e">
        <f>Ticker0001_Exchange_Sheet!BG53-#REF!</f>
      </c>
      <c r="AI51" s="51" t="e">
        <f>Ticker0001_Exchange_Sheet!BH53-#REF!</f>
      </c>
      <c r="AJ51" s="51" t="e">
        <f>Ticker0001_Exchange_Sheet!BI53-#REF!</f>
      </c>
      <c r="AK51" s="51" t="e">
        <f>Ticker0001_Exchange_Sheet!BJ53-#REF!</f>
      </c>
      <c r="AL51" s="51" t="e">
        <f>Ticker0001_Exchange_Sheet!BK53-#REF!</f>
      </c>
      <c r="AM51" s="51" t="e">
        <f>Ticker0001_Exchange_Sheet!BL53-#REF!</f>
      </c>
      <c r="AN51" s="51" t="e">
        <f>Ticker0001_Exchange_Sheet!BM53-#REF!</f>
      </c>
      <c r="AO51" s="51" t="e">
        <f>Ticker0001_Exchange_Sheet!BN53-#REF!</f>
      </c>
      <c r="AP51" s="51" t="e">
        <f>Ticker0001_Exchange_Sheet!BO53-#REF!</f>
      </c>
      <c r="AQ51" s="51" t="e">
        <f>Ticker0001_Exchange_Sheet!BP53-#REF!</f>
      </c>
      <c r="AR51" s="51" t="e">
        <f>Ticker0001_Exchange_Sheet!BQ53-#REF!</f>
      </c>
      <c r="AS51" s="51" t="e">
        <f>Ticker0001_Exchange_Sheet!BR53-#REF!</f>
      </c>
      <c r="AT51" s="51" t="e">
        <f>Ticker0001_Exchange_Sheet!BS53-#REF!</f>
      </c>
      <c r="AU51" s="51" t="e">
        <f>Ticker0001_Exchange_Sheet!BT53-#REF!</f>
      </c>
      <c r="AV51" s="51" t="e">
        <f>Ticker0001_Exchange_Sheet!BU53-#REF!</f>
      </c>
      <c r="AW51" s="51" t="e">
        <f>Ticker0001_Exchange_Sheet!BV53-#REF!</f>
      </c>
      <c r="AX51" s="51" t="e">
        <f>Ticker0001_Exchange_Sheet!BW53-#REF!</f>
      </c>
      <c r="AY51" s="51" t="e">
        <f>Ticker0001_Exchange_Sheet!BX53-#REF!</f>
      </c>
      <c r="AZ51" s="51" t="e">
        <f>Ticker0001_Exchange_Sheet!BY53-#REF!</f>
      </c>
      <c r="BA51" s="51" t="e">
        <f>Ticker0001_Exchange_Sheet!BZ53-#REF!</f>
      </c>
      <c r="BB51" s="51" t="e">
        <f>Ticker0001_Exchange_Sheet!CA53-#REF!</f>
      </c>
      <c r="BC51" s="51" t="e">
        <f>Ticker0001_Exchange_Sheet!CB53-#REF!</f>
      </c>
      <c r="BD51" s="51" t="e">
        <f>Ticker0001_Exchange_Sheet!CC53-#REF!</f>
      </c>
      <c r="BE51" s="51" t="e">
        <f>Ticker0001_Exchange_Sheet!CD53-#REF!</f>
      </c>
      <c r="BF51" s="51" t="e">
        <f>Ticker0001_Exchange_Sheet!CE53-#REF!</f>
      </c>
      <c r="BG51" s="51" t="e">
        <f>Ticker0001_Exchange_Sheet!CF53-#REF!</f>
      </c>
      <c r="BH51" s="51" t="e">
        <f>Ticker0001_Exchange_Sheet!CG53-#REF!</f>
      </c>
      <c r="BI51" s="51" t="e">
        <f>Ticker0001_Exchange_Sheet!CH53-#REF!</f>
      </c>
      <c r="BJ51" s="51" t="e">
        <f>Ticker0001_Exchange_Sheet!CI53-#REF!</f>
      </c>
      <c r="BK51" s="51" t="e">
        <f>Ticker0001_Exchange_Sheet!CJ53-#REF!</f>
      </c>
      <c r="BL51" s="51" t="e">
        <f>Ticker0001_Exchange_Sheet!CK53-#REF!</f>
      </c>
      <c r="BM51" s="51" t="e">
        <f>Ticker0001_Exchange_Sheet!CL53-#REF!</f>
      </c>
      <c r="BN51" s="51" t="e">
        <f>Ticker0001_Exchange_Sheet!CM53-#REF!</f>
      </c>
      <c r="BO51" s="51" t="e">
        <f>Ticker0001_Exchange_Sheet!CN53-#REF!</f>
      </c>
      <c r="BP51" s="51" t="e">
        <f>Ticker0001_Exchange_Sheet!CO53-#REF!</f>
      </c>
      <c r="BQ51" s="51" t="e">
        <f>Ticker0001_Exchange_Sheet!CP53-#REF!</f>
      </c>
      <c r="BR51" s="51" t="e">
        <f>Ticker0001_Exchange_Sheet!CQ53-#REF!</f>
      </c>
      <c r="BS51" s="51" t="e">
        <f>Ticker0001_Exchange_Sheet!CR53-#REF!</f>
      </c>
      <c r="BT51" s="51" t="e">
        <f>Ticker0001_Exchange_Sheet!CS53-#REF!</f>
      </c>
      <c r="BU51" s="51" t="e">
        <f>Ticker0001_Exchange_Sheet!CT53-#REF!</f>
      </c>
      <c r="BV51" s="51" t="e">
        <f>Ticker0001_Exchange_Sheet!CU53-#REF!</f>
      </c>
      <c r="BW51" s="51" t="e">
        <f>Ticker0001_Exchange_Sheet!CV53-#REF!</f>
      </c>
      <c r="BX51" s="51" t="e">
        <f>Ticker0001_Exchange_Sheet!CW53-#REF!</f>
      </c>
      <c r="BY51" s="51" t="e">
        <f>Ticker0001_Exchange_Sheet!CX53-#REF!</f>
      </c>
      <c r="BZ51" s="51" t="e">
        <f>Ticker0001_Exchange_Sheet!CY53-#REF!</f>
      </c>
      <c r="CA51" s="51" t="e">
        <f>Ticker0001_Exchange_Sheet!CZ53-#REF!</f>
      </c>
      <c r="CB51" s="51" t="e">
        <f>Ticker0001_Exchange_Sheet!DA53-#REF!</f>
      </c>
      <c r="CC51" s="51" t="e">
        <f>Ticker0001_Exchange_Sheet!DB53-#REF!</f>
      </c>
      <c r="CD51" s="51" t="e">
        <f>Ticker0001_Exchange_Sheet!DC53-#REF!</f>
      </c>
      <c r="CE51" s="51" t="e">
        <f>Ticker0001_Exchange_Sheet!DD53-#REF!</f>
      </c>
      <c r="CF51" s="51" t="e">
        <f>Ticker0001_Exchange_Sheet!DE53-#REF!</f>
      </c>
    </row>
    <row r="52" spans="6:84">
      <c r="F52" s="51" t="e">
        <f>Ticker0001_Exchange_Sheet!F54-#REF!</f>
      </c>
      <c r="G52" s="51" t="e">
        <f>Ticker0001_Exchange_Sheet!G54-#REF!</f>
      </c>
      <c r="H52" s="51" t="e">
        <f>Ticker0001_Exchange_Sheet!H54-#REF!</f>
      </c>
      <c r="I52" s="51" t="e">
        <f>Ticker0001_Exchange_Sheet!I54-#REF!</f>
      </c>
      <c r="J52" s="51" t="e">
        <f>Ticker0001_Exchange_Sheet!J54-#REF!</f>
      </c>
      <c r="K52" s="51" t="e">
        <f>Ticker0001_Exchange_Sheet!K54-#REF!</f>
      </c>
      <c r="L52" s="51" t="e">
        <f>Ticker0001_Exchange_Sheet!L54-#REF!</f>
      </c>
      <c r="M52" s="51" t="e">
        <f>Ticker0001_Exchange_Sheet!M54-#REF!</f>
      </c>
      <c r="N52" s="51" t="e">
        <f>Ticker0001_Exchange_Sheet!N54-#REF!</f>
      </c>
      <c r="O52" s="51" t="e">
        <f>Ticker0001_Exchange_Sheet!O54-#REF!</f>
      </c>
      <c r="P52" s="51" t="e">
        <f>Ticker0001_Exchange_Sheet!P54-#REF!</f>
      </c>
      <c r="Q52" s="51" t="e">
        <f>Ticker0001_Exchange_Sheet!Q54-#REF!</f>
      </c>
      <c r="R52" s="51" t="e">
        <f>Ticker0001_Exchange_Sheet!R54-#REF!</f>
      </c>
      <c r="S52" s="51" t="e">
        <f>Ticker0001_Exchange_Sheet!S54-#REF!</f>
      </c>
      <c r="T52" s="51" t="e">
        <f>Ticker0001_Exchange_Sheet!T54-#REF!</f>
      </c>
      <c r="U52" s="51" t="e">
        <f>Ticker0001_Exchange_Sheet!U54-#REF!</f>
      </c>
      <c r="V52" s="51" t="e">
        <f>Ticker0001_Exchange_Sheet!V54-#REF!</f>
      </c>
      <c r="W52" s="51" t="e">
        <f>Ticker0001_Exchange_Sheet!W54-#REF!</f>
      </c>
      <c r="X52" s="51" t="e">
        <f>Ticker0001_Exchange_Sheet!AK54-#REF!</f>
      </c>
      <c r="Y52" s="51" t="e">
        <f>Ticker0001_Exchange_Sheet!AX54-#REF!</f>
      </c>
      <c r="Z52" s="51" t="e">
        <f>Ticker0001_Exchange_Sheet!AY54-#REF!</f>
      </c>
      <c r="AA52" s="51" t="e">
        <f>Ticker0001_Exchange_Sheet!AZ54-#REF!</f>
      </c>
      <c r="AB52" s="51" t="e">
        <f>Ticker0001_Exchange_Sheet!BA54-#REF!</f>
      </c>
      <c r="AC52" s="51" t="e">
        <f>Ticker0001_Exchange_Sheet!BB54-#REF!</f>
      </c>
      <c r="AD52" s="51" t="e">
        <f>Ticker0001_Exchange_Sheet!BC54-#REF!</f>
      </c>
      <c r="AE52" s="51" t="e">
        <f>Ticker0001_Exchange_Sheet!BD54-#REF!</f>
      </c>
      <c r="AF52" s="51" t="e">
        <f>Ticker0001_Exchange_Sheet!BE54-#REF!</f>
      </c>
      <c r="AG52" s="51" t="e">
        <f>Ticker0001_Exchange_Sheet!BF54-#REF!</f>
      </c>
      <c r="AH52" s="51" t="e">
        <f>Ticker0001_Exchange_Sheet!BG54-#REF!</f>
      </c>
      <c r="AI52" s="51" t="e">
        <f>Ticker0001_Exchange_Sheet!BH54-#REF!</f>
      </c>
      <c r="AJ52" s="51" t="e">
        <f>Ticker0001_Exchange_Sheet!BI54-#REF!</f>
      </c>
      <c r="AK52" s="51" t="e">
        <f>Ticker0001_Exchange_Sheet!BJ54-#REF!</f>
      </c>
      <c r="AL52" s="51" t="e">
        <f>Ticker0001_Exchange_Sheet!BK54-#REF!</f>
      </c>
      <c r="AM52" s="51" t="e">
        <f>Ticker0001_Exchange_Sheet!BL54-#REF!</f>
      </c>
      <c r="AN52" s="51" t="e">
        <f>Ticker0001_Exchange_Sheet!BM54-#REF!</f>
      </c>
      <c r="AO52" s="51" t="e">
        <f>Ticker0001_Exchange_Sheet!BN54-#REF!</f>
      </c>
      <c r="AP52" s="51" t="e">
        <f>Ticker0001_Exchange_Sheet!BO54-#REF!</f>
      </c>
      <c r="AQ52" s="51" t="e">
        <f>Ticker0001_Exchange_Sheet!BP54-#REF!</f>
      </c>
      <c r="AR52" s="51" t="e">
        <f>Ticker0001_Exchange_Sheet!BQ54-#REF!</f>
      </c>
      <c r="AS52" s="51" t="e">
        <f>Ticker0001_Exchange_Sheet!BR54-#REF!</f>
      </c>
      <c r="AT52" s="51" t="e">
        <f>Ticker0001_Exchange_Sheet!BS54-#REF!</f>
      </c>
      <c r="AU52" s="51" t="e">
        <f>Ticker0001_Exchange_Sheet!BT54-#REF!</f>
      </c>
      <c r="AV52" s="51" t="e">
        <f>Ticker0001_Exchange_Sheet!BU54-#REF!</f>
      </c>
      <c r="AW52" s="51" t="e">
        <f>Ticker0001_Exchange_Sheet!BV54-#REF!</f>
      </c>
      <c r="AX52" s="51" t="e">
        <f>Ticker0001_Exchange_Sheet!BW54-#REF!</f>
      </c>
      <c r="AY52" s="51" t="e">
        <f>Ticker0001_Exchange_Sheet!BX54-#REF!</f>
      </c>
      <c r="AZ52" s="51" t="e">
        <f>Ticker0001_Exchange_Sheet!BY54-#REF!</f>
      </c>
      <c r="BA52" s="51" t="e">
        <f>Ticker0001_Exchange_Sheet!BZ54-#REF!</f>
      </c>
      <c r="BB52" s="51" t="e">
        <f>Ticker0001_Exchange_Sheet!CA54-#REF!</f>
      </c>
      <c r="BC52" s="51" t="e">
        <f>Ticker0001_Exchange_Sheet!CB54-#REF!</f>
      </c>
      <c r="BD52" s="51" t="e">
        <f>Ticker0001_Exchange_Sheet!CC54-#REF!</f>
      </c>
      <c r="BE52" s="51" t="e">
        <f>Ticker0001_Exchange_Sheet!CD54-#REF!</f>
      </c>
      <c r="BF52" s="51" t="e">
        <f>Ticker0001_Exchange_Sheet!CE54-#REF!</f>
      </c>
      <c r="BG52" s="51" t="e">
        <f>Ticker0001_Exchange_Sheet!CF54-#REF!</f>
      </c>
      <c r="BH52" s="51" t="e">
        <f>Ticker0001_Exchange_Sheet!CG54-#REF!</f>
      </c>
      <c r="BI52" s="51" t="e">
        <f>Ticker0001_Exchange_Sheet!CH54-#REF!</f>
      </c>
      <c r="BJ52" s="51" t="e">
        <f>Ticker0001_Exchange_Sheet!CI54-#REF!</f>
      </c>
      <c r="BK52" s="51" t="e">
        <f>Ticker0001_Exchange_Sheet!CJ54-#REF!</f>
      </c>
      <c r="BL52" s="51" t="e">
        <f>Ticker0001_Exchange_Sheet!CK54-#REF!</f>
      </c>
      <c r="BM52" s="51" t="e">
        <f>Ticker0001_Exchange_Sheet!CL54-#REF!</f>
      </c>
      <c r="BN52" s="51" t="e">
        <f>Ticker0001_Exchange_Sheet!CM54-#REF!</f>
      </c>
      <c r="BO52" s="51" t="e">
        <f>Ticker0001_Exchange_Sheet!CN54-#REF!</f>
      </c>
      <c r="BP52" s="51" t="e">
        <f>Ticker0001_Exchange_Sheet!CO54-#REF!</f>
      </c>
      <c r="BQ52" s="51" t="e">
        <f>Ticker0001_Exchange_Sheet!CP54-#REF!</f>
      </c>
      <c r="BR52" s="51" t="e">
        <f>Ticker0001_Exchange_Sheet!CQ54-#REF!</f>
      </c>
      <c r="BS52" s="51" t="e">
        <f>Ticker0001_Exchange_Sheet!CR54-#REF!</f>
      </c>
      <c r="BT52" s="51" t="e">
        <f>Ticker0001_Exchange_Sheet!CS54-#REF!</f>
      </c>
      <c r="BU52" s="51" t="e">
        <f>Ticker0001_Exchange_Sheet!CT54-#REF!</f>
      </c>
      <c r="BV52" s="51" t="e">
        <f>Ticker0001_Exchange_Sheet!CU54-#REF!</f>
      </c>
      <c r="BW52" s="51" t="e">
        <f>Ticker0001_Exchange_Sheet!CV54-#REF!</f>
      </c>
      <c r="BX52" s="51" t="e">
        <f>Ticker0001_Exchange_Sheet!CW54-#REF!</f>
      </c>
      <c r="BY52" s="51" t="e">
        <f>Ticker0001_Exchange_Sheet!CX54-#REF!</f>
      </c>
      <c r="BZ52" s="51" t="e">
        <f>Ticker0001_Exchange_Sheet!CY54-#REF!</f>
      </c>
      <c r="CA52" s="51" t="e">
        <f>Ticker0001_Exchange_Sheet!CZ54-#REF!</f>
      </c>
      <c r="CB52" s="51" t="e">
        <f>Ticker0001_Exchange_Sheet!DA54-#REF!</f>
      </c>
      <c r="CC52" s="51" t="e">
        <f>Ticker0001_Exchange_Sheet!DB54-#REF!</f>
      </c>
      <c r="CD52" s="51" t="e">
        <f>Ticker0001_Exchange_Sheet!DC54-#REF!</f>
      </c>
      <c r="CE52" s="51" t="e">
        <f>Ticker0001_Exchange_Sheet!DD54-#REF!</f>
      </c>
      <c r="CF52" s="51" t="e">
        <f>Ticker0001_Exchange_Sheet!DE54-#REF!</f>
      </c>
    </row>
    <row r="53" spans="6:84">
      <c r="F53" s="51" t="e">
        <f>Ticker0001_Exchange_Sheet!F55-#REF!</f>
      </c>
      <c r="G53" s="51" t="e">
        <f>Ticker0001_Exchange_Sheet!G55-#REF!</f>
      </c>
      <c r="H53" s="51" t="e">
        <f>Ticker0001_Exchange_Sheet!H55-#REF!</f>
      </c>
      <c r="I53" s="51" t="e">
        <f>Ticker0001_Exchange_Sheet!I55-#REF!</f>
      </c>
      <c r="J53" s="51" t="e">
        <f>Ticker0001_Exchange_Sheet!J55-#REF!</f>
      </c>
      <c r="K53" s="51" t="e">
        <f>Ticker0001_Exchange_Sheet!K55-#REF!</f>
      </c>
      <c r="L53" s="51" t="e">
        <f>Ticker0001_Exchange_Sheet!L55-#REF!</f>
      </c>
      <c r="M53" s="51" t="e">
        <f>Ticker0001_Exchange_Sheet!M55-#REF!</f>
      </c>
      <c r="N53" s="51" t="e">
        <f>Ticker0001_Exchange_Sheet!N55-#REF!</f>
      </c>
      <c r="O53" s="51" t="e">
        <f>Ticker0001_Exchange_Sheet!O55-#REF!</f>
      </c>
      <c r="P53" s="51" t="e">
        <f>Ticker0001_Exchange_Sheet!P55-#REF!</f>
      </c>
      <c r="Q53" s="51" t="e">
        <f>Ticker0001_Exchange_Sheet!Q55-#REF!</f>
      </c>
      <c r="R53" s="51" t="e">
        <f>Ticker0001_Exchange_Sheet!R55-#REF!</f>
      </c>
      <c r="S53" s="51" t="e">
        <f>Ticker0001_Exchange_Sheet!S55-#REF!</f>
      </c>
      <c r="T53" s="51" t="e">
        <f>Ticker0001_Exchange_Sheet!T55-#REF!</f>
      </c>
      <c r="U53" s="51" t="e">
        <f>Ticker0001_Exchange_Sheet!U55-#REF!</f>
      </c>
      <c r="V53" s="51" t="e">
        <f>Ticker0001_Exchange_Sheet!V55-#REF!</f>
      </c>
      <c r="W53" s="51" t="e">
        <f>Ticker0001_Exchange_Sheet!W55-#REF!</f>
      </c>
      <c r="X53" s="51" t="e">
        <f>Ticker0001_Exchange_Sheet!AK55-#REF!</f>
      </c>
      <c r="Y53" s="51" t="e">
        <f>Ticker0001_Exchange_Sheet!AX55-#REF!</f>
      </c>
      <c r="Z53" s="51" t="e">
        <f>Ticker0001_Exchange_Sheet!AY55-#REF!</f>
      </c>
      <c r="AA53" s="51" t="e">
        <f>Ticker0001_Exchange_Sheet!AZ55-#REF!</f>
      </c>
      <c r="AB53" s="51" t="e">
        <f>Ticker0001_Exchange_Sheet!BA55-#REF!</f>
      </c>
      <c r="AC53" s="51" t="e">
        <f>Ticker0001_Exchange_Sheet!BB55-#REF!</f>
      </c>
      <c r="AD53" s="51" t="e">
        <f>Ticker0001_Exchange_Sheet!BC55-#REF!</f>
      </c>
      <c r="AE53" s="51" t="e">
        <f>Ticker0001_Exchange_Sheet!BD55-#REF!</f>
      </c>
      <c r="AF53" s="51" t="e">
        <f>Ticker0001_Exchange_Sheet!BE55-#REF!</f>
      </c>
      <c r="AG53" s="51" t="e">
        <f>Ticker0001_Exchange_Sheet!BF55-#REF!</f>
      </c>
      <c r="AH53" s="51" t="e">
        <f>Ticker0001_Exchange_Sheet!BG55-#REF!</f>
      </c>
      <c r="AI53" s="51" t="e">
        <f>Ticker0001_Exchange_Sheet!BH55-#REF!</f>
      </c>
      <c r="AJ53" s="51" t="e">
        <f>Ticker0001_Exchange_Sheet!BI55-#REF!</f>
      </c>
      <c r="AK53" s="51" t="e">
        <f>Ticker0001_Exchange_Sheet!BJ55-#REF!</f>
      </c>
      <c r="AL53" s="51" t="e">
        <f>Ticker0001_Exchange_Sheet!BK55-#REF!</f>
      </c>
      <c r="AM53" s="51" t="e">
        <f>Ticker0001_Exchange_Sheet!BL55-#REF!</f>
      </c>
      <c r="AN53" s="51" t="e">
        <f>Ticker0001_Exchange_Sheet!BM55-#REF!</f>
      </c>
      <c r="AO53" s="51" t="e">
        <f>Ticker0001_Exchange_Sheet!BN55-#REF!</f>
      </c>
      <c r="AP53" s="51" t="e">
        <f>Ticker0001_Exchange_Sheet!BO55-#REF!</f>
      </c>
      <c r="AQ53" s="51" t="e">
        <f>Ticker0001_Exchange_Sheet!BP55-#REF!</f>
      </c>
      <c r="AR53" s="51" t="e">
        <f>Ticker0001_Exchange_Sheet!BQ55-#REF!</f>
      </c>
      <c r="AS53" s="51" t="e">
        <f>Ticker0001_Exchange_Sheet!BR55-#REF!</f>
      </c>
      <c r="AT53" s="51" t="e">
        <f>Ticker0001_Exchange_Sheet!BS55-#REF!</f>
      </c>
      <c r="AU53" s="51" t="e">
        <f>Ticker0001_Exchange_Sheet!BT55-#REF!</f>
      </c>
      <c r="AV53" s="51" t="e">
        <f>Ticker0001_Exchange_Sheet!BU55-#REF!</f>
      </c>
      <c r="AW53" s="51" t="e">
        <f>Ticker0001_Exchange_Sheet!BV55-#REF!</f>
      </c>
      <c r="AX53" s="51" t="e">
        <f>Ticker0001_Exchange_Sheet!BW55-#REF!</f>
      </c>
      <c r="AY53" s="51" t="e">
        <f>Ticker0001_Exchange_Sheet!BX55-#REF!</f>
      </c>
      <c r="AZ53" s="51" t="e">
        <f>Ticker0001_Exchange_Sheet!BY55-#REF!</f>
      </c>
      <c r="BA53" s="51" t="e">
        <f>Ticker0001_Exchange_Sheet!BZ55-#REF!</f>
      </c>
      <c r="BB53" s="51" t="e">
        <f>Ticker0001_Exchange_Sheet!CA55-#REF!</f>
      </c>
      <c r="BC53" s="51" t="e">
        <f>Ticker0001_Exchange_Sheet!CB55-#REF!</f>
      </c>
      <c r="BD53" s="51" t="e">
        <f>Ticker0001_Exchange_Sheet!CC55-#REF!</f>
      </c>
      <c r="BE53" s="51" t="e">
        <f>Ticker0001_Exchange_Sheet!CD55-#REF!</f>
      </c>
      <c r="BF53" s="51" t="e">
        <f>Ticker0001_Exchange_Sheet!CE55-#REF!</f>
      </c>
      <c r="BG53" s="51" t="e">
        <f>Ticker0001_Exchange_Sheet!CF55-#REF!</f>
      </c>
      <c r="BH53" s="51" t="e">
        <f>Ticker0001_Exchange_Sheet!CG55-#REF!</f>
      </c>
      <c r="BI53" s="51" t="e">
        <f>Ticker0001_Exchange_Sheet!CH55-#REF!</f>
      </c>
      <c r="BJ53" s="51" t="e">
        <f>Ticker0001_Exchange_Sheet!CI55-#REF!</f>
      </c>
      <c r="BK53" s="51" t="e">
        <f>Ticker0001_Exchange_Sheet!CJ55-#REF!</f>
      </c>
      <c r="BL53" s="51" t="e">
        <f>Ticker0001_Exchange_Sheet!CK55-#REF!</f>
      </c>
      <c r="BM53" s="51" t="e">
        <f>Ticker0001_Exchange_Sheet!CL55-#REF!</f>
      </c>
      <c r="BN53" s="51" t="e">
        <f>Ticker0001_Exchange_Sheet!CM55-#REF!</f>
      </c>
      <c r="BO53" s="51" t="e">
        <f>Ticker0001_Exchange_Sheet!CN55-#REF!</f>
      </c>
      <c r="BP53" s="51" t="e">
        <f>Ticker0001_Exchange_Sheet!CO55-#REF!</f>
      </c>
      <c r="BQ53" s="51" t="e">
        <f>Ticker0001_Exchange_Sheet!CP55-#REF!</f>
      </c>
      <c r="BR53" s="51" t="e">
        <f>Ticker0001_Exchange_Sheet!CQ55-#REF!</f>
      </c>
      <c r="BS53" s="51" t="e">
        <f>Ticker0001_Exchange_Sheet!CR55-#REF!</f>
      </c>
      <c r="BT53" s="51" t="e">
        <f>Ticker0001_Exchange_Sheet!CS55-#REF!</f>
      </c>
      <c r="BU53" s="51" t="e">
        <f>Ticker0001_Exchange_Sheet!CT55-#REF!</f>
      </c>
      <c r="BV53" s="51" t="e">
        <f>Ticker0001_Exchange_Sheet!CU55-#REF!</f>
      </c>
      <c r="BW53" s="51" t="e">
        <f>Ticker0001_Exchange_Sheet!CV55-#REF!</f>
      </c>
      <c r="BX53" s="51" t="e">
        <f>Ticker0001_Exchange_Sheet!CW55-#REF!</f>
      </c>
      <c r="BY53" s="51" t="e">
        <f>Ticker0001_Exchange_Sheet!CX55-#REF!</f>
      </c>
      <c r="BZ53" s="51" t="e">
        <f>Ticker0001_Exchange_Sheet!CY55-#REF!</f>
      </c>
      <c r="CA53" s="51" t="e">
        <f>Ticker0001_Exchange_Sheet!CZ55-#REF!</f>
      </c>
      <c r="CB53" s="51" t="e">
        <f>Ticker0001_Exchange_Sheet!DA55-#REF!</f>
      </c>
      <c r="CC53" s="51" t="e">
        <f>Ticker0001_Exchange_Sheet!DB55-#REF!</f>
      </c>
      <c r="CD53" s="51" t="e">
        <f>Ticker0001_Exchange_Sheet!DC55-#REF!</f>
      </c>
      <c r="CE53" s="51" t="e">
        <f>Ticker0001_Exchange_Sheet!DD55-#REF!</f>
      </c>
      <c r="CF53" s="51" t="e">
        <f>Ticker0001_Exchange_Sheet!DE55-#REF!</f>
      </c>
    </row>
    <row r="54" spans="6:84">
      <c r="F54" s="51" t="e">
        <f>Ticker0001_Exchange_Sheet!F56-#REF!</f>
      </c>
      <c r="G54" s="51" t="e">
        <f>Ticker0001_Exchange_Sheet!G56-#REF!</f>
      </c>
      <c r="H54" s="51" t="e">
        <f>Ticker0001_Exchange_Sheet!H56-#REF!</f>
      </c>
      <c r="I54" s="51" t="e">
        <f>Ticker0001_Exchange_Sheet!I56-#REF!</f>
      </c>
      <c r="J54" s="51" t="e">
        <f>Ticker0001_Exchange_Sheet!J56-#REF!</f>
      </c>
      <c r="K54" s="51" t="e">
        <f>Ticker0001_Exchange_Sheet!K56-#REF!</f>
      </c>
      <c r="L54" s="51" t="e">
        <f>Ticker0001_Exchange_Sheet!L56-#REF!</f>
      </c>
      <c r="M54" s="51" t="e">
        <f>Ticker0001_Exchange_Sheet!M56-#REF!</f>
      </c>
      <c r="N54" s="51" t="e">
        <f>Ticker0001_Exchange_Sheet!N56-#REF!</f>
      </c>
      <c r="O54" s="51" t="e">
        <f>Ticker0001_Exchange_Sheet!O56-#REF!</f>
      </c>
      <c r="P54" s="51" t="e">
        <f>Ticker0001_Exchange_Sheet!P56-#REF!</f>
      </c>
      <c r="Q54" s="51" t="e">
        <f>Ticker0001_Exchange_Sheet!Q56-#REF!</f>
      </c>
      <c r="R54" s="51" t="e">
        <f>Ticker0001_Exchange_Sheet!R56-#REF!</f>
      </c>
      <c r="S54" s="51" t="e">
        <f>Ticker0001_Exchange_Sheet!S56-#REF!</f>
      </c>
      <c r="T54" s="51" t="e">
        <f>Ticker0001_Exchange_Sheet!T56-#REF!</f>
      </c>
      <c r="U54" s="51" t="e">
        <f>Ticker0001_Exchange_Sheet!U56-#REF!</f>
      </c>
      <c r="V54" s="51" t="e">
        <f>Ticker0001_Exchange_Sheet!V56-#REF!</f>
      </c>
      <c r="W54" s="51" t="e">
        <f>Ticker0001_Exchange_Sheet!W56-#REF!</f>
      </c>
      <c r="X54" s="51" t="e">
        <f>Ticker0001_Exchange_Sheet!AK56-#REF!</f>
      </c>
      <c r="Y54" s="51" t="e">
        <f>Ticker0001_Exchange_Sheet!AX56-#REF!</f>
      </c>
      <c r="Z54" s="51" t="e">
        <f>Ticker0001_Exchange_Sheet!AY56-#REF!</f>
      </c>
      <c r="AA54" s="51" t="e">
        <f>Ticker0001_Exchange_Sheet!AZ56-#REF!</f>
      </c>
      <c r="AB54" s="51" t="e">
        <f>Ticker0001_Exchange_Sheet!BA56-#REF!</f>
      </c>
      <c r="AC54" s="51" t="e">
        <f>Ticker0001_Exchange_Sheet!BB56-#REF!</f>
      </c>
      <c r="AD54" s="51" t="e">
        <f>Ticker0001_Exchange_Sheet!BC56-#REF!</f>
      </c>
      <c r="AE54" s="51" t="e">
        <f>Ticker0001_Exchange_Sheet!BD56-#REF!</f>
      </c>
      <c r="AF54" s="51" t="e">
        <f>Ticker0001_Exchange_Sheet!BE56-#REF!</f>
      </c>
      <c r="AG54" s="51" t="e">
        <f>Ticker0001_Exchange_Sheet!BF56-#REF!</f>
      </c>
      <c r="AH54" s="51" t="e">
        <f>Ticker0001_Exchange_Sheet!BG56-#REF!</f>
      </c>
      <c r="AI54" s="51" t="e">
        <f>Ticker0001_Exchange_Sheet!BH56-#REF!</f>
      </c>
      <c r="AJ54" s="51" t="e">
        <f>Ticker0001_Exchange_Sheet!BI56-#REF!</f>
      </c>
      <c r="AK54" s="51" t="e">
        <f>Ticker0001_Exchange_Sheet!BJ56-#REF!</f>
      </c>
      <c r="AL54" s="51" t="e">
        <f>Ticker0001_Exchange_Sheet!BK56-#REF!</f>
      </c>
      <c r="AM54" s="51" t="e">
        <f>Ticker0001_Exchange_Sheet!BL56-#REF!</f>
      </c>
      <c r="AN54" s="51" t="e">
        <f>Ticker0001_Exchange_Sheet!BM56-#REF!</f>
      </c>
      <c r="AO54" s="51" t="e">
        <f>Ticker0001_Exchange_Sheet!BN56-#REF!</f>
      </c>
      <c r="AP54" s="51" t="e">
        <f>Ticker0001_Exchange_Sheet!BO56-#REF!</f>
      </c>
      <c r="AQ54" s="51" t="e">
        <f>Ticker0001_Exchange_Sheet!BP56-#REF!</f>
      </c>
      <c r="AR54" s="51" t="e">
        <f>Ticker0001_Exchange_Sheet!BQ56-#REF!</f>
      </c>
      <c r="AS54" s="51" t="e">
        <f>Ticker0001_Exchange_Sheet!BR56-#REF!</f>
      </c>
      <c r="AT54" s="51" t="e">
        <f>Ticker0001_Exchange_Sheet!BS56-#REF!</f>
      </c>
      <c r="AU54" s="51" t="e">
        <f>Ticker0001_Exchange_Sheet!BT56-#REF!</f>
      </c>
      <c r="AV54" s="51" t="e">
        <f>Ticker0001_Exchange_Sheet!BU56-#REF!</f>
      </c>
      <c r="AW54" s="51" t="e">
        <f>Ticker0001_Exchange_Sheet!BV56-#REF!</f>
      </c>
      <c r="AX54" s="51" t="e">
        <f>Ticker0001_Exchange_Sheet!BW56-#REF!</f>
      </c>
      <c r="AY54" s="51" t="e">
        <f>Ticker0001_Exchange_Sheet!BX56-#REF!</f>
      </c>
      <c r="AZ54" s="51" t="e">
        <f>Ticker0001_Exchange_Sheet!BY56-#REF!</f>
      </c>
      <c r="BA54" s="51" t="e">
        <f>Ticker0001_Exchange_Sheet!BZ56-#REF!</f>
      </c>
      <c r="BB54" s="51" t="e">
        <f>Ticker0001_Exchange_Sheet!CA56-#REF!</f>
      </c>
      <c r="BC54" s="51" t="e">
        <f>Ticker0001_Exchange_Sheet!CB56-#REF!</f>
      </c>
      <c r="BD54" s="51" t="e">
        <f>Ticker0001_Exchange_Sheet!CC56-#REF!</f>
      </c>
      <c r="BE54" s="51" t="e">
        <f>Ticker0001_Exchange_Sheet!CD56-#REF!</f>
      </c>
      <c r="BF54" s="51" t="e">
        <f>Ticker0001_Exchange_Sheet!CE56-#REF!</f>
      </c>
      <c r="BG54" s="51" t="e">
        <f>Ticker0001_Exchange_Sheet!CF56-#REF!</f>
      </c>
      <c r="BH54" s="51" t="e">
        <f>Ticker0001_Exchange_Sheet!CG56-#REF!</f>
      </c>
      <c r="BI54" s="51" t="e">
        <f>Ticker0001_Exchange_Sheet!CH56-#REF!</f>
      </c>
      <c r="BJ54" s="51" t="e">
        <f>Ticker0001_Exchange_Sheet!CI56-#REF!</f>
      </c>
      <c r="BK54" s="51" t="e">
        <f>Ticker0001_Exchange_Sheet!CJ56-#REF!</f>
      </c>
      <c r="BL54" s="51" t="e">
        <f>Ticker0001_Exchange_Sheet!CK56-#REF!</f>
      </c>
      <c r="BM54" s="51" t="e">
        <f>Ticker0001_Exchange_Sheet!CL56-#REF!</f>
      </c>
      <c r="BN54" s="51" t="e">
        <f>Ticker0001_Exchange_Sheet!CM56-#REF!</f>
      </c>
      <c r="BO54" s="51" t="e">
        <f>Ticker0001_Exchange_Sheet!CN56-#REF!</f>
      </c>
      <c r="BP54" s="51" t="e">
        <f>Ticker0001_Exchange_Sheet!CO56-#REF!</f>
      </c>
      <c r="BQ54" s="51" t="e">
        <f>Ticker0001_Exchange_Sheet!CP56-#REF!</f>
      </c>
      <c r="BR54" s="51" t="e">
        <f>Ticker0001_Exchange_Sheet!CQ56-#REF!</f>
      </c>
      <c r="BS54" s="51" t="e">
        <f>Ticker0001_Exchange_Sheet!CR56-#REF!</f>
      </c>
      <c r="BT54" s="51" t="e">
        <f>Ticker0001_Exchange_Sheet!CS56-#REF!</f>
      </c>
      <c r="BU54" s="51" t="e">
        <f>Ticker0001_Exchange_Sheet!CT56-#REF!</f>
      </c>
      <c r="BV54" s="51" t="e">
        <f>Ticker0001_Exchange_Sheet!CU56-#REF!</f>
      </c>
      <c r="BW54" s="51" t="e">
        <f>Ticker0001_Exchange_Sheet!CV56-#REF!</f>
      </c>
      <c r="BX54" s="51" t="e">
        <f>Ticker0001_Exchange_Sheet!CW56-#REF!</f>
      </c>
      <c r="BY54" s="51" t="e">
        <f>Ticker0001_Exchange_Sheet!CX56-#REF!</f>
      </c>
      <c r="BZ54" s="51" t="e">
        <f>Ticker0001_Exchange_Sheet!CY56-#REF!</f>
      </c>
      <c r="CA54" s="51" t="e">
        <f>Ticker0001_Exchange_Sheet!CZ56-#REF!</f>
      </c>
      <c r="CB54" s="51" t="e">
        <f>Ticker0001_Exchange_Sheet!DA56-#REF!</f>
      </c>
      <c r="CC54" s="51" t="e">
        <f>Ticker0001_Exchange_Sheet!DB56-#REF!</f>
      </c>
      <c r="CD54" s="51" t="e">
        <f>Ticker0001_Exchange_Sheet!DC56-#REF!</f>
      </c>
      <c r="CE54" s="51" t="e">
        <f>Ticker0001_Exchange_Sheet!DD56-#REF!</f>
      </c>
      <c r="CF54" s="51" t="e">
        <f>Ticker0001_Exchange_Sheet!DE56-#REF!</f>
      </c>
    </row>
    <row r="55" spans="6:84">
      <c r="F55" s="51" t="e">
        <f>Ticker0001_Exchange_Sheet!F57-#REF!</f>
      </c>
      <c r="G55" s="51" t="e">
        <f>Ticker0001_Exchange_Sheet!G57-#REF!</f>
      </c>
      <c r="H55" s="51" t="e">
        <f>Ticker0001_Exchange_Sheet!H57-#REF!</f>
      </c>
      <c r="I55" s="51" t="e">
        <f>Ticker0001_Exchange_Sheet!I57-#REF!</f>
      </c>
      <c r="J55" s="51" t="e">
        <f>Ticker0001_Exchange_Sheet!J57-#REF!</f>
      </c>
      <c r="K55" s="51" t="e">
        <f>Ticker0001_Exchange_Sheet!K57-#REF!</f>
      </c>
      <c r="L55" s="51" t="e">
        <f>Ticker0001_Exchange_Sheet!L57-#REF!</f>
      </c>
      <c r="M55" s="51" t="e">
        <f>Ticker0001_Exchange_Sheet!M57-#REF!</f>
      </c>
      <c r="N55" s="51" t="e">
        <f>Ticker0001_Exchange_Sheet!N57-#REF!</f>
      </c>
      <c r="O55" s="51" t="e">
        <f>Ticker0001_Exchange_Sheet!O57-#REF!</f>
      </c>
      <c r="P55" s="51" t="e">
        <f>Ticker0001_Exchange_Sheet!P57-#REF!</f>
      </c>
      <c r="Q55" s="51" t="e">
        <f>Ticker0001_Exchange_Sheet!Q57-#REF!</f>
      </c>
      <c r="R55" s="51" t="e">
        <f>Ticker0001_Exchange_Sheet!R57-#REF!</f>
      </c>
      <c r="S55" s="51" t="e">
        <f>Ticker0001_Exchange_Sheet!S57-#REF!</f>
      </c>
      <c r="T55" s="51" t="e">
        <f>Ticker0001_Exchange_Sheet!T57-#REF!</f>
      </c>
      <c r="U55" s="51" t="e">
        <f>Ticker0001_Exchange_Sheet!U57-#REF!</f>
      </c>
      <c r="V55" s="51" t="e">
        <f>Ticker0001_Exchange_Sheet!V57-#REF!</f>
      </c>
      <c r="W55" s="51" t="e">
        <f>Ticker0001_Exchange_Sheet!W57-#REF!</f>
      </c>
      <c r="X55" s="51" t="e">
        <f>Ticker0001_Exchange_Sheet!AK57-#REF!</f>
      </c>
      <c r="Y55" s="51" t="e">
        <f>Ticker0001_Exchange_Sheet!AX57-#REF!</f>
      </c>
      <c r="Z55" s="51" t="e">
        <f>Ticker0001_Exchange_Sheet!AY57-#REF!</f>
      </c>
      <c r="AA55" s="51" t="e">
        <f>Ticker0001_Exchange_Sheet!AZ57-#REF!</f>
      </c>
      <c r="AB55" s="51" t="e">
        <f>Ticker0001_Exchange_Sheet!BA57-#REF!</f>
      </c>
      <c r="AC55" s="51" t="e">
        <f>Ticker0001_Exchange_Sheet!BB57-#REF!</f>
      </c>
      <c r="AD55" s="51" t="e">
        <f>Ticker0001_Exchange_Sheet!BC57-#REF!</f>
      </c>
      <c r="AE55" s="51" t="e">
        <f>Ticker0001_Exchange_Sheet!BD57-#REF!</f>
      </c>
      <c r="AF55" s="51" t="e">
        <f>Ticker0001_Exchange_Sheet!BE57-#REF!</f>
      </c>
      <c r="AG55" s="51" t="e">
        <f>Ticker0001_Exchange_Sheet!BF57-#REF!</f>
      </c>
      <c r="AH55" s="51" t="e">
        <f>Ticker0001_Exchange_Sheet!BG57-#REF!</f>
      </c>
      <c r="AI55" s="51" t="e">
        <f>Ticker0001_Exchange_Sheet!BH57-#REF!</f>
      </c>
      <c r="AJ55" s="51" t="e">
        <f>Ticker0001_Exchange_Sheet!BI57-#REF!</f>
      </c>
      <c r="AK55" s="51" t="e">
        <f>Ticker0001_Exchange_Sheet!BJ57-#REF!</f>
      </c>
      <c r="AL55" s="51" t="e">
        <f>Ticker0001_Exchange_Sheet!BK57-#REF!</f>
      </c>
      <c r="AM55" s="51" t="e">
        <f>Ticker0001_Exchange_Sheet!BL57-#REF!</f>
      </c>
      <c r="AN55" s="51" t="e">
        <f>Ticker0001_Exchange_Sheet!BM57-#REF!</f>
      </c>
      <c r="AO55" s="51" t="e">
        <f>Ticker0001_Exchange_Sheet!BN57-#REF!</f>
      </c>
      <c r="AP55" s="51" t="e">
        <f>Ticker0001_Exchange_Sheet!BO57-#REF!</f>
      </c>
      <c r="AQ55" s="51" t="e">
        <f>Ticker0001_Exchange_Sheet!BP57-#REF!</f>
      </c>
      <c r="AR55" s="51" t="e">
        <f>Ticker0001_Exchange_Sheet!BQ57-#REF!</f>
      </c>
      <c r="AS55" s="51" t="e">
        <f>Ticker0001_Exchange_Sheet!BR57-#REF!</f>
      </c>
      <c r="AT55" s="51" t="e">
        <f>Ticker0001_Exchange_Sheet!BS57-#REF!</f>
      </c>
      <c r="AU55" s="51" t="e">
        <f>Ticker0001_Exchange_Sheet!BT57-#REF!</f>
      </c>
      <c r="AV55" s="51" t="e">
        <f>Ticker0001_Exchange_Sheet!BU57-#REF!</f>
      </c>
      <c r="AW55" s="51" t="e">
        <f>Ticker0001_Exchange_Sheet!BV57-#REF!</f>
      </c>
      <c r="AX55" s="51" t="e">
        <f>Ticker0001_Exchange_Sheet!BW57-#REF!</f>
      </c>
      <c r="AY55" s="51" t="e">
        <f>Ticker0001_Exchange_Sheet!BX57-#REF!</f>
      </c>
      <c r="AZ55" s="51" t="e">
        <f>Ticker0001_Exchange_Sheet!BY57-#REF!</f>
      </c>
      <c r="BA55" s="51" t="e">
        <f>Ticker0001_Exchange_Sheet!BZ57-#REF!</f>
      </c>
      <c r="BB55" s="51" t="e">
        <f>Ticker0001_Exchange_Sheet!CA57-#REF!</f>
      </c>
      <c r="BC55" s="51" t="e">
        <f>Ticker0001_Exchange_Sheet!CB57-#REF!</f>
      </c>
      <c r="BD55" s="51" t="e">
        <f>Ticker0001_Exchange_Sheet!CC57-#REF!</f>
      </c>
      <c r="BE55" s="51" t="e">
        <f>Ticker0001_Exchange_Sheet!CD57-#REF!</f>
      </c>
      <c r="BF55" s="51" t="e">
        <f>Ticker0001_Exchange_Sheet!CE57-#REF!</f>
      </c>
      <c r="BG55" s="51" t="e">
        <f>Ticker0001_Exchange_Sheet!CF57-#REF!</f>
      </c>
      <c r="BH55" s="51" t="e">
        <f>Ticker0001_Exchange_Sheet!CG57-#REF!</f>
      </c>
      <c r="BI55" s="51" t="e">
        <f>Ticker0001_Exchange_Sheet!CH57-#REF!</f>
      </c>
      <c r="BJ55" s="51" t="e">
        <f>Ticker0001_Exchange_Sheet!CI57-#REF!</f>
      </c>
      <c r="BK55" s="51" t="e">
        <f>Ticker0001_Exchange_Sheet!CJ57-#REF!</f>
      </c>
      <c r="BL55" s="51" t="e">
        <f>Ticker0001_Exchange_Sheet!CK57-#REF!</f>
      </c>
      <c r="BM55" s="51" t="e">
        <f>Ticker0001_Exchange_Sheet!CL57-#REF!</f>
      </c>
      <c r="BN55" s="51" t="e">
        <f>Ticker0001_Exchange_Sheet!CM57-#REF!</f>
      </c>
      <c r="BO55" s="51" t="e">
        <f>Ticker0001_Exchange_Sheet!CN57-#REF!</f>
      </c>
      <c r="BP55" s="51" t="e">
        <f>Ticker0001_Exchange_Sheet!CO57-#REF!</f>
      </c>
      <c r="BQ55" s="51" t="e">
        <f>Ticker0001_Exchange_Sheet!CP57-#REF!</f>
      </c>
      <c r="BR55" s="51" t="e">
        <f>Ticker0001_Exchange_Sheet!CQ57-#REF!</f>
      </c>
      <c r="BS55" s="51" t="e">
        <f>Ticker0001_Exchange_Sheet!CR57-#REF!</f>
      </c>
      <c r="BT55" s="51" t="e">
        <f>Ticker0001_Exchange_Sheet!CS57-#REF!</f>
      </c>
      <c r="BU55" s="51" t="e">
        <f>Ticker0001_Exchange_Sheet!CT57-#REF!</f>
      </c>
      <c r="BV55" s="51" t="e">
        <f>Ticker0001_Exchange_Sheet!CU57-#REF!</f>
      </c>
      <c r="BW55" s="51" t="e">
        <f>Ticker0001_Exchange_Sheet!CV57-#REF!</f>
      </c>
      <c r="BX55" s="51" t="e">
        <f>Ticker0001_Exchange_Sheet!CW57-#REF!</f>
      </c>
      <c r="BY55" s="51" t="e">
        <f>Ticker0001_Exchange_Sheet!CX57-#REF!</f>
      </c>
      <c r="BZ55" s="51" t="e">
        <f>Ticker0001_Exchange_Sheet!CY57-#REF!</f>
      </c>
      <c r="CA55" s="51" t="e">
        <f>Ticker0001_Exchange_Sheet!CZ57-#REF!</f>
      </c>
      <c r="CB55" s="51" t="e">
        <f>Ticker0001_Exchange_Sheet!DA57-#REF!</f>
      </c>
      <c r="CC55" s="51" t="e">
        <f>Ticker0001_Exchange_Sheet!DB57-#REF!</f>
      </c>
      <c r="CD55" s="51" t="e">
        <f>Ticker0001_Exchange_Sheet!DC57-#REF!</f>
      </c>
      <c r="CE55" s="51" t="e">
        <f>Ticker0001_Exchange_Sheet!DD57-#REF!</f>
      </c>
      <c r="CF55" s="51" t="e">
        <f>Ticker0001_Exchange_Sheet!DE57-#REF!</f>
      </c>
    </row>
    <row r="56" spans="6:84">
      <c r="F56" s="51" t="e">
        <f>Ticker0001_Exchange_Sheet!F59-#REF!</f>
      </c>
      <c r="G56" s="51" t="e">
        <f>Ticker0001_Exchange_Sheet!G59-#REF!</f>
      </c>
      <c r="H56" s="51" t="e">
        <f>Ticker0001_Exchange_Sheet!H59-#REF!</f>
      </c>
      <c r="I56" s="51" t="e">
        <f>Ticker0001_Exchange_Sheet!I59-#REF!</f>
      </c>
      <c r="J56" s="51" t="e">
        <f>Ticker0001_Exchange_Sheet!J59-#REF!</f>
      </c>
      <c r="K56" s="51" t="e">
        <f>Ticker0001_Exchange_Sheet!K59-#REF!</f>
      </c>
      <c r="L56" s="51" t="e">
        <f>Ticker0001_Exchange_Sheet!L59-#REF!</f>
      </c>
      <c r="M56" s="51" t="e">
        <f>Ticker0001_Exchange_Sheet!M59-#REF!</f>
      </c>
      <c r="N56" s="51" t="e">
        <f>Ticker0001_Exchange_Sheet!N59-#REF!</f>
      </c>
      <c r="O56" s="51" t="e">
        <f>Ticker0001_Exchange_Sheet!O59-#REF!</f>
      </c>
      <c r="P56" s="51" t="e">
        <f>Ticker0001_Exchange_Sheet!P59-#REF!</f>
      </c>
      <c r="Q56" s="51" t="e">
        <f>Ticker0001_Exchange_Sheet!Q59-#REF!</f>
      </c>
      <c r="R56" s="51" t="e">
        <f>Ticker0001_Exchange_Sheet!R59-#REF!</f>
      </c>
      <c r="S56" s="51" t="e">
        <f>Ticker0001_Exchange_Sheet!S59-#REF!</f>
      </c>
      <c r="T56" s="51" t="e">
        <f>Ticker0001_Exchange_Sheet!T59-#REF!</f>
      </c>
      <c r="U56" s="51" t="e">
        <f>Ticker0001_Exchange_Sheet!U59-#REF!</f>
      </c>
      <c r="V56" s="51" t="e">
        <f>Ticker0001_Exchange_Sheet!V59-#REF!</f>
      </c>
      <c r="W56" s="51" t="e">
        <f>Ticker0001_Exchange_Sheet!W59-#REF!</f>
      </c>
      <c r="X56" s="51" t="e">
        <f>Ticker0001_Exchange_Sheet!AK59-#REF!</f>
      </c>
      <c r="Y56" s="51" t="e">
        <f>Ticker0001_Exchange_Sheet!AX59-#REF!</f>
      </c>
      <c r="Z56" s="51" t="e">
        <f>Ticker0001_Exchange_Sheet!AY59-#REF!</f>
      </c>
      <c r="AA56" s="51" t="e">
        <f>Ticker0001_Exchange_Sheet!AZ59-#REF!</f>
      </c>
      <c r="AB56" s="51" t="e">
        <f>Ticker0001_Exchange_Sheet!BA59-#REF!</f>
      </c>
      <c r="AC56" s="51" t="e">
        <f>Ticker0001_Exchange_Sheet!BB59-#REF!</f>
      </c>
      <c r="AD56" s="51" t="e">
        <f>Ticker0001_Exchange_Sheet!BC59-#REF!</f>
      </c>
      <c r="AE56" s="51" t="e">
        <f>Ticker0001_Exchange_Sheet!BD59-#REF!</f>
      </c>
      <c r="AF56" s="51" t="e">
        <f>Ticker0001_Exchange_Sheet!BE59-#REF!</f>
      </c>
      <c r="AG56" s="51" t="e">
        <f>Ticker0001_Exchange_Sheet!BF59-#REF!</f>
      </c>
      <c r="AH56" s="51" t="e">
        <f>Ticker0001_Exchange_Sheet!BG59-#REF!</f>
      </c>
      <c r="AI56" s="51" t="e">
        <f>Ticker0001_Exchange_Sheet!BH59-#REF!</f>
      </c>
      <c r="AJ56" s="51" t="e">
        <f>Ticker0001_Exchange_Sheet!BI59-#REF!</f>
      </c>
      <c r="AK56" s="51" t="e">
        <f>Ticker0001_Exchange_Sheet!BJ59-#REF!</f>
      </c>
      <c r="AL56" s="51" t="e">
        <f>Ticker0001_Exchange_Sheet!BK59-#REF!</f>
      </c>
      <c r="AM56" s="51" t="e">
        <f>Ticker0001_Exchange_Sheet!BL59-#REF!</f>
      </c>
      <c r="AN56" s="51" t="e">
        <f>Ticker0001_Exchange_Sheet!BM59-#REF!</f>
      </c>
      <c r="AO56" s="51" t="e">
        <f>Ticker0001_Exchange_Sheet!BN59-#REF!</f>
      </c>
      <c r="AP56" s="51" t="e">
        <f>Ticker0001_Exchange_Sheet!BO59-#REF!</f>
      </c>
      <c r="AQ56" s="51" t="e">
        <f>Ticker0001_Exchange_Sheet!BP59-#REF!</f>
      </c>
      <c r="AR56" s="51" t="e">
        <f>Ticker0001_Exchange_Sheet!BQ59-#REF!</f>
      </c>
      <c r="AS56" s="51" t="e">
        <f>Ticker0001_Exchange_Sheet!BR59-#REF!</f>
      </c>
      <c r="AT56" s="51" t="e">
        <f>Ticker0001_Exchange_Sheet!BS59-#REF!</f>
      </c>
      <c r="AU56" s="51" t="e">
        <f>Ticker0001_Exchange_Sheet!BT59-#REF!</f>
      </c>
      <c r="AV56" s="51" t="e">
        <f>Ticker0001_Exchange_Sheet!BU59-#REF!</f>
      </c>
      <c r="AW56" s="51" t="e">
        <f>Ticker0001_Exchange_Sheet!BV59-#REF!</f>
      </c>
      <c r="AX56" s="51" t="e">
        <f>Ticker0001_Exchange_Sheet!BW59-#REF!</f>
      </c>
      <c r="AY56" s="51" t="e">
        <f>Ticker0001_Exchange_Sheet!BX59-#REF!</f>
      </c>
      <c r="AZ56" s="51" t="e">
        <f>Ticker0001_Exchange_Sheet!BY59-#REF!</f>
      </c>
      <c r="BA56" s="51" t="e">
        <f>Ticker0001_Exchange_Sheet!BZ59-#REF!</f>
      </c>
      <c r="BB56" s="51" t="e">
        <f>Ticker0001_Exchange_Sheet!CA59-#REF!</f>
      </c>
      <c r="BC56" s="51" t="e">
        <f>Ticker0001_Exchange_Sheet!CB59-#REF!</f>
      </c>
      <c r="BD56" s="51" t="e">
        <f>Ticker0001_Exchange_Sheet!CC59-#REF!</f>
      </c>
      <c r="BE56" s="51" t="e">
        <f>Ticker0001_Exchange_Sheet!CD59-#REF!</f>
      </c>
      <c r="BF56" s="51" t="e">
        <f>Ticker0001_Exchange_Sheet!CE59-#REF!</f>
      </c>
      <c r="BG56" s="51" t="e">
        <f>Ticker0001_Exchange_Sheet!CF59-#REF!</f>
      </c>
      <c r="BH56" s="51" t="e">
        <f>Ticker0001_Exchange_Sheet!CG59-#REF!</f>
      </c>
      <c r="BI56" s="51" t="e">
        <f>Ticker0001_Exchange_Sheet!CH59-#REF!</f>
      </c>
      <c r="BJ56" s="51" t="e">
        <f>Ticker0001_Exchange_Sheet!CI59-#REF!</f>
      </c>
      <c r="BK56" s="51" t="e">
        <f>Ticker0001_Exchange_Sheet!CJ59-#REF!</f>
      </c>
      <c r="BL56" s="51" t="e">
        <f>Ticker0001_Exchange_Sheet!CK59-#REF!</f>
      </c>
      <c r="BM56" s="51" t="e">
        <f>Ticker0001_Exchange_Sheet!CL59-#REF!</f>
      </c>
      <c r="BN56" s="51" t="e">
        <f>Ticker0001_Exchange_Sheet!CM59-#REF!</f>
      </c>
      <c r="BO56" s="51" t="e">
        <f>Ticker0001_Exchange_Sheet!CN59-#REF!</f>
      </c>
      <c r="BP56" s="51" t="e">
        <f>Ticker0001_Exchange_Sheet!CO59-#REF!</f>
      </c>
      <c r="BQ56" s="51" t="e">
        <f>Ticker0001_Exchange_Sheet!CP59-#REF!</f>
      </c>
      <c r="BR56" s="51" t="e">
        <f>Ticker0001_Exchange_Sheet!CQ59-#REF!</f>
      </c>
      <c r="BS56" s="51" t="e">
        <f>Ticker0001_Exchange_Sheet!CR59-#REF!</f>
      </c>
      <c r="BT56" s="51" t="e">
        <f>Ticker0001_Exchange_Sheet!CS59-#REF!</f>
      </c>
      <c r="BU56" s="51" t="e">
        <f>Ticker0001_Exchange_Sheet!CT59-#REF!</f>
      </c>
      <c r="BV56" s="51" t="e">
        <f>Ticker0001_Exchange_Sheet!CU59-#REF!</f>
      </c>
      <c r="BW56" s="51" t="e">
        <f>Ticker0001_Exchange_Sheet!CV59-#REF!</f>
      </c>
      <c r="BX56" s="51" t="e">
        <f>Ticker0001_Exchange_Sheet!CW59-#REF!</f>
      </c>
      <c r="BY56" s="51" t="e">
        <f>Ticker0001_Exchange_Sheet!CX59-#REF!</f>
      </c>
      <c r="BZ56" s="51" t="e">
        <f>Ticker0001_Exchange_Sheet!CY59-#REF!</f>
      </c>
      <c r="CA56" s="51" t="e">
        <f>Ticker0001_Exchange_Sheet!CZ59-#REF!</f>
      </c>
      <c r="CB56" s="51" t="e">
        <f>Ticker0001_Exchange_Sheet!DA59-#REF!</f>
      </c>
      <c r="CC56" s="51" t="e">
        <f>Ticker0001_Exchange_Sheet!DB59-#REF!</f>
      </c>
      <c r="CD56" s="51" t="e">
        <f>Ticker0001_Exchange_Sheet!DC59-#REF!</f>
      </c>
      <c r="CE56" s="51" t="e">
        <f>Ticker0001_Exchange_Sheet!DD59-#REF!</f>
      </c>
      <c r="CF56" s="51" t="e">
        <f>Ticker0001_Exchange_Sheet!DE59-#REF!</f>
      </c>
    </row>
    <row r="57" spans="6:84">
      <c r="F57" s="51" t="e">
        <f>Ticker0001_Exchange_Sheet!F60-#REF!</f>
      </c>
      <c r="G57" s="51" t="e">
        <f>Ticker0001_Exchange_Sheet!G60-#REF!</f>
      </c>
      <c r="H57" s="51" t="e">
        <f>Ticker0001_Exchange_Sheet!H60-#REF!</f>
      </c>
      <c r="I57" s="51" t="e">
        <f>Ticker0001_Exchange_Sheet!I60-#REF!</f>
      </c>
      <c r="J57" s="51" t="e">
        <f>Ticker0001_Exchange_Sheet!J60-#REF!</f>
      </c>
      <c r="K57" s="51" t="e">
        <f>Ticker0001_Exchange_Sheet!K60-#REF!</f>
      </c>
      <c r="L57" s="51" t="e">
        <f>Ticker0001_Exchange_Sheet!L60-#REF!</f>
      </c>
      <c r="M57" s="51" t="e">
        <f>Ticker0001_Exchange_Sheet!M60-#REF!</f>
      </c>
      <c r="N57" s="51" t="e">
        <f>Ticker0001_Exchange_Sheet!N60-#REF!</f>
      </c>
      <c r="O57" s="51" t="e">
        <f>Ticker0001_Exchange_Sheet!O60-#REF!</f>
      </c>
      <c r="P57" s="51" t="e">
        <f>Ticker0001_Exchange_Sheet!P60-#REF!</f>
      </c>
      <c r="Q57" s="51" t="e">
        <f>Ticker0001_Exchange_Sheet!Q60-#REF!</f>
      </c>
      <c r="R57" s="51" t="e">
        <f>Ticker0001_Exchange_Sheet!R60-#REF!</f>
      </c>
      <c r="S57" s="51" t="e">
        <f>Ticker0001_Exchange_Sheet!S60-#REF!</f>
      </c>
      <c r="T57" s="51" t="e">
        <f>Ticker0001_Exchange_Sheet!T60-#REF!</f>
      </c>
      <c r="U57" s="51" t="e">
        <f>Ticker0001_Exchange_Sheet!U60-#REF!</f>
      </c>
      <c r="V57" s="51" t="e">
        <f>Ticker0001_Exchange_Sheet!V60-#REF!</f>
      </c>
      <c r="W57" s="51" t="e">
        <f>Ticker0001_Exchange_Sheet!W60-#REF!</f>
      </c>
      <c r="X57" s="51" t="e">
        <f>Ticker0001_Exchange_Sheet!AK60-#REF!</f>
      </c>
      <c r="Y57" s="51" t="e">
        <f>Ticker0001_Exchange_Sheet!AX60-#REF!</f>
      </c>
      <c r="Z57" s="51" t="e">
        <f>Ticker0001_Exchange_Sheet!AY60-#REF!</f>
      </c>
      <c r="AA57" s="51" t="e">
        <f>Ticker0001_Exchange_Sheet!AZ60-#REF!</f>
      </c>
      <c r="AB57" s="51" t="e">
        <f>Ticker0001_Exchange_Sheet!BA60-#REF!</f>
      </c>
      <c r="AC57" s="51" t="e">
        <f>Ticker0001_Exchange_Sheet!BB60-#REF!</f>
      </c>
      <c r="AD57" s="51" t="e">
        <f>Ticker0001_Exchange_Sheet!BC60-#REF!</f>
      </c>
      <c r="AE57" s="51" t="e">
        <f>Ticker0001_Exchange_Sheet!BD60-#REF!</f>
      </c>
      <c r="AF57" s="51" t="e">
        <f>Ticker0001_Exchange_Sheet!BE60-#REF!</f>
      </c>
      <c r="AG57" s="51" t="e">
        <f>Ticker0001_Exchange_Sheet!BF60-#REF!</f>
      </c>
      <c r="AH57" s="51" t="e">
        <f>Ticker0001_Exchange_Sheet!BG60-#REF!</f>
      </c>
      <c r="AI57" s="51" t="e">
        <f>Ticker0001_Exchange_Sheet!BH60-#REF!</f>
      </c>
      <c r="AJ57" s="51" t="e">
        <f>Ticker0001_Exchange_Sheet!BI60-#REF!</f>
      </c>
      <c r="AK57" s="51" t="e">
        <f>Ticker0001_Exchange_Sheet!BJ60-#REF!</f>
      </c>
      <c r="AL57" s="51" t="e">
        <f>Ticker0001_Exchange_Sheet!BK60-#REF!</f>
      </c>
      <c r="AM57" s="51" t="e">
        <f>Ticker0001_Exchange_Sheet!BL60-#REF!</f>
      </c>
      <c r="AN57" s="51" t="e">
        <f>Ticker0001_Exchange_Sheet!BM60-#REF!</f>
      </c>
      <c r="AO57" s="51" t="e">
        <f>Ticker0001_Exchange_Sheet!BN60-#REF!</f>
      </c>
      <c r="AP57" s="51" t="e">
        <f>Ticker0001_Exchange_Sheet!BO60-#REF!</f>
      </c>
      <c r="AQ57" s="51" t="e">
        <f>Ticker0001_Exchange_Sheet!BP60-#REF!</f>
      </c>
      <c r="AR57" s="51" t="e">
        <f>Ticker0001_Exchange_Sheet!BQ60-#REF!</f>
      </c>
      <c r="AS57" s="51" t="e">
        <f>Ticker0001_Exchange_Sheet!BR60-#REF!</f>
      </c>
      <c r="AT57" s="51" t="e">
        <f>Ticker0001_Exchange_Sheet!BS60-#REF!</f>
      </c>
      <c r="AU57" s="51" t="e">
        <f>Ticker0001_Exchange_Sheet!BT60-#REF!</f>
      </c>
      <c r="AV57" s="51" t="e">
        <f>Ticker0001_Exchange_Sheet!BU60-#REF!</f>
      </c>
      <c r="AW57" s="51" t="e">
        <f>Ticker0001_Exchange_Sheet!BV60-#REF!</f>
      </c>
      <c r="AX57" s="51" t="e">
        <f>Ticker0001_Exchange_Sheet!BW60-#REF!</f>
      </c>
      <c r="AY57" s="51" t="e">
        <f>Ticker0001_Exchange_Sheet!BX60-#REF!</f>
      </c>
      <c r="AZ57" s="51" t="e">
        <f>Ticker0001_Exchange_Sheet!BY60-#REF!</f>
      </c>
      <c r="BA57" s="51" t="e">
        <f>Ticker0001_Exchange_Sheet!BZ60-#REF!</f>
      </c>
      <c r="BB57" s="51" t="e">
        <f>Ticker0001_Exchange_Sheet!CA60-#REF!</f>
      </c>
      <c r="BC57" s="51" t="e">
        <f>Ticker0001_Exchange_Sheet!CB60-#REF!</f>
      </c>
      <c r="BD57" s="51" t="e">
        <f>Ticker0001_Exchange_Sheet!CC60-#REF!</f>
      </c>
      <c r="BE57" s="51" t="e">
        <f>Ticker0001_Exchange_Sheet!CD60-#REF!</f>
      </c>
      <c r="BF57" s="51" t="e">
        <f>Ticker0001_Exchange_Sheet!CE60-#REF!</f>
      </c>
      <c r="BG57" s="51" t="e">
        <f>Ticker0001_Exchange_Sheet!CF60-#REF!</f>
      </c>
      <c r="BH57" s="51" t="e">
        <f>Ticker0001_Exchange_Sheet!CG60-#REF!</f>
      </c>
      <c r="BI57" s="51" t="e">
        <f>Ticker0001_Exchange_Sheet!CH60-#REF!</f>
      </c>
      <c r="BJ57" s="51" t="e">
        <f>Ticker0001_Exchange_Sheet!CI60-#REF!</f>
      </c>
      <c r="BK57" s="51" t="e">
        <f>Ticker0001_Exchange_Sheet!CJ60-#REF!</f>
      </c>
      <c r="BL57" s="51" t="e">
        <f>Ticker0001_Exchange_Sheet!CK60-#REF!</f>
      </c>
      <c r="BM57" s="51" t="e">
        <f>Ticker0001_Exchange_Sheet!CL60-#REF!</f>
      </c>
      <c r="BN57" s="51" t="e">
        <f>Ticker0001_Exchange_Sheet!CM60-#REF!</f>
      </c>
      <c r="BO57" s="51" t="e">
        <f>Ticker0001_Exchange_Sheet!CN60-#REF!</f>
      </c>
      <c r="BP57" s="51" t="e">
        <f>Ticker0001_Exchange_Sheet!CO60-#REF!</f>
      </c>
      <c r="BQ57" s="51" t="e">
        <f>Ticker0001_Exchange_Sheet!CP60-#REF!</f>
      </c>
      <c r="BR57" s="51" t="e">
        <f>Ticker0001_Exchange_Sheet!CQ60-#REF!</f>
      </c>
      <c r="BS57" s="51" t="e">
        <f>Ticker0001_Exchange_Sheet!CR60-#REF!</f>
      </c>
      <c r="BT57" s="51" t="e">
        <f>Ticker0001_Exchange_Sheet!CS60-#REF!</f>
      </c>
      <c r="BU57" s="51" t="e">
        <f>Ticker0001_Exchange_Sheet!CT60-#REF!</f>
      </c>
      <c r="BV57" s="51" t="e">
        <f>Ticker0001_Exchange_Sheet!CU60-#REF!</f>
      </c>
      <c r="BW57" s="51" t="e">
        <f>Ticker0001_Exchange_Sheet!CV60-#REF!</f>
      </c>
      <c r="BX57" s="51" t="e">
        <f>Ticker0001_Exchange_Sheet!CW60-#REF!</f>
      </c>
      <c r="BY57" s="51" t="e">
        <f>Ticker0001_Exchange_Sheet!CX60-#REF!</f>
      </c>
      <c r="BZ57" s="51" t="e">
        <f>Ticker0001_Exchange_Sheet!CY60-#REF!</f>
      </c>
      <c r="CA57" s="51" t="e">
        <f>Ticker0001_Exchange_Sheet!CZ60-#REF!</f>
      </c>
      <c r="CB57" s="51" t="e">
        <f>Ticker0001_Exchange_Sheet!DA60-#REF!</f>
      </c>
      <c r="CC57" s="51" t="e">
        <f>Ticker0001_Exchange_Sheet!DB60-#REF!</f>
      </c>
      <c r="CD57" s="51" t="e">
        <f>Ticker0001_Exchange_Sheet!DC60-#REF!</f>
      </c>
      <c r="CE57" s="51" t="e">
        <f>Ticker0001_Exchange_Sheet!DD60-#REF!</f>
      </c>
      <c r="CF57" s="51" t="e">
        <f>Ticker0001_Exchange_Sheet!DE60-#REF!</f>
      </c>
    </row>
    <row r="58" spans="6:84">
      <c r="F58" s="51" t="e">
        <f>Ticker0001_Exchange_Sheet!F61-#REF!</f>
      </c>
      <c r="G58" s="51" t="e">
        <f>Ticker0001_Exchange_Sheet!G61-#REF!</f>
      </c>
      <c r="H58" s="51" t="e">
        <f>Ticker0001_Exchange_Sheet!H61-#REF!</f>
      </c>
      <c r="I58" s="51" t="e">
        <f>Ticker0001_Exchange_Sheet!I61-#REF!</f>
      </c>
      <c r="J58" s="51" t="e">
        <f>Ticker0001_Exchange_Sheet!J61-#REF!</f>
      </c>
      <c r="K58" s="51" t="e">
        <f>Ticker0001_Exchange_Sheet!K61-#REF!</f>
      </c>
      <c r="L58" s="51" t="e">
        <f>Ticker0001_Exchange_Sheet!L61-#REF!</f>
      </c>
      <c r="M58" s="51" t="e">
        <f>Ticker0001_Exchange_Sheet!M61-#REF!</f>
      </c>
      <c r="N58" s="51" t="e">
        <f>Ticker0001_Exchange_Sheet!N61-#REF!</f>
      </c>
      <c r="O58" s="51" t="e">
        <f>Ticker0001_Exchange_Sheet!O61-#REF!</f>
      </c>
      <c r="P58" s="51" t="e">
        <f>Ticker0001_Exchange_Sheet!P61-#REF!</f>
      </c>
      <c r="Q58" s="51" t="e">
        <f>Ticker0001_Exchange_Sheet!Q61-#REF!</f>
      </c>
      <c r="R58" s="51" t="e">
        <f>Ticker0001_Exchange_Sheet!R61-#REF!</f>
      </c>
      <c r="S58" s="51" t="e">
        <f>Ticker0001_Exchange_Sheet!S61-#REF!</f>
      </c>
      <c r="T58" s="51" t="e">
        <f>Ticker0001_Exchange_Sheet!T61-#REF!</f>
      </c>
      <c r="U58" s="51" t="e">
        <f>Ticker0001_Exchange_Sheet!U61-#REF!</f>
      </c>
      <c r="V58" s="51" t="e">
        <f>Ticker0001_Exchange_Sheet!V61-#REF!</f>
      </c>
      <c r="W58" s="51" t="e">
        <f>Ticker0001_Exchange_Sheet!W61-#REF!</f>
      </c>
      <c r="X58" s="51" t="e">
        <f>Ticker0001_Exchange_Sheet!AK61-#REF!</f>
      </c>
      <c r="Y58" s="51" t="e">
        <f>Ticker0001_Exchange_Sheet!AX61-#REF!</f>
      </c>
      <c r="Z58" s="51" t="e">
        <f>Ticker0001_Exchange_Sheet!AY61-#REF!</f>
      </c>
      <c r="AA58" s="51" t="e">
        <f>Ticker0001_Exchange_Sheet!AZ61-#REF!</f>
      </c>
      <c r="AB58" s="51" t="e">
        <f>Ticker0001_Exchange_Sheet!BA61-#REF!</f>
      </c>
      <c r="AC58" s="51" t="e">
        <f>Ticker0001_Exchange_Sheet!BB61-#REF!</f>
      </c>
      <c r="AD58" s="51" t="e">
        <f>Ticker0001_Exchange_Sheet!BC61-#REF!</f>
      </c>
      <c r="AE58" s="51" t="e">
        <f>Ticker0001_Exchange_Sheet!BD61-#REF!</f>
      </c>
      <c r="AF58" s="51" t="e">
        <f>Ticker0001_Exchange_Sheet!BE61-#REF!</f>
      </c>
      <c r="AG58" s="51" t="e">
        <f>Ticker0001_Exchange_Sheet!BF61-#REF!</f>
      </c>
      <c r="AH58" s="51" t="e">
        <f>Ticker0001_Exchange_Sheet!BG61-#REF!</f>
      </c>
      <c r="AI58" s="51" t="e">
        <f>Ticker0001_Exchange_Sheet!BH61-#REF!</f>
      </c>
      <c r="AJ58" s="51" t="e">
        <f>Ticker0001_Exchange_Sheet!BI61-#REF!</f>
      </c>
      <c r="AK58" s="51" t="e">
        <f>Ticker0001_Exchange_Sheet!BJ61-#REF!</f>
      </c>
      <c r="AL58" s="51" t="e">
        <f>Ticker0001_Exchange_Sheet!BK61-#REF!</f>
      </c>
      <c r="AM58" s="51" t="e">
        <f>Ticker0001_Exchange_Sheet!BL61-#REF!</f>
      </c>
      <c r="AN58" s="51" t="e">
        <f>Ticker0001_Exchange_Sheet!BM61-#REF!</f>
      </c>
      <c r="AO58" s="51" t="e">
        <f>Ticker0001_Exchange_Sheet!BN61-#REF!</f>
      </c>
      <c r="AP58" s="51" t="e">
        <f>Ticker0001_Exchange_Sheet!BO61-#REF!</f>
      </c>
      <c r="AQ58" s="51" t="e">
        <f>Ticker0001_Exchange_Sheet!BP61-#REF!</f>
      </c>
      <c r="AR58" s="51" t="e">
        <f>Ticker0001_Exchange_Sheet!BQ61-#REF!</f>
      </c>
      <c r="AS58" s="51" t="e">
        <f>Ticker0001_Exchange_Sheet!BR61-#REF!</f>
      </c>
      <c r="AT58" s="51" t="e">
        <f>Ticker0001_Exchange_Sheet!BS61-#REF!</f>
      </c>
      <c r="AU58" s="51" t="e">
        <f>Ticker0001_Exchange_Sheet!BT61-#REF!</f>
      </c>
      <c r="AV58" s="51" t="e">
        <f>Ticker0001_Exchange_Sheet!BU61-#REF!</f>
      </c>
      <c r="AW58" s="51" t="e">
        <f>Ticker0001_Exchange_Sheet!BV61-#REF!</f>
      </c>
      <c r="AX58" s="51" t="e">
        <f>Ticker0001_Exchange_Sheet!BW61-#REF!</f>
      </c>
      <c r="AY58" s="51" t="e">
        <f>Ticker0001_Exchange_Sheet!BX61-#REF!</f>
      </c>
      <c r="AZ58" s="51" t="e">
        <f>Ticker0001_Exchange_Sheet!BY61-#REF!</f>
      </c>
      <c r="BA58" s="51" t="e">
        <f>Ticker0001_Exchange_Sheet!BZ61-#REF!</f>
      </c>
      <c r="BB58" s="51" t="e">
        <f>Ticker0001_Exchange_Sheet!CA61-#REF!</f>
      </c>
      <c r="BC58" s="51" t="e">
        <f>Ticker0001_Exchange_Sheet!CB61-#REF!</f>
      </c>
      <c r="BD58" s="51" t="e">
        <f>Ticker0001_Exchange_Sheet!CC61-#REF!</f>
      </c>
      <c r="BE58" s="51" t="e">
        <f>Ticker0001_Exchange_Sheet!CD61-#REF!</f>
      </c>
      <c r="BF58" s="51" t="e">
        <f>Ticker0001_Exchange_Sheet!CE61-#REF!</f>
      </c>
      <c r="BG58" s="51" t="e">
        <f>Ticker0001_Exchange_Sheet!CF61-#REF!</f>
      </c>
      <c r="BH58" s="51" t="e">
        <f>Ticker0001_Exchange_Sheet!CG61-#REF!</f>
      </c>
      <c r="BI58" s="51" t="e">
        <f>Ticker0001_Exchange_Sheet!CH61-#REF!</f>
      </c>
      <c r="BJ58" s="51" t="e">
        <f>Ticker0001_Exchange_Sheet!CI61-#REF!</f>
      </c>
      <c r="BK58" s="51" t="e">
        <f>Ticker0001_Exchange_Sheet!CJ61-#REF!</f>
      </c>
      <c r="BL58" s="51" t="e">
        <f>Ticker0001_Exchange_Sheet!CK61-#REF!</f>
      </c>
      <c r="BM58" s="51" t="e">
        <f>Ticker0001_Exchange_Sheet!CL61-#REF!</f>
      </c>
      <c r="BN58" s="51" t="e">
        <f>Ticker0001_Exchange_Sheet!CM61-#REF!</f>
      </c>
      <c r="BO58" s="51" t="e">
        <f>Ticker0001_Exchange_Sheet!CN61-#REF!</f>
      </c>
      <c r="BP58" s="51" t="e">
        <f>Ticker0001_Exchange_Sheet!CO61-#REF!</f>
      </c>
      <c r="BQ58" s="51" t="e">
        <f>Ticker0001_Exchange_Sheet!CP61-#REF!</f>
      </c>
      <c r="BR58" s="51" t="e">
        <f>Ticker0001_Exchange_Sheet!CQ61-#REF!</f>
      </c>
      <c r="BS58" s="51" t="e">
        <f>Ticker0001_Exchange_Sheet!CR61-#REF!</f>
      </c>
      <c r="BT58" s="51" t="e">
        <f>Ticker0001_Exchange_Sheet!CS61-#REF!</f>
      </c>
      <c r="BU58" s="51" t="e">
        <f>Ticker0001_Exchange_Sheet!CT61-#REF!</f>
      </c>
      <c r="BV58" s="51" t="e">
        <f>Ticker0001_Exchange_Sheet!CU61-#REF!</f>
      </c>
      <c r="BW58" s="51" t="e">
        <f>Ticker0001_Exchange_Sheet!CV61-#REF!</f>
      </c>
      <c r="BX58" s="51" t="e">
        <f>Ticker0001_Exchange_Sheet!CW61-#REF!</f>
      </c>
      <c r="BY58" s="51" t="e">
        <f>Ticker0001_Exchange_Sheet!CX61-#REF!</f>
      </c>
      <c r="BZ58" s="51" t="e">
        <f>Ticker0001_Exchange_Sheet!CY61-#REF!</f>
      </c>
      <c r="CA58" s="51" t="e">
        <f>Ticker0001_Exchange_Sheet!CZ61-#REF!</f>
      </c>
      <c r="CB58" s="51" t="e">
        <f>Ticker0001_Exchange_Sheet!DA61-#REF!</f>
      </c>
      <c r="CC58" s="51" t="e">
        <f>Ticker0001_Exchange_Sheet!DB61-#REF!</f>
      </c>
      <c r="CD58" s="51" t="e">
        <f>Ticker0001_Exchange_Sheet!DC61-#REF!</f>
      </c>
      <c r="CE58" s="51" t="e">
        <f>Ticker0001_Exchange_Sheet!DD61-#REF!</f>
      </c>
      <c r="CF58" s="51" t="e">
        <f>Ticker0001_Exchange_Sheet!DE61-#REF!</f>
      </c>
    </row>
    <row r="59" spans="6:84">
      <c r="F59" s="51" t="e">
        <f>Ticker0001_Exchange_Sheet!F63-#REF!</f>
      </c>
      <c r="G59" s="51" t="e">
        <f>Ticker0001_Exchange_Sheet!G63-#REF!</f>
      </c>
      <c r="H59" s="51" t="e">
        <f>Ticker0001_Exchange_Sheet!H63-#REF!</f>
      </c>
      <c r="I59" s="51" t="e">
        <f>Ticker0001_Exchange_Sheet!I63-#REF!</f>
      </c>
      <c r="J59" s="51" t="e">
        <f>Ticker0001_Exchange_Sheet!J63-#REF!</f>
      </c>
      <c r="K59" s="51" t="e">
        <f>Ticker0001_Exchange_Sheet!K63-#REF!</f>
      </c>
      <c r="L59" s="51" t="e">
        <f>Ticker0001_Exchange_Sheet!L63-#REF!</f>
      </c>
      <c r="M59" s="51" t="e">
        <f>Ticker0001_Exchange_Sheet!M63-#REF!</f>
      </c>
      <c r="N59" s="51" t="e">
        <f>Ticker0001_Exchange_Sheet!N63-#REF!</f>
      </c>
      <c r="O59" s="51" t="e">
        <f>Ticker0001_Exchange_Sheet!O63-#REF!</f>
      </c>
      <c r="P59" s="51" t="e">
        <f>Ticker0001_Exchange_Sheet!P63-#REF!</f>
      </c>
      <c r="Q59" s="51" t="e">
        <f>Ticker0001_Exchange_Sheet!Q63-#REF!</f>
      </c>
      <c r="R59" s="51" t="e">
        <f>Ticker0001_Exchange_Sheet!R63-#REF!</f>
      </c>
      <c r="S59" s="51" t="e">
        <f>Ticker0001_Exchange_Sheet!S63-#REF!</f>
      </c>
      <c r="T59" s="51" t="e">
        <f>Ticker0001_Exchange_Sheet!T63-#REF!</f>
      </c>
      <c r="U59" s="51" t="e">
        <f>Ticker0001_Exchange_Sheet!U63-#REF!</f>
      </c>
      <c r="V59" s="51" t="e">
        <f>Ticker0001_Exchange_Sheet!V63-#REF!</f>
      </c>
      <c r="W59" s="51" t="e">
        <f>Ticker0001_Exchange_Sheet!W63-#REF!</f>
      </c>
      <c r="X59" s="51" t="e">
        <f>Ticker0001_Exchange_Sheet!AK63-#REF!</f>
      </c>
      <c r="Y59" s="51" t="e">
        <f>Ticker0001_Exchange_Sheet!AX63-#REF!</f>
      </c>
      <c r="Z59" s="51" t="e">
        <f>Ticker0001_Exchange_Sheet!AY63-#REF!</f>
      </c>
      <c r="AA59" s="51" t="e">
        <f>Ticker0001_Exchange_Sheet!AZ63-#REF!</f>
      </c>
      <c r="AB59" s="51" t="e">
        <f>Ticker0001_Exchange_Sheet!BA63-#REF!</f>
      </c>
      <c r="AC59" s="51" t="e">
        <f>Ticker0001_Exchange_Sheet!BB63-#REF!</f>
      </c>
      <c r="AD59" s="51" t="e">
        <f>Ticker0001_Exchange_Sheet!BC63-#REF!</f>
      </c>
      <c r="AE59" s="51" t="e">
        <f>Ticker0001_Exchange_Sheet!BD63-#REF!</f>
      </c>
      <c r="AF59" s="51" t="e">
        <f>Ticker0001_Exchange_Sheet!BE63-#REF!</f>
      </c>
      <c r="AG59" s="51" t="e">
        <f>Ticker0001_Exchange_Sheet!BF63-#REF!</f>
      </c>
      <c r="AH59" s="51" t="e">
        <f>Ticker0001_Exchange_Sheet!BG63-#REF!</f>
      </c>
      <c r="AI59" s="51" t="e">
        <f>Ticker0001_Exchange_Sheet!BH63-#REF!</f>
      </c>
      <c r="AJ59" s="51" t="e">
        <f>Ticker0001_Exchange_Sheet!BI63-#REF!</f>
      </c>
      <c r="AK59" s="51" t="e">
        <f>Ticker0001_Exchange_Sheet!BJ63-#REF!</f>
      </c>
      <c r="AL59" s="51" t="e">
        <f>Ticker0001_Exchange_Sheet!BK63-#REF!</f>
      </c>
      <c r="AM59" s="51" t="e">
        <f>Ticker0001_Exchange_Sheet!BL63-#REF!</f>
      </c>
      <c r="AN59" s="51" t="e">
        <f>Ticker0001_Exchange_Sheet!BM63-#REF!</f>
      </c>
      <c r="AO59" s="51" t="e">
        <f>Ticker0001_Exchange_Sheet!BN63-#REF!</f>
      </c>
      <c r="AP59" s="51" t="e">
        <f>Ticker0001_Exchange_Sheet!BO63-#REF!</f>
      </c>
      <c r="AQ59" s="51" t="e">
        <f>Ticker0001_Exchange_Sheet!BP63-#REF!</f>
      </c>
      <c r="AR59" s="51" t="e">
        <f>Ticker0001_Exchange_Sheet!BQ63-#REF!</f>
      </c>
      <c r="AS59" s="51" t="e">
        <f>Ticker0001_Exchange_Sheet!BR63-#REF!</f>
      </c>
      <c r="AT59" s="51" t="e">
        <f>Ticker0001_Exchange_Sheet!BS63-#REF!</f>
      </c>
      <c r="AU59" s="51" t="e">
        <f>Ticker0001_Exchange_Sheet!BT63-#REF!</f>
      </c>
      <c r="AV59" s="51" t="e">
        <f>Ticker0001_Exchange_Sheet!BU63-#REF!</f>
      </c>
      <c r="AW59" s="51" t="e">
        <f>Ticker0001_Exchange_Sheet!BV63-#REF!</f>
      </c>
      <c r="AX59" s="51" t="e">
        <f>Ticker0001_Exchange_Sheet!BW63-#REF!</f>
      </c>
      <c r="AY59" s="51" t="e">
        <f>Ticker0001_Exchange_Sheet!BX63-#REF!</f>
      </c>
      <c r="AZ59" s="51" t="e">
        <f>Ticker0001_Exchange_Sheet!BY63-#REF!</f>
      </c>
      <c r="BA59" s="51" t="e">
        <f>Ticker0001_Exchange_Sheet!BZ63-#REF!</f>
      </c>
      <c r="BB59" s="51" t="e">
        <f>Ticker0001_Exchange_Sheet!CA63-#REF!</f>
      </c>
      <c r="BC59" s="51" t="e">
        <f>Ticker0001_Exchange_Sheet!CB63-#REF!</f>
      </c>
      <c r="BD59" s="51" t="e">
        <f>Ticker0001_Exchange_Sheet!CC63-#REF!</f>
      </c>
      <c r="BE59" s="51" t="e">
        <f>Ticker0001_Exchange_Sheet!CD63-#REF!</f>
      </c>
      <c r="BF59" s="51" t="e">
        <f>Ticker0001_Exchange_Sheet!CE63-#REF!</f>
      </c>
      <c r="BG59" s="51" t="e">
        <f>Ticker0001_Exchange_Sheet!CF63-#REF!</f>
      </c>
      <c r="BH59" s="51" t="e">
        <f>Ticker0001_Exchange_Sheet!CG63-#REF!</f>
      </c>
      <c r="BI59" s="51" t="e">
        <f>Ticker0001_Exchange_Sheet!CH63-#REF!</f>
      </c>
      <c r="BJ59" s="51" t="e">
        <f>Ticker0001_Exchange_Sheet!CI63-#REF!</f>
      </c>
      <c r="BK59" s="51" t="e">
        <f>Ticker0001_Exchange_Sheet!CJ63-#REF!</f>
      </c>
      <c r="BL59" s="51" t="e">
        <f>Ticker0001_Exchange_Sheet!CK63-#REF!</f>
      </c>
      <c r="BM59" s="51" t="e">
        <f>Ticker0001_Exchange_Sheet!CL63-#REF!</f>
      </c>
      <c r="BN59" s="51" t="e">
        <f>Ticker0001_Exchange_Sheet!CM63-#REF!</f>
      </c>
      <c r="BO59" s="51" t="e">
        <f>Ticker0001_Exchange_Sheet!CN63-#REF!</f>
      </c>
      <c r="BP59" s="51" t="e">
        <f>Ticker0001_Exchange_Sheet!CO63-#REF!</f>
      </c>
      <c r="BQ59" s="51" t="e">
        <f>Ticker0001_Exchange_Sheet!CP63-#REF!</f>
      </c>
      <c r="BR59" s="51" t="e">
        <f>Ticker0001_Exchange_Sheet!CQ63-#REF!</f>
      </c>
      <c r="BS59" s="51" t="e">
        <f>Ticker0001_Exchange_Sheet!CR63-#REF!</f>
      </c>
      <c r="BT59" s="51" t="e">
        <f>Ticker0001_Exchange_Sheet!CS63-#REF!</f>
      </c>
      <c r="BU59" s="51" t="e">
        <f>Ticker0001_Exchange_Sheet!CT63-#REF!</f>
      </c>
      <c r="BV59" s="51" t="e">
        <f>Ticker0001_Exchange_Sheet!CU63-#REF!</f>
      </c>
      <c r="BW59" s="51" t="e">
        <f>Ticker0001_Exchange_Sheet!CV63-#REF!</f>
      </c>
      <c r="BX59" s="51" t="e">
        <f>Ticker0001_Exchange_Sheet!CW63-#REF!</f>
      </c>
      <c r="BY59" s="51" t="e">
        <f>Ticker0001_Exchange_Sheet!CX63-#REF!</f>
      </c>
      <c r="BZ59" s="51" t="e">
        <f>Ticker0001_Exchange_Sheet!CY63-#REF!</f>
      </c>
      <c r="CA59" s="51" t="e">
        <f>Ticker0001_Exchange_Sheet!CZ63-#REF!</f>
      </c>
      <c r="CB59" s="51" t="e">
        <f>Ticker0001_Exchange_Sheet!DA63-#REF!</f>
      </c>
      <c r="CC59" s="51" t="e">
        <f>Ticker0001_Exchange_Sheet!DB63-#REF!</f>
      </c>
      <c r="CD59" s="51" t="e">
        <f>Ticker0001_Exchange_Sheet!DC63-#REF!</f>
      </c>
      <c r="CE59" s="51" t="e">
        <f>Ticker0001_Exchange_Sheet!DD63-#REF!</f>
      </c>
      <c r="CF59" s="51" t="e">
        <f>Ticker0001_Exchange_Sheet!DE63-#REF!</f>
      </c>
    </row>
    <row r="60" spans="6:84">
      <c r="F60" s="51" t="e">
        <f>Ticker0001_Exchange_Sheet!F64-#REF!</f>
      </c>
      <c r="G60" s="51" t="e">
        <f>Ticker0001_Exchange_Sheet!G64-#REF!</f>
      </c>
      <c r="H60" s="51" t="e">
        <f>Ticker0001_Exchange_Sheet!H64-#REF!</f>
      </c>
      <c r="I60" s="51" t="e">
        <f>Ticker0001_Exchange_Sheet!I64-#REF!</f>
      </c>
      <c r="J60" s="51" t="e">
        <f>Ticker0001_Exchange_Sheet!J64-#REF!</f>
      </c>
      <c r="K60" s="51" t="e">
        <f>Ticker0001_Exchange_Sheet!K64-#REF!</f>
      </c>
      <c r="L60" s="51" t="e">
        <f>Ticker0001_Exchange_Sheet!L64-#REF!</f>
      </c>
      <c r="M60" s="51" t="e">
        <f>Ticker0001_Exchange_Sheet!M64-#REF!</f>
      </c>
      <c r="N60" s="51" t="e">
        <f>Ticker0001_Exchange_Sheet!N64-#REF!</f>
      </c>
      <c r="O60" s="51" t="e">
        <f>Ticker0001_Exchange_Sheet!O64-#REF!</f>
      </c>
      <c r="P60" s="51" t="e">
        <f>Ticker0001_Exchange_Sheet!P64-#REF!</f>
      </c>
      <c r="Q60" s="51" t="e">
        <f>Ticker0001_Exchange_Sheet!Q64-#REF!</f>
      </c>
      <c r="R60" s="51" t="e">
        <f>Ticker0001_Exchange_Sheet!R64-#REF!</f>
      </c>
      <c r="S60" s="51" t="e">
        <f>Ticker0001_Exchange_Sheet!S64-#REF!</f>
      </c>
      <c r="T60" s="51" t="e">
        <f>Ticker0001_Exchange_Sheet!T64-#REF!</f>
      </c>
      <c r="U60" s="51" t="e">
        <f>Ticker0001_Exchange_Sheet!U64-#REF!</f>
      </c>
      <c r="V60" s="51" t="e">
        <f>Ticker0001_Exchange_Sheet!V64-#REF!</f>
      </c>
      <c r="W60" s="51" t="e">
        <f>Ticker0001_Exchange_Sheet!W64-#REF!</f>
      </c>
      <c r="X60" s="51" t="e">
        <f>Ticker0001_Exchange_Sheet!AK64-#REF!</f>
      </c>
      <c r="Y60" s="51" t="e">
        <f>Ticker0001_Exchange_Sheet!AX64-#REF!</f>
      </c>
      <c r="Z60" s="51" t="e">
        <f>Ticker0001_Exchange_Sheet!AY64-#REF!</f>
      </c>
      <c r="AA60" s="51" t="e">
        <f>Ticker0001_Exchange_Sheet!AZ64-#REF!</f>
      </c>
      <c r="AB60" s="51" t="e">
        <f>Ticker0001_Exchange_Sheet!BA64-#REF!</f>
      </c>
      <c r="AC60" s="51" t="e">
        <f>Ticker0001_Exchange_Sheet!BB64-#REF!</f>
      </c>
      <c r="AD60" s="51" t="e">
        <f>Ticker0001_Exchange_Sheet!BC64-#REF!</f>
      </c>
      <c r="AE60" s="51" t="e">
        <f>Ticker0001_Exchange_Sheet!BD64-#REF!</f>
      </c>
      <c r="AF60" s="51" t="e">
        <f>Ticker0001_Exchange_Sheet!BE64-#REF!</f>
      </c>
      <c r="AG60" s="51" t="e">
        <f>Ticker0001_Exchange_Sheet!BF64-#REF!</f>
      </c>
      <c r="AH60" s="51" t="e">
        <f>Ticker0001_Exchange_Sheet!BG64-#REF!</f>
      </c>
      <c r="AI60" s="51" t="e">
        <f>Ticker0001_Exchange_Sheet!BH64-#REF!</f>
      </c>
      <c r="AJ60" s="51" t="e">
        <f>Ticker0001_Exchange_Sheet!BI64-#REF!</f>
      </c>
      <c r="AK60" s="51" t="e">
        <f>Ticker0001_Exchange_Sheet!BJ64-#REF!</f>
      </c>
      <c r="AL60" s="51" t="e">
        <f>Ticker0001_Exchange_Sheet!BK64-#REF!</f>
      </c>
      <c r="AM60" s="51" t="e">
        <f>Ticker0001_Exchange_Sheet!BL64-#REF!</f>
      </c>
      <c r="AN60" s="51" t="e">
        <f>Ticker0001_Exchange_Sheet!BM64-#REF!</f>
      </c>
      <c r="AO60" s="51" t="e">
        <f>Ticker0001_Exchange_Sheet!BN64-#REF!</f>
      </c>
      <c r="AP60" s="51" t="e">
        <f>Ticker0001_Exchange_Sheet!BO64-#REF!</f>
      </c>
      <c r="AQ60" s="51" t="e">
        <f>Ticker0001_Exchange_Sheet!BP64-#REF!</f>
      </c>
      <c r="AR60" s="51" t="e">
        <f>Ticker0001_Exchange_Sheet!BQ64-#REF!</f>
      </c>
      <c r="AS60" s="51" t="e">
        <f>Ticker0001_Exchange_Sheet!BR64-#REF!</f>
      </c>
      <c r="AT60" s="51" t="e">
        <f>Ticker0001_Exchange_Sheet!BS64-#REF!</f>
      </c>
      <c r="AU60" s="51" t="e">
        <f>Ticker0001_Exchange_Sheet!BT64-#REF!</f>
      </c>
      <c r="AV60" s="51" t="e">
        <f>Ticker0001_Exchange_Sheet!BU64-#REF!</f>
      </c>
      <c r="AW60" s="51" t="e">
        <f>Ticker0001_Exchange_Sheet!BV64-#REF!</f>
      </c>
      <c r="AX60" s="51" t="e">
        <f>Ticker0001_Exchange_Sheet!BW64-#REF!</f>
      </c>
      <c r="AY60" s="51" t="e">
        <f>Ticker0001_Exchange_Sheet!BX64-#REF!</f>
      </c>
      <c r="AZ60" s="51" t="e">
        <f>Ticker0001_Exchange_Sheet!BY64-#REF!</f>
      </c>
      <c r="BA60" s="51" t="e">
        <f>Ticker0001_Exchange_Sheet!BZ64-#REF!</f>
      </c>
      <c r="BB60" s="51" t="e">
        <f>Ticker0001_Exchange_Sheet!CA64-#REF!</f>
      </c>
      <c r="BC60" s="51" t="e">
        <f>Ticker0001_Exchange_Sheet!CB64-#REF!</f>
      </c>
      <c r="BD60" s="51" t="e">
        <f>Ticker0001_Exchange_Sheet!CC64-#REF!</f>
      </c>
      <c r="BE60" s="51" t="e">
        <f>Ticker0001_Exchange_Sheet!CD64-#REF!</f>
      </c>
      <c r="BF60" s="51" t="e">
        <f>Ticker0001_Exchange_Sheet!CE64-#REF!</f>
      </c>
      <c r="BG60" s="51" t="e">
        <f>Ticker0001_Exchange_Sheet!CF64-#REF!</f>
      </c>
      <c r="BH60" s="51" t="e">
        <f>Ticker0001_Exchange_Sheet!CG64-#REF!</f>
      </c>
      <c r="BI60" s="51" t="e">
        <f>Ticker0001_Exchange_Sheet!CH64-#REF!</f>
      </c>
      <c r="BJ60" s="51" t="e">
        <f>Ticker0001_Exchange_Sheet!CI64-#REF!</f>
      </c>
      <c r="BK60" s="51" t="e">
        <f>Ticker0001_Exchange_Sheet!CJ64-#REF!</f>
      </c>
      <c r="BL60" s="51" t="e">
        <f>Ticker0001_Exchange_Sheet!CK64-#REF!</f>
      </c>
      <c r="BM60" s="51" t="e">
        <f>Ticker0001_Exchange_Sheet!CL64-#REF!</f>
      </c>
      <c r="BN60" s="51" t="e">
        <f>Ticker0001_Exchange_Sheet!CM64-#REF!</f>
      </c>
      <c r="BO60" s="51" t="e">
        <f>Ticker0001_Exchange_Sheet!CN64-#REF!</f>
      </c>
      <c r="BP60" s="51" t="e">
        <f>Ticker0001_Exchange_Sheet!CO64-#REF!</f>
      </c>
      <c r="BQ60" s="51" t="e">
        <f>Ticker0001_Exchange_Sheet!CP64-#REF!</f>
      </c>
      <c r="BR60" s="51" t="e">
        <f>Ticker0001_Exchange_Sheet!CQ64-#REF!</f>
      </c>
      <c r="BS60" s="51" t="e">
        <f>Ticker0001_Exchange_Sheet!CR64-#REF!</f>
      </c>
      <c r="BT60" s="51" t="e">
        <f>Ticker0001_Exchange_Sheet!CS64-#REF!</f>
      </c>
      <c r="BU60" s="51" t="e">
        <f>Ticker0001_Exchange_Sheet!CT64-#REF!</f>
      </c>
      <c r="BV60" s="51" t="e">
        <f>Ticker0001_Exchange_Sheet!CU64-#REF!</f>
      </c>
      <c r="BW60" s="51" t="e">
        <f>Ticker0001_Exchange_Sheet!CV64-#REF!</f>
      </c>
      <c r="BX60" s="51" t="e">
        <f>Ticker0001_Exchange_Sheet!CW64-#REF!</f>
      </c>
      <c r="BY60" s="51" t="e">
        <f>Ticker0001_Exchange_Sheet!CX64-#REF!</f>
      </c>
      <c r="BZ60" s="51" t="e">
        <f>Ticker0001_Exchange_Sheet!CY64-#REF!</f>
      </c>
      <c r="CA60" s="51" t="e">
        <f>Ticker0001_Exchange_Sheet!CZ64-#REF!</f>
      </c>
      <c r="CB60" s="51" t="e">
        <f>Ticker0001_Exchange_Sheet!DA64-#REF!</f>
      </c>
      <c r="CC60" s="51" t="e">
        <f>Ticker0001_Exchange_Sheet!DB64-#REF!</f>
      </c>
      <c r="CD60" s="51" t="e">
        <f>Ticker0001_Exchange_Sheet!DC64-#REF!</f>
      </c>
      <c r="CE60" s="51" t="e">
        <f>Ticker0001_Exchange_Sheet!DD64-#REF!</f>
      </c>
      <c r="CF60" s="51" t="e">
        <f>Ticker0001_Exchange_Sheet!DE64-#REF!</f>
      </c>
    </row>
    <row r="61" spans="6:84">
      <c r="F61" s="51" t="e">
        <f>Ticker0001_Exchange_Sheet!F65-#REF!</f>
      </c>
      <c r="G61" s="51" t="e">
        <f>Ticker0001_Exchange_Sheet!G65-#REF!</f>
      </c>
      <c r="H61" s="51" t="e">
        <f>Ticker0001_Exchange_Sheet!H65-#REF!</f>
      </c>
      <c r="I61" s="51" t="e">
        <f>Ticker0001_Exchange_Sheet!I65-#REF!</f>
      </c>
      <c r="J61" s="51" t="e">
        <f>Ticker0001_Exchange_Sheet!J65-#REF!</f>
      </c>
      <c r="K61" s="51" t="e">
        <f>Ticker0001_Exchange_Sheet!K65-#REF!</f>
      </c>
      <c r="L61" s="51" t="e">
        <f>Ticker0001_Exchange_Sheet!L65-#REF!</f>
      </c>
      <c r="M61" s="51" t="e">
        <f>Ticker0001_Exchange_Sheet!M65-#REF!</f>
      </c>
      <c r="N61" s="51" t="e">
        <f>Ticker0001_Exchange_Sheet!N65-#REF!</f>
      </c>
      <c r="O61" s="51" t="e">
        <f>Ticker0001_Exchange_Sheet!O65-#REF!</f>
      </c>
      <c r="P61" s="51" t="e">
        <f>Ticker0001_Exchange_Sheet!P65-#REF!</f>
      </c>
      <c r="Q61" s="51" t="e">
        <f>Ticker0001_Exchange_Sheet!Q65-#REF!</f>
      </c>
      <c r="R61" s="51" t="e">
        <f>Ticker0001_Exchange_Sheet!R65-#REF!</f>
      </c>
      <c r="S61" s="51" t="e">
        <f>Ticker0001_Exchange_Sheet!S65-#REF!</f>
      </c>
      <c r="T61" s="51" t="e">
        <f>Ticker0001_Exchange_Sheet!T65-#REF!</f>
      </c>
      <c r="U61" s="51" t="e">
        <f>Ticker0001_Exchange_Sheet!U65-#REF!</f>
      </c>
      <c r="V61" s="51" t="e">
        <f>Ticker0001_Exchange_Sheet!V65-#REF!</f>
      </c>
      <c r="W61" s="51" t="e">
        <f>Ticker0001_Exchange_Sheet!W65-#REF!</f>
      </c>
      <c r="X61" s="51" t="e">
        <f>Ticker0001_Exchange_Sheet!AK65-#REF!</f>
      </c>
      <c r="Y61" s="51" t="e">
        <f>Ticker0001_Exchange_Sheet!AX65-#REF!</f>
      </c>
      <c r="Z61" s="51" t="e">
        <f>Ticker0001_Exchange_Sheet!AY65-#REF!</f>
      </c>
      <c r="AA61" s="51" t="e">
        <f>Ticker0001_Exchange_Sheet!AZ65-#REF!</f>
      </c>
      <c r="AB61" s="51" t="e">
        <f>Ticker0001_Exchange_Sheet!BA65-#REF!</f>
      </c>
      <c r="AC61" s="51" t="e">
        <f>Ticker0001_Exchange_Sheet!BB65-#REF!</f>
      </c>
      <c r="AD61" s="51" t="e">
        <f>Ticker0001_Exchange_Sheet!BC65-#REF!</f>
      </c>
      <c r="AE61" s="51" t="e">
        <f>Ticker0001_Exchange_Sheet!BD65-#REF!</f>
      </c>
      <c r="AF61" s="51" t="e">
        <f>Ticker0001_Exchange_Sheet!BE65-#REF!</f>
      </c>
      <c r="AG61" s="51" t="e">
        <f>Ticker0001_Exchange_Sheet!BF65-#REF!</f>
      </c>
      <c r="AH61" s="51" t="e">
        <f>Ticker0001_Exchange_Sheet!BG65-#REF!</f>
      </c>
      <c r="AI61" s="51" t="e">
        <f>Ticker0001_Exchange_Sheet!BH65-#REF!</f>
      </c>
      <c r="AJ61" s="51" t="e">
        <f>Ticker0001_Exchange_Sheet!BI65-#REF!</f>
      </c>
      <c r="AK61" s="51" t="e">
        <f>Ticker0001_Exchange_Sheet!BJ65-#REF!</f>
      </c>
      <c r="AL61" s="51" t="e">
        <f>Ticker0001_Exchange_Sheet!BK65-#REF!</f>
      </c>
      <c r="AM61" s="51" t="e">
        <f>Ticker0001_Exchange_Sheet!BL65-#REF!</f>
      </c>
      <c r="AN61" s="51" t="e">
        <f>Ticker0001_Exchange_Sheet!BM65-#REF!</f>
      </c>
      <c r="AO61" s="51" t="e">
        <f>Ticker0001_Exchange_Sheet!BN65-#REF!</f>
      </c>
      <c r="AP61" s="51" t="e">
        <f>Ticker0001_Exchange_Sheet!BO65-#REF!</f>
      </c>
      <c r="AQ61" s="51" t="e">
        <f>Ticker0001_Exchange_Sheet!BP65-#REF!</f>
      </c>
      <c r="AR61" s="51" t="e">
        <f>Ticker0001_Exchange_Sheet!BQ65-#REF!</f>
      </c>
      <c r="AS61" s="51" t="e">
        <f>Ticker0001_Exchange_Sheet!BR65-#REF!</f>
      </c>
      <c r="AT61" s="51" t="e">
        <f>Ticker0001_Exchange_Sheet!BS65-#REF!</f>
      </c>
      <c r="AU61" s="51" t="e">
        <f>Ticker0001_Exchange_Sheet!BT65-#REF!</f>
      </c>
      <c r="AV61" s="51" t="e">
        <f>Ticker0001_Exchange_Sheet!BU65-#REF!</f>
      </c>
      <c r="AW61" s="51" t="e">
        <f>Ticker0001_Exchange_Sheet!BV65-#REF!</f>
      </c>
      <c r="AX61" s="51" t="e">
        <f>Ticker0001_Exchange_Sheet!BW65-#REF!</f>
      </c>
      <c r="AY61" s="51" t="e">
        <f>Ticker0001_Exchange_Sheet!BX65-#REF!</f>
      </c>
      <c r="AZ61" s="51" t="e">
        <f>Ticker0001_Exchange_Sheet!BY65-#REF!</f>
      </c>
      <c r="BA61" s="51" t="e">
        <f>Ticker0001_Exchange_Sheet!BZ65-#REF!</f>
      </c>
      <c r="BB61" s="51" t="e">
        <f>Ticker0001_Exchange_Sheet!CA65-#REF!</f>
      </c>
      <c r="BC61" s="51" t="e">
        <f>Ticker0001_Exchange_Sheet!CB65-#REF!</f>
      </c>
      <c r="BD61" s="51" t="e">
        <f>Ticker0001_Exchange_Sheet!CC65-#REF!</f>
      </c>
      <c r="BE61" s="51" t="e">
        <f>Ticker0001_Exchange_Sheet!CD65-#REF!</f>
      </c>
      <c r="BF61" s="51" t="e">
        <f>Ticker0001_Exchange_Sheet!CE65-#REF!</f>
      </c>
      <c r="BG61" s="51" t="e">
        <f>Ticker0001_Exchange_Sheet!CF65-#REF!</f>
      </c>
      <c r="BH61" s="51" t="e">
        <f>Ticker0001_Exchange_Sheet!CG65-#REF!</f>
      </c>
      <c r="BI61" s="51" t="e">
        <f>Ticker0001_Exchange_Sheet!CH65-#REF!</f>
      </c>
      <c r="BJ61" s="51" t="e">
        <f>Ticker0001_Exchange_Sheet!CI65-#REF!</f>
      </c>
      <c r="BK61" s="51" t="e">
        <f>Ticker0001_Exchange_Sheet!CJ65-#REF!</f>
      </c>
      <c r="BL61" s="51" t="e">
        <f>Ticker0001_Exchange_Sheet!CK65-#REF!</f>
      </c>
      <c r="BM61" s="51" t="e">
        <f>Ticker0001_Exchange_Sheet!CL65-#REF!</f>
      </c>
      <c r="BN61" s="51" t="e">
        <f>Ticker0001_Exchange_Sheet!CM65-#REF!</f>
      </c>
      <c r="BO61" s="51" t="e">
        <f>Ticker0001_Exchange_Sheet!CN65-#REF!</f>
      </c>
      <c r="BP61" s="51" t="e">
        <f>Ticker0001_Exchange_Sheet!CO65-#REF!</f>
      </c>
      <c r="BQ61" s="51" t="e">
        <f>Ticker0001_Exchange_Sheet!CP65-#REF!</f>
      </c>
      <c r="BR61" s="51" t="e">
        <f>Ticker0001_Exchange_Sheet!CQ65-#REF!</f>
      </c>
      <c r="BS61" s="51" t="e">
        <f>Ticker0001_Exchange_Sheet!CR65-#REF!</f>
      </c>
      <c r="BT61" s="51" t="e">
        <f>Ticker0001_Exchange_Sheet!CS65-#REF!</f>
      </c>
      <c r="BU61" s="51" t="e">
        <f>Ticker0001_Exchange_Sheet!CT65-#REF!</f>
      </c>
      <c r="BV61" s="51" t="e">
        <f>Ticker0001_Exchange_Sheet!CU65-#REF!</f>
      </c>
      <c r="BW61" s="51" t="e">
        <f>Ticker0001_Exchange_Sheet!CV65-#REF!</f>
      </c>
      <c r="BX61" s="51" t="e">
        <f>Ticker0001_Exchange_Sheet!CW65-#REF!</f>
      </c>
      <c r="BY61" s="51" t="e">
        <f>Ticker0001_Exchange_Sheet!CX65-#REF!</f>
      </c>
      <c r="BZ61" s="51" t="e">
        <f>Ticker0001_Exchange_Sheet!CY65-#REF!</f>
      </c>
      <c r="CA61" s="51" t="e">
        <f>Ticker0001_Exchange_Sheet!CZ65-#REF!</f>
      </c>
      <c r="CB61" s="51" t="e">
        <f>Ticker0001_Exchange_Sheet!DA65-#REF!</f>
      </c>
      <c r="CC61" s="51" t="e">
        <f>Ticker0001_Exchange_Sheet!DB65-#REF!</f>
      </c>
      <c r="CD61" s="51" t="e">
        <f>Ticker0001_Exchange_Sheet!DC65-#REF!</f>
      </c>
      <c r="CE61" s="51" t="e">
        <f>Ticker0001_Exchange_Sheet!DD65-#REF!</f>
      </c>
      <c r="CF61" s="51" t="e">
        <f>Ticker0001_Exchange_Sheet!DE65-#REF!</f>
      </c>
    </row>
    <row r="62" spans="6:84">
      <c r="F62" s="51" t="e">
        <f>Ticker0001_Exchange_Sheet!F66-#REF!</f>
      </c>
      <c r="G62" s="51" t="e">
        <f>Ticker0001_Exchange_Sheet!G66-#REF!</f>
      </c>
      <c r="H62" s="51" t="e">
        <f>Ticker0001_Exchange_Sheet!H66-#REF!</f>
      </c>
      <c r="I62" s="51" t="e">
        <f>Ticker0001_Exchange_Sheet!I66-#REF!</f>
      </c>
      <c r="J62" s="51" t="e">
        <f>Ticker0001_Exchange_Sheet!J66-#REF!</f>
      </c>
      <c r="K62" s="51" t="e">
        <f>Ticker0001_Exchange_Sheet!K66-#REF!</f>
      </c>
      <c r="L62" s="51" t="e">
        <f>Ticker0001_Exchange_Sheet!L66-#REF!</f>
      </c>
      <c r="M62" s="51" t="e">
        <f>Ticker0001_Exchange_Sheet!M66-#REF!</f>
      </c>
      <c r="N62" s="51" t="e">
        <f>Ticker0001_Exchange_Sheet!N66-#REF!</f>
      </c>
      <c r="O62" s="51" t="e">
        <f>Ticker0001_Exchange_Sheet!O66-#REF!</f>
      </c>
      <c r="P62" s="51" t="e">
        <f>Ticker0001_Exchange_Sheet!P66-#REF!</f>
      </c>
      <c r="Q62" s="51" t="e">
        <f>Ticker0001_Exchange_Sheet!Q66-#REF!</f>
      </c>
      <c r="R62" s="51" t="e">
        <f>Ticker0001_Exchange_Sheet!R66-#REF!</f>
      </c>
      <c r="S62" s="51" t="e">
        <f>Ticker0001_Exchange_Sheet!S66-#REF!</f>
      </c>
      <c r="T62" s="51" t="e">
        <f>Ticker0001_Exchange_Sheet!T66-#REF!</f>
      </c>
      <c r="U62" s="51" t="e">
        <f>Ticker0001_Exchange_Sheet!U66-#REF!</f>
      </c>
      <c r="V62" s="51" t="e">
        <f>Ticker0001_Exchange_Sheet!V66-#REF!</f>
      </c>
      <c r="W62" s="51" t="e">
        <f>Ticker0001_Exchange_Sheet!W66-#REF!</f>
      </c>
      <c r="X62" s="51" t="e">
        <f>Ticker0001_Exchange_Sheet!AK66-#REF!</f>
      </c>
      <c r="Y62" s="51" t="e">
        <f>Ticker0001_Exchange_Sheet!AX66-#REF!</f>
      </c>
      <c r="Z62" s="51" t="e">
        <f>Ticker0001_Exchange_Sheet!AY66-#REF!</f>
      </c>
      <c r="AA62" s="51" t="e">
        <f>Ticker0001_Exchange_Sheet!AZ66-#REF!</f>
      </c>
      <c r="AB62" s="51" t="e">
        <f>Ticker0001_Exchange_Sheet!BA66-#REF!</f>
      </c>
      <c r="AC62" s="51" t="e">
        <f>Ticker0001_Exchange_Sheet!BB66-#REF!</f>
      </c>
      <c r="AD62" s="51" t="e">
        <f>Ticker0001_Exchange_Sheet!BC66-#REF!</f>
      </c>
      <c r="AE62" s="51" t="e">
        <f>Ticker0001_Exchange_Sheet!BD66-#REF!</f>
      </c>
      <c r="AF62" s="51" t="e">
        <f>Ticker0001_Exchange_Sheet!BE66-#REF!</f>
      </c>
      <c r="AG62" s="51" t="e">
        <f>Ticker0001_Exchange_Sheet!BF66-#REF!</f>
      </c>
      <c r="AH62" s="51" t="e">
        <f>Ticker0001_Exchange_Sheet!BG66-#REF!</f>
      </c>
      <c r="AI62" s="51" t="e">
        <f>Ticker0001_Exchange_Sheet!BH66-#REF!</f>
      </c>
      <c r="AJ62" s="51" t="e">
        <f>Ticker0001_Exchange_Sheet!BI66-#REF!</f>
      </c>
      <c r="AK62" s="51" t="e">
        <f>Ticker0001_Exchange_Sheet!BJ66-#REF!</f>
      </c>
      <c r="AL62" s="51" t="e">
        <f>Ticker0001_Exchange_Sheet!BK66-#REF!</f>
      </c>
      <c r="AM62" s="51" t="e">
        <f>Ticker0001_Exchange_Sheet!BL66-#REF!</f>
      </c>
      <c r="AN62" s="51" t="e">
        <f>Ticker0001_Exchange_Sheet!BM66-#REF!</f>
      </c>
      <c r="AO62" s="51" t="e">
        <f>Ticker0001_Exchange_Sheet!BN66-#REF!</f>
      </c>
      <c r="AP62" s="51" t="e">
        <f>Ticker0001_Exchange_Sheet!BO66-#REF!</f>
      </c>
      <c r="AQ62" s="51" t="e">
        <f>Ticker0001_Exchange_Sheet!BP66-#REF!</f>
      </c>
      <c r="AR62" s="51" t="e">
        <f>Ticker0001_Exchange_Sheet!BQ66-#REF!</f>
      </c>
      <c r="AS62" s="51" t="e">
        <f>Ticker0001_Exchange_Sheet!BR66-#REF!</f>
      </c>
      <c r="AT62" s="51" t="e">
        <f>Ticker0001_Exchange_Sheet!BS66-#REF!</f>
      </c>
      <c r="AU62" s="51" t="e">
        <f>Ticker0001_Exchange_Sheet!BT66-#REF!</f>
      </c>
      <c r="AV62" s="51" t="e">
        <f>Ticker0001_Exchange_Sheet!BU66-#REF!</f>
      </c>
      <c r="AW62" s="51" t="e">
        <f>Ticker0001_Exchange_Sheet!BV66-#REF!</f>
      </c>
      <c r="AX62" s="51" t="e">
        <f>Ticker0001_Exchange_Sheet!BW66-#REF!</f>
      </c>
      <c r="AY62" s="51" t="e">
        <f>Ticker0001_Exchange_Sheet!BX66-#REF!</f>
      </c>
      <c r="AZ62" s="51" t="e">
        <f>Ticker0001_Exchange_Sheet!BY66-#REF!</f>
      </c>
      <c r="BA62" s="51" t="e">
        <f>Ticker0001_Exchange_Sheet!BZ66-#REF!</f>
      </c>
      <c r="BB62" s="51" t="e">
        <f>Ticker0001_Exchange_Sheet!CA66-#REF!</f>
      </c>
      <c r="BC62" s="51" t="e">
        <f>Ticker0001_Exchange_Sheet!CB66-#REF!</f>
      </c>
      <c r="BD62" s="51" t="e">
        <f>Ticker0001_Exchange_Sheet!CC66-#REF!</f>
      </c>
      <c r="BE62" s="51" t="e">
        <f>Ticker0001_Exchange_Sheet!CD66-#REF!</f>
      </c>
      <c r="BF62" s="51" t="e">
        <f>Ticker0001_Exchange_Sheet!CE66-#REF!</f>
      </c>
      <c r="BG62" s="51" t="e">
        <f>Ticker0001_Exchange_Sheet!CF66-#REF!</f>
      </c>
      <c r="BH62" s="51" t="e">
        <f>Ticker0001_Exchange_Sheet!CG66-#REF!</f>
      </c>
      <c r="BI62" s="51" t="e">
        <f>Ticker0001_Exchange_Sheet!CH66-#REF!</f>
      </c>
      <c r="BJ62" s="51" t="e">
        <f>Ticker0001_Exchange_Sheet!CI66-#REF!</f>
      </c>
      <c r="BK62" s="51" t="e">
        <f>Ticker0001_Exchange_Sheet!CJ66-#REF!</f>
      </c>
      <c r="BL62" s="51" t="e">
        <f>Ticker0001_Exchange_Sheet!CK66-#REF!</f>
      </c>
      <c r="BM62" s="51" t="e">
        <f>Ticker0001_Exchange_Sheet!CL66-#REF!</f>
      </c>
      <c r="BN62" s="51" t="e">
        <f>Ticker0001_Exchange_Sheet!CM66-#REF!</f>
      </c>
      <c r="BO62" s="51" t="e">
        <f>Ticker0001_Exchange_Sheet!CN66-#REF!</f>
      </c>
      <c r="BP62" s="51" t="e">
        <f>Ticker0001_Exchange_Sheet!CO66-#REF!</f>
      </c>
      <c r="BQ62" s="51" t="e">
        <f>Ticker0001_Exchange_Sheet!CP66-#REF!</f>
      </c>
      <c r="BR62" s="51" t="e">
        <f>Ticker0001_Exchange_Sheet!CQ66-#REF!</f>
      </c>
      <c r="BS62" s="51" t="e">
        <f>Ticker0001_Exchange_Sheet!CR66-#REF!</f>
      </c>
      <c r="BT62" s="51" t="e">
        <f>Ticker0001_Exchange_Sheet!CS66-#REF!</f>
      </c>
      <c r="BU62" s="51" t="e">
        <f>Ticker0001_Exchange_Sheet!CT66-#REF!</f>
      </c>
      <c r="BV62" s="51" t="e">
        <f>Ticker0001_Exchange_Sheet!CU66-#REF!</f>
      </c>
      <c r="BW62" s="51" t="e">
        <f>Ticker0001_Exchange_Sheet!CV66-#REF!</f>
      </c>
      <c r="BX62" s="51" t="e">
        <f>Ticker0001_Exchange_Sheet!CW66-#REF!</f>
      </c>
      <c r="BY62" s="51" t="e">
        <f>Ticker0001_Exchange_Sheet!CX66-#REF!</f>
      </c>
      <c r="BZ62" s="51" t="e">
        <f>Ticker0001_Exchange_Sheet!CY66-#REF!</f>
      </c>
      <c r="CA62" s="51" t="e">
        <f>Ticker0001_Exchange_Sheet!CZ66-#REF!</f>
      </c>
      <c r="CB62" s="51" t="e">
        <f>Ticker0001_Exchange_Sheet!DA66-#REF!</f>
      </c>
      <c r="CC62" s="51" t="e">
        <f>Ticker0001_Exchange_Sheet!DB66-#REF!</f>
      </c>
      <c r="CD62" s="51" t="e">
        <f>Ticker0001_Exchange_Sheet!DC66-#REF!</f>
      </c>
      <c r="CE62" s="51" t="e">
        <f>Ticker0001_Exchange_Sheet!DD66-#REF!</f>
      </c>
      <c r="CF62" s="51" t="e">
        <f>Ticker0001_Exchange_Sheet!DE66-#REF!</f>
      </c>
    </row>
    <row r="63" spans="6:84">
      <c r="F63" s="51" t="e">
        <f>Ticker0001_Exchange_Sheet!F67-#REF!</f>
      </c>
      <c r="G63" s="51" t="e">
        <f>Ticker0001_Exchange_Sheet!G67-#REF!</f>
      </c>
      <c r="H63" s="51" t="e">
        <f>Ticker0001_Exchange_Sheet!H67-#REF!</f>
      </c>
      <c r="I63" s="51" t="e">
        <f>Ticker0001_Exchange_Sheet!I67-#REF!</f>
      </c>
      <c r="J63" s="51" t="e">
        <f>Ticker0001_Exchange_Sheet!J67-#REF!</f>
      </c>
      <c r="K63" s="51" t="e">
        <f>Ticker0001_Exchange_Sheet!K67-#REF!</f>
      </c>
      <c r="L63" s="51" t="e">
        <f>Ticker0001_Exchange_Sheet!L67-#REF!</f>
      </c>
      <c r="M63" s="51" t="e">
        <f>Ticker0001_Exchange_Sheet!M67-#REF!</f>
      </c>
      <c r="N63" s="51" t="e">
        <f>Ticker0001_Exchange_Sheet!N67-#REF!</f>
      </c>
      <c r="O63" s="51" t="e">
        <f>Ticker0001_Exchange_Sheet!O67-#REF!</f>
      </c>
      <c r="P63" s="51" t="e">
        <f>Ticker0001_Exchange_Sheet!P67-#REF!</f>
      </c>
      <c r="Q63" s="51" t="e">
        <f>Ticker0001_Exchange_Sheet!Q67-#REF!</f>
      </c>
      <c r="R63" s="51" t="e">
        <f>Ticker0001_Exchange_Sheet!R67-#REF!</f>
      </c>
      <c r="S63" s="51" t="e">
        <f>Ticker0001_Exchange_Sheet!S67-#REF!</f>
      </c>
      <c r="T63" s="51" t="e">
        <f>Ticker0001_Exchange_Sheet!T67-#REF!</f>
      </c>
      <c r="U63" s="51" t="e">
        <f>Ticker0001_Exchange_Sheet!U67-#REF!</f>
      </c>
      <c r="V63" s="51" t="e">
        <f>Ticker0001_Exchange_Sheet!V67-#REF!</f>
      </c>
      <c r="W63" s="51" t="e">
        <f>Ticker0001_Exchange_Sheet!W67-#REF!</f>
      </c>
      <c r="X63" s="51" t="e">
        <f>Ticker0001_Exchange_Sheet!AK67-#REF!</f>
      </c>
      <c r="Y63" s="51" t="e">
        <f>Ticker0001_Exchange_Sheet!AX67-#REF!</f>
      </c>
      <c r="Z63" s="51" t="e">
        <f>Ticker0001_Exchange_Sheet!AY67-#REF!</f>
      </c>
      <c r="AA63" s="51" t="e">
        <f>Ticker0001_Exchange_Sheet!AZ67-#REF!</f>
      </c>
      <c r="AB63" s="51" t="e">
        <f>Ticker0001_Exchange_Sheet!BA67-#REF!</f>
      </c>
      <c r="AC63" s="51" t="e">
        <f>Ticker0001_Exchange_Sheet!BB67-#REF!</f>
      </c>
      <c r="AD63" s="51" t="e">
        <f>Ticker0001_Exchange_Sheet!BC67-#REF!</f>
      </c>
      <c r="AE63" s="51" t="e">
        <f>Ticker0001_Exchange_Sheet!BD67-#REF!</f>
      </c>
      <c r="AF63" s="51" t="e">
        <f>Ticker0001_Exchange_Sheet!BE67-#REF!</f>
      </c>
      <c r="AG63" s="51" t="e">
        <f>Ticker0001_Exchange_Sheet!BF67-#REF!</f>
      </c>
      <c r="AH63" s="51" t="e">
        <f>Ticker0001_Exchange_Sheet!BG67-#REF!</f>
      </c>
      <c r="AI63" s="51" t="e">
        <f>Ticker0001_Exchange_Sheet!BH67-#REF!</f>
      </c>
      <c r="AJ63" s="51" t="e">
        <f>Ticker0001_Exchange_Sheet!BI67-#REF!</f>
      </c>
      <c r="AK63" s="51" t="e">
        <f>Ticker0001_Exchange_Sheet!BJ67-#REF!</f>
      </c>
      <c r="AL63" s="51" t="e">
        <f>Ticker0001_Exchange_Sheet!BK67-#REF!</f>
      </c>
      <c r="AM63" s="51" t="e">
        <f>Ticker0001_Exchange_Sheet!BL67-#REF!</f>
      </c>
      <c r="AN63" s="51" t="e">
        <f>Ticker0001_Exchange_Sheet!BM67-#REF!</f>
      </c>
      <c r="AO63" s="51" t="e">
        <f>Ticker0001_Exchange_Sheet!BN67-#REF!</f>
      </c>
      <c r="AP63" s="51" t="e">
        <f>Ticker0001_Exchange_Sheet!BO67-#REF!</f>
      </c>
      <c r="AQ63" s="51" t="e">
        <f>Ticker0001_Exchange_Sheet!BP67-#REF!</f>
      </c>
      <c r="AR63" s="51" t="e">
        <f>Ticker0001_Exchange_Sheet!BQ67-#REF!</f>
      </c>
      <c r="AS63" s="51" t="e">
        <f>Ticker0001_Exchange_Sheet!BR67-#REF!</f>
      </c>
      <c r="AT63" s="51" t="e">
        <f>Ticker0001_Exchange_Sheet!BS67-#REF!</f>
      </c>
      <c r="AU63" s="51" t="e">
        <f>Ticker0001_Exchange_Sheet!BT67-#REF!</f>
      </c>
      <c r="AV63" s="51" t="e">
        <f>Ticker0001_Exchange_Sheet!BU67-#REF!</f>
      </c>
      <c r="AW63" s="51" t="e">
        <f>Ticker0001_Exchange_Sheet!BV67-#REF!</f>
      </c>
      <c r="AX63" s="51" t="e">
        <f>Ticker0001_Exchange_Sheet!BW67-#REF!</f>
      </c>
      <c r="AY63" s="51" t="e">
        <f>Ticker0001_Exchange_Sheet!BX67-#REF!</f>
      </c>
      <c r="AZ63" s="51" t="e">
        <f>Ticker0001_Exchange_Sheet!BY67-#REF!</f>
      </c>
      <c r="BA63" s="51" t="e">
        <f>Ticker0001_Exchange_Sheet!BZ67-#REF!</f>
      </c>
      <c r="BB63" s="51" t="e">
        <f>Ticker0001_Exchange_Sheet!CA67-#REF!</f>
      </c>
      <c r="BC63" s="51" t="e">
        <f>Ticker0001_Exchange_Sheet!CB67-#REF!</f>
      </c>
      <c r="BD63" s="51" t="e">
        <f>Ticker0001_Exchange_Sheet!CC67-#REF!</f>
      </c>
      <c r="BE63" s="51" t="e">
        <f>Ticker0001_Exchange_Sheet!CD67-#REF!</f>
      </c>
      <c r="BF63" s="51" t="e">
        <f>Ticker0001_Exchange_Sheet!CE67-#REF!</f>
      </c>
      <c r="BG63" s="51" t="e">
        <f>Ticker0001_Exchange_Sheet!CF67-#REF!</f>
      </c>
      <c r="BH63" s="51" t="e">
        <f>Ticker0001_Exchange_Sheet!CG67-#REF!</f>
      </c>
      <c r="BI63" s="51" t="e">
        <f>Ticker0001_Exchange_Sheet!CH67-#REF!</f>
      </c>
      <c r="BJ63" s="51" t="e">
        <f>Ticker0001_Exchange_Sheet!CI67-#REF!</f>
      </c>
      <c r="BK63" s="51" t="e">
        <f>Ticker0001_Exchange_Sheet!CJ67-#REF!</f>
      </c>
      <c r="BL63" s="51" t="e">
        <f>Ticker0001_Exchange_Sheet!CK67-#REF!</f>
      </c>
      <c r="BM63" s="51" t="e">
        <f>Ticker0001_Exchange_Sheet!CL67-#REF!</f>
      </c>
      <c r="BN63" s="51" t="e">
        <f>Ticker0001_Exchange_Sheet!CM67-#REF!</f>
      </c>
      <c r="BO63" s="51" t="e">
        <f>Ticker0001_Exchange_Sheet!CN67-#REF!</f>
      </c>
      <c r="BP63" s="51" t="e">
        <f>Ticker0001_Exchange_Sheet!CO67-#REF!</f>
      </c>
      <c r="BQ63" s="51" t="e">
        <f>Ticker0001_Exchange_Sheet!CP67-#REF!</f>
      </c>
      <c r="BR63" s="51" t="e">
        <f>Ticker0001_Exchange_Sheet!CQ67-#REF!</f>
      </c>
      <c r="BS63" s="51" t="e">
        <f>Ticker0001_Exchange_Sheet!CR67-#REF!</f>
      </c>
      <c r="BT63" s="51" t="e">
        <f>Ticker0001_Exchange_Sheet!CS67-#REF!</f>
      </c>
      <c r="BU63" s="51" t="e">
        <f>Ticker0001_Exchange_Sheet!CT67-#REF!</f>
      </c>
      <c r="BV63" s="51" t="e">
        <f>Ticker0001_Exchange_Sheet!CU67-#REF!</f>
      </c>
      <c r="BW63" s="51" t="e">
        <f>Ticker0001_Exchange_Sheet!CV67-#REF!</f>
      </c>
      <c r="BX63" s="51" t="e">
        <f>Ticker0001_Exchange_Sheet!CW67-#REF!</f>
      </c>
      <c r="BY63" s="51" t="e">
        <f>Ticker0001_Exchange_Sheet!CX67-#REF!</f>
      </c>
      <c r="BZ63" s="51" t="e">
        <f>Ticker0001_Exchange_Sheet!CY67-#REF!</f>
      </c>
      <c r="CA63" s="51" t="e">
        <f>Ticker0001_Exchange_Sheet!CZ67-#REF!</f>
      </c>
      <c r="CB63" s="51" t="e">
        <f>Ticker0001_Exchange_Sheet!DA67-#REF!</f>
      </c>
      <c r="CC63" s="51" t="e">
        <f>Ticker0001_Exchange_Sheet!DB67-#REF!</f>
      </c>
      <c r="CD63" s="51" t="e">
        <f>Ticker0001_Exchange_Sheet!DC67-#REF!</f>
      </c>
      <c r="CE63" s="51" t="e">
        <f>Ticker0001_Exchange_Sheet!DD67-#REF!</f>
      </c>
      <c r="CF63" s="51" t="e">
        <f>Ticker0001_Exchange_Sheet!DE67-#REF!</f>
      </c>
    </row>
    <row r="64" spans="6:84">
      <c r="F64" s="51" t="e">
        <f>Ticker0001_Exchange_Sheet!F68-#REF!</f>
      </c>
      <c r="G64" s="51" t="e">
        <f>Ticker0001_Exchange_Sheet!G68-#REF!</f>
      </c>
      <c r="H64" s="51" t="e">
        <f>Ticker0001_Exchange_Sheet!H68-#REF!</f>
      </c>
      <c r="I64" s="51" t="e">
        <f>Ticker0001_Exchange_Sheet!I68-#REF!</f>
      </c>
      <c r="J64" s="51" t="e">
        <f>Ticker0001_Exchange_Sheet!J68-#REF!</f>
      </c>
      <c r="K64" s="51" t="e">
        <f>Ticker0001_Exchange_Sheet!K68-#REF!</f>
      </c>
      <c r="L64" s="51" t="e">
        <f>Ticker0001_Exchange_Sheet!L68-#REF!</f>
      </c>
      <c r="M64" s="51" t="e">
        <f>Ticker0001_Exchange_Sheet!M68-#REF!</f>
      </c>
      <c r="N64" s="51" t="e">
        <f>Ticker0001_Exchange_Sheet!N68-#REF!</f>
      </c>
      <c r="O64" s="51" t="e">
        <f>Ticker0001_Exchange_Sheet!O68-#REF!</f>
      </c>
      <c r="P64" s="51" t="e">
        <f>Ticker0001_Exchange_Sheet!P68-#REF!</f>
      </c>
      <c r="Q64" s="51" t="e">
        <f>Ticker0001_Exchange_Sheet!Q68-#REF!</f>
      </c>
      <c r="R64" s="51" t="e">
        <f>Ticker0001_Exchange_Sheet!R68-#REF!</f>
      </c>
      <c r="S64" s="51" t="e">
        <f>Ticker0001_Exchange_Sheet!S68-#REF!</f>
      </c>
      <c r="T64" s="51" t="e">
        <f>Ticker0001_Exchange_Sheet!T68-#REF!</f>
      </c>
      <c r="U64" s="51" t="e">
        <f>Ticker0001_Exchange_Sheet!U68-#REF!</f>
      </c>
      <c r="V64" s="51" t="e">
        <f>Ticker0001_Exchange_Sheet!V68-#REF!</f>
      </c>
      <c r="W64" s="51" t="e">
        <f>Ticker0001_Exchange_Sheet!W68-#REF!</f>
      </c>
      <c r="X64" s="51" t="e">
        <f>Ticker0001_Exchange_Sheet!AK68-#REF!</f>
      </c>
      <c r="Y64" s="51" t="e">
        <f>Ticker0001_Exchange_Sheet!AX68-#REF!</f>
      </c>
      <c r="Z64" s="51" t="e">
        <f>Ticker0001_Exchange_Sheet!AY68-#REF!</f>
      </c>
      <c r="AA64" s="51" t="e">
        <f>Ticker0001_Exchange_Sheet!AZ68-#REF!</f>
      </c>
      <c r="AB64" s="51" t="e">
        <f>Ticker0001_Exchange_Sheet!BA68-#REF!</f>
      </c>
      <c r="AC64" s="51" t="e">
        <f>Ticker0001_Exchange_Sheet!BB68-#REF!</f>
      </c>
      <c r="AD64" s="51" t="e">
        <f>Ticker0001_Exchange_Sheet!BC68-#REF!</f>
      </c>
      <c r="AE64" s="51" t="e">
        <f>Ticker0001_Exchange_Sheet!BD68-#REF!</f>
      </c>
      <c r="AF64" s="51" t="e">
        <f>Ticker0001_Exchange_Sheet!BE68-#REF!</f>
      </c>
      <c r="AG64" s="51" t="e">
        <f>Ticker0001_Exchange_Sheet!BF68-#REF!</f>
      </c>
      <c r="AH64" s="51" t="e">
        <f>Ticker0001_Exchange_Sheet!BG68-#REF!</f>
      </c>
      <c r="AI64" s="51" t="e">
        <f>Ticker0001_Exchange_Sheet!BH68-#REF!</f>
      </c>
      <c r="AJ64" s="51" t="e">
        <f>Ticker0001_Exchange_Sheet!BI68-#REF!</f>
      </c>
      <c r="AK64" s="51" t="e">
        <f>Ticker0001_Exchange_Sheet!BJ68-#REF!</f>
      </c>
      <c r="AL64" s="51" t="e">
        <f>Ticker0001_Exchange_Sheet!BK68-#REF!</f>
      </c>
      <c r="AM64" s="51" t="e">
        <f>Ticker0001_Exchange_Sheet!BL68-#REF!</f>
      </c>
      <c r="AN64" s="51" t="e">
        <f>Ticker0001_Exchange_Sheet!BM68-#REF!</f>
      </c>
      <c r="AO64" s="51" t="e">
        <f>Ticker0001_Exchange_Sheet!BN68-#REF!</f>
      </c>
      <c r="AP64" s="51" t="e">
        <f>Ticker0001_Exchange_Sheet!BO68-#REF!</f>
      </c>
      <c r="AQ64" s="51" t="e">
        <f>Ticker0001_Exchange_Sheet!BP68-#REF!</f>
      </c>
      <c r="AR64" s="51" t="e">
        <f>Ticker0001_Exchange_Sheet!BQ68-#REF!</f>
      </c>
      <c r="AS64" s="51" t="e">
        <f>Ticker0001_Exchange_Sheet!BR68-#REF!</f>
      </c>
      <c r="AT64" s="51" t="e">
        <f>Ticker0001_Exchange_Sheet!BS68-#REF!</f>
      </c>
      <c r="AU64" s="51" t="e">
        <f>Ticker0001_Exchange_Sheet!BT68-#REF!</f>
      </c>
      <c r="AV64" s="51" t="e">
        <f>Ticker0001_Exchange_Sheet!BU68-#REF!</f>
      </c>
      <c r="AW64" s="51" t="e">
        <f>Ticker0001_Exchange_Sheet!BV68-#REF!</f>
      </c>
      <c r="AX64" s="51" t="e">
        <f>Ticker0001_Exchange_Sheet!BW68-#REF!</f>
      </c>
      <c r="AY64" s="51" t="e">
        <f>Ticker0001_Exchange_Sheet!BX68-#REF!</f>
      </c>
      <c r="AZ64" s="51" t="e">
        <f>Ticker0001_Exchange_Sheet!BY68-#REF!</f>
      </c>
      <c r="BA64" s="51" t="e">
        <f>Ticker0001_Exchange_Sheet!BZ68-#REF!</f>
      </c>
      <c r="BB64" s="51" t="e">
        <f>Ticker0001_Exchange_Sheet!CA68-#REF!</f>
      </c>
      <c r="BC64" s="51" t="e">
        <f>Ticker0001_Exchange_Sheet!CB68-#REF!</f>
      </c>
      <c r="BD64" s="51" t="e">
        <f>Ticker0001_Exchange_Sheet!CC68-#REF!</f>
      </c>
      <c r="BE64" s="51" t="e">
        <f>Ticker0001_Exchange_Sheet!CD68-#REF!</f>
      </c>
      <c r="BF64" s="51" t="e">
        <f>Ticker0001_Exchange_Sheet!CE68-#REF!</f>
      </c>
      <c r="BG64" s="51" t="e">
        <f>Ticker0001_Exchange_Sheet!CF68-#REF!</f>
      </c>
      <c r="BH64" s="51" t="e">
        <f>Ticker0001_Exchange_Sheet!CG68-#REF!</f>
      </c>
      <c r="BI64" s="51" t="e">
        <f>Ticker0001_Exchange_Sheet!CH68-#REF!</f>
      </c>
      <c r="BJ64" s="51" t="e">
        <f>Ticker0001_Exchange_Sheet!CI68-#REF!</f>
      </c>
      <c r="BK64" s="51" t="e">
        <f>Ticker0001_Exchange_Sheet!CJ68-#REF!</f>
      </c>
      <c r="BL64" s="51" t="e">
        <f>Ticker0001_Exchange_Sheet!CK68-#REF!</f>
      </c>
      <c r="BM64" s="51" t="e">
        <f>Ticker0001_Exchange_Sheet!CL68-#REF!</f>
      </c>
      <c r="BN64" s="51" t="e">
        <f>Ticker0001_Exchange_Sheet!CM68-#REF!</f>
      </c>
      <c r="BO64" s="51" t="e">
        <f>Ticker0001_Exchange_Sheet!CN68-#REF!</f>
      </c>
      <c r="BP64" s="51" t="e">
        <f>Ticker0001_Exchange_Sheet!CO68-#REF!</f>
      </c>
      <c r="BQ64" s="51" t="e">
        <f>Ticker0001_Exchange_Sheet!CP68-#REF!</f>
      </c>
      <c r="BR64" s="51" t="e">
        <f>Ticker0001_Exchange_Sheet!CQ68-#REF!</f>
      </c>
      <c r="BS64" s="51" t="e">
        <f>Ticker0001_Exchange_Sheet!CR68-#REF!</f>
      </c>
      <c r="BT64" s="51" t="e">
        <f>Ticker0001_Exchange_Sheet!CS68-#REF!</f>
      </c>
      <c r="BU64" s="51" t="e">
        <f>Ticker0001_Exchange_Sheet!CT68-#REF!</f>
      </c>
      <c r="BV64" s="51" t="e">
        <f>Ticker0001_Exchange_Sheet!CU68-#REF!</f>
      </c>
      <c r="BW64" s="51" t="e">
        <f>Ticker0001_Exchange_Sheet!CV68-#REF!</f>
      </c>
      <c r="BX64" s="51" t="e">
        <f>Ticker0001_Exchange_Sheet!CW68-#REF!</f>
      </c>
      <c r="BY64" s="51" t="e">
        <f>Ticker0001_Exchange_Sheet!CX68-#REF!</f>
      </c>
      <c r="BZ64" s="51" t="e">
        <f>Ticker0001_Exchange_Sheet!CY68-#REF!</f>
      </c>
      <c r="CA64" s="51" t="e">
        <f>Ticker0001_Exchange_Sheet!CZ68-#REF!</f>
      </c>
      <c r="CB64" s="51" t="e">
        <f>Ticker0001_Exchange_Sheet!DA68-#REF!</f>
      </c>
      <c r="CC64" s="51" t="e">
        <f>Ticker0001_Exchange_Sheet!DB68-#REF!</f>
      </c>
      <c r="CD64" s="51" t="e">
        <f>Ticker0001_Exchange_Sheet!DC68-#REF!</f>
      </c>
      <c r="CE64" s="51" t="e">
        <f>Ticker0001_Exchange_Sheet!DD68-#REF!</f>
      </c>
      <c r="CF64" s="51" t="e">
        <f>Ticker0001_Exchange_Sheet!DE68-#REF!</f>
      </c>
    </row>
    <row r="65" spans="6:84">
      <c r="F65" s="51" t="e">
        <f>Ticker0001_Exchange_Sheet!F69-#REF!</f>
      </c>
      <c r="G65" s="51" t="e">
        <f>Ticker0001_Exchange_Sheet!G69-#REF!</f>
      </c>
      <c r="H65" s="51" t="e">
        <f>Ticker0001_Exchange_Sheet!H69-#REF!</f>
      </c>
      <c r="I65" s="51" t="e">
        <f>Ticker0001_Exchange_Sheet!I69-#REF!</f>
      </c>
      <c r="J65" s="51" t="e">
        <f>Ticker0001_Exchange_Sheet!J69-#REF!</f>
      </c>
      <c r="K65" s="51" t="e">
        <f>Ticker0001_Exchange_Sheet!K69-#REF!</f>
      </c>
      <c r="L65" s="51" t="e">
        <f>Ticker0001_Exchange_Sheet!L69-#REF!</f>
      </c>
      <c r="M65" s="51" t="e">
        <f>Ticker0001_Exchange_Sheet!M69-#REF!</f>
      </c>
      <c r="N65" s="51" t="e">
        <f>Ticker0001_Exchange_Sheet!N69-#REF!</f>
      </c>
      <c r="O65" s="51" t="e">
        <f>Ticker0001_Exchange_Sheet!O69-#REF!</f>
      </c>
      <c r="P65" s="51" t="e">
        <f>Ticker0001_Exchange_Sheet!P69-#REF!</f>
      </c>
      <c r="Q65" s="51" t="e">
        <f>Ticker0001_Exchange_Sheet!Q69-#REF!</f>
      </c>
      <c r="R65" s="51" t="e">
        <f>Ticker0001_Exchange_Sheet!R69-#REF!</f>
      </c>
      <c r="S65" s="51" t="e">
        <f>Ticker0001_Exchange_Sheet!S69-#REF!</f>
      </c>
      <c r="T65" s="51" t="e">
        <f>Ticker0001_Exchange_Sheet!T69-#REF!</f>
      </c>
      <c r="U65" s="51" t="e">
        <f>Ticker0001_Exchange_Sheet!U69-#REF!</f>
      </c>
      <c r="V65" s="51" t="e">
        <f>Ticker0001_Exchange_Sheet!V69-#REF!</f>
      </c>
      <c r="W65" s="51" t="e">
        <f>Ticker0001_Exchange_Sheet!W69-#REF!</f>
      </c>
      <c r="X65" s="51" t="e">
        <f>Ticker0001_Exchange_Sheet!AK69-#REF!</f>
      </c>
      <c r="Y65" s="51" t="e">
        <f>Ticker0001_Exchange_Sheet!AX69-#REF!</f>
      </c>
      <c r="Z65" s="51" t="e">
        <f>Ticker0001_Exchange_Sheet!AY69-#REF!</f>
      </c>
      <c r="AA65" s="51" t="e">
        <f>Ticker0001_Exchange_Sheet!AZ69-#REF!</f>
      </c>
      <c r="AB65" s="51" t="e">
        <f>Ticker0001_Exchange_Sheet!BA69-#REF!</f>
      </c>
      <c r="AC65" s="51" t="e">
        <f>Ticker0001_Exchange_Sheet!BB69-#REF!</f>
      </c>
      <c r="AD65" s="51" t="e">
        <f>Ticker0001_Exchange_Sheet!BC69-#REF!</f>
      </c>
      <c r="AE65" s="51" t="e">
        <f>Ticker0001_Exchange_Sheet!BD69-#REF!</f>
      </c>
      <c r="AF65" s="51" t="e">
        <f>Ticker0001_Exchange_Sheet!BE69-#REF!</f>
      </c>
      <c r="AG65" s="51" t="e">
        <f>Ticker0001_Exchange_Sheet!BF69-#REF!</f>
      </c>
      <c r="AH65" s="51" t="e">
        <f>Ticker0001_Exchange_Sheet!BG69-#REF!</f>
      </c>
      <c r="AI65" s="51" t="e">
        <f>Ticker0001_Exchange_Sheet!BH69-#REF!</f>
      </c>
      <c r="AJ65" s="51" t="e">
        <f>Ticker0001_Exchange_Sheet!BI69-#REF!</f>
      </c>
      <c r="AK65" s="51" t="e">
        <f>Ticker0001_Exchange_Sheet!BJ69-#REF!</f>
      </c>
      <c r="AL65" s="51" t="e">
        <f>Ticker0001_Exchange_Sheet!BK69-#REF!</f>
      </c>
      <c r="AM65" s="51" t="e">
        <f>Ticker0001_Exchange_Sheet!BL69-#REF!</f>
      </c>
      <c r="AN65" s="51" t="e">
        <f>Ticker0001_Exchange_Sheet!BM69-#REF!</f>
      </c>
      <c r="AO65" s="51" t="e">
        <f>Ticker0001_Exchange_Sheet!BN69-#REF!</f>
      </c>
      <c r="AP65" s="51" t="e">
        <f>Ticker0001_Exchange_Sheet!BO69-#REF!</f>
      </c>
      <c r="AQ65" s="51" t="e">
        <f>Ticker0001_Exchange_Sheet!BP69-#REF!</f>
      </c>
      <c r="AR65" s="51" t="e">
        <f>Ticker0001_Exchange_Sheet!BQ69-#REF!</f>
      </c>
      <c r="AS65" s="51" t="e">
        <f>Ticker0001_Exchange_Sheet!BR69-#REF!</f>
      </c>
      <c r="AT65" s="51" t="e">
        <f>Ticker0001_Exchange_Sheet!BS69-#REF!</f>
      </c>
      <c r="AU65" s="51" t="e">
        <f>Ticker0001_Exchange_Sheet!BT69-#REF!</f>
      </c>
      <c r="AV65" s="51" t="e">
        <f>Ticker0001_Exchange_Sheet!BU69-#REF!</f>
      </c>
      <c r="AW65" s="51" t="e">
        <f>Ticker0001_Exchange_Sheet!BV69-#REF!</f>
      </c>
      <c r="AX65" s="51" t="e">
        <f>Ticker0001_Exchange_Sheet!BW69-#REF!</f>
      </c>
      <c r="AY65" s="51" t="e">
        <f>Ticker0001_Exchange_Sheet!BX69-#REF!</f>
      </c>
      <c r="AZ65" s="51" t="e">
        <f>Ticker0001_Exchange_Sheet!BY69-#REF!</f>
      </c>
      <c r="BA65" s="51" t="e">
        <f>Ticker0001_Exchange_Sheet!BZ69-#REF!</f>
      </c>
      <c r="BB65" s="51" t="e">
        <f>Ticker0001_Exchange_Sheet!CA69-#REF!</f>
      </c>
      <c r="BC65" s="51" t="e">
        <f>Ticker0001_Exchange_Sheet!CB69-#REF!</f>
      </c>
      <c r="BD65" s="51" t="e">
        <f>Ticker0001_Exchange_Sheet!CC69-#REF!</f>
      </c>
      <c r="BE65" s="51" t="e">
        <f>Ticker0001_Exchange_Sheet!CD69-#REF!</f>
      </c>
      <c r="BF65" s="51" t="e">
        <f>Ticker0001_Exchange_Sheet!CE69-#REF!</f>
      </c>
      <c r="BG65" s="51" t="e">
        <f>Ticker0001_Exchange_Sheet!CF69-#REF!</f>
      </c>
      <c r="BH65" s="51" t="e">
        <f>Ticker0001_Exchange_Sheet!CG69-#REF!</f>
      </c>
      <c r="BI65" s="51" t="e">
        <f>Ticker0001_Exchange_Sheet!CH69-#REF!</f>
      </c>
      <c r="BJ65" s="51" t="e">
        <f>Ticker0001_Exchange_Sheet!CI69-#REF!</f>
      </c>
      <c r="BK65" s="51" t="e">
        <f>Ticker0001_Exchange_Sheet!CJ69-#REF!</f>
      </c>
      <c r="BL65" s="51" t="e">
        <f>Ticker0001_Exchange_Sheet!CK69-#REF!</f>
      </c>
      <c r="BM65" s="51" t="e">
        <f>Ticker0001_Exchange_Sheet!CL69-#REF!</f>
      </c>
      <c r="BN65" s="51" t="e">
        <f>Ticker0001_Exchange_Sheet!CM69-#REF!</f>
      </c>
      <c r="BO65" s="51" t="e">
        <f>Ticker0001_Exchange_Sheet!CN69-#REF!</f>
      </c>
      <c r="BP65" s="51" t="e">
        <f>Ticker0001_Exchange_Sheet!CO69-#REF!</f>
      </c>
      <c r="BQ65" s="51" t="e">
        <f>Ticker0001_Exchange_Sheet!CP69-#REF!</f>
      </c>
      <c r="BR65" s="51" t="e">
        <f>Ticker0001_Exchange_Sheet!CQ69-#REF!</f>
      </c>
      <c r="BS65" s="51" t="e">
        <f>Ticker0001_Exchange_Sheet!CR69-#REF!</f>
      </c>
      <c r="BT65" s="51" t="e">
        <f>Ticker0001_Exchange_Sheet!CS69-#REF!</f>
      </c>
      <c r="BU65" s="51" t="e">
        <f>Ticker0001_Exchange_Sheet!CT69-#REF!</f>
      </c>
      <c r="BV65" s="51" t="e">
        <f>Ticker0001_Exchange_Sheet!CU69-#REF!</f>
      </c>
      <c r="BW65" s="51" t="e">
        <f>Ticker0001_Exchange_Sheet!CV69-#REF!</f>
      </c>
      <c r="BX65" s="51" t="e">
        <f>Ticker0001_Exchange_Sheet!CW69-#REF!</f>
      </c>
      <c r="BY65" s="51" t="e">
        <f>Ticker0001_Exchange_Sheet!CX69-#REF!</f>
      </c>
      <c r="BZ65" s="51" t="e">
        <f>Ticker0001_Exchange_Sheet!CY69-#REF!</f>
      </c>
      <c r="CA65" s="51" t="e">
        <f>Ticker0001_Exchange_Sheet!CZ69-#REF!</f>
      </c>
      <c r="CB65" s="51" t="e">
        <f>Ticker0001_Exchange_Sheet!DA69-#REF!</f>
      </c>
      <c r="CC65" s="51" t="e">
        <f>Ticker0001_Exchange_Sheet!DB69-#REF!</f>
      </c>
      <c r="CD65" s="51" t="e">
        <f>Ticker0001_Exchange_Sheet!DC69-#REF!</f>
      </c>
      <c r="CE65" s="51" t="e">
        <f>Ticker0001_Exchange_Sheet!DD69-#REF!</f>
      </c>
      <c r="CF65" s="51" t="e">
        <f>Ticker0001_Exchange_Sheet!DE69-#REF!</f>
      </c>
    </row>
    <row r="66" spans="6:84">
      <c r="F66" s="51" t="e">
        <f>Ticker0001_Exchange_Sheet!F70-#REF!</f>
      </c>
      <c r="G66" s="51" t="e">
        <f>Ticker0001_Exchange_Sheet!G70-#REF!</f>
      </c>
      <c r="H66" s="51" t="e">
        <f>Ticker0001_Exchange_Sheet!H70-#REF!</f>
      </c>
      <c r="I66" s="51" t="e">
        <f>Ticker0001_Exchange_Sheet!I70-#REF!</f>
      </c>
      <c r="J66" s="51" t="e">
        <f>Ticker0001_Exchange_Sheet!J70-#REF!</f>
      </c>
      <c r="K66" s="51" t="e">
        <f>Ticker0001_Exchange_Sheet!K70-#REF!</f>
      </c>
      <c r="L66" s="51" t="e">
        <f>Ticker0001_Exchange_Sheet!L70-#REF!</f>
      </c>
      <c r="M66" s="51" t="e">
        <f>Ticker0001_Exchange_Sheet!M70-#REF!</f>
      </c>
      <c r="N66" s="51" t="e">
        <f>Ticker0001_Exchange_Sheet!N70-#REF!</f>
      </c>
      <c r="O66" s="51" t="e">
        <f>Ticker0001_Exchange_Sheet!O70-#REF!</f>
      </c>
      <c r="P66" s="51" t="e">
        <f>Ticker0001_Exchange_Sheet!P70-#REF!</f>
      </c>
      <c r="Q66" s="51" t="e">
        <f>Ticker0001_Exchange_Sheet!Q70-#REF!</f>
      </c>
      <c r="R66" s="51" t="e">
        <f>Ticker0001_Exchange_Sheet!R70-#REF!</f>
      </c>
      <c r="S66" s="51" t="e">
        <f>Ticker0001_Exchange_Sheet!S70-#REF!</f>
      </c>
      <c r="T66" s="51" t="e">
        <f>Ticker0001_Exchange_Sheet!T70-#REF!</f>
      </c>
      <c r="U66" s="51" t="e">
        <f>Ticker0001_Exchange_Sheet!U70-#REF!</f>
      </c>
      <c r="V66" s="51" t="e">
        <f>Ticker0001_Exchange_Sheet!V70-#REF!</f>
      </c>
      <c r="W66" s="51" t="e">
        <f>Ticker0001_Exchange_Sheet!W70-#REF!</f>
      </c>
      <c r="X66" s="51" t="e">
        <f>Ticker0001_Exchange_Sheet!AK70-#REF!</f>
      </c>
      <c r="Y66" s="51" t="e">
        <f>Ticker0001_Exchange_Sheet!AX70-#REF!</f>
      </c>
      <c r="Z66" s="51" t="e">
        <f>Ticker0001_Exchange_Sheet!AY70-#REF!</f>
      </c>
      <c r="AA66" s="51" t="e">
        <f>Ticker0001_Exchange_Sheet!AZ70-#REF!</f>
      </c>
      <c r="AB66" s="51" t="e">
        <f>Ticker0001_Exchange_Sheet!BA70-#REF!</f>
      </c>
      <c r="AC66" s="51" t="e">
        <f>Ticker0001_Exchange_Sheet!BB70-#REF!</f>
      </c>
      <c r="AD66" s="51" t="e">
        <f>Ticker0001_Exchange_Sheet!BC70-#REF!</f>
      </c>
      <c r="AE66" s="51" t="e">
        <f>Ticker0001_Exchange_Sheet!BD70-#REF!</f>
      </c>
      <c r="AF66" s="51" t="e">
        <f>Ticker0001_Exchange_Sheet!BE70-#REF!</f>
      </c>
      <c r="AG66" s="51" t="e">
        <f>Ticker0001_Exchange_Sheet!BF70-#REF!</f>
      </c>
      <c r="AH66" s="51" t="e">
        <f>Ticker0001_Exchange_Sheet!BG70-#REF!</f>
      </c>
      <c r="AI66" s="51" t="e">
        <f>Ticker0001_Exchange_Sheet!BH70-#REF!</f>
      </c>
      <c r="AJ66" s="51" t="e">
        <f>Ticker0001_Exchange_Sheet!BI70-#REF!</f>
      </c>
      <c r="AK66" s="51" t="e">
        <f>Ticker0001_Exchange_Sheet!BJ70-#REF!</f>
      </c>
      <c r="AL66" s="51" t="e">
        <f>Ticker0001_Exchange_Sheet!BK70-#REF!</f>
      </c>
      <c r="AM66" s="51" t="e">
        <f>Ticker0001_Exchange_Sheet!BL70-#REF!</f>
      </c>
      <c r="AN66" s="51" t="e">
        <f>Ticker0001_Exchange_Sheet!BM70-#REF!</f>
      </c>
      <c r="AO66" s="51" t="e">
        <f>Ticker0001_Exchange_Sheet!BN70-#REF!</f>
      </c>
      <c r="AP66" s="51" t="e">
        <f>Ticker0001_Exchange_Sheet!BO70-#REF!</f>
      </c>
      <c r="AQ66" s="51" t="e">
        <f>Ticker0001_Exchange_Sheet!BP70-#REF!</f>
      </c>
      <c r="AR66" s="51" t="e">
        <f>Ticker0001_Exchange_Sheet!BQ70-#REF!</f>
      </c>
      <c r="AS66" s="51" t="e">
        <f>Ticker0001_Exchange_Sheet!BR70-#REF!</f>
      </c>
      <c r="AT66" s="51" t="e">
        <f>Ticker0001_Exchange_Sheet!BS70-#REF!</f>
      </c>
      <c r="AU66" s="51" t="e">
        <f>Ticker0001_Exchange_Sheet!BT70-#REF!</f>
      </c>
      <c r="AV66" s="51" t="e">
        <f>Ticker0001_Exchange_Sheet!BU70-#REF!</f>
      </c>
      <c r="AW66" s="51" t="e">
        <f>Ticker0001_Exchange_Sheet!BV70-#REF!</f>
      </c>
      <c r="AX66" s="51" t="e">
        <f>Ticker0001_Exchange_Sheet!BW70-#REF!</f>
      </c>
      <c r="AY66" s="51" t="e">
        <f>Ticker0001_Exchange_Sheet!BX70-#REF!</f>
      </c>
      <c r="AZ66" s="51" t="e">
        <f>Ticker0001_Exchange_Sheet!BY70-#REF!</f>
      </c>
      <c r="BA66" s="51" t="e">
        <f>Ticker0001_Exchange_Sheet!BZ70-#REF!</f>
      </c>
      <c r="BB66" s="51" t="e">
        <f>Ticker0001_Exchange_Sheet!CA70-#REF!</f>
      </c>
      <c r="BC66" s="51" t="e">
        <f>Ticker0001_Exchange_Sheet!CB70-#REF!</f>
      </c>
      <c r="BD66" s="51" t="e">
        <f>Ticker0001_Exchange_Sheet!CC70-#REF!</f>
      </c>
      <c r="BE66" s="51" t="e">
        <f>Ticker0001_Exchange_Sheet!CD70-#REF!</f>
      </c>
      <c r="BF66" s="51" t="e">
        <f>Ticker0001_Exchange_Sheet!CE70-#REF!</f>
      </c>
      <c r="BG66" s="51" t="e">
        <f>Ticker0001_Exchange_Sheet!CF70-#REF!</f>
      </c>
      <c r="BH66" s="51" t="e">
        <f>Ticker0001_Exchange_Sheet!CG70-#REF!</f>
      </c>
      <c r="BI66" s="51" t="e">
        <f>Ticker0001_Exchange_Sheet!CH70-#REF!</f>
      </c>
      <c r="BJ66" s="51" t="e">
        <f>Ticker0001_Exchange_Sheet!CI70-#REF!</f>
      </c>
      <c r="BK66" s="51" t="e">
        <f>Ticker0001_Exchange_Sheet!CJ70-#REF!</f>
      </c>
      <c r="BL66" s="51" t="e">
        <f>Ticker0001_Exchange_Sheet!CK70-#REF!</f>
      </c>
      <c r="BM66" s="51" t="e">
        <f>Ticker0001_Exchange_Sheet!CL70-#REF!</f>
      </c>
      <c r="BN66" s="51" t="e">
        <f>Ticker0001_Exchange_Sheet!CM70-#REF!</f>
      </c>
      <c r="BO66" s="51" t="e">
        <f>Ticker0001_Exchange_Sheet!CN70-#REF!</f>
      </c>
      <c r="BP66" s="51" t="e">
        <f>Ticker0001_Exchange_Sheet!CO70-#REF!</f>
      </c>
      <c r="BQ66" s="51" t="e">
        <f>Ticker0001_Exchange_Sheet!CP70-#REF!</f>
      </c>
      <c r="BR66" s="51" t="e">
        <f>Ticker0001_Exchange_Sheet!CQ70-#REF!</f>
      </c>
      <c r="BS66" s="51" t="e">
        <f>Ticker0001_Exchange_Sheet!CR70-#REF!</f>
      </c>
      <c r="BT66" s="51" t="e">
        <f>Ticker0001_Exchange_Sheet!CS70-#REF!</f>
      </c>
      <c r="BU66" s="51" t="e">
        <f>Ticker0001_Exchange_Sheet!CT70-#REF!</f>
      </c>
      <c r="BV66" s="51" t="e">
        <f>Ticker0001_Exchange_Sheet!CU70-#REF!</f>
      </c>
      <c r="BW66" s="51" t="e">
        <f>Ticker0001_Exchange_Sheet!CV70-#REF!</f>
      </c>
      <c r="BX66" s="51" t="e">
        <f>Ticker0001_Exchange_Sheet!CW70-#REF!</f>
      </c>
      <c r="BY66" s="51" t="e">
        <f>Ticker0001_Exchange_Sheet!CX70-#REF!</f>
      </c>
      <c r="BZ66" s="51" t="e">
        <f>Ticker0001_Exchange_Sheet!CY70-#REF!</f>
      </c>
      <c r="CA66" s="51" t="e">
        <f>Ticker0001_Exchange_Sheet!CZ70-#REF!</f>
      </c>
      <c r="CB66" s="51" t="e">
        <f>Ticker0001_Exchange_Sheet!DA70-#REF!</f>
      </c>
      <c r="CC66" s="51" t="e">
        <f>Ticker0001_Exchange_Sheet!DB70-#REF!</f>
      </c>
      <c r="CD66" s="51" t="e">
        <f>Ticker0001_Exchange_Sheet!DC70-#REF!</f>
      </c>
      <c r="CE66" s="51" t="e">
        <f>Ticker0001_Exchange_Sheet!DD70-#REF!</f>
      </c>
      <c r="CF66" s="51" t="e">
        <f>Ticker0001_Exchange_Sheet!DE70-#REF!</f>
      </c>
    </row>
    <row r="67" spans="6:84">
      <c r="F67" s="51" t="e">
        <f>Ticker0001_Exchange_Sheet!F71-#REF!</f>
      </c>
      <c r="G67" s="51" t="e">
        <f>Ticker0001_Exchange_Sheet!G71-#REF!</f>
      </c>
      <c r="H67" s="51" t="e">
        <f>Ticker0001_Exchange_Sheet!H71-#REF!</f>
      </c>
      <c r="I67" s="51" t="e">
        <f>Ticker0001_Exchange_Sheet!I71-#REF!</f>
      </c>
      <c r="J67" s="51" t="e">
        <f>Ticker0001_Exchange_Sheet!J71-#REF!</f>
      </c>
      <c r="K67" s="51" t="e">
        <f>Ticker0001_Exchange_Sheet!K71-#REF!</f>
      </c>
      <c r="L67" s="51" t="e">
        <f>Ticker0001_Exchange_Sheet!L71-#REF!</f>
      </c>
      <c r="M67" s="51" t="e">
        <f>Ticker0001_Exchange_Sheet!M71-#REF!</f>
      </c>
      <c r="N67" s="51" t="e">
        <f>Ticker0001_Exchange_Sheet!N71-#REF!</f>
      </c>
      <c r="O67" s="51" t="e">
        <f>Ticker0001_Exchange_Sheet!O71-#REF!</f>
      </c>
      <c r="P67" s="51" t="e">
        <f>Ticker0001_Exchange_Sheet!P71-#REF!</f>
      </c>
      <c r="Q67" s="51" t="e">
        <f>Ticker0001_Exchange_Sheet!Q71-#REF!</f>
      </c>
      <c r="R67" s="51" t="e">
        <f>Ticker0001_Exchange_Sheet!R71-#REF!</f>
      </c>
      <c r="S67" s="51" t="e">
        <f>Ticker0001_Exchange_Sheet!S71-#REF!</f>
      </c>
      <c r="T67" s="51" t="e">
        <f>Ticker0001_Exchange_Sheet!T71-#REF!</f>
      </c>
      <c r="U67" s="51" t="e">
        <f>Ticker0001_Exchange_Sheet!U71-#REF!</f>
      </c>
      <c r="V67" s="51" t="e">
        <f>Ticker0001_Exchange_Sheet!V71-#REF!</f>
      </c>
      <c r="W67" s="51" t="e">
        <f>Ticker0001_Exchange_Sheet!W71-#REF!</f>
      </c>
      <c r="X67" s="51" t="e">
        <f>Ticker0001_Exchange_Sheet!AK71-#REF!</f>
      </c>
      <c r="Y67" s="51" t="e">
        <f>Ticker0001_Exchange_Sheet!AX71-#REF!</f>
      </c>
      <c r="Z67" s="51" t="e">
        <f>Ticker0001_Exchange_Sheet!AY71-#REF!</f>
      </c>
      <c r="AA67" s="51" t="e">
        <f>Ticker0001_Exchange_Sheet!AZ71-#REF!</f>
      </c>
      <c r="AB67" s="51" t="e">
        <f>Ticker0001_Exchange_Sheet!BA71-#REF!</f>
      </c>
      <c r="AC67" s="51" t="e">
        <f>Ticker0001_Exchange_Sheet!BB71-#REF!</f>
      </c>
      <c r="AD67" s="51" t="e">
        <f>Ticker0001_Exchange_Sheet!BC71-#REF!</f>
      </c>
      <c r="AE67" s="51" t="e">
        <f>Ticker0001_Exchange_Sheet!BD71-#REF!</f>
      </c>
      <c r="AF67" s="51" t="e">
        <f>Ticker0001_Exchange_Sheet!BE71-#REF!</f>
      </c>
      <c r="AG67" s="51" t="e">
        <f>Ticker0001_Exchange_Sheet!BF71-#REF!</f>
      </c>
      <c r="AH67" s="51" t="e">
        <f>Ticker0001_Exchange_Sheet!BG71-#REF!</f>
      </c>
      <c r="AI67" s="51" t="e">
        <f>Ticker0001_Exchange_Sheet!BH71-#REF!</f>
      </c>
      <c r="AJ67" s="51" t="e">
        <f>Ticker0001_Exchange_Sheet!BI71-#REF!</f>
      </c>
      <c r="AK67" s="51" t="e">
        <f>Ticker0001_Exchange_Sheet!BJ71-#REF!</f>
      </c>
      <c r="AL67" s="51" t="e">
        <f>Ticker0001_Exchange_Sheet!BK71-#REF!</f>
      </c>
      <c r="AM67" s="51" t="e">
        <f>Ticker0001_Exchange_Sheet!BL71-#REF!</f>
      </c>
      <c r="AN67" s="51" t="e">
        <f>Ticker0001_Exchange_Sheet!BM71-#REF!</f>
      </c>
      <c r="AO67" s="51" t="e">
        <f>Ticker0001_Exchange_Sheet!BN71-#REF!</f>
      </c>
      <c r="AP67" s="51" t="e">
        <f>Ticker0001_Exchange_Sheet!BO71-#REF!</f>
      </c>
      <c r="AQ67" s="51" t="e">
        <f>Ticker0001_Exchange_Sheet!BP71-#REF!</f>
      </c>
      <c r="AR67" s="51" t="e">
        <f>Ticker0001_Exchange_Sheet!BQ71-#REF!</f>
      </c>
      <c r="AS67" s="51" t="e">
        <f>Ticker0001_Exchange_Sheet!BR71-#REF!</f>
      </c>
      <c r="AT67" s="51" t="e">
        <f>Ticker0001_Exchange_Sheet!BS71-#REF!</f>
      </c>
      <c r="AU67" s="51" t="e">
        <f>Ticker0001_Exchange_Sheet!BT71-#REF!</f>
      </c>
      <c r="AV67" s="51" t="e">
        <f>Ticker0001_Exchange_Sheet!BU71-#REF!</f>
      </c>
      <c r="AW67" s="51" t="e">
        <f>Ticker0001_Exchange_Sheet!BV71-#REF!</f>
      </c>
      <c r="AX67" s="51" t="e">
        <f>Ticker0001_Exchange_Sheet!BW71-#REF!</f>
      </c>
      <c r="AY67" s="51" t="e">
        <f>Ticker0001_Exchange_Sheet!BX71-#REF!</f>
      </c>
      <c r="AZ67" s="51" t="e">
        <f>Ticker0001_Exchange_Sheet!BY71-#REF!</f>
      </c>
      <c r="BA67" s="51" t="e">
        <f>Ticker0001_Exchange_Sheet!BZ71-#REF!</f>
      </c>
      <c r="BB67" s="51" t="e">
        <f>Ticker0001_Exchange_Sheet!CA71-#REF!</f>
      </c>
      <c r="BC67" s="51" t="e">
        <f>Ticker0001_Exchange_Sheet!CB71-#REF!</f>
      </c>
      <c r="BD67" s="51" t="e">
        <f>Ticker0001_Exchange_Sheet!CC71-#REF!</f>
      </c>
      <c r="BE67" s="51" t="e">
        <f>Ticker0001_Exchange_Sheet!CD71-#REF!</f>
      </c>
      <c r="BF67" s="51" t="e">
        <f>Ticker0001_Exchange_Sheet!CE71-#REF!</f>
      </c>
      <c r="BG67" s="51" t="e">
        <f>Ticker0001_Exchange_Sheet!CF71-#REF!</f>
      </c>
      <c r="BH67" s="51" t="e">
        <f>Ticker0001_Exchange_Sheet!CG71-#REF!</f>
      </c>
      <c r="BI67" s="51" t="e">
        <f>Ticker0001_Exchange_Sheet!CH71-#REF!</f>
      </c>
      <c r="BJ67" s="51" t="e">
        <f>Ticker0001_Exchange_Sheet!CI71-#REF!</f>
      </c>
      <c r="BK67" s="51" t="e">
        <f>Ticker0001_Exchange_Sheet!CJ71-#REF!</f>
      </c>
      <c r="BL67" s="51" t="e">
        <f>Ticker0001_Exchange_Sheet!CK71-#REF!</f>
      </c>
      <c r="BM67" s="51" t="e">
        <f>Ticker0001_Exchange_Sheet!CL71-#REF!</f>
      </c>
      <c r="BN67" s="51" t="e">
        <f>Ticker0001_Exchange_Sheet!CM71-#REF!</f>
      </c>
      <c r="BO67" s="51" t="e">
        <f>Ticker0001_Exchange_Sheet!CN71-#REF!</f>
      </c>
      <c r="BP67" s="51" t="e">
        <f>Ticker0001_Exchange_Sheet!CO71-#REF!</f>
      </c>
      <c r="BQ67" s="51" t="e">
        <f>Ticker0001_Exchange_Sheet!CP71-#REF!</f>
      </c>
      <c r="BR67" s="51" t="e">
        <f>Ticker0001_Exchange_Sheet!CQ71-#REF!</f>
      </c>
      <c r="BS67" s="51" t="e">
        <f>Ticker0001_Exchange_Sheet!CR71-#REF!</f>
      </c>
      <c r="BT67" s="51" t="e">
        <f>Ticker0001_Exchange_Sheet!CS71-#REF!</f>
      </c>
      <c r="BU67" s="51" t="e">
        <f>Ticker0001_Exchange_Sheet!CT71-#REF!</f>
      </c>
      <c r="BV67" s="51" t="e">
        <f>Ticker0001_Exchange_Sheet!CU71-#REF!</f>
      </c>
      <c r="BW67" s="51" t="e">
        <f>Ticker0001_Exchange_Sheet!CV71-#REF!</f>
      </c>
      <c r="BX67" s="51" t="e">
        <f>Ticker0001_Exchange_Sheet!CW71-#REF!</f>
      </c>
      <c r="BY67" s="51" t="e">
        <f>Ticker0001_Exchange_Sheet!CX71-#REF!</f>
      </c>
      <c r="BZ67" s="51" t="e">
        <f>Ticker0001_Exchange_Sheet!CY71-#REF!</f>
      </c>
      <c r="CA67" s="51" t="e">
        <f>Ticker0001_Exchange_Sheet!CZ71-#REF!</f>
      </c>
      <c r="CB67" s="51" t="e">
        <f>Ticker0001_Exchange_Sheet!DA71-#REF!</f>
      </c>
      <c r="CC67" s="51" t="e">
        <f>Ticker0001_Exchange_Sheet!DB71-#REF!</f>
      </c>
      <c r="CD67" s="51" t="e">
        <f>Ticker0001_Exchange_Sheet!DC71-#REF!</f>
      </c>
      <c r="CE67" s="51" t="e">
        <f>Ticker0001_Exchange_Sheet!DD71-#REF!</f>
      </c>
      <c r="CF67" s="51" t="e">
        <f>Ticker0001_Exchange_Sheet!DE71-#REF!</f>
      </c>
    </row>
    <row r="68" spans="6:84">
      <c r="F68" s="51" t="e">
        <f>Ticker0001_Exchange_Sheet!F76-#REF!</f>
      </c>
      <c r="G68" s="51" t="e">
        <f>Ticker0001_Exchange_Sheet!G76-#REF!</f>
      </c>
      <c r="H68" s="51" t="e">
        <f>Ticker0001_Exchange_Sheet!H76-#REF!</f>
      </c>
      <c r="I68" s="51" t="e">
        <f>Ticker0001_Exchange_Sheet!I76-#REF!</f>
      </c>
      <c r="J68" s="51" t="e">
        <f>Ticker0001_Exchange_Sheet!J76-#REF!</f>
      </c>
      <c r="K68" s="51" t="e">
        <f>Ticker0001_Exchange_Sheet!K76-#REF!</f>
      </c>
      <c r="L68" s="51" t="e">
        <f>Ticker0001_Exchange_Sheet!L76-#REF!</f>
      </c>
      <c r="M68" s="51" t="e">
        <f>Ticker0001_Exchange_Sheet!M76-#REF!</f>
      </c>
      <c r="N68" s="51" t="e">
        <f>Ticker0001_Exchange_Sheet!N76-#REF!</f>
      </c>
      <c r="O68" s="51" t="e">
        <f>Ticker0001_Exchange_Sheet!O76-#REF!</f>
      </c>
      <c r="P68" s="51" t="e">
        <f>Ticker0001_Exchange_Sheet!P76-#REF!</f>
      </c>
      <c r="Q68" s="51" t="e">
        <f>Ticker0001_Exchange_Sheet!Q76-#REF!</f>
      </c>
      <c r="R68" s="51" t="e">
        <f>Ticker0001_Exchange_Sheet!R76-#REF!</f>
      </c>
      <c r="S68" s="51" t="e">
        <f>Ticker0001_Exchange_Sheet!S76-#REF!</f>
      </c>
      <c r="T68" s="51" t="e">
        <f>Ticker0001_Exchange_Sheet!T76-#REF!</f>
      </c>
      <c r="U68" s="51" t="e">
        <f>Ticker0001_Exchange_Sheet!U76-#REF!</f>
      </c>
      <c r="V68" s="51" t="e">
        <f>Ticker0001_Exchange_Sheet!V76-#REF!</f>
      </c>
      <c r="W68" s="51" t="e">
        <f>Ticker0001_Exchange_Sheet!W76-#REF!</f>
      </c>
      <c r="X68" s="51" t="e">
        <f>Ticker0001_Exchange_Sheet!AK76-#REF!</f>
      </c>
      <c r="Y68" s="51" t="e">
        <f>Ticker0001_Exchange_Sheet!AX76-#REF!</f>
      </c>
      <c r="Z68" s="51" t="e">
        <f>Ticker0001_Exchange_Sheet!AY76-#REF!</f>
      </c>
      <c r="AA68" s="51" t="e">
        <f>Ticker0001_Exchange_Sheet!AZ76-#REF!</f>
      </c>
      <c r="AB68" s="51" t="e">
        <f>Ticker0001_Exchange_Sheet!BA76-#REF!</f>
      </c>
      <c r="AC68" s="51" t="e">
        <f>Ticker0001_Exchange_Sheet!BB76-#REF!</f>
      </c>
      <c r="AD68" s="51" t="e">
        <f>Ticker0001_Exchange_Sheet!BC76-#REF!</f>
      </c>
      <c r="AE68" s="51" t="e">
        <f>Ticker0001_Exchange_Sheet!BD76-#REF!</f>
      </c>
      <c r="AF68" s="51" t="e">
        <f>Ticker0001_Exchange_Sheet!BE76-#REF!</f>
      </c>
      <c r="AG68" s="51" t="e">
        <f>Ticker0001_Exchange_Sheet!BF76-#REF!</f>
      </c>
      <c r="AH68" s="51" t="e">
        <f>Ticker0001_Exchange_Sheet!BG76-#REF!</f>
      </c>
      <c r="AI68" s="51" t="e">
        <f>Ticker0001_Exchange_Sheet!BH76-#REF!</f>
      </c>
      <c r="AJ68" s="51" t="e">
        <f>Ticker0001_Exchange_Sheet!BI76-#REF!</f>
      </c>
      <c r="AK68" s="51" t="e">
        <f>Ticker0001_Exchange_Sheet!BJ76-#REF!</f>
      </c>
      <c r="AL68" s="51" t="e">
        <f>Ticker0001_Exchange_Sheet!BK76-#REF!</f>
      </c>
      <c r="AM68" s="51" t="e">
        <f>Ticker0001_Exchange_Sheet!BL76-#REF!</f>
      </c>
      <c r="AN68" s="51" t="e">
        <f>Ticker0001_Exchange_Sheet!BM76-#REF!</f>
      </c>
      <c r="AO68" s="51" t="e">
        <f>Ticker0001_Exchange_Sheet!BN76-#REF!</f>
      </c>
      <c r="AP68" s="51" t="e">
        <f>Ticker0001_Exchange_Sheet!BO76-#REF!</f>
      </c>
      <c r="AQ68" s="51" t="e">
        <f>Ticker0001_Exchange_Sheet!BP76-#REF!</f>
      </c>
      <c r="AR68" s="51" t="e">
        <f>Ticker0001_Exchange_Sheet!BQ76-#REF!</f>
      </c>
      <c r="AS68" s="51" t="e">
        <f>Ticker0001_Exchange_Sheet!BR76-#REF!</f>
      </c>
      <c r="AT68" s="51" t="e">
        <f>Ticker0001_Exchange_Sheet!BS76-#REF!</f>
      </c>
      <c r="AU68" s="51" t="e">
        <f>Ticker0001_Exchange_Sheet!BT76-#REF!</f>
      </c>
      <c r="AV68" s="51" t="e">
        <f>Ticker0001_Exchange_Sheet!BU76-#REF!</f>
      </c>
      <c r="AW68" s="51" t="e">
        <f>Ticker0001_Exchange_Sheet!BV76-#REF!</f>
      </c>
      <c r="AX68" s="51" t="e">
        <f>Ticker0001_Exchange_Sheet!BW76-#REF!</f>
      </c>
      <c r="AY68" s="51" t="e">
        <f>Ticker0001_Exchange_Sheet!BX76-#REF!</f>
      </c>
      <c r="AZ68" s="51" t="e">
        <f>Ticker0001_Exchange_Sheet!BY76-#REF!</f>
      </c>
      <c r="BA68" s="51" t="e">
        <f>Ticker0001_Exchange_Sheet!BZ76-#REF!</f>
      </c>
      <c r="BB68" s="51" t="e">
        <f>Ticker0001_Exchange_Sheet!CA76-#REF!</f>
      </c>
      <c r="BC68" s="51" t="e">
        <f>Ticker0001_Exchange_Sheet!CB76-#REF!</f>
      </c>
      <c r="BD68" s="51" t="e">
        <f>Ticker0001_Exchange_Sheet!CC76-#REF!</f>
      </c>
      <c r="BE68" s="51" t="e">
        <f>Ticker0001_Exchange_Sheet!CD76-#REF!</f>
      </c>
      <c r="BF68" s="51" t="e">
        <f>Ticker0001_Exchange_Sheet!CE76-#REF!</f>
      </c>
      <c r="BG68" s="51" t="e">
        <f>Ticker0001_Exchange_Sheet!CF76-#REF!</f>
      </c>
      <c r="BH68" s="51" t="e">
        <f>Ticker0001_Exchange_Sheet!CG76-#REF!</f>
      </c>
      <c r="BI68" s="51" t="e">
        <f>Ticker0001_Exchange_Sheet!CH76-#REF!</f>
      </c>
      <c r="BJ68" s="51" t="e">
        <f>Ticker0001_Exchange_Sheet!CI76-#REF!</f>
      </c>
      <c r="BK68" s="51" t="e">
        <f>Ticker0001_Exchange_Sheet!CJ76-#REF!</f>
      </c>
      <c r="BL68" s="51" t="e">
        <f>Ticker0001_Exchange_Sheet!CK76-#REF!</f>
      </c>
      <c r="BM68" s="51" t="e">
        <f>Ticker0001_Exchange_Sheet!CL76-#REF!</f>
      </c>
      <c r="BN68" s="51" t="e">
        <f>Ticker0001_Exchange_Sheet!CM76-#REF!</f>
      </c>
      <c r="BO68" s="51" t="e">
        <f>Ticker0001_Exchange_Sheet!CN76-#REF!</f>
      </c>
      <c r="BP68" s="51" t="e">
        <f>Ticker0001_Exchange_Sheet!CO76-#REF!</f>
      </c>
      <c r="BQ68" s="51" t="e">
        <f>Ticker0001_Exchange_Sheet!CP76-#REF!</f>
      </c>
      <c r="BR68" s="51" t="e">
        <f>Ticker0001_Exchange_Sheet!CQ76-#REF!</f>
      </c>
      <c r="BS68" s="51" t="e">
        <f>Ticker0001_Exchange_Sheet!CR76-#REF!</f>
      </c>
      <c r="BT68" s="51" t="e">
        <f>Ticker0001_Exchange_Sheet!CS76-#REF!</f>
      </c>
      <c r="BU68" s="51" t="e">
        <f>Ticker0001_Exchange_Sheet!CT76-#REF!</f>
      </c>
      <c r="BV68" s="51" t="e">
        <f>Ticker0001_Exchange_Sheet!CU76-#REF!</f>
      </c>
      <c r="BW68" s="51" t="e">
        <f>Ticker0001_Exchange_Sheet!CV76-#REF!</f>
      </c>
      <c r="BX68" s="51" t="e">
        <f>Ticker0001_Exchange_Sheet!CW76-#REF!</f>
      </c>
      <c r="BY68" s="51" t="e">
        <f>Ticker0001_Exchange_Sheet!CX76-#REF!</f>
      </c>
      <c r="BZ68" s="51" t="e">
        <f>Ticker0001_Exchange_Sheet!CY76-#REF!</f>
      </c>
      <c r="CA68" s="51" t="e">
        <f>Ticker0001_Exchange_Sheet!CZ76-#REF!</f>
      </c>
      <c r="CB68" s="51" t="e">
        <f>Ticker0001_Exchange_Sheet!DA76-#REF!</f>
      </c>
      <c r="CC68" s="51" t="e">
        <f>Ticker0001_Exchange_Sheet!DB76-#REF!</f>
      </c>
      <c r="CD68" s="51" t="e">
        <f>Ticker0001_Exchange_Sheet!DC76-#REF!</f>
      </c>
      <c r="CE68" s="51" t="e">
        <f>Ticker0001_Exchange_Sheet!DD76-#REF!</f>
      </c>
      <c r="CF68" s="51" t="e">
        <f>Ticker0001_Exchange_Sheet!DE76-#REF!</f>
      </c>
    </row>
    <row r="69" spans="6:84">
      <c r="F69" s="51" t="e">
        <f>Ticker0001_Exchange_Sheet!F77-#REF!</f>
      </c>
      <c r="G69" s="51" t="e">
        <f>Ticker0001_Exchange_Sheet!G77-#REF!</f>
      </c>
      <c r="H69" s="51" t="e">
        <f>Ticker0001_Exchange_Sheet!H77-#REF!</f>
      </c>
      <c r="I69" s="51" t="e">
        <f>Ticker0001_Exchange_Sheet!I77-#REF!</f>
      </c>
      <c r="J69" s="51" t="e">
        <f>Ticker0001_Exchange_Sheet!J77-#REF!</f>
      </c>
      <c r="K69" s="51" t="e">
        <f>Ticker0001_Exchange_Sheet!K77-#REF!</f>
      </c>
      <c r="L69" s="51" t="e">
        <f>Ticker0001_Exchange_Sheet!L77-#REF!</f>
      </c>
      <c r="M69" s="51" t="e">
        <f>Ticker0001_Exchange_Sheet!M77-#REF!</f>
      </c>
      <c r="N69" s="51" t="e">
        <f>Ticker0001_Exchange_Sheet!N77-#REF!</f>
      </c>
      <c r="O69" s="51" t="e">
        <f>Ticker0001_Exchange_Sheet!O77-#REF!</f>
      </c>
      <c r="P69" s="51" t="e">
        <f>Ticker0001_Exchange_Sheet!P77-#REF!</f>
      </c>
      <c r="Q69" s="51" t="e">
        <f>Ticker0001_Exchange_Sheet!Q77-#REF!</f>
      </c>
      <c r="R69" s="51" t="e">
        <f>Ticker0001_Exchange_Sheet!R77-#REF!</f>
      </c>
      <c r="S69" s="51" t="e">
        <f>Ticker0001_Exchange_Sheet!S77-#REF!</f>
      </c>
      <c r="T69" s="51" t="e">
        <f>Ticker0001_Exchange_Sheet!T77-#REF!</f>
      </c>
      <c r="U69" s="51" t="e">
        <f>Ticker0001_Exchange_Sheet!U77-#REF!</f>
      </c>
      <c r="V69" s="51" t="e">
        <f>Ticker0001_Exchange_Sheet!V77-#REF!</f>
      </c>
      <c r="W69" s="51" t="e">
        <f>Ticker0001_Exchange_Sheet!W77-#REF!</f>
      </c>
      <c r="X69" s="51" t="e">
        <f>Ticker0001_Exchange_Sheet!AK77-#REF!</f>
      </c>
      <c r="Y69" s="51" t="e">
        <f>Ticker0001_Exchange_Sheet!AX77-#REF!</f>
      </c>
      <c r="Z69" s="51" t="e">
        <f>Ticker0001_Exchange_Sheet!AY77-#REF!</f>
      </c>
      <c r="AA69" s="51" t="e">
        <f>Ticker0001_Exchange_Sheet!AZ77-#REF!</f>
      </c>
      <c r="AB69" s="51" t="e">
        <f>Ticker0001_Exchange_Sheet!BA77-#REF!</f>
      </c>
      <c r="AC69" s="51" t="e">
        <f>Ticker0001_Exchange_Sheet!BB77-#REF!</f>
      </c>
      <c r="AD69" s="51" t="e">
        <f>Ticker0001_Exchange_Sheet!BC77-#REF!</f>
      </c>
      <c r="AE69" s="51" t="e">
        <f>Ticker0001_Exchange_Sheet!BD77-#REF!</f>
      </c>
      <c r="AF69" s="51" t="e">
        <f>Ticker0001_Exchange_Sheet!BE77-#REF!</f>
      </c>
      <c r="AG69" s="51" t="e">
        <f>Ticker0001_Exchange_Sheet!BF77-#REF!</f>
      </c>
      <c r="AH69" s="51" t="e">
        <f>Ticker0001_Exchange_Sheet!BG77-#REF!</f>
      </c>
      <c r="AI69" s="51" t="e">
        <f>Ticker0001_Exchange_Sheet!BH77-#REF!</f>
      </c>
      <c r="AJ69" s="51" t="e">
        <f>Ticker0001_Exchange_Sheet!BI77-#REF!</f>
      </c>
      <c r="AK69" s="51" t="e">
        <f>Ticker0001_Exchange_Sheet!BJ77-#REF!</f>
      </c>
      <c r="AL69" s="51" t="e">
        <f>Ticker0001_Exchange_Sheet!BK77-#REF!</f>
      </c>
      <c r="AM69" s="51" t="e">
        <f>Ticker0001_Exchange_Sheet!BL77-#REF!</f>
      </c>
      <c r="AN69" s="51" t="e">
        <f>Ticker0001_Exchange_Sheet!BM77-#REF!</f>
      </c>
      <c r="AO69" s="51" t="e">
        <f>Ticker0001_Exchange_Sheet!BN77-#REF!</f>
      </c>
      <c r="AP69" s="51" t="e">
        <f>Ticker0001_Exchange_Sheet!BO77-#REF!</f>
      </c>
      <c r="AQ69" s="51" t="e">
        <f>Ticker0001_Exchange_Sheet!BP77-#REF!</f>
      </c>
      <c r="AR69" s="51" t="e">
        <f>Ticker0001_Exchange_Sheet!BQ77-#REF!</f>
      </c>
      <c r="AS69" s="51" t="e">
        <f>Ticker0001_Exchange_Sheet!BR77-#REF!</f>
      </c>
      <c r="AT69" s="51" t="e">
        <f>Ticker0001_Exchange_Sheet!BS77-#REF!</f>
      </c>
      <c r="AU69" s="51" t="e">
        <f>Ticker0001_Exchange_Sheet!BT77-#REF!</f>
      </c>
      <c r="AV69" s="51" t="e">
        <f>Ticker0001_Exchange_Sheet!BU77-#REF!</f>
      </c>
      <c r="AW69" s="51" t="e">
        <f>Ticker0001_Exchange_Sheet!BV77-#REF!</f>
      </c>
      <c r="AX69" s="51" t="e">
        <f>Ticker0001_Exchange_Sheet!BW77-#REF!</f>
      </c>
      <c r="AY69" s="51" t="e">
        <f>Ticker0001_Exchange_Sheet!BX77-#REF!</f>
      </c>
      <c r="AZ69" s="51" t="e">
        <f>Ticker0001_Exchange_Sheet!BY77-#REF!</f>
      </c>
      <c r="BA69" s="51" t="e">
        <f>Ticker0001_Exchange_Sheet!BZ77-#REF!</f>
      </c>
      <c r="BB69" s="51" t="e">
        <f>Ticker0001_Exchange_Sheet!CA77-#REF!</f>
      </c>
      <c r="BC69" s="51" t="e">
        <f>Ticker0001_Exchange_Sheet!CB77-#REF!</f>
      </c>
      <c r="BD69" s="51" t="e">
        <f>Ticker0001_Exchange_Sheet!CC77-#REF!</f>
      </c>
      <c r="BE69" s="51" t="e">
        <f>Ticker0001_Exchange_Sheet!CD77-#REF!</f>
      </c>
      <c r="BF69" s="51" t="e">
        <f>Ticker0001_Exchange_Sheet!CE77-#REF!</f>
      </c>
      <c r="BG69" s="51" t="e">
        <f>Ticker0001_Exchange_Sheet!CF77-#REF!</f>
      </c>
      <c r="BH69" s="51" t="e">
        <f>Ticker0001_Exchange_Sheet!CG77-#REF!</f>
      </c>
      <c r="BI69" s="51" t="e">
        <f>Ticker0001_Exchange_Sheet!CH77-#REF!</f>
      </c>
      <c r="BJ69" s="51" t="e">
        <f>Ticker0001_Exchange_Sheet!CI77-#REF!</f>
      </c>
      <c r="BK69" s="51" t="e">
        <f>Ticker0001_Exchange_Sheet!CJ77-#REF!</f>
      </c>
      <c r="BL69" s="51" t="e">
        <f>Ticker0001_Exchange_Sheet!CK77-#REF!</f>
      </c>
      <c r="BM69" s="51" t="e">
        <f>Ticker0001_Exchange_Sheet!CL77-#REF!</f>
      </c>
      <c r="BN69" s="51" t="e">
        <f>Ticker0001_Exchange_Sheet!CM77-#REF!</f>
      </c>
      <c r="BO69" s="51" t="e">
        <f>Ticker0001_Exchange_Sheet!CN77-#REF!</f>
      </c>
      <c r="BP69" s="51" t="e">
        <f>Ticker0001_Exchange_Sheet!CO77-#REF!</f>
      </c>
      <c r="BQ69" s="51" t="e">
        <f>Ticker0001_Exchange_Sheet!CP77-#REF!</f>
      </c>
      <c r="BR69" s="51" t="e">
        <f>Ticker0001_Exchange_Sheet!CQ77-#REF!</f>
      </c>
      <c r="BS69" s="51" t="e">
        <f>Ticker0001_Exchange_Sheet!CR77-#REF!</f>
      </c>
      <c r="BT69" s="51" t="e">
        <f>Ticker0001_Exchange_Sheet!CS77-#REF!</f>
      </c>
      <c r="BU69" s="51" t="e">
        <f>Ticker0001_Exchange_Sheet!CT77-#REF!</f>
      </c>
      <c r="BV69" s="51" t="e">
        <f>Ticker0001_Exchange_Sheet!CU77-#REF!</f>
      </c>
      <c r="BW69" s="51" t="e">
        <f>Ticker0001_Exchange_Sheet!CV77-#REF!</f>
      </c>
      <c r="BX69" s="51" t="e">
        <f>Ticker0001_Exchange_Sheet!CW77-#REF!</f>
      </c>
      <c r="BY69" s="51" t="e">
        <f>Ticker0001_Exchange_Sheet!CX77-#REF!</f>
      </c>
      <c r="BZ69" s="51" t="e">
        <f>Ticker0001_Exchange_Sheet!CY77-#REF!</f>
      </c>
      <c r="CA69" s="51" t="e">
        <f>Ticker0001_Exchange_Sheet!CZ77-#REF!</f>
      </c>
      <c r="CB69" s="51" t="e">
        <f>Ticker0001_Exchange_Sheet!DA77-#REF!</f>
      </c>
      <c r="CC69" s="51" t="e">
        <f>Ticker0001_Exchange_Sheet!DB77-#REF!</f>
      </c>
      <c r="CD69" s="51" t="e">
        <f>Ticker0001_Exchange_Sheet!DC77-#REF!</f>
      </c>
      <c r="CE69" s="51" t="e">
        <f>Ticker0001_Exchange_Sheet!DD77-#REF!</f>
      </c>
      <c r="CF69" s="51" t="e">
        <f>Ticker0001_Exchange_Sheet!DE77-#REF!</f>
      </c>
    </row>
    <row r="70" spans="6:84">
      <c r="F70" s="51" t="e">
        <f>Ticker0001_Exchange_Sheet!F78-#REF!</f>
      </c>
      <c r="G70" s="51" t="e">
        <f>Ticker0001_Exchange_Sheet!G78-#REF!</f>
      </c>
      <c r="H70" s="51" t="e">
        <f>Ticker0001_Exchange_Sheet!H78-#REF!</f>
      </c>
      <c r="I70" s="51" t="e">
        <f>Ticker0001_Exchange_Sheet!I78-#REF!</f>
      </c>
      <c r="J70" s="51" t="e">
        <f>Ticker0001_Exchange_Sheet!J78-#REF!</f>
      </c>
      <c r="K70" s="51" t="e">
        <f>Ticker0001_Exchange_Sheet!K78-#REF!</f>
      </c>
      <c r="L70" s="51" t="e">
        <f>Ticker0001_Exchange_Sheet!L78-#REF!</f>
      </c>
      <c r="M70" s="51" t="e">
        <f>Ticker0001_Exchange_Sheet!M78-#REF!</f>
      </c>
      <c r="N70" s="51" t="e">
        <f>Ticker0001_Exchange_Sheet!N78-#REF!</f>
      </c>
      <c r="O70" s="51" t="e">
        <f>Ticker0001_Exchange_Sheet!O78-#REF!</f>
      </c>
      <c r="P70" s="51" t="e">
        <f>Ticker0001_Exchange_Sheet!P78-#REF!</f>
      </c>
      <c r="Q70" s="51" t="e">
        <f>Ticker0001_Exchange_Sheet!Q78-#REF!</f>
      </c>
      <c r="R70" s="51" t="e">
        <f>Ticker0001_Exchange_Sheet!R78-#REF!</f>
      </c>
      <c r="S70" s="51" t="e">
        <f>Ticker0001_Exchange_Sheet!S78-#REF!</f>
      </c>
      <c r="T70" s="51" t="e">
        <f>Ticker0001_Exchange_Sheet!T78-#REF!</f>
      </c>
      <c r="U70" s="51" t="e">
        <f>Ticker0001_Exchange_Sheet!U78-#REF!</f>
      </c>
      <c r="V70" s="51" t="e">
        <f>Ticker0001_Exchange_Sheet!V78-#REF!</f>
      </c>
      <c r="W70" s="51" t="e">
        <f>Ticker0001_Exchange_Sheet!W78-#REF!</f>
      </c>
      <c r="X70" s="51" t="e">
        <f>Ticker0001_Exchange_Sheet!AK78-#REF!</f>
      </c>
      <c r="Y70" s="51" t="e">
        <f>Ticker0001_Exchange_Sheet!AX78-#REF!</f>
      </c>
      <c r="Z70" s="51" t="e">
        <f>Ticker0001_Exchange_Sheet!AY78-#REF!</f>
      </c>
      <c r="AA70" s="51" t="e">
        <f>Ticker0001_Exchange_Sheet!AZ78-#REF!</f>
      </c>
      <c r="AB70" s="51" t="e">
        <f>Ticker0001_Exchange_Sheet!BA78-#REF!</f>
      </c>
      <c r="AC70" s="51" t="e">
        <f>Ticker0001_Exchange_Sheet!BB78-#REF!</f>
      </c>
      <c r="AD70" s="51" t="e">
        <f>Ticker0001_Exchange_Sheet!BC78-#REF!</f>
      </c>
      <c r="AE70" s="51" t="e">
        <f>Ticker0001_Exchange_Sheet!BD78-#REF!</f>
      </c>
      <c r="AF70" s="51" t="e">
        <f>Ticker0001_Exchange_Sheet!BE78-#REF!</f>
      </c>
      <c r="AG70" s="51" t="e">
        <f>Ticker0001_Exchange_Sheet!BF78-#REF!</f>
      </c>
      <c r="AH70" s="51" t="e">
        <f>Ticker0001_Exchange_Sheet!BG78-#REF!</f>
      </c>
      <c r="AI70" s="51" t="e">
        <f>Ticker0001_Exchange_Sheet!BH78-#REF!</f>
      </c>
      <c r="AJ70" s="51" t="e">
        <f>Ticker0001_Exchange_Sheet!BI78-#REF!</f>
      </c>
      <c r="AK70" s="51" t="e">
        <f>Ticker0001_Exchange_Sheet!BJ78-#REF!</f>
      </c>
      <c r="AL70" s="51" t="e">
        <f>Ticker0001_Exchange_Sheet!BK78-#REF!</f>
      </c>
      <c r="AM70" s="51" t="e">
        <f>Ticker0001_Exchange_Sheet!BL78-#REF!</f>
      </c>
      <c r="AN70" s="51" t="e">
        <f>Ticker0001_Exchange_Sheet!BM78-#REF!</f>
      </c>
      <c r="AO70" s="51" t="e">
        <f>Ticker0001_Exchange_Sheet!BN78-#REF!</f>
      </c>
      <c r="AP70" s="51" t="e">
        <f>Ticker0001_Exchange_Sheet!BO78-#REF!</f>
      </c>
      <c r="AQ70" s="51" t="e">
        <f>Ticker0001_Exchange_Sheet!BP78-#REF!</f>
      </c>
      <c r="AR70" s="51" t="e">
        <f>Ticker0001_Exchange_Sheet!BQ78-#REF!</f>
      </c>
      <c r="AS70" s="51" t="e">
        <f>Ticker0001_Exchange_Sheet!BR78-#REF!</f>
      </c>
      <c r="AT70" s="51" t="e">
        <f>Ticker0001_Exchange_Sheet!BS78-#REF!</f>
      </c>
      <c r="AU70" s="51" t="e">
        <f>Ticker0001_Exchange_Sheet!BT78-#REF!</f>
      </c>
      <c r="AV70" s="51" t="e">
        <f>Ticker0001_Exchange_Sheet!BU78-#REF!</f>
      </c>
      <c r="AW70" s="51" t="e">
        <f>Ticker0001_Exchange_Sheet!BV78-#REF!</f>
      </c>
      <c r="AX70" s="51" t="e">
        <f>Ticker0001_Exchange_Sheet!BW78-#REF!</f>
      </c>
      <c r="AY70" s="51" t="e">
        <f>Ticker0001_Exchange_Sheet!BX78-#REF!</f>
      </c>
      <c r="AZ70" s="51" t="e">
        <f>Ticker0001_Exchange_Sheet!BY78-#REF!</f>
      </c>
      <c r="BA70" s="51" t="e">
        <f>Ticker0001_Exchange_Sheet!BZ78-#REF!</f>
      </c>
      <c r="BB70" s="51" t="e">
        <f>Ticker0001_Exchange_Sheet!CA78-#REF!</f>
      </c>
      <c r="BC70" s="51" t="e">
        <f>Ticker0001_Exchange_Sheet!CB78-#REF!</f>
      </c>
      <c r="BD70" s="51" t="e">
        <f>Ticker0001_Exchange_Sheet!CC78-#REF!</f>
      </c>
      <c r="BE70" s="51" t="e">
        <f>Ticker0001_Exchange_Sheet!CD78-#REF!</f>
      </c>
      <c r="BF70" s="51" t="e">
        <f>Ticker0001_Exchange_Sheet!CE78-#REF!</f>
      </c>
      <c r="BG70" s="51" t="e">
        <f>Ticker0001_Exchange_Sheet!CF78-#REF!</f>
      </c>
      <c r="BH70" s="51" t="e">
        <f>Ticker0001_Exchange_Sheet!CG78-#REF!</f>
      </c>
      <c r="BI70" s="51" t="e">
        <f>Ticker0001_Exchange_Sheet!CH78-#REF!</f>
      </c>
      <c r="BJ70" s="51" t="e">
        <f>Ticker0001_Exchange_Sheet!CI78-#REF!</f>
      </c>
      <c r="BK70" s="51" t="e">
        <f>Ticker0001_Exchange_Sheet!CJ78-#REF!</f>
      </c>
      <c r="BL70" s="51" t="e">
        <f>Ticker0001_Exchange_Sheet!CK78-#REF!</f>
      </c>
      <c r="BM70" s="51" t="e">
        <f>Ticker0001_Exchange_Sheet!CL78-#REF!</f>
      </c>
      <c r="BN70" s="51" t="e">
        <f>Ticker0001_Exchange_Sheet!CM78-#REF!</f>
      </c>
      <c r="BO70" s="51" t="e">
        <f>Ticker0001_Exchange_Sheet!CN78-#REF!</f>
      </c>
      <c r="BP70" s="51" t="e">
        <f>Ticker0001_Exchange_Sheet!CO78-#REF!</f>
      </c>
      <c r="BQ70" s="51" t="e">
        <f>Ticker0001_Exchange_Sheet!CP78-#REF!</f>
      </c>
      <c r="BR70" s="51" t="e">
        <f>Ticker0001_Exchange_Sheet!CQ78-#REF!</f>
      </c>
      <c r="BS70" s="51" t="e">
        <f>Ticker0001_Exchange_Sheet!CR78-#REF!</f>
      </c>
      <c r="BT70" s="51" t="e">
        <f>Ticker0001_Exchange_Sheet!CS78-#REF!</f>
      </c>
      <c r="BU70" s="51" t="e">
        <f>Ticker0001_Exchange_Sheet!CT78-#REF!</f>
      </c>
      <c r="BV70" s="51" t="e">
        <f>Ticker0001_Exchange_Sheet!CU78-#REF!</f>
      </c>
      <c r="BW70" s="51" t="e">
        <f>Ticker0001_Exchange_Sheet!CV78-#REF!</f>
      </c>
      <c r="BX70" s="51" t="e">
        <f>Ticker0001_Exchange_Sheet!CW78-#REF!</f>
      </c>
      <c r="BY70" s="51" t="e">
        <f>Ticker0001_Exchange_Sheet!CX78-#REF!</f>
      </c>
      <c r="BZ70" s="51" t="e">
        <f>Ticker0001_Exchange_Sheet!CY78-#REF!</f>
      </c>
      <c r="CA70" s="51" t="e">
        <f>Ticker0001_Exchange_Sheet!CZ78-#REF!</f>
      </c>
      <c r="CB70" s="51" t="e">
        <f>Ticker0001_Exchange_Sheet!DA78-#REF!</f>
      </c>
      <c r="CC70" s="51" t="e">
        <f>Ticker0001_Exchange_Sheet!DB78-#REF!</f>
      </c>
      <c r="CD70" s="51" t="e">
        <f>Ticker0001_Exchange_Sheet!DC78-#REF!</f>
      </c>
      <c r="CE70" s="51" t="e">
        <f>Ticker0001_Exchange_Sheet!DD78-#REF!</f>
      </c>
      <c r="CF70" s="51" t="e">
        <f>Ticker0001_Exchange_Sheet!DE78-#REF!</f>
      </c>
    </row>
    <row r="71" spans="6:84">
      <c r="F71" s="51" t="e">
        <f>Ticker0001_Exchange_Sheet!F79-#REF!</f>
      </c>
      <c r="G71" s="51" t="e">
        <f>Ticker0001_Exchange_Sheet!G79-#REF!</f>
      </c>
      <c r="H71" s="51" t="e">
        <f>Ticker0001_Exchange_Sheet!H79-#REF!</f>
      </c>
      <c r="I71" s="51" t="e">
        <f>Ticker0001_Exchange_Sheet!I79-#REF!</f>
      </c>
      <c r="J71" s="51" t="e">
        <f>Ticker0001_Exchange_Sheet!J79-#REF!</f>
      </c>
      <c r="K71" s="51" t="e">
        <f>Ticker0001_Exchange_Sheet!K79-#REF!</f>
      </c>
      <c r="L71" s="51" t="e">
        <f>Ticker0001_Exchange_Sheet!L79-#REF!</f>
      </c>
      <c r="M71" s="51" t="e">
        <f>Ticker0001_Exchange_Sheet!M79-#REF!</f>
      </c>
      <c r="N71" s="51" t="e">
        <f>Ticker0001_Exchange_Sheet!N79-#REF!</f>
      </c>
      <c r="O71" s="51" t="e">
        <f>Ticker0001_Exchange_Sheet!O79-#REF!</f>
      </c>
      <c r="P71" s="51" t="e">
        <f>Ticker0001_Exchange_Sheet!P79-#REF!</f>
      </c>
      <c r="Q71" s="51" t="e">
        <f>Ticker0001_Exchange_Sheet!Q79-#REF!</f>
      </c>
      <c r="R71" s="51" t="e">
        <f>Ticker0001_Exchange_Sheet!R79-#REF!</f>
      </c>
      <c r="S71" s="51" t="e">
        <f>Ticker0001_Exchange_Sheet!S79-#REF!</f>
      </c>
      <c r="T71" s="51" t="e">
        <f>Ticker0001_Exchange_Sheet!T79-#REF!</f>
      </c>
      <c r="U71" s="51" t="e">
        <f>Ticker0001_Exchange_Sheet!U79-#REF!</f>
      </c>
      <c r="V71" s="51" t="e">
        <f>Ticker0001_Exchange_Sheet!V79-#REF!</f>
      </c>
      <c r="W71" s="51" t="e">
        <f>Ticker0001_Exchange_Sheet!W79-#REF!</f>
      </c>
      <c r="X71" s="51" t="e">
        <f>Ticker0001_Exchange_Sheet!AK79-#REF!</f>
      </c>
      <c r="Y71" s="51" t="e">
        <f>Ticker0001_Exchange_Sheet!AX79-#REF!</f>
      </c>
      <c r="Z71" s="51" t="e">
        <f>Ticker0001_Exchange_Sheet!AY79-#REF!</f>
      </c>
      <c r="AA71" s="51" t="e">
        <f>Ticker0001_Exchange_Sheet!AZ79-#REF!</f>
      </c>
      <c r="AB71" s="51" t="e">
        <f>Ticker0001_Exchange_Sheet!BA79-#REF!</f>
      </c>
      <c r="AC71" s="51" t="e">
        <f>Ticker0001_Exchange_Sheet!BB79-#REF!</f>
      </c>
      <c r="AD71" s="51" t="e">
        <f>Ticker0001_Exchange_Sheet!BC79-#REF!</f>
      </c>
      <c r="AE71" s="51" t="e">
        <f>Ticker0001_Exchange_Sheet!BD79-#REF!</f>
      </c>
      <c r="AF71" s="51" t="e">
        <f>Ticker0001_Exchange_Sheet!BE79-#REF!</f>
      </c>
      <c r="AG71" s="51" t="e">
        <f>Ticker0001_Exchange_Sheet!BF79-#REF!</f>
      </c>
      <c r="AH71" s="51" t="e">
        <f>Ticker0001_Exchange_Sheet!BG79-#REF!</f>
      </c>
      <c r="AI71" s="51" t="e">
        <f>Ticker0001_Exchange_Sheet!BH79-#REF!</f>
      </c>
      <c r="AJ71" s="51" t="e">
        <f>Ticker0001_Exchange_Sheet!BI79-#REF!</f>
      </c>
      <c r="AK71" s="51" t="e">
        <f>Ticker0001_Exchange_Sheet!BJ79-#REF!</f>
      </c>
      <c r="AL71" s="51" t="e">
        <f>Ticker0001_Exchange_Sheet!BK79-#REF!</f>
      </c>
      <c r="AM71" s="51" t="e">
        <f>Ticker0001_Exchange_Sheet!BL79-#REF!</f>
      </c>
      <c r="AN71" s="51" t="e">
        <f>Ticker0001_Exchange_Sheet!BM79-#REF!</f>
      </c>
      <c r="AO71" s="51" t="e">
        <f>Ticker0001_Exchange_Sheet!BN79-#REF!</f>
      </c>
      <c r="AP71" s="51" t="e">
        <f>Ticker0001_Exchange_Sheet!BO79-#REF!</f>
      </c>
      <c r="AQ71" s="51" t="e">
        <f>Ticker0001_Exchange_Sheet!BP79-#REF!</f>
      </c>
      <c r="AR71" s="51" t="e">
        <f>Ticker0001_Exchange_Sheet!BQ79-#REF!</f>
      </c>
      <c r="AS71" s="51" t="e">
        <f>Ticker0001_Exchange_Sheet!BR79-#REF!</f>
      </c>
      <c r="AT71" s="51" t="e">
        <f>Ticker0001_Exchange_Sheet!BS79-#REF!</f>
      </c>
      <c r="AU71" s="51" t="e">
        <f>Ticker0001_Exchange_Sheet!BT79-#REF!</f>
      </c>
      <c r="AV71" s="51" t="e">
        <f>Ticker0001_Exchange_Sheet!BU79-#REF!</f>
      </c>
      <c r="AW71" s="51" t="e">
        <f>Ticker0001_Exchange_Sheet!BV79-#REF!</f>
      </c>
      <c r="AX71" s="51" t="e">
        <f>Ticker0001_Exchange_Sheet!BW79-#REF!</f>
      </c>
      <c r="AY71" s="51" t="e">
        <f>Ticker0001_Exchange_Sheet!BX79-#REF!</f>
      </c>
      <c r="AZ71" s="51" t="e">
        <f>Ticker0001_Exchange_Sheet!BY79-#REF!</f>
      </c>
      <c r="BA71" s="51" t="e">
        <f>Ticker0001_Exchange_Sheet!BZ79-#REF!</f>
      </c>
      <c r="BB71" s="51" t="e">
        <f>Ticker0001_Exchange_Sheet!CA79-#REF!</f>
      </c>
      <c r="BC71" s="51" t="e">
        <f>Ticker0001_Exchange_Sheet!CB79-#REF!</f>
      </c>
      <c r="BD71" s="51" t="e">
        <f>Ticker0001_Exchange_Sheet!CC79-#REF!</f>
      </c>
      <c r="BE71" s="51" t="e">
        <f>Ticker0001_Exchange_Sheet!CD79-#REF!</f>
      </c>
      <c r="BF71" s="51" t="e">
        <f>Ticker0001_Exchange_Sheet!CE79-#REF!</f>
      </c>
      <c r="BG71" s="51" t="e">
        <f>Ticker0001_Exchange_Sheet!CF79-#REF!</f>
      </c>
      <c r="BH71" s="51" t="e">
        <f>Ticker0001_Exchange_Sheet!CG79-#REF!</f>
      </c>
      <c r="BI71" s="51" t="e">
        <f>Ticker0001_Exchange_Sheet!CH79-#REF!</f>
      </c>
      <c r="BJ71" s="51" t="e">
        <f>Ticker0001_Exchange_Sheet!CI79-#REF!</f>
      </c>
      <c r="BK71" s="51" t="e">
        <f>Ticker0001_Exchange_Sheet!CJ79-#REF!</f>
      </c>
      <c r="BL71" s="51" t="e">
        <f>Ticker0001_Exchange_Sheet!CK79-#REF!</f>
      </c>
      <c r="BM71" s="51" t="e">
        <f>Ticker0001_Exchange_Sheet!CL79-#REF!</f>
      </c>
      <c r="BN71" s="51" t="e">
        <f>Ticker0001_Exchange_Sheet!CM79-#REF!</f>
      </c>
      <c r="BO71" s="51" t="e">
        <f>Ticker0001_Exchange_Sheet!CN79-#REF!</f>
      </c>
      <c r="BP71" s="51" t="e">
        <f>Ticker0001_Exchange_Sheet!CO79-#REF!</f>
      </c>
      <c r="BQ71" s="51" t="e">
        <f>Ticker0001_Exchange_Sheet!CP79-#REF!</f>
      </c>
      <c r="BR71" s="51" t="e">
        <f>Ticker0001_Exchange_Sheet!CQ79-#REF!</f>
      </c>
      <c r="BS71" s="51" t="e">
        <f>Ticker0001_Exchange_Sheet!CR79-#REF!</f>
      </c>
      <c r="BT71" s="51" t="e">
        <f>Ticker0001_Exchange_Sheet!CS79-#REF!</f>
      </c>
      <c r="BU71" s="51" t="e">
        <f>Ticker0001_Exchange_Sheet!CT79-#REF!</f>
      </c>
      <c r="BV71" s="51" t="e">
        <f>Ticker0001_Exchange_Sheet!CU79-#REF!</f>
      </c>
      <c r="BW71" s="51" t="e">
        <f>Ticker0001_Exchange_Sheet!CV79-#REF!</f>
      </c>
      <c r="BX71" s="51" t="e">
        <f>Ticker0001_Exchange_Sheet!CW79-#REF!</f>
      </c>
      <c r="BY71" s="51" t="e">
        <f>Ticker0001_Exchange_Sheet!CX79-#REF!</f>
      </c>
      <c r="BZ71" s="51" t="e">
        <f>Ticker0001_Exchange_Sheet!CY79-#REF!</f>
      </c>
      <c r="CA71" s="51" t="e">
        <f>Ticker0001_Exchange_Sheet!CZ79-#REF!</f>
      </c>
      <c r="CB71" s="51" t="e">
        <f>Ticker0001_Exchange_Sheet!DA79-#REF!</f>
      </c>
      <c r="CC71" s="51" t="e">
        <f>Ticker0001_Exchange_Sheet!DB79-#REF!</f>
      </c>
      <c r="CD71" s="51" t="e">
        <f>Ticker0001_Exchange_Sheet!DC79-#REF!</f>
      </c>
      <c r="CE71" s="51" t="e">
        <f>Ticker0001_Exchange_Sheet!DD79-#REF!</f>
      </c>
      <c r="CF71" s="51" t="e">
        <f>Ticker0001_Exchange_Sheet!DE79-#REF!</f>
      </c>
    </row>
    <row r="72" spans="6:84">
      <c r="F72" s="51" t="e">
        <f>Ticker0001_Exchange_Sheet!F80-#REF!</f>
      </c>
      <c r="G72" s="51" t="e">
        <f>Ticker0001_Exchange_Sheet!G80-#REF!</f>
      </c>
      <c r="H72" s="51" t="e">
        <f>Ticker0001_Exchange_Sheet!H80-#REF!</f>
      </c>
      <c r="I72" s="51" t="e">
        <f>Ticker0001_Exchange_Sheet!I80-#REF!</f>
      </c>
      <c r="J72" s="51" t="e">
        <f>Ticker0001_Exchange_Sheet!J80-#REF!</f>
      </c>
      <c r="K72" s="51" t="e">
        <f>Ticker0001_Exchange_Sheet!K80-#REF!</f>
      </c>
      <c r="L72" s="51" t="e">
        <f>Ticker0001_Exchange_Sheet!L80-#REF!</f>
      </c>
      <c r="M72" s="51" t="e">
        <f>Ticker0001_Exchange_Sheet!M80-#REF!</f>
      </c>
      <c r="N72" s="51" t="e">
        <f>Ticker0001_Exchange_Sheet!N80-#REF!</f>
      </c>
      <c r="O72" s="51" t="e">
        <f>Ticker0001_Exchange_Sheet!O80-#REF!</f>
      </c>
      <c r="P72" s="51" t="e">
        <f>Ticker0001_Exchange_Sheet!P80-#REF!</f>
      </c>
      <c r="Q72" s="51" t="e">
        <f>Ticker0001_Exchange_Sheet!Q80-#REF!</f>
      </c>
      <c r="R72" s="51" t="e">
        <f>Ticker0001_Exchange_Sheet!R80-#REF!</f>
      </c>
      <c r="S72" s="51" t="e">
        <f>Ticker0001_Exchange_Sheet!S80-#REF!</f>
      </c>
      <c r="T72" s="51" t="e">
        <f>Ticker0001_Exchange_Sheet!T80-#REF!</f>
      </c>
      <c r="U72" s="51" t="e">
        <f>Ticker0001_Exchange_Sheet!U80-#REF!</f>
      </c>
      <c r="V72" s="51" t="e">
        <f>Ticker0001_Exchange_Sheet!V80-#REF!</f>
      </c>
      <c r="W72" s="51" t="e">
        <f>Ticker0001_Exchange_Sheet!W80-#REF!</f>
      </c>
      <c r="X72" s="51" t="e">
        <f>Ticker0001_Exchange_Sheet!AK80-#REF!</f>
      </c>
      <c r="Y72" s="51" t="e">
        <f>Ticker0001_Exchange_Sheet!AX80-#REF!</f>
      </c>
      <c r="Z72" s="51" t="e">
        <f>Ticker0001_Exchange_Sheet!AY80-#REF!</f>
      </c>
      <c r="AA72" s="51" t="e">
        <f>Ticker0001_Exchange_Sheet!AZ80-#REF!</f>
      </c>
      <c r="AB72" s="51" t="e">
        <f>Ticker0001_Exchange_Sheet!BA80-#REF!</f>
      </c>
      <c r="AC72" s="51" t="e">
        <f>Ticker0001_Exchange_Sheet!BB80-#REF!</f>
      </c>
      <c r="AD72" s="51" t="e">
        <f>Ticker0001_Exchange_Sheet!BC80-#REF!</f>
      </c>
      <c r="AE72" s="51" t="e">
        <f>Ticker0001_Exchange_Sheet!BD80-#REF!</f>
      </c>
      <c r="AF72" s="51" t="e">
        <f>Ticker0001_Exchange_Sheet!BE80-#REF!</f>
      </c>
      <c r="AG72" s="51" t="e">
        <f>Ticker0001_Exchange_Sheet!BF80-#REF!</f>
      </c>
      <c r="AH72" s="51" t="e">
        <f>Ticker0001_Exchange_Sheet!BG80-#REF!</f>
      </c>
      <c r="AI72" s="51" t="e">
        <f>Ticker0001_Exchange_Sheet!BH80-#REF!</f>
      </c>
      <c r="AJ72" s="51" t="e">
        <f>Ticker0001_Exchange_Sheet!BI80-#REF!</f>
      </c>
      <c r="AK72" s="51" t="e">
        <f>Ticker0001_Exchange_Sheet!BJ80-#REF!</f>
      </c>
      <c r="AL72" s="51" t="e">
        <f>Ticker0001_Exchange_Sheet!BK80-#REF!</f>
      </c>
      <c r="AM72" s="51" t="e">
        <f>Ticker0001_Exchange_Sheet!BL80-#REF!</f>
      </c>
      <c r="AN72" s="51" t="e">
        <f>Ticker0001_Exchange_Sheet!BM80-#REF!</f>
      </c>
      <c r="AO72" s="51" t="e">
        <f>Ticker0001_Exchange_Sheet!BN80-#REF!</f>
      </c>
      <c r="AP72" s="51" t="e">
        <f>Ticker0001_Exchange_Sheet!BO80-#REF!</f>
      </c>
      <c r="AQ72" s="51" t="e">
        <f>Ticker0001_Exchange_Sheet!BP80-#REF!</f>
      </c>
      <c r="AR72" s="51" t="e">
        <f>Ticker0001_Exchange_Sheet!BQ80-#REF!</f>
      </c>
      <c r="AS72" s="51" t="e">
        <f>Ticker0001_Exchange_Sheet!BR80-#REF!</f>
      </c>
      <c r="AT72" s="51" t="e">
        <f>Ticker0001_Exchange_Sheet!BS80-#REF!</f>
      </c>
      <c r="AU72" s="51" t="e">
        <f>Ticker0001_Exchange_Sheet!BT80-#REF!</f>
      </c>
      <c r="AV72" s="51" t="e">
        <f>Ticker0001_Exchange_Sheet!BU80-#REF!</f>
      </c>
      <c r="AW72" s="51" t="e">
        <f>Ticker0001_Exchange_Sheet!BV80-#REF!</f>
      </c>
      <c r="AX72" s="51" t="e">
        <f>Ticker0001_Exchange_Sheet!BW80-#REF!</f>
      </c>
      <c r="AY72" s="51" t="e">
        <f>Ticker0001_Exchange_Sheet!BX80-#REF!</f>
      </c>
      <c r="AZ72" s="51" t="e">
        <f>Ticker0001_Exchange_Sheet!BY80-#REF!</f>
      </c>
      <c r="BA72" s="51" t="e">
        <f>Ticker0001_Exchange_Sheet!BZ80-#REF!</f>
      </c>
      <c r="BB72" s="51" t="e">
        <f>Ticker0001_Exchange_Sheet!CA80-#REF!</f>
      </c>
      <c r="BC72" s="51" t="e">
        <f>Ticker0001_Exchange_Sheet!CB80-#REF!</f>
      </c>
      <c r="BD72" s="51" t="e">
        <f>Ticker0001_Exchange_Sheet!CC80-#REF!</f>
      </c>
      <c r="BE72" s="51" t="e">
        <f>Ticker0001_Exchange_Sheet!CD80-#REF!</f>
      </c>
      <c r="BF72" s="51" t="e">
        <f>Ticker0001_Exchange_Sheet!CE80-#REF!</f>
      </c>
      <c r="BG72" s="51" t="e">
        <f>Ticker0001_Exchange_Sheet!CF80-#REF!</f>
      </c>
      <c r="BH72" s="51" t="e">
        <f>Ticker0001_Exchange_Sheet!CG80-#REF!</f>
      </c>
      <c r="BI72" s="51" t="e">
        <f>Ticker0001_Exchange_Sheet!CH80-#REF!</f>
      </c>
      <c r="BJ72" s="51" t="e">
        <f>Ticker0001_Exchange_Sheet!CI80-#REF!</f>
      </c>
      <c r="BK72" s="51" t="e">
        <f>Ticker0001_Exchange_Sheet!CJ80-#REF!</f>
      </c>
      <c r="BL72" s="51" t="e">
        <f>Ticker0001_Exchange_Sheet!CK80-#REF!</f>
      </c>
      <c r="BM72" s="51" t="e">
        <f>Ticker0001_Exchange_Sheet!CL80-#REF!</f>
      </c>
      <c r="BN72" s="51" t="e">
        <f>Ticker0001_Exchange_Sheet!CM80-#REF!</f>
      </c>
      <c r="BO72" s="51" t="e">
        <f>Ticker0001_Exchange_Sheet!CN80-#REF!</f>
      </c>
      <c r="BP72" s="51" t="e">
        <f>Ticker0001_Exchange_Sheet!CO80-#REF!</f>
      </c>
      <c r="BQ72" s="51" t="e">
        <f>Ticker0001_Exchange_Sheet!CP80-#REF!</f>
      </c>
      <c r="BR72" s="51" t="e">
        <f>Ticker0001_Exchange_Sheet!CQ80-#REF!</f>
      </c>
      <c r="BS72" s="51" t="e">
        <f>Ticker0001_Exchange_Sheet!CR80-#REF!</f>
      </c>
      <c r="BT72" s="51" t="e">
        <f>Ticker0001_Exchange_Sheet!CS80-#REF!</f>
      </c>
      <c r="BU72" s="51" t="e">
        <f>Ticker0001_Exchange_Sheet!CT80-#REF!</f>
      </c>
      <c r="BV72" s="51" t="e">
        <f>Ticker0001_Exchange_Sheet!CU80-#REF!</f>
      </c>
      <c r="BW72" s="51" t="e">
        <f>Ticker0001_Exchange_Sheet!CV80-#REF!</f>
      </c>
      <c r="BX72" s="51" t="e">
        <f>Ticker0001_Exchange_Sheet!CW80-#REF!</f>
      </c>
      <c r="BY72" s="51" t="e">
        <f>Ticker0001_Exchange_Sheet!CX80-#REF!</f>
      </c>
      <c r="BZ72" s="51" t="e">
        <f>Ticker0001_Exchange_Sheet!CY80-#REF!</f>
      </c>
      <c r="CA72" s="51" t="e">
        <f>Ticker0001_Exchange_Sheet!CZ80-#REF!</f>
      </c>
      <c r="CB72" s="51" t="e">
        <f>Ticker0001_Exchange_Sheet!DA80-#REF!</f>
      </c>
      <c r="CC72" s="51" t="e">
        <f>Ticker0001_Exchange_Sheet!DB80-#REF!</f>
      </c>
      <c r="CD72" s="51" t="e">
        <f>Ticker0001_Exchange_Sheet!DC80-#REF!</f>
      </c>
      <c r="CE72" s="51" t="e">
        <f>Ticker0001_Exchange_Sheet!DD80-#REF!</f>
      </c>
      <c r="CF72" s="51" t="e">
        <f>Ticker0001_Exchange_Sheet!DE80-#REF!</f>
      </c>
    </row>
    <row r="73" spans="6:84">
      <c r="F73" s="51" t="e">
        <f>Ticker0001_Exchange_Sheet!F81-#REF!</f>
      </c>
      <c r="G73" s="51" t="e">
        <f>Ticker0001_Exchange_Sheet!G81-#REF!</f>
      </c>
      <c r="H73" s="51" t="e">
        <f>Ticker0001_Exchange_Sheet!H81-#REF!</f>
      </c>
      <c r="I73" s="51" t="e">
        <f>Ticker0001_Exchange_Sheet!I81-#REF!</f>
      </c>
      <c r="J73" s="51" t="e">
        <f>Ticker0001_Exchange_Sheet!J81-#REF!</f>
      </c>
      <c r="K73" s="51" t="e">
        <f>Ticker0001_Exchange_Sheet!K81-#REF!</f>
      </c>
      <c r="L73" s="51" t="e">
        <f>Ticker0001_Exchange_Sheet!L81-#REF!</f>
      </c>
      <c r="M73" s="51" t="e">
        <f>Ticker0001_Exchange_Sheet!M81-#REF!</f>
      </c>
      <c r="N73" s="51" t="e">
        <f>Ticker0001_Exchange_Sheet!N81-#REF!</f>
      </c>
      <c r="O73" s="51" t="e">
        <f>Ticker0001_Exchange_Sheet!O81-#REF!</f>
      </c>
      <c r="P73" s="51" t="e">
        <f>Ticker0001_Exchange_Sheet!P81-#REF!</f>
      </c>
      <c r="Q73" s="51" t="e">
        <f>Ticker0001_Exchange_Sheet!Q81-#REF!</f>
      </c>
      <c r="R73" s="51" t="e">
        <f>Ticker0001_Exchange_Sheet!R81-#REF!</f>
      </c>
      <c r="S73" s="51" t="e">
        <f>Ticker0001_Exchange_Sheet!S81-#REF!</f>
      </c>
      <c r="T73" s="51" t="e">
        <f>Ticker0001_Exchange_Sheet!T81-#REF!</f>
      </c>
      <c r="U73" s="51" t="e">
        <f>Ticker0001_Exchange_Sheet!U81-#REF!</f>
      </c>
      <c r="V73" s="51" t="e">
        <f>Ticker0001_Exchange_Sheet!V81-#REF!</f>
      </c>
      <c r="W73" s="51" t="e">
        <f>Ticker0001_Exchange_Sheet!W81-#REF!</f>
      </c>
      <c r="X73" s="51" t="e">
        <f>Ticker0001_Exchange_Sheet!AK81-#REF!</f>
      </c>
      <c r="Y73" s="51" t="e">
        <f>Ticker0001_Exchange_Sheet!AX81-#REF!</f>
      </c>
      <c r="Z73" s="51" t="e">
        <f>Ticker0001_Exchange_Sheet!AY81-#REF!</f>
      </c>
      <c r="AA73" s="51" t="e">
        <f>Ticker0001_Exchange_Sheet!AZ81-#REF!</f>
      </c>
      <c r="AB73" s="51" t="e">
        <f>Ticker0001_Exchange_Sheet!BA81-#REF!</f>
      </c>
      <c r="AC73" s="51" t="e">
        <f>Ticker0001_Exchange_Sheet!BB81-#REF!</f>
      </c>
      <c r="AD73" s="51" t="e">
        <f>Ticker0001_Exchange_Sheet!BC81-#REF!</f>
      </c>
      <c r="AE73" s="51" t="e">
        <f>Ticker0001_Exchange_Sheet!BD81-#REF!</f>
      </c>
      <c r="AF73" s="51" t="e">
        <f>Ticker0001_Exchange_Sheet!BE81-#REF!</f>
      </c>
      <c r="AG73" s="51" t="e">
        <f>Ticker0001_Exchange_Sheet!BF81-#REF!</f>
      </c>
      <c r="AH73" s="51" t="e">
        <f>Ticker0001_Exchange_Sheet!BG81-#REF!</f>
      </c>
      <c r="AI73" s="51" t="e">
        <f>Ticker0001_Exchange_Sheet!BH81-#REF!</f>
      </c>
      <c r="AJ73" s="51" t="e">
        <f>Ticker0001_Exchange_Sheet!BI81-#REF!</f>
      </c>
      <c r="AK73" s="51" t="e">
        <f>Ticker0001_Exchange_Sheet!BJ81-#REF!</f>
      </c>
      <c r="AL73" s="51" t="e">
        <f>Ticker0001_Exchange_Sheet!BK81-#REF!</f>
      </c>
      <c r="AM73" s="51" t="e">
        <f>Ticker0001_Exchange_Sheet!BL81-#REF!</f>
      </c>
      <c r="AN73" s="51" t="e">
        <f>Ticker0001_Exchange_Sheet!BM81-#REF!</f>
      </c>
      <c r="AO73" s="51" t="e">
        <f>Ticker0001_Exchange_Sheet!BN81-#REF!</f>
      </c>
      <c r="AP73" s="51" t="e">
        <f>Ticker0001_Exchange_Sheet!BO81-#REF!</f>
      </c>
      <c r="AQ73" s="51" t="e">
        <f>Ticker0001_Exchange_Sheet!BP81-#REF!</f>
      </c>
      <c r="AR73" s="51" t="e">
        <f>Ticker0001_Exchange_Sheet!BQ81-#REF!</f>
      </c>
      <c r="AS73" s="51" t="e">
        <f>Ticker0001_Exchange_Sheet!BR81-#REF!</f>
      </c>
      <c r="AT73" s="51" t="e">
        <f>Ticker0001_Exchange_Sheet!BS81-#REF!</f>
      </c>
      <c r="AU73" s="51" t="e">
        <f>Ticker0001_Exchange_Sheet!BT81-#REF!</f>
      </c>
      <c r="AV73" s="51" t="e">
        <f>Ticker0001_Exchange_Sheet!BU81-#REF!</f>
      </c>
      <c r="AW73" s="51" t="e">
        <f>Ticker0001_Exchange_Sheet!BV81-#REF!</f>
      </c>
      <c r="AX73" s="51" t="e">
        <f>Ticker0001_Exchange_Sheet!BW81-#REF!</f>
      </c>
      <c r="AY73" s="51" t="e">
        <f>Ticker0001_Exchange_Sheet!BX81-#REF!</f>
      </c>
      <c r="AZ73" s="51" t="e">
        <f>Ticker0001_Exchange_Sheet!BY81-#REF!</f>
      </c>
      <c r="BA73" s="51" t="e">
        <f>Ticker0001_Exchange_Sheet!BZ81-#REF!</f>
      </c>
      <c r="BB73" s="51" t="e">
        <f>Ticker0001_Exchange_Sheet!CA81-#REF!</f>
      </c>
      <c r="BC73" s="51" t="e">
        <f>Ticker0001_Exchange_Sheet!CB81-#REF!</f>
      </c>
      <c r="BD73" s="51" t="e">
        <f>Ticker0001_Exchange_Sheet!CC81-#REF!</f>
      </c>
      <c r="BE73" s="51" t="e">
        <f>Ticker0001_Exchange_Sheet!CD81-#REF!</f>
      </c>
      <c r="BF73" s="51" t="e">
        <f>Ticker0001_Exchange_Sheet!CE81-#REF!</f>
      </c>
      <c r="BG73" s="51" t="e">
        <f>Ticker0001_Exchange_Sheet!CF81-#REF!</f>
      </c>
      <c r="BH73" s="51" t="e">
        <f>Ticker0001_Exchange_Sheet!CG81-#REF!</f>
      </c>
      <c r="BI73" s="51" t="e">
        <f>Ticker0001_Exchange_Sheet!CH81-#REF!</f>
      </c>
      <c r="BJ73" s="51" t="e">
        <f>Ticker0001_Exchange_Sheet!CI81-#REF!</f>
      </c>
      <c r="BK73" s="51" t="e">
        <f>Ticker0001_Exchange_Sheet!CJ81-#REF!</f>
      </c>
      <c r="BL73" s="51" t="e">
        <f>Ticker0001_Exchange_Sheet!CK81-#REF!</f>
      </c>
      <c r="BM73" s="51" t="e">
        <f>Ticker0001_Exchange_Sheet!CL81-#REF!</f>
      </c>
      <c r="BN73" s="51" t="e">
        <f>Ticker0001_Exchange_Sheet!CM81-#REF!</f>
      </c>
      <c r="BO73" s="51" t="e">
        <f>Ticker0001_Exchange_Sheet!CN81-#REF!</f>
      </c>
      <c r="BP73" s="51" t="e">
        <f>Ticker0001_Exchange_Sheet!CO81-#REF!</f>
      </c>
      <c r="BQ73" s="51" t="e">
        <f>Ticker0001_Exchange_Sheet!CP81-#REF!</f>
      </c>
      <c r="BR73" s="51" t="e">
        <f>Ticker0001_Exchange_Sheet!CQ81-#REF!</f>
      </c>
      <c r="BS73" s="51" t="e">
        <f>Ticker0001_Exchange_Sheet!CR81-#REF!</f>
      </c>
      <c r="BT73" s="51" t="e">
        <f>Ticker0001_Exchange_Sheet!CS81-#REF!</f>
      </c>
      <c r="BU73" s="51" t="e">
        <f>Ticker0001_Exchange_Sheet!CT81-#REF!</f>
      </c>
      <c r="BV73" s="51" t="e">
        <f>Ticker0001_Exchange_Sheet!CU81-#REF!</f>
      </c>
      <c r="BW73" s="51" t="e">
        <f>Ticker0001_Exchange_Sheet!CV81-#REF!</f>
      </c>
      <c r="BX73" s="51" t="e">
        <f>Ticker0001_Exchange_Sheet!CW81-#REF!</f>
      </c>
      <c r="BY73" s="51" t="e">
        <f>Ticker0001_Exchange_Sheet!CX81-#REF!</f>
      </c>
      <c r="BZ73" s="51" t="e">
        <f>Ticker0001_Exchange_Sheet!CY81-#REF!</f>
      </c>
      <c r="CA73" s="51" t="e">
        <f>Ticker0001_Exchange_Sheet!CZ81-#REF!</f>
      </c>
      <c r="CB73" s="51" t="e">
        <f>Ticker0001_Exchange_Sheet!DA81-#REF!</f>
      </c>
      <c r="CC73" s="51" t="e">
        <f>Ticker0001_Exchange_Sheet!DB81-#REF!</f>
      </c>
      <c r="CD73" s="51" t="e">
        <f>Ticker0001_Exchange_Sheet!DC81-#REF!</f>
      </c>
      <c r="CE73" s="51" t="e">
        <f>Ticker0001_Exchange_Sheet!DD81-#REF!</f>
      </c>
      <c r="CF73" s="51" t="e">
        <f>Ticker0001_Exchange_Sheet!DE81-#REF!</f>
      </c>
    </row>
    <row r="74" spans="6:84">
      <c r="F74" s="51" t="e">
        <f>Ticker0001_Exchange_Sheet!F82-#REF!</f>
      </c>
      <c r="G74" s="51" t="e">
        <f>Ticker0001_Exchange_Sheet!G82-#REF!</f>
      </c>
      <c r="H74" s="51" t="e">
        <f>Ticker0001_Exchange_Sheet!H82-#REF!</f>
      </c>
      <c r="I74" s="51" t="e">
        <f>Ticker0001_Exchange_Sheet!I82-#REF!</f>
      </c>
      <c r="J74" s="51" t="e">
        <f>Ticker0001_Exchange_Sheet!J82-#REF!</f>
      </c>
      <c r="K74" s="51" t="e">
        <f>Ticker0001_Exchange_Sheet!K82-#REF!</f>
      </c>
      <c r="L74" s="51" t="e">
        <f>Ticker0001_Exchange_Sheet!L82-#REF!</f>
      </c>
      <c r="M74" s="51" t="e">
        <f>Ticker0001_Exchange_Sheet!M82-#REF!</f>
      </c>
      <c r="N74" s="51" t="e">
        <f>Ticker0001_Exchange_Sheet!N82-#REF!</f>
      </c>
      <c r="O74" s="51" t="e">
        <f>Ticker0001_Exchange_Sheet!O82-#REF!</f>
      </c>
      <c r="P74" s="51" t="e">
        <f>Ticker0001_Exchange_Sheet!P82-#REF!</f>
      </c>
      <c r="Q74" s="51" t="e">
        <f>Ticker0001_Exchange_Sheet!Q82-#REF!</f>
      </c>
      <c r="R74" s="51" t="e">
        <f>Ticker0001_Exchange_Sheet!R82-#REF!</f>
      </c>
      <c r="S74" s="51" t="e">
        <f>Ticker0001_Exchange_Sheet!S82-#REF!</f>
      </c>
      <c r="T74" s="51" t="e">
        <f>Ticker0001_Exchange_Sheet!T82-#REF!</f>
      </c>
      <c r="U74" s="51" t="e">
        <f>Ticker0001_Exchange_Sheet!U82-#REF!</f>
      </c>
      <c r="V74" s="51" t="e">
        <f>Ticker0001_Exchange_Sheet!V82-#REF!</f>
      </c>
      <c r="W74" s="51" t="e">
        <f>Ticker0001_Exchange_Sheet!W82-#REF!</f>
      </c>
      <c r="X74" s="51" t="e">
        <f>Ticker0001_Exchange_Sheet!AK82-#REF!</f>
      </c>
      <c r="Y74" s="51" t="e">
        <f>Ticker0001_Exchange_Sheet!AX82-#REF!</f>
      </c>
      <c r="Z74" s="51" t="e">
        <f>Ticker0001_Exchange_Sheet!AY82-#REF!</f>
      </c>
      <c r="AA74" s="51" t="e">
        <f>Ticker0001_Exchange_Sheet!AZ82-#REF!</f>
      </c>
      <c r="AB74" s="51" t="e">
        <f>Ticker0001_Exchange_Sheet!BA82-#REF!</f>
      </c>
      <c r="AC74" s="51" t="e">
        <f>Ticker0001_Exchange_Sheet!BB82-#REF!</f>
      </c>
      <c r="AD74" s="51" t="e">
        <f>Ticker0001_Exchange_Sheet!BC82-#REF!</f>
      </c>
      <c r="AE74" s="51" t="e">
        <f>Ticker0001_Exchange_Sheet!BD82-#REF!</f>
      </c>
      <c r="AF74" s="51" t="e">
        <f>Ticker0001_Exchange_Sheet!BE82-#REF!</f>
      </c>
      <c r="AG74" s="51" t="e">
        <f>Ticker0001_Exchange_Sheet!BF82-#REF!</f>
      </c>
      <c r="AH74" s="51" t="e">
        <f>Ticker0001_Exchange_Sheet!BG82-#REF!</f>
      </c>
      <c r="AI74" s="51" t="e">
        <f>Ticker0001_Exchange_Sheet!BH82-#REF!</f>
      </c>
      <c r="AJ74" s="51" t="e">
        <f>Ticker0001_Exchange_Sheet!BI82-#REF!</f>
      </c>
      <c r="AK74" s="51" t="e">
        <f>Ticker0001_Exchange_Sheet!BJ82-#REF!</f>
      </c>
      <c r="AL74" s="51" t="e">
        <f>Ticker0001_Exchange_Sheet!BK82-#REF!</f>
      </c>
      <c r="AM74" s="51" t="e">
        <f>Ticker0001_Exchange_Sheet!BL82-#REF!</f>
      </c>
      <c r="AN74" s="51" t="e">
        <f>Ticker0001_Exchange_Sheet!BM82-#REF!</f>
      </c>
      <c r="AO74" s="51" t="e">
        <f>Ticker0001_Exchange_Sheet!BN82-#REF!</f>
      </c>
      <c r="AP74" s="51" t="e">
        <f>Ticker0001_Exchange_Sheet!BO82-#REF!</f>
      </c>
      <c r="AQ74" s="51" t="e">
        <f>Ticker0001_Exchange_Sheet!BP82-#REF!</f>
      </c>
      <c r="AR74" s="51" t="e">
        <f>Ticker0001_Exchange_Sheet!BQ82-#REF!</f>
      </c>
      <c r="AS74" s="51" t="e">
        <f>Ticker0001_Exchange_Sheet!BR82-#REF!</f>
      </c>
      <c r="AT74" s="51" t="e">
        <f>Ticker0001_Exchange_Sheet!BS82-#REF!</f>
      </c>
      <c r="AU74" s="51" t="e">
        <f>Ticker0001_Exchange_Sheet!BT82-#REF!</f>
      </c>
      <c r="AV74" s="51" t="e">
        <f>Ticker0001_Exchange_Sheet!BU82-#REF!</f>
      </c>
      <c r="AW74" s="51" t="e">
        <f>Ticker0001_Exchange_Sheet!BV82-#REF!</f>
      </c>
      <c r="AX74" s="51" t="e">
        <f>Ticker0001_Exchange_Sheet!BW82-#REF!</f>
      </c>
      <c r="AY74" s="51" t="e">
        <f>Ticker0001_Exchange_Sheet!BX82-#REF!</f>
      </c>
      <c r="AZ74" s="51" t="e">
        <f>Ticker0001_Exchange_Sheet!BY82-#REF!</f>
      </c>
      <c r="BA74" s="51" t="e">
        <f>Ticker0001_Exchange_Sheet!BZ82-#REF!</f>
      </c>
      <c r="BB74" s="51" t="e">
        <f>Ticker0001_Exchange_Sheet!CA82-#REF!</f>
      </c>
      <c r="BC74" s="51" t="e">
        <f>Ticker0001_Exchange_Sheet!CB82-#REF!</f>
      </c>
      <c r="BD74" s="51" t="e">
        <f>Ticker0001_Exchange_Sheet!CC82-#REF!</f>
      </c>
      <c r="BE74" s="51" t="e">
        <f>Ticker0001_Exchange_Sheet!CD82-#REF!</f>
      </c>
      <c r="BF74" s="51" t="e">
        <f>Ticker0001_Exchange_Sheet!CE82-#REF!</f>
      </c>
      <c r="BG74" s="51" t="e">
        <f>Ticker0001_Exchange_Sheet!CF82-#REF!</f>
      </c>
      <c r="BH74" s="51" t="e">
        <f>Ticker0001_Exchange_Sheet!CG82-#REF!</f>
      </c>
      <c r="BI74" s="51" t="e">
        <f>Ticker0001_Exchange_Sheet!CH82-#REF!</f>
      </c>
      <c r="BJ74" s="51" t="e">
        <f>Ticker0001_Exchange_Sheet!CI82-#REF!</f>
      </c>
      <c r="BK74" s="51" t="e">
        <f>Ticker0001_Exchange_Sheet!CJ82-#REF!</f>
      </c>
      <c r="BL74" s="51" t="e">
        <f>Ticker0001_Exchange_Sheet!CK82-#REF!</f>
      </c>
      <c r="BM74" s="51" t="e">
        <f>Ticker0001_Exchange_Sheet!CL82-#REF!</f>
      </c>
      <c r="BN74" s="51" t="e">
        <f>Ticker0001_Exchange_Sheet!CM82-#REF!</f>
      </c>
      <c r="BO74" s="51" t="e">
        <f>Ticker0001_Exchange_Sheet!CN82-#REF!</f>
      </c>
      <c r="BP74" s="51" t="e">
        <f>Ticker0001_Exchange_Sheet!CO82-#REF!</f>
      </c>
      <c r="BQ74" s="51" t="e">
        <f>Ticker0001_Exchange_Sheet!CP82-#REF!</f>
      </c>
      <c r="BR74" s="51" t="e">
        <f>Ticker0001_Exchange_Sheet!CQ82-#REF!</f>
      </c>
      <c r="BS74" s="51" t="e">
        <f>Ticker0001_Exchange_Sheet!CR82-#REF!</f>
      </c>
      <c r="BT74" s="51" t="e">
        <f>Ticker0001_Exchange_Sheet!CS82-#REF!</f>
      </c>
      <c r="BU74" s="51" t="e">
        <f>Ticker0001_Exchange_Sheet!CT82-#REF!</f>
      </c>
      <c r="BV74" s="51" t="e">
        <f>Ticker0001_Exchange_Sheet!CU82-#REF!</f>
      </c>
      <c r="BW74" s="51" t="e">
        <f>Ticker0001_Exchange_Sheet!CV82-#REF!</f>
      </c>
      <c r="BX74" s="51" t="e">
        <f>Ticker0001_Exchange_Sheet!CW82-#REF!</f>
      </c>
      <c r="BY74" s="51" t="e">
        <f>Ticker0001_Exchange_Sheet!CX82-#REF!</f>
      </c>
      <c r="BZ74" s="51" t="e">
        <f>Ticker0001_Exchange_Sheet!CY82-#REF!</f>
      </c>
      <c r="CA74" s="51" t="e">
        <f>Ticker0001_Exchange_Sheet!CZ82-#REF!</f>
      </c>
      <c r="CB74" s="51" t="e">
        <f>Ticker0001_Exchange_Sheet!DA82-#REF!</f>
      </c>
      <c r="CC74" s="51" t="e">
        <f>Ticker0001_Exchange_Sheet!DB82-#REF!</f>
      </c>
      <c r="CD74" s="51" t="e">
        <f>Ticker0001_Exchange_Sheet!DC82-#REF!</f>
      </c>
      <c r="CE74" s="51" t="e">
        <f>Ticker0001_Exchange_Sheet!DD82-#REF!</f>
      </c>
      <c r="CF74" s="51" t="e">
        <f>Ticker0001_Exchange_Sheet!DE82-#REF!</f>
      </c>
    </row>
    <row r="75" spans="6:84">
      <c r="F75" s="51" t="e">
        <f>Ticker0001_Exchange_Sheet!F83-#REF!</f>
      </c>
      <c r="G75" s="51" t="e">
        <f>Ticker0001_Exchange_Sheet!G83-#REF!</f>
      </c>
      <c r="H75" s="51" t="e">
        <f>Ticker0001_Exchange_Sheet!H83-#REF!</f>
      </c>
      <c r="I75" s="51" t="e">
        <f>Ticker0001_Exchange_Sheet!I83-#REF!</f>
      </c>
      <c r="J75" s="51" t="e">
        <f>Ticker0001_Exchange_Sheet!J83-#REF!</f>
      </c>
      <c r="K75" s="51" t="e">
        <f>Ticker0001_Exchange_Sheet!K83-#REF!</f>
      </c>
      <c r="L75" s="51" t="e">
        <f>Ticker0001_Exchange_Sheet!L83-#REF!</f>
      </c>
      <c r="M75" s="51" t="e">
        <f>Ticker0001_Exchange_Sheet!M83-#REF!</f>
      </c>
      <c r="N75" s="51" t="e">
        <f>Ticker0001_Exchange_Sheet!N83-#REF!</f>
      </c>
      <c r="O75" s="51" t="e">
        <f>Ticker0001_Exchange_Sheet!O83-#REF!</f>
      </c>
      <c r="P75" s="51" t="e">
        <f>Ticker0001_Exchange_Sheet!P83-#REF!</f>
      </c>
      <c r="Q75" s="51" t="e">
        <f>Ticker0001_Exchange_Sheet!Q83-#REF!</f>
      </c>
      <c r="R75" s="51" t="e">
        <f>Ticker0001_Exchange_Sheet!R83-#REF!</f>
      </c>
      <c r="S75" s="51" t="e">
        <f>Ticker0001_Exchange_Sheet!S83-#REF!</f>
      </c>
      <c r="T75" s="51" t="e">
        <f>Ticker0001_Exchange_Sheet!T83-#REF!</f>
      </c>
      <c r="U75" s="51" t="e">
        <f>Ticker0001_Exchange_Sheet!U83-#REF!</f>
      </c>
      <c r="V75" s="51" t="e">
        <f>Ticker0001_Exchange_Sheet!V83-#REF!</f>
      </c>
      <c r="W75" s="51" t="e">
        <f>Ticker0001_Exchange_Sheet!W83-#REF!</f>
      </c>
      <c r="X75" s="51" t="e">
        <f>Ticker0001_Exchange_Sheet!AK83-#REF!</f>
      </c>
      <c r="Y75" s="51" t="e">
        <f>Ticker0001_Exchange_Sheet!AX83-#REF!</f>
      </c>
      <c r="Z75" s="51" t="e">
        <f>Ticker0001_Exchange_Sheet!AY83-#REF!</f>
      </c>
      <c r="AA75" s="51" t="e">
        <f>Ticker0001_Exchange_Sheet!AZ83-#REF!</f>
      </c>
      <c r="AB75" s="51" t="e">
        <f>Ticker0001_Exchange_Sheet!BA83-#REF!</f>
      </c>
      <c r="AC75" s="51" t="e">
        <f>Ticker0001_Exchange_Sheet!BB83-#REF!</f>
      </c>
      <c r="AD75" s="51" t="e">
        <f>Ticker0001_Exchange_Sheet!BC83-#REF!</f>
      </c>
      <c r="AE75" s="51" t="e">
        <f>Ticker0001_Exchange_Sheet!BD83-#REF!</f>
      </c>
      <c r="AF75" s="51" t="e">
        <f>Ticker0001_Exchange_Sheet!BE83-#REF!</f>
      </c>
      <c r="AG75" s="51" t="e">
        <f>Ticker0001_Exchange_Sheet!BF83-#REF!</f>
      </c>
      <c r="AH75" s="51" t="e">
        <f>Ticker0001_Exchange_Sheet!BG83-#REF!</f>
      </c>
      <c r="AI75" s="51" t="e">
        <f>Ticker0001_Exchange_Sheet!BH83-#REF!</f>
      </c>
      <c r="AJ75" s="51" t="e">
        <f>Ticker0001_Exchange_Sheet!BI83-#REF!</f>
      </c>
      <c r="AK75" s="51" t="e">
        <f>Ticker0001_Exchange_Sheet!BJ83-#REF!</f>
      </c>
      <c r="AL75" s="51" t="e">
        <f>Ticker0001_Exchange_Sheet!BK83-#REF!</f>
      </c>
      <c r="AM75" s="51" t="e">
        <f>Ticker0001_Exchange_Sheet!BL83-#REF!</f>
      </c>
      <c r="AN75" s="51" t="e">
        <f>Ticker0001_Exchange_Sheet!BM83-#REF!</f>
      </c>
      <c r="AO75" s="51" t="e">
        <f>Ticker0001_Exchange_Sheet!BN83-#REF!</f>
      </c>
      <c r="AP75" s="51" t="e">
        <f>Ticker0001_Exchange_Sheet!BO83-#REF!</f>
      </c>
      <c r="AQ75" s="51" t="e">
        <f>Ticker0001_Exchange_Sheet!BP83-#REF!</f>
      </c>
      <c r="AR75" s="51" t="e">
        <f>Ticker0001_Exchange_Sheet!BQ83-#REF!</f>
      </c>
      <c r="AS75" s="51" t="e">
        <f>Ticker0001_Exchange_Sheet!BR83-#REF!</f>
      </c>
      <c r="AT75" s="51" t="e">
        <f>Ticker0001_Exchange_Sheet!BS83-#REF!</f>
      </c>
      <c r="AU75" s="51" t="e">
        <f>Ticker0001_Exchange_Sheet!BT83-#REF!</f>
      </c>
      <c r="AV75" s="51" t="e">
        <f>Ticker0001_Exchange_Sheet!BU83-#REF!</f>
      </c>
      <c r="AW75" s="51" t="e">
        <f>Ticker0001_Exchange_Sheet!BV83-#REF!</f>
      </c>
      <c r="AX75" s="51" t="e">
        <f>Ticker0001_Exchange_Sheet!BW83-#REF!</f>
      </c>
      <c r="AY75" s="51" t="e">
        <f>Ticker0001_Exchange_Sheet!BX83-#REF!</f>
      </c>
      <c r="AZ75" s="51" t="e">
        <f>Ticker0001_Exchange_Sheet!BY83-#REF!</f>
      </c>
      <c r="BA75" s="51" t="e">
        <f>Ticker0001_Exchange_Sheet!BZ83-#REF!</f>
      </c>
      <c r="BB75" s="51" t="e">
        <f>Ticker0001_Exchange_Sheet!CA83-#REF!</f>
      </c>
      <c r="BC75" s="51" t="e">
        <f>Ticker0001_Exchange_Sheet!CB83-#REF!</f>
      </c>
      <c r="BD75" s="51" t="e">
        <f>Ticker0001_Exchange_Sheet!CC83-#REF!</f>
      </c>
      <c r="BE75" s="51" t="e">
        <f>Ticker0001_Exchange_Sheet!CD83-#REF!</f>
      </c>
      <c r="BF75" s="51" t="e">
        <f>Ticker0001_Exchange_Sheet!CE83-#REF!</f>
      </c>
      <c r="BG75" s="51" t="e">
        <f>Ticker0001_Exchange_Sheet!CF83-#REF!</f>
      </c>
      <c r="BH75" s="51" t="e">
        <f>Ticker0001_Exchange_Sheet!CG83-#REF!</f>
      </c>
      <c r="BI75" s="51" t="e">
        <f>Ticker0001_Exchange_Sheet!CH83-#REF!</f>
      </c>
      <c r="BJ75" s="51" t="e">
        <f>Ticker0001_Exchange_Sheet!CI83-#REF!</f>
      </c>
      <c r="BK75" s="51" t="e">
        <f>Ticker0001_Exchange_Sheet!CJ83-#REF!</f>
      </c>
      <c r="BL75" s="51" t="e">
        <f>Ticker0001_Exchange_Sheet!CK83-#REF!</f>
      </c>
      <c r="BM75" s="51" t="e">
        <f>Ticker0001_Exchange_Sheet!CL83-#REF!</f>
      </c>
      <c r="BN75" s="51" t="e">
        <f>Ticker0001_Exchange_Sheet!CM83-#REF!</f>
      </c>
      <c r="BO75" s="51" t="e">
        <f>Ticker0001_Exchange_Sheet!CN83-#REF!</f>
      </c>
      <c r="BP75" s="51" t="e">
        <f>Ticker0001_Exchange_Sheet!CO83-#REF!</f>
      </c>
      <c r="BQ75" s="51" t="e">
        <f>Ticker0001_Exchange_Sheet!CP83-#REF!</f>
      </c>
      <c r="BR75" s="51" t="e">
        <f>Ticker0001_Exchange_Sheet!CQ83-#REF!</f>
      </c>
      <c r="BS75" s="51" t="e">
        <f>Ticker0001_Exchange_Sheet!CR83-#REF!</f>
      </c>
      <c r="BT75" s="51" t="e">
        <f>Ticker0001_Exchange_Sheet!CS83-#REF!</f>
      </c>
      <c r="BU75" s="51" t="e">
        <f>Ticker0001_Exchange_Sheet!CT83-#REF!</f>
      </c>
      <c r="BV75" s="51" t="e">
        <f>Ticker0001_Exchange_Sheet!CU83-#REF!</f>
      </c>
      <c r="BW75" s="51" t="e">
        <f>Ticker0001_Exchange_Sheet!CV83-#REF!</f>
      </c>
      <c r="BX75" s="51" t="e">
        <f>Ticker0001_Exchange_Sheet!CW83-#REF!</f>
      </c>
      <c r="BY75" s="51" t="e">
        <f>Ticker0001_Exchange_Sheet!CX83-#REF!</f>
      </c>
      <c r="BZ75" s="51" t="e">
        <f>Ticker0001_Exchange_Sheet!CY83-#REF!</f>
      </c>
      <c r="CA75" s="51" t="e">
        <f>Ticker0001_Exchange_Sheet!CZ83-#REF!</f>
      </c>
      <c r="CB75" s="51" t="e">
        <f>Ticker0001_Exchange_Sheet!DA83-#REF!</f>
      </c>
      <c r="CC75" s="51" t="e">
        <f>Ticker0001_Exchange_Sheet!DB83-#REF!</f>
      </c>
      <c r="CD75" s="51" t="e">
        <f>Ticker0001_Exchange_Sheet!DC83-#REF!</f>
      </c>
      <c r="CE75" s="51" t="e">
        <f>Ticker0001_Exchange_Sheet!DD83-#REF!</f>
      </c>
      <c r="CF75" s="51" t="e">
        <f>Ticker0001_Exchange_Sheet!DE83-#REF!</f>
      </c>
    </row>
    <row r="76" spans="6:84">
      <c r="F76" s="51" t="e">
        <f>Ticker0001_Exchange_Sheet!F84-#REF!</f>
      </c>
      <c r="G76" s="51" t="e">
        <f>Ticker0001_Exchange_Sheet!G84-#REF!</f>
      </c>
      <c r="H76" s="51" t="e">
        <f>Ticker0001_Exchange_Sheet!H84-#REF!</f>
      </c>
      <c r="I76" s="51" t="e">
        <f>Ticker0001_Exchange_Sheet!I84-#REF!</f>
      </c>
      <c r="J76" s="51" t="e">
        <f>Ticker0001_Exchange_Sheet!J84-#REF!</f>
      </c>
      <c r="K76" s="51" t="e">
        <f>Ticker0001_Exchange_Sheet!K84-#REF!</f>
      </c>
      <c r="L76" s="51" t="e">
        <f>Ticker0001_Exchange_Sheet!L84-#REF!</f>
      </c>
      <c r="M76" s="51" t="e">
        <f>Ticker0001_Exchange_Sheet!M84-#REF!</f>
      </c>
      <c r="N76" s="51" t="e">
        <f>Ticker0001_Exchange_Sheet!N84-#REF!</f>
      </c>
      <c r="O76" s="51" t="e">
        <f>Ticker0001_Exchange_Sheet!O84-#REF!</f>
      </c>
      <c r="P76" s="51" t="e">
        <f>Ticker0001_Exchange_Sheet!P84-#REF!</f>
      </c>
      <c r="Q76" s="51" t="e">
        <f>Ticker0001_Exchange_Sheet!Q84-#REF!</f>
      </c>
      <c r="R76" s="51" t="e">
        <f>Ticker0001_Exchange_Sheet!R84-#REF!</f>
      </c>
      <c r="S76" s="51" t="e">
        <f>Ticker0001_Exchange_Sheet!S84-#REF!</f>
      </c>
      <c r="T76" s="51" t="e">
        <f>Ticker0001_Exchange_Sheet!T84-#REF!</f>
      </c>
      <c r="U76" s="51" t="e">
        <f>Ticker0001_Exchange_Sheet!U84-#REF!</f>
      </c>
      <c r="V76" s="51" t="e">
        <f>Ticker0001_Exchange_Sheet!V84-#REF!</f>
      </c>
      <c r="W76" s="51" t="e">
        <f>Ticker0001_Exchange_Sheet!W84-#REF!</f>
      </c>
      <c r="X76" s="51" t="e">
        <f>Ticker0001_Exchange_Sheet!AK84-#REF!</f>
      </c>
      <c r="Y76" s="51" t="e">
        <f>Ticker0001_Exchange_Sheet!AX84-#REF!</f>
      </c>
      <c r="Z76" s="51" t="e">
        <f>Ticker0001_Exchange_Sheet!AY84-#REF!</f>
      </c>
      <c r="AA76" s="51" t="e">
        <f>Ticker0001_Exchange_Sheet!AZ84-#REF!</f>
      </c>
      <c r="AB76" s="51" t="e">
        <f>Ticker0001_Exchange_Sheet!BA84-#REF!</f>
      </c>
      <c r="AC76" s="51" t="e">
        <f>Ticker0001_Exchange_Sheet!BB84-#REF!</f>
      </c>
      <c r="AD76" s="51" t="e">
        <f>Ticker0001_Exchange_Sheet!BC84-#REF!</f>
      </c>
      <c r="AE76" s="51" t="e">
        <f>Ticker0001_Exchange_Sheet!BD84-#REF!</f>
      </c>
      <c r="AF76" s="51" t="e">
        <f>Ticker0001_Exchange_Sheet!BE84-#REF!</f>
      </c>
      <c r="AG76" s="51" t="e">
        <f>Ticker0001_Exchange_Sheet!BF84-#REF!</f>
      </c>
      <c r="AH76" s="51" t="e">
        <f>Ticker0001_Exchange_Sheet!BG84-#REF!</f>
      </c>
      <c r="AI76" s="51" t="e">
        <f>Ticker0001_Exchange_Sheet!BH84-#REF!</f>
      </c>
      <c r="AJ76" s="51" t="e">
        <f>Ticker0001_Exchange_Sheet!BI84-#REF!</f>
      </c>
      <c r="AK76" s="51" t="e">
        <f>Ticker0001_Exchange_Sheet!BJ84-#REF!</f>
      </c>
      <c r="AL76" s="51" t="e">
        <f>Ticker0001_Exchange_Sheet!BK84-#REF!</f>
      </c>
      <c r="AM76" s="51" t="e">
        <f>Ticker0001_Exchange_Sheet!BL84-#REF!</f>
      </c>
      <c r="AN76" s="51" t="e">
        <f>Ticker0001_Exchange_Sheet!BM84-#REF!</f>
      </c>
      <c r="AO76" s="51" t="e">
        <f>Ticker0001_Exchange_Sheet!BN84-#REF!</f>
      </c>
      <c r="AP76" s="51" t="e">
        <f>Ticker0001_Exchange_Sheet!BO84-#REF!</f>
      </c>
      <c r="AQ76" s="51" t="e">
        <f>Ticker0001_Exchange_Sheet!BP84-#REF!</f>
      </c>
      <c r="AR76" s="51" t="e">
        <f>Ticker0001_Exchange_Sheet!BQ84-#REF!</f>
      </c>
      <c r="AS76" s="51" t="e">
        <f>Ticker0001_Exchange_Sheet!BR84-#REF!</f>
      </c>
      <c r="AT76" s="51" t="e">
        <f>Ticker0001_Exchange_Sheet!BS84-#REF!</f>
      </c>
      <c r="AU76" s="51" t="e">
        <f>Ticker0001_Exchange_Sheet!BT84-#REF!</f>
      </c>
      <c r="AV76" s="51" t="e">
        <f>Ticker0001_Exchange_Sheet!BU84-#REF!</f>
      </c>
      <c r="AW76" s="51" t="e">
        <f>Ticker0001_Exchange_Sheet!BV84-#REF!</f>
      </c>
      <c r="AX76" s="51" t="e">
        <f>Ticker0001_Exchange_Sheet!BW84-#REF!</f>
      </c>
      <c r="AY76" s="51" t="e">
        <f>Ticker0001_Exchange_Sheet!BX84-#REF!</f>
      </c>
      <c r="AZ76" s="51" t="e">
        <f>Ticker0001_Exchange_Sheet!BY84-#REF!</f>
      </c>
      <c r="BA76" s="51" t="e">
        <f>Ticker0001_Exchange_Sheet!BZ84-#REF!</f>
      </c>
      <c r="BB76" s="51" t="e">
        <f>Ticker0001_Exchange_Sheet!CA84-#REF!</f>
      </c>
      <c r="BC76" s="51" t="e">
        <f>Ticker0001_Exchange_Sheet!CB84-#REF!</f>
      </c>
      <c r="BD76" s="51" t="e">
        <f>Ticker0001_Exchange_Sheet!CC84-#REF!</f>
      </c>
      <c r="BE76" s="51" t="e">
        <f>Ticker0001_Exchange_Sheet!CD84-#REF!</f>
      </c>
      <c r="BF76" s="51" t="e">
        <f>Ticker0001_Exchange_Sheet!CE84-#REF!</f>
      </c>
      <c r="BG76" s="51" t="e">
        <f>Ticker0001_Exchange_Sheet!CF84-#REF!</f>
      </c>
      <c r="BH76" s="51" t="e">
        <f>Ticker0001_Exchange_Sheet!CG84-#REF!</f>
      </c>
      <c r="BI76" s="51" t="e">
        <f>Ticker0001_Exchange_Sheet!CH84-#REF!</f>
      </c>
      <c r="BJ76" s="51" t="e">
        <f>Ticker0001_Exchange_Sheet!CI84-#REF!</f>
      </c>
      <c r="BK76" s="51" t="e">
        <f>Ticker0001_Exchange_Sheet!CJ84-#REF!</f>
      </c>
      <c r="BL76" s="51" t="e">
        <f>Ticker0001_Exchange_Sheet!CK84-#REF!</f>
      </c>
      <c r="BM76" s="51" t="e">
        <f>Ticker0001_Exchange_Sheet!CL84-#REF!</f>
      </c>
      <c r="BN76" s="51" t="e">
        <f>Ticker0001_Exchange_Sheet!CM84-#REF!</f>
      </c>
      <c r="BO76" s="51" t="e">
        <f>Ticker0001_Exchange_Sheet!CN84-#REF!</f>
      </c>
      <c r="BP76" s="51" t="e">
        <f>Ticker0001_Exchange_Sheet!CO84-#REF!</f>
      </c>
      <c r="BQ76" s="51" t="e">
        <f>Ticker0001_Exchange_Sheet!CP84-#REF!</f>
      </c>
      <c r="BR76" s="51" t="e">
        <f>Ticker0001_Exchange_Sheet!CQ84-#REF!</f>
      </c>
      <c r="BS76" s="51" t="e">
        <f>Ticker0001_Exchange_Sheet!CR84-#REF!</f>
      </c>
      <c r="BT76" s="51" t="e">
        <f>Ticker0001_Exchange_Sheet!CS84-#REF!</f>
      </c>
      <c r="BU76" s="51" t="e">
        <f>Ticker0001_Exchange_Sheet!CT84-#REF!</f>
      </c>
      <c r="BV76" s="51" t="e">
        <f>Ticker0001_Exchange_Sheet!CU84-#REF!</f>
      </c>
      <c r="BW76" s="51" t="e">
        <f>Ticker0001_Exchange_Sheet!CV84-#REF!</f>
      </c>
      <c r="BX76" s="51" t="e">
        <f>Ticker0001_Exchange_Sheet!CW84-#REF!</f>
      </c>
      <c r="BY76" s="51" t="e">
        <f>Ticker0001_Exchange_Sheet!CX84-#REF!</f>
      </c>
      <c r="BZ76" s="51" t="e">
        <f>Ticker0001_Exchange_Sheet!CY84-#REF!</f>
      </c>
      <c r="CA76" s="51" t="e">
        <f>Ticker0001_Exchange_Sheet!CZ84-#REF!</f>
      </c>
      <c r="CB76" s="51" t="e">
        <f>Ticker0001_Exchange_Sheet!DA84-#REF!</f>
      </c>
      <c r="CC76" s="51" t="e">
        <f>Ticker0001_Exchange_Sheet!DB84-#REF!</f>
      </c>
      <c r="CD76" s="51" t="e">
        <f>Ticker0001_Exchange_Sheet!DC84-#REF!</f>
      </c>
      <c r="CE76" s="51" t="e">
        <f>Ticker0001_Exchange_Sheet!DD84-#REF!</f>
      </c>
      <c r="CF76" s="51" t="e">
        <f>Ticker0001_Exchange_Sheet!DE84-#REF!</f>
      </c>
    </row>
    <row r="77" spans="6:84">
      <c r="F77" s="51" t="e">
        <f>Ticker0001_Exchange_Sheet!F85-#REF!</f>
      </c>
      <c r="G77" s="51" t="e">
        <f>Ticker0001_Exchange_Sheet!G85-#REF!</f>
      </c>
      <c r="H77" s="51" t="e">
        <f>Ticker0001_Exchange_Sheet!H85-#REF!</f>
      </c>
      <c r="I77" s="51" t="e">
        <f>Ticker0001_Exchange_Sheet!I85-#REF!</f>
      </c>
      <c r="J77" s="51" t="e">
        <f>Ticker0001_Exchange_Sheet!J85-#REF!</f>
      </c>
      <c r="K77" s="51" t="e">
        <f>Ticker0001_Exchange_Sheet!K85-#REF!</f>
      </c>
      <c r="L77" s="51" t="e">
        <f>Ticker0001_Exchange_Sheet!L85-#REF!</f>
      </c>
      <c r="M77" s="51" t="e">
        <f>Ticker0001_Exchange_Sheet!M85-#REF!</f>
      </c>
      <c r="N77" s="51" t="e">
        <f>Ticker0001_Exchange_Sheet!N85-#REF!</f>
      </c>
      <c r="O77" s="51" t="e">
        <f>Ticker0001_Exchange_Sheet!O85-#REF!</f>
      </c>
      <c r="P77" s="51" t="e">
        <f>Ticker0001_Exchange_Sheet!P85-#REF!</f>
      </c>
      <c r="Q77" s="51" t="e">
        <f>Ticker0001_Exchange_Sheet!Q85-#REF!</f>
      </c>
      <c r="R77" s="51" t="e">
        <f>Ticker0001_Exchange_Sheet!R85-#REF!</f>
      </c>
      <c r="S77" s="51" t="e">
        <f>Ticker0001_Exchange_Sheet!S85-#REF!</f>
      </c>
      <c r="T77" s="51" t="e">
        <f>Ticker0001_Exchange_Sheet!T85-#REF!</f>
      </c>
      <c r="U77" s="51" t="e">
        <f>Ticker0001_Exchange_Sheet!U85-#REF!</f>
      </c>
      <c r="V77" s="51" t="e">
        <f>Ticker0001_Exchange_Sheet!V85-#REF!</f>
      </c>
      <c r="W77" s="51" t="e">
        <f>Ticker0001_Exchange_Sheet!W85-#REF!</f>
      </c>
      <c r="X77" s="51" t="e">
        <f>Ticker0001_Exchange_Sheet!AK85-#REF!</f>
      </c>
      <c r="Y77" s="51" t="e">
        <f>Ticker0001_Exchange_Sheet!AX85-#REF!</f>
      </c>
      <c r="Z77" s="51" t="e">
        <f>Ticker0001_Exchange_Sheet!AY85-#REF!</f>
      </c>
      <c r="AA77" s="51" t="e">
        <f>Ticker0001_Exchange_Sheet!AZ85-#REF!</f>
      </c>
      <c r="AB77" s="51" t="e">
        <f>Ticker0001_Exchange_Sheet!BA85-#REF!</f>
      </c>
      <c r="AC77" s="51" t="e">
        <f>Ticker0001_Exchange_Sheet!BB85-#REF!</f>
      </c>
      <c r="AD77" s="51" t="e">
        <f>Ticker0001_Exchange_Sheet!BC85-#REF!</f>
      </c>
      <c r="AE77" s="51" t="e">
        <f>Ticker0001_Exchange_Sheet!BD85-#REF!</f>
      </c>
      <c r="AF77" s="51" t="e">
        <f>Ticker0001_Exchange_Sheet!BE85-#REF!</f>
      </c>
      <c r="AG77" s="51" t="e">
        <f>Ticker0001_Exchange_Sheet!BF85-#REF!</f>
      </c>
      <c r="AH77" s="51" t="e">
        <f>Ticker0001_Exchange_Sheet!BG85-#REF!</f>
      </c>
      <c r="AI77" s="51" t="e">
        <f>Ticker0001_Exchange_Sheet!BH85-#REF!</f>
      </c>
      <c r="AJ77" s="51" t="e">
        <f>Ticker0001_Exchange_Sheet!BI85-#REF!</f>
      </c>
      <c r="AK77" s="51" t="e">
        <f>Ticker0001_Exchange_Sheet!BJ85-#REF!</f>
      </c>
      <c r="AL77" s="51" t="e">
        <f>Ticker0001_Exchange_Sheet!BK85-#REF!</f>
      </c>
      <c r="AM77" s="51" t="e">
        <f>Ticker0001_Exchange_Sheet!BL85-#REF!</f>
      </c>
      <c r="AN77" s="51" t="e">
        <f>Ticker0001_Exchange_Sheet!BM85-#REF!</f>
      </c>
      <c r="AO77" s="51" t="e">
        <f>Ticker0001_Exchange_Sheet!BN85-#REF!</f>
      </c>
      <c r="AP77" s="51" t="e">
        <f>Ticker0001_Exchange_Sheet!BO85-#REF!</f>
      </c>
      <c r="AQ77" s="51" t="e">
        <f>Ticker0001_Exchange_Sheet!BP85-#REF!</f>
      </c>
      <c r="AR77" s="51" t="e">
        <f>Ticker0001_Exchange_Sheet!BQ85-#REF!</f>
      </c>
      <c r="AS77" s="51" t="e">
        <f>Ticker0001_Exchange_Sheet!BR85-#REF!</f>
      </c>
      <c r="AT77" s="51" t="e">
        <f>Ticker0001_Exchange_Sheet!BS85-#REF!</f>
      </c>
      <c r="AU77" s="51" t="e">
        <f>Ticker0001_Exchange_Sheet!BT85-#REF!</f>
      </c>
      <c r="AV77" s="51" t="e">
        <f>Ticker0001_Exchange_Sheet!BU85-#REF!</f>
      </c>
      <c r="AW77" s="51" t="e">
        <f>Ticker0001_Exchange_Sheet!BV85-#REF!</f>
      </c>
      <c r="AX77" s="51" t="e">
        <f>Ticker0001_Exchange_Sheet!BW85-#REF!</f>
      </c>
      <c r="AY77" s="51" t="e">
        <f>Ticker0001_Exchange_Sheet!BX85-#REF!</f>
      </c>
      <c r="AZ77" s="51" t="e">
        <f>Ticker0001_Exchange_Sheet!BY85-#REF!</f>
      </c>
      <c r="BA77" s="51" t="e">
        <f>Ticker0001_Exchange_Sheet!BZ85-#REF!</f>
      </c>
      <c r="BB77" s="51" t="e">
        <f>Ticker0001_Exchange_Sheet!CA85-#REF!</f>
      </c>
      <c r="BC77" s="51" t="e">
        <f>Ticker0001_Exchange_Sheet!CB85-#REF!</f>
      </c>
      <c r="BD77" s="51" t="e">
        <f>Ticker0001_Exchange_Sheet!CC85-#REF!</f>
      </c>
      <c r="BE77" s="51" t="e">
        <f>Ticker0001_Exchange_Sheet!CD85-#REF!</f>
      </c>
      <c r="BF77" s="51" t="e">
        <f>Ticker0001_Exchange_Sheet!CE85-#REF!</f>
      </c>
      <c r="BG77" s="51" t="e">
        <f>Ticker0001_Exchange_Sheet!CF85-#REF!</f>
      </c>
      <c r="BH77" s="51" t="e">
        <f>Ticker0001_Exchange_Sheet!CG85-#REF!</f>
      </c>
      <c r="BI77" s="51" t="e">
        <f>Ticker0001_Exchange_Sheet!CH85-#REF!</f>
      </c>
      <c r="BJ77" s="51" t="e">
        <f>Ticker0001_Exchange_Sheet!CI85-#REF!</f>
      </c>
      <c r="BK77" s="51" t="e">
        <f>Ticker0001_Exchange_Sheet!CJ85-#REF!</f>
      </c>
      <c r="BL77" s="51" t="e">
        <f>Ticker0001_Exchange_Sheet!CK85-#REF!</f>
      </c>
      <c r="BM77" s="51" t="e">
        <f>Ticker0001_Exchange_Sheet!CL85-#REF!</f>
      </c>
      <c r="BN77" s="51" t="e">
        <f>Ticker0001_Exchange_Sheet!CM85-#REF!</f>
      </c>
      <c r="BO77" s="51" t="e">
        <f>Ticker0001_Exchange_Sheet!CN85-#REF!</f>
      </c>
      <c r="BP77" s="51" t="e">
        <f>Ticker0001_Exchange_Sheet!CO85-#REF!</f>
      </c>
      <c r="BQ77" s="51" t="e">
        <f>Ticker0001_Exchange_Sheet!CP85-#REF!</f>
      </c>
      <c r="BR77" s="51" t="e">
        <f>Ticker0001_Exchange_Sheet!CQ85-#REF!</f>
      </c>
      <c r="BS77" s="51" t="e">
        <f>Ticker0001_Exchange_Sheet!CR85-#REF!</f>
      </c>
      <c r="BT77" s="51" t="e">
        <f>Ticker0001_Exchange_Sheet!CS85-#REF!</f>
      </c>
      <c r="BU77" s="51" t="e">
        <f>Ticker0001_Exchange_Sheet!CT85-#REF!</f>
      </c>
      <c r="BV77" s="51" t="e">
        <f>Ticker0001_Exchange_Sheet!CU85-#REF!</f>
      </c>
      <c r="BW77" s="51" t="e">
        <f>Ticker0001_Exchange_Sheet!CV85-#REF!</f>
      </c>
      <c r="BX77" s="51" t="e">
        <f>Ticker0001_Exchange_Sheet!CW85-#REF!</f>
      </c>
      <c r="BY77" s="51" t="e">
        <f>Ticker0001_Exchange_Sheet!CX85-#REF!</f>
      </c>
      <c r="BZ77" s="51" t="e">
        <f>Ticker0001_Exchange_Sheet!CY85-#REF!</f>
      </c>
      <c r="CA77" s="51" t="e">
        <f>Ticker0001_Exchange_Sheet!CZ85-#REF!</f>
      </c>
      <c r="CB77" s="51" t="e">
        <f>Ticker0001_Exchange_Sheet!DA85-#REF!</f>
      </c>
      <c r="CC77" s="51" t="e">
        <f>Ticker0001_Exchange_Sheet!DB85-#REF!</f>
      </c>
      <c r="CD77" s="51" t="e">
        <f>Ticker0001_Exchange_Sheet!DC85-#REF!</f>
      </c>
      <c r="CE77" s="51" t="e">
        <f>Ticker0001_Exchange_Sheet!DD85-#REF!</f>
      </c>
      <c r="CF77" s="51" t="e">
        <f>Ticker0001_Exchange_Sheet!DE85-#REF!</f>
      </c>
    </row>
    <row r="78" spans="6:84">
      <c r="F78" s="51" t="e">
        <f>Ticker0001_Exchange_Sheet!F86-#REF!</f>
      </c>
      <c r="G78" s="51" t="e">
        <f>Ticker0001_Exchange_Sheet!G86-#REF!</f>
      </c>
      <c r="H78" s="51" t="e">
        <f>Ticker0001_Exchange_Sheet!H86-#REF!</f>
      </c>
      <c r="I78" s="51" t="e">
        <f>Ticker0001_Exchange_Sheet!I86-#REF!</f>
      </c>
      <c r="J78" s="51" t="e">
        <f>Ticker0001_Exchange_Sheet!J86-#REF!</f>
      </c>
      <c r="K78" s="51" t="e">
        <f>Ticker0001_Exchange_Sheet!K86-#REF!</f>
      </c>
      <c r="L78" s="51" t="e">
        <f>Ticker0001_Exchange_Sheet!L86-#REF!</f>
      </c>
      <c r="M78" s="51" t="e">
        <f>Ticker0001_Exchange_Sheet!M86-#REF!</f>
      </c>
      <c r="N78" s="51" t="e">
        <f>Ticker0001_Exchange_Sheet!N86-#REF!</f>
      </c>
      <c r="O78" s="51" t="e">
        <f>Ticker0001_Exchange_Sheet!O86-#REF!</f>
      </c>
      <c r="P78" s="51" t="e">
        <f>Ticker0001_Exchange_Sheet!P86-#REF!</f>
      </c>
      <c r="Q78" s="51" t="e">
        <f>Ticker0001_Exchange_Sheet!Q86-#REF!</f>
      </c>
      <c r="R78" s="51" t="e">
        <f>Ticker0001_Exchange_Sheet!R86-#REF!</f>
      </c>
      <c r="S78" s="51" t="e">
        <f>Ticker0001_Exchange_Sheet!S86-#REF!</f>
      </c>
      <c r="T78" s="51" t="e">
        <f>Ticker0001_Exchange_Sheet!T86-#REF!</f>
      </c>
      <c r="U78" s="51" t="e">
        <f>Ticker0001_Exchange_Sheet!U86-#REF!</f>
      </c>
      <c r="V78" s="51" t="e">
        <f>Ticker0001_Exchange_Sheet!V86-#REF!</f>
      </c>
      <c r="W78" s="51" t="e">
        <f>Ticker0001_Exchange_Sheet!W86-#REF!</f>
      </c>
      <c r="X78" s="51" t="e">
        <f>Ticker0001_Exchange_Sheet!AK86-#REF!</f>
      </c>
      <c r="Y78" s="51" t="e">
        <f>Ticker0001_Exchange_Sheet!AX86-#REF!</f>
      </c>
      <c r="Z78" s="51" t="e">
        <f>Ticker0001_Exchange_Sheet!AY86-#REF!</f>
      </c>
      <c r="AA78" s="51" t="e">
        <f>Ticker0001_Exchange_Sheet!AZ86-#REF!</f>
      </c>
      <c r="AB78" s="51" t="e">
        <f>Ticker0001_Exchange_Sheet!BA86-#REF!</f>
      </c>
      <c r="AC78" s="51" t="e">
        <f>Ticker0001_Exchange_Sheet!BB86-#REF!</f>
      </c>
      <c r="AD78" s="51" t="e">
        <f>Ticker0001_Exchange_Sheet!BC86-#REF!</f>
      </c>
      <c r="AE78" s="51" t="e">
        <f>Ticker0001_Exchange_Sheet!BD86-#REF!</f>
      </c>
      <c r="AF78" s="51" t="e">
        <f>Ticker0001_Exchange_Sheet!BE86-#REF!</f>
      </c>
      <c r="AG78" s="51" t="e">
        <f>Ticker0001_Exchange_Sheet!BF86-#REF!</f>
      </c>
      <c r="AH78" s="51" t="e">
        <f>Ticker0001_Exchange_Sheet!BG86-#REF!</f>
      </c>
      <c r="AI78" s="51" t="e">
        <f>Ticker0001_Exchange_Sheet!BH86-#REF!</f>
      </c>
      <c r="AJ78" s="51" t="e">
        <f>Ticker0001_Exchange_Sheet!BI86-#REF!</f>
      </c>
      <c r="AK78" s="51" t="e">
        <f>Ticker0001_Exchange_Sheet!BJ86-#REF!</f>
      </c>
      <c r="AL78" s="51" t="e">
        <f>Ticker0001_Exchange_Sheet!BK86-#REF!</f>
      </c>
      <c r="AM78" s="51" t="e">
        <f>Ticker0001_Exchange_Sheet!BL86-#REF!</f>
      </c>
      <c r="AN78" s="51" t="e">
        <f>Ticker0001_Exchange_Sheet!BM86-#REF!</f>
      </c>
      <c r="AO78" s="51" t="e">
        <f>Ticker0001_Exchange_Sheet!BN86-#REF!</f>
      </c>
      <c r="AP78" s="51" t="e">
        <f>Ticker0001_Exchange_Sheet!BO86-#REF!</f>
      </c>
      <c r="AQ78" s="51" t="e">
        <f>Ticker0001_Exchange_Sheet!BP86-#REF!</f>
      </c>
      <c r="AR78" s="51" t="e">
        <f>Ticker0001_Exchange_Sheet!BQ86-#REF!</f>
      </c>
      <c r="AS78" s="51" t="e">
        <f>Ticker0001_Exchange_Sheet!BR86-#REF!</f>
      </c>
      <c r="AT78" s="51" t="e">
        <f>Ticker0001_Exchange_Sheet!BS86-#REF!</f>
      </c>
      <c r="AU78" s="51" t="e">
        <f>Ticker0001_Exchange_Sheet!BT86-#REF!</f>
      </c>
      <c r="AV78" s="51" t="e">
        <f>Ticker0001_Exchange_Sheet!BU86-#REF!</f>
      </c>
      <c r="AW78" s="51" t="e">
        <f>Ticker0001_Exchange_Sheet!BV86-#REF!</f>
      </c>
      <c r="AX78" s="51" t="e">
        <f>Ticker0001_Exchange_Sheet!BW86-#REF!</f>
      </c>
      <c r="AY78" s="51" t="e">
        <f>Ticker0001_Exchange_Sheet!BX86-#REF!</f>
      </c>
      <c r="AZ78" s="51" t="e">
        <f>Ticker0001_Exchange_Sheet!BY86-#REF!</f>
      </c>
      <c r="BA78" s="51" t="e">
        <f>Ticker0001_Exchange_Sheet!BZ86-#REF!</f>
      </c>
      <c r="BB78" s="51" t="e">
        <f>Ticker0001_Exchange_Sheet!CA86-#REF!</f>
      </c>
      <c r="BC78" s="51" t="e">
        <f>Ticker0001_Exchange_Sheet!CB86-#REF!</f>
      </c>
      <c r="BD78" s="51" t="e">
        <f>Ticker0001_Exchange_Sheet!CC86-#REF!</f>
      </c>
      <c r="BE78" s="51" t="e">
        <f>Ticker0001_Exchange_Sheet!CD86-#REF!</f>
      </c>
      <c r="BF78" s="51" t="e">
        <f>Ticker0001_Exchange_Sheet!CE86-#REF!</f>
      </c>
      <c r="BG78" s="51" t="e">
        <f>Ticker0001_Exchange_Sheet!CF86-#REF!</f>
      </c>
      <c r="BH78" s="51" t="e">
        <f>Ticker0001_Exchange_Sheet!CG86-#REF!</f>
      </c>
      <c r="BI78" s="51" t="e">
        <f>Ticker0001_Exchange_Sheet!CH86-#REF!</f>
      </c>
      <c r="BJ78" s="51" t="e">
        <f>Ticker0001_Exchange_Sheet!CI86-#REF!</f>
      </c>
      <c r="BK78" s="51" t="e">
        <f>Ticker0001_Exchange_Sheet!CJ86-#REF!</f>
      </c>
      <c r="BL78" s="51" t="e">
        <f>Ticker0001_Exchange_Sheet!CK86-#REF!</f>
      </c>
      <c r="BM78" s="51" t="e">
        <f>Ticker0001_Exchange_Sheet!CL86-#REF!</f>
      </c>
      <c r="BN78" s="51" t="e">
        <f>Ticker0001_Exchange_Sheet!CM86-#REF!</f>
      </c>
      <c r="BO78" s="51" t="e">
        <f>Ticker0001_Exchange_Sheet!CN86-#REF!</f>
      </c>
      <c r="BP78" s="51" t="e">
        <f>Ticker0001_Exchange_Sheet!CO86-#REF!</f>
      </c>
      <c r="BQ78" s="51" t="e">
        <f>Ticker0001_Exchange_Sheet!CP86-#REF!</f>
      </c>
      <c r="BR78" s="51" t="e">
        <f>Ticker0001_Exchange_Sheet!CQ86-#REF!</f>
      </c>
      <c r="BS78" s="51" t="e">
        <f>Ticker0001_Exchange_Sheet!CR86-#REF!</f>
      </c>
      <c r="BT78" s="51" t="e">
        <f>Ticker0001_Exchange_Sheet!CS86-#REF!</f>
      </c>
      <c r="BU78" s="51" t="e">
        <f>Ticker0001_Exchange_Sheet!CT86-#REF!</f>
      </c>
      <c r="BV78" s="51" t="e">
        <f>Ticker0001_Exchange_Sheet!CU86-#REF!</f>
      </c>
      <c r="BW78" s="51" t="e">
        <f>Ticker0001_Exchange_Sheet!CV86-#REF!</f>
      </c>
      <c r="BX78" s="51" t="e">
        <f>Ticker0001_Exchange_Sheet!CW86-#REF!</f>
      </c>
      <c r="BY78" s="51" t="e">
        <f>Ticker0001_Exchange_Sheet!CX86-#REF!</f>
      </c>
      <c r="BZ78" s="51" t="e">
        <f>Ticker0001_Exchange_Sheet!CY86-#REF!</f>
      </c>
      <c r="CA78" s="51" t="e">
        <f>Ticker0001_Exchange_Sheet!CZ86-#REF!</f>
      </c>
      <c r="CB78" s="51" t="e">
        <f>Ticker0001_Exchange_Sheet!DA86-#REF!</f>
      </c>
      <c r="CC78" s="51" t="e">
        <f>Ticker0001_Exchange_Sheet!DB86-#REF!</f>
      </c>
      <c r="CD78" s="51" t="e">
        <f>Ticker0001_Exchange_Sheet!DC86-#REF!</f>
      </c>
      <c r="CE78" s="51" t="e">
        <f>Ticker0001_Exchange_Sheet!DD86-#REF!</f>
      </c>
      <c r="CF78" s="51" t="e">
        <f>Ticker0001_Exchange_Sheet!DE86-#REF!</f>
      </c>
    </row>
    <row r="79" spans="6:84">
      <c r="F79" s="51" t="e">
        <f>Ticker0001_Exchange_Sheet!F87-#REF!</f>
      </c>
      <c r="G79" s="51" t="e">
        <f>Ticker0001_Exchange_Sheet!G87-#REF!</f>
      </c>
      <c r="H79" s="51" t="e">
        <f>Ticker0001_Exchange_Sheet!H87-#REF!</f>
      </c>
      <c r="I79" s="51" t="e">
        <f>Ticker0001_Exchange_Sheet!I87-#REF!</f>
      </c>
      <c r="J79" s="51" t="e">
        <f>Ticker0001_Exchange_Sheet!J87-#REF!</f>
      </c>
      <c r="K79" s="51" t="e">
        <f>Ticker0001_Exchange_Sheet!K87-#REF!</f>
      </c>
      <c r="L79" s="51" t="e">
        <f>Ticker0001_Exchange_Sheet!L87-#REF!</f>
      </c>
      <c r="M79" s="51" t="e">
        <f>Ticker0001_Exchange_Sheet!M87-#REF!</f>
      </c>
      <c r="N79" s="51" t="e">
        <f>Ticker0001_Exchange_Sheet!N87-#REF!</f>
      </c>
      <c r="O79" s="51" t="e">
        <f>Ticker0001_Exchange_Sheet!O87-#REF!</f>
      </c>
      <c r="P79" s="51" t="e">
        <f>Ticker0001_Exchange_Sheet!P87-#REF!</f>
      </c>
      <c r="Q79" s="51" t="e">
        <f>Ticker0001_Exchange_Sheet!Q87-#REF!</f>
      </c>
      <c r="R79" s="51" t="e">
        <f>Ticker0001_Exchange_Sheet!R87-#REF!</f>
      </c>
      <c r="S79" s="51" t="e">
        <f>Ticker0001_Exchange_Sheet!S87-#REF!</f>
      </c>
      <c r="T79" s="51" t="e">
        <f>Ticker0001_Exchange_Sheet!T87-#REF!</f>
      </c>
      <c r="U79" s="51" t="e">
        <f>Ticker0001_Exchange_Sheet!U87-#REF!</f>
      </c>
      <c r="V79" s="51" t="e">
        <f>Ticker0001_Exchange_Sheet!V87-#REF!</f>
      </c>
      <c r="W79" s="51" t="e">
        <f>Ticker0001_Exchange_Sheet!W87-#REF!</f>
      </c>
      <c r="X79" s="51" t="e">
        <f>Ticker0001_Exchange_Sheet!AK87-#REF!</f>
      </c>
      <c r="Y79" s="51" t="e">
        <f>Ticker0001_Exchange_Sheet!AX87-#REF!</f>
      </c>
      <c r="Z79" s="51" t="e">
        <f>Ticker0001_Exchange_Sheet!AY87-#REF!</f>
      </c>
      <c r="AA79" s="51" t="e">
        <f>Ticker0001_Exchange_Sheet!AZ87-#REF!</f>
      </c>
      <c r="AB79" s="51" t="e">
        <f>Ticker0001_Exchange_Sheet!BA87-#REF!</f>
      </c>
      <c r="AC79" s="51" t="e">
        <f>Ticker0001_Exchange_Sheet!BB87-#REF!</f>
      </c>
      <c r="AD79" s="51" t="e">
        <f>Ticker0001_Exchange_Sheet!BC87-#REF!</f>
      </c>
      <c r="AE79" s="51" t="e">
        <f>Ticker0001_Exchange_Sheet!BD87-#REF!</f>
      </c>
      <c r="AF79" s="51" t="e">
        <f>Ticker0001_Exchange_Sheet!BE87-#REF!</f>
      </c>
      <c r="AG79" s="51" t="e">
        <f>Ticker0001_Exchange_Sheet!BF87-#REF!</f>
      </c>
      <c r="AH79" s="51" t="e">
        <f>Ticker0001_Exchange_Sheet!BG87-#REF!</f>
      </c>
      <c r="AI79" s="51" t="e">
        <f>Ticker0001_Exchange_Sheet!BH87-#REF!</f>
      </c>
      <c r="AJ79" s="51" t="e">
        <f>Ticker0001_Exchange_Sheet!BI87-#REF!</f>
      </c>
      <c r="AK79" s="51" t="e">
        <f>Ticker0001_Exchange_Sheet!BJ87-#REF!</f>
      </c>
      <c r="AL79" s="51" t="e">
        <f>Ticker0001_Exchange_Sheet!BK87-#REF!</f>
      </c>
      <c r="AM79" s="51" t="e">
        <f>Ticker0001_Exchange_Sheet!BL87-#REF!</f>
      </c>
      <c r="AN79" s="51" t="e">
        <f>Ticker0001_Exchange_Sheet!BM87-#REF!</f>
      </c>
      <c r="AO79" s="51" t="e">
        <f>Ticker0001_Exchange_Sheet!BN87-#REF!</f>
      </c>
      <c r="AP79" s="51" t="e">
        <f>Ticker0001_Exchange_Sheet!BO87-#REF!</f>
      </c>
      <c r="AQ79" s="51" t="e">
        <f>Ticker0001_Exchange_Sheet!BP87-#REF!</f>
      </c>
      <c r="AR79" s="51" t="e">
        <f>Ticker0001_Exchange_Sheet!BQ87-#REF!</f>
      </c>
      <c r="AS79" s="51" t="e">
        <f>Ticker0001_Exchange_Sheet!BR87-#REF!</f>
      </c>
      <c r="AT79" s="51" t="e">
        <f>Ticker0001_Exchange_Sheet!BS87-#REF!</f>
      </c>
      <c r="AU79" s="51" t="e">
        <f>Ticker0001_Exchange_Sheet!BT87-#REF!</f>
      </c>
      <c r="AV79" s="51" t="e">
        <f>Ticker0001_Exchange_Sheet!BU87-#REF!</f>
      </c>
      <c r="AW79" s="51" t="e">
        <f>Ticker0001_Exchange_Sheet!BV87-#REF!</f>
      </c>
      <c r="AX79" s="51" t="e">
        <f>Ticker0001_Exchange_Sheet!BW87-#REF!</f>
      </c>
      <c r="AY79" s="51" t="e">
        <f>Ticker0001_Exchange_Sheet!BX87-#REF!</f>
      </c>
      <c r="AZ79" s="51" t="e">
        <f>Ticker0001_Exchange_Sheet!BY87-#REF!</f>
      </c>
      <c r="BA79" s="51" t="e">
        <f>Ticker0001_Exchange_Sheet!BZ87-#REF!</f>
      </c>
      <c r="BB79" s="51" t="e">
        <f>Ticker0001_Exchange_Sheet!CA87-#REF!</f>
      </c>
      <c r="BC79" s="51" t="e">
        <f>Ticker0001_Exchange_Sheet!CB87-#REF!</f>
      </c>
      <c r="BD79" s="51" t="e">
        <f>Ticker0001_Exchange_Sheet!CC87-#REF!</f>
      </c>
      <c r="BE79" s="51" t="e">
        <f>Ticker0001_Exchange_Sheet!CD87-#REF!</f>
      </c>
      <c r="BF79" s="51" t="e">
        <f>Ticker0001_Exchange_Sheet!CE87-#REF!</f>
      </c>
      <c r="BG79" s="51" t="e">
        <f>Ticker0001_Exchange_Sheet!CF87-#REF!</f>
      </c>
      <c r="BH79" s="51" t="e">
        <f>Ticker0001_Exchange_Sheet!CG87-#REF!</f>
      </c>
      <c r="BI79" s="51" t="e">
        <f>Ticker0001_Exchange_Sheet!CH87-#REF!</f>
      </c>
      <c r="BJ79" s="51" t="e">
        <f>Ticker0001_Exchange_Sheet!CI87-#REF!</f>
      </c>
      <c r="BK79" s="51" t="e">
        <f>Ticker0001_Exchange_Sheet!CJ87-#REF!</f>
      </c>
      <c r="BL79" s="51" t="e">
        <f>Ticker0001_Exchange_Sheet!CK87-#REF!</f>
      </c>
      <c r="BM79" s="51" t="e">
        <f>Ticker0001_Exchange_Sheet!CL87-#REF!</f>
      </c>
      <c r="BN79" s="51" t="e">
        <f>Ticker0001_Exchange_Sheet!CM87-#REF!</f>
      </c>
      <c r="BO79" s="51" t="e">
        <f>Ticker0001_Exchange_Sheet!CN87-#REF!</f>
      </c>
      <c r="BP79" s="51" t="e">
        <f>Ticker0001_Exchange_Sheet!CO87-#REF!</f>
      </c>
      <c r="BQ79" s="51" t="e">
        <f>Ticker0001_Exchange_Sheet!CP87-#REF!</f>
      </c>
      <c r="BR79" s="51" t="e">
        <f>Ticker0001_Exchange_Sheet!CQ87-#REF!</f>
      </c>
      <c r="BS79" s="51" t="e">
        <f>Ticker0001_Exchange_Sheet!CR87-#REF!</f>
      </c>
      <c r="BT79" s="51" t="e">
        <f>Ticker0001_Exchange_Sheet!CS87-#REF!</f>
      </c>
      <c r="BU79" s="51" t="e">
        <f>Ticker0001_Exchange_Sheet!CT87-#REF!</f>
      </c>
      <c r="BV79" s="51" t="e">
        <f>Ticker0001_Exchange_Sheet!CU87-#REF!</f>
      </c>
      <c r="BW79" s="51" t="e">
        <f>Ticker0001_Exchange_Sheet!CV87-#REF!</f>
      </c>
      <c r="BX79" s="51" t="e">
        <f>Ticker0001_Exchange_Sheet!CW87-#REF!</f>
      </c>
      <c r="BY79" s="51" t="e">
        <f>Ticker0001_Exchange_Sheet!CX87-#REF!</f>
      </c>
      <c r="BZ79" s="51" t="e">
        <f>Ticker0001_Exchange_Sheet!CY87-#REF!</f>
      </c>
      <c r="CA79" s="51" t="e">
        <f>Ticker0001_Exchange_Sheet!CZ87-#REF!</f>
      </c>
      <c r="CB79" s="51" t="e">
        <f>Ticker0001_Exchange_Sheet!DA87-#REF!</f>
      </c>
      <c r="CC79" s="51" t="e">
        <f>Ticker0001_Exchange_Sheet!DB87-#REF!</f>
      </c>
      <c r="CD79" s="51" t="e">
        <f>Ticker0001_Exchange_Sheet!DC87-#REF!</f>
      </c>
      <c r="CE79" s="51" t="e">
        <f>Ticker0001_Exchange_Sheet!DD87-#REF!</f>
      </c>
      <c r="CF79" s="51" t="e">
        <f>Ticker0001_Exchange_Sheet!DE87-#REF!</f>
      </c>
    </row>
    <row r="80" spans="6:84">
      <c r="F80" s="51" t="e">
        <f>Ticker0001_Exchange_Sheet!F88-#REF!</f>
      </c>
      <c r="G80" s="51" t="e">
        <f>Ticker0001_Exchange_Sheet!G88-#REF!</f>
      </c>
      <c r="H80" s="51" t="e">
        <f>Ticker0001_Exchange_Sheet!H88-#REF!</f>
      </c>
      <c r="I80" s="51" t="e">
        <f>Ticker0001_Exchange_Sheet!I88-#REF!</f>
      </c>
      <c r="J80" s="51" t="e">
        <f>Ticker0001_Exchange_Sheet!J88-#REF!</f>
      </c>
      <c r="K80" s="51" t="e">
        <f>Ticker0001_Exchange_Sheet!K88-#REF!</f>
      </c>
      <c r="L80" s="51" t="e">
        <f>Ticker0001_Exchange_Sheet!L88-#REF!</f>
      </c>
      <c r="M80" s="51" t="e">
        <f>Ticker0001_Exchange_Sheet!M88-#REF!</f>
      </c>
      <c r="N80" s="51" t="e">
        <f>Ticker0001_Exchange_Sheet!N88-#REF!</f>
      </c>
      <c r="O80" s="51" t="e">
        <f>Ticker0001_Exchange_Sheet!O88-#REF!</f>
      </c>
      <c r="P80" s="51" t="e">
        <f>Ticker0001_Exchange_Sheet!P88-#REF!</f>
      </c>
      <c r="Q80" s="51" t="e">
        <f>Ticker0001_Exchange_Sheet!Q88-#REF!</f>
      </c>
      <c r="R80" s="51" t="e">
        <f>Ticker0001_Exchange_Sheet!R88-#REF!</f>
      </c>
      <c r="S80" s="51" t="e">
        <f>Ticker0001_Exchange_Sheet!S88-#REF!</f>
      </c>
      <c r="T80" s="51" t="e">
        <f>Ticker0001_Exchange_Sheet!T88-#REF!</f>
      </c>
      <c r="U80" s="51" t="e">
        <f>Ticker0001_Exchange_Sheet!U88-#REF!</f>
      </c>
      <c r="V80" s="51" t="e">
        <f>Ticker0001_Exchange_Sheet!V88-#REF!</f>
      </c>
      <c r="W80" s="51" t="e">
        <f>Ticker0001_Exchange_Sheet!W88-#REF!</f>
      </c>
      <c r="X80" s="51" t="e">
        <f>Ticker0001_Exchange_Sheet!AK88-#REF!</f>
      </c>
      <c r="Y80" s="51" t="e">
        <f>Ticker0001_Exchange_Sheet!AX88-#REF!</f>
      </c>
      <c r="Z80" s="51" t="e">
        <f>Ticker0001_Exchange_Sheet!AY88-#REF!</f>
      </c>
      <c r="AA80" s="51" t="e">
        <f>Ticker0001_Exchange_Sheet!AZ88-#REF!</f>
      </c>
      <c r="AB80" s="51" t="e">
        <f>Ticker0001_Exchange_Sheet!BA88-#REF!</f>
      </c>
      <c r="AC80" s="51" t="e">
        <f>Ticker0001_Exchange_Sheet!BB88-#REF!</f>
      </c>
      <c r="AD80" s="51" t="e">
        <f>Ticker0001_Exchange_Sheet!BC88-#REF!</f>
      </c>
      <c r="AE80" s="51" t="e">
        <f>Ticker0001_Exchange_Sheet!BD88-#REF!</f>
      </c>
      <c r="AF80" s="51" t="e">
        <f>Ticker0001_Exchange_Sheet!BE88-#REF!</f>
      </c>
      <c r="AG80" s="51" t="e">
        <f>Ticker0001_Exchange_Sheet!BF88-#REF!</f>
      </c>
      <c r="AH80" s="51" t="e">
        <f>Ticker0001_Exchange_Sheet!BG88-#REF!</f>
      </c>
      <c r="AI80" s="51" t="e">
        <f>Ticker0001_Exchange_Sheet!BH88-#REF!</f>
      </c>
      <c r="AJ80" s="51" t="e">
        <f>Ticker0001_Exchange_Sheet!BI88-#REF!</f>
      </c>
      <c r="AK80" s="51" t="e">
        <f>Ticker0001_Exchange_Sheet!BJ88-#REF!</f>
      </c>
      <c r="AL80" s="51" t="e">
        <f>Ticker0001_Exchange_Sheet!BK88-#REF!</f>
      </c>
      <c r="AM80" s="51" t="e">
        <f>Ticker0001_Exchange_Sheet!BL88-#REF!</f>
      </c>
      <c r="AN80" s="51" t="e">
        <f>Ticker0001_Exchange_Sheet!BM88-#REF!</f>
      </c>
      <c r="AO80" s="51" t="e">
        <f>Ticker0001_Exchange_Sheet!BN88-#REF!</f>
      </c>
      <c r="AP80" s="51" t="e">
        <f>Ticker0001_Exchange_Sheet!BO88-#REF!</f>
      </c>
      <c r="AQ80" s="51" t="e">
        <f>Ticker0001_Exchange_Sheet!BP88-#REF!</f>
      </c>
      <c r="AR80" s="51" t="e">
        <f>Ticker0001_Exchange_Sheet!BQ88-#REF!</f>
      </c>
      <c r="AS80" s="51" t="e">
        <f>Ticker0001_Exchange_Sheet!BR88-#REF!</f>
      </c>
      <c r="AT80" s="51" t="e">
        <f>Ticker0001_Exchange_Sheet!BS88-#REF!</f>
      </c>
      <c r="AU80" s="51" t="e">
        <f>Ticker0001_Exchange_Sheet!BT88-#REF!</f>
      </c>
      <c r="AV80" s="51" t="e">
        <f>Ticker0001_Exchange_Sheet!BU88-#REF!</f>
      </c>
      <c r="AW80" s="51" t="e">
        <f>Ticker0001_Exchange_Sheet!BV88-#REF!</f>
      </c>
      <c r="AX80" s="51" t="e">
        <f>Ticker0001_Exchange_Sheet!BW88-#REF!</f>
      </c>
      <c r="AY80" s="51" t="e">
        <f>Ticker0001_Exchange_Sheet!BX88-#REF!</f>
      </c>
      <c r="AZ80" s="51" t="e">
        <f>Ticker0001_Exchange_Sheet!BY88-#REF!</f>
      </c>
      <c r="BA80" s="51" t="e">
        <f>Ticker0001_Exchange_Sheet!BZ88-#REF!</f>
      </c>
      <c r="BB80" s="51" t="e">
        <f>Ticker0001_Exchange_Sheet!CA88-#REF!</f>
      </c>
      <c r="BC80" s="51" t="e">
        <f>Ticker0001_Exchange_Sheet!CB88-#REF!</f>
      </c>
      <c r="BD80" s="51" t="e">
        <f>Ticker0001_Exchange_Sheet!CC88-#REF!</f>
      </c>
      <c r="BE80" s="51" t="e">
        <f>Ticker0001_Exchange_Sheet!CD88-#REF!</f>
      </c>
      <c r="BF80" s="51" t="e">
        <f>Ticker0001_Exchange_Sheet!CE88-#REF!</f>
      </c>
      <c r="BG80" s="51" t="e">
        <f>Ticker0001_Exchange_Sheet!CF88-#REF!</f>
      </c>
      <c r="BH80" s="51" t="e">
        <f>Ticker0001_Exchange_Sheet!CG88-#REF!</f>
      </c>
      <c r="BI80" s="51" t="e">
        <f>Ticker0001_Exchange_Sheet!CH88-#REF!</f>
      </c>
      <c r="BJ80" s="51" t="e">
        <f>Ticker0001_Exchange_Sheet!CI88-#REF!</f>
      </c>
      <c r="BK80" s="51" t="e">
        <f>Ticker0001_Exchange_Sheet!CJ88-#REF!</f>
      </c>
      <c r="BL80" s="51" t="e">
        <f>Ticker0001_Exchange_Sheet!CK88-#REF!</f>
      </c>
      <c r="BM80" s="51" t="e">
        <f>Ticker0001_Exchange_Sheet!CL88-#REF!</f>
      </c>
      <c r="BN80" s="51" t="e">
        <f>Ticker0001_Exchange_Sheet!CM88-#REF!</f>
      </c>
      <c r="BO80" s="51" t="e">
        <f>Ticker0001_Exchange_Sheet!CN88-#REF!</f>
      </c>
      <c r="BP80" s="51" t="e">
        <f>Ticker0001_Exchange_Sheet!CO88-#REF!</f>
      </c>
      <c r="BQ80" s="51" t="e">
        <f>Ticker0001_Exchange_Sheet!CP88-#REF!</f>
      </c>
      <c r="BR80" s="51" t="e">
        <f>Ticker0001_Exchange_Sheet!CQ88-#REF!</f>
      </c>
      <c r="BS80" s="51" t="e">
        <f>Ticker0001_Exchange_Sheet!CR88-#REF!</f>
      </c>
      <c r="BT80" s="51" t="e">
        <f>Ticker0001_Exchange_Sheet!CS88-#REF!</f>
      </c>
      <c r="BU80" s="51" t="e">
        <f>Ticker0001_Exchange_Sheet!CT88-#REF!</f>
      </c>
      <c r="BV80" s="51" t="e">
        <f>Ticker0001_Exchange_Sheet!CU88-#REF!</f>
      </c>
      <c r="BW80" s="51" t="e">
        <f>Ticker0001_Exchange_Sheet!CV88-#REF!</f>
      </c>
      <c r="BX80" s="51" t="e">
        <f>Ticker0001_Exchange_Sheet!CW88-#REF!</f>
      </c>
      <c r="BY80" s="51" t="e">
        <f>Ticker0001_Exchange_Sheet!CX88-#REF!</f>
      </c>
      <c r="BZ80" s="51" t="e">
        <f>Ticker0001_Exchange_Sheet!CY88-#REF!</f>
      </c>
      <c r="CA80" s="51" t="e">
        <f>Ticker0001_Exchange_Sheet!CZ88-#REF!</f>
      </c>
      <c r="CB80" s="51" t="e">
        <f>Ticker0001_Exchange_Sheet!DA88-#REF!</f>
      </c>
      <c r="CC80" s="51" t="e">
        <f>Ticker0001_Exchange_Sheet!DB88-#REF!</f>
      </c>
      <c r="CD80" s="51" t="e">
        <f>Ticker0001_Exchange_Sheet!DC88-#REF!</f>
      </c>
      <c r="CE80" s="51" t="e">
        <f>Ticker0001_Exchange_Sheet!DD88-#REF!</f>
      </c>
      <c r="CF80" s="51" t="e">
        <f>Ticker0001_Exchange_Sheet!DE88-#REF!</f>
      </c>
    </row>
    <row r="81" spans="6:84">
      <c r="F81" s="51" t="e">
        <f>Ticker0001_Exchange_Sheet!F89-#REF!</f>
      </c>
      <c r="G81" s="51" t="e">
        <f>Ticker0001_Exchange_Sheet!G89-#REF!</f>
      </c>
      <c r="H81" s="51" t="e">
        <f>Ticker0001_Exchange_Sheet!H89-#REF!</f>
      </c>
      <c r="I81" s="51" t="e">
        <f>Ticker0001_Exchange_Sheet!I89-#REF!</f>
      </c>
      <c r="J81" s="51" t="e">
        <f>Ticker0001_Exchange_Sheet!J89-#REF!</f>
      </c>
      <c r="K81" s="51" t="e">
        <f>Ticker0001_Exchange_Sheet!K89-#REF!</f>
      </c>
      <c r="L81" s="51" t="e">
        <f>Ticker0001_Exchange_Sheet!L89-#REF!</f>
      </c>
      <c r="M81" s="51" t="e">
        <f>Ticker0001_Exchange_Sheet!M89-#REF!</f>
      </c>
      <c r="N81" s="51" t="e">
        <f>Ticker0001_Exchange_Sheet!N89-#REF!</f>
      </c>
      <c r="O81" s="51" t="e">
        <f>Ticker0001_Exchange_Sheet!O89-#REF!</f>
      </c>
      <c r="P81" s="51" t="e">
        <f>Ticker0001_Exchange_Sheet!P89-#REF!</f>
      </c>
      <c r="Q81" s="51" t="e">
        <f>Ticker0001_Exchange_Sheet!Q89-#REF!</f>
      </c>
      <c r="R81" s="51" t="e">
        <f>Ticker0001_Exchange_Sheet!R89-#REF!</f>
      </c>
      <c r="S81" s="51" t="e">
        <f>Ticker0001_Exchange_Sheet!S89-#REF!</f>
      </c>
      <c r="T81" s="51" t="e">
        <f>Ticker0001_Exchange_Sheet!T89-#REF!</f>
      </c>
      <c r="U81" s="51" t="e">
        <f>Ticker0001_Exchange_Sheet!U89-#REF!</f>
      </c>
      <c r="V81" s="51" t="e">
        <f>Ticker0001_Exchange_Sheet!V89-#REF!</f>
      </c>
      <c r="W81" s="51" t="e">
        <f>Ticker0001_Exchange_Sheet!W89-#REF!</f>
      </c>
      <c r="X81" s="51" t="e">
        <f>Ticker0001_Exchange_Sheet!AK89-#REF!</f>
      </c>
      <c r="Y81" s="51" t="e">
        <f>Ticker0001_Exchange_Sheet!AX89-#REF!</f>
      </c>
      <c r="Z81" s="51" t="e">
        <f>Ticker0001_Exchange_Sheet!AY89-#REF!</f>
      </c>
      <c r="AA81" s="51" t="e">
        <f>Ticker0001_Exchange_Sheet!AZ89-#REF!</f>
      </c>
      <c r="AB81" s="51" t="e">
        <f>Ticker0001_Exchange_Sheet!BA89-#REF!</f>
      </c>
      <c r="AC81" s="51" t="e">
        <f>Ticker0001_Exchange_Sheet!BB89-#REF!</f>
      </c>
      <c r="AD81" s="51" t="e">
        <f>Ticker0001_Exchange_Sheet!BC89-#REF!</f>
      </c>
      <c r="AE81" s="51" t="e">
        <f>Ticker0001_Exchange_Sheet!BD89-#REF!</f>
      </c>
      <c r="AF81" s="51" t="e">
        <f>Ticker0001_Exchange_Sheet!BE89-#REF!</f>
      </c>
      <c r="AG81" s="51" t="e">
        <f>Ticker0001_Exchange_Sheet!BF89-#REF!</f>
      </c>
      <c r="AH81" s="51" t="e">
        <f>Ticker0001_Exchange_Sheet!BG89-#REF!</f>
      </c>
      <c r="AI81" s="51" t="e">
        <f>Ticker0001_Exchange_Sheet!BH89-#REF!</f>
      </c>
      <c r="AJ81" s="51" t="e">
        <f>Ticker0001_Exchange_Sheet!BI89-#REF!</f>
      </c>
      <c r="AK81" s="51" t="e">
        <f>Ticker0001_Exchange_Sheet!BJ89-#REF!</f>
      </c>
      <c r="AL81" s="51" t="e">
        <f>Ticker0001_Exchange_Sheet!BK89-#REF!</f>
      </c>
      <c r="AM81" s="51" t="e">
        <f>Ticker0001_Exchange_Sheet!BL89-#REF!</f>
      </c>
      <c r="AN81" s="51" t="e">
        <f>Ticker0001_Exchange_Sheet!BM89-#REF!</f>
      </c>
      <c r="AO81" s="51" t="e">
        <f>Ticker0001_Exchange_Sheet!BN89-#REF!</f>
      </c>
      <c r="AP81" s="51" t="e">
        <f>Ticker0001_Exchange_Sheet!BO89-#REF!</f>
      </c>
      <c r="AQ81" s="51" t="e">
        <f>Ticker0001_Exchange_Sheet!BP89-#REF!</f>
      </c>
      <c r="AR81" s="51" t="e">
        <f>Ticker0001_Exchange_Sheet!BQ89-#REF!</f>
      </c>
      <c r="AS81" s="51" t="e">
        <f>Ticker0001_Exchange_Sheet!BR89-#REF!</f>
      </c>
      <c r="AT81" s="51" t="e">
        <f>Ticker0001_Exchange_Sheet!BS89-#REF!</f>
      </c>
      <c r="AU81" s="51" t="e">
        <f>Ticker0001_Exchange_Sheet!BT89-#REF!</f>
      </c>
      <c r="AV81" s="51" t="e">
        <f>Ticker0001_Exchange_Sheet!BU89-#REF!</f>
      </c>
      <c r="AW81" s="51" t="e">
        <f>Ticker0001_Exchange_Sheet!BV89-#REF!</f>
      </c>
      <c r="AX81" s="51" t="e">
        <f>Ticker0001_Exchange_Sheet!BW89-#REF!</f>
      </c>
      <c r="AY81" s="51" t="e">
        <f>Ticker0001_Exchange_Sheet!BX89-#REF!</f>
      </c>
      <c r="AZ81" s="51" t="e">
        <f>Ticker0001_Exchange_Sheet!BY89-#REF!</f>
      </c>
      <c r="BA81" s="51" t="e">
        <f>Ticker0001_Exchange_Sheet!BZ89-#REF!</f>
      </c>
      <c r="BB81" s="51" t="e">
        <f>Ticker0001_Exchange_Sheet!CA89-#REF!</f>
      </c>
      <c r="BC81" s="51" t="e">
        <f>Ticker0001_Exchange_Sheet!CB89-#REF!</f>
      </c>
      <c r="BD81" s="51" t="e">
        <f>Ticker0001_Exchange_Sheet!CC89-#REF!</f>
      </c>
      <c r="BE81" s="51" t="e">
        <f>Ticker0001_Exchange_Sheet!CD89-#REF!</f>
      </c>
      <c r="BF81" s="51" t="e">
        <f>Ticker0001_Exchange_Sheet!CE89-#REF!</f>
      </c>
      <c r="BG81" s="51" t="e">
        <f>Ticker0001_Exchange_Sheet!CF89-#REF!</f>
      </c>
      <c r="BH81" s="51" t="e">
        <f>Ticker0001_Exchange_Sheet!CG89-#REF!</f>
      </c>
      <c r="BI81" s="51" t="e">
        <f>Ticker0001_Exchange_Sheet!CH89-#REF!</f>
      </c>
      <c r="BJ81" s="51" t="e">
        <f>Ticker0001_Exchange_Sheet!CI89-#REF!</f>
      </c>
      <c r="BK81" s="51" t="e">
        <f>Ticker0001_Exchange_Sheet!CJ89-#REF!</f>
      </c>
      <c r="BL81" s="51" t="e">
        <f>Ticker0001_Exchange_Sheet!CK89-#REF!</f>
      </c>
      <c r="BM81" s="51" t="e">
        <f>Ticker0001_Exchange_Sheet!CL89-#REF!</f>
      </c>
      <c r="BN81" s="51" t="e">
        <f>Ticker0001_Exchange_Sheet!CM89-#REF!</f>
      </c>
      <c r="BO81" s="51" t="e">
        <f>Ticker0001_Exchange_Sheet!CN89-#REF!</f>
      </c>
      <c r="BP81" s="51" t="e">
        <f>Ticker0001_Exchange_Sheet!CO89-#REF!</f>
      </c>
      <c r="BQ81" s="51" t="e">
        <f>Ticker0001_Exchange_Sheet!CP89-#REF!</f>
      </c>
      <c r="BR81" s="51" t="e">
        <f>Ticker0001_Exchange_Sheet!CQ89-#REF!</f>
      </c>
      <c r="BS81" s="51" t="e">
        <f>Ticker0001_Exchange_Sheet!CR89-#REF!</f>
      </c>
      <c r="BT81" s="51" t="e">
        <f>Ticker0001_Exchange_Sheet!CS89-#REF!</f>
      </c>
      <c r="BU81" s="51" t="e">
        <f>Ticker0001_Exchange_Sheet!CT89-#REF!</f>
      </c>
      <c r="BV81" s="51" t="e">
        <f>Ticker0001_Exchange_Sheet!CU89-#REF!</f>
      </c>
      <c r="BW81" s="51" t="e">
        <f>Ticker0001_Exchange_Sheet!CV89-#REF!</f>
      </c>
      <c r="BX81" s="51" t="e">
        <f>Ticker0001_Exchange_Sheet!CW89-#REF!</f>
      </c>
      <c r="BY81" s="51" t="e">
        <f>Ticker0001_Exchange_Sheet!CX89-#REF!</f>
      </c>
      <c r="BZ81" s="51" t="e">
        <f>Ticker0001_Exchange_Sheet!CY89-#REF!</f>
      </c>
      <c r="CA81" s="51" t="e">
        <f>Ticker0001_Exchange_Sheet!CZ89-#REF!</f>
      </c>
      <c r="CB81" s="51" t="e">
        <f>Ticker0001_Exchange_Sheet!DA89-#REF!</f>
      </c>
      <c r="CC81" s="51" t="e">
        <f>Ticker0001_Exchange_Sheet!DB89-#REF!</f>
      </c>
      <c r="CD81" s="51" t="e">
        <f>Ticker0001_Exchange_Sheet!DC89-#REF!</f>
      </c>
      <c r="CE81" s="51" t="e">
        <f>Ticker0001_Exchange_Sheet!DD89-#REF!</f>
      </c>
      <c r="CF81" s="51" t="e">
        <f>Ticker0001_Exchange_Sheet!DE89-#REF!</f>
      </c>
    </row>
    <row r="82" spans="6:84">
      <c r="F82" s="51" t="e">
        <f>Ticker0001_Exchange_Sheet!F91-#REF!</f>
      </c>
      <c r="G82" s="51" t="e">
        <f>Ticker0001_Exchange_Sheet!G91-#REF!</f>
      </c>
      <c r="H82" s="51" t="e">
        <f>Ticker0001_Exchange_Sheet!H91-#REF!</f>
      </c>
      <c r="I82" s="51" t="e">
        <f>Ticker0001_Exchange_Sheet!I91-#REF!</f>
      </c>
      <c r="J82" s="51" t="e">
        <f>Ticker0001_Exchange_Sheet!J91-#REF!</f>
      </c>
      <c r="K82" s="51" t="e">
        <f>Ticker0001_Exchange_Sheet!K91-#REF!</f>
      </c>
      <c r="L82" s="51" t="e">
        <f>Ticker0001_Exchange_Sheet!L91-#REF!</f>
      </c>
      <c r="M82" s="51" t="e">
        <f>Ticker0001_Exchange_Sheet!M91-#REF!</f>
      </c>
      <c r="N82" s="51" t="e">
        <f>Ticker0001_Exchange_Sheet!N91-#REF!</f>
      </c>
      <c r="O82" s="51" t="e">
        <f>Ticker0001_Exchange_Sheet!O91-#REF!</f>
      </c>
      <c r="P82" s="51" t="e">
        <f>Ticker0001_Exchange_Sheet!P91-#REF!</f>
      </c>
      <c r="Q82" s="51" t="e">
        <f>Ticker0001_Exchange_Sheet!Q91-#REF!</f>
      </c>
      <c r="R82" s="51" t="e">
        <f>Ticker0001_Exchange_Sheet!R91-#REF!</f>
      </c>
      <c r="S82" s="51" t="e">
        <f>Ticker0001_Exchange_Sheet!S91-#REF!</f>
      </c>
      <c r="T82" s="51" t="e">
        <f>Ticker0001_Exchange_Sheet!T91-#REF!</f>
      </c>
      <c r="U82" s="51" t="e">
        <f>Ticker0001_Exchange_Sheet!U91-#REF!</f>
      </c>
      <c r="V82" s="51" t="e">
        <f>Ticker0001_Exchange_Sheet!V91-#REF!</f>
      </c>
      <c r="W82" s="51" t="e">
        <f>Ticker0001_Exchange_Sheet!W91-#REF!</f>
      </c>
      <c r="X82" s="51" t="e">
        <f>Ticker0001_Exchange_Sheet!AK91-#REF!</f>
      </c>
      <c r="Y82" s="51" t="e">
        <f>Ticker0001_Exchange_Sheet!AX91-#REF!</f>
      </c>
      <c r="Z82" s="51" t="e">
        <f>Ticker0001_Exchange_Sheet!AY91-#REF!</f>
      </c>
      <c r="AA82" s="51" t="e">
        <f>Ticker0001_Exchange_Sheet!AZ91-#REF!</f>
      </c>
      <c r="AB82" s="51" t="e">
        <f>Ticker0001_Exchange_Sheet!BA91-#REF!</f>
      </c>
      <c r="AC82" s="51" t="e">
        <f>Ticker0001_Exchange_Sheet!BB91-#REF!</f>
      </c>
      <c r="AD82" s="51" t="e">
        <f>Ticker0001_Exchange_Sheet!BC91-#REF!</f>
      </c>
      <c r="AE82" s="51" t="e">
        <f>Ticker0001_Exchange_Sheet!BD91-#REF!</f>
      </c>
      <c r="AF82" s="51" t="e">
        <f>Ticker0001_Exchange_Sheet!BE91-#REF!</f>
      </c>
      <c r="AG82" s="51" t="e">
        <f>Ticker0001_Exchange_Sheet!BF91-#REF!</f>
      </c>
      <c r="AH82" s="51" t="e">
        <f>Ticker0001_Exchange_Sheet!BG91-#REF!</f>
      </c>
      <c r="AI82" s="51" t="e">
        <f>Ticker0001_Exchange_Sheet!BH91-#REF!</f>
      </c>
      <c r="AJ82" s="51" t="e">
        <f>Ticker0001_Exchange_Sheet!BI91-#REF!</f>
      </c>
      <c r="AK82" s="51" t="e">
        <f>Ticker0001_Exchange_Sheet!BJ91-#REF!</f>
      </c>
      <c r="AL82" s="51" t="e">
        <f>Ticker0001_Exchange_Sheet!BK91-#REF!</f>
      </c>
      <c r="AM82" s="51" t="e">
        <f>Ticker0001_Exchange_Sheet!BL91-#REF!</f>
      </c>
      <c r="AN82" s="51" t="e">
        <f>Ticker0001_Exchange_Sheet!BM91-#REF!</f>
      </c>
      <c r="AO82" s="51" t="e">
        <f>Ticker0001_Exchange_Sheet!BN91-#REF!</f>
      </c>
      <c r="AP82" s="51" t="e">
        <f>Ticker0001_Exchange_Sheet!BO91-#REF!</f>
      </c>
      <c r="AQ82" s="51" t="e">
        <f>Ticker0001_Exchange_Sheet!BP91-#REF!</f>
      </c>
      <c r="AR82" s="51" t="e">
        <f>Ticker0001_Exchange_Sheet!BQ91-#REF!</f>
      </c>
      <c r="AS82" s="51" t="e">
        <f>Ticker0001_Exchange_Sheet!BR91-#REF!</f>
      </c>
      <c r="AT82" s="51" t="e">
        <f>Ticker0001_Exchange_Sheet!BS91-#REF!</f>
      </c>
      <c r="AU82" s="51" t="e">
        <f>Ticker0001_Exchange_Sheet!BT91-#REF!</f>
      </c>
      <c r="AV82" s="51" t="e">
        <f>Ticker0001_Exchange_Sheet!BU91-#REF!</f>
      </c>
      <c r="AW82" s="51" t="e">
        <f>Ticker0001_Exchange_Sheet!BV91-#REF!</f>
      </c>
      <c r="AX82" s="51" t="e">
        <f>Ticker0001_Exchange_Sheet!BW91-#REF!</f>
      </c>
      <c r="AY82" s="51" t="e">
        <f>Ticker0001_Exchange_Sheet!BX91-#REF!</f>
      </c>
      <c r="AZ82" s="51" t="e">
        <f>Ticker0001_Exchange_Sheet!BY91-#REF!</f>
      </c>
      <c r="BA82" s="51" t="e">
        <f>Ticker0001_Exchange_Sheet!BZ91-#REF!</f>
      </c>
      <c r="BB82" s="51" t="e">
        <f>Ticker0001_Exchange_Sheet!CA91-#REF!</f>
      </c>
      <c r="BC82" s="51" t="e">
        <f>Ticker0001_Exchange_Sheet!CB91-#REF!</f>
      </c>
      <c r="BD82" s="51" t="e">
        <f>Ticker0001_Exchange_Sheet!CC91-#REF!</f>
      </c>
      <c r="BE82" s="51" t="e">
        <f>Ticker0001_Exchange_Sheet!CD91-#REF!</f>
      </c>
      <c r="BF82" s="51" t="e">
        <f>Ticker0001_Exchange_Sheet!CE91-#REF!</f>
      </c>
      <c r="BG82" s="51" t="e">
        <f>Ticker0001_Exchange_Sheet!CF91-#REF!</f>
      </c>
      <c r="BH82" s="51" t="e">
        <f>Ticker0001_Exchange_Sheet!CG91-#REF!</f>
      </c>
      <c r="BI82" s="51" t="e">
        <f>Ticker0001_Exchange_Sheet!CH91-#REF!</f>
      </c>
      <c r="BJ82" s="51" t="e">
        <f>Ticker0001_Exchange_Sheet!CI91-#REF!</f>
      </c>
      <c r="BK82" s="51" t="e">
        <f>Ticker0001_Exchange_Sheet!CJ91-#REF!</f>
      </c>
      <c r="BL82" s="51" t="e">
        <f>Ticker0001_Exchange_Sheet!CK91-#REF!</f>
      </c>
      <c r="BM82" s="51" t="e">
        <f>Ticker0001_Exchange_Sheet!CL91-#REF!</f>
      </c>
      <c r="BN82" s="51" t="e">
        <f>Ticker0001_Exchange_Sheet!CM91-#REF!</f>
      </c>
      <c r="BO82" s="51" t="e">
        <f>Ticker0001_Exchange_Sheet!CN91-#REF!</f>
      </c>
      <c r="BP82" s="51" t="e">
        <f>Ticker0001_Exchange_Sheet!CO91-#REF!</f>
      </c>
      <c r="BQ82" s="51" t="e">
        <f>Ticker0001_Exchange_Sheet!CP91-#REF!</f>
      </c>
      <c r="BR82" s="51" t="e">
        <f>Ticker0001_Exchange_Sheet!CQ91-#REF!</f>
      </c>
      <c r="BS82" s="51" t="e">
        <f>Ticker0001_Exchange_Sheet!CR91-#REF!</f>
      </c>
      <c r="BT82" s="51" t="e">
        <f>Ticker0001_Exchange_Sheet!CS91-#REF!</f>
      </c>
      <c r="BU82" s="51" t="e">
        <f>Ticker0001_Exchange_Sheet!CT91-#REF!</f>
      </c>
      <c r="BV82" s="51" t="e">
        <f>Ticker0001_Exchange_Sheet!CU91-#REF!</f>
      </c>
      <c r="BW82" s="51" t="e">
        <f>Ticker0001_Exchange_Sheet!CV91-#REF!</f>
      </c>
      <c r="BX82" s="51" t="e">
        <f>Ticker0001_Exchange_Sheet!CW91-#REF!</f>
      </c>
      <c r="BY82" s="51" t="e">
        <f>Ticker0001_Exchange_Sheet!CX91-#REF!</f>
      </c>
      <c r="BZ82" s="51" t="e">
        <f>Ticker0001_Exchange_Sheet!CY91-#REF!</f>
      </c>
      <c r="CA82" s="51" t="e">
        <f>Ticker0001_Exchange_Sheet!CZ91-#REF!</f>
      </c>
      <c r="CB82" s="51" t="e">
        <f>Ticker0001_Exchange_Sheet!DA91-#REF!</f>
      </c>
      <c r="CC82" s="51" t="e">
        <f>Ticker0001_Exchange_Sheet!DB91-#REF!</f>
      </c>
      <c r="CD82" s="51" t="e">
        <f>Ticker0001_Exchange_Sheet!DC91-#REF!</f>
      </c>
      <c r="CE82" s="51" t="e">
        <f>Ticker0001_Exchange_Sheet!DD91-#REF!</f>
      </c>
      <c r="CF82" s="51" t="e">
        <f>Ticker0001_Exchange_Sheet!DE91-#REF!</f>
      </c>
    </row>
    <row r="83" spans="6:84">
      <c r="F83" s="51" t="e">
        <f>Ticker0001_Exchange_Sheet!F92-#REF!</f>
      </c>
      <c r="G83" s="51" t="e">
        <f>Ticker0001_Exchange_Sheet!G92-#REF!</f>
      </c>
      <c r="H83" s="51" t="e">
        <f>Ticker0001_Exchange_Sheet!H92-#REF!</f>
      </c>
      <c r="I83" s="51" t="e">
        <f>Ticker0001_Exchange_Sheet!I92-#REF!</f>
      </c>
      <c r="J83" s="51" t="e">
        <f>Ticker0001_Exchange_Sheet!J92-#REF!</f>
      </c>
      <c r="K83" s="51" t="e">
        <f>Ticker0001_Exchange_Sheet!K92-#REF!</f>
      </c>
      <c r="L83" s="51" t="e">
        <f>Ticker0001_Exchange_Sheet!L92-#REF!</f>
      </c>
      <c r="M83" s="51" t="e">
        <f>Ticker0001_Exchange_Sheet!M92-#REF!</f>
      </c>
      <c r="N83" s="51" t="e">
        <f>Ticker0001_Exchange_Sheet!N92-#REF!</f>
      </c>
      <c r="O83" s="51" t="e">
        <f>Ticker0001_Exchange_Sheet!O92-#REF!</f>
      </c>
      <c r="P83" s="51" t="e">
        <f>Ticker0001_Exchange_Sheet!P92-#REF!</f>
      </c>
      <c r="Q83" s="51" t="e">
        <f>Ticker0001_Exchange_Sheet!Q92-#REF!</f>
      </c>
      <c r="R83" s="51" t="e">
        <f>Ticker0001_Exchange_Sheet!R92-#REF!</f>
      </c>
      <c r="S83" s="51" t="e">
        <f>Ticker0001_Exchange_Sheet!S92-#REF!</f>
      </c>
      <c r="T83" s="51" t="e">
        <f>Ticker0001_Exchange_Sheet!T92-#REF!</f>
      </c>
      <c r="U83" s="51" t="e">
        <f>Ticker0001_Exchange_Sheet!U92-#REF!</f>
      </c>
      <c r="V83" s="51" t="e">
        <f>Ticker0001_Exchange_Sheet!V92-#REF!</f>
      </c>
      <c r="W83" s="51" t="e">
        <f>Ticker0001_Exchange_Sheet!W92-#REF!</f>
      </c>
      <c r="X83" s="51" t="e">
        <f>Ticker0001_Exchange_Sheet!AK92-#REF!</f>
      </c>
      <c r="Y83" s="51" t="e">
        <f>Ticker0001_Exchange_Sheet!AX92-#REF!</f>
      </c>
      <c r="Z83" s="51" t="e">
        <f>Ticker0001_Exchange_Sheet!AY92-#REF!</f>
      </c>
      <c r="AA83" s="51" t="e">
        <f>Ticker0001_Exchange_Sheet!AZ92-#REF!</f>
      </c>
      <c r="AB83" s="51" t="e">
        <f>Ticker0001_Exchange_Sheet!BA92-#REF!</f>
      </c>
      <c r="AC83" s="51" t="e">
        <f>Ticker0001_Exchange_Sheet!BB92-#REF!</f>
      </c>
      <c r="AD83" s="51" t="e">
        <f>Ticker0001_Exchange_Sheet!BC92-#REF!</f>
      </c>
      <c r="AE83" s="51" t="e">
        <f>Ticker0001_Exchange_Sheet!BD92-#REF!</f>
      </c>
      <c r="AF83" s="51" t="e">
        <f>Ticker0001_Exchange_Sheet!BE92-#REF!</f>
      </c>
      <c r="AG83" s="51" t="e">
        <f>Ticker0001_Exchange_Sheet!BF92-#REF!</f>
      </c>
      <c r="AH83" s="51" t="e">
        <f>Ticker0001_Exchange_Sheet!BG92-#REF!</f>
      </c>
      <c r="AI83" s="51" t="e">
        <f>Ticker0001_Exchange_Sheet!BH92-#REF!</f>
      </c>
      <c r="AJ83" s="51" t="e">
        <f>Ticker0001_Exchange_Sheet!BI92-#REF!</f>
      </c>
      <c r="AK83" s="51" t="e">
        <f>Ticker0001_Exchange_Sheet!BJ92-#REF!</f>
      </c>
      <c r="AL83" s="51" t="e">
        <f>Ticker0001_Exchange_Sheet!BK92-#REF!</f>
      </c>
      <c r="AM83" s="51" t="e">
        <f>Ticker0001_Exchange_Sheet!BL92-#REF!</f>
      </c>
      <c r="AN83" s="51" t="e">
        <f>Ticker0001_Exchange_Sheet!BM92-#REF!</f>
      </c>
      <c r="AO83" s="51" t="e">
        <f>Ticker0001_Exchange_Sheet!BN92-#REF!</f>
      </c>
      <c r="AP83" s="51" t="e">
        <f>Ticker0001_Exchange_Sheet!BO92-#REF!</f>
      </c>
      <c r="AQ83" s="51" t="e">
        <f>Ticker0001_Exchange_Sheet!BP92-#REF!</f>
      </c>
      <c r="AR83" s="51" t="e">
        <f>Ticker0001_Exchange_Sheet!BQ92-#REF!</f>
      </c>
      <c r="AS83" s="51" t="e">
        <f>Ticker0001_Exchange_Sheet!BR92-#REF!</f>
      </c>
      <c r="AT83" s="51" t="e">
        <f>Ticker0001_Exchange_Sheet!BS92-#REF!</f>
      </c>
      <c r="AU83" s="51" t="e">
        <f>Ticker0001_Exchange_Sheet!BT92-#REF!</f>
      </c>
      <c r="AV83" s="51" t="e">
        <f>Ticker0001_Exchange_Sheet!BU92-#REF!</f>
      </c>
      <c r="AW83" s="51" t="e">
        <f>Ticker0001_Exchange_Sheet!BV92-#REF!</f>
      </c>
      <c r="AX83" s="51" t="e">
        <f>Ticker0001_Exchange_Sheet!BW92-#REF!</f>
      </c>
      <c r="AY83" s="51" t="e">
        <f>Ticker0001_Exchange_Sheet!BX92-#REF!</f>
      </c>
      <c r="AZ83" s="51" t="e">
        <f>Ticker0001_Exchange_Sheet!BY92-#REF!</f>
      </c>
      <c r="BA83" s="51" t="e">
        <f>Ticker0001_Exchange_Sheet!BZ92-#REF!</f>
      </c>
      <c r="BB83" s="51" t="e">
        <f>Ticker0001_Exchange_Sheet!CA92-#REF!</f>
      </c>
      <c r="BC83" s="51" t="e">
        <f>Ticker0001_Exchange_Sheet!CB92-#REF!</f>
      </c>
      <c r="BD83" s="51" t="e">
        <f>Ticker0001_Exchange_Sheet!CC92-#REF!</f>
      </c>
      <c r="BE83" s="51" t="e">
        <f>Ticker0001_Exchange_Sheet!CD92-#REF!</f>
      </c>
      <c r="BF83" s="51" t="e">
        <f>Ticker0001_Exchange_Sheet!CE92-#REF!</f>
      </c>
      <c r="BG83" s="51" t="e">
        <f>Ticker0001_Exchange_Sheet!CF92-#REF!</f>
      </c>
      <c r="BH83" s="51" t="e">
        <f>Ticker0001_Exchange_Sheet!CG92-#REF!</f>
      </c>
      <c r="BI83" s="51" t="e">
        <f>Ticker0001_Exchange_Sheet!CH92-#REF!</f>
      </c>
      <c r="BJ83" s="51" t="e">
        <f>Ticker0001_Exchange_Sheet!CI92-#REF!</f>
      </c>
      <c r="BK83" s="51" t="e">
        <f>Ticker0001_Exchange_Sheet!CJ92-#REF!</f>
      </c>
      <c r="BL83" s="51" t="e">
        <f>Ticker0001_Exchange_Sheet!CK92-#REF!</f>
      </c>
      <c r="BM83" s="51" t="e">
        <f>Ticker0001_Exchange_Sheet!CL92-#REF!</f>
      </c>
      <c r="BN83" s="51" t="e">
        <f>Ticker0001_Exchange_Sheet!CM92-#REF!</f>
      </c>
      <c r="BO83" s="51" t="e">
        <f>Ticker0001_Exchange_Sheet!CN92-#REF!</f>
      </c>
      <c r="BP83" s="51" t="e">
        <f>Ticker0001_Exchange_Sheet!CO92-#REF!</f>
      </c>
      <c r="BQ83" s="51" t="e">
        <f>Ticker0001_Exchange_Sheet!CP92-#REF!</f>
      </c>
      <c r="BR83" s="51" t="e">
        <f>Ticker0001_Exchange_Sheet!CQ92-#REF!</f>
      </c>
      <c r="BS83" s="51" t="e">
        <f>Ticker0001_Exchange_Sheet!CR92-#REF!</f>
      </c>
      <c r="BT83" s="51" t="e">
        <f>Ticker0001_Exchange_Sheet!CS92-#REF!</f>
      </c>
      <c r="BU83" s="51" t="e">
        <f>Ticker0001_Exchange_Sheet!CT92-#REF!</f>
      </c>
      <c r="BV83" s="51" t="e">
        <f>Ticker0001_Exchange_Sheet!CU92-#REF!</f>
      </c>
      <c r="BW83" s="51" t="e">
        <f>Ticker0001_Exchange_Sheet!CV92-#REF!</f>
      </c>
      <c r="BX83" s="51" t="e">
        <f>Ticker0001_Exchange_Sheet!CW92-#REF!</f>
      </c>
      <c r="BY83" s="51" t="e">
        <f>Ticker0001_Exchange_Sheet!CX92-#REF!</f>
      </c>
      <c r="BZ83" s="51" t="e">
        <f>Ticker0001_Exchange_Sheet!CY92-#REF!</f>
      </c>
      <c r="CA83" s="51" t="e">
        <f>Ticker0001_Exchange_Sheet!CZ92-#REF!</f>
      </c>
      <c r="CB83" s="51" t="e">
        <f>Ticker0001_Exchange_Sheet!DA92-#REF!</f>
      </c>
      <c r="CC83" s="51" t="e">
        <f>Ticker0001_Exchange_Sheet!DB92-#REF!</f>
      </c>
      <c r="CD83" s="51" t="e">
        <f>Ticker0001_Exchange_Sheet!DC92-#REF!</f>
      </c>
      <c r="CE83" s="51" t="e">
        <f>Ticker0001_Exchange_Sheet!DD92-#REF!</f>
      </c>
      <c r="CF83" s="51" t="e">
        <f>Ticker0001_Exchange_Sheet!DE92-#REF!</f>
      </c>
    </row>
    <row r="84" spans="6:84">
      <c r="F84" s="51" t="e">
        <f>Ticker0001_Exchange_Sheet!F93-#REF!</f>
      </c>
      <c r="G84" s="51" t="e">
        <f>Ticker0001_Exchange_Sheet!G93-#REF!</f>
      </c>
      <c r="H84" s="51" t="e">
        <f>Ticker0001_Exchange_Sheet!H93-#REF!</f>
      </c>
      <c r="I84" s="51" t="e">
        <f>Ticker0001_Exchange_Sheet!I93-#REF!</f>
      </c>
      <c r="J84" s="51" t="e">
        <f>Ticker0001_Exchange_Sheet!J93-#REF!</f>
      </c>
      <c r="K84" s="51" t="e">
        <f>Ticker0001_Exchange_Sheet!K93-#REF!</f>
      </c>
      <c r="L84" s="51" t="e">
        <f>Ticker0001_Exchange_Sheet!L93-#REF!</f>
      </c>
      <c r="M84" s="51" t="e">
        <f>Ticker0001_Exchange_Sheet!M93-#REF!</f>
      </c>
      <c r="N84" s="51" t="e">
        <f>Ticker0001_Exchange_Sheet!N93-#REF!</f>
      </c>
      <c r="O84" s="51" t="e">
        <f>Ticker0001_Exchange_Sheet!O93-#REF!</f>
      </c>
      <c r="P84" s="51" t="e">
        <f>Ticker0001_Exchange_Sheet!P93-#REF!</f>
      </c>
      <c r="Q84" s="51" t="e">
        <f>Ticker0001_Exchange_Sheet!Q93-#REF!</f>
      </c>
      <c r="R84" s="51" t="e">
        <f>Ticker0001_Exchange_Sheet!R93-#REF!</f>
      </c>
      <c r="S84" s="51" t="e">
        <f>Ticker0001_Exchange_Sheet!S93-#REF!</f>
      </c>
      <c r="T84" s="51" t="e">
        <f>Ticker0001_Exchange_Sheet!T93-#REF!</f>
      </c>
      <c r="U84" s="51" t="e">
        <f>Ticker0001_Exchange_Sheet!U93-#REF!</f>
      </c>
      <c r="V84" s="51" t="e">
        <f>Ticker0001_Exchange_Sheet!V93-#REF!</f>
      </c>
      <c r="W84" s="51" t="e">
        <f>Ticker0001_Exchange_Sheet!W93-#REF!</f>
      </c>
      <c r="X84" s="51" t="e">
        <f>Ticker0001_Exchange_Sheet!AK93-#REF!</f>
      </c>
      <c r="Y84" s="51" t="e">
        <f>Ticker0001_Exchange_Sheet!AX93-#REF!</f>
      </c>
      <c r="Z84" s="51" t="e">
        <f>Ticker0001_Exchange_Sheet!AY93-#REF!</f>
      </c>
      <c r="AA84" s="51" t="e">
        <f>Ticker0001_Exchange_Sheet!AZ93-#REF!</f>
      </c>
      <c r="AB84" s="51" t="e">
        <f>Ticker0001_Exchange_Sheet!BA93-#REF!</f>
      </c>
      <c r="AC84" s="51" t="e">
        <f>Ticker0001_Exchange_Sheet!BB93-#REF!</f>
      </c>
      <c r="AD84" s="51" t="e">
        <f>Ticker0001_Exchange_Sheet!BC93-#REF!</f>
      </c>
      <c r="AE84" s="51" t="e">
        <f>Ticker0001_Exchange_Sheet!BD93-#REF!</f>
      </c>
      <c r="AF84" s="51" t="e">
        <f>Ticker0001_Exchange_Sheet!BE93-#REF!</f>
      </c>
      <c r="AG84" s="51" t="e">
        <f>Ticker0001_Exchange_Sheet!BF93-#REF!</f>
      </c>
      <c r="AH84" s="51" t="e">
        <f>Ticker0001_Exchange_Sheet!BG93-#REF!</f>
      </c>
      <c r="AI84" s="51" t="e">
        <f>Ticker0001_Exchange_Sheet!BH93-#REF!</f>
      </c>
      <c r="AJ84" s="51" t="e">
        <f>Ticker0001_Exchange_Sheet!BI93-#REF!</f>
      </c>
      <c r="AK84" s="51" t="e">
        <f>Ticker0001_Exchange_Sheet!BJ93-#REF!</f>
      </c>
      <c r="AL84" s="51" t="e">
        <f>Ticker0001_Exchange_Sheet!BK93-#REF!</f>
      </c>
      <c r="AM84" s="51" t="e">
        <f>Ticker0001_Exchange_Sheet!BL93-#REF!</f>
      </c>
      <c r="AN84" s="51" t="e">
        <f>Ticker0001_Exchange_Sheet!BM93-#REF!</f>
      </c>
      <c r="AO84" s="51" t="e">
        <f>Ticker0001_Exchange_Sheet!BN93-#REF!</f>
      </c>
      <c r="AP84" s="51" t="e">
        <f>Ticker0001_Exchange_Sheet!BO93-#REF!</f>
      </c>
      <c r="AQ84" s="51" t="e">
        <f>Ticker0001_Exchange_Sheet!BP93-#REF!</f>
      </c>
      <c r="AR84" s="51" t="e">
        <f>Ticker0001_Exchange_Sheet!BQ93-#REF!</f>
      </c>
      <c r="AS84" s="51" t="e">
        <f>Ticker0001_Exchange_Sheet!BR93-#REF!</f>
      </c>
      <c r="AT84" s="51" t="e">
        <f>Ticker0001_Exchange_Sheet!BS93-#REF!</f>
      </c>
      <c r="AU84" s="51" t="e">
        <f>Ticker0001_Exchange_Sheet!BT93-#REF!</f>
      </c>
      <c r="AV84" s="51" t="e">
        <f>Ticker0001_Exchange_Sheet!BU93-#REF!</f>
      </c>
      <c r="AW84" s="51" t="e">
        <f>Ticker0001_Exchange_Sheet!BV93-#REF!</f>
      </c>
      <c r="AX84" s="51" t="e">
        <f>Ticker0001_Exchange_Sheet!BW93-#REF!</f>
      </c>
      <c r="AY84" s="51" t="e">
        <f>Ticker0001_Exchange_Sheet!BX93-#REF!</f>
      </c>
      <c r="AZ84" s="51" t="e">
        <f>Ticker0001_Exchange_Sheet!BY93-#REF!</f>
      </c>
      <c r="BA84" s="51" t="e">
        <f>Ticker0001_Exchange_Sheet!BZ93-#REF!</f>
      </c>
      <c r="BB84" s="51" t="e">
        <f>Ticker0001_Exchange_Sheet!CA93-#REF!</f>
      </c>
      <c r="BC84" s="51" t="e">
        <f>Ticker0001_Exchange_Sheet!CB93-#REF!</f>
      </c>
      <c r="BD84" s="51" t="e">
        <f>Ticker0001_Exchange_Sheet!CC93-#REF!</f>
      </c>
      <c r="BE84" s="51" t="e">
        <f>Ticker0001_Exchange_Sheet!CD93-#REF!</f>
      </c>
      <c r="BF84" s="51" t="e">
        <f>Ticker0001_Exchange_Sheet!CE93-#REF!</f>
      </c>
      <c r="BG84" s="51" t="e">
        <f>Ticker0001_Exchange_Sheet!CF93-#REF!</f>
      </c>
      <c r="BH84" s="51" t="e">
        <f>Ticker0001_Exchange_Sheet!CG93-#REF!</f>
      </c>
      <c r="BI84" s="51" t="e">
        <f>Ticker0001_Exchange_Sheet!CH93-#REF!</f>
      </c>
      <c r="BJ84" s="51" t="e">
        <f>Ticker0001_Exchange_Sheet!CI93-#REF!</f>
      </c>
      <c r="BK84" s="51" t="e">
        <f>Ticker0001_Exchange_Sheet!CJ93-#REF!</f>
      </c>
      <c r="BL84" s="51" t="e">
        <f>Ticker0001_Exchange_Sheet!CK93-#REF!</f>
      </c>
      <c r="BM84" s="51" t="e">
        <f>Ticker0001_Exchange_Sheet!CL93-#REF!</f>
      </c>
      <c r="BN84" s="51" t="e">
        <f>Ticker0001_Exchange_Sheet!CM93-#REF!</f>
      </c>
      <c r="BO84" s="51" t="e">
        <f>Ticker0001_Exchange_Sheet!CN93-#REF!</f>
      </c>
      <c r="BP84" s="51" t="e">
        <f>Ticker0001_Exchange_Sheet!CO93-#REF!</f>
      </c>
      <c r="BQ84" s="51" t="e">
        <f>Ticker0001_Exchange_Sheet!CP93-#REF!</f>
      </c>
      <c r="BR84" s="51" t="e">
        <f>Ticker0001_Exchange_Sheet!CQ93-#REF!</f>
      </c>
      <c r="BS84" s="51" t="e">
        <f>Ticker0001_Exchange_Sheet!CR93-#REF!</f>
      </c>
      <c r="BT84" s="51" t="e">
        <f>Ticker0001_Exchange_Sheet!CS93-#REF!</f>
      </c>
      <c r="BU84" s="51" t="e">
        <f>Ticker0001_Exchange_Sheet!CT93-#REF!</f>
      </c>
      <c r="BV84" s="51" t="e">
        <f>Ticker0001_Exchange_Sheet!CU93-#REF!</f>
      </c>
      <c r="BW84" s="51" t="e">
        <f>Ticker0001_Exchange_Sheet!CV93-#REF!</f>
      </c>
      <c r="BX84" s="51" t="e">
        <f>Ticker0001_Exchange_Sheet!CW93-#REF!</f>
      </c>
      <c r="BY84" s="51" t="e">
        <f>Ticker0001_Exchange_Sheet!CX93-#REF!</f>
      </c>
      <c r="BZ84" s="51" t="e">
        <f>Ticker0001_Exchange_Sheet!CY93-#REF!</f>
      </c>
      <c r="CA84" s="51" t="e">
        <f>Ticker0001_Exchange_Sheet!CZ93-#REF!</f>
      </c>
      <c r="CB84" s="51" t="e">
        <f>Ticker0001_Exchange_Sheet!DA93-#REF!</f>
      </c>
      <c r="CC84" s="51" t="e">
        <f>Ticker0001_Exchange_Sheet!DB93-#REF!</f>
      </c>
      <c r="CD84" s="51" t="e">
        <f>Ticker0001_Exchange_Sheet!DC93-#REF!</f>
      </c>
      <c r="CE84" s="51" t="e">
        <f>Ticker0001_Exchange_Sheet!DD93-#REF!</f>
      </c>
      <c r="CF84" s="51" t="e">
        <f>Ticker0001_Exchange_Sheet!DE93-#REF!</f>
      </c>
    </row>
    <row r="85" spans="6:84">
      <c r="F85" s="51" t="e">
        <f>Ticker0001_Exchange_Sheet!F94-#REF!</f>
      </c>
      <c r="G85" s="51" t="e">
        <f>Ticker0001_Exchange_Sheet!G94-#REF!</f>
      </c>
      <c r="H85" s="51" t="e">
        <f>Ticker0001_Exchange_Sheet!H94-#REF!</f>
      </c>
      <c r="I85" s="51" t="e">
        <f>Ticker0001_Exchange_Sheet!I94-#REF!</f>
      </c>
      <c r="J85" s="51" t="e">
        <f>Ticker0001_Exchange_Sheet!J94-#REF!</f>
      </c>
      <c r="K85" s="51" t="e">
        <f>Ticker0001_Exchange_Sheet!K94-#REF!</f>
      </c>
      <c r="L85" s="51" t="e">
        <f>Ticker0001_Exchange_Sheet!L94-#REF!</f>
      </c>
      <c r="M85" s="51" t="e">
        <f>Ticker0001_Exchange_Sheet!M94-#REF!</f>
      </c>
      <c r="N85" s="51" t="e">
        <f>Ticker0001_Exchange_Sheet!N94-#REF!</f>
      </c>
      <c r="O85" s="51" t="e">
        <f>Ticker0001_Exchange_Sheet!O94-#REF!</f>
      </c>
      <c r="P85" s="51" t="e">
        <f>Ticker0001_Exchange_Sheet!P94-#REF!</f>
      </c>
      <c r="Q85" s="51" t="e">
        <f>Ticker0001_Exchange_Sheet!Q94-#REF!</f>
      </c>
      <c r="R85" s="51" t="e">
        <f>Ticker0001_Exchange_Sheet!R94-#REF!</f>
      </c>
      <c r="S85" s="51" t="e">
        <f>Ticker0001_Exchange_Sheet!S94-#REF!</f>
      </c>
      <c r="T85" s="51" t="e">
        <f>Ticker0001_Exchange_Sheet!T94-#REF!</f>
      </c>
      <c r="U85" s="51" t="e">
        <f>Ticker0001_Exchange_Sheet!U94-#REF!</f>
      </c>
      <c r="V85" s="51" t="e">
        <f>Ticker0001_Exchange_Sheet!V94-#REF!</f>
      </c>
      <c r="W85" s="51" t="e">
        <f>Ticker0001_Exchange_Sheet!W94-#REF!</f>
      </c>
      <c r="X85" s="51" t="e">
        <f>Ticker0001_Exchange_Sheet!AK94-#REF!</f>
      </c>
      <c r="Y85" s="51" t="e">
        <f>Ticker0001_Exchange_Sheet!AX94-#REF!</f>
      </c>
      <c r="Z85" s="51" t="e">
        <f>Ticker0001_Exchange_Sheet!AY94-#REF!</f>
      </c>
      <c r="AA85" s="51" t="e">
        <f>Ticker0001_Exchange_Sheet!AZ94-#REF!</f>
      </c>
      <c r="AB85" s="51" t="e">
        <f>Ticker0001_Exchange_Sheet!BA94-#REF!</f>
      </c>
      <c r="AC85" s="51" t="e">
        <f>Ticker0001_Exchange_Sheet!BB94-#REF!</f>
      </c>
      <c r="AD85" s="51" t="e">
        <f>Ticker0001_Exchange_Sheet!BC94-#REF!</f>
      </c>
      <c r="AE85" s="51" t="e">
        <f>Ticker0001_Exchange_Sheet!BD94-#REF!</f>
      </c>
      <c r="AF85" s="51" t="e">
        <f>Ticker0001_Exchange_Sheet!BE94-#REF!</f>
      </c>
      <c r="AG85" s="51" t="e">
        <f>Ticker0001_Exchange_Sheet!BF94-#REF!</f>
      </c>
      <c r="AH85" s="51" t="e">
        <f>Ticker0001_Exchange_Sheet!BG94-#REF!</f>
      </c>
      <c r="AI85" s="51" t="e">
        <f>Ticker0001_Exchange_Sheet!BH94-#REF!</f>
      </c>
      <c r="AJ85" s="51" t="e">
        <f>Ticker0001_Exchange_Sheet!BI94-#REF!</f>
      </c>
      <c r="AK85" s="51" t="e">
        <f>Ticker0001_Exchange_Sheet!BJ94-#REF!</f>
      </c>
      <c r="AL85" s="51" t="e">
        <f>Ticker0001_Exchange_Sheet!BK94-#REF!</f>
      </c>
      <c r="AM85" s="51" t="e">
        <f>Ticker0001_Exchange_Sheet!BL94-#REF!</f>
      </c>
      <c r="AN85" s="51" t="e">
        <f>Ticker0001_Exchange_Sheet!BM94-#REF!</f>
      </c>
      <c r="AO85" s="51" t="e">
        <f>Ticker0001_Exchange_Sheet!BN94-#REF!</f>
      </c>
      <c r="AP85" s="51" t="e">
        <f>Ticker0001_Exchange_Sheet!BO94-#REF!</f>
      </c>
      <c r="AQ85" s="51" t="e">
        <f>Ticker0001_Exchange_Sheet!BP94-#REF!</f>
      </c>
      <c r="AR85" s="51" t="e">
        <f>Ticker0001_Exchange_Sheet!BQ94-#REF!</f>
      </c>
      <c r="AS85" s="51" t="e">
        <f>Ticker0001_Exchange_Sheet!BR94-#REF!</f>
      </c>
      <c r="AT85" s="51" t="e">
        <f>Ticker0001_Exchange_Sheet!BS94-#REF!</f>
      </c>
      <c r="AU85" s="51" t="e">
        <f>Ticker0001_Exchange_Sheet!BT94-#REF!</f>
      </c>
      <c r="AV85" s="51" t="e">
        <f>Ticker0001_Exchange_Sheet!BU94-#REF!</f>
      </c>
      <c r="AW85" s="51" t="e">
        <f>Ticker0001_Exchange_Sheet!BV94-#REF!</f>
      </c>
      <c r="AX85" s="51" t="e">
        <f>Ticker0001_Exchange_Sheet!BW94-#REF!</f>
      </c>
      <c r="AY85" s="51" t="e">
        <f>Ticker0001_Exchange_Sheet!BX94-#REF!</f>
      </c>
      <c r="AZ85" s="51" t="e">
        <f>Ticker0001_Exchange_Sheet!BY94-#REF!</f>
      </c>
      <c r="BA85" s="51" t="e">
        <f>Ticker0001_Exchange_Sheet!BZ94-#REF!</f>
      </c>
      <c r="BB85" s="51" t="e">
        <f>Ticker0001_Exchange_Sheet!CA94-#REF!</f>
      </c>
      <c r="BC85" s="51" t="e">
        <f>Ticker0001_Exchange_Sheet!CB94-#REF!</f>
      </c>
      <c r="BD85" s="51" t="e">
        <f>Ticker0001_Exchange_Sheet!CC94-#REF!</f>
      </c>
      <c r="BE85" s="51" t="e">
        <f>Ticker0001_Exchange_Sheet!CD94-#REF!</f>
      </c>
      <c r="BF85" s="51" t="e">
        <f>Ticker0001_Exchange_Sheet!CE94-#REF!</f>
      </c>
      <c r="BG85" s="51" t="e">
        <f>Ticker0001_Exchange_Sheet!CF94-#REF!</f>
      </c>
      <c r="BH85" s="51" t="e">
        <f>Ticker0001_Exchange_Sheet!CG94-#REF!</f>
      </c>
      <c r="BI85" s="51" t="e">
        <f>Ticker0001_Exchange_Sheet!CH94-#REF!</f>
      </c>
      <c r="BJ85" s="51" t="e">
        <f>Ticker0001_Exchange_Sheet!CI94-#REF!</f>
      </c>
      <c r="BK85" s="51" t="e">
        <f>Ticker0001_Exchange_Sheet!CJ94-#REF!</f>
      </c>
      <c r="BL85" s="51" t="e">
        <f>Ticker0001_Exchange_Sheet!CK94-#REF!</f>
      </c>
      <c r="BM85" s="51" t="e">
        <f>Ticker0001_Exchange_Sheet!CL94-#REF!</f>
      </c>
      <c r="BN85" s="51" t="e">
        <f>Ticker0001_Exchange_Sheet!CM94-#REF!</f>
      </c>
      <c r="BO85" s="51" t="e">
        <f>Ticker0001_Exchange_Sheet!CN94-#REF!</f>
      </c>
      <c r="BP85" s="51" t="e">
        <f>Ticker0001_Exchange_Sheet!CO94-#REF!</f>
      </c>
      <c r="BQ85" s="51" t="e">
        <f>Ticker0001_Exchange_Sheet!CP94-#REF!</f>
      </c>
      <c r="BR85" s="51" t="e">
        <f>Ticker0001_Exchange_Sheet!CQ94-#REF!</f>
      </c>
      <c r="BS85" s="51" t="e">
        <f>Ticker0001_Exchange_Sheet!CR94-#REF!</f>
      </c>
      <c r="BT85" s="51" t="e">
        <f>Ticker0001_Exchange_Sheet!CS94-#REF!</f>
      </c>
      <c r="BU85" s="51" t="e">
        <f>Ticker0001_Exchange_Sheet!CT94-#REF!</f>
      </c>
      <c r="BV85" s="51" t="e">
        <f>Ticker0001_Exchange_Sheet!CU94-#REF!</f>
      </c>
      <c r="BW85" s="51" t="e">
        <f>Ticker0001_Exchange_Sheet!CV94-#REF!</f>
      </c>
      <c r="BX85" s="51" t="e">
        <f>Ticker0001_Exchange_Sheet!CW94-#REF!</f>
      </c>
      <c r="BY85" s="51" t="e">
        <f>Ticker0001_Exchange_Sheet!CX94-#REF!</f>
      </c>
      <c r="BZ85" s="51" t="e">
        <f>Ticker0001_Exchange_Sheet!CY94-#REF!</f>
      </c>
      <c r="CA85" s="51" t="e">
        <f>Ticker0001_Exchange_Sheet!CZ94-#REF!</f>
      </c>
      <c r="CB85" s="51" t="e">
        <f>Ticker0001_Exchange_Sheet!DA94-#REF!</f>
      </c>
      <c r="CC85" s="51" t="e">
        <f>Ticker0001_Exchange_Sheet!DB94-#REF!</f>
      </c>
      <c r="CD85" s="51" t="e">
        <f>Ticker0001_Exchange_Sheet!DC94-#REF!</f>
      </c>
      <c r="CE85" s="51" t="e">
        <f>Ticker0001_Exchange_Sheet!DD94-#REF!</f>
      </c>
      <c r="CF85" s="51" t="e">
        <f>Ticker0001_Exchange_Sheet!DE94-#REF!</f>
      </c>
    </row>
    <row r="86" spans="6:84">
      <c r="F86" s="51" t="e">
        <f>Ticker0001_Exchange_Sheet!F95-#REF!</f>
      </c>
      <c r="G86" s="51" t="e">
        <f>Ticker0001_Exchange_Sheet!G95-#REF!</f>
      </c>
      <c r="H86" s="51" t="e">
        <f>Ticker0001_Exchange_Sheet!H95-#REF!</f>
      </c>
      <c r="I86" s="51" t="e">
        <f>Ticker0001_Exchange_Sheet!I95-#REF!</f>
      </c>
      <c r="J86" s="51" t="e">
        <f>Ticker0001_Exchange_Sheet!J95-#REF!</f>
      </c>
      <c r="K86" s="51" t="e">
        <f>Ticker0001_Exchange_Sheet!K95-#REF!</f>
      </c>
      <c r="L86" s="51" t="e">
        <f>Ticker0001_Exchange_Sheet!L95-#REF!</f>
      </c>
      <c r="M86" s="51" t="e">
        <f>Ticker0001_Exchange_Sheet!M95-#REF!</f>
      </c>
      <c r="N86" s="51" t="e">
        <f>Ticker0001_Exchange_Sheet!N95-#REF!</f>
      </c>
      <c r="O86" s="51" t="e">
        <f>Ticker0001_Exchange_Sheet!O95-#REF!</f>
      </c>
      <c r="P86" s="51" t="e">
        <f>Ticker0001_Exchange_Sheet!P95-#REF!</f>
      </c>
      <c r="Q86" s="51" t="e">
        <f>Ticker0001_Exchange_Sheet!Q95-#REF!</f>
      </c>
      <c r="R86" s="51" t="e">
        <f>Ticker0001_Exchange_Sheet!R95-#REF!</f>
      </c>
      <c r="S86" s="51" t="e">
        <f>Ticker0001_Exchange_Sheet!S95-#REF!</f>
      </c>
      <c r="T86" s="51" t="e">
        <f>Ticker0001_Exchange_Sheet!T95-#REF!</f>
      </c>
      <c r="U86" s="51" t="e">
        <f>Ticker0001_Exchange_Sheet!U95-#REF!</f>
      </c>
      <c r="V86" s="51" t="e">
        <f>Ticker0001_Exchange_Sheet!V95-#REF!</f>
      </c>
      <c r="W86" s="51" t="e">
        <f>Ticker0001_Exchange_Sheet!W95-#REF!</f>
      </c>
      <c r="X86" s="51" t="e">
        <f>Ticker0001_Exchange_Sheet!AK95-#REF!</f>
      </c>
      <c r="Y86" s="51" t="e">
        <f>Ticker0001_Exchange_Sheet!AX95-#REF!</f>
      </c>
      <c r="Z86" s="51" t="e">
        <f>Ticker0001_Exchange_Sheet!AY95-#REF!</f>
      </c>
      <c r="AA86" s="51" t="e">
        <f>Ticker0001_Exchange_Sheet!AZ95-#REF!</f>
      </c>
      <c r="AB86" s="51" t="e">
        <f>Ticker0001_Exchange_Sheet!BA95-#REF!</f>
      </c>
      <c r="AC86" s="51" t="e">
        <f>Ticker0001_Exchange_Sheet!BB95-#REF!</f>
      </c>
      <c r="AD86" s="51" t="e">
        <f>Ticker0001_Exchange_Sheet!BC95-#REF!</f>
      </c>
      <c r="AE86" s="51" t="e">
        <f>Ticker0001_Exchange_Sheet!BD95-#REF!</f>
      </c>
      <c r="AF86" s="51" t="e">
        <f>Ticker0001_Exchange_Sheet!BE95-#REF!</f>
      </c>
      <c r="AG86" s="51" t="e">
        <f>Ticker0001_Exchange_Sheet!BF95-#REF!</f>
      </c>
      <c r="AH86" s="51" t="e">
        <f>Ticker0001_Exchange_Sheet!BG95-#REF!</f>
      </c>
      <c r="AI86" s="51" t="e">
        <f>Ticker0001_Exchange_Sheet!BH95-#REF!</f>
      </c>
      <c r="AJ86" s="51" t="e">
        <f>Ticker0001_Exchange_Sheet!BI95-#REF!</f>
      </c>
      <c r="AK86" s="51" t="e">
        <f>Ticker0001_Exchange_Sheet!BJ95-#REF!</f>
      </c>
      <c r="AL86" s="51" t="e">
        <f>Ticker0001_Exchange_Sheet!BK95-#REF!</f>
      </c>
      <c r="AM86" s="51" t="e">
        <f>Ticker0001_Exchange_Sheet!BL95-#REF!</f>
      </c>
      <c r="AN86" s="51" t="e">
        <f>Ticker0001_Exchange_Sheet!BM95-#REF!</f>
      </c>
      <c r="AO86" s="51" t="e">
        <f>Ticker0001_Exchange_Sheet!BN95-#REF!</f>
      </c>
      <c r="AP86" s="51" t="e">
        <f>Ticker0001_Exchange_Sheet!BO95-#REF!</f>
      </c>
      <c r="AQ86" s="51" t="e">
        <f>Ticker0001_Exchange_Sheet!BP95-#REF!</f>
      </c>
      <c r="AR86" s="51" t="e">
        <f>Ticker0001_Exchange_Sheet!BQ95-#REF!</f>
      </c>
      <c r="AS86" s="51" t="e">
        <f>Ticker0001_Exchange_Sheet!BR95-#REF!</f>
      </c>
      <c r="AT86" s="51" t="e">
        <f>Ticker0001_Exchange_Sheet!BS95-#REF!</f>
      </c>
      <c r="AU86" s="51" t="e">
        <f>Ticker0001_Exchange_Sheet!BT95-#REF!</f>
      </c>
      <c r="AV86" s="51" t="e">
        <f>Ticker0001_Exchange_Sheet!BU95-#REF!</f>
      </c>
      <c r="AW86" s="51" t="e">
        <f>Ticker0001_Exchange_Sheet!BV95-#REF!</f>
      </c>
      <c r="AX86" s="51" t="e">
        <f>Ticker0001_Exchange_Sheet!BW95-#REF!</f>
      </c>
      <c r="AY86" s="51" t="e">
        <f>Ticker0001_Exchange_Sheet!BX95-#REF!</f>
      </c>
      <c r="AZ86" s="51" t="e">
        <f>Ticker0001_Exchange_Sheet!BY95-#REF!</f>
      </c>
      <c r="BA86" s="51" t="e">
        <f>Ticker0001_Exchange_Sheet!BZ95-#REF!</f>
      </c>
      <c r="BB86" s="51" t="e">
        <f>Ticker0001_Exchange_Sheet!CA95-#REF!</f>
      </c>
      <c r="BC86" s="51" t="e">
        <f>Ticker0001_Exchange_Sheet!CB95-#REF!</f>
      </c>
      <c r="BD86" s="51" t="e">
        <f>Ticker0001_Exchange_Sheet!CC95-#REF!</f>
      </c>
      <c r="BE86" s="51" t="e">
        <f>Ticker0001_Exchange_Sheet!CD95-#REF!</f>
      </c>
      <c r="BF86" s="51" t="e">
        <f>Ticker0001_Exchange_Sheet!CE95-#REF!</f>
      </c>
      <c r="BG86" s="51" t="e">
        <f>Ticker0001_Exchange_Sheet!CF95-#REF!</f>
      </c>
      <c r="BH86" s="51" t="e">
        <f>Ticker0001_Exchange_Sheet!CG95-#REF!</f>
      </c>
      <c r="BI86" s="51" t="e">
        <f>Ticker0001_Exchange_Sheet!CH95-#REF!</f>
      </c>
      <c r="BJ86" s="51" t="e">
        <f>Ticker0001_Exchange_Sheet!CI95-#REF!</f>
      </c>
      <c r="BK86" s="51" t="e">
        <f>Ticker0001_Exchange_Sheet!CJ95-#REF!</f>
      </c>
      <c r="BL86" s="51" t="e">
        <f>Ticker0001_Exchange_Sheet!CK95-#REF!</f>
      </c>
      <c r="BM86" s="51" t="e">
        <f>Ticker0001_Exchange_Sheet!CL95-#REF!</f>
      </c>
      <c r="BN86" s="51" t="e">
        <f>Ticker0001_Exchange_Sheet!CM95-#REF!</f>
      </c>
      <c r="BO86" s="51" t="e">
        <f>Ticker0001_Exchange_Sheet!CN95-#REF!</f>
      </c>
      <c r="BP86" s="51" t="e">
        <f>Ticker0001_Exchange_Sheet!CO95-#REF!</f>
      </c>
      <c r="BQ86" s="51" t="e">
        <f>Ticker0001_Exchange_Sheet!CP95-#REF!</f>
      </c>
      <c r="BR86" s="51" t="e">
        <f>Ticker0001_Exchange_Sheet!CQ95-#REF!</f>
      </c>
      <c r="BS86" s="51" t="e">
        <f>Ticker0001_Exchange_Sheet!CR95-#REF!</f>
      </c>
      <c r="BT86" s="51" t="e">
        <f>Ticker0001_Exchange_Sheet!CS95-#REF!</f>
      </c>
      <c r="BU86" s="51" t="e">
        <f>Ticker0001_Exchange_Sheet!CT95-#REF!</f>
      </c>
      <c r="BV86" s="51" t="e">
        <f>Ticker0001_Exchange_Sheet!CU95-#REF!</f>
      </c>
      <c r="BW86" s="51" t="e">
        <f>Ticker0001_Exchange_Sheet!CV95-#REF!</f>
      </c>
      <c r="BX86" s="51" t="e">
        <f>Ticker0001_Exchange_Sheet!CW95-#REF!</f>
      </c>
      <c r="BY86" s="51" t="e">
        <f>Ticker0001_Exchange_Sheet!CX95-#REF!</f>
      </c>
      <c r="BZ86" s="51" t="e">
        <f>Ticker0001_Exchange_Sheet!CY95-#REF!</f>
      </c>
      <c r="CA86" s="51" t="e">
        <f>Ticker0001_Exchange_Sheet!CZ95-#REF!</f>
      </c>
      <c r="CB86" s="51" t="e">
        <f>Ticker0001_Exchange_Sheet!DA95-#REF!</f>
      </c>
      <c r="CC86" s="51" t="e">
        <f>Ticker0001_Exchange_Sheet!DB95-#REF!</f>
      </c>
      <c r="CD86" s="51" t="e">
        <f>Ticker0001_Exchange_Sheet!DC95-#REF!</f>
      </c>
      <c r="CE86" s="51" t="e">
        <f>Ticker0001_Exchange_Sheet!DD95-#REF!</f>
      </c>
      <c r="CF86" s="51" t="e">
        <f>Ticker0001_Exchange_Sheet!DE95-#REF!</f>
      </c>
    </row>
    <row r="87" spans="6:84">
      <c r="F87" s="51" t="e">
        <f>Ticker0001_Exchange_Sheet!F96-#REF!</f>
      </c>
      <c r="G87" s="51" t="e">
        <f>Ticker0001_Exchange_Sheet!G96-#REF!</f>
      </c>
      <c r="H87" s="51" t="e">
        <f>Ticker0001_Exchange_Sheet!H96-#REF!</f>
      </c>
      <c r="I87" s="51" t="e">
        <f>Ticker0001_Exchange_Sheet!I96-#REF!</f>
      </c>
      <c r="J87" s="51" t="e">
        <f>Ticker0001_Exchange_Sheet!J96-#REF!</f>
      </c>
      <c r="K87" s="51" t="e">
        <f>Ticker0001_Exchange_Sheet!K96-#REF!</f>
      </c>
      <c r="L87" s="51" t="e">
        <f>Ticker0001_Exchange_Sheet!L96-#REF!</f>
      </c>
      <c r="M87" s="51" t="e">
        <f>Ticker0001_Exchange_Sheet!M96-#REF!</f>
      </c>
      <c r="N87" s="51" t="e">
        <f>Ticker0001_Exchange_Sheet!N96-#REF!</f>
      </c>
      <c r="O87" s="51" t="e">
        <f>Ticker0001_Exchange_Sheet!O96-#REF!</f>
      </c>
      <c r="P87" s="51" t="e">
        <f>Ticker0001_Exchange_Sheet!P96-#REF!</f>
      </c>
      <c r="Q87" s="51" t="e">
        <f>Ticker0001_Exchange_Sheet!Q96-#REF!</f>
      </c>
      <c r="R87" s="51" t="e">
        <f>Ticker0001_Exchange_Sheet!R96-#REF!</f>
      </c>
      <c r="S87" s="51" t="e">
        <f>Ticker0001_Exchange_Sheet!S96-#REF!</f>
      </c>
      <c r="T87" s="51" t="e">
        <f>Ticker0001_Exchange_Sheet!T96-#REF!</f>
      </c>
      <c r="U87" s="51" t="e">
        <f>Ticker0001_Exchange_Sheet!U96-#REF!</f>
      </c>
      <c r="V87" s="51" t="e">
        <f>Ticker0001_Exchange_Sheet!V96-#REF!</f>
      </c>
      <c r="W87" s="51" t="e">
        <f>Ticker0001_Exchange_Sheet!W96-#REF!</f>
      </c>
      <c r="X87" s="51" t="e">
        <f>Ticker0001_Exchange_Sheet!AK96-#REF!</f>
      </c>
      <c r="Y87" s="51" t="e">
        <f>Ticker0001_Exchange_Sheet!AX96-#REF!</f>
      </c>
      <c r="Z87" s="51" t="e">
        <f>Ticker0001_Exchange_Sheet!AY96-#REF!</f>
      </c>
      <c r="AA87" s="51" t="e">
        <f>Ticker0001_Exchange_Sheet!AZ96-#REF!</f>
      </c>
      <c r="AB87" s="51" t="e">
        <f>Ticker0001_Exchange_Sheet!BA96-#REF!</f>
      </c>
      <c r="AC87" s="51" t="e">
        <f>Ticker0001_Exchange_Sheet!BB96-#REF!</f>
      </c>
      <c r="AD87" s="51" t="e">
        <f>Ticker0001_Exchange_Sheet!BC96-#REF!</f>
      </c>
      <c r="AE87" s="51" t="e">
        <f>Ticker0001_Exchange_Sheet!BD96-#REF!</f>
      </c>
      <c r="AF87" s="51" t="e">
        <f>Ticker0001_Exchange_Sheet!BE96-#REF!</f>
      </c>
      <c r="AG87" s="51" t="e">
        <f>Ticker0001_Exchange_Sheet!BF96-#REF!</f>
      </c>
      <c r="AH87" s="51" t="e">
        <f>Ticker0001_Exchange_Sheet!BG96-#REF!</f>
      </c>
      <c r="AI87" s="51" t="e">
        <f>Ticker0001_Exchange_Sheet!BH96-#REF!</f>
      </c>
      <c r="AJ87" s="51" t="e">
        <f>Ticker0001_Exchange_Sheet!BI96-#REF!</f>
      </c>
      <c r="AK87" s="51" t="e">
        <f>Ticker0001_Exchange_Sheet!BJ96-#REF!</f>
      </c>
      <c r="AL87" s="51" t="e">
        <f>Ticker0001_Exchange_Sheet!BK96-#REF!</f>
      </c>
      <c r="AM87" s="51" t="e">
        <f>Ticker0001_Exchange_Sheet!BL96-#REF!</f>
      </c>
      <c r="AN87" s="51" t="e">
        <f>Ticker0001_Exchange_Sheet!BM96-#REF!</f>
      </c>
      <c r="AO87" s="51" t="e">
        <f>Ticker0001_Exchange_Sheet!BN96-#REF!</f>
      </c>
      <c r="AP87" s="51" t="e">
        <f>Ticker0001_Exchange_Sheet!BO96-#REF!</f>
      </c>
      <c r="AQ87" s="51" t="e">
        <f>Ticker0001_Exchange_Sheet!BP96-#REF!</f>
      </c>
      <c r="AR87" s="51" t="e">
        <f>Ticker0001_Exchange_Sheet!BQ96-#REF!</f>
      </c>
      <c r="AS87" s="51" t="e">
        <f>Ticker0001_Exchange_Sheet!BR96-#REF!</f>
      </c>
      <c r="AT87" s="51" t="e">
        <f>Ticker0001_Exchange_Sheet!BS96-#REF!</f>
      </c>
      <c r="AU87" s="51" t="e">
        <f>Ticker0001_Exchange_Sheet!BT96-#REF!</f>
      </c>
      <c r="AV87" s="51" t="e">
        <f>Ticker0001_Exchange_Sheet!BU96-#REF!</f>
      </c>
      <c r="AW87" s="51" t="e">
        <f>Ticker0001_Exchange_Sheet!BV96-#REF!</f>
      </c>
      <c r="AX87" s="51" t="e">
        <f>Ticker0001_Exchange_Sheet!BW96-#REF!</f>
      </c>
      <c r="AY87" s="51" t="e">
        <f>Ticker0001_Exchange_Sheet!BX96-#REF!</f>
      </c>
      <c r="AZ87" s="51" t="e">
        <f>Ticker0001_Exchange_Sheet!BY96-#REF!</f>
      </c>
      <c r="BA87" s="51" t="e">
        <f>Ticker0001_Exchange_Sheet!BZ96-#REF!</f>
      </c>
      <c r="BB87" s="51" t="e">
        <f>Ticker0001_Exchange_Sheet!CA96-#REF!</f>
      </c>
      <c r="BC87" s="51" t="e">
        <f>Ticker0001_Exchange_Sheet!CB96-#REF!</f>
      </c>
      <c r="BD87" s="51" t="e">
        <f>Ticker0001_Exchange_Sheet!CC96-#REF!</f>
      </c>
      <c r="BE87" s="51" t="e">
        <f>Ticker0001_Exchange_Sheet!CD96-#REF!</f>
      </c>
      <c r="BF87" s="51" t="e">
        <f>Ticker0001_Exchange_Sheet!CE96-#REF!</f>
      </c>
      <c r="BG87" s="51" t="e">
        <f>Ticker0001_Exchange_Sheet!CF96-#REF!</f>
      </c>
      <c r="BH87" s="51" t="e">
        <f>Ticker0001_Exchange_Sheet!CG96-#REF!</f>
      </c>
      <c r="BI87" s="51" t="e">
        <f>Ticker0001_Exchange_Sheet!CH96-#REF!</f>
      </c>
      <c r="BJ87" s="51" t="e">
        <f>Ticker0001_Exchange_Sheet!CI96-#REF!</f>
      </c>
      <c r="BK87" s="51" t="e">
        <f>Ticker0001_Exchange_Sheet!CJ96-#REF!</f>
      </c>
      <c r="BL87" s="51" t="e">
        <f>Ticker0001_Exchange_Sheet!CK96-#REF!</f>
      </c>
      <c r="BM87" s="51" t="e">
        <f>Ticker0001_Exchange_Sheet!CL96-#REF!</f>
      </c>
      <c r="BN87" s="51" t="e">
        <f>Ticker0001_Exchange_Sheet!CM96-#REF!</f>
      </c>
      <c r="BO87" s="51" t="e">
        <f>Ticker0001_Exchange_Sheet!CN96-#REF!</f>
      </c>
      <c r="BP87" s="51" t="e">
        <f>Ticker0001_Exchange_Sheet!CO96-#REF!</f>
      </c>
      <c r="BQ87" s="51" t="e">
        <f>Ticker0001_Exchange_Sheet!CP96-#REF!</f>
      </c>
      <c r="BR87" s="51" t="e">
        <f>Ticker0001_Exchange_Sheet!CQ96-#REF!</f>
      </c>
      <c r="BS87" s="51" t="e">
        <f>Ticker0001_Exchange_Sheet!CR96-#REF!</f>
      </c>
      <c r="BT87" s="51" t="e">
        <f>Ticker0001_Exchange_Sheet!CS96-#REF!</f>
      </c>
      <c r="BU87" s="51" t="e">
        <f>Ticker0001_Exchange_Sheet!CT96-#REF!</f>
      </c>
      <c r="BV87" s="51" t="e">
        <f>Ticker0001_Exchange_Sheet!CU96-#REF!</f>
      </c>
      <c r="BW87" s="51" t="e">
        <f>Ticker0001_Exchange_Sheet!CV96-#REF!</f>
      </c>
      <c r="BX87" s="51" t="e">
        <f>Ticker0001_Exchange_Sheet!CW96-#REF!</f>
      </c>
      <c r="BY87" s="51" t="e">
        <f>Ticker0001_Exchange_Sheet!CX96-#REF!</f>
      </c>
      <c r="BZ87" s="51" t="e">
        <f>Ticker0001_Exchange_Sheet!CY96-#REF!</f>
      </c>
      <c r="CA87" s="51" t="e">
        <f>Ticker0001_Exchange_Sheet!CZ96-#REF!</f>
      </c>
      <c r="CB87" s="51" t="e">
        <f>Ticker0001_Exchange_Sheet!DA96-#REF!</f>
      </c>
      <c r="CC87" s="51" t="e">
        <f>Ticker0001_Exchange_Sheet!DB96-#REF!</f>
      </c>
      <c r="CD87" s="51" t="e">
        <f>Ticker0001_Exchange_Sheet!DC96-#REF!</f>
      </c>
      <c r="CE87" s="51" t="e">
        <f>Ticker0001_Exchange_Sheet!DD96-#REF!</f>
      </c>
      <c r="CF87" s="51" t="e">
        <f>Ticker0001_Exchange_Sheet!DE96-#REF!</f>
      </c>
    </row>
    <row r="88" spans="6:84">
      <c r="F88" s="51" t="e">
        <f>Ticker0001_Exchange_Sheet!F97-#REF!</f>
      </c>
      <c r="G88" s="51" t="e">
        <f>Ticker0001_Exchange_Sheet!G97-#REF!</f>
      </c>
      <c r="H88" s="51" t="e">
        <f>Ticker0001_Exchange_Sheet!H97-#REF!</f>
      </c>
      <c r="I88" s="51" t="e">
        <f>Ticker0001_Exchange_Sheet!I97-#REF!</f>
      </c>
      <c r="J88" s="51" t="e">
        <f>Ticker0001_Exchange_Sheet!J97-#REF!</f>
      </c>
      <c r="K88" s="51" t="e">
        <f>Ticker0001_Exchange_Sheet!K97-#REF!</f>
      </c>
      <c r="L88" s="51" t="e">
        <f>Ticker0001_Exchange_Sheet!L97-#REF!</f>
      </c>
      <c r="M88" s="51" t="e">
        <f>Ticker0001_Exchange_Sheet!M97-#REF!</f>
      </c>
      <c r="N88" s="51" t="e">
        <f>Ticker0001_Exchange_Sheet!N97-#REF!</f>
      </c>
      <c r="O88" s="51" t="e">
        <f>Ticker0001_Exchange_Sheet!O97-#REF!</f>
      </c>
      <c r="P88" s="51" t="e">
        <f>Ticker0001_Exchange_Sheet!P97-#REF!</f>
      </c>
      <c r="Q88" s="51" t="e">
        <f>Ticker0001_Exchange_Sheet!Q97-#REF!</f>
      </c>
      <c r="R88" s="51" t="e">
        <f>Ticker0001_Exchange_Sheet!R97-#REF!</f>
      </c>
      <c r="S88" s="51" t="e">
        <f>Ticker0001_Exchange_Sheet!S97-#REF!</f>
      </c>
      <c r="T88" s="51" t="e">
        <f>Ticker0001_Exchange_Sheet!T97-#REF!</f>
      </c>
      <c r="U88" s="51" t="e">
        <f>Ticker0001_Exchange_Sheet!U97-#REF!</f>
      </c>
      <c r="V88" s="51" t="e">
        <f>Ticker0001_Exchange_Sheet!V97-#REF!</f>
      </c>
      <c r="W88" s="51" t="e">
        <f>Ticker0001_Exchange_Sheet!W97-#REF!</f>
      </c>
      <c r="X88" s="51" t="e">
        <f>Ticker0001_Exchange_Sheet!AK97-#REF!</f>
      </c>
      <c r="Y88" s="51" t="e">
        <f>Ticker0001_Exchange_Sheet!AX97-#REF!</f>
      </c>
      <c r="Z88" s="51" t="e">
        <f>Ticker0001_Exchange_Sheet!AY97-#REF!</f>
      </c>
      <c r="AA88" s="51" t="e">
        <f>Ticker0001_Exchange_Sheet!AZ97-#REF!</f>
      </c>
      <c r="AB88" s="51" t="e">
        <f>Ticker0001_Exchange_Sheet!BA97-#REF!</f>
      </c>
      <c r="AC88" s="51" t="e">
        <f>Ticker0001_Exchange_Sheet!BB97-#REF!</f>
      </c>
      <c r="AD88" s="51" t="e">
        <f>Ticker0001_Exchange_Sheet!BC97-#REF!</f>
      </c>
      <c r="AE88" s="51" t="e">
        <f>Ticker0001_Exchange_Sheet!BD97-#REF!</f>
      </c>
      <c r="AF88" s="51" t="e">
        <f>Ticker0001_Exchange_Sheet!BE97-#REF!</f>
      </c>
      <c r="AG88" s="51" t="e">
        <f>Ticker0001_Exchange_Sheet!BF97-#REF!</f>
      </c>
      <c r="AH88" s="51" t="e">
        <f>Ticker0001_Exchange_Sheet!BG97-#REF!</f>
      </c>
      <c r="AI88" s="51" t="e">
        <f>Ticker0001_Exchange_Sheet!BH97-#REF!</f>
      </c>
      <c r="AJ88" s="51" t="e">
        <f>Ticker0001_Exchange_Sheet!BI97-#REF!</f>
      </c>
      <c r="AK88" s="51" t="e">
        <f>Ticker0001_Exchange_Sheet!BJ97-#REF!</f>
      </c>
      <c r="AL88" s="51" t="e">
        <f>Ticker0001_Exchange_Sheet!BK97-#REF!</f>
      </c>
      <c r="AM88" s="51" t="e">
        <f>Ticker0001_Exchange_Sheet!BL97-#REF!</f>
      </c>
      <c r="AN88" s="51" t="e">
        <f>Ticker0001_Exchange_Sheet!BM97-#REF!</f>
      </c>
      <c r="AO88" s="51" t="e">
        <f>Ticker0001_Exchange_Sheet!BN97-#REF!</f>
      </c>
      <c r="AP88" s="51" t="e">
        <f>Ticker0001_Exchange_Sheet!BO97-#REF!</f>
      </c>
      <c r="AQ88" s="51" t="e">
        <f>Ticker0001_Exchange_Sheet!BP97-#REF!</f>
      </c>
      <c r="AR88" s="51" t="e">
        <f>Ticker0001_Exchange_Sheet!BQ97-#REF!</f>
      </c>
      <c r="AS88" s="51" t="e">
        <f>Ticker0001_Exchange_Sheet!BR97-#REF!</f>
      </c>
      <c r="AT88" s="51" t="e">
        <f>Ticker0001_Exchange_Sheet!BS97-#REF!</f>
      </c>
      <c r="AU88" s="51" t="e">
        <f>Ticker0001_Exchange_Sheet!BT97-#REF!</f>
      </c>
      <c r="AV88" s="51" t="e">
        <f>Ticker0001_Exchange_Sheet!BU97-#REF!</f>
      </c>
      <c r="AW88" s="51" t="e">
        <f>Ticker0001_Exchange_Sheet!BV97-#REF!</f>
      </c>
      <c r="AX88" s="51" t="e">
        <f>Ticker0001_Exchange_Sheet!BW97-#REF!</f>
      </c>
      <c r="AY88" s="51" t="e">
        <f>Ticker0001_Exchange_Sheet!BX97-#REF!</f>
      </c>
      <c r="AZ88" s="51" t="e">
        <f>Ticker0001_Exchange_Sheet!BY97-#REF!</f>
      </c>
      <c r="BA88" s="51" t="e">
        <f>Ticker0001_Exchange_Sheet!BZ97-#REF!</f>
      </c>
      <c r="BB88" s="51" t="e">
        <f>Ticker0001_Exchange_Sheet!CA97-#REF!</f>
      </c>
      <c r="BC88" s="51" t="e">
        <f>Ticker0001_Exchange_Sheet!CB97-#REF!</f>
      </c>
      <c r="BD88" s="51" t="e">
        <f>Ticker0001_Exchange_Sheet!CC97-#REF!</f>
      </c>
      <c r="BE88" s="51" t="e">
        <f>Ticker0001_Exchange_Sheet!CD97-#REF!</f>
      </c>
      <c r="BF88" s="51" t="e">
        <f>Ticker0001_Exchange_Sheet!CE97-#REF!</f>
      </c>
      <c r="BG88" s="51" t="e">
        <f>Ticker0001_Exchange_Sheet!CF97-#REF!</f>
      </c>
      <c r="BH88" s="51" t="e">
        <f>Ticker0001_Exchange_Sheet!CG97-#REF!</f>
      </c>
      <c r="BI88" s="51" t="e">
        <f>Ticker0001_Exchange_Sheet!CH97-#REF!</f>
      </c>
      <c r="BJ88" s="51" t="e">
        <f>Ticker0001_Exchange_Sheet!CI97-#REF!</f>
      </c>
      <c r="BK88" s="51" t="e">
        <f>Ticker0001_Exchange_Sheet!CJ97-#REF!</f>
      </c>
      <c r="BL88" s="51" t="e">
        <f>Ticker0001_Exchange_Sheet!CK97-#REF!</f>
      </c>
      <c r="BM88" s="51" t="e">
        <f>Ticker0001_Exchange_Sheet!CL97-#REF!</f>
      </c>
      <c r="BN88" s="51" t="e">
        <f>Ticker0001_Exchange_Sheet!CM97-#REF!</f>
      </c>
      <c r="BO88" s="51" t="e">
        <f>Ticker0001_Exchange_Sheet!CN97-#REF!</f>
      </c>
      <c r="BP88" s="51" t="e">
        <f>Ticker0001_Exchange_Sheet!CO97-#REF!</f>
      </c>
      <c r="BQ88" s="51" t="e">
        <f>Ticker0001_Exchange_Sheet!CP97-#REF!</f>
      </c>
      <c r="BR88" s="51" t="e">
        <f>Ticker0001_Exchange_Sheet!CQ97-#REF!</f>
      </c>
      <c r="BS88" s="51" t="e">
        <f>Ticker0001_Exchange_Sheet!CR97-#REF!</f>
      </c>
      <c r="BT88" s="51" t="e">
        <f>Ticker0001_Exchange_Sheet!CS97-#REF!</f>
      </c>
      <c r="BU88" s="51" t="e">
        <f>Ticker0001_Exchange_Sheet!CT97-#REF!</f>
      </c>
      <c r="BV88" s="51" t="e">
        <f>Ticker0001_Exchange_Sheet!CU97-#REF!</f>
      </c>
      <c r="BW88" s="51" t="e">
        <f>Ticker0001_Exchange_Sheet!CV97-#REF!</f>
      </c>
      <c r="BX88" s="51" t="e">
        <f>Ticker0001_Exchange_Sheet!CW97-#REF!</f>
      </c>
      <c r="BY88" s="51" t="e">
        <f>Ticker0001_Exchange_Sheet!CX97-#REF!</f>
      </c>
      <c r="BZ88" s="51" t="e">
        <f>Ticker0001_Exchange_Sheet!CY97-#REF!</f>
      </c>
      <c r="CA88" s="51" t="e">
        <f>Ticker0001_Exchange_Sheet!CZ97-#REF!</f>
      </c>
      <c r="CB88" s="51" t="e">
        <f>Ticker0001_Exchange_Sheet!DA97-#REF!</f>
      </c>
      <c r="CC88" s="51" t="e">
        <f>Ticker0001_Exchange_Sheet!DB97-#REF!</f>
      </c>
      <c r="CD88" s="51" t="e">
        <f>Ticker0001_Exchange_Sheet!DC97-#REF!</f>
      </c>
      <c r="CE88" s="51" t="e">
        <f>Ticker0001_Exchange_Sheet!DD97-#REF!</f>
      </c>
      <c r="CF88" s="51" t="e">
        <f>Ticker0001_Exchange_Sheet!DE97-#REF!</f>
      </c>
    </row>
    <row r="89" spans="6:84">
      <c r="F89" s="51" t="e">
        <f>Ticker0001_Exchange_Sheet!F98-#REF!</f>
      </c>
      <c r="G89" s="51" t="e">
        <f>Ticker0001_Exchange_Sheet!G98-#REF!</f>
      </c>
      <c r="H89" s="51" t="e">
        <f>Ticker0001_Exchange_Sheet!H98-#REF!</f>
      </c>
      <c r="I89" s="51" t="e">
        <f>Ticker0001_Exchange_Sheet!I98-#REF!</f>
      </c>
      <c r="J89" s="51" t="e">
        <f>Ticker0001_Exchange_Sheet!J98-#REF!</f>
      </c>
      <c r="K89" s="51" t="e">
        <f>Ticker0001_Exchange_Sheet!K98-#REF!</f>
      </c>
      <c r="L89" s="51" t="e">
        <f>Ticker0001_Exchange_Sheet!L98-#REF!</f>
      </c>
      <c r="M89" s="51" t="e">
        <f>Ticker0001_Exchange_Sheet!M98-#REF!</f>
      </c>
      <c r="N89" s="51" t="e">
        <f>Ticker0001_Exchange_Sheet!N98-#REF!</f>
      </c>
      <c r="O89" s="51" t="e">
        <f>Ticker0001_Exchange_Sheet!O98-#REF!</f>
      </c>
      <c r="P89" s="51" t="e">
        <f>Ticker0001_Exchange_Sheet!P98-#REF!</f>
      </c>
      <c r="Q89" s="51" t="e">
        <f>Ticker0001_Exchange_Sheet!Q98-#REF!</f>
      </c>
      <c r="R89" s="51" t="e">
        <f>Ticker0001_Exchange_Sheet!R98-#REF!</f>
      </c>
      <c r="S89" s="51" t="e">
        <f>Ticker0001_Exchange_Sheet!S98-#REF!</f>
      </c>
      <c r="T89" s="51" t="e">
        <f>Ticker0001_Exchange_Sheet!T98-#REF!</f>
      </c>
      <c r="U89" s="51" t="e">
        <f>Ticker0001_Exchange_Sheet!U98-#REF!</f>
      </c>
      <c r="V89" s="51" t="e">
        <f>Ticker0001_Exchange_Sheet!V98-#REF!</f>
      </c>
      <c r="W89" s="51" t="e">
        <f>Ticker0001_Exchange_Sheet!W98-#REF!</f>
      </c>
      <c r="X89" s="51" t="e">
        <f>Ticker0001_Exchange_Sheet!AK98-#REF!</f>
      </c>
      <c r="Y89" s="51" t="e">
        <f>Ticker0001_Exchange_Sheet!AX98-#REF!</f>
      </c>
      <c r="Z89" s="51" t="e">
        <f>Ticker0001_Exchange_Sheet!AY98-#REF!</f>
      </c>
      <c r="AA89" s="51" t="e">
        <f>Ticker0001_Exchange_Sheet!AZ98-#REF!</f>
      </c>
      <c r="AB89" s="51" t="e">
        <f>Ticker0001_Exchange_Sheet!BA98-#REF!</f>
      </c>
      <c r="AC89" s="51" t="e">
        <f>Ticker0001_Exchange_Sheet!BB98-#REF!</f>
      </c>
      <c r="AD89" s="51" t="e">
        <f>Ticker0001_Exchange_Sheet!BC98-#REF!</f>
      </c>
      <c r="AE89" s="51" t="e">
        <f>Ticker0001_Exchange_Sheet!BD98-#REF!</f>
      </c>
      <c r="AF89" s="51" t="e">
        <f>Ticker0001_Exchange_Sheet!BE98-#REF!</f>
      </c>
      <c r="AG89" s="51" t="e">
        <f>Ticker0001_Exchange_Sheet!BF98-#REF!</f>
      </c>
      <c r="AH89" s="51" t="e">
        <f>Ticker0001_Exchange_Sheet!BG98-#REF!</f>
      </c>
      <c r="AI89" s="51" t="e">
        <f>Ticker0001_Exchange_Sheet!BH98-#REF!</f>
      </c>
      <c r="AJ89" s="51" t="e">
        <f>Ticker0001_Exchange_Sheet!BI98-#REF!</f>
      </c>
      <c r="AK89" s="51" t="e">
        <f>Ticker0001_Exchange_Sheet!BJ98-#REF!</f>
      </c>
      <c r="AL89" s="51" t="e">
        <f>Ticker0001_Exchange_Sheet!BK98-#REF!</f>
      </c>
      <c r="AM89" s="51" t="e">
        <f>Ticker0001_Exchange_Sheet!BL98-#REF!</f>
      </c>
      <c r="AN89" s="51" t="e">
        <f>Ticker0001_Exchange_Sheet!BM98-#REF!</f>
      </c>
      <c r="AO89" s="51" t="e">
        <f>Ticker0001_Exchange_Sheet!BN98-#REF!</f>
      </c>
      <c r="AP89" s="51" t="e">
        <f>Ticker0001_Exchange_Sheet!BO98-#REF!</f>
      </c>
      <c r="AQ89" s="51" t="e">
        <f>Ticker0001_Exchange_Sheet!BP98-#REF!</f>
      </c>
      <c r="AR89" s="51" t="e">
        <f>Ticker0001_Exchange_Sheet!BQ98-#REF!</f>
      </c>
      <c r="AS89" s="51" t="e">
        <f>Ticker0001_Exchange_Sheet!BR98-#REF!</f>
      </c>
      <c r="AT89" s="51" t="e">
        <f>Ticker0001_Exchange_Sheet!BS98-#REF!</f>
      </c>
      <c r="AU89" s="51" t="e">
        <f>Ticker0001_Exchange_Sheet!BT98-#REF!</f>
      </c>
      <c r="AV89" s="51" t="e">
        <f>Ticker0001_Exchange_Sheet!BU98-#REF!</f>
      </c>
      <c r="AW89" s="51" t="e">
        <f>Ticker0001_Exchange_Sheet!BV98-#REF!</f>
      </c>
      <c r="AX89" s="51" t="e">
        <f>Ticker0001_Exchange_Sheet!BW98-#REF!</f>
      </c>
      <c r="AY89" s="51" t="e">
        <f>Ticker0001_Exchange_Sheet!BX98-#REF!</f>
      </c>
      <c r="AZ89" s="51" t="e">
        <f>Ticker0001_Exchange_Sheet!BY98-#REF!</f>
      </c>
      <c r="BA89" s="51" t="e">
        <f>Ticker0001_Exchange_Sheet!BZ98-#REF!</f>
      </c>
      <c r="BB89" s="51" t="e">
        <f>Ticker0001_Exchange_Sheet!CA98-#REF!</f>
      </c>
      <c r="BC89" s="51" t="e">
        <f>Ticker0001_Exchange_Sheet!CB98-#REF!</f>
      </c>
      <c r="BD89" s="51" t="e">
        <f>Ticker0001_Exchange_Sheet!CC98-#REF!</f>
      </c>
      <c r="BE89" s="51" t="e">
        <f>Ticker0001_Exchange_Sheet!CD98-#REF!</f>
      </c>
      <c r="BF89" s="51" t="e">
        <f>Ticker0001_Exchange_Sheet!CE98-#REF!</f>
      </c>
      <c r="BG89" s="51" t="e">
        <f>Ticker0001_Exchange_Sheet!CF98-#REF!</f>
      </c>
      <c r="BH89" s="51" t="e">
        <f>Ticker0001_Exchange_Sheet!CG98-#REF!</f>
      </c>
      <c r="BI89" s="51" t="e">
        <f>Ticker0001_Exchange_Sheet!CH98-#REF!</f>
      </c>
      <c r="BJ89" s="51" t="e">
        <f>Ticker0001_Exchange_Sheet!CI98-#REF!</f>
      </c>
      <c r="BK89" s="51" t="e">
        <f>Ticker0001_Exchange_Sheet!CJ98-#REF!</f>
      </c>
      <c r="BL89" s="51" t="e">
        <f>Ticker0001_Exchange_Sheet!CK98-#REF!</f>
      </c>
      <c r="BM89" s="51" t="e">
        <f>Ticker0001_Exchange_Sheet!CL98-#REF!</f>
      </c>
      <c r="BN89" s="51" t="e">
        <f>Ticker0001_Exchange_Sheet!CM98-#REF!</f>
      </c>
      <c r="BO89" s="51" t="e">
        <f>Ticker0001_Exchange_Sheet!CN98-#REF!</f>
      </c>
      <c r="BP89" s="51" t="e">
        <f>Ticker0001_Exchange_Sheet!CO98-#REF!</f>
      </c>
      <c r="BQ89" s="51" t="e">
        <f>Ticker0001_Exchange_Sheet!CP98-#REF!</f>
      </c>
      <c r="BR89" s="51" t="e">
        <f>Ticker0001_Exchange_Sheet!CQ98-#REF!</f>
      </c>
      <c r="BS89" s="51" t="e">
        <f>Ticker0001_Exchange_Sheet!CR98-#REF!</f>
      </c>
      <c r="BT89" s="51" t="e">
        <f>Ticker0001_Exchange_Sheet!CS98-#REF!</f>
      </c>
      <c r="BU89" s="51" t="e">
        <f>Ticker0001_Exchange_Sheet!CT98-#REF!</f>
      </c>
      <c r="BV89" s="51" t="e">
        <f>Ticker0001_Exchange_Sheet!CU98-#REF!</f>
      </c>
      <c r="BW89" s="51" t="e">
        <f>Ticker0001_Exchange_Sheet!CV98-#REF!</f>
      </c>
      <c r="BX89" s="51" t="e">
        <f>Ticker0001_Exchange_Sheet!CW98-#REF!</f>
      </c>
      <c r="BY89" s="51" t="e">
        <f>Ticker0001_Exchange_Sheet!CX98-#REF!</f>
      </c>
      <c r="BZ89" s="51" t="e">
        <f>Ticker0001_Exchange_Sheet!CY98-#REF!</f>
      </c>
      <c r="CA89" s="51" t="e">
        <f>Ticker0001_Exchange_Sheet!CZ98-#REF!</f>
      </c>
      <c r="CB89" s="51" t="e">
        <f>Ticker0001_Exchange_Sheet!DA98-#REF!</f>
      </c>
      <c r="CC89" s="51" t="e">
        <f>Ticker0001_Exchange_Sheet!DB98-#REF!</f>
      </c>
      <c r="CD89" s="51" t="e">
        <f>Ticker0001_Exchange_Sheet!DC98-#REF!</f>
      </c>
      <c r="CE89" s="51" t="e">
        <f>Ticker0001_Exchange_Sheet!DD98-#REF!</f>
      </c>
      <c r="CF89" s="51" t="e">
        <f>Ticker0001_Exchange_Sheet!DE98-#REF!</f>
      </c>
    </row>
    <row r="90" spans="6:84">
      <c r="F90" s="51" t="e">
        <f>Ticker0001_Exchange_Sheet!F99-#REF!</f>
      </c>
      <c r="G90" s="51" t="e">
        <f>Ticker0001_Exchange_Sheet!G99-#REF!</f>
      </c>
      <c r="H90" s="51" t="e">
        <f>Ticker0001_Exchange_Sheet!H99-#REF!</f>
      </c>
      <c r="I90" s="51" t="e">
        <f>Ticker0001_Exchange_Sheet!I99-#REF!</f>
      </c>
      <c r="J90" s="51" t="e">
        <f>Ticker0001_Exchange_Sheet!J99-#REF!</f>
      </c>
      <c r="K90" s="51" t="e">
        <f>Ticker0001_Exchange_Sheet!K99-#REF!</f>
      </c>
      <c r="L90" s="51" t="e">
        <f>Ticker0001_Exchange_Sheet!L99-#REF!</f>
      </c>
      <c r="M90" s="51" t="e">
        <f>Ticker0001_Exchange_Sheet!M99-#REF!</f>
      </c>
      <c r="N90" s="51" t="e">
        <f>Ticker0001_Exchange_Sheet!N99-#REF!</f>
      </c>
      <c r="O90" s="51" t="e">
        <f>Ticker0001_Exchange_Sheet!O99-#REF!</f>
      </c>
      <c r="P90" s="51" t="e">
        <f>Ticker0001_Exchange_Sheet!P99-#REF!</f>
      </c>
      <c r="Q90" s="51" t="e">
        <f>Ticker0001_Exchange_Sheet!Q99-#REF!</f>
      </c>
      <c r="R90" s="51" t="e">
        <f>Ticker0001_Exchange_Sheet!R99-#REF!</f>
      </c>
      <c r="S90" s="51" t="e">
        <f>Ticker0001_Exchange_Sheet!S99-#REF!</f>
      </c>
      <c r="T90" s="51" t="e">
        <f>Ticker0001_Exchange_Sheet!T99-#REF!</f>
      </c>
      <c r="U90" s="51" t="e">
        <f>Ticker0001_Exchange_Sheet!U99-#REF!</f>
      </c>
      <c r="V90" s="51" t="e">
        <f>Ticker0001_Exchange_Sheet!V99-#REF!</f>
      </c>
      <c r="W90" s="51" t="e">
        <f>Ticker0001_Exchange_Sheet!W99-#REF!</f>
      </c>
      <c r="X90" s="51" t="e">
        <f>Ticker0001_Exchange_Sheet!AK99-#REF!</f>
      </c>
      <c r="Y90" s="51" t="e">
        <f>Ticker0001_Exchange_Sheet!AX99-#REF!</f>
      </c>
      <c r="Z90" s="51" t="e">
        <f>Ticker0001_Exchange_Sheet!AY99-#REF!</f>
      </c>
      <c r="AA90" s="51" t="e">
        <f>Ticker0001_Exchange_Sheet!AZ99-#REF!</f>
      </c>
      <c r="AB90" s="51" t="e">
        <f>Ticker0001_Exchange_Sheet!BA99-#REF!</f>
      </c>
      <c r="AC90" s="51" t="e">
        <f>Ticker0001_Exchange_Sheet!BB99-#REF!</f>
      </c>
      <c r="AD90" s="51" t="e">
        <f>Ticker0001_Exchange_Sheet!BC99-#REF!</f>
      </c>
      <c r="AE90" s="51" t="e">
        <f>Ticker0001_Exchange_Sheet!BD99-#REF!</f>
      </c>
      <c r="AF90" s="51" t="e">
        <f>Ticker0001_Exchange_Sheet!BE99-#REF!</f>
      </c>
      <c r="AG90" s="51" t="e">
        <f>Ticker0001_Exchange_Sheet!BF99-#REF!</f>
      </c>
      <c r="AH90" s="51" t="e">
        <f>Ticker0001_Exchange_Sheet!BG99-#REF!</f>
      </c>
      <c r="AI90" s="51" t="e">
        <f>Ticker0001_Exchange_Sheet!BH99-#REF!</f>
      </c>
      <c r="AJ90" s="51" t="e">
        <f>Ticker0001_Exchange_Sheet!BI99-#REF!</f>
      </c>
      <c r="AK90" s="51" t="e">
        <f>Ticker0001_Exchange_Sheet!BJ99-#REF!</f>
      </c>
      <c r="AL90" s="51" t="e">
        <f>Ticker0001_Exchange_Sheet!BK99-#REF!</f>
      </c>
      <c r="AM90" s="51" t="e">
        <f>Ticker0001_Exchange_Sheet!BL99-#REF!</f>
      </c>
      <c r="AN90" s="51" t="e">
        <f>Ticker0001_Exchange_Sheet!BM99-#REF!</f>
      </c>
      <c r="AO90" s="51" t="e">
        <f>Ticker0001_Exchange_Sheet!BN99-#REF!</f>
      </c>
      <c r="AP90" s="51" t="e">
        <f>Ticker0001_Exchange_Sheet!BO99-#REF!</f>
      </c>
      <c r="AQ90" s="51" t="e">
        <f>Ticker0001_Exchange_Sheet!BP99-#REF!</f>
      </c>
      <c r="AR90" s="51" t="e">
        <f>Ticker0001_Exchange_Sheet!BQ99-#REF!</f>
      </c>
      <c r="AS90" s="51" t="e">
        <f>Ticker0001_Exchange_Sheet!BR99-#REF!</f>
      </c>
      <c r="AT90" s="51" t="e">
        <f>Ticker0001_Exchange_Sheet!BS99-#REF!</f>
      </c>
      <c r="AU90" s="51" t="e">
        <f>Ticker0001_Exchange_Sheet!BT99-#REF!</f>
      </c>
      <c r="AV90" s="51" t="e">
        <f>Ticker0001_Exchange_Sheet!BU99-#REF!</f>
      </c>
      <c r="AW90" s="51" t="e">
        <f>Ticker0001_Exchange_Sheet!BV99-#REF!</f>
      </c>
      <c r="AX90" s="51" t="e">
        <f>Ticker0001_Exchange_Sheet!BW99-#REF!</f>
      </c>
      <c r="AY90" s="51" t="e">
        <f>Ticker0001_Exchange_Sheet!BX99-#REF!</f>
      </c>
      <c r="AZ90" s="51" t="e">
        <f>Ticker0001_Exchange_Sheet!BY99-#REF!</f>
      </c>
      <c r="BA90" s="51" t="e">
        <f>Ticker0001_Exchange_Sheet!BZ99-#REF!</f>
      </c>
      <c r="BB90" s="51" t="e">
        <f>Ticker0001_Exchange_Sheet!CA99-#REF!</f>
      </c>
      <c r="BC90" s="51" t="e">
        <f>Ticker0001_Exchange_Sheet!CB99-#REF!</f>
      </c>
      <c r="BD90" s="51" t="e">
        <f>Ticker0001_Exchange_Sheet!CC99-#REF!</f>
      </c>
      <c r="BE90" s="51" t="e">
        <f>Ticker0001_Exchange_Sheet!CD99-#REF!</f>
      </c>
      <c r="BF90" s="51" t="e">
        <f>Ticker0001_Exchange_Sheet!CE99-#REF!</f>
      </c>
      <c r="BG90" s="51" t="e">
        <f>Ticker0001_Exchange_Sheet!CF99-#REF!</f>
      </c>
      <c r="BH90" s="51" t="e">
        <f>Ticker0001_Exchange_Sheet!CG99-#REF!</f>
      </c>
      <c r="BI90" s="51" t="e">
        <f>Ticker0001_Exchange_Sheet!CH99-#REF!</f>
      </c>
      <c r="BJ90" s="51" t="e">
        <f>Ticker0001_Exchange_Sheet!CI99-#REF!</f>
      </c>
      <c r="BK90" s="51" t="e">
        <f>Ticker0001_Exchange_Sheet!CJ99-#REF!</f>
      </c>
      <c r="BL90" s="51" t="e">
        <f>Ticker0001_Exchange_Sheet!CK99-#REF!</f>
      </c>
      <c r="BM90" s="51" t="e">
        <f>Ticker0001_Exchange_Sheet!CL99-#REF!</f>
      </c>
      <c r="BN90" s="51" t="e">
        <f>Ticker0001_Exchange_Sheet!CM99-#REF!</f>
      </c>
      <c r="BO90" s="51" t="e">
        <f>Ticker0001_Exchange_Sheet!CN99-#REF!</f>
      </c>
      <c r="BP90" s="51" t="e">
        <f>Ticker0001_Exchange_Sheet!CO99-#REF!</f>
      </c>
      <c r="BQ90" s="51" t="e">
        <f>Ticker0001_Exchange_Sheet!CP99-#REF!</f>
      </c>
      <c r="BR90" s="51" t="e">
        <f>Ticker0001_Exchange_Sheet!CQ99-#REF!</f>
      </c>
      <c r="BS90" s="51" t="e">
        <f>Ticker0001_Exchange_Sheet!CR99-#REF!</f>
      </c>
      <c r="BT90" s="51" t="e">
        <f>Ticker0001_Exchange_Sheet!CS99-#REF!</f>
      </c>
      <c r="BU90" s="51" t="e">
        <f>Ticker0001_Exchange_Sheet!CT99-#REF!</f>
      </c>
      <c r="BV90" s="51" t="e">
        <f>Ticker0001_Exchange_Sheet!CU99-#REF!</f>
      </c>
      <c r="BW90" s="51" t="e">
        <f>Ticker0001_Exchange_Sheet!CV99-#REF!</f>
      </c>
      <c r="BX90" s="51" t="e">
        <f>Ticker0001_Exchange_Sheet!CW99-#REF!</f>
      </c>
      <c r="BY90" s="51" t="e">
        <f>Ticker0001_Exchange_Sheet!CX99-#REF!</f>
      </c>
      <c r="BZ90" s="51" t="e">
        <f>Ticker0001_Exchange_Sheet!CY99-#REF!</f>
      </c>
      <c r="CA90" s="51" t="e">
        <f>Ticker0001_Exchange_Sheet!CZ99-#REF!</f>
      </c>
      <c r="CB90" s="51" t="e">
        <f>Ticker0001_Exchange_Sheet!DA99-#REF!</f>
      </c>
      <c r="CC90" s="51" t="e">
        <f>Ticker0001_Exchange_Sheet!DB99-#REF!</f>
      </c>
      <c r="CD90" s="51" t="e">
        <f>Ticker0001_Exchange_Sheet!DC99-#REF!</f>
      </c>
      <c r="CE90" s="51" t="e">
        <f>Ticker0001_Exchange_Sheet!DD99-#REF!</f>
      </c>
      <c r="CF90" s="51" t="e">
        <f>Ticker0001_Exchange_Sheet!DE99-#REF!</f>
      </c>
    </row>
    <row r="91" spans="6:84">
      <c r="F91" s="51" t="e">
        <f>Ticker0001_Exchange_Sheet!F100-#REF!</f>
      </c>
      <c r="G91" s="51" t="e">
        <f>Ticker0001_Exchange_Sheet!G100-#REF!</f>
      </c>
      <c r="H91" s="51" t="e">
        <f>Ticker0001_Exchange_Sheet!H100-#REF!</f>
      </c>
      <c r="I91" s="51" t="e">
        <f>Ticker0001_Exchange_Sheet!I100-#REF!</f>
      </c>
      <c r="J91" s="51" t="e">
        <f>Ticker0001_Exchange_Sheet!J100-#REF!</f>
      </c>
      <c r="K91" s="51" t="e">
        <f>Ticker0001_Exchange_Sheet!K100-#REF!</f>
      </c>
      <c r="L91" s="51" t="e">
        <f>Ticker0001_Exchange_Sheet!L100-#REF!</f>
      </c>
      <c r="M91" s="51" t="e">
        <f>Ticker0001_Exchange_Sheet!M100-#REF!</f>
      </c>
      <c r="N91" s="51" t="e">
        <f>Ticker0001_Exchange_Sheet!N100-#REF!</f>
      </c>
      <c r="O91" s="51" t="e">
        <f>Ticker0001_Exchange_Sheet!O100-#REF!</f>
      </c>
      <c r="P91" s="51" t="e">
        <f>Ticker0001_Exchange_Sheet!P100-#REF!</f>
      </c>
      <c r="Q91" s="51" t="e">
        <f>Ticker0001_Exchange_Sheet!Q100-#REF!</f>
      </c>
      <c r="R91" s="51" t="e">
        <f>Ticker0001_Exchange_Sheet!R100-#REF!</f>
      </c>
      <c r="S91" s="51" t="e">
        <f>Ticker0001_Exchange_Sheet!S100-#REF!</f>
      </c>
      <c r="T91" s="51" t="e">
        <f>Ticker0001_Exchange_Sheet!T100-#REF!</f>
      </c>
      <c r="U91" s="51" t="e">
        <f>Ticker0001_Exchange_Sheet!U100-#REF!</f>
      </c>
      <c r="V91" s="51" t="e">
        <f>Ticker0001_Exchange_Sheet!V100-#REF!</f>
      </c>
      <c r="W91" s="51" t="e">
        <f>Ticker0001_Exchange_Sheet!W100-#REF!</f>
      </c>
      <c r="X91" s="51" t="e">
        <f>Ticker0001_Exchange_Sheet!AK100-#REF!</f>
      </c>
      <c r="Y91" s="51" t="e">
        <f>Ticker0001_Exchange_Sheet!AX100-#REF!</f>
      </c>
      <c r="Z91" s="51" t="e">
        <f>Ticker0001_Exchange_Sheet!AY100-#REF!</f>
      </c>
      <c r="AA91" s="51" t="e">
        <f>Ticker0001_Exchange_Sheet!AZ100-#REF!</f>
      </c>
      <c r="AB91" s="51" t="e">
        <f>Ticker0001_Exchange_Sheet!BA100-#REF!</f>
      </c>
      <c r="AC91" s="51" t="e">
        <f>Ticker0001_Exchange_Sheet!BB100-#REF!</f>
      </c>
      <c r="AD91" s="51" t="e">
        <f>Ticker0001_Exchange_Sheet!BC100-#REF!</f>
      </c>
      <c r="AE91" s="51" t="e">
        <f>Ticker0001_Exchange_Sheet!BD100-#REF!</f>
      </c>
      <c r="AF91" s="51" t="e">
        <f>Ticker0001_Exchange_Sheet!BE100-#REF!</f>
      </c>
      <c r="AG91" s="51" t="e">
        <f>Ticker0001_Exchange_Sheet!BF100-#REF!</f>
      </c>
      <c r="AH91" s="51" t="e">
        <f>Ticker0001_Exchange_Sheet!BG100-#REF!</f>
      </c>
      <c r="AI91" s="51" t="e">
        <f>Ticker0001_Exchange_Sheet!BH100-#REF!</f>
      </c>
      <c r="AJ91" s="51" t="e">
        <f>Ticker0001_Exchange_Sheet!BI100-#REF!</f>
      </c>
      <c r="AK91" s="51" t="e">
        <f>Ticker0001_Exchange_Sheet!BJ100-#REF!</f>
      </c>
      <c r="AL91" s="51" t="e">
        <f>Ticker0001_Exchange_Sheet!BK100-#REF!</f>
      </c>
      <c r="AM91" s="51" t="e">
        <f>Ticker0001_Exchange_Sheet!BL100-#REF!</f>
      </c>
      <c r="AN91" s="51" t="e">
        <f>Ticker0001_Exchange_Sheet!BM100-#REF!</f>
      </c>
      <c r="AO91" s="51" t="e">
        <f>Ticker0001_Exchange_Sheet!BN100-#REF!</f>
      </c>
      <c r="AP91" s="51" t="e">
        <f>Ticker0001_Exchange_Sheet!BO100-#REF!</f>
      </c>
      <c r="AQ91" s="51" t="e">
        <f>Ticker0001_Exchange_Sheet!BP100-#REF!</f>
      </c>
      <c r="AR91" s="51" t="e">
        <f>Ticker0001_Exchange_Sheet!BQ100-#REF!</f>
      </c>
      <c r="AS91" s="51" t="e">
        <f>Ticker0001_Exchange_Sheet!BR100-#REF!</f>
      </c>
      <c r="AT91" s="51" t="e">
        <f>Ticker0001_Exchange_Sheet!BS100-#REF!</f>
      </c>
      <c r="AU91" s="51" t="e">
        <f>Ticker0001_Exchange_Sheet!BT100-#REF!</f>
      </c>
      <c r="AV91" s="51" t="e">
        <f>Ticker0001_Exchange_Sheet!BU100-#REF!</f>
      </c>
      <c r="AW91" s="51" t="e">
        <f>Ticker0001_Exchange_Sheet!BV100-#REF!</f>
      </c>
      <c r="AX91" s="51" t="e">
        <f>Ticker0001_Exchange_Sheet!BW100-#REF!</f>
      </c>
      <c r="AY91" s="51" t="e">
        <f>Ticker0001_Exchange_Sheet!BX100-#REF!</f>
      </c>
      <c r="AZ91" s="51" t="e">
        <f>Ticker0001_Exchange_Sheet!BY100-#REF!</f>
      </c>
      <c r="BA91" s="51" t="e">
        <f>Ticker0001_Exchange_Sheet!BZ100-#REF!</f>
      </c>
      <c r="BB91" s="51" t="e">
        <f>Ticker0001_Exchange_Sheet!CA100-#REF!</f>
      </c>
      <c r="BC91" s="51" t="e">
        <f>Ticker0001_Exchange_Sheet!CB100-#REF!</f>
      </c>
      <c r="BD91" s="51" t="e">
        <f>Ticker0001_Exchange_Sheet!CC100-#REF!</f>
      </c>
      <c r="BE91" s="51" t="e">
        <f>Ticker0001_Exchange_Sheet!CD100-#REF!</f>
      </c>
      <c r="BF91" s="51" t="e">
        <f>Ticker0001_Exchange_Sheet!CE100-#REF!</f>
      </c>
      <c r="BG91" s="51" t="e">
        <f>Ticker0001_Exchange_Sheet!CF100-#REF!</f>
      </c>
      <c r="BH91" s="51" t="e">
        <f>Ticker0001_Exchange_Sheet!CG100-#REF!</f>
      </c>
      <c r="BI91" s="51" t="e">
        <f>Ticker0001_Exchange_Sheet!CH100-#REF!</f>
      </c>
      <c r="BJ91" s="51" t="e">
        <f>Ticker0001_Exchange_Sheet!CI100-#REF!</f>
      </c>
      <c r="BK91" s="51" t="e">
        <f>Ticker0001_Exchange_Sheet!CJ100-#REF!</f>
      </c>
      <c r="BL91" s="51" t="e">
        <f>Ticker0001_Exchange_Sheet!CK100-#REF!</f>
      </c>
      <c r="BM91" s="51" t="e">
        <f>Ticker0001_Exchange_Sheet!CL100-#REF!</f>
      </c>
      <c r="BN91" s="51" t="e">
        <f>Ticker0001_Exchange_Sheet!CM100-#REF!</f>
      </c>
      <c r="BO91" s="51" t="e">
        <f>Ticker0001_Exchange_Sheet!CN100-#REF!</f>
      </c>
      <c r="BP91" s="51" t="e">
        <f>Ticker0001_Exchange_Sheet!CO100-#REF!</f>
      </c>
      <c r="BQ91" s="51" t="e">
        <f>Ticker0001_Exchange_Sheet!CP100-#REF!</f>
      </c>
      <c r="BR91" s="51" t="e">
        <f>Ticker0001_Exchange_Sheet!CQ100-#REF!</f>
      </c>
      <c r="BS91" s="51" t="e">
        <f>Ticker0001_Exchange_Sheet!CR100-#REF!</f>
      </c>
      <c r="BT91" s="51" t="e">
        <f>Ticker0001_Exchange_Sheet!CS100-#REF!</f>
      </c>
      <c r="BU91" s="51" t="e">
        <f>Ticker0001_Exchange_Sheet!CT100-#REF!</f>
      </c>
      <c r="BV91" s="51" t="e">
        <f>Ticker0001_Exchange_Sheet!CU100-#REF!</f>
      </c>
      <c r="BW91" s="51" t="e">
        <f>Ticker0001_Exchange_Sheet!CV100-#REF!</f>
      </c>
      <c r="BX91" s="51" t="e">
        <f>Ticker0001_Exchange_Sheet!CW100-#REF!</f>
      </c>
      <c r="BY91" s="51" t="e">
        <f>Ticker0001_Exchange_Sheet!CX100-#REF!</f>
      </c>
      <c r="BZ91" s="51" t="e">
        <f>Ticker0001_Exchange_Sheet!CY100-#REF!</f>
      </c>
      <c r="CA91" s="51" t="e">
        <f>Ticker0001_Exchange_Sheet!CZ100-#REF!</f>
      </c>
      <c r="CB91" s="51" t="e">
        <f>Ticker0001_Exchange_Sheet!DA100-#REF!</f>
      </c>
      <c r="CC91" s="51" t="e">
        <f>Ticker0001_Exchange_Sheet!DB100-#REF!</f>
      </c>
      <c r="CD91" s="51" t="e">
        <f>Ticker0001_Exchange_Sheet!DC100-#REF!</f>
      </c>
      <c r="CE91" s="51" t="e">
        <f>Ticker0001_Exchange_Sheet!DD100-#REF!</f>
      </c>
      <c r="CF91" s="51" t="e">
        <f>Ticker0001_Exchange_Sheet!DE100-#REF!</f>
      </c>
    </row>
    <row r="92" spans="6:84">
      <c r="F92" s="51" t="e">
        <f>Ticker0001_Exchange_Sheet!F101-#REF!</f>
      </c>
      <c r="G92" s="51" t="e">
        <f>Ticker0001_Exchange_Sheet!G101-#REF!</f>
      </c>
      <c r="H92" s="51" t="e">
        <f>Ticker0001_Exchange_Sheet!H101-#REF!</f>
      </c>
      <c r="I92" s="51" t="e">
        <f>Ticker0001_Exchange_Sheet!I101-#REF!</f>
      </c>
      <c r="J92" s="51" t="e">
        <f>Ticker0001_Exchange_Sheet!J101-#REF!</f>
      </c>
      <c r="K92" s="51" t="e">
        <f>Ticker0001_Exchange_Sheet!K101-#REF!</f>
      </c>
      <c r="L92" s="51" t="e">
        <f>Ticker0001_Exchange_Sheet!L101-#REF!</f>
      </c>
      <c r="M92" s="51" t="e">
        <f>Ticker0001_Exchange_Sheet!M101-#REF!</f>
      </c>
      <c r="N92" s="51" t="e">
        <f>Ticker0001_Exchange_Sheet!N101-#REF!</f>
      </c>
      <c r="O92" s="51" t="e">
        <f>Ticker0001_Exchange_Sheet!O101-#REF!</f>
      </c>
      <c r="P92" s="51" t="e">
        <f>Ticker0001_Exchange_Sheet!P101-#REF!</f>
      </c>
      <c r="Q92" s="51" t="e">
        <f>Ticker0001_Exchange_Sheet!Q101-#REF!</f>
      </c>
      <c r="R92" s="51" t="e">
        <f>Ticker0001_Exchange_Sheet!R101-#REF!</f>
      </c>
      <c r="S92" s="51" t="e">
        <f>Ticker0001_Exchange_Sheet!S101-#REF!</f>
      </c>
      <c r="T92" s="51" t="e">
        <f>Ticker0001_Exchange_Sheet!T101-#REF!</f>
      </c>
      <c r="U92" s="51" t="e">
        <f>Ticker0001_Exchange_Sheet!U101-#REF!</f>
      </c>
      <c r="V92" s="51" t="e">
        <f>Ticker0001_Exchange_Sheet!V101-#REF!</f>
      </c>
      <c r="W92" s="51" t="e">
        <f>Ticker0001_Exchange_Sheet!W101-#REF!</f>
      </c>
      <c r="X92" s="51" t="e">
        <f>Ticker0001_Exchange_Sheet!AK101-#REF!</f>
      </c>
      <c r="Y92" s="51" t="e">
        <f>Ticker0001_Exchange_Sheet!AX101-#REF!</f>
      </c>
      <c r="Z92" s="51" t="e">
        <f>Ticker0001_Exchange_Sheet!AY101-#REF!</f>
      </c>
      <c r="AA92" s="51" t="e">
        <f>Ticker0001_Exchange_Sheet!AZ101-#REF!</f>
      </c>
      <c r="AB92" s="51" t="e">
        <f>Ticker0001_Exchange_Sheet!BA101-#REF!</f>
      </c>
      <c r="AC92" s="51" t="e">
        <f>Ticker0001_Exchange_Sheet!BB101-#REF!</f>
      </c>
      <c r="AD92" s="51" t="e">
        <f>Ticker0001_Exchange_Sheet!BC101-#REF!</f>
      </c>
      <c r="AE92" s="51" t="e">
        <f>Ticker0001_Exchange_Sheet!BD101-#REF!</f>
      </c>
      <c r="AF92" s="51" t="e">
        <f>Ticker0001_Exchange_Sheet!BE101-#REF!</f>
      </c>
      <c r="AG92" s="51" t="e">
        <f>Ticker0001_Exchange_Sheet!BF101-#REF!</f>
      </c>
      <c r="AH92" s="51" t="e">
        <f>Ticker0001_Exchange_Sheet!BG101-#REF!</f>
      </c>
      <c r="AI92" s="51" t="e">
        <f>Ticker0001_Exchange_Sheet!BH101-#REF!</f>
      </c>
      <c r="AJ92" s="51" t="e">
        <f>Ticker0001_Exchange_Sheet!BI101-#REF!</f>
      </c>
      <c r="AK92" s="51" t="e">
        <f>Ticker0001_Exchange_Sheet!BJ101-#REF!</f>
      </c>
      <c r="AL92" s="51" t="e">
        <f>Ticker0001_Exchange_Sheet!BK101-#REF!</f>
      </c>
      <c r="AM92" s="51" t="e">
        <f>Ticker0001_Exchange_Sheet!BL101-#REF!</f>
      </c>
      <c r="AN92" s="51" t="e">
        <f>Ticker0001_Exchange_Sheet!BM101-#REF!</f>
      </c>
      <c r="AO92" s="51" t="e">
        <f>Ticker0001_Exchange_Sheet!BN101-#REF!</f>
      </c>
      <c r="AP92" s="51" t="e">
        <f>Ticker0001_Exchange_Sheet!BO101-#REF!</f>
      </c>
      <c r="AQ92" s="51" t="e">
        <f>Ticker0001_Exchange_Sheet!BP101-#REF!</f>
      </c>
      <c r="AR92" s="51" t="e">
        <f>Ticker0001_Exchange_Sheet!BQ101-#REF!</f>
      </c>
      <c r="AS92" s="51" t="e">
        <f>Ticker0001_Exchange_Sheet!BR101-#REF!</f>
      </c>
      <c r="AT92" s="51" t="e">
        <f>Ticker0001_Exchange_Sheet!BS101-#REF!</f>
      </c>
      <c r="AU92" s="51" t="e">
        <f>Ticker0001_Exchange_Sheet!BT101-#REF!</f>
      </c>
      <c r="AV92" s="51" t="e">
        <f>Ticker0001_Exchange_Sheet!BU101-#REF!</f>
      </c>
      <c r="AW92" s="51" t="e">
        <f>Ticker0001_Exchange_Sheet!BV101-#REF!</f>
      </c>
      <c r="AX92" s="51" t="e">
        <f>Ticker0001_Exchange_Sheet!BW101-#REF!</f>
      </c>
      <c r="AY92" s="51" t="e">
        <f>Ticker0001_Exchange_Sheet!BX101-#REF!</f>
      </c>
      <c r="AZ92" s="51" t="e">
        <f>Ticker0001_Exchange_Sheet!BY101-#REF!</f>
      </c>
      <c r="BA92" s="51" t="e">
        <f>Ticker0001_Exchange_Sheet!BZ101-#REF!</f>
      </c>
      <c r="BB92" s="51" t="e">
        <f>Ticker0001_Exchange_Sheet!CA101-#REF!</f>
      </c>
      <c r="BC92" s="51" t="e">
        <f>Ticker0001_Exchange_Sheet!CB101-#REF!</f>
      </c>
      <c r="BD92" s="51" t="e">
        <f>Ticker0001_Exchange_Sheet!CC101-#REF!</f>
      </c>
      <c r="BE92" s="51" t="e">
        <f>Ticker0001_Exchange_Sheet!CD101-#REF!</f>
      </c>
      <c r="BF92" s="51" t="e">
        <f>Ticker0001_Exchange_Sheet!CE101-#REF!</f>
      </c>
      <c r="BG92" s="51" t="e">
        <f>Ticker0001_Exchange_Sheet!CF101-#REF!</f>
      </c>
      <c r="BH92" s="51" t="e">
        <f>Ticker0001_Exchange_Sheet!CG101-#REF!</f>
      </c>
      <c r="BI92" s="51" t="e">
        <f>Ticker0001_Exchange_Sheet!CH101-#REF!</f>
      </c>
      <c r="BJ92" s="51" t="e">
        <f>Ticker0001_Exchange_Sheet!CI101-#REF!</f>
      </c>
      <c r="BK92" s="51" t="e">
        <f>Ticker0001_Exchange_Sheet!CJ101-#REF!</f>
      </c>
      <c r="BL92" s="51" t="e">
        <f>Ticker0001_Exchange_Sheet!CK101-#REF!</f>
      </c>
      <c r="BM92" s="51" t="e">
        <f>Ticker0001_Exchange_Sheet!CL101-#REF!</f>
      </c>
      <c r="BN92" s="51" t="e">
        <f>Ticker0001_Exchange_Sheet!CM101-#REF!</f>
      </c>
      <c r="BO92" s="51" t="e">
        <f>Ticker0001_Exchange_Sheet!CN101-#REF!</f>
      </c>
      <c r="BP92" s="51" t="e">
        <f>Ticker0001_Exchange_Sheet!CO101-#REF!</f>
      </c>
      <c r="BQ92" s="51" t="e">
        <f>Ticker0001_Exchange_Sheet!CP101-#REF!</f>
      </c>
      <c r="BR92" s="51" t="e">
        <f>Ticker0001_Exchange_Sheet!CQ101-#REF!</f>
      </c>
      <c r="BS92" s="51" t="e">
        <f>Ticker0001_Exchange_Sheet!CR101-#REF!</f>
      </c>
      <c r="BT92" s="51" t="e">
        <f>Ticker0001_Exchange_Sheet!CS101-#REF!</f>
      </c>
      <c r="BU92" s="51" t="e">
        <f>Ticker0001_Exchange_Sheet!CT101-#REF!</f>
      </c>
      <c r="BV92" s="51" t="e">
        <f>Ticker0001_Exchange_Sheet!CU101-#REF!</f>
      </c>
      <c r="BW92" s="51" t="e">
        <f>Ticker0001_Exchange_Sheet!CV101-#REF!</f>
      </c>
      <c r="BX92" s="51" t="e">
        <f>Ticker0001_Exchange_Sheet!CW101-#REF!</f>
      </c>
      <c r="BY92" s="51" t="e">
        <f>Ticker0001_Exchange_Sheet!CX101-#REF!</f>
      </c>
      <c r="BZ92" s="51" t="e">
        <f>Ticker0001_Exchange_Sheet!CY101-#REF!</f>
      </c>
      <c r="CA92" s="51" t="e">
        <f>Ticker0001_Exchange_Sheet!CZ101-#REF!</f>
      </c>
      <c r="CB92" s="51" t="e">
        <f>Ticker0001_Exchange_Sheet!DA101-#REF!</f>
      </c>
      <c r="CC92" s="51" t="e">
        <f>Ticker0001_Exchange_Sheet!DB101-#REF!</f>
      </c>
      <c r="CD92" s="51" t="e">
        <f>Ticker0001_Exchange_Sheet!DC101-#REF!</f>
      </c>
      <c r="CE92" s="51" t="e">
        <f>Ticker0001_Exchange_Sheet!DD101-#REF!</f>
      </c>
      <c r="CF92" s="51" t="e">
        <f>Ticker0001_Exchange_Sheet!DE101-#REF!</f>
      </c>
    </row>
    <row r="93" spans="6:84">
      <c r="F93" s="51" t="e">
        <f>Ticker0001_Exchange_Sheet!F102-#REF!</f>
      </c>
      <c r="G93" s="51" t="e">
        <f>Ticker0001_Exchange_Sheet!G102-#REF!</f>
      </c>
      <c r="H93" s="51" t="e">
        <f>Ticker0001_Exchange_Sheet!H102-#REF!</f>
      </c>
      <c r="I93" s="51" t="e">
        <f>Ticker0001_Exchange_Sheet!I102-#REF!</f>
      </c>
      <c r="J93" s="51" t="e">
        <f>Ticker0001_Exchange_Sheet!J102-#REF!</f>
      </c>
      <c r="K93" s="51" t="e">
        <f>Ticker0001_Exchange_Sheet!K102-#REF!</f>
      </c>
      <c r="L93" s="51" t="e">
        <f>Ticker0001_Exchange_Sheet!L102-#REF!</f>
      </c>
      <c r="M93" s="51" t="e">
        <f>Ticker0001_Exchange_Sheet!M102-#REF!</f>
      </c>
      <c r="N93" s="51" t="e">
        <f>Ticker0001_Exchange_Sheet!N102-#REF!</f>
      </c>
      <c r="O93" s="51" t="e">
        <f>Ticker0001_Exchange_Sheet!O102-#REF!</f>
      </c>
      <c r="P93" s="51" t="e">
        <f>Ticker0001_Exchange_Sheet!P102-#REF!</f>
      </c>
      <c r="Q93" s="51" t="e">
        <f>Ticker0001_Exchange_Sheet!Q102-#REF!</f>
      </c>
      <c r="R93" s="51" t="e">
        <f>Ticker0001_Exchange_Sheet!R102-#REF!</f>
      </c>
      <c r="S93" s="51" t="e">
        <f>Ticker0001_Exchange_Sheet!S102-#REF!</f>
      </c>
      <c r="T93" s="51" t="e">
        <f>Ticker0001_Exchange_Sheet!T102-#REF!</f>
      </c>
      <c r="U93" s="51" t="e">
        <f>Ticker0001_Exchange_Sheet!U102-#REF!</f>
      </c>
      <c r="V93" s="51" t="e">
        <f>Ticker0001_Exchange_Sheet!V102-#REF!</f>
      </c>
      <c r="W93" s="51" t="e">
        <f>Ticker0001_Exchange_Sheet!W102-#REF!</f>
      </c>
      <c r="X93" s="51" t="e">
        <f>Ticker0001_Exchange_Sheet!AK102-#REF!</f>
      </c>
      <c r="Y93" s="51" t="e">
        <f>Ticker0001_Exchange_Sheet!AX102-#REF!</f>
      </c>
      <c r="Z93" s="51" t="e">
        <f>Ticker0001_Exchange_Sheet!AY102-#REF!</f>
      </c>
      <c r="AA93" s="51" t="e">
        <f>Ticker0001_Exchange_Sheet!AZ102-#REF!</f>
      </c>
      <c r="AB93" s="51" t="e">
        <f>Ticker0001_Exchange_Sheet!BA102-#REF!</f>
      </c>
      <c r="AC93" s="51" t="e">
        <f>Ticker0001_Exchange_Sheet!BB102-#REF!</f>
      </c>
      <c r="AD93" s="51" t="e">
        <f>Ticker0001_Exchange_Sheet!BC102-#REF!</f>
      </c>
      <c r="AE93" s="51" t="e">
        <f>Ticker0001_Exchange_Sheet!BD102-#REF!</f>
      </c>
      <c r="AF93" s="51" t="e">
        <f>Ticker0001_Exchange_Sheet!BE102-#REF!</f>
      </c>
      <c r="AG93" s="51" t="e">
        <f>Ticker0001_Exchange_Sheet!BF102-#REF!</f>
      </c>
      <c r="AH93" s="51" t="e">
        <f>Ticker0001_Exchange_Sheet!BG102-#REF!</f>
      </c>
      <c r="AI93" s="51" t="e">
        <f>Ticker0001_Exchange_Sheet!BH102-#REF!</f>
      </c>
      <c r="AJ93" s="51" t="e">
        <f>Ticker0001_Exchange_Sheet!BI102-#REF!</f>
      </c>
      <c r="AK93" s="51" t="e">
        <f>Ticker0001_Exchange_Sheet!BJ102-#REF!</f>
      </c>
      <c r="AL93" s="51" t="e">
        <f>Ticker0001_Exchange_Sheet!BK102-#REF!</f>
      </c>
      <c r="AM93" s="51" t="e">
        <f>Ticker0001_Exchange_Sheet!BL102-#REF!</f>
      </c>
      <c r="AN93" s="51" t="e">
        <f>Ticker0001_Exchange_Sheet!BM102-#REF!</f>
      </c>
      <c r="AO93" s="51" t="e">
        <f>Ticker0001_Exchange_Sheet!BN102-#REF!</f>
      </c>
      <c r="AP93" s="51" t="e">
        <f>Ticker0001_Exchange_Sheet!BO102-#REF!</f>
      </c>
      <c r="AQ93" s="51" t="e">
        <f>Ticker0001_Exchange_Sheet!BP102-#REF!</f>
      </c>
      <c r="AR93" s="51" t="e">
        <f>Ticker0001_Exchange_Sheet!BQ102-#REF!</f>
      </c>
      <c r="AS93" s="51" t="e">
        <f>Ticker0001_Exchange_Sheet!BR102-#REF!</f>
      </c>
      <c r="AT93" s="51" t="e">
        <f>Ticker0001_Exchange_Sheet!BS102-#REF!</f>
      </c>
      <c r="AU93" s="51" t="e">
        <f>Ticker0001_Exchange_Sheet!BT102-#REF!</f>
      </c>
      <c r="AV93" s="51" t="e">
        <f>Ticker0001_Exchange_Sheet!BU102-#REF!</f>
      </c>
      <c r="AW93" s="51" t="e">
        <f>Ticker0001_Exchange_Sheet!BV102-#REF!</f>
      </c>
      <c r="AX93" s="51" t="e">
        <f>Ticker0001_Exchange_Sheet!BW102-#REF!</f>
      </c>
      <c r="AY93" s="51" t="e">
        <f>Ticker0001_Exchange_Sheet!BX102-#REF!</f>
      </c>
      <c r="AZ93" s="51" t="e">
        <f>Ticker0001_Exchange_Sheet!BY102-#REF!</f>
      </c>
      <c r="BA93" s="51" t="e">
        <f>Ticker0001_Exchange_Sheet!BZ102-#REF!</f>
      </c>
      <c r="BB93" s="51" t="e">
        <f>Ticker0001_Exchange_Sheet!CA102-#REF!</f>
      </c>
      <c r="BC93" s="51" t="e">
        <f>Ticker0001_Exchange_Sheet!CB102-#REF!</f>
      </c>
      <c r="BD93" s="51" t="e">
        <f>Ticker0001_Exchange_Sheet!CC102-#REF!</f>
      </c>
      <c r="BE93" s="51" t="e">
        <f>Ticker0001_Exchange_Sheet!CD102-#REF!</f>
      </c>
      <c r="BF93" s="51" t="e">
        <f>Ticker0001_Exchange_Sheet!CE102-#REF!</f>
      </c>
      <c r="BG93" s="51" t="e">
        <f>Ticker0001_Exchange_Sheet!CF102-#REF!</f>
      </c>
      <c r="BH93" s="51" t="e">
        <f>Ticker0001_Exchange_Sheet!CG102-#REF!</f>
      </c>
      <c r="BI93" s="51" t="e">
        <f>Ticker0001_Exchange_Sheet!CH102-#REF!</f>
      </c>
      <c r="BJ93" s="51" t="e">
        <f>Ticker0001_Exchange_Sheet!CI102-#REF!</f>
      </c>
      <c r="BK93" s="51" t="e">
        <f>Ticker0001_Exchange_Sheet!CJ102-#REF!</f>
      </c>
      <c r="BL93" s="51" t="e">
        <f>Ticker0001_Exchange_Sheet!CK102-#REF!</f>
      </c>
      <c r="BM93" s="51" t="e">
        <f>Ticker0001_Exchange_Sheet!CL102-#REF!</f>
      </c>
      <c r="BN93" s="51" t="e">
        <f>Ticker0001_Exchange_Sheet!CM102-#REF!</f>
      </c>
      <c r="BO93" s="51" t="e">
        <f>Ticker0001_Exchange_Sheet!CN102-#REF!</f>
      </c>
      <c r="BP93" s="51" t="e">
        <f>Ticker0001_Exchange_Sheet!CO102-#REF!</f>
      </c>
      <c r="BQ93" s="51" t="e">
        <f>Ticker0001_Exchange_Sheet!CP102-#REF!</f>
      </c>
      <c r="BR93" s="51" t="e">
        <f>Ticker0001_Exchange_Sheet!CQ102-#REF!</f>
      </c>
      <c r="BS93" s="51" t="e">
        <f>Ticker0001_Exchange_Sheet!CR102-#REF!</f>
      </c>
      <c r="BT93" s="51" t="e">
        <f>Ticker0001_Exchange_Sheet!CS102-#REF!</f>
      </c>
      <c r="BU93" s="51" t="e">
        <f>Ticker0001_Exchange_Sheet!CT102-#REF!</f>
      </c>
      <c r="BV93" s="51" t="e">
        <f>Ticker0001_Exchange_Sheet!CU102-#REF!</f>
      </c>
      <c r="BW93" s="51" t="e">
        <f>Ticker0001_Exchange_Sheet!CV102-#REF!</f>
      </c>
      <c r="BX93" s="51" t="e">
        <f>Ticker0001_Exchange_Sheet!CW102-#REF!</f>
      </c>
      <c r="BY93" s="51" t="e">
        <f>Ticker0001_Exchange_Sheet!CX102-#REF!</f>
      </c>
      <c r="BZ93" s="51" t="e">
        <f>Ticker0001_Exchange_Sheet!CY102-#REF!</f>
      </c>
      <c r="CA93" s="51" t="e">
        <f>Ticker0001_Exchange_Sheet!CZ102-#REF!</f>
      </c>
      <c r="CB93" s="51" t="e">
        <f>Ticker0001_Exchange_Sheet!DA102-#REF!</f>
      </c>
      <c r="CC93" s="51" t="e">
        <f>Ticker0001_Exchange_Sheet!DB102-#REF!</f>
      </c>
      <c r="CD93" s="51" t="e">
        <f>Ticker0001_Exchange_Sheet!DC102-#REF!</f>
      </c>
      <c r="CE93" s="51" t="e">
        <f>Ticker0001_Exchange_Sheet!DD102-#REF!</f>
      </c>
      <c r="CF93" s="51" t="e">
        <f>Ticker0001_Exchange_Sheet!DE102-#REF!</f>
      </c>
    </row>
    <row r="94" spans="6:84">
      <c r="F94" s="51" t="e">
        <f>Ticker0001_Exchange_Sheet!F103-#REF!</f>
      </c>
      <c r="G94" s="51" t="e">
        <f>Ticker0001_Exchange_Sheet!G103-#REF!</f>
      </c>
      <c r="H94" s="51" t="e">
        <f>Ticker0001_Exchange_Sheet!H103-#REF!</f>
      </c>
      <c r="I94" s="51" t="e">
        <f>Ticker0001_Exchange_Sheet!I103-#REF!</f>
      </c>
      <c r="J94" s="51" t="e">
        <f>Ticker0001_Exchange_Sheet!J103-#REF!</f>
      </c>
      <c r="K94" s="51" t="e">
        <f>Ticker0001_Exchange_Sheet!K103-#REF!</f>
      </c>
      <c r="L94" s="51" t="e">
        <f>Ticker0001_Exchange_Sheet!L103-#REF!</f>
      </c>
      <c r="M94" s="51" t="e">
        <f>Ticker0001_Exchange_Sheet!M103-#REF!</f>
      </c>
      <c r="N94" s="51" t="e">
        <f>Ticker0001_Exchange_Sheet!N103-#REF!</f>
      </c>
      <c r="O94" s="51" t="e">
        <f>Ticker0001_Exchange_Sheet!O103-#REF!</f>
      </c>
      <c r="P94" s="51" t="e">
        <f>Ticker0001_Exchange_Sheet!P103-#REF!</f>
      </c>
      <c r="Q94" s="51" t="e">
        <f>Ticker0001_Exchange_Sheet!Q103-#REF!</f>
      </c>
      <c r="R94" s="51" t="e">
        <f>Ticker0001_Exchange_Sheet!R103-#REF!</f>
      </c>
      <c r="S94" s="51" t="e">
        <f>Ticker0001_Exchange_Sheet!S103-#REF!</f>
      </c>
      <c r="T94" s="51" t="e">
        <f>Ticker0001_Exchange_Sheet!T103-#REF!</f>
      </c>
      <c r="U94" s="51" t="e">
        <f>Ticker0001_Exchange_Sheet!U103-#REF!</f>
      </c>
      <c r="V94" s="51" t="e">
        <f>Ticker0001_Exchange_Sheet!V103-#REF!</f>
      </c>
      <c r="W94" s="51" t="e">
        <f>Ticker0001_Exchange_Sheet!W103-#REF!</f>
      </c>
      <c r="X94" s="51" t="e">
        <f>Ticker0001_Exchange_Sheet!AK103-#REF!</f>
      </c>
      <c r="Y94" s="51" t="e">
        <f>Ticker0001_Exchange_Sheet!AX103-#REF!</f>
      </c>
      <c r="Z94" s="51" t="e">
        <f>Ticker0001_Exchange_Sheet!AY103-#REF!</f>
      </c>
      <c r="AA94" s="51" t="e">
        <f>Ticker0001_Exchange_Sheet!AZ103-#REF!</f>
      </c>
      <c r="AB94" s="51" t="e">
        <f>Ticker0001_Exchange_Sheet!BA103-#REF!</f>
      </c>
      <c r="AC94" s="51" t="e">
        <f>Ticker0001_Exchange_Sheet!BB103-#REF!</f>
      </c>
      <c r="AD94" s="51" t="e">
        <f>Ticker0001_Exchange_Sheet!BC103-#REF!</f>
      </c>
      <c r="AE94" s="51" t="e">
        <f>Ticker0001_Exchange_Sheet!BD103-#REF!</f>
      </c>
      <c r="AF94" s="51" t="e">
        <f>Ticker0001_Exchange_Sheet!BE103-#REF!</f>
      </c>
      <c r="AG94" s="51" t="e">
        <f>Ticker0001_Exchange_Sheet!BF103-#REF!</f>
      </c>
      <c r="AH94" s="51" t="e">
        <f>Ticker0001_Exchange_Sheet!BG103-#REF!</f>
      </c>
      <c r="AI94" s="51" t="e">
        <f>Ticker0001_Exchange_Sheet!BH103-#REF!</f>
      </c>
      <c r="AJ94" s="51" t="e">
        <f>Ticker0001_Exchange_Sheet!BI103-#REF!</f>
      </c>
      <c r="AK94" s="51" t="e">
        <f>Ticker0001_Exchange_Sheet!BJ103-#REF!</f>
      </c>
      <c r="AL94" s="51" t="e">
        <f>Ticker0001_Exchange_Sheet!BK103-#REF!</f>
      </c>
      <c r="AM94" s="51" t="e">
        <f>Ticker0001_Exchange_Sheet!BL103-#REF!</f>
      </c>
      <c r="AN94" s="51" t="e">
        <f>Ticker0001_Exchange_Sheet!BM103-#REF!</f>
      </c>
      <c r="AO94" s="51" t="e">
        <f>Ticker0001_Exchange_Sheet!BN103-#REF!</f>
      </c>
      <c r="AP94" s="51" t="e">
        <f>Ticker0001_Exchange_Sheet!BO103-#REF!</f>
      </c>
      <c r="AQ94" s="51" t="e">
        <f>Ticker0001_Exchange_Sheet!BP103-#REF!</f>
      </c>
      <c r="AR94" s="51" t="e">
        <f>Ticker0001_Exchange_Sheet!BQ103-#REF!</f>
      </c>
      <c r="AS94" s="51" t="e">
        <f>Ticker0001_Exchange_Sheet!BR103-#REF!</f>
      </c>
      <c r="AT94" s="51" t="e">
        <f>Ticker0001_Exchange_Sheet!BS103-#REF!</f>
      </c>
      <c r="AU94" s="51" t="e">
        <f>Ticker0001_Exchange_Sheet!BT103-#REF!</f>
      </c>
      <c r="AV94" s="51" t="e">
        <f>Ticker0001_Exchange_Sheet!BU103-#REF!</f>
      </c>
      <c r="AW94" s="51" t="e">
        <f>Ticker0001_Exchange_Sheet!BV103-#REF!</f>
      </c>
      <c r="AX94" s="51" t="e">
        <f>Ticker0001_Exchange_Sheet!BW103-#REF!</f>
      </c>
      <c r="AY94" s="51" t="e">
        <f>Ticker0001_Exchange_Sheet!BX103-#REF!</f>
      </c>
      <c r="AZ94" s="51" t="e">
        <f>Ticker0001_Exchange_Sheet!BY103-#REF!</f>
      </c>
      <c r="BA94" s="51" t="e">
        <f>Ticker0001_Exchange_Sheet!BZ103-#REF!</f>
      </c>
      <c r="BB94" s="51" t="e">
        <f>Ticker0001_Exchange_Sheet!CA103-#REF!</f>
      </c>
      <c r="BC94" s="51" t="e">
        <f>Ticker0001_Exchange_Sheet!CB103-#REF!</f>
      </c>
      <c r="BD94" s="51" t="e">
        <f>Ticker0001_Exchange_Sheet!CC103-#REF!</f>
      </c>
      <c r="BE94" s="51" t="e">
        <f>Ticker0001_Exchange_Sheet!CD103-#REF!</f>
      </c>
      <c r="BF94" s="51" t="e">
        <f>Ticker0001_Exchange_Sheet!CE103-#REF!</f>
      </c>
      <c r="BG94" s="51" t="e">
        <f>Ticker0001_Exchange_Sheet!CF103-#REF!</f>
      </c>
      <c r="BH94" s="51" t="e">
        <f>Ticker0001_Exchange_Sheet!CG103-#REF!</f>
      </c>
      <c r="BI94" s="51" t="e">
        <f>Ticker0001_Exchange_Sheet!CH103-#REF!</f>
      </c>
      <c r="BJ94" s="51" t="e">
        <f>Ticker0001_Exchange_Sheet!CI103-#REF!</f>
      </c>
      <c r="BK94" s="51" t="e">
        <f>Ticker0001_Exchange_Sheet!CJ103-#REF!</f>
      </c>
      <c r="BL94" s="51" t="e">
        <f>Ticker0001_Exchange_Sheet!CK103-#REF!</f>
      </c>
      <c r="BM94" s="51" t="e">
        <f>Ticker0001_Exchange_Sheet!CL103-#REF!</f>
      </c>
      <c r="BN94" s="51" t="e">
        <f>Ticker0001_Exchange_Sheet!CM103-#REF!</f>
      </c>
      <c r="BO94" s="51" t="e">
        <f>Ticker0001_Exchange_Sheet!CN103-#REF!</f>
      </c>
      <c r="BP94" s="51" t="e">
        <f>Ticker0001_Exchange_Sheet!CO103-#REF!</f>
      </c>
      <c r="BQ94" s="51" t="e">
        <f>Ticker0001_Exchange_Sheet!CP103-#REF!</f>
      </c>
      <c r="BR94" s="51" t="e">
        <f>Ticker0001_Exchange_Sheet!CQ103-#REF!</f>
      </c>
      <c r="BS94" s="51" t="e">
        <f>Ticker0001_Exchange_Sheet!CR103-#REF!</f>
      </c>
      <c r="BT94" s="51" t="e">
        <f>Ticker0001_Exchange_Sheet!CS103-#REF!</f>
      </c>
      <c r="BU94" s="51" t="e">
        <f>Ticker0001_Exchange_Sheet!CT103-#REF!</f>
      </c>
      <c r="BV94" s="51" t="e">
        <f>Ticker0001_Exchange_Sheet!CU103-#REF!</f>
      </c>
      <c r="BW94" s="51" t="e">
        <f>Ticker0001_Exchange_Sheet!CV103-#REF!</f>
      </c>
      <c r="BX94" s="51" t="e">
        <f>Ticker0001_Exchange_Sheet!CW103-#REF!</f>
      </c>
      <c r="BY94" s="51" t="e">
        <f>Ticker0001_Exchange_Sheet!CX103-#REF!</f>
      </c>
      <c r="BZ94" s="51" t="e">
        <f>Ticker0001_Exchange_Sheet!CY103-#REF!</f>
      </c>
      <c r="CA94" s="51" t="e">
        <f>Ticker0001_Exchange_Sheet!CZ103-#REF!</f>
      </c>
      <c r="CB94" s="51" t="e">
        <f>Ticker0001_Exchange_Sheet!DA103-#REF!</f>
      </c>
      <c r="CC94" s="51" t="e">
        <f>Ticker0001_Exchange_Sheet!DB103-#REF!</f>
      </c>
      <c r="CD94" s="51" t="e">
        <f>Ticker0001_Exchange_Sheet!DC103-#REF!</f>
      </c>
      <c r="CE94" s="51" t="e">
        <f>Ticker0001_Exchange_Sheet!DD103-#REF!</f>
      </c>
      <c r="CF94" s="51" t="e">
        <f>Ticker0001_Exchange_Sheet!DE103-#REF!</f>
      </c>
    </row>
    <row r="95" spans="6:84">
      <c r="F95" s="51" t="e">
        <f>Ticker0001_Exchange_Sheet!F104-#REF!</f>
      </c>
      <c r="G95" s="51" t="e">
        <f>Ticker0001_Exchange_Sheet!G104-#REF!</f>
      </c>
      <c r="H95" s="51" t="e">
        <f>Ticker0001_Exchange_Sheet!H104-#REF!</f>
      </c>
      <c r="I95" s="51" t="e">
        <f>Ticker0001_Exchange_Sheet!I104-#REF!</f>
      </c>
      <c r="J95" s="51" t="e">
        <f>Ticker0001_Exchange_Sheet!J104-#REF!</f>
      </c>
      <c r="K95" s="51" t="e">
        <f>Ticker0001_Exchange_Sheet!K104-#REF!</f>
      </c>
      <c r="L95" s="51" t="e">
        <f>Ticker0001_Exchange_Sheet!L104-#REF!</f>
      </c>
      <c r="M95" s="51" t="e">
        <f>Ticker0001_Exchange_Sheet!M104-#REF!</f>
      </c>
      <c r="N95" s="51" t="e">
        <f>Ticker0001_Exchange_Sheet!N104-#REF!</f>
      </c>
      <c r="O95" s="51" t="e">
        <f>Ticker0001_Exchange_Sheet!O104-#REF!</f>
      </c>
      <c r="P95" s="51" t="e">
        <f>Ticker0001_Exchange_Sheet!P104-#REF!</f>
      </c>
      <c r="Q95" s="51" t="e">
        <f>Ticker0001_Exchange_Sheet!Q104-#REF!</f>
      </c>
      <c r="R95" s="51" t="e">
        <f>Ticker0001_Exchange_Sheet!R104-#REF!</f>
      </c>
      <c r="S95" s="51" t="e">
        <f>Ticker0001_Exchange_Sheet!S104-#REF!</f>
      </c>
      <c r="T95" s="51" t="e">
        <f>Ticker0001_Exchange_Sheet!T104-#REF!</f>
      </c>
      <c r="U95" s="51" t="e">
        <f>Ticker0001_Exchange_Sheet!U104-#REF!</f>
      </c>
      <c r="V95" s="51" t="e">
        <f>Ticker0001_Exchange_Sheet!V104-#REF!</f>
      </c>
      <c r="W95" s="51" t="e">
        <f>Ticker0001_Exchange_Sheet!W104-#REF!</f>
      </c>
      <c r="X95" s="51" t="e">
        <f>Ticker0001_Exchange_Sheet!AK104-#REF!</f>
      </c>
      <c r="Y95" s="51" t="e">
        <f>Ticker0001_Exchange_Sheet!AX104-#REF!</f>
      </c>
      <c r="Z95" s="51" t="e">
        <f>Ticker0001_Exchange_Sheet!AY104-#REF!</f>
      </c>
      <c r="AA95" s="51" t="e">
        <f>Ticker0001_Exchange_Sheet!AZ104-#REF!</f>
      </c>
      <c r="AB95" s="51" t="e">
        <f>Ticker0001_Exchange_Sheet!BA104-#REF!</f>
      </c>
      <c r="AC95" s="51" t="e">
        <f>Ticker0001_Exchange_Sheet!BB104-#REF!</f>
      </c>
      <c r="AD95" s="51" t="e">
        <f>Ticker0001_Exchange_Sheet!BC104-#REF!</f>
      </c>
      <c r="AE95" s="51" t="e">
        <f>Ticker0001_Exchange_Sheet!BD104-#REF!</f>
      </c>
      <c r="AF95" s="51" t="e">
        <f>Ticker0001_Exchange_Sheet!BE104-#REF!</f>
      </c>
      <c r="AG95" s="51" t="e">
        <f>Ticker0001_Exchange_Sheet!BF104-#REF!</f>
      </c>
      <c r="AH95" s="51" t="e">
        <f>Ticker0001_Exchange_Sheet!BG104-#REF!</f>
      </c>
      <c r="AI95" s="51" t="e">
        <f>Ticker0001_Exchange_Sheet!BH104-#REF!</f>
      </c>
      <c r="AJ95" s="51" t="e">
        <f>Ticker0001_Exchange_Sheet!BI104-#REF!</f>
      </c>
      <c r="AK95" s="51" t="e">
        <f>Ticker0001_Exchange_Sheet!BJ104-#REF!</f>
      </c>
      <c r="AL95" s="51" t="e">
        <f>Ticker0001_Exchange_Sheet!BK104-#REF!</f>
      </c>
      <c r="AM95" s="51" t="e">
        <f>Ticker0001_Exchange_Sheet!BL104-#REF!</f>
      </c>
      <c r="AN95" s="51" t="e">
        <f>Ticker0001_Exchange_Sheet!BM104-#REF!</f>
      </c>
      <c r="AO95" s="51" t="e">
        <f>Ticker0001_Exchange_Sheet!BN104-#REF!</f>
      </c>
      <c r="AP95" s="51" t="e">
        <f>Ticker0001_Exchange_Sheet!BO104-#REF!</f>
      </c>
      <c r="AQ95" s="51" t="e">
        <f>Ticker0001_Exchange_Sheet!BP104-#REF!</f>
      </c>
      <c r="AR95" s="51" t="e">
        <f>Ticker0001_Exchange_Sheet!BQ104-#REF!</f>
      </c>
      <c r="AS95" s="51" t="e">
        <f>Ticker0001_Exchange_Sheet!BR104-#REF!</f>
      </c>
      <c r="AT95" s="51" t="e">
        <f>Ticker0001_Exchange_Sheet!BS104-#REF!</f>
      </c>
      <c r="AU95" s="51" t="e">
        <f>Ticker0001_Exchange_Sheet!BT104-#REF!</f>
      </c>
      <c r="AV95" s="51" t="e">
        <f>Ticker0001_Exchange_Sheet!BU104-#REF!</f>
      </c>
      <c r="AW95" s="51" t="e">
        <f>Ticker0001_Exchange_Sheet!BV104-#REF!</f>
      </c>
      <c r="AX95" s="51" t="e">
        <f>Ticker0001_Exchange_Sheet!BW104-#REF!</f>
      </c>
      <c r="AY95" s="51" t="e">
        <f>Ticker0001_Exchange_Sheet!BX104-#REF!</f>
      </c>
      <c r="AZ95" s="51" t="e">
        <f>Ticker0001_Exchange_Sheet!BY104-#REF!</f>
      </c>
      <c r="BA95" s="51" t="e">
        <f>Ticker0001_Exchange_Sheet!BZ104-#REF!</f>
      </c>
      <c r="BB95" s="51" t="e">
        <f>Ticker0001_Exchange_Sheet!CA104-#REF!</f>
      </c>
      <c r="BC95" s="51" t="e">
        <f>Ticker0001_Exchange_Sheet!CB104-#REF!</f>
      </c>
      <c r="BD95" s="51" t="e">
        <f>Ticker0001_Exchange_Sheet!CC104-#REF!</f>
      </c>
      <c r="BE95" s="51" t="e">
        <f>Ticker0001_Exchange_Sheet!CD104-#REF!</f>
      </c>
      <c r="BF95" s="51" t="e">
        <f>Ticker0001_Exchange_Sheet!CE104-#REF!</f>
      </c>
      <c r="BG95" s="51" t="e">
        <f>Ticker0001_Exchange_Sheet!CF104-#REF!</f>
      </c>
      <c r="BH95" s="51" t="e">
        <f>Ticker0001_Exchange_Sheet!CG104-#REF!</f>
      </c>
      <c r="BI95" s="51" t="e">
        <f>Ticker0001_Exchange_Sheet!CH104-#REF!</f>
      </c>
      <c r="BJ95" s="51" t="e">
        <f>Ticker0001_Exchange_Sheet!CI104-#REF!</f>
      </c>
      <c r="BK95" s="51" t="e">
        <f>Ticker0001_Exchange_Sheet!CJ104-#REF!</f>
      </c>
      <c r="BL95" s="51" t="e">
        <f>Ticker0001_Exchange_Sheet!CK104-#REF!</f>
      </c>
      <c r="BM95" s="51" t="e">
        <f>Ticker0001_Exchange_Sheet!CL104-#REF!</f>
      </c>
      <c r="BN95" s="51" t="e">
        <f>Ticker0001_Exchange_Sheet!CM104-#REF!</f>
      </c>
      <c r="BO95" s="51" t="e">
        <f>Ticker0001_Exchange_Sheet!CN104-#REF!</f>
      </c>
      <c r="BP95" s="51" t="e">
        <f>Ticker0001_Exchange_Sheet!CO104-#REF!</f>
      </c>
      <c r="BQ95" s="51" t="e">
        <f>Ticker0001_Exchange_Sheet!CP104-#REF!</f>
      </c>
      <c r="BR95" s="51" t="e">
        <f>Ticker0001_Exchange_Sheet!CQ104-#REF!</f>
      </c>
      <c r="BS95" s="51" t="e">
        <f>Ticker0001_Exchange_Sheet!CR104-#REF!</f>
      </c>
      <c r="BT95" s="51" t="e">
        <f>Ticker0001_Exchange_Sheet!CS104-#REF!</f>
      </c>
      <c r="BU95" s="51" t="e">
        <f>Ticker0001_Exchange_Sheet!CT104-#REF!</f>
      </c>
      <c r="BV95" s="51" t="e">
        <f>Ticker0001_Exchange_Sheet!CU104-#REF!</f>
      </c>
      <c r="BW95" s="51" t="e">
        <f>Ticker0001_Exchange_Sheet!CV104-#REF!</f>
      </c>
      <c r="BX95" s="51" t="e">
        <f>Ticker0001_Exchange_Sheet!CW104-#REF!</f>
      </c>
      <c r="BY95" s="51" t="e">
        <f>Ticker0001_Exchange_Sheet!CX104-#REF!</f>
      </c>
      <c r="BZ95" s="51" t="e">
        <f>Ticker0001_Exchange_Sheet!CY104-#REF!</f>
      </c>
      <c r="CA95" s="51" t="e">
        <f>Ticker0001_Exchange_Sheet!CZ104-#REF!</f>
      </c>
      <c r="CB95" s="51" t="e">
        <f>Ticker0001_Exchange_Sheet!DA104-#REF!</f>
      </c>
      <c r="CC95" s="51" t="e">
        <f>Ticker0001_Exchange_Sheet!DB104-#REF!</f>
      </c>
      <c r="CD95" s="51" t="e">
        <f>Ticker0001_Exchange_Sheet!DC104-#REF!</f>
      </c>
      <c r="CE95" s="51" t="e">
        <f>Ticker0001_Exchange_Sheet!DD104-#REF!</f>
      </c>
      <c r="CF95" s="51" t="e">
        <f>Ticker0001_Exchange_Sheet!DE104-#REF!</f>
      </c>
    </row>
    <row r="96" spans="6:84">
      <c r="F96" s="51" t="e">
        <f>Ticker0001_Exchange_Sheet!F106-#REF!</f>
      </c>
      <c r="G96" s="51" t="e">
        <f>Ticker0001_Exchange_Sheet!G106-#REF!</f>
      </c>
      <c r="H96" s="51" t="e">
        <f>Ticker0001_Exchange_Sheet!H106-#REF!</f>
      </c>
      <c r="I96" s="51" t="e">
        <f>Ticker0001_Exchange_Sheet!I106-#REF!</f>
      </c>
      <c r="J96" s="51" t="e">
        <f>Ticker0001_Exchange_Sheet!J106-#REF!</f>
      </c>
      <c r="K96" s="51" t="e">
        <f>Ticker0001_Exchange_Sheet!K106-#REF!</f>
      </c>
      <c r="L96" s="51" t="e">
        <f>Ticker0001_Exchange_Sheet!L106-#REF!</f>
      </c>
      <c r="M96" s="51" t="e">
        <f>Ticker0001_Exchange_Sheet!M106-#REF!</f>
      </c>
      <c r="N96" s="51" t="e">
        <f>Ticker0001_Exchange_Sheet!N106-#REF!</f>
      </c>
      <c r="O96" s="51" t="e">
        <f>Ticker0001_Exchange_Sheet!O106-#REF!</f>
      </c>
      <c r="P96" s="51" t="e">
        <f>Ticker0001_Exchange_Sheet!P106-#REF!</f>
      </c>
      <c r="Q96" s="51" t="e">
        <f>Ticker0001_Exchange_Sheet!Q106-#REF!</f>
      </c>
      <c r="R96" s="51" t="e">
        <f>Ticker0001_Exchange_Sheet!R106-#REF!</f>
      </c>
      <c r="S96" s="51" t="e">
        <f>Ticker0001_Exchange_Sheet!S106-#REF!</f>
      </c>
      <c r="T96" s="51" t="e">
        <f>Ticker0001_Exchange_Sheet!T106-#REF!</f>
      </c>
      <c r="U96" s="51" t="e">
        <f>Ticker0001_Exchange_Sheet!U106-#REF!</f>
      </c>
      <c r="V96" s="51" t="e">
        <f>Ticker0001_Exchange_Sheet!V106-#REF!</f>
      </c>
      <c r="W96" s="51" t="e">
        <f>Ticker0001_Exchange_Sheet!W106-#REF!</f>
      </c>
      <c r="X96" s="51" t="e">
        <f>Ticker0001_Exchange_Sheet!AK106-#REF!</f>
      </c>
      <c r="Y96" s="51" t="e">
        <f>Ticker0001_Exchange_Sheet!AX106-#REF!</f>
      </c>
      <c r="Z96" s="51" t="e">
        <f>Ticker0001_Exchange_Sheet!AY106-#REF!</f>
      </c>
      <c r="AA96" s="51" t="e">
        <f>Ticker0001_Exchange_Sheet!AZ106-#REF!</f>
      </c>
      <c r="AB96" s="51" t="e">
        <f>Ticker0001_Exchange_Sheet!BA106-#REF!</f>
      </c>
      <c r="AC96" s="51" t="e">
        <f>Ticker0001_Exchange_Sheet!BB106-#REF!</f>
      </c>
      <c r="AD96" s="51" t="e">
        <f>Ticker0001_Exchange_Sheet!BC106-#REF!</f>
      </c>
      <c r="AE96" s="51" t="e">
        <f>Ticker0001_Exchange_Sheet!BD106-#REF!</f>
      </c>
      <c r="AF96" s="51" t="e">
        <f>Ticker0001_Exchange_Sheet!BE106-#REF!</f>
      </c>
      <c r="AG96" s="51" t="e">
        <f>Ticker0001_Exchange_Sheet!BF106-#REF!</f>
      </c>
      <c r="AH96" s="51" t="e">
        <f>Ticker0001_Exchange_Sheet!BG106-#REF!</f>
      </c>
      <c r="AI96" s="51" t="e">
        <f>Ticker0001_Exchange_Sheet!BH106-#REF!</f>
      </c>
      <c r="AJ96" s="51" t="e">
        <f>Ticker0001_Exchange_Sheet!BI106-#REF!</f>
      </c>
      <c r="AK96" s="51" t="e">
        <f>Ticker0001_Exchange_Sheet!BJ106-#REF!</f>
      </c>
      <c r="AL96" s="51" t="e">
        <f>Ticker0001_Exchange_Sheet!BK106-#REF!</f>
      </c>
      <c r="AM96" s="51" t="e">
        <f>Ticker0001_Exchange_Sheet!BL106-#REF!</f>
      </c>
      <c r="AN96" s="51" t="e">
        <f>Ticker0001_Exchange_Sheet!BM106-#REF!</f>
      </c>
      <c r="AO96" s="51" t="e">
        <f>Ticker0001_Exchange_Sheet!BN106-#REF!</f>
      </c>
      <c r="AP96" s="51" t="e">
        <f>Ticker0001_Exchange_Sheet!BO106-#REF!</f>
      </c>
      <c r="AQ96" s="51" t="e">
        <f>Ticker0001_Exchange_Sheet!BP106-#REF!</f>
      </c>
      <c r="AR96" s="51" t="e">
        <f>Ticker0001_Exchange_Sheet!BQ106-#REF!</f>
      </c>
      <c r="AS96" s="51" t="e">
        <f>Ticker0001_Exchange_Sheet!BR106-#REF!</f>
      </c>
      <c r="AT96" s="51" t="e">
        <f>Ticker0001_Exchange_Sheet!BS106-#REF!</f>
      </c>
      <c r="AU96" s="51" t="e">
        <f>Ticker0001_Exchange_Sheet!BT106-#REF!</f>
      </c>
      <c r="AV96" s="51" t="e">
        <f>Ticker0001_Exchange_Sheet!BU106-#REF!</f>
      </c>
      <c r="AW96" s="51" t="e">
        <f>Ticker0001_Exchange_Sheet!BV106-#REF!</f>
      </c>
      <c r="AX96" s="51" t="e">
        <f>Ticker0001_Exchange_Sheet!BW106-#REF!</f>
      </c>
      <c r="AY96" s="51" t="e">
        <f>Ticker0001_Exchange_Sheet!BX106-#REF!</f>
      </c>
      <c r="AZ96" s="51" t="e">
        <f>Ticker0001_Exchange_Sheet!BY106-#REF!</f>
      </c>
      <c r="BA96" s="51" t="e">
        <f>Ticker0001_Exchange_Sheet!BZ106-#REF!</f>
      </c>
      <c r="BB96" s="51" t="e">
        <f>Ticker0001_Exchange_Sheet!CA106-#REF!</f>
      </c>
      <c r="BC96" s="51" t="e">
        <f>Ticker0001_Exchange_Sheet!CB106-#REF!</f>
      </c>
      <c r="BD96" s="51" t="e">
        <f>Ticker0001_Exchange_Sheet!CC106-#REF!</f>
      </c>
      <c r="BE96" s="51" t="e">
        <f>Ticker0001_Exchange_Sheet!CD106-#REF!</f>
      </c>
      <c r="BF96" s="51" t="e">
        <f>Ticker0001_Exchange_Sheet!CE106-#REF!</f>
      </c>
      <c r="BG96" s="51" t="e">
        <f>Ticker0001_Exchange_Sheet!CF106-#REF!</f>
      </c>
      <c r="BH96" s="51" t="e">
        <f>Ticker0001_Exchange_Sheet!CG106-#REF!</f>
      </c>
      <c r="BI96" s="51" t="e">
        <f>Ticker0001_Exchange_Sheet!CH106-#REF!</f>
      </c>
      <c r="BJ96" s="51" t="e">
        <f>Ticker0001_Exchange_Sheet!CI106-#REF!</f>
      </c>
      <c r="BK96" s="51" t="e">
        <f>Ticker0001_Exchange_Sheet!CJ106-#REF!</f>
      </c>
      <c r="BL96" s="51" t="e">
        <f>Ticker0001_Exchange_Sheet!CK106-#REF!</f>
      </c>
      <c r="BM96" s="51" t="e">
        <f>Ticker0001_Exchange_Sheet!CL106-#REF!</f>
      </c>
      <c r="BN96" s="51" t="e">
        <f>Ticker0001_Exchange_Sheet!CM106-#REF!</f>
      </c>
      <c r="BO96" s="51" t="e">
        <f>Ticker0001_Exchange_Sheet!CN106-#REF!</f>
      </c>
      <c r="BP96" s="51" t="e">
        <f>Ticker0001_Exchange_Sheet!CO106-#REF!</f>
      </c>
      <c r="BQ96" s="51" t="e">
        <f>Ticker0001_Exchange_Sheet!CP106-#REF!</f>
      </c>
      <c r="BR96" s="51" t="e">
        <f>Ticker0001_Exchange_Sheet!CQ106-#REF!</f>
      </c>
      <c r="BS96" s="51" t="e">
        <f>Ticker0001_Exchange_Sheet!CR106-#REF!</f>
      </c>
      <c r="BT96" s="51" t="e">
        <f>Ticker0001_Exchange_Sheet!CS106-#REF!</f>
      </c>
      <c r="BU96" s="51" t="e">
        <f>Ticker0001_Exchange_Sheet!CT106-#REF!</f>
      </c>
      <c r="BV96" s="51" t="e">
        <f>Ticker0001_Exchange_Sheet!CU106-#REF!</f>
      </c>
      <c r="BW96" s="51" t="e">
        <f>Ticker0001_Exchange_Sheet!CV106-#REF!</f>
      </c>
      <c r="BX96" s="51" t="e">
        <f>Ticker0001_Exchange_Sheet!CW106-#REF!</f>
      </c>
      <c r="BY96" s="51" t="e">
        <f>Ticker0001_Exchange_Sheet!CX106-#REF!</f>
      </c>
      <c r="BZ96" s="51" t="e">
        <f>Ticker0001_Exchange_Sheet!CY106-#REF!</f>
      </c>
      <c r="CA96" s="51" t="e">
        <f>Ticker0001_Exchange_Sheet!CZ106-#REF!</f>
      </c>
      <c r="CB96" s="51" t="e">
        <f>Ticker0001_Exchange_Sheet!DA106-#REF!</f>
      </c>
      <c r="CC96" s="51" t="e">
        <f>Ticker0001_Exchange_Sheet!DB106-#REF!</f>
      </c>
      <c r="CD96" s="51" t="e">
        <f>Ticker0001_Exchange_Sheet!DC106-#REF!</f>
      </c>
      <c r="CE96" s="51" t="e">
        <f>Ticker0001_Exchange_Sheet!DD106-#REF!</f>
      </c>
      <c r="CF96" s="51" t="e">
        <f>Ticker0001_Exchange_Sheet!DE106-#REF!</f>
      </c>
    </row>
    <row r="97" spans="6:84">
      <c r="F97" s="51" t="e">
        <f>Ticker0001_Exchange_Sheet!F107-#REF!</f>
      </c>
      <c r="G97" s="51" t="e">
        <f>Ticker0001_Exchange_Sheet!G107-#REF!</f>
      </c>
      <c r="H97" s="51" t="e">
        <f>Ticker0001_Exchange_Sheet!H107-#REF!</f>
      </c>
      <c r="I97" s="51" t="e">
        <f>Ticker0001_Exchange_Sheet!I107-#REF!</f>
      </c>
      <c r="J97" s="51" t="e">
        <f>Ticker0001_Exchange_Sheet!J107-#REF!</f>
      </c>
      <c r="K97" s="51" t="e">
        <f>Ticker0001_Exchange_Sheet!K107-#REF!</f>
      </c>
      <c r="L97" s="51" t="e">
        <f>Ticker0001_Exchange_Sheet!L107-#REF!</f>
      </c>
      <c r="M97" s="51" t="e">
        <f>Ticker0001_Exchange_Sheet!M107-#REF!</f>
      </c>
      <c r="N97" s="51" t="e">
        <f>Ticker0001_Exchange_Sheet!N107-#REF!</f>
      </c>
      <c r="O97" s="51" t="e">
        <f>Ticker0001_Exchange_Sheet!O107-#REF!</f>
      </c>
      <c r="P97" s="51" t="e">
        <f>Ticker0001_Exchange_Sheet!P107-#REF!</f>
      </c>
      <c r="Q97" s="51" t="e">
        <f>Ticker0001_Exchange_Sheet!Q107-#REF!</f>
      </c>
      <c r="R97" s="51" t="e">
        <f>Ticker0001_Exchange_Sheet!R107-#REF!</f>
      </c>
      <c r="S97" s="51" t="e">
        <f>Ticker0001_Exchange_Sheet!S107-#REF!</f>
      </c>
      <c r="T97" s="51" t="e">
        <f>Ticker0001_Exchange_Sheet!T107-#REF!</f>
      </c>
      <c r="U97" s="51" t="e">
        <f>Ticker0001_Exchange_Sheet!U107-#REF!</f>
      </c>
      <c r="V97" s="51" t="e">
        <f>Ticker0001_Exchange_Sheet!V107-#REF!</f>
      </c>
      <c r="W97" s="51" t="e">
        <f>Ticker0001_Exchange_Sheet!W107-#REF!</f>
      </c>
      <c r="X97" s="51" t="e">
        <f>Ticker0001_Exchange_Sheet!AK107-#REF!</f>
      </c>
      <c r="Y97" s="51" t="e">
        <f>Ticker0001_Exchange_Sheet!AX107-#REF!</f>
      </c>
      <c r="Z97" s="51" t="e">
        <f>Ticker0001_Exchange_Sheet!AY107-#REF!</f>
      </c>
      <c r="AA97" s="51" t="e">
        <f>Ticker0001_Exchange_Sheet!AZ107-#REF!</f>
      </c>
      <c r="AB97" s="51" t="e">
        <f>Ticker0001_Exchange_Sheet!BA107-#REF!</f>
      </c>
      <c r="AC97" s="51" t="e">
        <f>Ticker0001_Exchange_Sheet!BB107-#REF!</f>
      </c>
      <c r="AD97" s="51" t="e">
        <f>Ticker0001_Exchange_Sheet!BC107-#REF!</f>
      </c>
      <c r="AE97" s="51" t="e">
        <f>Ticker0001_Exchange_Sheet!BD107-#REF!</f>
      </c>
      <c r="AF97" s="51" t="e">
        <f>Ticker0001_Exchange_Sheet!BE107-#REF!</f>
      </c>
      <c r="AG97" s="51" t="e">
        <f>Ticker0001_Exchange_Sheet!BF107-#REF!</f>
      </c>
      <c r="AH97" s="51" t="e">
        <f>Ticker0001_Exchange_Sheet!BG107-#REF!</f>
      </c>
      <c r="AI97" s="51" t="e">
        <f>Ticker0001_Exchange_Sheet!BH107-#REF!</f>
      </c>
      <c r="AJ97" s="51" t="e">
        <f>Ticker0001_Exchange_Sheet!BI107-#REF!</f>
      </c>
      <c r="AK97" s="51" t="e">
        <f>Ticker0001_Exchange_Sheet!BJ107-#REF!</f>
      </c>
      <c r="AL97" s="51" t="e">
        <f>Ticker0001_Exchange_Sheet!BK107-#REF!</f>
      </c>
      <c r="AM97" s="51" t="e">
        <f>Ticker0001_Exchange_Sheet!BL107-#REF!</f>
      </c>
      <c r="AN97" s="51" t="e">
        <f>Ticker0001_Exchange_Sheet!BM107-#REF!</f>
      </c>
      <c r="AO97" s="51" t="e">
        <f>Ticker0001_Exchange_Sheet!BN107-#REF!</f>
      </c>
      <c r="AP97" s="51" t="e">
        <f>Ticker0001_Exchange_Sheet!BO107-#REF!</f>
      </c>
      <c r="AQ97" s="51" t="e">
        <f>Ticker0001_Exchange_Sheet!BP107-#REF!</f>
      </c>
      <c r="AR97" s="51" t="e">
        <f>Ticker0001_Exchange_Sheet!BQ107-#REF!</f>
      </c>
      <c r="AS97" s="51" t="e">
        <f>Ticker0001_Exchange_Sheet!BR107-#REF!</f>
      </c>
      <c r="AT97" s="51" t="e">
        <f>Ticker0001_Exchange_Sheet!BS107-#REF!</f>
      </c>
      <c r="AU97" s="51" t="e">
        <f>Ticker0001_Exchange_Sheet!BT107-#REF!</f>
      </c>
      <c r="AV97" s="51" t="e">
        <f>Ticker0001_Exchange_Sheet!BU107-#REF!</f>
      </c>
      <c r="AW97" s="51" t="e">
        <f>Ticker0001_Exchange_Sheet!BV107-#REF!</f>
      </c>
      <c r="AX97" s="51" t="e">
        <f>Ticker0001_Exchange_Sheet!BW107-#REF!</f>
      </c>
      <c r="AY97" s="51" t="e">
        <f>Ticker0001_Exchange_Sheet!BX107-#REF!</f>
      </c>
      <c r="AZ97" s="51" t="e">
        <f>Ticker0001_Exchange_Sheet!BY107-#REF!</f>
      </c>
      <c r="BA97" s="51" t="e">
        <f>Ticker0001_Exchange_Sheet!BZ107-#REF!</f>
      </c>
      <c r="BB97" s="51" t="e">
        <f>Ticker0001_Exchange_Sheet!CA107-#REF!</f>
      </c>
      <c r="BC97" s="51" t="e">
        <f>Ticker0001_Exchange_Sheet!CB107-#REF!</f>
      </c>
      <c r="BD97" s="51" t="e">
        <f>Ticker0001_Exchange_Sheet!CC107-#REF!</f>
      </c>
      <c r="BE97" s="51" t="e">
        <f>Ticker0001_Exchange_Sheet!CD107-#REF!</f>
      </c>
      <c r="BF97" s="51" t="e">
        <f>Ticker0001_Exchange_Sheet!CE107-#REF!</f>
      </c>
      <c r="BG97" s="51" t="e">
        <f>Ticker0001_Exchange_Sheet!CF107-#REF!</f>
      </c>
      <c r="BH97" s="51" t="e">
        <f>Ticker0001_Exchange_Sheet!CG107-#REF!</f>
      </c>
      <c r="BI97" s="51" t="e">
        <f>Ticker0001_Exchange_Sheet!CH107-#REF!</f>
      </c>
      <c r="BJ97" s="51" t="e">
        <f>Ticker0001_Exchange_Sheet!CI107-#REF!</f>
      </c>
      <c r="BK97" s="51" t="e">
        <f>Ticker0001_Exchange_Sheet!CJ107-#REF!</f>
      </c>
      <c r="BL97" s="51" t="e">
        <f>Ticker0001_Exchange_Sheet!CK107-#REF!</f>
      </c>
      <c r="BM97" s="51" t="e">
        <f>Ticker0001_Exchange_Sheet!CL107-#REF!</f>
      </c>
      <c r="BN97" s="51" t="e">
        <f>Ticker0001_Exchange_Sheet!CM107-#REF!</f>
      </c>
      <c r="BO97" s="51" t="e">
        <f>Ticker0001_Exchange_Sheet!CN107-#REF!</f>
      </c>
      <c r="BP97" s="51" t="e">
        <f>Ticker0001_Exchange_Sheet!CO107-#REF!</f>
      </c>
      <c r="BQ97" s="51" t="e">
        <f>Ticker0001_Exchange_Sheet!CP107-#REF!</f>
      </c>
      <c r="BR97" s="51" t="e">
        <f>Ticker0001_Exchange_Sheet!CQ107-#REF!</f>
      </c>
      <c r="BS97" s="51" t="e">
        <f>Ticker0001_Exchange_Sheet!CR107-#REF!</f>
      </c>
      <c r="BT97" s="51" t="e">
        <f>Ticker0001_Exchange_Sheet!CS107-#REF!</f>
      </c>
      <c r="BU97" s="51" t="e">
        <f>Ticker0001_Exchange_Sheet!CT107-#REF!</f>
      </c>
      <c r="BV97" s="51" t="e">
        <f>Ticker0001_Exchange_Sheet!CU107-#REF!</f>
      </c>
      <c r="BW97" s="51" t="e">
        <f>Ticker0001_Exchange_Sheet!CV107-#REF!</f>
      </c>
      <c r="BX97" s="51" t="e">
        <f>Ticker0001_Exchange_Sheet!CW107-#REF!</f>
      </c>
      <c r="BY97" s="51" t="e">
        <f>Ticker0001_Exchange_Sheet!CX107-#REF!</f>
      </c>
      <c r="BZ97" s="51" t="e">
        <f>Ticker0001_Exchange_Sheet!CY107-#REF!</f>
      </c>
      <c r="CA97" s="51" t="e">
        <f>Ticker0001_Exchange_Sheet!CZ107-#REF!</f>
      </c>
      <c r="CB97" s="51" t="e">
        <f>Ticker0001_Exchange_Sheet!DA107-#REF!</f>
      </c>
      <c r="CC97" s="51" t="e">
        <f>Ticker0001_Exchange_Sheet!DB107-#REF!</f>
      </c>
      <c r="CD97" s="51" t="e">
        <f>Ticker0001_Exchange_Sheet!DC107-#REF!</f>
      </c>
      <c r="CE97" s="51" t="e">
        <f>Ticker0001_Exchange_Sheet!DD107-#REF!</f>
      </c>
      <c r="CF97" s="51" t="e">
        <f>Ticker0001_Exchange_Sheet!DE107-#REF!</f>
      </c>
    </row>
    <row r="98" spans="6:84">
      <c r="F98" s="51" t="e">
        <f>Ticker0001_Exchange_Sheet!F108-#REF!</f>
      </c>
      <c r="G98" s="51" t="e">
        <f>Ticker0001_Exchange_Sheet!G108-#REF!</f>
      </c>
      <c r="H98" s="51" t="e">
        <f>Ticker0001_Exchange_Sheet!H108-#REF!</f>
      </c>
      <c r="I98" s="51" t="e">
        <f>Ticker0001_Exchange_Sheet!I108-#REF!</f>
      </c>
      <c r="J98" s="51" t="e">
        <f>Ticker0001_Exchange_Sheet!J108-#REF!</f>
      </c>
      <c r="K98" s="51" t="e">
        <f>Ticker0001_Exchange_Sheet!K108-#REF!</f>
      </c>
      <c r="L98" s="51" t="e">
        <f>Ticker0001_Exchange_Sheet!L108-#REF!</f>
      </c>
      <c r="M98" s="51" t="e">
        <f>Ticker0001_Exchange_Sheet!M108-#REF!</f>
      </c>
      <c r="N98" s="51" t="e">
        <f>Ticker0001_Exchange_Sheet!N108-#REF!</f>
      </c>
      <c r="O98" s="51" t="e">
        <f>Ticker0001_Exchange_Sheet!O108-#REF!</f>
      </c>
      <c r="P98" s="51" t="e">
        <f>Ticker0001_Exchange_Sheet!P108-#REF!</f>
      </c>
      <c r="Q98" s="51" t="e">
        <f>Ticker0001_Exchange_Sheet!Q108-#REF!</f>
      </c>
      <c r="R98" s="51" t="e">
        <f>Ticker0001_Exchange_Sheet!R108-#REF!</f>
      </c>
      <c r="S98" s="51" t="e">
        <f>Ticker0001_Exchange_Sheet!S108-#REF!</f>
      </c>
      <c r="T98" s="51" t="e">
        <f>Ticker0001_Exchange_Sheet!T108-#REF!</f>
      </c>
      <c r="U98" s="51" t="e">
        <f>Ticker0001_Exchange_Sheet!U108-#REF!</f>
      </c>
      <c r="V98" s="51" t="e">
        <f>Ticker0001_Exchange_Sheet!V108-#REF!</f>
      </c>
      <c r="W98" s="51" t="e">
        <f>Ticker0001_Exchange_Sheet!W108-#REF!</f>
      </c>
      <c r="X98" s="51" t="e">
        <f>Ticker0001_Exchange_Sheet!AK108-#REF!</f>
      </c>
      <c r="Y98" s="51" t="e">
        <f>Ticker0001_Exchange_Sheet!AX108-#REF!</f>
      </c>
      <c r="Z98" s="51" t="e">
        <f>Ticker0001_Exchange_Sheet!AY108-#REF!</f>
      </c>
      <c r="AA98" s="51" t="e">
        <f>Ticker0001_Exchange_Sheet!AZ108-#REF!</f>
      </c>
      <c r="AB98" s="51" t="e">
        <f>Ticker0001_Exchange_Sheet!BA108-#REF!</f>
      </c>
      <c r="AC98" s="51" t="e">
        <f>Ticker0001_Exchange_Sheet!BB108-#REF!</f>
      </c>
      <c r="AD98" s="51" t="e">
        <f>Ticker0001_Exchange_Sheet!BC108-#REF!</f>
      </c>
      <c r="AE98" s="51" t="e">
        <f>Ticker0001_Exchange_Sheet!BD108-#REF!</f>
      </c>
      <c r="AF98" s="51" t="e">
        <f>Ticker0001_Exchange_Sheet!BE108-#REF!</f>
      </c>
      <c r="AG98" s="51" t="e">
        <f>Ticker0001_Exchange_Sheet!BF108-#REF!</f>
      </c>
      <c r="AH98" s="51" t="e">
        <f>Ticker0001_Exchange_Sheet!BG108-#REF!</f>
      </c>
      <c r="AI98" s="51" t="e">
        <f>Ticker0001_Exchange_Sheet!BH108-#REF!</f>
      </c>
      <c r="AJ98" s="51" t="e">
        <f>Ticker0001_Exchange_Sheet!BI108-#REF!</f>
      </c>
      <c r="AK98" s="51" t="e">
        <f>Ticker0001_Exchange_Sheet!BJ108-#REF!</f>
      </c>
      <c r="AL98" s="51" t="e">
        <f>Ticker0001_Exchange_Sheet!BK108-#REF!</f>
      </c>
      <c r="AM98" s="51" t="e">
        <f>Ticker0001_Exchange_Sheet!BL108-#REF!</f>
      </c>
      <c r="AN98" s="51" t="e">
        <f>Ticker0001_Exchange_Sheet!BM108-#REF!</f>
      </c>
      <c r="AO98" s="51" t="e">
        <f>Ticker0001_Exchange_Sheet!BN108-#REF!</f>
      </c>
      <c r="AP98" s="51" t="e">
        <f>Ticker0001_Exchange_Sheet!BO108-#REF!</f>
      </c>
      <c r="AQ98" s="51" t="e">
        <f>Ticker0001_Exchange_Sheet!BP108-#REF!</f>
      </c>
      <c r="AR98" s="51" t="e">
        <f>Ticker0001_Exchange_Sheet!BQ108-#REF!</f>
      </c>
      <c r="AS98" s="51" t="e">
        <f>Ticker0001_Exchange_Sheet!BR108-#REF!</f>
      </c>
      <c r="AT98" s="51" t="e">
        <f>Ticker0001_Exchange_Sheet!BS108-#REF!</f>
      </c>
      <c r="AU98" s="51" t="e">
        <f>Ticker0001_Exchange_Sheet!BT108-#REF!</f>
      </c>
      <c r="AV98" s="51" t="e">
        <f>Ticker0001_Exchange_Sheet!BU108-#REF!</f>
      </c>
      <c r="AW98" s="51" t="e">
        <f>Ticker0001_Exchange_Sheet!BV108-#REF!</f>
      </c>
      <c r="AX98" s="51" t="e">
        <f>Ticker0001_Exchange_Sheet!BW108-#REF!</f>
      </c>
      <c r="AY98" s="51" t="e">
        <f>Ticker0001_Exchange_Sheet!BX108-#REF!</f>
      </c>
      <c r="AZ98" s="51" t="e">
        <f>Ticker0001_Exchange_Sheet!BY108-#REF!</f>
      </c>
      <c r="BA98" s="51" t="e">
        <f>Ticker0001_Exchange_Sheet!BZ108-#REF!</f>
      </c>
      <c r="BB98" s="51" t="e">
        <f>Ticker0001_Exchange_Sheet!CA108-#REF!</f>
      </c>
      <c r="BC98" s="51" t="e">
        <f>Ticker0001_Exchange_Sheet!CB108-#REF!</f>
      </c>
      <c r="BD98" s="51" t="e">
        <f>Ticker0001_Exchange_Sheet!CC108-#REF!</f>
      </c>
      <c r="BE98" s="51" t="e">
        <f>Ticker0001_Exchange_Sheet!CD108-#REF!</f>
      </c>
      <c r="BF98" s="51" t="e">
        <f>Ticker0001_Exchange_Sheet!CE108-#REF!</f>
      </c>
      <c r="BG98" s="51" t="e">
        <f>Ticker0001_Exchange_Sheet!CF108-#REF!</f>
      </c>
      <c r="BH98" s="51" t="e">
        <f>Ticker0001_Exchange_Sheet!CG108-#REF!</f>
      </c>
      <c r="BI98" s="51" t="e">
        <f>Ticker0001_Exchange_Sheet!CH108-#REF!</f>
      </c>
      <c r="BJ98" s="51" t="e">
        <f>Ticker0001_Exchange_Sheet!CI108-#REF!</f>
      </c>
      <c r="BK98" s="51" t="e">
        <f>Ticker0001_Exchange_Sheet!CJ108-#REF!</f>
      </c>
      <c r="BL98" s="51" t="e">
        <f>Ticker0001_Exchange_Sheet!CK108-#REF!</f>
      </c>
      <c r="BM98" s="51" t="e">
        <f>Ticker0001_Exchange_Sheet!CL108-#REF!</f>
      </c>
      <c r="BN98" s="51" t="e">
        <f>Ticker0001_Exchange_Sheet!CM108-#REF!</f>
      </c>
      <c r="BO98" s="51" t="e">
        <f>Ticker0001_Exchange_Sheet!CN108-#REF!</f>
      </c>
      <c r="BP98" s="51" t="e">
        <f>Ticker0001_Exchange_Sheet!CO108-#REF!</f>
      </c>
      <c r="BQ98" s="51" t="e">
        <f>Ticker0001_Exchange_Sheet!CP108-#REF!</f>
      </c>
      <c r="BR98" s="51" t="e">
        <f>Ticker0001_Exchange_Sheet!CQ108-#REF!</f>
      </c>
      <c r="BS98" s="51" t="e">
        <f>Ticker0001_Exchange_Sheet!CR108-#REF!</f>
      </c>
      <c r="BT98" s="51" t="e">
        <f>Ticker0001_Exchange_Sheet!CS108-#REF!</f>
      </c>
      <c r="BU98" s="51" t="e">
        <f>Ticker0001_Exchange_Sheet!CT108-#REF!</f>
      </c>
      <c r="BV98" s="51" t="e">
        <f>Ticker0001_Exchange_Sheet!CU108-#REF!</f>
      </c>
      <c r="BW98" s="51" t="e">
        <f>Ticker0001_Exchange_Sheet!CV108-#REF!</f>
      </c>
      <c r="BX98" s="51" t="e">
        <f>Ticker0001_Exchange_Sheet!CW108-#REF!</f>
      </c>
      <c r="BY98" s="51" t="e">
        <f>Ticker0001_Exchange_Sheet!CX108-#REF!</f>
      </c>
      <c r="BZ98" s="51" t="e">
        <f>Ticker0001_Exchange_Sheet!CY108-#REF!</f>
      </c>
      <c r="CA98" s="51" t="e">
        <f>Ticker0001_Exchange_Sheet!CZ108-#REF!</f>
      </c>
      <c r="CB98" s="51" t="e">
        <f>Ticker0001_Exchange_Sheet!DA108-#REF!</f>
      </c>
      <c r="CC98" s="51" t="e">
        <f>Ticker0001_Exchange_Sheet!DB108-#REF!</f>
      </c>
      <c r="CD98" s="51" t="e">
        <f>Ticker0001_Exchange_Sheet!DC108-#REF!</f>
      </c>
      <c r="CE98" s="51" t="e">
        <f>Ticker0001_Exchange_Sheet!DD108-#REF!</f>
      </c>
      <c r="CF98" s="51" t="e">
        <f>Ticker0001_Exchange_Sheet!DE108-#REF!</f>
      </c>
    </row>
    <row r="99" spans="6:84">
      <c r="F99" s="51" t="e">
        <f>Ticker0001_Exchange_Sheet!F109-#REF!</f>
      </c>
      <c r="G99" s="51" t="e">
        <f>Ticker0001_Exchange_Sheet!G109-#REF!</f>
      </c>
      <c r="H99" s="51" t="e">
        <f>Ticker0001_Exchange_Sheet!H109-#REF!</f>
      </c>
      <c r="I99" s="51" t="e">
        <f>Ticker0001_Exchange_Sheet!I109-#REF!</f>
      </c>
      <c r="J99" s="51" t="e">
        <f>Ticker0001_Exchange_Sheet!J109-#REF!</f>
      </c>
      <c r="K99" s="51" t="e">
        <f>Ticker0001_Exchange_Sheet!K109-#REF!</f>
      </c>
      <c r="L99" s="51" t="e">
        <f>Ticker0001_Exchange_Sheet!L109-#REF!</f>
      </c>
      <c r="M99" s="51" t="e">
        <f>Ticker0001_Exchange_Sheet!M109-#REF!</f>
      </c>
      <c r="N99" s="51" t="e">
        <f>Ticker0001_Exchange_Sheet!N109-#REF!</f>
      </c>
      <c r="O99" s="51" t="e">
        <f>Ticker0001_Exchange_Sheet!O109-#REF!</f>
      </c>
      <c r="P99" s="51" t="e">
        <f>Ticker0001_Exchange_Sheet!P109-#REF!</f>
      </c>
      <c r="Q99" s="51" t="e">
        <f>Ticker0001_Exchange_Sheet!Q109-#REF!</f>
      </c>
      <c r="R99" s="51" t="e">
        <f>Ticker0001_Exchange_Sheet!R109-#REF!</f>
      </c>
      <c r="S99" s="51" t="e">
        <f>Ticker0001_Exchange_Sheet!S109-#REF!</f>
      </c>
      <c r="T99" s="51" t="e">
        <f>Ticker0001_Exchange_Sheet!T109-#REF!</f>
      </c>
      <c r="U99" s="51" t="e">
        <f>Ticker0001_Exchange_Sheet!U109-#REF!</f>
      </c>
      <c r="V99" s="51" t="e">
        <f>Ticker0001_Exchange_Sheet!V109-#REF!</f>
      </c>
      <c r="W99" s="51" t="e">
        <f>Ticker0001_Exchange_Sheet!W109-#REF!</f>
      </c>
      <c r="X99" s="51" t="e">
        <f>Ticker0001_Exchange_Sheet!AK109-#REF!</f>
      </c>
      <c r="Y99" s="51" t="e">
        <f>Ticker0001_Exchange_Sheet!AX109-#REF!</f>
      </c>
      <c r="Z99" s="51" t="e">
        <f>Ticker0001_Exchange_Sheet!AY109-#REF!</f>
      </c>
      <c r="AA99" s="51" t="e">
        <f>Ticker0001_Exchange_Sheet!AZ109-#REF!</f>
      </c>
      <c r="AB99" s="51" t="e">
        <f>Ticker0001_Exchange_Sheet!BA109-#REF!</f>
      </c>
      <c r="AC99" s="51" t="e">
        <f>Ticker0001_Exchange_Sheet!BB109-#REF!</f>
      </c>
      <c r="AD99" s="51" t="e">
        <f>Ticker0001_Exchange_Sheet!BC109-#REF!</f>
      </c>
      <c r="AE99" s="51" t="e">
        <f>Ticker0001_Exchange_Sheet!BD109-#REF!</f>
      </c>
      <c r="AF99" s="51" t="e">
        <f>Ticker0001_Exchange_Sheet!BE109-#REF!</f>
      </c>
      <c r="AG99" s="51" t="e">
        <f>Ticker0001_Exchange_Sheet!BF109-#REF!</f>
      </c>
      <c r="AH99" s="51" t="e">
        <f>Ticker0001_Exchange_Sheet!BG109-#REF!</f>
      </c>
      <c r="AI99" s="51" t="e">
        <f>Ticker0001_Exchange_Sheet!BH109-#REF!</f>
      </c>
      <c r="AJ99" s="51" t="e">
        <f>Ticker0001_Exchange_Sheet!BI109-#REF!</f>
      </c>
      <c r="AK99" s="51" t="e">
        <f>Ticker0001_Exchange_Sheet!BJ109-#REF!</f>
      </c>
      <c r="AL99" s="51" t="e">
        <f>Ticker0001_Exchange_Sheet!BK109-#REF!</f>
      </c>
      <c r="AM99" s="51" t="e">
        <f>Ticker0001_Exchange_Sheet!BL109-#REF!</f>
      </c>
      <c r="AN99" s="51" t="e">
        <f>Ticker0001_Exchange_Sheet!BM109-#REF!</f>
      </c>
      <c r="AO99" s="51" t="e">
        <f>Ticker0001_Exchange_Sheet!BN109-#REF!</f>
      </c>
      <c r="AP99" s="51" t="e">
        <f>Ticker0001_Exchange_Sheet!BO109-#REF!</f>
      </c>
      <c r="AQ99" s="51" t="e">
        <f>Ticker0001_Exchange_Sheet!BP109-#REF!</f>
      </c>
      <c r="AR99" s="51" t="e">
        <f>Ticker0001_Exchange_Sheet!BQ109-#REF!</f>
      </c>
      <c r="AS99" s="51" t="e">
        <f>Ticker0001_Exchange_Sheet!BR109-#REF!</f>
      </c>
      <c r="AT99" s="51" t="e">
        <f>Ticker0001_Exchange_Sheet!BS109-#REF!</f>
      </c>
      <c r="AU99" s="51" t="e">
        <f>Ticker0001_Exchange_Sheet!BT109-#REF!</f>
      </c>
      <c r="AV99" s="51" t="e">
        <f>Ticker0001_Exchange_Sheet!BU109-#REF!</f>
      </c>
      <c r="AW99" s="51" t="e">
        <f>Ticker0001_Exchange_Sheet!BV109-#REF!</f>
      </c>
      <c r="AX99" s="51" t="e">
        <f>Ticker0001_Exchange_Sheet!BW109-#REF!</f>
      </c>
      <c r="AY99" s="51" t="e">
        <f>Ticker0001_Exchange_Sheet!BX109-#REF!</f>
      </c>
      <c r="AZ99" s="51" t="e">
        <f>Ticker0001_Exchange_Sheet!BY109-#REF!</f>
      </c>
      <c r="BA99" s="51" t="e">
        <f>Ticker0001_Exchange_Sheet!BZ109-#REF!</f>
      </c>
      <c r="BB99" s="51" t="e">
        <f>Ticker0001_Exchange_Sheet!CA109-#REF!</f>
      </c>
      <c r="BC99" s="51" t="e">
        <f>Ticker0001_Exchange_Sheet!CB109-#REF!</f>
      </c>
      <c r="BD99" s="51" t="e">
        <f>Ticker0001_Exchange_Sheet!CC109-#REF!</f>
      </c>
      <c r="BE99" s="51" t="e">
        <f>Ticker0001_Exchange_Sheet!CD109-#REF!</f>
      </c>
      <c r="BF99" s="51" t="e">
        <f>Ticker0001_Exchange_Sheet!CE109-#REF!</f>
      </c>
      <c r="BG99" s="51" t="e">
        <f>Ticker0001_Exchange_Sheet!CF109-#REF!</f>
      </c>
      <c r="BH99" s="51" t="e">
        <f>Ticker0001_Exchange_Sheet!CG109-#REF!</f>
      </c>
      <c r="BI99" s="51" t="e">
        <f>Ticker0001_Exchange_Sheet!CH109-#REF!</f>
      </c>
      <c r="BJ99" s="51" t="e">
        <f>Ticker0001_Exchange_Sheet!CI109-#REF!</f>
      </c>
      <c r="BK99" s="51" t="e">
        <f>Ticker0001_Exchange_Sheet!CJ109-#REF!</f>
      </c>
      <c r="BL99" s="51" t="e">
        <f>Ticker0001_Exchange_Sheet!CK109-#REF!</f>
      </c>
      <c r="BM99" s="51" t="e">
        <f>Ticker0001_Exchange_Sheet!CL109-#REF!</f>
      </c>
      <c r="BN99" s="51" t="e">
        <f>Ticker0001_Exchange_Sheet!CM109-#REF!</f>
      </c>
      <c r="BO99" s="51" t="e">
        <f>Ticker0001_Exchange_Sheet!CN109-#REF!</f>
      </c>
      <c r="BP99" s="51" t="e">
        <f>Ticker0001_Exchange_Sheet!CO109-#REF!</f>
      </c>
      <c r="BQ99" s="51" t="e">
        <f>Ticker0001_Exchange_Sheet!CP109-#REF!</f>
      </c>
      <c r="BR99" s="51" t="e">
        <f>Ticker0001_Exchange_Sheet!CQ109-#REF!</f>
      </c>
      <c r="BS99" s="51" t="e">
        <f>Ticker0001_Exchange_Sheet!CR109-#REF!</f>
      </c>
      <c r="BT99" s="51" t="e">
        <f>Ticker0001_Exchange_Sheet!CS109-#REF!</f>
      </c>
      <c r="BU99" s="51" t="e">
        <f>Ticker0001_Exchange_Sheet!CT109-#REF!</f>
      </c>
      <c r="BV99" s="51" t="e">
        <f>Ticker0001_Exchange_Sheet!CU109-#REF!</f>
      </c>
      <c r="BW99" s="51" t="e">
        <f>Ticker0001_Exchange_Sheet!CV109-#REF!</f>
      </c>
      <c r="BX99" s="51" t="e">
        <f>Ticker0001_Exchange_Sheet!CW109-#REF!</f>
      </c>
      <c r="BY99" s="51" t="e">
        <f>Ticker0001_Exchange_Sheet!CX109-#REF!</f>
      </c>
      <c r="BZ99" s="51" t="e">
        <f>Ticker0001_Exchange_Sheet!CY109-#REF!</f>
      </c>
      <c r="CA99" s="51" t="e">
        <f>Ticker0001_Exchange_Sheet!CZ109-#REF!</f>
      </c>
      <c r="CB99" s="51" t="e">
        <f>Ticker0001_Exchange_Sheet!DA109-#REF!</f>
      </c>
      <c r="CC99" s="51" t="e">
        <f>Ticker0001_Exchange_Sheet!DB109-#REF!</f>
      </c>
      <c r="CD99" s="51" t="e">
        <f>Ticker0001_Exchange_Sheet!DC109-#REF!</f>
      </c>
      <c r="CE99" s="51" t="e">
        <f>Ticker0001_Exchange_Sheet!DD109-#REF!</f>
      </c>
      <c r="CF99" s="51" t="e">
        <f>Ticker0001_Exchange_Sheet!DE109-#REF!</f>
      </c>
    </row>
    <row r="100" spans="6:84">
      <c r="F100" s="51" t="e">
        <f>Ticker0001_Exchange_Sheet!F110-#REF!</f>
      </c>
      <c r="G100" s="51" t="e">
        <f>Ticker0001_Exchange_Sheet!G110-#REF!</f>
      </c>
      <c r="H100" s="51" t="e">
        <f>Ticker0001_Exchange_Sheet!H110-#REF!</f>
      </c>
      <c r="I100" s="51" t="e">
        <f>Ticker0001_Exchange_Sheet!I110-#REF!</f>
      </c>
      <c r="J100" s="51" t="e">
        <f>Ticker0001_Exchange_Sheet!J110-#REF!</f>
      </c>
      <c r="K100" s="51" t="e">
        <f>Ticker0001_Exchange_Sheet!K110-#REF!</f>
      </c>
      <c r="L100" s="51" t="e">
        <f>Ticker0001_Exchange_Sheet!L110-#REF!</f>
      </c>
      <c r="M100" s="51" t="e">
        <f>Ticker0001_Exchange_Sheet!M110-#REF!</f>
      </c>
      <c r="N100" s="51" t="e">
        <f>Ticker0001_Exchange_Sheet!N110-#REF!</f>
      </c>
      <c r="O100" s="51" t="e">
        <f>Ticker0001_Exchange_Sheet!O110-#REF!</f>
      </c>
      <c r="P100" s="51" t="e">
        <f>Ticker0001_Exchange_Sheet!P110-#REF!</f>
      </c>
      <c r="Q100" s="51" t="e">
        <f>Ticker0001_Exchange_Sheet!Q110-#REF!</f>
      </c>
      <c r="R100" s="51" t="e">
        <f>Ticker0001_Exchange_Sheet!R110-#REF!</f>
      </c>
      <c r="S100" s="51" t="e">
        <f>Ticker0001_Exchange_Sheet!S110-#REF!</f>
      </c>
      <c r="T100" s="51" t="e">
        <f>Ticker0001_Exchange_Sheet!T110-#REF!</f>
      </c>
      <c r="U100" s="51" t="e">
        <f>Ticker0001_Exchange_Sheet!U110-#REF!</f>
      </c>
      <c r="V100" s="51" t="e">
        <f>Ticker0001_Exchange_Sheet!V110-#REF!</f>
      </c>
      <c r="W100" s="51" t="e">
        <f>Ticker0001_Exchange_Sheet!W110-#REF!</f>
      </c>
      <c r="X100" s="51" t="e">
        <f>Ticker0001_Exchange_Sheet!AK110-#REF!</f>
      </c>
      <c r="Y100" s="51" t="e">
        <f>Ticker0001_Exchange_Sheet!AX110-#REF!</f>
      </c>
      <c r="Z100" s="51" t="e">
        <f>Ticker0001_Exchange_Sheet!AY110-#REF!</f>
      </c>
      <c r="AA100" s="51" t="e">
        <f>Ticker0001_Exchange_Sheet!AZ110-#REF!</f>
      </c>
      <c r="AB100" s="51" t="e">
        <f>Ticker0001_Exchange_Sheet!BA110-#REF!</f>
      </c>
      <c r="AC100" s="51" t="e">
        <f>Ticker0001_Exchange_Sheet!BB110-#REF!</f>
      </c>
      <c r="AD100" s="51" t="e">
        <f>Ticker0001_Exchange_Sheet!BC110-#REF!</f>
      </c>
      <c r="AE100" s="51" t="e">
        <f>Ticker0001_Exchange_Sheet!BD110-#REF!</f>
      </c>
      <c r="AF100" s="51" t="e">
        <f>Ticker0001_Exchange_Sheet!BE110-#REF!</f>
      </c>
      <c r="AG100" s="51" t="e">
        <f>Ticker0001_Exchange_Sheet!BF110-#REF!</f>
      </c>
      <c r="AH100" s="51" t="e">
        <f>Ticker0001_Exchange_Sheet!BG110-#REF!</f>
      </c>
      <c r="AI100" s="51" t="e">
        <f>Ticker0001_Exchange_Sheet!BH110-#REF!</f>
      </c>
      <c r="AJ100" s="51" t="e">
        <f>Ticker0001_Exchange_Sheet!BI110-#REF!</f>
      </c>
      <c r="AK100" s="51" t="e">
        <f>Ticker0001_Exchange_Sheet!BJ110-#REF!</f>
      </c>
      <c r="AL100" s="51" t="e">
        <f>Ticker0001_Exchange_Sheet!BK110-#REF!</f>
      </c>
      <c r="AM100" s="51" t="e">
        <f>Ticker0001_Exchange_Sheet!BL110-#REF!</f>
      </c>
      <c r="AN100" s="51" t="e">
        <f>Ticker0001_Exchange_Sheet!BM110-#REF!</f>
      </c>
      <c r="AO100" s="51" t="e">
        <f>Ticker0001_Exchange_Sheet!BN110-#REF!</f>
      </c>
      <c r="AP100" s="51" t="e">
        <f>Ticker0001_Exchange_Sheet!BO110-#REF!</f>
      </c>
      <c r="AQ100" s="51" t="e">
        <f>Ticker0001_Exchange_Sheet!BP110-#REF!</f>
      </c>
      <c r="AR100" s="51" t="e">
        <f>Ticker0001_Exchange_Sheet!BQ110-#REF!</f>
      </c>
      <c r="AS100" s="51" t="e">
        <f>Ticker0001_Exchange_Sheet!BR110-#REF!</f>
      </c>
      <c r="AT100" s="51" t="e">
        <f>Ticker0001_Exchange_Sheet!BS110-#REF!</f>
      </c>
      <c r="AU100" s="51" t="e">
        <f>Ticker0001_Exchange_Sheet!BT110-#REF!</f>
      </c>
      <c r="AV100" s="51" t="e">
        <f>Ticker0001_Exchange_Sheet!BU110-#REF!</f>
      </c>
      <c r="AW100" s="51" t="e">
        <f>Ticker0001_Exchange_Sheet!BV110-#REF!</f>
      </c>
      <c r="AX100" s="51" t="e">
        <f>Ticker0001_Exchange_Sheet!BW110-#REF!</f>
      </c>
      <c r="AY100" s="51" t="e">
        <f>Ticker0001_Exchange_Sheet!BX110-#REF!</f>
      </c>
      <c r="AZ100" s="51" t="e">
        <f>Ticker0001_Exchange_Sheet!BY110-#REF!</f>
      </c>
      <c r="BA100" s="51" t="e">
        <f>Ticker0001_Exchange_Sheet!BZ110-#REF!</f>
      </c>
      <c r="BB100" s="51" t="e">
        <f>Ticker0001_Exchange_Sheet!CA110-#REF!</f>
      </c>
      <c r="BC100" s="51" t="e">
        <f>Ticker0001_Exchange_Sheet!CB110-#REF!</f>
      </c>
      <c r="BD100" s="51" t="e">
        <f>Ticker0001_Exchange_Sheet!CC110-#REF!</f>
      </c>
      <c r="BE100" s="51" t="e">
        <f>Ticker0001_Exchange_Sheet!CD110-#REF!</f>
      </c>
      <c r="BF100" s="51" t="e">
        <f>Ticker0001_Exchange_Sheet!CE110-#REF!</f>
      </c>
      <c r="BG100" s="51" t="e">
        <f>Ticker0001_Exchange_Sheet!CF110-#REF!</f>
      </c>
      <c r="BH100" s="51" t="e">
        <f>Ticker0001_Exchange_Sheet!CG110-#REF!</f>
      </c>
      <c r="BI100" s="51" t="e">
        <f>Ticker0001_Exchange_Sheet!CH110-#REF!</f>
      </c>
      <c r="BJ100" s="51" t="e">
        <f>Ticker0001_Exchange_Sheet!CI110-#REF!</f>
      </c>
      <c r="BK100" s="51" t="e">
        <f>Ticker0001_Exchange_Sheet!CJ110-#REF!</f>
      </c>
      <c r="BL100" s="51" t="e">
        <f>Ticker0001_Exchange_Sheet!CK110-#REF!</f>
      </c>
      <c r="BM100" s="51" t="e">
        <f>Ticker0001_Exchange_Sheet!CL110-#REF!</f>
      </c>
      <c r="BN100" s="51" t="e">
        <f>Ticker0001_Exchange_Sheet!CM110-#REF!</f>
      </c>
      <c r="BO100" s="51" t="e">
        <f>Ticker0001_Exchange_Sheet!CN110-#REF!</f>
      </c>
      <c r="BP100" s="51" t="e">
        <f>Ticker0001_Exchange_Sheet!CO110-#REF!</f>
      </c>
      <c r="BQ100" s="51" t="e">
        <f>Ticker0001_Exchange_Sheet!CP110-#REF!</f>
      </c>
      <c r="BR100" s="51" t="e">
        <f>Ticker0001_Exchange_Sheet!CQ110-#REF!</f>
      </c>
      <c r="BS100" s="51" t="e">
        <f>Ticker0001_Exchange_Sheet!CR110-#REF!</f>
      </c>
      <c r="BT100" s="51" t="e">
        <f>Ticker0001_Exchange_Sheet!CS110-#REF!</f>
      </c>
      <c r="BU100" s="51" t="e">
        <f>Ticker0001_Exchange_Sheet!CT110-#REF!</f>
      </c>
      <c r="BV100" s="51" t="e">
        <f>Ticker0001_Exchange_Sheet!CU110-#REF!</f>
      </c>
      <c r="BW100" s="51" t="e">
        <f>Ticker0001_Exchange_Sheet!CV110-#REF!</f>
      </c>
      <c r="BX100" s="51" t="e">
        <f>Ticker0001_Exchange_Sheet!CW110-#REF!</f>
      </c>
      <c r="BY100" s="51" t="e">
        <f>Ticker0001_Exchange_Sheet!CX110-#REF!</f>
      </c>
      <c r="BZ100" s="51" t="e">
        <f>Ticker0001_Exchange_Sheet!CY110-#REF!</f>
      </c>
      <c r="CA100" s="51" t="e">
        <f>Ticker0001_Exchange_Sheet!CZ110-#REF!</f>
      </c>
      <c r="CB100" s="51" t="e">
        <f>Ticker0001_Exchange_Sheet!DA110-#REF!</f>
      </c>
      <c r="CC100" s="51" t="e">
        <f>Ticker0001_Exchange_Sheet!DB110-#REF!</f>
      </c>
      <c r="CD100" s="51" t="e">
        <f>Ticker0001_Exchange_Sheet!DC110-#REF!</f>
      </c>
      <c r="CE100" s="51" t="e">
        <f>Ticker0001_Exchange_Sheet!DD110-#REF!</f>
      </c>
      <c r="CF100" s="51" t="e">
        <f>Ticker0001_Exchange_Sheet!DE110-#REF!</f>
      </c>
    </row>
    <row r="101" spans="6:84">
      <c r="F101" s="51" t="e">
        <f>Ticker0001_Exchange_Sheet!F111-#REF!</f>
      </c>
      <c r="G101" s="51" t="e">
        <f>Ticker0001_Exchange_Sheet!G111-#REF!</f>
      </c>
      <c r="H101" s="51" t="e">
        <f>Ticker0001_Exchange_Sheet!H111-#REF!</f>
      </c>
      <c r="I101" s="51" t="e">
        <f>Ticker0001_Exchange_Sheet!I111-#REF!</f>
      </c>
      <c r="J101" s="51" t="e">
        <f>Ticker0001_Exchange_Sheet!J111-#REF!</f>
      </c>
      <c r="K101" s="51" t="e">
        <f>Ticker0001_Exchange_Sheet!K111-#REF!</f>
      </c>
      <c r="L101" s="51" t="e">
        <f>Ticker0001_Exchange_Sheet!L111-#REF!</f>
      </c>
      <c r="M101" s="51" t="e">
        <f>Ticker0001_Exchange_Sheet!M111-#REF!</f>
      </c>
      <c r="N101" s="51" t="e">
        <f>Ticker0001_Exchange_Sheet!N111-#REF!</f>
      </c>
      <c r="O101" s="51" t="e">
        <f>Ticker0001_Exchange_Sheet!O111-#REF!</f>
      </c>
      <c r="P101" s="51" t="e">
        <f>Ticker0001_Exchange_Sheet!P111-#REF!</f>
      </c>
      <c r="Q101" s="51" t="e">
        <f>Ticker0001_Exchange_Sheet!Q111-#REF!</f>
      </c>
      <c r="R101" s="51" t="e">
        <f>Ticker0001_Exchange_Sheet!R111-#REF!</f>
      </c>
      <c r="S101" s="51" t="e">
        <f>Ticker0001_Exchange_Sheet!S111-#REF!</f>
      </c>
      <c r="T101" s="51" t="e">
        <f>Ticker0001_Exchange_Sheet!T111-#REF!</f>
      </c>
      <c r="U101" s="51" t="e">
        <f>Ticker0001_Exchange_Sheet!U111-#REF!</f>
      </c>
      <c r="V101" s="51" t="e">
        <f>Ticker0001_Exchange_Sheet!V111-#REF!</f>
      </c>
      <c r="W101" s="51" t="e">
        <f>Ticker0001_Exchange_Sheet!W111-#REF!</f>
      </c>
      <c r="X101" s="51" t="e">
        <f>Ticker0001_Exchange_Sheet!AK111-#REF!</f>
      </c>
      <c r="Y101" s="51" t="e">
        <f>Ticker0001_Exchange_Sheet!AX111-#REF!</f>
      </c>
      <c r="Z101" s="51" t="e">
        <f>Ticker0001_Exchange_Sheet!AY111-#REF!</f>
      </c>
      <c r="AA101" s="51" t="e">
        <f>Ticker0001_Exchange_Sheet!AZ111-#REF!</f>
      </c>
      <c r="AB101" s="51" t="e">
        <f>Ticker0001_Exchange_Sheet!BA111-#REF!</f>
      </c>
      <c r="AC101" s="51" t="e">
        <f>Ticker0001_Exchange_Sheet!BB111-#REF!</f>
      </c>
      <c r="AD101" s="51" t="e">
        <f>Ticker0001_Exchange_Sheet!BC111-#REF!</f>
      </c>
      <c r="AE101" s="51" t="e">
        <f>Ticker0001_Exchange_Sheet!BD111-#REF!</f>
      </c>
      <c r="AF101" s="51" t="e">
        <f>Ticker0001_Exchange_Sheet!BE111-#REF!</f>
      </c>
      <c r="AG101" s="51" t="e">
        <f>Ticker0001_Exchange_Sheet!BF111-#REF!</f>
      </c>
      <c r="AH101" s="51" t="e">
        <f>Ticker0001_Exchange_Sheet!BG111-#REF!</f>
      </c>
      <c r="AI101" s="51" t="e">
        <f>Ticker0001_Exchange_Sheet!BH111-#REF!</f>
      </c>
      <c r="AJ101" s="51" t="e">
        <f>Ticker0001_Exchange_Sheet!BI111-#REF!</f>
      </c>
      <c r="AK101" s="51" t="e">
        <f>Ticker0001_Exchange_Sheet!BJ111-#REF!</f>
      </c>
      <c r="AL101" s="51" t="e">
        <f>Ticker0001_Exchange_Sheet!BK111-#REF!</f>
      </c>
      <c r="AM101" s="51" t="e">
        <f>Ticker0001_Exchange_Sheet!BL111-#REF!</f>
      </c>
      <c r="AN101" s="51" t="e">
        <f>Ticker0001_Exchange_Sheet!BM111-#REF!</f>
      </c>
      <c r="AO101" s="51" t="e">
        <f>Ticker0001_Exchange_Sheet!BN111-#REF!</f>
      </c>
      <c r="AP101" s="51" t="e">
        <f>Ticker0001_Exchange_Sheet!BO111-#REF!</f>
      </c>
      <c r="AQ101" s="51" t="e">
        <f>Ticker0001_Exchange_Sheet!BP111-#REF!</f>
      </c>
      <c r="AR101" s="51" t="e">
        <f>Ticker0001_Exchange_Sheet!BQ111-#REF!</f>
      </c>
      <c r="AS101" s="51" t="e">
        <f>Ticker0001_Exchange_Sheet!BR111-#REF!</f>
      </c>
      <c r="AT101" s="51" t="e">
        <f>Ticker0001_Exchange_Sheet!BS111-#REF!</f>
      </c>
      <c r="AU101" s="51" t="e">
        <f>Ticker0001_Exchange_Sheet!BT111-#REF!</f>
      </c>
      <c r="AV101" s="51" t="e">
        <f>Ticker0001_Exchange_Sheet!BU111-#REF!</f>
      </c>
      <c r="AW101" s="51" t="e">
        <f>Ticker0001_Exchange_Sheet!BV111-#REF!</f>
      </c>
      <c r="AX101" s="51" t="e">
        <f>Ticker0001_Exchange_Sheet!BW111-#REF!</f>
      </c>
      <c r="AY101" s="51" t="e">
        <f>Ticker0001_Exchange_Sheet!BX111-#REF!</f>
      </c>
      <c r="AZ101" s="51" t="e">
        <f>Ticker0001_Exchange_Sheet!BY111-#REF!</f>
      </c>
      <c r="BA101" s="51" t="e">
        <f>Ticker0001_Exchange_Sheet!BZ111-#REF!</f>
      </c>
      <c r="BB101" s="51" t="e">
        <f>Ticker0001_Exchange_Sheet!CA111-#REF!</f>
      </c>
      <c r="BC101" s="51" t="e">
        <f>Ticker0001_Exchange_Sheet!CB111-#REF!</f>
      </c>
      <c r="BD101" s="51" t="e">
        <f>Ticker0001_Exchange_Sheet!CC111-#REF!</f>
      </c>
      <c r="BE101" s="51" t="e">
        <f>Ticker0001_Exchange_Sheet!CD111-#REF!</f>
      </c>
      <c r="BF101" s="51" t="e">
        <f>Ticker0001_Exchange_Sheet!CE111-#REF!</f>
      </c>
      <c r="BG101" s="51" t="e">
        <f>Ticker0001_Exchange_Sheet!CF111-#REF!</f>
      </c>
      <c r="BH101" s="51" t="e">
        <f>Ticker0001_Exchange_Sheet!CG111-#REF!</f>
      </c>
      <c r="BI101" s="51" t="e">
        <f>Ticker0001_Exchange_Sheet!CH111-#REF!</f>
      </c>
      <c r="BJ101" s="51" t="e">
        <f>Ticker0001_Exchange_Sheet!CI111-#REF!</f>
      </c>
      <c r="BK101" s="51" t="e">
        <f>Ticker0001_Exchange_Sheet!CJ111-#REF!</f>
      </c>
      <c r="BL101" s="51" t="e">
        <f>Ticker0001_Exchange_Sheet!CK111-#REF!</f>
      </c>
      <c r="BM101" s="51" t="e">
        <f>Ticker0001_Exchange_Sheet!CL111-#REF!</f>
      </c>
      <c r="BN101" s="51" t="e">
        <f>Ticker0001_Exchange_Sheet!CM111-#REF!</f>
      </c>
      <c r="BO101" s="51" t="e">
        <f>Ticker0001_Exchange_Sheet!CN111-#REF!</f>
      </c>
      <c r="BP101" s="51" t="e">
        <f>Ticker0001_Exchange_Sheet!CO111-#REF!</f>
      </c>
      <c r="BQ101" s="51" t="e">
        <f>Ticker0001_Exchange_Sheet!CP111-#REF!</f>
      </c>
      <c r="BR101" s="51" t="e">
        <f>Ticker0001_Exchange_Sheet!CQ111-#REF!</f>
      </c>
      <c r="BS101" s="51" t="e">
        <f>Ticker0001_Exchange_Sheet!CR111-#REF!</f>
      </c>
      <c r="BT101" s="51" t="e">
        <f>Ticker0001_Exchange_Sheet!CS111-#REF!</f>
      </c>
      <c r="BU101" s="51" t="e">
        <f>Ticker0001_Exchange_Sheet!CT111-#REF!</f>
      </c>
      <c r="BV101" s="51" t="e">
        <f>Ticker0001_Exchange_Sheet!CU111-#REF!</f>
      </c>
      <c r="BW101" s="51" t="e">
        <f>Ticker0001_Exchange_Sheet!CV111-#REF!</f>
      </c>
      <c r="BX101" s="51" t="e">
        <f>Ticker0001_Exchange_Sheet!CW111-#REF!</f>
      </c>
      <c r="BY101" s="51" t="e">
        <f>Ticker0001_Exchange_Sheet!CX111-#REF!</f>
      </c>
      <c r="BZ101" s="51" t="e">
        <f>Ticker0001_Exchange_Sheet!CY111-#REF!</f>
      </c>
      <c r="CA101" s="51" t="e">
        <f>Ticker0001_Exchange_Sheet!CZ111-#REF!</f>
      </c>
      <c r="CB101" s="51" t="e">
        <f>Ticker0001_Exchange_Sheet!DA111-#REF!</f>
      </c>
      <c r="CC101" s="51" t="e">
        <f>Ticker0001_Exchange_Sheet!DB111-#REF!</f>
      </c>
      <c r="CD101" s="51" t="e">
        <f>Ticker0001_Exchange_Sheet!DC111-#REF!</f>
      </c>
      <c r="CE101" s="51" t="e">
        <f>Ticker0001_Exchange_Sheet!DD111-#REF!</f>
      </c>
      <c r="CF101" s="51" t="e">
        <f>Ticker0001_Exchange_Sheet!DE111-#REF!</f>
      </c>
    </row>
    <row r="102" spans="6:84">
      <c r="F102" s="51" t="e">
        <f>Ticker0001_Exchange_Sheet!F112-#REF!</f>
      </c>
      <c r="G102" s="51" t="e">
        <f>Ticker0001_Exchange_Sheet!G112-#REF!</f>
      </c>
      <c r="H102" s="51" t="e">
        <f>Ticker0001_Exchange_Sheet!H112-#REF!</f>
      </c>
      <c r="I102" s="51" t="e">
        <f>Ticker0001_Exchange_Sheet!I112-#REF!</f>
      </c>
      <c r="J102" s="51" t="e">
        <f>Ticker0001_Exchange_Sheet!J112-#REF!</f>
      </c>
      <c r="K102" s="51" t="e">
        <f>Ticker0001_Exchange_Sheet!K112-#REF!</f>
      </c>
      <c r="L102" s="51" t="e">
        <f>Ticker0001_Exchange_Sheet!L112-#REF!</f>
      </c>
      <c r="M102" s="51" t="e">
        <f>Ticker0001_Exchange_Sheet!M112-#REF!</f>
      </c>
      <c r="N102" s="51" t="e">
        <f>Ticker0001_Exchange_Sheet!N112-#REF!</f>
      </c>
      <c r="O102" s="51" t="e">
        <f>Ticker0001_Exchange_Sheet!O112-#REF!</f>
      </c>
      <c r="P102" s="51" t="e">
        <f>Ticker0001_Exchange_Sheet!P112-#REF!</f>
      </c>
      <c r="Q102" s="51" t="e">
        <f>Ticker0001_Exchange_Sheet!Q112-#REF!</f>
      </c>
      <c r="R102" s="51" t="e">
        <f>Ticker0001_Exchange_Sheet!R112-#REF!</f>
      </c>
      <c r="S102" s="51" t="e">
        <f>Ticker0001_Exchange_Sheet!S112-#REF!</f>
      </c>
      <c r="T102" s="51" t="e">
        <f>Ticker0001_Exchange_Sheet!T112-#REF!</f>
      </c>
      <c r="U102" s="51" t="e">
        <f>Ticker0001_Exchange_Sheet!U112-#REF!</f>
      </c>
      <c r="V102" s="51" t="e">
        <f>Ticker0001_Exchange_Sheet!V112-#REF!</f>
      </c>
      <c r="W102" s="51" t="e">
        <f>Ticker0001_Exchange_Sheet!W112-#REF!</f>
      </c>
      <c r="X102" s="51" t="e">
        <f>Ticker0001_Exchange_Sheet!AK112-#REF!</f>
      </c>
      <c r="Y102" s="51" t="e">
        <f>Ticker0001_Exchange_Sheet!AX112-#REF!</f>
      </c>
      <c r="Z102" s="51" t="e">
        <f>Ticker0001_Exchange_Sheet!AY112-#REF!</f>
      </c>
      <c r="AA102" s="51" t="e">
        <f>Ticker0001_Exchange_Sheet!AZ112-#REF!</f>
      </c>
      <c r="AB102" s="51" t="e">
        <f>Ticker0001_Exchange_Sheet!BA112-#REF!</f>
      </c>
      <c r="AC102" s="51" t="e">
        <f>Ticker0001_Exchange_Sheet!BB112-#REF!</f>
      </c>
      <c r="AD102" s="51" t="e">
        <f>Ticker0001_Exchange_Sheet!BC112-#REF!</f>
      </c>
      <c r="AE102" s="51" t="e">
        <f>Ticker0001_Exchange_Sheet!BD112-#REF!</f>
      </c>
      <c r="AF102" s="51" t="e">
        <f>Ticker0001_Exchange_Sheet!BE112-#REF!</f>
      </c>
      <c r="AG102" s="51" t="e">
        <f>Ticker0001_Exchange_Sheet!BF112-#REF!</f>
      </c>
      <c r="AH102" s="51" t="e">
        <f>Ticker0001_Exchange_Sheet!BG112-#REF!</f>
      </c>
      <c r="AI102" s="51" t="e">
        <f>Ticker0001_Exchange_Sheet!BH112-#REF!</f>
      </c>
      <c r="AJ102" s="51" t="e">
        <f>Ticker0001_Exchange_Sheet!BI112-#REF!</f>
      </c>
      <c r="AK102" s="51" t="e">
        <f>Ticker0001_Exchange_Sheet!BJ112-#REF!</f>
      </c>
      <c r="AL102" s="51" t="e">
        <f>Ticker0001_Exchange_Sheet!BK112-#REF!</f>
      </c>
      <c r="AM102" s="51" t="e">
        <f>Ticker0001_Exchange_Sheet!BL112-#REF!</f>
      </c>
      <c r="AN102" s="51" t="e">
        <f>Ticker0001_Exchange_Sheet!BM112-#REF!</f>
      </c>
      <c r="AO102" s="51" t="e">
        <f>Ticker0001_Exchange_Sheet!BN112-#REF!</f>
      </c>
      <c r="AP102" s="51" t="e">
        <f>Ticker0001_Exchange_Sheet!BO112-#REF!</f>
      </c>
      <c r="AQ102" s="51" t="e">
        <f>Ticker0001_Exchange_Sheet!BP112-#REF!</f>
      </c>
      <c r="AR102" s="51" t="e">
        <f>Ticker0001_Exchange_Sheet!BQ112-#REF!</f>
      </c>
      <c r="AS102" s="51" t="e">
        <f>Ticker0001_Exchange_Sheet!BR112-#REF!</f>
      </c>
      <c r="AT102" s="51" t="e">
        <f>Ticker0001_Exchange_Sheet!BS112-#REF!</f>
      </c>
      <c r="AU102" s="51" t="e">
        <f>Ticker0001_Exchange_Sheet!BT112-#REF!</f>
      </c>
      <c r="AV102" s="51" t="e">
        <f>Ticker0001_Exchange_Sheet!BU112-#REF!</f>
      </c>
      <c r="AW102" s="51" t="e">
        <f>Ticker0001_Exchange_Sheet!BV112-#REF!</f>
      </c>
      <c r="AX102" s="51" t="e">
        <f>Ticker0001_Exchange_Sheet!BW112-#REF!</f>
      </c>
      <c r="AY102" s="51" t="e">
        <f>Ticker0001_Exchange_Sheet!BX112-#REF!</f>
      </c>
      <c r="AZ102" s="51" t="e">
        <f>Ticker0001_Exchange_Sheet!BY112-#REF!</f>
      </c>
      <c r="BA102" s="51" t="e">
        <f>Ticker0001_Exchange_Sheet!BZ112-#REF!</f>
      </c>
      <c r="BB102" s="51" t="e">
        <f>Ticker0001_Exchange_Sheet!CA112-#REF!</f>
      </c>
      <c r="BC102" s="51" t="e">
        <f>Ticker0001_Exchange_Sheet!CB112-#REF!</f>
      </c>
      <c r="BD102" s="51" t="e">
        <f>Ticker0001_Exchange_Sheet!CC112-#REF!</f>
      </c>
      <c r="BE102" s="51" t="e">
        <f>Ticker0001_Exchange_Sheet!CD112-#REF!</f>
      </c>
      <c r="BF102" s="51" t="e">
        <f>Ticker0001_Exchange_Sheet!CE112-#REF!</f>
      </c>
      <c r="BG102" s="51" t="e">
        <f>Ticker0001_Exchange_Sheet!CF112-#REF!</f>
      </c>
      <c r="BH102" s="51" t="e">
        <f>Ticker0001_Exchange_Sheet!CG112-#REF!</f>
      </c>
      <c r="BI102" s="51" t="e">
        <f>Ticker0001_Exchange_Sheet!CH112-#REF!</f>
      </c>
      <c r="BJ102" s="51" t="e">
        <f>Ticker0001_Exchange_Sheet!CI112-#REF!</f>
      </c>
      <c r="BK102" s="51" t="e">
        <f>Ticker0001_Exchange_Sheet!CJ112-#REF!</f>
      </c>
      <c r="BL102" s="51" t="e">
        <f>Ticker0001_Exchange_Sheet!CK112-#REF!</f>
      </c>
      <c r="BM102" s="51" t="e">
        <f>Ticker0001_Exchange_Sheet!CL112-#REF!</f>
      </c>
      <c r="BN102" s="51" t="e">
        <f>Ticker0001_Exchange_Sheet!CM112-#REF!</f>
      </c>
      <c r="BO102" s="51" t="e">
        <f>Ticker0001_Exchange_Sheet!CN112-#REF!</f>
      </c>
      <c r="BP102" s="51" t="e">
        <f>Ticker0001_Exchange_Sheet!CO112-#REF!</f>
      </c>
      <c r="BQ102" s="51" t="e">
        <f>Ticker0001_Exchange_Sheet!CP112-#REF!</f>
      </c>
      <c r="BR102" s="51" t="e">
        <f>Ticker0001_Exchange_Sheet!CQ112-#REF!</f>
      </c>
      <c r="BS102" s="51" t="e">
        <f>Ticker0001_Exchange_Sheet!CR112-#REF!</f>
      </c>
      <c r="BT102" s="51" t="e">
        <f>Ticker0001_Exchange_Sheet!CS112-#REF!</f>
      </c>
      <c r="BU102" s="51" t="e">
        <f>Ticker0001_Exchange_Sheet!CT112-#REF!</f>
      </c>
      <c r="BV102" s="51" t="e">
        <f>Ticker0001_Exchange_Sheet!CU112-#REF!</f>
      </c>
      <c r="BW102" s="51" t="e">
        <f>Ticker0001_Exchange_Sheet!CV112-#REF!</f>
      </c>
      <c r="BX102" s="51" t="e">
        <f>Ticker0001_Exchange_Sheet!CW112-#REF!</f>
      </c>
      <c r="BY102" s="51" t="e">
        <f>Ticker0001_Exchange_Sheet!CX112-#REF!</f>
      </c>
      <c r="BZ102" s="51" t="e">
        <f>Ticker0001_Exchange_Sheet!CY112-#REF!</f>
      </c>
      <c r="CA102" s="51" t="e">
        <f>Ticker0001_Exchange_Sheet!CZ112-#REF!</f>
      </c>
      <c r="CB102" s="51" t="e">
        <f>Ticker0001_Exchange_Sheet!DA112-#REF!</f>
      </c>
      <c r="CC102" s="51" t="e">
        <f>Ticker0001_Exchange_Sheet!DB112-#REF!</f>
      </c>
      <c r="CD102" s="51" t="e">
        <f>Ticker0001_Exchange_Sheet!DC112-#REF!</f>
      </c>
      <c r="CE102" s="51" t="e">
        <f>Ticker0001_Exchange_Sheet!DD112-#REF!</f>
      </c>
      <c r="CF102" s="51" t="e">
        <f>Ticker0001_Exchange_Sheet!DE112-#REF!</f>
      </c>
    </row>
    <row r="103" spans="6:84">
      <c r="F103" s="51" t="e">
        <f>Ticker0001_Exchange_Sheet!F113-#REF!</f>
      </c>
      <c r="G103" s="51" t="e">
        <f>Ticker0001_Exchange_Sheet!G113-#REF!</f>
      </c>
      <c r="H103" s="51" t="e">
        <f>Ticker0001_Exchange_Sheet!H113-#REF!</f>
      </c>
      <c r="I103" s="51" t="e">
        <f>Ticker0001_Exchange_Sheet!I113-#REF!</f>
      </c>
      <c r="J103" s="51" t="e">
        <f>Ticker0001_Exchange_Sheet!J113-#REF!</f>
      </c>
      <c r="K103" s="51" t="e">
        <f>Ticker0001_Exchange_Sheet!K113-#REF!</f>
      </c>
      <c r="L103" s="51" t="e">
        <f>Ticker0001_Exchange_Sheet!L113-#REF!</f>
      </c>
      <c r="M103" s="51" t="e">
        <f>Ticker0001_Exchange_Sheet!M113-#REF!</f>
      </c>
      <c r="N103" s="51" t="e">
        <f>Ticker0001_Exchange_Sheet!N113-#REF!</f>
      </c>
      <c r="O103" s="51" t="e">
        <f>Ticker0001_Exchange_Sheet!O113-#REF!</f>
      </c>
      <c r="P103" s="51" t="e">
        <f>Ticker0001_Exchange_Sheet!P113-#REF!</f>
      </c>
      <c r="Q103" s="51" t="e">
        <f>Ticker0001_Exchange_Sheet!Q113-#REF!</f>
      </c>
      <c r="R103" s="51" t="e">
        <f>Ticker0001_Exchange_Sheet!R113-#REF!</f>
      </c>
      <c r="S103" s="51" t="e">
        <f>Ticker0001_Exchange_Sheet!S113-#REF!</f>
      </c>
      <c r="T103" s="51" t="e">
        <f>Ticker0001_Exchange_Sheet!T113-#REF!</f>
      </c>
      <c r="U103" s="51" t="e">
        <f>Ticker0001_Exchange_Sheet!U113-#REF!</f>
      </c>
      <c r="V103" s="51" t="e">
        <f>Ticker0001_Exchange_Sheet!V113-#REF!</f>
      </c>
      <c r="W103" s="51" t="e">
        <f>Ticker0001_Exchange_Sheet!W113-#REF!</f>
      </c>
      <c r="X103" s="51" t="e">
        <f>Ticker0001_Exchange_Sheet!AK113-#REF!</f>
      </c>
      <c r="Y103" s="51" t="e">
        <f>Ticker0001_Exchange_Sheet!AX113-#REF!</f>
      </c>
      <c r="Z103" s="51" t="e">
        <f>Ticker0001_Exchange_Sheet!AY113-#REF!</f>
      </c>
      <c r="AA103" s="51" t="e">
        <f>Ticker0001_Exchange_Sheet!AZ113-#REF!</f>
      </c>
      <c r="AB103" s="51" t="e">
        <f>Ticker0001_Exchange_Sheet!BA113-#REF!</f>
      </c>
      <c r="AC103" s="51" t="e">
        <f>Ticker0001_Exchange_Sheet!BB113-#REF!</f>
      </c>
      <c r="AD103" s="51" t="e">
        <f>Ticker0001_Exchange_Sheet!BC113-#REF!</f>
      </c>
      <c r="AE103" s="51" t="e">
        <f>Ticker0001_Exchange_Sheet!BD113-#REF!</f>
      </c>
      <c r="AF103" s="51" t="e">
        <f>Ticker0001_Exchange_Sheet!BE113-#REF!</f>
      </c>
      <c r="AG103" s="51" t="e">
        <f>Ticker0001_Exchange_Sheet!BF113-#REF!</f>
      </c>
      <c r="AH103" s="51" t="e">
        <f>Ticker0001_Exchange_Sheet!BG113-#REF!</f>
      </c>
      <c r="AI103" s="51" t="e">
        <f>Ticker0001_Exchange_Sheet!BH113-#REF!</f>
      </c>
      <c r="AJ103" s="51" t="e">
        <f>Ticker0001_Exchange_Sheet!BI113-#REF!</f>
      </c>
      <c r="AK103" s="51" t="e">
        <f>Ticker0001_Exchange_Sheet!BJ113-#REF!</f>
      </c>
      <c r="AL103" s="51" t="e">
        <f>Ticker0001_Exchange_Sheet!BK113-#REF!</f>
      </c>
      <c r="AM103" s="51" t="e">
        <f>Ticker0001_Exchange_Sheet!BL113-#REF!</f>
      </c>
      <c r="AN103" s="51" t="e">
        <f>Ticker0001_Exchange_Sheet!BM113-#REF!</f>
      </c>
      <c r="AO103" s="51" t="e">
        <f>Ticker0001_Exchange_Sheet!BN113-#REF!</f>
      </c>
      <c r="AP103" s="51" t="e">
        <f>Ticker0001_Exchange_Sheet!BO113-#REF!</f>
      </c>
      <c r="AQ103" s="51" t="e">
        <f>Ticker0001_Exchange_Sheet!BP113-#REF!</f>
      </c>
      <c r="AR103" s="51" t="e">
        <f>Ticker0001_Exchange_Sheet!BQ113-#REF!</f>
      </c>
      <c r="AS103" s="51" t="e">
        <f>Ticker0001_Exchange_Sheet!BR113-#REF!</f>
      </c>
      <c r="AT103" s="51" t="e">
        <f>Ticker0001_Exchange_Sheet!BS113-#REF!</f>
      </c>
      <c r="AU103" s="51" t="e">
        <f>Ticker0001_Exchange_Sheet!BT113-#REF!</f>
      </c>
      <c r="AV103" s="51" t="e">
        <f>Ticker0001_Exchange_Sheet!BU113-#REF!</f>
      </c>
      <c r="AW103" s="51" t="e">
        <f>Ticker0001_Exchange_Sheet!BV113-#REF!</f>
      </c>
      <c r="AX103" s="51" t="e">
        <f>Ticker0001_Exchange_Sheet!BW113-#REF!</f>
      </c>
      <c r="AY103" s="51" t="e">
        <f>Ticker0001_Exchange_Sheet!BX113-#REF!</f>
      </c>
      <c r="AZ103" s="51" t="e">
        <f>Ticker0001_Exchange_Sheet!BY113-#REF!</f>
      </c>
      <c r="BA103" s="51" t="e">
        <f>Ticker0001_Exchange_Sheet!BZ113-#REF!</f>
      </c>
      <c r="BB103" s="51" t="e">
        <f>Ticker0001_Exchange_Sheet!CA113-#REF!</f>
      </c>
      <c r="BC103" s="51" t="e">
        <f>Ticker0001_Exchange_Sheet!CB113-#REF!</f>
      </c>
      <c r="BD103" s="51" t="e">
        <f>Ticker0001_Exchange_Sheet!CC113-#REF!</f>
      </c>
      <c r="BE103" s="51" t="e">
        <f>Ticker0001_Exchange_Sheet!CD113-#REF!</f>
      </c>
      <c r="BF103" s="51" t="e">
        <f>Ticker0001_Exchange_Sheet!CE113-#REF!</f>
      </c>
      <c r="BG103" s="51" t="e">
        <f>Ticker0001_Exchange_Sheet!CF113-#REF!</f>
      </c>
      <c r="BH103" s="51" t="e">
        <f>Ticker0001_Exchange_Sheet!CG113-#REF!</f>
      </c>
      <c r="BI103" s="51" t="e">
        <f>Ticker0001_Exchange_Sheet!CH113-#REF!</f>
      </c>
      <c r="BJ103" s="51" t="e">
        <f>Ticker0001_Exchange_Sheet!CI113-#REF!</f>
      </c>
      <c r="BK103" s="51" t="e">
        <f>Ticker0001_Exchange_Sheet!CJ113-#REF!</f>
      </c>
      <c r="BL103" s="51" t="e">
        <f>Ticker0001_Exchange_Sheet!CK113-#REF!</f>
      </c>
      <c r="BM103" s="51" t="e">
        <f>Ticker0001_Exchange_Sheet!CL113-#REF!</f>
      </c>
      <c r="BN103" s="51" t="e">
        <f>Ticker0001_Exchange_Sheet!CM113-#REF!</f>
      </c>
      <c r="BO103" s="51" t="e">
        <f>Ticker0001_Exchange_Sheet!CN113-#REF!</f>
      </c>
      <c r="BP103" s="51" t="e">
        <f>Ticker0001_Exchange_Sheet!CO113-#REF!</f>
      </c>
      <c r="BQ103" s="51" t="e">
        <f>Ticker0001_Exchange_Sheet!CP113-#REF!</f>
      </c>
      <c r="BR103" s="51" t="e">
        <f>Ticker0001_Exchange_Sheet!CQ113-#REF!</f>
      </c>
      <c r="BS103" s="51" t="e">
        <f>Ticker0001_Exchange_Sheet!CR113-#REF!</f>
      </c>
      <c r="BT103" s="51" t="e">
        <f>Ticker0001_Exchange_Sheet!CS113-#REF!</f>
      </c>
      <c r="BU103" s="51" t="e">
        <f>Ticker0001_Exchange_Sheet!CT113-#REF!</f>
      </c>
      <c r="BV103" s="51" t="e">
        <f>Ticker0001_Exchange_Sheet!CU113-#REF!</f>
      </c>
      <c r="BW103" s="51" t="e">
        <f>Ticker0001_Exchange_Sheet!CV113-#REF!</f>
      </c>
      <c r="BX103" s="51" t="e">
        <f>Ticker0001_Exchange_Sheet!CW113-#REF!</f>
      </c>
      <c r="BY103" s="51" t="e">
        <f>Ticker0001_Exchange_Sheet!CX113-#REF!</f>
      </c>
      <c r="BZ103" s="51" t="e">
        <f>Ticker0001_Exchange_Sheet!CY113-#REF!</f>
      </c>
      <c r="CA103" s="51" t="e">
        <f>Ticker0001_Exchange_Sheet!CZ113-#REF!</f>
      </c>
      <c r="CB103" s="51" t="e">
        <f>Ticker0001_Exchange_Sheet!DA113-#REF!</f>
      </c>
      <c r="CC103" s="51" t="e">
        <f>Ticker0001_Exchange_Sheet!DB113-#REF!</f>
      </c>
      <c r="CD103" s="51" t="e">
        <f>Ticker0001_Exchange_Sheet!DC113-#REF!</f>
      </c>
      <c r="CE103" s="51" t="e">
        <f>Ticker0001_Exchange_Sheet!DD113-#REF!</f>
      </c>
      <c r="CF103" s="51" t="e">
        <f>Ticker0001_Exchange_Sheet!DE113-#REF!</f>
      </c>
    </row>
    <row r="104" spans="6:84">
      <c r="F104" s="51" t="e">
        <f>Ticker0001_Exchange_Sheet!F114-#REF!</f>
      </c>
      <c r="G104" s="51" t="e">
        <f>Ticker0001_Exchange_Sheet!G114-#REF!</f>
      </c>
      <c r="H104" s="51" t="e">
        <f>Ticker0001_Exchange_Sheet!H114-#REF!</f>
      </c>
      <c r="I104" s="51" t="e">
        <f>Ticker0001_Exchange_Sheet!I114-#REF!</f>
      </c>
      <c r="J104" s="51" t="e">
        <f>Ticker0001_Exchange_Sheet!J114-#REF!</f>
      </c>
      <c r="K104" s="51" t="e">
        <f>Ticker0001_Exchange_Sheet!K114-#REF!</f>
      </c>
      <c r="L104" s="51" t="e">
        <f>Ticker0001_Exchange_Sheet!L114-#REF!</f>
      </c>
      <c r="M104" s="51" t="e">
        <f>Ticker0001_Exchange_Sheet!M114-#REF!</f>
      </c>
      <c r="N104" s="51" t="e">
        <f>Ticker0001_Exchange_Sheet!N114-#REF!</f>
      </c>
      <c r="O104" s="51" t="e">
        <f>Ticker0001_Exchange_Sheet!O114-#REF!</f>
      </c>
      <c r="P104" s="51" t="e">
        <f>Ticker0001_Exchange_Sheet!P114-#REF!</f>
      </c>
      <c r="Q104" s="51" t="e">
        <f>Ticker0001_Exchange_Sheet!Q114-#REF!</f>
      </c>
      <c r="R104" s="51" t="e">
        <f>Ticker0001_Exchange_Sheet!R114-#REF!</f>
      </c>
      <c r="S104" s="51" t="e">
        <f>Ticker0001_Exchange_Sheet!S114-#REF!</f>
      </c>
      <c r="T104" s="51" t="e">
        <f>Ticker0001_Exchange_Sheet!T114-#REF!</f>
      </c>
      <c r="U104" s="51" t="e">
        <f>Ticker0001_Exchange_Sheet!U114-#REF!</f>
      </c>
      <c r="V104" s="51" t="e">
        <f>Ticker0001_Exchange_Sheet!V114-#REF!</f>
      </c>
      <c r="W104" s="51" t="e">
        <f>Ticker0001_Exchange_Sheet!W114-#REF!</f>
      </c>
      <c r="X104" s="51" t="e">
        <f>Ticker0001_Exchange_Sheet!AK114-#REF!</f>
      </c>
      <c r="Y104" s="51" t="e">
        <f>Ticker0001_Exchange_Sheet!AX114-#REF!</f>
      </c>
      <c r="Z104" s="51" t="e">
        <f>Ticker0001_Exchange_Sheet!AY114-#REF!</f>
      </c>
      <c r="AA104" s="51" t="e">
        <f>Ticker0001_Exchange_Sheet!AZ114-#REF!</f>
      </c>
      <c r="AB104" s="51" t="e">
        <f>Ticker0001_Exchange_Sheet!BA114-#REF!</f>
      </c>
      <c r="AC104" s="51" t="e">
        <f>Ticker0001_Exchange_Sheet!BB114-#REF!</f>
      </c>
      <c r="AD104" s="51" t="e">
        <f>Ticker0001_Exchange_Sheet!BC114-#REF!</f>
      </c>
      <c r="AE104" s="51" t="e">
        <f>Ticker0001_Exchange_Sheet!BD114-#REF!</f>
      </c>
      <c r="AF104" s="51" t="e">
        <f>Ticker0001_Exchange_Sheet!BE114-#REF!</f>
      </c>
      <c r="AG104" s="51" t="e">
        <f>Ticker0001_Exchange_Sheet!BF114-#REF!</f>
      </c>
      <c r="AH104" s="51" t="e">
        <f>Ticker0001_Exchange_Sheet!BG114-#REF!</f>
      </c>
      <c r="AI104" s="51" t="e">
        <f>Ticker0001_Exchange_Sheet!BH114-#REF!</f>
      </c>
      <c r="AJ104" s="51" t="e">
        <f>Ticker0001_Exchange_Sheet!BI114-#REF!</f>
      </c>
      <c r="AK104" s="51" t="e">
        <f>Ticker0001_Exchange_Sheet!BJ114-#REF!</f>
      </c>
      <c r="AL104" s="51" t="e">
        <f>Ticker0001_Exchange_Sheet!BK114-#REF!</f>
      </c>
      <c r="AM104" s="51" t="e">
        <f>Ticker0001_Exchange_Sheet!BL114-#REF!</f>
      </c>
      <c r="AN104" s="51" t="e">
        <f>Ticker0001_Exchange_Sheet!BM114-#REF!</f>
      </c>
      <c r="AO104" s="51" t="e">
        <f>Ticker0001_Exchange_Sheet!BN114-#REF!</f>
      </c>
      <c r="AP104" s="51" t="e">
        <f>Ticker0001_Exchange_Sheet!BO114-#REF!</f>
      </c>
      <c r="AQ104" s="51" t="e">
        <f>Ticker0001_Exchange_Sheet!BP114-#REF!</f>
      </c>
      <c r="AR104" s="51" t="e">
        <f>Ticker0001_Exchange_Sheet!BQ114-#REF!</f>
      </c>
      <c r="AS104" s="51" t="e">
        <f>Ticker0001_Exchange_Sheet!BR114-#REF!</f>
      </c>
      <c r="AT104" s="51" t="e">
        <f>Ticker0001_Exchange_Sheet!BS114-#REF!</f>
      </c>
      <c r="AU104" s="51" t="e">
        <f>Ticker0001_Exchange_Sheet!BT114-#REF!</f>
      </c>
      <c r="AV104" s="51" t="e">
        <f>Ticker0001_Exchange_Sheet!BU114-#REF!</f>
      </c>
      <c r="AW104" s="51" t="e">
        <f>Ticker0001_Exchange_Sheet!BV114-#REF!</f>
      </c>
      <c r="AX104" s="51" t="e">
        <f>Ticker0001_Exchange_Sheet!BW114-#REF!</f>
      </c>
      <c r="AY104" s="51" t="e">
        <f>Ticker0001_Exchange_Sheet!BX114-#REF!</f>
      </c>
      <c r="AZ104" s="51" t="e">
        <f>Ticker0001_Exchange_Sheet!BY114-#REF!</f>
      </c>
      <c r="BA104" s="51" t="e">
        <f>Ticker0001_Exchange_Sheet!BZ114-#REF!</f>
      </c>
      <c r="BB104" s="51" t="e">
        <f>Ticker0001_Exchange_Sheet!CA114-#REF!</f>
      </c>
      <c r="BC104" s="51" t="e">
        <f>Ticker0001_Exchange_Sheet!CB114-#REF!</f>
      </c>
      <c r="BD104" s="51" t="e">
        <f>Ticker0001_Exchange_Sheet!CC114-#REF!</f>
      </c>
      <c r="BE104" s="51" t="e">
        <f>Ticker0001_Exchange_Sheet!CD114-#REF!</f>
      </c>
      <c r="BF104" s="51" t="e">
        <f>Ticker0001_Exchange_Sheet!CE114-#REF!</f>
      </c>
      <c r="BG104" s="51" t="e">
        <f>Ticker0001_Exchange_Sheet!CF114-#REF!</f>
      </c>
      <c r="BH104" s="51" t="e">
        <f>Ticker0001_Exchange_Sheet!CG114-#REF!</f>
      </c>
      <c r="BI104" s="51" t="e">
        <f>Ticker0001_Exchange_Sheet!CH114-#REF!</f>
      </c>
      <c r="BJ104" s="51" t="e">
        <f>Ticker0001_Exchange_Sheet!CI114-#REF!</f>
      </c>
      <c r="BK104" s="51" t="e">
        <f>Ticker0001_Exchange_Sheet!CJ114-#REF!</f>
      </c>
      <c r="BL104" s="51" t="e">
        <f>Ticker0001_Exchange_Sheet!CK114-#REF!</f>
      </c>
      <c r="BM104" s="51" t="e">
        <f>Ticker0001_Exchange_Sheet!CL114-#REF!</f>
      </c>
      <c r="BN104" s="51" t="e">
        <f>Ticker0001_Exchange_Sheet!CM114-#REF!</f>
      </c>
      <c r="BO104" s="51" t="e">
        <f>Ticker0001_Exchange_Sheet!CN114-#REF!</f>
      </c>
      <c r="BP104" s="51" t="e">
        <f>Ticker0001_Exchange_Sheet!CO114-#REF!</f>
      </c>
      <c r="BQ104" s="51" t="e">
        <f>Ticker0001_Exchange_Sheet!CP114-#REF!</f>
      </c>
      <c r="BR104" s="51" t="e">
        <f>Ticker0001_Exchange_Sheet!CQ114-#REF!</f>
      </c>
      <c r="BS104" s="51" t="e">
        <f>Ticker0001_Exchange_Sheet!CR114-#REF!</f>
      </c>
      <c r="BT104" s="51" t="e">
        <f>Ticker0001_Exchange_Sheet!CS114-#REF!</f>
      </c>
      <c r="BU104" s="51" t="e">
        <f>Ticker0001_Exchange_Sheet!CT114-#REF!</f>
      </c>
      <c r="BV104" s="51" t="e">
        <f>Ticker0001_Exchange_Sheet!CU114-#REF!</f>
      </c>
      <c r="BW104" s="51" t="e">
        <f>Ticker0001_Exchange_Sheet!CV114-#REF!</f>
      </c>
      <c r="BX104" s="51" t="e">
        <f>Ticker0001_Exchange_Sheet!CW114-#REF!</f>
      </c>
      <c r="BY104" s="51" t="e">
        <f>Ticker0001_Exchange_Sheet!CX114-#REF!</f>
      </c>
      <c r="BZ104" s="51" t="e">
        <f>Ticker0001_Exchange_Sheet!CY114-#REF!</f>
      </c>
      <c r="CA104" s="51" t="e">
        <f>Ticker0001_Exchange_Sheet!CZ114-#REF!</f>
      </c>
      <c r="CB104" s="51" t="e">
        <f>Ticker0001_Exchange_Sheet!DA114-#REF!</f>
      </c>
      <c r="CC104" s="51" t="e">
        <f>Ticker0001_Exchange_Sheet!DB114-#REF!</f>
      </c>
      <c r="CD104" s="51" t="e">
        <f>Ticker0001_Exchange_Sheet!DC114-#REF!</f>
      </c>
      <c r="CE104" s="51" t="e">
        <f>Ticker0001_Exchange_Sheet!DD114-#REF!</f>
      </c>
      <c r="CF104" s="51" t="e">
        <f>Ticker0001_Exchange_Sheet!DE114-#REF!</f>
      </c>
    </row>
    <row r="105" spans="6:84">
      <c r="F105" s="51" t="e">
        <f>Ticker0001_Exchange_Sheet!F115-#REF!</f>
      </c>
      <c r="G105" s="51" t="e">
        <f>Ticker0001_Exchange_Sheet!G115-#REF!</f>
      </c>
      <c r="H105" s="51" t="e">
        <f>Ticker0001_Exchange_Sheet!H115-#REF!</f>
      </c>
      <c r="I105" s="51" t="e">
        <f>Ticker0001_Exchange_Sheet!I115-#REF!</f>
      </c>
      <c r="J105" s="51" t="e">
        <f>Ticker0001_Exchange_Sheet!J115-#REF!</f>
      </c>
      <c r="K105" s="51" t="e">
        <f>Ticker0001_Exchange_Sheet!K115-#REF!</f>
      </c>
      <c r="L105" s="51" t="e">
        <f>Ticker0001_Exchange_Sheet!L115-#REF!</f>
      </c>
      <c r="M105" s="51" t="e">
        <f>Ticker0001_Exchange_Sheet!M115-#REF!</f>
      </c>
      <c r="N105" s="51" t="e">
        <f>Ticker0001_Exchange_Sheet!N115-#REF!</f>
      </c>
      <c r="O105" s="51" t="e">
        <f>Ticker0001_Exchange_Sheet!O115-#REF!</f>
      </c>
      <c r="P105" s="51" t="e">
        <f>Ticker0001_Exchange_Sheet!P115-#REF!</f>
      </c>
      <c r="Q105" s="51" t="e">
        <f>Ticker0001_Exchange_Sheet!Q115-#REF!</f>
      </c>
      <c r="R105" s="51" t="e">
        <f>Ticker0001_Exchange_Sheet!R115-#REF!</f>
      </c>
      <c r="S105" s="51" t="e">
        <f>Ticker0001_Exchange_Sheet!S115-#REF!</f>
      </c>
      <c r="T105" s="51" t="e">
        <f>Ticker0001_Exchange_Sheet!T115-#REF!</f>
      </c>
      <c r="U105" s="51" t="e">
        <f>Ticker0001_Exchange_Sheet!U115-#REF!</f>
      </c>
      <c r="V105" s="51" t="e">
        <f>Ticker0001_Exchange_Sheet!V115-#REF!</f>
      </c>
      <c r="W105" s="51" t="e">
        <f>Ticker0001_Exchange_Sheet!W115-#REF!</f>
      </c>
      <c r="X105" s="51" t="e">
        <f>Ticker0001_Exchange_Sheet!AK115-#REF!</f>
      </c>
      <c r="Y105" s="51" t="e">
        <f>Ticker0001_Exchange_Sheet!AX115-#REF!</f>
      </c>
      <c r="Z105" s="51" t="e">
        <f>Ticker0001_Exchange_Sheet!AY115-#REF!</f>
      </c>
      <c r="AA105" s="51" t="e">
        <f>Ticker0001_Exchange_Sheet!AZ115-#REF!</f>
      </c>
      <c r="AB105" s="51" t="e">
        <f>Ticker0001_Exchange_Sheet!BA115-#REF!</f>
      </c>
      <c r="AC105" s="51" t="e">
        <f>Ticker0001_Exchange_Sheet!BB115-#REF!</f>
      </c>
      <c r="AD105" s="51" t="e">
        <f>Ticker0001_Exchange_Sheet!BC115-#REF!</f>
      </c>
      <c r="AE105" s="51" t="e">
        <f>Ticker0001_Exchange_Sheet!BD115-#REF!</f>
      </c>
      <c r="AF105" s="51" t="e">
        <f>Ticker0001_Exchange_Sheet!BE115-#REF!</f>
      </c>
      <c r="AG105" s="51" t="e">
        <f>Ticker0001_Exchange_Sheet!BF115-#REF!</f>
      </c>
      <c r="AH105" s="51" t="e">
        <f>Ticker0001_Exchange_Sheet!BG115-#REF!</f>
      </c>
      <c r="AI105" s="51" t="e">
        <f>Ticker0001_Exchange_Sheet!BH115-#REF!</f>
      </c>
      <c r="AJ105" s="51" t="e">
        <f>Ticker0001_Exchange_Sheet!BI115-#REF!</f>
      </c>
      <c r="AK105" s="51" t="e">
        <f>Ticker0001_Exchange_Sheet!BJ115-#REF!</f>
      </c>
      <c r="AL105" s="51" t="e">
        <f>Ticker0001_Exchange_Sheet!BK115-#REF!</f>
      </c>
      <c r="AM105" s="51" t="e">
        <f>Ticker0001_Exchange_Sheet!BL115-#REF!</f>
      </c>
      <c r="AN105" s="51" t="e">
        <f>Ticker0001_Exchange_Sheet!BM115-#REF!</f>
      </c>
      <c r="AO105" s="51" t="e">
        <f>Ticker0001_Exchange_Sheet!BN115-#REF!</f>
      </c>
      <c r="AP105" s="51" t="e">
        <f>Ticker0001_Exchange_Sheet!BO115-#REF!</f>
      </c>
      <c r="AQ105" s="51" t="e">
        <f>Ticker0001_Exchange_Sheet!BP115-#REF!</f>
      </c>
      <c r="AR105" s="51" t="e">
        <f>Ticker0001_Exchange_Sheet!BQ115-#REF!</f>
      </c>
      <c r="AS105" s="51" t="e">
        <f>Ticker0001_Exchange_Sheet!BR115-#REF!</f>
      </c>
      <c r="AT105" s="51" t="e">
        <f>Ticker0001_Exchange_Sheet!BS115-#REF!</f>
      </c>
      <c r="AU105" s="51" t="e">
        <f>Ticker0001_Exchange_Sheet!BT115-#REF!</f>
      </c>
      <c r="AV105" s="51" t="e">
        <f>Ticker0001_Exchange_Sheet!BU115-#REF!</f>
      </c>
      <c r="AW105" s="51" t="e">
        <f>Ticker0001_Exchange_Sheet!BV115-#REF!</f>
      </c>
      <c r="AX105" s="51" t="e">
        <f>Ticker0001_Exchange_Sheet!BW115-#REF!</f>
      </c>
      <c r="AY105" s="51" t="e">
        <f>Ticker0001_Exchange_Sheet!BX115-#REF!</f>
      </c>
      <c r="AZ105" s="51" t="e">
        <f>Ticker0001_Exchange_Sheet!BY115-#REF!</f>
      </c>
      <c r="BA105" s="51" t="e">
        <f>Ticker0001_Exchange_Sheet!BZ115-#REF!</f>
      </c>
      <c r="BB105" s="51" t="e">
        <f>Ticker0001_Exchange_Sheet!CA115-#REF!</f>
      </c>
      <c r="BC105" s="51" t="e">
        <f>Ticker0001_Exchange_Sheet!CB115-#REF!</f>
      </c>
      <c r="BD105" s="51" t="e">
        <f>Ticker0001_Exchange_Sheet!CC115-#REF!</f>
      </c>
      <c r="BE105" s="51" t="e">
        <f>Ticker0001_Exchange_Sheet!CD115-#REF!</f>
      </c>
      <c r="BF105" s="51" t="e">
        <f>Ticker0001_Exchange_Sheet!CE115-#REF!</f>
      </c>
      <c r="BG105" s="51" t="e">
        <f>Ticker0001_Exchange_Sheet!CF115-#REF!</f>
      </c>
      <c r="BH105" s="51" t="e">
        <f>Ticker0001_Exchange_Sheet!CG115-#REF!</f>
      </c>
      <c r="BI105" s="51" t="e">
        <f>Ticker0001_Exchange_Sheet!CH115-#REF!</f>
      </c>
      <c r="BJ105" s="51" t="e">
        <f>Ticker0001_Exchange_Sheet!CI115-#REF!</f>
      </c>
      <c r="BK105" s="51" t="e">
        <f>Ticker0001_Exchange_Sheet!CJ115-#REF!</f>
      </c>
      <c r="BL105" s="51" t="e">
        <f>Ticker0001_Exchange_Sheet!CK115-#REF!</f>
      </c>
      <c r="BM105" s="51" t="e">
        <f>Ticker0001_Exchange_Sheet!CL115-#REF!</f>
      </c>
      <c r="BN105" s="51" t="e">
        <f>Ticker0001_Exchange_Sheet!CM115-#REF!</f>
      </c>
      <c r="BO105" s="51" t="e">
        <f>Ticker0001_Exchange_Sheet!CN115-#REF!</f>
      </c>
      <c r="BP105" s="51" t="e">
        <f>Ticker0001_Exchange_Sheet!CO115-#REF!</f>
      </c>
      <c r="BQ105" s="51" t="e">
        <f>Ticker0001_Exchange_Sheet!CP115-#REF!</f>
      </c>
      <c r="BR105" s="51" t="e">
        <f>Ticker0001_Exchange_Sheet!CQ115-#REF!</f>
      </c>
      <c r="BS105" s="51" t="e">
        <f>Ticker0001_Exchange_Sheet!CR115-#REF!</f>
      </c>
      <c r="BT105" s="51" t="e">
        <f>Ticker0001_Exchange_Sheet!CS115-#REF!</f>
      </c>
      <c r="BU105" s="51" t="e">
        <f>Ticker0001_Exchange_Sheet!CT115-#REF!</f>
      </c>
      <c r="BV105" s="51" t="e">
        <f>Ticker0001_Exchange_Sheet!CU115-#REF!</f>
      </c>
      <c r="BW105" s="51" t="e">
        <f>Ticker0001_Exchange_Sheet!CV115-#REF!</f>
      </c>
      <c r="BX105" s="51" t="e">
        <f>Ticker0001_Exchange_Sheet!CW115-#REF!</f>
      </c>
      <c r="BY105" s="51" t="e">
        <f>Ticker0001_Exchange_Sheet!CX115-#REF!</f>
      </c>
      <c r="BZ105" s="51" t="e">
        <f>Ticker0001_Exchange_Sheet!CY115-#REF!</f>
      </c>
      <c r="CA105" s="51" t="e">
        <f>Ticker0001_Exchange_Sheet!CZ115-#REF!</f>
      </c>
      <c r="CB105" s="51" t="e">
        <f>Ticker0001_Exchange_Sheet!DA115-#REF!</f>
      </c>
      <c r="CC105" s="51" t="e">
        <f>Ticker0001_Exchange_Sheet!DB115-#REF!</f>
      </c>
      <c r="CD105" s="51" t="e">
        <f>Ticker0001_Exchange_Sheet!DC115-#REF!</f>
      </c>
      <c r="CE105" s="51" t="e">
        <f>Ticker0001_Exchange_Sheet!DD115-#REF!</f>
      </c>
      <c r="CF105" s="51" t="e">
        <f>Ticker0001_Exchange_Sheet!DE115-#REF!</f>
      </c>
    </row>
    <row r="106" spans="6:84">
      <c r="F106" s="51" t="e">
        <f>Ticker0001_Exchange_Sheet!F116-#REF!</f>
      </c>
      <c r="G106" s="51" t="e">
        <f>Ticker0001_Exchange_Sheet!G116-#REF!</f>
      </c>
      <c r="H106" s="51" t="e">
        <f>Ticker0001_Exchange_Sheet!H116-#REF!</f>
      </c>
      <c r="I106" s="51" t="e">
        <f>Ticker0001_Exchange_Sheet!I116-#REF!</f>
      </c>
      <c r="J106" s="51" t="e">
        <f>Ticker0001_Exchange_Sheet!J116-#REF!</f>
      </c>
      <c r="K106" s="51" t="e">
        <f>Ticker0001_Exchange_Sheet!K116-#REF!</f>
      </c>
      <c r="L106" s="51" t="e">
        <f>Ticker0001_Exchange_Sheet!L116-#REF!</f>
      </c>
      <c r="M106" s="51" t="e">
        <f>Ticker0001_Exchange_Sheet!M116-#REF!</f>
      </c>
      <c r="N106" s="51" t="e">
        <f>Ticker0001_Exchange_Sheet!N116-#REF!</f>
      </c>
      <c r="O106" s="51" t="e">
        <f>Ticker0001_Exchange_Sheet!O116-#REF!</f>
      </c>
      <c r="P106" s="51" t="e">
        <f>Ticker0001_Exchange_Sheet!P116-#REF!</f>
      </c>
      <c r="Q106" s="51" t="e">
        <f>Ticker0001_Exchange_Sheet!Q116-#REF!</f>
      </c>
      <c r="R106" s="51" t="e">
        <f>Ticker0001_Exchange_Sheet!R116-#REF!</f>
      </c>
      <c r="S106" s="51" t="e">
        <f>Ticker0001_Exchange_Sheet!S116-#REF!</f>
      </c>
      <c r="T106" s="51" t="e">
        <f>Ticker0001_Exchange_Sheet!T116-#REF!</f>
      </c>
      <c r="U106" s="51" t="e">
        <f>Ticker0001_Exchange_Sheet!U116-#REF!</f>
      </c>
      <c r="V106" s="51" t="e">
        <f>Ticker0001_Exchange_Sheet!V116-#REF!</f>
      </c>
      <c r="W106" s="51" t="e">
        <f>Ticker0001_Exchange_Sheet!W116-#REF!</f>
      </c>
      <c r="X106" s="51" t="e">
        <f>Ticker0001_Exchange_Sheet!AK116-#REF!</f>
      </c>
      <c r="Y106" s="51" t="e">
        <f>Ticker0001_Exchange_Sheet!AX116-#REF!</f>
      </c>
      <c r="Z106" s="51" t="e">
        <f>Ticker0001_Exchange_Sheet!AY116-#REF!</f>
      </c>
      <c r="AA106" s="51" t="e">
        <f>Ticker0001_Exchange_Sheet!AZ116-#REF!</f>
      </c>
      <c r="AB106" s="51" t="e">
        <f>Ticker0001_Exchange_Sheet!BA116-#REF!</f>
      </c>
      <c r="AC106" s="51" t="e">
        <f>Ticker0001_Exchange_Sheet!BB116-#REF!</f>
      </c>
      <c r="AD106" s="51" t="e">
        <f>Ticker0001_Exchange_Sheet!BC116-#REF!</f>
      </c>
      <c r="AE106" s="51" t="e">
        <f>Ticker0001_Exchange_Sheet!BD116-#REF!</f>
      </c>
      <c r="AF106" s="51" t="e">
        <f>Ticker0001_Exchange_Sheet!BE116-#REF!</f>
      </c>
      <c r="AG106" s="51" t="e">
        <f>Ticker0001_Exchange_Sheet!BF116-#REF!</f>
      </c>
      <c r="AH106" s="51" t="e">
        <f>Ticker0001_Exchange_Sheet!BG116-#REF!</f>
      </c>
      <c r="AI106" s="51" t="e">
        <f>Ticker0001_Exchange_Sheet!BH116-#REF!</f>
      </c>
      <c r="AJ106" s="51" t="e">
        <f>Ticker0001_Exchange_Sheet!BI116-#REF!</f>
      </c>
      <c r="AK106" s="51" t="e">
        <f>Ticker0001_Exchange_Sheet!BJ116-#REF!</f>
      </c>
      <c r="AL106" s="51" t="e">
        <f>Ticker0001_Exchange_Sheet!BK116-#REF!</f>
      </c>
      <c r="AM106" s="51" t="e">
        <f>Ticker0001_Exchange_Sheet!BL116-#REF!</f>
      </c>
      <c r="AN106" s="51" t="e">
        <f>Ticker0001_Exchange_Sheet!BM116-#REF!</f>
      </c>
      <c r="AO106" s="51" t="e">
        <f>Ticker0001_Exchange_Sheet!BN116-#REF!</f>
      </c>
      <c r="AP106" s="51" t="e">
        <f>Ticker0001_Exchange_Sheet!BO116-#REF!</f>
      </c>
      <c r="AQ106" s="51" t="e">
        <f>Ticker0001_Exchange_Sheet!BP116-#REF!</f>
      </c>
      <c r="AR106" s="51" t="e">
        <f>Ticker0001_Exchange_Sheet!BQ116-#REF!</f>
      </c>
      <c r="AS106" s="51" t="e">
        <f>Ticker0001_Exchange_Sheet!BR116-#REF!</f>
      </c>
      <c r="AT106" s="51" t="e">
        <f>Ticker0001_Exchange_Sheet!BS116-#REF!</f>
      </c>
      <c r="AU106" s="51" t="e">
        <f>Ticker0001_Exchange_Sheet!BT116-#REF!</f>
      </c>
      <c r="AV106" s="51" t="e">
        <f>Ticker0001_Exchange_Sheet!BU116-#REF!</f>
      </c>
      <c r="AW106" s="51" t="e">
        <f>Ticker0001_Exchange_Sheet!BV116-#REF!</f>
      </c>
      <c r="AX106" s="51" t="e">
        <f>Ticker0001_Exchange_Sheet!BW116-#REF!</f>
      </c>
      <c r="AY106" s="51" t="e">
        <f>Ticker0001_Exchange_Sheet!BX116-#REF!</f>
      </c>
      <c r="AZ106" s="51" t="e">
        <f>Ticker0001_Exchange_Sheet!BY116-#REF!</f>
      </c>
      <c r="BA106" s="51" t="e">
        <f>Ticker0001_Exchange_Sheet!BZ116-#REF!</f>
      </c>
      <c r="BB106" s="51" t="e">
        <f>Ticker0001_Exchange_Sheet!CA116-#REF!</f>
      </c>
      <c r="BC106" s="51" t="e">
        <f>Ticker0001_Exchange_Sheet!CB116-#REF!</f>
      </c>
      <c r="BD106" s="51" t="e">
        <f>Ticker0001_Exchange_Sheet!CC116-#REF!</f>
      </c>
      <c r="BE106" s="51" t="e">
        <f>Ticker0001_Exchange_Sheet!CD116-#REF!</f>
      </c>
      <c r="BF106" s="51" t="e">
        <f>Ticker0001_Exchange_Sheet!CE116-#REF!</f>
      </c>
      <c r="BG106" s="51" t="e">
        <f>Ticker0001_Exchange_Sheet!CF116-#REF!</f>
      </c>
      <c r="BH106" s="51" t="e">
        <f>Ticker0001_Exchange_Sheet!CG116-#REF!</f>
      </c>
      <c r="BI106" s="51" t="e">
        <f>Ticker0001_Exchange_Sheet!CH116-#REF!</f>
      </c>
      <c r="BJ106" s="51" t="e">
        <f>Ticker0001_Exchange_Sheet!CI116-#REF!</f>
      </c>
      <c r="BK106" s="51" t="e">
        <f>Ticker0001_Exchange_Sheet!CJ116-#REF!</f>
      </c>
      <c r="BL106" s="51" t="e">
        <f>Ticker0001_Exchange_Sheet!CK116-#REF!</f>
      </c>
      <c r="BM106" s="51" t="e">
        <f>Ticker0001_Exchange_Sheet!CL116-#REF!</f>
      </c>
      <c r="BN106" s="51" t="e">
        <f>Ticker0001_Exchange_Sheet!CM116-#REF!</f>
      </c>
      <c r="BO106" s="51" t="e">
        <f>Ticker0001_Exchange_Sheet!CN116-#REF!</f>
      </c>
      <c r="BP106" s="51" t="e">
        <f>Ticker0001_Exchange_Sheet!CO116-#REF!</f>
      </c>
      <c r="BQ106" s="51" t="e">
        <f>Ticker0001_Exchange_Sheet!CP116-#REF!</f>
      </c>
      <c r="BR106" s="51" t="e">
        <f>Ticker0001_Exchange_Sheet!CQ116-#REF!</f>
      </c>
      <c r="BS106" s="51" t="e">
        <f>Ticker0001_Exchange_Sheet!CR116-#REF!</f>
      </c>
      <c r="BT106" s="51" t="e">
        <f>Ticker0001_Exchange_Sheet!CS116-#REF!</f>
      </c>
      <c r="BU106" s="51" t="e">
        <f>Ticker0001_Exchange_Sheet!CT116-#REF!</f>
      </c>
      <c r="BV106" s="51" t="e">
        <f>Ticker0001_Exchange_Sheet!CU116-#REF!</f>
      </c>
      <c r="BW106" s="51" t="e">
        <f>Ticker0001_Exchange_Sheet!CV116-#REF!</f>
      </c>
      <c r="BX106" s="51" t="e">
        <f>Ticker0001_Exchange_Sheet!CW116-#REF!</f>
      </c>
      <c r="BY106" s="51" t="e">
        <f>Ticker0001_Exchange_Sheet!CX116-#REF!</f>
      </c>
      <c r="BZ106" s="51" t="e">
        <f>Ticker0001_Exchange_Sheet!CY116-#REF!</f>
      </c>
      <c r="CA106" s="51" t="e">
        <f>Ticker0001_Exchange_Sheet!CZ116-#REF!</f>
      </c>
      <c r="CB106" s="51" t="e">
        <f>Ticker0001_Exchange_Sheet!DA116-#REF!</f>
      </c>
      <c r="CC106" s="51" t="e">
        <f>Ticker0001_Exchange_Sheet!DB116-#REF!</f>
      </c>
      <c r="CD106" s="51" t="e">
        <f>Ticker0001_Exchange_Sheet!DC116-#REF!</f>
      </c>
      <c r="CE106" s="51" t="e">
        <f>Ticker0001_Exchange_Sheet!DD116-#REF!</f>
      </c>
      <c r="CF106" s="51" t="e">
        <f>Ticker0001_Exchange_Sheet!DE116-#REF!</f>
      </c>
    </row>
    <row r="107" spans="6:84">
      <c r="F107" s="51" t="e">
        <f>Ticker0001_Exchange_Sheet!F117-#REF!</f>
      </c>
      <c r="G107" s="51" t="e">
        <f>Ticker0001_Exchange_Sheet!G117-#REF!</f>
      </c>
      <c r="H107" s="51" t="e">
        <f>Ticker0001_Exchange_Sheet!H117-#REF!</f>
      </c>
      <c r="I107" s="51" t="e">
        <f>Ticker0001_Exchange_Sheet!I117-#REF!</f>
      </c>
      <c r="J107" s="51" t="e">
        <f>Ticker0001_Exchange_Sheet!J117-#REF!</f>
      </c>
      <c r="K107" s="51" t="e">
        <f>Ticker0001_Exchange_Sheet!K117-#REF!</f>
      </c>
      <c r="L107" s="51" t="e">
        <f>Ticker0001_Exchange_Sheet!L117-#REF!</f>
      </c>
      <c r="M107" s="51" t="e">
        <f>Ticker0001_Exchange_Sheet!M117-#REF!</f>
      </c>
      <c r="N107" s="51" t="e">
        <f>Ticker0001_Exchange_Sheet!N117-#REF!</f>
      </c>
      <c r="O107" s="51" t="e">
        <f>Ticker0001_Exchange_Sheet!O117-#REF!</f>
      </c>
      <c r="P107" s="51" t="e">
        <f>Ticker0001_Exchange_Sheet!P117-#REF!</f>
      </c>
      <c r="Q107" s="51" t="e">
        <f>Ticker0001_Exchange_Sheet!Q117-#REF!</f>
      </c>
      <c r="R107" s="51" t="e">
        <f>Ticker0001_Exchange_Sheet!R117-#REF!</f>
      </c>
      <c r="S107" s="51" t="e">
        <f>Ticker0001_Exchange_Sheet!S117-#REF!</f>
      </c>
      <c r="T107" s="51" t="e">
        <f>Ticker0001_Exchange_Sheet!T117-#REF!</f>
      </c>
      <c r="U107" s="51" t="e">
        <f>Ticker0001_Exchange_Sheet!U117-#REF!</f>
      </c>
      <c r="V107" s="51" t="e">
        <f>Ticker0001_Exchange_Sheet!V117-#REF!</f>
      </c>
      <c r="W107" s="51" t="e">
        <f>Ticker0001_Exchange_Sheet!W117-#REF!</f>
      </c>
      <c r="X107" s="51" t="e">
        <f>Ticker0001_Exchange_Sheet!AK117-#REF!</f>
      </c>
      <c r="Y107" s="51" t="e">
        <f>Ticker0001_Exchange_Sheet!AX117-#REF!</f>
      </c>
      <c r="Z107" s="51" t="e">
        <f>Ticker0001_Exchange_Sheet!AY117-#REF!</f>
      </c>
      <c r="AA107" s="51" t="e">
        <f>Ticker0001_Exchange_Sheet!AZ117-#REF!</f>
      </c>
      <c r="AB107" s="51" t="e">
        <f>Ticker0001_Exchange_Sheet!BA117-#REF!</f>
      </c>
      <c r="AC107" s="51" t="e">
        <f>Ticker0001_Exchange_Sheet!BB117-#REF!</f>
      </c>
      <c r="AD107" s="51" t="e">
        <f>Ticker0001_Exchange_Sheet!BC117-#REF!</f>
      </c>
      <c r="AE107" s="51" t="e">
        <f>Ticker0001_Exchange_Sheet!BD117-#REF!</f>
      </c>
      <c r="AF107" s="51" t="e">
        <f>Ticker0001_Exchange_Sheet!BE117-#REF!</f>
      </c>
      <c r="AG107" s="51" t="e">
        <f>Ticker0001_Exchange_Sheet!BF117-#REF!</f>
      </c>
      <c r="AH107" s="51" t="e">
        <f>Ticker0001_Exchange_Sheet!BG117-#REF!</f>
      </c>
      <c r="AI107" s="51" t="e">
        <f>Ticker0001_Exchange_Sheet!BH117-#REF!</f>
      </c>
      <c r="AJ107" s="51" t="e">
        <f>Ticker0001_Exchange_Sheet!BI117-#REF!</f>
      </c>
      <c r="AK107" s="51" t="e">
        <f>Ticker0001_Exchange_Sheet!BJ117-#REF!</f>
      </c>
      <c r="AL107" s="51" t="e">
        <f>Ticker0001_Exchange_Sheet!BK117-#REF!</f>
      </c>
      <c r="AM107" s="51" t="e">
        <f>Ticker0001_Exchange_Sheet!BL117-#REF!</f>
      </c>
      <c r="AN107" s="51" t="e">
        <f>Ticker0001_Exchange_Sheet!BM117-#REF!</f>
      </c>
      <c r="AO107" s="51" t="e">
        <f>Ticker0001_Exchange_Sheet!BN117-#REF!</f>
      </c>
      <c r="AP107" s="51" t="e">
        <f>Ticker0001_Exchange_Sheet!BO117-#REF!</f>
      </c>
      <c r="AQ107" s="51" t="e">
        <f>Ticker0001_Exchange_Sheet!BP117-#REF!</f>
      </c>
      <c r="AR107" s="51" t="e">
        <f>Ticker0001_Exchange_Sheet!BQ117-#REF!</f>
      </c>
      <c r="AS107" s="51" t="e">
        <f>Ticker0001_Exchange_Sheet!BR117-#REF!</f>
      </c>
      <c r="AT107" s="51" t="e">
        <f>Ticker0001_Exchange_Sheet!BS117-#REF!</f>
      </c>
      <c r="AU107" s="51" t="e">
        <f>Ticker0001_Exchange_Sheet!BT117-#REF!</f>
      </c>
      <c r="AV107" s="51" t="e">
        <f>Ticker0001_Exchange_Sheet!BU117-#REF!</f>
      </c>
      <c r="AW107" s="51" t="e">
        <f>Ticker0001_Exchange_Sheet!BV117-#REF!</f>
      </c>
      <c r="AX107" s="51" t="e">
        <f>Ticker0001_Exchange_Sheet!BW117-#REF!</f>
      </c>
      <c r="AY107" s="51" t="e">
        <f>Ticker0001_Exchange_Sheet!BX117-#REF!</f>
      </c>
      <c r="AZ107" s="51" t="e">
        <f>Ticker0001_Exchange_Sheet!BY117-#REF!</f>
      </c>
      <c r="BA107" s="51" t="e">
        <f>Ticker0001_Exchange_Sheet!BZ117-#REF!</f>
      </c>
      <c r="BB107" s="51" t="e">
        <f>Ticker0001_Exchange_Sheet!CA117-#REF!</f>
      </c>
      <c r="BC107" s="51" t="e">
        <f>Ticker0001_Exchange_Sheet!CB117-#REF!</f>
      </c>
      <c r="BD107" s="51" t="e">
        <f>Ticker0001_Exchange_Sheet!CC117-#REF!</f>
      </c>
      <c r="BE107" s="51" t="e">
        <f>Ticker0001_Exchange_Sheet!CD117-#REF!</f>
      </c>
      <c r="BF107" s="51" t="e">
        <f>Ticker0001_Exchange_Sheet!CE117-#REF!</f>
      </c>
      <c r="BG107" s="51" t="e">
        <f>Ticker0001_Exchange_Sheet!CF117-#REF!</f>
      </c>
      <c r="BH107" s="51" t="e">
        <f>Ticker0001_Exchange_Sheet!CG117-#REF!</f>
      </c>
      <c r="BI107" s="51" t="e">
        <f>Ticker0001_Exchange_Sheet!CH117-#REF!</f>
      </c>
      <c r="BJ107" s="51" t="e">
        <f>Ticker0001_Exchange_Sheet!CI117-#REF!</f>
      </c>
      <c r="BK107" s="51" t="e">
        <f>Ticker0001_Exchange_Sheet!CJ117-#REF!</f>
      </c>
      <c r="BL107" s="51" t="e">
        <f>Ticker0001_Exchange_Sheet!CK117-#REF!</f>
      </c>
      <c r="BM107" s="51" t="e">
        <f>Ticker0001_Exchange_Sheet!CL117-#REF!</f>
      </c>
      <c r="BN107" s="51" t="e">
        <f>Ticker0001_Exchange_Sheet!CM117-#REF!</f>
      </c>
      <c r="BO107" s="51" t="e">
        <f>Ticker0001_Exchange_Sheet!CN117-#REF!</f>
      </c>
      <c r="BP107" s="51" t="e">
        <f>Ticker0001_Exchange_Sheet!CO117-#REF!</f>
      </c>
      <c r="BQ107" s="51" t="e">
        <f>Ticker0001_Exchange_Sheet!CP117-#REF!</f>
      </c>
      <c r="BR107" s="51" t="e">
        <f>Ticker0001_Exchange_Sheet!CQ117-#REF!</f>
      </c>
      <c r="BS107" s="51" t="e">
        <f>Ticker0001_Exchange_Sheet!CR117-#REF!</f>
      </c>
      <c r="BT107" s="51" t="e">
        <f>Ticker0001_Exchange_Sheet!CS117-#REF!</f>
      </c>
      <c r="BU107" s="51" t="e">
        <f>Ticker0001_Exchange_Sheet!CT117-#REF!</f>
      </c>
      <c r="BV107" s="51" t="e">
        <f>Ticker0001_Exchange_Sheet!CU117-#REF!</f>
      </c>
      <c r="BW107" s="51" t="e">
        <f>Ticker0001_Exchange_Sheet!CV117-#REF!</f>
      </c>
      <c r="BX107" s="51" t="e">
        <f>Ticker0001_Exchange_Sheet!CW117-#REF!</f>
      </c>
      <c r="BY107" s="51" t="e">
        <f>Ticker0001_Exchange_Sheet!CX117-#REF!</f>
      </c>
      <c r="BZ107" s="51" t="e">
        <f>Ticker0001_Exchange_Sheet!CY117-#REF!</f>
      </c>
      <c r="CA107" s="51" t="e">
        <f>Ticker0001_Exchange_Sheet!CZ117-#REF!</f>
      </c>
      <c r="CB107" s="51" t="e">
        <f>Ticker0001_Exchange_Sheet!DA117-#REF!</f>
      </c>
      <c r="CC107" s="51" t="e">
        <f>Ticker0001_Exchange_Sheet!DB117-#REF!</f>
      </c>
      <c r="CD107" s="51" t="e">
        <f>Ticker0001_Exchange_Sheet!DC117-#REF!</f>
      </c>
      <c r="CE107" s="51" t="e">
        <f>Ticker0001_Exchange_Sheet!DD117-#REF!</f>
      </c>
      <c r="CF107" s="51" t="e">
        <f>Ticker0001_Exchange_Sheet!DE117-#REF!</f>
      </c>
    </row>
    <row r="108" spans="6:84">
      <c r="F108" s="51" t="e">
        <f>Ticker0001_Exchange_Sheet!F118-#REF!</f>
      </c>
      <c r="G108" s="51" t="e">
        <f>Ticker0001_Exchange_Sheet!G118-#REF!</f>
      </c>
      <c r="H108" s="51" t="e">
        <f>Ticker0001_Exchange_Sheet!H118-#REF!</f>
      </c>
      <c r="I108" s="51" t="e">
        <f>Ticker0001_Exchange_Sheet!I118-#REF!</f>
      </c>
      <c r="J108" s="51" t="e">
        <f>Ticker0001_Exchange_Sheet!J118-#REF!</f>
      </c>
      <c r="K108" s="51" t="e">
        <f>Ticker0001_Exchange_Sheet!K118-#REF!</f>
      </c>
      <c r="L108" s="51" t="e">
        <f>Ticker0001_Exchange_Sheet!L118-#REF!</f>
      </c>
      <c r="M108" s="51" t="e">
        <f>Ticker0001_Exchange_Sheet!M118-#REF!</f>
      </c>
      <c r="N108" s="51" t="e">
        <f>Ticker0001_Exchange_Sheet!N118-#REF!</f>
      </c>
      <c r="O108" s="51" t="e">
        <f>Ticker0001_Exchange_Sheet!O118-#REF!</f>
      </c>
      <c r="P108" s="51" t="e">
        <f>Ticker0001_Exchange_Sheet!P118-#REF!</f>
      </c>
      <c r="Q108" s="51" t="e">
        <f>Ticker0001_Exchange_Sheet!Q118-#REF!</f>
      </c>
      <c r="R108" s="51" t="e">
        <f>Ticker0001_Exchange_Sheet!R118-#REF!</f>
      </c>
      <c r="S108" s="51" t="e">
        <f>Ticker0001_Exchange_Sheet!S118-#REF!</f>
      </c>
      <c r="T108" s="51" t="e">
        <f>Ticker0001_Exchange_Sheet!T118-#REF!</f>
      </c>
      <c r="U108" s="51" t="e">
        <f>Ticker0001_Exchange_Sheet!U118-#REF!</f>
      </c>
      <c r="V108" s="51" t="e">
        <f>Ticker0001_Exchange_Sheet!V118-#REF!</f>
      </c>
      <c r="W108" s="51" t="e">
        <f>Ticker0001_Exchange_Sheet!W118-#REF!</f>
      </c>
      <c r="X108" s="51" t="e">
        <f>Ticker0001_Exchange_Sheet!AK118-#REF!</f>
      </c>
      <c r="Y108" s="51" t="e">
        <f>Ticker0001_Exchange_Sheet!AX118-#REF!</f>
      </c>
      <c r="Z108" s="51" t="e">
        <f>Ticker0001_Exchange_Sheet!AY118-#REF!</f>
      </c>
      <c r="AA108" s="51" t="e">
        <f>Ticker0001_Exchange_Sheet!AZ118-#REF!</f>
      </c>
      <c r="AB108" s="51" t="e">
        <f>Ticker0001_Exchange_Sheet!BA118-#REF!</f>
      </c>
      <c r="AC108" s="51" t="e">
        <f>Ticker0001_Exchange_Sheet!BB118-#REF!</f>
      </c>
      <c r="AD108" s="51" t="e">
        <f>Ticker0001_Exchange_Sheet!BC118-#REF!</f>
      </c>
      <c r="AE108" s="51" t="e">
        <f>Ticker0001_Exchange_Sheet!BD118-#REF!</f>
      </c>
      <c r="AF108" s="51" t="e">
        <f>Ticker0001_Exchange_Sheet!BE118-#REF!</f>
      </c>
      <c r="AG108" s="51" t="e">
        <f>Ticker0001_Exchange_Sheet!BF118-#REF!</f>
      </c>
      <c r="AH108" s="51" t="e">
        <f>Ticker0001_Exchange_Sheet!BG118-#REF!</f>
      </c>
      <c r="AI108" s="51" t="e">
        <f>Ticker0001_Exchange_Sheet!BH118-#REF!</f>
      </c>
      <c r="AJ108" s="51" t="e">
        <f>Ticker0001_Exchange_Sheet!BI118-#REF!</f>
      </c>
      <c r="AK108" s="51" t="e">
        <f>Ticker0001_Exchange_Sheet!BJ118-#REF!</f>
      </c>
      <c r="AL108" s="51" t="e">
        <f>Ticker0001_Exchange_Sheet!BK118-#REF!</f>
      </c>
      <c r="AM108" s="51" t="e">
        <f>Ticker0001_Exchange_Sheet!BL118-#REF!</f>
      </c>
      <c r="AN108" s="51" t="e">
        <f>Ticker0001_Exchange_Sheet!BM118-#REF!</f>
      </c>
      <c r="AO108" s="51" t="e">
        <f>Ticker0001_Exchange_Sheet!BN118-#REF!</f>
      </c>
      <c r="AP108" s="51" t="e">
        <f>Ticker0001_Exchange_Sheet!BO118-#REF!</f>
      </c>
      <c r="AQ108" s="51" t="e">
        <f>Ticker0001_Exchange_Sheet!BP118-#REF!</f>
      </c>
      <c r="AR108" s="51" t="e">
        <f>Ticker0001_Exchange_Sheet!BQ118-#REF!</f>
      </c>
      <c r="AS108" s="51" t="e">
        <f>Ticker0001_Exchange_Sheet!BR118-#REF!</f>
      </c>
      <c r="AT108" s="51" t="e">
        <f>Ticker0001_Exchange_Sheet!BS118-#REF!</f>
      </c>
      <c r="AU108" s="51" t="e">
        <f>Ticker0001_Exchange_Sheet!BT118-#REF!</f>
      </c>
      <c r="AV108" s="51" t="e">
        <f>Ticker0001_Exchange_Sheet!BU118-#REF!</f>
      </c>
      <c r="AW108" s="51" t="e">
        <f>Ticker0001_Exchange_Sheet!BV118-#REF!</f>
      </c>
      <c r="AX108" s="51" t="e">
        <f>Ticker0001_Exchange_Sheet!BW118-#REF!</f>
      </c>
      <c r="AY108" s="51" t="e">
        <f>Ticker0001_Exchange_Sheet!BX118-#REF!</f>
      </c>
      <c r="AZ108" s="51" t="e">
        <f>Ticker0001_Exchange_Sheet!BY118-#REF!</f>
      </c>
      <c r="BA108" s="51" t="e">
        <f>Ticker0001_Exchange_Sheet!BZ118-#REF!</f>
      </c>
      <c r="BB108" s="51" t="e">
        <f>Ticker0001_Exchange_Sheet!CA118-#REF!</f>
      </c>
      <c r="BC108" s="51" t="e">
        <f>Ticker0001_Exchange_Sheet!CB118-#REF!</f>
      </c>
      <c r="BD108" s="51" t="e">
        <f>Ticker0001_Exchange_Sheet!CC118-#REF!</f>
      </c>
      <c r="BE108" s="51" t="e">
        <f>Ticker0001_Exchange_Sheet!CD118-#REF!</f>
      </c>
      <c r="BF108" s="51" t="e">
        <f>Ticker0001_Exchange_Sheet!CE118-#REF!</f>
      </c>
      <c r="BG108" s="51" t="e">
        <f>Ticker0001_Exchange_Sheet!CF118-#REF!</f>
      </c>
      <c r="BH108" s="51" t="e">
        <f>Ticker0001_Exchange_Sheet!CG118-#REF!</f>
      </c>
      <c r="BI108" s="51" t="e">
        <f>Ticker0001_Exchange_Sheet!CH118-#REF!</f>
      </c>
      <c r="BJ108" s="51" t="e">
        <f>Ticker0001_Exchange_Sheet!CI118-#REF!</f>
      </c>
      <c r="BK108" s="51" t="e">
        <f>Ticker0001_Exchange_Sheet!CJ118-#REF!</f>
      </c>
      <c r="BL108" s="51" t="e">
        <f>Ticker0001_Exchange_Sheet!CK118-#REF!</f>
      </c>
      <c r="BM108" s="51" t="e">
        <f>Ticker0001_Exchange_Sheet!CL118-#REF!</f>
      </c>
      <c r="BN108" s="51" t="e">
        <f>Ticker0001_Exchange_Sheet!CM118-#REF!</f>
      </c>
      <c r="BO108" s="51" t="e">
        <f>Ticker0001_Exchange_Sheet!CN118-#REF!</f>
      </c>
      <c r="BP108" s="51" t="e">
        <f>Ticker0001_Exchange_Sheet!CO118-#REF!</f>
      </c>
      <c r="BQ108" s="51" t="e">
        <f>Ticker0001_Exchange_Sheet!CP118-#REF!</f>
      </c>
      <c r="BR108" s="51" t="e">
        <f>Ticker0001_Exchange_Sheet!CQ118-#REF!</f>
      </c>
      <c r="BS108" s="51" t="e">
        <f>Ticker0001_Exchange_Sheet!CR118-#REF!</f>
      </c>
      <c r="BT108" s="51" t="e">
        <f>Ticker0001_Exchange_Sheet!CS118-#REF!</f>
      </c>
      <c r="BU108" s="51" t="e">
        <f>Ticker0001_Exchange_Sheet!CT118-#REF!</f>
      </c>
      <c r="BV108" s="51" t="e">
        <f>Ticker0001_Exchange_Sheet!CU118-#REF!</f>
      </c>
      <c r="BW108" s="51" t="e">
        <f>Ticker0001_Exchange_Sheet!CV118-#REF!</f>
      </c>
      <c r="BX108" s="51" t="e">
        <f>Ticker0001_Exchange_Sheet!CW118-#REF!</f>
      </c>
      <c r="BY108" s="51" t="e">
        <f>Ticker0001_Exchange_Sheet!CX118-#REF!</f>
      </c>
      <c r="BZ108" s="51" t="e">
        <f>Ticker0001_Exchange_Sheet!CY118-#REF!</f>
      </c>
      <c r="CA108" s="51" t="e">
        <f>Ticker0001_Exchange_Sheet!CZ118-#REF!</f>
      </c>
      <c r="CB108" s="51" t="e">
        <f>Ticker0001_Exchange_Sheet!DA118-#REF!</f>
      </c>
      <c r="CC108" s="51" t="e">
        <f>Ticker0001_Exchange_Sheet!DB118-#REF!</f>
      </c>
      <c r="CD108" s="51" t="e">
        <f>Ticker0001_Exchange_Sheet!DC118-#REF!</f>
      </c>
      <c r="CE108" s="51" t="e">
        <f>Ticker0001_Exchange_Sheet!DD118-#REF!</f>
      </c>
      <c r="CF108" s="51" t="e">
        <f>Ticker0001_Exchange_Sheet!DE118-#REF!</f>
      </c>
    </row>
    <row r="109" spans="6:84">
      <c r="F109" s="51" t="e">
        <f>Ticker0001_Exchange_Sheet!F119-#REF!</f>
      </c>
      <c r="G109" s="51" t="e">
        <f>Ticker0001_Exchange_Sheet!G119-#REF!</f>
      </c>
      <c r="H109" s="51" t="e">
        <f>Ticker0001_Exchange_Sheet!H119-#REF!</f>
      </c>
      <c r="I109" s="51" t="e">
        <f>Ticker0001_Exchange_Sheet!I119-#REF!</f>
      </c>
      <c r="J109" s="51" t="e">
        <f>Ticker0001_Exchange_Sheet!J119-#REF!</f>
      </c>
      <c r="K109" s="51" t="e">
        <f>Ticker0001_Exchange_Sheet!K119-#REF!</f>
      </c>
      <c r="L109" s="51" t="e">
        <f>Ticker0001_Exchange_Sheet!L119-#REF!</f>
      </c>
      <c r="M109" s="51" t="e">
        <f>Ticker0001_Exchange_Sheet!M119-#REF!</f>
      </c>
      <c r="N109" s="51" t="e">
        <f>Ticker0001_Exchange_Sheet!N119-#REF!</f>
      </c>
      <c r="O109" s="51" t="e">
        <f>Ticker0001_Exchange_Sheet!O119-#REF!</f>
      </c>
      <c r="P109" s="51" t="e">
        <f>Ticker0001_Exchange_Sheet!P119-#REF!</f>
      </c>
      <c r="Q109" s="51" t="e">
        <f>Ticker0001_Exchange_Sheet!Q119-#REF!</f>
      </c>
      <c r="R109" s="51" t="e">
        <f>Ticker0001_Exchange_Sheet!R119-#REF!</f>
      </c>
      <c r="S109" s="51" t="e">
        <f>Ticker0001_Exchange_Sheet!S119-#REF!</f>
      </c>
      <c r="T109" s="51" t="e">
        <f>Ticker0001_Exchange_Sheet!T119-#REF!</f>
      </c>
      <c r="U109" s="51" t="e">
        <f>Ticker0001_Exchange_Sheet!U119-#REF!</f>
      </c>
      <c r="V109" s="51" t="e">
        <f>Ticker0001_Exchange_Sheet!V119-#REF!</f>
      </c>
      <c r="W109" s="51" t="e">
        <f>Ticker0001_Exchange_Sheet!W119-#REF!</f>
      </c>
      <c r="X109" s="51" t="e">
        <f>Ticker0001_Exchange_Sheet!AK119-#REF!</f>
      </c>
      <c r="Y109" s="51" t="e">
        <f>Ticker0001_Exchange_Sheet!AX119-#REF!</f>
      </c>
      <c r="Z109" s="51" t="e">
        <f>Ticker0001_Exchange_Sheet!AY119-#REF!</f>
      </c>
      <c r="AA109" s="51" t="e">
        <f>Ticker0001_Exchange_Sheet!AZ119-#REF!</f>
      </c>
      <c r="AB109" s="51" t="e">
        <f>Ticker0001_Exchange_Sheet!BA119-#REF!</f>
      </c>
      <c r="AC109" s="51" t="e">
        <f>Ticker0001_Exchange_Sheet!BB119-#REF!</f>
      </c>
      <c r="AD109" s="51" t="e">
        <f>Ticker0001_Exchange_Sheet!BC119-#REF!</f>
      </c>
      <c r="AE109" s="51" t="e">
        <f>Ticker0001_Exchange_Sheet!BD119-#REF!</f>
      </c>
      <c r="AF109" s="51" t="e">
        <f>Ticker0001_Exchange_Sheet!BE119-#REF!</f>
      </c>
      <c r="AG109" s="51" t="e">
        <f>Ticker0001_Exchange_Sheet!BF119-#REF!</f>
      </c>
      <c r="AH109" s="51" t="e">
        <f>Ticker0001_Exchange_Sheet!BG119-#REF!</f>
      </c>
      <c r="AI109" s="51" t="e">
        <f>Ticker0001_Exchange_Sheet!BH119-#REF!</f>
      </c>
      <c r="AJ109" s="51" t="e">
        <f>Ticker0001_Exchange_Sheet!BI119-#REF!</f>
      </c>
      <c r="AK109" s="51" t="e">
        <f>Ticker0001_Exchange_Sheet!BJ119-#REF!</f>
      </c>
      <c r="AL109" s="51" t="e">
        <f>Ticker0001_Exchange_Sheet!BK119-#REF!</f>
      </c>
      <c r="AM109" s="51" t="e">
        <f>Ticker0001_Exchange_Sheet!BL119-#REF!</f>
      </c>
      <c r="AN109" s="51" t="e">
        <f>Ticker0001_Exchange_Sheet!BM119-#REF!</f>
      </c>
      <c r="AO109" s="51" t="e">
        <f>Ticker0001_Exchange_Sheet!BN119-#REF!</f>
      </c>
      <c r="AP109" s="51" t="e">
        <f>Ticker0001_Exchange_Sheet!BO119-#REF!</f>
      </c>
      <c r="AQ109" s="51" t="e">
        <f>Ticker0001_Exchange_Sheet!BP119-#REF!</f>
      </c>
      <c r="AR109" s="51" t="e">
        <f>Ticker0001_Exchange_Sheet!BQ119-#REF!</f>
      </c>
      <c r="AS109" s="51" t="e">
        <f>Ticker0001_Exchange_Sheet!BR119-#REF!</f>
      </c>
      <c r="AT109" s="51" t="e">
        <f>Ticker0001_Exchange_Sheet!BS119-#REF!</f>
      </c>
      <c r="AU109" s="51" t="e">
        <f>Ticker0001_Exchange_Sheet!BT119-#REF!</f>
      </c>
      <c r="AV109" s="51" t="e">
        <f>Ticker0001_Exchange_Sheet!BU119-#REF!</f>
      </c>
      <c r="AW109" s="51" t="e">
        <f>Ticker0001_Exchange_Sheet!BV119-#REF!</f>
      </c>
      <c r="AX109" s="51" t="e">
        <f>Ticker0001_Exchange_Sheet!BW119-#REF!</f>
      </c>
      <c r="AY109" s="51" t="e">
        <f>Ticker0001_Exchange_Sheet!BX119-#REF!</f>
      </c>
      <c r="AZ109" s="51" t="e">
        <f>Ticker0001_Exchange_Sheet!BY119-#REF!</f>
      </c>
      <c r="BA109" s="51" t="e">
        <f>Ticker0001_Exchange_Sheet!BZ119-#REF!</f>
      </c>
      <c r="BB109" s="51" t="e">
        <f>Ticker0001_Exchange_Sheet!CA119-#REF!</f>
      </c>
      <c r="BC109" s="51" t="e">
        <f>Ticker0001_Exchange_Sheet!CB119-#REF!</f>
      </c>
      <c r="BD109" s="51" t="e">
        <f>Ticker0001_Exchange_Sheet!CC119-#REF!</f>
      </c>
      <c r="BE109" s="51" t="e">
        <f>Ticker0001_Exchange_Sheet!CD119-#REF!</f>
      </c>
      <c r="BF109" s="51" t="e">
        <f>Ticker0001_Exchange_Sheet!CE119-#REF!</f>
      </c>
      <c r="BG109" s="51" t="e">
        <f>Ticker0001_Exchange_Sheet!CF119-#REF!</f>
      </c>
      <c r="BH109" s="51" t="e">
        <f>Ticker0001_Exchange_Sheet!CG119-#REF!</f>
      </c>
      <c r="BI109" s="51" t="e">
        <f>Ticker0001_Exchange_Sheet!CH119-#REF!</f>
      </c>
      <c r="BJ109" s="51" t="e">
        <f>Ticker0001_Exchange_Sheet!CI119-#REF!</f>
      </c>
      <c r="BK109" s="51" t="e">
        <f>Ticker0001_Exchange_Sheet!CJ119-#REF!</f>
      </c>
      <c r="BL109" s="51" t="e">
        <f>Ticker0001_Exchange_Sheet!CK119-#REF!</f>
      </c>
      <c r="BM109" s="51" t="e">
        <f>Ticker0001_Exchange_Sheet!CL119-#REF!</f>
      </c>
      <c r="BN109" s="51" t="e">
        <f>Ticker0001_Exchange_Sheet!CM119-#REF!</f>
      </c>
      <c r="BO109" s="51" t="e">
        <f>Ticker0001_Exchange_Sheet!CN119-#REF!</f>
      </c>
      <c r="BP109" s="51" t="e">
        <f>Ticker0001_Exchange_Sheet!CO119-#REF!</f>
      </c>
      <c r="BQ109" s="51" t="e">
        <f>Ticker0001_Exchange_Sheet!CP119-#REF!</f>
      </c>
      <c r="BR109" s="51" t="e">
        <f>Ticker0001_Exchange_Sheet!CQ119-#REF!</f>
      </c>
      <c r="BS109" s="51" t="e">
        <f>Ticker0001_Exchange_Sheet!CR119-#REF!</f>
      </c>
      <c r="BT109" s="51" t="e">
        <f>Ticker0001_Exchange_Sheet!CS119-#REF!</f>
      </c>
      <c r="BU109" s="51" t="e">
        <f>Ticker0001_Exchange_Sheet!CT119-#REF!</f>
      </c>
      <c r="BV109" s="51" t="e">
        <f>Ticker0001_Exchange_Sheet!CU119-#REF!</f>
      </c>
      <c r="BW109" s="51" t="e">
        <f>Ticker0001_Exchange_Sheet!CV119-#REF!</f>
      </c>
      <c r="BX109" s="51" t="e">
        <f>Ticker0001_Exchange_Sheet!CW119-#REF!</f>
      </c>
      <c r="BY109" s="51" t="e">
        <f>Ticker0001_Exchange_Sheet!CX119-#REF!</f>
      </c>
      <c r="BZ109" s="51" t="e">
        <f>Ticker0001_Exchange_Sheet!CY119-#REF!</f>
      </c>
      <c r="CA109" s="51" t="e">
        <f>Ticker0001_Exchange_Sheet!CZ119-#REF!</f>
      </c>
      <c r="CB109" s="51" t="e">
        <f>Ticker0001_Exchange_Sheet!DA119-#REF!</f>
      </c>
      <c r="CC109" s="51" t="e">
        <f>Ticker0001_Exchange_Sheet!DB119-#REF!</f>
      </c>
      <c r="CD109" s="51" t="e">
        <f>Ticker0001_Exchange_Sheet!DC119-#REF!</f>
      </c>
      <c r="CE109" s="51" t="e">
        <f>Ticker0001_Exchange_Sheet!DD119-#REF!</f>
      </c>
      <c r="CF109" s="51" t="e">
        <f>Ticker0001_Exchange_Sheet!DE119-#REF!</f>
      </c>
    </row>
    <row r="110" spans="6:84">
      <c r="F110" s="51" t="e">
        <f>Ticker0001_Exchange_Sheet!F120-#REF!</f>
      </c>
      <c r="G110" s="51" t="e">
        <f>Ticker0001_Exchange_Sheet!G120-#REF!</f>
      </c>
      <c r="H110" s="51" t="e">
        <f>Ticker0001_Exchange_Sheet!H120-#REF!</f>
      </c>
      <c r="I110" s="51" t="e">
        <f>Ticker0001_Exchange_Sheet!I120-#REF!</f>
      </c>
      <c r="J110" s="51" t="e">
        <f>Ticker0001_Exchange_Sheet!J120-#REF!</f>
      </c>
      <c r="K110" s="51" t="e">
        <f>Ticker0001_Exchange_Sheet!K120-#REF!</f>
      </c>
      <c r="L110" s="51" t="e">
        <f>Ticker0001_Exchange_Sheet!L120-#REF!</f>
      </c>
      <c r="M110" s="51" t="e">
        <f>Ticker0001_Exchange_Sheet!M120-#REF!</f>
      </c>
      <c r="N110" s="51" t="e">
        <f>Ticker0001_Exchange_Sheet!N120-#REF!</f>
      </c>
      <c r="O110" s="51" t="e">
        <f>Ticker0001_Exchange_Sheet!O120-#REF!</f>
      </c>
      <c r="P110" s="51" t="e">
        <f>Ticker0001_Exchange_Sheet!P120-#REF!</f>
      </c>
      <c r="Q110" s="51" t="e">
        <f>Ticker0001_Exchange_Sheet!Q120-#REF!</f>
      </c>
      <c r="R110" s="51" t="e">
        <f>Ticker0001_Exchange_Sheet!R120-#REF!</f>
      </c>
      <c r="S110" s="51" t="e">
        <f>Ticker0001_Exchange_Sheet!S120-#REF!</f>
      </c>
      <c r="T110" s="51" t="e">
        <f>Ticker0001_Exchange_Sheet!T120-#REF!</f>
      </c>
      <c r="U110" s="51" t="e">
        <f>Ticker0001_Exchange_Sheet!U120-#REF!</f>
      </c>
      <c r="V110" s="51" t="e">
        <f>Ticker0001_Exchange_Sheet!V120-#REF!</f>
      </c>
      <c r="W110" s="51" t="e">
        <f>Ticker0001_Exchange_Sheet!W120-#REF!</f>
      </c>
      <c r="X110" s="51" t="e">
        <f>Ticker0001_Exchange_Sheet!AK120-#REF!</f>
      </c>
      <c r="Y110" s="51" t="e">
        <f>Ticker0001_Exchange_Sheet!AX120-#REF!</f>
      </c>
      <c r="Z110" s="51" t="e">
        <f>Ticker0001_Exchange_Sheet!AY120-#REF!</f>
      </c>
      <c r="AA110" s="51" t="e">
        <f>Ticker0001_Exchange_Sheet!AZ120-#REF!</f>
      </c>
      <c r="AB110" s="51" t="e">
        <f>Ticker0001_Exchange_Sheet!BA120-#REF!</f>
      </c>
      <c r="AC110" s="51" t="e">
        <f>Ticker0001_Exchange_Sheet!BB120-#REF!</f>
      </c>
      <c r="AD110" s="51" t="e">
        <f>Ticker0001_Exchange_Sheet!BC120-#REF!</f>
      </c>
      <c r="AE110" s="51" t="e">
        <f>Ticker0001_Exchange_Sheet!BD120-#REF!</f>
      </c>
      <c r="AF110" s="51" t="e">
        <f>Ticker0001_Exchange_Sheet!BE120-#REF!</f>
      </c>
      <c r="AG110" s="51" t="e">
        <f>Ticker0001_Exchange_Sheet!BF120-#REF!</f>
      </c>
      <c r="AH110" s="51" t="e">
        <f>Ticker0001_Exchange_Sheet!BG120-#REF!</f>
      </c>
      <c r="AI110" s="51" t="e">
        <f>Ticker0001_Exchange_Sheet!BH120-#REF!</f>
      </c>
      <c r="AJ110" s="51" t="e">
        <f>Ticker0001_Exchange_Sheet!BI120-#REF!</f>
      </c>
      <c r="AK110" s="51" t="e">
        <f>Ticker0001_Exchange_Sheet!BJ120-#REF!</f>
      </c>
      <c r="AL110" s="51" t="e">
        <f>Ticker0001_Exchange_Sheet!BK120-#REF!</f>
      </c>
      <c r="AM110" s="51" t="e">
        <f>Ticker0001_Exchange_Sheet!BL120-#REF!</f>
      </c>
      <c r="AN110" s="51" t="e">
        <f>Ticker0001_Exchange_Sheet!BM120-#REF!</f>
      </c>
      <c r="AO110" s="51" t="e">
        <f>Ticker0001_Exchange_Sheet!BN120-#REF!</f>
      </c>
      <c r="AP110" s="51" t="e">
        <f>Ticker0001_Exchange_Sheet!BO120-#REF!</f>
      </c>
      <c r="AQ110" s="51" t="e">
        <f>Ticker0001_Exchange_Sheet!BP120-#REF!</f>
      </c>
      <c r="AR110" s="51" t="e">
        <f>Ticker0001_Exchange_Sheet!BQ120-#REF!</f>
      </c>
      <c r="AS110" s="51" t="e">
        <f>Ticker0001_Exchange_Sheet!BR120-#REF!</f>
      </c>
      <c r="AT110" s="51" t="e">
        <f>Ticker0001_Exchange_Sheet!BS120-#REF!</f>
      </c>
      <c r="AU110" s="51" t="e">
        <f>Ticker0001_Exchange_Sheet!BT120-#REF!</f>
      </c>
      <c r="AV110" s="51" t="e">
        <f>Ticker0001_Exchange_Sheet!BU120-#REF!</f>
      </c>
      <c r="AW110" s="51" t="e">
        <f>Ticker0001_Exchange_Sheet!BV120-#REF!</f>
      </c>
      <c r="AX110" s="51" t="e">
        <f>Ticker0001_Exchange_Sheet!BW120-#REF!</f>
      </c>
      <c r="AY110" s="51" t="e">
        <f>Ticker0001_Exchange_Sheet!BX120-#REF!</f>
      </c>
      <c r="AZ110" s="51" t="e">
        <f>Ticker0001_Exchange_Sheet!BY120-#REF!</f>
      </c>
      <c r="BA110" s="51" t="e">
        <f>Ticker0001_Exchange_Sheet!BZ120-#REF!</f>
      </c>
      <c r="BB110" s="51" t="e">
        <f>Ticker0001_Exchange_Sheet!CA120-#REF!</f>
      </c>
      <c r="BC110" s="51" t="e">
        <f>Ticker0001_Exchange_Sheet!CB120-#REF!</f>
      </c>
      <c r="BD110" s="51" t="e">
        <f>Ticker0001_Exchange_Sheet!CC120-#REF!</f>
      </c>
      <c r="BE110" s="51" t="e">
        <f>Ticker0001_Exchange_Sheet!CD120-#REF!</f>
      </c>
      <c r="BF110" s="51" t="e">
        <f>Ticker0001_Exchange_Sheet!CE120-#REF!</f>
      </c>
      <c r="BG110" s="51" t="e">
        <f>Ticker0001_Exchange_Sheet!CF120-#REF!</f>
      </c>
      <c r="BH110" s="51" t="e">
        <f>Ticker0001_Exchange_Sheet!CG120-#REF!</f>
      </c>
      <c r="BI110" s="51" t="e">
        <f>Ticker0001_Exchange_Sheet!CH120-#REF!</f>
      </c>
      <c r="BJ110" s="51" t="e">
        <f>Ticker0001_Exchange_Sheet!CI120-#REF!</f>
      </c>
      <c r="BK110" s="51" t="e">
        <f>Ticker0001_Exchange_Sheet!CJ120-#REF!</f>
      </c>
      <c r="BL110" s="51" t="e">
        <f>Ticker0001_Exchange_Sheet!CK120-#REF!</f>
      </c>
      <c r="BM110" s="51" t="e">
        <f>Ticker0001_Exchange_Sheet!CL120-#REF!</f>
      </c>
      <c r="BN110" s="51" t="e">
        <f>Ticker0001_Exchange_Sheet!CM120-#REF!</f>
      </c>
      <c r="BO110" s="51" t="e">
        <f>Ticker0001_Exchange_Sheet!CN120-#REF!</f>
      </c>
      <c r="BP110" s="51" t="e">
        <f>Ticker0001_Exchange_Sheet!CO120-#REF!</f>
      </c>
      <c r="BQ110" s="51" t="e">
        <f>Ticker0001_Exchange_Sheet!CP120-#REF!</f>
      </c>
      <c r="BR110" s="51" t="e">
        <f>Ticker0001_Exchange_Sheet!CQ120-#REF!</f>
      </c>
      <c r="BS110" s="51" t="e">
        <f>Ticker0001_Exchange_Sheet!CR120-#REF!</f>
      </c>
      <c r="BT110" s="51" t="e">
        <f>Ticker0001_Exchange_Sheet!CS120-#REF!</f>
      </c>
      <c r="BU110" s="51" t="e">
        <f>Ticker0001_Exchange_Sheet!CT120-#REF!</f>
      </c>
      <c r="BV110" s="51" t="e">
        <f>Ticker0001_Exchange_Sheet!CU120-#REF!</f>
      </c>
      <c r="BW110" s="51" t="e">
        <f>Ticker0001_Exchange_Sheet!CV120-#REF!</f>
      </c>
      <c r="BX110" s="51" t="e">
        <f>Ticker0001_Exchange_Sheet!CW120-#REF!</f>
      </c>
      <c r="BY110" s="51" t="e">
        <f>Ticker0001_Exchange_Sheet!CX120-#REF!</f>
      </c>
      <c r="BZ110" s="51" t="e">
        <f>Ticker0001_Exchange_Sheet!CY120-#REF!</f>
      </c>
      <c r="CA110" s="51" t="e">
        <f>Ticker0001_Exchange_Sheet!CZ120-#REF!</f>
      </c>
      <c r="CB110" s="51" t="e">
        <f>Ticker0001_Exchange_Sheet!DA120-#REF!</f>
      </c>
      <c r="CC110" s="51" t="e">
        <f>Ticker0001_Exchange_Sheet!DB120-#REF!</f>
      </c>
      <c r="CD110" s="51" t="e">
        <f>Ticker0001_Exchange_Sheet!DC120-#REF!</f>
      </c>
      <c r="CE110" s="51" t="e">
        <f>Ticker0001_Exchange_Sheet!DD120-#REF!</f>
      </c>
      <c r="CF110" s="51" t="e">
        <f>Ticker0001_Exchange_Sheet!DE120-#REF!</f>
      </c>
    </row>
    <row r="111" spans="6:84">
      <c r="F111" s="51" t="e">
        <f>Ticker0001_Exchange_Sheet!F121-#REF!</f>
      </c>
      <c r="G111" s="51" t="e">
        <f>Ticker0001_Exchange_Sheet!G121-#REF!</f>
      </c>
      <c r="H111" s="51" t="e">
        <f>Ticker0001_Exchange_Sheet!H121-#REF!</f>
      </c>
      <c r="I111" s="51" t="e">
        <f>Ticker0001_Exchange_Sheet!I121-#REF!</f>
      </c>
      <c r="J111" s="51" t="e">
        <f>Ticker0001_Exchange_Sheet!J121-#REF!</f>
      </c>
      <c r="K111" s="51" t="e">
        <f>Ticker0001_Exchange_Sheet!K121-#REF!</f>
      </c>
      <c r="L111" s="51" t="e">
        <f>Ticker0001_Exchange_Sheet!L121-#REF!</f>
      </c>
      <c r="M111" s="51" t="e">
        <f>Ticker0001_Exchange_Sheet!M121-#REF!</f>
      </c>
      <c r="N111" s="51" t="e">
        <f>Ticker0001_Exchange_Sheet!N121-#REF!</f>
      </c>
      <c r="O111" s="51" t="e">
        <f>Ticker0001_Exchange_Sheet!O121-#REF!</f>
      </c>
      <c r="P111" s="51" t="e">
        <f>Ticker0001_Exchange_Sheet!P121-#REF!</f>
      </c>
      <c r="Q111" s="51" t="e">
        <f>Ticker0001_Exchange_Sheet!Q121-#REF!</f>
      </c>
      <c r="R111" s="51" t="e">
        <f>Ticker0001_Exchange_Sheet!R121-#REF!</f>
      </c>
      <c r="S111" s="51" t="e">
        <f>Ticker0001_Exchange_Sheet!S121-#REF!</f>
      </c>
      <c r="T111" s="51" t="e">
        <f>Ticker0001_Exchange_Sheet!T121-#REF!</f>
      </c>
      <c r="U111" s="51" t="e">
        <f>Ticker0001_Exchange_Sheet!U121-#REF!</f>
      </c>
      <c r="V111" s="51" t="e">
        <f>Ticker0001_Exchange_Sheet!V121-#REF!</f>
      </c>
      <c r="W111" s="51" t="e">
        <f>Ticker0001_Exchange_Sheet!W121-#REF!</f>
      </c>
      <c r="X111" s="51" t="e">
        <f>Ticker0001_Exchange_Sheet!AK121-#REF!</f>
      </c>
      <c r="Y111" s="51" t="e">
        <f>Ticker0001_Exchange_Sheet!AX121-#REF!</f>
      </c>
      <c r="Z111" s="51" t="e">
        <f>Ticker0001_Exchange_Sheet!AY121-#REF!</f>
      </c>
      <c r="AA111" s="51" t="e">
        <f>Ticker0001_Exchange_Sheet!AZ121-#REF!</f>
      </c>
      <c r="AB111" s="51" t="e">
        <f>Ticker0001_Exchange_Sheet!BA121-#REF!</f>
      </c>
      <c r="AC111" s="51" t="e">
        <f>Ticker0001_Exchange_Sheet!BB121-#REF!</f>
      </c>
      <c r="AD111" s="51" t="e">
        <f>Ticker0001_Exchange_Sheet!BC121-#REF!</f>
      </c>
      <c r="AE111" s="51" t="e">
        <f>Ticker0001_Exchange_Sheet!BD121-#REF!</f>
      </c>
      <c r="AF111" s="51" t="e">
        <f>Ticker0001_Exchange_Sheet!BE121-#REF!</f>
      </c>
      <c r="AG111" s="51" t="e">
        <f>Ticker0001_Exchange_Sheet!BF121-#REF!</f>
      </c>
      <c r="AH111" s="51" t="e">
        <f>Ticker0001_Exchange_Sheet!BG121-#REF!</f>
      </c>
      <c r="AI111" s="51" t="e">
        <f>Ticker0001_Exchange_Sheet!BH121-#REF!</f>
      </c>
      <c r="AJ111" s="51" t="e">
        <f>Ticker0001_Exchange_Sheet!BI121-#REF!</f>
      </c>
      <c r="AK111" s="51" t="e">
        <f>Ticker0001_Exchange_Sheet!BJ121-#REF!</f>
      </c>
      <c r="AL111" s="51" t="e">
        <f>Ticker0001_Exchange_Sheet!BK121-#REF!</f>
      </c>
      <c r="AM111" s="51" t="e">
        <f>Ticker0001_Exchange_Sheet!BL121-#REF!</f>
      </c>
      <c r="AN111" s="51" t="e">
        <f>Ticker0001_Exchange_Sheet!BM121-#REF!</f>
      </c>
      <c r="AO111" s="51" t="e">
        <f>Ticker0001_Exchange_Sheet!BN121-#REF!</f>
      </c>
      <c r="AP111" s="51" t="e">
        <f>Ticker0001_Exchange_Sheet!BO121-#REF!</f>
      </c>
      <c r="AQ111" s="51" t="e">
        <f>Ticker0001_Exchange_Sheet!BP121-#REF!</f>
      </c>
      <c r="AR111" s="51" t="e">
        <f>Ticker0001_Exchange_Sheet!BQ121-#REF!</f>
      </c>
      <c r="AS111" s="51" t="e">
        <f>Ticker0001_Exchange_Sheet!BR121-#REF!</f>
      </c>
      <c r="AT111" s="51" t="e">
        <f>Ticker0001_Exchange_Sheet!BS121-#REF!</f>
      </c>
      <c r="AU111" s="51" t="e">
        <f>Ticker0001_Exchange_Sheet!BT121-#REF!</f>
      </c>
      <c r="AV111" s="51" t="e">
        <f>Ticker0001_Exchange_Sheet!BU121-#REF!</f>
      </c>
      <c r="AW111" s="51" t="e">
        <f>Ticker0001_Exchange_Sheet!BV121-#REF!</f>
      </c>
      <c r="AX111" s="51" t="e">
        <f>Ticker0001_Exchange_Sheet!BW121-#REF!</f>
      </c>
      <c r="AY111" s="51" t="e">
        <f>Ticker0001_Exchange_Sheet!BX121-#REF!</f>
      </c>
      <c r="AZ111" s="51" t="e">
        <f>Ticker0001_Exchange_Sheet!BY121-#REF!</f>
      </c>
      <c r="BA111" s="51" t="e">
        <f>Ticker0001_Exchange_Sheet!BZ121-#REF!</f>
      </c>
      <c r="BB111" s="51" t="e">
        <f>Ticker0001_Exchange_Sheet!CA121-#REF!</f>
      </c>
      <c r="BC111" s="51" t="e">
        <f>Ticker0001_Exchange_Sheet!CB121-#REF!</f>
      </c>
      <c r="BD111" s="51" t="e">
        <f>Ticker0001_Exchange_Sheet!CC121-#REF!</f>
      </c>
      <c r="BE111" s="51" t="e">
        <f>Ticker0001_Exchange_Sheet!CD121-#REF!</f>
      </c>
      <c r="BF111" s="51" t="e">
        <f>Ticker0001_Exchange_Sheet!CE121-#REF!</f>
      </c>
      <c r="BG111" s="51" t="e">
        <f>Ticker0001_Exchange_Sheet!CF121-#REF!</f>
      </c>
      <c r="BH111" s="51" t="e">
        <f>Ticker0001_Exchange_Sheet!CG121-#REF!</f>
      </c>
      <c r="BI111" s="51" t="e">
        <f>Ticker0001_Exchange_Sheet!CH121-#REF!</f>
      </c>
      <c r="BJ111" s="51" t="e">
        <f>Ticker0001_Exchange_Sheet!CI121-#REF!</f>
      </c>
      <c r="BK111" s="51" t="e">
        <f>Ticker0001_Exchange_Sheet!CJ121-#REF!</f>
      </c>
      <c r="BL111" s="51" t="e">
        <f>Ticker0001_Exchange_Sheet!CK121-#REF!</f>
      </c>
      <c r="BM111" s="51" t="e">
        <f>Ticker0001_Exchange_Sheet!CL121-#REF!</f>
      </c>
      <c r="BN111" s="51" t="e">
        <f>Ticker0001_Exchange_Sheet!CM121-#REF!</f>
      </c>
      <c r="BO111" s="51" t="e">
        <f>Ticker0001_Exchange_Sheet!CN121-#REF!</f>
      </c>
      <c r="BP111" s="51" t="e">
        <f>Ticker0001_Exchange_Sheet!CO121-#REF!</f>
      </c>
      <c r="BQ111" s="51" t="e">
        <f>Ticker0001_Exchange_Sheet!CP121-#REF!</f>
      </c>
      <c r="BR111" s="51" t="e">
        <f>Ticker0001_Exchange_Sheet!CQ121-#REF!</f>
      </c>
      <c r="BS111" s="51" t="e">
        <f>Ticker0001_Exchange_Sheet!CR121-#REF!</f>
      </c>
      <c r="BT111" s="51" t="e">
        <f>Ticker0001_Exchange_Sheet!CS121-#REF!</f>
      </c>
      <c r="BU111" s="51" t="e">
        <f>Ticker0001_Exchange_Sheet!CT121-#REF!</f>
      </c>
      <c r="BV111" s="51" t="e">
        <f>Ticker0001_Exchange_Sheet!CU121-#REF!</f>
      </c>
      <c r="BW111" s="51" t="e">
        <f>Ticker0001_Exchange_Sheet!CV121-#REF!</f>
      </c>
      <c r="BX111" s="51" t="e">
        <f>Ticker0001_Exchange_Sheet!CW121-#REF!</f>
      </c>
      <c r="BY111" s="51" t="e">
        <f>Ticker0001_Exchange_Sheet!CX121-#REF!</f>
      </c>
      <c r="BZ111" s="51" t="e">
        <f>Ticker0001_Exchange_Sheet!CY121-#REF!</f>
      </c>
      <c r="CA111" s="51" t="e">
        <f>Ticker0001_Exchange_Sheet!CZ121-#REF!</f>
      </c>
      <c r="CB111" s="51" t="e">
        <f>Ticker0001_Exchange_Sheet!DA121-#REF!</f>
      </c>
      <c r="CC111" s="51" t="e">
        <f>Ticker0001_Exchange_Sheet!DB121-#REF!</f>
      </c>
      <c r="CD111" s="51" t="e">
        <f>Ticker0001_Exchange_Sheet!DC121-#REF!</f>
      </c>
      <c r="CE111" s="51" t="e">
        <f>Ticker0001_Exchange_Sheet!DD121-#REF!</f>
      </c>
      <c r="CF111" s="51" t="e">
        <f>Ticker0001_Exchange_Sheet!DE121-#REF!</f>
      </c>
    </row>
    <row r="112" spans="6:84">
      <c r="F112" s="51" t="e">
        <f>Ticker0001_Exchange_Sheet!F122-#REF!</f>
      </c>
      <c r="G112" s="51" t="e">
        <f>Ticker0001_Exchange_Sheet!G122-#REF!</f>
      </c>
      <c r="H112" s="51" t="e">
        <f>Ticker0001_Exchange_Sheet!H122-#REF!</f>
      </c>
      <c r="I112" s="51" t="e">
        <f>Ticker0001_Exchange_Sheet!I122-#REF!</f>
      </c>
      <c r="J112" s="51" t="e">
        <f>Ticker0001_Exchange_Sheet!J122-#REF!</f>
      </c>
      <c r="K112" s="51" t="e">
        <f>Ticker0001_Exchange_Sheet!K122-#REF!</f>
      </c>
      <c r="L112" s="51" t="e">
        <f>Ticker0001_Exchange_Sheet!L122-#REF!</f>
      </c>
      <c r="M112" s="51" t="e">
        <f>Ticker0001_Exchange_Sheet!M122-#REF!</f>
      </c>
      <c r="N112" s="51" t="e">
        <f>Ticker0001_Exchange_Sheet!N122-#REF!</f>
      </c>
      <c r="O112" s="51" t="e">
        <f>Ticker0001_Exchange_Sheet!O122-#REF!</f>
      </c>
      <c r="P112" s="51" t="e">
        <f>Ticker0001_Exchange_Sheet!P122-#REF!</f>
      </c>
      <c r="Q112" s="51" t="e">
        <f>Ticker0001_Exchange_Sheet!Q122-#REF!</f>
      </c>
      <c r="R112" s="51" t="e">
        <f>Ticker0001_Exchange_Sheet!R122-#REF!</f>
      </c>
      <c r="S112" s="51" t="e">
        <f>Ticker0001_Exchange_Sheet!S122-#REF!</f>
      </c>
      <c r="T112" s="51" t="e">
        <f>Ticker0001_Exchange_Sheet!T122-#REF!</f>
      </c>
      <c r="U112" s="51" t="e">
        <f>Ticker0001_Exchange_Sheet!U122-#REF!</f>
      </c>
      <c r="V112" s="51" t="e">
        <f>Ticker0001_Exchange_Sheet!V122-#REF!</f>
      </c>
      <c r="W112" s="51" t="e">
        <f>Ticker0001_Exchange_Sheet!W122-#REF!</f>
      </c>
      <c r="X112" s="51" t="e">
        <f>Ticker0001_Exchange_Sheet!AK122-#REF!</f>
      </c>
      <c r="Y112" s="51" t="e">
        <f>Ticker0001_Exchange_Sheet!AX122-#REF!</f>
      </c>
      <c r="Z112" s="51" t="e">
        <f>Ticker0001_Exchange_Sheet!AY122-#REF!</f>
      </c>
      <c r="AA112" s="51" t="e">
        <f>Ticker0001_Exchange_Sheet!AZ122-#REF!</f>
      </c>
      <c r="AB112" s="51" t="e">
        <f>Ticker0001_Exchange_Sheet!BA122-#REF!</f>
      </c>
      <c r="AC112" s="51" t="e">
        <f>Ticker0001_Exchange_Sheet!BB122-#REF!</f>
      </c>
      <c r="AD112" s="51" t="e">
        <f>Ticker0001_Exchange_Sheet!BC122-#REF!</f>
      </c>
      <c r="AE112" s="51" t="e">
        <f>Ticker0001_Exchange_Sheet!BD122-#REF!</f>
      </c>
      <c r="AF112" s="51" t="e">
        <f>Ticker0001_Exchange_Sheet!BE122-#REF!</f>
      </c>
      <c r="AG112" s="51" t="e">
        <f>Ticker0001_Exchange_Sheet!BF122-#REF!</f>
      </c>
      <c r="AH112" s="51" t="e">
        <f>Ticker0001_Exchange_Sheet!BG122-#REF!</f>
      </c>
      <c r="AI112" s="51" t="e">
        <f>Ticker0001_Exchange_Sheet!BH122-#REF!</f>
      </c>
      <c r="AJ112" s="51" t="e">
        <f>Ticker0001_Exchange_Sheet!BI122-#REF!</f>
      </c>
      <c r="AK112" s="51" t="e">
        <f>Ticker0001_Exchange_Sheet!BJ122-#REF!</f>
      </c>
      <c r="AL112" s="51" t="e">
        <f>Ticker0001_Exchange_Sheet!BK122-#REF!</f>
      </c>
      <c r="AM112" s="51" t="e">
        <f>Ticker0001_Exchange_Sheet!BL122-#REF!</f>
      </c>
      <c r="AN112" s="51" t="e">
        <f>Ticker0001_Exchange_Sheet!BM122-#REF!</f>
      </c>
      <c r="AO112" s="51" t="e">
        <f>Ticker0001_Exchange_Sheet!BN122-#REF!</f>
      </c>
      <c r="AP112" s="51" t="e">
        <f>Ticker0001_Exchange_Sheet!BO122-#REF!</f>
      </c>
      <c r="AQ112" s="51" t="e">
        <f>Ticker0001_Exchange_Sheet!BP122-#REF!</f>
      </c>
      <c r="AR112" s="51" t="e">
        <f>Ticker0001_Exchange_Sheet!BQ122-#REF!</f>
      </c>
      <c r="AS112" s="51" t="e">
        <f>Ticker0001_Exchange_Sheet!BR122-#REF!</f>
      </c>
      <c r="AT112" s="51" t="e">
        <f>Ticker0001_Exchange_Sheet!BS122-#REF!</f>
      </c>
      <c r="AU112" s="51" t="e">
        <f>Ticker0001_Exchange_Sheet!BT122-#REF!</f>
      </c>
      <c r="AV112" s="51" t="e">
        <f>Ticker0001_Exchange_Sheet!BU122-#REF!</f>
      </c>
      <c r="AW112" s="51" t="e">
        <f>Ticker0001_Exchange_Sheet!BV122-#REF!</f>
      </c>
      <c r="AX112" s="51" t="e">
        <f>Ticker0001_Exchange_Sheet!BW122-#REF!</f>
      </c>
      <c r="AY112" s="51" t="e">
        <f>Ticker0001_Exchange_Sheet!BX122-#REF!</f>
      </c>
      <c r="AZ112" s="51" t="e">
        <f>Ticker0001_Exchange_Sheet!BY122-#REF!</f>
      </c>
      <c r="BA112" s="51" t="e">
        <f>Ticker0001_Exchange_Sheet!BZ122-#REF!</f>
      </c>
      <c r="BB112" s="51" t="e">
        <f>Ticker0001_Exchange_Sheet!CA122-#REF!</f>
      </c>
      <c r="BC112" s="51" t="e">
        <f>Ticker0001_Exchange_Sheet!CB122-#REF!</f>
      </c>
      <c r="BD112" s="51" t="e">
        <f>Ticker0001_Exchange_Sheet!CC122-#REF!</f>
      </c>
      <c r="BE112" s="51" t="e">
        <f>Ticker0001_Exchange_Sheet!CD122-#REF!</f>
      </c>
      <c r="BF112" s="51" t="e">
        <f>Ticker0001_Exchange_Sheet!CE122-#REF!</f>
      </c>
      <c r="BG112" s="51" t="e">
        <f>Ticker0001_Exchange_Sheet!CF122-#REF!</f>
      </c>
      <c r="BH112" s="51" t="e">
        <f>Ticker0001_Exchange_Sheet!CG122-#REF!</f>
      </c>
      <c r="BI112" s="51" t="e">
        <f>Ticker0001_Exchange_Sheet!CH122-#REF!</f>
      </c>
      <c r="BJ112" s="51" t="e">
        <f>Ticker0001_Exchange_Sheet!CI122-#REF!</f>
      </c>
      <c r="BK112" s="51" t="e">
        <f>Ticker0001_Exchange_Sheet!CJ122-#REF!</f>
      </c>
      <c r="BL112" s="51" t="e">
        <f>Ticker0001_Exchange_Sheet!CK122-#REF!</f>
      </c>
      <c r="BM112" s="51" t="e">
        <f>Ticker0001_Exchange_Sheet!CL122-#REF!</f>
      </c>
      <c r="BN112" s="51" t="e">
        <f>Ticker0001_Exchange_Sheet!CM122-#REF!</f>
      </c>
      <c r="BO112" s="51" t="e">
        <f>Ticker0001_Exchange_Sheet!CN122-#REF!</f>
      </c>
      <c r="BP112" s="51" t="e">
        <f>Ticker0001_Exchange_Sheet!CO122-#REF!</f>
      </c>
      <c r="BQ112" s="51" t="e">
        <f>Ticker0001_Exchange_Sheet!CP122-#REF!</f>
      </c>
      <c r="BR112" s="51" t="e">
        <f>Ticker0001_Exchange_Sheet!CQ122-#REF!</f>
      </c>
      <c r="BS112" s="51" t="e">
        <f>Ticker0001_Exchange_Sheet!CR122-#REF!</f>
      </c>
      <c r="BT112" s="51" t="e">
        <f>Ticker0001_Exchange_Sheet!CS122-#REF!</f>
      </c>
      <c r="BU112" s="51" t="e">
        <f>Ticker0001_Exchange_Sheet!CT122-#REF!</f>
      </c>
      <c r="BV112" s="51" t="e">
        <f>Ticker0001_Exchange_Sheet!CU122-#REF!</f>
      </c>
      <c r="BW112" s="51" t="e">
        <f>Ticker0001_Exchange_Sheet!CV122-#REF!</f>
      </c>
      <c r="BX112" s="51" t="e">
        <f>Ticker0001_Exchange_Sheet!CW122-#REF!</f>
      </c>
      <c r="BY112" s="51" t="e">
        <f>Ticker0001_Exchange_Sheet!CX122-#REF!</f>
      </c>
      <c r="BZ112" s="51" t="e">
        <f>Ticker0001_Exchange_Sheet!CY122-#REF!</f>
      </c>
      <c r="CA112" s="51" t="e">
        <f>Ticker0001_Exchange_Sheet!CZ122-#REF!</f>
      </c>
      <c r="CB112" s="51" t="e">
        <f>Ticker0001_Exchange_Sheet!DA122-#REF!</f>
      </c>
      <c r="CC112" s="51" t="e">
        <f>Ticker0001_Exchange_Sheet!DB122-#REF!</f>
      </c>
      <c r="CD112" s="51" t="e">
        <f>Ticker0001_Exchange_Sheet!DC122-#REF!</f>
      </c>
      <c r="CE112" s="51" t="e">
        <f>Ticker0001_Exchange_Sheet!DD122-#REF!</f>
      </c>
      <c r="CF112" s="51" t="e">
        <f>Ticker0001_Exchange_Sheet!DE122-#REF!</f>
      </c>
    </row>
    <row r="113" spans="6:84">
      <c r="F113" s="51" t="e">
        <f>Ticker0001_Exchange_Sheet!F123-#REF!</f>
      </c>
      <c r="G113" s="51" t="e">
        <f>Ticker0001_Exchange_Sheet!G123-#REF!</f>
      </c>
      <c r="H113" s="51" t="e">
        <f>Ticker0001_Exchange_Sheet!H123-#REF!</f>
      </c>
      <c r="I113" s="51" t="e">
        <f>Ticker0001_Exchange_Sheet!I123-#REF!</f>
      </c>
      <c r="J113" s="51" t="e">
        <f>Ticker0001_Exchange_Sheet!J123-#REF!</f>
      </c>
      <c r="K113" s="51" t="e">
        <f>Ticker0001_Exchange_Sheet!K123-#REF!</f>
      </c>
      <c r="L113" s="51" t="e">
        <f>Ticker0001_Exchange_Sheet!L123-#REF!</f>
      </c>
      <c r="M113" s="51" t="e">
        <f>Ticker0001_Exchange_Sheet!M123-#REF!</f>
      </c>
      <c r="N113" s="51" t="e">
        <f>Ticker0001_Exchange_Sheet!N123-#REF!</f>
      </c>
      <c r="O113" s="51" t="e">
        <f>Ticker0001_Exchange_Sheet!O123-#REF!</f>
      </c>
      <c r="P113" s="51" t="e">
        <f>Ticker0001_Exchange_Sheet!P123-#REF!</f>
      </c>
      <c r="Q113" s="51" t="e">
        <f>Ticker0001_Exchange_Sheet!Q123-#REF!</f>
      </c>
      <c r="R113" s="51" t="e">
        <f>Ticker0001_Exchange_Sheet!R123-#REF!</f>
      </c>
      <c r="S113" s="51" t="e">
        <f>Ticker0001_Exchange_Sheet!S123-#REF!</f>
      </c>
      <c r="T113" s="51" t="e">
        <f>Ticker0001_Exchange_Sheet!T123-#REF!</f>
      </c>
      <c r="U113" s="51" t="e">
        <f>Ticker0001_Exchange_Sheet!U123-#REF!</f>
      </c>
      <c r="V113" s="51" t="e">
        <f>Ticker0001_Exchange_Sheet!V123-#REF!</f>
      </c>
      <c r="W113" s="51" t="e">
        <f>Ticker0001_Exchange_Sheet!W123-#REF!</f>
      </c>
      <c r="X113" s="51" t="e">
        <f>Ticker0001_Exchange_Sheet!AK123-#REF!</f>
      </c>
      <c r="Y113" s="51" t="e">
        <f>Ticker0001_Exchange_Sheet!AX123-#REF!</f>
      </c>
      <c r="Z113" s="51" t="e">
        <f>Ticker0001_Exchange_Sheet!AY123-#REF!</f>
      </c>
      <c r="AA113" s="51" t="e">
        <f>Ticker0001_Exchange_Sheet!AZ123-#REF!</f>
      </c>
      <c r="AB113" s="51" t="e">
        <f>Ticker0001_Exchange_Sheet!BA123-#REF!</f>
      </c>
      <c r="AC113" s="51" t="e">
        <f>Ticker0001_Exchange_Sheet!BB123-#REF!</f>
      </c>
      <c r="AD113" s="51" t="e">
        <f>Ticker0001_Exchange_Sheet!BC123-#REF!</f>
      </c>
      <c r="AE113" s="51" t="e">
        <f>Ticker0001_Exchange_Sheet!BD123-#REF!</f>
      </c>
      <c r="AF113" s="51" t="e">
        <f>Ticker0001_Exchange_Sheet!BE123-#REF!</f>
      </c>
      <c r="AG113" s="51" t="e">
        <f>Ticker0001_Exchange_Sheet!BF123-#REF!</f>
      </c>
      <c r="AH113" s="51" t="e">
        <f>Ticker0001_Exchange_Sheet!BG123-#REF!</f>
      </c>
      <c r="AI113" s="51" t="e">
        <f>Ticker0001_Exchange_Sheet!BH123-#REF!</f>
      </c>
      <c r="AJ113" s="51" t="e">
        <f>Ticker0001_Exchange_Sheet!BI123-#REF!</f>
      </c>
      <c r="AK113" s="51" t="e">
        <f>Ticker0001_Exchange_Sheet!BJ123-#REF!</f>
      </c>
      <c r="AL113" s="51" t="e">
        <f>Ticker0001_Exchange_Sheet!BK123-#REF!</f>
      </c>
      <c r="AM113" s="51" t="e">
        <f>Ticker0001_Exchange_Sheet!BL123-#REF!</f>
      </c>
      <c r="AN113" s="51" t="e">
        <f>Ticker0001_Exchange_Sheet!BM123-#REF!</f>
      </c>
      <c r="AO113" s="51" t="e">
        <f>Ticker0001_Exchange_Sheet!BN123-#REF!</f>
      </c>
      <c r="AP113" s="51" t="e">
        <f>Ticker0001_Exchange_Sheet!BO123-#REF!</f>
      </c>
      <c r="AQ113" s="51" t="e">
        <f>Ticker0001_Exchange_Sheet!BP123-#REF!</f>
      </c>
      <c r="AR113" s="51" t="e">
        <f>Ticker0001_Exchange_Sheet!BQ123-#REF!</f>
      </c>
      <c r="AS113" s="51" t="e">
        <f>Ticker0001_Exchange_Sheet!BR123-#REF!</f>
      </c>
      <c r="AT113" s="51" t="e">
        <f>Ticker0001_Exchange_Sheet!BS123-#REF!</f>
      </c>
      <c r="AU113" s="51" t="e">
        <f>Ticker0001_Exchange_Sheet!BT123-#REF!</f>
      </c>
      <c r="AV113" s="51" t="e">
        <f>Ticker0001_Exchange_Sheet!BU123-#REF!</f>
      </c>
      <c r="AW113" s="51" t="e">
        <f>Ticker0001_Exchange_Sheet!BV123-#REF!</f>
      </c>
      <c r="AX113" s="51" t="e">
        <f>Ticker0001_Exchange_Sheet!BW123-#REF!</f>
      </c>
      <c r="AY113" s="51" t="e">
        <f>Ticker0001_Exchange_Sheet!BX123-#REF!</f>
      </c>
      <c r="AZ113" s="51" t="e">
        <f>Ticker0001_Exchange_Sheet!BY123-#REF!</f>
      </c>
      <c r="BA113" s="51" t="e">
        <f>Ticker0001_Exchange_Sheet!BZ123-#REF!</f>
      </c>
      <c r="BB113" s="51" t="e">
        <f>Ticker0001_Exchange_Sheet!CA123-#REF!</f>
      </c>
      <c r="BC113" s="51" t="e">
        <f>Ticker0001_Exchange_Sheet!CB123-#REF!</f>
      </c>
      <c r="BD113" s="51" t="e">
        <f>Ticker0001_Exchange_Sheet!CC123-#REF!</f>
      </c>
      <c r="BE113" s="51" t="e">
        <f>Ticker0001_Exchange_Sheet!CD123-#REF!</f>
      </c>
      <c r="BF113" s="51" t="e">
        <f>Ticker0001_Exchange_Sheet!CE123-#REF!</f>
      </c>
      <c r="BG113" s="51" t="e">
        <f>Ticker0001_Exchange_Sheet!CF123-#REF!</f>
      </c>
      <c r="BH113" s="51" t="e">
        <f>Ticker0001_Exchange_Sheet!CG123-#REF!</f>
      </c>
      <c r="BI113" s="51" t="e">
        <f>Ticker0001_Exchange_Sheet!CH123-#REF!</f>
      </c>
      <c r="BJ113" s="51" t="e">
        <f>Ticker0001_Exchange_Sheet!CI123-#REF!</f>
      </c>
      <c r="BK113" s="51" t="e">
        <f>Ticker0001_Exchange_Sheet!CJ123-#REF!</f>
      </c>
      <c r="BL113" s="51" t="e">
        <f>Ticker0001_Exchange_Sheet!CK123-#REF!</f>
      </c>
      <c r="BM113" s="51" t="e">
        <f>Ticker0001_Exchange_Sheet!CL123-#REF!</f>
      </c>
      <c r="BN113" s="51" t="e">
        <f>Ticker0001_Exchange_Sheet!CM123-#REF!</f>
      </c>
      <c r="BO113" s="51" t="e">
        <f>Ticker0001_Exchange_Sheet!CN123-#REF!</f>
      </c>
      <c r="BP113" s="51" t="e">
        <f>Ticker0001_Exchange_Sheet!CO123-#REF!</f>
      </c>
      <c r="BQ113" s="51" t="e">
        <f>Ticker0001_Exchange_Sheet!CP123-#REF!</f>
      </c>
      <c r="BR113" s="51" t="e">
        <f>Ticker0001_Exchange_Sheet!CQ123-#REF!</f>
      </c>
      <c r="BS113" s="51" t="e">
        <f>Ticker0001_Exchange_Sheet!CR123-#REF!</f>
      </c>
      <c r="BT113" s="51" t="e">
        <f>Ticker0001_Exchange_Sheet!CS123-#REF!</f>
      </c>
      <c r="BU113" s="51" t="e">
        <f>Ticker0001_Exchange_Sheet!CT123-#REF!</f>
      </c>
      <c r="BV113" s="51" t="e">
        <f>Ticker0001_Exchange_Sheet!CU123-#REF!</f>
      </c>
      <c r="BW113" s="51" t="e">
        <f>Ticker0001_Exchange_Sheet!CV123-#REF!</f>
      </c>
      <c r="BX113" s="51" t="e">
        <f>Ticker0001_Exchange_Sheet!CW123-#REF!</f>
      </c>
      <c r="BY113" s="51" t="e">
        <f>Ticker0001_Exchange_Sheet!CX123-#REF!</f>
      </c>
      <c r="BZ113" s="51" t="e">
        <f>Ticker0001_Exchange_Sheet!CY123-#REF!</f>
      </c>
      <c r="CA113" s="51" t="e">
        <f>Ticker0001_Exchange_Sheet!CZ123-#REF!</f>
      </c>
      <c r="CB113" s="51" t="e">
        <f>Ticker0001_Exchange_Sheet!DA123-#REF!</f>
      </c>
      <c r="CC113" s="51" t="e">
        <f>Ticker0001_Exchange_Sheet!DB123-#REF!</f>
      </c>
      <c r="CD113" s="51" t="e">
        <f>Ticker0001_Exchange_Sheet!DC123-#REF!</f>
      </c>
      <c r="CE113" s="51" t="e">
        <f>Ticker0001_Exchange_Sheet!DD123-#REF!</f>
      </c>
      <c r="CF113" s="51" t="e">
        <f>Ticker0001_Exchange_Sheet!DE123-#REF!</f>
      </c>
    </row>
    <row r="114" spans="6:84">
      <c r="F114" s="51" t="e">
        <f>Ticker0001_Exchange_Sheet!F124-#REF!</f>
      </c>
      <c r="G114" s="51" t="e">
        <f>Ticker0001_Exchange_Sheet!G124-#REF!</f>
      </c>
      <c r="H114" s="51" t="e">
        <f>Ticker0001_Exchange_Sheet!H124-#REF!</f>
      </c>
      <c r="I114" s="51" t="e">
        <f>Ticker0001_Exchange_Sheet!I124-#REF!</f>
      </c>
      <c r="J114" s="51" t="e">
        <f>Ticker0001_Exchange_Sheet!J124-#REF!</f>
      </c>
      <c r="K114" s="51" t="e">
        <f>Ticker0001_Exchange_Sheet!K124-#REF!</f>
      </c>
      <c r="L114" s="51" t="e">
        <f>Ticker0001_Exchange_Sheet!L124-#REF!</f>
      </c>
      <c r="M114" s="51" t="e">
        <f>Ticker0001_Exchange_Sheet!M124-#REF!</f>
      </c>
      <c r="N114" s="51" t="e">
        <f>Ticker0001_Exchange_Sheet!N124-#REF!</f>
      </c>
      <c r="O114" s="51" t="e">
        <f>Ticker0001_Exchange_Sheet!O124-#REF!</f>
      </c>
      <c r="P114" s="51" t="e">
        <f>Ticker0001_Exchange_Sheet!P124-#REF!</f>
      </c>
      <c r="Q114" s="51" t="e">
        <f>Ticker0001_Exchange_Sheet!Q124-#REF!</f>
      </c>
      <c r="R114" s="51" t="e">
        <f>Ticker0001_Exchange_Sheet!R124-#REF!</f>
      </c>
      <c r="S114" s="51" t="e">
        <f>Ticker0001_Exchange_Sheet!S124-#REF!</f>
      </c>
      <c r="T114" s="51" t="e">
        <f>Ticker0001_Exchange_Sheet!T124-#REF!</f>
      </c>
      <c r="U114" s="51" t="e">
        <f>Ticker0001_Exchange_Sheet!U124-#REF!</f>
      </c>
      <c r="V114" s="51" t="e">
        <f>Ticker0001_Exchange_Sheet!V124-#REF!</f>
      </c>
      <c r="W114" s="51" t="e">
        <f>Ticker0001_Exchange_Sheet!W124-#REF!</f>
      </c>
      <c r="X114" s="51" t="e">
        <f>Ticker0001_Exchange_Sheet!AK124-#REF!</f>
      </c>
      <c r="Y114" s="51" t="e">
        <f>Ticker0001_Exchange_Sheet!AX124-#REF!</f>
      </c>
      <c r="Z114" s="51" t="e">
        <f>Ticker0001_Exchange_Sheet!AY124-#REF!</f>
      </c>
      <c r="AA114" s="51" t="e">
        <f>Ticker0001_Exchange_Sheet!AZ124-#REF!</f>
      </c>
      <c r="AB114" s="51" t="e">
        <f>Ticker0001_Exchange_Sheet!BA124-#REF!</f>
      </c>
      <c r="AC114" s="51" t="e">
        <f>Ticker0001_Exchange_Sheet!BB124-#REF!</f>
      </c>
      <c r="AD114" s="51" t="e">
        <f>Ticker0001_Exchange_Sheet!BC124-#REF!</f>
      </c>
      <c r="AE114" s="51" t="e">
        <f>Ticker0001_Exchange_Sheet!BD124-#REF!</f>
      </c>
      <c r="AF114" s="51" t="e">
        <f>Ticker0001_Exchange_Sheet!BE124-#REF!</f>
      </c>
      <c r="AG114" s="51" t="e">
        <f>Ticker0001_Exchange_Sheet!BF124-#REF!</f>
      </c>
      <c r="AH114" s="51" t="e">
        <f>Ticker0001_Exchange_Sheet!BG124-#REF!</f>
      </c>
      <c r="AI114" s="51" t="e">
        <f>Ticker0001_Exchange_Sheet!BH124-#REF!</f>
      </c>
      <c r="AJ114" s="51" t="e">
        <f>Ticker0001_Exchange_Sheet!BI124-#REF!</f>
      </c>
      <c r="AK114" s="51" t="e">
        <f>Ticker0001_Exchange_Sheet!BJ124-#REF!</f>
      </c>
      <c r="AL114" s="51" t="e">
        <f>Ticker0001_Exchange_Sheet!BK124-#REF!</f>
      </c>
      <c r="AM114" s="51" t="e">
        <f>Ticker0001_Exchange_Sheet!BL124-#REF!</f>
      </c>
      <c r="AN114" s="51" t="e">
        <f>Ticker0001_Exchange_Sheet!BM124-#REF!</f>
      </c>
      <c r="AO114" s="51" t="e">
        <f>Ticker0001_Exchange_Sheet!BN124-#REF!</f>
      </c>
      <c r="AP114" s="51" t="e">
        <f>Ticker0001_Exchange_Sheet!BO124-#REF!</f>
      </c>
      <c r="AQ114" s="51" t="e">
        <f>Ticker0001_Exchange_Sheet!BP124-#REF!</f>
      </c>
      <c r="AR114" s="51" t="e">
        <f>Ticker0001_Exchange_Sheet!BQ124-#REF!</f>
      </c>
      <c r="AS114" s="51" t="e">
        <f>Ticker0001_Exchange_Sheet!BR124-#REF!</f>
      </c>
      <c r="AT114" s="51" t="e">
        <f>Ticker0001_Exchange_Sheet!BS124-#REF!</f>
      </c>
      <c r="AU114" s="51" t="e">
        <f>Ticker0001_Exchange_Sheet!BT124-#REF!</f>
      </c>
      <c r="AV114" s="51" t="e">
        <f>Ticker0001_Exchange_Sheet!BU124-#REF!</f>
      </c>
      <c r="AW114" s="51" t="e">
        <f>Ticker0001_Exchange_Sheet!BV124-#REF!</f>
      </c>
      <c r="AX114" s="51" t="e">
        <f>Ticker0001_Exchange_Sheet!BW124-#REF!</f>
      </c>
      <c r="AY114" s="51" t="e">
        <f>Ticker0001_Exchange_Sheet!BX124-#REF!</f>
      </c>
      <c r="AZ114" s="51" t="e">
        <f>Ticker0001_Exchange_Sheet!BY124-#REF!</f>
      </c>
      <c r="BA114" s="51" t="e">
        <f>Ticker0001_Exchange_Sheet!BZ124-#REF!</f>
      </c>
      <c r="BB114" s="51" t="e">
        <f>Ticker0001_Exchange_Sheet!CA124-#REF!</f>
      </c>
      <c r="BC114" s="51" t="e">
        <f>Ticker0001_Exchange_Sheet!CB124-#REF!</f>
      </c>
      <c r="BD114" s="51" t="e">
        <f>Ticker0001_Exchange_Sheet!CC124-#REF!</f>
      </c>
      <c r="BE114" s="51" t="e">
        <f>Ticker0001_Exchange_Sheet!CD124-#REF!</f>
      </c>
      <c r="BF114" s="51" t="e">
        <f>Ticker0001_Exchange_Sheet!CE124-#REF!</f>
      </c>
      <c r="BG114" s="51" t="e">
        <f>Ticker0001_Exchange_Sheet!CF124-#REF!</f>
      </c>
      <c r="BH114" s="51" t="e">
        <f>Ticker0001_Exchange_Sheet!CG124-#REF!</f>
      </c>
      <c r="BI114" s="51" t="e">
        <f>Ticker0001_Exchange_Sheet!CH124-#REF!</f>
      </c>
      <c r="BJ114" s="51" t="e">
        <f>Ticker0001_Exchange_Sheet!CI124-#REF!</f>
      </c>
      <c r="BK114" s="51" t="e">
        <f>Ticker0001_Exchange_Sheet!CJ124-#REF!</f>
      </c>
      <c r="BL114" s="51" t="e">
        <f>Ticker0001_Exchange_Sheet!CK124-#REF!</f>
      </c>
      <c r="BM114" s="51" t="e">
        <f>Ticker0001_Exchange_Sheet!CL124-#REF!</f>
      </c>
      <c r="BN114" s="51" t="e">
        <f>Ticker0001_Exchange_Sheet!CM124-#REF!</f>
      </c>
      <c r="BO114" s="51" t="e">
        <f>Ticker0001_Exchange_Sheet!CN124-#REF!</f>
      </c>
      <c r="BP114" s="51" t="e">
        <f>Ticker0001_Exchange_Sheet!CO124-#REF!</f>
      </c>
      <c r="BQ114" s="51" t="e">
        <f>Ticker0001_Exchange_Sheet!CP124-#REF!</f>
      </c>
      <c r="BR114" s="51" t="e">
        <f>Ticker0001_Exchange_Sheet!CQ124-#REF!</f>
      </c>
      <c r="BS114" s="51" t="e">
        <f>Ticker0001_Exchange_Sheet!CR124-#REF!</f>
      </c>
      <c r="BT114" s="51" t="e">
        <f>Ticker0001_Exchange_Sheet!CS124-#REF!</f>
      </c>
      <c r="BU114" s="51" t="e">
        <f>Ticker0001_Exchange_Sheet!CT124-#REF!</f>
      </c>
      <c r="BV114" s="51" t="e">
        <f>Ticker0001_Exchange_Sheet!CU124-#REF!</f>
      </c>
      <c r="BW114" s="51" t="e">
        <f>Ticker0001_Exchange_Sheet!CV124-#REF!</f>
      </c>
      <c r="BX114" s="51" t="e">
        <f>Ticker0001_Exchange_Sheet!CW124-#REF!</f>
      </c>
      <c r="BY114" s="51" t="e">
        <f>Ticker0001_Exchange_Sheet!CX124-#REF!</f>
      </c>
      <c r="BZ114" s="51" t="e">
        <f>Ticker0001_Exchange_Sheet!CY124-#REF!</f>
      </c>
      <c r="CA114" s="51" t="e">
        <f>Ticker0001_Exchange_Sheet!CZ124-#REF!</f>
      </c>
      <c r="CB114" s="51" t="e">
        <f>Ticker0001_Exchange_Sheet!DA124-#REF!</f>
      </c>
      <c r="CC114" s="51" t="e">
        <f>Ticker0001_Exchange_Sheet!DB124-#REF!</f>
      </c>
      <c r="CD114" s="51" t="e">
        <f>Ticker0001_Exchange_Sheet!DC124-#REF!</f>
      </c>
      <c r="CE114" s="51" t="e">
        <f>Ticker0001_Exchange_Sheet!DD124-#REF!</f>
      </c>
      <c r="CF114" s="51" t="e">
        <f>Ticker0001_Exchange_Sheet!DE124-#REF!</f>
      </c>
    </row>
    <row r="115" spans="6:84">
      <c r="F115" s="51" t="e">
        <f>Ticker0001_Exchange_Sheet!F127-#REF!</f>
      </c>
      <c r="G115" s="51" t="e">
        <f>Ticker0001_Exchange_Sheet!G127-#REF!</f>
      </c>
      <c r="H115" s="51" t="e">
        <f>Ticker0001_Exchange_Sheet!H127-#REF!</f>
      </c>
      <c r="I115" s="51" t="e">
        <f>Ticker0001_Exchange_Sheet!I127-#REF!</f>
      </c>
      <c r="J115" s="51" t="e">
        <f>Ticker0001_Exchange_Sheet!J127-#REF!</f>
      </c>
      <c r="K115" s="51" t="e">
        <f>Ticker0001_Exchange_Sheet!K127-#REF!</f>
      </c>
      <c r="L115" s="51" t="e">
        <f>Ticker0001_Exchange_Sheet!L127-#REF!</f>
      </c>
      <c r="M115" s="51" t="e">
        <f>Ticker0001_Exchange_Sheet!M127-#REF!</f>
      </c>
      <c r="N115" s="51" t="e">
        <f>Ticker0001_Exchange_Sheet!N127-#REF!</f>
      </c>
      <c r="O115" s="51" t="e">
        <f>Ticker0001_Exchange_Sheet!O127-#REF!</f>
      </c>
      <c r="P115" s="51" t="e">
        <f>Ticker0001_Exchange_Sheet!P127-#REF!</f>
      </c>
      <c r="Q115" s="51" t="e">
        <f>Ticker0001_Exchange_Sheet!Q127-#REF!</f>
      </c>
      <c r="R115" s="51" t="e">
        <f>Ticker0001_Exchange_Sheet!R127-#REF!</f>
      </c>
      <c r="S115" s="51" t="e">
        <f>Ticker0001_Exchange_Sheet!S127-#REF!</f>
      </c>
      <c r="T115" s="51" t="e">
        <f>Ticker0001_Exchange_Sheet!T127-#REF!</f>
      </c>
      <c r="U115" s="51" t="e">
        <f>Ticker0001_Exchange_Sheet!U127-#REF!</f>
      </c>
      <c r="V115" s="51" t="e">
        <f>Ticker0001_Exchange_Sheet!V127-#REF!</f>
      </c>
      <c r="W115" s="51" t="e">
        <f>Ticker0001_Exchange_Sheet!W127-#REF!</f>
      </c>
      <c r="X115" s="51" t="e">
        <f>Ticker0001_Exchange_Sheet!AK127-#REF!</f>
      </c>
      <c r="Y115" s="51" t="e">
        <f>Ticker0001_Exchange_Sheet!AX127-#REF!</f>
      </c>
      <c r="Z115" s="51" t="e">
        <f>Ticker0001_Exchange_Sheet!AY127-#REF!</f>
      </c>
      <c r="AA115" s="51" t="e">
        <f>Ticker0001_Exchange_Sheet!AZ127-#REF!</f>
      </c>
      <c r="AB115" s="51" t="e">
        <f>Ticker0001_Exchange_Sheet!BA127-#REF!</f>
      </c>
      <c r="AC115" s="51" t="e">
        <f>Ticker0001_Exchange_Sheet!BB127-#REF!</f>
      </c>
      <c r="AD115" s="51" t="e">
        <f>Ticker0001_Exchange_Sheet!BC127-#REF!</f>
      </c>
      <c r="AE115" s="51" t="e">
        <f>Ticker0001_Exchange_Sheet!BD127-#REF!</f>
      </c>
      <c r="AF115" s="51" t="e">
        <f>Ticker0001_Exchange_Sheet!BE127-#REF!</f>
      </c>
      <c r="AG115" s="51" t="e">
        <f>Ticker0001_Exchange_Sheet!BF127-#REF!</f>
      </c>
      <c r="AH115" s="51" t="e">
        <f>Ticker0001_Exchange_Sheet!BG127-#REF!</f>
      </c>
      <c r="AI115" s="51" t="e">
        <f>Ticker0001_Exchange_Sheet!BH127-#REF!</f>
      </c>
      <c r="AJ115" s="51" t="e">
        <f>Ticker0001_Exchange_Sheet!BI127-#REF!</f>
      </c>
      <c r="AK115" s="51" t="e">
        <f>Ticker0001_Exchange_Sheet!BJ127-#REF!</f>
      </c>
      <c r="AL115" s="51" t="e">
        <f>Ticker0001_Exchange_Sheet!BK127-#REF!</f>
      </c>
      <c r="AM115" s="51" t="e">
        <f>Ticker0001_Exchange_Sheet!BL127-#REF!</f>
      </c>
      <c r="AN115" s="51" t="e">
        <f>Ticker0001_Exchange_Sheet!BM127-#REF!</f>
      </c>
      <c r="AO115" s="51" t="e">
        <f>Ticker0001_Exchange_Sheet!BN127-#REF!</f>
      </c>
      <c r="AP115" s="51" t="e">
        <f>Ticker0001_Exchange_Sheet!BO127-#REF!</f>
      </c>
      <c r="AQ115" s="51" t="e">
        <f>Ticker0001_Exchange_Sheet!BP127-#REF!</f>
      </c>
      <c r="AR115" s="51" t="e">
        <f>Ticker0001_Exchange_Sheet!BQ127-#REF!</f>
      </c>
      <c r="AS115" s="51" t="e">
        <f>Ticker0001_Exchange_Sheet!BR127-#REF!</f>
      </c>
      <c r="AT115" s="51" t="e">
        <f>Ticker0001_Exchange_Sheet!BS127-#REF!</f>
      </c>
      <c r="AU115" s="51" t="e">
        <f>Ticker0001_Exchange_Sheet!BT127-#REF!</f>
      </c>
      <c r="AV115" s="51" t="e">
        <f>Ticker0001_Exchange_Sheet!BU127-#REF!</f>
      </c>
      <c r="AW115" s="51" t="e">
        <f>Ticker0001_Exchange_Sheet!BV127-#REF!</f>
      </c>
      <c r="AX115" s="51" t="e">
        <f>Ticker0001_Exchange_Sheet!BW127-#REF!</f>
      </c>
      <c r="AY115" s="51" t="e">
        <f>Ticker0001_Exchange_Sheet!BX127-#REF!</f>
      </c>
      <c r="AZ115" s="51" t="e">
        <f>Ticker0001_Exchange_Sheet!BY127-#REF!</f>
      </c>
      <c r="BA115" s="51" t="e">
        <f>Ticker0001_Exchange_Sheet!BZ127-#REF!</f>
      </c>
      <c r="BB115" s="51" t="e">
        <f>Ticker0001_Exchange_Sheet!CA127-#REF!</f>
      </c>
      <c r="BC115" s="51" t="e">
        <f>Ticker0001_Exchange_Sheet!CB127-#REF!</f>
      </c>
      <c r="BD115" s="51" t="e">
        <f>Ticker0001_Exchange_Sheet!CC127-#REF!</f>
      </c>
      <c r="BE115" s="51" t="e">
        <f>Ticker0001_Exchange_Sheet!CD127-#REF!</f>
      </c>
      <c r="BF115" s="51" t="e">
        <f>Ticker0001_Exchange_Sheet!CE127-#REF!</f>
      </c>
      <c r="BG115" s="51" t="e">
        <f>Ticker0001_Exchange_Sheet!CF127-#REF!</f>
      </c>
      <c r="BH115" s="51" t="e">
        <f>Ticker0001_Exchange_Sheet!CG127-#REF!</f>
      </c>
      <c r="BI115" s="51" t="e">
        <f>Ticker0001_Exchange_Sheet!CH127-#REF!</f>
      </c>
      <c r="BJ115" s="51" t="e">
        <f>Ticker0001_Exchange_Sheet!CI127-#REF!</f>
      </c>
      <c r="BK115" s="51" t="e">
        <f>Ticker0001_Exchange_Sheet!CJ127-#REF!</f>
      </c>
      <c r="BL115" s="51" t="e">
        <f>Ticker0001_Exchange_Sheet!CK127-#REF!</f>
      </c>
      <c r="BM115" s="51" t="e">
        <f>Ticker0001_Exchange_Sheet!CL127-#REF!</f>
      </c>
      <c r="BN115" s="51" t="e">
        <f>Ticker0001_Exchange_Sheet!CM127-#REF!</f>
      </c>
      <c r="BO115" s="51" t="e">
        <f>Ticker0001_Exchange_Sheet!CN127-#REF!</f>
      </c>
      <c r="BP115" s="51" t="e">
        <f>Ticker0001_Exchange_Sheet!CO127-#REF!</f>
      </c>
      <c r="BQ115" s="51" t="e">
        <f>Ticker0001_Exchange_Sheet!CP127-#REF!</f>
      </c>
      <c r="BR115" s="51" t="e">
        <f>Ticker0001_Exchange_Sheet!CQ127-#REF!</f>
      </c>
      <c r="BS115" s="51" t="e">
        <f>Ticker0001_Exchange_Sheet!CR127-#REF!</f>
      </c>
      <c r="BT115" s="51" t="e">
        <f>Ticker0001_Exchange_Sheet!CS127-#REF!</f>
      </c>
      <c r="BU115" s="51" t="e">
        <f>Ticker0001_Exchange_Sheet!CT127-#REF!</f>
      </c>
      <c r="BV115" s="51" t="e">
        <f>Ticker0001_Exchange_Sheet!CU127-#REF!</f>
      </c>
      <c r="BW115" s="51" t="e">
        <f>Ticker0001_Exchange_Sheet!CV127-#REF!</f>
      </c>
      <c r="BX115" s="51" t="e">
        <f>Ticker0001_Exchange_Sheet!CW127-#REF!</f>
      </c>
      <c r="BY115" s="51" t="e">
        <f>Ticker0001_Exchange_Sheet!CX127-#REF!</f>
      </c>
      <c r="BZ115" s="51" t="e">
        <f>Ticker0001_Exchange_Sheet!CY127-#REF!</f>
      </c>
      <c r="CA115" s="51" t="e">
        <f>Ticker0001_Exchange_Sheet!CZ127-#REF!</f>
      </c>
      <c r="CB115" s="51" t="e">
        <f>Ticker0001_Exchange_Sheet!DA127-#REF!</f>
      </c>
      <c r="CC115" s="51" t="e">
        <f>Ticker0001_Exchange_Sheet!DB127-#REF!</f>
      </c>
      <c r="CD115" s="51" t="e">
        <f>Ticker0001_Exchange_Sheet!DC127-#REF!</f>
      </c>
      <c r="CE115" s="51" t="e">
        <f>Ticker0001_Exchange_Sheet!DD127-#REF!</f>
      </c>
      <c r="CF115" s="51" t="e">
        <f>Ticker0001_Exchange_Sheet!DE127-#REF!</f>
      </c>
    </row>
    <row r="116" spans="6:84">
      <c r="F116" s="51" t="e">
        <f>Ticker0001_Exchange_Sheet!F187-#REF!</f>
      </c>
      <c r="G116" s="51" t="e">
        <f>Ticker0001_Exchange_Sheet!G187-#REF!</f>
      </c>
      <c r="H116" s="51" t="e">
        <f>Ticker0001_Exchange_Sheet!H187-#REF!</f>
      </c>
      <c r="I116" s="51" t="e">
        <f>Ticker0001_Exchange_Sheet!I187-#REF!</f>
      </c>
      <c r="J116" s="51" t="e">
        <f>Ticker0001_Exchange_Sheet!J187-#REF!</f>
      </c>
      <c r="K116" s="51" t="e">
        <f>Ticker0001_Exchange_Sheet!K187-#REF!</f>
      </c>
      <c r="L116" s="51" t="e">
        <f>Ticker0001_Exchange_Sheet!L187-#REF!</f>
      </c>
      <c r="M116" s="51" t="e">
        <f>Ticker0001_Exchange_Sheet!M187-#REF!</f>
      </c>
      <c r="N116" s="51" t="e">
        <f>Ticker0001_Exchange_Sheet!N187-#REF!</f>
      </c>
      <c r="O116" s="51" t="e">
        <f>Ticker0001_Exchange_Sheet!O187-#REF!</f>
      </c>
      <c r="P116" s="51" t="e">
        <f>Ticker0001_Exchange_Sheet!P187-#REF!</f>
      </c>
      <c r="Q116" s="51" t="e">
        <f>Ticker0001_Exchange_Sheet!Q187-#REF!</f>
      </c>
      <c r="R116" s="51" t="e">
        <f>Ticker0001_Exchange_Sheet!R187-#REF!</f>
      </c>
      <c r="S116" s="51" t="e">
        <f>Ticker0001_Exchange_Sheet!S187-#REF!</f>
      </c>
      <c r="T116" s="51" t="e">
        <f>Ticker0001_Exchange_Sheet!T187-#REF!</f>
      </c>
      <c r="U116" s="51" t="e">
        <f>Ticker0001_Exchange_Sheet!U187-#REF!</f>
      </c>
      <c r="V116" s="51" t="e">
        <f>Ticker0001_Exchange_Sheet!V187-#REF!</f>
      </c>
      <c r="W116" s="51" t="e">
        <f>Ticker0001_Exchange_Sheet!W187-#REF!</f>
      </c>
      <c r="X116" s="51" t="e">
        <f>Ticker0001_Exchange_Sheet!AK187-#REF!</f>
      </c>
      <c r="Y116" s="51" t="e">
        <f>Ticker0001_Exchange_Sheet!AX187-#REF!</f>
      </c>
      <c r="Z116" s="51" t="e">
        <f>Ticker0001_Exchange_Sheet!AY187-#REF!</f>
      </c>
      <c r="AA116" s="51" t="e">
        <f>Ticker0001_Exchange_Sheet!AZ187-#REF!</f>
      </c>
      <c r="AB116" s="51" t="e">
        <f>Ticker0001_Exchange_Sheet!BA187-#REF!</f>
      </c>
      <c r="AC116" s="51" t="e">
        <f>Ticker0001_Exchange_Sheet!BB187-#REF!</f>
      </c>
      <c r="AD116" s="51" t="e">
        <f>Ticker0001_Exchange_Sheet!BC187-#REF!</f>
      </c>
      <c r="AE116" s="51" t="e">
        <f>Ticker0001_Exchange_Sheet!BD187-#REF!</f>
      </c>
      <c r="AF116" s="51" t="e">
        <f>Ticker0001_Exchange_Sheet!BE187-#REF!</f>
      </c>
      <c r="AG116" s="51" t="e">
        <f>Ticker0001_Exchange_Sheet!BF187-#REF!</f>
      </c>
      <c r="AH116" s="51" t="e">
        <f>Ticker0001_Exchange_Sheet!BG187-#REF!</f>
      </c>
      <c r="AI116" s="51" t="e">
        <f>Ticker0001_Exchange_Sheet!BH187-#REF!</f>
      </c>
      <c r="AJ116" s="51" t="e">
        <f>Ticker0001_Exchange_Sheet!BI187-#REF!</f>
      </c>
      <c r="AK116" s="51" t="e">
        <f>Ticker0001_Exchange_Sheet!BJ187-#REF!</f>
      </c>
      <c r="AL116" s="51" t="e">
        <f>Ticker0001_Exchange_Sheet!BK187-#REF!</f>
      </c>
      <c r="AM116" s="51" t="e">
        <f>Ticker0001_Exchange_Sheet!BL187-#REF!</f>
      </c>
      <c r="AN116" s="51" t="e">
        <f>Ticker0001_Exchange_Sheet!BM187-#REF!</f>
      </c>
      <c r="AO116" s="51" t="e">
        <f>Ticker0001_Exchange_Sheet!BN187-#REF!</f>
      </c>
      <c r="AP116" s="51" t="e">
        <f>Ticker0001_Exchange_Sheet!BO187-#REF!</f>
      </c>
      <c r="AQ116" s="51" t="e">
        <f>Ticker0001_Exchange_Sheet!BP187-#REF!</f>
      </c>
      <c r="AR116" s="51" t="e">
        <f>Ticker0001_Exchange_Sheet!BQ187-#REF!</f>
      </c>
      <c r="AS116" s="51" t="e">
        <f>Ticker0001_Exchange_Sheet!BR187-#REF!</f>
      </c>
      <c r="AT116" s="51" t="e">
        <f>Ticker0001_Exchange_Sheet!BS187-#REF!</f>
      </c>
      <c r="AU116" s="51" t="e">
        <f>Ticker0001_Exchange_Sheet!BT187-#REF!</f>
      </c>
      <c r="AV116" s="51" t="e">
        <f>Ticker0001_Exchange_Sheet!BU187-#REF!</f>
      </c>
      <c r="AW116" s="51" t="e">
        <f>Ticker0001_Exchange_Sheet!BV187-#REF!</f>
      </c>
      <c r="AX116" s="51" t="e">
        <f>Ticker0001_Exchange_Sheet!BW187-#REF!</f>
      </c>
      <c r="AY116" s="51" t="e">
        <f>Ticker0001_Exchange_Sheet!BX187-#REF!</f>
      </c>
      <c r="AZ116" s="51" t="e">
        <f>Ticker0001_Exchange_Sheet!BY187-#REF!</f>
      </c>
      <c r="BA116" s="51" t="e">
        <f>Ticker0001_Exchange_Sheet!BZ187-#REF!</f>
      </c>
      <c r="BB116" s="51" t="e">
        <f>Ticker0001_Exchange_Sheet!CA187-#REF!</f>
      </c>
      <c r="BC116" s="51" t="e">
        <f>Ticker0001_Exchange_Sheet!CB187-#REF!</f>
      </c>
      <c r="BD116" s="51" t="e">
        <f>Ticker0001_Exchange_Sheet!CC187-#REF!</f>
      </c>
      <c r="BE116" s="51" t="e">
        <f>Ticker0001_Exchange_Sheet!CD187-#REF!</f>
      </c>
      <c r="BF116" s="51" t="e">
        <f>Ticker0001_Exchange_Sheet!CE187-#REF!</f>
      </c>
      <c r="BG116" s="51" t="e">
        <f>Ticker0001_Exchange_Sheet!CF187-#REF!</f>
      </c>
      <c r="BH116" s="51" t="e">
        <f>Ticker0001_Exchange_Sheet!CG187-#REF!</f>
      </c>
      <c r="BI116" s="51" t="e">
        <f>Ticker0001_Exchange_Sheet!CH187-#REF!</f>
      </c>
      <c r="BJ116" s="51" t="e">
        <f>Ticker0001_Exchange_Sheet!CI187-#REF!</f>
      </c>
      <c r="BK116" s="51" t="e">
        <f>Ticker0001_Exchange_Sheet!CJ187-#REF!</f>
      </c>
      <c r="BL116" s="51" t="e">
        <f>Ticker0001_Exchange_Sheet!CK187-#REF!</f>
      </c>
      <c r="BM116" s="51" t="e">
        <f>Ticker0001_Exchange_Sheet!CL187-#REF!</f>
      </c>
      <c r="BN116" s="51" t="e">
        <f>Ticker0001_Exchange_Sheet!CM187-#REF!</f>
      </c>
      <c r="BO116" s="51" t="e">
        <f>Ticker0001_Exchange_Sheet!CN187-#REF!</f>
      </c>
      <c r="BP116" s="51" t="e">
        <f>Ticker0001_Exchange_Sheet!CO187-#REF!</f>
      </c>
      <c r="BQ116" s="51" t="e">
        <f>Ticker0001_Exchange_Sheet!CP187-#REF!</f>
      </c>
      <c r="BR116" s="51" t="e">
        <f>Ticker0001_Exchange_Sheet!CQ187-#REF!</f>
      </c>
      <c r="BS116" s="51" t="e">
        <f>Ticker0001_Exchange_Sheet!CR187-#REF!</f>
      </c>
      <c r="BT116" s="51" t="e">
        <f>Ticker0001_Exchange_Sheet!CS187-#REF!</f>
      </c>
      <c r="BU116" s="51" t="e">
        <f>Ticker0001_Exchange_Sheet!CT187-#REF!</f>
      </c>
      <c r="BV116" s="51" t="e">
        <f>Ticker0001_Exchange_Sheet!CU187-#REF!</f>
      </c>
      <c r="BW116" s="51" t="e">
        <f>Ticker0001_Exchange_Sheet!CV187-#REF!</f>
      </c>
      <c r="BX116" s="51" t="e">
        <f>Ticker0001_Exchange_Sheet!CW187-#REF!</f>
      </c>
      <c r="BY116" s="51" t="e">
        <f>Ticker0001_Exchange_Sheet!CX187-#REF!</f>
      </c>
      <c r="BZ116" s="51" t="e">
        <f>Ticker0001_Exchange_Sheet!CY187-#REF!</f>
      </c>
      <c r="CA116" s="51" t="e">
        <f>Ticker0001_Exchange_Sheet!CZ187-#REF!</f>
      </c>
      <c r="CB116" s="51" t="e">
        <f>Ticker0001_Exchange_Sheet!DA187-#REF!</f>
      </c>
      <c r="CC116" s="51" t="e">
        <f>Ticker0001_Exchange_Sheet!DB187-#REF!</f>
      </c>
      <c r="CD116" s="51" t="e">
        <f>Ticker0001_Exchange_Sheet!DC187-#REF!</f>
      </c>
      <c r="CE116" s="51" t="e">
        <f>Ticker0001_Exchange_Sheet!DD187-#REF!</f>
      </c>
      <c r="CF116" s="51" t="e">
        <f>Ticker0001_Exchange_Sheet!DE187-#REF!</f>
      </c>
    </row>
    <row r="117" spans="6:84">
      <c r="F117" s="51" t="e">
        <f>Ticker0001_Exchange_Sheet!F215-#REF!</f>
      </c>
      <c r="G117" s="51" t="e">
        <f>Ticker0001_Exchange_Sheet!G215-#REF!</f>
      </c>
      <c r="H117" s="51" t="e">
        <f>Ticker0001_Exchange_Sheet!H215-#REF!</f>
      </c>
      <c r="I117" s="51" t="e">
        <f>Ticker0001_Exchange_Sheet!I215-#REF!</f>
      </c>
      <c r="J117" s="51" t="e">
        <f>Ticker0001_Exchange_Sheet!J215-#REF!</f>
      </c>
      <c r="K117" s="51" t="e">
        <f>Ticker0001_Exchange_Sheet!K215-#REF!</f>
      </c>
      <c r="L117" s="51" t="e">
        <f>Ticker0001_Exchange_Sheet!L215-#REF!</f>
      </c>
      <c r="M117" s="51" t="e">
        <f>Ticker0001_Exchange_Sheet!M215-#REF!</f>
      </c>
      <c r="N117" s="51" t="e">
        <f>Ticker0001_Exchange_Sheet!N215-#REF!</f>
      </c>
      <c r="O117" s="51" t="e">
        <f>Ticker0001_Exchange_Sheet!O215-#REF!</f>
      </c>
      <c r="P117" s="51" t="e">
        <f>Ticker0001_Exchange_Sheet!P215-#REF!</f>
      </c>
      <c r="Q117" s="51" t="e">
        <f>Ticker0001_Exchange_Sheet!Q215-#REF!</f>
      </c>
      <c r="R117" s="51" t="e">
        <f>Ticker0001_Exchange_Sheet!R215-#REF!</f>
      </c>
      <c r="S117" s="51" t="e">
        <f>Ticker0001_Exchange_Sheet!S215-#REF!</f>
      </c>
      <c r="T117" s="51" t="e">
        <f>Ticker0001_Exchange_Sheet!T215-#REF!</f>
      </c>
      <c r="U117" s="51" t="e">
        <f>Ticker0001_Exchange_Sheet!U215-#REF!</f>
      </c>
      <c r="V117" s="51" t="e">
        <f>Ticker0001_Exchange_Sheet!V215-#REF!</f>
      </c>
      <c r="W117" s="51" t="e">
        <f>Ticker0001_Exchange_Sheet!W215-#REF!</f>
      </c>
      <c r="X117" s="51" t="e">
        <f>Ticker0001_Exchange_Sheet!AK215-#REF!</f>
      </c>
      <c r="Y117" s="51" t="e">
        <f>Ticker0001_Exchange_Sheet!AX215-#REF!</f>
      </c>
      <c r="Z117" s="51" t="e">
        <f>Ticker0001_Exchange_Sheet!AY215-#REF!</f>
      </c>
      <c r="AA117" s="51" t="e">
        <f>Ticker0001_Exchange_Sheet!AZ215-#REF!</f>
      </c>
      <c r="AB117" s="51" t="e">
        <f>Ticker0001_Exchange_Sheet!BA215-#REF!</f>
      </c>
      <c r="AC117" s="51" t="e">
        <f>Ticker0001_Exchange_Sheet!BB215-#REF!</f>
      </c>
      <c r="AD117" s="51" t="e">
        <f>Ticker0001_Exchange_Sheet!BC215-#REF!</f>
      </c>
      <c r="AE117" s="51" t="e">
        <f>Ticker0001_Exchange_Sheet!BD215-#REF!</f>
      </c>
      <c r="AF117" s="51" t="e">
        <f>Ticker0001_Exchange_Sheet!BE215-#REF!</f>
      </c>
      <c r="AG117" s="51" t="e">
        <f>Ticker0001_Exchange_Sheet!BF215-#REF!</f>
      </c>
      <c r="AH117" s="51" t="e">
        <f>Ticker0001_Exchange_Sheet!BG215-#REF!</f>
      </c>
      <c r="AI117" s="51" t="e">
        <f>Ticker0001_Exchange_Sheet!BH215-#REF!</f>
      </c>
      <c r="AJ117" s="51" t="e">
        <f>Ticker0001_Exchange_Sheet!BI215-#REF!</f>
      </c>
      <c r="AK117" s="51" t="e">
        <f>Ticker0001_Exchange_Sheet!BJ215-#REF!</f>
      </c>
      <c r="AL117" s="51" t="e">
        <f>Ticker0001_Exchange_Sheet!BK215-#REF!</f>
      </c>
      <c r="AM117" s="51" t="e">
        <f>Ticker0001_Exchange_Sheet!BL215-#REF!</f>
      </c>
      <c r="AN117" s="51" t="e">
        <f>Ticker0001_Exchange_Sheet!BM215-#REF!</f>
      </c>
      <c r="AO117" s="51" t="e">
        <f>Ticker0001_Exchange_Sheet!BN215-#REF!</f>
      </c>
      <c r="AP117" s="51" t="e">
        <f>Ticker0001_Exchange_Sheet!BO215-#REF!</f>
      </c>
      <c r="AQ117" s="51" t="e">
        <f>Ticker0001_Exchange_Sheet!BP215-#REF!</f>
      </c>
      <c r="AR117" s="51" t="e">
        <f>Ticker0001_Exchange_Sheet!BQ215-#REF!</f>
      </c>
      <c r="AS117" s="51" t="e">
        <f>Ticker0001_Exchange_Sheet!BR215-#REF!</f>
      </c>
      <c r="AT117" s="51" t="e">
        <f>Ticker0001_Exchange_Sheet!BS215-#REF!</f>
      </c>
      <c r="AU117" s="51" t="e">
        <f>Ticker0001_Exchange_Sheet!BT215-#REF!</f>
      </c>
      <c r="AV117" s="51" t="e">
        <f>Ticker0001_Exchange_Sheet!BU215-#REF!</f>
      </c>
      <c r="AW117" s="51" t="e">
        <f>Ticker0001_Exchange_Sheet!BV215-#REF!</f>
      </c>
      <c r="AX117" s="51" t="e">
        <f>Ticker0001_Exchange_Sheet!BW215-#REF!</f>
      </c>
      <c r="AY117" s="51" t="e">
        <f>Ticker0001_Exchange_Sheet!BX215-#REF!</f>
      </c>
      <c r="AZ117" s="51" t="e">
        <f>Ticker0001_Exchange_Sheet!BY215-#REF!</f>
      </c>
      <c r="BA117" s="51" t="e">
        <f>Ticker0001_Exchange_Sheet!BZ215-#REF!</f>
      </c>
      <c r="BB117" s="51" t="e">
        <f>Ticker0001_Exchange_Sheet!CA215-#REF!</f>
      </c>
      <c r="BC117" s="51" t="e">
        <f>Ticker0001_Exchange_Sheet!CB215-#REF!</f>
      </c>
      <c r="BD117" s="51" t="e">
        <f>Ticker0001_Exchange_Sheet!CC215-#REF!</f>
      </c>
      <c r="BE117" s="51" t="e">
        <f>Ticker0001_Exchange_Sheet!CD215-#REF!</f>
      </c>
      <c r="BF117" s="51" t="e">
        <f>Ticker0001_Exchange_Sheet!CE215-#REF!</f>
      </c>
      <c r="BG117" s="51" t="e">
        <f>Ticker0001_Exchange_Sheet!CF215-#REF!</f>
      </c>
      <c r="BH117" s="51" t="e">
        <f>Ticker0001_Exchange_Sheet!CG215-#REF!</f>
      </c>
      <c r="BI117" s="51" t="e">
        <f>Ticker0001_Exchange_Sheet!CH215-#REF!</f>
      </c>
      <c r="BJ117" s="51" t="e">
        <f>Ticker0001_Exchange_Sheet!CI215-#REF!</f>
      </c>
      <c r="BK117" s="51" t="e">
        <f>Ticker0001_Exchange_Sheet!CJ215-#REF!</f>
      </c>
      <c r="BL117" s="51" t="e">
        <f>Ticker0001_Exchange_Sheet!CK215-#REF!</f>
      </c>
      <c r="BM117" s="51" t="e">
        <f>Ticker0001_Exchange_Sheet!CL215-#REF!</f>
      </c>
      <c r="BN117" s="51" t="e">
        <f>Ticker0001_Exchange_Sheet!CM215-#REF!</f>
      </c>
      <c r="BO117" s="51" t="e">
        <f>Ticker0001_Exchange_Sheet!CN215-#REF!</f>
      </c>
      <c r="BP117" s="51" t="e">
        <f>Ticker0001_Exchange_Sheet!CO215-#REF!</f>
      </c>
      <c r="BQ117" s="51" t="e">
        <f>Ticker0001_Exchange_Sheet!CP215-#REF!</f>
      </c>
      <c r="BR117" s="51" t="e">
        <f>Ticker0001_Exchange_Sheet!CQ215-#REF!</f>
      </c>
      <c r="BS117" s="51" t="e">
        <f>Ticker0001_Exchange_Sheet!CR215-#REF!</f>
      </c>
      <c r="BT117" s="51" t="e">
        <f>Ticker0001_Exchange_Sheet!CS215-#REF!</f>
      </c>
      <c r="BU117" s="51" t="e">
        <f>Ticker0001_Exchange_Sheet!CT215-#REF!</f>
      </c>
      <c r="BV117" s="51" t="e">
        <f>Ticker0001_Exchange_Sheet!CU215-#REF!</f>
      </c>
      <c r="BW117" s="51" t="e">
        <f>Ticker0001_Exchange_Sheet!CV215-#REF!</f>
      </c>
      <c r="BX117" s="51" t="e">
        <f>Ticker0001_Exchange_Sheet!CW215-#REF!</f>
      </c>
      <c r="BY117" s="51" t="e">
        <f>Ticker0001_Exchange_Sheet!CX215-#REF!</f>
      </c>
      <c r="BZ117" s="51" t="e">
        <f>Ticker0001_Exchange_Sheet!CY215-#REF!</f>
      </c>
      <c r="CA117" s="51" t="e">
        <f>Ticker0001_Exchange_Sheet!CZ215-#REF!</f>
      </c>
      <c r="CB117" s="51" t="e">
        <f>Ticker0001_Exchange_Sheet!DA215-#REF!</f>
      </c>
      <c r="CC117" s="51" t="e">
        <f>Ticker0001_Exchange_Sheet!DB215-#REF!</f>
      </c>
      <c r="CD117" s="51" t="e">
        <f>Ticker0001_Exchange_Sheet!DC215-#REF!</f>
      </c>
      <c r="CE117" s="51" t="e">
        <f>Ticker0001_Exchange_Sheet!DD215-#REF!</f>
      </c>
      <c r="CF117" s="51" t="e">
        <f>Ticker0001_Exchange_Sheet!DE215-#REF!</f>
      </c>
    </row>
    <row r="118" spans="6:84">
      <c r="F118" s="51" t="e">
        <f>Ticker0001_Exchange_Sheet!F129-#REF!</f>
      </c>
      <c r="G118" s="51" t="e">
        <f>Ticker0001_Exchange_Sheet!G129-#REF!</f>
      </c>
      <c r="H118" s="51" t="e">
        <f>Ticker0001_Exchange_Sheet!H129-#REF!</f>
      </c>
      <c r="I118" s="51" t="e">
        <f>Ticker0001_Exchange_Sheet!I129-#REF!</f>
      </c>
      <c r="J118" s="51" t="e">
        <f>Ticker0001_Exchange_Sheet!J129-#REF!</f>
      </c>
      <c r="K118" s="51" t="e">
        <f>Ticker0001_Exchange_Sheet!K129-#REF!</f>
      </c>
      <c r="L118" s="51" t="e">
        <f>Ticker0001_Exchange_Sheet!L129-#REF!</f>
      </c>
      <c r="M118" s="51" t="e">
        <f>Ticker0001_Exchange_Sheet!M129-#REF!</f>
      </c>
      <c r="N118" s="51" t="e">
        <f>Ticker0001_Exchange_Sheet!N129-#REF!</f>
      </c>
      <c r="O118" s="51" t="e">
        <f>Ticker0001_Exchange_Sheet!O129-#REF!</f>
      </c>
      <c r="P118" s="51" t="e">
        <f>Ticker0001_Exchange_Sheet!P129-#REF!</f>
      </c>
      <c r="Q118" s="51" t="e">
        <f>Ticker0001_Exchange_Sheet!Q129-#REF!</f>
      </c>
      <c r="R118" s="51" t="e">
        <f>Ticker0001_Exchange_Sheet!R129-#REF!</f>
      </c>
      <c r="S118" s="51" t="e">
        <f>Ticker0001_Exchange_Sheet!S129-#REF!</f>
      </c>
      <c r="T118" s="51" t="e">
        <f>Ticker0001_Exchange_Sheet!T129-#REF!</f>
      </c>
      <c r="U118" s="51" t="e">
        <f>Ticker0001_Exchange_Sheet!U129-#REF!</f>
      </c>
      <c r="V118" s="51" t="e">
        <f>Ticker0001_Exchange_Sheet!V129-#REF!</f>
      </c>
      <c r="W118" s="51" t="e">
        <f>Ticker0001_Exchange_Sheet!W129-#REF!</f>
      </c>
      <c r="X118" s="51" t="e">
        <f>Ticker0001_Exchange_Sheet!AK129-#REF!</f>
      </c>
      <c r="Y118" s="51" t="e">
        <f>Ticker0001_Exchange_Sheet!AW129-#REF!</f>
      </c>
      <c r="Z118" s="51" t="e">
        <f>Ticker0001_Exchange_Sheet!AX129-#REF!</f>
      </c>
      <c r="AA118" s="51" t="e">
        <f>Ticker0001_Exchange_Sheet!AY129-#REF!</f>
      </c>
      <c r="AB118" s="51" t="e">
        <f>Ticker0001_Exchange_Sheet!AZ129-#REF!</f>
      </c>
      <c r="AC118" s="51" t="e">
        <f>Ticker0001_Exchange_Sheet!BA129-#REF!</f>
      </c>
      <c r="AD118" s="51" t="e">
        <f>Ticker0001_Exchange_Sheet!BB129-#REF!</f>
      </c>
      <c r="AE118" s="51" t="e">
        <f>Ticker0001_Exchange_Sheet!BC129-#REF!</f>
      </c>
      <c r="AF118" s="51" t="e">
        <f>Ticker0001_Exchange_Sheet!BD129-#REF!</f>
      </c>
      <c r="AG118" s="51" t="e">
        <f>Ticker0001_Exchange_Sheet!BE129-#REF!</f>
      </c>
      <c r="AH118" s="51" t="e">
        <f>Ticker0001_Exchange_Sheet!BF129-#REF!</f>
      </c>
      <c r="AI118" s="51" t="e">
        <f>Ticker0001_Exchange_Sheet!BG129-#REF!</f>
      </c>
      <c r="AJ118" s="51" t="e">
        <f>Ticker0001_Exchange_Sheet!BH129-#REF!</f>
      </c>
      <c r="AK118" s="51" t="e">
        <f>Ticker0001_Exchange_Sheet!BI129-#REF!</f>
      </c>
      <c r="AL118" s="51" t="e">
        <f>Ticker0001_Exchange_Sheet!BJ129-#REF!</f>
      </c>
      <c r="AM118" s="51" t="e">
        <f>Ticker0001_Exchange_Sheet!BK129-#REF!</f>
      </c>
      <c r="AN118" s="51" t="e">
        <f>Ticker0001_Exchange_Sheet!BL129-#REF!</f>
      </c>
      <c r="AO118" s="51" t="e">
        <f>Ticker0001_Exchange_Sheet!BM129-#REF!</f>
      </c>
      <c r="AP118" s="51" t="e">
        <f>Ticker0001_Exchange_Sheet!BN129-#REF!</f>
      </c>
      <c r="AQ118" s="51" t="e">
        <f>Ticker0001_Exchange_Sheet!BO129-#REF!</f>
      </c>
      <c r="AR118" s="51" t="e">
        <f>Ticker0001_Exchange_Sheet!BP129-#REF!</f>
      </c>
      <c r="AS118" s="51" t="e">
        <f>Ticker0001_Exchange_Sheet!BQ129-#REF!</f>
      </c>
      <c r="AT118" s="51" t="e">
        <f>Ticker0001_Exchange_Sheet!BR129-#REF!</f>
      </c>
      <c r="AU118" s="51" t="e">
        <f>Ticker0001_Exchange_Sheet!BS129-#REF!</f>
      </c>
      <c r="AV118" s="51" t="e">
        <f>Ticker0001_Exchange_Sheet!BT129-#REF!</f>
      </c>
      <c r="AW118" s="51" t="e">
        <f>Ticker0001_Exchange_Sheet!BU129-#REF!</f>
      </c>
      <c r="AX118" s="51" t="e">
        <f>Ticker0001_Exchange_Sheet!BV129-#REF!</f>
      </c>
      <c r="AY118" s="51" t="e">
        <f>Ticker0001_Exchange_Sheet!BW129-#REF!</f>
      </c>
      <c r="AZ118" s="51" t="e">
        <f>Ticker0001_Exchange_Sheet!BX129-#REF!</f>
      </c>
      <c r="BA118" s="51" t="e">
        <f>Ticker0001_Exchange_Sheet!BY129-#REF!</f>
      </c>
      <c r="BB118" s="51" t="e">
        <f>Ticker0001_Exchange_Sheet!BZ129-#REF!</f>
      </c>
      <c r="BC118" s="51" t="e">
        <f>Ticker0001_Exchange_Sheet!CA129-#REF!</f>
      </c>
      <c r="BD118" s="51" t="e">
        <f>Ticker0001_Exchange_Sheet!CB129-#REF!</f>
      </c>
      <c r="BE118" s="51" t="e">
        <f>Ticker0001_Exchange_Sheet!CC129-#REF!</f>
      </c>
      <c r="BF118" s="51" t="e">
        <f>Ticker0001_Exchange_Sheet!CD129-#REF!</f>
      </c>
      <c r="BG118" s="51" t="e">
        <f>Ticker0001_Exchange_Sheet!CE129-#REF!</f>
      </c>
      <c r="BH118" s="51" t="e">
        <f>Ticker0001_Exchange_Sheet!CF129-#REF!</f>
      </c>
      <c r="BI118" s="51" t="e">
        <f>Ticker0001_Exchange_Sheet!CG129-#REF!</f>
      </c>
      <c r="BJ118" s="51" t="e">
        <f>Ticker0001_Exchange_Sheet!CH129-#REF!</f>
      </c>
      <c r="BK118" s="51" t="e">
        <f>Ticker0001_Exchange_Sheet!CI129-#REF!</f>
      </c>
      <c r="BL118" s="51" t="e">
        <f>Ticker0001_Exchange_Sheet!CJ129-#REF!</f>
      </c>
      <c r="BM118" s="51" t="e">
        <f>Ticker0001_Exchange_Sheet!CK129-#REF!</f>
      </c>
      <c r="BN118" s="51" t="e">
        <f>Ticker0001_Exchange_Sheet!CL129-#REF!</f>
      </c>
      <c r="BO118" s="51" t="e">
        <f>Ticker0001_Exchange_Sheet!CM129-#REF!</f>
      </c>
      <c r="BP118" s="51" t="e">
        <f>Ticker0001_Exchange_Sheet!CN129-#REF!</f>
      </c>
      <c r="BQ118" s="51" t="e">
        <f>Ticker0001_Exchange_Sheet!CO129-#REF!</f>
      </c>
      <c r="BR118" s="51" t="e">
        <f>Ticker0001_Exchange_Sheet!CP129-#REF!</f>
      </c>
      <c r="BS118" s="51" t="e">
        <f>Ticker0001_Exchange_Sheet!CQ129-#REF!</f>
      </c>
      <c r="BT118" s="51" t="e">
        <f>Ticker0001_Exchange_Sheet!CR129-#REF!</f>
      </c>
      <c r="BU118" s="51" t="e">
        <f>Ticker0001_Exchange_Sheet!CS129-#REF!</f>
      </c>
      <c r="BV118" s="51" t="e">
        <f>Ticker0001_Exchange_Sheet!CT129-#REF!</f>
      </c>
      <c r="BW118" s="51" t="e">
        <f>Ticker0001_Exchange_Sheet!CU129-#REF!</f>
      </c>
      <c r="BX118" s="51" t="e">
        <f>Ticker0001_Exchange_Sheet!CV129-#REF!</f>
      </c>
      <c r="BY118" s="51" t="e">
        <f>Ticker0001_Exchange_Sheet!CW129-#REF!</f>
      </c>
      <c r="BZ118" s="51" t="e">
        <f>Ticker0001_Exchange_Sheet!CX129-#REF!</f>
      </c>
      <c r="CA118" s="51" t="e">
        <f>Ticker0001_Exchange_Sheet!CY129-#REF!</f>
      </c>
      <c r="CB118" s="51" t="e">
        <f>Ticker0001_Exchange_Sheet!CZ129-#REF!</f>
      </c>
      <c r="CC118" s="51" t="e">
        <f>Ticker0001_Exchange_Sheet!DA129-#REF!</f>
      </c>
      <c r="CD118" s="51" t="e">
        <f>Ticker0001_Exchange_Sheet!DB129-#REF!</f>
      </c>
      <c r="CE118" s="51" t="e">
        <f>Ticker0001_Exchange_Sheet!DC129-#REF!</f>
      </c>
      <c r="CF118" s="51" t="e">
        <f>Ticker0001_Exchange_Sheet!DD129-#REF!</f>
      </c>
    </row>
    <row r="119" spans="6:84">
      <c r="F119" s="51" t="e">
        <f>Ticker0001_Exchange_Sheet!F128-#REF!</f>
      </c>
      <c r="G119" s="51" t="e">
        <f>Ticker0001_Exchange_Sheet!G128-#REF!</f>
      </c>
      <c r="H119" s="51" t="e">
        <f>Ticker0001_Exchange_Sheet!H128-#REF!</f>
      </c>
      <c r="I119" s="51" t="e">
        <f>Ticker0001_Exchange_Sheet!I128-#REF!</f>
      </c>
      <c r="J119" s="51" t="e">
        <f>Ticker0001_Exchange_Sheet!J128-#REF!</f>
      </c>
      <c r="K119" s="51" t="e">
        <f>Ticker0001_Exchange_Sheet!K128-#REF!</f>
      </c>
      <c r="L119" s="51" t="e">
        <f>Ticker0001_Exchange_Sheet!L128-#REF!</f>
      </c>
      <c r="M119" s="51" t="e">
        <f>Ticker0001_Exchange_Sheet!M128-#REF!</f>
      </c>
      <c r="N119" s="51" t="e">
        <f>Ticker0001_Exchange_Sheet!N128-#REF!</f>
      </c>
      <c r="O119" s="51" t="e">
        <f>Ticker0001_Exchange_Sheet!O128-#REF!</f>
      </c>
      <c r="P119" s="51" t="e">
        <f>Ticker0001_Exchange_Sheet!P128-#REF!</f>
      </c>
      <c r="Q119" s="51" t="e">
        <f>Ticker0001_Exchange_Sheet!Q128-#REF!</f>
      </c>
      <c r="R119" s="51" t="e">
        <f>Ticker0001_Exchange_Sheet!R128-#REF!</f>
      </c>
      <c r="S119" s="51" t="e">
        <f>Ticker0001_Exchange_Sheet!S128-#REF!</f>
      </c>
      <c r="T119" s="51" t="e">
        <f>Ticker0001_Exchange_Sheet!T128-#REF!</f>
      </c>
      <c r="U119" s="51" t="e">
        <f>Ticker0001_Exchange_Sheet!U128-#REF!</f>
      </c>
      <c r="V119" s="51" t="e">
        <f>Ticker0001_Exchange_Sheet!V128-#REF!</f>
      </c>
      <c r="W119" s="51" t="e">
        <f>Ticker0001_Exchange_Sheet!W128-#REF!</f>
      </c>
      <c r="X119" s="51" t="e">
        <f>Ticker0001_Exchange_Sheet!AK128-#REF!</f>
      </c>
      <c r="Y119" s="51" t="e">
        <f>Ticker0001_Exchange_Sheet!AW128-#REF!</f>
      </c>
      <c r="Z119" s="51" t="e">
        <f>Ticker0001_Exchange_Sheet!AX128-#REF!</f>
      </c>
      <c r="AA119" s="51" t="e">
        <f>Ticker0001_Exchange_Sheet!AY128-#REF!</f>
      </c>
      <c r="AB119" s="51" t="e">
        <f>Ticker0001_Exchange_Sheet!AZ128-#REF!</f>
      </c>
      <c r="AC119" s="51" t="e">
        <f>Ticker0001_Exchange_Sheet!BA128-#REF!</f>
      </c>
      <c r="AD119" s="51" t="e">
        <f>Ticker0001_Exchange_Sheet!BB128-#REF!</f>
      </c>
      <c r="AE119" s="51" t="e">
        <f>Ticker0001_Exchange_Sheet!BC128-#REF!</f>
      </c>
      <c r="AF119" s="51" t="e">
        <f>Ticker0001_Exchange_Sheet!BD128-#REF!</f>
      </c>
      <c r="AG119" s="51" t="e">
        <f>Ticker0001_Exchange_Sheet!BE128-#REF!</f>
      </c>
      <c r="AH119" s="51" t="e">
        <f>Ticker0001_Exchange_Sheet!BF128-#REF!</f>
      </c>
      <c r="AI119" s="51" t="e">
        <f>Ticker0001_Exchange_Sheet!BG128-#REF!</f>
      </c>
      <c r="AJ119" s="51" t="e">
        <f>Ticker0001_Exchange_Sheet!BH128-#REF!</f>
      </c>
      <c r="AK119" s="51" t="e">
        <f>Ticker0001_Exchange_Sheet!BI128-#REF!</f>
      </c>
      <c r="AL119" s="51" t="e">
        <f>Ticker0001_Exchange_Sheet!BJ128-#REF!</f>
      </c>
      <c r="AM119" s="51" t="e">
        <f>Ticker0001_Exchange_Sheet!BK128-#REF!</f>
      </c>
      <c r="AN119" s="51" t="e">
        <f>Ticker0001_Exchange_Sheet!BL128-#REF!</f>
      </c>
      <c r="AO119" s="51" t="e">
        <f>Ticker0001_Exchange_Sheet!BM128-#REF!</f>
      </c>
      <c r="AP119" s="51" t="e">
        <f>Ticker0001_Exchange_Sheet!BN128-#REF!</f>
      </c>
      <c r="AQ119" s="51" t="e">
        <f>Ticker0001_Exchange_Sheet!BO128-#REF!</f>
      </c>
      <c r="AR119" s="51" t="e">
        <f>Ticker0001_Exchange_Sheet!BP128-#REF!</f>
      </c>
      <c r="AS119" s="51" t="e">
        <f>Ticker0001_Exchange_Sheet!BQ128-#REF!</f>
      </c>
      <c r="AT119" s="51" t="e">
        <f>Ticker0001_Exchange_Sheet!BR128-#REF!</f>
      </c>
      <c r="AU119" s="51" t="e">
        <f>Ticker0001_Exchange_Sheet!BS128-#REF!</f>
      </c>
      <c r="AV119" s="51" t="e">
        <f>Ticker0001_Exchange_Sheet!BT128-#REF!</f>
      </c>
      <c r="AW119" s="51" t="e">
        <f>Ticker0001_Exchange_Sheet!BU128-#REF!</f>
      </c>
      <c r="AX119" s="51" t="e">
        <f>Ticker0001_Exchange_Sheet!BV128-#REF!</f>
      </c>
      <c r="AY119" s="51" t="e">
        <f>Ticker0001_Exchange_Sheet!BW128-#REF!</f>
      </c>
      <c r="AZ119" s="51" t="e">
        <f>Ticker0001_Exchange_Sheet!BX128-#REF!</f>
      </c>
      <c r="BA119" s="51" t="e">
        <f>Ticker0001_Exchange_Sheet!BY128-#REF!</f>
      </c>
      <c r="BB119" s="51" t="e">
        <f>Ticker0001_Exchange_Sheet!BZ128-#REF!</f>
      </c>
      <c r="BC119" s="51" t="e">
        <f>Ticker0001_Exchange_Sheet!CA128-#REF!</f>
      </c>
      <c r="BD119" s="51" t="e">
        <f>Ticker0001_Exchange_Sheet!CB128-#REF!</f>
      </c>
      <c r="BE119" s="51" t="e">
        <f>Ticker0001_Exchange_Sheet!CC128-#REF!</f>
      </c>
      <c r="BF119" s="51" t="e">
        <f>Ticker0001_Exchange_Sheet!CD128-#REF!</f>
      </c>
      <c r="BG119" s="51" t="e">
        <f>Ticker0001_Exchange_Sheet!CE128-#REF!</f>
      </c>
      <c r="BH119" s="51" t="e">
        <f>Ticker0001_Exchange_Sheet!CF128-#REF!</f>
      </c>
      <c r="BI119" s="51" t="e">
        <f>Ticker0001_Exchange_Sheet!CG128-#REF!</f>
      </c>
      <c r="BJ119" s="51" t="e">
        <f>Ticker0001_Exchange_Sheet!CH128-#REF!</f>
      </c>
      <c r="BK119" s="51" t="e">
        <f>Ticker0001_Exchange_Sheet!CI128-#REF!</f>
      </c>
      <c r="BL119" s="51" t="e">
        <f>Ticker0001_Exchange_Sheet!CJ128-#REF!</f>
      </c>
      <c r="BM119" s="51" t="e">
        <f>Ticker0001_Exchange_Sheet!CK128-#REF!</f>
      </c>
      <c r="BN119" s="51" t="e">
        <f>Ticker0001_Exchange_Sheet!CL128-#REF!</f>
      </c>
      <c r="BO119" s="51" t="e">
        <f>Ticker0001_Exchange_Sheet!CM128-#REF!</f>
      </c>
      <c r="BP119" s="51" t="e">
        <f>Ticker0001_Exchange_Sheet!CN128-#REF!</f>
      </c>
      <c r="BQ119" s="51" t="e">
        <f>Ticker0001_Exchange_Sheet!CO128-#REF!</f>
      </c>
      <c r="BR119" s="51" t="e">
        <f>Ticker0001_Exchange_Sheet!CP128-#REF!</f>
      </c>
      <c r="BS119" s="51" t="e">
        <f>Ticker0001_Exchange_Sheet!CQ128-#REF!</f>
      </c>
      <c r="BT119" s="51" t="e">
        <f>Ticker0001_Exchange_Sheet!CR128-#REF!</f>
      </c>
      <c r="BU119" s="51" t="e">
        <f>Ticker0001_Exchange_Sheet!CS128-#REF!</f>
      </c>
      <c r="BV119" s="51" t="e">
        <f>Ticker0001_Exchange_Sheet!CT128-#REF!</f>
      </c>
      <c r="BW119" s="51" t="e">
        <f>Ticker0001_Exchange_Sheet!CU128-#REF!</f>
      </c>
      <c r="BX119" s="51" t="e">
        <f>Ticker0001_Exchange_Sheet!CV128-#REF!</f>
      </c>
      <c r="BY119" s="51" t="e">
        <f>Ticker0001_Exchange_Sheet!CW128-#REF!</f>
      </c>
      <c r="BZ119" s="51" t="e">
        <f>Ticker0001_Exchange_Sheet!CX128-#REF!</f>
      </c>
      <c r="CA119" s="51" t="e">
        <f>Ticker0001_Exchange_Sheet!CY128-#REF!</f>
      </c>
      <c r="CB119" s="51" t="e">
        <f>Ticker0001_Exchange_Sheet!CZ128-#REF!</f>
      </c>
      <c r="CC119" s="51" t="e">
        <f>Ticker0001_Exchange_Sheet!DA128-#REF!</f>
      </c>
      <c r="CD119" s="51" t="e">
        <f>Ticker0001_Exchange_Sheet!DB128-#REF!</f>
      </c>
      <c r="CE119" s="51" t="e">
        <f>Ticker0001_Exchange_Sheet!DC128-#REF!</f>
      </c>
      <c r="CF119" s="51" t="e">
        <f>Ticker0001_Exchange_Sheet!DD128-#REF!</f>
      </c>
    </row>
    <row r="120" spans="6:84">
      <c r="F120" s="51" t="e">
        <f>Ticker0001_Exchange_Sheet!F131-#REF!</f>
      </c>
      <c r="G120" s="51" t="e">
        <f>Ticker0001_Exchange_Sheet!G131-#REF!</f>
      </c>
      <c r="H120" s="51" t="e">
        <f>Ticker0001_Exchange_Sheet!H131-#REF!</f>
      </c>
      <c r="I120" s="51" t="e">
        <f>Ticker0001_Exchange_Sheet!I131-#REF!</f>
      </c>
      <c r="J120" s="51" t="e">
        <f>Ticker0001_Exchange_Sheet!J131-#REF!</f>
      </c>
      <c r="K120" s="51" t="e">
        <f>Ticker0001_Exchange_Sheet!K131-#REF!</f>
      </c>
      <c r="L120" s="51" t="e">
        <f>Ticker0001_Exchange_Sheet!L131-#REF!</f>
      </c>
      <c r="M120" s="51" t="e">
        <f>Ticker0001_Exchange_Sheet!M131-#REF!</f>
      </c>
      <c r="N120" s="51" t="e">
        <f>Ticker0001_Exchange_Sheet!N131-#REF!</f>
      </c>
      <c r="O120" s="51" t="e">
        <f>Ticker0001_Exchange_Sheet!O131-#REF!</f>
      </c>
      <c r="P120" s="51" t="e">
        <f>Ticker0001_Exchange_Sheet!P131-#REF!</f>
      </c>
      <c r="Q120" s="51" t="e">
        <f>Ticker0001_Exchange_Sheet!Q131-#REF!</f>
      </c>
      <c r="R120" s="51" t="e">
        <f>Ticker0001_Exchange_Sheet!R131-#REF!</f>
      </c>
      <c r="S120" s="51" t="e">
        <f>Ticker0001_Exchange_Sheet!S131-#REF!</f>
      </c>
      <c r="T120" s="51" t="e">
        <f>Ticker0001_Exchange_Sheet!T131-#REF!</f>
      </c>
      <c r="U120" s="51" t="e">
        <f>Ticker0001_Exchange_Sheet!U131-#REF!</f>
      </c>
      <c r="V120" s="51" t="e">
        <f>Ticker0001_Exchange_Sheet!V131-#REF!</f>
      </c>
      <c r="W120" s="51" t="e">
        <f>Ticker0001_Exchange_Sheet!W131-#REF!</f>
      </c>
      <c r="X120" s="51" t="e">
        <f>Ticker0001_Exchange_Sheet!AK131-#REF!</f>
      </c>
      <c r="Y120" s="51" t="e">
        <f>Ticker0001_Exchange_Sheet!AX131-#REF!</f>
      </c>
      <c r="Z120" s="51" t="e">
        <f>Ticker0001_Exchange_Sheet!AY131-#REF!</f>
      </c>
      <c r="AA120" s="51" t="e">
        <f>Ticker0001_Exchange_Sheet!AZ131-#REF!</f>
      </c>
      <c r="AB120" s="51" t="e">
        <f>Ticker0001_Exchange_Sheet!BA131-#REF!</f>
      </c>
      <c r="AC120" s="51" t="e">
        <f>Ticker0001_Exchange_Sheet!BB131-#REF!</f>
      </c>
      <c r="AD120" s="51" t="e">
        <f>Ticker0001_Exchange_Sheet!BC131-#REF!</f>
      </c>
      <c r="AE120" s="51" t="e">
        <f>Ticker0001_Exchange_Sheet!BD131-#REF!</f>
      </c>
      <c r="AF120" s="51" t="e">
        <f>Ticker0001_Exchange_Sheet!BE131-#REF!</f>
      </c>
      <c r="AG120" s="51" t="e">
        <f>Ticker0001_Exchange_Sheet!BF131-#REF!</f>
      </c>
      <c r="AH120" s="51" t="e">
        <f>Ticker0001_Exchange_Sheet!BG131-#REF!</f>
      </c>
      <c r="AI120" s="51" t="e">
        <f>Ticker0001_Exchange_Sheet!BH131-#REF!</f>
      </c>
      <c r="AJ120" s="51" t="e">
        <f>Ticker0001_Exchange_Sheet!BI131-#REF!</f>
      </c>
      <c r="AK120" s="51" t="e">
        <f>Ticker0001_Exchange_Sheet!BJ131-#REF!</f>
      </c>
      <c r="AL120" s="51" t="e">
        <f>Ticker0001_Exchange_Sheet!BK131-#REF!</f>
      </c>
      <c r="AM120" s="51" t="e">
        <f>Ticker0001_Exchange_Sheet!BL131-#REF!</f>
      </c>
      <c r="AN120" s="51" t="e">
        <f>Ticker0001_Exchange_Sheet!BM131-#REF!</f>
      </c>
      <c r="AO120" s="51" t="e">
        <f>Ticker0001_Exchange_Sheet!BN131-#REF!</f>
      </c>
      <c r="AP120" s="51" t="e">
        <f>Ticker0001_Exchange_Sheet!BO131-#REF!</f>
      </c>
      <c r="AQ120" s="51" t="e">
        <f>Ticker0001_Exchange_Sheet!BP131-#REF!</f>
      </c>
      <c r="AR120" s="51" t="e">
        <f>Ticker0001_Exchange_Sheet!BQ131-#REF!</f>
      </c>
      <c r="AS120" s="51" t="e">
        <f>Ticker0001_Exchange_Sheet!BR131-#REF!</f>
      </c>
      <c r="AT120" s="51" t="e">
        <f>Ticker0001_Exchange_Sheet!BS131-#REF!</f>
      </c>
      <c r="AU120" s="51" t="e">
        <f>Ticker0001_Exchange_Sheet!BT131-#REF!</f>
      </c>
      <c r="AV120" s="51" t="e">
        <f>Ticker0001_Exchange_Sheet!BU131-#REF!</f>
      </c>
      <c r="AW120" s="51" t="e">
        <f>Ticker0001_Exchange_Sheet!BV131-#REF!</f>
      </c>
      <c r="AX120" s="51" t="e">
        <f>Ticker0001_Exchange_Sheet!BW131-#REF!</f>
      </c>
      <c r="AY120" s="51" t="e">
        <f>Ticker0001_Exchange_Sheet!BX131-#REF!</f>
      </c>
      <c r="AZ120" s="51" t="e">
        <f>Ticker0001_Exchange_Sheet!BY131-#REF!</f>
      </c>
      <c r="BA120" s="51" t="e">
        <f>Ticker0001_Exchange_Sheet!BZ131-#REF!</f>
      </c>
      <c r="BB120" s="51" t="e">
        <f>Ticker0001_Exchange_Sheet!CA131-#REF!</f>
      </c>
      <c r="BC120" s="51" t="e">
        <f>Ticker0001_Exchange_Sheet!CB131-#REF!</f>
      </c>
      <c r="BD120" s="51" t="e">
        <f>Ticker0001_Exchange_Sheet!CC131-#REF!</f>
      </c>
      <c r="BE120" s="51" t="e">
        <f>Ticker0001_Exchange_Sheet!CD131-#REF!</f>
      </c>
      <c r="BF120" s="51" t="e">
        <f>Ticker0001_Exchange_Sheet!CE131-#REF!</f>
      </c>
      <c r="BG120" s="51" t="e">
        <f>Ticker0001_Exchange_Sheet!CF131-#REF!</f>
      </c>
      <c r="BH120" s="51" t="e">
        <f>Ticker0001_Exchange_Sheet!CG131-#REF!</f>
      </c>
      <c r="BI120" s="51" t="e">
        <f>Ticker0001_Exchange_Sheet!CH131-#REF!</f>
      </c>
      <c r="BJ120" s="51" t="e">
        <f>Ticker0001_Exchange_Sheet!CI131-#REF!</f>
      </c>
      <c r="BK120" s="51" t="e">
        <f>Ticker0001_Exchange_Sheet!CJ131-#REF!</f>
      </c>
      <c r="BL120" s="51" t="e">
        <f>Ticker0001_Exchange_Sheet!CK131-#REF!</f>
      </c>
      <c r="BM120" s="51" t="e">
        <f>Ticker0001_Exchange_Sheet!CL131-#REF!</f>
      </c>
      <c r="BN120" s="51" t="e">
        <f>Ticker0001_Exchange_Sheet!CM131-#REF!</f>
      </c>
      <c r="BO120" s="51" t="e">
        <f>Ticker0001_Exchange_Sheet!CN131-#REF!</f>
      </c>
      <c r="BP120" s="51" t="e">
        <f>Ticker0001_Exchange_Sheet!CO131-#REF!</f>
      </c>
      <c r="BQ120" s="51" t="e">
        <f>Ticker0001_Exchange_Sheet!CP131-#REF!</f>
      </c>
      <c r="BR120" s="51" t="e">
        <f>Ticker0001_Exchange_Sheet!CQ131-#REF!</f>
      </c>
      <c r="BS120" s="51" t="e">
        <f>Ticker0001_Exchange_Sheet!CR131-#REF!</f>
      </c>
      <c r="BT120" s="51" t="e">
        <f>Ticker0001_Exchange_Sheet!CS131-#REF!</f>
      </c>
      <c r="BU120" s="51" t="e">
        <f>Ticker0001_Exchange_Sheet!CT131-#REF!</f>
      </c>
      <c r="BV120" s="51" t="e">
        <f>Ticker0001_Exchange_Sheet!CU131-#REF!</f>
      </c>
      <c r="BW120" s="51" t="e">
        <f>Ticker0001_Exchange_Sheet!CV131-#REF!</f>
      </c>
      <c r="BX120" s="51" t="e">
        <f>Ticker0001_Exchange_Sheet!CW131-#REF!</f>
      </c>
      <c r="BY120" s="51" t="e">
        <f>Ticker0001_Exchange_Sheet!CX131-#REF!</f>
      </c>
      <c r="BZ120" s="51" t="e">
        <f>Ticker0001_Exchange_Sheet!CY131-#REF!</f>
      </c>
      <c r="CA120" s="51" t="e">
        <f>Ticker0001_Exchange_Sheet!CZ131-#REF!</f>
      </c>
      <c r="CB120" s="51" t="e">
        <f>Ticker0001_Exchange_Sheet!DA131-#REF!</f>
      </c>
      <c r="CC120" s="51" t="e">
        <f>Ticker0001_Exchange_Sheet!DB131-#REF!</f>
      </c>
      <c r="CD120" s="51" t="e">
        <f>Ticker0001_Exchange_Sheet!DC131-#REF!</f>
      </c>
      <c r="CE120" s="51" t="e">
        <f>Ticker0001_Exchange_Sheet!DD131-#REF!</f>
      </c>
      <c r="CF120" s="51" t="e">
        <f>Ticker0001_Exchange_Sheet!DE131-#REF!</f>
      </c>
    </row>
    <row r="121" spans="6:84">
      <c r="F121" s="51" t="e">
        <f>Ticker0001_Exchange_Sheet!F132-#REF!</f>
      </c>
      <c r="G121" s="51" t="e">
        <f>Ticker0001_Exchange_Sheet!G132-#REF!</f>
      </c>
      <c r="H121" s="51" t="e">
        <f>Ticker0001_Exchange_Sheet!H132-#REF!</f>
      </c>
      <c r="I121" s="51" t="e">
        <f>Ticker0001_Exchange_Sheet!I132-#REF!</f>
      </c>
      <c r="J121" s="51" t="e">
        <f>Ticker0001_Exchange_Sheet!J132-#REF!</f>
      </c>
      <c r="K121" s="51" t="e">
        <f>Ticker0001_Exchange_Sheet!K132-#REF!</f>
      </c>
      <c r="L121" s="51" t="e">
        <f>Ticker0001_Exchange_Sheet!L132-#REF!</f>
      </c>
      <c r="M121" s="51" t="e">
        <f>Ticker0001_Exchange_Sheet!M132-#REF!</f>
      </c>
      <c r="N121" s="51" t="e">
        <f>Ticker0001_Exchange_Sheet!N132-#REF!</f>
      </c>
      <c r="O121" s="51" t="e">
        <f>Ticker0001_Exchange_Sheet!O132-#REF!</f>
      </c>
      <c r="P121" s="51" t="e">
        <f>Ticker0001_Exchange_Sheet!P132-#REF!</f>
      </c>
      <c r="Q121" s="51" t="e">
        <f>Ticker0001_Exchange_Sheet!Q132-#REF!</f>
      </c>
      <c r="R121" s="51" t="e">
        <f>Ticker0001_Exchange_Sheet!R132-#REF!</f>
      </c>
      <c r="S121" s="51" t="e">
        <f>Ticker0001_Exchange_Sheet!S132-#REF!</f>
      </c>
      <c r="T121" s="51" t="e">
        <f>Ticker0001_Exchange_Sheet!T132-#REF!</f>
      </c>
      <c r="U121" s="51" t="e">
        <f>Ticker0001_Exchange_Sheet!U132-#REF!</f>
      </c>
      <c r="V121" s="51" t="e">
        <f>Ticker0001_Exchange_Sheet!V132-#REF!</f>
      </c>
      <c r="W121" s="51" t="e">
        <f>Ticker0001_Exchange_Sheet!W132-#REF!</f>
      </c>
      <c r="X121" s="51" t="e">
        <f>Ticker0001_Exchange_Sheet!AK132-#REF!</f>
      </c>
      <c r="Y121" s="51" t="e">
        <f>Ticker0001_Exchange_Sheet!AX132-#REF!</f>
      </c>
      <c r="Z121" s="51" t="e">
        <f>Ticker0001_Exchange_Sheet!AY132-#REF!</f>
      </c>
      <c r="AA121" s="51" t="e">
        <f>Ticker0001_Exchange_Sheet!AZ132-#REF!</f>
      </c>
      <c r="AB121" s="51" t="e">
        <f>Ticker0001_Exchange_Sheet!BA132-#REF!</f>
      </c>
      <c r="AC121" s="51" t="e">
        <f>Ticker0001_Exchange_Sheet!BB132-#REF!</f>
      </c>
      <c r="AD121" s="51" t="e">
        <f>Ticker0001_Exchange_Sheet!BC132-#REF!</f>
      </c>
      <c r="AE121" s="51" t="e">
        <f>Ticker0001_Exchange_Sheet!BD132-#REF!</f>
      </c>
      <c r="AF121" s="51" t="e">
        <f>Ticker0001_Exchange_Sheet!BE132-#REF!</f>
      </c>
      <c r="AG121" s="51" t="e">
        <f>Ticker0001_Exchange_Sheet!BF132-#REF!</f>
      </c>
      <c r="AH121" s="51" t="e">
        <f>Ticker0001_Exchange_Sheet!BG132-#REF!</f>
      </c>
      <c r="AI121" s="51" t="e">
        <f>Ticker0001_Exchange_Sheet!BH132-#REF!</f>
      </c>
      <c r="AJ121" s="51" t="e">
        <f>Ticker0001_Exchange_Sheet!BI132-#REF!</f>
      </c>
      <c r="AK121" s="51" t="e">
        <f>Ticker0001_Exchange_Sheet!BJ132-#REF!</f>
      </c>
      <c r="AL121" s="51" t="e">
        <f>Ticker0001_Exchange_Sheet!BK132-#REF!</f>
      </c>
      <c r="AM121" s="51" t="e">
        <f>Ticker0001_Exchange_Sheet!BL132-#REF!</f>
      </c>
      <c r="AN121" s="51" t="e">
        <f>Ticker0001_Exchange_Sheet!BM132-#REF!</f>
      </c>
      <c r="AO121" s="51" t="e">
        <f>Ticker0001_Exchange_Sheet!BN132-#REF!</f>
      </c>
      <c r="AP121" s="51" t="e">
        <f>Ticker0001_Exchange_Sheet!BO132-#REF!</f>
      </c>
      <c r="AQ121" s="51" t="e">
        <f>Ticker0001_Exchange_Sheet!BP132-#REF!</f>
      </c>
      <c r="AR121" s="51" t="e">
        <f>Ticker0001_Exchange_Sheet!BQ132-#REF!</f>
      </c>
      <c r="AS121" s="51" t="e">
        <f>Ticker0001_Exchange_Sheet!BR132-#REF!</f>
      </c>
      <c r="AT121" s="51" t="e">
        <f>Ticker0001_Exchange_Sheet!BS132-#REF!</f>
      </c>
      <c r="AU121" s="51" t="e">
        <f>Ticker0001_Exchange_Sheet!BT132-#REF!</f>
      </c>
      <c r="AV121" s="51" t="e">
        <f>Ticker0001_Exchange_Sheet!BU132-#REF!</f>
      </c>
      <c r="AW121" s="51" t="e">
        <f>Ticker0001_Exchange_Sheet!BV132-#REF!</f>
      </c>
      <c r="AX121" s="51" t="e">
        <f>Ticker0001_Exchange_Sheet!BW132-#REF!</f>
      </c>
      <c r="AY121" s="51" t="e">
        <f>Ticker0001_Exchange_Sheet!BX132-#REF!</f>
      </c>
      <c r="AZ121" s="51" t="e">
        <f>Ticker0001_Exchange_Sheet!BY132-#REF!</f>
      </c>
      <c r="BA121" s="51" t="e">
        <f>Ticker0001_Exchange_Sheet!BZ132-#REF!</f>
      </c>
      <c r="BB121" s="51" t="e">
        <f>Ticker0001_Exchange_Sheet!CA132-#REF!</f>
      </c>
      <c r="BC121" s="51" t="e">
        <f>Ticker0001_Exchange_Sheet!CB132-#REF!</f>
      </c>
      <c r="BD121" s="51" t="e">
        <f>Ticker0001_Exchange_Sheet!CC132-#REF!</f>
      </c>
      <c r="BE121" s="51" t="e">
        <f>Ticker0001_Exchange_Sheet!CD132-#REF!</f>
      </c>
      <c r="BF121" s="51" t="e">
        <f>Ticker0001_Exchange_Sheet!CE132-#REF!</f>
      </c>
      <c r="BG121" s="51" t="e">
        <f>Ticker0001_Exchange_Sheet!CF132-#REF!</f>
      </c>
      <c r="BH121" s="51" t="e">
        <f>Ticker0001_Exchange_Sheet!CG132-#REF!</f>
      </c>
      <c r="BI121" s="51" t="e">
        <f>Ticker0001_Exchange_Sheet!CH132-#REF!</f>
      </c>
      <c r="BJ121" s="51" t="e">
        <f>Ticker0001_Exchange_Sheet!CI132-#REF!</f>
      </c>
      <c r="BK121" s="51" t="e">
        <f>Ticker0001_Exchange_Sheet!CJ132-#REF!</f>
      </c>
      <c r="BL121" s="51" t="e">
        <f>Ticker0001_Exchange_Sheet!CK132-#REF!</f>
      </c>
      <c r="BM121" s="51" t="e">
        <f>Ticker0001_Exchange_Sheet!CL132-#REF!</f>
      </c>
      <c r="BN121" s="51" t="e">
        <f>Ticker0001_Exchange_Sheet!CM132-#REF!</f>
      </c>
      <c r="BO121" s="51" t="e">
        <f>Ticker0001_Exchange_Sheet!CN132-#REF!</f>
      </c>
      <c r="BP121" s="51" t="e">
        <f>Ticker0001_Exchange_Sheet!CO132-#REF!</f>
      </c>
      <c r="BQ121" s="51" t="e">
        <f>Ticker0001_Exchange_Sheet!CP132-#REF!</f>
      </c>
      <c r="BR121" s="51" t="e">
        <f>Ticker0001_Exchange_Sheet!CQ132-#REF!</f>
      </c>
      <c r="BS121" s="51" t="e">
        <f>Ticker0001_Exchange_Sheet!CR132-#REF!</f>
      </c>
      <c r="BT121" s="51" t="e">
        <f>Ticker0001_Exchange_Sheet!CS132-#REF!</f>
      </c>
      <c r="BU121" s="51" t="e">
        <f>Ticker0001_Exchange_Sheet!CT132-#REF!</f>
      </c>
      <c r="BV121" s="51" t="e">
        <f>Ticker0001_Exchange_Sheet!CU132-#REF!</f>
      </c>
      <c r="BW121" s="51" t="e">
        <f>Ticker0001_Exchange_Sheet!CV132-#REF!</f>
      </c>
      <c r="BX121" s="51" t="e">
        <f>Ticker0001_Exchange_Sheet!CW132-#REF!</f>
      </c>
      <c r="BY121" s="51" t="e">
        <f>Ticker0001_Exchange_Sheet!CX132-#REF!</f>
      </c>
      <c r="BZ121" s="51" t="e">
        <f>Ticker0001_Exchange_Sheet!CY132-#REF!</f>
      </c>
      <c r="CA121" s="51" t="e">
        <f>Ticker0001_Exchange_Sheet!CZ132-#REF!</f>
      </c>
      <c r="CB121" s="51" t="e">
        <f>Ticker0001_Exchange_Sheet!DA132-#REF!</f>
      </c>
      <c r="CC121" s="51" t="e">
        <f>Ticker0001_Exchange_Sheet!DB132-#REF!</f>
      </c>
      <c r="CD121" s="51" t="e">
        <f>Ticker0001_Exchange_Sheet!DC132-#REF!</f>
      </c>
      <c r="CE121" s="51" t="e">
        <f>Ticker0001_Exchange_Sheet!DD132-#REF!</f>
      </c>
      <c r="CF121" s="51" t="e">
        <f>Ticker0001_Exchange_Sheet!DE132-#REF!</f>
      </c>
    </row>
    <row r="122" spans="6:84">
      <c r="F122" s="51" t="e">
        <f>Ticker0001_Exchange_Sheet!F133-#REF!</f>
      </c>
      <c r="G122" s="51" t="e">
        <f>Ticker0001_Exchange_Sheet!G133-#REF!</f>
      </c>
      <c r="H122" s="51" t="e">
        <f>Ticker0001_Exchange_Sheet!H133-#REF!</f>
      </c>
      <c r="I122" s="51" t="e">
        <f>Ticker0001_Exchange_Sheet!I133-#REF!</f>
      </c>
      <c r="J122" s="51" t="e">
        <f>Ticker0001_Exchange_Sheet!J133-#REF!</f>
      </c>
      <c r="K122" s="51" t="e">
        <f>Ticker0001_Exchange_Sheet!K133-#REF!</f>
      </c>
      <c r="L122" s="51" t="e">
        <f>Ticker0001_Exchange_Sheet!L133-#REF!</f>
      </c>
      <c r="M122" s="51" t="e">
        <f>Ticker0001_Exchange_Sheet!M133-#REF!</f>
      </c>
      <c r="N122" s="51" t="e">
        <f>Ticker0001_Exchange_Sheet!N133-#REF!</f>
      </c>
      <c r="O122" s="51" t="e">
        <f>Ticker0001_Exchange_Sheet!O133-#REF!</f>
      </c>
      <c r="P122" s="51" t="e">
        <f>Ticker0001_Exchange_Sheet!P133-#REF!</f>
      </c>
      <c r="Q122" s="51" t="e">
        <f>Ticker0001_Exchange_Sheet!Q133-#REF!</f>
      </c>
      <c r="R122" s="51" t="e">
        <f>Ticker0001_Exchange_Sheet!R133-#REF!</f>
      </c>
      <c r="S122" s="51" t="e">
        <f>Ticker0001_Exchange_Sheet!S133-#REF!</f>
      </c>
      <c r="T122" s="51" t="e">
        <f>Ticker0001_Exchange_Sheet!T133-#REF!</f>
      </c>
      <c r="U122" s="51" t="e">
        <f>Ticker0001_Exchange_Sheet!U133-#REF!</f>
      </c>
      <c r="V122" s="51" t="e">
        <f>Ticker0001_Exchange_Sheet!V133-#REF!</f>
      </c>
      <c r="W122" s="51" t="e">
        <f>Ticker0001_Exchange_Sheet!W133-#REF!</f>
      </c>
      <c r="X122" s="51" t="e">
        <f>Ticker0001_Exchange_Sheet!AK133-#REF!</f>
      </c>
      <c r="Y122" s="51" t="e">
        <f>Ticker0001_Exchange_Sheet!AX133-#REF!</f>
      </c>
      <c r="Z122" s="51" t="e">
        <f>Ticker0001_Exchange_Sheet!AY133-#REF!</f>
      </c>
      <c r="AA122" s="51" t="e">
        <f>Ticker0001_Exchange_Sheet!AZ133-#REF!</f>
      </c>
      <c r="AB122" s="51" t="e">
        <f>Ticker0001_Exchange_Sheet!BA133-#REF!</f>
      </c>
      <c r="AC122" s="51" t="e">
        <f>Ticker0001_Exchange_Sheet!BB133-#REF!</f>
      </c>
      <c r="AD122" s="51" t="e">
        <f>Ticker0001_Exchange_Sheet!BC133-#REF!</f>
      </c>
      <c r="AE122" s="51" t="e">
        <f>Ticker0001_Exchange_Sheet!BD133-#REF!</f>
      </c>
      <c r="AF122" s="51" t="e">
        <f>Ticker0001_Exchange_Sheet!BE133-#REF!</f>
      </c>
      <c r="AG122" s="51" t="e">
        <f>Ticker0001_Exchange_Sheet!BF133-#REF!</f>
      </c>
      <c r="AH122" s="51" t="e">
        <f>Ticker0001_Exchange_Sheet!BG133-#REF!</f>
      </c>
      <c r="AI122" s="51" t="e">
        <f>Ticker0001_Exchange_Sheet!BH133-#REF!</f>
      </c>
      <c r="AJ122" s="51" t="e">
        <f>Ticker0001_Exchange_Sheet!BI133-#REF!</f>
      </c>
      <c r="AK122" s="51" t="e">
        <f>Ticker0001_Exchange_Sheet!BJ133-#REF!</f>
      </c>
      <c r="AL122" s="51" t="e">
        <f>Ticker0001_Exchange_Sheet!BK133-#REF!</f>
      </c>
      <c r="AM122" s="51" t="e">
        <f>Ticker0001_Exchange_Sheet!BL133-#REF!</f>
      </c>
      <c r="AN122" s="51" t="e">
        <f>Ticker0001_Exchange_Sheet!BM133-#REF!</f>
      </c>
      <c r="AO122" s="51" t="e">
        <f>Ticker0001_Exchange_Sheet!BN133-#REF!</f>
      </c>
      <c r="AP122" s="51" t="e">
        <f>Ticker0001_Exchange_Sheet!BO133-#REF!</f>
      </c>
      <c r="AQ122" s="51" t="e">
        <f>Ticker0001_Exchange_Sheet!BP133-#REF!</f>
      </c>
      <c r="AR122" s="51" t="e">
        <f>Ticker0001_Exchange_Sheet!BQ133-#REF!</f>
      </c>
      <c r="AS122" s="51" t="e">
        <f>Ticker0001_Exchange_Sheet!BR133-#REF!</f>
      </c>
      <c r="AT122" s="51" t="e">
        <f>Ticker0001_Exchange_Sheet!BS133-#REF!</f>
      </c>
      <c r="AU122" s="51" t="e">
        <f>Ticker0001_Exchange_Sheet!BT133-#REF!</f>
      </c>
      <c r="AV122" s="51" t="e">
        <f>Ticker0001_Exchange_Sheet!BU133-#REF!</f>
      </c>
      <c r="AW122" s="51" t="e">
        <f>Ticker0001_Exchange_Sheet!BV133-#REF!</f>
      </c>
      <c r="AX122" s="51" t="e">
        <f>Ticker0001_Exchange_Sheet!BW133-#REF!</f>
      </c>
      <c r="AY122" s="51" t="e">
        <f>Ticker0001_Exchange_Sheet!BX133-#REF!</f>
      </c>
      <c r="AZ122" s="51" t="e">
        <f>Ticker0001_Exchange_Sheet!BY133-#REF!</f>
      </c>
      <c r="BA122" s="51" t="e">
        <f>Ticker0001_Exchange_Sheet!BZ133-#REF!</f>
      </c>
      <c r="BB122" s="51" t="e">
        <f>Ticker0001_Exchange_Sheet!CA133-#REF!</f>
      </c>
      <c r="BC122" s="51" t="e">
        <f>Ticker0001_Exchange_Sheet!CB133-#REF!</f>
      </c>
      <c r="BD122" s="51" t="e">
        <f>Ticker0001_Exchange_Sheet!CC133-#REF!</f>
      </c>
      <c r="BE122" s="51" t="e">
        <f>Ticker0001_Exchange_Sheet!CD133-#REF!</f>
      </c>
      <c r="BF122" s="51" t="e">
        <f>Ticker0001_Exchange_Sheet!CE133-#REF!</f>
      </c>
      <c r="BG122" s="51" t="e">
        <f>Ticker0001_Exchange_Sheet!CF133-#REF!</f>
      </c>
      <c r="BH122" s="51" t="e">
        <f>Ticker0001_Exchange_Sheet!CG133-#REF!</f>
      </c>
      <c r="BI122" s="51" t="e">
        <f>Ticker0001_Exchange_Sheet!CH133-#REF!</f>
      </c>
      <c r="BJ122" s="51" t="e">
        <f>Ticker0001_Exchange_Sheet!CI133-#REF!</f>
      </c>
      <c r="BK122" s="51" t="e">
        <f>Ticker0001_Exchange_Sheet!CJ133-#REF!</f>
      </c>
      <c r="BL122" s="51" t="e">
        <f>Ticker0001_Exchange_Sheet!CK133-#REF!</f>
      </c>
      <c r="BM122" s="51" t="e">
        <f>Ticker0001_Exchange_Sheet!CL133-#REF!</f>
      </c>
      <c r="BN122" s="51" t="e">
        <f>Ticker0001_Exchange_Sheet!CM133-#REF!</f>
      </c>
      <c r="BO122" s="51" t="e">
        <f>Ticker0001_Exchange_Sheet!CN133-#REF!</f>
      </c>
      <c r="BP122" s="51" t="e">
        <f>Ticker0001_Exchange_Sheet!CO133-#REF!</f>
      </c>
      <c r="BQ122" s="51" t="e">
        <f>Ticker0001_Exchange_Sheet!CP133-#REF!</f>
      </c>
      <c r="BR122" s="51" t="e">
        <f>Ticker0001_Exchange_Sheet!CQ133-#REF!</f>
      </c>
      <c r="BS122" s="51" t="e">
        <f>Ticker0001_Exchange_Sheet!CR133-#REF!</f>
      </c>
      <c r="BT122" s="51" t="e">
        <f>Ticker0001_Exchange_Sheet!CS133-#REF!</f>
      </c>
      <c r="BU122" s="51" t="e">
        <f>Ticker0001_Exchange_Sheet!CT133-#REF!</f>
      </c>
      <c r="BV122" s="51" t="e">
        <f>Ticker0001_Exchange_Sheet!CU133-#REF!</f>
      </c>
      <c r="BW122" s="51" t="e">
        <f>Ticker0001_Exchange_Sheet!CV133-#REF!</f>
      </c>
      <c r="BX122" s="51" t="e">
        <f>Ticker0001_Exchange_Sheet!CW133-#REF!</f>
      </c>
      <c r="BY122" s="51" t="e">
        <f>Ticker0001_Exchange_Sheet!CX133-#REF!</f>
      </c>
      <c r="BZ122" s="51" t="e">
        <f>Ticker0001_Exchange_Sheet!CY133-#REF!</f>
      </c>
      <c r="CA122" s="51" t="e">
        <f>Ticker0001_Exchange_Sheet!CZ133-#REF!</f>
      </c>
      <c r="CB122" s="51" t="e">
        <f>Ticker0001_Exchange_Sheet!DA133-#REF!</f>
      </c>
      <c r="CC122" s="51" t="e">
        <f>Ticker0001_Exchange_Sheet!DB133-#REF!</f>
      </c>
      <c r="CD122" s="51" t="e">
        <f>Ticker0001_Exchange_Sheet!DC133-#REF!</f>
      </c>
      <c r="CE122" s="51" t="e">
        <f>Ticker0001_Exchange_Sheet!DD133-#REF!</f>
      </c>
      <c r="CF122" s="51" t="e">
        <f>Ticker0001_Exchange_Sheet!DE133-#REF!</f>
      </c>
    </row>
    <row r="123" spans="6:84">
      <c r="F123" s="51" t="e">
        <f>Ticker0001_Exchange_Sheet!F134-#REF!</f>
      </c>
      <c r="G123" s="51" t="e">
        <f>Ticker0001_Exchange_Sheet!G134-#REF!</f>
      </c>
      <c r="H123" s="51" t="e">
        <f>Ticker0001_Exchange_Sheet!H134-#REF!</f>
      </c>
      <c r="I123" s="51" t="e">
        <f>Ticker0001_Exchange_Sheet!I134-#REF!</f>
      </c>
      <c r="J123" s="51" t="e">
        <f>Ticker0001_Exchange_Sheet!J134-#REF!</f>
      </c>
      <c r="K123" s="51" t="e">
        <f>Ticker0001_Exchange_Sheet!K134-#REF!</f>
      </c>
      <c r="L123" s="51" t="e">
        <f>Ticker0001_Exchange_Sheet!L134-#REF!</f>
      </c>
      <c r="M123" s="51" t="e">
        <f>Ticker0001_Exchange_Sheet!M134-#REF!</f>
      </c>
      <c r="N123" s="51" t="e">
        <f>Ticker0001_Exchange_Sheet!N134-#REF!</f>
      </c>
      <c r="O123" s="51" t="e">
        <f>Ticker0001_Exchange_Sheet!O134-#REF!</f>
      </c>
      <c r="P123" s="51" t="e">
        <f>Ticker0001_Exchange_Sheet!P134-#REF!</f>
      </c>
      <c r="Q123" s="51" t="e">
        <f>Ticker0001_Exchange_Sheet!Q134-#REF!</f>
      </c>
      <c r="R123" s="51" t="e">
        <f>Ticker0001_Exchange_Sheet!R134-#REF!</f>
      </c>
      <c r="S123" s="51" t="e">
        <f>Ticker0001_Exchange_Sheet!S134-#REF!</f>
      </c>
      <c r="T123" s="51" t="e">
        <f>Ticker0001_Exchange_Sheet!T134-#REF!</f>
      </c>
      <c r="U123" s="51" t="e">
        <f>Ticker0001_Exchange_Sheet!U134-#REF!</f>
      </c>
      <c r="V123" s="51" t="e">
        <f>Ticker0001_Exchange_Sheet!V134-#REF!</f>
      </c>
      <c r="W123" s="51" t="e">
        <f>Ticker0001_Exchange_Sheet!W134-#REF!</f>
      </c>
      <c r="X123" s="51" t="e">
        <f>Ticker0001_Exchange_Sheet!AK134-#REF!</f>
      </c>
      <c r="Y123" s="51" t="e">
        <f>Ticker0001_Exchange_Sheet!AX134-#REF!</f>
      </c>
      <c r="Z123" s="51" t="e">
        <f>Ticker0001_Exchange_Sheet!AY134-#REF!</f>
      </c>
      <c r="AA123" s="51" t="e">
        <f>Ticker0001_Exchange_Sheet!AZ134-#REF!</f>
      </c>
      <c r="AB123" s="51" t="e">
        <f>Ticker0001_Exchange_Sheet!BA134-#REF!</f>
      </c>
      <c r="AC123" s="51" t="e">
        <f>Ticker0001_Exchange_Sheet!BB134-#REF!</f>
      </c>
      <c r="AD123" s="51" t="e">
        <f>Ticker0001_Exchange_Sheet!BC134-#REF!</f>
      </c>
      <c r="AE123" s="51" t="e">
        <f>Ticker0001_Exchange_Sheet!BD134-#REF!</f>
      </c>
      <c r="AF123" s="51" t="e">
        <f>Ticker0001_Exchange_Sheet!BE134-#REF!</f>
      </c>
      <c r="AG123" s="51" t="e">
        <f>Ticker0001_Exchange_Sheet!BF134-#REF!</f>
      </c>
      <c r="AH123" s="51" t="e">
        <f>Ticker0001_Exchange_Sheet!BG134-#REF!</f>
      </c>
      <c r="AI123" s="51" t="e">
        <f>Ticker0001_Exchange_Sheet!BH134-#REF!</f>
      </c>
      <c r="AJ123" s="51" t="e">
        <f>Ticker0001_Exchange_Sheet!BI134-#REF!</f>
      </c>
      <c r="AK123" s="51" t="e">
        <f>Ticker0001_Exchange_Sheet!BJ134-#REF!</f>
      </c>
      <c r="AL123" s="51" t="e">
        <f>Ticker0001_Exchange_Sheet!BK134-#REF!</f>
      </c>
      <c r="AM123" s="51" t="e">
        <f>Ticker0001_Exchange_Sheet!BL134-#REF!</f>
      </c>
      <c r="AN123" s="51" t="e">
        <f>Ticker0001_Exchange_Sheet!BM134-#REF!</f>
      </c>
      <c r="AO123" s="51" t="e">
        <f>Ticker0001_Exchange_Sheet!BN134-#REF!</f>
      </c>
      <c r="AP123" s="51" t="e">
        <f>Ticker0001_Exchange_Sheet!BO134-#REF!</f>
      </c>
      <c r="AQ123" s="51" t="e">
        <f>Ticker0001_Exchange_Sheet!BP134-#REF!</f>
      </c>
      <c r="AR123" s="51" t="e">
        <f>Ticker0001_Exchange_Sheet!BQ134-#REF!</f>
      </c>
      <c r="AS123" s="51" t="e">
        <f>Ticker0001_Exchange_Sheet!BR134-#REF!</f>
      </c>
      <c r="AT123" s="51" t="e">
        <f>Ticker0001_Exchange_Sheet!BS134-#REF!</f>
      </c>
      <c r="AU123" s="51" t="e">
        <f>Ticker0001_Exchange_Sheet!BT134-#REF!</f>
      </c>
      <c r="AV123" s="51" t="e">
        <f>Ticker0001_Exchange_Sheet!BU134-#REF!</f>
      </c>
      <c r="AW123" s="51" t="e">
        <f>Ticker0001_Exchange_Sheet!BV134-#REF!</f>
      </c>
      <c r="AX123" s="51" t="e">
        <f>Ticker0001_Exchange_Sheet!BW134-#REF!</f>
      </c>
      <c r="AY123" s="51" t="e">
        <f>Ticker0001_Exchange_Sheet!BX134-#REF!</f>
      </c>
      <c r="AZ123" s="51" t="e">
        <f>Ticker0001_Exchange_Sheet!BY134-#REF!</f>
      </c>
      <c r="BA123" s="51" t="e">
        <f>Ticker0001_Exchange_Sheet!BZ134-#REF!</f>
      </c>
      <c r="BB123" s="51" t="e">
        <f>Ticker0001_Exchange_Sheet!CA134-#REF!</f>
      </c>
      <c r="BC123" s="51" t="e">
        <f>Ticker0001_Exchange_Sheet!CB134-#REF!</f>
      </c>
      <c r="BD123" s="51" t="e">
        <f>Ticker0001_Exchange_Sheet!CC134-#REF!</f>
      </c>
      <c r="BE123" s="51" t="e">
        <f>Ticker0001_Exchange_Sheet!CD134-#REF!</f>
      </c>
      <c r="BF123" s="51" t="e">
        <f>Ticker0001_Exchange_Sheet!CE134-#REF!</f>
      </c>
      <c r="BG123" s="51" t="e">
        <f>Ticker0001_Exchange_Sheet!CF134-#REF!</f>
      </c>
      <c r="BH123" s="51" t="e">
        <f>Ticker0001_Exchange_Sheet!CG134-#REF!</f>
      </c>
      <c r="BI123" s="51" t="e">
        <f>Ticker0001_Exchange_Sheet!CH134-#REF!</f>
      </c>
      <c r="BJ123" s="51" t="e">
        <f>Ticker0001_Exchange_Sheet!CI134-#REF!</f>
      </c>
      <c r="BK123" s="51" t="e">
        <f>Ticker0001_Exchange_Sheet!CJ134-#REF!</f>
      </c>
      <c r="BL123" s="51" t="e">
        <f>Ticker0001_Exchange_Sheet!CK134-#REF!</f>
      </c>
      <c r="BM123" s="51" t="e">
        <f>Ticker0001_Exchange_Sheet!CL134-#REF!</f>
      </c>
      <c r="BN123" s="51" t="e">
        <f>Ticker0001_Exchange_Sheet!CM134-#REF!</f>
      </c>
      <c r="BO123" s="51" t="e">
        <f>Ticker0001_Exchange_Sheet!CN134-#REF!</f>
      </c>
      <c r="BP123" s="51" t="e">
        <f>Ticker0001_Exchange_Sheet!CO134-#REF!</f>
      </c>
      <c r="BQ123" s="51" t="e">
        <f>Ticker0001_Exchange_Sheet!CP134-#REF!</f>
      </c>
      <c r="BR123" s="51" t="e">
        <f>Ticker0001_Exchange_Sheet!CQ134-#REF!</f>
      </c>
      <c r="BS123" s="51" t="e">
        <f>Ticker0001_Exchange_Sheet!CR134-#REF!</f>
      </c>
      <c r="BT123" s="51" t="e">
        <f>Ticker0001_Exchange_Sheet!CS134-#REF!</f>
      </c>
      <c r="BU123" s="51" t="e">
        <f>Ticker0001_Exchange_Sheet!CT134-#REF!</f>
      </c>
      <c r="BV123" s="51" t="e">
        <f>Ticker0001_Exchange_Sheet!CU134-#REF!</f>
      </c>
      <c r="BW123" s="51" t="e">
        <f>Ticker0001_Exchange_Sheet!CV134-#REF!</f>
      </c>
      <c r="BX123" s="51" t="e">
        <f>Ticker0001_Exchange_Sheet!CW134-#REF!</f>
      </c>
      <c r="BY123" s="51" t="e">
        <f>Ticker0001_Exchange_Sheet!CX134-#REF!</f>
      </c>
      <c r="BZ123" s="51" t="e">
        <f>Ticker0001_Exchange_Sheet!CY134-#REF!</f>
      </c>
      <c r="CA123" s="51" t="e">
        <f>Ticker0001_Exchange_Sheet!CZ134-#REF!</f>
      </c>
      <c r="CB123" s="51" t="e">
        <f>Ticker0001_Exchange_Sheet!DA134-#REF!</f>
      </c>
      <c r="CC123" s="51" t="e">
        <f>Ticker0001_Exchange_Sheet!DB134-#REF!</f>
      </c>
      <c r="CD123" s="51" t="e">
        <f>Ticker0001_Exchange_Sheet!DC134-#REF!</f>
      </c>
      <c r="CE123" s="51" t="e">
        <f>Ticker0001_Exchange_Sheet!DD134-#REF!</f>
      </c>
      <c r="CF123" s="51" t="e">
        <f>Ticker0001_Exchange_Sheet!DE134-#REF!</f>
      </c>
    </row>
    <row r="124" spans="6:84">
      <c r="F124" s="51" t="e">
        <f>Ticker0001_Exchange_Sheet!F135-#REF!</f>
      </c>
      <c r="G124" s="51" t="e">
        <f>Ticker0001_Exchange_Sheet!G135-#REF!</f>
      </c>
      <c r="H124" s="51" t="e">
        <f>Ticker0001_Exchange_Sheet!H135-#REF!</f>
      </c>
      <c r="I124" s="51" t="e">
        <f>Ticker0001_Exchange_Sheet!I135-#REF!</f>
      </c>
      <c r="J124" s="51" t="e">
        <f>Ticker0001_Exchange_Sheet!J135-#REF!</f>
      </c>
      <c r="K124" s="51" t="e">
        <f>Ticker0001_Exchange_Sheet!K135-#REF!</f>
      </c>
      <c r="L124" s="51" t="e">
        <f>Ticker0001_Exchange_Sheet!L135-#REF!</f>
      </c>
      <c r="M124" s="51" t="e">
        <f>Ticker0001_Exchange_Sheet!M135-#REF!</f>
      </c>
      <c r="N124" s="51" t="e">
        <f>Ticker0001_Exchange_Sheet!N135-#REF!</f>
      </c>
      <c r="O124" s="51" t="e">
        <f>Ticker0001_Exchange_Sheet!O135-#REF!</f>
      </c>
      <c r="P124" s="51" t="e">
        <f>Ticker0001_Exchange_Sheet!P135-#REF!</f>
      </c>
      <c r="Q124" s="51" t="e">
        <f>Ticker0001_Exchange_Sheet!Q135-#REF!</f>
      </c>
      <c r="R124" s="51" t="e">
        <f>Ticker0001_Exchange_Sheet!R135-#REF!</f>
      </c>
      <c r="S124" s="51" t="e">
        <f>Ticker0001_Exchange_Sheet!S135-#REF!</f>
      </c>
      <c r="T124" s="51" t="e">
        <f>Ticker0001_Exchange_Sheet!T135-#REF!</f>
      </c>
      <c r="U124" s="51" t="e">
        <f>Ticker0001_Exchange_Sheet!U135-#REF!</f>
      </c>
      <c r="V124" s="51" t="e">
        <f>Ticker0001_Exchange_Sheet!V135-#REF!</f>
      </c>
      <c r="W124" s="51" t="e">
        <f>Ticker0001_Exchange_Sheet!W135-#REF!</f>
      </c>
      <c r="X124" s="51" t="e">
        <f>Ticker0001_Exchange_Sheet!AK135-#REF!</f>
      </c>
      <c r="Y124" s="51" t="e">
        <f>Ticker0001_Exchange_Sheet!AX135-#REF!</f>
      </c>
      <c r="Z124" s="51" t="e">
        <f>Ticker0001_Exchange_Sheet!AY135-#REF!</f>
      </c>
      <c r="AA124" s="51" t="e">
        <f>Ticker0001_Exchange_Sheet!AZ135-#REF!</f>
      </c>
      <c r="AB124" s="51" t="e">
        <f>Ticker0001_Exchange_Sheet!BA135-#REF!</f>
      </c>
      <c r="AC124" s="51" t="e">
        <f>Ticker0001_Exchange_Sheet!BB135-#REF!</f>
      </c>
      <c r="AD124" s="51" t="e">
        <f>Ticker0001_Exchange_Sheet!BC135-#REF!</f>
      </c>
      <c r="AE124" s="51" t="e">
        <f>Ticker0001_Exchange_Sheet!BD135-#REF!</f>
      </c>
      <c r="AF124" s="51" t="e">
        <f>Ticker0001_Exchange_Sheet!BE135-#REF!</f>
      </c>
      <c r="AG124" s="51" t="e">
        <f>Ticker0001_Exchange_Sheet!BF135-#REF!</f>
      </c>
      <c r="AH124" s="51" t="e">
        <f>Ticker0001_Exchange_Sheet!BG135-#REF!</f>
      </c>
      <c r="AI124" s="51" t="e">
        <f>Ticker0001_Exchange_Sheet!BH135-#REF!</f>
      </c>
      <c r="AJ124" s="51" t="e">
        <f>Ticker0001_Exchange_Sheet!BI135-#REF!</f>
      </c>
      <c r="AK124" s="51" t="e">
        <f>Ticker0001_Exchange_Sheet!BJ135-#REF!</f>
      </c>
      <c r="AL124" s="51" t="e">
        <f>Ticker0001_Exchange_Sheet!BK135-#REF!</f>
      </c>
      <c r="AM124" s="51" t="e">
        <f>Ticker0001_Exchange_Sheet!BL135-#REF!</f>
      </c>
      <c r="AN124" s="51" t="e">
        <f>Ticker0001_Exchange_Sheet!BM135-#REF!</f>
      </c>
      <c r="AO124" s="51" t="e">
        <f>Ticker0001_Exchange_Sheet!BN135-#REF!</f>
      </c>
      <c r="AP124" s="51" t="e">
        <f>Ticker0001_Exchange_Sheet!BO135-#REF!</f>
      </c>
      <c r="AQ124" s="51" t="e">
        <f>Ticker0001_Exchange_Sheet!BP135-#REF!</f>
      </c>
      <c r="AR124" s="51" t="e">
        <f>Ticker0001_Exchange_Sheet!BQ135-#REF!</f>
      </c>
      <c r="AS124" s="51" t="e">
        <f>Ticker0001_Exchange_Sheet!BR135-#REF!</f>
      </c>
      <c r="AT124" s="51" t="e">
        <f>Ticker0001_Exchange_Sheet!BS135-#REF!</f>
      </c>
      <c r="AU124" s="51" t="e">
        <f>Ticker0001_Exchange_Sheet!BT135-#REF!</f>
      </c>
      <c r="AV124" s="51" t="e">
        <f>Ticker0001_Exchange_Sheet!BU135-#REF!</f>
      </c>
      <c r="AW124" s="51" t="e">
        <f>Ticker0001_Exchange_Sheet!BV135-#REF!</f>
      </c>
      <c r="AX124" s="51" t="e">
        <f>Ticker0001_Exchange_Sheet!BW135-#REF!</f>
      </c>
      <c r="AY124" s="51" t="e">
        <f>Ticker0001_Exchange_Sheet!BX135-#REF!</f>
      </c>
      <c r="AZ124" s="51" t="e">
        <f>Ticker0001_Exchange_Sheet!BY135-#REF!</f>
      </c>
      <c r="BA124" s="51" t="e">
        <f>Ticker0001_Exchange_Sheet!BZ135-#REF!</f>
      </c>
      <c r="BB124" s="51" t="e">
        <f>Ticker0001_Exchange_Sheet!CA135-#REF!</f>
      </c>
      <c r="BC124" s="51" t="e">
        <f>Ticker0001_Exchange_Sheet!CB135-#REF!</f>
      </c>
      <c r="BD124" s="51" t="e">
        <f>Ticker0001_Exchange_Sheet!CC135-#REF!</f>
      </c>
      <c r="BE124" s="51" t="e">
        <f>Ticker0001_Exchange_Sheet!CD135-#REF!</f>
      </c>
      <c r="BF124" s="51" t="e">
        <f>Ticker0001_Exchange_Sheet!CE135-#REF!</f>
      </c>
      <c r="BG124" s="51" t="e">
        <f>Ticker0001_Exchange_Sheet!CF135-#REF!</f>
      </c>
      <c r="BH124" s="51" t="e">
        <f>Ticker0001_Exchange_Sheet!CG135-#REF!</f>
      </c>
      <c r="BI124" s="51" t="e">
        <f>Ticker0001_Exchange_Sheet!CH135-#REF!</f>
      </c>
      <c r="BJ124" s="51" t="e">
        <f>Ticker0001_Exchange_Sheet!CI135-#REF!</f>
      </c>
      <c r="BK124" s="51" t="e">
        <f>Ticker0001_Exchange_Sheet!CJ135-#REF!</f>
      </c>
      <c r="BL124" s="51" t="e">
        <f>Ticker0001_Exchange_Sheet!CK135-#REF!</f>
      </c>
      <c r="BM124" s="51" t="e">
        <f>Ticker0001_Exchange_Sheet!CL135-#REF!</f>
      </c>
      <c r="BN124" s="51" t="e">
        <f>Ticker0001_Exchange_Sheet!CM135-#REF!</f>
      </c>
      <c r="BO124" s="51" t="e">
        <f>Ticker0001_Exchange_Sheet!CN135-#REF!</f>
      </c>
      <c r="BP124" s="51" t="e">
        <f>Ticker0001_Exchange_Sheet!CO135-#REF!</f>
      </c>
      <c r="BQ124" s="51" t="e">
        <f>Ticker0001_Exchange_Sheet!CP135-#REF!</f>
      </c>
      <c r="BR124" s="51" t="e">
        <f>Ticker0001_Exchange_Sheet!CQ135-#REF!</f>
      </c>
      <c r="BS124" s="51" t="e">
        <f>Ticker0001_Exchange_Sheet!CR135-#REF!</f>
      </c>
      <c r="BT124" s="51" t="e">
        <f>Ticker0001_Exchange_Sheet!CS135-#REF!</f>
      </c>
      <c r="BU124" s="51" t="e">
        <f>Ticker0001_Exchange_Sheet!CT135-#REF!</f>
      </c>
      <c r="BV124" s="51" t="e">
        <f>Ticker0001_Exchange_Sheet!CU135-#REF!</f>
      </c>
      <c r="BW124" s="51" t="e">
        <f>Ticker0001_Exchange_Sheet!CV135-#REF!</f>
      </c>
      <c r="BX124" s="51" t="e">
        <f>Ticker0001_Exchange_Sheet!CW135-#REF!</f>
      </c>
      <c r="BY124" s="51" t="e">
        <f>Ticker0001_Exchange_Sheet!CX135-#REF!</f>
      </c>
      <c r="BZ124" s="51" t="e">
        <f>Ticker0001_Exchange_Sheet!CY135-#REF!</f>
      </c>
      <c r="CA124" s="51" t="e">
        <f>Ticker0001_Exchange_Sheet!CZ135-#REF!</f>
      </c>
      <c r="CB124" s="51" t="e">
        <f>Ticker0001_Exchange_Sheet!DA135-#REF!</f>
      </c>
      <c r="CC124" s="51" t="e">
        <f>Ticker0001_Exchange_Sheet!DB135-#REF!</f>
      </c>
      <c r="CD124" s="51" t="e">
        <f>Ticker0001_Exchange_Sheet!DC135-#REF!</f>
      </c>
      <c r="CE124" s="51" t="e">
        <f>Ticker0001_Exchange_Sheet!DD135-#REF!</f>
      </c>
      <c r="CF124" s="51" t="e">
        <f>Ticker0001_Exchange_Sheet!DE135-#REF!</f>
      </c>
    </row>
    <row r="125" spans="6:84">
      <c r="F125" s="51" t="e">
        <f>Ticker0001_Exchange_Sheet!F136-#REF!</f>
      </c>
      <c r="G125" s="51" t="e">
        <f>Ticker0001_Exchange_Sheet!G136-#REF!</f>
      </c>
      <c r="H125" s="51" t="e">
        <f>Ticker0001_Exchange_Sheet!H136-#REF!</f>
      </c>
      <c r="I125" s="51" t="e">
        <f>Ticker0001_Exchange_Sheet!I136-#REF!</f>
      </c>
      <c r="J125" s="51" t="e">
        <f>Ticker0001_Exchange_Sheet!J136-#REF!</f>
      </c>
      <c r="K125" s="51" t="e">
        <f>Ticker0001_Exchange_Sheet!K136-#REF!</f>
      </c>
      <c r="L125" s="51" t="e">
        <f>Ticker0001_Exchange_Sheet!L136-#REF!</f>
      </c>
      <c r="M125" s="51" t="e">
        <f>Ticker0001_Exchange_Sheet!M136-#REF!</f>
      </c>
      <c r="N125" s="51" t="e">
        <f>Ticker0001_Exchange_Sheet!N136-#REF!</f>
      </c>
      <c r="O125" s="51" t="e">
        <f>Ticker0001_Exchange_Sheet!O136-#REF!</f>
      </c>
      <c r="P125" s="51" t="e">
        <f>Ticker0001_Exchange_Sheet!P136-#REF!</f>
      </c>
      <c r="Q125" s="51" t="e">
        <f>Ticker0001_Exchange_Sheet!Q136-#REF!</f>
      </c>
      <c r="R125" s="51" t="e">
        <f>Ticker0001_Exchange_Sheet!R136-#REF!</f>
      </c>
      <c r="S125" s="51" t="e">
        <f>Ticker0001_Exchange_Sheet!S136-#REF!</f>
      </c>
      <c r="T125" s="51" t="e">
        <f>Ticker0001_Exchange_Sheet!T136-#REF!</f>
      </c>
      <c r="U125" s="51" t="e">
        <f>Ticker0001_Exchange_Sheet!U136-#REF!</f>
      </c>
      <c r="V125" s="51" t="e">
        <f>Ticker0001_Exchange_Sheet!V136-#REF!</f>
      </c>
      <c r="W125" s="51" t="e">
        <f>Ticker0001_Exchange_Sheet!W136-#REF!</f>
      </c>
      <c r="X125" s="51" t="e">
        <f>Ticker0001_Exchange_Sheet!AK136-#REF!</f>
      </c>
      <c r="Y125" s="51" t="e">
        <f>Ticker0001_Exchange_Sheet!AX136-#REF!</f>
      </c>
      <c r="Z125" s="51" t="e">
        <f>Ticker0001_Exchange_Sheet!AY136-#REF!</f>
      </c>
      <c r="AA125" s="51" t="e">
        <f>Ticker0001_Exchange_Sheet!AZ136-#REF!</f>
      </c>
      <c r="AB125" s="51" t="e">
        <f>Ticker0001_Exchange_Sheet!BA136-#REF!</f>
      </c>
      <c r="AC125" s="51" t="e">
        <f>Ticker0001_Exchange_Sheet!BB136-#REF!</f>
      </c>
      <c r="AD125" s="51" t="e">
        <f>Ticker0001_Exchange_Sheet!BC136-#REF!</f>
      </c>
      <c r="AE125" s="51" t="e">
        <f>Ticker0001_Exchange_Sheet!BD136-#REF!</f>
      </c>
      <c r="AF125" s="51" t="e">
        <f>Ticker0001_Exchange_Sheet!BE136-#REF!</f>
      </c>
      <c r="AG125" s="51" t="e">
        <f>Ticker0001_Exchange_Sheet!BF136-#REF!</f>
      </c>
      <c r="AH125" s="51" t="e">
        <f>Ticker0001_Exchange_Sheet!BG136-#REF!</f>
      </c>
      <c r="AI125" s="51" t="e">
        <f>Ticker0001_Exchange_Sheet!BH136-#REF!</f>
      </c>
      <c r="AJ125" s="51" t="e">
        <f>Ticker0001_Exchange_Sheet!BI136-#REF!</f>
      </c>
      <c r="AK125" s="51" t="e">
        <f>Ticker0001_Exchange_Sheet!BJ136-#REF!</f>
      </c>
      <c r="AL125" s="51" t="e">
        <f>Ticker0001_Exchange_Sheet!BK136-#REF!</f>
      </c>
      <c r="AM125" s="51" t="e">
        <f>Ticker0001_Exchange_Sheet!BL136-#REF!</f>
      </c>
      <c r="AN125" s="51" t="e">
        <f>Ticker0001_Exchange_Sheet!BM136-#REF!</f>
      </c>
      <c r="AO125" s="51" t="e">
        <f>Ticker0001_Exchange_Sheet!BN136-#REF!</f>
      </c>
      <c r="AP125" s="51" t="e">
        <f>Ticker0001_Exchange_Sheet!BO136-#REF!</f>
      </c>
      <c r="AQ125" s="51" t="e">
        <f>Ticker0001_Exchange_Sheet!BP136-#REF!</f>
      </c>
      <c r="AR125" s="51" t="e">
        <f>Ticker0001_Exchange_Sheet!BQ136-#REF!</f>
      </c>
      <c r="AS125" s="51" t="e">
        <f>Ticker0001_Exchange_Sheet!BR136-#REF!</f>
      </c>
      <c r="AT125" s="51" t="e">
        <f>Ticker0001_Exchange_Sheet!BS136-#REF!</f>
      </c>
      <c r="AU125" s="51" t="e">
        <f>Ticker0001_Exchange_Sheet!BT136-#REF!</f>
      </c>
      <c r="AV125" s="51" t="e">
        <f>Ticker0001_Exchange_Sheet!BU136-#REF!</f>
      </c>
      <c r="AW125" s="51" t="e">
        <f>Ticker0001_Exchange_Sheet!BV136-#REF!</f>
      </c>
      <c r="AX125" s="51" t="e">
        <f>Ticker0001_Exchange_Sheet!BW136-#REF!</f>
      </c>
      <c r="AY125" s="51" t="e">
        <f>Ticker0001_Exchange_Sheet!BX136-#REF!</f>
      </c>
      <c r="AZ125" s="51" t="e">
        <f>Ticker0001_Exchange_Sheet!BY136-#REF!</f>
      </c>
      <c r="BA125" s="51" t="e">
        <f>Ticker0001_Exchange_Sheet!BZ136-#REF!</f>
      </c>
      <c r="BB125" s="51" t="e">
        <f>Ticker0001_Exchange_Sheet!CA136-#REF!</f>
      </c>
      <c r="BC125" s="51" t="e">
        <f>Ticker0001_Exchange_Sheet!CB136-#REF!</f>
      </c>
      <c r="BD125" s="51" t="e">
        <f>Ticker0001_Exchange_Sheet!CC136-#REF!</f>
      </c>
      <c r="BE125" s="51" t="e">
        <f>Ticker0001_Exchange_Sheet!CD136-#REF!</f>
      </c>
      <c r="BF125" s="51" t="e">
        <f>Ticker0001_Exchange_Sheet!CE136-#REF!</f>
      </c>
      <c r="BG125" s="51" t="e">
        <f>Ticker0001_Exchange_Sheet!CF136-#REF!</f>
      </c>
      <c r="BH125" s="51" t="e">
        <f>Ticker0001_Exchange_Sheet!CG136-#REF!</f>
      </c>
      <c r="BI125" s="51" t="e">
        <f>Ticker0001_Exchange_Sheet!CH136-#REF!</f>
      </c>
      <c r="BJ125" s="51" t="e">
        <f>Ticker0001_Exchange_Sheet!CI136-#REF!</f>
      </c>
      <c r="BK125" s="51" t="e">
        <f>Ticker0001_Exchange_Sheet!CJ136-#REF!</f>
      </c>
      <c r="BL125" s="51" t="e">
        <f>Ticker0001_Exchange_Sheet!CK136-#REF!</f>
      </c>
      <c r="BM125" s="51" t="e">
        <f>Ticker0001_Exchange_Sheet!CL136-#REF!</f>
      </c>
      <c r="BN125" s="51" t="e">
        <f>Ticker0001_Exchange_Sheet!CM136-#REF!</f>
      </c>
      <c r="BO125" s="51" t="e">
        <f>Ticker0001_Exchange_Sheet!CN136-#REF!</f>
      </c>
      <c r="BP125" s="51" t="e">
        <f>Ticker0001_Exchange_Sheet!CO136-#REF!</f>
      </c>
      <c r="BQ125" s="51" t="e">
        <f>Ticker0001_Exchange_Sheet!CP136-#REF!</f>
      </c>
      <c r="BR125" s="51" t="e">
        <f>Ticker0001_Exchange_Sheet!CQ136-#REF!</f>
      </c>
      <c r="BS125" s="51" t="e">
        <f>Ticker0001_Exchange_Sheet!CR136-#REF!</f>
      </c>
      <c r="BT125" s="51" t="e">
        <f>Ticker0001_Exchange_Sheet!CS136-#REF!</f>
      </c>
      <c r="BU125" s="51" t="e">
        <f>Ticker0001_Exchange_Sheet!CT136-#REF!</f>
      </c>
      <c r="BV125" s="51" t="e">
        <f>Ticker0001_Exchange_Sheet!CU136-#REF!</f>
      </c>
      <c r="BW125" s="51" t="e">
        <f>Ticker0001_Exchange_Sheet!CV136-#REF!</f>
      </c>
      <c r="BX125" s="51" t="e">
        <f>Ticker0001_Exchange_Sheet!CW136-#REF!</f>
      </c>
      <c r="BY125" s="51" t="e">
        <f>Ticker0001_Exchange_Sheet!CX136-#REF!</f>
      </c>
      <c r="BZ125" s="51" t="e">
        <f>Ticker0001_Exchange_Sheet!CY136-#REF!</f>
      </c>
      <c r="CA125" s="51" t="e">
        <f>Ticker0001_Exchange_Sheet!CZ136-#REF!</f>
      </c>
      <c r="CB125" s="51" t="e">
        <f>Ticker0001_Exchange_Sheet!DA136-#REF!</f>
      </c>
      <c r="CC125" s="51" t="e">
        <f>Ticker0001_Exchange_Sheet!DB136-#REF!</f>
      </c>
      <c r="CD125" s="51" t="e">
        <f>Ticker0001_Exchange_Sheet!DC136-#REF!</f>
      </c>
      <c r="CE125" s="51" t="e">
        <f>Ticker0001_Exchange_Sheet!DD136-#REF!</f>
      </c>
      <c r="CF125" s="51" t="e">
        <f>Ticker0001_Exchange_Sheet!DE136-#REF!</f>
      </c>
    </row>
    <row r="126" spans="6:84">
      <c r="F126" s="51" t="e">
        <f>Ticker0001_Exchange_Sheet!#REF!-#REF!</f>
      </c>
      <c r="G126" s="51" t="e">
        <f>Ticker0001_Exchange_Sheet!#REF!-#REF!</f>
      </c>
      <c r="H126" s="51" t="e">
        <f>Ticker0001_Exchange_Sheet!#REF!-#REF!</f>
      </c>
      <c r="I126" s="51" t="e">
        <f>Ticker0001_Exchange_Sheet!#REF!-#REF!</f>
      </c>
      <c r="J126" s="51" t="e">
        <f>Ticker0001_Exchange_Sheet!#REF!-#REF!</f>
      </c>
      <c r="K126" s="51" t="e">
        <f>Ticker0001_Exchange_Sheet!#REF!-#REF!</f>
      </c>
      <c r="L126" s="51" t="e">
        <f>Ticker0001_Exchange_Sheet!#REF!-#REF!</f>
      </c>
      <c r="M126" s="51" t="e">
        <f>Ticker0001_Exchange_Sheet!#REF!-#REF!</f>
      </c>
      <c r="N126" s="51" t="e">
        <f>Ticker0001_Exchange_Sheet!#REF!-#REF!</f>
      </c>
      <c r="O126" s="51" t="e">
        <f>Ticker0001_Exchange_Sheet!#REF!-#REF!</f>
      </c>
      <c r="P126" s="51" t="e">
        <f>Ticker0001_Exchange_Sheet!#REF!-#REF!</f>
      </c>
      <c r="Q126" s="51" t="e">
        <f>Ticker0001_Exchange_Sheet!#REF!-#REF!</f>
      </c>
      <c r="R126" s="51" t="e">
        <f>Ticker0001_Exchange_Sheet!#REF!-#REF!</f>
      </c>
      <c r="S126" s="51" t="e">
        <f>Ticker0001_Exchange_Sheet!#REF!-#REF!</f>
      </c>
      <c r="T126" s="51" t="e">
        <f>Ticker0001_Exchange_Sheet!#REF!-#REF!</f>
      </c>
      <c r="U126" s="51" t="e">
        <f>Ticker0001_Exchange_Sheet!#REF!-#REF!</f>
      </c>
      <c r="V126" s="51" t="e">
        <f>Ticker0001_Exchange_Sheet!#REF!-#REF!</f>
      </c>
      <c r="W126" s="51" t="e">
        <f>Ticker0001_Exchange_Sheet!#REF!-#REF!</f>
      </c>
      <c r="X126" s="51" t="e">
        <f>Ticker0001_Exchange_Sheet!#REF!-#REF!</f>
      </c>
      <c r="Y126" s="51" t="e">
        <f>Ticker0001_Exchange_Sheet!#REF!-#REF!</f>
      </c>
      <c r="Z126" s="51" t="e">
        <f>Ticker0001_Exchange_Sheet!#REF!-#REF!</f>
      </c>
      <c r="AA126" s="51" t="e">
        <f>Ticker0001_Exchange_Sheet!#REF!-#REF!</f>
      </c>
      <c r="AB126" s="51" t="e">
        <f>Ticker0001_Exchange_Sheet!#REF!-#REF!</f>
      </c>
      <c r="AC126" s="51" t="e">
        <f>Ticker0001_Exchange_Sheet!#REF!-#REF!</f>
      </c>
      <c r="AD126" s="51" t="e">
        <f>Ticker0001_Exchange_Sheet!#REF!-#REF!</f>
      </c>
      <c r="AE126" s="51" t="e">
        <f>Ticker0001_Exchange_Sheet!#REF!-#REF!</f>
      </c>
      <c r="AF126" s="51" t="e">
        <f>Ticker0001_Exchange_Sheet!#REF!-#REF!</f>
      </c>
      <c r="AG126" s="51" t="e">
        <f>Ticker0001_Exchange_Sheet!#REF!-#REF!</f>
      </c>
      <c r="AH126" s="51" t="e">
        <f>Ticker0001_Exchange_Sheet!#REF!-#REF!</f>
      </c>
      <c r="AI126" s="51" t="e">
        <f>Ticker0001_Exchange_Sheet!#REF!-#REF!</f>
      </c>
      <c r="AJ126" s="51" t="e">
        <f>Ticker0001_Exchange_Sheet!#REF!-#REF!</f>
      </c>
      <c r="AK126" s="51" t="e">
        <f>Ticker0001_Exchange_Sheet!#REF!-#REF!</f>
      </c>
      <c r="AL126" s="51" t="e">
        <f>Ticker0001_Exchange_Sheet!#REF!-#REF!</f>
      </c>
      <c r="AM126" s="51" t="e">
        <f>Ticker0001_Exchange_Sheet!#REF!-#REF!</f>
      </c>
      <c r="AN126" s="51" t="e">
        <f>Ticker0001_Exchange_Sheet!#REF!-#REF!</f>
      </c>
      <c r="AO126" s="51" t="e">
        <f>Ticker0001_Exchange_Sheet!#REF!-#REF!</f>
      </c>
      <c r="AP126" s="51" t="e">
        <f>Ticker0001_Exchange_Sheet!#REF!-#REF!</f>
      </c>
      <c r="AQ126" s="51" t="e">
        <f>Ticker0001_Exchange_Sheet!#REF!-#REF!</f>
      </c>
      <c r="AR126" s="51" t="e">
        <f>Ticker0001_Exchange_Sheet!#REF!-#REF!</f>
      </c>
      <c r="AS126" s="51" t="e">
        <f>Ticker0001_Exchange_Sheet!#REF!-#REF!</f>
      </c>
      <c r="AT126" s="51" t="e">
        <f>Ticker0001_Exchange_Sheet!#REF!-#REF!</f>
      </c>
      <c r="AU126" s="51" t="e">
        <f>Ticker0001_Exchange_Sheet!#REF!-#REF!</f>
      </c>
      <c r="AV126" s="51" t="e">
        <f>Ticker0001_Exchange_Sheet!#REF!-#REF!</f>
      </c>
      <c r="AW126" s="51" t="e">
        <f>Ticker0001_Exchange_Sheet!#REF!-#REF!</f>
      </c>
      <c r="AX126" s="51" t="e">
        <f>Ticker0001_Exchange_Sheet!#REF!-#REF!</f>
      </c>
      <c r="AY126" s="51" t="e">
        <f>Ticker0001_Exchange_Sheet!#REF!-#REF!</f>
      </c>
      <c r="AZ126" s="51" t="e">
        <f>Ticker0001_Exchange_Sheet!#REF!-#REF!</f>
      </c>
      <c r="BA126" s="51" t="e">
        <f>Ticker0001_Exchange_Sheet!#REF!-#REF!</f>
      </c>
      <c r="BB126" s="51" t="e">
        <f>Ticker0001_Exchange_Sheet!#REF!-#REF!</f>
      </c>
      <c r="BC126" s="51" t="e">
        <f>Ticker0001_Exchange_Sheet!#REF!-#REF!</f>
      </c>
      <c r="BD126" s="51" t="e">
        <f>Ticker0001_Exchange_Sheet!#REF!-#REF!</f>
      </c>
      <c r="BE126" s="51" t="e">
        <f>Ticker0001_Exchange_Sheet!#REF!-#REF!</f>
      </c>
      <c r="BF126" s="51" t="e">
        <f>Ticker0001_Exchange_Sheet!#REF!-#REF!</f>
      </c>
      <c r="BG126" s="51" t="e">
        <f>Ticker0001_Exchange_Sheet!#REF!-#REF!</f>
      </c>
      <c r="BH126" s="51" t="e">
        <f>Ticker0001_Exchange_Sheet!#REF!-#REF!</f>
      </c>
      <c r="BI126" s="51" t="e">
        <f>Ticker0001_Exchange_Sheet!#REF!-#REF!</f>
      </c>
      <c r="BJ126" s="51" t="e">
        <f>Ticker0001_Exchange_Sheet!#REF!-#REF!</f>
      </c>
      <c r="BK126" s="51" t="e">
        <f>Ticker0001_Exchange_Sheet!#REF!-#REF!</f>
      </c>
      <c r="BL126" s="51" t="e">
        <f>Ticker0001_Exchange_Sheet!#REF!-#REF!</f>
      </c>
      <c r="BM126" s="51" t="e">
        <f>Ticker0001_Exchange_Sheet!#REF!-#REF!</f>
      </c>
      <c r="BN126" s="51" t="e">
        <f>Ticker0001_Exchange_Sheet!#REF!-#REF!</f>
      </c>
      <c r="BO126" s="51" t="e">
        <f>Ticker0001_Exchange_Sheet!#REF!-#REF!</f>
      </c>
      <c r="BP126" s="51" t="e">
        <f>Ticker0001_Exchange_Sheet!#REF!-#REF!</f>
      </c>
      <c r="BQ126" s="51" t="e">
        <f>Ticker0001_Exchange_Sheet!#REF!-#REF!</f>
      </c>
      <c r="BR126" s="51" t="e">
        <f>Ticker0001_Exchange_Sheet!#REF!-#REF!</f>
      </c>
      <c r="BS126" s="51" t="e">
        <f>Ticker0001_Exchange_Sheet!#REF!-#REF!</f>
      </c>
      <c r="BT126" s="51" t="e">
        <f>Ticker0001_Exchange_Sheet!#REF!-#REF!</f>
      </c>
      <c r="BU126" s="51" t="e">
        <f>Ticker0001_Exchange_Sheet!#REF!-#REF!</f>
      </c>
      <c r="BV126" s="51" t="e">
        <f>Ticker0001_Exchange_Sheet!#REF!-#REF!</f>
      </c>
      <c r="BW126" s="51" t="e">
        <f>Ticker0001_Exchange_Sheet!#REF!-#REF!</f>
      </c>
      <c r="BX126" s="51" t="e">
        <f>Ticker0001_Exchange_Sheet!#REF!-#REF!</f>
      </c>
      <c r="BY126" s="51" t="e">
        <f>Ticker0001_Exchange_Sheet!#REF!-#REF!</f>
      </c>
      <c r="BZ126" s="51" t="e">
        <f>Ticker0001_Exchange_Sheet!#REF!-#REF!</f>
      </c>
      <c r="CA126" s="51" t="e">
        <f>Ticker0001_Exchange_Sheet!#REF!-#REF!</f>
      </c>
      <c r="CB126" s="51" t="e">
        <f>Ticker0001_Exchange_Sheet!#REF!-#REF!</f>
      </c>
      <c r="CC126" s="51" t="e">
        <f>Ticker0001_Exchange_Sheet!#REF!-#REF!</f>
      </c>
      <c r="CD126" s="51" t="e">
        <f>Ticker0001_Exchange_Sheet!#REF!-#REF!</f>
      </c>
      <c r="CE126" s="51" t="e">
        <f>Ticker0001_Exchange_Sheet!#REF!-#REF!</f>
      </c>
      <c r="CF126" s="51" t="e">
        <f>Ticker0001_Exchange_Sheet!#REF!-#REF!</f>
      </c>
    </row>
    <row r="127" spans="6:84">
      <c r="F127" s="51" t="e">
        <f>Ticker0001_Exchange_Sheet!#REF!-#REF!</f>
      </c>
      <c r="G127" s="51" t="e">
        <f>Ticker0001_Exchange_Sheet!#REF!-#REF!</f>
      </c>
      <c r="H127" s="51" t="e">
        <f>Ticker0001_Exchange_Sheet!#REF!-#REF!</f>
      </c>
      <c r="I127" s="51" t="e">
        <f>Ticker0001_Exchange_Sheet!#REF!-#REF!</f>
      </c>
      <c r="J127" s="51" t="e">
        <f>Ticker0001_Exchange_Sheet!#REF!-#REF!</f>
      </c>
      <c r="K127" s="51" t="e">
        <f>Ticker0001_Exchange_Sheet!#REF!-#REF!</f>
      </c>
      <c r="L127" s="51" t="e">
        <f>Ticker0001_Exchange_Sheet!#REF!-#REF!</f>
      </c>
      <c r="M127" s="51" t="e">
        <f>Ticker0001_Exchange_Sheet!#REF!-#REF!</f>
      </c>
      <c r="N127" s="51" t="e">
        <f>Ticker0001_Exchange_Sheet!#REF!-#REF!</f>
      </c>
      <c r="O127" s="51" t="e">
        <f>Ticker0001_Exchange_Sheet!#REF!-#REF!</f>
      </c>
      <c r="P127" s="51" t="e">
        <f>Ticker0001_Exchange_Sheet!#REF!-#REF!</f>
      </c>
      <c r="Q127" s="51" t="e">
        <f>Ticker0001_Exchange_Sheet!#REF!-#REF!</f>
      </c>
      <c r="R127" s="51" t="e">
        <f>Ticker0001_Exchange_Sheet!#REF!-#REF!</f>
      </c>
      <c r="S127" s="51" t="e">
        <f>Ticker0001_Exchange_Sheet!#REF!-#REF!</f>
      </c>
      <c r="T127" s="51" t="e">
        <f>Ticker0001_Exchange_Sheet!#REF!-#REF!</f>
      </c>
      <c r="U127" s="51" t="e">
        <f>Ticker0001_Exchange_Sheet!#REF!-#REF!</f>
      </c>
      <c r="V127" s="51" t="e">
        <f>Ticker0001_Exchange_Sheet!#REF!-#REF!</f>
      </c>
      <c r="W127" s="51" t="e">
        <f>Ticker0001_Exchange_Sheet!#REF!-#REF!</f>
      </c>
      <c r="X127" s="51" t="e">
        <f>Ticker0001_Exchange_Sheet!#REF!-#REF!</f>
      </c>
      <c r="Y127" s="51" t="e">
        <f>Ticker0001_Exchange_Sheet!#REF!-#REF!</f>
      </c>
      <c r="Z127" s="51" t="e">
        <f>Ticker0001_Exchange_Sheet!#REF!-#REF!</f>
      </c>
      <c r="AA127" s="51" t="e">
        <f>Ticker0001_Exchange_Sheet!#REF!-#REF!</f>
      </c>
      <c r="AB127" s="51" t="e">
        <f>Ticker0001_Exchange_Sheet!#REF!-#REF!</f>
      </c>
      <c r="AC127" s="51" t="e">
        <f>Ticker0001_Exchange_Sheet!#REF!-#REF!</f>
      </c>
      <c r="AD127" s="51" t="e">
        <f>Ticker0001_Exchange_Sheet!#REF!-#REF!</f>
      </c>
      <c r="AE127" s="51" t="e">
        <f>Ticker0001_Exchange_Sheet!#REF!-#REF!</f>
      </c>
      <c r="AF127" s="51" t="e">
        <f>Ticker0001_Exchange_Sheet!#REF!-#REF!</f>
      </c>
      <c r="AG127" s="51" t="e">
        <f>Ticker0001_Exchange_Sheet!#REF!-#REF!</f>
      </c>
      <c r="AH127" s="51" t="e">
        <f>Ticker0001_Exchange_Sheet!#REF!-#REF!</f>
      </c>
      <c r="AI127" s="51" t="e">
        <f>Ticker0001_Exchange_Sheet!#REF!-#REF!</f>
      </c>
      <c r="AJ127" s="51" t="e">
        <f>Ticker0001_Exchange_Sheet!#REF!-#REF!</f>
      </c>
      <c r="AK127" s="51" t="e">
        <f>Ticker0001_Exchange_Sheet!#REF!-#REF!</f>
      </c>
      <c r="AL127" s="51" t="e">
        <f>Ticker0001_Exchange_Sheet!#REF!-#REF!</f>
      </c>
      <c r="AM127" s="51" t="e">
        <f>Ticker0001_Exchange_Sheet!#REF!-#REF!</f>
      </c>
      <c r="AN127" s="51" t="e">
        <f>Ticker0001_Exchange_Sheet!#REF!-#REF!</f>
      </c>
      <c r="AO127" s="51" t="e">
        <f>Ticker0001_Exchange_Sheet!#REF!-#REF!</f>
      </c>
      <c r="AP127" s="51" t="e">
        <f>Ticker0001_Exchange_Sheet!#REF!-#REF!</f>
      </c>
      <c r="AQ127" s="51" t="e">
        <f>Ticker0001_Exchange_Sheet!#REF!-#REF!</f>
      </c>
      <c r="AR127" s="51" t="e">
        <f>Ticker0001_Exchange_Sheet!#REF!-#REF!</f>
      </c>
      <c r="AS127" s="51" t="e">
        <f>Ticker0001_Exchange_Sheet!#REF!-#REF!</f>
      </c>
      <c r="AT127" s="51" t="e">
        <f>Ticker0001_Exchange_Sheet!#REF!-#REF!</f>
      </c>
      <c r="AU127" s="51" t="e">
        <f>Ticker0001_Exchange_Sheet!#REF!-#REF!</f>
      </c>
      <c r="AV127" s="51" t="e">
        <f>Ticker0001_Exchange_Sheet!#REF!-#REF!</f>
      </c>
      <c r="AW127" s="51" t="e">
        <f>Ticker0001_Exchange_Sheet!#REF!-#REF!</f>
      </c>
      <c r="AX127" s="51" t="e">
        <f>Ticker0001_Exchange_Sheet!#REF!-#REF!</f>
      </c>
      <c r="AY127" s="51" t="e">
        <f>Ticker0001_Exchange_Sheet!#REF!-#REF!</f>
      </c>
      <c r="AZ127" s="51" t="e">
        <f>Ticker0001_Exchange_Sheet!#REF!-#REF!</f>
      </c>
      <c r="BA127" s="51" t="e">
        <f>Ticker0001_Exchange_Sheet!#REF!-#REF!</f>
      </c>
      <c r="BB127" s="51" t="e">
        <f>Ticker0001_Exchange_Sheet!#REF!-#REF!</f>
      </c>
      <c r="BC127" s="51" t="e">
        <f>Ticker0001_Exchange_Sheet!#REF!-#REF!</f>
      </c>
      <c r="BD127" s="51" t="e">
        <f>Ticker0001_Exchange_Sheet!#REF!-#REF!</f>
      </c>
      <c r="BE127" s="51" t="e">
        <f>Ticker0001_Exchange_Sheet!#REF!-#REF!</f>
      </c>
      <c r="BF127" s="51" t="e">
        <f>Ticker0001_Exchange_Sheet!#REF!-#REF!</f>
      </c>
      <c r="BG127" s="51" t="e">
        <f>Ticker0001_Exchange_Sheet!#REF!-#REF!</f>
      </c>
      <c r="BH127" s="51" t="e">
        <f>Ticker0001_Exchange_Sheet!#REF!-#REF!</f>
      </c>
      <c r="BI127" s="51" t="e">
        <f>Ticker0001_Exchange_Sheet!#REF!-#REF!</f>
      </c>
      <c r="BJ127" s="51" t="e">
        <f>Ticker0001_Exchange_Sheet!#REF!-#REF!</f>
      </c>
      <c r="BK127" s="51" t="e">
        <f>Ticker0001_Exchange_Sheet!#REF!-#REF!</f>
      </c>
      <c r="BL127" s="51" t="e">
        <f>Ticker0001_Exchange_Sheet!#REF!-#REF!</f>
      </c>
      <c r="BM127" s="51" t="e">
        <f>Ticker0001_Exchange_Sheet!#REF!-#REF!</f>
      </c>
      <c r="BN127" s="51" t="e">
        <f>Ticker0001_Exchange_Sheet!#REF!-#REF!</f>
      </c>
      <c r="BO127" s="51" t="e">
        <f>Ticker0001_Exchange_Sheet!#REF!-#REF!</f>
      </c>
      <c r="BP127" s="51" t="e">
        <f>Ticker0001_Exchange_Sheet!#REF!-#REF!</f>
      </c>
      <c r="BQ127" s="51" t="e">
        <f>Ticker0001_Exchange_Sheet!#REF!-#REF!</f>
      </c>
      <c r="BR127" s="51" t="e">
        <f>Ticker0001_Exchange_Sheet!#REF!-#REF!</f>
      </c>
      <c r="BS127" s="51" t="e">
        <f>Ticker0001_Exchange_Sheet!#REF!-#REF!</f>
      </c>
      <c r="BT127" s="51" t="e">
        <f>Ticker0001_Exchange_Sheet!#REF!-#REF!</f>
      </c>
      <c r="BU127" s="51" t="e">
        <f>Ticker0001_Exchange_Sheet!#REF!-#REF!</f>
      </c>
      <c r="BV127" s="51" t="e">
        <f>Ticker0001_Exchange_Sheet!#REF!-#REF!</f>
      </c>
      <c r="BW127" s="51" t="e">
        <f>Ticker0001_Exchange_Sheet!#REF!-#REF!</f>
      </c>
      <c r="BX127" s="51" t="e">
        <f>Ticker0001_Exchange_Sheet!#REF!-#REF!</f>
      </c>
      <c r="BY127" s="51" t="e">
        <f>Ticker0001_Exchange_Sheet!#REF!-#REF!</f>
      </c>
      <c r="BZ127" s="51" t="e">
        <f>Ticker0001_Exchange_Sheet!#REF!-#REF!</f>
      </c>
      <c r="CA127" s="51" t="e">
        <f>Ticker0001_Exchange_Sheet!#REF!-#REF!</f>
      </c>
      <c r="CB127" s="51" t="e">
        <f>Ticker0001_Exchange_Sheet!#REF!-#REF!</f>
      </c>
      <c r="CC127" s="51" t="e">
        <f>Ticker0001_Exchange_Sheet!#REF!-#REF!</f>
      </c>
      <c r="CD127" s="51" t="e">
        <f>Ticker0001_Exchange_Sheet!#REF!-#REF!</f>
      </c>
      <c r="CE127" s="51" t="e">
        <f>Ticker0001_Exchange_Sheet!#REF!-#REF!</f>
      </c>
      <c r="CF127" s="51" t="e">
        <f>Ticker0001_Exchange_Sheet!#REF!-#REF!</f>
      </c>
    </row>
    <row r="128" spans="6:84">
      <c r="F128" s="51" t="e">
        <f>Ticker0001_Exchange_Sheet!F151-#REF!</f>
      </c>
      <c r="G128" s="51" t="e">
        <f>Ticker0001_Exchange_Sheet!G151-#REF!</f>
      </c>
      <c r="H128" s="51" t="e">
        <f>Ticker0001_Exchange_Sheet!H151-#REF!</f>
      </c>
      <c r="I128" s="51" t="e">
        <f>Ticker0001_Exchange_Sheet!I151-#REF!</f>
      </c>
      <c r="J128" s="51" t="e">
        <f>Ticker0001_Exchange_Sheet!J151-#REF!</f>
      </c>
      <c r="K128" s="51" t="e">
        <f>Ticker0001_Exchange_Sheet!K151-#REF!</f>
      </c>
      <c r="L128" s="51" t="e">
        <f>Ticker0001_Exchange_Sheet!L151-#REF!</f>
      </c>
      <c r="M128" s="51" t="e">
        <f>Ticker0001_Exchange_Sheet!M151-#REF!</f>
      </c>
      <c r="N128" s="51" t="e">
        <f>Ticker0001_Exchange_Sheet!N151-#REF!</f>
      </c>
      <c r="O128" s="51" t="e">
        <f>Ticker0001_Exchange_Sheet!O151-#REF!</f>
      </c>
      <c r="P128" s="51" t="e">
        <f>Ticker0001_Exchange_Sheet!P151-#REF!</f>
      </c>
      <c r="Q128" s="51" t="e">
        <f>Ticker0001_Exchange_Sheet!Q151-#REF!</f>
      </c>
      <c r="R128" s="51" t="e">
        <f>Ticker0001_Exchange_Sheet!R151-#REF!</f>
      </c>
      <c r="S128" s="51" t="e">
        <f>Ticker0001_Exchange_Sheet!S151-#REF!</f>
      </c>
      <c r="T128" s="51" t="e">
        <f>Ticker0001_Exchange_Sheet!T151-#REF!</f>
      </c>
      <c r="U128" s="51" t="e">
        <f>Ticker0001_Exchange_Sheet!U151-#REF!</f>
      </c>
      <c r="V128" s="51" t="e">
        <f>Ticker0001_Exchange_Sheet!V151-#REF!</f>
      </c>
      <c r="W128" s="51" t="e">
        <f>Ticker0001_Exchange_Sheet!W151-#REF!</f>
      </c>
      <c r="X128" s="51" t="e">
        <f>Ticker0001_Exchange_Sheet!AK151-#REF!</f>
      </c>
      <c r="Y128" s="51" t="e">
        <f>Ticker0001_Exchange_Sheet!AX151-#REF!</f>
      </c>
      <c r="Z128" s="51" t="e">
        <f>Ticker0001_Exchange_Sheet!AY151-#REF!</f>
      </c>
      <c r="AA128" s="51" t="e">
        <f>Ticker0001_Exchange_Sheet!AZ151-#REF!</f>
      </c>
      <c r="AB128" s="51" t="e">
        <f>Ticker0001_Exchange_Sheet!BA151-#REF!</f>
      </c>
      <c r="AC128" s="51" t="e">
        <f>Ticker0001_Exchange_Sheet!BB151-#REF!</f>
      </c>
      <c r="AD128" s="51" t="e">
        <f>Ticker0001_Exchange_Sheet!BC151-#REF!</f>
      </c>
      <c r="AE128" s="51" t="e">
        <f>Ticker0001_Exchange_Sheet!BD151-#REF!</f>
      </c>
      <c r="AF128" s="51" t="e">
        <f>Ticker0001_Exchange_Sheet!BE151-#REF!</f>
      </c>
      <c r="AG128" s="51" t="e">
        <f>Ticker0001_Exchange_Sheet!BF151-#REF!</f>
      </c>
      <c r="AH128" s="51" t="e">
        <f>Ticker0001_Exchange_Sheet!BG151-#REF!</f>
      </c>
      <c r="AI128" s="51" t="e">
        <f>Ticker0001_Exchange_Sheet!BH151-#REF!</f>
      </c>
      <c r="AJ128" s="51" t="e">
        <f>Ticker0001_Exchange_Sheet!BI151-#REF!</f>
      </c>
      <c r="AK128" s="51" t="e">
        <f>Ticker0001_Exchange_Sheet!BJ151-#REF!</f>
      </c>
      <c r="AL128" s="51" t="e">
        <f>Ticker0001_Exchange_Sheet!BK151-#REF!</f>
      </c>
      <c r="AM128" s="51" t="e">
        <f>Ticker0001_Exchange_Sheet!BL151-#REF!</f>
      </c>
      <c r="AN128" s="51" t="e">
        <f>Ticker0001_Exchange_Sheet!BM151-#REF!</f>
      </c>
      <c r="AO128" s="51" t="e">
        <f>Ticker0001_Exchange_Sheet!BN151-#REF!</f>
      </c>
      <c r="AP128" s="51" t="e">
        <f>Ticker0001_Exchange_Sheet!BO151-#REF!</f>
      </c>
      <c r="AQ128" s="51" t="e">
        <f>Ticker0001_Exchange_Sheet!BP151-#REF!</f>
      </c>
      <c r="AR128" s="51" t="e">
        <f>Ticker0001_Exchange_Sheet!BQ151-#REF!</f>
      </c>
      <c r="AS128" s="51" t="e">
        <f>Ticker0001_Exchange_Sheet!BR151-#REF!</f>
      </c>
      <c r="AT128" s="51" t="e">
        <f>Ticker0001_Exchange_Sheet!BS151-#REF!</f>
      </c>
      <c r="AU128" s="51" t="e">
        <f>Ticker0001_Exchange_Sheet!BT151-#REF!</f>
      </c>
      <c r="AV128" s="51" t="e">
        <f>Ticker0001_Exchange_Sheet!BU151-#REF!</f>
      </c>
      <c r="AW128" s="51" t="e">
        <f>Ticker0001_Exchange_Sheet!BV151-#REF!</f>
      </c>
      <c r="AX128" s="51" t="e">
        <f>Ticker0001_Exchange_Sheet!BW151-#REF!</f>
      </c>
      <c r="AY128" s="51" t="e">
        <f>Ticker0001_Exchange_Sheet!BX151-#REF!</f>
      </c>
      <c r="AZ128" s="51" t="e">
        <f>Ticker0001_Exchange_Sheet!BY151-#REF!</f>
      </c>
      <c r="BA128" s="51" t="e">
        <f>Ticker0001_Exchange_Sheet!BZ151-#REF!</f>
      </c>
      <c r="BB128" s="51" t="e">
        <f>Ticker0001_Exchange_Sheet!CA151-#REF!</f>
      </c>
      <c r="BC128" s="51" t="e">
        <f>Ticker0001_Exchange_Sheet!CB151-#REF!</f>
      </c>
      <c r="BD128" s="51" t="e">
        <f>Ticker0001_Exchange_Sheet!CC151-#REF!</f>
      </c>
      <c r="BE128" s="51" t="e">
        <f>Ticker0001_Exchange_Sheet!CD151-#REF!</f>
      </c>
      <c r="BF128" s="51" t="e">
        <f>Ticker0001_Exchange_Sheet!CE151-#REF!</f>
      </c>
      <c r="BG128" s="51" t="e">
        <f>Ticker0001_Exchange_Sheet!CF151-#REF!</f>
      </c>
      <c r="BH128" s="51" t="e">
        <f>Ticker0001_Exchange_Sheet!CG151-#REF!</f>
      </c>
      <c r="BI128" s="51" t="e">
        <f>Ticker0001_Exchange_Sheet!CH151-#REF!</f>
      </c>
      <c r="BJ128" s="51" t="e">
        <f>Ticker0001_Exchange_Sheet!CI151-#REF!</f>
      </c>
      <c r="BK128" s="51" t="e">
        <f>Ticker0001_Exchange_Sheet!CJ151-#REF!</f>
      </c>
      <c r="BL128" s="51" t="e">
        <f>Ticker0001_Exchange_Sheet!CK151-#REF!</f>
      </c>
      <c r="BM128" s="51" t="e">
        <f>Ticker0001_Exchange_Sheet!CL151-#REF!</f>
      </c>
      <c r="BN128" s="51" t="e">
        <f>Ticker0001_Exchange_Sheet!CM151-#REF!</f>
      </c>
      <c r="BO128" s="51" t="e">
        <f>Ticker0001_Exchange_Sheet!CN151-#REF!</f>
      </c>
      <c r="BP128" s="51" t="e">
        <f>Ticker0001_Exchange_Sheet!CO151-#REF!</f>
      </c>
      <c r="BQ128" s="51" t="e">
        <f>Ticker0001_Exchange_Sheet!CP151-#REF!</f>
      </c>
      <c r="BR128" s="51" t="e">
        <f>Ticker0001_Exchange_Sheet!CQ151-#REF!</f>
      </c>
      <c r="BS128" s="51" t="e">
        <f>Ticker0001_Exchange_Sheet!CR151-#REF!</f>
      </c>
      <c r="BT128" s="51" t="e">
        <f>Ticker0001_Exchange_Sheet!CS151-#REF!</f>
      </c>
      <c r="BU128" s="51" t="e">
        <f>Ticker0001_Exchange_Sheet!CT151-#REF!</f>
      </c>
      <c r="BV128" s="51" t="e">
        <f>Ticker0001_Exchange_Sheet!CU151-#REF!</f>
      </c>
      <c r="BW128" s="51" t="e">
        <f>Ticker0001_Exchange_Sheet!CV151-#REF!</f>
      </c>
      <c r="BX128" s="51" t="e">
        <f>Ticker0001_Exchange_Sheet!CW151-#REF!</f>
      </c>
      <c r="BY128" s="51" t="e">
        <f>Ticker0001_Exchange_Sheet!CX151-#REF!</f>
      </c>
      <c r="BZ128" s="51" t="e">
        <f>Ticker0001_Exchange_Sheet!CY151-#REF!</f>
      </c>
      <c r="CA128" s="51" t="e">
        <f>Ticker0001_Exchange_Sheet!CZ151-#REF!</f>
      </c>
      <c r="CB128" s="51" t="e">
        <f>Ticker0001_Exchange_Sheet!DA151-#REF!</f>
      </c>
      <c r="CC128" s="51" t="e">
        <f>Ticker0001_Exchange_Sheet!DB151-#REF!</f>
      </c>
      <c r="CD128" s="51" t="e">
        <f>Ticker0001_Exchange_Sheet!DC151-#REF!</f>
      </c>
      <c r="CE128" s="51" t="e">
        <f>Ticker0001_Exchange_Sheet!DD151-#REF!</f>
      </c>
      <c r="CF128" s="51" t="e">
        <f>Ticker0001_Exchange_Sheet!DE151-#REF!</f>
      </c>
    </row>
    <row r="129" spans="6:84">
      <c r="F129" s="51" t="e">
        <f>Ticker0001_Exchange_Sheet!#REF!-#REF!</f>
      </c>
      <c r="G129" s="51" t="e">
        <f>Ticker0001_Exchange_Sheet!#REF!-#REF!</f>
      </c>
      <c r="H129" s="51" t="e">
        <f>Ticker0001_Exchange_Sheet!#REF!-#REF!</f>
      </c>
      <c r="I129" s="51" t="e">
        <f>Ticker0001_Exchange_Sheet!#REF!-#REF!</f>
      </c>
      <c r="J129" s="51" t="e">
        <f>Ticker0001_Exchange_Sheet!#REF!-#REF!</f>
      </c>
      <c r="K129" s="51" t="e">
        <f>Ticker0001_Exchange_Sheet!#REF!-#REF!</f>
      </c>
      <c r="L129" s="51" t="e">
        <f>Ticker0001_Exchange_Sheet!#REF!-#REF!</f>
      </c>
      <c r="M129" s="51" t="e">
        <f>Ticker0001_Exchange_Sheet!#REF!-#REF!</f>
      </c>
      <c r="N129" s="51" t="e">
        <f>Ticker0001_Exchange_Sheet!#REF!-#REF!</f>
      </c>
      <c r="O129" s="51" t="e">
        <f>Ticker0001_Exchange_Sheet!#REF!-#REF!</f>
      </c>
      <c r="P129" s="51" t="e">
        <f>Ticker0001_Exchange_Sheet!#REF!-#REF!</f>
      </c>
      <c r="Q129" s="51" t="e">
        <f>Ticker0001_Exchange_Sheet!#REF!-#REF!</f>
      </c>
      <c r="R129" s="51" t="e">
        <f>Ticker0001_Exchange_Sheet!#REF!-#REF!</f>
      </c>
      <c r="S129" s="51" t="e">
        <f>Ticker0001_Exchange_Sheet!#REF!-#REF!</f>
      </c>
      <c r="T129" s="51" t="e">
        <f>Ticker0001_Exchange_Sheet!#REF!-#REF!</f>
      </c>
      <c r="U129" s="51" t="e">
        <f>Ticker0001_Exchange_Sheet!#REF!-#REF!</f>
      </c>
      <c r="V129" s="51" t="e">
        <f>Ticker0001_Exchange_Sheet!#REF!-#REF!</f>
      </c>
      <c r="W129" s="51" t="e">
        <f>Ticker0001_Exchange_Sheet!#REF!-#REF!</f>
      </c>
      <c r="X129" s="51" t="e">
        <f>Ticker0001_Exchange_Sheet!#REF!-#REF!</f>
      </c>
      <c r="Y129" s="51" t="e">
        <f>Ticker0001_Exchange_Sheet!#REF!-#REF!</f>
      </c>
      <c r="Z129" s="51" t="e">
        <f>Ticker0001_Exchange_Sheet!#REF!-#REF!</f>
      </c>
      <c r="AA129" s="51" t="e">
        <f>Ticker0001_Exchange_Sheet!#REF!-#REF!</f>
      </c>
      <c r="AB129" s="51" t="e">
        <f>Ticker0001_Exchange_Sheet!#REF!-#REF!</f>
      </c>
      <c r="AC129" s="51" t="e">
        <f>Ticker0001_Exchange_Sheet!#REF!-#REF!</f>
      </c>
      <c r="AD129" s="51" t="e">
        <f>Ticker0001_Exchange_Sheet!#REF!-#REF!</f>
      </c>
      <c r="AE129" s="51" t="e">
        <f>Ticker0001_Exchange_Sheet!#REF!-#REF!</f>
      </c>
      <c r="AF129" s="51" t="e">
        <f>Ticker0001_Exchange_Sheet!#REF!-#REF!</f>
      </c>
      <c r="AG129" s="51" t="e">
        <f>Ticker0001_Exchange_Sheet!#REF!-#REF!</f>
      </c>
      <c r="AH129" s="51" t="e">
        <f>Ticker0001_Exchange_Sheet!#REF!-#REF!</f>
      </c>
      <c r="AI129" s="51" t="e">
        <f>Ticker0001_Exchange_Sheet!#REF!-#REF!</f>
      </c>
      <c r="AJ129" s="51" t="e">
        <f>Ticker0001_Exchange_Sheet!#REF!-#REF!</f>
      </c>
      <c r="AK129" s="51" t="e">
        <f>Ticker0001_Exchange_Sheet!#REF!-#REF!</f>
      </c>
      <c r="AL129" s="51" t="e">
        <f>Ticker0001_Exchange_Sheet!#REF!-#REF!</f>
      </c>
      <c r="AM129" s="51" t="e">
        <f>Ticker0001_Exchange_Sheet!#REF!-#REF!</f>
      </c>
      <c r="AN129" s="51" t="e">
        <f>Ticker0001_Exchange_Sheet!#REF!-#REF!</f>
      </c>
      <c r="AO129" s="51" t="e">
        <f>Ticker0001_Exchange_Sheet!#REF!-#REF!</f>
      </c>
      <c r="AP129" s="51" t="e">
        <f>Ticker0001_Exchange_Sheet!#REF!-#REF!</f>
      </c>
      <c r="AQ129" s="51" t="e">
        <f>Ticker0001_Exchange_Sheet!#REF!-#REF!</f>
      </c>
      <c r="AR129" s="51" t="e">
        <f>Ticker0001_Exchange_Sheet!#REF!-#REF!</f>
      </c>
      <c r="AS129" s="51" t="e">
        <f>Ticker0001_Exchange_Sheet!#REF!-#REF!</f>
      </c>
      <c r="AT129" s="51" t="e">
        <f>Ticker0001_Exchange_Sheet!#REF!-#REF!</f>
      </c>
      <c r="AU129" s="51" t="e">
        <f>Ticker0001_Exchange_Sheet!#REF!-#REF!</f>
      </c>
      <c r="AV129" s="51" t="e">
        <f>Ticker0001_Exchange_Sheet!#REF!-#REF!</f>
      </c>
      <c r="AW129" s="51" t="e">
        <f>Ticker0001_Exchange_Sheet!#REF!-#REF!</f>
      </c>
      <c r="AX129" s="51" t="e">
        <f>Ticker0001_Exchange_Sheet!#REF!-#REF!</f>
      </c>
      <c r="AY129" s="51" t="e">
        <f>Ticker0001_Exchange_Sheet!#REF!-#REF!</f>
      </c>
      <c r="AZ129" s="51" t="e">
        <f>Ticker0001_Exchange_Sheet!#REF!-#REF!</f>
      </c>
      <c r="BA129" s="51" t="e">
        <f>Ticker0001_Exchange_Sheet!#REF!-#REF!</f>
      </c>
      <c r="BB129" s="51" t="e">
        <f>Ticker0001_Exchange_Sheet!#REF!-#REF!</f>
      </c>
      <c r="BC129" s="51" t="e">
        <f>Ticker0001_Exchange_Sheet!#REF!-#REF!</f>
      </c>
      <c r="BD129" s="51" t="e">
        <f>Ticker0001_Exchange_Sheet!#REF!-#REF!</f>
      </c>
      <c r="BE129" s="51" t="e">
        <f>Ticker0001_Exchange_Sheet!#REF!-#REF!</f>
      </c>
      <c r="BF129" s="51" t="e">
        <f>Ticker0001_Exchange_Sheet!#REF!-#REF!</f>
      </c>
      <c r="BG129" s="51" t="e">
        <f>Ticker0001_Exchange_Sheet!#REF!-#REF!</f>
      </c>
      <c r="BH129" s="51" t="e">
        <f>Ticker0001_Exchange_Sheet!#REF!-#REF!</f>
      </c>
      <c r="BI129" s="51" t="e">
        <f>Ticker0001_Exchange_Sheet!#REF!-#REF!</f>
      </c>
      <c r="BJ129" s="51" t="e">
        <f>Ticker0001_Exchange_Sheet!#REF!-#REF!</f>
      </c>
      <c r="BK129" s="51" t="e">
        <f>Ticker0001_Exchange_Sheet!#REF!-#REF!</f>
      </c>
      <c r="BL129" s="51" t="e">
        <f>Ticker0001_Exchange_Sheet!#REF!-#REF!</f>
      </c>
      <c r="BM129" s="51" t="e">
        <f>Ticker0001_Exchange_Sheet!#REF!-#REF!</f>
      </c>
      <c r="BN129" s="51" t="e">
        <f>Ticker0001_Exchange_Sheet!#REF!-#REF!</f>
      </c>
      <c r="BO129" s="51" t="e">
        <f>Ticker0001_Exchange_Sheet!#REF!-#REF!</f>
      </c>
      <c r="BP129" s="51" t="e">
        <f>Ticker0001_Exchange_Sheet!#REF!-#REF!</f>
      </c>
      <c r="BQ129" s="51" t="e">
        <f>Ticker0001_Exchange_Sheet!#REF!-#REF!</f>
      </c>
      <c r="BR129" s="51" t="e">
        <f>Ticker0001_Exchange_Sheet!#REF!-#REF!</f>
      </c>
      <c r="BS129" s="51" t="e">
        <f>Ticker0001_Exchange_Sheet!#REF!-#REF!</f>
      </c>
      <c r="BT129" s="51" t="e">
        <f>Ticker0001_Exchange_Sheet!#REF!-#REF!</f>
      </c>
      <c r="BU129" s="51" t="e">
        <f>Ticker0001_Exchange_Sheet!#REF!-#REF!</f>
      </c>
      <c r="BV129" s="51" t="e">
        <f>Ticker0001_Exchange_Sheet!#REF!-#REF!</f>
      </c>
      <c r="BW129" s="51" t="e">
        <f>Ticker0001_Exchange_Sheet!#REF!-#REF!</f>
      </c>
      <c r="BX129" s="51" t="e">
        <f>Ticker0001_Exchange_Sheet!#REF!-#REF!</f>
      </c>
      <c r="BY129" s="51" t="e">
        <f>Ticker0001_Exchange_Sheet!#REF!-#REF!</f>
      </c>
      <c r="BZ129" s="51" t="e">
        <f>Ticker0001_Exchange_Sheet!#REF!-#REF!</f>
      </c>
      <c r="CA129" s="51" t="e">
        <f>Ticker0001_Exchange_Sheet!#REF!-#REF!</f>
      </c>
      <c r="CB129" s="51" t="e">
        <f>Ticker0001_Exchange_Sheet!#REF!-#REF!</f>
      </c>
      <c r="CC129" s="51" t="e">
        <f>Ticker0001_Exchange_Sheet!#REF!-#REF!</f>
      </c>
      <c r="CD129" s="51" t="e">
        <f>Ticker0001_Exchange_Sheet!#REF!-#REF!</f>
      </c>
      <c r="CE129" s="51" t="e">
        <f>Ticker0001_Exchange_Sheet!#REF!-#REF!</f>
      </c>
      <c r="CF129" s="51" t="e">
        <f>Ticker0001_Exchange_Sheet!#REF!-#REF!</f>
      </c>
    </row>
    <row r="130" spans="6:84">
      <c r="F130" s="51" t="e">
        <f>Ticker0001_Exchange_Sheet!#REF!-#REF!</f>
      </c>
      <c r="G130" s="51" t="e">
        <f>Ticker0001_Exchange_Sheet!#REF!-#REF!</f>
      </c>
      <c r="H130" s="51" t="e">
        <f>Ticker0001_Exchange_Sheet!#REF!-#REF!</f>
      </c>
      <c r="I130" s="51" t="e">
        <f>Ticker0001_Exchange_Sheet!#REF!-#REF!</f>
      </c>
      <c r="J130" s="51" t="e">
        <f>Ticker0001_Exchange_Sheet!#REF!-#REF!</f>
      </c>
      <c r="K130" s="51" t="e">
        <f>Ticker0001_Exchange_Sheet!#REF!-#REF!</f>
      </c>
      <c r="L130" s="51" t="e">
        <f>Ticker0001_Exchange_Sheet!#REF!-#REF!</f>
      </c>
      <c r="M130" s="51" t="e">
        <f>Ticker0001_Exchange_Sheet!#REF!-#REF!</f>
      </c>
      <c r="N130" s="51" t="e">
        <f>Ticker0001_Exchange_Sheet!#REF!-#REF!</f>
      </c>
      <c r="O130" s="51" t="e">
        <f>Ticker0001_Exchange_Sheet!#REF!-#REF!</f>
      </c>
      <c r="P130" s="51" t="e">
        <f>Ticker0001_Exchange_Sheet!#REF!-#REF!</f>
      </c>
      <c r="Q130" s="51" t="e">
        <f>Ticker0001_Exchange_Sheet!#REF!-#REF!</f>
      </c>
      <c r="R130" s="51" t="e">
        <f>Ticker0001_Exchange_Sheet!#REF!-#REF!</f>
      </c>
      <c r="S130" s="51" t="e">
        <f>Ticker0001_Exchange_Sheet!#REF!-#REF!</f>
      </c>
      <c r="T130" s="51" t="e">
        <f>Ticker0001_Exchange_Sheet!#REF!-#REF!</f>
      </c>
      <c r="U130" s="51" t="e">
        <f>Ticker0001_Exchange_Sheet!#REF!-#REF!</f>
      </c>
      <c r="V130" s="51" t="e">
        <f>Ticker0001_Exchange_Sheet!#REF!-#REF!</f>
      </c>
      <c r="W130" s="51" t="e">
        <f>Ticker0001_Exchange_Sheet!#REF!-#REF!</f>
      </c>
      <c r="X130" s="51" t="e">
        <f>Ticker0001_Exchange_Sheet!#REF!-#REF!</f>
      </c>
      <c r="Y130" s="51" t="e">
        <f>Ticker0001_Exchange_Sheet!#REF!-#REF!</f>
      </c>
      <c r="Z130" s="51" t="e">
        <f>Ticker0001_Exchange_Sheet!#REF!-#REF!</f>
      </c>
      <c r="AA130" s="51" t="e">
        <f>Ticker0001_Exchange_Sheet!#REF!-#REF!</f>
      </c>
      <c r="AB130" s="51" t="e">
        <f>Ticker0001_Exchange_Sheet!#REF!-#REF!</f>
      </c>
      <c r="AC130" s="51" t="e">
        <f>Ticker0001_Exchange_Sheet!#REF!-#REF!</f>
      </c>
      <c r="AD130" s="51" t="e">
        <f>Ticker0001_Exchange_Sheet!#REF!-#REF!</f>
      </c>
      <c r="AE130" s="51" t="e">
        <f>Ticker0001_Exchange_Sheet!#REF!-#REF!</f>
      </c>
      <c r="AF130" s="51" t="e">
        <f>Ticker0001_Exchange_Sheet!#REF!-#REF!</f>
      </c>
      <c r="AG130" s="51" t="e">
        <f>Ticker0001_Exchange_Sheet!#REF!-#REF!</f>
      </c>
      <c r="AH130" s="51" t="e">
        <f>Ticker0001_Exchange_Sheet!#REF!-#REF!</f>
      </c>
      <c r="AI130" s="51" t="e">
        <f>Ticker0001_Exchange_Sheet!#REF!-#REF!</f>
      </c>
      <c r="AJ130" s="51" t="e">
        <f>Ticker0001_Exchange_Sheet!#REF!-#REF!</f>
      </c>
      <c r="AK130" s="51" t="e">
        <f>Ticker0001_Exchange_Sheet!#REF!-#REF!</f>
      </c>
      <c r="AL130" s="51" t="e">
        <f>Ticker0001_Exchange_Sheet!#REF!-#REF!</f>
      </c>
      <c r="AM130" s="51" t="e">
        <f>Ticker0001_Exchange_Sheet!#REF!-#REF!</f>
      </c>
      <c r="AN130" s="51" t="e">
        <f>Ticker0001_Exchange_Sheet!#REF!-#REF!</f>
      </c>
      <c r="AO130" s="51" t="e">
        <f>Ticker0001_Exchange_Sheet!#REF!-#REF!</f>
      </c>
      <c r="AP130" s="51" t="e">
        <f>Ticker0001_Exchange_Sheet!#REF!-#REF!</f>
      </c>
      <c r="AQ130" s="51" t="e">
        <f>Ticker0001_Exchange_Sheet!#REF!-#REF!</f>
      </c>
      <c r="AR130" s="51" t="e">
        <f>Ticker0001_Exchange_Sheet!#REF!-#REF!</f>
      </c>
      <c r="AS130" s="51" t="e">
        <f>Ticker0001_Exchange_Sheet!#REF!-#REF!</f>
      </c>
      <c r="AT130" s="51" t="e">
        <f>Ticker0001_Exchange_Sheet!#REF!-#REF!</f>
      </c>
      <c r="AU130" s="51" t="e">
        <f>Ticker0001_Exchange_Sheet!#REF!-#REF!</f>
      </c>
      <c r="AV130" s="51" t="e">
        <f>Ticker0001_Exchange_Sheet!#REF!-#REF!</f>
      </c>
      <c r="AW130" s="51" t="e">
        <f>Ticker0001_Exchange_Sheet!#REF!-#REF!</f>
      </c>
      <c r="AX130" s="51" t="e">
        <f>Ticker0001_Exchange_Sheet!#REF!-#REF!</f>
      </c>
      <c r="AY130" s="51" t="e">
        <f>Ticker0001_Exchange_Sheet!#REF!-#REF!</f>
      </c>
      <c r="AZ130" s="51" t="e">
        <f>Ticker0001_Exchange_Sheet!#REF!-#REF!</f>
      </c>
      <c r="BA130" s="51" t="e">
        <f>Ticker0001_Exchange_Sheet!#REF!-#REF!</f>
      </c>
      <c r="BB130" s="51" t="e">
        <f>Ticker0001_Exchange_Sheet!#REF!-#REF!</f>
      </c>
      <c r="BC130" s="51" t="e">
        <f>Ticker0001_Exchange_Sheet!#REF!-#REF!</f>
      </c>
      <c r="BD130" s="51" t="e">
        <f>Ticker0001_Exchange_Sheet!#REF!-#REF!</f>
      </c>
      <c r="BE130" s="51" t="e">
        <f>Ticker0001_Exchange_Sheet!#REF!-#REF!</f>
      </c>
      <c r="BF130" s="51" t="e">
        <f>Ticker0001_Exchange_Sheet!#REF!-#REF!</f>
      </c>
      <c r="BG130" s="51" t="e">
        <f>Ticker0001_Exchange_Sheet!#REF!-#REF!</f>
      </c>
      <c r="BH130" s="51" t="e">
        <f>Ticker0001_Exchange_Sheet!#REF!-#REF!</f>
      </c>
      <c r="BI130" s="51" t="e">
        <f>Ticker0001_Exchange_Sheet!#REF!-#REF!</f>
      </c>
      <c r="BJ130" s="51" t="e">
        <f>Ticker0001_Exchange_Sheet!#REF!-#REF!</f>
      </c>
      <c r="BK130" s="51" t="e">
        <f>Ticker0001_Exchange_Sheet!#REF!-#REF!</f>
      </c>
      <c r="BL130" s="51" t="e">
        <f>Ticker0001_Exchange_Sheet!#REF!-#REF!</f>
      </c>
      <c r="BM130" s="51" t="e">
        <f>Ticker0001_Exchange_Sheet!#REF!-#REF!</f>
      </c>
      <c r="BN130" s="51" t="e">
        <f>Ticker0001_Exchange_Sheet!#REF!-#REF!</f>
      </c>
      <c r="BO130" s="51" t="e">
        <f>Ticker0001_Exchange_Sheet!#REF!-#REF!</f>
      </c>
      <c r="BP130" s="51" t="e">
        <f>Ticker0001_Exchange_Sheet!#REF!-#REF!</f>
      </c>
      <c r="BQ130" s="51" t="e">
        <f>Ticker0001_Exchange_Sheet!#REF!-#REF!</f>
      </c>
      <c r="BR130" s="51" t="e">
        <f>Ticker0001_Exchange_Sheet!#REF!-#REF!</f>
      </c>
      <c r="BS130" s="51" t="e">
        <f>Ticker0001_Exchange_Sheet!#REF!-#REF!</f>
      </c>
      <c r="BT130" s="51" t="e">
        <f>Ticker0001_Exchange_Sheet!#REF!-#REF!</f>
      </c>
      <c r="BU130" s="51" t="e">
        <f>Ticker0001_Exchange_Sheet!#REF!-#REF!</f>
      </c>
      <c r="BV130" s="51" t="e">
        <f>Ticker0001_Exchange_Sheet!#REF!-#REF!</f>
      </c>
      <c r="BW130" s="51" t="e">
        <f>Ticker0001_Exchange_Sheet!#REF!-#REF!</f>
      </c>
      <c r="BX130" s="51" t="e">
        <f>Ticker0001_Exchange_Sheet!#REF!-#REF!</f>
      </c>
      <c r="BY130" s="51" t="e">
        <f>Ticker0001_Exchange_Sheet!#REF!-#REF!</f>
      </c>
      <c r="BZ130" s="51" t="e">
        <f>Ticker0001_Exchange_Sheet!#REF!-#REF!</f>
      </c>
      <c r="CA130" s="51" t="e">
        <f>Ticker0001_Exchange_Sheet!#REF!-#REF!</f>
      </c>
      <c r="CB130" s="51" t="e">
        <f>Ticker0001_Exchange_Sheet!#REF!-#REF!</f>
      </c>
      <c r="CC130" s="51" t="e">
        <f>Ticker0001_Exchange_Sheet!#REF!-#REF!</f>
      </c>
      <c r="CD130" s="51" t="e">
        <f>Ticker0001_Exchange_Sheet!#REF!-#REF!</f>
      </c>
      <c r="CE130" s="51" t="e">
        <f>Ticker0001_Exchange_Sheet!#REF!-#REF!</f>
      </c>
      <c r="CF130" s="51" t="e">
        <f>Ticker0001_Exchange_Sheet!#REF!-#REF!</f>
      </c>
    </row>
    <row r="131" spans="6:84">
      <c r="F131" s="51" t="e">
        <f>Ticker0001_Exchange_Sheet!#REF!-#REF!</f>
      </c>
      <c r="G131" s="51" t="e">
        <f>Ticker0001_Exchange_Sheet!#REF!-#REF!</f>
      </c>
      <c r="H131" s="51" t="e">
        <f>Ticker0001_Exchange_Sheet!#REF!-#REF!</f>
      </c>
      <c r="I131" s="51" t="e">
        <f>Ticker0001_Exchange_Sheet!#REF!-#REF!</f>
      </c>
      <c r="J131" s="51" t="e">
        <f>Ticker0001_Exchange_Sheet!#REF!-#REF!</f>
      </c>
      <c r="K131" s="51" t="e">
        <f>Ticker0001_Exchange_Sheet!#REF!-#REF!</f>
      </c>
      <c r="L131" s="51" t="e">
        <f>Ticker0001_Exchange_Sheet!#REF!-#REF!</f>
      </c>
      <c r="M131" s="51" t="e">
        <f>Ticker0001_Exchange_Sheet!#REF!-#REF!</f>
      </c>
      <c r="N131" s="51" t="e">
        <f>Ticker0001_Exchange_Sheet!#REF!-#REF!</f>
      </c>
      <c r="O131" s="51" t="e">
        <f>Ticker0001_Exchange_Sheet!#REF!-#REF!</f>
      </c>
      <c r="P131" s="51" t="e">
        <f>Ticker0001_Exchange_Sheet!#REF!-#REF!</f>
      </c>
      <c r="Q131" s="51" t="e">
        <f>Ticker0001_Exchange_Sheet!#REF!-#REF!</f>
      </c>
      <c r="R131" s="51" t="e">
        <f>Ticker0001_Exchange_Sheet!#REF!-#REF!</f>
      </c>
      <c r="S131" s="51" t="e">
        <f>Ticker0001_Exchange_Sheet!#REF!-#REF!</f>
      </c>
      <c r="T131" s="51" t="e">
        <f>Ticker0001_Exchange_Sheet!#REF!-#REF!</f>
      </c>
      <c r="U131" s="51" t="e">
        <f>Ticker0001_Exchange_Sheet!#REF!-#REF!</f>
      </c>
      <c r="V131" s="51" t="e">
        <f>Ticker0001_Exchange_Sheet!#REF!-#REF!</f>
      </c>
      <c r="W131" s="51" t="e">
        <f>Ticker0001_Exchange_Sheet!#REF!-#REF!</f>
      </c>
      <c r="X131" s="51" t="e">
        <f>Ticker0001_Exchange_Sheet!#REF!-#REF!</f>
      </c>
      <c r="Y131" s="51" t="e">
        <f>Ticker0001_Exchange_Sheet!#REF!-#REF!</f>
      </c>
      <c r="Z131" s="51" t="e">
        <f>Ticker0001_Exchange_Sheet!#REF!-#REF!</f>
      </c>
      <c r="AA131" s="51" t="e">
        <f>Ticker0001_Exchange_Sheet!#REF!-#REF!</f>
      </c>
      <c r="AB131" s="51" t="e">
        <f>Ticker0001_Exchange_Sheet!#REF!-#REF!</f>
      </c>
      <c r="AC131" s="51" t="e">
        <f>Ticker0001_Exchange_Sheet!#REF!-#REF!</f>
      </c>
      <c r="AD131" s="51" t="e">
        <f>Ticker0001_Exchange_Sheet!#REF!-#REF!</f>
      </c>
      <c r="AE131" s="51" t="e">
        <f>Ticker0001_Exchange_Sheet!#REF!-#REF!</f>
      </c>
      <c r="AF131" s="51" t="e">
        <f>Ticker0001_Exchange_Sheet!#REF!-#REF!</f>
      </c>
      <c r="AG131" s="51" t="e">
        <f>Ticker0001_Exchange_Sheet!#REF!-#REF!</f>
      </c>
      <c r="AH131" s="51" t="e">
        <f>Ticker0001_Exchange_Sheet!#REF!-#REF!</f>
      </c>
      <c r="AI131" s="51" t="e">
        <f>Ticker0001_Exchange_Sheet!#REF!-#REF!</f>
      </c>
      <c r="AJ131" s="51" t="e">
        <f>Ticker0001_Exchange_Sheet!#REF!-#REF!</f>
      </c>
      <c r="AK131" s="51" t="e">
        <f>Ticker0001_Exchange_Sheet!#REF!-#REF!</f>
      </c>
      <c r="AL131" s="51" t="e">
        <f>Ticker0001_Exchange_Sheet!#REF!-#REF!</f>
      </c>
      <c r="AM131" s="51" t="e">
        <f>Ticker0001_Exchange_Sheet!#REF!-#REF!</f>
      </c>
      <c r="AN131" s="51" t="e">
        <f>Ticker0001_Exchange_Sheet!#REF!-#REF!</f>
      </c>
      <c r="AO131" s="51" t="e">
        <f>Ticker0001_Exchange_Sheet!#REF!-#REF!</f>
      </c>
      <c r="AP131" s="51" t="e">
        <f>Ticker0001_Exchange_Sheet!#REF!-#REF!</f>
      </c>
      <c r="AQ131" s="51" t="e">
        <f>Ticker0001_Exchange_Sheet!#REF!-#REF!</f>
      </c>
      <c r="AR131" s="51" t="e">
        <f>Ticker0001_Exchange_Sheet!#REF!-#REF!</f>
      </c>
      <c r="AS131" s="51" t="e">
        <f>Ticker0001_Exchange_Sheet!#REF!-#REF!</f>
      </c>
      <c r="AT131" s="51" t="e">
        <f>Ticker0001_Exchange_Sheet!#REF!-#REF!</f>
      </c>
      <c r="AU131" s="51" t="e">
        <f>Ticker0001_Exchange_Sheet!#REF!-#REF!</f>
      </c>
      <c r="AV131" s="51" t="e">
        <f>Ticker0001_Exchange_Sheet!#REF!-#REF!</f>
      </c>
      <c r="AW131" s="51" t="e">
        <f>Ticker0001_Exchange_Sheet!#REF!-#REF!</f>
      </c>
      <c r="AX131" s="51" t="e">
        <f>Ticker0001_Exchange_Sheet!#REF!-#REF!</f>
      </c>
      <c r="AY131" s="51" t="e">
        <f>Ticker0001_Exchange_Sheet!#REF!-#REF!</f>
      </c>
      <c r="AZ131" s="51" t="e">
        <f>Ticker0001_Exchange_Sheet!#REF!-#REF!</f>
      </c>
      <c r="BA131" s="51" t="e">
        <f>Ticker0001_Exchange_Sheet!#REF!-#REF!</f>
      </c>
      <c r="BB131" s="51" t="e">
        <f>Ticker0001_Exchange_Sheet!#REF!-#REF!</f>
      </c>
      <c r="BC131" s="51" t="e">
        <f>Ticker0001_Exchange_Sheet!#REF!-#REF!</f>
      </c>
      <c r="BD131" s="51" t="e">
        <f>Ticker0001_Exchange_Sheet!#REF!-#REF!</f>
      </c>
      <c r="BE131" s="51" t="e">
        <f>Ticker0001_Exchange_Sheet!#REF!-#REF!</f>
      </c>
      <c r="BF131" s="51" t="e">
        <f>Ticker0001_Exchange_Sheet!#REF!-#REF!</f>
      </c>
      <c r="BG131" s="51" t="e">
        <f>Ticker0001_Exchange_Sheet!#REF!-#REF!</f>
      </c>
      <c r="BH131" s="51" t="e">
        <f>Ticker0001_Exchange_Sheet!#REF!-#REF!</f>
      </c>
      <c r="BI131" s="51" t="e">
        <f>Ticker0001_Exchange_Sheet!#REF!-#REF!</f>
      </c>
      <c r="BJ131" s="51" t="e">
        <f>Ticker0001_Exchange_Sheet!#REF!-#REF!</f>
      </c>
      <c r="BK131" s="51" t="e">
        <f>Ticker0001_Exchange_Sheet!#REF!-#REF!</f>
      </c>
      <c r="BL131" s="51" t="e">
        <f>Ticker0001_Exchange_Sheet!#REF!-#REF!</f>
      </c>
      <c r="BM131" s="51" t="e">
        <f>Ticker0001_Exchange_Sheet!#REF!-#REF!</f>
      </c>
      <c r="BN131" s="51" t="e">
        <f>Ticker0001_Exchange_Sheet!#REF!-#REF!</f>
      </c>
      <c r="BO131" s="51" t="e">
        <f>Ticker0001_Exchange_Sheet!#REF!-#REF!</f>
      </c>
      <c r="BP131" s="51" t="e">
        <f>Ticker0001_Exchange_Sheet!#REF!-#REF!</f>
      </c>
      <c r="BQ131" s="51" t="e">
        <f>Ticker0001_Exchange_Sheet!#REF!-#REF!</f>
      </c>
      <c r="BR131" s="51" t="e">
        <f>Ticker0001_Exchange_Sheet!#REF!-#REF!</f>
      </c>
      <c r="BS131" s="51" t="e">
        <f>Ticker0001_Exchange_Sheet!#REF!-#REF!</f>
      </c>
      <c r="BT131" s="51" t="e">
        <f>Ticker0001_Exchange_Sheet!#REF!-#REF!</f>
      </c>
      <c r="BU131" s="51" t="e">
        <f>Ticker0001_Exchange_Sheet!#REF!-#REF!</f>
      </c>
      <c r="BV131" s="51" t="e">
        <f>Ticker0001_Exchange_Sheet!#REF!-#REF!</f>
      </c>
      <c r="BW131" s="51" t="e">
        <f>Ticker0001_Exchange_Sheet!#REF!-#REF!</f>
      </c>
      <c r="BX131" s="51" t="e">
        <f>Ticker0001_Exchange_Sheet!#REF!-#REF!</f>
      </c>
      <c r="BY131" s="51" t="e">
        <f>Ticker0001_Exchange_Sheet!#REF!-#REF!</f>
      </c>
      <c r="BZ131" s="51" t="e">
        <f>Ticker0001_Exchange_Sheet!#REF!-#REF!</f>
      </c>
      <c r="CA131" s="51" t="e">
        <f>Ticker0001_Exchange_Sheet!#REF!-#REF!</f>
      </c>
      <c r="CB131" s="51" t="e">
        <f>Ticker0001_Exchange_Sheet!#REF!-#REF!</f>
      </c>
      <c r="CC131" s="51" t="e">
        <f>Ticker0001_Exchange_Sheet!#REF!-#REF!</f>
      </c>
      <c r="CD131" s="51" t="e">
        <f>Ticker0001_Exchange_Sheet!#REF!-#REF!</f>
      </c>
      <c r="CE131" s="51" t="e">
        <f>Ticker0001_Exchange_Sheet!#REF!-#REF!</f>
      </c>
      <c r="CF131" s="51" t="e">
        <f>Ticker0001_Exchange_Sheet!#REF!-#REF!</f>
      </c>
    </row>
    <row r="132" spans="6:84">
      <c r="F132" s="51" t="e">
        <f>Ticker0001_Exchange_Sheet!#REF!-#REF!</f>
      </c>
      <c r="G132" s="51" t="e">
        <f>Ticker0001_Exchange_Sheet!#REF!-#REF!</f>
      </c>
      <c r="H132" s="51" t="e">
        <f>Ticker0001_Exchange_Sheet!#REF!-#REF!</f>
      </c>
      <c r="I132" s="51" t="e">
        <f>Ticker0001_Exchange_Sheet!#REF!-#REF!</f>
      </c>
      <c r="J132" s="51" t="e">
        <f>Ticker0001_Exchange_Sheet!#REF!-#REF!</f>
      </c>
      <c r="K132" s="51" t="e">
        <f>Ticker0001_Exchange_Sheet!#REF!-#REF!</f>
      </c>
      <c r="L132" s="51" t="e">
        <f>Ticker0001_Exchange_Sheet!#REF!-#REF!</f>
      </c>
      <c r="M132" s="51" t="e">
        <f>Ticker0001_Exchange_Sheet!#REF!-#REF!</f>
      </c>
      <c r="N132" s="51" t="e">
        <f>Ticker0001_Exchange_Sheet!#REF!-#REF!</f>
      </c>
      <c r="O132" s="51" t="e">
        <f>Ticker0001_Exchange_Sheet!#REF!-#REF!</f>
      </c>
      <c r="P132" s="51" t="e">
        <f>Ticker0001_Exchange_Sheet!#REF!-#REF!</f>
      </c>
      <c r="Q132" s="51" t="e">
        <f>Ticker0001_Exchange_Sheet!#REF!-#REF!</f>
      </c>
      <c r="R132" s="51" t="e">
        <f>Ticker0001_Exchange_Sheet!#REF!-#REF!</f>
      </c>
      <c r="S132" s="51" t="e">
        <f>Ticker0001_Exchange_Sheet!#REF!-#REF!</f>
      </c>
      <c r="T132" s="51" t="e">
        <f>Ticker0001_Exchange_Sheet!#REF!-#REF!</f>
      </c>
      <c r="U132" s="51" t="e">
        <f>Ticker0001_Exchange_Sheet!#REF!-#REF!</f>
      </c>
      <c r="V132" s="51" t="e">
        <f>Ticker0001_Exchange_Sheet!#REF!-#REF!</f>
      </c>
      <c r="W132" s="51" t="e">
        <f>Ticker0001_Exchange_Sheet!#REF!-#REF!</f>
      </c>
      <c r="X132" s="51" t="e">
        <f>Ticker0001_Exchange_Sheet!#REF!-#REF!</f>
      </c>
      <c r="Y132" s="51" t="e">
        <f>Ticker0001_Exchange_Sheet!#REF!-#REF!</f>
      </c>
      <c r="Z132" s="51" t="e">
        <f>Ticker0001_Exchange_Sheet!#REF!-#REF!</f>
      </c>
      <c r="AA132" s="51" t="e">
        <f>Ticker0001_Exchange_Sheet!#REF!-#REF!</f>
      </c>
      <c r="AB132" s="51" t="e">
        <f>Ticker0001_Exchange_Sheet!#REF!-#REF!</f>
      </c>
      <c r="AC132" s="51" t="e">
        <f>Ticker0001_Exchange_Sheet!#REF!-#REF!</f>
      </c>
      <c r="AD132" s="51" t="e">
        <f>Ticker0001_Exchange_Sheet!#REF!-#REF!</f>
      </c>
      <c r="AE132" s="51" t="e">
        <f>Ticker0001_Exchange_Sheet!#REF!-#REF!</f>
      </c>
      <c r="AF132" s="51" t="e">
        <f>Ticker0001_Exchange_Sheet!#REF!-#REF!</f>
      </c>
      <c r="AG132" s="51" t="e">
        <f>Ticker0001_Exchange_Sheet!#REF!-#REF!</f>
      </c>
      <c r="AH132" s="51" t="e">
        <f>Ticker0001_Exchange_Sheet!#REF!-#REF!</f>
      </c>
      <c r="AI132" s="51" t="e">
        <f>Ticker0001_Exchange_Sheet!#REF!-#REF!</f>
      </c>
      <c r="AJ132" s="51" t="e">
        <f>Ticker0001_Exchange_Sheet!#REF!-#REF!</f>
      </c>
      <c r="AK132" s="51" t="e">
        <f>Ticker0001_Exchange_Sheet!#REF!-#REF!</f>
      </c>
      <c r="AL132" s="51" t="e">
        <f>Ticker0001_Exchange_Sheet!#REF!-#REF!</f>
      </c>
      <c r="AM132" s="51" t="e">
        <f>Ticker0001_Exchange_Sheet!#REF!-#REF!</f>
      </c>
      <c r="AN132" s="51" t="e">
        <f>Ticker0001_Exchange_Sheet!#REF!-#REF!</f>
      </c>
      <c r="AO132" s="51" t="e">
        <f>Ticker0001_Exchange_Sheet!#REF!-#REF!</f>
      </c>
      <c r="AP132" s="51" t="e">
        <f>Ticker0001_Exchange_Sheet!#REF!-#REF!</f>
      </c>
      <c r="AQ132" s="51" t="e">
        <f>Ticker0001_Exchange_Sheet!#REF!-#REF!</f>
      </c>
      <c r="AR132" s="51" t="e">
        <f>Ticker0001_Exchange_Sheet!#REF!-#REF!</f>
      </c>
      <c r="AS132" s="51" t="e">
        <f>Ticker0001_Exchange_Sheet!#REF!-#REF!</f>
      </c>
      <c r="AT132" s="51" t="e">
        <f>Ticker0001_Exchange_Sheet!#REF!-#REF!</f>
      </c>
      <c r="AU132" s="51" t="e">
        <f>Ticker0001_Exchange_Sheet!#REF!-#REF!</f>
      </c>
      <c r="AV132" s="51" t="e">
        <f>Ticker0001_Exchange_Sheet!#REF!-#REF!</f>
      </c>
      <c r="AW132" s="51" t="e">
        <f>Ticker0001_Exchange_Sheet!#REF!-#REF!</f>
      </c>
      <c r="AX132" s="51" t="e">
        <f>Ticker0001_Exchange_Sheet!#REF!-#REF!</f>
      </c>
      <c r="AY132" s="51" t="e">
        <f>Ticker0001_Exchange_Sheet!#REF!-#REF!</f>
      </c>
      <c r="AZ132" s="51" t="e">
        <f>Ticker0001_Exchange_Sheet!#REF!-#REF!</f>
      </c>
      <c r="BA132" s="51" t="e">
        <f>Ticker0001_Exchange_Sheet!#REF!-#REF!</f>
      </c>
      <c r="BB132" s="51" t="e">
        <f>Ticker0001_Exchange_Sheet!#REF!-#REF!</f>
      </c>
      <c r="BC132" s="51" t="e">
        <f>Ticker0001_Exchange_Sheet!#REF!-#REF!</f>
      </c>
      <c r="BD132" s="51" t="e">
        <f>Ticker0001_Exchange_Sheet!#REF!-#REF!</f>
      </c>
      <c r="BE132" s="51" t="e">
        <f>Ticker0001_Exchange_Sheet!#REF!-#REF!</f>
      </c>
      <c r="BF132" s="51" t="e">
        <f>Ticker0001_Exchange_Sheet!#REF!-#REF!</f>
      </c>
      <c r="BG132" s="51" t="e">
        <f>Ticker0001_Exchange_Sheet!#REF!-#REF!</f>
      </c>
      <c r="BH132" s="51" t="e">
        <f>Ticker0001_Exchange_Sheet!#REF!-#REF!</f>
      </c>
      <c r="BI132" s="51" t="e">
        <f>Ticker0001_Exchange_Sheet!#REF!-#REF!</f>
      </c>
      <c r="BJ132" s="51" t="e">
        <f>Ticker0001_Exchange_Sheet!#REF!-#REF!</f>
      </c>
      <c r="BK132" s="51" t="e">
        <f>Ticker0001_Exchange_Sheet!#REF!-#REF!</f>
      </c>
      <c r="BL132" s="51" t="e">
        <f>Ticker0001_Exchange_Sheet!#REF!-#REF!</f>
      </c>
      <c r="BM132" s="51" t="e">
        <f>Ticker0001_Exchange_Sheet!#REF!-#REF!</f>
      </c>
      <c r="BN132" s="51" t="e">
        <f>Ticker0001_Exchange_Sheet!#REF!-#REF!</f>
      </c>
      <c r="BO132" s="51" t="e">
        <f>Ticker0001_Exchange_Sheet!#REF!-#REF!</f>
      </c>
      <c r="BP132" s="51" t="e">
        <f>Ticker0001_Exchange_Sheet!#REF!-#REF!</f>
      </c>
      <c r="BQ132" s="51" t="e">
        <f>Ticker0001_Exchange_Sheet!#REF!-#REF!</f>
      </c>
      <c r="BR132" s="51" t="e">
        <f>Ticker0001_Exchange_Sheet!#REF!-#REF!</f>
      </c>
      <c r="BS132" s="51" t="e">
        <f>Ticker0001_Exchange_Sheet!#REF!-#REF!</f>
      </c>
      <c r="BT132" s="51" t="e">
        <f>Ticker0001_Exchange_Sheet!#REF!-#REF!</f>
      </c>
      <c r="BU132" s="51" t="e">
        <f>Ticker0001_Exchange_Sheet!#REF!-#REF!</f>
      </c>
      <c r="BV132" s="51" t="e">
        <f>Ticker0001_Exchange_Sheet!#REF!-#REF!</f>
      </c>
      <c r="BW132" s="51" t="e">
        <f>Ticker0001_Exchange_Sheet!#REF!-#REF!</f>
      </c>
      <c r="BX132" s="51" t="e">
        <f>Ticker0001_Exchange_Sheet!#REF!-#REF!</f>
      </c>
      <c r="BY132" s="51" t="e">
        <f>Ticker0001_Exchange_Sheet!#REF!-#REF!</f>
      </c>
      <c r="BZ132" s="51" t="e">
        <f>Ticker0001_Exchange_Sheet!#REF!-#REF!</f>
      </c>
      <c r="CA132" s="51" t="e">
        <f>Ticker0001_Exchange_Sheet!#REF!-#REF!</f>
      </c>
      <c r="CB132" s="51" t="e">
        <f>Ticker0001_Exchange_Sheet!#REF!-#REF!</f>
      </c>
      <c r="CC132" s="51" t="e">
        <f>Ticker0001_Exchange_Sheet!#REF!-#REF!</f>
      </c>
      <c r="CD132" s="51" t="e">
        <f>Ticker0001_Exchange_Sheet!#REF!-#REF!</f>
      </c>
      <c r="CE132" s="51" t="e">
        <f>Ticker0001_Exchange_Sheet!#REF!-#REF!</f>
      </c>
      <c r="CF132" s="51" t="e">
        <f>Ticker0001_Exchange_Sheet!#REF!-#REF!</f>
      </c>
    </row>
    <row r="133" spans="6:84">
      <c r="F133" s="51" t="e">
        <f>Ticker0001_Exchange_Sheet!F154-#REF!</f>
      </c>
      <c r="G133" s="51" t="e">
        <f>Ticker0001_Exchange_Sheet!G154-#REF!</f>
      </c>
      <c r="H133" s="51" t="e">
        <f>Ticker0001_Exchange_Sheet!H154-#REF!</f>
      </c>
      <c r="I133" s="51" t="e">
        <f>Ticker0001_Exchange_Sheet!I154-#REF!</f>
      </c>
      <c r="J133" s="51" t="e">
        <f>Ticker0001_Exchange_Sheet!J154-#REF!</f>
      </c>
      <c r="K133" s="51" t="e">
        <f>Ticker0001_Exchange_Sheet!K154-#REF!</f>
      </c>
      <c r="L133" s="51" t="e">
        <f>Ticker0001_Exchange_Sheet!L154-#REF!</f>
      </c>
      <c r="M133" s="51" t="e">
        <f>Ticker0001_Exchange_Sheet!M154-#REF!</f>
      </c>
      <c r="N133" s="51" t="e">
        <f>Ticker0001_Exchange_Sheet!N154-#REF!</f>
      </c>
      <c r="O133" s="51" t="e">
        <f>Ticker0001_Exchange_Sheet!O154-#REF!</f>
      </c>
      <c r="P133" s="51" t="e">
        <f>Ticker0001_Exchange_Sheet!P154-#REF!</f>
      </c>
      <c r="Q133" s="51" t="e">
        <f>Ticker0001_Exchange_Sheet!Q154-#REF!</f>
      </c>
      <c r="R133" s="51" t="e">
        <f>Ticker0001_Exchange_Sheet!R154-#REF!</f>
      </c>
      <c r="S133" s="51" t="e">
        <f>Ticker0001_Exchange_Sheet!S154-#REF!</f>
      </c>
      <c r="T133" s="51" t="e">
        <f>Ticker0001_Exchange_Sheet!T154-#REF!</f>
      </c>
      <c r="U133" s="51" t="e">
        <f>Ticker0001_Exchange_Sheet!U154-#REF!</f>
      </c>
      <c r="V133" s="51" t="e">
        <f>Ticker0001_Exchange_Sheet!V154-#REF!</f>
      </c>
      <c r="W133" s="51" t="e">
        <f>Ticker0001_Exchange_Sheet!W154-#REF!</f>
      </c>
      <c r="X133" s="51" t="e">
        <f>Ticker0001_Exchange_Sheet!AK154-#REF!</f>
      </c>
      <c r="Y133" s="51" t="e">
        <f>Ticker0001_Exchange_Sheet!AX154-#REF!</f>
      </c>
      <c r="Z133" s="51" t="e">
        <f>Ticker0001_Exchange_Sheet!AY154-#REF!</f>
      </c>
      <c r="AA133" s="51" t="e">
        <f>Ticker0001_Exchange_Sheet!AZ154-#REF!</f>
      </c>
      <c r="AB133" s="51" t="e">
        <f>Ticker0001_Exchange_Sheet!BA154-#REF!</f>
      </c>
      <c r="AC133" s="51" t="e">
        <f>Ticker0001_Exchange_Sheet!BB154-#REF!</f>
      </c>
      <c r="AD133" s="51" t="e">
        <f>Ticker0001_Exchange_Sheet!BC154-#REF!</f>
      </c>
      <c r="AE133" s="51" t="e">
        <f>Ticker0001_Exchange_Sheet!BD154-#REF!</f>
      </c>
      <c r="AF133" s="51" t="e">
        <f>Ticker0001_Exchange_Sheet!BE154-#REF!</f>
      </c>
      <c r="AG133" s="51" t="e">
        <f>Ticker0001_Exchange_Sheet!BF154-#REF!</f>
      </c>
      <c r="AH133" s="51" t="e">
        <f>Ticker0001_Exchange_Sheet!BG154-#REF!</f>
      </c>
      <c r="AI133" s="51" t="e">
        <f>Ticker0001_Exchange_Sheet!BH154-#REF!</f>
      </c>
      <c r="AJ133" s="51" t="e">
        <f>Ticker0001_Exchange_Sheet!BI154-#REF!</f>
      </c>
      <c r="AK133" s="51" t="e">
        <f>Ticker0001_Exchange_Sheet!BJ154-#REF!</f>
      </c>
      <c r="AL133" s="51" t="e">
        <f>Ticker0001_Exchange_Sheet!BK154-#REF!</f>
      </c>
      <c r="AM133" s="51" t="e">
        <f>Ticker0001_Exchange_Sheet!BL154-#REF!</f>
      </c>
      <c r="AN133" s="51" t="e">
        <f>Ticker0001_Exchange_Sheet!BM154-#REF!</f>
      </c>
      <c r="AO133" s="51" t="e">
        <f>Ticker0001_Exchange_Sheet!BN154-#REF!</f>
      </c>
      <c r="AP133" s="51" t="e">
        <f>Ticker0001_Exchange_Sheet!BO154-#REF!</f>
      </c>
      <c r="AQ133" s="51" t="e">
        <f>Ticker0001_Exchange_Sheet!BP154-#REF!</f>
      </c>
      <c r="AR133" s="51" t="e">
        <f>Ticker0001_Exchange_Sheet!BQ154-#REF!</f>
      </c>
      <c r="AS133" s="51" t="e">
        <f>Ticker0001_Exchange_Sheet!BR154-#REF!</f>
      </c>
      <c r="AT133" s="51" t="e">
        <f>Ticker0001_Exchange_Sheet!BS154-#REF!</f>
      </c>
      <c r="AU133" s="51" t="e">
        <f>Ticker0001_Exchange_Sheet!BT154-#REF!</f>
      </c>
      <c r="AV133" s="51" t="e">
        <f>Ticker0001_Exchange_Sheet!BU154-#REF!</f>
      </c>
      <c r="AW133" s="51" t="e">
        <f>Ticker0001_Exchange_Sheet!BV154-#REF!</f>
      </c>
      <c r="AX133" s="51" t="e">
        <f>Ticker0001_Exchange_Sheet!BW154-#REF!</f>
      </c>
      <c r="AY133" s="51" t="e">
        <f>Ticker0001_Exchange_Sheet!BX154-#REF!</f>
      </c>
      <c r="AZ133" s="51" t="e">
        <f>Ticker0001_Exchange_Sheet!BY154-#REF!</f>
      </c>
      <c r="BA133" s="51" t="e">
        <f>Ticker0001_Exchange_Sheet!BZ154-#REF!</f>
      </c>
      <c r="BB133" s="51" t="e">
        <f>Ticker0001_Exchange_Sheet!CA154-#REF!</f>
      </c>
      <c r="BC133" s="51" t="e">
        <f>Ticker0001_Exchange_Sheet!CB154-#REF!</f>
      </c>
      <c r="BD133" s="51" t="e">
        <f>Ticker0001_Exchange_Sheet!CC154-#REF!</f>
      </c>
      <c r="BE133" s="51" t="e">
        <f>Ticker0001_Exchange_Sheet!CD154-#REF!</f>
      </c>
      <c r="BF133" s="51" t="e">
        <f>Ticker0001_Exchange_Sheet!CE154-#REF!</f>
      </c>
      <c r="BG133" s="51" t="e">
        <f>Ticker0001_Exchange_Sheet!CF154-#REF!</f>
      </c>
      <c r="BH133" s="51" t="e">
        <f>Ticker0001_Exchange_Sheet!CG154-#REF!</f>
      </c>
      <c r="BI133" s="51" t="e">
        <f>Ticker0001_Exchange_Sheet!CH154-#REF!</f>
      </c>
      <c r="BJ133" s="51" t="e">
        <f>Ticker0001_Exchange_Sheet!CI154-#REF!</f>
      </c>
      <c r="BK133" s="51" t="e">
        <f>Ticker0001_Exchange_Sheet!CJ154-#REF!</f>
      </c>
      <c r="BL133" s="51" t="e">
        <f>Ticker0001_Exchange_Sheet!CK154-#REF!</f>
      </c>
      <c r="BM133" s="51" t="e">
        <f>Ticker0001_Exchange_Sheet!CL154-#REF!</f>
      </c>
      <c r="BN133" s="51" t="e">
        <f>Ticker0001_Exchange_Sheet!CM154-#REF!</f>
      </c>
      <c r="BO133" s="51" t="e">
        <f>Ticker0001_Exchange_Sheet!CN154-#REF!</f>
      </c>
      <c r="BP133" s="51" t="e">
        <f>Ticker0001_Exchange_Sheet!CO154-#REF!</f>
      </c>
      <c r="BQ133" s="51" t="e">
        <f>Ticker0001_Exchange_Sheet!CP154-#REF!</f>
      </c>
      <c r="BR133" s="51" t="e">
        <f>Ticker0001_Exchange_Sheet!CQ154-#REF!</f>
      </c>
      <c r="BS133" s="51" t="e">
        <f>Ticker0001_Exchange_Sheet!CR154-#REF!</f>
      </c>
      <c r="BT133" s="51" t="e">
        <f>Ticker0001_Exchange_Sheet!CS154-#REF!</f>
      </c>
      <c r="BU133" s="51" t="e">
        <f>Ticker0001_Exchange_Sheet!CT154-#REF!</f>
      </c>
      <c r="BV133" s="51" t="e">
        <f>Ticker0001_Exchange_Sheet!CU154-#REF!</f>
      </c>
      <c r="BW133" s="51" t="e">
        <f>Ticker0001_Exchange_Sheet!CV154-#REF!</f>
      </c>
      <c r="BX133" s="51" t="e">
        <f>Ticker0001_Exchange_Sheet!CW154-#REF!</f>
      </c>
      <c r="BY133" s="51" t="e">
        <f>Ticker0001_Exchange_Sheet!CX154-#REF!</f>
      </c>
      <c r="BZ133" s="51" t="e">
        <f>Ticker0001_Exchange_Sheet!CY154-#REF!</f>
      </c>
      <c r="CA133" s="51" t="e">
        <f>Ticker0001_Exchange_Sheet!CZ154-#REF!</f>
      </c>
      <c r="CB133" s="51" t="e">
        <f>Ticker0001_Exchange_Sheet!DA154-#REF!</f>
      </c>
      <c r="CC133" s="51" t="e">
        <f>Ticker0001_Exchange_Sheet!DB154-#REF!</f>
      </c>
      <c r="CD133" s="51" t="e">
        <f>Ticker0001_Exchange_Sheet!DC154-#REF!</f>
      </c>
      <c r="CE133" s="51" t="e">
        <f>Ticker0001_Exchange_Sheet!DD154-#REF!</f>
      </c>
      <c r="CF133" s="51" t="e">
        <f>Ticker0001_Exchange_Sheet!DE154-#REF!</f>
      </c>
    </row>
    <row r="134" spans="6:84">
      <c r="F134" s="51" t="e">
        <f>Ticker0001_Exchange_Sheet!#REF!-#REF!</f>
      </c>
      <c r="G134" s="51" t="e">
        <f>Ticker0001_Exchange_Sheet!#REF!-#REF!</f>
      </c>
      <c r="H134" s="51" t="e">
        <f>Ticker0001_Exchange_Sheet!#REF!-#REF!</f>
      </c>
      <c r="I134" s="51" t="e">
        <f>Ticker0001_Exchange_Sheet!#REF!-#REF!</f>
      </c>
      <c r="J134" s="51" t="e">
        <f>Ticker0001_Exchange_Sheet!#REF!-#REF!</f>
      </c>
      <c r="K134" s="51" t="e">
        <f>Ticker0001_Exchange_Sheet!#REF!-#REF!</f>
      </c>
      <c r="L134" s="51" t="e">
        <f>Ticker0001_Exchange_Sheet!#REF!-#REF!</f>
      </c>
      <c r="M134" s="51" t="e">
        <f>Ticker0001_Exchange_Sheet!#REF!-#REF!</f>
      </c>
      <c r="N134" s="51" t="e">
        <f>Ticker0001_Exchange_Sheet!#REF!-#REF!</f>
      </c>
      <c r="O134" s="51" t="e">
        <f>Ticker0001_Exchange_Sheet!#REF!-#REF!</f>
      </c>
      <c r="P134" s="51" t="e">
        <f>Ticker0001_Exchange_Sheet!#REF!-#REF!</f>
      </c>
      <c r="Q134" s="51" t="e">
        <f>Ticker0001_Exchange_Sheet!#REF!-#REF!</f>
      </c>
      <c r="R134" s="51" t="e">
        <f>Ticker0001_Exchange_Sheet!#REF!-#REF!</f>
      </c>
      <c r="S134" s="51" t="e">
        <f>Ticker0001_Exchange_Sheet!#REF!-#REF!</f>
      </c>
      <c r="T134" s="51" t="e">
        <f>Ticker0001_Exchange_Sheet!#REF!-#REF!</f>
      </c>
      <c r="U134" s="51" t="e">
        <f>Ticker0001_Exchange_Sheet!#REF!-#REF!</f>
      </c>
      <c r="V134" s="51" t="e">
        <f>Ticker0001_Exchange_Sheet!#REF!-#REF!</f>
      </c>
      <c r="W134" s="51" t="e">
        <f>Ticker0001_Exchange_Sheet!#REF!-#REF!</f>
      </c>
      <c r="X134" s="51" t="e">
        <f>Ticker0001_Exchange_Sheet!#REF!-#REF!</f>
      </c>
      <c r="Y134" s="51" t="e">
        <f>Ticker0001_Exchange_Sheet!#REF!-#REF!</f>
      </c>
      <c r="Z134" s="51" t="e">
        <f>Ticker0001_Exchange_Sheet!#REF!-#REF!</f>
      </c>
      <c r="AA134" s="51" t="e">
        <f>Ticker0001_Exchange_Sheet!#REF!-#REF!</f>
      </c>
      <c r="AB134" s="51" t="e">
        <f>Ticker0001_Exchange_Sheet!#REF!-#REF!</f>
      </c>
      <c r="AC134" s="51" t="e">
        <f>Ticker0001_Exchange_Sheet!#REF!-#REF!</f>
      </c>
      <c r="AD134" s="51" t="e">
        <f>Ticker0001_Exchange_Sheet!#REF!-#REF!</f>
      </c>
      <c r="AE134" s="51" t="e">
        <f>Ticker0001_Exchange_Sheet!#REF!-#REF!</f>
      </c>
      <c r="AF134" s="51" t="e">
        <f>Ticker0001_Exchange_Sheet!#REF!-#REF!</f>
      </c>
      <c r="AG134" s="51" t="e">
        <f>Ticker0001_Exchange_Sheet!#REF!-#REF!</f>
      </c>
      <c r="AH134" s="51" t="e">
        <f>Ticker0001_Exchange_Sheet!#REF!-#REF!</f>
      </c>
      <c r="AI134" s="51" t="e">
        <f>Ticker0001_Exchange_Sheet!#REF!-#REF!</f>
      </c>
      <c r="AJ134" s="51" t="e">
        <f>Ticker0001_Exchange_Sheet!#REF!-#REF!</f>
      </c>
      <c r="AK134" s="51" t="e">
        <f>Ticker0001_Exchange_Sheet!#REF!-#REF!</f>
      </c>
      <c r="AL134" s="51" t="e">
        <f>Ticker0001_Exchange_Sheet!#REF!-#REF!</f>
      </c>
      <c r="AM134" s="51" t="e">
        <f>Ticker0001_Exchange_Sheet!#REF!-#REF!</f>
      </c>
      <c r="AN134" s="51" t="e">
        <f>Ticker0001_Exchange_Sheet!#REF!-#REF!</f>
      </c>
      <c r="AO134" s="51" t="e">
        <f>Ticker0001_Exchange_Sheet!#REF!-#REF!</f>
      </c>
      <c r="AP134" s="51" t="e">
        <f>Ticker0001_Exchange_Sheet!#REF!-#REF!</f>
      </c>
      <c r="AQ134" s="51" t="e">
        <f>Ticker0001_Exchange_Sheet!#REF!-#REF!</f>
      </c>
      <c r="AR134" s="51" t="e">
        <f>Ticker0001_Exchange_Sheet!#REF!-#REF!</f>
      </c>
      <c r="AS134" s="51" t="e">
        <f>Ticker0001_Exchange_Sheet!#REF!-#REF!</f>
      </c>
      <c r="AT134" s="51" t="e">
        <f>Ticker0001_Exchange_Sheet!#REF!-#REF!</f>
      </c>
      <c r="AU134" s="51" t="e">
        <f>Ticker0001_Exchange_Sheet!#REF!-#REF!</f>
      </c>
      <c r="AV134" s="51" t="e">
        <f>Ticker0001_Exchange_Sheet!#REF!-#REF!</f>
      </c>
      <c r="AW134" s="51" t="e">
        <f>Ticker0001_Exchange_Sheet!#REF!-#REF!</f>
      </c>
      <c r="AX134" s="51" t="e">
        <f>Ticker0001_Exchange_Sheet!#REF!-#REF!</f>
      </c>
      <c r="AY134" s="51" t="e">
        <f>Ticker0001_Exchange_Sheet!#REF!-#REF!</f>
      </c>
      <c r="AZ134" s="51" t="e">
        <f>Ticker0001_Exchange_Sheet!#REF!-#REF!</f>
      </c>
      <c r="BA134" s="51" t="e">
        <f>Ticker0001_Exchange_Sheet!#REF!-#REF!</f>
      </c>
      <c r="BB134" s="51" t="e">
        <f>Ticker0001_Exchange_Sheet!#REF!-#REF!</f>
      </c>
      <c r="BC134" s="51" t="e">
        <f>Ticker0001_Exchange_Sheet!#REF!-#REF!</f>
      </c>
      <c r="BD134" s="51" t="e">
        <f>Ticker0001_Exchange_Sheet!#REF!-#REF!</f>
      </c>
      <c r="BE134" s="51" t="e">
        <f>Ticker0001_Exchange_Sheet!#REF!-#REF!</f>
      </c>
      <c r="BF134" s="51" t="e">
        <f>Ticker0001_Exchange_Sheet!#REF!-#REF!</f>
      </c>
      <c r="BG134" s="51" t="e">
        <f>Ticker0001_Exchange_Sheet!#REF!-#REF!</f>
      </c>
      <c r="BH134" s="51" t="e">
        <f>Ticker0001_Exchange_Sheet!#REF!-#REF!</f>
      </c>
      <c r="BI134" s="51" t="e">
        <f>Ticker0001_Exchange_Sheet!#REF!-#REF!</f>
      </c>
      <c r="BJ134" s="51" t="e">
        <f>Ticker0001_Exchange_Sheet!#REF!-#REF!</f>
      </c>
      <c r="BK134" s="51" t="e">
        <f>Ticker0001_Exchange_Sheet!#REF!-#REF!</f>
      </c>
      <c r="BL134" s="51" t="e">
        <f>Ticker0001_Exchange_Sheet!#REF!-#REF!</f>
      </c>
      <c r="BM134" s="51" t="e">
        <f>Ticker0001_Exchange_Sheet!#REF!-#REF!</f>
      </c>
      <c r="BN134" s="51" t="e">
        <f>Ticker0001_Exchange_Sheet!#REF!-#REF!</f>
      </c>
      <c r="BO134" s="51" t="e">
        <f>Ticker0001_Exchange_Sheet!#REF!-#REF!</f>
      </c>
      <c r="BP134" s="51" t="e">
        <f>Ticker0001_Exchange_Sheet!#REF!-#REF!</f>
      </c>
      <c r="BQ134" s="51" t="e">
        <f>Ticker0001_Exchange_Sheet!#REF!-#REF!</f>
      </c>
      <c r="BR134" s="51" t="e">
        <f>Ticker0001_Exchange_Sheet!#REF!-#REF!</f>
      </c>
      <c r="BS134" s="51" t="e">
        <f>Ticker0001_Exchange_Sheet!#REF!-#REF!</f>
      </c>
      <c r="BT134" s="51" t="e">
        <f>Ticker0001_Exchange_Sheet!#REF!-#REF!</f>
      </c>
      <c r="BU134" s="51" t="e">
        <f>Ticker0001_Exchange_Sheet!#REF!-#REF!</f>
      </c>
      <c r="BV134" s="51" t="e">
        <f>Ticker0001_Exchange_Sheet!#REF!-#REF!</f>
      </c>
      <c r="BW134" s="51" t="e">
        <f>Ticker0001_Exchange_Sheet!#REF!-#REF!</f>
      </c>
      <c r="BX134" s="51" t="e">
        <f>Ticker0001_Exchange_Sheet!#REF!-#REF!</f>
      </c>
      <c r="BY134" s="51" t="e">
        <f>Ticker0001_Exchange_Sheet!#REF!-#REF!</f>
      </c>
      <c r="BZ134" s="51" t="e">
        <f>Ticker0001_Exchange_Sheet!#REF!-#REF!</f>
      </c>
      <c r="CA134" s="51" t="e">
        <f>Ticker0001_Exchange_Sheet!#REF!-#REF!</f>
      </c>
      <c r="CB134" s="51" t="e">
        <f>Ticker0001_Exchange_Sheet!#REF!-#REF!</f>
      </c>
      <c r="CC134" s="51" t="e">
        <f>Ticker0001_Exchange_Sheet!#REF!-#REF!</f>
      </c>
      <c r="CD134" s="51" t="e">
        <f>Ticker0001_Exchange_Sheet!#REF!-#REF!</f>
      </c>
      <c r="CE134" s="51" t="e">
        <f>Ticker0001_Exchange_Sheet!#REF!-#REF!</f>
      </c>
      <c r="CF134" s="51" t="e">
        <f>Ticker0001_Exchange_Sheet!#REF!-#REF!</f>
      </c>
    </row>
    <row r="135" spans="6:84">
      <c r="F135" s="51" t="e">
        <f>Ticker0001_Exchange_Sheet!#REF!-#REF!</f>
      </c>
      <c r="G135" s="51" t="e">
        <f>Ticker0001_Exchange_Sheet!#REF!-#REF!</f>
      </c>
      <c r="H135" s="51" t="e">
        <f>Ticker0001_Exchange_Sheet!#REF!-#REF!</f>
      </c>
      <c r="I135" s="51" t="e">
        <f>Ticker0001_Exchange_Sheet!#REF!-#REF!</f>
      </c>
      <c r="J135" s="51" t="e">
        <f>Ticker0001_Exchange_Sheet!#REF!-#REF!</f>
      </c>
      <c r="K135" s="51" t="e">
        <f>Ticker0001_Exchange_Sheet!#REF!-#REF!</f>
      </c>
      <c r="L135" s="51" t="e">
        <f>Ticker0001_Exchange_Sheet!#REF!-#REF!</f>
      </c>
      <c r="M135" s="51" t="e">
        <f>Ticker0001_Exchange_Sheet!#REF!-#REF!</f>
      </c>
      <c r="N135" s="51" t="e">
        <f>Ticker0001_Exchange_Sheet!#REF!-#REF!</f>
      </c>
      <c r="O135" s="51" t="e">
        <f>Ticker0001_Exchange_Sheet!#REF!-#REF!</f>
      </c>
      <c r="P135" s="51" t="e">
        <f>Ticker0001_Exchange_Sheet!#REF!-#REF!</f>
      </c>
      <c r="Q135" s="51" t="e">
        <f>Ticker0001_Exchange_Sheet!#REF!-#REF!</f>
      </c>
      <c r="R135" s="51" t="e">
        <f>Ticker0001_Exchange_Sheet!#REF!-#REF!</f>
      </c>
      <c r="S135" s="51" t="e">
        <f>Ticker0001_Exchange_Sheet!#REF!-#REF!</f>
      </c>
      <c r="T135" s="51" t="e">
        <f>Ticker0001_Exchange_Sheet!#REF!-#REF!</f>
      </c>
      <c r="U135" s="51" t="e">
        <f>Ticker0001_Exchange_Sheet!#REF!-#REF!</f>
      </c>
      <c r="V135" s="51" t="e">
        <f>Ticker0001_Exchange_Sheet!#REF!-#REF!</f>
      </c>
      <c r="W135" s="51" t="e">
        <f>Ticker0001_Exchange_Sheet!#REF!-#REF!</f>
      </c>
      <c r="X135" s="51" t="e">
        <f>Ticker0001_Exchange_Sheet!#REF!-#REF!</f>
      </c>
      <c r="Y135" s="51" t="e">
        <f>Ticker0001_Exchange_Sheet!#REF!-#REF!</f>
      </c>
      <c r="Z135" s="51" t="e">
        <f>Ticker0001_Exchange_Sheet!#REF!-#REF!</f>
      </c>
      <c r="AA135" s="51" t="e">
        <f>Ticker0001_Exchange_Sheet!#REF!-#REF!</f>
      </c>
      <c r="AB135" s="51" t="e">
        <f>Ticker0001_Exchange_Sheet!#REF!-#REF!</f>
      </c>
      <c r="AC135" s="51" t="e">
        <f>Ticker0001_Exchange_Sheet!#REF!-#REF!</f>
      </c>
      <c r="AD135" s="51" t="e">
        <f>Ticker0001_Exchange_Sheet!#REF!-#REF!</f>
      </c>
      <c r="AE135" s="51" t="e">
        <f>Ticker0001_Exchange_Sheet!#REF!-#REF!</f>
      </c>
      <c r="AF135" s="51" t="e">
        <f>Ticker0001_Exchange_Sheet!#REF!-#REF!</f>
      </c>
      <c r="AG135" s="51" t="e">
        <f>Ticker0001_Exchange_Sheet!#REF!-#REF!</f>
      </c>
      <c r="AH135" s="51" t="e">
        <f>Ticker0001_Exchange_Sheet!#REF!-#REF!</f>
      </c>
      <c r="AI135" s="51" t="e">
        <f>Ticker0001_Exchange_Sheet!#REF!-#REF!</f>
      </c>
      <c r="AJ135" s="51" t="e">
        <f>Ticker0001_Exchange_Sheet!#REF!-#REF!</f>
      </c>
      <c r="AK135" s="51" t="e">
        <f>Ticker0001_Exchange_Sheet!#REF!-#REF!</f>
      </c>
      <c r="AL135" s="51" t="e">
        <f>Ticker0001_Exchange_Sheet!#REF!-#REF!</f>
      </c>
      <c r="AM135" s="51" t="e">
        <f>Ticker0001_Exchange_Sheet!#REF!-#REF!</f>
      </c>
      <c r="AN135" s="51" t="e">
        <f>Ticker0001_Exchange_Sheet!#REF!-#REF!</f>
      </c>
      <c r="AO135" s="51" t="e">
        <f>Ticker0001_Exchange_Sheet!#REF!-#REF!</f>
      </c>
      <c r="AP135" s="51" t="e">
        <f>Ticker0001_Exchange_Sheet!#REF!-#REF!</f>
      </c>
      <c r="AQ135" s="51" t="e">
        <f>Ticker0001_Exchange_Sheet!#REF!-#REF!</f>
      </c>
      <c r="AR135" s="51" t="e">
        <f>Ticker0001_Exchange_Sheet!#REF!-#REF!</f>
      </c>
      <c r="AS135" s="51" t="e">
        <f>Ticker0001_Exchange_Sheet!#REF!-#REF!</f>
      </c>
      <c r="AT135" s="51" t="e">
        <f>Ticker0001_Exchange_Sheet!#REF!-#REF!</f>
      </c>
      <c r="AU135" s="51" t="e">
        <f>Ticker0001_Exchange_Sheet!#REF!-#REF!</f>
      </c>
      <c r="AV135" s="51" t="e">
        <f>Ticker0001_Exchange_Sheet!#REF!-#REF!</f>
      </c>
      <c r="AW135" s="51" t="e">
        <f>Ticker0001_Exchange_Sheet!#REF!-#REF!</f>
      </c>
      <c r="AX135" s="51" t="e">
        <f>Ticker0001_Exchange_Sheet!#REF!-#REF!</f>
      </c>
      <c r="AY135" s="51" t="e">
        <f>Ticker0001_Exchange_Sheet!#REF!-#REF!</f>
      </c>
      <c r="AZ135" s="51" t="e">
        <f>Ticker0001_Exchange_Sheet!#REF!-#REF!</f>
      </c>
      <c r="BA135" s="51" t="e">
        <f>Ticker0001_Exchange_Sheet!#REF!-#REF!</f>
      </c>
      <c r="BB135" s="51" t="e">
        <f>Ticker0001_Exchange_Sheet!#REF!-#REF!</f>
      </c>
      <c r="BC135" s="51" t="e">
        <f>Ticker0001_Exchange_Sheet!#REF!-#REF!</f>
      </c>
      <c r="BD135" s="51" t="e">
        <f>Ticker0001_Exchange_Sheet!#REF!-#REF!</f>
      </c>
      <c r="BE135" s="51" t="e">
        <f>Ticker0001_Exchange_Sheet!#REF!-#REF!</f>
      </c>
      <c r="BF135" s="51" t="e">
        <f>Ticker0001_Exchange_Sheet!#REF!-#REF!</f>
      </c>
      <c r="BG135" s="51" t="e">
        <f>Ticker0001_Exchange_Sheet!#REF!-#REF!</f>
      </c>
      <c r="BH135" s="51" t="e">
        <f>Ticker0001_Exchange_Sheet!#REF!-#REF!</f>
      </c>
      <c r="BI135" s="51" t="e">
        <f>Ticker0001_Exchange_Sheet!#REF!-#REF!</f>
      </c>
      <c r="BJ135" s="51" t="e">
        <f>Ticker0001_Exchange_Sheet!#REF!-#REF!</f>
      </c>
      <c r="BK135" s="51" t="e">
        <f>Ticker0001_Exchange_Sheet!#REF!-#REF!</f>
      </c>
      <c r="BL135" s="51" t="e">
        <f>Ticker0001_Exchange_Sheet!#REF!-#REF!</f>
      </c>
      <c r="BM135" s="51" t="e">
        <f>Ticker0001_Exchange_Sheet!#REF!-#REF!</f>
      </c>
      <c r="BN135" s="51" t="e">
        <f>Ticker0001_Exchange_Sheet!#REF!-#REF!</f>
      </c>
      <c r="BO135" s="51" t="e">
        <f>Ticker0001_Exchange_Sheet!#REF!-#REF!</f>
      </c>
      <c r="BP135" s="51" t="e">
        <f>Ticker0001_Exchange_Sheet!#REF!-#REF!</f>
      </c>
      <c r="BQ135" s="51" t="e">
        <f>Ticker0001_Exchange_Sheet!#REF!-#REF!</f>
      </c>
      <c r="BR135" s="51" t="e">
        <f>Ticker0001_Exchange_Sheet!#REF!-#REF!</f>
      </c>
      <c r="BS135" s="51" t="e">
        <f>Ticker0001_Exchange_Sheet!#REF!-#REF!</f>
      </c>
      <c r="BT135" s="51" t="e">
        <f>Ticker0001_Exchange_Sheet!#REF!-#REF!</f>
      </c>
      <c r="BU135" s="51" t="e">
        <f>Ticker0001_Exchange_Sheet!#REF!-#REF!</f>
      </c>
      <c r="BV135" s="51" t="e">
        <f>Ticker0001_Exchange_Sheet!#REF!-#REF!</f>
      </c>
      <c r="BW135" s="51" t="e">
        <f>Ticker0001_Exchange_Sheet!#REF!-#REF!</f>
      </c>
      <c r="BX135" s="51" t="e">
        <f>Ticker0001_Exchange_Sheet!#REF!-#REF!</f>
      </c>
      <c r="BY135" s="51" t="e">
        <f>Ticker0001_Exchange_Sheet!#REF!-#REF!</f>
      </c>
      <c r="BZ135" s="51" t="e">
        <f>Ticker0001_Exchange_Sheet!#REF!-#REF!</f>
      </c>
      <c r="CA135" s="51" t="e">
        <f>Ticker0001_Exchange_Sheet!#REF!-#REF!</f>
      </c>
      <c r="CB135" s="51" t="e">
        <f>Ticker0001_Exchange_Sheet!#REF!-#REF!</f>
      </c>
      <c r="CC135" s="51" t="e">
        <f>Ticker0001_Exchange_Sheet!#REF!-#REF!</f>
      </c>
      <c r="CD135" s="51" t="e">
        <f>Ticker0001_Exchange_Sheet!#REF!-#REF!</f>
      </c>
      <c r="CE135" s="51" t="e">
        <f>Ticker0001_Exchange_Sheet!#REF!-#REF!</f>
      </c>
      <c r="CF135" s="51" t="e">
        <f>Ticker0001_Exchange_Sheet!#REF!-#REF!</f>
      </c>
    </row>
    <row r="136" spans="6:84">
      <c r="F136" s="51" t="e">
        <f>Ticker0001_Exchange_Sheet!F164-#REF!</f>
      </c>
      <c r="G136" s="51" t="e">
        <f>Ticker0001_Exchange_Sheet!G164-#REF!</f>
      </c>
      <c r="H136" s="51" t="e">
        <f>Ticker0001_Exchange_Sheet!H164-#REF!</f>
      </c>
      <c r="I136" s="51" t="e">
        <f>Ticker0001_Exchange_Sheet!I164-#REF!</f>
      </c>
      <c r="J136" s="51" t="e">
        <f>Ticker0001_Exchange_Sheet!J164-#REF!</f>
      </c>
      <c r="K136" s="51" t="e">
        <f>Ticker0001_Exchange_Sheet!K164-#REF!</f>
      </c>
      <c r="L136" s="51" t="e">
        <f>Ticker0001_Exchange_Sheet!L164-#REF!</f>
      </c>
      <c r="M136" s="51" t="e">
        <f>Ticker0001_Exchange_Sheet!M164-#REF!</f>
      </c>
      <c r="N136" s="51" t="e">
        <f>Ticker0001_Exchange_Sheet!N164-#REF!</f>
      </c>
      <c r="O136" s="51" t="e">
        <f>Ticker0001_Exchange_Sheet!O164-#REF!</f>
      </c>
      <c r="P136" s="51" t="e">
        <f>Ticker0001_Exchange_Sheet!P164-#REF!</f>
      </c>
      <c r="Q136" s="51" t="e">
        <f>Ticker0001_Exchange_Sheet!Q164-#REF!</f>
      </c>
      <c r="R136" s="51" t="e">
        <f>Ticker0001_Exchange_Sheet!R164-#REF!</f>
      </c>
      <c r="S136" s="51" t="e">
        <f>Ticker0001_Exchange_Sheet!S164-#REF!</f>
      </c>
      <c r="T136" s="51" t="e">
        <f>Ticker0001_Exchange_Sheet!T164-#REF!</f>
      </c>
      <c r="U136" s="51" t="e">
        <f>Ticker0001_Exchange_Sheet!U164-#REF!</f>
      </c>
      <c r="V136" s="51" t="e">
        <f>Ticker0001_Exchange_Sheet!V164-#REF!</f>
      </c>
      <c r="W136" s="51" t="e">
        <f>Ticker0001_Exchange_Sheet!W164-#REF!</f>
      </c>
      <c r="X136" s="51" t="e">
        <f>Ticker0001_Exchange_Sheet!AK164-#REF!</f>
      </c>
      <c r="Y136" s="51" t="e">
        <f>Ticker0001_Exchange_Sheet!AX164-#REF!</f>
      </c>
      <c r="Z136" s="51" t="e">
        <f>Ticker0001_Exchange_Sheet!AY164-#REF!</f>
      </c>
      <c r="AA136" s="51" t="e">
        <f>Ticker0001_Exchange_Sheet!AZ164-#REF!</f>
      </c>
      <c r="AB136" s="51" t="e">
        <f>Ticker0001_Exchange_Sheet!BA164-#REF!</f>
      </c>
      <c r="AC136" s="51" t="e">
        <f>Ticker0001_Exchange_Sheet!BB164-#REF!</f>
      </c>
      <c r="AD136" s="51" t="e">
        <f>Ticker0001_Exchange_Sheet!BC164-#REF!</f>
      </c>
      <c r="AE136" s="51" t="e">
        <f>Ticker0001_Exchange_Sheet!BD164-#REF!</f>
      </c>
      <c r="AF136" s="51" t="e">
        <f>Ticker0001_Exchange_Sheet!BE164-#REF!</f>
      </c>
      <c r="AG136" s="51" t="e">
        <f>Ticker0001_Exchange_Sheet!BF164-#REF!</f>
      </c>
      <c r="AH136" s="51" t="e">
        <f>Ticker0001_Exchange_Sheet!BG164-#REF!</f>
      </c>
      <c r="AI136" s="51" t="e">
        <f>Ticker0001_Exchange_Sheet!BH164-#REF!</f>
      </c>
      <c r="AJ136" s="51" t="e">
        <f>Ticker0001_Exchange_Sheet!BI164-#REF!</f>
      </c>
      <c r="AK136" s="51" t="e">
        <f>Ticker0001_Exchange_Sheet!BJ164-#REF!</f>
      </c>
      <c r="AL136" s="51" t="e">
        <f>Ticker0001_Exchange_Sheet!BK164-#REF!</f>
      </c>
      <c r="AM136" s="51" t="e">
        <f>Ticker0001_Exchange_Sheet!BL164-#REF!</f>
      </c>
      <c r="AN136" s="51" t="e">
        <f>Ticker0001_Exchange_Sheet!BM164-#REF!</f>
      </c>
      <c r="AO136" s="51" t="e">
        <f>Ticker0001_Exchange_Sheet!BN164-#REF!</f>
      </c>
      <c r="AP136" s="51" t="e">
        <f>Ticker0001_Exchange_Sheet!BO164-#REF!</f>
      </c>
      <c r="AQ136" s="51" t="e">
        <f>Ticker0001_Exchange_Sheet!BP164-#REF!</f>
      </c>
      <c r="AR136" s="51" t="e">
        <f>Ticker0001_Exchange_Sheet!BQ164-#REF!</f>
      </c>
      <c r="AS136" s="51" t="e">
        <f>Ticker0001_Exchange_Sheet!BR164-#REF!</f>
      </c>
      <c r="AT136" s="51" t="e">
        <f>Ticker0001_Exchange_Sheet!BS164-#REF!</f>
      </c>
      <c r="AU136" s="51" t="e">
        <f>Ticker0001_Exchange_Sheet!BT164-#REF!</f>
      </c>
      <c r="AV136" s="51" t="e">
        <f>Ticker0001_Exchange_Sheet!BU164-#REF!</f>
      </c>
      <c r="AW136" s="51" t="e">
        <f>Ticker0001_Exchange_Sheet!BV164-#REF!</f>
      </c>
      <c r="AX136" s="51" t="e">
        <f>Ticker0001_Exchange_Sheet!BW164-#REF!</f>
      </c>
      <c r="AY136" s="51" t="e">
        <f>Ticker0001_Exchange_Sheet!BX164-#REF!</f>
      </c>
      <c r="AZ136" s="51" t="e">
        <f>Ticker0001_Exchange_Sheet!BY164-#REF!</f>
      </c>
      <c r="BA136" s="51" t="e">
        <f>Ticker0001_Exchange_Sheet!BZ164-#REF!</f>
      </c>
      <c r="BB136" s="51" t="e">
        <f>Ticker0001_Exchange_Sheet!CA164-#REF!</f>
      </c>
      <c r="BC136" s="51" t="e">
        <f>Ticker0001_Exchange_Sheet!CB164-#REF!</f>
      </c>
      <c r="BD136" s="51" t="e">
        <f>Ticker0001_Exchange_Sheet!CC164-#REF!</f>
      </c>
      <c r="BE136" s="51" t="e">
        <f>Ticker0001_Exchange_Sheet!CD164-#REF!</f>
      </c>
      <c r="BF136" s="51" t="e">
        <f>Ticker0001_Exchange_Sheet!CE164-#REF!</f>
      </c>
      <c r="BG136" s="51" t="e">
        <f>Ticker0001_Exchange_Sheet!CF164-#REF!</f>
      </c>
      <c r="BH136" s="51" t="e">
        <f>Ticker0001_Exchange_Sheet!CG164-#REF!</f>
      </c>
      <c r="BI136" s="51" t="e">
        <f>Ticker0001_Exchange_Sheet!CH164-#REF!</f>
      </c>
      <c r="BJ136" s="51" t="e">
        <f>Ticker0001_Exchange_Sheet!CI164-#REF!</f>
      </c>
      <c r="BK136" s="51" t="e">
        <f>Ticker0001_Exchange_Sheet!CJ164-#REF!</f>
      </c>
      <c r="BL136" s="51" t="e">
        <f>Ticker0001_Exchange_Sheet!CK164-#REF!</f>
      </c>
      <c r="BM136" s="51" t="e">
        <f>Ticker0001_Exchange_Sheet!CL164-#REF!</f>
      </c>
      <c r="BN136" s="51" t="e">
        <f>Ticker0001_Exchange_Sheet!CM164-#REF!</f>
      </c>
      <c r="BO136" s="51" t="e">
        <f>Ticker0001_Exchange_Sheet!CN164-#REF!</f>
      </c>
      <c r="BP136" s="51" t="e">
        <f>Ticker0001_Exchange_Sheet!CO164-#REF!</f>
      </c>
      <c r="BQ136" s="51" t="e">
        <f>Ticker0001_Exchange_Sheet!CP164-#REF!</f>
      </c>
      <c r="BR136" s="51" t="e">
        <f>Ticker0001_Exchange_Sheet!CQ164-#REF!</f>
      </c>
      <c r="BS136" s="51" t="e">
        <f>Ticker0001_Exchange_Sheet!CR164-#REF!</f>
      </c>
      <c r="BT136" s="51" t="e">
        <f>Ticker0001_Exchange_Sheet!CS164-#REF!</f>
      </c>
      <c r="BU136" s="51" t="e">
        <f>Ticker0001_Exchange_Sheet!CT164-#REF!</f>
      </c>
      <c r="BV136" s="51" t="e">
        <f>Ticker0001_Exchange_Sheet!CU164-#REF!</f>
      </c>
      <c r="BW136" s="51" t="e">
        <f>Ticker0001_Exchange_Sheet!CV164-#REF!</f>
      </c>
      <c r="BX136" s="51" t="e">
        <f>Ticker0001_Exchange_Sheet!CW164-#REF!</f>
      </c>
      <c r="BY136" s="51" t="e">
        <f>Ticker0001_Exchange_Sheet!CX164-#REF!</f>
      </c>
      <c r="BZ136" s="51" t="e">
        <f>Ticker0001_Exchange_Sheet!CY164-#REF!</f>
      </c>
      <c r="CA136" s="51" t="e">
        <f>Ticker0001_Exchange_Sheet!CZ164-#REF!</f>
      </c>
      <c r="CB136" s="51" t="e">
        <f>Ticker0001_Exchange_Sheet!DA164-#REF!</f>
      </c>
      <c r="CC136" s="51" t="e">
        <f>Ticker0001_Exchange_Sheet!DB164-#REF!</f>
      </c>
      <c r="CD136" s="51" t="e">
        <f>Ticker0001_Exchange_Sheet!DC164-#REF!</f>
      </c>
      <c r="CE136" s="51" t="e">
        <f>Ticker0001_Exchange_Sheet!DD164-#REF!</f>
      </c>
      <c r="CF136" s="51" t="e">
        <f>Ticker0001_Exchange_Sheet!DE164-#REF!</f>
      </c>
    </row>
    <row r="137" spans="6:84">
      <c r="F137" s="51" t="e">
        <f>Ticker0001_Exchange_Sheet!F169-#REF!</f>
      </c>
      <c r="G137" s="51" t="e">
        <f>Ticker0001_Exchange_Sheet!G169-#REF!</f>
      </c>
      <c r="H137" s="51" t="e">
        <f>Ticker0001_Exchange_Sheet!H169-#REF!</f>
      </c>
      <c r="I137" s="51" t="e">
        <f>Ticker0001_Exchange_Sheet!I169-#REF!</f>
      </c>
      <c r="J137" s="51" t="e">
        <f>Ticker0001_Exchange_Sheet!J169-#REF!</f>
      </c>
      <c r="K137" s="51" t="e">
        <f>Ticker0001_Exchange_Sheet!K169-#REF!</f>
      </c>
      <c r="L137" s="51" t="e">
        <f>Ticker0001_Exchange_Sheet!L169-#REF!</f>
      </c>
      <c r="M137" s="51" t="e">
        <f>Ticker0001_Exchange_Sheet!M169-#REF!</f>
      </c>
      <c r="N137" s="51" t="e">
        <f>Ticker0001_Exchange_Sheet!N169-#REF!</f>
      </c>
      <c r="O137" s="51" t="e">
        <f>Ticker0001_Exchange_Sheet!O169-#REF!</f>
      </c>
      <c r="P137" s="51" t="e">
        <f>Ticker0001_Exchange_Sheet!P169-#REF!</f>
      </c>
      <c r="Q137" s="51" t="e">
        <f>Ticker0001_Exchange_Sheet!Q169-#REF!</f>
      </c>
      <c r="R137" s="51" t="e">
        <f>Ticker0001_Exchange_Sheet!R169-#REF!</f>
      </c>
      <c r="S137" s="51" t="e">
        <f>Ticker0001_Exchange_Sheet!S169-#REF!</f>
      </c>
      <c r="T137" s="51" t="e">
        <f>Ticker0001_Exchange_Sheet!T169-#REF!</f>
      </c>
      <c r="U137" s="51" t="e">
        <f>Ticker0001_Exchange_Sheet!U169-#REF!</f>
      </c>
      <c r="V137" s="51" t="e">
        <f>Ticker0001_Exchange_Sheet!V169-#REF!</f>
      </c>
      <c r="W137" s="51" t="e">
        <f>Ticker0001_Exchange_Sheet!W169-#REF!</f>
      </c>
      <c r="X137" s="51" t="e">
        <f>Ticker0001_Exchange_Sheet!AK169-#REF!</f>
      </c>
      <c r="Y137" s="51" t="e">
        <f>Ticker0001_Exchange_Sheet!AX169-#REF!</f>
      </c>
      <c r="Z137" s="51" t="e">
        <f>Ticker0001_Exchange_Sheet!AY169-#REF!</f>
      </c>
      <c r="AA137" s="51" t="e">
        <f>Ticker0001_Exchange_Sheet!AZ169-#REF!</f>
      </c>
      <c r="AB137" s="51" t="e">
        <f>Ticker0001_Exchange_Sheet!BA169-#REF!</f>
      </c>
      <c r="AC137" s="51" t="e">
        <f>Ticker0001_Exchange_Sheet!BB169-#REF!</f>
      </c>
      <c r="AD137" s="51" t="e">
        <f>Ticker0001_Exchange_Sheet!BC169-#REF!</f>
      </c>
      <c r="AE137" s="51" t="e">
        <f>Ticker0001_Exchange_Sheet!BD169-#REF!</f>
      </c>
      <c r="AF137" s="51" t="e">
        <f>Ticker0001_Exchange_Sheet!BE169-#REF!</f>
      </c>
      <c r="AG137" s="51" t="e">
        <f>Ticker0001_Exchange_Sheet!BF169-#REF!</f>
      </c>
      <c r="AH137" s="51" t="e">
        <f>Ticker0001_Exchange_Sheet!BG169-#REF!</f>
      </c>
      <c r="AI137" s="51" t="e">
        <f>Ticker0001_Exchange_Sheet!BH169-#REF!</f>
      </c>
      <c r="AJ137" s="51" t="e">
        <f>Ticker0001_Exchange_Sheet!BI169-#REF!</f>
      </c>
      <c r="AK137" s="51" t="e">
        <f>Ticker0001_Exchange_Sheet!BJ169-#REF!</f>
      </c>
      <c r="AL137" s="51" t="e">
        <f>Ticker0001_Exchange_Sheet!BK169-#REF!</f>
      </c>
      <c r="AM137" s="51" t="e">
        <f>Ticker0001_Exchange_Sheet!BL169-#REF!</f>
      </c>
      <c r="AN137" s="51" t="e">
        <f>Ticker0001_Exchange_Sheet!BM169-#REF!</f>
      </c>
      <c r="AO137" s="51" t="e">
        <f>Ticker0001_Exchange_Sheet!BN169-#REF!</f>
      </c>
      <c r="AP137" s="51" t="e">
        <f>Ticker0001_Exchange_Sheet!BO169-#REF!</f>
      </c>
      <c r="AQ137" s="51" t="e">
        <f>Ticker0001_Exchange_Sheet!BP169-#REF!</f>
      </c>
      <c r="AR137" s="51" t="e">
        <f>Ticker0001_Exchange_Sheet!BQ169-#REF!</f>
      </c>
      <c r="AS137" s="51" t="e">
        <f>Ticker0001_Exchange_Sheet!BR169-#REF!</f>
      </c>
      <c r="AT137" s="51" t="e">
        <f>Ticker0001_Exchange_Sheet!BS169-#REF!</f>
      </c>
      <c r="AU137" s="51" t="e">
        <f>Ticker0001_Exchange_Sheet!BT169-#REF!</f>
      </c>
      <c r="AV137" s="51" t="e">
        <f>Ticker0001_Exchange_Sheet!BU169-#REF!</f>
      </c>
      <c r="AW137" s="51" t="e">
        <f>Ticker0001_Exchange_Sheet!BV169-#REF!</f>
      </c>
      <c r="AX137" s="51" t="e">
        <f>Ticker0001_Exchange_Sheet!BW169-#REF!</f>
      </c>
      <c r="AY137" s="51" t="e">
        <f>Ticker0001_Exchange_Sheet!BX169-#REF!</f>
      </c>
      <c r="AZ137" s="51" t="e">
        <f>Ticker0001_Exchange_Sheet!BY169-#REF!</f>
      </c>
      <c r="BA137" s="51" t="e">
        <f>Ticker0001_Exchange_Sheet!BZ169-#REF!</f>
      </c>
      <c r="BB137" s="51" t="e">
        <f>Ticker0001_Exchange_Sheet!CA169-#REF!</f>
      </c>
      <c r="BC137" s="51" t="e">
        <f>Ticker0001_Exchange_Sheet!CB169-#REF!</f>
      </c>
      <c r="BD137" s="51" t="e">
        <f>Ticker0001_Exchange_Sheet!CC169-#REF!</f>
      </c>
      <c r="BE137" s="51" t="e">
        <f>Ticker0001_Exchange_Sheet!CD169-#REF!</f>
      </c>
      <c r="BF137" s="51" t="e">
        <f>Ticker0001_Exchange_Sheet!CE169-#REF!</f>
      </c>
      <c r="BG137" s="51" t="e">
        <f>Ticker0001_Exchange_Sheet!CF169-#REF!</f>
      </c>
      <c r="BH137" s="51" t="e">
        <f>Ticker0001_Exchange_Sheet!CG169-#REF!</f>
      </c>
      <c r="BI137" s="51" t="e">
        <f>Ticker0001_Exchange_Sheet!CH169-#REF!</f>
      </c>
      <c r="BJ137" s="51" t="e">
        <f>Ticker0001_Exchange_Sheet!CI169-#REF!</f>
      </c>
      <c r="BK137" s="51" t="e">
        <f>Ticker0001_Exchange_Sheet!CJ169-#REF!</f>
      </c>
      <c r="BL137" s="51" t="e">
        <f>Ticker0001_Exchange_Sheet!CK169-#REF!</f>
      </c>
      <c r="BM137" s="51" t="e">
        <f>Ticker0001_Exchange_Sheet!CL169-#REF!</f>
      </c>
      <c r="BN137" s="51" t="e">
        <f>Ticker0001_Exchange_Sheet!CM169-#REF!</f>
      </c>
      <c r="BO137" s="51" t="e">
        <f>Ticker0001_Exchange_Sheet!CN169-#REF!</f>
      </c>
      <c r="BP137" s="51" t="e">
        <f>Ticker0001_Exchange_Sheet!CO169-#REF!</f>
      </c>
      <c r="BQ137" s="51" t="e">
        <f>Ticker0001_Exchange_Sheet!CP169-#REF!</f>
      </c>
      <c r="BR137" s="51" t="e">
        <f>Ticker0001_Exchange_Sheet!CQ169-#REF!</f>
      </c>
      <c r="BS137" s="51" t="e">
        <f>Ticker0001_Exchange_Sheet!CR169-#REF!</f>
      </c>
      <c r="BT137" s="51" t="e">
        <f>Ticker0001_Exchange_Sheet!CS169-#REF!</f>
      </c>
      <c r="BU137" s="51" t="e">
        <f>Ticker0001_Exchange_Sheet!CT169-#REF!</f>
      </c>
      <c r="BV137" s="51" t="e">
        <f>Ticker0001_Exchange_Sheet!CU169-#REF!</f>
      </c>
      <c r="BW137" s="51" t="e">
        <f>Ticker0001_Exchange_Sheet!CV169-#REF!</f>
      </c>
      <c r="BX137" s="51" t="e">
        <f>Ticker0001_Exchange_Sheet!CW169-#REF!</f>
      </c>
      <c r="BY137" s="51" t="e">
        <f>Ticker0001_Exchange_Sheet!CX169-#REF!</f>
      </c>
      <c r="BZ137" s="51" t="e">
        <f>Ticker0001_Exchange_Sheet!CY169-#REF!</f>
      </c>
      <c r="CA137" s="51" t="e">
        <f>Ticker0001_Exchange_Sheet!CZ169-#REF!</f>
      </c>
      <c r="CB137" s="51" t="e">
        <f>Ticker0001_Exchange_Sheet!DA169-#REF!</f>
      </c>
      <c r="CC137" s="51" t="e">
        <f>Ticker0001_Exchange_Sheet!DB169-#REF!</f>
      </c>
      <c r="CD137" s="51" t="e">
        <f>Ticker0001_Exchange_Sheet!DC169-#REF!</f>
      </c>
      <c r="CE137" s="51" t="e">
        <f>Ticker0001_Exchange_Sheet!DD169-#REF!</f>
      </c>
      <c r="CF137" s="51" t="e">
        <f>Ticker0001_Exchange_Sheet!DE169-#REF!</f>
      </c>
    </row>
    <row r="138" spans="6:84">
      <c r="F138" s="51" t="e">
        <f>Ticker0001_Exchange_Sheet!F170-#REF!</f>
      </c>
      <c r="G138" s="51" t="e">
        <f>Ticker0001_Exchange_Sheet!G170-#REF!</f>
      </c>
      <c r="H138" s="51" t="e">
        <f>Ticker0001_Exchange_Sheet!H170-#REF!</f>
      </c>
      <c r="I138" s="51" t="e">
        <f>Ticker0001_Exchange_Sheet!I170-#REF!</f>
      </c>
      <c r="J138" s="51" t="e">
        <f>Ticker0001_Exchange_Sheet!J170-#REF!</f>
      </c>
      <c r="K138" s="51" t="e">
        <f>Ticker0001_Exchange_Sheet!K170-#REF!</f>
      </c>
      <c r="L138" s="51" t="e">
        <f>Ticker0001_Exchange_Sheet!L170-#REF!</f>
      </c>
      <c r="M138" s="51" t="e">
        <f>Ticker0001_Exchange_Sheet!M170-#REF!</f>
      </c>
      <c r="N138" s="51" t="e">
        <f>Ticker0001_Exchange_Sheet!N170-#REF!</f>
      </c>
      <c r="O138" s="51" t="e">
        <f>Ticker0001_Exchange_Sheet!O170-#REF!</f>
      </c>
      <c r="P138" s="51" t="e">
        <f>Ticker0001_Exchange_Sheet!P170-#REF!</f>
      </c>
      <c r="Q138" s="51" t="e">
        <f>Ticker0001_Exchange_Sheet!Q170-#REF!</f>
      </c>
      <c r="R138" s="51" t="e">
        <f>Ticker0001_Exchange_Sheet!R170-#REF!</f>
      </c>
      <c r="S138" s="51" t="e">
        <f>Ticker0001_Exchange_Sheet!S170-#REF!</f>
      </c>
      <c r="T138" s="51" t="e">
        <f>Ticker0001_Exchange_Sheet!T170-#REF!</f>
      </c>
      <c r="U138" s="51" t="e">
        <f>Ticker0001_Exchange_Sheet!U170-#REF!</f>
      </c>
      <c r="V138" s="51" t="e">
        <f>Ticker0001_Exchange_Sheet!V170-#REF!</f>
      </c>
      <c r="W138" s="51" t="e">
        <f>Ticker0001_Exchange_Sheet!W170-#REF!</f>
      </c>
      <c r="X138" s="51" t="e">
        <f>Ticker0001_Exchange_Sheet!AK170-#REF!</f>
      </c>
      <c r="Y138" s="51" t="e">
        <f>Ticker0001_Exchange_Sheet!AX170-#REF!</f>
      </c>
      <c r="Z138" s="51" t="e">
        <f>Ticker0001_Exchange_Sheet!AY170-#REF!</f>
      </c>
      <c r="AA138" s="51" t="e">
        <f>Ticker0001_Exchange_Sheet!AZ170-#REF!</f>
      </c>
      <c r="AB138" s="51" t="e">
        <f>Ticker0001_Exchange_Sheet!BA170-#REF!</f>
      </c>
      <c r="AC138" s="51" t="e">
        <f>Ticker0001_Exchange_Sheet!BB170-#REF!</f>
      </c>
      <c r="AD138" s="51" t="e">
        <f>Ticker0001_Exchange_Sheet!BC170-#REF!</f>
      </c>
      <c r="AE138" s="51" t="e">
        <f>Ticker0001_Exchange_Sheet!BD170-#REF!</f>
      </c>
      <c r="AF138" s="51" t="e">
        <f>Ticker0001_Exchange_Sheet!BE170-#REF!</f>
      </c>
      <c r="AG138" s="51" t="e">
        <f>Ticker0001_Exchange_Sheet!BF170-#REF!</f>
      </c>
      <c r="AH138" s="51" t="e">
        <f>Ticker0001_Exchange_Sheet!BG170-#REF!</f>
      </c>
      <c r="AI138" s="51" t="e">
        <f>Ticker0001_Exchange_Sheet!BH170-#REF!</f>
      </c>
      <c r="AJ138" s="51" t="e">
        <f>Ticker0001_Exchange_Sheet!BI170-#REF!</f>
      </c>
      <c r="AK138" s="51" t="e">
        <f>Ticker0001_Exchange_Sheet!BJ170-#REF!</f>
      </c>
      <c r="AL138" s="51" t="e">
        <f>Ticker0001_Exchange_Sheet!BK170-#REF!</f>
      </c>
      <c r="AM138" s="51" t="e">
        <f>Ticker0001_Exchange_Sheet!BL170-#REF!</f>
      </c>
      <c r="AN138" s="51" t="e">
        <f>Ticker0001_Exchange_Sheet!BM170-#REF!</f>
      </c>
      <c r="AO138" s="51" t="e">
        <f>Ticker0001_Exchange_Sheet!BN170-#REF!</f>
      </c>
      <c r="AP138" s="51" t="e">
        <f>Ticker0001_Exchange_Sheet!BO170-#REF!</f>
      </c>
      <c r="AQ138" s="51" t="e">
        <f>Ticker0001_Exchange_Sheet!BP170-#REF!</f>
      </c>
      <c r="AR138" s="51" t="e">
        <f>Ticker0001_Exchange_Sheet!BQ170-#REF!</f>
      </c>
      <c r="AS138" s="51" t="e">
        <f>Ticker0001_Exchange_Sheet!BR170-#REF!</f>
      </c>
      <c r="AT138" s="51" t="e">
        <f>Ticker0001_Exchange_Sheet!BS170-#REF!</f>
      </c>
      <c r="AU138" s="51" t="e">
        <f>Ticker0001_Exchange_Sheet!BT170-#REF!</f>
      </c>
      <c r="AV138" s="51" t="e">
        <f>Ticker0001_Exchange_Sheet!BU170-#REF!</f>
      </c>
      <c r="AW138" s="51" t="e">
        <f>Ticker0001_Exchange_Sheet!BV170-#REF!</f>
      </c>
      <c r="AX138" s="51" t="e">
        <f>Ticker0001_Exchange_Sheet!BW170-#REF!</f>
      </c>
      <c r="AY138" s="51" t="e">
        <f>Ticker0001_Exchange_Sheet!BX170-#REF!</f>
      </c>
      <c r="AZ138" s="51" t="e">
        <f>Ticker0001_Exchange_Sheet!BY170-#REF!</f>
      </c>
      <c r="BA138" s="51" t="e">
        <f>Ticker0001_Exchange_Sheet!BZ170-#REF!</f>
      </c>
      <c r="BB138" s="51" t="e">
        <f>Ticker0001_Exchange_Sheet!CA170-#REF!</f>
      </c>
      <c r="BC138" s="51" t="e">
        <f>Ticker0001_Exchange_Sheet!CB170-#REF!</f>
      </c>
      <c r="BD138" s="51" t="e">
        <f>Ticker0001_Exchange_Sheet!CC170-#REF!</f>
      </c>
      <c r="BE138" s="51" t="e">
        <f>Ticker0001_Exchange_Sheet!CD170-#REF!</f>
      </c>
      <c r="BF138" s="51" t="e">
        <f>Ticker0001_Exchange_Sheet!CE170-#REF!</f>
      </c>
      <c r="BG138" s="51" t="e">
        <f>Ticker0001_Exchange_Sheet!CF170-#REF!</f>
      </c>
      <c r="BH138" s="51" t="e">
        <f>Ticker0001_Exchange_Sheet!CG170-#REF!</f>
      </c>
      <c r="BI138" s="51" t="e">
        <f>Ticker0001_Exchange_Sheet!CH170-#REF!</f>
      </c>
      <c r="BJ138" s="51" t="e">
        <f>Ticker0001_Exchange_Sheet!CI170-#REF!</f>
      </c>
      <c r="BK138" s="51" t="e">
        <f>Ticker0001_Exchange_Sheet!CJ170-#REF!</f>
      </c>
      <c r="BL138" s="51" t="e">
        <f>Ticker0001_Exchange_Sheet!CK170-#REF!</f>
      </c>
      <c r="BM138" s="51" t="e">
        <f>Ticker0001_Exchange_Sheet!CL170-#REF!</f>
      </c>
      <c r="BN138" s="51" t="e">
        <f>Ticker0001_Exchange_Sheet!CM170-#REF!</f>
      </c>
      <c r="BO138" s="51" t="e">
        <f>Ticker0001_Exchange_Sheet!CN170-#REF!</f>
      </c>
      <c r="BP138" s="51" t="e">
        <f>Ticker0001_Exchange_Sheet!CO170-#REF!</f>
      </c>
      <c r="BQ138" s="51" t="e">
        <f>Ticker0001_Exchange_Sheet!CP170-#REF!</f>
      </c>
      <c r="BR138" s="51" t="e">
        <f>Ticker0001_Exchange_Sheet!CQ170-#REF!</f>
      </c>
      <c r="BS138" s="51" t="e">
        <f>Ticker0001_Exchange_Sheet!CR170-#REF!</f>
      </c>
      <c r="BT138" s="51" t="e">
        <f>Ticker0001_Exchange_Sheet!CS170-#REF!</f>
      </c>
      <c r="BU138" s="51" t="e">
        <f>Ticker0001_Exchange_Sheet!CT170-#REF!</f>
      </c>
      <c r="BV138" s="51" t="e">
        <f>Ticker0001_Exchange_Sheet!CU170-#REF!</f>
      </c>
      <c r="BW138" s="51" t="e">
        <f>Ticker0001_Exchange_Sheet!CV170-#REF!</f>
      </c>
      <c r="BX138" s="51" t="e">
        <f>Ticker0001_Exchange_Sheet!CW170-#REF!</f>
      </c>
      <c r="BY138" s="51" t="e">
        <f>Ticker0001_Exchange_Sheet!CX170-#REF!</f>
      </c>
      <c r="BZ138" s="51" t="e">
        <f>Ticker0001_Exchange_Sheet!CY170-#REF!</f>
      </c>
      <c r="CA138" s="51" t="e">
        <f>Ticker0001_Exchange_Sheet!CZ170-#REF!</f>
      </c>
      <c r="CB138" s="51" t="e">
        <f>Ticker0001_Exchange_Sheet!DA170-#REF!</f>
      </c>
      <c r="CC138" s="51" t="e">
        <f>Ticker0001_Exchange_Sheet!DB170-#REF!</f>
      </c>
      <c r="CD138" s="51" t="e">
        <f>Ticker0001_Exchange_Sheet!DC170-#REF!</f>
      </c>
      <c r="CE138" s="51" t="e">
        <f>Ticker0001_Exchange_Sheet!DD170-#REF!</f>
      </c>
      <c r="CF138" s="51" t="e">
        <f>Ticker0001_Exchange_Sheet!DE170-#REF!</f>
      </c>
    </row>
    <row r="139" spans="6:84">
      <c r="F139" s="51" t="e">
        <f>Ticker0001_Exchange_Sheet!#REF!-#REF!</f>
      </c>
      <c r="G139" s="51" t="e">
        <f>Ticker0001_Exchange_Sheet!#REF!-#REF!</f>
      </c>
      <c r="H139" s="51" t="e">
        <f>Ticker0001_Exchange_Sheet!#REF!-#REF!</f>
      </c>
      <c r="I139" s="51" t="e">
        <f>Ticker0001_Exchange_Sheet!#REF!-#REF!</f>
      </c>
      <c r="J139" s="51" t="e">
        <f>Ticker0001_Exchange_Sheet!#REF!-#REF!</f>
      </c>
      <c r="K139" s="51" t="e">
        <f>Ticker0001_Exchange_Sheet!#REF!-#REF!</f>
      </c>
      <c r="L139" s="51" t="e">
        <f>Ticker0001_Exchange_Sheet!#REF!-#REF!</f>
      </c>
      <c r="M139" s="51" t="e">
        <f>Ticker0001_Exchange_Sheet!#REF!-#REF!</f>
      </c>
      <c r="N139" s="51" t="e">
        <f>Ticker0001_Exchange_Sheet!#REF!-#REF!</f>
      </c>
      <c r="O139" s="51" t="e">
        <f>Ticker0001_Exchange_Sheet!#REF!-#REF!</f>
      </c>
      <c r="P139" s="51" t="e">
        <f>Ticker0001_Exchange_Sheet!#REF!-#REF!</f>
      </c>
      <c r="Q139" s="51" t="e">
        <f>Ticker0001_Exchange_Sheet!#REF!-#REF!</f>
      </c>
      <c r="R139" s="51" t="e">
        <f>Ticker0001_Exchange_Sheet!#REF!-#REF!</f>
      </c>
      <c r="S139" s="51" t="e">
        <f>Ticker0001_Exchange_Sheet!#REF!-#REF!</f>
      </c>
      <c r="T139" s="51" t="e">
        <f>Ticker0001_Exchange_Sheet!#REF!-#REF!</f>
      </c>
      <c r="U139" s="51" t="e">
        <f>Ticker0001_Exchange_Sheet!#REF!-#REF!</f>
      </c>
      <c r="V139" s="51" t="e">
        <f>Ticker0001_Exchange_Sheet!#REF!-#REF!</f>
      </c>
      <c r="W139" s="51" t="e">
        <f>Ticker0001_Exchange_Sheet!#REF!-#REF!</f>
      </c>
      <c r="X139" s="51" t="e">
        <f>Ticker0001_Exchange_Sheet!#REF!-#REF!</f>
      </c>
      <c r="Y139" s="51" t="e">
        <f>Ticker0001_Exchange_Sheet!#REF!-#REF!</f>
      </c>
      <c r="Z139" s="51" t="e">
        <f>Ticker0001_Exchange_Sheet!#REF!-#REF!</f>
      </c>
      <c r="AA139" s="51" t="e">
        <f>Ticker0001_Exchange_Sheet!#REF!-#REF!</f>
      </c>
      <c r="AB139" s="51" t="e">
        <f>Ticker0001_Exchange_Sheet!#REF!-#REF!</f>
      </c>
      <c r="AC139" s="51" t="e">
        <f>Ticker0001_Exchange_Sheet!#REF!-#REF!</f>
      </c>
      <c r="AD139" s="51" t="e">
        <f>Ticker0001_Exchange_Sheet!#REF!-#REF!</f>
      </c>
      <c r="AE139" s="51" t="e">
        <f>Ticker0001_Exchange_Sheet!#REF!-#REF!</f>
      </c>
      <c r="AF139" s="51" t="e">
        <f>Ticker0001_Exchange_Sheet!#REF!-#REF!</f>
      </c>
      <c r="AG139" s="51" t="e">
        <f>Ticker0001_Exchange_Sheet!#REF!-#REF!</f>
      </c>
      <c r="AH139" s="51" t="e">
        <f>Ticker0001_Exchange_Sheet!#REF!-#REF!</f>
      </c>
      <c r="AI139" s="51" t="e">
        <f>Ticker0001_Exchange_Sheet!#REF!-#REF!</f>
      </c>
      <c r="AJ139" s="51" t="e">
        <f>Ticker0001_Exchange_Sheet!#REF!-#REF!</f>
      </c>
      <c r="AK139" s="51" t="e">
        <f>Ticker0001_Exchange_Sheet!#REF!-#REF!</f>
      </c>
      <c r="AL139" s="51" t="e">
        <f>Ticker0001_Exchange_Sheet!#REF!-#REF!</f>
      </c>
      <c r="AM139" s="51" t="e">
        <f>Ticker0001_Exchange_Sheet!#REF!-#REF!</f>
      </c>
      <c r="AN139" s="51" t="e">
        <f>Ticker0001_Exchange_Sheet!#REF!-#REF!</f>
      </c>
      <c r="AO139" s="51" t="e">
        <f>Ticker0001_Exchange_Sheet!#REF!-#REF!</f>
      </c>
      <c r="AP139" s="51" t="e">
        <f>Ticker0001_Exchange_Sheet!#REF!-#REF!</f>
      </c>
      <c r="AQ139" s="51" t="e">
        <f>Ticker0001_Exchange_Sheet!#REF!-#REF!</f>
      </c>
      <c r="AR139" s="51" t="e">
        <f>Ticker0001_Exchange_Sheet!#REF!-#REF!</f>
      </c>
      <c r="AS139" s="51" t="e">
        <f>Ticker0001_Exchange_Sheet!#REF!-#REF!</f>
      </c>
      <c r="AT139" s="51" t="e">
        <f>Ticker0001_Exchange_Sheet!#REF!-#REF!</f>
      </c>
      <c r="AU139" s="51" t="e">
        <f>Ticker0001_Exchange_Sheet!#REF!-#REF!</f>
      </c>
      <c r="AV139" s="51" t="e">
        <f>Ticker0001_Exchange_Sheet!#REF!-#REF!</f>
      </c>
      <c r="AW139" s="51" t="e">
        <f>Ticker0001_Exchange_Sheet!#REF!-#REF!</f>
      </c>
      <c r="AX139" s="51" t="e">
        <f>Ticker0001_Exchange_Sheet!#REF!-#REF!</f>
      </c>
      <c r="AY139" s="51" t="e">
        <f>Ticker0001_Exchange_Sheet!#REF!-#REF!</f>
      </c>
      <c r="AZ139" s="51" t="e">
        <f>Ticker0001_Exchange_Sheet!#REF!-#REF!</f>
      </c>
      <c r="BA139" s="51" t="e">
        <f>Ticker0001_Exchange_Sheet!#REF!-#REF!</f>
      </c>
      <c r="BB139" s="51" t="e">
        <f>Ticker0001_Exchange_Sheet!#REF!-#REF!</f>
      </c>
      <c r="BC139" s="51" t="e">
        <f>Ticker0001_Exchange_Sheet!#REF!-#REF!</f>
      </c>
      <c r="BD139" s="51" t="e">
        <f>Ticker0001_Exchange_Sheet!#REF!-#REF!</f>
      </c>
      <c r="BE139" s="51" t="e">
        <f>Ticker0001_Exchange_Sheet!#REF!-#REF!</f>
      </c>
      <c r="BF139" s="51" t="e">
        <f>Ticker0001_Exchange_Sheet!#REF!-#REF!</f>
      </c>
      <c r="BG139" s="51" t="e">
        <f>Ticker0001_Exchange_Sheet!#REF!-#REF!</f>
      </c>
      <c r="BH139" s="51" t="e">
        <f>Ticker0001_Exchange_Sheet!#REF!-#REF!</f>
      </c>
      <c r="BI139" s="51" t="e">
        <f>Ticker0001_Exchange_Sheet!#REF!-#REF!</f>
      </c>
      <c r="BJ139" s="51" t="e">
        <f>Ticker0001_Exchange_Sheet!#REF!-#REF!</f>
      </c>
      <c r="BK139" s="51" t="e">
        <f>Ticker0001_Exchange_Sheet!#REF!-#REF!</f>
      </c>
      <c r="BL139" s="51" t="e">
        <f>Ticker0001_Exchange_Sheet!#REF!-#REF!</f>
      </c>
      <c r="BM139" s="51" t="e">
        <f>Ticker0001_Exchange_Sheet!#REF!-#REF!</f>
      </c>
      <c r="BN139" s="51" t="e">
        <f>Ticker0001_Exchange_Sheet!#REF!-#REF!</f>
      </c>
      <c r="BO139" s="51" t="e">
        <f>Ticker0001_Exchange_Sheet!#REF!-#REF!</f>
      </c>
      <c r="BP139" s="51" t="e">
        <f>Ticker0001_Exchange_Sheet!#REF!-#REF!</f>
      </c>
      <c r="BQ139" s="51" t="e">
        <f>Ticker0001_Exchange_Sheet!#REF!-#REF!</f>
      </c>
      <c r="BR139" s="51" t="e">
        <f>Ticker0001_Exchange_Sheet!#REF!-#REF!</f>
      </c>
      <c r="BS139" s="51" t="e">
        <f>Ticker0001_Exchange_Sheet!#REF!-#REF!</f>
      </c>
      <c r="BT139" s="51" t="e">
        <f>Ticker0001_Exchange_Sheet!#REF!-#REF!</f>
      </c>
      <c r="BU139" s="51" t="e">
        <f>Ticker0001_Exchange_Sheet!#REF!-#REF!</f>
      </c>
      <c r="BV139" s="51" t="e">
        <f>Ticker0001_Exchange_Sheet!#REF!-#REF!</f>
      </c>
      <c r="BW139" s="51" t="e">
        <f>Ticker0001_Exchange_Sheet!#REF!-#REF!</f>
      </c>
      <c r="BX139" s="51" t="e">
        <f>Ticker0001_Exchange_Sheet!#REF!-#REF!</f>
      </c>
      <c r="BY139" s="51" t="e">
        <f>Ticker0001_Exchange_Sheet!#REF!-#REF!</f>
      </c>
      <c r="BZ139" s="51" t="e">
        <f>Ticker0001_Exchange_Sheet!#REF!-#REF!</f>
      </c>
      <c r="CA139" s="51" t="e">
        <f>Ticker0001_Exchange_Sheet!#REF!-#REF!</f>
      </c>
      <c r="CB139" s="51" t="e">
        <f>Ticker0001_Exchange_Sheet!#REF!-#REF!</f>
      </c>
      <c r="CC139" s="51" t="e">
        <f>Ticker0001_Exchange_Sheet!#REF!-#REF!</f>
      </c>
      <c r="CD139" s="51" t="e">
        <f>Ticker0001_Exchange_Sheet!#REF!-#REF!</f>
      </c>
      <c r="CE139" s="51" t="e">
        <f>Ticker0001_Exchange_Sheet!#REF!-#REF!</f>
      </c>
      <c r="CF139" s="51" t="e">
        <f>Ticker0001_Exchange_Sheet!#REF!-#REF!</f>
      </c>
    </row>
    <row r="140" spans="6:84">
      <c r="F140" s="51" t="e">
        <f>Ticker0001_Exchange_Sheet!F176-#REF!</f>
      </c>
      <c r="G140" s="51" t="e">
        <f>Ticker0001_Exchange_Sheet!G176-#REF!</f>
      </c>
      <c r="H140" s="51" t="e">
        <f>Ticker0001_Exchange_Sheet!H176-#REF!</f>
      </c>
      <c r="I140" s="51" t="e">
        <f>Ticker0001_Exchange_Sheet!I176-#REF!</f>
      </c>
      <c r="J140" s="51" t="e">
        <f>Ticker0001_Exchange_Sheet!J176-#REF!</f>
      </c>
      <c r="K140" s="51" t="e">
        <f>Ticker0001_Exchange_Sheet!K176-#REF!</f>
      </c>
      <c r="L140" s="51" t="e">
        <f>Ticker0001_Exchange_Sheet!L176-#REF!</f>
      </c>
      <c r="M140" s="51" t="e">
        <f>Ticker0001_Exchange_Sheet!M176-#REF!</f>
      </c>
      <c r="N140" s="51" t="e">
        <f>Ticker0001_Exchange_Sheet!N176-#REF!</f>
      </c>
      <c r="O140" s="51" t="e">
        <f>Ticker0001_Exchange_Sheet!O176-#REF!</f>
      </c>
      <c r="P140" s="51" t="e">
        <f>Ticker0001_Exchange_Sheet!P176-#REF!</f>
      </c>
      <c r="Q140" s="51" t="e">
        <f>Ticker0001_Exchange_Sheet!Q176-#REF!</f>
      </c>
      <c r="R140" s="51" t="e">
        <f>Ticker0001_Exchange_Sheet!R176-#REF!</f>
      </c>
      <c r="S140" s="51" t="e">
        <f>Ticker0001_Exchange_Sheet!S176-#REF!</f>
      </c>
      <c r="T140" s="51" t="e">
        <f>Ticker0001_Exchange_Sheet!T176-#REF!</f>
      </c>
      <c r="U140" s="51" t="e">
        <f>Ticker0001_Exchange_Sheet!U176-#REF!</f>
      </c>
      <c r="V140" s="51" t="e">
        <f>Ticker0001_Exchange_Sheet!V176-#REF!</f>
      </c>
      <c r="W140" s="51" t="e">
        <f>Ticker0001_Exchange_Sheet!W176-#REF!</f>
      </c>
      <c r="X140" s="51" t="e">
        <f>Ticker0001_Exchange_Sheet!AK176-#REF!</f>
      </c>
      <c r="Y140" s="51" t="e">
        <f>Ticker0001_Exchange_Sheet!AX176-#REF!</f>
      </c>
      <c r="Z140" s="51" t="e">
        <f>Ticker0001_Exchange_Sheet!AY176-#REF!</f>
      </c>
      <c r="AA140" s="51" t="e">
        <f>Ticker0001_Exchange_Sheet!AZ176-#REF!</f>
      </c>
      <c r="AB140" s="51" t="e">
        <f>Ticker0001_Exchange_Sheet!BA176-#REF!</f>
      </c>
      <c r="AC140" s="51" t="e">
        <f>Ticker0001_Exchange_Sheet!BB176-#REF!</f>
      </c>
      <c r="AD140" s="51" t="e">
        <f>Ticker0001_Exchange_Sheet!BC176-#REF!</f>
      </c>
      <c r="AE140" s="51" t="e">
        <f>Ticker0001_Exchange_Sheet!BD176-#REF!</f>
      </c>
      <c r="AF140" s="51" t="e">
        <f>Ticker0001_Exchange_Sheet!BE176-#REF!</f>
      </c>
      <c r="AG140" s="51" t="e">
        <f>Ticker0001_Exchange_Sheet!BF176-#REF!</f>
      </c>
      <c r="AH140" s="51" t="e">
        <f>Ticker0001_Exchange_Sheet!BG176-#REF!</f>
      </c>
      <c r="AI140" s="51" t="e">
        <f>Ticker0001_Exchange_Sheet!BH176-#REF!</f>
      </c>
      <c r="AJ140" s="51" t="e">
        <f>Ticker0001_Exchange_Sheet!BI176-#REF!</f>
      </c>
      <c r="AK140" s="51" t="e">
        <f>Ticker0001_Exchange_Sheet!BJ176-#REF!</f>
      </c>
      <c r="AL140" s="51" t="e">
        <f>Ticker0001_Exchange_Sheet!BK176-#REF!</f>
      </c>
      <c r="AM140" s="51" t="e">
        <f>Ticker0001_Exchange_Sheet!BL176-#REF!</f>
      </c>
      <c r="AN140" s="51" t="e">
        <f>Ticker0001_Exchange_Sheet!BM176-#REF!</f>
      </c>
      <c r="AO140" s="51" t="e">
        <f>Ticker0001_Exchange_Sheet!BN176-#REF!</f>
      </c>
      <c r="AP140" s="51" t="e">
        <f>Ticker0001_Exchange_Sheet!BO176-#REF!</f>
      </c>
      <c r="AQ140" s="51" t="e">
        <f>Ticker0001_Exchange_Sheet!BP176-#REF!</f>
      </c>
      <c r="AR140" s="51" t="e">
        <f>Ticker0001_Exchange_Sheet!BQ176-#REF!</f>
      </c>
      <c r="AS140" s="51" t="e">
        <f>Ticker0001_Exchange_Sheet!BR176-#REF!</f>
      </c>
      <c r="AT140" s="51" t="e">
        <f>Ticker0001_Exchange_Sheet!BS176-#REF!</f>
      </c>
      <c r="AU140" s="51" t="e">
        <f>Ticker0001_Exchange_Sheet!BT176-#REF!</f>
      </c>
      <c r="AV140" s="51" t="e">
        <f>Ticker0001_Exchange_Sheet!BU176-#REF!</f>
      </c>
      <c r="AW140" s="51" t="e">
        <f>Ticker0001_Exchange_Sheet!BV176-#REF!</f>
      </c>
      <c r="AX140" s="51" t="e">
        <f>Ticker0001_Exchange_Sheet!BW176-#REF!</f>
      </c>
      <c r="AY140" s="51" t="e">
        <f>Ticker0001_Exchange_Sheet!BX176-#REF!</f>
      </c>
      <c r="AZ140" s="51" t="e">
        <f>Ticker0001_Exchange_Sheet!BY176-#REF!</f>
      </c>
      <c r="BA140" s="51" t="e">
        <f>Ticker0001_Exchange_Sheet!BZ176-#REF!</f>
      </c>
      <c r="BB140" s="51" t="e">
        <f>Ticker0001_Exchange_Sheet!CA176-#REF!</f>
      </c>
      <c r="BC140" s="51" t="e">
        <f>Ticker0001_Exchange_Sheet!CB176-#REF!</f>
      </c>
      <c r="BD140" s="51" t="e">
        <f>Ticker0001_Exchange_Sheet!CC176-#REF!</f>
      </c>
      <c r="BE140" s="51" t="e">
        <f>Ticker0001_Exchange_Sheet!CD176-#REF!</f>
      </c>
      <c r="BF140" s="51" t="e">
        <f>Ticker0001_Exchange_Sheet!CE176-#REF!</f>
      </c>
      <c r="BG140" s="51" t="e">
        <f>Ticker0001_Exchange_Sheet!CF176-#REF!</f>
      </c>
      <c r="BH140" s="51" t="e">
        <f>Ticker0001_Exchange_Sheet!CG176-#REF!</f>
      </c>
      <c r="BI140" s="51" t="e">
        <f>Ticker0001_Exchange_Sheet!CH176-#REF!</f>
      </c>
      <c r="BJ140" s="51" t="e">
        <f>Ticker0001_Exchange_Sheet!CI176-#REF!</f>
      </c>
      <c r="BK140" s="51" t="e">
        <f>Ticker0001_Exchange_Sheet!CJ176-#REF!</f>
      </c>
      <c r="BL140" s="51" t="e">
        <f>Ticker0001_Exchange_Sheet!CK176-#REF!</f>
      </c>
      <c r="BM140" s="51" t="e">
        <f>Ticker0001_Exchange_Sheet!CL176-#REF!</f>
      </c>
      <c r="BN140" s="51" t="e">
        <f>Ticker0001_Exchange_Sheet!CM176-#REF!</f>
      </c>
      <c r="BO140" s="51" t="e">
        <f>Ticker0001_Exchange_Sheet!CN176-#REF!</f>
      </c>
      <c r="BP140" s="51" t="e">
        <f>Ticker0001_Exchange_Sheet!CO176-#REF!</f>
      </c>
      <c r="BQ140" s="51" t="e">
        <f>Ticker0001_Exchange_Sheet!CP176-#REF!</f>
      </c>
      <c r="BR140" s="51" t="e">
        <f>Ticker0001_Exchange_Sheet!CQ176-#REF!</f>
      </c>
      <c r="BS140" s="51" t="e">
        <f>Ticker0001_Exchange_Sheet!CR176-#REF!</f>
      </c>
      <c r="BT140" s="51" t="e">
        <f>Ticker0001_Exchange_Sheet!CS176-#REF!</f>
      </c>
      <c r="BU140" s="51" t="e">
        <f>Ticker0001_Exchange_Sheet!CT176-#REF!</f>
      </c>
      <c r="BV140" s="51" t="e">
        <f>Ticker0001_Exchange_Sheet!CU176-#REF!</f>
      </c>
      <c r="BW140" s="51" t="e">
        <f>Ticker0001_Exchange_Sheet!CV176-#REF!</f>
      </c>
      <c r="BX140" s="51" t="e">
        <f>Ticker0001_Exchange_Sheet!CW176-#REF!</f>
      </c>
      <c r="BY140" s="51" t="e">
        <f>Ticker0001_Exchange_Sheet!CX176-#REF!</f>
      </c>
      <c r="BZ140" s="51" t="e">
        <f>Ticker0001_Exchange_Sheet!CY176-#REF!</f>
      </c>
      <c r="CA140" s="51" t="e">
        <f>Ticker0001_Exchange_Sheet!CZ176-#REF!</f>
      </c>
      <c r="CB140" s="51" t="e">
        <f>Ticker0001_Exchange_Sheet!DA176-#REF!</f>
      </c>
      <c r="CC140" s="51" t="e">
        <f>Ticker0001_Exchange_Sheet!DB176-#REF!</f>
      </c>
      <c r="CD140" s="51" t="e">
        <f>Ticker0001_Exchange_Sheet!DC176-#REF!</f>
      </c>
      <c r="CE140" s="51" t="e">
        <f>Ticker0001_Exchange_Sheet!DD176-#REF!</f>
      </c>
      <c r="CF140" s="51" t="e">
        <f>Ticker0001_Exchange_Sheet!DE176-#REF!</f>
      </c>
    </row>
    <row r="141" spans="6:84">
      <c r="F141" s="51" t="e">
        <f>Ticker0001_Exchange_Sheet!F181-#REF!</f>
      </c>
      <c r="G141" s="51" t="e">
        <f>Ticker0001_Exchange_Sheet!G181-#REF!</f>
      </c>
      <c r="H141" s="51" t="e">
        <f>Ticker0001_Exchange_Sheet!H181-#REF!</f>
      </c>
      <c r="I141" s="51" t="e">
        <f>Ticker0001_Exchange_Sheet!I181-#REF!</f>
      </c>
      <c r="J141" s="51" t="e">
        <f>Ticker0001_Exchange_Sheet!J181-#REF!</f>
      </c>
      <c r="K141" s="51" t="e">
        <f>Ticker0001_Exchange_Sheet!K181-#REF!</f>
      </c>
      <c r="L141" s="51" t="e">
        <f>Ticker0001_Exchange_Sheet!L181-#REF!</f>
      </c>
      <c r="M141" s="51" t="e">
        <f>Ticker0001_Exchange_Sheet!M181-#REF!</f>
      </c>
      <c r="N141" s="51" t="e">
        <f>Ticker0001_Exchange_Sheet!N181-#REF!</f>
      </c>
      <c r="O141" s="51" t="e">
        <f>Ticker0001_Exchange_Sheet!O181-#REF!</f>
      </c>
      <c r="P141" s="51" t="e">
        <f>Ticker0001_Exchange_Sheet!P181-#REF!</f>
      </c>
      <c r="Q141" s="51" t="e">
        <f>Ticker0001_Exchange_Sheet!Q181-#REF!</f>
      </c>
      <c r="R141" s="51" t="e">
        <f>Ticker0001_Exchange_Sheet!R181-#REF!</f>
      </c>
      <c r="S141" s="51" t="e">
        <f>Ticker0001_Exchange_Sheet!S181-#REF!</f>
      </c>
      <c r="T141" s="51" t="e">
        <f>Ticker0001_Exchange_Sheet!T181-#REF!</f>
      </c>
      <c r="U141" s="51" t="e">
        <f>Ticker0001_Exchange_Sheet!U181-#REF!</f>
      </c>
      <c r="V141" s="51" t="e">
        <f>Ticker0001_Exchange_Sheet!V181-#REF!</f>
      </c>
      <c r="W141" s="51" t="e">
        <f>Ticker0001_Exchange_Sheet!W181-#REF!</f>
      </c>
      <c r="X141" s="51" t="e">
        <f>Ticker0001_Exchange_Sheet!AK181-#REF!</f>
      </c>
      <c r="Y141" s="51" t="e">
        <f>Ticker0001_Exchange_Sheet!AX181-#REF!</f>
      </c>
      <c r="Z141" s="51" t="e">
        <f>Ticker0001_Exchange_Sheet!AY181-#REF!</f>
      </c>
      <c r="AA141" s="51" t="e">
        <f>Ticker0001_Exchange_Sheet!AZ181-#REF!</f>
      </c>
      <c r="AB141" s="51" t="e">
        <f>Ticker0001_Exchange_Sheet!BA181-#REF!</f>
      </c>
      <c r="AC141" s="51" t="e">
        <f>Ticker0001_Exchange_Sheet!BB181-#REF!</f>
      </c>
      <c r="AD141" s="51" t="e">
        <f>Ticker0001_Exchange_Sheet!BC181-#REF!</f>
      </c>
      <c r="AE141" s="51" t="e">
        <f>Ticker0001_Exchange_Sheet!BD181-#REF!</f>
      </c>
      <c r="AF141" s="51" t="e">
        <f>Ticker0001_Exchange_Sheet!BE181-#REF!</f>
      </c>
      <c r="AG141" s="51" t="e">
        <f>Ticker0001_Exchange_Sheet!BF181-#REF!</f>
      </c>
      <c r="AH141" s="51" t="e">
        <f>Ticker0001_Exchange_Sheet!BG181-#REF!</f>
      </c>
      <c r="AI141" s="51" t="e">
        <f>Ticker0001_Exchange_Sheet!BH181-#REF!</f>
      </c>
      <c r="AJ141" s="51" t="e">
        <f>Ticker0001_Exchange_Sheet!BI181-#REF!</f>
      </c>
      <c r="AK141" s="51" t="e">
        <f>Ticker0001_Exchange_Sheet!BJ181-#REF!</f>
      </c>
      <c r="AL141" s="51" t="e">
        <f>Ticker0001_Exchange_Sheet!BK181-#REF!</f>
      </c>
      <c r="AM141" s="51" t="e">
        <f>Ticker0001_Exchange_Sheet!BL181-#REF!</f>
      </c>
      <c r="AN141" s="51" t="e">
        <f>Ticker0001_Exchange_Sheet!BM181-#REF!</f>
      </c>
      <c r="AO141" s="51" t="e">
        <f>Ticker0001_Exchange_Sheet!BN181-#REF!</f>
      </c>
      <c r="AP141" s="51" t="e">
        <f>Ticker0001_Exchange_Sheet!BO181-#REF!</f>
      </c>
      <c r="AQ141" s="51" t="e">
        <f>Ticker0001_Exchange_Sheet!BP181-#REF!</f>
      </c>
      <c r="AR141" s="51" t="e">
        <f>Ticker0001_Exchange_Sheet!BQ181-#REF!</f>
      </c>
      <c r="AS141" s="51" t="e">
        <f>Ticker0001_Exchange_Sheet!BR181-#REF!</f>
      </c>
      <c r="AT141" s="51" t="e">
        <f>Ticker0001_Exchange_Sheet!BS181-#REF!</f>
      </c>
      <c r="AU141" s="51" t="e">
        <f>Ticker0001_Exchange_Sheet!BT181-#REF!</f>
      </c>
      <c r="AV141" s="51" t="e">
        <f>Ticker0001_Exchange_Sheet!BU181-#REF!</f>
      </c>
      <c r="AW141" s="51" t="e">
        <f>Ticker0001_Exchange_Sheet!BV181-#REF!</f>
      </c>
      <c r="AX141" s="51" t="e">
        <f>Ticker0001_Exchange_Sheet!BW181-#REF!</f>
      </c>
      <c r="AY141" s="51" t="e">
        <f>Ticker0001_Exchange_Sheet!BX181-#REF!</f>
      </c>
      <c r="AZ141" s="51" t="e">
        <f>Ticker0001_Exchange_Sheet!BY181-#REF!</f>
      </c>
      <c r="BA141" s="51" t="e">
        <f>Ticker0001_Exchange_Sheet!BZ181-#REF!</f>
      </c>
      <c r="BB141" s="51" t="e">
        <f>Ticker0001_Exchange_Sheet!CA181-#REF!</f>
      </c>
      <c r="BC141" s="51" t="e">
        <f>Ticker0001_Exchange_Sheet!CB181-#REF!</f>
      </c>
      <c r="BD141" s="51" t="e">
        <f>Ticker0001_Exchange_Sheet!CC181-#REF!</f>
      </c>
      <c r="BE141" s="51" t="e">
        <f>Ticker0001_Exchange_Sheet!CD181-#REF!</f>
      </c>
      <c r="BF141" s="51" t="e">
        <f>Ticker0001_Exchange_Sheet!CE181-#REF!</f>
      </c>
      <c r="BG141" s="51" t="e">
        <f>Ticker0001_Exchange_Sheet!CF181-#REF!</f>
      </c>
      <c r="BH141" s="51" t="e">
        <f>Ticker0001_Exchange_Sheet!CG181-#REF!</f>
      </c>
      <c r="BI141" s="51" t="e">
        <f>Ticker0001_Exchange_Sheet!CH181-#REF!</f>
      </c>
      <c r="BJ141" s="51" t="e">
        <f>Ticker0001_Exchange_Sheet!CI181-#REF!</f>
      </c>
      <c r="BK141" s="51" t="e">
        <f>Ticker0001_Exchange_Sheet!CJ181-#REF!</f>
      </c>
      <c r="BL141" s="51" t="e">
        <f>Ticker0001_Exchange_Sheet!CK181-#REF!</f>
      </c>
      <c r="BM141" s="51" t="e">
        <f>Ticker0001_Exchange_Sheet!CL181-#REF!</f>
      </c>
      <c r="BN141" s="51" t="e">
        <f>Ticker0001_Exchange_Sheet!CM181-#REF!</f>
      </c>
      <c r="BO141" s="51" t="e">
        <f>Ticker0001_Exchange_Sheet!CN181-#REF!</f>
      </c>
      <c r="BP141" s="51" t="e">
        <f>Ticker0001_Exchange_Sheet!CO181-#REF!</f>
      </c>
      <c r="BQ141" s="51" t="e">
        <f>Ticker0001_Exchange_Sheet!CP181-#REF!</f>
      </c>
      <c r="BR141" s="51" t="e">
        <f>Ticker0001_Exchange_Sheet!CQ181-#REF!</f>
      </c>
      <c r="BS141" s="51" t="e">
        <f>Ticker0001_Exchange_Sheet!CR181-#REF!</f>
      </c>
      <c r="BT141" s="51" t="e">
        <f>Ticker0001_Exchange_Sheet!CS181-#REF!</f>
      </c>
      <c r="BU141" s="51" t="e">
        <f>Ticker0001_Exchange_Sheet!CT181-#REF!</f>
      </c>
      <c r="BV141" s="51" t="e">
        <f>Ticker0001_Exchange_Sheet!CU181-#REF!</f>
      </c>
      <c r="BW141" s="51" t="e">
        <f>Ticker0001_Exchange_Sheet!CV181-#REF!</f>
      </c>
      <c r="BX141" s="51" t="e">
        <f>Ticker0001_Exchange_Sheet!CW181-#REF!</f>
      </c>
      <c r="BY141" s="51" t="e">
        <f>Ticker0001_Exchange_Sheet!CX181-#REF!</f>
      </c>
      <c r="BZ141" s="51" t="e">
        <f>Ticker0001_Exchange_Sheet!CY181-#REF!</f>
      </c>
      <c r="CA141" s="51" t="e">
        <f>Ticker0001_Exchange_Sheet!CZ181-#REF!</f>
      </c>
      <c r="CB141" s="51" t="e">
        <f>Ticker0001_Exchange_Sheet!DA181-#REF!</f>
      </c>
      <c r="CC141" s="51" t="e">
        <f>Ticker0001_Exchange_Sheet!DB181-#REF!</f>
      </c>
      <c r="CD141" s="51" t="e">
        <f>Ticker0001_Exchange_Sheet!DC181-#REF!</f>
      </c>
      <c r="CE141" s="51" t="e">
        <f>Ticker0001_Exchange_Sheet!DD181-#REF!</f>
      </c>
      <c r="CF141" s="51" t="e">
        <f>Ticker0001_Exchange_Sheet!DE181-#REF!</f>
      </c>
    </row>
    <row r="142" spans="6:84">
      <c r="F142" s="51" t="e">
        <f>Ticker0001_Exchange_Sheet!F182-#REF!</f>
      </c>
      <c r="G142" s="51" t="e">
        <f>Ticker0001_Exchange_Sheet!G182-#REF!</f>
      </c>
      <c r="H142" s="51" t="e">
        <f>Ticker0001_Exchange_Sheet!H182-#REF!</f>
      </c>
      <c r="I142" s="51" t="e">
        <f>Ticker0001_Exchange_Sheet!I182-#REF!</f>
      </c>
      <c r="J142" s="51" t="e">
        <f>Ticker0001_Exchange_Sheet!J182-#REF!</f>
      </c>
      <c r="K142" s="51" t="e">
        <f>Ticker0001_Exchange_Sheet!K182-#REF!</f>
      </c>
      <c r="L142" s="51" t="e">
        <f>Ticker0001_Exchange_Sheet!L182-#REF!</f>
      </c>
      <c r="M142" s="51" t="e">
        <f>Ticker0001_Exchange_Sheet!M182-#REF!</f>
      </c>
      <c r="N142" s="51" t="e">
        <f>Ticker0001_Exchange_Sheet!N182-#REF!</f>
      </c>
      <c r="O142" s="51" t="e">
        <f>Ticker0001_Exchange_Sheet!O182-#REF!</f>
      </c>
      <c r="P142" s="51" t="e">
        <f>Ticker0001_Exchange_Sheet!P182-#REF!</f>
      </c>
      <c r="Q142" s="51" t="e">
        <f>Ticker0001_Exchange_Sheet!Q182-#REF!</f>
      </c>
      <c r="R142" s="51" t="e">
        <f>Ticker0001_Exchange_Sheet!R182-#REF!</f>
      </c>
      <c r="S142" s="51" t="e">
        <f>Ticker0001_Exchange_Sheet!S182-#REF!</f>
      </c>
      <c r="T142" s="51" t="e">
        <f>Ticker0001_Exchange_Sheet!T182-#REF!</f>
      </c>
      <c r="U142" s="51" t="e">
        <f>Ticker0001_Exchange_Sheet!U182-#REF!</f>
      </c>
      <c r="V142" s="51" t="e">
        <f>Ticker0001_Exchange_Sheet!V182-#REF!</f>
      </c>
      <c r="W142" s="51" t="e">
        <f>Ticker0001_Exchange_Sheet!W182-#REF!</f>
      </c>
      <c r="X142" s="51" t="e">
        <f>Ticker0001_Exchange_Sheet!AK182-#REF!</f>
      </c>
      <c r="Y142" s="51" t="e">
        <f>Ticker0001_Exchange_Sheet!AX182-#REF!</f>
      </c>
      <c r="Z142" s="51" t="e">
        <f>Ticker0001_Exchange_Sheet!AY182-#REF!</f>
      </c>
      <c r="AA142" s="51" t="e">
        <f>Ticker0001_Exchange_Sheet!AZ182-#REF!</f>
      </c>
      <c r="AB142" s="51" t="e">
        <f>Ticker0001_Exchange_Sheet!BA182-#REF!</f>
      </c>
      <c r="AC142" s="51" t="e">
        <f>Ticker0001_Exchange_Sheet!BB182-#REF!</f>
      </c>
      <c r="AD142" s="51" t="e">
        <f>Ticker0001_Exchange_Sheet!BC182-#REF!</f>
      </c>
      <c r="AE142" s="51" t="e">
        <f>Ticker0001_Exchange_Sheet!BD182-#REF!</f>
      </c>
      <c r="AF142" s="51" t="e">
        <f>Ticker0001_Exchange_Sheet!BE182-#REF!</f>
      </c>
      <c r="AG142" s="51" t="e">
        <f>Ticker0001_Exchange_Sheet!BF182-#REF!</f>
      </c>
      <c r="AH142" s="51" t="e">
        <f>Ticker0001_Exchange_Sheet!BG182-#REF!</f>
      </c>
      <c r="AI142" s="51" t="e">
        <f>Ticker0001_Exchange_Sheet!BH182-#REF!</f>
      </c>
      <c r="AJ142" s="51" t="e">
        <f>Ticker0001_Exchange_Sheet!BI182-#REF!</f>
      </c>
      <c r="AK142" s="51" t="e">
        <f>Ticker0001_Exchange_Sheet!BJ182-#REF!</f>
      </c>
      <c r="AL142" s="51" t="e">
        <f>Ticker0001_Exchange_Sheet!BK182-#REF!</f>
      </c>
      <c r="AM142" s="51" t="e">
        <f>Ticker0001_Exchange_Sheet!BL182-#REF!</f>
      </c>
      <c r="AN142" s="51" t="e">
        <f>Ticker0001_Exchange_Sheet!BM182-#REF!</f>
      </c>
      <c r="AO142" s="51" t="e">
        <f>Ticker0001_Exchange_Sheet!BN182-#REF!</f>
      </c>
      <c r="AP142" s="51" t="e">
        <f>Ticker0001_Exchange_Sheet!BO182-#REF!</f>
      </c>
      <c r="AQ142" s="51" t="e">
        <f>Ticker0001_Exchange_Sheet!BP182-#REF!</f>
      </c>
      <c r="AR142" s="51" t="e">
        <f>Ticker0001_Exchange_Sheet!BQ182-#REF!</f>
      </c>
      <c r="AS142" s="51" t="e">
        <f>Ticker0001_Exchange_Sheet!BR182-#REF!</f>
      </c>
      <c r="AT142" s="51" t="e">
        <f>Ticker0001_Exchange_Sheet!BS182-#REF!</f>
      </c>
      <c r="AU142" s="51" t="e">
        <f>Ticker0001_Exchange_Sheet!BT182-#REF!</f>
      </c>
      <c r="AV142" s="51" t="e">
        <f>Ticker0001_Exchange_Sheet!BU182-#REF!</f>
      </c>
      <c r="AW142" s="51" t="e">
        <f>Ticker0001_Exchange_Sheet!BV182-#REF!</f>
      </c>
      <c r="AX142" s="51" t="e">
        <f>Ticker0001_Exchange_Sheet!BW182-#REF!</f>
      </c>
      <c r="AY142" s="51" t="e">
        <f>Ticker0001_Exchange_Sheet!BX182-#REF!</f>
      </c>
      <c r="AZ142" s="51" t="e">
        <f>Ticker0001_Exchange_Sheet!BY182-#REF!</f>
      </c>
      <c r="BA142" s="51" t="e">
        <f>Ticker0001_Exchange_Sheet!BZ182-#REF!</f>
      </c>
      <c r="BB142" s="51" t="e">
        <f>Ticker0001_Exchange_Sheet!CA182-#REF!</f>
      </c>
      <c r="BC142" s="51" t="e">
        <f>Ticker0001_Exchange_Sheet!CB182-#REF!</f>
      </c>
      <c r="BD142" s="51" t="e">
        <f>Ticker0001_Exchange_Sheet!CC182-#REF!</f>
      </c>
      <c r="BE142" s="51" t="e">
        <f>Ticker0001_Exchange_Sheet!CD182-#REF!</f>
      </c>
      <c r="BF142" s="51" t="e">
        <f>Ticker0001_Exchange_Sheet!CE182-#REF!</f>
      </c>
      <c r="BG142" s="51" t="e">
        <f>Ticker0001_Exchange_Sheet!CF182-#REF!</f>
      </c>
      <c r="BH142" s="51" t="e">
        <f>Ticker0001_Exchange_Sheet!CG182-#REF!</f>
      </c>
      <c r="BI142" s="51" t="e">
        <f>Ticker0001_Exchange_Sheet!CH182-#REF!</f>
      </c>
      <c r="BJ142" s="51" t="e">
        <f>Ticker0001_Exchange_Sheet!CI182-#REF!</f>
      </c>
      <c r="BK142" s="51" t="e">
        <f>Ticker0001_Exchange_Sheet!CJ182-#REF!</f>
      </c>
      <c r="BL142" s="51" t="e">
        <f>Ticker0001_Exchange_Sheet!CK182-#REF!</f>
      </c>
      <c r="BM142" s="51" t="e">
        <f>Ticker0001_Exchange_Sheet!CL182-#REF!</f>
      </c>
      <c r="BN142" s="51" t="e">
        <f>Ticker0001_Exchange_Sheet!CM182-#REF!</f>
      </c>
      <c r="BO142" s="51" t="e">
        <f>Ticker0001_Exchange_Sheet!CN182-#REF!</f>
      </c>
      <c r="BP142" s="51" t="e">
        <f>Ticker0001_Exchange_Sheet!CO182-#REF!</f>
      </c>
      <c r="BQ142" s="51" t="e">
        <f>Ticker0001_Exchange_Sheet!CP182-#REF!</f>
      </c>
      <c r="BR142" s="51" t="e">
        <f>Ticker0001_Exchange_Sheet!CQ182-#REF!</f>
      </c>
      <c r="BS142" s="51" t="e">
        <f>Ticker0001_Exchange_Sheet!CR182-#REF!</f>
      </c>
      <c r="BT142" s="51" t="e">
        <f>Ticker0001_Exchange_Sheet!CS182-#REF!</f>
      </c>
      <c r="BU142" s="51" t="e">
        <f>Ticker0001_Exchange_Sheet!CT182-#REF!</f>
      </c>
      <c r="BV142" s="51" t="e">
        <f>Ticker0001_Exchange_Sheet!CU182-#REF!</f>
      </c>
      <c r="BW142" s="51" t="e">
        <f>Ticker0001_Exchange_Sheet!CV182-#REF!</f>
      </c>
      <c r="BX142" s="51" t="e">
        <f>Ticker0001_Exchange_Sheet!CW182-#REF!</f>
      </c>
      <c r="BY142" s="51" t="e">
        <f>Ticker0001_Exchange_Sheet!CX182-#REF!</f>
      </c>
      <c r="BZ142" s="51" t="e">
        <f>Ticker0001_Exchange_Sheet!CY182-#REF!</f>
      </c>
      <c r="CA142" s="51" t="e">
        <f>Ticker0001_Exchange_Sheet!CZ182-#REF!</f>
      </c>
      <c r="CB142" s="51" t="e">
        <f>Ticker0001_Exchange_Sheet!DA182-#REF!</f>
      </c>
      <c r="CC142" s="51" t="e">
        <f>Ticker0001_Exchange_Sheet!DB182-#REF!</f>
      </c>
      <c r="CD142" s="51" t="e">
        <f>Ticker0001_Exchange_Sheet!DC182-#REF!</f>
      </c>
      <c r="CE142" s="51" t="e">
        <f>Ticker0001_Exchange_Sheet!DD182-#REF!</f>
      </c>
      <c r="CF142" s="51" t="e">
        <f>Ticker0001_Exchange_Sheet!DE182-#REF!</f>
      </c>
    </row>
    <row r="143" spans="6:84">
      <c r="F143" s="51" t="e">
        <f>Ticker0001_Exchange_Sheet!F183-#REF!</f>
      </c>
      <c r="G143" s="51" t="e">
        <f>Ticker0001_Exchange_Sheet!G183-#REF!</f>
      </c>
      <c r="H143" s="51" t="e">
        <f>Ticker0001_Exchange_Sheet!H183-#REF!</f>
      </c>
      <c r="I143" s="51" t="e">
        <f>Ticker0001_Exchange_Sheet!I183-#REF!</f>
      </c>
      <c r="J143" s="51" t="e">
        <f>Ticker0001_Exchange_Sheet!J183-#REF!</f>
      </c>
      <c r="K143" s="51" t="e">
        <f>Ticker0001_Exchange_Sheet!K183-#REF!</f>
      </c>
      <c r="L143" s="51" t="e">
        <f>Ticker0001_Exchange_Sheet!L183-#REF!</f>
      </c>
      <c r="M143" s="51" t="e">
        <f>Ticker0001_Exchange_Sheet!M183-#REF!</f>
      </c>
      <c r="N143" s="51" t="e">
        <f>Ticker0001_Exchange_Sheet!N183-#REF!</f>
      </c>
      <c r="O143" s="51" t="e">
        <f>Ticker0001_Exchange_Sheet!O183-#REF!</f>
      </c>
      <c r="P143" s="51" t="e">
        <f>Ticker0001_Exchange_Sheet!P183-#REF!</f>
      </c>
      <c r="Q143" s="51" t="e">
        <f>Ticker0001_Exchange_Sheet!Q183-#REF!</f>
      </c>
      <c r="R143" s="51" t="e">
        <f>Ticker0001_Exchange_Sheet!R183-#REF!</f>
      </c>
      <c r="S143" s="51" t="e">
        <f>Ticker0001_Exchange_Sheet!S183-#REF!</f>
      </c>
      <c r="T143" s="51" t="e">
        <f>Ticker0001_Exchange_Sheet!T183-#REF!</f>
      </c>
      <c r="U143" s="51" t="e">
        <f>Ticker0001_Exchange_Sheet!U183-#REF!</f>
      </c>
      <c r="V143" s="51" t="e">
        <f>Ticker0001_Exchange_Sheet!V183-#REF!</f>
      </c>
      <c r="W143" s="51" t="e">
        <f>Ticker0001_Exchange_Sheet!W183-#REF!</f>
      </c>
      <c r="X143" s="51" t="e">
        <f>Ticker0001_Exchange_Sheet!AK183-#REF!</f>
      </c>
      <c r="Y143" s="51" t="e">
        <f>Ticker0001_Exchange_Sheet!AX183-#REF!</f>
      </c>
      <c r="Z143" s="51" t="e">
        <f>Ticker0001_Exchange_Sheet!AY183-#REF!</f>
      </c>
      <c r="AA143" s="51" t="e">
        <f>Ticker0001_Exchange_Sheet!AZ183-#REF!</f>
      </c>
      <c r="AB143" s="51" t="e">
        <f>Ticker0001_Exchange_Sheet!BA183-#REF!</f>
      </c>
      <c r="AC143" s="51" t="e">
        <f>Ticker0001_Exchange_Sheet!BB183-#REF!</f>
      </c>
      <c r="AD143" s="51" t="e">
        <f>Ticker0001_Exchange_Sheet!BC183-#REF!</f>
      </c>
      <c r="AE143" s="51" t="e">
        <f>Ticker0001_Exchange_Sheet!BD183-#REF!</f>
      </c>
      <c r="AF143" s="51" t="e">
        <f>Ticker0001_Exchange_Sheet!BE183-#REF!</f>
      </c>
      <c r="AG143" s="51" t="e">
        <f>Ticker0001_Exchange_Sheet!BF183-#REF!</f>
      </c>
      <c r="AH143" s="51" t="e">
        <f>Ticker0001_Exchange_Sheet!BG183-#REF!</f>
      </c>
      <c r="AI143" s="51" t="e">
        <f>Ticker0001_Exchange_Sheet!BH183-#REF!</f>
      </c>
      <c r="AJ143" s="51" t="e">
        <f>Ticker0001_Exchange_Sheet!BI183-#REF!</f>
      </c>
      <c r="AK143" s="51" t="e">
        <f>Ticker0001_Exchange_Sheet!BJ183-#REF!</f>
      </c>
      <c r="AL143" s="51" t="e">
        <f>Ticker0001_Exchange_Sheet!BK183-#REF!</f>
      </c>
      <c r="AM143" s="51" t="e">
        <f>Ticker0001_Exchange_Sheet!BL183-#REF!</f>
      </c>
      <c r="AN143" s="51" t="e">
        <f>Ticker0001_Exchange_Sheet!BM183-#REF!</f>
      </c>
      <c r="AO143" s="51" t="e">
        <f>Ticker0001_Exchange_Sheet!BN183-#REF!</f>
      </c>
      <c r="AP143" s="51" t="e">
        <f>Ticker0001_Exchange_Sheet!BO183-#REF!</f>
      </c>
      <c r="AQ143" s="51" t="e">
        <f>Ticker0001_Exchange_Sheet!BP183-#REF!</f>
      </c>
      <c r="AR143" s="51" t="e">
        <f>Ticker0001_Exchange_Sheet!BQ183-#REF!</f>
      </c>
      <c r="AS143" s="51" t="e">
        <f>Ticker0001_Exchange_Sheet!BR183-#REF!</f>
      </c>
      <c r="AT143" s="51" t="e">
        <f>Ticker0001_Exchange_Sheet!BS183-#REF!</f>
      </c>
      <c r="AU143" s="51" t="e">
        <f>Ticker0001_Exchange_Sheet!BT183-#REF!</f>
      </c>
      <c r="AV143" s="51" t="e">
        <f>Ticker0001_Exchange_Sheet!BU183-#REF!</f>
      </c>
      <c r="AW143" s="51" t="e">
        <f>Ticker0001_Exchange_Sheet!BV183-#REF!</f>
      </c>
      <c r="AX143" s="51" t="e">
        <f>Ticker0001_Exchange_Sheet!BW183-#REF!</f>
      </c>
      <c r="AY143" s="51" t="e">
        <f>Ticker0001_Exchange_Sheet!BX183-#REF!</f>
      </c>
      <c r="AZ143" s="51" t="e">
        <f>Ticker0001_Exchange_Sheet!BY183-#REF!</f>
      </c>
      <c r="BA143" s="51" t="e">
        <f>Ticker0001_Exchange_Sheet!BZ183-#REF!</f>
      </c>
      <c r="BB143" s="51" t="e">
        <f>Ticker0001_Exchange_Sheet!CA183-#REF!</f>
      </c>
      <c r="BC143" s="51" t="e">
        <f>Ticker0001_Exchange_Sheet!CB183-#REF!</f>
      </c>
      <c r="BD143" s="51" t="e">
        <f>Ticker0001_Exchange_Sheet!CC183-#REF!</f>
      </c>
      <c r="BE143" s="51" t="e">
        <f>Ticker0001_Exchange_Sheet!CD183-#REF!</f>
      </c>
      <c r="BF143" s="51" t="e">
        <f>Ticker0001_Exchange_Sheet!CE183-#REF!</f>
      </c>
      <c r="BG143" s="51" t="e">
        <f>Ticker0001_Exchange_Sheet!CF183-#REF!</f>
      </c>
      <c r="BH143" s="51" t="e">
        <f>Ticker0001_Exchange_Sheet!CG183-#REF!</f>
      </c>
      <c r="BI143" s="51" t="e">
        <f>Ticker0001_Exchange_Sheet!CH183-#REF!</f>
      </c>
      <c r="BJ143" s="51" t="e">
        <f>Ticker0001_Exchange_Sheet!CI183-#REF!</f>
      </c>
      <c r="BK143" s="51" t="e">
        <f>Ticker0001_Exchange_Sheet!CJ183-#REF!</f>
      </c>
      <c r="BL143" s="51" t="e">
        <f>Ticker0001_Exchange_Sheet!CK183-#REF!</f>
      </c>
      <c r="BM143" s="51" t="e">
        <f>Ticker0001_Exchange_Sheet!CL183-#REF!</f>
      </c>
      <c r="BN143" s="51" t="e">
        <f>Ticker0001_Exchange_Sheet!CM183-#REF!</f>
      </c>
      <c r="BO143" s="51" t="e">
        <f>Ticker0001_Exchange_Sheet!CN183-#REF!</f>
      </c>
      <c r="BP143" s="51" t="e">
        <f>Ticker0001_Exchange_Sheet!CO183-#REF!</f>
      </c>
      <c r="BQ143" s="51" t="e">
        <f>Ticker0001_Exchange_Sheet!CP183-#REF!</f>
      </c>
      <c r="BR143" s="51" t="e">
        <f>Ticker0001_Exchange_Sheet!CQ183-#REF!</f>
      </c>
      <c r="BS143" s="51" t="e">
        <f>Ticker0001_Exchange_Sheet!CR183-#REF!</f>
      </c>
      <c r="BT143" s="51" t="e">
        <f>Ticker0001_Exchange_Sheet!CS183-#REF!</f>
      </c>
      <c r="BU143" s="51" t="e">
        <f>Ticker0001_Exchange_Sheet!CT183-#REF!</f>
      </c>
      <c r="BV143" s="51" t="e">
        <f>Ticker0001_Exchange_Sheet!CU183-#REF!</f>
      </c>
      <c r="BW143" s="51" t="e">
        <f>Ticker0001_Exchange_Sheet!CV183-#REF!</f>
      </c>
      <c r="BX143" s="51" t="e">
        <f>Ticker0001_Exchange_Sheet!CW183-#REF!</f>
      </c>
      <c r="BY143" s="51" t="e">
        <f>Ticker0001_Exchange_Sheet!CX183-#REF!</f>
      </c>
      <c r="BZ143" s="51" t="e">
        <f>Ticker0001_Exchange_Sheet!CY183-#REF!</f>
      </c>
      <c r="CA143" s="51" t="e">
        <f>Ticker0001_Exchange_Sheet!CZ183-#REF!</f>
      </c>
      <c r="CB143" s="51" t="e">
        <f>Ticker0001_Exchange_Sheet!DA183-#REF!</f>
      </c>
      <c r="CC143" s="51" t="e">
        <f>Ticker0001_Exchange_Sheet!DB183-#REF!</f>
      </c>
      <c r="CD143" s="51" t="e">
        <f>Ticker0001_Exchange_Sheet!DC183-#REF!</f>
      </c>
      <c r="CE143" s="51" t="e">
        <f>Ticker0001_Exchange_Sheet!DD183-#REF!</f>
      </c>
      <c r="CF143" s="51" t="e">
        <f>Ticker0001_Exchange_Sheet!DE183-#REF!</f>
      </c>
    </row>
    <row r="144" spans="6:84">
      <c r="F144" s="51" t="e">
        <f>Ticker0001_Exchange_Sheet!F184-#REF!</f>
      </c>
      <c r="G144" s="51" t="e">
        <f>Ticker0001_Exchange_Sheet!G184-#REF!</f>
      </c>
      <c r="H144" s="51" t="e">
        <f>Ticker0001_Exchange_Sheet!H184-#REF!</f>
      </c>
      <c r="I144" s="51" t="e">
        <f>Ticker0001_Exchange_Sheet!I184-#REF!</f>
      </c>
      <c r="J144" s="51" t="e">
        <f>Ticker0001_Exchange_Sheet!J184-#REF!</f>
      </c>
      <c r="K144" s="51" t="e">
        <f>Ticker0001_Exchange_Sheet!K184-#REF!</f>
      </c>
      <c r="L144" s="51" t="e">
        <f>Ticker0001_Exchange_Sheet!L184-#REF!</f>
      </c>
      <c r="M144" s="51" t="e">
        <f>Ticker0001_Exchange_Sheet!M184-#REF!</f>
      </c>
      <c r="N144" s="51" t="e">
        <f>Ticker0001_Exchange_Sheet!N184-#REF!</f>
      </c>
      <c r="O144" s="51" t="e">
        <f>Ticker0001_Exchange_Sheet!O184-#REF!</f>
      </c>
      <c r="P144" s="51" t="e">
        <f>Ticker0001_Exchange_Sheet!P184-#REF!</f>
      </c>
      <c r="Q144" s="51" t="e">
        <f>Ticker0001_Exchange_Sheet!Q184-#REF!</f>
      </c>
      <c r="R144" s="51" t="e">
        <f>Ticker0001_Exchange_Sheet!R184-#REF!</f>
      </c>
      <c r="S144" s="51" t="e">
        <f>Ticker0001_Exchange_Sheet!S184-#REF!</f>
      </c>
      <c r="T144" s="51" t="e">
        <f>Ticker0001_Exchange_Sheet!T184-#REF!</f>
      </c>
      <c r="U144" s="51" t="e">
        <f>Ticker0001_Exchange_Sheet!U184-#REF!</f>
      </c>
      <c r="V144" s="51" t="e">
        <f>Ticker0001_Exchange_Sheet!V184-#REF!</f>
      </c>
      <c r="W144" s="51" t="e">
        <f>Ticker0001_Exchange_Sheet!W184-#REF!</f>
      </c>
      <c r="X144" s="51" t="e">
        <f>Ticker0001_Exchange_Sheet!AK184-#REF!</f>
      </c>
      <c r="Y144" s="51" t="e">
        <f>Ticker0001_Exchange_Sheet!AX184-#REF!</f>
      </c>
      <c r="Z144" s="51" t="e">
        <f>Ticker0001_Exchange_Sheet!AY184-#REF!</f>
      </c>
      <c r="AA144" s="51" t="e">
        <f>Ticker0001_Exchange_Sheet!AZ184-#REF!</f>
      </c>
      <c r="AB144" s="51" t="e">
        <f>Ticker0001_Exchange_Sheet!BA184-#REF!</f>
      </c>
      <c r="AC144" s="51" t="e">
        <f>Ticker0001_Exchange_Sheet!BB184-#REF!</f>
      </c>
      <c r="AD144" s="51" t="e">
        <f>Ticker0001_Exchange_Sheet!BC184-#REF!</f>
      </c>
      <c r="AE144" s="51" t="e">
        <f>Ticker0001_Exchange_Sheet!BD184-#REF!</f>
      </c>
      <c r="AF144" s="51" t="e">
        <f>Ticker0001_Exchange_Sheet!BE184-#REF!</f>
      </c>
      <c r="AG144" s="51" t="e">
        <f>Ticker0001_Exchange_Sheet!BF184-#REF!</f>
      </c>
      <c r="AH144" s="51" t="e">
        <f>Ticker0001_Exchange_Sheet!BG184-#REF!</f>
      </c>
      <c r="AI144" s="51" t="e">
        <f>Ticker0001_Exchange_Sheet!BH184-#REF!</f>
      </c>
      <c r="AJ144" s="51" t="e">
        <f>Ticker0001_Exchange_Sheet!BI184-#REF!</f>
      </c>
      <c r="AK144" s="51" t="e">
        <f>Ticker0001_Exchange_Sheet!BJ184-#REF!</f>
      </c>
      <c r="AL144" s="51" t="e">
        <f>Ticker0001_Exchange_Sheet!BK184-#REF!</f>
      </c>
      <c r="AM144" s="51" t="e">
        <f>Ticker0001_Exchange_Sheet!BL184-#REF!</f>
      </c>
      <c r="AN144" s="51" t="e">
        <f>Ticker0001_Exchange_Sheet!BM184-#REF!</f>
      </c>
      <c r="AO144" s="51" t="e">
        <f>Ticker0001_Exchange_Sheet!BN184-#REF!</f>
      </c>
      <c r="AP144" s="51" t="e">
        <f>Ticker0001_Exchange_Sheet!BO184-#REF!</f>
      </c>
      <c r="AQ144" s="51" t="e">
        <f>Ticker0001_Exchange_Sheet!BP184-#REF!</f>
      </c>
      <c r="AR144" s="51" t="e">
        <f>Ticker0001_Exchange_Sheet!BQ184-#REF!</f>
      </c>
      <c r="AS144" s="51" t="e">
        <f>Ticker0001_Exchange_Sheet!BR184-#REF!</f>
      </c>
      <c r="AT144" s="51" t="e">
        <f>Ticker0001_Exchange_Sheet!BS184-#REF!</f>
      </c>
      <c r="AU144" s="51" t="e">
        <f>Ticker0001_Exchange_Sheet!BT184-#REF!</f>
      </c>
      <c r="AV144" s="51" t="e">
        <f>Ticker0001_Exchange_Sheet!BU184-#REF!</f>
      </c>
      <c r="AW144" s="51" t="e">
        <f>Ticker0001_Exchange_Sheet!BV184-#REF!</f>
      </c>
      <c r="AX144" s="51" t="e">
        <f>Ticker0001_Exchange_Sheet!BW184-#REF!</f>
      </c>
      <c r="AY144" s="51" t="e">
        <f>Ticker0001_Exchange_Sheet!BX184-#REF!</f>
      </c>
      <c r="AZ144" s="51" t="e">
        <f>Ticker0001_Exchange_Sheet!BY184-#REF!</f>
      </c>
      <c r="BA144" s="51" t="e">
        <f>Ticker0001_Exchange_Sheet!BZ184-#REF!</f>
      </c>
      <c r="BB144" s="51" t="e">
        <f>Ticker0001_Exchange_Sheet!CA184-#REF!</f>
      </c>
      <c r="BC144" s="51" t="e">
        <f>Ticker0001_Exchange_Sheet!CB184-#REF!</f>
      </c>
      <c r="BD144" s="51" t="e">
        <f>Ticker0001_Exchange_Sheet!CC184-#REF!</f>
      </c>
      <c r="BE144" s="51" t="e">
        <f>Ticker0001_Exchange_Sheet!CD184-#REF!</f>
      </c>
      <c r="BF144" s="51" t="e">
        <f>Ticker0001_Exchange_Sheet!CE184-#REF!</f>
      </c>
      <c r="BG144" s="51" t="e">
        <f>Ticker0001_Exchange_Sheet!CF184-#REF!</f>
      </c>
      <c r="BH144" s="51" t="e">
        <f>Ticker0001_Exchange_Sheet!CG184-#REF!</f>
      </c>
      <c r="BI144" s="51" t="e">
        <f>Ticker0001_Exchange_Sheet!CH184-#REF!</f>
      </c>
      <c r="BJ144" s="51" t="e">
        <f>Ticker0001_Exchange_Sheet!CI184-#REF!</f>
      </c>
      <c r="BK144" s="51" t="e">
        <f>Ticker0001_Exchange_Sheet!CJ184-#REF!</f>
      </c>
      <c r="BL144" s="51" t="e">
        <f>Ticker0001_Exchange_Sheet!CK184-#REF!</f>
      </c>
      <c r="BM144" s="51" t="e">
        <f>Ticker0001_Exchange_Sheet!CL184-#REF!</f>
      </c>
      <c r="BN144" s="51" t="e">
        <f>Ticker0001_Exchange_Sheet!CM184-#REF!</f>
      </c>
      <c r="BO144" s="51" t="e">
        <f>Ticker0001_Exchange_Sheet!CN184-#REF!</f>
      </c>
      <c r="BP144" s="51" t="e">
        <f>Ticker0001_Exchange_Sheet!CO184-#REF!</f>
      </c>
      <c r="BQ144" s="51" t="e">
        <f>Ticker0001_Exchange_Sheet!CP184-#REF!</f>
      </c>
      <c r="BR144" s="51" t="e">
        <f>Ticker0001_Exchange_Sheet!CQ184-#REF!</f>
      </c>
      <c r="BS144" s="51" t="e">
        <f>Ticker0001_Exchange_Sheet!CR184-#REF!</f>
      </c>
      <c r="BT144" s="51" t="e">
        <f>Ticker0001_Exchange_Sheet!CS184-#REF!</f>
      </c>
      <c r="BU144" s="51" t="e">
        <f>Ticker0001_Exchange_Sheet!CT184-#REF!</f>
      </c>
      <c r="BV144" s="51" t="e">
        <f>Ticker0001_Exchange_Sheet!CU184-#REF!</f>
      </c>
      <c r="BW144" s="51" t="e">
        <f>Ticker0001_Exchange_Sheet!CV184-#REF!</f>
      </c>
      <c r="BX144" s="51" t="e">
        <f>Ticker0001_Exchange_Sheet!CW184-#REF!</f>
      </c>
      <c r="BY144" s="51" t="e">
        <f>Ticker0001_Exchange_Sheet!CX184-#REF!</f>
      </c>
      <c r="BZ144" s="51" t="e">
        <f>Ticker0001_Exchange_Sheet!CY184-#REF!</f>
      </c>
      <c r="CA144" s="51" t="e">
        <f>Ticker0001_Exchange_Sheet!CZ184-#REF!</f>
      </c>
      <c r="CB144" s="51" t="e">
        <f>Ticker0001_Exchange_Sheet!DA184-#REF!</f>
      </c>
      <c r="CC144" s="51" t="e">
        <f>Ticker0001_Exchange_Sheet!DB184-#REF!</f>
      </c>
      <c r="CD144" s="51" t="e">
        <f>Ticker0001_Exchange_Sheet!DC184-#REF!</f>
      </c>
      <c r="CE144" s="51" t="e">
        <f>Ticker0001_Exchange_Sheet!DD184-#REF!</f>
      </c>
      <c r="CF144" s="51" t="e">
        <f>Ticker0001_Exchange_Sheet!DE184-#REF!</f>
      </c>
    </row>
    <row r="145" spans="6:84">
      <c r="F145" s="51" t="e">
        <f>Ticker0001_Exchange_Sheet!F186-#REF!</f>
      </c>
      <c r="G145" s="51" t="e">
        <f>Ticker0001_Exchange_Sheet!G186-#REF!</f>
      </c>
      <c r="H145" s="51" t="e">
        <f>Ticker0001_Exchange_Sheet!H186-#REF!</f>
      </c>
      <c r="I145" s="51" t="e">
        <f>Ticker0001_Exchange_Sheet!I186-#REF!</f>
      </c>
      <c r="J145" s="51" t="e">
        <f>Ticker0001_Exchange_Sheet!J186-#REF!</f>
      </c>
      <c r="K145" s="51" t="e">
        <f>Ticker0001_Exchange_Sheet!K186-#REF!</f>
      </c>
      <c r="L145" s="51" t="e">
        <f>Ticker0001_Exchange_Sheet!L186-#REF!</f>
      </c>
      <c r="M145" s="51" t="e">
        <f>Ticker0001_Exchange_Sheet!M186-#REF!</f>
      </c>
      <c r="N145" s="51" t="e">
        <f>Ticker0001_Exchange_Sheet!N186-#REF!</f>
      </c>
      <c r="O145" s="51" t="e">
        <f>Ticker0001_Exchange_Sheet!O186-#REF!</f>
      </c>
      <c r="P145" s="51" t="e">
        <f>Ticker0001_Exchange_Sheet!P186-#REF!</f>
      </c>
      <c r="Q145" s="51" t="e">
        <f>Ticker0001_Exchange_Sheet!Q186-#REF!</f>
      </c>
      <c r="R145" s="51" t="e">
        <f>Ticker0001_Exchange_Sheet!R186-#REF!</f>
      </c>
      <c r="S145" s="51" t="e">
        <f>Ticker0001_Exchange_Sheet!S186-#REF!</f>
      </c>
      <c r="T145" s="51" t="e">
        <f>Ticker0001_Exchange_Sheet!T186-#REF!</f>
      </c>
      <c r="U145" s="51" t="e">
        <f>Ticker0001_Exchange_Sheet!U186-#REF!</f>
      </c>
      <c r="V145" s="51" t="e">
        <f>Ticker0001_Exchange_Sheet!V186-#REF!</f>
      </c>
      <c r="W145" s="51" t="e">
        <f>Ticker0001_Exchange_Sheet!W186-#REF!</f>
      </c>
      <c r="X145" s="51" t="e">
        <f>Ticker0001_Exchange_Sheet!AK186-#REF!</f>
      </c>
      <c r="Y145" s="51" t="e">
        <f>Ticker0001_Exchange_Sheet!AX186-#REF!</f>
      </c>
      <c r="Z145" s="51" t="e">
        <f>Ticker0001_Exchange_Sheet!AY186-#REF!</f>
      </c>
      <c r="AA145" s="51" t="e">
        <f>Ticker0001_Exchange_Sheet!AZ186-#REF!</f>
      </c>
      <c r="AB145" s="51" t="e">
        <f>Ticker0001_Exchange_Sheet!BA186-#REF!</f>
      </c>
      <c r="AC145" s="51" t="e">
        <f>Ticker0001_Exchange_Sheet!BB186-#REF!</f>
      </c>
      <c r="AD145" s="51" t="e">
        <f>Ticker0001_Exchange_Sheet!BC186-#REF!</f>
      </c>
      <c r="AE145" s="51" t="e">
        <f>Ticker0001_Exchange_Sheet!BD186-#REF!</f>
      </c>
      <c r="AF145" s="51" t="e">
        <f>Ticker0001_Exchange_Sheet!BE186-#REF!</f>
      </c>
      <c r="AG145" s="51" t="e">
        <f>Ticker0001_Exchange_Sheet!BF186-#REF!</f>
      </c>
      <c r="AH145" s="51" t="e">
        <f>Ticker0001_Exchange_Sheet!BG186-#REF!</f>
      </c>
      <c r="AI145" s="51" t="e">
        <f>Ticker0001_Exchange_Sheet!BH186-#REF!</f>
      </c>
      <c r="AJ145" s="51" t="e">
        <f>Ticker0001_Exchange_Sheet!BI186-#REF!</f>
      </c>
      <c r="AK145" s="51" t="e">
        <f>Ticker0001_Exchange_Sheet!BJ186-#REF!</f>
      </c>
      <c r="AL145" s="51" t="e">
        <f>Ticker0001_Exchange_Sheet!BK186-#REF!</f>
      </c>
      <c r="AM145" s="51" t="e">
        <f>Ticker0001_Exchange_Sheet!BL186-#REF!</f>
      </c>
      <c r="AN145" s="51" t="e">
        <f>Ticker0001_Exchange_Sheet!BM186-#REF!</f>
      </c>
      <c r="AO145" s="51" t="e">
        <f>Ticker0001_Exchange_Sheet!BN186-#REF!</f>
      </c>
      <c r="AP145" s="51" t="e">
        <f>Ticker0001_Exchange_Sheet!BO186-#REF!</f>
      </c>
      <c r="AQ145" s="51" t="e">
        <f>Ticker0001_Exchange_Sheet!BP186-#REF!</f>
      </c>
      <c r="AR145" s="51" t="e">
        <f>Ticker0001_Exchange_Sheet!BQ186-#REF!</f>
      </c>
      <c r="AS145" s="51" t="e">
        <f>Ticker0001_Exchange_Sheet!BR186-#REF!</f>
      </c>
      <c r="AT145" s="51" t="e">
        <f>Ticker0001_Exchange_Sheet!BS186-#REF!</f>
      </c>
      <c r="AU145" s="51" t="e">
        <f>Ticker0001_Exchange_Sheet!BT186-#REF!</f>
      </c>
      <c r="AV145" s="51" t="e">
        <f>Ticker0001_Exchange_Sheet!BU186-#REF!</f>
      </c>
      <c r="AW145" s="51" t="e">
        <f>Ticker0001_Exchange_Sheet!BV186-#REF!</f>
      </c>
      <c r="AX145" s="51" t="e">
        <f>Ticker0001_Exchange_Sheet!BW186-#REF!</f>
      </c>
      <c r="AY145" s="51" t="e">
        <f>Ticker0001_Exchange_Sheet!BX186-#REF!</f>
      </c>
      <c r="AZ145" s="51" t="e">
        <f>Ticker0001_Exchange_Sheet!BY186-#REF!</f>
      </c>
      <c r="BA145" s="51" t="e">
        <f>Ticker0001_Exchange_Sheet!BZ186-#REF!</f>
      </c>
      <c r="BB145" s="51" t="e">
        <f>Ticker0001_Exchange_Sheet!CA186-#REF!</f>
      </c>
      <c r="BC145" s="51" t="e">
        <f>Ticker0001_Exchange_Sheet!CB186-#REF!</f>
      </c>
      <c r="BD145" s="51" t="e">
        <f>Ticker0001_Exchange_Sheet!CC186-#REF!</f>
      </c>
      <c r="BE145" s="51" t="e">
        <f>Ticker0001_Exchange_Sheet!CD186-#REF!</f>
      </c>
      <c r="BF145" s="51" t="e">
        <f>Ticker0001_Exchange_Sheet!CE186-#REF!</f>
      </c>
      <c r="BG145" s="51" t="e">
        <f>Ticker0001_Exchange_Sheet!CF186-#REF!</f>
      </c>
      <c r="BH145" s="51" t="e">
        <f>Ticker0001_Exchange_Sheet!CG186-#REF!</f>
      </c>
      <c r="BI145" s="51" t="e">
        <f>Ticker0001_Exchange_Sheet!CH186-#REF!</f>
      </c>
      <c r="BJ145" s="51" t="e">
        <f>Ticker0001_Exchange_Sheet!CI186-#REF!</f>
      </c>
      <c r="BK145" s="51" t="e">
        <f>Ticker0001_Exchange_Sheet!CJ186-#REF!</f>
      </c>
      <c r="BL145" s="51" t="e">
        <f>Ticker0001_Exchange_Sheet!CK186-#REF!</f>
      </c>
      <c r="BM145" s="51" t="e">
        <f>Ticker0001_Exchange_Sheet!CL186-#REF!</f>
      </c>
      <c r="BN145" s="51" t="e">
        <f>Ticker0001_Exchange_Sheet!CM186-#REF!</f>
      </c>
      <c r="BO145" s="51" t="e">
        <f>Ticker0001_Exchange_Sheet!CN186-#REF!</f>
      </c>
      <c r="BP145" s="51" t="e">
        <f>Ticker0001_Exchange_Sheet!CO186-#REF!</f>
      </c>
      <c r="BQ145" s="51" t="e">
        <f>Ticker0001_Exchange_Sheet!CP186-#REF!</f>
      </c>
      <c r="BR145" s="51" t="e">
        <f>Ticker0001_Exchange_Sheet!CQ186-#REF!</f>
      </c>
      <c r="BS145" s="51" t="e">
        <f>Ticker0001_Exchange_Sheet!CR186-#REF!</f>
      </c>
      <c r="BT145" s="51" t="e">
        <f>Ticker0001_Exchange_Sheet!CS186-#REF!</f>
      </c>
      <c r="BU145" s="51" t="e">
        <f>Ticker0001_Exchange_Sheet!CT186-#REF!</f>
      </c>
      <c r="BV145" s="51" t="e">
        <f>Ticker0001_Exchange_Sheet!CU186-#REF!</f>
      </c>
      <c r="BW145" s="51" t="e">
        <f>Ticker0001_Exchange_Sheet!CV186-#REF!</f>
      </c>
      <c r="BX145" s="51" t="e">
        <f>Ticker0001_Exchange_Sheet!CW186-#REF!</f>
      </c>
      <c r="BY145" s="51" t="e">
        <f>Ticker0001_Exchange_Sheet!CX186-#REF!</f>
      </c>
      <c r="BZ145" s="51" t="e">
        <f>Ticker0001_Exchange_Sheet!CY186-#REF!</f>
      </c>
      <c r="CA145" s="51" t="e">
        <f>Ticker0001_Exchange_Sheet!CZ186-#REF!</f>
      </c>
      <c r="CB145" s="51" t="e">
        <f>Ticker0001_Exchange_Sheet!DA186-#REF!</f>
      </c>
      <c r="CC145" s="51" t="e">
        <f>Ticker0001_Exchange_Sheet!DB186-#REF!</f>
      </c>
      <c r="CD145" s="51" t="e">
        <f>Ticker0001_Exchange_Sheet!DC186-#REF!</f>
      </c>
      <c r="CE145" s="51" t="e">
        <f>Ticker0001_Exchange_Sheet!DD186-#REF!</f>
      </c>
      <c r="CF145" s="51" t="e">
        <f>Ticker0001_Exchange_Sheet!DE186-#REF!</f>
      </c>
    </row>
    <row r="146" spans="6:84">
      <c r="F146" s="51" t="e">
        <f>Ticker0001_Exchange_Sheet!F188-#REF!</f>
      </c>
      <c r="G146" s="51" t="e">
        <f>Ticker0001_Exchange_Sheet!G188-#REF!</f>
      </c>
      <c r="H146" s="51" t="e">
        <f>Ticker0001_Exchange_Sheet!H188-#REF!</f>
      </c>
      <c r="I146" s="51" t="e">
        <f>Ticker0001_Exchange_Sheet!I188-#REF!</f>
      </c>
      <c r="J146" s="51" t="e">
        <f>Ticker0001_Exchange_Sheet!J188-#REF!</f>
      </c>
      <c r="K146" s="51" t="e">
        <f>Ticker0001_Exchange_Sheet!K188-#REF!</f>
      </c>
      <c r="L146" s="51" t="e">
        <f>Ticker0001_Exchange_Sheet!L188-#REF!</f>
      </c>
      <c r="M146" s="51" t="e">
        <f>Ticker0001_Exchange_Sheet!M188-#REF!</f>
      </c>
      <c r="N146" s="51" t="e">
        <f>Ticker0001_Exchange_Sheet!N188-#REF!</f>
      </c>
      <c r="O146" s="51" t="e">
        <f>Ticker0001_Exchange_Sheet!O188-#REF!</f>
      </c>
      <c r="P146" s="51" t="e">
        <f>Ticker0001_Exchange_Sheet!P188-#REF!</f>
      </c>
      <c r="Q146" s="51" t="e">
        <f>Ticker0001_Exchange_Sheet!Q188-#REF!</f>
      </c>
      <c r="R146" s="51" t="e">
        <f>Ticker0001_Exchange_Sheet!R188-#REF!</f>
      </c>
      <c r="S146" s="51" t="e">
        <f>Ticker0001_Exchange_Sheet!S188-#REF!</f>
      </c>
      <c r="T146" s="51" t="e">
        <f>Ticker0001_Exchange_Sheet!T188-#REF!</f>
      </c>
      <c r="U146" s="51" t="e">
        <f>Ticker0001_Exchange_Sheet!U188-#REF!</f>
      </c>
      <c r="V146" s="51" t="e">
        <f>Ticker0001_Exchange_Sheet!V188-#REF!</f>
      </c>
      <c r="W146" s="51" t="e">
        <f>Ticker0001_Exchange_Sheet!W188-#REF!</f>
      </c>
      <c r="X146" s="51" t="e">
        <f>Ticker0001_Exchange_Sheet!AK188-#REF!</f>
      </c>
      <c r="Y146" s="51" t="e">
        <f>Ticker0001_Exchange_Sheet!AX188-#REF!</f>
      </c>
      <c r="Z146" s="51" t="e">
        <f>Ticker0001_Exchange_Sheet!AY188-#REF!</f>
      </c>
      <c r="AA146" s="51" t="e">
        <f>Ticker0001_Exchange_Sheet!AZ188-#REF!</f>
      </c>
      <c r="AB146" s="51" t="e">
        <f>Ticker0001_Exchange_Sheet!BA188-#REF!</f>
      </c>
      <c r="AC146" s="51" t="e">
        <f>Ticker0001_Exchange_Sheet!BB188-#REF!</f>
      </c>
      <c r="AD146" s="51" t="e">
        <f>Ticker0001_Exchange_Sheet!BC188-#REF!</f>
      </c>
      <c r="AE146" s="51" t="e">
        <f>Ticker0001_Exchange_Sheet!BD188-#REF!</f>
      </c>
      <c r="AF146" s="51" t="e">
        <f>Ticker0001_Exchange_Sheet!BE188-#REF!</f>
      </c>
      <c r="AG146" s="51" t="e">
        <f>Ticker0001_Exchange_Sheet!BF188-#REF!</f>
      </c>
      <c r="AH146" s="51" t="e">
        <f>Ticker0001_Exchange_Sheet!BG188-#REF!</f>
      </c>
      <c r="AI146" s="51" t="e">
        <f>Ticker0001_Exchange_Sheet!BH188-#REF!</f>
      </c>
      <c r="AJ146" s="51" t="e">
        <f>Ticker0001_Exchange_Sheet!BI188-#REF!</f>
      </c>
      <c r="AK146" s="51" t="e">
        <f>Ticker0001_Exchange_Sheet!BJ188-#REF!</f>
      </c>
      <c r="AL146" s="51" t="e">
        <f>Ticker0001_Exchange_Sheet!BK188-#REF!</f>
      </c>
      <c r="AM146" s="51" t="e">
        <f>Ticker0001_Exchange_Sheet!BL188-#REF!</f>
      </c>
      <c r="AN146" s="51" t="e">
        <f>Ticker0001_Exchange_Sheet!BM188-#REF!</f>
      </c>
      <c r="AO146" s="51" t="e">
        <f>Ticker0001_Exchange_Sheet!BN188-#REF!</f>
      </c>
      <c r="AP146" s="51" t="e">
        <f>Ticker0001_Exchange_Sheet!BO188-#REF!</f>
      </c>
      <c r="AQ146" s="51" t="e">
        <f>Ticker0001_Exchange_Sheet!BP188-#REF!</f>
      </c>
      <c r="AR146" s="51" t="e">
        <f>Ticker0001_Exchange_Sheet!BQ188-#REF!</f>
      </c>
      <c r="AS146" s="51" t="e">
        <f>Ticker0001_Exchange_Sheet!BR188-#REF!</f>
      </c>
      <c r="AT146" s="51" t="e">
        <f>Ticker0001_Exchange_Sheet!BS188-#REF!</f>
      </c>
      <c r="AU146" s="51" t="e">
        <f>Ticker0001_Exchange_Sheet!BT188-#REF!</f>
      </c>
      <c r="AV146" s="51" t="e">
        <f>Ticker0001_Exchange_Sheet!BU188-#REF!</f>
      </c>
      <c r="AW146" s="51" t="e">
        <f>Ticker0001_Exchange_Sheet!BV188-#REF!</f>
      </c>
      <c r="AX146" s="51" t="e">
        <f>Ticker0001_Exchange_Sheet!BW188-#REF!</f>
      </c>
      <c r="AY146" s="51" t="e">
        <f>Ticker0001_Exchange_Sheet!BX188-#REF!</f>
      </c>
      <c r="AZ146" s="51" t="e">
        <f>Ticker0001_Exchange_Sheet!BY188-#REF!</f>
      </c>
      <c r="BA146" s="51" t="e">
        <f>Ticker0001_Exchange_Sheet!BZ188-#REF!</f>
      </c>
      <c r="BB146" s="51" t="e">
        <f>Ticker0001_Exchange_Sheet!CA188-#REF!</f>
      </c>
      <c r="BC146" s="51" t="e">
        <f>Ticker0001_Exchange_Sheet!CB188-#REF!</f>
      </c>
      <c r="BD146" s="51" t="e">
        <f>Ticker0001_Exchange_Sheet!CC188-#REF!</f>
      </c>
      <c r="BE146" s="51" t="e">
        <f>Ticker0001_Exchange_Sheet!CD188-#REF!</f>
      </c>
      <c r="BF146" s="51" t="e">
        <f>Ticker0001_Exchange_Sheet!CE188-#REF!</f>
      </c>
      <c r="BG146" s="51" t="e">
        <f>Ticker0001_Exchange_Sheet!CF188-#REF!</f>
      </c>
      <c r="BH146" s="51" t="e">
        <f>Ticker0001_Exchange_Sheet!CG188-#REF!</f>
      </c>
      <c r="BI146" s="51" t="e">
        <f>Ticker0001_Exchange_Sheet!CH188-#REF!</f>
      </c>
      <c r="BJ146" s="51" t="e">
        <f>Ticker0001_Exchange_Sheet!CI188-#REF!</f>
      </c>
      <c r="BK146" s="51" t="e">
        <f>Ticker0001_Exchange_Sheet!CJ188-#REF!</f>
      </c>
      <c r="BL146" s="51" t="e">
        <f>Ticker0001_Exchange_Sheet!CK188-#REF!</f>
      </c>
      <c r="BM146" s="51" t="e">
        <f>Ticker0001_Exchange_Sheet!CL188-#REF!</f>
      </c>
      <c r="BN146" s="51" t="e">
        <f>Ticker0001_Exchange_Sheet!CM188-#REF!</f>
      </c>
      <c r="BO146" s="51" t="e">
        <f>Ticker0001_Exchange_Sheet!CN188-#REF!</f>
      </c>
      <c r="BP146" s="51" t="e">
        <f>Ticker0001_Exchange_Sheet!CO188-#REF!</f>
      </c>
      <c r="BQ146" s="51" t="e">
        <f>Ticker0001_Exchange_Sheet!CP188-#REF!</f>
      </c>
      <c r="BR146" s="51" t="e">
        <f>Ticker0001_Exchange_Sheet!CQ188-#REF!</f>
      </c>
      <c r="BS146" s="51" t="e">
        <f>Ticker0001_Exchange_Sheet!CR188-#REF!</f>
      </c>
      <c r="BT146" s="51" t="e">
        <f>Ticker0001_Exchange_Sheet!CS188-#REF!</f>
      </c>
      <c r="BU146" s="51" t="e">
        <f>Ticker0001_Exchange_Sheet!CT188-#REF!</f>
      </c>
      <c r="BV146" s="51" t="e">
        <f>Ticker0001_Exchange_Sheet!CU188-#REF!</f>
      </c>
      <c r="BW146" s="51" t="e">
        <f>Ticker0001_Exchange_Sheet!CV188-#REF!</f>
      </c>
      <c r="BX146" s="51" t="e">
        <f>Ticker0001_Exchange_Sheet!CW188-#REF!</f>
      </c>
      <c r="BY146" s="51" t="e">
        <f>Ticker0001_Exchange_Sheet!CX188-#REF!</f>
      </c>
      <c r="BZ146" s="51" t="e">
        <f>Ticker0001_Exchange_Sheet!CY188-#REF!</f>
      </c>
      <c r="CA146" s="51" t="e">
        <f>Ticker0001_Exchange_Sheet!CZ188-#REF!</f>
      </c>
      <c r="CB146" s="51" t="e">
        <f>Ticker0001_Exchange_Sheet!DA188-#REF!</f>
      </c>
      <c r="CC146" s="51" t="e">
        <f>Ticker0001_Exchange_Sheet!DB188-#REF!</f>
      </c>
      <c r="CD146" s="51" t="e">
        <f>Ticker0001_Exchange_Sheet!DC188-#REF!</f>
      </c>
      <c r="CE146" s="51" t="e">
        <f>Ticker0001_Exchange_Sheet!DD188-#REF!</f>
      </c>
      <c r="CF146" s="51" t="e">
        <f>Ticker0001_Exchange_Sheet!DE188-#REF!</f>
      </c>
    </row>
    <row r="147" spans="6:84">
      <c r="F147" s="51" t="e">
        <f>Ticker0001_Exchange_Sheet!F189-#REF!</f>
      </c>
      <c r="G147" s="51" t="e">
        <f>Ticker0001_Exchange_Sheet!G189-#REF!</f>
      </c>
      <c r="H147" s="51" t="e">
        <f>Ticker0001_Exchange_Sheet!H189-#REF!</f>
      </c>
      <c r="I147" s="51" t="e">
        <f>Ticker0001_Exchange_Sheet!I189-#REF!</f>
      </c>
      <c r="J147" s="51" t="e">
        <f>Ticker0001_Exchange_Sheet!J189-#REF!</f>
      </c>
      <c r="K147" s="51" t="e">
        <f>Ticker0001_Exchange_Sheet!K189-#REF!</f>
      </c>
      <c r="L147" s="51" t="e">
        <f>Ticker0001_Exchange_Sheet!L189-#REF!</f>
      </c>
      <c r="M147" s="51" t="e">
        <f>Ticker0001_Exchange_Sheet!M189-#REF!</f>
      </c>
      <c r="N147" s="51" t="e">
        <f>Ticker0001_Exchange_Sheet!N189-#REF!</f>
      </c>
      <c r="O147" s="51" t="e">
        <f>Ticker0001_Exchange_Sheet!O189-#REF!</f>
      </c>
      <c r="P147" s="51" t="e">
        <f>Ticker0001_Exchange_Sheet!P189-#REF!</f>
      </c>
      <c r="Q147" s="51" t="e">
        <f>Ticker0001_Exchange_Sheet!Q189-#REF!</f>
      </c>
      <c r="R147" s="51" t="e">
        <f>Ticker0001_Exchange_Sheet!R189-#REF!</f>
      </c>
      <c r="S147" s="51" t="e">
        <f>Ticker0001_Exchange_Sheet!S189-#REF!</f>
      </c>
      <c r="T147" s="51" t="e">
        <f>Ticker0001_Exchange_Sheet!T189-#REF!</f>
      </c>
      <c r="U147" s="51" t="e">
        <f>Ticker0001_Exchange_Sheet!U189-#REF!</f>
      </c>
      <c r="V147" s="51" t="e">
        <f>Ticker0001_Exchange_Sheet!V189-#REF!</f>
      </c>
      <c r="W147" s="51" t="e">
        <f>Ticker0001_Exchange_Sheet!W189-#REF!</f>
      </c>
      <c r="X147" s="51" t="e">
        <f>Ticker0001_Exchange_Sheet!AK189-#REF!</f>
      </c>
      <c r="Y147" s="51" t="e">
        <f>Ticker0001_Exchange_Sheet!AX189-#REF!</f>
      </c>
      <c r="Z147" s="51" t="e">
        <f>Ticker0001_Exchange_Sheet!AY189-#REF!</f>
      </c>
      <c r="AA147" s="51" t="e">
        <f>Ticker0001_Exchange_Sheet!AZ189-#REF!</f>
      </c>
      <c r="AB147" s="51" t="e">
        <f>Ticker0001_Exchange_Sheet!BA189-#REF!</f>
      </c>
      <c r="AC147" s="51" t="e">
        <f>Ticker0001_Exchange_Sheet!BB189-#REF!</f>
      </c>
      <c r="AD147" s="51" t="e">
        <f>Ticker0001_Exchange_Sheet!BC189-#REF!</f>
      </c>
      <c r="AE147" s="51" t="e">
        <f>Ticker0001_Exchange_Sheet!BD189-#REF!</f>
      </c>
      <c r="AF147" s="51" t="e">
        <f>Ticker0001_Exchange_Sheet!BE189-#REF!</f>
      </c>
      <c r="AG147" s="51" t="e">
        <f>Ticker0001_Exchange_Sheet!BF189-#REF!</f>
      </c>
      <c r="AH147" s="51" t="e">
        <f>Ticker0001_Exchange_Sheet!BG189-#REF!</f>
      </c>
      <c r="AI147" s="51" t="e">
        <f>Ticker0001_Exchange_Sheet!BH189-#REF!</f>
      </c>
      <c r="AJ147" s="51" t="e">
        <f>Ticker0001_Exchange_Sheet!BI189-#REF!</f>
      </c>
      <c r="AK147" s="51" t="e">
        <f>Ticker0001_Exchange_Sheet!BJ189-#REF!</f>
      </c>
      <c r="AL147" s="51" t="e">
        <f>Ticker0001_Exchange_Sheet!BK189-#REF!</f>
      </c>
      <c r="AM147" s="51" t="e">
        <f>Ticker0001_Exchange_Sheet!BL189-#REF!</f>
      </c>
      <c r="AN147" s="51" t="e">
        <f>Ticker0001_Exchange_Sheet!BM189-#REF!</f>
      </c>
      <c r="AO147" s="51" t="e">
        <f>Ticker0001_Exchange_Sheet!BN189-#REF!</f>
      </c>
      <c r="AP147" s="51" t="e">
        <f>Ticker0001_Exchange_Sheet!BO189-#REF!</f>
      </c>
      <c r="AQ147" s="51" t="e">
        <f>Ticker0001_Exchange_Sheet!BP189-#REF!</f>
      </c>
      <c r="AR147" s="51" t="e">
        <f>Ticker0001_Exchange_Sheet!BQ189-#REF!</f>
      </c>
      <c r="AS147" s="51" t="e">
        <f>Ticker0001_Exchange_Sheet!BR189-#REF!</f>
      </c>
      <c r="AT147" s="51" t="e">
        <f>Ticker0001_Exchange_Sheet!BS189-#REF!</f>
      </c>
      <c r="AU147" s="51" t="e">
        <f>Ticker0001_Exchange_Sheet!BT189-#REF!</f>
      </c>
      <c r="AV147" s="51" t="e">
        <f>Ticker0001_Exchange_Sheet!BU189-#REF!</f>
      </c>
      <c r="AW147" s="51" t="e">
        <f>Ticker0001_Exchange_Sheet!BV189-#REF!</f>
      </c>
      <c r="AX147" s="51" t="e">
        <f>Ticker0001_Exchange_Sheet!BW189-#REF!</f>
      </c>
      <c r="AY147" s="51" t="e">
        <f>Ticker0001_Exchange_Sheet!BX189-#REF!</f>
      </c>
      <c r="AZ147" s="51" t="e">
        <f>Ticker0001_Exchange_Sheet!BY189-#REF!</f>
      </c>
      <c r="BA147" s="51" t="e">
        <f>Ticker0001_Exchange_Sheet!BZ189-#REF!</f>
      </c>
      <c r="BB147" s="51" t="e">
        <f>Ticker0001_Exchange_Sheet!CA189-#REF!</f>
      </c>
      <c r="BC147" s="51" t="e">
        <f>Ticker0001_Exchange_Sheet!CB189-#REF!</f>
      </c>
      <c r="BD147" s="51" t="e">
        <f>Ticker0001_Exchange_Sheet!CC189-#REF!</f>
      </c>
      <c r="BE147" s="51" t="e">
        <f>Ticker0001_Exchange_Sheet!CD189-#REF!</f>
      </c>
      <c r="BF147" s="51" t="e">
        <f>Ticker0001_Exchange_Sheet!CE189-#REF!</f>
      </c>
      <c r="BG147" s="51" t="e">
        <f>Ticker0001_Exchange_Sheet!CF189-#REF!</f>
      </c>
      <c r="BH147" s="51" t="e">
        <f>Ticker0001_Exchange_Sheet!CG189-#REF!</f>
      </c>
      <c r="BI147" s="51" t="e">
        <f>Ticker0001_Exchange_Sheet!CH189-#REF!</f>
      </c>
      <c r="BJ147" s="51" t="e">
        <f>Ticker0001_Exchange_Sheet!CI189-#REF!</f>
      </c>
      <c r="BK147" s="51" t="e">
        <f>Ticker0001_Exchange_Sheet!CJ189-#REF!</f>
      </c>
      <c r="BL147" s="51" t="e">
        <f>Ticker0001_Exchange_Sheet!CK189-#REF!</f>
      </c>
      <c r="BM147" s="51" t="e">
        <f>Ticker0001_Exchange_Sheet!CL189-#REF!</f>
      </c>
      <c r="BN147" s="51" t="e">
        <f>Ticker0001_Exchange_Sheet!CM189-#REF!</f>
      </c>
      <c r="BO147" s="51" t="e">
        <f>Ticker0001_Exchange_Sheet!CN189-#REF!</f>
      </c>
      <c r="BP147" s="51" t="e">
        <f>Ticker0001_Exchange_Sheet!CO189-#REF!</f>
      </c>
      <c r="BQ147" s="51" t="e">
        <f>Ticker0001_Exchange_Sheet!CP189-#REF!</f>
      </c>
      <c r="BR147" s="51" t="e">
        <f>Ticker0001_Exchange_Sheet!CQ189-#REF!</f>
      </c>
      <c r="BS147" s="51" t="e">
        <f>Ticker0001_Exchange_Sheet!CR189-#REF!</f>
      </c>
      <c r="BT147" s="51" t="e">
        <f>Ticker0001_Exchange_Sheet!CS189-#REF!</f>
      </c>
      <c r="BU147" s="51" t="e">
        <f>Ticker0001_Exchange_Sheet!CT189-#REF!</f>
      </c>
      <c r="BV147" s="51" t="e">
        <f>Ticker0001_Exchange_Sheet!CU189-#REF!</f>
      </c>
      <c r="BW147" s="51" t="e">
        <f>Ticker0001_Exchange_Sheet!CV189-#REF!</f>
      </c>
      <c r="BX147" s="51" t="e">
        <f>Ticker0001_Exchange_Sheet!CW189-#REF!</f>
      </c>
      <c r="BY147" s="51" t="e">
        <f>Ticker0001_Exchange_Sheet!CX189-#REF!</f>
      </c>
      <c r="BZ147" s="51" t="e">
        <f>Ticker0001_Exchange_Sheet!CY189-#REF!</f>
      </c>
      <c r="CA147" s="51" t="e">
        <f>Ticker0001_Exchange_Sheet!CZ189-#REF!</f>
      </c>
      <c r="CB147" s="51" t="e">
        <f>Ticker0001_Exchange_Sheet!DA189-#REF!</f>
      </c>
      <c r="CC147" s="51" t="e">
        <f>Ticker0001_Exchange_Sheet!DB189-#REF!</f>
      </c>
      <c r="CD147" s="51" t="e">
        <f>Ticker0001_Exchange_Sheet!DC189-#REF!</f>
      </c>
      <c r="CE147" s="51" t="e">
        <f>Ticker0001_Exchange_Sheet!DD189-#REF!</f>
      </c>
      <c r="CF147" s="51" t="e">
        <f>Ticker0001_Exchange_Sheet!DE189-#REF!</f>
      </c>
    </row>
    <row r="148" spans="6:84">
      <c r="F148" s="51" t="e">
        <f>Ticker0001_Exchange_Sheet!F190-#REF!</f>
      </c>
      <c r="G148" s="51" t="e">
        <f>Ticker0001_Exchange_Sheet!G190-#REF!</f>
      </c>
      <c r="H148" s="51" t="e">
        <f>Ticker0001_Exchange_Sheet!H190-#REF!</f>
      </c>
      <c r="I148" s="51" t="e">
        <f>Ticker0001_Exchange_Sheet!I190-#REF!</f>
      </c>
      <c r="J148" s="51" t="e">
        <f>Ticker0001_Exchange_Sheet!J190-#REF!</f>
      </c>
      <c r="K148" s="51" t="e">
        <f>Ticker0001_Exchange_Sheet!K190-#REF!</f>
      </c>
      <c r="L148" s="51" t="e">
        <f>Ticker0001_Exchange_Sheet!L190-#REF!</f>
      </c>
      <c r="M148" s="51" t="e">
        <f>Ticker0001_Exchange_Sheet!M190-#REF!</f>
      </c>
      <c r="N148" s="51" t="e">
        <f>Ticker0001_Exchange_Sheet!N190-#REF!</f>
      </c>
      <c r="O148" s="51" t="e">
        <f>Ticker0001_Exchange_Sheet!O190-#REF!</f>
      </c>
      <c r="P148" s="51" t="e">
        <f>Ticker0001_Exchange_Sheet!P190-#REF!</f>
      </c>
      <c r="Q148" s="51" t="e">
        <f>Ticker0001_Exchange_Sheet!Q190-#REF!</f>
      </c>
      <c r="R148" s="51" t="e">
        <f>Ticker0001_Exchange_Sheet!R190-#REF!</f>
      </c>
      <c r="S148" s="51" t="e">
        <f>Ticker0001_Exchange_Sheet!S190-#REF!</f>
      </c>
      <c r="T148" s="51" t="e">
        <f>Ticker0001_Exchange_Sheet!T190-#REF!</f>
      </c>
      <c r="U148" s="51" t="e">
        <f>Ticker0001_Exchange_Sheet!U190-#REF!</f>
      </c>
      <c r="V148" s="51" t="e">
        <f>Ticker0001_Exchange_Sheet!V190-#REF!</f>
      </c>
      <c r="W148" s="51" t="e">
        <f>Ticker0001_Exchange_Sheet!W190-#REF!</f>
      </c>
      <c r="X148" s="51" t="e">
        <f>Ticker0001_Exchange_Sheet!AK190-#REF!</f>
      </c>
      <c r="Y148" s="51" t="e">
        <f>Ticker0001_Exchange_Sheet!AX190-#REF!</f>
      </c>
      <c r="Z148" s="51" t="e">
        <f>Ticker0001_Exchange_Sheet!AY190-#REF!</f>
      </c>
      <c r="AA148" s="51" t="e">
        <f>Ticker0001_Exchange_Sheet!AZ190-#REF!</f>
      </c>
      <c r="AB148" s="51" t="e">
        <f>Ticker0001_Exchange_Sheet!BA190-#REF!</f>
      </c>
      <c r="AC148" s="51" t="e">
        <f>Ticker0001_Exchange_Sheet!BB190-#REF!</f>
      </c>
      <c r="AD148" s="51" t="e">
        <f>Ticker0001_Exchange_Sheet!BC190-#REF!</f>
      </c>
      <c r="AE148" s="51" t="e">
        <f>Ticker0001_Exchange_Sheet!BD190-#REF!</f>
      </c>
      <c r="AF148" s="51" t="e">
        <f>Ticker0001_Exchange_Sheet!BE190-#REF!</f>
      </c>
      <c r="AG148" s="51" t="e">
        <f>Ticker0001_Exchange_Sheet!BF190-#REF!</f>
      </c>
      <c r="AH148" s="51" t="e">
        <f>Ticker0001_Exchange_Sheet!BG190-#REF!</f>
      </c>
      <c r="AI148" s="51" t="e">
        <f>Ticker0001_Exchange_Sheet!BH190-#REF!</f>
      </c>
      <c r="AJ148" s="51" t="e">
        <f>Ticker0001_Exchange_Sheet!BI190-#REF!</f>
      </c>
      <c r="AK148" s="51" t="e">
        <f>Ticker0001_Exchange_Sheet!BJ190-#REF!</f>
      </c>
      <c r="AL148" s="51" t="e">
        <f>Ticker0001_Exchange_Sheet!BK190-#REF!</f>
      </c>
      <c r="AM148" s="51" t="e">
        <f>Ticker0001_Exchange_Sheet!BL190-#REF!</f>
      </c>
      <c r="AN148" s="51" t="e">
        <f>Ticker0001_Exchange_Sheet!BM190-#REF!</f>
      </c>
      <c r="AO148" s="51" t="e">
        <f>Ticker0001_Exchange_Sheet!BN190-#REF!</f>
      </c>
      <c r="AP148" s="51" t="e">
        <f>Ticker0001_Exchange_Sheet!BO190-#REF!</f>
      </c>
      <c r="AQ148" s="51" t="e">
        <f>Ticker0001_Exchange_Sheet!BP190-#REF!</f>
      </c>
      <c r="AR148" s="51" t="e">
        <f>Ticker0001_Exchange_Sheet!BQ190-#REF!</f>
      </c>
      <c r="AS148" s="51" t="e">
        <f>Ticker0001_Exchange_Sheet!BR190-#REF!</f>
      </c>
      <c r="AT148" s="51" t="e">
        <f>Ticker0001_Exchange_Sheet!BS190-#REF!</f>
      </c>
      <c r="AU148" s="51" t="e">
        <f>Ticker0001_Exchange_Sheet!BT190-#REF!</f>
      </c>
      <c r="AV148" s="51" t="e">
        <f>Ticker0001_Exchange_Sheet!BU190-#REF!</f>
      </c>
      <c r="AW148" s="51" t="e">
        <f>Ticker0001_Exchange_Sheet!BV190-#REF!</f>
      </c>
      <c r="AX148" s="51" t="e">
        <f>Ticker0001_Exchange_Sheet!BW190-#REF!</f>
      </c>
      <c r="AY148" s="51" t="e">
        <f>Ticker0001_Exchange_Sheet!BX190-#REF!</f>
      </c>
      <c r="AZ148" s="51" t="e">
        <f>Ticker0001_Exchange_Sheet!BY190-#REF!</f>
      </c>
      <c r="BA148" s="51" t="e">
        <f>Ticker0001_Exchange_Sheet!BZ190-#REF!</f>
      </c>
      <c r="BB148" s="51" t="e">
        <f>Ticker0001_Exchange_Sheet!CA190-#REF!</f>
      </c>
      <c r="BC148" s="51" t="e">
        <f>Ticker0001_Exchange_Sheet!CB190-#REF!</f>
      </c>
      <c r="BD148" s="51" t="e">
        <f>Ticker0001_Exchange_Sheet!CC190-#REF!</f>
      </c>
      <c r="BE148" s="51" t="e">
        <f>Ticker0001_Exchange_Sheet!CD190-#REF!</f>
      </c>
      <c r="BF148" s="51" t="e">
        <f>Ticker0001_Exchange_Sheet!CE190-#REF!</f>
      </c>
      <c r="BG148" s="51" t="e">
        <f>Ticker0001_Exchange_Sheet!CF190-#REF!</f>
      </c>
      <c r="BH148" s="51" t="e">
        <f>Ticker0001_Exchange_Sheet!CG190-#REF!</f>
      </c>
      <c r="BI148" s="51" t="e">
        <f>Ticker0001_Exchange_Sheet!CH190-#REF!</f>
      </c>
      <c r="BJ148" s="51" t="e">
        <f>Ticker0001_Exchange_Sheet!CI190-#REF!</f>
      </c>
      <c r="BK148" s="51" t="e">
        <f>Ticker0001_Exchange_Sheet!CJ190-#REF!</f>
      </c>
      <c r="BL148" s="51" t="e">
        <f>Ticker0001_Exchange_Sheet!CK190-#REF!</f>
      </c>
      <c r="BM148" s="51" t="e">
        <f>Ticker0001_Exchange_Sheet!CL190-#REF!</f>
      </c>
      <c r="BN148" s="51" t="e">
        <f>Ticker0001_Exchange_Sheet!CM190-#REF!</f>
      </c>
      <c r="BO148" s="51" t="e">
        <f>Ticker0001_Exchange_Sheet!CN190-#REF!</f>
      </c>
      <c r="BP148" s="51" t="e">
        <f>Ticker0001_Exchange_Sheet!CO190-#REF!</f>
      </c>
      <c r="BQ148" s="51" t="e">
        <f>Ticker0001_Exchange_Sheet!CP190-#REF!</f>
      </c>
      <c r="BR148" s="51" t="e">
        <f>Ticker0001_Exchange_Sheet!CQ190-#REF!</f>
      </c>
      <c r="BS148" s="51" t="e">
        <f>Ticker0001_Exchange_Sheet!CR190-#REF!</f>
      </c>
      <c r="BT148" s="51" t="e">
        <f>Ticker0001_Exchange_Sheet!CS190-#REF!</f>
      </c>
      <c r="BU148" s="51" t="e">
        <f>Ticker0001_Exchange_Sheet!CT190-#REF!</f>
      </c>
      <c r="BV148" s="51" t="e">
        <f>Ticker0001_Exchange_Sheet!CU190-#REF!</f>
      </c>
      <c r="BW148" s="51" t="e">
        <f>Ticker0001_Exchange_Sheet!CV190-#REF!</f>
      </c>
      <c r="BX148" s="51" t="e">
        <f>Ticker0001_Exchange_Sheet!CW190-#REF!</f>
      </c>
      <c r="BY148" s="51" t="e">
        <f>Ticker0001_Exchange_Sheet!CX190-#REF!</f>
      </c>
      <c r="BZ148" s="51" t="e">
        <f>Ticker0001_Exchange_Sheet!CY190-#REF!</f>
      </c>
      <c r="CA148" s="51" t="e">
        <f>Ticker0001_Exchange_Sheet!CZ190-#REF!</f>
      </c>
      <c r="CB148" s="51" t="e">
        <f>Ticker0001_Exchange_Sheet!DA190-#REF!</f>
      </c>
      <c r="CC148" s="51" t="e">
        <f>Ticker0001_Exchange_Sheet!DB190-#REF!</f>
      </c>
      <c r="CD148" s="51" t="e">
        <f>Ticker0001_Exchange_Sheet!DC190-#REF!</f>
      </c>
      <c r="CE148" s="51" t="e">
        <f>Ticker0001_Exchange_Sheet!DD190-#REF!</f>
      </c>
      <c r="CF148" s="51" t="e">
        <f>Ticker0001_Exchange_Sheet!DE190-#REF!</f>
      </c>
    </row>
    <row r="149" spans="6:84">
      <c r="F149" s="51" t="e">
        <f>Ticker0001_Exchange_Sheet!F191-#REF!</f>
      </c>
      <c r="G149" s="51" t="e">
        <f>Ticker0001_Exchange_Sheet!G191-#REF!</f>
      </c>
      <c r="H149" s="51" t="e">
        <f>Ticker0001_Exchange_Sheet!H191-#REF!</f>
      </c>
      <c r="I149" s="51" t="e">
        <f>Ticker0001_Exchange_Sheet!I191-#REF!</f>
      </c>
      <c r="J149" s="51" t="e">
        <f>Ticker0001_Exchange_Sheet!J191-#REF!</f>
      </c>
      <c r="K149" s="51" t="e">
        <f>Ticker0001_Exchange_Sheet!K191-#REF!</f>
      </c>
      <c r="L149" s="51" t="e">
        <f>Ticker0001_Exchange_Sheet!L191-#REF!</f>
      </c>
      <c r="M149" s="51" t="e">
        <f>Ticker0001_Exchange_Sheet!M191-#REF!</f>
      </c>
      <c r="N149" s="51" t="e">
        <f>Ticker0001_Exchange_Sheet!N191-#REF!</f>
      </c>
      <c r="O149" s="51" t="e">
        <f>Ticker0001_Exchange_Sheet!O191-#REF!</f>
      </c>
      <c r="P149" s="51" t="e">
        <f>Ticker0001_Exchange_Sheet!P191-#REF!</f>
      </c>
      <c r="Q149" s="51" t="e">
        <f>Ticker0001_Exchange_Sheet!Q191-#REF!</f>
      </c>
      <c r="R149" s="51" t="e">
        <f>Ticker0001_Exchange_Sheet!R191-#REF!</f>
      </c>
      <c r="S149" s="51" t="e">
        <f>Ticker0001_Exchange_Sheet!S191-#REF!</f>
      </c>
      <c r="T149" s="51" t="e">
        <f>Ticker0001_Exchange_Sheet!T191-#REF!</f>
      </c>
      <c r="U149" s="51" t="e">
        <f>Ticker0001_Exchange_Sheet!U191-#REF!</f>
      </c>
      <c r="V149" s="51" t="e">
        <f>Ticker0001_Exchange_Sheet!V191-#REF!</f>
      </c>
      <c r="W149" s="51" t="e">
        <f>Ticker0001_Exchange_Sheet!W191-#REF!</f>
      </c>
      <c r="X149" s="51" t="e">
        <f>Ticker0001_Exchange_Sheet!AK191-#REF!</f>
      </c>
      <c r="Y149" s="51" t="e">
        <f>Ticker0001_Exchange_Sheet!AX191-#REF!</f>
      </c>
      <c r="Z149" s="51" t="e">
        <f>Ticker0001_Exchange_Sheet!AY191-#REF!</f>
      </c>
      <c r="AA149" s="51" t="e">
        <f>Ticker0001_Exchange_Sheet!AZ191-#REF!</f>
      </c>
      <c r="AB149" s="51" t="e">
        <f>Ticker0001_Exchange_Sheet!BA191-#REF!</f>
      </c>
      <c r="AC149" s="51" t="e">
        <f>Ticker0001_Exchange_Sheet!BB191-#REF!</f>
      </c>
      <c r="AD149" s="51" t="e">
        <f>Ticker0001_Exchange_Sheet!BC191-#REF!</f>
      </c>
      <c r="AE149" s="51" t="e">
        <f>Ticker0001_Exchange_Sheet!BD191-#REF!</f>
      </c>
      <c r="AF149" s="51" t="e">
        <f>Ticker0001_Exchange_Sheet!BE191-#REF!</f>
      </c>
      <c r="AG149" s="51" t="e">
        <f>Ticker0001_Exchange_Sheet!BF191-#REF!</f>
      </c>
      <c r="AH149" s="51" t="e">
        <f>Ticker0001_Exchange_Sheet!BG191-#REF!</f>
      </c>
      <c r="AI149" s="51" t="e">
        <f>Ticker0001_Exchange_Sheet!BH191-#REF!</f>
      </c>
      <c r="AJ149" s="51" t="e">
        <f>Ticker0001_Exchange_Sheet!BI191-#REF!</f>
      </c>
      <c r="AK149" s="51" t="e">
        <f>Ticker0001_Exchange_Sheet!BJ191-#REF!</f>
      </c>
      <c r="AL149" s="51" t="e">
        <f>Ticker0001_Exchange_Sheet!BK191-#REF!</f>
      </c>
      <c r="AM149" s="51" t="e">
        <f>Ticker0001_Exchange_Sheet!BL191-#REF!</f>
      </c>
      <c r="AN149" s="51" t="e">
        <f>Ticker0001_Exchange_Sheet!BM191-#REF!</f>
      </c>
      <c r="AO149" s="51" t="e">
        <f>Ticker0001_Exchange_Sheet!BN191-#REF!</f>
      </c>
      <c r="AP149" s="51" t="e">
        <f>Ticker0001_Exchange_Sheet!BO191-#REF!</f>
      </c>
      <c r="AQ149" s="51" t="e">
        <f>Ticker0001_Exchange_Sheet!BP191-#REF!</f>
      </c>
      <c r="AR149" s="51" t="e">
        <f>Ticker0001_Exchange_Sheet!BQ191-#REF!</f>
      </c>
      <c r="AS149" s="51" t="e">
        <f>Ticker0001_Exchange_Sheet!BR191-#REF!</f>
      </c>
      <c r="AT149" s="51" t="e">
        <f>Ticker0001_Exchange_Sheet!BS191-#REF!</f>
      </c>
      <c r="AU149" s="51" t="e">
        <f>Ticker0001_Exchange_Sheet!BT191-#REF!</f>
      </c>
      <c r="AV149" s="51" t="e">
        <f>Ticker0001_Exchange_Sheet!BU191-#REF!</f>
      </c>
      <c r="AW149" s="51" t="e">
        <f>Ticker0001_Exchange_Sheet!BV191-#REF!</f>
      </c>
      <c r="AX149" s="51" t="e">
        <f>Ticker0001_Exchange_Sheet!BW191-#REF!</f>
      </c>
      <c r="AY149" s="51" t="e">
        <f>Ticker0001_Exchange_Sheet!BX191-#REF!</f>
      </c>
      <c r="AZ149" s="51" t="e">
        <f>Ticker0001_Exchange_Sheet!BY191-#REF!</f>
      </c>
      <c r="BA149" s="51" t="e">
        <f>Ticker0001_Exchange_Sheet!BZ191-#REF!</f>
      </c>
      <c r="BB149" s="51" t="e">
        <f>Ticker0001_Exchange_Sheet!CA191-#REF!</f>
      </c>
      <c r="BC149" s="51" t="e">
        <f>Ticker0001_Exchange_Sheet!CB191-#REF!</f>
      </c>
      <c r="BD149" s="51" t="e">
        <f>Ticker0001_Exchange_Sheet!CC191-#REF!</f>
      </c>
      <c r="BE149" s="51" t="e">
        <f>Ticker0001_Exchange_Sheet!CD191-#REF!</f>
      </c>
      <c r="BF149" s="51" t="e">
        <f>Ticker0001_Exchange_Sheet!CE191-#REF!</f>
      </c>
      <c r="BG149" s="51" t="e">
        <f>Ticker0001_Exchange_Sheet!CF191-#REF!</f>
      </c>
      <c r="BH149" s="51" t="e">
        <f>Ticker0001_Exchange_Sheet!CG191-#REF!</f>
      </c>
      <c r="BI149" s="51" t="e">
        <f>Ticker0001_Exchange_Sheet!CH191-#REF!</f>
      </c>
      <c r="BJ149" s="51" t="e">
        <f>Ticker0001_Exchange_Sheet!CI191-#REF!</f>
      </c>
      <c r="BK149" s="51" t="e">
        <f>Ticker0001_Exchange_Sheet!CJ191-#REF!</f>
      </c>
      <c r="BL149" s="51" t="e">
        <f>Ticker0001_Exchange_Sheet!CK191-#REF!</f>
      </c>
      <c r="BM149" s="51" t="e">
        <f>Ticker0001_Exchange_Sheet!CL191-#REF!</f>
      </c>
      <c r="BN149" s="51" t="e">
        <f>Ticker0001_Exchange_Sheet!CM191-#REF!</f>
      </c>
      <c r="BO149" s="51" t="e">
        <f>Ticker0001_Exchange_Sheet!CN191-#REF!</f>
      </c>
      <c r="BP149" s="51" t="e">
        <f>Ticker0001_Exchange_Sheet!CO191-#REF!</f>
      </c>
      <c r="BQ149" s="51" t="e">
        <f>Ticker0001_Exchange_Sheet!CP191-#REF!</f>
      </c>
      <c r="BR149" s="51" t="e">
        <f>Ticker0001_Exchange_Sheet!CQ191-#REF!</f>
      </c>
      <c r="BS149" s="51" t="e">
        <f>Ticker0001_Exchange_Sheet!CR191-#REF!</f>
      </c>
      <c r="BT149" s="51" t="e">
        <f>Ticker0001_Exchange_Sheet!CS191-#REF!</f>
      </c>
      <c r="BU149" s="51" t="e">
        <f>Ticker0001_Exchange_Sheet!CT191-#REF!</f>
      </c>
      <c r="BV149" s="51" t="e">
        <f>Ticker0001_Exchange_Sheet!CU191-#REF!</f>
      </c>
      <c r="BW149" s="51" t="e">
        <f>Ticker0001_Exchange_Sheet!CV191-#REF!</f>
      </c>
      <c r="BX149" s="51" t="e">
        <f>Ticker0001_Exchange_Sheet!CW191-#REF!</f>
      </c>
      <c r="BY149" s="51" t="e">
        <f>Ticker0001_Exchange_Sheet!CX191-#REF!</f>
      </c>
      <c r="BZ149" s="51" t="e">
        <f>Ticker0001_Exchange_Sheet!CY191-#REF!</f>
      </c>
      <c r="CA149" s="51" t="e">
        <f>Ticker0001_Exchange_Sheet!CZ191-#REF!</f>
      </c>
      <c r="CB149" s="51" t="e">
        <f>Ticker0001_Exchange_Sheet!DA191-#REF!</f>
      </c>
      <c r="CC149" s="51" t="e">
        <f>Ticker0001_Exchange_Sheet!DB191-#REF!</f>
      </c>
      <c r="CD149" s="51" t="e">
        <f>Ticker0001_Exchange_Sheet!DC191-#REF!</f>
      </c>
      <c r="CE149" s="51" t="e">
        <f>Ticker0001_Exchange_Sheet!DD191-#REF!</f>
      </c>
      <c r="CF149" s="51" t="e">
        <f>Ticker0001_Exchange_Sheet!DE191-#REF!</f>
      </c>
    </row>
    <row r="150" spans="6:84">
      <c r="F150" s="51" t="e">
        <f>Ticker0001_Exchange_Sheet!F192-#REF!</f>
      </c>
      <c r="G150" s="51" t="e">
        <f>Ticker0001_Exchange_Sheet!G192-#REF!</f>
      </c>
      <c r="H150" s="51" t="e">
        <f>Ticker0001_Exchange_Sheet!H192-#REF!</f>
      </c>
      <c r="I150" s="51" t="e">
        <f>Ticker0001_Exchange_Sheet!I192-#REF!</f>
      </c>
      <c r="J150" s="51" t="e">
        <f>Ticker0001_Exchange_Sheet!J192-#REF!</f>
      </c>
      <c r="K150" s="51" t="e">
        <f>Ticker0001_Exchange_Sheet!K192-#REF!</f>
      </c>
      <c r="L150" s="51" t="e">
        <f>Ticker0001_Exchange_Sheet!L192-#REF!</f>
      </c>
      <c r="M150" s="51" t="e">
        <f>Ticker0001_Exchange_Sheet!M192-#REF!</f>
      </c>
      <c r="N150" s="51" t="e">
        <f>Ticker0001_Exchange_Sheet!N192-#REF!</f>
      </c>
      <c r="O150" s="51" t="e">
        <f>Ticker0001_Exchange_Sheet!O192-#REF!</f>
      </c>
      <c r="P150" s="51" t="e">
        <f>Ticker0001_Exchange_Sheet!P192-#REF!</f>
      </c>
      <c r="Q150" s="51" t="e">
        <f>Ticker0001_Exchange_Sheet!Q192-#REF!</f>
      </c>
      <c r="R150" s="51" t="e">
        <f>Ticker0001_Exchange_Sheet!R192-#REF!</f>
      </c>
      <c r="S150" s="51" t="e">
        <f>Ticker0001_Exchange_Sheet!S192-#REF!</f>
      </c>
      <c r="T150" s="51" t="e">
        <f>Ticker0001_Exchange_Sheet!T192-#REF!</f>
      </c>
      <c r="U150" s="51" t="e">
        <f>Ticker0001_Exchange_Sheet!U192-#REF!</f>
      </c>
      <c r="V150" s="51" t="e">
        <f>Ticker0001_Exchange_Sheet!V192-#REF!</f>
      </c>
      <c r="W150" s="51" t="e">
        <f>Ticker0001_Exchange_Sheet!W192-#REF!</f>
      </c>
      <c r="X150" s="51" t="e">
        <f>Ticker0001_Exchange_Sheet!AK192-#REF!</f>
      </c>
      <c r="Y150" s="51" t="e">
        <f>Ticker0001_Exchange_Sheet!AX192-#REF!</f>
      </c>
      <c r="Z150" s="51" t="e">
        <f>Ticker0001_Exchange_Sheet!AY192-#REF!</f>
      </c>
      <c r="AA150" s="51" t="e">
        <f>Ticker0001_Exchange_Sheet!AZ192-#REF!</f>
      </c>
      <c r="AB150" s="51" t="e">
        <f>Ticker0001_Exchange_Sheet!BA192-#REF!</f>
      </c>
      <c r="AC150" s="51" t="e">
        <f>Ticker0001_Exchange_Sheet!BB192-#REF!</f>
      </c>
      <c r="AD150" s="51" t="e">
        <f>Ticker0001_Exchange_Sheet!BC192-#REF!</f>
      </c>
      <c r="AE150" s="51" t="e">
        <f>Ticker0001_Exchange_Sheet!BD192-#REF!</f>
      </c>
      <c r="AF150" s="51" t="e">
        <f>Ticker0001_Exchange_Sheet!BE192-#REF!</f>
      </c>
      <c r="AG150" s="51" t="e">
        <f>Ticker0001_Exchange_Sheet!BF192-#REF!</f>
      </c>
      <c r="AH150" s="51" t="e">
        <f>Ticker0001_Exchange_Sheet!BG192-#REF!</f>
      </c>
      <c r="AI150" s="51" t="e">
        <f>Ticker0001_Exchange_Sheet!BH192-#REF!</f>
      </c>
      <c r="AJ150" s="51" t="e">
        <f>Ticker0001_Exchange_Sheet!BI192-#REF!</f>
      </c>
      <c r="AK150" s="51" t="e">
        <f>Ticker0001_Exchange_Sheet!BJ192-#REF!</f>
      </c>
      <c r="AL150" s="51" t="e">
        <f>Ticker0001_Exchange_Sheet!BK192-#REF!</f>
      </c>
      <c r="AM150" s="51" t="e">
        <f>Ticker0001_Exchange_Sheet!BL192-#REF!</f>
      </c>
      <c r="AN150" s="51" t="e">
        <f>Ticker0001_Exchange_Sheet!BM192-#REF!</f>
      </c>
      <c r="AO150" s="51" t="e">
        <f>Ticker0001_Exchange_Sheet!BN192-#REF!</f>
      </c>
      <c r="AP150" s="51" t="e">
        <f>Ticker0001_Exchange_Sheet!BO192-#REF!</f>
      </c>
      <c r="AQ150" s="51" t="e">
        <f>Ticker0001_Exchange_Sheet!BP192-#REF!</f>
      </c>
      <c r="AR150" s="51" t="e">
        <f>Ticker0001_Exchange_Sheet!BQ192-#REF!</f>
      </c>
      <c r="AS150" s="51" t="e">
        <f>Ticker0001_Exchange_Sheet!BR192-#REF!</f>
      </c>
      <c r="AT150" s="51" t="e">
        <f>Ticker0001_Exchange_Sheet!BS192-#REF!</f>
      </c>
      <c r="AU150" s="51" t="e">
        <f>Ticker0001_Exchange_Sheet!BT192-#REF!</f>
      </c>
      <c r="AV150" s="51" t="e">
        <f>Ticker0001_Exchange_Sheet!BU192-#REF!</f>
      </c>
      <c r="AW150" s="51" t="e">
        <f>Ticker0001_Exchange_Sheet!BV192-#REF!</f>
      </c>
      <c r="AX150" s="51" t="e">
        <f>Ticker0001_Exchange_Sheet!BW192-#REF!</f>
      </c>
      <c r="AY150" s="51" t="e">
        <f>Ticker0001_Exchange_Sheet!BX192-#REF!</f>
      </c>
      <c r="AZ150" s="51" t="e">
        <f>Ticker0001_Exchange_Sheet!BY192-#REF!</f>
      </c>
      <c r="BA150" s="51" t="e">
        <f>Ticker0001_Exchange_Sheet!BZ192-#REF!</f>
      </c>
      <c r="BB150" s="51" t="e">
        <f>Ticker0001_Exchange_Sheet!CA192-#REF!</f>
      </c>
      <c r="BC150" s="51" t="e">
        <f>Ticker0001_Exchange_Sheet!CB192-#REF!</f>
      </c>
      <c r="BD150" s="51" t="e">
        <f>Ticker0001_Exchange_Sheet!CC192-#REF!</f>
      </c>
      <c r="BE150" s="51" t="e">
        <f>Ticker0001_Exchange_Sheet!CD192-#REF!</f>
      </c>
      <c r="BF150" s="51" t="e">
        <f>Ticker0001_Exchange_Sheet!CE192-#REF!</f>
      </c>
      <c r="BG150" s="51" t="e">
        <f>Ticker0001_Exchange_Sheet!CF192-#REF!</f>
      </c>
      <c r="BH150" s="51" t="e">
        <f>Ticker0001_Exchange_Sheet!CG192-#REF!</f>
      </c>
      <c r="BI150" s="51" t="e">
        <f>Ticker0001_Exchange_Sheet!CH192-#REF!</f>
      </c>
      <c r="BJ150" s="51" t="e">
        <f>Ticker0001_Exchange_Sheet!CI192-#REF!</f>
      </c>
      <c r="BK150" s="51" t="e">
        <f>Ticker0001_Exchange_Sheet!CJ192-#REF!</f>
      </c>
      <c r="BL150" s="51" t="e">
        <f>Ticker0001_Exchange_Sheet!CK192-#REF!</f>
      </c>
      <c r="BM150" s="51" t="e">
        <f>Ticker0001_Exchange_Sheet!CL192-#REF!</f>
      </c>
      <c r="BN150" s="51" t="e">
        <f>Ticker0001_Exchange_Sheet!CM192-#REF!</f>
      </c>
      <c r="BO150" s="51" t="e">
        <f>Ticker0001_Exchange_Sheet!CN192-#REF!</f>
      </c>
      <c r="BP150" s="51" t="e">
        <f>Ticker0001_Exchange_Sheet!CO192-#REF!</f>
      </c>
      <c r="BQ150" s="51" t="e">
        <f>Ticker0001_Exchange_Sheet!CP192-#REF!</f>
      </c>
      <c r="BR150" s="51" t="e">
        <f>Ticker0001_Exchange_Sheet!CQ192-#REF!</f>
      </c>
      <c r="BS150" s="51" t="e">
        <f>Ticker0001_Exchange_Sheet!CR192-#REF!</f>
      </c>
      <c r="BT150" s="51" t="e">
        <f>Ticker0001_Exchange_Sheet!CS192-#REF!</f>
      </c>
      <c r="BU150" s="51" t="e">
        <f>Ticker0001_Exchange_Sheet!CT192-#REF!</f>
      </c>
      <c r="BV150" s="51" t="e">
        <f>Ticker0001_Exchange_Sheet!CU192-#REF!</f>
      </c>
      <c r="BW150" s="51" t="e">
        <f>Ticker0001_Exchange_Sheet!CV192-#REF!</f>
      </c>
      <c r="BX150" s="51" t="e">
        <f>Ticker0001_Exchange_Sheet!CW192-#REF!</f>
      </c>
      <c r="BY150" s="51" t="e">
        <f>Ticker0001_Exchange_Sheet!CX192-#REF!</f>
      </c>
      <c r="BZ150" s="51" t="e">
        <f>Ticker0001_Exchange_Sheet!CY192-#REF!</f>
      </c>
      <c r="CA150" s="51" t="e">
        <f>Ticker0001_Exchange_Sheet!CZ192-#REF!</f>
      </c>
      <c r="CB150" s="51" t="e">
        <f>Ticker0001_Exchange_Sheet!DA192-#REF!</f>
      </c>
      <c r="CC150" s="51" t="e">
        <f>Ticker0001_Exchange_Sheet!DB192-#REF!</f>
      </c>
      <c r="CD150" s="51" t="e">
        <f>Ticker0001_Exchange_Sheet!DC192-#REF!</f>
      </c>
      <c r="CE150" s="51" t="e">
        <f>Ticker0001_Exchange_Sheet!DD192-#REF!</f>
      </c>
      <c r="CF150" s="51" t="e">
        <f>Ticker0001_Exchange_Sheet!DE192-#REF!</f>
      </c>
    </row>
    <row r="151" spans="6:84">
      <c r="F151" s="51" t="e">
        <f>Ticker0001_Exchange_Sheet!F193-#REF!</f>
      </c>
      <c r="G151" s="51" t="e">
        <f>Ticker0001_Exchange_Sheet!G193-#REF!</f>
      </c>
      <c r="H151" s="51" t="e">
        <f>Ticker0001_Exchange_Sheet!H193-#REF!</f>
      </c>
      <c r="I151" s="51" t="e">
        <f>Ticker0001_Exchange_Sheet!I193-#REF!</f>
      </c>
      <c r="J151" s="51" t="e">
        <f>Ticker0001_Exchange_Sheet!J193-#REF!</f>
      </c>
      <c r="K151" s="51" t="e">
        <f>Ticker0001_Exchange_Sheet!K193-#REF!</f>
      </c>
      <c r="L151" s="51" t="e">
        <f>Ticker0001_Exchange_Sheet!L193-#REF!</f>
      </c>
      <c r="M151" s="51" t="e">
        <f>Ticker0001_Exchange_Sheet!M193-#REF!</f>
      </c>
      <c r="N151" s="51" t="e">
        <f>Ticker0001_Exchange_Sheet!N193-#REF!</f>
      </c>
      <c r="O151" s="51" t="e">
        <f>Ticker0001_Exchange_Sheet!O193-#REF!</f>
      </c>
      <c r="P151" s="51" t="e">
        <f>Ticker0001_Exchange_Sheet!P193-#REF!</f>
      </c>
      <c r="Q151" s="51" t="e">
        <f>Ticker0001_Exchange_Sheet!Q193-#REF!</f>
      </c>
      <c r="R151" s="51" t="e">
        <f>Ticker0001_Exchange_Sheet!R193-#REF!</f>
      </c>
      <c r="S151" s="51" t="e">
        <f>Ticker0001_Exchange_Sheet!S193-#REF!</f>
      </c>
      <c r="T151" s="51" t="e">
        <f>Ticker0001_Exchange_Sheet!T193-#REF!</f>
      </c>
      <c r="U151" s="51" t="e">
        <f>Ticker0001_Exchange_Sheet!U193-#REF!</f>
      </c>
      <c r="V151" s="51" t="e">
        <f>Ticker0001_Exchange_Sheet!V193-#REF!</f>
      </c>
      <c r="W151" s="51" t="e">
        <f>Ticker0001_Exchange_Sheet!W193-#REF!</f>
      </c>
      <c r="X151" s="51" t="e">
        <f>Ticker0001_Exchange_Sheet!AK193-#REF!</f>
      </c>
      <c r="Y151" s="51" t="e">
        <f>Ticker0001_Exchange_Sheet!AX193-#REF!</f>
      </c>
      <c r="Z151" s="51" t="e">
        <f>Ticker0001_Exchange_Sheet!AY193-#REF!</f>
      </c>
      <c r="AA151" s="51" t="e">
        <f>Ticker0001_Exchange_Sheet!AZ193-#REF!</f>
      </c>
      <c r="AB151" s="51" t="e">
        <f>Ticker0001_Exchange_Sheet!BA193-#REF!</f>
      </c>
      <c r="AC151" s="51" t="e">
        <f>Ticker0001_Exchange_Sheet!BB193-#REF!</f>
      </c>
      <c r="AD151" s="51" t="e">
        <f>Ticker0001_Exchange_Sheet!BC193-#REF!</f>
      </c>
      <c r="AE151" s="51" t="e">
        <f>Ticker0001_Exchange_Sheet!BD193-#REF!</f>
      </c>
      <c r="AF151" s="51" t="e">
        <f>Ticker0001_Exchange_Sheet!BE193-#REF!</f>
      </c>
      <c r="AG151" s="51" t="e">
        <f>Ticker0001_Exchange_Sheet!BF193-#REF!</f>
      </c>
      <c r="AH151" s="51" t="e">
        <f>Ticker0001_Exchange_Sheet!BG193-#REF!</f>
      </c>
      <c r="AI151" s="51" t="e">
        <f>Ticker0001_Exchange_Sheet!BH193-#REF!</f>
      </c>
      <c r="AJ151" s="51" t="e">
        <f>Ticker0001_Exchange_Sheet!BI193-#REF!</f>
      </c>
      <c r="AK151" s="51" t="e">
        <f>Ticker0001_Exchange_Sheet!BJ193-#REF!</f>
      </c>
      <c r="AL151" s="51" t="e">
        <f>Ticker0001_Exchange_Sheet!BK193-#REF!</f>
      </c>
      <c r="AM151" s="51" t="e">
        <f>Ticker0001_Exchange_Sheet!BL193-#REF!</f>
      </c>
      <c r="AN151" s="51" t="e">
        <f>Ticker0001_Exchange_Sheet!BM193-#REF!</f>
      </c>
      <c r="AO151" s="51" t="e">
        <f>Ticker0001_Exchange_Sheet!BN193-#REF!</f>
      </c>
      <c r="AP151" s="51" t="e">
        <f>Ticker0001_Exchange_Sheet!BO193-#REF!</f>
      </c>
      <c r="AQ151" s="51" t="e">
        <f>Ticker0001_Exchange_Sheet!BP193-#REF!</f>
      </c>
      <c r="AR151" s="51" t="e">
        <f>Ticker0001_Exchange_Sheet!BQ193-#REF!</f>
      </c>
      <c r="AS151" s="51" t="e">
        <f>Ticker0001_Exchange_Sheet!BR193-#REF!</f>
      </c>
      <c r="AT151" s="51" t="e">
        <f>Ticker0001_Exchange_Sheet!BS193-#REF!</f>
      </c>
      <c r="AU151" s="51" t="e">
        <f>Ticker0001_Exchange_Sheet!BT193-#REF!</f>
      </c>
      <c r="AV151" s="51" t="e">
        <f>Ticker0001_Exchange_Sheet!BU193-#REF!</f>
      </c>
      <c r="AW151" s="51" t="e">
        <f>Ticker0001_Exchange_Sheet!BV193-#REF!</f>
      </c>
      <c r="AX151" s="51" t="e">
        <f>Ticker0001_Exchange_Sheet!BW193-#REF!</f>
      </c>
      <c r="AY151" s="51" t="e">
        <f>Ticker0001_Exchange_Sheet!BX193-#REF!</f>
      </c>
      <c r="AZ151" s="51" t="e">
        <f>Ticker0001_Exchange_Sheet!BY193-#REF!</f>
      </c>
      <c r="BA151" s="51" t="e">
        <f>Ticker0001_Exchange_Sheet!BZ193-#REF!</f>
      </c>
      <c r="BB151" s="51" t="e">
        <f>Ticker0001_Exchange_Sheet!CA193-#REF!</f>
      </c>
      <c r="BC151" s="51" t="e">
        <f>Ticker0001_Exchange_Sheet!CB193-#REF!</f>
      </c>
      <c r="BD151" s="51" t="e">
        <f>Ticker0001_Exchange_Sheet!CC193-#REF!</f>
      </c>
      <c r="BE151" s="51" t="e">
        <f>Ticker0001_Exchange_Sheet!CD193-#REF!</f>
      </c>
      <c r="BF151" s="51" t="e">
        <f>Ticker0001_Exchange_Sheet!CE193-#REF!</f>
      </c>
      <c r="BG151" s="51" t="e">
        <f>Ticker0001_Exchange_Sheet!CF193-#REF!</f>
      </c>
      <c r="BH151" s="51" t="e">
        <f>Ticker0001_Exchange_Sheet!CG193-#REF!</f>
      </c>
      <c r="BI151" s="51" t="e">
        <f>Ticker0001_Exchange_Sheet!CH193-#REF!</f>
      </c>
      <c r="BJ151" s="51" t="e">
        <f>Ticker0001_Exchange_Sheet!CI193-#REF!</f>
      </c>
      <c r="BK151" s="51" t="e">
        <f>Ticker0001_Exchange_Sheet!CJ193-#REF!</f>
      </c>
      <c r="BL151" s="51" t="e">
        <f>Ticker0001_Exchange_Sheet!CK193-#REF!</f>
      </c>
      <c r="BM151" s="51" t="e">
        <f>Ticker0001_Exchange_Sheet!CL193-#REF!</f>
      </c>
      <c r="BN151" s="51" t="e">
        <f>Ticker0001_Exchange_Sheet!CM193-#REF!</f>
      </c>
      <c r="BO151" s="51" t="e">
        <f>Ticker0001_Exchange_Sheet!CN193-#REF!</f>
      </c>
      <c r="BP151" s="51" t="e">
        <f>Ticker0001_Exchange_Sheet!CO193-#REF!</f>
      </c>
      <c r="BQ151" s="51" t="e">
        <f>Ticker0001_Exchange_Sheet!CP193-#REF!</f>
      </c>
      <c r="BR151" s="51" t="e">
        <f>Ticker0001_Exchange_Sheet!CQ193-#REF!</f>
      </c>
      <c r="BS151" s="51" t="e">
        <f>Ticker0001_Exchange_Sheet!CR193-#REF!</f>
      </c>
      <c r="BT151" s="51" t="e">
        <f>Ticker0001_Exchange_Sheet!CS193-#REF!</f>
      </c>
      <c r="BU151" s="51" t="e">
        <f>Ticker0001_Exchange_Sheet!CT193-#REF!</f>
      </c>
      <c r="BV151" s="51" t="e">
        <f>Ticker0001_Exchange_Sheet!CU193-#REF!</f>
      </c>
      <c r="BW151" s="51" t="e">
        <f>Ticker0001_Exchange_Sheet!CV193-#REF!</f>
      </c>
      <c r="BX151" s="51" t="e">
        <f>Ticker0001_Exchange_Sheet!CW193-#REF!</f>
      </c>
      <c r="BY151" s="51" t="e">
        <f>Ticker0001_Exchange_Sheet!CX193-#REF!</f>
      </c>
      <c r="BZ151" s="51" t="e">
        <f>Ticker0001_Exchange_Sheet!CY193-#REF!</f>
      </c>
      <c r="CA151" s="51" t="e">
        <f>Ticker0001_Exchange_Sheet!CZ193-#REF!</f>
      </c>
      <c r="CB151" s="51" t="e">
        <f>Ticker0001_Exchange_Sheet!DA193-#REF!</f>
      </c>
      <c r="CC151" s="51" t="e">
        <f>Ticker0001_Exchange_Sheet!DB193-#REF!</f>
      </c>
      <c r="CD151" s="51" t="e">
        <f>Ticker0001_Exchange_Sheet!DC193-#REF!</f>
      </c>
      <c r="CE151" s="51" t="e">
        <f>Ticker0001_Exchange_Sheet!DD193-#REF!</f>
      </c>
      <c r="CF151" s="51" t="e">
        <f>Ticker0001_Exchange_Sheet!DE193-#REF!</f>
      </c>
    </row>
    <row r="152" spans="6:84">
      <c r="F152" s="51" t="e">
        <f>Ticker0001_Exchange_Sheet!F194-#REF!</f>
      </c>
      <c r="G152" s="51" t="e">
        <f>Ticker0001_Exchange_Sheet!G194-#REF!</f>
      </c>
      <c r="H152" s="51" t="e">
        <f>Ticker0001_Exchange_Sheet!H194-#REF!</f>
      </c>
      <c r="I152" s="51" t="e">
        <f>Ticker0001_Exchange_Sheet!I194-#REF!</f>
      </c>
      <c r="J152" s="51" t="e">
        <f>Ticker0001_Exchange_Sheet!J194-#REF!</f>
      </c>
      <c r="K152" s="51" t="e">
        <f>Ticker0001_Exchange_Sheet!K194-#REF!</f>
      </c>
      <c r="L152" s="51" t="e">
        <f>Ticker0001_Exchange_Sheet!L194-#REF!</f>
      </c>
      <c r="M152" s="51" t="e">
        <f>Ticker0001_Exchange_Sheet!M194-#REF!</f>
      </c>
      <c r="N152" s="51" t="e">
        <f>Ticker0001_Exchange_Sheet!N194-#REF!</f>
      </c>
      <c r="O152" s="51" t="e">
        <f>Ticker0001_Exchange_Sheet!O194-#REF!</f>
      </c>
      <c r="P152" s="51" t="e">
        <f>Ticker0001_Exchange_Sheet!P194-#REF!</f>
      </c>
      <c r="Q152" s="51" t="e">
        <f>Ticker0001_Exchange_Sheet!Q194-#REF!</f>
      </c>
      <c r="R152" s="51" t="e">
        <f>Ticker0001_Exchange_Sheet!R194-#REF!</f>
      </c>
      <c r="S152" s="51" t="e">
        <f>Ticker0001_Exchange_Sheet!S194-#REF!</f>
      </c>
      <c r="T152" s="51" t="e">
        <f>Ticker0001_Exchange_Sheet!T194-#REF!</f>
      </c>
      <c r="U152" s="51" t="e">
        <f>Ticker0001_Exchange_Sheet!U194-#REF!</f>
      </c>
      <c r="V152" s="51" t="e">
        <f>Ticker0001_Exchange_Sheet!V194-#REF!</f>
      </c>
      <c r="W152" s="51" t="e">
        <f>Ticker0001_Exchange_Sheet!W194-#REF!</f>
      </c>
      <c r="X152" s="51" t="e">
        <f>Ticker0001_Exchange_Sheet!AK194-#REF!</f>
      </c>
      <c r="Y152" s="51" t="e">
        <f>Ticker0001_Exchange_Sheet!AX194-#REF!</f>
      </c>
      <c r="Z152" s="51" t="e">
        <f>Ticker0001_Exchange_Sheet!AY194-#REF!</f>
      </c>
      <c r="AA152" s="51" t="e">
        <f>Ticker0001_Exchange_Sheet!AZ194-#REF!</f>
      </c>
      <c r="AB152" s="51" t="e">
        <f>Ticker0001_Exchange_Sheet!BA194-#REF!</f>
      </c>
      <c r="AC152" s="51" t="e">
        <f>Ticker0001_Exchange_Sheet!BB194-#REF!</f>
      </c>
      <c r="AD152" s="51" t="e">
        <f>Ticker0001_Exchange_Sheet!BC194-#REF!</f>
      </c>
      <c r="AE152" s="51" t="e">
        <f>Ticker0001_Exchange_Sheet!BD194-#REF!</f>
      </c>
      <c r="AF152" s="51" t="e">
        <f>Ticker0001_Exchange_Sheet!BE194-#REF!</f>
      </c>
      <c r="AG152" s="51" t="e">
        <f>Ticker0001_Exchange_Sheet!BF194-#REF!</f>
      </c>
      <c r="AH152" s="51" t="e">
        <f>Ticker0001_Exchange_Sheet!BG194-#REF!</f>
      </c>
      <c r="AI152" s="51" t="e">
        <f>Ticker0001_Exchange_Sheet!BH194-#REF!</f>
      </c>
      <c r="AJ152" s="51" t="e">
        <f>Ticker0001_Exchange_Sheet!BI194-#REF!</f>
      </c>
      <c r="AK152" s="51" t="e">
        <f>Ticker0001_Exchange_Sheet!BJ194-#REF!</f>
      </c>
      <c r="AL152" s="51" t="e">
        <f>Ticker0001_Exchange_Sheet!BK194-#REF!</f>
      </c>
      <c r="AM152" s="51" t="e">
        <f>Ticker0001_Exchange_Sheet!BL194-#REF!</f>
      </c>
      <c r="AN152" s="51" t="e">
        <f>Ticker0001_Exchange_Sheet!BM194-#REF!</f>
      </c>
      <c r="AO152" s="51" t="e">
        <f>Ticker0001_Exchange_Sheet!BN194-#REF!</f>
      </c>
      <c r="AP152" s="51" t="e">
        <f>Ticker0001_Exchange_Sheet!BO194-#REF!</f>
      </c>
      <c r="AQ152" s="51" t="e">
        <f>Ticker0001_Exchange_Sheet!BP194-#REF!</f>
      </c>
      <c r="AR152" s="51" t="e">
        <f>Ticker0001_Exchange_Sheet!BQ194-#REF!</f>
      </c>
      <c r="AS152" s="51" t="e">
        <f>Ticker0001_Exchange_Sheet!BR194-#REF!</f>
      </c>
      <c r="AT152" s="51" t="e">
        <f>Ticker0001_Exchange_Sheet!BS194-#REF!</f>
      </c>
      <c r="AU152" s="51" t="e">
        <f>Ticker0001_Exchange_Sheet!BT194-#REF!</f>
      </c>
      <c r="AV152" s="51" t="e">
        <f>Ticker0001_Exchange_Sheet!BU194-#REF!</f>
      </c>
      <c r="AW152" s="51" t="e">
        <f>Ticker0001_Exchange_Sheet!BV194-#REF!</f>
      </c>
      <c r="AX152" s="51" t="e">
        <f>Ticker0001_Exchange_Sheet!BW194-#REF!</f>
      </c>
      <c r="AY152" s="51" t="e">
        <f>Ticker0001_Exchange_Sheet!BX194-#REF!</f>
      </c>
      <c r="AZ152" s="51" t="e">
        <f>Ticker0001_Exchange_Sheet!BY194-#REF!</f>
      </c>
      <c r="BA152" s="51" t="e">
        <f>Ticker0001_Exchange_Sheet!BZ194-#REF!</f>
      </c>
      <c r="BB152" s="51" t="e">
        <f>Ticker0001_Exchange_Sheet!CA194-#REF!</f>
      </c>
      <c r="BC152" s="51" t="e">
        <f>Ticker0001_Exchange_Sheet!CB194-#REF!</f>
      </c>
      <c r="BD152" s="51" t="e">
        <f>Ticker0001_Exchange_Sheet!CC194-#REF!</f>
      </c>
      <c r="BE152" s="51" t="e">
        <f>Ticker0001_Exchange_Sheet!CD194-#REF!</f>
      </c>
      <c r="BF152" s="51" t="e">
        <f>Ticker0001_Exchange_Sheet!CE194-#REF!</f>
      </c>
      <c r="BG152" s="51" t="e">
        <f>Ticker0001_Exchange_Sheet!CF194-#REF!</f>
      </c>
      <c r="BH152" s="51" t="e">
        <f>Ticker0001_Exchange_Sheet!CG194-#REF!</f>
      </c>
      <c r="BI152" s="51" t="e">
        <f>Ticker0001_Exchange_Sheet!CH194-#REF!</f>
      </c>
      <c r="BJ152" s="51" t="e">
        <f>Ticker0001_Exchange_Sheet!CI194-#REF!</f>
      </c>
      <c r="BK152" s="51" t="e">
        <f>Ticker0001_Exchange_Sheet!CJ194-#REF!</f>
      </c>
      <c r="BL152" s="51" t="e">
        <f>Ticker0001_Exchange_Sheet!CK194-#REF!</f>
      </c>
      <c r="BM152" s="51" t="e">
        <f>Ticker0001_Exchange_Sheet!CL194-#REF!</f>
      </c>
      <c r="BN152" s="51" t="e">
        <f>Ticker0001_Exchange_Sheet!CM194-#REF!</f>
      </c>
      <c r="BO152" s="51" t="e">
        <f>Ticker0001_Exchange_Sheet!CN194-#REF!</f>
      </c>
      <c r="BP152" s="51" t="e">
        <f>Ticker0001_Exchange_Sheet!CO194-#REF!</f>
      </c>
      <c r="BQ152" s="51" t="e">
        <f>Ticker0001_Exchange_Sheet!CP194-#REF!</f>
      </c>
      <c r="BR152" s="51" t="e">
        <f>Ticker0001_Exchange_Sheet!CQ194-#REF!</f>
      </c>
      <c r="BS152" s="51" t="e">
        <f>Ticker0001_Exchange_Sheet!CR194-#REF!</f>
      </c>
      <c r="BT152" s="51" t="e">
        <f>Ticker0001_Exchange_Sheet!CS194-#REF!</f>
      </c>
      <c r="BU152" s="51" t="e">
        <f>Ticker0001_Exchange_Sheet!CT194-#REF!</f>
      </c>
      <c r="BV152" s="51" t="e">
        <f>Ticker0001_Exchange_Sheet!CU194-#REF!</f>
      </c>
      <c r="BW152" s="51" t="e">
        <f>Ticker0001_Exchange_Sheet!CV194-#REF!</f>
      </c>
      <c r="BX152" s="51" t="e">
        <f>Ticker0001_Exchange_Sheet!CW194-#REF!</f>
      </c>
      <c r="BY152" s="51" t="e">
        <f>Ticker0001_Exchange_Sheet!CX194-#REF!</f>
      </c>
      <c r="BZ152" s="51" t="e">
        <f>Ticker0001_Exchange_Sheet!CY194-#REF!</f>
      </c>
      <c r="CA152" s="51" t="e">
        <f>Ticker0001_Exchange_Sheet!CZ194-#REF!</f>
      </c>
      <c r="CB152" s="51" t="e">
        <f>Ticker0001_Exchange_Sheet!DA194-#REF!</f>
      </c>
      <c r="CC152" s="51" t="e">
        <f>Ticker0001_Exchange_Sheet!DB194-#REF!</f>
      </c>
      <c r="CD152" s="51" t="e">
        <f>Ticker0001_Exchange_Sheet!DC194-#REF!</f>
      </c>
      <c r="CE152" s="51" t="e">
        <f>Ticker0001_Exchange_Sheet!DD194-#REF!</f>
      </c>
      <c r="CF152" s="51" t="e">
        <f>Ticker0001_Exchange_Sheet!DE194-#REF!</f>
      </c>
    </row>
    <row r="153" spans="6:84">
      <c r="F153" s="51" t="e">
        <f>Ticker0001_Exchange_Sheet!F195-#REF!</f>
      </c>
      <c r="G153" s="51" t="e">
        <f>Ticker0001_Exchange_Sheet!G195-#REF!</f>
      </c>
      <c r="H153" s="51" t="e">
        <f>Ticker0001_Exchange_Sheet!H195-#REF!</f>
      </c>
      <c r="I153" s="51" t="e">
        <f>Ticker0001_Exchange_Sheet!I195-#REF!</f>
      </c>
      <c r="J153" s="51" t="e">
        <f>Ticker0001_Exchange_Sheet!J195-#REF!</f>
      </c>
      <c r="K153" s="51" t="e">
        <f>Ticker0001_Exchange_Sheet!K195-#REF!</f>
      </c>
      <c r="L153" s="51" t="e">
        <f>Ticker0001_Exchange_Sheet!L195-#REF!</f>
      </c>
      <c r="M153" s="51" t="e">
        <f>Ticker0001_Exchange_Sheet!M195-#REF!</f>
      </c>
      <c r="N153" s="51" t="e">
        <f>Ticker0001_Exchange_Sheet!N195-#REF!</f>
      </c>
      <c r="O153" s="51" t="e">
        <f>Ticker0001_Exchange_Sheet!O195-#REF!</f>
      </c>
      <c r="P153" s="51" t="e">
        <f>Ticker0001_Exchange_Sheet!P195-#REF!</f>
      </c>
      <c r="Q153" s="51" t="e">
        <f>Ticker0001_Exchange_Sheet!Q195-#REF!</f>
      </c>
      <c r="R153" s="51" t="e">
        <f>Ticker0001_Exchange_Sheet!R195-#REF!</f>
      </c>
      <c r="S153" s="51" t="e">
        <f>Ticker0001_Exchange_Sheet!S195-#REF!</f>
      </c>
      <c r="T153" s="51" t="e">
        <f>Ticker0001_Exchange_Sheet!T195-#REF!</f>
      </c>
      <c r="U153" s="51" t="e">
        <f>Ticker0001_Exchange_Sheet!U195-#REF!</f>
      </c>
      <c r="V153" s="51" t="e">
        <f>Ticker0001_Exchange_Sheet!V195-#REF!</f>
      </c>
      <c r="W153" s="51" t="e">
        <f>Ticker0001_Exchange_Sheet!W195-#REF!</f>
      </c>
      <c r="X153" s="51" t="e">
        <f>Ticker0001_Exchange_Sheet!AK195-#REF!</f>
      </c>
      <c r="Y153" s="51" t="e">
        <f>Ticker0001_Exchange_Sheet!AX195-#REF!</f>
      </c>
      <c r="Z153" s="51" t="e">
        <f>Ticker0001_Exchange_Sheet!AY195-#REF!</f>
      </c>
      <c r="AA153" s="51" t="e">
        <f>Ticker0001_Exchange_Sheet!AZ195-#REF!</f>
      </c>
      <c r="AB153" s="51" t="e">
        <f>Ticker0001_Exchange_Sheet!BA195-#REF!</f>
      </c>
      <c r="AC153" s="51" t="e">
        <f>Ticker0001_Exchange_Sheet!BB195-#REF!</f>
      </c>
      <c r="AD153" s="51" t="e">
        <f>Ticker0001_Exchange_Sheet!BC195-#REF!</f>
      </c>
      <c r="AE153" s="51" t="e">
        <f>Ticker0001_Exchange_Sheet!BD195-#REF!</f>
      </c>
      <c r="AF153" s="51" t="e">
        <f>Ticker0001_Exchange_Sheet!BE195-#REF!</f>
      </c>
      <c r="AG153" s="51" t="e">
        <f>Ticker0001_Exchange_Sheet!BF195-#REF!</f>
      </c>
      <c r="AH153" s="51" t="e">
        <f>Ticker0001_Exchange_Sheet!BG195-#REF!</f>
      </c>
      <c r="AI153" s="51" t="e">
        <f>Ticker0001_Exchange_Sheet!BH195-#REF!</f>
      </c>
      <c r="AJ153" s="51" t="e">
        <f>Ticker0001_Exchange_Sheet!BI195-#REF!</f>
      </c>
      <c r="AK153" s="51" t="e">
        <f>Ticker0001_Exchange_Sheet!BJ195-#REF!</f>
      </c>
      <c r="AL153" s="51" t="e">
        <f>Ticker0001_Exchange_Sheet!BK195-#REF!</f>
      </c>
      <c r="AM153" s="51" t="e">
        <f>Ticker0001_Exchange_Sheet!BL195-#REF!</f>
      </c>
      <c r="AN153" s="51" t="e">
        <f>Ticker0001_Exchange_Sheet!BM195-#REF!</f>
      </c>
      <c r="AO153" s="51" t="e">
        <f>Ticker0001_Exchange_Sheet!BN195-#REF!</f>
      </c>
      <c r="AP153" s="51" t="e">
        <f>Ticker0001_Exchange_Sheet!BO195-#REF!</f>
      </c>
      <c r="AQ153" s="51" t="e">
        <f>Ticker0001_Exchange_Sheet!BP195-#REF!</f>
      </c>
      <c r="AR153" s="51" t="e">
        <f>Ticker0001_Exchange_Sheet!BQ195-#REF!</f>
      </c>
      <c r="AS153" s="51" t="e">
        <f>Ticker0001_Exchange_Sheet!BR195-#REF!</f>
      </c>
      <c r="AT153" s="51" t="e">
        <f>Ticker0001_Exchange_Sheet!BS195-#REF!</f>
      </c>
      <c r="AU153" s="51" t="e">
        <f>Ticker0001_Exchange_Sheet!BT195-#REF!</f>
      </c>
      <c r="AV153" s="51" t="e">
        <f>Ticker0001_Exchange_Sheet!BU195-#REF!</f>
      </c>
      <c r="AW153" s="51" t="e">
        <f>Ticker0001_Exchange_Sheet!BV195-#REF!</f>
      </c>
      <c r="AX153" s="51" t="e">
        <f>Ticker0001_Exchange_Sheet!BW195-#REF!</f>
      </c>
      <c r="AY153" s="51" t="e">
        <f>Ticker0001_Exchange_Sheet!BX195-#REF!</f>
      </c>
      <c r="AZ153" s="51" t="e">
        <f>Ticker0001_Exchange_Sheet!BY195-#REF!</f>
      </c>
      <c r="BA153" s="51" t="e">
        <f>Ticker0001_Exchange_Sheet!BZ195-#REF!</f>
      </c>
      <c r="BB153" s="51" t="e">
        <f>Ticker0001_Exchange_Sheet!CA195-#REF!</f>
      </c>
      <c r="BC153" s="51" t="e">
        <f>Ticker0001_Exchange_Sheet!CB195-#REF!</f>
      </c>
      <c r="BD153" s="51" t="e">
        <f>Ticker0001_Exchange_Sheet!CC195-#REF!</f>
      </c>
      <c r="BE153" s="51" t="e">
        <f>Ticker0001_Exchange_Sheet!CD195-#REF!</f>
      </c>
      <c r="BF153" s="51" t="e">
        <f>Ticker0001_Exchange_Sheet!CE195-#REF!</f>
      </c>
      <c r="BG153" s="51" t="e">
        <f>Ticker0001_Exchange_Sheet!CF195-#REF!</f>
      </c>
      <c r="BH153" s="51" t="e">
        <f>Ticker0001_Exchange_Sheet!CG195-#REF!</f>
      </c>
      <c r="BI153" s="51" t="e">
        <f>Ticker0001_Exchange_Sheet!CH195-#REF!</f>
      </c>
      <c r="BJ153" s="51" t="e">
        <f>Ticker0001_Exchange_Sheet!CI195-#REF!</f>
      </c>
      <c r="BK153" s="51" t="e">
        <f>Ticker0001_Exchange_Sheet!CJ195-#REF!</f>
      </c>
      <c r="BL153" s="51" t="e">
        <f>Ticker0001_Exchange_Sheet!CK195-#REF!</f>
      </c>
      <c r="BM153" s="51" t="e">
        <f>Ticker0001_Exchange_Sheet!CL195-#REF!</f>
      </c>
      <c r="BN153" s="51" t="e">
        <f>Ticker0001_Exchange_Sheet!CM195-#REF!</f>
      </c>
      <c r="BO153" s="51" t="e">
        <f>Ticker0001_Exchange_Sheet!CN195-#REF!</f>
      </c>
      <c r="BP153" s="51" t="e">
        <f>Ticker0001_Exchange_Sheet!CO195-#REF!</f>
      </c>
      <c r="BQ153" s="51" t="e">
        <f>Ticker0001_Exchange_Sheet!CP195-#REF!</f>
      </c>
      <c r="BR153" s="51" t="e">
        <f>Ticker0001_Exchange_Sheet!CQ195-#REF!</f>
      </c>
      <c r="BS153" s="51" t="e">
        <f>Ticker0001_Exchange_Sheet!CR195-#REF!</f>
      </c>
      <c r="BT153" s="51" t="e">
        <f>Ticker0001_Exchange_Sheet!CS195-#REF!</f>
      </c>
      <c r="BU153" s="51" t="e">
        <f>Ticker0001_Exchange_Sheet!CT195-#REF!</f>
      </c>
      <c r="BV153" s="51" t="e">
        <f>Ticker0001_Exchange_Sheet!CU195-#REF!</f>
      </c>
      <c r="BW153" s="51" t="e">
        <f>Ticker0001_Exchange_Sheet!CV195-#REF!</f>
      </c>
      <c r="BX153" s="51" t="e">
        <f>Ticker0001_Exchange_Sheet!CW195-#REF!</f>
      </c>
      <c r="BY153" s="51" t="e">
        <f>Ticker0001_Exchange_Sheet!CX195-#REF!</f>
      </c>
      <c r="BZ153" s="51" t="e">
        <f>Ticker0001_Exchange_Sheet!CY195-#REF!</f>
      </c>
      <c r="CA153" s="51" t="e">
        <f>Ticker0001_Exchange_Sheet!CZ195-#REF!</f>
      </c>
      <c r="CB153" s="51" t="e">
        <f>Ticker0001_Exchange_Sheet!DA195-#REF!</f>
      </c>
      <c r="CC153" s="51" t="e">
        <f>Ticker0001_Exchange_Sheet!DB195-#REF!</f>
      </c>
      <c r="CD153" s="51" t="e">
        <f>Ticker0001_Exchange_Sheet!DC195-#REF!</f>
      </c>
      <c r="CE153" s="51" t="e">
        <f>Ticker0001_Exchange_Sheet!DD195-#REF!</f>
      </c>
      <c r="CF153" s="51" t="e">
        <f>Ticker0001_Exchange_Sheet!DE195-#REF!</f>
      </c>
    </row>
    <row r="154" spans="6:84">
      <c r="F154" s="51" t="e">
        <f>Ticker0001_Exchange_Sheet!F196-#REF!</f>
      </c>
      <c r="G154" s="51" t="e">
        <f>Ticker0001_Exchange_Sheet!G196-#REF!</f>
      </c>
      <c r="H154" s="51" t="e">
        <f>Ticker0001_Exchange_Sheet!H196-#REF!</f>
      </c>
      <c r="I154" s="51" t="e">
        <f>Ticker0001_Exchange_Sheet!I196-#REF!</f>
      </c>
      <c r="J154" s="51" t="e">
        <f>Ticker0001_Exchange_Sheet!J196-#REF!</f>
      </c>
      <c r="K154" s="51" t="e">
        <f>Ticker0001_Exchange_Sheet!K196-#REF!</f>
      </c>
      <c r="L154" s="51" t="e">
        <f>Ticker0001_Exchange_Sheet!L196-#REF!</f>
      </c>
      <c r="M154" s="51" t="e">
        <f>Ticker0001_Exchange_Sheet!M196-#REF!</f>
      </c>
      <c r="N154" s="51" t="e">
        <f>Ticker0001_Exchange_Sheet!N196-#REF!</f>
      </c>
      <c r="O154" s="51" t="e">
        <f>Ticker0001_Exchange_Sheet!O196-#REF!</f>
      </c>
      <c r="P154" s="51" t="e">
        <f>Ticker0001_Exchange_Sheet!P196-#REF!</f>
      </c>
      <c r="Q154" s="51" t="e">
        <f>Ticker0001_Exchange_Sheet!Q196-#REF!</f>
      </c>
      <c r="R154" s="51" t="e">
        <f>Ticker0001_Exchange_Sheet!R196-#REF!</f>
      </c>
      <c r="S154" s="51" t="e">
        <f>Ticker0001_Exchange_Sheet!S196-#REF!</f>
      </c>
      <c r="T154" s="51" t="e">
        <f>Ticker0001_Exchange_Sheet!T196-#REF!</f>
      </c>
      <c r="U154" s="51" t="e">
        <f>Ticker0001_Exchange_Sheet!U196-#REF!</f>
      </c>
      <c r="V154" s="51" t="e">
        <f>Ticker0001_Exchange_Sheet!V196-#REF!</f>
      </c>
      <c r="W154" s="51" t="e">
        <f>Ticker0001_Exchange_Sheet!W196-#REF!</f>
      </c>
      <c r="X154" s="51" t="e">
        <f>Ticker0001_Exchange_Sheet!AK196-#REF!</f>
      </c>
      <c r="Y154" s="51" t="e">
        <f>Ticker0001_Exchange_Sheet!AX196-#REF!</f>
      </c>
      <c r="Z154" s="51" t="e">
        <f>Ticker0001_Exchange_Sheet!AY196-#REF!</f>
      </c>
      <c r="AA154" s="51" t="e">
        <f>Ticker0001_Exchange_Sheet!AZ196-#REF!</f>
      </c>
      <c r="AB154" s="51" t="e">
        <f>Ticker0001_Exchange_Sheet!BA196-#REF!</f>
      </c>
      <c r="AC154" s="51" t="e">
        <f>Ticker0001_Exchange_Sheet!BB196-#REF!</f>
      </c>
      <c r="AD154" s="51" t="e">
        <f>Ticker0001_Exchange_Sheet!BC196-#REF!</f>
      </c>
      <c r="AE154" s="51" t="e">
        <f>Ticker0001_Exchange_Sheet!BD196-#REF!</f>
      </c>
      <c r="AF154" s="51" t="e">
        <f>Ticker0001_Exchange_Sheet!BE196-#REF!</f>
      </c>
      <c r="AG154" s="51" t="e">
        <f>Ticker0001_Exchange_Sheet!BF196-#REF!</f>
      </c>
      <c r="AH154" s="51" t="e">
        <f>Ticker0001_Exchange_Sheet!BG196-#REF!</f>
      </c>
      <c r="AI154" s="51" t="e">
        <f>Ticker0001_Exchange_Sheet!BH196-#REF!</f>
      </c>
      <c r="AJ154" s="51" t="e">
        <f>Ticker0001_Exchange_Sheet!BI196-#REF!</f>
      </c>
      <c r="AK154" s="51" t="e">
        <f>Ticker0001_Exchange_Sheet!BJ196-#REF!</f>
      </c>
      <c r="AL154" s="51" t="e">
        <f>Ticker0001_Exchange_Sheet!BK196-#REF!</f>
      </c>
      <c r="AM154" s="51" t="e">
        <f>Ticker0001_Exchange_Sheet!BL196-#REF!</f>
      </c>
      <c r="AN154" s="51" t="e">
        <f>Ticker0001_Exchange_Sheet!BM196-#REF!</f>
      </c>
      <c r="AO154" s="51" t="e">
        <f>Ticker0001_Exchange_Sheet!BN196-#REF!</f>
      </c>
      <c r="AP154" s="51" t="e">
        <f>Ticker0001_Exchange_Sheet!BO196-#REF!</f>
      </c>
      <c r="AQ154" s="51" t="e">
        <f>Ticker0001_Exchange_Sheet!BP196-#REF!</f>
      </c>
      <c r="AR154" s="51" t="e">
        <f>Ticker0001_Exchange_Sheet!BQ196-#REF!</f>
      </c>
      <c r="AS154" s="51" t="e">
        <f>Ticker0001_Exchange_Sheet!BR196-#REF!</f>
      </c>
      <c r="AT154" s="51" t="e">
        <f>Ticker0001_Exchange_Sheet!BS196-#REF!</f>
      </c>
      <c r="AU154" s="51" t="e">
        <f>Ticker0001_Exchange_Sheet!BT196-#REF!</f>
      </c>
      <c r="AV154" s="51" t="e">
        <f>Ticker0001_Exchange_Sheet!BU196-#REF!</f>
      </c>
      <c r="AW154" s="51" t="e">
        <f>Ticker0001_Exchange_Sheet!BV196-#REF!</f>
      </c>
      <c r="AX154" s="51" t="e">
        <f>Ticker0001_Exchange_Sheet!BW196-#REF!</f>
      </c>
      <c r="AY154" s="51" t="e">
        <f>Ticker0001_Exchange_Sheet!BX196-#REF!</f>
      </c>
      <c r="AZ154" s="51" t="e">
        <f>Ticker0001_Exchange_Sheet!BY196-#REF!</f>
      </c>
      <c r="BA154" s="51" t="e">
        <f>Ticker0001_Exchange_Sheet!BZ196-#REF!</f>
      </c>
      <c r="BB154" s="51" t="e">
        <f>Ticker0001_Exchange_Sheet!CA196-#REF!</f>
      </c>
      <c r="BC154" s="51" t="e">
        <f>Ticker0001_Exchange_Sheet!CB196-#REF!</f>
      </c>
      <c r="BD154" s="51" t="e">
        <f>Ticker0001_Exchange_Sheet!CC196-#REF!</f>
      </c>
      <c r="BE154" s="51" t="e">
        <f>Ticker0001_Exchange_Sheet!CD196-#REF!</f>
      </c>
      <c r="BF154" s="51" t="e">
        <f>Ticker0001_Exchange_Sheet!CE196-#REF!</f>
      </c>
      <c r="BG154" s="51" t="e">
        <f>Ticker0001_Exchange_Sheet!CF196-#REF!</f>
      </c>
      <c r="BH154" s="51" t="e">
        <f>Ticker0001_Exchange_Sheet!CG196-#REF!</f>
      </c>
      <c r="BI154" s="51" t="e">
        <f>Ticker0001_Exchange_Sheet!CH196-#REF!</f>
      </c>
      <c r="BJ154" s="51" t="e">
        <f>Ticker0001_Exchange_Sheet!CI196-#REF!</f>
      </c>
      <c r="BK154" s="51" t="e">
        <f>Ticker0001_Exchange_Sheet!CJ196-#REF!</f>
      </c>
      <c r="BL154" s="51" t="e">
        <f>Ticker0001_Exchange_Sheet!CK196-#REF!</f>
      </c>
      <c r="BM154" s="51" t="e">
        <f>Ticker0001_Exchange_Sheet!CL196-#REF!</f>
      </c>
      <c r="BN154" s="51" t="e">
        <f>Ticker0001_Exchange_Sheet!CM196-#REF!</f>
      </c>
      <c r="BO154" s="51" t="e">
        <f>Ticker0001_Exchange_Sheet!CN196-#REF!</f>
      </c>
      <c r="BP154" s="51" t="e">
        <f>Ticker0001_Exchange_Sheet!CO196-#REF!</f>
      </c>
      <c r="BQ154" s="51" t="e">
        <f>Ticker0001_Exchange_Sheet!CP196-#REF!</f>
      </c>
      <c r="BR154" s="51" t="e">
        <f>Ticker0001_Exchange_Sheet!CQ196-#REF!</f>
      </c>
      <c r="BS154" s="51" t="e">
        <f>Ticker0001_Exchange_Sheet!CR196-#REF!</f>
      </c>
      <c r="BT154" s="51" t="e">
        <f>Ticker0001_Exchange_Sheet!CS196-#REF!</f>
      </c>
      <c r="BU154" s="51" t="e">
        <f>Ticker0001_Exchange_Sheet!CT196-#REF!</f>
      </c>
      <c r="BV154" s="51" t="e">
        <f>Ticker0001_Exchange_Sheet!CU196-#REF!</f>
      </c>
      <c r="BW154" s="51" t="e">
        <f>Ticker0001_Exchange_Sheet!CV196-#REF!</f>
      </c>
      <c r="BX154" s="51" t="e">
        <f>Ticker0001_Exchange_Sheet!CW196-#REF!</f>
      </c>
      <c r="BY154" s="51" t="e">
        <f>Ticker0001_Exchange_Sheet!CX196-#REF!</f>
      </c>
      <c r="BZ154" s="51" t="e">
        <f>Ticker0001_Exchange_Sheet!CY196-#REF!</f>
      </c>
      <c r="CA154" s="51" t="e">
        <f>Ticker0001_Exchange_Sheet!CZ196-#REF!</f>
      </c>
      <c r="CB154" s="51" t="e">
        <f>Ticker0001_Exchange_Sheet!DA196-#REF!</f>
      </c>
      <c r="CC154" s="51" t="e">
        <f>Ticker0001_Exchange_Sheet!DB196-#REF!</f>
      </c>
      <c r="CD154" s="51" t="e">
        <f>Ticker0001_Exchange_Sheet!DC196-#REF!</f>
      </c>
      <c r="CE154" s="51" t="e">
        <f>Ticker0001_Exchange_Sheet!DD196-#REF!</f>
      </c>
      <c r="CF154" s="51" t="e">
        <f>Ticker0001_Exchange_Sheet!DE196-#REF!</f>
      </c>
    </row>
    <row r="155" spans="6:84">
      <c r="F155" s="51" t="e">
        <f>Ticker0001_Exchange_Sheet!F197-#REF!</f>
      </c>
      <c r="G155" s="51" t="e">
        <f>Ticker0001_Exchange_Sheet!G197-#REF!</f>
      </c>
      <c r="H155" s="51" t="e">
        <f>Ticker0001_Exchange_Sheet!H197-#REF!</f>
      </c>
      <c r="I155" s="51" t="e">
        <f>Ticker0001_Exchange_Sheet!I197-#REF!</f>
      </c>
      <c r="J155" s="51" t="e">
        <f>Ticker0001_Exchange_Sheet!J197-#REF!</f>
      </c>
      <c r="K155" s="51" t="e">
        <f>Ticker0001_Exchange_Sheet!K197-#REF!</f>
      </c>
      <c r="L155" s="51" t="e">
        <f>Ticker0001_Exchange_Sheet!L197-#REF!</f>
      </c>
      <c r="M155" s="51" t="e">
        <f>Ticker0001_Exchange_Sheet!M197-#REF!</f>
      </c>
      <c r="N155" s="51" t="e">
        <f>Ticker0001_Exchange_Sheet!N197-#REF!</f>
      </c>
      <c r="O155" s="51" t="e">
        <f>Ticker0001_Exchange_Sheet!O197-#REF!</f>
      </c>
      <c r="P155" s="51" t="e">
        <f>Ticker0001_Exchange_Sheet!P197-#REF!</f>
      </c>
      <c r="Q155" s="51" t="e">
        <f>Ticker0001_Exchange_Sheet!Q197-#REF!</f>
      </c>
      <c r="R155" s="51" t="e">
        <f>Ticker0001_Exchange_Sheet!R197-#REF!</f>
      </c>
      <c r="S155" s="51" t="e">
        <f>Ticker0001_Exchange_Sheet!S197-#REF!</f>
      </c>
      <c r="T155" s="51" t="e">
        <f>Ticker0001_Exchange_Sheet!T197-#REF!</f>
      </c>
      <c r="U155" s="51" t="e">
        <f>Ticker0001_Exchange_Sheet!U197-#REF!</f>
      </c>
      <c r="V155" s="51" t="e">
        <f>Ticker0001_Exchange_Sheet!V197-#REF!</f>
      </c>
      <c r="W155" s="51" t="e">
        <f>Ticker0001_Exchange_Sheet!W197-#REF!</f>
      </c>
      <c r="X155" s="51" t="e">
        <f>Ticker0001_Exchange_Sheet!AK197-#REF!</f>
      </c>
      <c r="Y155" s="51" t="e">
        <f>Ticker0001_Exchange_Sheet!AX197-#REF!</f>
      </c>
      <c r="Z155" s="51" t="e">
        <f>Ticker0001_Exchange_Sheet!AY197-#REF!</f>
      </c>
      <c r="AA155" s="51" t="e">
        <f>Ticker0001_Exchange_Sheet!AZ197-#REF!</f>
      </c>
      <c r="AB155" s="51" t="e">
        <f>Ticker0001_Exchange_Sheet!BA197-#REF!</f>
      </c>
      <c r="AC155" s="51" t="e">
        <f>Ticker0001_Exchange_Sheet!BB197-#REF!</f>
      </c>
      <c r="AD155" s="51" t="e">
        <f>Ticker0001_Exchange_Sheet!BC197-#REF!</f>
      </c>
      <c r="AE155" s="51" t="e">
        <f>Ticker0001_Exchange_Sheet!BD197-#REF!</f>
      </c>
      <c r="AF155" s="51" t="e">
        <f>Ticker0001_Exchange_Sheet!BE197-#REF!</f>
      </c>
      <c r="AG155" s="51" t="e">
        <f>Ticker0001_Exchange_Sheet!BF197-#REF!</f>
      </c>
      <c r="AH155" s="51" t="e">
        <f>Ticker0001_Exchange_Sheet!BG197-#REF!</f>
      </c>
      <c r="AI155" s="51" t="e">
        <f>Ticker0001_Exchange_Sheet!BH197-#REF!</f>
      </c>
      <c r="AJ155" s="51" t="e">
        <f>Ticker0001_Exchange_Sheet!BI197-#REF!</f>
      </c>
      <c r="AK155" s="51" t="e">
        <f>Ticker0001_Exchange_Sheet!BJ197-#REF!</f>
      </c>
      <c r="AL155" s="51" t="e">
        <f>Ticker0001_Exchange_Sheet!BK197-#REF!</f>
      </c>
      <c r="AM155" s="51" t="e">
        <f>Ticker0001_Exchange_Sheet!BL197-#REF!</f>
      </c>
      <c r="AN155" s="51" t="e">
        <f>Ticker0001_Exchange_Sheet!BM197-#REF!</f>
      </c>
      <c r="AO155" s="51" t="e">
        <f>Ticker0001_Exchange_Sheet!BN197-#REF!</f>
      </c>
      <c r="AP155" s="51" t="e">
        <f>Ticker0001_Exchange_Sheet!BO197-#REF!</f>
      </c>
      <c r="AQ155" s="51" t="e">
        <f>Ticker0001_Exchange_Sheet!BP197-#REF!</f>
      </c>
      <c r="AR155" s="51" t="e">
        <f>Ticker0001_Exchange_Sheet!BQ197-#REF!</f>
      </c>
      <c r="AS155" s="51" t="e">
        <f>Ticker0001_Exchange_Sheet!BR197-#REF!</f>
      </c>
      <c r="AT155" s="51" t="e">
        <f>Ticker0001_Exchange_Sheet!BS197-#REF!</f>
      </c>
      <c r="AU155" s="51" t="e">
        <f>Ticker0001_Exchange_Sheet!BT197-#REF!</f>
      </c>
      <c r="AV155" s="51" t="e">
        <f>Ticker0001_Exchange_Sheet!BU197-#REF!</f>
      </c>
      <c r="AW155" s="51" t="e">
        <f>Ticker0001_Exchange_Sheet!BV197-#REF!</f>
      </c>
      <c r="AX155" s="51" t="e">
        <f>Ticker0001_Exchange_Sheet!BW197-#REF!</f>
      </c>
      <c r="AY155" s="51" t="e">
        <f>Ticker0001_Exchange_Sheet!BX197-#REF!</f>
      </c>
      <c r="AZ155" s="51" t="e">
        <f>Ticker0001_Exchange_Sheet!BY197-#REF!</f>
      </c>
      <c r="BA155" s="51" t="e">
        <f>Ticker0001_Exchange_Sheet!BZ197-#REF!</f>
      </c>
      <c r="BB155" s="51" t="e">
        <f>Ticker0001_Exchange_Sheet!CA197-#REF!</f>
      </c>
      <c r="BC155" s="51" t="e">
        <f>Ticker0001_Exchange_Sheet!CB197-#REF!</f>
      </c>
      <c r="BD155" s="51" t="e">
        <f>Ticker0001_Exchange_Sheet!CC197-#REF!</f>
      </c>
      <c r="BE155" s="51" t="e">
        <f>Ticker0001_Exchange_Sheet!CD197-#REF!</f>
      </c>
      <c r="BF155" s="51" t="e">
        <f>Ticker0001_Exchange_Sheet!CE197-#REF!</f>
      </c>
      <c r="BG155" s="51" t="e">
        <f>Ticker0001_Exchange_Sheet!CF197-#REF!</f>
      </c>
      <c r="BH155" s="51" t="e">
        <f>Ticker0001_Exchange_Sheet!CG197-#REF!</f>
      </c>
      <c r="BI155" s="51" t="e">
        <f>Ticker0001_Exchange_Sheet!CH197-#REF!</f>
      </c>
      <c r="BJ155" s="51" t="e">
        <f>Ticker0001_Exchange_Sheet!CI197-#REF!</f>
      </c>
      <c r="BK155" s="51" t="e">
        <f>Ticker0001_Exchange_Sheet!CJ197-#REF!</f>
      </c>
      <c r="BL155" s="51" t="e">
        <f>Ticker0001_Exchange_Sheet!CK197-#REF!</f>
      </c>
      <c r="BM155" s="51" t="e">
        <f>Ticker0001_Exchange_Sheet!CL197-#REF!</f>
      </c>
      <c r="BN155" s="51" t="e">
        <f>Ticker0001_Exchange_Sheet!CM197-#REF!</f>
      </c>
      <c r="BO155" s="51" t="e">
        <f>Ticker0001_Exchange_Sheet!CN197-#REF!</f>
      </c>
      <c r="BP155" s="51" t="e">
        <f>Ticker0001_Exchange_Sheet!CO197-#REF!</f>
      </c>
      <c r="BQ155" s="51" t="e">
        <f>Ticker0001_Exchange_Sheet!CP197-#REF!</f>
      </c>
      <c r="BR155" s="51" t="e">
        <f>Ticker0001_Exchange_Sheet!CQ197-#REF!</f>
      </c>
      <c r="BS155" s="51" t="e">
        <f>Ticker0001_Exchange_Sheet!CR197-#REF!</f>
      </c>
      <c r="BT155" s="51" t="e">
        <f>Ticker0001_Exchange_Sheet!CS197-#REF!</f>
      </c>
      <c r="BU155" s="51" t="e">
        <f>Ticker0001_Exchange_Sheet!CT197-#REF!</f>
      </c>
      <c r="BV155" s="51" t="e">
        <f>Ticker0001_Exchange_Sheet!CU197-#REF!</f>
      </c>
      <c r="BW155" s="51" t="e">
        <f>Ticker0001_Exchange_Sheet!CV197-#REF!</f>
      </c>
      <c r="BX155" s="51" t="e">
        <f>Ticker0001_Exchange_Sheet!CW197-#REF!</f>
      </c>
      <c r="BY155" s="51" t="e">
        <f>Ticker0001_Exchange_Sheet!CX197-#REF!</f>
      </c>
      <c r="BZ155" s="51" t="e">
        <f>Ticker0001_Exchange_Sheet!CY197-#REF!</f>
      </c>
      <c r="CA155" s="51" t="e">
        <f>Ticker0001_Exchange_Sheet!CZ197-#REF!</f>
      </c>
      <c r="CB155" s="51" t="e">
        <f>Ticker0001_Exchange_Sheet!DA197-#REF!</f>
      </c>
      <c r="CC155" s="51" t="e">
        <f>Ticker0001_Exchange_Sheet!DB197-#REF!</f>
      </c>
      <c r="CD155" s="51" t="e">
        <f>Ticker0001_Exchange_Sheet!DC197-#REF!</f>
      </c>
      <c r="CE155" s="51" t="e">
        <f>Ticker0001_Exchange_Sheet!DD197-#REF!</f>
      </c>
      <c r="CF155" s="51" t="e">
        <f>Ticker0001_Exchange_Sheet!DE197-#REF!</f>
      </c>
    </row>
    <row r="156" spans="6:84">
      <c r="F156" s="51" t="e">
        <f>Ticker0001_Exchange_Sheet!F198-#REF!</f>
      </c>
      <c r="G156" s="51" t="e">
        <f>Ticker0001_Exchange_Sheet!G198-#REF!</f>
      </c>
      <c r="H156" s="51" t="e">
        <f>Ticker0001_Exchange_Sheet!H198-#REF!</f>
      </c>
      <c r="I156" s="51" t="e">
        <f>Ticker0001_Exchange_Sheet!I198-#REF!</f>
      </c>
      <c r="J156" s="51" t="e">
        <f>Ticker0001_Exchange_Sheet!J198-#REF!</f>
      </c>
      <c r="K156" s="51" t="e">
        <f>Ticker0001_Exchange_Sheet!K198-#REF!</f>
      </c>
      <c r="L156" s="51" t="e">
        <f>Ticker0001_Exchange_Sheet!L198-#REF!</f>
      </c>
      <c r="M156" s="51" t="e">
        <f>Ticker0001_Exchange_Sheet!M198-#REF!</f>
      </c>
      <c r="N156" s="51" t="e">
        <f>Ticker0001_Exchange_Sheet!N198-#REF!</f>
      </c>
      <c r="O156" s="51" t="e">
        <f>Ticker0001_Exchange_Sheet!O198-#REF!</f>
      </c>
      <c r="P156" s="51" t="e">
        <f>Ticker0001_Exchange_Sheet!P198-#REF!</f>
      </c>
      <c r="Q156" s="51" t="e">
        <f>Ticker0001_Exchange_Sheet!Q198-#REF!</f>
      </c>
      <c r="R156" s="51" t="e">
        <f>Ticker0001_Exchange_Sheet!R198-#REF!</f>
      </c>
      <c r="S156" s="51" t="e">
        <f>Ticker0001_Exchange_Sheet!S198-#REF!</f>
      </c>
      <c r="T156" s="51" t="e">
        <f>Ticker0001_Exchange_Sheet!T198-#REF!</f>
      </c>
      <c r="U156" s="51" t="e">
        <f>Ticker0001_Exchange_Sheet!U198-#REF!</f>
      </c>
      <c r="V156" s="51" t="e">
        <f>Ticker0001_Exchange_Sheet!V198-#REF!</f>
      </c>
      <c r="W156" s="51" t="e">
        <f>Ticker0001_Exchange_Sheet!W198-#REF!</f>
      </c>
      <c r="X156" s="51" t="e">
        <f>Ticker0001_Exchange_Sheet!AK198-#REF!</f>
      </c>
      <c r="Y156" s="51" t="e">
        <f>Ticker0001_Exchange_Sheet!AX198-#REF!</f>
      </c>
      <c r="Z156" s="51" t="e">
        <f>Ticker0001_Exchange_Sheet!AY198-#REF!</f>
      </c>
      <c r="AA156" s="51" t="e">
        <f>Ticker0001_Exchange_Sheet!AZ198-#REF!</f>
      </c>
      <c r="AB156" s="51" t="e">
        <f>Ticker0001_Exchange_Sheet!BA198-#REF!</f>
      </c>
      <c r="AC156" s="51" t="e">
        <f>Ticker0001_Exchange_Sheet!BB198-#REF!</f>
      </c>
      <c r="AD156" s="51" t="e">
        <f>Ticker0001_Exchange_Sheet!BC198-#REF!</f>
      </c>
      <c r="AE156" s="51" t="e">
        <f>Ticker0001_Exchange_Sheet!BD198-#REF!</f>
      </c>
      <c r="AF156" s="51" t="e">
        <f>Ticker0001_Exchange_Sheet!BE198-#REF!</f>
      </c>
      <c r="AG156" s="51" t="e">
        <f>Ticker0001_Exchange_Sheet!BF198-#REF!</f>
      </c>
      <c r="AH156" s="51" t="e">
        <f>Ticker0001_Exchange_Sheet!BG198-#REF!</f>
      </c>
      <c r="AI156" s="51" t="e">
        <f>Ticker0001_Exchange_Sheet!BH198-#REF!</f>
      </c>
      <c r="AJ156" s="51" t="e">
        <f>Ticker0001_Exchange_Sheet!BI198-#REF!</f>
      </c>
      <c r="AK156" s="51" t="e">
        <f>Ticker0001_Exchange_Sheet!BJ198-#REF!</f>
      </c>
      <c r="AL156" s="51" t="e">
        <f>Ticker0001_Exchange_Sheet!BK198-#REF!</f>
      </c>
      <c r="AM156" s="51" t="e">
        <f>Ticker0001_Exchange_Sheet!BL198-#REF!</f>
      </c>
      <c r="AN156" s="51" t="e">
        <f>Ticker0001_Exchange_Sheet!BM198-#REF!</f>
      </c>
      <c r="AO156" s="51" t="e">
        <f>Ticker0001_Exchange_Sheet!BN198-#REF!</f>
      </c>
      <c r="AP156" s="51" t="e">
        <f>Ticker0001_Exchange_Sheet!BO198-#REF!</f>
      </c>
      <c r="AQ156" s="51" t="e">
        <f>Ticker0001_Exchange_Sheet!BP198-#REF!</f>
      </c>
      <c r="AR156" s="51" t="e">
        <f>Ticker0001_Exchange_Sheet!BQ198-#REF!</f>
      </c>
      <c r="AS156" s="51" t="e">
        <f>Ticker0001_Exchange_Sheet!BR198-#REF!</f>
      </c>
      <c r="AT156" s="51" t="e">
        <f>Ticker0001_Exchange_Sheet!BS198-#REF!</f>
      </c>
      <c r="AU156" s="51" t="e">
        <f>Ticker0001_Exchange_Sheet!BT198-#REF!</f>
      </c>
      <c r="AV156" s="51" t="e">
        <f>Ticker0001_Exchange_Sheet!BU198-#REF!</f>
      </c>
      <c r="AW156" s="51" t="e">
        <f>Ticker0001_Exchange_Sheet!BV198-#REF!</f>
      </c>
      <c r="AX156" s="51" t="e">
        <f>Ticker0001_Exchange_Sheet!BW198-#REF!</f>
      </c>
      <c r="AY156" s="51" t="e">
        <f>Ticker0001_Exchange_Sheet!BX198-#REF!</f>
      </c>
      <c r="AZ156" s="51" t="e">
        <f>Ticker0001_Exchange_Sheet!BY198-#REF!</f>
      </c>
      <c r="BA156" s="51" t="e">
        <f>Ticker0001_Exchange_Sheet!BZ198-#REF!</f>
      </c>
      <c r="BB156" s="51" t="e">
        <f>Ticker0001_Exchange_Sheet!CA198-#REF!</f>
      </c>
      <c r="BC156" s="51" t="e">
        <f>Ticker0001_Exchange_Sheet!CB198-#REF!</f>
      </c>
      <c r="BD156" s="51" t="e">
        <f>Ticker0001_Exchange_Sheet!CC198-#REF!</f>
      </c>
      <c r="BE156" s="51" t="e">
        <f>Ticker0001_Exchange_Sheet!CD198-#REF!</f>
      </c>
      <c r="BF156" s="51" t="e">
        <f>Ticker0001_Exchange_Sheet!CE198-#REF!</f>
      </c>
      <c r="BG156" s="51" t="e">
        <f>Ticker0001_Exchange_Sheet!CF198-#REF!</f>
      </c>
      <c r="BH156" s="51" t="e">
        <f>Ticker0001_Exchange_Sheet!CG198-#REF!</f>
      </c>
      <c r="BI156" s="51" t="e">
        <f>Ticker0001_Exchange_Sheet!CH198-#REF!</f>
      </c>
      <c r="BJ156" s="51" t="e">
        <f>Ticker0001_Exchange_Sheet!CI198-#REF!</f>
      </c>
      <c r="BK156" s="51" t="e">
        <f>Ticker0001_Exchange_Sheet!CJ198-#REF!</f>
      </c>
      <c r="BL156" s="51" t="e">
        <f>Ticker0001_Exchange_Sheet!CK198-#REF!</f>
      </c>
      <c r="BM156" s="51" t="e">
        <f>Ticker0001_Exchange_Sheet!CL198-#REF!</f>
      </c>
      <c r="BN156" s="51" t="e">
        <f>Ticker0001_Exchange_Sheet!CM198-#REF!</f>
      </c>
      <c r="BO156" s="51" t="e">
        <f>Ticker0001_Exchange_Sheet!CN198-#REF!</f>
      </c>
      <c r="BP156" s="51" t="e">
        <f>Ticker0001_Exchange_Sheet!CO198-#REF!</f>
      </c>
      <c r="BQ156" s="51" t="e">
        <f>Ticker0001_Exchange_Sheet!CP198-#REF!</f>
      </c>
      <c r="BR156" s="51" t="e">
        <f>Ticker0001_Exchange_Sheet!CQ198-#REF!</f>
      </c>
      <c r="BS156" s="51" t="e">
        <f>Ticker0001_Exchange_Sheet!CR198-#REF!</f>
      </c>
      <c r="BT156" s="51" t="e">
        <f>Ticker0001_Exchange_Sheet!CS198-#REF!</f>
      </c>
      <c r="BU156" s="51" t="e">
        <f>Ticker0001_Exchange_Sheet!CT198-#REF!</f>
      </c>
      <c r="BV156" s="51" t="e">
        <f>Ticker0001_Exchange_Sheet!CU198-#REF!</f>
      </c>
      <c r="BW156" s="51" t="e">
        <f>Ticker0001_Exchange_Sheet!CV198-#REF!</f>
      </c>
      <c r="BX156" s="51" t="e">
        <f>Ticker0001_Exchange_Sheet!CW198-#REF!</f>
      </c>
      <c r="BY156" s="51" t="e">
        <f>Ticker0001_Exchange_Sheet!CX198-#REF!</f>
      </c>
      <c r="BZ156" s="51" t="e">
        <f>Ticker0001_Exchange_Sheet!CY198-#REF!</f>
      </c>
      <c r="CA156" s="51" t="e">
        <f>Ticker0001_Exchange_Sheet!CZ198-#REF!</f>
      </c>
      <c r="CB156" s="51" t="e">
        <f>Ticker0001_Exchange_Sheet!DA198-#REF!</f>
      </c>
      <c r="CC156" s="51" t="e">
        <f>Ticker0001_Exchange_Sheet!DB198-#REF!</f>
      </c>
      <c r="CD156" s="51" t="e">
        <f>Ticker0001_Exchange_Sheet!DC198-#REF!</f>
      </c>
      <c r="CE156" s="51" t="e">
        <f>Ticker0001_Exchange_Sheet!DD198-#REF!</f>
      </c>
      <c r="CF156" s="51" t="e">
        <f>Ticker0001_Exchange_Sheet!DE198-#REF!</f>
      </c>
    </row>
    <row r="157" spans="6:84">
      <c r="F157" s="51" t="e">
        <f>Ticker0001_Exchange_Sheet!F199-#REF!</f>
      </c>
      <c r="G157" s="51" t="e">
        <f>Ticker0001_Exchange_Sheet!G199-#REF!</f>
      </c>
      <c r="H157" s="51" t="e">
        <f>Ticker0001_Exchange_Sheet!H199-#REF!</f>
      </c>
      <c r="I157" s="51" t="e">
        <f>Ticker0001_Exchange_Sheet!I199-#REF!</f>
      </c>
      <c r="J157" s="51" t="e">
        <f>Ticker0001_Exchange_Sheet!J199-#REF!</f>
      </c>
      <c r="K157" s="51" t="e">
        <f>Ticker0001_Exchange_Sheet!K199-#REF!</f>
      </c>
      <c r="L157" s="51" t="e">
        <f>Ticker0001_Exchange_Sheet!L199-#REF!</f>
      </c>
      <c r="M157" s="51" t="e">
        <f>Ticker0001_Exchange_Sheet!M199-#REF!</f>
      </c>
      <c r="N157" s="51" t="e">
        <f>Ticker0001_Exchange_Sheet!N199-#REF!</f>
      </c>
      <c r="O157" s="51" t="e">
        <f>Ticker0001_Exchange_Sheet!O199-#REF!</f>
      </c>
      <c r="P157" s="51" t="e">
        <f>Ticker0001_Exchange_Sheet!P199-#REF!</f>
      </c>
      <c r="Q157" s="51" t="e">
        <f>Ticker0001_Exchange_Sheet!Q199-#REF!</f>
      </c>
      <c r="R157" s="51" t="e">
        <f>Ticker0001_Exchange_Sheet!R199-#REF!</f>
      </c>
      <c r="S157" s="51" t="e">
        <f>Ticker0001_Exchange_Sheet!S199-#REF!</f>
      </c>
      <c r="T157" s="51" t="e">
        <f>Ticker0001_Exchange_Sheet!T199-#REF!</f>
      </c>
      <c r="U157" s="51" t="e">
        <f>Ticker0001_Exchange_Sheet!U199-#REF!</f>
      </c>
      <c r="V157" s="51" t="e">
        <f>Ticker0001_Exchange_Sheet!V199-#REF!</f>
      </c>
      <c r="W157" s="51" t="e">
        <f>Ticker0001_Exchange_Sheet!W199-#REF!</f>
      </c>
      <c r="X157" s="51" t="e">
        <f>Ticker0001_Exchange_Sheet!AK199-#REF!</f>
      </c>
      <c r="Y157" s="51" t="e">
        <f>Ticker0001_Exchange_Sheet!AX199-#REF!</f>
      </c>
      <c r="Z157" s="51" t="e">
        <f>Ticker0001_Exchange_Sheet!AY199-#REF!</f>
      </c>
      <c r="AA157" s="51" t="e">
        <f>Ticker0001_Exchange_Sheet!AZ199-#REF!</f>
      </c>
      <c r="AB157" s="51" t="e">
        <f>Ticker0001_Exchange_Sheet!BA199-#REF!</f>
      </c>
      <c r="AC157" s="51" t="e">
        <f>Ticker0001_Exchange_Sheet!BB199-#REF!</f>
      </c>
      <c r="AD157" s="51" t="e">
        <f>Ticker0001_Exchange_Sheet!BC199-#REF!</f>
      </c>
      <c r="AE157" s="51" t="e">
        <f>Ticker0001_Exchange_Sheet!BD199-#REF!</f>
      </c>
      <c r="AF157" s="51" t="e">
        <f>Ticker0001_Exchange_Sheet!BE199-#REF!</f>
      </c>
      <c r="AG157" s="51" t="e">
        <f>Ticker0001_Exchange_Sheet!BF199-#REF!</f>
      </c>
      <c r="AH157" s="51" t="e">
        <f>Ticker0001_Exchange_Sheet!BG199-#REF!</f>
      </c>
      <c r="AI157" s="51" t="e">
        <f>Ticker0001_Exchange_Sheet!BH199-#REF!</f>
      </c>
      <c r="AJ157" s="51" t="e">
        <f>Ticker0001_Exchange_Sheet!BI199-#REF!</f>
      </c>
      <c r="AK157" s="51" t="e">
        <f>Ticker0001_Exchange_Sheet!BJ199-#REF!</f>
      </c>
      <c r="AL157" s="51" t="e">
        <f>Ticker0001_Exchange_Sheet!BK199-#REF!</f>
      </c>
      <c r="AM157" s="51" t="e">
        <f>Ticker0001_Exchange_Sheet!BL199-#REF!</f>
      </c>
      <c r="AN157" s="51" t="e">
        <f>Ticker0001_Exchange_Sheet!BM199-#REF!</f>
      </c>
      <c r="AO157" s="51" t="e">
        <f>Ticker0001_Exchange_Sheet!BN199-#REF!</f>
      </c>
      <c r="AP157" s="51" t="e">
        <f>Ticker0001_Exchange_Sheet!BO199-#REF!</f>
      </c>
      <c r="AQ157" s="51" t="e">
        <f>Ticker0001_Exchange_Sheet!BP199-#REF!</f>
      </c>
      <c r="AR157" s="51" t="e">
        <f>Ticker0001_Exchange_Sheet!BQ199-#REF!</f>
      </c>
      <c r="AS157" s="51" t="e">
        <f>Ticker0001_Exchange_Sheet!BR199-#REF!</f>
      </c>
      <c r="AT157" s="51" t="e">
        <f>Ticker0001_Exchange_Sheet!BS199-#REF!</f>
      </c>
      <c r="AU157" s="51" t="e">
        <f>Ticker0001_Exchange_Sheet!BT199-#REF!</f>
      </c>
      <c r="AV157" s="51" t="e">
        <f>Ticker0001_Exchange_Sheet!BU199-#REF!</f>
      </c>
      <c r="AW157" s="51" t="e">
        <f>Ticker0001_Exchange_Sheet!BV199-#REF!</f>
      </c>
      <c r="AX157" s="51" t="e">
        <f>Ticker0001_Exchange_Sheet!BW199-#REF!</f>
      </c>
      <c r="AY157" s="51" t="e">
        <f>Ticker0001_Exchange_Sheet!BX199-#REF!</f>
      </c>
      <c r="AZ157" s="51" t="e">
        <f>Ticker0001_Exchange_Sheet!BY199-#REF!</f>
      </c>
      <c r="BA157" s="51" t="e">
        <f>Ticker0001_Exchange_Sheet!BZ199-#REF!</f>
      </c>
      <c r="BB157" s="51" t="e">
        <f>Ticker0001_Exchange_Sheet!CA199-#REF!</f>
      </c>
      <c r="BC157" s="51" t="e">
        <f>Ticker0001_Exchange_Sheet!CB199-#REF!</f>
      </c>
      <c r="BD157" s="51" t="e">
        <f>Ticker0001_Exchange_Sheet!CC199-#REF!</f>
      </c>
      <c r="BE157" s="51" t="e">
        <f>Ticker0001_Exchange_Sheet!CD199-#REF!</f>
      </c>
      <c r="BF157" s="51" t="e">
        <f>Ticker0001_Exchange_Sheet!CE199-#REF!</f>
      </c>
      <c r="BG157" s="51" t="e">
        <f>Ticker0001_Exchange_Sheet!CF199-#REF!</f>
      </c>
      <c r="BH157" s="51" t="e">
        <f>Ticker0001_Exchange_Sheet!CG199-#REF!</f>
      </c>
      <c r="BI157" s="51" t="e">
        <f>Ticker0001_Exchange_Sheet!CH199-#REF!</f>
      </c>
      <c r="BJ157" s="51" t="e">
        <f>Ticker0001_Exchange_Sheet!CI199-#REF!</f>
      </c>
      <c r="BK157" s="51" t="e">
        <f>Ticker0001_Exchange_Sheet!CJ199-#REF!</f>
      </c>
      <c r="BL157" s="51" t="e">
        <f>Ticker0001_Exchange_Sheet!CK199-#REF!</f>
      </c>
      <c r="BM157" s="51" t="e">
        <f>Ticker0001_Exchange_Sheet!CL199-#REF!</f>
      </c>
      <c r="BN157" s="51" t="e">
        <f>Ticker0001_Exchange_Sheet!CM199-#REF!</f>
      </c>
      <c r="BO157" s="51" t="e">
        <f>Ticker0001_Exchange_Sheet!CN199-#REF!</f>
      </c>
      <c r="BP157" s="51" t="e">
        <f>Ticker0001_Exchange_Sheet!CO199-#REF!</f>
      </c>
      <c r="BQ157" s="51" t="e">
        <f>Ticker0001_Exchange_Sheet!CP199-#REF!</f>
      </c>
      <c r="BR157" s="51" t="e">
        <f>Ticker0001_Exchange_Sheet!CQ199-#REF!</f>
      </c>
      <c r="BS157" s="51" t="e">
        <f>Ticker0001_Exchange_Sheet!CR199-#REF!</f>
      </c>
      <c r="BT157" s="51" t="e">
        <f>Ticker0001_Exchange_Sheet!CS199-#REF!</f>
      </c>
      <c r="BU157" s="51" t="e">
        <f>Ticker0001_Exchange_Sheet!CT199-#REF!</f>
      </c>
      <c r="BV157" s="51" t="e">
        <f>Ticker0001_Exchange_Sheet!CU199-#REF!</f>
      </c>
      <c r="BW157" s="51" t="e">
        <f>Ticker0001_Exchange_Sheet!CV199-#REF!</f>
      </c>
      <c r="BX157" s="51" t="e">
        <f>Ticker0001_Exchange_Sheet!CW199-#REF!</f>
      </c>
      <c r="BY157" s="51" t="e">
        <f>Ticker0001_Exchange_Sheet!CX199-#REF!</f>
      </c>
      <c r="BZ157" s="51" t="e">
        <f>Ticker0001_Exchange_Sheet!CY199-#REF!</f>
      </c>
      <c r="CA157" s="51" t="e">
        <f>Ticker0001_Exchange_Sheet!CZ199-#REF!</f>
      </c>
      <c r="CB157" s="51" t="e">
        <f>Ticker0001_Exchange_Sheet!DA199-#REF!</f>
      </c>
      <c r="CC157" s="51" t="e">
        <f>Ticker0001_Exchange_Sheet!DB199-#REF!</f>
      </c>
      <c r="CD157" s="51" t="e">
        <f>Ticker0001_Exchange_Sheet!DC199-#REF!</f>
      </c>
      <c r="CE157" s="51" t="e">
        <f>Ticker0001_Exchange_Sheet!DD199-#REF!</f>
      </c>
      <c r="CF157" s="51" t="e">
        <f>Ticker0001_Exchange_Sheet!DE199-#REF!</f>
      </c>
    </row>
    <row r="158" spans="6:84">
      <c r="F158" s="51" t="e">
        <f>Ticker0001_Exchange_Sheet!F200-#REF!</f>
      </c>
      <c r="G158" s="51" t="e">
        <f>Ticker0001_Exchange_Sheet!G200-#REF!</f>
      </c>
      <c r="H158" s="51" t="e">
        <f>Ticker0001_Exchange_Sheet!H200-#REF!</f>
      </c>
      <c r="I158" s="51" t="e">
        <f>Ticker0001_Exchange_Sheet!I200-#REF!</f>
      </c>
      <c r="J158" s="51" t="e">
        <f>Ticker0001_Exchange_Sheet!J200-#REF!</f>
      </c>
      <c r="K158" s="51" t="e">
        <f>Ticker0001_Exchange_Sheet!K200-#REF!</f>
      </c>
      <c r="L158" s="51" t="e">
        <f>Ticker0001_Exchange_Sheet!L200-#REF!</f>
      </c>
      <c r="M158" s="51" t="e">
        <f>Ticker0001_Exchange_Sheet!M200-#REF!</f>
      </c>
      <c r="N158" s="51" t="e">
        <f>Ticker0001_Exchange_Sheet!N200-#REF!</f>
      </c>
      <c r="O158" s="51" t="e">
        <f>Ticker0001_Exchange_Sheet!O200-#REF!</f>
      </c>
      <c r="P158" s="51" t="e">
        <f>Ticker0001_Exchange_Sheet!P200-#REF!</f>
      </c>
      <c r="Q158" s="51" t="e">
        <f>Ticker0001_Exchange_Sheet!Q200-#REF!</f>
      </c>
      <c r="R158" s="51" t="e">
        <f>Ticker0001_Exchange_Sheet!R200-#REF!</f>
      </c>
      <c r="S158" s="51" t="e">
        <f>Ticker0001_Exchange_Sheet!S200-#REF!</f>
      </c>
      <c r="T158" s="51" t="e">
        <f>Ticker0001_Exchange_Sheet!T200-#REF!</f>
      </c>
      <c r="U158" s="51" t="e">
        <f>Ticker0001_Exchange_Sheet!U200-#REF!</f>
      </c>
      <c r="V158" s="51" t="e">
        <f>Ticker0001_Exchange_Sheet!V200-#REF!</f>
      </c>
      <c r="W158" s="51" t="e">
        <f>Ticker0001_Exchange_Sheet!W200-#REF!</f>
      </c>
      <c r="X158" s="51" t="e">
        <f>Ticker0001_Exchange_Sheet!AK200-#REF!</f>
      </c>
      <c r="Y158" s="51" t="e">
        <f>Ticker0001_Exchange_Sheet!AX200-#REF!</f>
      </c>
      <c r="Z158" s="51" t="e">
        <f>Ticker0001_Exchange_Sheet!AY200-#REF!</f>
      </c>
      <c r="AA158" s="51" t="e">
        <f>Ticker0001_Exchange_Sheet!AZ200-#REF!</f>
      </c>
      <c r="AB158" s="51" t="e">
        <f>Ticker0001_Exchange_Sheet!BA200-#REF!</f>
      </c>
      <c r="AC158" s="51" t="e">
        <f>Ticker0001_Exchange_Sheet!BB200-#REF!</f>
      </c>
      <c r="AD158" s="51" t="e">
        <f>Ticker0001_Exchange_Sheet!BC200-#REF!</f>
      </c>
      <c r="AE158" s="51" t="e">
        <f>Ticker0001_Exchange_Sheet!BD200-#REF!</f>
      </c>
      <c r="AF158" s="51" t="e">
        <f>Ticker0001_Exchange_Sheet!BE200-#REF!</f>
      </c>
      <c r="AG158" s="51" t="e">
        <f>Ticker0001_Exchange_Sheet!BF200-#REF!</f>
      </c>
      <c r="AH158" s="51" t="e">
        <f>Ticker0001_Exchange_Sheet!BG200-#REF!</f>
      </c>
      <c r="AI158" s="51" t="e">
        <f>Ticker0001_Exchange_Sheet!BH200-#REF!</f>
      </c>
      <c r="AJ158" s="51" t="e">
        <f>Ticker0001_Exchange_Sheet!BI200-#REF!</f>
      </c>
      <c r="AK158" s="51" t="e">
        <f>Ticker0001_Exchange_Sheet!BJ200-#REF!</f>
      </c>
      <c r="AL158" s="51" t="e">
        <f>Ticker0001_Exchange_Sheet!BK200-#REF!</f>
      </c>
      <c r="AM158" s="51" t="e">
        <f>Ticker0001_Exchange_Sheet!BL200-#REF!</f>
      </c>
      <c r="AN158" s="51" t="e">
        <f>Ticker0001_Exchange_Sheet!BM200-#REF!</f>
      </c>
      <c r="AO158" s="51" t="e">
        <f>Ticker0001_Exchange_Sheet!BN200-#REF!</f>
      </c>
      <c r="AP158" s="51" t="e">
        <f>Ticker0001_Exchange_Sheet!BO200-#REF!</f>
      </c>
      <c r="AQ158" s="51" t="e">
        <f>Ticker0001_Exchange_Sheet!BP200-#REF!</f>
      </c>
      <c r="AR158" s="51" t="e">
        <f>Ticker0001_Exchange_Sheet!BQ200-#REF!</f>
      </c>
      <c r="AS158" s="51" t="e">
        <f>Ticker0001_Exchange_Sheet!BR200-#REF!</f>
      </c>
      <c r="AT158" s="51" t="e">
        <f>Ticker0001_Exchange_Sheet!BS200-#REF!</f>
      </c>
      <c r="AU158" s="51" t="e">
        <f>Ticker0001_Exchange_Sheet!BT200-#REF!</f>
      </c>
      <c r="AV158" s="51" t="e">
        <f>Ticker0001_Exchange_Sheet!BU200-#REF!</f>
      </c>
      <c r="AW158" s="51" t="e">
        <f>Ticker0001_Exchange_Sheet!BV200-#REF!</f>
      </c>
      <c r="AX158" s="51" t="e">
        <f>Ticker0001_Exchange_Sheet!BW200-#REF!</f>
      </c>
      <c r="AY158" s="51" t="e">
        <f>Ticker0001_Exchange_Sheet!BX200-#REF!</f>
      </c>
      <c r="AZ158" s="51" t="e">
        <f>Ticker0001_Exchange_Sheet!BY200-#REF!</f>
      </c>
      <c r="BA158" s="51" t="e">
        <f>Ticker0001_Exchange_Sheet!BZ200-#REF!</f>
      </c>
      <c r="BB158" s="51" t="e">
        <f>Ticker0001_Exchange_Sheet!CA200-#REF!</f>
      </c>
      <c r="BC158" s="51" t="e">
        <f>Ticker0001_Exchange_Sheet!CB200-#REF!</f>
      </c>
      <c r="BD158" s="51" t="e">
        <f>Ticker0001_Exchange_Sheet!CC200-#REF!</f>
      </c>
      <c r="BE158" s="51" t="e">
        <f>Ticker0001_Exchange_Sheet!CD200-#REF!</f>
      </c>
      <c r="BF158" s="51" t="e">
        <f>Ticker0001_Exchange_Sheet!CE200-#REF!</f>
      </c>
      <c r="BG158" s="51" t="e">
        <f>Ticker0001_Exchange_Sheet!CF200-#REF!</f>
      </c>
      <c r="BH158" s="51" t="e">
        <f>Ticker0001_Exchange_Sheet!CG200-#REF!</f>
      </c>
      <c r="BI158" s="51" t="e">
        <f>Ticker0001_Exchange_Sheet!CH200-#REF!</f>
      </c>
      <c r="BJ158" s="51" t="e">
        <f>Ticker0001_Exchange_Sheet!CI200-#REF!</f>
      </c>
      <c r="BK158" s="51" t="e">
        <f>Ticker0001_Exchange_Sheet!CJ200-#REF!</f>
      </c>
      <c r="BL158" s="51" t="e">
        <f>Ticker0001_Exchange_Sheet!CK200-#REF!</f>
      </c>
      <c r="BM158" s="51" t="e">
        <f>Ticker0001_Exchange_Sheet!CL200-#REF!</f>
      </c>
      <c r="BN158" s="51" t="e">
        <f>Ticker0001_Exchange_Sheet!CM200-#REF!</f>
      </c>
      <c r="BO158" s="51" t="e">
        <f>Ticker0001_Exchange_Sheet!CN200-#REF!</f>
      </c>
      <c r="BP158" s="51" t="e">
        <f>Ticker0001_Exchange_Sheet!CO200-#REF!</f>
      </c>
      <c r="BQ158" s="51" t="e">
        <f>Ticker0001_Exchange_Sheet!CP200-#REF!</f>
      </c>
      <c r="BR158" s="51" t="e">
        <f>Ticker0001_Exchange_Sheet!CQ200-#REF!</f>
      </c>
      <c r="BS158" s="51" t="e">
        <f>Ticker0001_Exchange_Sheet!CR200-#REF!</f>
      </c>
      <c r="BT158" s="51" t="e">
        <f>Ticker0001_Exchange_Sheet!CS200-#REF!</f>
      </c>
      <c r="BU158" s="51" t="e">
        <f>Ticker0001_Exchange_Sheet!CT200-#REF!</f>
      </c>
      <c r="BV158" s="51" t="e">
        <f>Ticker0001_Exchange_Sheet!CU200-#REF!</f>
      </c>
      <c r="BW158" s="51" t="e">
        <f>Ticker0001_Exchange_Sheet!CV200-#REF!</f>
      </c>
      <c r="BX158" s="51" t="e">
        <f>Ticker0001_Exchange_Sheet!CW200-#REF!</f>
      </c>
      <c r="BY158" s="51" t="e">
        <f>Ticker0001_Exchange_Sheet!CX200-#REF!</f>
      </c>
      <c r="BZ158" s="51" t="e">
        <f>Ticker0001_Exchange_Sheet!CY200-#REF!</f>
      </c>
      <c r="CA158" s="51" t="e">
        <f>Ticker0001_Exchange_Sheet!CZ200-#REF!</f>
      </c>
      <c r="CB158" s="51" t="e">
        <f>Ticker0001_Exchange_Sheet!DA200-#REF!</f>
      </c>
      <c r="CC158" s="51" t="e">
        <f>Ticker0001_Exchange_Sheet!DB200-#REF!</f>
      </c>
      <c r="CD158" s="51" t="e">
        <f>Ticker0001_Exchange_Sheet!DC200-#REF!</f>
      </c>
      <c r="CE158" s="51" t="e">
        <f>Ticker0001_Exchange_Sheet!DD200-#REF!</f>
      </c>
      <c r="CF158" s="51" t="e">
        <f>Ticker0001_Exchange_Sheet!DE200-#REF!</f>
      </c>
    </row>
    <row r="159" spans="6:84">
      <c r="F159" s="51" t="e">
        <f>Ticker0001_Exchange_Sheet!F201-#REF!</f>
      </c>
      <c r="G159" s="51" t="e">
        <f>Ticker0001_Exchange_Sheet!G201-#REF!</f>
      </c>
      <c r="H159" s="51" t="e">
        <f>Ticker0001_Exchange_Sheet!H201-#REF!</f>
      </c>
      <c r="I159" s="51" t="e">
        <f>Ticker0001_Exchange_Sheet!I201-#REF!</f>
      </c>
      <c r="J159" s="51" t="e">
        <f>Ticker0001_Exchange_Sheet!J201-#REF!</f>
      </c>
      <c r="K159" s="51" t="e">
        <f>Ticker0001_Exchange_Sheet!K201-#REF!</f>
      </c>
      <c r="L159" s="51" t="e">
        <f>Ticker0001_Exchange_Sheet!L201-#REF!</f>
      </c>
      <c r="M159" s="51" t="e">
        <f>Ticker0001_Exchange_Sheet!M201-#REF!</f>
      </c>
      <c r="N159" s="51" t="e">
        <f>Ticker0001_Exchange_Sheet!N201-#REF!</f>
      </c>
      <c r="O159" s="51" t="e">
        <f>Ticker0001_Exchange_Sheet!O201-#REF!</f>
      </c>
      <c r="P159" s="51" t="e">
        <f>Ticker0001_Exchange_Sheet!P201-#REF!</f>
      </c>
      <c r="Q159" s="51" t="e">
        <f>Ticker0001_Exchange_Sheet!Q201-#REF!</f>
      </c>
      <c r="R159" s="51" t="e">
        <f>Ticker0001_Exchange_Sheet!R201-#REF!</f>
      </c>
      <c r="S159" s="51" t="e">
        <f>Ticker0001_Exchange_Sheet!S201-#REF!</f>
      </c>
      <c r="T159" s="51" t="e">
        <f>Ticker0001_Exchange_Sheet!T201-#REF!</f>
      </c>
      <c r="U159" s="51" t="e">
        <f>Ticker0001_Exchange_Sheet!U201-#REF!</f>
      </c>
      <c r="V159" s="51" t="e">
        <f>Ticker0001_Exchange_Sheet!V201-#REF!</f>
      </c>
      <c r="W159" s="51" t="e">
        <f>Ticker0001_Exchange_Sheet!W201-#REF!</f>
      </c>
      <c r="X159" s="51" t="e">
        <f>Ticker0001_Exchange_Sheet!AK201-#REF!</f>
      </c>
      <c r="Y159" s="51" t="e">
        <f>Ticker0001_Exchange_Sheet!AX201-#REF!</f>
      </c>
      <c r="Z159" s="51" t="e">
        <f>Ticker0001_Exchange_Sheet!AY201-#REF!</f>
      </c>
      <c r="AA159" s="51" t="e">
        <f>Ticker0001_Exchange_Sheet!AZ201-#REF!</f>
      </c>
      <c r="AB159" s="51" t="e">
        <f>Ticker0001_Exchange_Sheet!BA201-#REF!</f>
      </c>
      <c r="AC159" s="51" t="e">
        <f>Ticker0001_Exchange_Sheet!BB201-#REF!</f>
      </c>
      <c r="AD159" s="51" t="e">
        <f>Ticker0001_Exchange_Sheet!BC201-#REF!</f>
      </c>
      <c r="AE159" s="51" t="e">
        <f>Ticker0001_Exchange_Sheet!BD201-#REF!</f>
      </c>
      <c r="AF159" s="51" t="e">
        <f>Ticker0001_Exchange_Sheet!BE201-#REF!</f>
      </c>
      <c r="AG159" s="51" t="e">
        <f>Ticker0001_Exchange_Sheet!BF201-#REF!</f>
      </c>
      <c r="AH159" s="51" t="e">
        <f>Ticker0001_Exchange_Sheet!BG201-#REF!</f>
      </c>
      <c r="AI159" s="51" t="e">
        <f>Ticker0001_Exchange_Sheet!BH201-#REF!</f>
      </c>
      <c r="AJ159" s="51" t="e">
        <f>Ticker0001_Exchange_Sheet!BI201-#REF!</f>
      </c>
      <c r="AK159" s="51" t="e">
        <f>Ticker0001_Exchange_Sheet!BJ201-#REF!</f>
      </c>
      <c r="AL159" s="51" t="e">
        <f>Ticker0001_Exchange_Sheet!BK201-#REF!</f>
      </c>
      <c r="AM159" s="51" t="e">
        <f>Ticker0001_Exchange_Sheet!BL201-#REF!</f>
      </c>
      <c r="AN159" s="51" t="e">
        <f>Ticker0001_Exchange_Sheet!BM201-#REF!</f>
      </c>
      <c r="AO159" s="51" t="e">
        <f>Ticker0001_Exchange_Sheet!BN201-#REF!</f>
      </c>
      <c r="AP159" s="51" t="e">
        <f>Ticker0001_Exchange_Sheet!BO201-#REF!</f>
      </c>
      <c r="AQ159" s="51" t="e">
        <f>Ticker0001_Exchange_Sheet!BP201-#REF!</f>
      </c>
      <c r="AR159" s="51" t="e">
        <f>Ticker0001_Exchange_Sheet!BQ201-#REF!</f>
      </c>
      <c r="AS159" s="51" t="e">
        <f>Ticker0001_Exchange_Sheet!BR201-#REF!</f>
      </c>
      <c r="AT159" s="51" t="e">
        <f>Ticker0001_Exchange_Sheet!BS201-#REF!</f>
      </c>
      <c r="AU159" s="51" t="e">
        <f>Ticker0001_Exchange_Sheet!BT201-#REF!</f>
      </c>
      <c r="AV159" s="51" t="e">
        <f>Ticker0001_Exchange_Sheet!BU201-#REF!</f>
      </c>
      <c r="AW159" s="51" t="e">
        <f>Ticker0001_Exchange_Sheet!BV201-#REF!</f>
      </c>
      <c r="AX159" s="51" t="e">
        <f>Ticker0001_Exchange_Sheet!BW201-#REF!</f>
      </c>
      <c r="AY159" s="51" t="e">
        <f>Ticker0001_Exchange_Sheet!BX201-#REF!</f>
      </c>
      <c r="AZ159" s="51" t="e">
        <f>Ticker0001_Exchange_Sheet!BY201-#REF!</f>
      </c>
      <c r="BA159" s="51" t="e">
        <f>Ticker0001_Exchange_Sheet!BZ201-#REF!</f>
      </c>
      <c r="BB159" s="51" t="e">
        <f>Ticker0001_Exchange_Sheet!CA201-#REF!</f>
      </c>
      <c r="BC159" s="51" t="e">
        <f>Ticker0001_Exchange_Sheet!CB201-#REF!</f>
      </c>
      <c r="BD159" s="51" t="e">
        <f>Ticker0001_Exchange_Sheet!CC201-#REF!</f>
      </c>
      <c r="BE159" s="51" t="e">
        <f>Ticker0001_Exchange_Sheet!CD201-#REF!</f>
      </c>
      <c r="BF159" s="51" t="e">
        <f>Ticker0001_Exchange_Sheet!CE201-#REF!</f>
      </c>
      <c r="BG159" s="51" t="e">
        <f>Ticker0001_Exchange_Sheet!CF201-#REF!</f>
      </c>
      <c r="BH159" s="51" t="e">
        <f>Ticker0001_Exchange_Sheet!CG201-#REF!</f>
      </c>
      <c r="BI159" s="51" t="e">
        <f>Ticker0001_Exchange_Sheet!CH201-#REF!</f>
      </c>
      <c r="BJ159" s="51" t="e">
        <f>Ticker0001_Exchange_Sheet!CI201-#REF!</f>
      </c>
      <c r="BK159" s="51" t="e">
        <f>Ticker0001_Exchange_Sheet!CJ201-#REF!</f>
      </c>
      <c r="BL159" s="51" t="e">
        <f>Ticker0001_Exchange_Sheet!CK201-#REF!</f>
      </c>
      <c r="BM159" s="51" t="e">
        <f>Ticker0001_Exchange_Sheet!CL201-#REF!</f>
      </c>
      <c r="BN159" s="51" t="e">
        <f>Ticker0001_Exchange_Sheet!CM201-#REF!</f>
      </c>
      <c r="BO159" s="51" t="e">
        <f>Ticker0001_Exchange_Sheet!CN201-#REF!</f>
      </c>
      <c r="BP159" s="51" t="e">
        <f>Ticker0001_Exchange_Sheet!CO201-#REF!</f>
      </c>
      <c r="BQ159" s="51" t="e">
        <f>Ticker0001_Exchange_Sheet!CP201-#REF!</f>
      </c>
      <c r="BR159" s="51" t="e">
        <f>Ticker0001_Exchange_Sheet!CQ201-#REF!</f>
      </c>
      <c r="BS159" s="51" t="e">
        <f>Ticker0001_Exchange_Sheet!CR201-#REF!</f>
      </c>
      <c r="BT159" s="51" t="e">
        <f>Ticker0001_Exchange_Sheet!CS201-#REF!</f>
      </c>
      <c r="BU159" s="51" t="e">
        <f>Ticker0001_Exchange_Sheet!CT201-#REF!</f>
      </c>
      <c r="BV159" s="51" t="e">
        <f>Ticker0001_Exchange_Sheet!CU201-#REF!</f>
      </c>
      <c r="BW159" s="51" t="e">
        <f>Ticker0001_Exchange_Sheet!CV201-#REF!</f>
      </c>
      <c r="BX159" s="51" t="e">
        <f>Ticker0001_Exchange_Sheet!CW201-#REF!</f>
      </c>
      <c r="BY159" s="51" t="e">
        <f>Ticker0001_Exchange_Sheet!CX201-#REF!</f>
      </c>
      <c r="BZ159" s="51" t="e">
        <f>Ticker0001_Exchange_Sheet!CY201-#REF!</f>
      </c>
      <c r="CA159" s="51" t="e">
        <f>Ticker0001_Exchange_Sheet!CZ201-#REF!</f>
      </c>
      <c r="CB159" s="51" t="e">
        <f>Ticker0001_Exchange_Sheet!DA201-#REF!</f>
      </c>
      <c r="CC159" s="51" t="e">
        <f>Ticker0001_Exchange_Sheet!DB201-#REF!</f>
      </c>
      <c r="CD159" s="51" t="e">
        <f>Ticker0001_Exchange_Sheet!DC201-#REF!</f>
      </c>
      <c r="CE159" s="51" t="e">
        <f>Ticker0001_Exchange_Sheet!DD201-#REF!</f>
      </c>
      <c r="CF159" s="51" t="e">
        <f>Ticker0001_Exchange_Sheet!DE201-#REF!</f>
      </c>
    </row>
    <row r="160" spans="6:84">
      <c r="F160" s="51" t="e">
        <f>Ticker0001_Exchange_Sheet!F202-#REF!</f>
      </c>
      <c r="G160" s="51" t="e">
        <f>Ticker0001_Exchange_Sheet!G202-#REF!</f>
      </c>
      <c r="H160" s="51" t="e">
        <f>Ticker0001_Exchange_Sheet!H202-#REF!</f>
      </c>
      <c r="I160" s="51" t="e">
        <f>Ticker0001_Exchange_Sheet!I202-#REF!</f>
      </c>
      <c r="J160" s="51" t="e">
        <f>Ticker0001_Exchange_Sheet!J202-#REF!</f>
      </c>
      <c r="K160" s="51" t="e">
        <f>Ticker0001_Exchange_Sheet!K202-#REF!</f>
      </c>
      <c r="L160" s="51" t="e">
        <f>Ticker0001_Exchange_Sheet!L202-#REF!</f>
      </c>
      <c r="M160" s="51" t="e">
        <f>Ticker0001_Exchange_Sheet!M202-#REF!</f>
      </c>
      <c r="N160" s="51" t="e">
        <f>Ticker0001_Exchange_Sheet!N202-#REF!</f>
      </c>
      <c r="O160" s="51" t="e">
        <f>Ticker0001_Exchange_Sheet!O202-#REF!</f>
      </c>
      <c r="P160" s="51" t="e">
        <f>Ticker0001_Exchange_Sheet!P202-#REF!</f>
      </c>
      <c r="Q160" s="51" t="e">
        <f>Ticker0001_Exchange_Sheet!Q202-#REF!</f>
      </c>
      <c r="R160" s="51" t="e">
        <f>Ticker0001_Exchange_Sheet!R202-#REF!</f>
      </c>
      <c r="S160" s="51" t="e">
        <f>Ticker0001_Exchange_Sheet!S202-#REF!</f>
      </c>
      <c r="T160" s="51" t="e">
        <f>Ticker0001_Exchange_Sheet!T202-#REF!</f>
      </c>
      <c r="U160" s="51" t="e">
        <f>Ticker0001_Exchange_Sheet!U202-#REF!</f>
      </c>
      <c r="V160" s="51" t="e">
        <f>Ticker0001_Exchange_Sheet!V202-#REF!</f>
      </c>
      <c r="W160" s="51" t="e">
        <f>Ticker0001_Exchange_Sheet!W202-#REF!</f>
      </c>
      <c r="X160" s="51" t="e">
        <f>Ticker0001_Exchange_Sheet!AK202-#REF!</f>
      </c>
      <c r="Y160" s="51" t="e">
        <f>Ticker0001_Exchange_Sheet!AX202-#REF!</f>
      </c>
      <c r="Z160" s="51" t="e">
        <f>Ticker0001_Exchange_Sheet!AY202-#REF!</f>
      </c>
      <c r="AA160" s="51" t="e">
        <f>Ticker0001_Exchange_Sheet!AZ202-#REF!</f>
      </c>
      <c r="AB160" s="51" t="e">
        <f>Ticker0001_Exchange_Sheet!BA202-#REF!</f>
      </c>
      <c r="AC160" s="51" t="e">
        <f>Ticker0001_Exchange_Sheet!BB202-#REF!</f>
      </c>
      <c r="AD160" s="51" t="e">
        <f>Ticker0001_Exchange_Sheet!BC202-#REF!</f>
      </c>
      <c r="AE160" s="51" t="e">
        <f>Ticker0001_Exchange_Sheet!BD202-#REF!</f>
      </c>
      <c r="AF160" s="51" t="e">
        <f>Ticker0001_Exchange_Sheet!BE202-#REF!</f>
      </c>
      <c r="AG160" s="51" t="e">
        <f>Ticker0001_Exchange_Sheet!BF202-#REF!</f>
      </c>
      <c r="AH160" s="51" t="e">
        <f>Ticker0001_Exchange_Sheet!BG202-#REF!</f>
      </c>
      <c r="AI160" s="51" t="e">
        <f>Ticker0001_Exchange_Sheet!BH202-#REF!</f>
      </c>
      <c r="AJ160" s="51" t="e">
        <f>Ticker0001_Exchange_Sheet!BI202-#REF!</f>
      </c>
      <c r="AK160" s="51" t="e">
        <f>Ticker0001_Exchange_Sheet!BJ202-#REF!</f>
      </c>
      <c r="AL160" s="51" t="e">
        <f>Ticker0001_Exchange_Sheet!BK202-#REF!</f>
      </c>
      <c r="AM160" s="51" t="e">
        <f>Ticker0001_Exchange_Sheet!BL202-#REF!</f>
      </c>
      <c r="AN160" s="51" t="e">
        <f>Ticker0001_Exchange_Sheet!BM202-#REF!</f>
      </c>
      <c r="AO160" s="51" t="e">
        <f>Ticker0001_Exchange_Sheet!BN202-#REF!</f>
      </c>
      <c r="AP160" s="51" t="e">
        <f>Ticker0001_Exchange_Sheet!BO202-#REF!</f>
      </c>
      <c r="AQ160" s="51" t="e">
        <f>Ticker0001_Exchange_Sheet!BP202-#REF!</f>
      </c>
      <c r="AR160" s="51" t="e">
        <f>Ticker0001_Exchange_Sheet!BQ202-#REF!</f>
      </c>
      <c r="AS160" s="51" t="e">
        <f>Ticker0001_Exchange_Sheet!BR202-#REF!</f>
      </c>
      <c r="AT160" s="51" t="e">
        <f>Ticker0001_Exchange_Sheet!BS202-#REF!</f>
      </c>
      <c r="AU160" s="51" t="e">
        <f>Ticker0001_Exchange_Sheet!BT202-#REF!</f>
      </c>
      <c r="AV160" s="51" t="e">
        <f>Ticker0001_Exchange_Sheet!BU202-#REF!</f>
      </c>
      <c r="AW160" s="51" t="e">
        <f>Ticker0001_Exchange_Sheet!BV202-#REF!</f>
      </c>
      <c r="AX160" s="51" t="e">
        <f>Ticker0001_Exchange_Sheet!BW202-#REF!</f>
      </c>
      <c r="AY160" s="51" t="e">
        <f>Ticker0001_Exchange_Sheet!BX202-#REF!</f>
      </c>
      <c r="AZ160" s="51" t="e">
        <f>Ticker0001_Exchange_Sheet!BY202-#REF!</f>
      </c>
      <c r="BA160" s="51" t="e">
        <f>Ticker0001_Exchange_Sheet!BZ202-#REF!</f>
      </c>
      <c r="BB160" s="51" t="e">
        <f>Ticker0001_Exchange_Sheet!CA202-#REF!</f>
      </c>
      <c r="BC160" s="51" t="e">
        <f>Ticker0001_Exchange_Sheet!CB202-#REF!</f>
      </c>
      <c r="BD160" s="51" t="e">
        <f>Ticker0001_Exchange_Sheet!CC202-#REF!</f>
      </c>
      <c r="BE160" s="51" t="e">
        <f>Ticker0001_Exchange_Sheet!CD202-#REF!</f>
      </c>
      <c r="BF160" s="51" t="e">
        <f>Ticker0001_Exchange_Sheet!CE202-#REF!</f>
      </c>
      <c r="BG160" s="51" t="e">
        <f>Ticker0001_Exchange_Sheet!CF202-#REF!</f>
      </c>
      <c r="BH160" s="51" t="e">
        <f>Ticker0001_Exchange_Sheet!CG202-#REF!</f>
      </c>
      <c r="BI160" s="51" t="e">
        <f>Ticker0001_Exchange_Sheet!CH202-#REF!</f>
      </c>
      <c r="BJ160" s="51" t="e">
        <f>Ticker0001_Exchange_Sheet!CI202-#REF!</f>
      </c>
      <c r="BK160" s="51" t="e">
        <f>Ticker0001_Exchange_Sheet!CJ202-#REF!</f>
      </c>
      <c r="BL160" s="51" t="e">
        <f>Ticker0001_Exchange_Sheet!CK202-#REF!</f>
      </c>
      <c r="BM160" s="51" t="e">
        <f>Ticker0001_Exchange_Sheet!CL202-#REF!</f>
      </c>
      <c r="BN160" s="51" t="e">
        <f>Ticker0001_Exchange_Sheet!CM202-#REF!</f>
      </c>
      <c r="BO160" s="51" t="e">
        <f>Ticker0001_Exchange_Sheet!CN202-#REF!</f>
      </c>
      <c r="BP160" s="51" t="e">
        <f>Ticker0001_Exchange_Sheet!CO202-#REF!</f>
      </c>
      <c r="BQ160" s="51" t="e">
        <f>Ticker0001_Exchange_Sheet!CP202-#REF!</f>
      </c>
      <c r="BR160" s="51" t="e">
        <f>Ticker0001_Exchange_Sheet!CQ202-#REF!</f>
      </c>
      <c r="BS160" s="51" t="e">
        <f>Ticker0001_Exchange_Sheet!CR202-#REF!</f>
      </c>
      <c r="BT160" s="51" t="e">
        <f>Ticker0001_Exchange_Sheet!CS202-#REF!</f>
      </c>
      <c r="BU160" s="51" t="e">
        <f>Ticker0001_Exchange_Sheet!CT202-#REF!</f>
      </c>
      <c r="BV160" s="51" t="e">
        <f>Ticker0001_Exchange_Sheet!CU202-#REF!</f>
      </c>
      <c r="BW160" s="51" t="e">
        <f>Ticker0001_Exchange_Sheet!CV202-#REF!</f>
      </c>
      <c r="BX160" s="51" t="e">
        <f>Ticker0001_Exchange_Sheet!CW202-#REF!</f>
      </c>
      <c r="BY160" s="51" t="e">
        <f>Ticker0001_Exchange_Sheet!CX202-#REF!</f>
      </c>
      <c r="BZ160" s="51" t="e">
        <f>Ticker0001_Exchange_Sheet!CY202-#REF!</f>
      </c>
      <c r="CA160" s="51" t="e">
        <f>Ticker0001_Exchange_Sheet!CZ202-#REF!</f>
      </c>
      <c r="CB160" s="51" t="e">
        <f>Ticker0001_Exchange_Sheet!DA202-#REF!</f>
      </c>
      <c r="CC160" s="51" t="e">
        <f>Ticker0001_Exchange_Sheet!DB202-#REF!</f>
      </c>
      <c r="CD160" s="51" t="e">
        <f>Ticker0001_Exchange_Sheet!DC202-#REF!</f>
      </c>
      <c r="CE160" s="51" t="e">
        <f>Ticker0001_Exchange_Sheet!DD202-#REF!</f>
      </c>
      <c r="CF160" s="51" t="e">
        <f>Ticker0001_Exchange_Sheet!DE202-#REF!</f>
      </c>
    </row>
    <row r="161" spans="6:84">
      <c r="F161" s="51" t="e">
        <f>Ticker0001_Exchange_Sheet!F203-#REF!</f>
      </c>
      <c r="G161" s="51" t="e">
        <f>Ticker0001_Exchange_Sheet!G203-#REF!</f>
      </c>
      <c r="H161" s="51" t="e">
        <f>Ticker0001_Exchange_Sheet!H203-#REF!</f>
      </c>
      <c r="I161" s="51" t="e">
        <f>Ticker0001_Exchange_Sheet!I203-#REF!</f>
      </c>
      <c r="J161" s="51" t="e">
        <f>Ticker0001_Exchange_Sheet!J203-#REF!</f>
      </c>
      <c r="K161" s="51" t="e">
        <f>Ticker0001_Exchange_Sheet!K203-#REF!</f>
      </c>
      <c r="L161" s="51" t="e">
        <f>Ticker0001_Exchange_Sheet!L203-#REF!</f>
      </c>
      <c r="M161" s="51" t="e">
        <f>Ticker0001_Exchange_Sheet!M203-#REF!</f>
      </c>
      <c r="N161" s="51" t="e">
        <f>Ticker0001_Exchange_Sheet!N203-#REF!</f>
      </c>
      <c r="O161" s="51" t="e">
        <f>Ticker0001_Exchange_Sheet!O203-#REF!</f>
      </c>
      <c r="P161" s="51" t="e">
        <f>Ticker0001_Exchange_Sheet!P203-#REF!</f>
      </c>
      <c r="Q161" s="51" t="e">
        <f>Ticker0001_Exchange_Sheet!Q203-#REF!</f>
      </c>
      <c r="R161" s="51" t="e">
        <f>Ticker0001_Exchange_Sheet!R203-#REF!</f>
      </c>
      <c r="S161" s="51" t="e">
        <f>Ticker0001_Exchange_Sheet!S203-#REF!</f>
      </c>
      <c r="T161" s="51" t="e">
        <f>Ticker0001_Exchange_Sheet!T203-#REF!</f>
      </c>
      <c r="U161" s="51" t="e">
        <f>Ticker0001_Exchange_Sheet!U203-#REF!</f>
      </c>
      <c r="V161" s="51" t="e">
        <f>Ticker0001_Exchange_Sheet!V203-#REF!</f>
      </c>
      <c r="W161" s="51" t="e">
        <f>Ticker0001_Exchange_Sheet!W203-#REF!</f>
      </c>
      <c r="X161" s="51" t="e">
        <f>Ticker0001_Exchange_Sheet!AK203-#REF!</f>
      </c>
      <c r="Y161" s="51" t="e">
        <f>Ticker0001_Exchange_Sheet!AX203-#REF!</f>
      </c>
      <c r="Z161" s="51" t="e">
        <f>Ticker0001_Exchange_Sheet!AY203-#REF!</f>
      </c>
      <c r="AA161" s="51" t="e">
        <f>Ticker0001_Exchange_Sheet!AZ203-#REF!</f>
      </c>
      <c r="AB161" s="51" t="e">
        <f>Ticker0001_Exchange_Sheet!BA203-#REF!</f>
      </c>
      <c r="AC161" s="51" t="e">
        <f>Ticker0001_Exchange_Sheet!BB203-#REF!</f>
      </c>
      <c r="AD161" s="51" t="e">
        <f>Ticker0001_Exchange_Sheet!BC203-#REF!</f>
      </c>
      <c r="AE161" s="51" t="e">
        <f>Ticker0001_Exchange_Sheet!BD203-#REF!</f>
      </c>
      <c r="AF161" s="51" t="e">
        <f>Ticker0001_Exchange_Sheet!BE203-#REF!</f>
      </c>
      <c r="AG161" s="51" t="e">
        <f>Ticker0001_Exchange_Sheet!BF203-#REF!</f>
      </c>
      <c r="AH161" s="51" t="e">
        <f>Ticker0001_Exchange_Sheet!BG203-#REF!</f>
      </c>
      <c r="AI161" s="51" t="e">
        <f>Ticker0001_Exchange_Sheet!BH203-#REF!</f>
      </c>
      <c r="AJ161" s="51" t="e">
        <f>Ticker0001_Exchange_Sheet!BI203-#REF!</f>
      </c>
      <c r="AK161" s="51" t="e">
        <f>Ticker0001_Exchange_Sheet!BJ203-#REF!</f>
      </c>
      <c r="AL161" s="51" t="e">
        <f>Ticker0001_Exchange_Sheet!BK203-#REF!</f>
      </c>
      <c r="AM161" s="51" t="e">
        <f>Ticker0001_Exchange_Sheet!BL203-#REF!</f>
      </c>
      <c r="AN161" s="51" t="e">
        <f>Ticker0001_Exchange_Sheet!BM203-#REF!</f>
      </c>
      <c r="AO161" s="51" t="e">
        <f>Ticker0001_Exchange_Sheet!BN203-#REF!</f>
      </c>
      <c r="AP161" s="51" t="e">
        <f>Ticker0001_Exchange_Sheet!BO203-#REF!</f>
      </c>
      <c r="AQ161" s="51" t="e">
        <f>Ticker0001_Exchange_Sheet!BP203-#REF!</f>
      </c>
      <c r="AR161" s="51" t="e">
        <f>Ticker0001_Exchange_Sheet!BQ203-#REF!</f>
      </c>
      <c r="AS161" s="51" t="e">
        <f>Ticker0001_Exchange_Sheet!BR203-#REF!</f>
      </c>
      <c r="AT161" s="51" t="e">
        <f>Ticker0001_Exchange_Sheet!BS203-#REF!</f>
      </c>
      <c r="AU161" s="51" t="e">
        <f>Ticker0001_Exchange_Sheet!BT203-#REF!</f>
      </c>
      <c r="AV161" s="51" t="e">
        <f>Ticker0001_Exchange_Sheet!BU203-#REF!</f>
      </c>
      <c r="AW161" s="51" t="e">
        <f>Ticker0001_Exchange_Sheet!BV203-#REF!</f>
      </c>
      <c r="AX161" s="51" t="e">
        <f>Ticker0001_Exchange_Sheet!BW203-#REF!</f>
      </c>
      <c r="AY161" s="51" t="e">
        <f>Ticker0001_Exchange_Sheet!BX203-#REF!</f>
      </c>
      <c r="AZ161" s="51" t="e">
        <f>Ticker0001_Exchange_Sheet!BY203-#REF!</f>
      </c>
      <c r="BA161" s="51" t="e">
        <f>Ticker0001_Exchange_Sheet!BZ203-#REF!</f>
      </c>
      <c r="BB161" s="51" t="e">
        <f>Ticker0001_Exchange_Sheet!CA203-#REF!</f>
      </c>
      <c r="BC161" s="51" t="e">
        <f>Ticker0001_Exchange_Sheet!CB203-#REF!</f>
      </c>
      <c r="BD161" s="51" t="e">
        <f>Ticker0001_Exchange_Sheet!CC203-#REF!</f>
      </c>
      <c r="BE161" s="51" t="e">
        <f>Ticker0001_Exchange_Sheet!CD203-#REF!</f>
      </c>
      <c r="BF161" s="51" t="e">
        <f>Ticker0001_Exchange_Sheet!CE203-#REF!</f>
      </c>
      <c r="BG161" s="51" t="e">
        <f>Ticker0001_Exchange_Sheet!CF203-#REF!</f>
      </c>
      <c r="BH161" s="51" t="e">
        <f>Ticker0001_Exchange_Sheet!CG203-#REF!</f>
      </c>
      <c r="BI161" s="51" t="e">
        <f>Ticker0001_Exchange_Sheet!CH203-#REF!</f>
      </c>
      <c r="BJ161" s="51" t="e">
        <f>Ticker0001_Exchange_Sheet!CI203-#REF!</f>
      </c>
      <c r="BK161" s="51" t="e">
        <f>Ticker0001_Exchange_Sheet!CJ203-#REF!</f>
      </c>
      <c r="BL161" s="51" t="e">
        <f>Ticker0001_Exchange_Sheet!CK203-#REF!</f>
      </c>
      <c r="BM161" s="51" t="e">
        <f>Ticker0001_Exchange_Sheet!CL203-#REF!</f>
      </c>
      <c r="BN161" s="51" t="e">
        <f>Ticker0001_Exchange_Sheet!CM203-#REF!</f>
      </c>
      <c r="BO161" s="51" t="e">
        <f>Ticker0001_Exchange_Sheet!CN203-#REF!</f>
      </c>
      <c r="BP161" s="51" t="e">
        <f>Ticker0001_Exchange_Sheet!CO203-#REF!</f>
      </c>
      <c r="BQ161" s="51" t="e">
        <f>Ticker0001_Exchange_Sheet!CP203-#REF!</f>
      </c>
      <c r="BR161" s="51" t="e">
        <f>Ticker0001_Exchange_Sheet!CQ203-#REF!</f>
      </c>
      <c r="BS161" s="51" t="e">
        <f>Ticker0001_Exchange_Sheet!CR203-#REF!</f>
      </c>
      <c r="BT161" s="51" t="e">
        <f>Ticker0001_Exchange_Sheet!CS203-#REF!</f>
      </c>
      <c r="BU161" s="51" t="e">
        <f>Ticker0001_Exchange_Sheet!CT203-#REF!</f>
      </c>
      <c r="BV161" s="51" t="e">
        <f>Ticker0001_Exchange_Sheet!CU203-#REF!</f>
      </c>
      <c r="BW161" s="51" t="e">
        <f>Ticker0001_Exchange_Sheet!CV203-#REF!</f>
      </c>
      <c r="BX161" s="51" t="e">
        <f>Ticker0001_Exchange_Sheet!CW203-#REF!</f>
      </c>
      <c r="BY161" s="51" t="e">
        <f>Ticker0001_Exchange_Sheet!CX203-#REF!</f>
      </c>
      <c r="BZ161" s="51" t="e">
        <f>Ticker0001_Exchange_Sheet!CY203-#REF!</f>
      </c>
      <c r="CA161" s="51" t="e">
        <f>Ticker0001_Exchange_Sheet!CZ203-#REF!</f>
      </c>
      <c r="CB161" s="51" t="e">
        <f>Ticker0001_Exchange_Sheet!DA203-#REF!</f>
      </c>
      <c r="CC161" s="51" t="e">
        <f>Ticker0001_Exchange_Sheet!DB203-#REF!</f>
      </c>
      <c r="CD161" s="51" t="e">
        <f>Ticker0001_Exchange_Sheet!DC203-#REF!</f>
      </c>
      <c r="CE161" s="51" t="e">
        <f>Ticker0001_Exchange_Sheet!DD203-#REF!</f>
      </c>
      <c r="CF161" s="51" t="e">
        <f>Ticker0001_Exchange_Sheet!DE203-#REF!</f>
      </c>
    </row>
    <row r="162" spans="6:84">
      <c r="F162" s="51" t="e">
        <f>Ticker0001_Exchange_Sheet!F204-#REF!</f>
      </c>
      <c r="G162" s="51" t="e">
        <f>Ticker0001_Exchange_Sheet!G204-#REF!</f>
      </c>
      <c r="H162" s="51" t="e">
        <f>Ticker0001_Exchange_Sheet!H204-#REF!</f>
      </c>
      <c r="I162" s="51" t="e">
        <f>Ticker0001_Exchange_Sheet!I204-#REF!</f>
      </c>
      <c r="J162" s="51" t="e">
        <f>Ticker0001_Exchange_Sheet!J204-#REF!</f>
      </c>
      <c r="K162" s="51" t="e">
        <f>Ticker0001_Exchange_Sheet!K204-#REF!</f>
      </c>
      <c r="L162" s="51" t="e">
        <f>Ticker0001_Exchange_Sheet!L204-#REF!</f>
      </c>
      <c r="M162" s="51" t="e">
        <f>Ticker0001_Exchange_Sheet!M204-#REF!</f>
      </c>
      <c r="N162" s="51" t="e">
        <f>Ticker0001_Exchange_Sheet!N204-#REF!</f>
      </c>
      <c r="O162" s="51" t="e">
        <f>Ticker0001_Exchange_Sheet!O204-#REF!</f>
      </c>
      <c r="P162" s="51" t="e">
        <f>Ticker0001_Exchange_Sheet!P204-#REF!</f>
      </c>
      <c r="Q162" s="51" t="e">
        <f>Ticker0001_Exchange_Sheet!Q204-#REF!</f>
      </c>
      <c r="R162" s="51" t="e">
        <f>Ticker0001_Exchange_Sheet!R204-#REF!</f>
      </c>
      <c r="S162" s="51" t="e">
        <f>Ticker0001_Exchange_Sheet!S204-#REF!</f>
      </c>
      <c r="T162" s="51" t="e">
        <f>Ticker0001_Exchange_Sheet!T204-#REF!</f>
      </c>
      <c r="U162" s="51" t="e">
        <f>Ticker0001_Exchange_Sheet!U204-#REF!</f>
      </c>
      <c r="V162" s="51" t="e">
        <f>Ticker0001_Exchange_Sheet!V204-#REF!</f>
      </c>
      <c r="W162" s="51" t="e">
        <f>Ticker0001_Exchange_Sheet!W204-#REF!</f>
      </c>
      <c r="X162" s="51" t="e">
        <f>Ticker0001_Exchange_Sheet!AK204-#REF!</f>
      </c>
      <c r="Y162" s="51" t="e">
        <f>Ticker0001_Exchange_Sheet!AX204-#REF!</f>
      </c>
      <c r="Z162" s="51" t="e">
        <f>Ticker0001_Exchange_Sheet!AY204-#REF!</f>
      </c>
      <c r="AA162" s="51" t="e">
        <f>Ticker0001_Exchange_Sheet!AZ204-#REF!</f>
      </c>
      <c r="AB162" s="51" t="e">
        <f>Ticker0001_Exchange_Sheet!BA204-#REF!</f>
      </c>
      <c r="AC162" s="51" t="e">
        <f>Ticker0001_Exchange_Sheet!BB204-#REF!</f>
      </c>
      <c r="AD162" s="51" t="e">
        <f>Ticker0001_Exchange_Sheet!BC204-#REF!</f>
      </c>
      <c r="AE162" s="51" t="e">
        <f>Ticker0001_Exchange_Sheet!BD204-#REF!</f>
      </c>
      <c r="AF162" s="51" t="e">
        <f>Ticker0001_Exchange_Sheet!BE204-#REF!</f>
      </c>
      <c r="AG162" s="51" t="e">
        <f>Ticker0001_Exchange_Sheet!BF204-#REF!</f>
      </c>
      <c r="AH162" s="51" t="e">
        <f>Ticker0001_Exchange_Sheet!BG204-#REF!</f>
      </c>
      <c r="AI162" s="51" t="e">
        <f>Ticker0001_Exchange_Sheet!BH204-#REF!</f>
      </c>
      <c r="AJ162" s="51" t="e">
        <f>Ticker0001_Exchange_Sheet!BI204-#REF!</f>
      </c>
      <c r="AK162" s="51" t="e">
        <f>Ticker0001_Exchange_Sheet!BJ204-#REF!</f>
      </c>
      <c r="AL162" s="51" t="e">
        <f>Ticker0001_Exchange_Sheet!BK204-#REF!</f>
      </c>
      <c r="AM162" s="51" t="e">
        <f>Ticker0001_Exchange_Sheet!BL204-#REF!</f>
      </c>
      <c r="AN162" s="51" t="e">
        <f>Ticker0001_Exchange_Sheet!BM204-#REF!</f>
      </c>
      <c r="AO162" s="51" t="e">
        <f>Ticker0001_Exchange_Sheet!BN204-#REF!</f>
      </c>
      <c r="AP162" s="51" t="e">
        <f>Ticker0001_Exchange_Sheet!BO204-#REF!</f>
      </c>
      <c r="AQ162" s="51" t="e">
        <f>Ticker0001_Exchange_Sheet!BP204-#REF!</f>
      </c>
      <c r="AR162" s="51" t="e">
        <f>Ticker0001_Exchange_Sheet!BQ204-#REF!</f>
      </c>
      <c r="AS162" s="51" t="e">
        <f>Ticker0001_Exchange_Sheet!BR204-#REF!</f>
      </c>
      <c r="AT162" s="51" t="e">
        <f>Ticker0001_Exchange_Sheet!BS204-#REF!</f>
      </c>
      <c r="AU162" s="51" t="e">
        <f>Ticker0001_Exchange_Sheet!BT204-#REF!</f>
      </c>
      <c r="AV162" s="51" t="e">
        <f>Ticker0001_Exchange_Sheet!BU204-#REF!</f>
      </c>
      <c r="AW162" s="51" t="e">
        <f>Ticker0001_Exchange_Sheet!BV204-#REF!</f>
      </c>
      <c r="AX162" s="51" t="e">
        <f>Ticker0001_Exchange_Sheet!BW204-#REF!</f>
      </c>
      <c r="AY162" s="51" t="e">
        <f>Ticker0001_Exchange_Sheet!BX204-#REF!</f>
      </c>
      <c r="AZ162" s="51" t="e">
        <f>Ticker0001_Exchange_Sheet!BY204-#REF!</f>
      </c>
      <c r="BA162" s="51" t="e">
        <f>Ticker0001_Exchange_Sheet!BZ204-#REF!</f>
      </c>
      <c r="BB162" s="51" t="e">
        <f>Ticker0001_Exchange_Sheet!CA204-#REF!</f>
      </c>
      <c r="BC162" s="51" t="e">
        <f>Ticker0001_Exchange_Sheet!CB204-#REF!</f>
      </c>
      <c r="BD162" s="51" t="e">
        <f>Ticker0001_Exchange_Sheet!CC204-#REF!</f>
      </c>
      <c r="BE162" s="51" t="e">
        <f>Ticker0001_Exchange_Sheet!CD204-#REF!</f>
      </c>
      <c r="BF162" s="51" t="e">
        <f>Ticker0001_Exchange_Sheet!CE204-#REF!</f>
      </c>
      <c r="BG162" s="51" t="e">
        <f>Ticker0001_Exchange_Sheet!CF204-#REF!</f>
      </c>
      <c r="BH162" s="51" t="e">
        <f>Ticker0001_Exchange_Sheet!CG204-#REF!</f>
      </c>
      <c r="BI162" s="51" t="e">
        <f>Ticker0001_Exchange_Sheet!CH204-#REF!</f>
      </c>
      <c r="BJ162" s="51" t="e">
        <f>Ticker0001_Exchange_Sheet!CI204-#REF!</f>
      </c>
      <c r="BK162" s="51" t="e">
        <f>Ticker0001_Exchange_Sheet!CJ204-#REF!</f>
      </c>
      <c r="BL162" s="51" t="e">
        <f>Ticker0001_Exchange_Sheet!CK204-#REF!</f>
      </c>
      <c r="BM162" s="51" t="e">
        <f>Ticker0001_Exchange_Sheet!CL204-#REF!</f>
      </c>
      <c r="BN162" s="51" t="e">
        <f>Ticker0001_Exchange_Sheet!CM204-#REF!</f>
      </c>
      <c r="BO162" s="51" t="e">
        <f>Ticker0001_Exchange_Sheet!CN204-#REF!</f>
      </c>
      <c r="BP162" s="51" t="e">
        <f>Ticker0001_Exchange_Sheet!CO204-#REF!</f>
      </c>
      <c r="BQ162" s="51" t="e">
        <f>Ticker0001_Exchange_Sheet!CP204-#REF!</f>
      </c>
      <c r="BR162" s="51" t="e">
        <f>Ticker0001_Exchange_Sheet!CQ204-#REF!</f>
      </c>
      <c r="BS162" s="51" t="e">
        <f>Ticker0001_Exchange_Sheet!CR204-#REF!</f>
      </c>
      <c r="BT162" s="51" t="e">
        <f>Ticker0001_Exchange_Sheet!CS204-#REF!</f>
      </c>
      <c r="BU162" s="51" t="e">
        <f>Ticker0001_Exchange_Sheet!CT204-#REF!</f>
      </c>
      <c r="BV162" s="51" t="e">
        <f>Ticker0001_Exchange_Sheet!CU204-#REF!</f>
      </c>
      <c r="BW162" s="51" t="e">
        <f>Ticker0001_Exchange_Sheet!CV204-#REF!</f>
      </c>
      <c r="BX162" s="51" t="e">
        <f>Ticker0001_Exchange_Sheet!CW204-#REF!</f>
      </c>
      <c r="BY162" s="51" t="e">
        <f>Ticker0001_Exchange_Sheet!CX204-#REF!</f>
      </c>
      <c r="BZ162" s="51" t="e">
        <f>Ticker0001_Exchange_Sheet!CY204-#REF!</f>
      </c>
      <c r="CA162" s="51" t="e">
        <f>Ticker0001_Exchange_Sheet!CZ204-#REF!</f>
      </c>
      <c r="CB162" s="51" t="e">
        <f>Ticker0001_Exchange_Sheet!DA204-#REF!</f>
      </c>
      <c r="CC162" s="51" t="e">
        <f>Ticker0001_Exchange_Sheet!DB204-#REF!</f>
      </c>
      <c r="CD162" s="51" t="e">
        <f>Ticker0001_Exchange_Sheet!DC204-#REF!</f>
      </c>
      <c r="CE162" s="51" t="e">
        <f>Ticker0001_Exchange_Sheet!DD204-#REF!</f>
      </c>
      <c r="CF162" s="51" t="e">
        <f>Ticker0001_Exchange_Sheet!DE204-#REF!</f>
      </c>
    </row>
    <row r="163" spans="6:84">
      <c r="F163" s="51" t="e">
        <f>Ticker0001_Exchange_Sheet!F205-#REF!</f>
      </c>
      <c r="G163" s="51" t="e">
        <f>Ticker0001_Exchange_Sheet!G205-#REF!</f>
      </c>
      <c r="H163" s="51" t="e">
        <f>Ticker0001_Exchange_Sheet!H205-#REF!</f>
      </c>
      <c r="I163" s="51" t="e">
        <f>Ticker0001_Exchange_Sheet!I205-#REF!</f>
      </c>
      <c r="J163" s="51" t="e">
        <f>Ticker0001_Exchange_Sheet!J205-#REF!</f>
      </c>
      <c r="K163" s="51" t="e">
        <f>Ticker0001_Exchange_Sheet!K205-#REF!</f>
      </c>
      <c r="L163" s="51" t="e">
        <f>Ticker0001_Exchange_Sheet!L205-#REF!</f>
      </c>
      <c r="M163" s="51" t="e">
        <f>Ticker0001_Exchange_Sheet!M205-#REF!</f>
      </c>
      <c r="N163" s="51" t="e">
        <f>Ticker0001_Exchange_Sheet!N205-#REF!</f>
      </c>
      <c r="O163" s="51" t="e">
        <f>Ticker0001_Exchange_Sheet!O205-#REF!</f>
      </c>
      <c r="P163" s="51" t="e">
        <f>Ticker0001_Exchange_Sheet!P205-#REF!</f>
      </c>
      <c r="Q163" s="51" t="e">
        <f>Ticker0001_Exchange_Sheet!Q205-#REF!</f>
      </c>
      <c r="R163" s="51" t="e">
        <f>Ticker0001_Exchange_Sheet!R205-#REF!</f>
      </c>
      <c r="S163" s="51" t="e">
        <f>Ticker0001_Exchange_Sheet!S205-#REF!</f>
      </c>
      <c r="T163" s="51" t="e">
        <f>Ticker0001_Exchange_Sheet!T205-#REF!</f>
      </c>
      <c r="U163" s="51" t="e">
        <f>Ticker0001_Exchange_Sheet!U205-#REF!</f>
      </c>
      <c r="V163" s="51" t="e">
        <f>Ticker0001_Exchange_Sheet!V205-#REF!</f>
      </c>
      <c r="W163" s="51" t="e">
        <f>Ticker0001_Exchange_Sheet!W205-#REF!</f>
      </c>
      <c r="X163" s="51" t="e">
        <f>Ticker0001_Exchange_Sheet!AK205-#REF!</f>
      </c>
      <c r="Y163" s="51" t="e">
        <f>Ticker0001_Exchange_Sheet!AX205-#REF!</f>
      </c>
      <c r="Z163" s="51" t="e">
        <f>Ticker0001_Exchange_Sheet!AY205-#REF!</f>
      </c>
      <c r="AA163" s="51" t="e">
        <f>Ticker0001_Exchange_Sheet!AZ205-#REF!</f>
      </c>
      <c r="AB163" s="51" t="e">
        <f>Ticker0001_Exchange_Sheet!BA205-#REF!</f>
      </c>
      <c r="AC163" s="51" t="e">
        <f>Ticker0001_Exchange_Sheet!BB205-#REF!</f>
      </c>
      <c r="AD163" s="51" t="e">
        <f>Ticker0001_Exchange_Sheet!BC205-#REF!</f>
      </c>
      <c r="AE163" s="51" t="e">
        <f>Ticker0001_Exchange_Sheet!BD205-#REF!</f>
      </c>
      <c r="AF163" s="51" t="e">
        <f>Ticker0001_Exchange_Sheet!BE205-#REF!</f>
      </c>
      <c r="AG163" s="51" t="e">
        <f>Ticker0001_Exchange_Sheet!BF205-#REF!</f>
      </c>
      <c r="AH163" s="51" t="e">
        <f>Ticker0001_Exchange_Sheet!BG205-#REF!</f>
      </c>
      <c r="AI163" s="51" t="e">
        <f>Ticker0001_Exchange_Sheet!BH205-#REF!</f>
      </c>
      <c r="AJ163" s="51" t="e">
        <f>Ticker0001_Exchange_Sheet!BI205-#REF!</f>
      </c>
      <c r="AK163" s="51" t="e">
        <f>Ticker0001_Exchange_Sheet!BJ205-#REF!</f>
      </c>
      <c r="AL163" s="51" t="e">
        <f>Ticker0001_Exchange_Sheet!BK205-#REF!</f>
      </c>
      <c r="AM163" s="51" t="e">
        <f>Ticker0001_Exchange_Sheet!BL205-#REF!</f>
      </c>
      <c r="AN163" s="51" t="e">
        <f>Ticker0001_Exchange_Sheet!BM205-#REF!</f>
      </c>
      <c r="AO163" s="51" t="e">
        <f>Ticker0001_Exchange_Sheet!BN205-#REF!</f>
      </c>
      <c r="AP163" s="51" t="e">
        <f>Ticker0001_Exchange_Sheet!BO205-#REF!</f>
      </c>
      <c r="AQ163" s="51" t="e">
        <f>Ticker0001_Exchange_Sheet!BP205-#REF!</f>
      </c>
      <c r="AR163" s="51" t="e">
        <f>Ticker0001_Exchange_Sheet!BQ205-#REF!</f>
      </c>
      <c r="AS163" s="51" t="e">
        <f>Ticker0001_Exchange_Sheet!BR205-#REF!</f>
      </c>
      <c r="AT163" s="51" t="e">
        <f>Ticker0001_Exchange_Sheet!BS205-#REF!</f>
      </c>
      <c r="AU163" s="51" t="e">
        <f>Ticker0001_Exchange_Sheet!BT205-#REF!</f>
      </c>
      <c r="AV163" s="51" t="e">
        <f>Ticker0001_Exchange_Sheet!BU205-#REF!</f>
      </c>
      <c r="AW163" s="51" t="e">
        <f>Ticker0001_Exchange_Sheet!BV205-#REF!</f>
      </c>
      <c r="AX163" s="51" t="e">
        <f>Ticker0001_Exchange_Sheet!BW205-#REF!</f>
      </c>
      <c r="AY163" s="51" t="e">
        <f>Ticker0001_Exchange_Sheet!BX205-#REF!</f>
      </c>
      <c r="AZ163" s="51" t="e">
        <f>Ticker0001_Exchange_Sheet!BY205-#REF!</f>
      </c>
      <c r="BA163" s="51" t="e">
        <f>Ticker0001_Exchange_Sheet!BZ205-#REF!</f>
      </c>
      <c r="BB163" s="51" t="e">
        <f>Ticker0001_Exchange_Sheet!CA205-#REF!</f>
      </c>
      <c r="BC163" s="51" t="e">
        <f>Ticker0001_Exchange_Sheet!CB205-#REF!</f>
      </c>
      <c r="BD163" s="51" t="e">
        <f>Ticker0001_Exchange_Sheet!CC205-#REF!</f>
      </c>
      <c r="BE163" s="51" t="e">
        <f>Ticker0001_Exchange_Sheet!CD205-#REF!</f>
      </c>
      <c r="BF163" s="51" t="e">
        <f>Ticker0001_Exchange_Sheet!CE205-#REF!</f>
      </c>
      <c r="BG163" s="51" t="e">
        <f>Ticker0001_Exchange_Sheet!CF205-#REF!</f>
      </c>
      <c r="BH163" s="51" t="e">
        <f>Ticker0001_Exchange_Sheet!CG205-#REF!</f>
      </c>
      <c r="BI163" s="51" t="e">
        <f>Ticker0001_Exchange_Sheet!CH205-#REF!</f>
      </c>
      <c r="BJ163" s="51" t="e">
        <f>Ticker0001_Exchange_Sheet!CI205-#REF!</f>
      </c>
      <c r="BK163" s="51" t="e">
        <f>Ticker0001_Exchange_Sheet!CJ205-#REF!</f>
      </c>
      <c r="BL163" s="51" t="e">
        <f>Ticker0001_Exchange_Sheet!CK205-#REF!</f>
      </c>
      <c r="BM163" s="51" t="e">
        <f>Ticker0001_Exchange_Sheet!CL205-#REF!</f>
      </c>
      <c r="BN163" s="51" t="e">
        <f>Ticker0001_Exchange_Sheet!CM205-#REF!</f>
      </c>
      <c r="BO163" s="51" t="e">
        <f>Ticker0001_Exchange_Sheet!CN205-#REF!</f>
      </c>
      <c r="BP163" s="51" t="e">
        <f>Ticker0001_Exchange_Sheet!CO205-#REF!</f>
      </c>
      <c r="BQ163" s="51" t="e">
        <f>Ticker0001_Exchange_Sheet!CP205-#REF!</f>
      </c>
      <c r="BR163" s="51" t="e">
        <f>Ticker0001_Exchange_Sheet!CQ205-#REF!</f>
      </c>
      <c r="BS163" s="51" t="e">
        <f>Ticker0001_Exchange_Sheet!CR205-#REF!</f>
      </c>
      <c r="BT163" s="51" t="e">
        <f>Ticker0001_Exchange_Sheet!CS205-#REF!</f>
      </c>
      <c r="BU163" s="51" t="e">
        <f>Ticker0001_Exchange_Sheet!CT205-#REF!</f>
      </c>
      <c r="BV163" s="51" t="e">
        <f>Ticker0001_Exchange_Sheet!CU205-#REF!</f>
      </c>
      <c r="BW163" s="51" t="e">
        <f>Ticker0001_Exchange_Sheet!CV205-#REF!</f>
      </c>
      <c r="BX163" s="51" t="e">
        <f>Ticker0001_Exchange_Sheet!CW205-#REF!</f>
      </c>
      <c r="BY163" s="51" t="e">
        <f>Ticker0001_Exchange_Sheet!CX205-#REF!</f>
      </c>
      <c r="BZ163" s="51" t="e">
        <f>Ticker0001_Exchange_Sheet!CY205-#REF!</f>
      </c>
      <c r="CA163" s="51" t="e">
        <f>Ticker0001_Exchange_Sheet!CZ205-#REF!</f>
      </c>
      <c r="CB163" s="51" t="e">
        <f>Ticker0001_Exchange_Sheet!DA205-#REF!</f>
      </c>
      <c r="CC163" s="51" t="e">
        <f>Ticker0001_Exchange_Sheet!DB205-#REF!</f>
      </c>
      <c r="CD163" s="51" t="e">
        <f>Ticker0001_Exchange_Sheet!DC205-#REF!</f>
      </c>
      <c r="CE163" s="51" t="e">
        <f>Ticker0001_Exchange_Sheet!DD205-#REF!</f>
      </c>
      <c r="CF163" s="51" t="e">
        <f>Ticker0001_Exchange_Sheet!DE205-#REF!</f>
      </c>
    </row>
    <row r="164" spans="6:84">
      <c r="F164" s="51" t="e">
        <f>Ticker0001_Exchange_Sheet!F206-#REF!</f>
      </c>
      <c r="G164" s="51" t="e">
        <f>Ticker0001_Exchange_Sheet!G206-#REF!</f>
      </c>
      <c r="H164" s="51" t="e">
        <f>Ticker0001_Exchange_Sheet!H206-#REF!</f>
      </c>
      <c r="I164" s="51" t="e">
        <f>Ticker0001_Exchange_Sheet!I206-#REF!</f>
      </c>
      <c r="J164" s="51" t="e">
        <f>Ticker0001_Exchange_Sheet!J206-#REF!</f>
      </c>
      <c r="K164" s="51" t="e">
        <f>Ticker0001_Exchange_Sheet!K206-#REF!</f>
      </c>
      <c r="L164" s="51" t="e">
        <f>Ticker0001_Exchange_Sheet!L206-#REF!</f>
      </c>
      <c r="M164" s="51" t="e">
        <f>Ticker0001_Exchange_Sheet!M206-#REF!</f>
      </c>
      <c r="N164" s="51" t="e">
        <f>Ticker0001_Exchange_Sheet!N206-#REF!</f>
      </c>
      <c r="O164" s="51" t="e">
        <f>Ticker0001_Exchange_Sheet!O206-#REF!</f>
      </c>
      <c r="P164" s="51" t="e">
        <f>Ticker0001_Exchange_Sheet!P206-#REF!</f>
      </c>
      <c r="Q164" s="51" t="e">
        <f>Ticker0001_Exchange_Sheet!Q206-#REF!</f>
      </c>
      <c r="R164" s="51" t="e">
        <f>Ticker0001_Exchange_Sheet!R206-#REF!</f>
      </c>
      <c r="S164" s="51" t="e">
        <f>Ticker0001_Exchange_Sheet!S206-#REF!</f>
      </c>
      <c r="T164" s="51" t="e">
        <f>Ticker0001_Exchange_Sheet!T206-#REF!</f>
      </c>
      <c r="U164" s="51" t="e">
        <f>Ticker0001_Exchange_Sheet!U206-#REF!</f>
      </c>
      <c r="V164" s="51" t="e">
        <f>Ticker0001_Exchange_Sheet!V206-#REF!</f>
      </c>
      <c r="W164" s="51" t="e">
        <f>Ticker0001_Exchange_Sheet!W206-#REF!</f>
      </c>
      <c r="X164" s="51" t="e">
        <f>Ticker0001_Exchange_Sheet!AK206-#REF!</f>
      </c>
      <c r="Y164" s="51" t="e">
        <f>Ticker0001_Exchange_Sheet!AX206-#REF!</f>
      </c>
      <c r="Z164" s="51" t="e">
        <f>Ticker0001_Exchange_Sheet!AY206-#REF!</f>
      </c>
      <c r="AA164" s="51" t="e">
        <f>Ticker0001_Exchange_Sheet!AZ206-#REF!</f>
      </c>
      <c r="AB164" s="51" t="e">
        <f>Ticker0001_Exchange_Sheet!BA206-#REF!</f>
      </c>
      <c r="AC164" s="51" t="e">
        <f>Ticker0001_Exchange_Sheet!BB206-#REF!</f>
      </c>
      <c r="AD164" s="51" t="e">
        <f>Ticker0001_Exchange_Sheet!BC206-#REF!</f>
      </c>
      <c r="AE164" s="51" t="e">
        <f>Ticker0001_Exchange_Sheet!BD206-#REF!</f>
      </c>
      <c r="AF164" s="51" t="e">
        <f>Ticker0001_Exchange_Sheet!BE206-#REF!</f>
      </c>
      <c r="AG164" s="51" t="e">
        <f>Ticker0001_Exchange_Sheet!BF206-#REF!</f>
      </c>
      <c r="AH164" s="51" t="e">
        <f>Ticker0001_Exchange_Sheet!BG206-#REF!</f>
      </c>
      <c r="AI164" s="51" t="e">
        <f>Ticker0001_Exchange_Sheet!BH206-#REF!</f>
      </c>
      <c r="AJ164" s="51" t="e">
        <f>Ticker0001_Exchange_Sheet!BI206-#REF!</f>
      </c>
      <c r="AK164" s="51" t="e">
        <f>Ticker0001_Exchange_Sheet!BJ206-#REF!</f>
      </c>
      <c r="AL164" s="51" t="e">
        <f>Ticker0001_Exchange_Sheet!BK206-#REF!</f>
      </c>
      <c r="AM164" s="51" t="e">
        <f>Ticker0001_Exchange_Sheet!BL206-#REF!</f>
      </c>
      <c r="AN164" s="51" t="e">
        <f>Ticker0001_Exchange_Sheet!BM206-#REF!</f>
      </c>
      <c r="AO164" s="51" t="e">
        <f>Ticker0001_Exchange_Sheet!BN206-#REF!</f>
      </c>
      <c r="AP164" s="51" t="e">
        <f>Ticker0001_Exchange_Sheet!BO206-#REF!</f>
      </c>
      <c r="AQ164" s="51" t="e">
        <f>Ticker0001_Exchange_Sheet!BP206-#REF!</f>
      </c>
      <c r="AR164" s="51" t="e">
        <f>Ticker0001_Exchange_Sheet!BQ206-#REF!</f>
      </c>
      <c r="AS164" s="51" t="e">
        <f>Ticker0001_Exchange_Sheet!BR206-#REF!</f>
      </c>
      <c r="AT164" s="51" t="e">
        <f>Ticker0001_Exchange_Sheet!BS206-#REF!</f>
      </c>
      <c r="AU164" s="51" t="e">
        <f>Ticker0001_Exchange_Sheet!BT206-#REF!</f>
      </c>
      <c r="AV164" s="51" t="e">
        <f>Ticker0001_Exchange_Sheet!BU206-#REF!</f>
      </c>
      <c r="AW164" s="51" t="e">
        <f>Ticker0001_Exchange_Sheet!BV206-#REF!</f>
      </c>
      <c r="AX164" s="51" t="e">
        <f>Ticker0001_Exchange_Sheet!BW206-#REF!</f>
      </c>
      <c r="AY164" s="51" t="e">
        <f>Ticker0001_Exchange_Sheet!BX206-#REF!</f>
      </c>
      <c r="AZ164" s="51" t="e">
        <f>Ticker0001_Exchange_Sheet!BY206-#REF!</f>
      </c>
      <c r="BA164" s="51" t="e">
        <f>Ticker0001_Exchange_Sheet!BZ206-#REF!</f>
      </c>
      <c r="BB164" s="51" t="e">
        <f>Ticker0001_Exchange_Sheet!CA206-#REF!</f>
      </c>
      <c r="BC164" s="51" t="e">
        <f>Ticker0001_Exchange_Sheet!CB206-#REF!</f>
      </c>
      <c r="BD164" s="51" t="e">
        <f>Ticker0001_Exchange_Sheet!CC206-#REF!</f>
      </c>
      <c r="BE164" s="51" t="e">
        <f>Ticker0001_Exchange_Sheet!CD206-#REF!</f>
      </c>
      <c r="BF164" s="51" t="e">
        <f>Ticker0001_Exchange_Sheet!CE206-#REF!</f>
      </c>
      <c r="BG164" s="51" t="e">
        <f>Ticker0001_Exchange_Sheet!CF206-#REF!</f>
      </c>
      <c r="BH164" s="51" t="e">
        <f>Ticker0001_Exchange_Sheet!CG206-#REF!</f>
      </c>
      <c r="BI164" s="51" t="e">
        <f>Ticker0001_Exchange_Sheet!CH206-#REF!</f>
      </c>
      <c r="BJ164" s="51" t="e">
        <f>Ticker0001_Exchange_Sheet!CI206-#REF!</f>
      </c>
      <c r="BK164" s="51" t="e">
        <f>Ticker0001_Exchange_Sheet!CJ206-#REF!</f>
      </c>
      <c r="BL164" s="51" t="e">
        <f>Ticker0001_Exchange_Sheet!CK206-#REF!</f>
      </c>
      <c r="BM164" s="51" t="e">
        <f>Ticker0001_Exchange_Sheet!CL206-#REF!</f>
      </c>
      <c r="BN164" s="51" t="e">
        <f>Ticker0001_Exchange_Sheet!CM206-#REF!</f>
      </c>
      <c r="BO164" s="51" t="e">
        <f>Ticker0001_Exchange_Sheet!CN206-#REF!</f>
      </c>
      <c r="BP164" s="51" t="e">
        <f>Ticker0001_Exchange_Sheet!CO206-#REF!</f>
      </c>
      <c r="BQ164" s="51" t="e">
        <f>Ticker0001_Exchange_Sheet!CP206-#REF!</f>
      </c>
      <c r="BR164" s="51" t="e">
        <f>Ticker0001_Exchange_Sheet!CQ206-#REF!</f>
      </c>
      <c r="BS164" s="51" t="e">
        <f>Ticker0001_Exchange_Sheet!CR206-#REF!</f>
      </c>
      <c r="BT164" s="51" t="e">
        <f>Ticker0001_Exchange_Sheet!CS206-#REF!</f>
      </c>
      <c r="BU164" s="51" t="e">
        <f>Ticker0001_Exchange_Sheet!CT206-#REF!</f>
      </c>
      <c r="BV164" s="51" t="e">
        <f>Ticker0001_Exchange_Sheet!CU206-#REF!</f>
      </c>
      <c r="BW164" s="51" t="e">
        <f>Ticker0001_Exchange_Sheet!CV206-#REF!</f>
      </c>
      <c r="BX164" s="51" t="e">
        <f>Ticker0001_Exchange_Sheet!CW206-#REF!</f>
      </c>
      <c r="BY164" s="51" t="e">
        <f>Ticker0001_Exchange_Sheet!CX206-#REF!</f>
      </c>
      <c r="BZ164" s="51" t="e">
        <f>Ticker0001_Exchange_Sheet!CY206-#REF!</f>
      </c>
      <c r="CA164" s="51" t="e">
        <f>Ticker0001_Exchange_Sheet!CZ206-#REF!</f>
      </c>
      <c r="CB164" s="51" t="e">
        <f>Ticker0001_Exchange_Sheet!DA206-#REF!</f>
      </c>
      <c r="CC164" s="51" t="e">
        <f>Ticker0001_Exchange_Sheet!DB206-#REF!</f>
      </c>
      <c r="CD164" s="51" t="e">
        <f>Ticker0001_Exchange_Sheet!DC206-#REF!</f>
      </c>
      <c r="CE164" s="51" t="e">
        <f>Ticker0001_Exchange_Sheet!DD206-#REF!</f>
      </c>
      <c r="CF164" s="51" t="e">
        <f>Ticker0001_Exchange_Sheet!DE206-#REF!</f>
      </c>
    </row>
    <row r="165" spans="6:84">
      <c r="F165" s="51" t="e">
        <f>Ticker0001_Exchange_Sheet!F207-#REF!</f>
      </c>
      <c r="G165" s="51" t="e">
        <f>Ticker0001_Exchange_Sheet!G207-#REF!</f>
      </c>
      <c r="H165" s="51" t="e">
        <f>Ticker0001_Exchange_Sheet!H207-#REF!</f>
      </c>
      <c r="I165" s="51" t="e">
        <f>Ticker0001_Exchange_Sheet!I207-#REF!</f>
      </c>
      <c r="J165" s="51" t="e">
        <f>Ticker0001_Exchange_Sheet!J207-#REF!</f>
      </c>
      <c r="K165" s="51" t="e">
        <f>Ticker0001_Exchange_Sheet!K207-#REF!</f>
      </c>
      <c r="L165" s="51" t="e">
        <f>Ticker0001_Exchange_Sheet!L207-#REF!</f>
      </c>
      <c r="M165" s="51" t="e">
        <f>Ticker0001_Exchange_Sheet!M207-#REF!</f>
      </c>
      <c r="N165" s="51" t="e">
        <f>Ticker0001_Exchange_Sheet!N207-#REF!</f>
      </c>
      <c r="O165" s="51" t="e">
        <f>Ticker0001_Exchange_Sheet!O207-#REF!</f>
      </c>
      <c r="P165" s="51" t="e">
        <f>Ticker0001_Exchange_Sheet!P207-#REF!</f>
      </c>
      <c r="Q165" s="51" t="e">
        <f>Ticker0001_Exchange_Sheet!Q207-#REF!</f>
      </c>
      <c r="R165" s="51" t="e">
        <f>Ticker0001_Exchange_Sheet!R207-#REF!</f>
      </c>
      <c r="S165" s="51" t="e">
        <f>Ticker0001_Exchange_Sheet!S207-#REF!</f>
      </c>
      <c r="T165" s="51" t="e">
        <f>Ticker0001_Exchange_Sheet!T207-#REF!</f>
      </c>
      <c r="U165" s="51" t="e">
        <f>Ticker0001_Exchange_Sheet!U207-#REF!</f>
      </c>
      <c r="V165" s="51" t="e">
        <f>Ticker0001_Exchange_Sheet!V207-#REF!</f>
      </c>
      <c r="W165" s="51" t="e">
        <f>Ticker0001_Exchange_Sheet!W207-#REF!</f>
      </c>
      <c r="X165" s="51" t="e">
        <f>Ticker0001_Exchange_Sheet!AK207-#REF!</f>
      </c>
      <c r="Y165" s="51" t="e">
        <f>Ticker0001_Exchange_Sheet!AX207-#REF!</f>
      </c>
      <c r="Z165" s="51" t="e">
        <f>Ticker0001_Exchange_Sheet!AY207-#REF!</f>
      </c>
      <c r="AA165" s="51" t="e">
        <f>Ticker0001_Exchange_Sheet!AZ207-#REF!</f>
      </c>
      <c r="AB165" s="51" t="e">
        <f>Ticker0001_Exchange_Sheet!BA207-#REF!</f>
      </c>
      <c r="AC165" s="51" t="e">
        <f>Ticker0001_Exchange_Sheet!BB207-#REF!</f>
      </c>
      <c r="AD165" s="51" t="e">
        <f>Ticker0001_Exchange_Sheet!BC207-#REF!</f>
      </c>
      <c r="AE165" s="51" t="e">
        <f>Ticker0001_Exchange_Sheet!BD207-#REF!</f>
      </c>
      <c r="AF165" s="51" t="e">
        <f>Ticker0001_Exchange_Sheet!BE207-#REF!</f>
      </c>
      <c r="AG165" s="51" t="e">
        <f>Ticker0001_Exchange_Sheet!BF207-#REF!</f>
      </c>
      <c r="AH165" s="51" t="e">
        <f>Ticker0001_Exchange_Sheet!BG207-#REF!</f>
      </c>
      <c r="AI165" s="51" t="e">
        <f>Ticker0001_Exchange_Sheet!BH207-#REF!</f>
      </c>
      <c r="AJ165" s="51" t="e">
        <f>Ticker0001_Exchange_Sheet!BI207-#REF!</f>
      </c>
      <c r="AK165" s="51" t="e">
        <f>Ticker0001_Exchange_Sheet!BJ207-#REF!</f>
      </c>
      <c r="AL165" s="51" t="e">
        <f>Ticker0001_Exchange_Sheet!BK207-#REF!</f>
      </c>
      <c r="AM165" s="51" t="e">
        <f>Ticker0001_Exchange_Sheet!BL207-#REF!</f>
      </c>
      <c r="AN165" s="51" t="e">
        <f>Ticker0001_Exchange_Sheet!BM207-#REF!</f>
      </c>
      <c r="AO165" s="51" t="e">
        <f>Ticker0001_Exchange_Sheet!BN207-#REF!</f>
      </c>
      <c r="AP165" s="51" t="e">
        <f>Ticker0001_Exchange_Sheet!BO207-#REF!</f>
      </c>
      <c r="AQ165" s="51" t="e">
        <f>Ticker0001_Exchange_Sheet!BP207-#REF!</f>
      </c>
      <c r="AR165" s="51" t="e">
        <f>Ticker0001_Exchange_Sheet!BQ207-#REF!</f>
      </c>
      <c r="AS165" s="51" t="e">
        <f>Ticker0001_Exchange_Sheet!BR207-#REF!</f>
      </c>
      <c r="AT165" s="51" t="e">
        <f>Ticker0001_Exchange_Sheet!BS207-#REF!</f>
      </c>
      <c r="AU165" s="51" t="e">
        <f>Ticker0001_Exchange_Sheet!BT207-#REF!</f>
      </c>
      <c r="AV165" s="51" t="e">
        <f>Ticker0001_Exchange_Sheet!BU207-#REF!</f>
      </c>
      <c r="AW165" s="51" t="e">
        <f>Ticker0001_Exchange_Sheet!BV207-#REF!</f>
      </c>
      <c r="AX165" s="51" t="e">
        <f>Ticker0001_Exchange_Sheet!BW207-#REF!</f>
      </c>
      <c r="AY165" s="51" t="e">
        <f>Ticker0001_Exchange_Sheet!BX207-#REF!</f>
      </c>
      <c r="AZ165" s="51" t="e">
        <f>Ticker0001_Exchange_Sheet!BY207-#REF!</f>
      </c>
      <c r="BA165" s="51" t="e">
        <f>Ticker0001_Exchange_Sheet!BZ207-#REF!</f>
      </c>
      <c r="BB165" s="51" t="e">
        <f>Ticker0001_Exchange_Sheet!CA207-#REF!</f>
      </c>
      <c r="BC165" s="51" t="e">
        <f>Ticker0001_Exchange_Sheet!CB207-#REF!</f>
      </c>
      <c r="BD165" s="51" t="e">
        <f>Ticker0001_Exchange_Sheet!CC207-#REF!</f>
      </c>
      <c r="BE165" s="51" t="e">
        <f>Ticker0001_Exchange_Sheet!CD207-#REF!</f>
      </c>
      <c r="BF165" s="51" t="e">
        <f>Ticker0001_Exchange_Sheet!CE207-#REF!</f>
      </c>
      <c r="BG165" s="51" t="e">
        <f>Ticker0001_Exchange_Sheet!CF207-#REF!</f>
      </c>
      <c r="BH165" s="51" t="e">
        <f>Ticker0001_Exchange_Sheet!CG207-#REF!</f>
      </c>
      <c r="BI165" s="51" t="e">
        <f>Ticker0001_Exchange_Sheet!CH207-#REF!</f>
      </c>
      <c r="BJ165" s="51" t="e">
        <f>Ticker0001_Exchange_Sheet!CI207-#REF!</f>
      </c>
      <c r="BK165" s="51" t="e">
        <f>Ticker0001_Exchange_Sheet!CJ207-#REF!</f>
      </c>
      <c r="BL165" s="51" t="e">
        <f>Ticker0001_Exchange_Sheet!CK207-#REF!</f>
      </c>
      <c r="BM165" s="51" t="e">
        <f>Ticker0001_Exchange_Sheet!CL207-#REF!</f>
      </c>
      <c r="BN165" s="51" t="e">
        <f>Ticker0001_Exchange_Sheet!CM207-#REF!</f>
      </c>
      <c r="BO165" s="51" t="e">
        <f>Ticker0001_Exchange_Sheet!CN207-#REF!</f>
      </c>
      <c r="BP165" s="51" t="e">
        <f>Ticker0001_Exchange_Sheet!CO207-#REF!</f>
      </c>
      <c r="BQ165" s="51" t="e">
        <f>Ticker0001_Exchange_Sheet!CP207-#REF!</f>
      </c>
      <c r="BR165" s="51" t="e">
        <f>Ticker0001_Exchange_Sheet!CQ207-#REF!</f>
      </c>
      <c r="BS165" s="51" t="e">
        <f>Ticker0001_Exchange_Sheet!CR207-#REF!</f>
      </c>
      <c r="BT165" s="51" t="e">
        <f>Ticker0001_Exchange_Sheet!CS207-#REF!</f>
      </c>
      <c r="BU165" s="51" t="e">
        <f>Ticker0001_Exchange_Sheet!CT207-#REF!</f>
      </c>
      <c r="BV165" s="51" t="e">
        <f>Ticker0001_Exchange_Sheet!CU207-#REF!</f>
      </c>
      <c r="BW165" s="51" t="e">
        <f>Ticker0001_Exchange_Sheet!CV207-#REF!</f>
      </c>
      <c r="BX165" s="51" t="e">
        <f>Ticker0001_Exchange_Sheet!CW207-#REF!</f>
      </c>
      <c r="BY165" s="51" t="e">
        <f>Ticker0001_Exchange_Sheet!CX207-#REF!</f>
      </c>
      <c r="BZ165" s="51" t="e">
        <f>Ticker0001_Exchange_Sheet!CY207-#REF!</f>
      </c>
      <c r="CA165" s="51" t="e">
        <f>Ticker0001_Exchange_Sheet!CZ207-#REF!</f>
      </c>
      <c r="CB165" s="51" t="e">
        <f>Ticker0001_Exchange_Sheet!DA207-#REF!</f>
      </c>
      <c r="CC165" s="51" t="e">
        <f>Ticker0001_Exchange_Sheet!DB207-#REF!</f>
      </c>
      <c r="CD165" s="51" t="e">
        <f>Ticker0001_Exchange_Sheet!DC207-#REF!</f>
      </c>
      <c r="CE165" s="51" t="e">
        <f>Ticker0001_Exchange_Sheet!DD207-#REF!</f>
      </c>
      <c r="CF165" s="51" t="e">
        <f>Ticker0001_Exchange_Sheet!DE207-#REF!</f>
      </c>
    </row>
    <row r="166" spans="6:84">
      <c r="F166" s="51" t="e">
        <f>Ticker0001_Exchange_Sheet!F208-#REF!</f>
      </c>
      <c r="G166" s="51" t="e">
        <f>Ticker0001_Exchange_Sheet!G208-#REF!</f>
      </c>
      <c r="H166" s="51" t="e">
        <f>Ticker0001_Exchange_Sheet!H208-#REF!</f>
      </c>
      <c r="I166" s="51" t="e">
        <f>Ticker0001_Exchange_Sheet!I208-#REF!</f>
      </c>
      <c r="J166" s="51" t="e">
        <f>Ticker0001_Exchange_Sheet!J208-#REF!</f>
      </c>
      <c r="K166" s="51" t="e">
        <f>Ticker0001_Exchange_Sheet!K208-#REF!</f>
      </c>
      <c r="L166" s="51" t="e">
        <f>Ticker0001_Exchange_Sheet!L208-#REF!</f>
      </c>
      <c r="M166" s="51" t="e">
        <f>Ticker0001_Exchange_Sheet!M208-#REF!</f>
      </c>
      <c r="N166" s="51" t="e">
        <f>Ticker0001_Exchange_Sheet!N208-#REF!</f>
      </c>
      <c r="O166" s="51" t="e">
        <f>Ticker0001_Exchange_Sheet!O208-#REF!</f>
      </c>
      <c r="P166" s="51" t="e">
        <f>Ticker0001_Exchange_Sheet!P208-#REF!</f>
      </c>
      <c r="Q166" s="51" t="e">
        <f>Ticker0001_Exchange_Sheet!Q208-#REF!</f>
      </c>
      <c r="R166" s="51" t="e">
        <f>Ticker0001_Exchange_Sheet!R208-#REF!</f>
      </c>
      <c r="S166" s="51" t="e">
        <f>Ticker0001_Exchange_Sheet!S208-#REF!</f>
      </c>
      <c r="T166" s="51" t="e">
        <f>Ticker0001_Exchange_Sheet!T208-#REF!</f>
      </c>
      <c r="U166" s="51" t="e">
        <f>Ticker0001_Exchange_Sheet!U208-#REF!</f>
      </c>
      <c r="V166" s="51" t="e">
        <f>Ticker0001_Exchange_Sheet!V208-#REF!</f>
      </c>
      <c r="W166" s="51" t="e">
        <f>Ticker0001_Exchange_Sheet!W208-#REF!</f>
      </c>
      <c r="X166" s="51" t="e">
        <f>Ticker0001_Exchange_Sheet!AK208-#REF!</f>
      </c>
      <c r="Y166" s="51" t="e">
        <f>Ticker0001_Exchange_Sheet!AX208-#REF!</f>
      </c>
      <c r="Z166" s="51" t="e">
        <f>Ticker0001_Exchange_Sheet!AY208-#REF!</f>
      </c>
      <c r="AA166" s="51" t="e">
        <f>Ticker0001_Exchange_Sheet!AZ208-#REF!</f>
      </c>
      <c r="AB166" s="51" t="e">
        <f>Ticker0001_Exchange_Sheet!BA208-#REF!</f>
      </c>
      <c r="AC166" s="51" t="e">
        <f>Ticker0001_Exchange_Sheet!BB208-#REF!</f>
      </c>
      <c r="AD166" s="51" t="e">
        <f>Ticker0001_Exchange_Sheet!BC208-#REF!</f>
      </c>
      <c r="AE166" s="51" t="e">
        <f>Ticker0001_Exchange_Sheet!BD208-#REF!</f>
      </c>
      <c r="AF166" s="51" t="e">
        <f>Ticker0001_Exchange_Sheet!BE208-#REF!</f>
      </c>
      <c r="AG166" s="51" t="e">
        <f>Ticker0001_Exchange_Sheet!BF208-#REF!</f>
      </c>
      <c r="AH166" s="51" t="e">
        <f>Ticker0001_Exchange_Sheet!BG208-#REF!</f>
      </c>
      <c r="AI166" s="51" t="e">
        <f>Ticker0001_Exchange_Sheet!BH208-#REF!</f>
      </c>
      <c r="AJ166" s="51" t="e">
        <f>Ticker0001_Exchange_Sheet!BI208-#REF!</f>
      </c>
      <c r="AK166" s="51" t="e">
        <f>Ticker0001_Exchange_Sheet!BJ208-#REF!</f>
      </c>
      <c r="AL166" s="51" t="e">
        <f>Ticker0001_Exchange_Sheet!BK208-#REF!</f>
      </c>
      <c r="AM166" s="51" t="e">
        <f>Ticker0001_Exchange_Sheet!BL208-#REF!</f>
      </c>
      <c r="AN166" s="51" t="e">
        <f>Ticker0001_Exchange_Sheet!BM208-#REF!</f>
      </c>
      <c r="AO166" s="51" t="e">
        <f>Ticker0001_Exchange_Sheet!BN208-#REF!</f>
      </c>
      <c r="AP166" s="51" t="e">
        <f>Ticker0001_Exchange_Sheet!BO208-#REF!</f>
      </c>
      <c r="AQ166" s="51" t="e">
        <f>Ticker0001_Exchange_Sheet!BP208-#REF!</f>
      </c>
      <c r="AR166" s="51" t="e">
        <f>Ticker0001_Exchange_Sheet!BQ208-#REF!</f>
      </c>
      <c r="AS166" s="51" t="e">
        <f>Ticker0001_Exchange_Sheet!BR208-#REF!</f>
      </c>
      <c r="AT166" s="51" t="e">
        <f>Ticker0001_Exchange_Sheet!BS208-#REF!</f>
      </c>
      <c r="AU166" s="51" t="e">
        <f>Ticker0001_Exchange_Sheet!BT208-#REF!</f>
      </c>
      <c r="AV166" s="51" t="e">
        <f>Ticker0001_Exchange_Sheet!BU208-#REF!</f>
      </c>
      <c r="AW166" s="51" t="e">
        <f>Ticker0001_Exchange_Sheet!BV208-#REF!</f>
      </c>
      <c r="AX166" s="51" t="e">
        <f>Ticker0001_Exchange_Sheet!BW208-#REF!</f>
      </c>
      <c r="AY166" s="51" t="e">
        <f>Ticker0001_Exchange_Sheet!BX208-#REF!</f>
      </c>
      <c r="AZ166" s="51" t="e">
        <f>Ticker0001_Exchange_Sheet!BY208-#REF!</f>
      </c>
      <c r="BA166" s="51" t="e">
        <f>Ticker0001_Exchange_Sheet!BZ208-#REF!</f>
      </c>
      <c r="BB166" s="51" t="e">
        <f>Ticker0001_Exchange_Sheet!CA208-#REF!</f>
      </c>
      <c r="BC166" s="51" t="e">
        <f>Ticker0001_Exchange_Sheet!CB208-#REF!</f>
      </c>
      <c r="BD166" s="51" t="e">
        <f>Ticker0001_Exchange_Sheet!CC208-#REF!</f>
      </c>
      <c r="BE166" s="51" t="e">
        <f>Ticker0001_Exchange_Sheet!CD208-#REF!</f>
      </c>
      <c r="BF166" s="51" t="e">
        <f>Ticker0001_Exchange_Sheet!CE208-#REF!</f>
      </c>
      <c r="BG166" s="51" t="e">
        <f>Ticker0001_Exchange_Sheet!CF208-#REF!</f>
      </c>
      <c r="BH166" s="51" t="e">
        <f>Ticker0001_Exchange_Sheet!CG208-#REF!</f>
      </c>
      <c r="BI166" s="51" t="e">
        <f>Ticker0001_Exchange_Sheet!CH208-#REF!</f>
      </c>
      <c r="BJ166" s="51" t="e">
        <f>Ticker0001_Exchange_Sheet!CI208-#REF!</f>
      </c>
      <c r="BK166" s="51" t="e">
        <f>Ticker0001_Exchange_Sheet!CJ208-#REF!</f>
      </c>
      <c r="BL166" s="51" t="e">
        <f>Ticker0001_Exchange_Sheet!CK208-#REF!</f>
      </c>
      <c r="BM166" s="51" t="e">
        <f>Ticker0001_Exchange_Sheet!CL208-#REF!</f>
      </c>
      <c r="BN166" s="51" t="e">
        <f>Ticker0001_Exchange_Sheet!CM208-#REF!</f>
      </c>
      <c r="BO166" s="51" t="e">
        <f>Ticker0001_Exchange_Sheet!CN208-#REF!</f>
      </c>
      <c r="BP166" s="51" t="e">
        <f>Ticker0001_Exchange_Sheet!CO208-#REF!</f>
      </c>
      <c r="BQ166" s="51" t="e">
        <f>Ticker0001_Exchange_Sheet!CP208-#REF!</f>
      </c>
      <c r="BR166" s="51" t="e">
        <f>Ticker0001_Exchange_Sheet!CQ208-#REF!</f>
      </c>
      <c r="BS166" s="51" t="e">
        <f>Ticker0001_Exchange_Sheet!CR208-#REF!</f>
      </c>
      <c r="BT166" s="51" t="e">
        <f>Ticker0001_Exchange_Sheet!CS208-#REF!</f>
      </c>
      <c r="BU166" s="51" t="e">
        <f>Ticker0001_Exchange_Sheet!CT208-#REF!</f>
      </c>
      <c r="BV166" s="51" t="e">
        <f>Ticker0001_Exchange_Sheet!CU208-#REF!</f>
      </c>
      <c r="BW166" s="51" t="e">
        <f>Ticker0001_Exchange_Sheet!CV208-#REF!</f>
      </c>
      <c r="BX166" s="51" t="e">
        <f>Ticker0001_Exchange_Sheet!CW208-#REF!</f>
      </c>
      <c r="BY166" s="51" t="e">
        <f>Ticker0001_Exchange_Sheet!CX208-#REF!</f>
      </c>
      <c r="BZ166" s="51" t="e">
        <f>Ticker0001_Exchange_Sheet!CY208-#REF!</f>
      </c>
      <c r="CA166" s="51" t="e">
        <f>Ticker0001_Exchange_Sheet!CZ208-#REF!</f>
      </c>
      <c r="CB166" s="51" t="e">
        <f>Ticker0001_Exchange_Sheet!DA208-#REF!</f>
      </c>
      <c r="CC166" s="51" t="e">
        <f>Ticker0001_Exchange_Sheet!DB208-#REF!</f>
      </c>
      <c r="CD166" s="51" t="e">
        <f>Ticker0001_Exchange_Sheet!DC208-#REF!</f>
      </c>
      <c r="CE166" s="51" t="e">
        <f>Ticker0001_Exchange_Sheet!DD208-#REF!</f>
      </c>
      <c r="CF166" s="51" t="e">
        <f>Ticker0001_Exchange_Sheet!DE208-#REF!</f>
      </c>
    </row>
    <row r="167" spans="6:84">
      <c r="F167" s="51" t="e">
        <f>Ticker0001_Exchange_Sheet!F209-#REF!</f>
      </c>
      <c r="G167" s="51" t="e">
        <f>Ticker0001_Exchange_Sheet!G209-#REF!</f>
      </c>
      <c r="H167" s="51" t="e">
        <f>Ticker0001_Exchange_Sheet!H209-#REF!</f>
      </c>
      <c r="I167" s="51" t="e">
        <f>Ticker0001_Exchange_Sheet!I209-#REF!</f>
      </c>
      <c r="J167" s="51" t="e">
        <f>Ticker0001_Exchange_Sheet!J209-#REF!</f>
      </c>
      <c r="K167" s="51" t="e">
        <f>Ticker0001_Exchange_Sheet!K209-#REF!</f>
      </c>
      <c r="L167" s="51" t="e">
        <f>Ticker0001_Exchange_Sheet!L209-#REF!</f>
      </c>
      <c r="M167" s="51" t="e">
        <f>Ticker0001_Exchange_Sheet!M209-#REF!</f>
      </c>
      <c r="N167" s="51" t="e">
        <f>Ticker0001_Exchange_Sheet!N209-#REF!</f>
      </c>
      <c r="O167" s="51" t="e">
        <f>Ticker0001_Exchange_Sheet!O209-#REF!</f>
      </c>
      <c r="P167" s="51" t="e">
        <f>Ticker0001_Exchange_Sheet!P209-#REF!</f>
      </c>
      <c r="Q167" s="51" t="e">
        <f>Ticker0001_Exchange_Sheet!Q209-#REF!</f>
      </c>
      <c r="R167" s="51" t="e">
        <f>Ticker0001_Exchange_Sheet!R209-#REF!</f>
      </c>
      <c r="S167" s="51" t="e">
        <f>Ticker0001_Exchange_Sheet!S209-#REF!</f>
      </c>
      <c r="T167" s="51" t="e">
        <f>Ticker0001_Exchange_Sheet!T209-#REF!</f>
      </c>
      <c r="U167" s="51" t="e">
        <f>Ticker0001_Exchange_Sheet!U209-#REF!</f>
      </c>
      <c r="V167" s="51" t="e">
        <f>Ticker0001_Exchange_Sheet!V209-#REF!</f>
      </c>
      <c r="W167" s="51" t="e">
        <f>Ticker0001_Exchange_Sheet!W209-#REF!</f>
      </c>
      <c r="X167" s="51" t="e">
        <f>Ticker0001_Exchange_Sheet!AK209-#REF!</f>
      </c>
      <c r="Y167" s="51" t="e">
        <f>Ticker0001_Exchange_Sheet!AX209-#REF!</f>
      </c>
      <c r="Z167" s="51" t="e">
        <f>Ticker0001_Exchange_Sheet!AY209-#REF!</f>
      </c>
      <c r="AA167" s="51" t="e">
        <f>Ticker0001_Exchange_Sheet!AZ209-#REF!</f>
      </c>
      <c r="AB167" s="51" t="e">
        <f>Ticker0001_Exchange_Sheet!BA209-#REF!</f>
      </c>
      <c r="AC167" s="51" t="e">
        <f>Ticker0001_Exchange_Sheet!BB209-#REF!</f>
      </c>
      <c r="AD167" s="51" t="e">
        <f>Ticker0001_Exchange_Sheet!BC209-#REF!</f>
      </c>
      <c r="AE167" s="51" t="e">
        <f>Ticker0001_Exchange_Sheet!BD209-#REF!</f>
      </c>
      <c r="AF167" s="51" t="e">
        <f>Ticker0001_Exchange_Sheet!BE209-#REF!</f>
      </c>
      <c r="AG167" s="51" t="e">
        <f>Ticker0001_Exchange_Sheet!BF209-#REF!</f>
      </c>
      <c r="AH167" s="51" t="e">
        <f>Ticker0001_Exchange_Sheet!BG209-#REF!</f>
      </c>
      <c r="AI167" s="51" t="e">
        <f>Ticker0001_Exchange_Sheet!BH209-#REF!</f>
      </c>
      <c r="AJ167" s="51" t="e">
        <f>Ticker0001_Exchange_Sheet!BI209-#REF!</f>
      </c>
      <c r="AK167" s="51" t="e">
        <f>Ticker0001_Exchange_Sheet!BJ209-#REF!</f>
      </c>
      <c r="AL167" s="51" t="e">
        <f>Ticker0001_Exchange_Sheet!BK209-#REF!</f>
      </c>
      <c r="AM167" s="51" t="e">
        <f>Ticker0001_Exchange_Sheet!BL209-#REF!</f>
      </c>
      <c r="AN167" s="51" t="e">
        <f>Ticker0001_Exchange_Sheet!BM209-#REF!</f>
      </c>
      <c r="AO167" s="51" t="e">
        <f>Ticker0001_Exchange_Sheet!BN209-#REF!</f>
      </c>
      <c r="AP167" s="51" t="e">
        <f>Ticker0001_Exchange_Sheet!BO209-#REF!</f>
      </c>
      <c r="AQ167" s="51" t="e">
        <f>Ticker0001_Exchange_Sheet!BP209-#REF!</f>
      </c>
      <c r="AR167" s="51" t="e">
        <f>Ticker0001_Exchange_Sheet!BQ209-#REF!</f>
      </c>
      <c r="AS167" s="51" t="e">
        <f>Ticker0001_Exchange_Sheet!BR209-#REF!</f>
      </c>
      <c r="AT167" s="51" t="e">
        <f>Ticker0001_Exchange_Sheet!BS209-#REF!</f>
      </c>
      <c r="AU167" s="51" t="e">
        <f>Ticker0001_Exchange_Sheet!BT209-#REF!</f>
      </c>
      <c r="AV167" s="51" t="e">
        <f>Ticker0001_Exchange_Sheet!BU209-#REF!</f>
      </c>
      <c r="AW167" s="51" t="e">
        <f>Ticker0001_Exchange_Sheet!BV209-#REF!</f>
      </c>
      <c r="AX167" s="51" t="e">
        <f>Ticker0001_Exchange_Sheet!BW209-#REF!</f>
      </c>
      <c r="AY167" s="51" t="e">
        <f>Ticker0001_Exchange_Sheet!BX209-#REF!</f>
      </c>
      <c r="AZ167" s="51" t="e">
        <f>Ticker0001_Exchange_Sheet!BY209-#REF!</f>
      </c>
      <c r="BA167" s="51" t="e">
        <f>Ticker0001_Exchange_Sheet!BZ209-#REF!</f>
      </c>
      <c r="BB167" s="51" t="e">
        <f>Ticker0001_Exchange_Sheet!CA209-#REF!</f>
      </c>
      <c r="BC167" s="51" t="e">
        <f>Ticker0001_Exchange_Sheet!CB209-#REF!</f>
      </c>
      <c r="BD167" s="51" t="e">
        <f>Ticker0001_Exchange_Sheet!CC209-#REF!</f>
      </c>
      <c r="BE167" s="51" t="e">
        <f>Ticker0001_Exchange_Sheet!CD209-#REF!</f>
      </c>
      <c r="BF167" s="51" t="e">
        <f>Ticker0001_Exchange_Sheet!CE209-#REF!</f>
      </c>
      <c r="BG167" s="51" t="e">
        <f>Ticker0001_Exchange_Sheet!CF209-#REF!</f>
      </c>
      <c r="BH167" s="51" t="e">
        <f>Ticker0001_Exchange_Sheet!CG209-#REF!</f>
      </c>
      <c r="BI167" s="51" t="e">
        <f>Ticker0001_Exchange_Sheet!CH209-#REF!</f>
      </c>
      <c r="BJ167" s="51" t="e">
        <f>Ticker0001_Exchange_Sheet!CI209-#REF!</f>
      </c>
      <c r="BK167" s="51" t="e">
        <f>Ticker0001_Exchange_Sheet!CJ209-#REF!</f>
      </c>
      <c r="BL167" s="51" t="e">
        <f>Ticker0001_Exchange_Sheet!CK209-#REF!</f>
      </c>
      <c r="BM167" s="51" t="e">
        <f>Ticker0001_Exchange_Sheet!CL209-#REF!</f>
      </c>
      <c r="BN167" s="51" t="e">
        <f>Ticker0001_Exchange_Sheet!CM209-#REF!</f>
      </c>
      <c r="BO167" s="51" t="e">
        <f>Ticker0001_Exchange_Sheet!CN209-#REF!</f>
      </c>
      <c r="BP167" s="51" t="e">
        <f>Ticker0001_Exchange_Sheet!CO209-#REF!</f>
      </c>
      <c r="BQ167" s="51" t="e">
        <f>Ticker0001_Exchange_Sheet!CP209-#REF!</f>
      </c>
      <c r="BR167" s="51" t="e">
        <f>Ticker0001_Exchange_Sheet!CQ209-#REF!</f>
      </c>
      <c r="BS167" s="51" t="e">
        <f>Ticker0001_Exchange_Sheet!CR209-#REF!</f>
      </c>
      <c r="BT167" s="51" t="e">
        <f>Ticker0001_Exchange_Sheet!CS209-#REF!</f>
      </c>
      <c r="BU167" s="51" t="e">
        <f>Ticker0001_Exchange_Sheet!CT209-#REF!</f>
      </c>
      <c r="BV167" s="51" t="e">
        <f>Ticker0001_Exchange_Sheet!CU209-#REF!</f>
      </c>
      <c r="BW167" s="51" t="e">
        <f>Ticker0001_Exchange_Sheet!CV209-#REF!</f>
      </c>
      <c r="BX167" s="51" t="e">
        <f>Ticker0001_Exchange_Sheet!CW209-#REF!</f>
      </c>
      <c r="BY167" s="51" t="e">
        <f>Ticker0001_Exchange_Sheet!CX209-#REF!</f>
      </c>
      <c r="BZ167" s="51" t="e">
        <f>Ticker0001_Exchange_Sheet!CY209-#REF!</f>
      </c>
      <c r="CA167" s="51" t="e">
        <f>Ticker0001_Exchange_Sheet!CZ209-#REF!</f>
      </c>
      <c r="CB167" s="51" t="e">
        <f>Ticker0001_Exchange_Sheet!DA209-#REF!</f>
      </c>
      <c r="CC167" s="51" t="e">
        <f>Ticker0001_Exchange_Sheet!DB209-#REF!</f>
      </c>
      <c r="CD167" s="51" t="e">
        <f>Ticker0001_Exchange_Sheet!DC209-#REF!</f>
      </c>
      <c r="CE167" s="51" t="e">
        <f>Ticker0001_Exchange_Sheet!DD209-#REF!</f>
      </c>
      <c r="CF167" s="51" t="e">
        <f>Ticker0001_Exchange_Sheet!DE209-#REF!</f>
      </c>
    </row>
    <row r="168" spans="6:84">
      <c r="F168" s="51" t="e">
        <f>Ticker0001_Exchange_Sheet!F210-#REF!</f>
      </c>
      <c r="G168" s="51" t="e">
        <f>Ticker0001_Exchange_Sheet!G210-#REF!</f>
      </c>
      <c r="H168" s="51" t="e">
        <f>Ticker0001_Exchange_Sheet!H210-#REF!</f>
      </c>
      <c r="I168" s="51" t="e">
        <f>Ticker0001_Exchange_Sheet!I210-#REF!</f>
      </c>
      <c r="J168" s="51" t="e">
        <f>Ticker0001_Exchange_Sheet!J210-#REF!</f>
      </c>
      <c r="K168" s="51" t="e">
        <f>Ticker0001_Exchange_Sheet!K210-#REF!</f>
      </c>
      <c r="L168" s="51" t="e">
        <f>Ticker0001_Exchange_Sheet!L210-#REF!</f>
      </c>
      <c r="M168" s="51" t="e">
        <f>Ticker0001_Exchange_Sheet!M210-#REF!</f>
      </c>
      <c r="N168" s="51" t="e">
        <f>Ticker0001_Exchange_Sheet!N210-#REF!</f>
      </c>
      <c r="O168" s="51" t="e">
        <f>Ticker0001_Exchange_Sheet!O210-#REF!</f>
      </c>
      <c r="P168" s="51" t="e">
        <f>Ticker0001_Exchange_Sheet!P210-#REF!</f>
      </c>
      <c r="Q168" s="51" t="e">
        <f>Ticker0001_Exchange_Sheet!Q210-#REF!</f>
      </c>
      <c r="R168" s="51" t="e">
        <f>Ticker0001_Exchange_Sheet!R210-#REF!</f>
      </c>
      <c r="S168" s="51" t="e">
        <f>Ticker0001_Exchange_Sheet!S210-#REF!</f>
      </c>
      <c r="T168" s="51" t="e">
        <f>Ticker0001_Exchange_Sheet!T210-#REF!</f>
      </c>
      <c r="U168" s="51" t="e">
        <f>Ticker0001_Exchange_Sheet!U210-#REF!</f>
      </c>
      <c r="V168" s="51" t="e">
        <f>Ticker0001_Exchange_Sheet!V210-#REF!</f>
      </c>
      <c r="W168" s="51" t="e">
        <f>Ticker0001_Exchange_Sheet!W210-#REF!</f>
      </c>
      <c r="X168" s="51" t="e">
        <f>Ticker0001_Exchange_Sheet!AK210-#REF!</f>
      </c>
      <c r="Y168" s="51" t="e">
        <f>Ticker0001_Exchange_Sheet!AX210-#REF!</f>
      </c>
      <c r="Z168" s="51" t="e">
        <f>Ticker0001_Exchange_Sheet!AY210-#REF!</f>
      </c>
      <c r="AA168" s="51" t="e">
        <f>Ticker0001_Exchange_Sheet!AZ210-#REF!</f>
      </c>
      <c r="AB168" s="51" t="e">
        <f>Ticker0001_Exchange_Sheet!BA210-#REF!</f>
      </c>
      <c r="AC168" s="51" t="e">
        <f>Ticker0001_Exchange_Sheet!BB210-#REF!</f>
      </c>
      <c r="AD168" s="51" t="e">
        <f>Ticker0001_Exchange_Sheet!BC210-#REF!</f>
      </c>
      <c r="AE168" s="51" t="e">
        <f>Ticker0001_Exchange_Sheet!BD210-#REF!</f>
      </c>
      <c r="AF168" s="51" t="e">
        <f>Ticker0001_Exchange_Sheet!BE210-#REF!</f>
      </c>
      <c r="AG168" s="51" t="e">
        <f>Ticker0001_Exchange_Sheet!BF210-#REF!</f>
      </c>
      <c r="AH168" s="51" t="e">
        <f>Ticker0001_Exchange_Sheet!BG210-#REF!</f>
      </c>
      <c r="AI168" s="51" t="e">
        <f>Ticker0001_Exchange_Sheet!BH210-#REF!</f>
      </c>
      <c r="AJ168" s="51" t="e">
        <f>Ticker0001_Exchange_Sheet!BI210-#REF!</f>
      </c>
      <c r="AK168" s="51" t="e">
        <f>Ticker0001_Exchange_Sheet!BJ210-#REF!</f>
      </c>
      <c r="AL168" s="51" t="e">
        <f>Ticker0001_Exchange_Sheet!BK210-#REF!</f>
      </c>
      <c r="AM168" s="51" t="e">
        <f>Ticker0001_Exchange_Sheet!BL210-#REF!</f>
      </c>
      <c r="AN168" s="51" t="e">
        <f>Ticker0001_Exchange_Sheet!BM210-#REF!</f>
      </c>
      <c r="AO168" s="51" t="e">
        <f>Ticker0001_Exchange_Sheet!BN210-#REF!</f>
      </c>
      <c r="AP168" s="51" t="e">
        <f>Ticker0001_Exchange_Sheet!BO210-#REF!</f>
      </c>
      <c r="AQ168" s="51" t="e">
        <f>Ticker0001_Exchange_Sheet!BP210-#REF!</f>
      </c>
      <c r="AR168" s="51" t="e">
        <f>Ticker0001_Exchange_Sheet!BQ210-#REF!</f>
      </c>
      <c r="AS168" s="51" t="e">
        <f>Ticker0001_Exchange_Sheet!BR210-#REF!</f>
      </c>
      <c r="AT168" s="51" t="e">
        <f>Ticker0001_Exchange_Sheet!BS210-#REF!</f>
      </c>
      <c r="AU168" s="51" t="e">
        <f>Ticker0001_Exchange_Sheet!BT210-#REF!</f>
      </c>
      <c r="AV168" s="51" t="e">
        <f>Ticker0001_Exchange_Sheet!BU210-#REF!</f>
      </c>
      <c r="AW168" s="51" t="e">
        <f>Ticker0001_Exchange_Sheet!BV210-#REF!</f>
      </c>
      <c r="AX168" s="51" t="e">
        <f>Ticker0001_Exchange_Sheet!BW210-#REF!</f>
      </c>
      <c r="AY168" s="51" t="e">
        <f>Ticker0001_Exchange_Sheet!BX210-#REF!</f>
      </c>
      <c r="AZ168" s="51" t="e">
        <f>Ticker0001_Exchange_Sheet!BY210-#REF!</f>
      </c>
      <c r="BA168" s="51" t="e">
        <f>Ticker0001_Exchange_Sheet!BZ210-#REF!</f>
      </c>
      <c r="BB168" s="51" t="e">
        <f>Ticker0001_Exchange_Sheet!CA210-#REF!</f>
      </c>
      <c r="BC168" s="51" t="e">
        <f>Ticker0001_Exchange_Sheet!CB210-#REF!</f>
      </c>
      <c r="BD168" s="51" t="e">
        <f>Ticker0001_Exchange_Sheet!CC210-#REF!</f>
      </c>
      <c r="BE168" s="51" t="e">
        <f>Ticker0001_Exchange_Sheet!CD210-#REF!</f>
      </c>
      <c r="BF168" s="51" t="e">
        <f>Ticker0001_Exchange_Sheet!CE210-#REF!</f>
      </c>
      <c r="BG168" s="51" t="e">
        <f>Ticker0001_Exchange_Sheet!CF210-#REF!</f>
      </c>
      <c r="BH168" s="51" t="e">
        <f>Ticker0001_Exchange_Sheet!CG210-#REF!</f>
      </c>
      <c r="BI168" s="51" t="e">
        <f>Ticker0001_Exchange_Sheet!CH210-#REF!</f>
      </c>
      <c r="BJ168" s="51" t="e">
        <f>Ticker0001_Exchange_Sheet!CI210-#REF!</f>
      </c>
      <c r="BK168" s="51" t="e">
        <f>Ticker0001_Exchange_Sheet!CJ210-#REF!</f>
      </c>
      <c r="BL168" s="51" t="e">
        <f>Ticker0001_Exchange_Sheet!CK210-#REF!</f>
      </c>
      <c r="BM168" s="51" t="e">
        <f>Ticker0001_Exchange_Sheet!CL210-#REF!</f>
      </c>
      <c r="BN168" s="51" t="e">
        <f>Ticker0001_Exchange_Sheet!CM210-#REF!</f>
      </c>
      <c r="BO168" s="51" t="e">
        <f>Ticker0001_Exchange_Sheet!CN210-#REF!</f>
      </c>
      <c r="BP168" s="51" t="e">
        <f>Ticker0001_Exchange_Sheet!CO210-#REF!</f>
      </c>
      <c r="BQ168" s="51" t="e">
        <f>Ticker0001_Exchange_Sheet!CP210-#REF!</f>
      </c>
      <c r="BR168" s="51" t="e">
        <f>Ticker0001_Exchange_Sheet!CQ210-#REF!</f>
      </c>
      <c r="BS168" s="51" t="e">
        <f>Ticker0001_Exchange_Sheet!CR210-#REF!</f>
      </c>
      <c r="BT168" s="51" t="e">
        <f>Ticker0001_Exchange_Sheet!CS210-#REF!</f>
      </c>
      <c r="BU168" s="51" t="e">
        <f>Ticker0001_Exchange_Sheet!CT210-#REF!</f>
      </c>
      <c r="BV168" s="51" t="e">
        <f>Ticker0001_Exchange_Sheet!CU210-#REF!</f>
      </c>
      <c r="BW168" s="51" t="e">
        <f>Ticker0001_Exchange_Sheet!CV210-#REF!</f>
      </c>
      <c r="BX168" s="51" t="e">
        <f>Ticker0001_Exchange_Sheet!CW210-#REF!</f>
      </c>
      <c r="BY168" s="51" t="e">
        <f>Ticker0001_Exchange_Sheet!CX210-#REF!</f>
      </c>
      <c r="BZ168" s="51" t="e">
        <f>Ticker0001_Exchange_Sheet!CY210-#REF!</f>
      </c>
      <c r="CA168" s="51" t="e">
        <f>Ticker0001_Exchange_Sheet!CZ210-#REF!</f>
      </c>
      <c r="CB168" s="51" t="e">
        <f>Ticker0001_Exchange_Sheet!DA210-#REF!</f>
      </c>
      <c r="CC168" s="51" t="e">
        <f>Ticker0001_Exchange_Sheet!DB210-#REF!</f>
      </c>
      <c r="CD168" s="51" t="e">
        <f>Ticker0001_Exchange_Sheet!DC210-#REF!</f>
      </c>
      <c r="CE168" s="51" t="e">
        <f>Ticker0001_Exchange_Sheet!DD210-#REF!</f>
      </c>
      <c r="CF168" s="51" t="e">
        <f>Ticker0001_Exchange_Sheet!DE210-#REF!</f>
      </c>
    </row>
    <row r="169" spans="6:84">
      <c r="F169" s="51" t="e">
        <f>Ticker0001_Exchange_Sheet!F211-#REF!</f>
      </c>
      <c r="G169" s="51" t="e">
        <f>Ticker0001_Exchange_Sheet!G211-#REF!</f>
      </c>
      <c r="H169" s="51" t="e">
        <f>Ticker0001_Exchange_Sheet!H211-#REF!</f>
      </c>
      <c r="I169" s="51" t="e">
        <f>Ticker0001_Exchange_Sheet!I211-#REF!</f>
      </c>
      <c r="J169" s="51" t="e">
        <f>Ticker0001_Exchange_Sheet!J211-#REF!</f>
      </c>
      <c r="K169" s="51" t="e">
        <f>Ticker0001_Exchange_Sheet!K211-#REF!</f>
      </c>
      <c r="L169" s="51" t="e">
        <f>Ticker0001_Exchange_Sheet!L211-#REF!</f>
      </c>
      <c r="M169" s="51" t="e">
        <f>Ticker0001_Exchange_Sheet!M211-#REF!</f>
      </c>
      <c r="N169" s="51" t="e">
        <f>Ticker0001_Exchange_Sheet!N211-#REF!</f>
      </c>
      <c r="O169" s="51" t="e">
        <f>Ticker0001_Exchange_Sheet!O211-#REF!</f>
      </c>
      <c r="P169" s="51" t="e">
        <f>Ticker0001_Exchange_Sheet!P211-#REF!</f>
      </c>
      <c r="Q169" s="51" t="e">
        <f>Ticker0001_Exchange_Sheet!Q211-#REF!</f>
      </c>
      <c r="R169" s="51" t="e">
        <f>Ticker0001_Exchange_Sheet!R211-#REF!</f>
      </c>
      <c r="S169" s="51" t="e">
        <f>Ticker0001_Exchange_Sheet!S211-#REF!</f>
      </c>
      <c r="T169" s="51" t="e">
        <f>Ticker0001_Exchange_Sheet!T211-#REF!</f>
      </c>
      <c r="U169" s="51" t="e">
        <f>Ticker0001_Exchange_Sheet!U211-#REF!</f>
      </c>
      <c r="V169" s="51" t="e">
        <f>Ticker0001_Exchange_Sheet!V211-#REF!</f>
      </c>
      <c r="W169" s="51" t="e">
        <f>Ticker0001_Exchange_Sheet!W211-#REF!</f>
      </c>
      <c r="X169" s="51" t="e">
        <f>Ticker0001_Exchange_Sheet!AK211-#REF!</f>
      </c>
      <c r="Y169" s="51" t="e">
        <f>Ticker0001_Exchange_Sheet!AX211-#REF!</f>
      </c>
      <c r="Z169" s="51" t="e">
        <f>Ticker0001_Exchange_Sheet!AY211-#REF!</f>
      </c>
      <c r="AA169" s="51" t="e">
        <f>Ticker0001_Exchange_Sheet!AZ211-#REF!</f>
      </c>
      <c r="AB169" s="51" t="e">
        <f>Ticker0001_Exchange_Sheet!BA211-#REF!</f>
      </c>
      <c r="AC169" s="51" t="e">
        <f>Ticker0001_Exchange_Sheet!BB211-#REF!</f>
      </c>
      <c r="AD169" s="51" t="e">
        <f>Ticker0001_Exchange_Sheet!BC211-#REF!</f>
      </c>
      <c r="AE169" s="51" t="e">
        <f>Ticker0001_Exchange_Sheet!BD211-#REF!</f>
      </c>
      <c r="AF169" s="51" t="e">
        <f>Ticker0001_Exchange_Sheet!BE211-#REF!</f>
      </c>
      <c r="AG169" s="51" t="e">
        <f>Ticker0001_Exchange_Sheet!BF211-#REF!</f>
      </c>
      <c r="AH169" s="51" t="e">
        <f>Ticker0001_Exchange_Sheet!BG211-#REF!</f>
      </c>
      <c r="AI169" s="51" t="e">
        <f>Ticker0001_Exchange_Sheet!BH211-#REF!</f>
      </c>
      <c r="AJ169" s="51" t="e">
        <f>Ticker0001_Exchange_Sheet!BI211-#REF!</f>
      </c>
      <c r="AK169" s="51" t="e">
        <f>Ticker0001_Exchange_Sheet!BJ211-#REF!</f>
      </c>
      <c r="AL169" s="51" t="e">
        <f>Ticker0001_Exchange_Sheet!BK211-#REF!</f>
      </c>
      <c r="AM169" s="51" t="e">
        <f>Ticker0001_Exchange_Sheet!BL211-#REF!</f>
      </c>
      <c r="AN169" s="51" t="e">
        <f>Ticker0001_Exchange_Sheet!BM211-#REF!</f>
      </c>
      <c r="AO169" s="51" t="e">
        <f>Ticker0001_Exchange_Sheet!BN211-#REF!</f>
      </c>
      <c r="AP169" s="51" t="e">
        <f>Ticker0001_Exchange_Sheet!BO211-#REF!</f>
      </c>
      <c r="AQ169" s="51" t="e">
        <f>Ticker0001_Exchange_Sheet!BP211-#REF!</f>
      </c>
      <c r="AR169" s="51" t="e">
        <f>Ticker0001_Exchange_Sheet!BQ211-#REF!</f>
      </c>
      <c r="AS169" s="51" t="e">
        <f>Ticker0001_Exchange_Sheet!BR211-#REF!</f>
      </c>
      <c r="AT169" s="51" t="e">
        <f>Ticker0001_Exchange_Sheet!BS211-#REF!</f>
      </c>
      <c r="AU169" s="51" t="e">
        <f>Ticker0001_Exchange_Sheet!BT211-#REF!</f>
      </c>
      <c r="AV169" s="51" t="e">
        <f>Ticker0001_Exchange_Sheet!BU211-#REF!</f>
      </c>
      <c r="AW169" s="51" t="e">
        <f>Ticker0001_Exchange_Sheet!BV211-#REF!</f>
      </c>
      <c r="AX169" s="51" t="e">
        <f>Ticker0001_Exchange_Sheet!BW211-#REF!</f>
      </c>
      <c r="AY169" s="51" t="e">
        <f>Ticker0001_Exchange_Sheet!BX211-#REF!</f>
      </c>
      <c r="AZ169" s="51" t="e">
        <f>Ticker0001_Exchange_Sheet!BY211-#REF!</f>
      </c>
      <c r="BA169" s="51" t="e">
        <f>Ticker0001_Exchange_Sheet!BZ211-#REF!</f>
      </c>
      <c r="BB169" s="51" t="e">
        <f>Ticker0001_Exchange_Sheet!CA211-#REF!</f>
      </c>
      <c r="BC169" s="51" t="e">
        <f>Ticker0001_Exchange_Sheet!CB211-#REF!</f>
      </c>
      <c r="BD169" s="51" t="e">
        <f>Ticker0001_Exchange_Sheet!CC211-#REF!</f>
      </c>
      <c r="BE169" s="51" t="e">
        <f>Ticker0001_Exchange_Sheet!CD211-#REF!</f>
      </c>
      <c r="BF169" s="51" t="e">
        <f>Ticker0001_Exchange_Sheet!CE211-#REF!</f>
      </c>
      <c r="BG169" s="51" t="e">
        <f>Ticker0001_Exchange_Sheet!CF211-#REF!</f>
      </c>
      <c r="BH169" s="51" t="e">
        <f>Ticker0001_Exchange_Sheet!CG211-#REF!</f>
      </c>
      <c r="BI169" s="51" t="e">
        <f>Ticker0001_Exchange_Sheet!CH211-#REF!</f>
      </c>
      <c r="BJ169" s="51" t="e">
        <f>Ticker0001_Exchange_Sheet!CI211-#REF!</f>
      </c>
      <c r="BK169" s="51" t="e">
        <f>Ticker0001_Exchange_Sheet!CJ211-#REF!</f>
      </c>
      <c r="BL169" s="51" t="e">
        <f>Ticker0001_Exchange_Sheet!CK211-#REF!</f>
      </c>
      <c r="BM169" s="51" t="e">
        <f>Ticker0001_Exchange_Sheet!CL211-#REF!</f>
      </c>
      <c r="BN169" s="51" t="e">
        <f>Ticker0001_Exchange_Sheet!CM211-#REF!</f>
      </c>
      <c r="BO169" s="51" t="e">
        <f>Ticker0001_Exchange_Sheet!CN211-#REF!</f>
      </c>
      <c r="BP169" s="51" t="e">
        <f>Ticker0001_Exchange_Sheet!CO211-#REF!</f>
      </c>
      <c r="BQ169" s="51" t="e">
        <f>Ticker0001_Exchange_Sheet!CP211-#REF!</f>
      </c>
      <c r="BR169" s="51" t="e">
        <f>Ticker0001_Exchange_Sheet!CQ211-#REF!</f>
      </c>
      <c r="BS169" s="51" t="e">
        <f>Ticker0001_Exchange_Sheet!CR211-#REF!</f>
      </c>
      <c r="BT169" s="51" t="e">
        <f>Ticker0001_Exchange_Sheet!CS211-#REF!</f>
      </c>
      <c r="BU169" s="51" t="e">
        <f>Ticker0001_Exchange_Sheet!CT211-#REF!</f>
      </c>
      <c r="BV169" s="51" t="e">
        <f>Ticker0001_Exchange_Sheet!CU211-#REF!</f>
      </c>
      <c r="BW169" s="51" t="e">
        <f>Ticker0001_Exchange_Sheet!CV211-#REF!</f>
      </c>
      <c r="BX169" s="51" t="e">
        <f>Ticker0001_Exchange_Sheet!CW211-#REF!</f>
      </c>
      <c r="BY169" s="51" t="e">
        <f>Ticker0001_Exchange_Sheet!CX211-#REF!</f>
      </c>
      <c r="BZ169" s="51" t="e">
        <f>Ticker0001_Exchange_Sheet!CY211-#REF!</f>
      </c>
      <c r="CA169" s="51" t="e">
        <f>Ticker0001_Exchange_Sheet!CZ211-#REF!</f>
      </c>
      <c r="CB169" s="51" t="e">
        <f>Ticker0001_Exchange_Sheet!DA211-#REF!</f>
      </c>
      <c r="CC169" s="51" t="e">
        <f>Ticker0001_Exchange_Sheet!DB211-#REF!</f>
      </c>
      <c r="CD169" s="51" t="e">
        <f>Ticker0001_Exchange_Sheet!DC211-#REF!</f>
      </c>
      <c r="CE169" s="51" t="e">
        <f>Ticker0001_Exchange_Sheet!DD211-#REF!</f>
      </c>
      <c r="CF169" s="51" t="e">
        <f>Ticker0001_Exchange_Sheet!DE211-#REF!</f>
      </c>
    </row>
    <row r="170" spans="6:84">
      <c r="F170" s="51" t="e">
        <f>Ticker0001_Exchange_Sheet!F212-#REF!</f>
      </c>
      <c r="G170" s="51" t="e">
        <f>Ticker0001_Exchange_Sheet!G212-#REF!</f>
      </c>
      <c r="H170" s="51" t="e">
        <f>Ticker0001_Exchange_Sheet!H212-#REF!</f>
      </c>
      <c r="I170" s="51" t="e">
        <f>Ticker0001_Exchange_Sheet!I212-#REF!</f>
      </c>
      <c r="J170" s="51" t="e">
        <f>Ticker0001_Exchange_Sheet!J212-#REF!</f>
      </c>
      <c r="K170" s="51" t="e">
        <f>Ticker0001_Exchange_Sheet!K212-#REF!</f>
      </c>
      <c r="L170" s="51" t="e">
        <f>Ticker0001_Exchange_Sheet!L212-#REF!</f>
      </c>
      <c r="M170" s="51" t="e">
        <f>Ticker0001_Exchange_Sheet!M212-#REF!</f>
      </c>
      <c r="N170" s="51" t="e">
        <f>Ticker0001_Exchange_Sheet!N212-#REF!</f>
      </c>
      <c r="O170" s="51" t="e">
        <f>Ticker0001_Exchange_Sheet!O212-#REF!</f>
      </c>
      <c r="P170" s="51" t="e">
        <f>Ticker0001_Exchange_Sheet!P212-#REF!</f>
      </c>
      <c r="Q170" s="51" t="e">
        <f>Ticker0001_Exchange_Sheet!Q212-#REF!</f>
      </c>
      <c r="R170" s="51" t="e">
        <f>Ticker0001_Exchange_Sheet!R212-#REF!</f>
      </c>
      <c r="S170" s="51" t="e">
        <f>Ticker0001_Exchange_Sheet!S212-#REF!</f>
      </c>
      <c r="T170" s="51" t="e">
        <f>Ticker0001_Exchange_Sheet!T212-#REF!</f>
      </c>
      <c r="U170" s="51" t="e">
        <f>Ticker0001_Exchange_Sheet!U212-#REF!</f>
      </c>
      <c r="V170" s="51" t="e">
        <f>Ticker0001_Exchange_Sheet!V212-#REF!</f>
      </c>
      <c r="W170" s="51" t="e">
        <f>Ticker0001_Exchange_Sheet!W212-#REF!</f>
      </c>
      <c r="X170" s="51" t="e">
        <f>Ticker0001_Exchange_Sheet!AK212-#REF!</f>
      </c>
      <c r="Y170" s="51" t="e">
        <f>Ticker0001_Exchange_Sheet!AX212-#REF!</f>
      </c>
      <c r="Z170" s="51" t="e">
        <f>Ticker0001_Exchange_Sheet!AY212-#REF!</f>
      </c>
      <c r="AA170" s="51" t="e">
        <f>Ticker0001_Exchange_Sheet!AZ212-#REF!</f>
      </c>
      <c r="AB170" s="51" t="e">
        <f>Ticker0001_Exchange_Sheet!BA212-#REF!</f>
      </c>
      <c r="AC170" s="51" t="e">
        <f>Ticker0001_Exchange_Sheet!BB212-#REF!</f>
      </c>
      <c r="AD170" s="51" t="e">
        <f>Ticker0001_Exchange_Sheet!BC212-#REF!</f>
      </c>
      <c r="AE170" s="51" t="e">
        <f>Ticker0001_Exchange_Sheet!BD212-#REF!</f>
      </c>
      <c r="AF170" s="51" t="e">
        <f>Ticker0001_Exchange_Sheet!BE212-#REF!</f>
      </c>
      <c r="AG170" s="51" t="e">
        <f>Ticker0001_Exchange_Sheet!BF212-#REF!</f>
      </c>
      <c r="AH170" s="51" t="e">
        <f>Ticker0001_Exchange_Sheet!BG212-#REF!</f>
      </c>
      <c r="AI170" s="51" t="e">
        <f>Ticker0001_Exchange_Sheet!BH212-#REF!</f>
      </c>
      <c r="AJ170" s="51" t="e">
        <f>Ticker0001_Exchange_Sheet!BI212-#REF!</f>
      </c>
      <c r="AK170" s="51" t="e">
        <f>Ticker0001_Exchange_Sheet!BJ212-#REF!</f>
      </c>
      <c r="AL170" s="51" t="e">
        <f>Ticker0001_Exchange_Sheet!BK212-#REF!</f>
      </c>
      <c r="AM170" s="51" t="e">
        <f>Ticker0001_Exchange_Sheet!BL212-#REF!</f>
      </c>
      <c r="AN170" s="51" t="e">
        <f>Ticker0001_Exchange_Sheet!BM212-#REF!</f>
      </c>
      <c r="AO170" s="51" t="e">
        <f>Ticker0001_Exchange_Sheet!BN212-#REF!</f>
      </c>
      <c r="AP170" s="51" t="e">
        <f>Ticker0001_Exchange_Sheet!BO212-#REF!</f>
      </c>
      <c r="AQ170" s="51" t="e">
        <f>Ticker0001_Exchange_Sheet!BP212-#REF!</f>
      </c>
      <c r="AR170" s="51" t="e">
        <f>Ticker0001_Exchange_Sheet!BQ212-#REF!</f>
      </c>
      <c r="AS170" s="51" t="e">
        <f>Ticker0001_Exchange_Sheet!BR212-#REF!</f>
      </c>
      <c r="AT170" s="51" t="e">
        <f>Ticker0001_Exchange_Sheet!BS212-#REF!</f>
      </c>
      <c r="AU170" s="51" t="e">
        <f>Ticker0001_Exchange_Sheet!BT212-#REF!</f>
      </c>
      <c r="AV170" s="51" t="e">
        <f>Ticker0001_Exchange_Sheet!BU212-#REF!</f>
      </c>
      <c r="AW170" s="51" t="e">
        <f>Ticker0001_Exchange_Sheet!BV212-#REF!</f>
      </c>
      <c r="AX170" s="51" t="e">
        <f>Ticker0001_Exchange_Sheet!BW212-#REF!</f>
      </c>
      <c r="AY170" s="51" t="e">
        <f>Ticker0001_Exchange_Sheet!BX212-#REF!</f>
      </c>
      <c r="AZ170" s="51" t="e">
        <f>Ticker0001_Exchange_Sheet!BY212-#REF!</f>
      </c>
      <c r="BA170" s="51" t="e">
        <f>Ticker0001_Exchange_Sheet!BZ212-#REF!</f>
      </c>
      <c r="BB170" s="51" t="e">
        <f>Ticker0001_Exchange_Sheet!CA212-#REF!</f>
      </c>
      <c r="BC170" s="51" t="e">
        <f>Ticker0001_Exchange_Sheet!CB212-#REF!</f>
      </c>
      <c r="BD170" s="51" t="e">
        <f>Ticker0001_Exchange_Sheet!CC212-#REF!</f>
      </c>
      <c r="BE170" s="51" t="e">
        <f>Ticker0001_Exchange_Sheet!CD212-#REF!</f>
      </c>
      <c r="BF170" s="51" t="e">
        <f>Ticker0001_Exchange_Sheet!CE212-#REF!</f>
      </c>
      <c r="BG170" s="51" t="e">
        <f>Ticker0001_Exchange_Sheet!CF212-#REF!</f>
      </c>
      <c r="BH170" s="51" t="e">
        <f>Ticker0001_Exchange_Sheet!CG212-#REF!</f>
      </c>
      <c r="BI170" s="51" t="e">
        <f>Ticker0001_Exchange_Sheet!CH212-#REF!</f>
      </c>
      <c r="BJ170" s="51" t="e">
        <f>Ticker0001_Exchange_Sheet!CI212-#REF!</f>
      </c>
      <c r="BK170" s="51" t="e">
        <f>Ticker0001_Exchange_Sheet!CJ212-#REF!</f>
      </c>
      <c r="BL170" s="51" t="e">
        <f>Ticker0001_Exchange_Sheet!CK212-#REF!</f>
      </c>
      <c r="BM170" s="51" t="e">
        <f>Ticker0001_Exchange_Sheet!CL212-#REF!</f>
      </c>
      <c r="BN170" s="51" t="e">
        <f>Ticker0001_Exchange_Sheet!CM212-#REF!</f>
      </c>
      <c r="BO170" s="51" t="e">
        <f>Ticker0001_Exchange_Sheet!CN212-#REF!</f>
      </c>
      <c r="BP170" s="51" t="e">
        <f>Ticker0001_Exchange_Sheet!CO212-#REF!</f>
      </c>
      <c r="BQ170" s="51" t="e">
        <f>Ticker0001_Exchange_Sheet!CP212-#REF!</f>
      </c>
      <c r="BR170" s="51" t="e">
        <f>Ticker0001_Exchange_Sheet!CQ212-#REF!</f>
      </c>
      <c r="BS170" s="51" t="e">
        <f>Ticker0001_Exchange_Sheet!CR212-#REF!</f>
      </c>
      <c r="BT170" s="51" t="e">
        <f>Ticker0001_Exchange_Sheet!CS212-#REF!</f>
      </c>
      <c r="BU170" s="51" t="e">
        <f>Ticker0001_Exchange_Sheet!CT212-#REF!</f>
      </c>
      <c r="BV170" s="51" t="e">
        <f>Ticker0001_Exchange_Sheet!CU212-#REF!</f>
      </c>
      <c r="BW170" s="51" t="e">
        <f>Ticker0001_Exchange_Sheet!CV212-#REF!</f>
      </c>
      <c r="BX170" s="51" t="e">
        <f>Ticker0001_Exchange_Sheet!CW212-#REF!</f>
      </c>
      <c r="BY170" s="51" t="e">
        <f>Ticker0001_Exchange_Sheet!CX212-#REF!</f>
      </c>
      <c r="BZ170" s="51" t="e">
        <f>Ticker0001_Exchange_Sheet!CY212-#REF!</f>
      </c>
      <c r="CA170" s="51" t="e">
        <f>Ticker0001_Exchange_Sheet!CZ212-#REF!</f>
      </c>
      <c r="CB170" s="51" t="e">
        <f>Ticker0001_Exchange_Sheet!DA212-#REF!</f>
      </c>
      <c r="CC170" s="51" t="e">
        <f>Ticker0001_Exchange_Sheet!DB212-#REF!</f>
      </c>
      <c r="CD170" s="51" t="e">
        <f>Ticker0001_Exchange_Sheet!DC212-#REF!</f>
      </c>
      <c r="CE170" s="51" t="e">
        <f>Ticker0001_Exchange_Sheet!DD212-#REF!</f>
      </c>
      <c r="CF170" s="51" t="e">
        <f>Ticker0001_Exchange_Sheet!DE212-#REF!</f>
      </c>
    </row>
    <row r="171" spans="6:84">
      <c r="F171" s="51" t="e">
        <f>Ticker0001_Exchange_Sheet!F213-#REF!</f>
      </c>
      <c r="G171" s="51" t="e">
        <f>Ticker0001_Exchange_Sheet!G213-#REF!</f>
      </c>
      <c r="H171" s="51" t="e">
        <f>Ticker0001_Exchange_Sheet!H213-#REF!</f>
      </c>
      <c r="I171" s="51" t="e">
        <f>Ticker0001_Exchange_Sheet!I213-#REF!</f>
      </c>
      <c r="J171" s="51" t="e">
        <f>Ticker0001_Exchange_Sheet!J213-#REF!</f>
      </c>
      <c r="K171" s="51" t="e">
        <f>Ticker0001_Exchange_Sheet!K213-#REF!</f>
      </c>
      <c r="L171" s="51" t="e">
        <f>Ticker0001_Exchange_Sheet!L213-#REF!</f>
      </c>
      <c r="M171" s="51" t="e">
        <f>Ticker0001_Exchange_Sheet!M213-#REF!</f>
      </c>
      <c r="N171" s="51" t="e">
        <f>Ticker0001_Exchange_Sheet!N213-#REF!</f>
      </c>
      <c r="O171" s="51" t="e">
        <f>Ticker0001_Exchange_Sheet!O213-#REF!</f>
      </c>
      <c r="P171" s="51" t="e">
        <f>Ticker0001_Exchange_Sheet!P213-#REF!</f>
      </c>
      <c r="Q171" s="51" t="e">
        <f>Ticker0001_Exchange_Sheet!Q213-#REF!</f>
      </c>
      <c r="R171" s="51" t="e">
        <f>Ticker0001_Exchange_Sheet!R213-#REF!</f>
      </c>
      <c r="S171" s="51" t="e">
        <f>Ticker0001_Exchange_Sheet!S213-#REF!</f>
      </c>
      <c r="T171" s="51" t="e">
        <f>Ticker0001_Exchange_Sheet!T213-#REF!</f>
      </c>
      <c r="U171" s="51" t="e">
        <f>Ticker0001_Exchange_Sheet!U213-#REF!</f>
      </c>
      <c r="V171" s="51" t="e">
        <f>Ticker0001_Exchange_Sheet!V213-#REF!</f>
      </c>
      <c r="W171" s="51" t="e">
        <f>Ticker0001_Exchange_Sheet!W213-#REF!</f>
      </c>
      <c r="X171" s="51" t="e">
        <f>Ticker0001_Exchange_Sheet!AK213-#REF!</f>
      </c>
      <c r="Y171" s="51" t="e">
        <f>Ticker0001_Exchange_Sheet!AX213-#REF!</f>
      </c>
      <c r="Z171" s="51" t="e">
        <f>Ticker0001_Exchange_Sheet!AY213-#REF!</f>
      </c>
      <c r="AA171" s="51" t="e">
        <f>Ticker0001_Exchange_Sheet!AZ213-#REF!</f>
      </c>
      <c r="AB171" s="51" t="e">
        <f>Ticker0001_Exchange_Sheet!BA213-#REF!</f>
      </c>
      <c r="AC171" s="51" t="e">
        <f>Ticker0001_Exchange_Sheet!BB213-#REF!</f>
      </c>
      <c r="AD171" s="51" t="e">
        <f>Ticker0001_Exchange_Sheet!BC213-#REF!</f>
      </c>
      <c r="AE171" s="51" t="e">
        <f>Ticker0001_Exchange_Sheet!BD213-#REF!</f>
      </c>
      <c r="AF171" s="51" t="e">
        <f>Ticker0001_Exchange_Sheet!BE213-#REF!</f>
      </c>
      <c r="AG171" s="51" t="e">
        <f>Ticker0001_Exchange_Sheet!BF213-#REF!</f>
      </c>
      <c r="AH171" s="51" t="e">
        <f>Ticker0001_Exchange_Sheet!BG213-#REF!</f>
      </c>
      <c r="AI171" s="51" t="e">
        <f>Ticker0001_Exchange_Sheet!BH213-#REF!</f>
      </c>
      <c r="AJ171" s="51" t="e">
        <f>Ticker0001_Exchange_Sheet!BI213-#REF!</f>
      </c>
      <c r="AK171" s="51" t="e">
        <f>Ticker0001_Exchange_Sheet!BJ213-#REF!</f>
      </c>
      <c r="AL171" s="51" t="e">
        <f>Ticker0001_Exchange_Sheet!BK213-#REF!</f>
      </c>
      <c r="AM171" s="51" t="e">
        <f>Ticker0001_Exchange_Sheet!BL213-#REF!</f>
      </c>
      <c r="AN171" s="51" t="e">
        <f>Ticker0001_Exchange_Sheet!BM213-#REF!</f>
      </c>
      <c r="AO171" s="51" t="e">
        <f>Ticker0001_Exchange_Sheet!BN213-#REF!</f>
      </c>
      <c r="AP171" s="51" t="e">
        <f>Ticker0001_Exchange_Sheet!BO213-#REF!</f>
      </c>
      <c r="AQ171" s="51" t="e">
        <f>Ticker0001_Exchange_Sheet!BP213-#REF!</f>
      </c>
      <c r="AR171" s="51" t="e">
        <f>Ticker0001_Exchange_Sheet!BQ213-#REF!</f>
      </c>
      <c r="AS171" s="51" t="e">
        <f>Ticker0001_Exchange_Sheet!BR213-#REF!</f>
      </c>
      <c r="AT171" s="51" t="e">
        <f>Ticker0001_Exchange_Sheet!BS213-#REF!</f>
      </c>
      <c r="AU171" s="51" t="e">
        <f>Ticker0001_Exchange_Sheet!BT213-#REF!</f>
      </c>
      <c r="AV171" s="51" t="e">
        <f>Ticker0001_Exchange_Sheet!BU213-#REF!</f>
      </c>
      <c r="AW171" s="51" t="e">
        <f>Ticker0001_Exchange_Sheet!BV213-#REF!</f>
      </c>
      <c r="AX171" s="51" t="e">
        <f>Ticker0001_Exchange_Sheet!BW213-#REF!</f>
      </c>
      <c r="AY171" s="51" t="e">
        <f>Ticker0001_Exchange_Sheet!BX213-#REF!</f>
      </c>
      <c r="AZ171" s="51" t="e">
        <f>Ticker0001_Exchange_Sheet!BY213-#REF!</f>
      </c>
      <c r="BA171" s="51" t="e">
        <f>Ticker0001_Exchange_Sheet!BZ213-#REF!</f>
      </c>
      <c r="BB171" s="51" t="e">
        <f>Ticker0001_Exchange_Sheet!CA213-#REF!</f>
      </c>
      <c r="BC171" s="51" t="e">
        <f>Ticker0001_Exchange_Sheet!CB213-#REF!</f>
      </c>
      <c r="BD171" s="51" t="e">
        <f>Ticker0001_Exchange_Sheet!CC213-#REF!</f>
      </c>
      <c r="BE171" s="51" t="e">
        <f>Ticker0001_Exchange_Sheet!CD213-#REF!</f>
      </c>
      <c r="BF171" s="51" t="e">
        <f>Ticker0001_Exchange_Sheet!CE213-#REF!</f>
      </c>
      <c r="BG171" s="51" t="e">
        <f>Ticker0001_Exchange_Sheet!CF213-#REF!</f>
      </c>
      <c r="BH171" s="51" t="e">
        <f>Ticker0001_Exchange_Sheet!CG213-#REF!</f>
      </c>
      <c r="BI171" s="51" t="e">
        <f>Ticker0001_Exchange_Sheet!CH213-#REF!</f>
      </c>
      <c r="BJ171" s="51" t="e">
        <f>Ticker0001_Exchange_Sheet!CI213-#REF!</f>
      </c>
      <c r="BK171" s="51" t="e">
        <f>Ticker0001_Exchange_Sheet!CJ213-#REF!</f>
      </c>
      <c r="BL171" s="51" t="e">
        <f>Ticker0001_Exchange_Sheet!CK213-#REF!</f>
      </c>
      <c r="BM171" s="51" t="e">
        <f>Ticker0001_Exchange_Sheet!CL213-#REF!</f>
      </c>
      <c r="BN171" s="51" t="e">
        <f>Ticker0001_Exchange_Sheet!CM213-#REF!</f>
      </c>
      <c r="BO171" s="51" t="e">
        <f>Ticker0001_Exchange_Sheet!CN213-#REF!</f>
      </c>
      <c r="BP171" s="51" t="e">
        <f>Ticker0001_Exchange_Sheet!CO213-#REF!</f>
      </c>
      <c r="BQ171" s="51" t="e">
        <f>Ticker0001_Exchange_Sheet!CP213-#REF!</f>
      </c>
      <c r="BR171" s="51" t="e">
        <f>Ticker0001_Exchange_Sheet!CQ213-#REF!</f>
      </c>
      <c r="BS171" s="51" t="e">
        <f>Ticker0001_Exchange_Sheet!CR213-#REF!</f>
      </c>
      <c r="BT171" s="51" t="e">
        <f>Ticker0001_Exchange_Sheet!CS213-#REF!</f>
      </c>
      <c r="BU171" s="51" t="e">
        <f>Ticker0001_Exchange_Sheet!CT213-#REF!</f>
      </c>
      <c r="BV171" s="51" t="e">
        <f>Ticker0001_Exchange_Sheet!CU213-#REF!</f>
      </c>
      <c r="BW171" s="51" t="e">
        <f>Ticker0001_Exchange_Sheet!CV213-#REF!</f>
      </c>
      <c r="BX171" s="51" t="e">
        <f>Ticker0001_Exchange_Sheet!CW213-#REF!</f>
      </c>
      <c r="BY171" s="51" t="e">
        <f>Ticker0001_Exchange_Sheet!CX213-#REF!</f>
      </c>
      <c r="BZ171" s="51" t="e">
        <f>Ticker0001_Exchange_Sheet!CY213-#REF!</f>
      </c>
      <c r="CA171" s="51" t="e">
        <f>Ticker0001_Exchange_Sheet!CZ213-#REF!</f>
      </c>
      <c r="CB171" s="51" t="e">
        <f>Ticker0001_Exchange_Sheet!DA213-#REF!</f>
      </c>
      <c r="CC171" s="51" t="e">
        <f>Ticker0001_Exchange_Sheet!DB213-#REF!</f>
      </c>
      <c r="CD171" s="51" t="e">
        <f>Ticker0001_Exchange_Sheet!DC213-#REF!</f>
      </c>
      <c r="CE171" s="51" t="e">
        <f>Ticker0001_Exchange_Sheet!DD213-#REF!</f>
      </c>
      <c r="CF171" s="51" t="e">
        <f>Ticker0001_Exchange_Sheet!DE213-#REF!</f>
      </c>
    </row>
    <row r="172" spans="6:84">
      <c r="F172" s="51" t="e">
        <f>Ticker0001_Exchange_Sheet!F236-#REF!</f>
      </c>
      <c r="G172" s="51" t="e">
        <f>Ticker0001_Exchange_Sheet!G236-#REF!</f>
      </c>
      <c r="H172" s="51" t="e">
        <f>Ticker0001_Exchange_Sheet!H236-#REF!</f>
      </c>
      <c r="I172" s="51" t="e">
        <f>Ticker0001_Exchange_Sheet!I236-#REF!</f>
      </c>
      <c r="J172" s="51" t="e">
        <f>Ticker0001_Exchange_Sheet!J236-#REF!</f>
      </c>
      <c r="K172" s="51" t="e">
        <f>Ticker0001_Exchange_Sheet!K236-#REF!</f>
      </c>
      <c r="L172" s="51" t="e">
        <f>Ticker0001_Exchange_Sheet!L236-#REF!</f>
      </c>
      <c r="M172" s="51" t="e">
        <f>Ticker0001_Exchange_Sheet!M236-#REF!</f>
      </c>
      <c r="N172" s="51" t="e">
        <f>Ticker0001_Exchange_Sheet!N236-#REF!</f>
      </c>
      <c r="O172" s="51" t="e">
        <f>Ticker0001_Exchange_Sheet!O236-#REF!</f>
      </c>
      <c r="P172" s="51" t="e">
        <f>Ticker0001_Exchange_Sheet!P236-#REF!</f>
      </c>
      <c r="Q172" s="51" t="e">
        <f>Ticker0001_Exchange_Sheet!Q236-#REF!</f>
      </c>
      <c r="R172" s="51" t="e">
        <f>Ticker0001_Exchange_Sheet!R236-#REF!</f>
      </c>
      <c r="S172" s="51" t="e">
        <f>Ticker0001_Exchange_Sheet!S236-#REF!</f>
      </c>
      <c r="T172" s="51" t="e">
        <f>Ticker0001_Exchange_Sheet!T236-#REF!</f>
      </c>
      <c r="U172" s="51" t="e">
        <f>Ticker0001_Exchange_Sheet!U236-#REF!</f>
      </c>
      <c r="V172" s="51" t="e">
        <f>Ticker0001_Exchange_Sheet!V236-#REF!</f>
      </c>
      <c r="W172" s="51" t="e">
        <f>Ticker0001_Exchange_Sheet!W236-#REF!</f>
      </c>
      <c r="X172" s="51" t="e">
        <f>Ticker0001_Exchange_Sheet!AK236-#REF!</f>
      </c>
      <c r="Y172" s="51" t="e">
        <f>Ticker0001_Exchange_Sheet!AX236-#REF!</f>
      </c>
      <c r="Z172" s="51" t="e">
        <f>Ticker0001_Exchange_Sheet!AY236-#REF!</f>
      </c>
      <c r="AA172" s="51" t="e">
        <f>Ticker0001_Exchange_Sheet!AZ236-#REF!</f>
      </c>
      <c r="AB172" s="51" t="e">
        <f>Ticker0001_Exchange_Sheet!BA236-#REF!</f>
      </c>
      <c r="AC172" s="51" t="e">
        <f>Ticker0001_Exchange_Sheet!BB236-#REF!</f>
      </c>
      <c r="AD172" s="51" t="e">
        <f>Ticker0001_Exchange_Sheet!BC236-#REF!</f>
      </c>
      <c r="AE172" s="51" t="e">
        <f>Ticker0001_Exchange_Sheet!BD236-#REF!</f>
      </c>
      <c r="AF172" s="51" t="e">
        <f>Ticker0001_Exchange_Sheet!BE236-#REF!</f>
      </c>
      <c r="AG172" s="51" t="e">
        <f>Ticker0001_Exchange_Sheet!BF236-#REF!</f>
      </c>
      <c r="AH172" s="51" t="e">
        <f>Ticker0001_Exchange_Sheet!BG236-#REF!</f>
      </c>
      <c r="AI172" s="51" t="e">
        <f>Ticker0001_Exchange_Sheet!BH236-#REF!</f>
      </c>
      <c r="AJ172" s="51" t="e">
        <f>Ticker0001_Exchange_Sheet!BI236-#REF!</f>
      </c>
      <c r="AK172" s="51" t="e">
        <f>Ticker0001_Exchange_Sheet!BJ236-#REF!</f>
      </c>
      <c r="AL172" s="51" t="e">
        <f>Ticker0001_Exchange_Sheet!BK236-#REF!</f>
      </c>
      <c r="AM172" s="51" t="e">
        <f>Ticker0001_Exchange_Sheet!BL236-#REF!</f>
      </c>
      <c r="AN172" s="51" t="e">
        <f>Ticker0001_Exchange_Sheet!BM236-#REF!</f>
      </c>
      <c r="AO172" s="51" t="e">
        <f>Ticker0001_Exchange_Sheet!BN236-#REF!</f>
      </c>
      <c r="AP172" s="51" t="e">
        <f>Ticker0001_Exchange_Sheet!BO236-#REF!</f>
      </c>
      <c r="AQ172" s="51" t="e">
        <f>Ticker0001_Exchange_Sheet!BP236-#REF!</f>
      </c>
      <c r="AR172" s="51" t="e">
        <f>Ticker0001_Exchange_Sheet!BQ236-#REF!</f>
      </c>
      <c r="AS172" s="51" t="e">
        <f>Ticker0001_Exchange_Sheet!BR236-#REF!</f>
      </c>
      <c r="AT172" s="51" t="e">
        <f>Ticker0001_Exchange_Sheet!BS236-#REF!</f>
      </c>
      <c r="AU172" s="51" t="e">
        <f>Ticker0001_Exchange_Sheet!BT236-#REF!</f>
      </c>
      <c r="AV172" s="51" t="e">
        <f>Ticker0001_Exchange_Sheet!BU236-#REF!</f>
      </c>
      <c r="AW172" s="51" t="e">
        <f>Ticker0001_Exchange_Sheet!BV236-#REF!</f>
      </c>
      <c r="AX172" s="51" t="e">
        <f>Ticker0001_Exchange_Sheet!BW236-#REF!</f>
      </c>
      <c r="AY172" s="51" t="e">
        <f>Ticker0001_Exchange_Sheet!BX236-#REF!</f>
      </c>
      <c r="AZ172" s="51" t="e">
        <f>Ticker0001_Exchange_Sheet!BY236-#REF!</f>
      </c>
      <c r="BA172" s="51" t="e">
        <f>Ticker0001_Exchange_Sheet!BZ236-#REF!</f>
      </c>
      <c r="BB172" s="51" t="e">
        <f>Ticker0001_Exchange_Sheet!CA236-#REF!</f>
      </c>
      <c r="BC172" s="51" t="e">
        <f>Ticker0001_Exchange_Sheet!CB236-#REF!</f>
      </c>
      <c r="BD172" s="51" t="e">
        <f>Ticker0001_Exchange_Sheet!CC236-#REF!</f>
      </c>
      <c r="BE172" s="51" t="e">
        <f>Ticker0001_Exchange_Sheet!CD236-#REF!</f>
      </c>
      <c r="BF172" s="51" t="e">
        <f>Ticker0001_Exchange_Sheet!CE236-#REF!</f>
      </c>
      <c r="BG172" s="51" t="e">
        <f>Ticker0001_Exchange_Sheet!CF236-#REF!</f>
      </c>
      <c r="BH172" s="51" t="e">
        <f>Ticker0001_Exchange_Sheet!CG236-#REF!</f>
      </c>
      <c r="BI172" s="51" t="e">
        <f>Ticker0001_Exchange_Sheet!CH236-#REF!</f>
      </c>
      <c r="BJ172" s="51" t="e">
        <f>Ticker0001_Exchange_Sheet!CI236-#REF!</f>
      </c>
      <c r="BK172" s="51" t="e">
        <f>Ticker0001_Exchange_Sheet!CJ236-#REF!</f>
      </c>
      <c r="BL172" s="51" t="e">
        <f>Ticker0001_Exchange_Sheet!CK236-#REF!</f>
      </c>
      <c r="BM172" s="51" t="e">
        <f>Ticker0001_Exchange_Sheet!CL236-#REF!</f>
      </c>
      <c r="BN172" s="51" t="e">
        <f>Ticker0001_Exchange_Sheet!CM236-#REF!</f>
      </c>
      <c r="BO172" s="51" t="e">
        <f>Ticker0001_Exchange_Sheet!CN236-#REF!</f>
      </c>
      <c r="BP172" s="51" t="e">
        <f>Ticker0001_Exchange_Sheet!CO236-#REF!</f>
      </c>
      <c r="BQ172" s="51" t="e">
        <f>Ticker0001_Exchange_Sheet!CP236-#REF!</f>
      </c>
      <c r="BR172" s="51" t="e">
        <f>Ticker0001_Exchange_Sheet!CQ236-#REF!</f>
      </c>
      <c r="BS172" s="51" t="e">
        <f>Ticker0001_Exchange_Sheet!CR236-#REF!</f>
      </c>
      <c r="BT172" s="51" t="e">
        <f>Ticker0001_Exchange_Sheet!CS236-#REF!</f>
      </c>
      <c r="BU172" s="51" t="e">
        <f>Ticker0001_Exchange_Sheet!CT236-#REF!</f>
      </c>
      <c r="BV172" s="51" t="e">
        <f>Ticker0001_Exchange_Sheet!CU236-#REF!</f>
      </c>
      <c r="BW172" s="51" t="e">
        <f>Ticker0001_Exchange_Sheet!CV236-#REF!</f>
      </c>
      <c r="BX172" s="51" t="e">
        <f>Ticker0001_Exchange_Sheet!CW236-#REF!</f>
      </c>
      <c r="BY172" s="51" t="e">
        <f>Ticker0001_Exchange_Sheet!CX236-#REF!</f>
      </c>
      <c r="BZ172" s="51" t="e">
        <f>Ticker0001_Exchange_Sheet!CY236-#REF!</f>
      </c>
      <c r="CA172" s="51" t="e">
        <f>Ticker0001_Exchange_Sheet!CZ236-#REF!</f>
      </c>
      <c r="CB172" s="51" t="e">
        <f>Ticker0001_Exchange_Sheet!DA236-#REF!</f>
      </c>
      <c r="CC172" s="51" t="e">
        <f>Ticker0001_Exchange_Sheet!DB236-#REF!</f>
      </c>
      <c r="CD172" s="51" t="e">
        <f>Ticker0001_Exchange_Sheet!DC236-#REF!</f>
      </c>
      <c r="CE172" s="51" t="e">
        <f>Ticker0001_Exchange_Sheet!DD236-#REF!</f>
      </c>
      <c r="CF172" s="51" t="e">
        <f>Ticker0001_Exchange_Sheet!DE236-#REF!</f>
      </c>
    </row>
    <row r="173" spans="6:84">
      <c r="F173" s="51" t="e">
        <f>Ticker0001_Exchange_Sheet!F237-#REF!</f>
      </c>
      <c r="G173" s="51" t="e">
        <f>Ticker0001_Exchange_Sheet!G237-#REF!</f>
      </c>
      <c r="H173" s="51" t="e">
        <f>Ticker0001_Exchange_Sheet!H237-#REF!</f>
      </c>
      <c r="I173" s="51" t="e">
        <f>Ticker0001_Exchange_Sheet!I237-#REF!</f>
      </c>
      <c r="J173" s="51" t="e">
        <f>Ticker0001_Exchange_Sheet!J237-#REF!</f>
      </c>
      <c r="K173" s="51" t="e">
        <f>Ticker0001_Exchange_Sheet!K237-#REF!</f>
      </c>
      <c r="L173" s="51" t="e">
        <f>Ticker0001_Exchange_Sheet!L237-#REF!</f>
      </c>
      <c r="M173" s="51" t="e">
        <f>Ticker0001_Exchange_Sheet!M237-#REF!</f>
      </c>
      <c r="N173" s="51" t="e">
        <f>Ticker0001_Exchange_Sheet!N237-#REF!</f>
      </c>
      <c r="O173" s="51" t="e">
        <f>Ticker0001_Exchange_Sheet!O237-#REF!</f>
      </c>
      <c r="P173" s="51" t="e">
        <f>Ticker0001_Exchange_Sheet!P237-#REF!</f>
      </c>
      <c r="Q173" s="51" t="e">
        <f>Ticker0001_Exchange_Sheet!Q237-#REF!</f>
      </c>
      <c r="R173" s="51" t="e">
        <f>Ticker0001_Exchange_Sheet!R237-#REF!</f>
      </c>
      <c r="S173" s="51" t="e">
        <f>Ticker0001_Exchange_Sheet!S237-#REF!</f>
      </c>
      <c r="T173" s="51" t="e">
        <f>Ticker0001_Exchange_Sheet!T237-#REF!</f>
      </c>
      <c r="U173" s="51" t="e">
        <f>Ticker0001_Exchange_Sheet!U237-#REF!</f>
      </c>
      <c r="V173" s="51" t="e">
        <f>Ticker0001_Exchange_Sheet!V237-#REF!</f>
      </c>
      <c r="W173" s="51" t="e">
        <f>Ticker0001_Exchange_Sheet!W237-#REF!</f>
      </c>
      <c r="X173" s="51" t="e">
        <f>Ticker0001_Exchange_Sheet!AK237-#REF!</f>
      </c>
      <c r="Y173" s="51" t="e">
        <f>Ticker0001_Exchange_Sheet!AX237-#REF!</f>
      </c>
      <c r="Z173" s="51" t="e">
        <f>Ticker0001_Exchange_Sheet!AY237-#REF!</f>
      </c>
      <c r="AA173" s="51" t="e">
        <f>Ticker0001_Exchange_Sheet!AZ237-#REF!</f>
      </c>
      <c r="AB173" s="51" t="e">
        <f>Ticker0001_Exchange_Sheet!BA237-#REF!</f>
      </c>
      <c r="AC173" s="51" t="e">
        <f>Ticker0001_Exchange_Sheet!BB237-#REF!</f>
      </c>
      <c r="AD173" s="51" t="e">
        <f>Ticker0001_Exchange_Sheet!BC237-#REF!</f>
      </c>
      <c r="AE173" s="51" t="e">
        <f>Ticker0001_Exchange_Sheet!BD237-#REF!</f>
      </c>
      <c r="AF173" s="51" t="e">
        <f>Ticker0001_Exchange_Sheet!BE237-#REF!</f>
      </c>
      <c r="AG173" s="51" t="e">
        <f>Ticker0001_Exchange_Sheet!BF237-#REF!</f>
      </c>
      <c r="AH173" s="51" t="e">
        <f>Ticker0001_Exchange_Sheet!BG237-#REF!</f>
      </c>
      <c r="AI173" s="51" t="e">
        <f>Ticker0001_Exchange_Sheet!BH237-#REF!</f>
      </c>
      <c r="AJ173" s="51" t="e">
        <f>Ticker0001_Exchange_Sheet!BI237-#REF!</f>
      </c>
      <c r="AK173" s="51" t="e">
        <f>Ticker0001_Exchange_Sheet!BJ237-#REF!</f>
      </c>
      <c r="AL173" s="51" t="e">
        <f>Ticker0001_Exchange_Sheet!BK237-#REF!</f>
      </c>
      <c r="AM173" s="51" t="e">
        <f>Ticker0001_Exchange_Sheet!BL237-#REF!</f>
      </c>
      <c r="AN173" s="51" t="e">
        <f>Ticker0001_Exchange_Sheet!BM237-#REF!</f>
      </c>
      <c r="AO173" s="51" t="e">
        <f>Ticker0001_Exchange_Sheet!BN237-#REF!</f>
      </c>
      <c r="AP173" s="51" t="e">
        <f>Ticker0001_Exchange_Sheet!BO237-#REF!</f>
      </c>
      <c r="AQ173" s="51" t="e">
        <f>Ticker0001_Exchange_Sheet!BP237-#REF!</f>
      </c>
      <c r="AR173" s="51" t="e">
        <f>Ticker0001_Exchange_Sheet!BQ237-#REF!</f>
      </c>
      <c r="AS173" s="51" t="e">
        <f>Ticker0001_Exchange_Sheet!BR237-#REF!</f>
      </c>
      <c r="AT173" s="51" t="e">
        <f>Ticker0001_Exchange_Sheet!BS237-#REF!</f>
      </c>
      <c r="AU173" s="51" t="e">
        <f>Ticker0001_Exchange_Sheet!BT237-#REF!</f>
      </c>
      <c r="AV173" s="51" t="e">
        <f>Ticker0001_Exchange_Sheet!BU237-#REF!</f>
      </c>
      <c r="AW173" s="51" t="e">
        <f>Ticker0001_Exchange_Sheet!BV237-#REF!</f>
      </c>
      <c r="AX173" s="51" t="e">
        <f>Ticker0001_Exchange_Sheet!BW237-#REF!</f>
      </c>
      <c r="AY173" s="51" t="e">
        <f>Ticker0001_Exchange_Sheet!BX237-#REF!</f>
      </c>
      <c r="AZ173" s="51" t="e">
        <f>Ticker0001_Exchange_Sheet!BY237-#REF!</f>
      </c>
      <c r="BA173" s="51" t="e">
        <f>Ticker0001_Exchange_Sheet!BZ237-#REF!</f>
      </c>
      <c r="BB173" s="51" t="e">
        <f>Ticker0001_Exchange_Sheet!CA237-#REF!</f>
      </c>
      <c r="BC173" s="51" t="e">
        <f>Ticker0001_Exchange_Sheet!CB237-#REF!</f>
      </c>
      <c r="BD173" s="51" t="e">
        <f>Ticker0001_Exchange_Sheet!CC237-#REF!</f>
      </c>
      <c r="BE173" s="51" t="e">
        <f>Ticker0001_Exchange_Sheet!CD237-#REF!</f>
      </c>
      <c r="BF173" s="51" t="e">
        <f>Ticker0001_Exchange_Sheet!CE237-#REF!</f>
      </c>
      <c r="BG173" s="51" t="e">
        <f>Ticker0001_Exchange_Sheet!CF237-#REF!</f>
      </c>
      <c r="BH173" s="51" t="e">
        <f>Ticker0001_Exchange_Sheet!CG237-#REF!</f>
      </c>
      <c r="BI173" s="51" t="e">
        <f>Ticker0001_Exchange_Sheet!CH237-#REF!</f>
      </c>
      <c r="BJ173" s="51" t="e">
        <f>Ticker0001_Exchange_Sheet!CI237-#REF!</f>
      </c>
      <c r="BK173" s="51" t="e">
        <f>Ticker0001_Exchange_Sheet!CJ237-#REF!</f>
      </c>
      <c r="BL173" s="51" t="e">
        <f>Ticker0001_Exchange_Sheet!CK237-#REF!</f>
      </c>
      <c r="BM173" s="51" t="e">
        <f>Ticker0001_Exchange_Sheet!CL237-#REF!</f>
      </c>
      <c r="BN173" s="51" t="e">
        <f>Ticker0001_Exchange_Sheet!CM237-#REF!</f>
      </c>
      <c r="BO173" s="51" t="e">
        <f>Ticker0001_Exchange_Sheet!CN237-#REF!</f>
      </c>
      <c r="BP173" s="51" t="e">
        <f>Ticker0001_Exchange_Sheet!CO237-#REF!</f>
      </c>
      <c r="BQ173" s="51" t="e">
        <f>Ticker0001_Exchange_Sheet!CP237-#REF!</f>
      </c>
      <c r="BR173" s="51" t="e">
        <f>Ticker0001_Exchange_Sheet!CQ237-#REF!</f>
      </c>
      <c r="BS173" s="51" t="e">
        <f>Ticker0001_Exchange_Sheet!CR237-#REF!</f>
      </c>
      <c r="BT173" s="51" t="e">
        <f>Ticker0001_Exchange_Sheet!CS237-#REF!</f>
      </c>
      <c r="BU173" s="51" t="e">
        <f>Ticker0001_Exchange_Sheet!CT237-#REF!</f>
      </c>
      <c r="BV173" s="51" t="e">
        <f>Ticker0001_Exchange_Sheet!CU237-#REF!</f>
      </c>
      <c r="BW173" s="51" t="e">
        <f>Ticker0001_Exchange_Sheet!CV237-#REF!</f>
      </c>
      <c r="BX173" s="51" t="e">
        <f>Ticker0001_Exchange_Sheet!CW237-#REF!</f>
      </c>
      <c r="BY173" s="51" t="e">
        <f>Ticker0001_Exchange_Sheet!CX237-#REF!</f>
      </c>
      <c r="BZ173" s="51" t="e">
        <f>Ticker0001_Exchange_Sheet!CY237-#REF!</f>
      </c>
      <c r="CA173" s="51" t="e">
        <f>Ticker0001_Exchange_Sheet!CZ237-#REF!</f>
      </c>
      <c r="CB173" s="51" t="e">
        <f>Ticker0001_Exchange_Sheet!DA237-#REF!</f>
      </c>
      <c r="CC173" s="51" t="e">
        <f>Ticker0001_Exchange_Sheet!DB237-#REF!</f>
      </c>
      <c r="CD173" s="51" t="e">
        <f>Ticker0001_Exchange_Sheet!DC237-#REF!</f>
      </c>
      <c r="CE173" s="51" t="e">
        <f>Ticker0001_Exchange_Sheet!DD237-#REF!</f>
      </c>
      <c r="CF173" s="51" t="e">
        <f>Ticker0001_Exchange_Sheet!DE237-#REF!</f>
      </c>
    </row>
    <row r="174" spans="6:84">
      <c r="F174" s="51" t="e">
        <f>Ticker0001_Exchange_Sheet!F238-#REF!</f>
      </c>
      <c r="G174" s="51" t="e">
        <f>Ticker0001_Exchange_Sheet!G238-#REF!</f>
      </c>
      <c r="H174" s="51" t="e">
        <f>Ticker0001_Exchange_Sheet!H238-#REF!</f>
      </c>
      <c r="I174" s="51" t="e">
        <f>Ticker0001_Exchange_Sheet!I238-#REF!</f>
      </c>
      <c r="J174" s="51" t="e">
        <f>Ticker0001_Exchange_Sheet!J238-#REF!</f>
      </c>
      <c r="K174" s="51" t="e">
        <f>Ticker0001_Exchange_Sheet!K238-#REF!</f>
      </c>
      <c r="L174" s="51" t="e">
        <f>Ticker0001_Exchange_Sheet!L238-#REF!</f>
      </c>
      <c r="M174" s="51" t="e">
        <f>Ticker0001_Exchange_Sheet!M238-#REF!</f>
      </c>
      <c r="N174" s="51" t="e">
        <f>Ticker0001_Exchange_Sheet!N238-#REF!</f>
      </c>
      <c r="O174" s="51" t="e">
        <f>Ticker0001_Exchange_Sheet!O238-#REF!</f>
      </c>
      <c r="P174" s="51" t="e">
        <f>Ticker0001_Exchange_Sheet!P238-#REF!</f>
      </c>
      <c r="Q174" s="51" t="e">
        <f>Ticker0001_Exchange_Sheet!Q238-#REF!</f>
      </c>
      <c r="R174" s="51" t="e">
        <f>Ticker0001_Exchange_Sheet!R238-#REF!</f>
      </c>
      <c r="S174" s="51" t="e">
        <f>Ticker0001_Exchange_Sheet!S238-#REF!</f>
      </c>
      <c r="T174" s="51" t="e">
        <f>Ticker0001_Exchange_Sheet!T238-#REF!</f>
      </c>
      <c r="U174" s="51" t="e">
        <f>Ticker0001_Exchange_Sheet!U238-#REF!</f>
      </c>
      <c r="V174" s="51" t="e">
        <f>Ticker0001_Exchange_Sheet!V238-#REF!</f>
      </c>
      <c r="W174" s="51" t="e">
        <f>Ticker0001_Exchange_Sheet!W238-#REF!</f>
      </c>
      <c r="X174" s="51" t="e">
        <f>Ticker0001_Exchange_Sheet!AK238-#REF!</f>
      </c>
      <c r="Y174" s="51" t="e">
        <f>Ticker0001_Exchange_Sheet!AX238-#REF!</f>
      </c>
      <c r="Z174" s="51" t="e">
        <f>Ticker0001_Exchange_Sheet!AY238-#REF!</f>
      </c>
      <c r="AA174" s="51" t="e">
        <f>Ticker0001_Exchange_Sheet!AZ238-#REF!</f>
      </c>
      <c r="AB174" s="51" t="e">
        <f>Ticker0001_Exchange_Sheet!BA238-#REF!</f>
      </c>
      <c r="AC174" s="51" t="e">
        <f>Ticker0001_Exchange_Sheet!BB238-#REF!</f>
      </c>
      <c r="AD174" s="51" t="e">
        <f>Ticker0001_Exchange_Sheet!BC238-#REF!</f>
      </c>
      <c r="AE174" s="51" t="e">
        <f>Ticker0001_Exchange_Sheet!BD238-#REF!</f>
      </c>
      <c r="AF174" s="51" t="e">
        <f>Ticker0001_Exchange_Sheet!BE238-#REF!</f>
      </c>
      <c r="AG174" s="51" t="e">
        <f>Ticker0001_Exchange_Sheet!BF238-#REF!</f>
      </c>
      <c r="AH174" s="51" t="e">
        <f>Ticker0001_Exchange_Sheet!BG238-#REF!</f>
      </c>
      <c r="AI174" s="51" t="e">
        <f>Ticker0001_Exchange_Sheet!BH238-#REF!</f>
      </c>
      <c r="AJ174" s="51" t="e">
        <f>Ticker0001_Exchange_Sheet!BI238-#REF!</f>
      </c>
      <c r="AK174" s="51" t="e">
        <f>Ticker0001_Exchange_Sheet!BJ238-#REF!</f>
      </c>
      <c r="AL174" s="51" t="e">
        <f>Ticker0001_Exchange_Sheet!BK238-#REF!</f>
      </c>
      <c r="AM174" s="51" t="e">
        <f>Ticker0001_Exchange_Sheet!BL238-#REF!</f>
      </c>
      <c r="AN174" s="51" t="e">
        <f>Ticker0001_Exchange_Sheet!BM238-#REF!</f>
      </c>
      <c r="AO174" s="51" t="e">
        <f>Ticker0001_Exchange_Sheet!BN238-#REF!</f>
      </c>
      <c r="AP174" s="51" t="e">
        <f>Ticker0001_Exchange_Sheet!BO238-#REF!</f>
      </c>
      <c r="AQ174" s="51" t="e">
        <f>Ticker0001_Exchange_Sheet!BP238-#REF!</f>
      </c>
      <c r="AR174" s="51" t="e">
        <f>Ticker0001_Exchange_Sheet!BQ238-#REF!</f>
      </c>
      <c r="AS174" s="51" t="e">
        <f>Ticker0001_Exchange_Sheet!BR238-#REF!</f>
      </c>
      <c r="AT174" s="51" t="e">
        <f>Ticker0001_Exchange_Sheet!BS238-#REF!</f>
      </c>
      <c r="AU174" s="51" t="e">
        <f>Ticker0001_Exchange_Sheet!BT238-#REF!</f>
      </c>
      <c r="AV174" s="51" t="e">
        <f>Ticker0001_Exchange_Sheet!BU238-#REF!</f>
      </c>
      <c r="AW174" s="51" t="e">
        <f>Ticker0001_Exchange_Sheet!BV238-#REF!</f>
      </c>
      <c r="AX174" s="51" t="e">
        <f>Ticker0001_Exchange_Sheet!BW238-#REF!</f>
      </c>
      <c r="AY174" s="51" t="e">
        <f>Ticker0001_Exchange_Sheet!BX238-#REF!</f>
      </c>
      <c r="AZ174" s="51" t="e">
        <f>Ticker0001_Exchange_Sheet!BY238-#REF!</f>
      </c>
      <c r="BA174" s="51" t="e">
        <f>Ticker0001_Exchange_Sheet!BZ238-#REF!</f>
      </c>
      <c r="BB174" s="51" t="e">
        <f>Ticker0001_Exchange_Sheet!CA238-#REF!</f>
      </c>
      <c r="BC174" s="51" t="e">
        <f>Ticker0001_Exchange_Sheet!CB238-#REF!</f>
      </c>
      <c r="BD174" s="51" t="e">
        <f>Ticker0001_Exchange_Sheet!CC238-#REF!</f>
      </c>
      <c r="BE174" s="51" t="e">
        <f>Ticker0001_Exchange_Sheet!CD238-#REF!</f>
      </c>
      <c r="BF174" s="51" t="e">
        <f>Ticker0001_Exchange_Sheet!CE238-#REF!</f>
      </c>
      <c r="BG174" s="51" t="e">
        <f>Ticker0001_Exchange_Sheet!CF238-#REF!</f>
      </c>
      <c r="BH174" s="51" t="e">
        <f>Ticker0001_Exchange_Sheet!CG238-#REF!</f>
      </c>
      <c r="BI174" s="51" t="e">
        <f>Ticker0001_Exchange_Sheet!CH238-#REF!</f>
      </c>
      <c r="BJ174" s="51" t="e">
        <f>Ticker0001_Exchange_Sheet!CI238-#REF!</f>
      </c>
      <c r="BK174" s="51" t="e">
        <f>Ticker0001_Exchange_Sheet!CJ238-#REF!</f>
      </c>
      <c r="BL174" s="51" t="e">
        <f>Ticker0001_Exchange_Sheet!CK238-#REF!</f>
      </c>
      <c r="BM174" s="51" t="e">
        <f>Ticker0001_Exchange_Sheet!CL238-#REF!</f>
      </c>
      <c r="BN174" s="51" t="e">
        <f>Ticker0001_Exchange_Sheet!CM238-#REF!</f>
      </c>
      <c r="BO174" s="51" t="e">
        <f>Ticker0001_Exchange_Sheet!CN238-#REF!</f>
      </c>
      <c r="BP174" s="51" t="e">
        <f>Ticker0001_Exchange_Sheet!CO238-#REF!</f>
      </c>
      <c r="BQ174" s="51" t="e">
        <f>Ticker0001_Exchange_Sheet!CP238-#REF!</f>
      </c>
      <c r="BR174" s="51" t="e">
        <f>Ticker0001_Exchange_Sheet!CQ238-#REF!</f>
      </c>
      <c r="BS174" s="51" t="e">
        <f>Ticker0001_Exchange_Sheet!CR238-#REF!</f>
      </c>
      <c r="BT174" s="51" t="e">
        <f>Ticker0001_Exchange_Sheet!CS238-#REF!</f>
      </c>
      <c r="BU174" s="51" t="e">
        <f>Ticker0001_Exchange_Sheet!CT238-#REF!</f>
      </c>
      <c r="BV174" s="51" t="e">
        <f>Ticker0001_Exchange_Sheet!CU238-#REF!</f>
      </c>
      <c r="BW174" s="51" t="e">
        <f>Ticker0001_Exchange_Sheet!CV238-#REF!</f>
      </c>
      <c r="BX174" s="51" t="e">
        <f>Ticker0001_Exchange_Sheet!CW238-#REF!</f>
      </c>
      <c r="BY174" s="51" t="e">
        <f>Ticker0001_Exchange_Sheet!CX238-#REF!</f>
      </c>
      <c r="BZ174" s="51" t="e">
        <f>Ticker0001_Exchange_Sheet!CY238-#REF!</f>
      </c>
      <c r="CA174" s="51" t="e">
        <f>Ticker0001_Exchange_Sheet!CZ238-#REF!</f>
      </c>
      <c r="CB174" s="51" t="e">
        <f>Ticker0001_Exchange_Sheet!DA238-#REF!</f>
      </c>
      <c r="CC174" s="51" t="e">
        <f>Ticker0001_Exchange_Sheet!DB238-#REF!</f>
      </c>
      <c r="CD174" s="51" t="e">
        <f>Ticker0001_Exchange_Sheet!DC238-#REF!</f>
      </c>
      <c r="CE174" s="51" t="e">
        <f>Ticker0001_Exchange_Sheet!DD238-#REF!</f>
      </c>
      <c r="CF174" s="51" t="e">
        <f>Ticker0001_Exchange_Sheet!DE238-#REF!</f>
      </c>
    </row>
    <row r="175" spans="6:84">
      <c r="F175" s="51" t="e">
        <f>Ticker0001_Exchange_Sheet!F239-#REF!</f>
      </c>
      <c r="G175" s="51" t="e">
        <f>Ticker0001_Exchange_Sheet!G239-#REF!</f>
      </c>
      <c r="H175" s="51" t="e">
        <f>Ticker0001_Exchange_Sheet!H239-#REF!</f>
      </c>
      <c r="I175" s="51" t="e">
        <f>Ticker0001_Exchange_Sheet!I239-#REF!</f>
      </c>
      <c r="J175" s="51" t="e">
        <f>Ticker0001_Exchange_Sheet!J239-#REF!</f>
      </c>
      <c r="K175" s="51" t="e">
        <f>Ticker0001_Exchange_Sheet!K239-#REF!</f>
      </c>
      <c r="L175" s="51" t="e">
        <f>Ticker0001_Exchange_Sheet!L239-#REF!</f>
      </c>
      <c r="M175" s="51" t="e">
        <f>Ticker0001_Exchange_Sheet!M239-#REF!</f>
      </c>
      <c r="N175" s="51" t="e">
        <f>Ticker0001_Exchange_Sheet!N239-#REF!</f>
      </c>
      <c r="O175" s="51" t="e">
        <f>Ticker0001_Exchange_Sheet!O239-#REF!</f>
      </c>
      <c r="P175" s="51" t="e">
        <f>Ticker0001_Exchange_Sheet!P239-#REF!</f>
      </c>
      <c r="Q175" s="51" t="e">
        <f>Ticker0001_Exchange_Sheet!Q239-#REF!</f>
      </c>
      <c r="R175" s="51" t="e">
        <f>Ticker0001_Exchange_Sheet!R239-#REF!</f>
      </c>
      <c r="S175" s="51" t="e">
        <f>Ticker0001_Exchange_Sheet!S239-#REF!</f>
      </c>
      <c r="T175" s="51" t="e">
        <f>Ticker0001_Exchange_Sheet!T239-#REF!</f>
      </c>
      <c r="U175" s="51" t="e">
        <f>Ticker0001_Exchange_Sheet!U239-#REF!</f>
      </c>
      <c r="V175" s="51" t="e">
        <f>Ticker0001_Exchange_Sheet!V239-#REF!</f>
      </c>
      <c r="W175" s="51" t="e">
        <f>Ticker0001_Exchange_Sheet!W239-#REF!</f>
      </c>
      <c r="X175" s="51" t="e">
        <f>Ticker0001_Exchange_Sheet!AK239-#REF!</f>
      </c>
      <c r="Y175" s="51" t="e">
        <f>Ticker0001_Exchange_Sheet!AX239-#REF!</f>
      </c>
      <c r="Z175" s="51" t="e">
        <f>Ticker0001_Exchange_Sheet!AY239-#REF!</f>
      </c>
      <c r="AA175" s="51" t="e">
        <f>Ticker0001_Exchange_Sheet!AZ239-#REF!</f>
      </c>
      <c r="AB175" s="51" t="e">
        <f>Ticker0001_Exchange_Sheet!BA239-#REF!</f>
      </c>
      <c r="AC175" s="51" t="e">
        <f>Ticker0001_Exchange_Sheet!BB239-#REF!</f>
      </c>
      <c r="AD175" s="51" t="e">
        <f>Ticker0001_Exchange_Sheet!BC239-#REF!</f>
      </c>
      <c r="AE175" s="51" t="e">
        <f>Ticker0001_Exchange_Sheet!BD239-#REF!</f>
      </c>
      <c r="AF175" s="51" t="e">
        <f>Ticker0001_Exchange_Sheet!BE239-#REF!</f>
      </c>
      <c r="AG175" s="51" t="e">
        <f>Ticker0001_Exchange_Sheet!BF239-#REF!</f>
      </c>
      <c r="AH175" s="51" t="e">
        <f>Ticker0001_Exchange_Sheet!BG239-#REF!</f>
      </c>
      <c r="AI175" s="51" t="e">
        <f>Ticker0001_Exchange_Sheet!BH239-#REF!</f>
      </c>
      <c r="AJ175" s="51" t="e">
        <f>Ticker0001_Exchange_Sheet!BI239-#REF!</f>
      </c>
      <c r="AK175" s="51" t="e">
        <f>Ticker0001_Exchange_Sheet!BJ239-#REF!</f>
      </c>
      <c r="AL175" s="51" t="e">
        <f>Ticker0001_Exchange_Sheet!BK239-#REF!</f>
      </c>
      <c r="AM175" s="51" t="e">
        <f>Ticker0001_Exchange_Sheet!BL239-#REF!</f>
      </c>
      <c r="AN175" s="51" t="e">
        <f>Ticker0001_Exchange_Sheet!BM239-#REF!</f>
      </c>
      <c r="AO175" s="51" t="e">
        <f>Ticker0001_Exchange_Sheet!BN239-#REF!</f>
      </c>
      <c r="AP175" s="51" t="e">
        <f>Ticker0001_Exchange_Sheet!BO239-#REF!</f>
      </c>
      <c r="AQ175" s="51" t="e">
        <f>Ticker0001_Exchange_Sheet!BP239-#REF!</f>
      </c>
      <c r="AR175" s="51" t="e">
        <f>Ticker0001_Exchange_Sheet!BQ239-#REF!</f>
      </c>
      <c r="AS175" s="51" t="e">
        <f>Ticker0001_Exchange_Sheet!BR239-#REF!</f>
      </c>
      <c r="AT175" s="51" t="e">
        <f>Ticker0001_Exchange_Sheet!BS239-#REF!</f>
      </c>
      <c r="AU175" s="51" t="e">
        <f>Ticker0001_Exchange_Sheet!BT239-#REF!</f>
      </c>
      <c r="AV175" s="51" t="e">
        <f>Ticker0001_Exchange_Sheet!BU239-#REF!</f>
      </c>
      <c r="AW175" s="51" t="e">
        <f>Ticker0001_Exchange_Sheet!BV239-#REF!</f>
      </c>
      <c r="AX175" s="51" t="e">
        <f>Ticker0001_Exchange_Sheet!BW239-#REF!</f>
      </c>
      <c r="AY175" s="51" t="e">
        <f>Ticker0001_Exchange_Sheet!BX239-#REF!</f>
      </c>
      <c r="AZ175" s="51" t="e">
        <f>Ticker0001_Exchange_Sheet!BY239-#REF!</f>
      </c>
      <c r="BA175" s="51" t="e">
        <f>Ticker0001_Exchange_Sheet!BZ239-#REF!</f>
      </c>
      <c r="BB175" s="51" t="e">
        <f>Ticker0001_Exchange_Sheet!CA239-#REF!</f>
      </c>
      <c r="BC175" s="51" t="e">
        <f>Ticker0001_Exchange_Sheet!CB239-#REF!</f>
      </c>
      <c r="BD175" s="51" t="e">
        <f>Ticker0001_Exchange_Sheet!CC239-#REF!</f>
      </c>
      <c r="BE175" s="51" t="e">
        <f>Ticker0001_Exchange_Sheet!CD239-#REF!</f>
      </c>
      <c r="BF175" s="51" t="e">
        <f>Ticker0001_Exchange_Sheet!CE239-#REF!</f>
      </c>
      <c r="BG175" s="51" t="e">
        <f>Ticker0001_Exchange_Sheet!CF239-#REF!</f>
      </c>
      <c r="BH175" s="51" t="e">
        <f>Ticker0001_Exchange_Sheet!CG239-#REF!</f>
      </c>
      <c r="BI175" s="51" t="e">
        <f>Ticker0001_Exchange_Sheet!CH239-#REF!</f>
      </c>
      <c r="BJ175" s="51" t="e">
        <f>Ticker0001_Exchange_Sheet!CI239-#REF!</f>
      </c>
      <c r="BK175" s="51" t="e">
        <f>Ticker0001_Exchange_Sheet!CJ239-#REF!</f>
      </c>
      <c r="BL175" s="51" t="e">
        <f>Ticker0001_Exchange_Sheet!CK239-#REF!</f>
      </c>
      <c r="BM175" s="51" t="e">
        <f>Ticker0001_Exchange_Sheet!CL239-#REF!</f>
      </c>
      <c r="BN175" s="51" t="e">
        <f>Ticker0001_Exchange_Sheet!CM239-#REF!</f>
      </c>
      <c r="BO175" s="51" t="e">
        <f>Ticker0001_Exchange_Sheet!CN239-#REF!</f>
      </c>
      <c r="BP175" s="51" t="e">
        <f>Ticker0001_Exchange_Sheet!CO239-#REF!</f>
      </c>
      <c r="BQ175" s="51" t="e">
        <f>Ticker0001_Exchange_Sheet!CP239-#REF!</f>
      </c>
      <c r="BR175" s="51" t="e">
        <f>Ticker0001_Exchange_Sheet!CQ239-#REF!</f>
      </c>
      <c r="BS175" s="51" t="e">
        <f>Ticker0001_Exchange_Sheet!CR239-#REF!</f>
      </c>
      <c r="BT175" s="51" t="e">
        <f>Ticker0001_Exchange_Sheet!CS239-#REF!</f>
      </c>
      <c r="BU175" s="51" t="e">
        <f>Ticker0001_Exchange_Sheet!CT239-#REF!</f>
      </c>
      <c r="BV175" s="51" t="e">
        <f>Ticker0001_Exchange_Sheet!CU239-#REF!</f>
      </c>
      <c r="BW175" s="51" t="e">
        <f>Ticker0001_Exchange_Sheet!CV239-#REF!</f>
      </c>
      <c r="BX175" s="51" t="e">
        <f>Ticker0001_Exchange_Sheet!CW239-#REF!</f>
      </c>
      <c r="BY175" s="51" t="e">
        <f>Ticker0001_Exchange_Sheet!CX239-#REF!</f>
      </c>
      <c r="BZ175" s="51" t="e">
        <f>Ticker0001_Exchange_Sheet!CY239-#REF!</f>
      </c>
      <c r="CA175" s="51" t="e">
        <f>Ticker0001_Exchange_Sheet!CZ239-#REF!</f>
      </c>
      <c r="CB175" s="51" t="e">
        <f>Ticker0001_Exchange_Sheet!DA239-#REF!</f>
      </c>
      <c r="CC175" s="51" t="e">
        <f>Ticker0001_Exchange_Sheet!DB239-#REF!</f>
      </c>
      <c r="CD175" s="51" t="e">
        <f>Ticker0001_Exchange_Sheet!DC239-#REF!</f>
      </c>
      <c r="CE175" s="51" t="e">
        <f>Ticker0001_Exchange_Sheet!DD239-#REF!</f>
      </c>
      <c r="CF175" s="51" t="e">
        <f>Ticker0001_Exchange_Sheet!DE239-#REF!</f>
      </c>
    </row>
    <row r="176" spans="6:84">
      <c r="F176" s="51" t="e">
        <f>Ticker0001_Exchange_Sheet!F240-#REF!</f>
      </c>
      <c r="G176" s="51" t="e">
        <f>Ticker0001_Exchange_Sheet!G240-#REF!</f>
      </c>
      <c r="H176" s="51" t="e">
        <f>Ticker0001_Exchange_Sheet!H240-#REF!</f>
      </c>
      <c r="I176" s="51" t="e">
        <f>Ticker0001_Exchange_Sheet!I240-#REF!</f>
      </c>
      <c r="J176" s="51" t="e">
        <f>Ticker0001_Exchange_Sheet!J240-#REF!</f>
      </c>
      <c r="K176" s="51" t="e">
        <f>Ticker0001_Exchange_Sheet!K240-#REF!</f>
      </c>
      <c r="L176" s="51" t="e">
        <f>Ticker0001_Exchange_Sheet!L240-#REF!</f>
      </c>
      <c r="M176" s="51" t="e">
        <f>Ticker0001_Exchange_Sheet!M240-#REF!</f>
      </c>
      <c r="N176" s="51" t="e">
        <f>Ticker0001_Exchange_Sheet!N240-#REF!</f>
      </c>
      <c r="O176" s="51" t="e">
        <f>Ticker0001_Exchange_Sheet!O240-#REF!</f>
      </c>
      <c r="P176" s="51" t="e">
        <f>Ticker0001_Exchange_Sheet!P240-#REF!</f>
      </c>
      <c r="Q176" s="51" t="e">
        <f>Ticker0001_Exchange_Sheet!Q240-#REF!</f>
      </c>
      <c r="R176" s="51" t="e">
        <f>Ticker0001_Exchange_Sheet!R240-#REF!</f>
      </c>
      <c r="S176" s="51" t="e">
        <f>Ticker0001_Exchange_Sheet!S240-#REF!</f>
      </c>
      <c r="T176" s="51" t="e">
        <f>Ticker0001_Exchange_Sheet!T240-#REF!</f>
      </c>
      <c r="U176" s="51" t="e">
        <f>Ticker0001_Exchange_Sheet!U240-#REF!</f>
      </c>
      <c r="V176" s="51" t="e">
        <f>Ticker0001_Exchange_Sheet!V240-#REF!</f>
      </c>
      <c r="W176" s="51" t="e">
        <f>Ticker0001_Exchange_Sheet!W240-#REF!</f>
      </c>
      <c r="X176" s="51" t="e">
        <f>Ticker0001_Exchange_Sheet!AK240-#REF!</f>
      </c>
      <c r="Y176" s="51" t="e">
        <f>Ticker0001_Exchange_Sheet!AX240-#REF!</f>
      </c>
      <c r="Z176" s="51" t="e">
        <f>Ticker0001_Exchange_Sheet!AY240-#REF!</f>
      </c>
      <c r="AA176" s="51" t="e">
        <f>Ticker0001_Exchange_Sheet!AZ240-#REF!</f>
      </c>
      <c r="AB176" s="51" t="e">
        <f>Ticker0001_Exchange_Sheet!BA240-#REF!</f>
      </c>
      <c r="AC176" s="51" t="e">
        <f>Ticker0001_Exchange_Sheet!BB240-#REF!</f>
      </c>
      <c r="AD176" s="51" t="e">
        <f>Ticker0001_Exchange_Sheet!BC240-#REF!</f>
      </c>
      <c r="AE176" s="51" t="e">
        <f>Ticker0001_Exchange_Sheet!BD240-#REF!</f>
      </c>
      <c r="AF176" s="51" t="e">
        <f>Ticker0001_Exchange_Sheet!BE240-#REF!</f>
      </c>
      <c r="AG176" s="51" t="e">
        <f>Ticker0001_Exchange_Sheet!BF240-#REF!</f>
      </c>
      <c r="AH176" s="51" t="e">
        <f>Ticker0001_Exchange_Sheet!BG240-#REF!</f>
      </c>
      <c r="AI176" s="51" t="e">
        <f>Ticker0001_Exchange_Sheet!BH240-#REF!</f>
      </c>
      <c r="AJ176" s="51" t="e">
        <f>Ticker0001_Exchange_Sheet!BI240-#REF!</f>
      </c>
      <c r="AK176" s="51" t="e">
        <f>Ticker0001_Exchange_Sheet!BJ240-#REF!</f>
      </c>
      <c r="AL176" s="51" t="e">
        <f>Ticker0001_Exchange_Sheet!BK240-#REF!</f>
      </c>
      <c r="AM176" s="51" t="e">
        <f>Ticker0001_Exchange_Sheet!BL240-#REF!</f>
      </c>
      <c r="AN176" s="51" t="e">
        <f>Ticker0001_Exchange_Sheet!BM240-#REF!</f>
      </c>
      <c r="AO176" s="51" t="e">
        <f>Ticker0001_Exchange_Sheet!BN240-#REF!</f>
      </c>
      <c r="AP176" s="51" t="e">
        <f>Ticker0001_Exchange_Sheet!BO240-#REF!</f>
      </c>
      <c r="AQ176" s="51" t="e">
        <f>Ticker0001_Exchange_Sheet!BP240-#REF!</f>
      </c>
      <c r="AR176" s="51" t="e">
        <f>Ticker0001_Exchange_Sheet!BQ240-#REF!</f>
      </c>
      <c r="AS176" s="51" t="e">
        <f>Ticker0001_Exchange_Sheet!BR240-#REF!</f>
      </c>
      <c r="AT176" s="51" t="e">
        <f>Ticker0001_Exchange_Sheet!BS240-#REF!</f>
      </c>
      <c r="AU176" s="51" t="e">
        <f>Ticker0001_Exchange_Sheet!BT240-#REF!</f>
      </c>
      <c r="AV176" s="51" t="e">
        <f>Ticker0001_Exchange_Sheet!BU240-#REF!</f>
      </c>
      <c r="AW176" s="51" t="e">
        <f>Ticker0001_Exchange_Sheet!BV240-#REF!</f>
      </c>
      <c r="AX176" s="51" t="e">
        <f>Ticker0001_Exchange_Sheet!BW240-#REF!</f>
      </c>
      <c r="AY176" s="51" t="e">
        <f>Ticker0001_Exchange_Sheet!BX240-#REF!</f>
      </c>
      <c r="AZ176" s="51" t="e">
        <f>Ticker0001_Exchange_Sheet!BY240-#REF!</f>
      </c>
      <c r="BA176" s="51" t="e">
        <f>Ticker0001_Exchange_Sheet!BZ240-#REF!</f>
      </c>
      <c r="BB176" s="51" t="e">
        <f>Ticker0001_Exchange_Sheet!CA240-#REF!</f>
      </c>
      <c r="BC176" s="51" t="e">
        <f>Ticker0001_Exchange_Sheet!CB240-#REF!</f>
      </c>
      <c r="BD176" s="51" t="e">
        <f>Ticker0001_Exchange_Sheet!CC240-#REF!</f>
      </c>
      <c r="BE176" s="51" t="e">
        <f>Ticker0001_Exchange_Sheet!CD240-#REF!</f>
      </c>
      <c r="BF176" s="51" t="e">
        <f>Ticker0001_Exchange_Sheet!CE240-#REF!</f>
      </c>
      <c r="BG176" s="51" t="e">
        <f>Ticker0001_Exchange_Sheet!CF240-#REF!</f>
      </c>
      <c r="BH176" s="51" t="e">
        <f>Ticker0001_Exchange_Sheet!CG240-#REF!</f>
      </c>
      <c r="BI176" s="51" t="e">
        <f>Ticker0001_Exchange_Sheet!CH240-#REF!</f>
      </c>
      <c r="BJ176" s="51" t="e">
        <f>Ticker0001_Exchange_Sheet!CI240-#REF!</f>
      </c>
      <c r="BK176" s="51" t="e">
        <f>Ticker0001_Exchange_Sheet!CJ240-#REF!</f>
      </c>
      <c r="BL176" s="51" t="e">
        <f>Ticker0001_Exchange_Sheet!CK240-#REF!</f>
      </c>
      <c r="BM176" s="51" t="e">
        <f>Ticker0001_Exchange_Sheet!CL240-#REF!</f>
      </c>
      <c r="BN176" s="51" t="e">
        <f>Ticker0001_Exchange_Sheet!CM240-#REF!</f>
      </c>
      <c r="BO176" s="51" t="e">
        <f>Ticker0001_Exchange_Sheet!CN240-#REF!</f>
      </c>
      <c r="BP176" s="51" t="e">
        <f>Ticker0001_Exchange_Sheet!CO240-#REF!</f>
      </c>
      <c r="BQ176" s="51" t="e">
        <f>Ticker0001_Exchange_Sheet!CP240-#REF!</f>
      </c>
      <c r="BR176" s="51" t="e">
        <f>Ticker0001_Exchange_Sheet!CQ240-#REF!</f>
      </c>
      <c r="BS176" s="51" t="e">
        <f>Ticker0001_Exchange_Sheet!CR240-#REF!</f>
      </c>
      <c r="BT176" s="51" t="e">
        <f>Ticker0001_Exchange_Sheet!CS240-#REF!</f>
      </c>
      <c r="BU176" s="51" t="e">
        <f>Ticker0001_Exchange_Sheet!CT240-#REF!</f>
      </c>
      <c r="BV176" s="51" t="e">
        <f>Ticker0001_Exchange_Sheet!CU240-#REF!</f>
      </c>
      <c r="BW176" s="51" t="e">
        <f>Ticker0001_Exchange_Sheet!CV240-#REF!</f>
      </c>
      <c r="BX176" s="51" t="e">
        <f>Ticker0001_Exchange_Sheet!CW240-#REF!</f>
      </c>
      <c r="BY176" s="51" t="e">
        <f>Ticker0001_Exchange_Sheet!CX240-#REF!</f>
      </c>
      <c r="BZ176" s="51" t="e">
        <f>Ticker0001_Exchange_Sheet!CY240-#REF!</f>
      </c>
      <c r="CA176" s="51" t="e">
        <f>Ticker0001_Exchange_Sheet!CZ240-#REF!</f>
      </c>
      <c r="CB176" s="51" t="e">
        <f>Ticker0001_Exchange_Sheet!DA240-#REF!</f>
      </c>
      <c r="CC176" s="51" t="e">
        <f>Ticker0001_Exchange_Sheet!DB240-#REF!</f>
      </c>
      <c r="CD176" s="51" t="e">
        <f>Ticker0001_Exchange_Sheet!DC240-#REF!</f>
      </c>
      <c r="CE176" s="51" t="e">
        <f>Ticker0001_Exchange_Sheet!DD240-#REF!</f>
      </c>
      <c r="CF176" s="51" t="e">
        <f>Ticker0001_Exchange_Sheet!DE240-#REF!</f>
      </c>
    </row>
    <row r="177" spans="6:84">
      <c r="F177" s="51" t="e">
        <f>Ticker0001_Exchange_Sheet!F241-#REF!</f>
      </c>
      <c r="G177" s="51" t="e">
        <f>Ticker0001_Exchange_Sheet!G241-#REF!</f>
      </c>
      <c r="H177" s="51" t="e">
        <f>Ticker0001_Exchange_Sheet!H241-#REF!</f>
      </c>
      <c r="I177" s="51" t="e">
        <f>Ticker0001_Exchange_Sheet!I241-#REF!</f>
      </c>
      <c r="J177" s="51" t="e">
        <f>Ticker0001_Exchange_Sheet!J241-#REF!</f>
      </c>
      <c r="K177" s="51" t="e">
        <f>Ticker0001_Exchange_Sheet!K241-#REF!</f>
      </c>
      <c r="L177" s="51" t="e">
        <f>Ticker0001_Exchange_Sheet!L241-#REF!</f>
      </c>
      <c r="M177" s="51" t="e">
        <f>Ticker0001_Exchange_Sheet!M241-#REF!</f>
      </c>
      <c r="N177" s="51" t="e">
        <f>Ticker0001_Exchange_Sheet!N241-#REF!</f>
      </c>
      <c r="O177" s="51" t="e">
        <f>Ticker0001_Exchange_Sheet!O241-#REF!</f>
      </c>
      <c r="P177" s="51" t="e">
        <f>Ticker0001_Exchange_Sheet!P241-#REF!</f>
      </c>
      <c r="Q177" s="51" t="e">
        <f>Ticker0001_Exchange_Sheet!Q241-#REF!</f>
      </c>
      <c r="R177" s="51" t="e">
        <f>Ticker0001_Exchange_Sheet!R241-#REF!</f>
      </c>
      <c r="S177" s="51" t="e">
        <f>Ticker0001_Exchange_Sheet!S241-#REF!</f>
      </c>
      <c r="T177" s="51" t="e">
        <f>Ticker0001_Exchange_Sheet!T241-#REF!</f>
      </c>
      <c r="U177" s="51" t="e">
        <f>Ticker0001_Exchange_Sheet!U241-#REF!</f>
      </c>
      <c r="V177" s="51" t="e">
        <f>Ticker0001_Exchange_Sheet!V241-#REF!</f>
      </c>
      <c r="W177" s="51" t="e">
        <f>Ticker0001_Exchange_Sheet!W241-#REF!</f>
      </c>
      <c r="X177" s="51" t="e">
        <f>Ticker0001_Exchange_Sheet!AK241-#REF!</f>
      </c>
      <c r="Y177" s="51" t="e">
        <f>Ticker0001_Exchange_Sheet!AX241-#REF!</f>
      </c>
      <c r="Z177" s="51" t="e">
        <f>Ticker0001_Exchange_Sheet!AY241-#REF!</f>
      </c>
      <c r="AA177" s="51" t="e">
        <f>Ticker0001_Exchange_Sheet!AZ241-#REF!</f>
      </c>
      <c r="AB177" s="51" t="e">
        <f>Ticker0001_Exchange_Sheet!BA241-#REF!</f>
      </c>
      <c r="AC177" s="51" t="e">
        <f>Ticker0001_Exchange_Sheet!BB241-#REF!</f>
      </c>
      <c r="AD177" s="51" t="e">
        <f>Ticker0001_Exchange_Sheet!BC241-#REF!</f>
      </c>
      <c r="AE177" s="51" t="e">
        <f>Ticker0001_Exchange_Sheet!BD241-#REF!</f>
      </c>
      <c r="AF177" s="51" t="e">
        <f>Ticker0001_Exchange_Sheet!BE241-#REF!</f>
      </c>
      <c r="AG177" s="51" t="e">
        <f>Ticker0001_Exchange_Sheet!BF241-#REF!</f>
      </c>
      <c r="AH177" s="51" t="e">
        <f>Ticker0001_Exchange_Sheet!BG241-#REF!</f>
      </c>
      <c r="AI177" s="51" t="e">
        <f>Ticker0001_Exchange_Sheet!BH241-#REF!</f>
      </c>
      <c r="AJ177" s="51" t="e">
        <f>Ticker0001_Exchange_Sheet!BI241-#REF!</f>
      </c>
      <c r="AK177" s="51" t="e">
        <f>Ticker0001_Exchange_Sheet!BJ241-#REF!</f>
      </c>
      <c r="AL177" s="51" t="e">
        <f>Ticker0001_Exchange_Sheet!BK241-#REF!</f>
      </c>
      <c r="AM177" s="51" t="e">
        <f>Ticker0001_Exchange_Sheet!BL241-#REF!</f>
      </c>
      <c r="AN177" s="51" t="e">
        <f>Ticker0001_Exchange_Sheet!BM241-#REF!</f>
      </c>
      <c r="AO177" s="51" t="e">
        <f>Ticker0001_Exchange_Sheet!BN241-#REF!</f>
      </c>
      <c r="AP177" s="51" t="e">
        <f>Ticker0001_Exchange_Sheet!BO241-#REF!</f>
      </c>
      <c r="AQ177" s="51" t="e">
        <f>Ticker0001_Exchange_Sheet!BP241-#REF!</f>
      </c>
      <c r="AR177" s="51" t="e">
        <f>Ticker0001_Exchange_Sheet!BQ241-#REF!</f>
      </c>
      <c r="AS177" s="51" t="e">
        <f>Ticker0001_Exchange_Sheet!BR241-#REF!</f>
      </c>
      <c r="AT177" s="51" t="e">
        <f>Ticker0001_Exchange_Sheet!BS241-#REF!</f>
      </c>
      <c r="AU177" s="51" t="e">
        <f>Ticker0001_Exchange_Sheet!BT241-#REF!</f>
      </c>
      <c r="AV177" s="51" t="e">
        <f>Ticker0001_Exchange_Sheet!BU241-#REF!</f>
      </c>
      <c r="AW177" s="51" t="e">
        <f>Ticker0001_Exchange_Sheet!BV241-#REF!</f>
      </c>
      <c r="AX177" s="51" t="e">
        <f>Ticker0001_Exchange_Sheet!BW241-#REF!</f>
      </c>
      <c r="AY177" s="51" t="e">
        <f>Ticker0001_Exchange_Sheet!BX241-#REF!</f>
      </c>
      <c r="AZ177" s="51" t="e">
        <f>Ticker0001_Exchange_Sheet!BY241-#REF!</f>
      </c>
      <c r="BA177" s="51" t="e">
        <f>Ticker0001_Exchange_Sheet!BZ241-#REF!</f>
      </c>
      <c r="BB177" s="51" t="e">
        <f>Ticker0001_Exchange_Sheet!CA241-#REF!</f>
      </c>
      <c r="BC177" s="51" t="e">
        <f>Ticker0001_Exchange_Sheet!CB241-#REF!</f>
      </c>
      <c r="BD177" s="51" t="e">
        <f>Ticker0001_Exchange_Sheet!CC241-#REF!</f>
      </c>
      <c r="BE177" s="51" t="e">
        <f>Ticker0001_Exchange_Sheet!CD241-#REF!</f>
      </c>
      <c r="BF177" s="51" t="e">
        <f>Ticker0001_Exchange_Sheet!CE241-#REF!</f>
      </c>
      <c r="BG177" s="51" t="e">
        <f>Ticker0001_Exchange_Sheet!CF241-#REF!</f>
      </c>
      <c r="BH177" s="51" t="e">
        <f>Ticker0001_Exchange_Sheet!CG241-#REF!</f>
      </c>
      <c r="BI177" s="51" t="e">
        <f>Ticker0001_Exchange_Sheet!CH241-#REF!</f>
      </c>
      <c r="BJ177" s="51" t="e">
        <f>Ticker0001_Exchange_Sheet!CI241-#REF!</f>
      </c>
      <c r="BK177" s="51" t="e">
        <f>Ticker0001_Exchange_Sheet!CJ241-#REF!</f>
      </c>
      <c r="BL177" s="51" t="e">
        <f>Ticker0001_Exchange_Sheet!CK241-#REF!</f>
      </c>
      <c r="BM177" s="51" t="e">
        <f>Ticker0001_Exchange_Sheet!CL241-#REF!</f>
      </c>
      <c r="BN177" s="51" t="e">
        <f>Ticker0001_Exchange_Sheet!CM241-#REF!</f>
      </c>
      <c r="BO177" s="51" t="e">
        <f>Ticker0001_Exchange_Sheet!CN241-#REF!</f>
      </c>
      <c r="BP177" s="51" t="e">
        <f>Ticker0001_Exchange_Sheet!CO241-#REF!</f>
      </c>
      <c r="BQ177" s="51" t="e">
        <f>Ticker0001_Exchange_Sheet!CP241-#REF!</f>
      </c>
      <c r="BR177" s="51" t="e">
        <f>Ticker0001_Exchange_Sheet!CQ241-#REF!</f>
      </c>
      <c r="BS177" s="51" t="e">
        <f>Ticker0001_Exchange_Sheet!CR241-#REF!</f>
      </c>
      <c r="BT177" s="51" t="e">
        <f>Ticker0001_Exchange_Sheet!CS241-#REF!</f>
      </c>
      <c r="BU177" s="51" t="e">
        <f>Ticker0001_Exchange_Sheet!CT241-#REF!</f>
      </c>
      <c r="BV177" s="51" t="e">
        <f>Ticker0001_Exchange_Sheet!CU241-#REF!</f>
      </c>
      <c r="BW177" s="51" t="e">
        <f>Ticker0001_Exchange_Sheet!CV241-#REF!</f>
      </c>
      <c r="BX177" s="51" t="e">
        <f>Ticker0001_Exchange_Sheet!CW241-#REF!</f>
      </c>
      <c r="BY177" s="51" t="e">
        <f>Ticker0001_Exchange_Sheet!CX241-#REF!</f>
      </c>
      <c r="BZ177" s="51" t="e">
        <f>Ticker0001_Exchange_Sheet!CY241-#REF!</f>
      </c>
      <c r="CA177" s="51" t="e">
        <f>Ticker0001_Exchange_Sheet!CZ241-#REF!</f>
      </c>
      <c r="CB177" s="51" t="e">
        <f>Ticker0001_Exchange_Sheet!DA241-#REF!</f>
      </c>
      <c r="CC177" s="51" t="e">
        <f>Ticker0001_Exchange_Sheet!DB241-#REF!</f>
      </c>
      <c r="CD177" s="51" t="e">
        <f>Ticker0001_Exchange_Sheet!DC241-#REF!</f>
      </c>
      <c r="CE177" s="51" t="e">
        <f>Ticker0001_Exchange_Sheet!DD241-#REF!</f>
      </c>
      <c r="CF177" s="51" t="e">
        <f>Ticker0001_Exchange_Sheet!DE241-#REF!</f>
      </c>
    </row>
    <row r="178" spans="6:84">
      <c r="F178" s="51" t="e">
        <f>Ticker0001_Exchange_Sheet!F242-#REF!</f>
      </c>
      <c r="G178" s="51" t="e">
        <f>Ticker0001_Exchange_Sheet!G242-#REF!</f>
      </c>
      <c r="H178" s="51" t="e">
        <f>Ticker0001_Exchange_Sheet!H242-#REF!</f>
      </c>
      <c r="I178" s="51" t="e">
        <f>Ticker0001_Exchange_Sheet!I242-#REF!</f>
      </c>
      <c r="J178" s="51" t="e">
        <f>Ticker0001_Exchange_Sheet!J242-#REF!</f>
      </c>
      <c r="K178" s="51" t="e">
        <f>Ticker0001_Exchange_Sheet!K242-#REF!</f>
      </c>
      <c r="L178" s="51" t="e">
        <f>Ticker0001_Exchange_Sheet!L242-#REF!</f>
      </c>
      <c r="M178" s="51" t="e">
        <f>Ticker0001_Exchange_Sheet!M242-#REF!</f>
      </c>
      <c r="N178" s="51" t="e">
        <f>Ticker0001_Exchange_Sheet!N242-#REF!</f>
      </c>
      <c r="O178" s="51" t="e">
        <f>Ticker0001_Exchange_Sheet!O242-#REF!</f>
      </c>
      <c r="P178" s="51" t="e">
        <f>Ticker0001_Exchange_Sheet!P242-#REF!</f>
      </c>
      <c r="Q178" s="51" t="e">
        <f>Ticker0001_Exchange_Sheet!Q242-#REF!</f>
      </c>
      <c r="R178" s="51" t="e">
        <f>Ticker0001_Exchange_Sheet!R242-#REF!</f>
      </c>
      <c r="S178" s="51" t="e">
        <f>Ticker0001_Exchange_Sheet!S242-#REF!</f>
      </c>
      <c r="T178" s="51" t="e">
        <f>Ticker0001_Exchange_Sheet!T242-#REF!</f>
      </c>
      <c r="U178" s="51" t="e">
        <f>Ticker0001_Exchange_Sheet!U242-#REF!</f>
      </c>
      <c r="V178" s="51" t="e">
        <f>Ticker0001_Exchange_Sheet!V242-#REF!</f>
      </c>
      <c r="W178" s="51" t="e">
        <f>Ticker0001_Exchange_Sheet!W242-#REF!</f>
      </c>
      <c r="X178" s="51" t="e">
        <f>Ticker0001_Exchange_Sheet!AK242-#REF!</f>
      </c>
      <c r="Y178" s="51" t="e">
        <f>Ticker0001_Exchange_Sheet!AX242-#REF!</f>
      </c>
      <c r="Z178" s="51" t="e">
        <f>Ticker0001_Exchange_Sheet!AY242-#REF!</f>
      </c>
      <c r="AA178" s="51" t="e">
        <f>Ticker0001_Exchange_Sheet!AZ242-#REF!</f>
      </c>
      <c r="AB178" s="51" t="e">
        <f>Ticker0001_Exchange_Sheet!BA242-#REF!</f>
      </c>
      <c r="AC178" s="51" t="e">
        <f>Ticker0001_Exchange_Sheet!BB242-#REF!</f>
      </c>
      <c r="AD178" s="51" t="e">
        <f>Ticker0001_Exchange_Sheet!BC242-#REF!</f>
      </c>
      <c r="AE178" s="51" t="e">
        <f>Ticker0001_Exchange_Sheet!BD242-#REF!</f>
      </c>
      <c r="AF178" s="51" t="e">
        <f>Ticker0001_Exchange_Sheet!BE242-#REF!</f>
      </c>
      <c r="AG178" s="51" t="e">
        <f>Ticker0001_Exchange_Sheet!BF242-#REF!</f>
      </c>
      <c r="AH178" s="51" t="e">
        <f>Ticker0001_Exchange_Sheet!BG242-#REF!</f>
      </c>
      <c r="AI178" s="51" t="e">
        <f>Ticker0001_Exchange_Sheet!BH242-#REF!</f>
      </c>
      <c r="AJ178" s="51" t="e">
        <f>Ticker0001_Exchange_Sheet!BI242-#REF!</f>
      </c>
      <c r="AK178" s="51" t="e">
        <f>Ticker0001_Exchange_Sheet!BJ242-#REF!</f>
      </c>
      <c r="AL178" s="51" t="e">
        <f>Ticker0001_Exchange_Sheet!BK242-#REF!</f>
      </c>
      <c r="AM178" s="51" t="e">
        <f>Ticker0001_Exchange_Sheet!BL242-#REF!</f>
      </c>
      <c r="AN178" s="51" t="e">
        <f>Ticker0001_Exchange_Sheet!BM242-#REF!</f>
      </c>
      <c r="AO178" s="51" t="e">
        <f>Ticker0001_Exchange_Sheet!BN242-#REF!</f>
      </c>
      <c r="AP178" s="51" t="e">
        <f>Ticker0001_Exchange_Sheet!BO242-#REF!</f>
      </c>
      <c r="AQ178" s="51" t="e">
        <f>Ticker0001_Exchange_Sheet!BP242-#REF!</f>
      </c>
      <c r="AR178" s="51" t="e">
        <f>Ticker0001_Exchange_Sheet!BQ242-#REF!</f>
      </c>
      <c r="AS178" s="51" t="e">
        <f>Ticker0001_Exchange_Sheet!BR242-#REF!</f>
      </c>
      <c r="AT178" s="51" t="e">
        <f>Ticker0001_Exchange_Sheet!BS242-#REF!</f>
      </c>
      <c r="AU178" s="51" t="e">
        <f>Ticker0001_Exchange_Sheet!BT242-#REF!</f>
      </c>
      <c r="AV178" s="51" t="e">
        <f>Ticker0001_Exchange_Sheet!BU242-#REF!</f>
      </c>
      <c r="AW178" s="51" t="e">
        <f>Ticker0001_Exchange_Sheet!BV242-#REF!</f>
      </c>
      <c r="AX178" s="51" t="e">
        <f>Ticker0001_Exchange_Sheet!BW242-#REF!</f>
      </c>
      <c r="AY178" s="51" t="e">
        <f>Ticker0001_Exchange_Sheet!BX242-#REF!</f>
      </c>
      <c r="AZ178" s="51" t="e">
        <f>Ticker0001_Exchange_Sheet!BY242-#REF!</f>
      </c>
      <c r="BA178" s="51" t="e">
        <f>Ticker0001_Exchange_Sheet!BZ242-#REF!</f>
      </c>
      <c r="BB178" s="51" t="e">
        <f>Ticker0001_Exchange_Sheet!CA242-#REF!</f>
      </c>
      <c r="BC178" s="51" t="e">
        <f>Ticker0001_Exchange_Sheet!CB242-#REF!</f>
      </c>
      <c r="BD178" s="51" t="e">
        <f>Ticker0001_Exchange_Sheet!CC242-#REF!</f>
      </c>
      <c r="BE178" s="51" t="e">
        <f>Ticker0001_Exchange_Sheet!CD242-#REF!</f>
      </c>
      <c r="BF178" s="51" t="e">
        <f>Ticker0001_Exchange_Sheet!CE242-#REF!</f>
      </c>
      <c r="BG178" s="51" t="e">
        <f>Ticker0001_Exchange_Sheet!CF242-#REF!</f>
      </c>
      <c r="BH178" s="51" t="e">
        <f>Ticker0001_Exchange_Sheet!CG242-#REF!</f>
      </c>
      <c r="BI178" s="51" t="e">
        <f>Ticker0001_Exchange_Sheet!CH242-#REF!</f>
      </c>
      <c r="BJ178" s="51" t="e">
        <f>Ticker0001_Exchange_Sheet!CI242-#REF!</f>
      </c>
      <c r="BK178" s="51" t="e">
        <f>Ticker0001_Exchange_Sheet!CJ242-#REF!</f>
      </c>
      <c r="BL178" s="51" t="e">
        <f>Ticker0001_Exchange_Sheet!CK242-#REF!</f>
      </c>
      <c r="BM178" s="51" t="e">
        <f>Ticker0001_Exchange_Sheet!CL242-#REF!</f>
      </c>
      <c r="BN178" s="51" t="e">
        <f>Ticker0001_Exchange_Sheet!CM242-#REF!</f>
      </c>
      <c r="BO178" s="51" t="e">
        <f>Ticker0001_Exchange_Sheet!CN242-#REF!</f>
      </c>
      <c r="BP178" s="51" t="e">
        <f>Ticker0001_Exchange_Sheet!CO242-#REF!</f>
      </c>
      <c r="BQ178" s="51" t="e">
        <f>Ticker0001_Exchange_Sheet!CP242-#REF!</f>
      </c>
      <c r="BR178" s="51" t="e">
        <f>Ticker0001_Exchange_Sheet!CQ242-#REF!</f>
      </c>
      <c r="BS178" s="51" t="e">
        <f>Ticker0001_Exchange_Sheet!CR242-#REF!</f>
      </c>
      <c r="BT178" s="51" t="e">
        <f>Ticker0001_Exchange_Sheet!CS242-#REF!</f>
      </c>
      <c r="BU178" s="51" t="e">
        <f>Ticker0001_Exchange_Sheet!CT242-#REF!</f>
      </c>
      <c r="BV178" s="51" t="e">
        <f>Ticker0001_Exchange_Sheet!CU242-#REF!</f>
      </c>
      <c r="BW178" s="51" t="e">
        <f>Ticker0001_Exchange_Sheet!CV242-#REF!</f>
      </c>
      <c r="BX178" s="51" t="e">
        <f>Ticker0001_Exchange_Sheet!CW242-#REF!</f>
      </c>
      <c r="BY178" s="51" t="e">
        <f>Ticker0001_Exchange_Sheet!CX242-#REF!</f>
      </c>
      <c r="BZ178" s="51" t="e">
        <f>Ticker0001_Exchange_Sheet!CY242-#REF!</f>
      </c>
      <c r="CA178" s="51" t="e">
        <f>Ticker0001_Exchange_Sheet!CZ242-#REF!</f>
      </c>
      <c r="CB178" s="51" t="e">
        <f>Ticker0001_Exchange_Sheet!DA242-#REF!</f>
      </c>
      <c r="CC178" s="51" t="e">
        <f>Ticker0001_Exchange_Sheet!DB242-#REF!</f>
      </c>
      <c r="CD178" s="51" t="e">
        <f>Ticker0001_Exchange_Sheet!DC242-#REF!</f>
      </c>
      <c r="CE178" s="51" t="e">
        <f>Ticker0001_Exchange_Sheet!DD242-#REF!</f>
      </c>
      <c r="CF178" s="51" t="e">
        <f>Ticker0001_Exchange_Sheet!DE242-#REF!</f>
      </c>
    </row>
    <row r="179" spans="6:84">
      <c r="F179" s="51" t="e">
        <f>Ticker0001_Exchange_Sheet!F243-#REF!</f>
      </c>
      <c r="G179" s="51" t="e">
        <f>Ticker0001_Exchange_Sheet!G243-#REF!</f>
      </c>
      <c r="H179" s="51" t="e">
        <f>Ticker0001_Exchange_Sheet!H243-#REF!</f>
      </c>
      <c r="I179" s="51" t="e">
        <f>Ticker0001_Exchange_Sheet!I243-#REF!</f>
      </c>
      <c r="J179" s="51" t="e">
        <f>Ticker0001_Exchange_Sheet!J243-#REF!</f>
      </c>
      <c r="K179" s="51" t="e">
        <f>Ticker0001_Exchange_Sheet!K243-#REF!</f>
      </c>
      <c r="L179" s="51" t="e">
        <f>Ticker0001_Exchange_Sheet!L243-#REF!</f>
      </c>
      <c r="M179" s="51" t="e">
        <f>Ticker0001_Exchange_Sheet!M243-#REF!</f>
      </c>
      <c r="N179" s="51" t="e">
        <f>Ticker0001_Exchange_Sheet!N243-#REF!</f>
      </c>
      <c r="O179" s="51" t="e">
        <f>Ticker0001_Exchange_Sheet!O243-#REF!</f>
      </c>
      <c r="P179" s="51" t="e">
        <f>Ticker0001_Exchange_Sheet!P243-#REF!</f>
      </c>
      <c r="Q179" s="51" t="e">
        <f>Ticker0001_Exchange_Sheet!Q243-#REF!</f>
      </c>
      <c r="R179" s="51" t="e">
        <f>Ticker0001_Exchange_Sheet!R243-#REF!</f>
      </c>
      <c r="S179" s="51" t="e">
        <f>Ticker0001_Exchange_Sheet!S243-#REF!</f>
      </c>
      <c r="T179" s="51" t="e">
        <f>Ticker0001_Exchange_Sheet!T243-#REF!</f>
      </c>
      <c r="U179" s="51" t="e">
        <f>Ticker0001_Exchange_Sheet!U243-#REF!</f>
      </c>
      <c r="V179" s="51" t="e">
        <f>Ticker0001_Exchange_Sheet!V243-#REF!</f>
      </c>
      <c r="W179" s="51" t="e">
        <f>Ticker0001_Exchange_Sheet!W243-#REF!</f>
      </c>
      <c r="X179" s="51" t="e">
        <f>Ticker0001_Exchange_Sheet!AK243-#REF!</f>
      </c>
      <c r="Y179" s="51" t="e">
        <f>Ticker0001_Exchange_Sheet!AX243-#REF!</f>
      </c>
      <c r="Z179" s="51" t="e">
        <f>Ticker0001_Exchange_Sheet!AY243-#REF!</f>
      </c>
      <c r="AA179" s="51" t="e">
        <f>Ticker0001_Exchange_Sheet!AZ243-#REF!</f>
      </c>
      <c r="AB179" s="51" t="e">
        <f>Ticker0001_Exchange_Sheet!BA243-#REF!</f>
      </c>
      <c r="AC179" s="51" t="e">
        <f>Ticker0001_Exchange_Sheet!BB243-#REF!</f>
      </c>
      <c r="AD179" s="51" t="e">
        <f>Ticker0001_Exchange_Sheet!BC243-#REF!</f>
      </c>
      <c r="AE179" s="51" t="e">
        <f>Ticker0001_Exchange_Sheet!BD243-#REF!</f>
      </c>
      <c r="AF179" s="51" t="e">
        <f>Ticker0001_Exchange_Sheet!BE243-#REF!</f>
      </c>
      <c r="AG179" s="51" t="e">
        <f>Ticker0001_Exchange_Sheet!BF243-#REF!</f>
      </c>
      <c r="AH179" s="51" t="e">
        <f>Ticker0001_Exchange_Sheet!BG243-#REF!</f>
      </c>
      <c r="AI179" s="51" t="e">
        <f>Ticker0001_Exchange_Sheet!BH243-#REF!</f>
      </c>
      <c r="AJ179" s="51" t="e">
        <f>Ticker0001_Exchange_Sheet!BI243-#REF!</f>
      </c>
      <c r="AK179" s="51" t="e">
        <f>Ticker0001_Exchange_Sheet!BJ243-#REF!</f>
      </c>
      <c r="AL179" s="51" t="e">
        <f>Ticker0001_Exchange_Sheet!BK243-#REF!</f>
      </c>
      <c r="AM179" s="51" t="e">
        <f>Ticker0001_Exchange_Sheet!BL243-#REF!</f>
      </c>
      <c r="AN179" s="51" t="e">
        <f>Ticker0001_Exchange_Sheet!BM243-#REF!</f>
      </c>
      <c r="AO179" s="51" t="e">
        <f>Ticker0001_Exchange_Sheet!BN243-#REF!</f>
      </c>
      <c r="AP179" s="51" t="e">
        <f>Ticker0001_Exchange_Sheet!BO243-#REF!</f>
      </c>
      <c r="AQ179" s="51" t="e">
        <f>Ticker0001_Exchange_Sheet!BP243-#REF!</f>
      </c>
      <c r="AR179" s="51" t="e">
        <f>Ticker0001_Exchange_Sheet!BQ243-#REF!</f>
      </c>
      <c r="AS179" s="51" t="e">
        <f>Ticker0001_Exchange_Sheet!BR243-#REF!</f>
      </c>
      <c r="AT179" s="51" t="e">
        <f>Ticker0001_Exchange_Sheet!BS243-#REF!</f>
      </c>
      <c r="AU179" s="51" t="e">
        <f>Ticker0001_Exchange_Sheet!BT243-#REF!</f>
      </c>
      <c r="AV179" s="51" t="e">
        <f>Ticker0001_Exchange_Sheet!BU243-#REF!</f>
      </c>
      <c r="AW179" s="51" t="e">
        <f>Ticker0001_Exchange_Sheet!BV243-#REF!</f>
      </c>
      <c r="AX179" s="51" t="e">
        <f>Ticker0001_Exchange_Sheet!BW243-#REF!</f>
      </c>
      <c r="AY179" s="51" t="e">
        <f>Ticker0001_Exchange_Sheet!BX243-#REF!</f>
      </c>
      <c r="AZ179" s="51" t="e">
        <f>Ticker0001_Exchange_Sheet!BY243-#REF!</f>
      </c>
      <c r="BA179" s="51" t="e">
        <f>Ticker0001_Exchange_Sheet!BZ243-#REF!</f>
      </c>
      <c r="BB179" s="51" t="e">
        <f>Ticker0001_Exchange_Sheet!CA243-#REF!</f>
      </c>
      <c r="BC179" s="51" t="e">
        <f>Ticker0001_Exchange_Sheet!CB243-#REF!</f>
      </c>
      <c r="BD179" s="51" t="e">
        <f>Ticker0001_Exchange_Sheet!CC243-#REF!</f>
      </c>
      <c r="BE179" s="51" t="e">
        <f>Ticker0001_Exchange_Sheet!CD243-#REF!</f>
      </c>
      <c r="BF179" s="51" t="e">
        <f>Ticker0001_Exchange_Sheet!CE243-#REF!</f>
      </c>
      <c r="BG179" s="51" t="e">
        <f>Ticker0001_Exchange_Sheet!CF243-#REF!</f>
      </c>
      <c r="BH179" s="51" t="e">
        <f>Ticker0001_Exchange_Sheet!CG243-#REF!</f>
      </c>
      <c r="BI179" s="51" t="e">
        <f>Ticker0001_Exchange_Sheet!CH243-#REF!</f>
      </c>
      <c r="BJ179" s="51" t="e">
        <f>Ticker0001_Exchange_Sheet!CI243-#REF!</f>
      </c>
      <c r="BK179" s="51" t="e">
        <f>Ticker0001_Exchange_Sheet!CJ243-#REF!</f>
      </c>
      <c r="BL179" s="51" t="e">
        <f>Ticker0001_Exchange_Sheet!CK243-#REF!</f>
      </c>
      <c r="BM179" s="51" t="e">
        <f>Ticker0001_Exchange_Sheet!CL243-#REF!</f>
      </c>
      <c r="BN179" s="51" t="e">
        <f>Ticker0001_Exchange_Sheet!CM243-#REF!</f>
      </c>
      <c r="BO179" s="51" t="e">
        <f>Ticker0001_Exchange_Sheet!CN243-#REF!</f>
      </c>
      <c r="BP179" s="51" t="e">
        <f>Ticker0001_Exchange_Sheet!CO243-#REF!</f>
      </c>
      <c r="BQ179" s="51" t="e">
        <f>Ticker0001_Exchange_Sheet!CP243-#REF!</f>
      </c>
      <c r="BR179" s="51" t="e">
        <f>Ticker0001_Exchange_Sheet!CQ243-#REF!</f>
      </c>
      <c r="BS179" s="51" t="e">
        <f>Ticker0001_Exchange_Sheet!CR243-#REF!</f>
      </c>
      <c r="BT179" s="51" t="e">
        <f>Ticker0001_Exchange_Sheet!CS243-#REF!</f>
      </c>
      <c r="BU179" s="51" t="e">
        <f>Ticker0001_Exchange_Sheet!CT243-#REF!</f>
      </c>
      <c r="BV179" s="51" t="e">
        <f>Ticker0001_Exchange_Sheet!CU243-#REF!</f>
      </c>
      <c r="BW179" s="51" t="e">
        <f>Ticker0001_Exchange_Sheet!CV243-#REF!</f>
      </c>
      <c r="BX179" s="51" t="e">
        <f>Ticker0001_Exchange_Sheet!CW243-#REF!</f>
      </c>
      <c r="BY179" s="51" t="e">
        <f>Ticker0001_Exchange_Sheet!CX243-#REF!</f>
      </c>
      <c r="BZ179" s="51" t="e">
        <f>Ticker0001_Exchange_Sheet!CY243-#REF!</f>
      </c>
      <c r="CA179" s="51" t="e">
        <f>Ticker0001_Exchange_Sheet!CZ243-#REF!</f>
      </c>
      <c r="CB179" s="51" t="e">
        <f>Ticker0001_Exchange_Sheet!DA243-#REF!</f>
      </c>
      <c r="CC179" s="51" t="e">
        <f>Ticker0001_Exchange_Sheet!DB243-#REF!</f>
      </c>
      <c r="CD179" s="51" t="e">
        <f>Ticker0001_Exchange_Sheet!DC243-#REF!</f>
      </c>
      <c r="CE179" s="51" t="e">
        <f>Ticker0001_Exchange_Sheet!DD243-#REF!</f>
      </c>
      <c r="CF179" s="51" t="e">
        <f>Ticker0001_Exchange_Sheet!DE243-#REF!</f>
      </c>
    </row>
    <row r="180" spans="6:84">
      <c r="F180" s="51" t="e">
        <f>Ticker0001_Exchange_Sheet!F244-#REF!</f>
      </c>
      <c r="G180" s="51" t="e">
        <f>Ticker0001_Exchange_Sheet!G244-#REF!</f>
      </c>
      <c r="H180" s="51" t="e">
        <f>Ticker0001_Exchange_Sheet!H244-#REF!</f>
      </c>
      <c r="I180" s="51" t="e">
        <f>Ticker0001_Exchange_Sheet!I244-#REF!</f>
      </c>
      <c r="J180" s="51" t="e">
        <f>Ticker0001_Exchange_Sheet!J244-#REF!</f>
      </c>
      <c r="K180" s="51" t="e">
        <f>Ticker0001_Exchange_Sheet!K244-#REF!</f>
      </c>
      <c r="L180" s="51" t="e">
        <f>Ticker0001_Exchange_Sheet!L244-#REF!</f>
      </c>
      <c r="M180" s="51" t="e">
        <f>Ticker0001_Exchange_Sheet!M244-#REF!</f>
      </c>
      <c r="N180" s="51" t="e">
        <f>Ticker0001_Exchange_Sheet!N244-#REF!</f>
      </c>
      <c r="O180" s="51" t="e">
        <f>Ticker0001_Exchange_Sheet!O244-#REF!</f>
      </c>
      <c r="P180" s="51" t="e">
        <f>Ticker0001_Exchange_Sheet!P244-#REF!</f>
      </c>
      <c r="Q180" s="51" t="e">
        <f>Ticker0001_Exchange_Sheet!Q244-#REF!</f>
      </c>
      <c r="R180" s="51" t="e">
        <f>Ticker0001_Exchange_Sheet!R244-#REF!</f>
      </c>
      <c r="S180" s="51" t="e">
        <f>Ticker0001_Exchange_Sheet!S244-#REF!</f>
      </c>
      <c r="T180" s="51" t="e">
        <f>Ticker0001_Exchange_Sheet!T244-#REF!</f>
      </c>
      <c r="U180" s="51" t="e">
        <f>Ticker0001_Exchange_Sheet!U244-#REF!</f>
      </c>
      <c r="V180" s="51" t="e">
        <f>Ticker0001_Exchange_Sheet!V244-#REF!</f>
      </c>
      <c r="W180" s="51" t="e">
        <f>Ticker0001_Exchange_Sheet!W244-#REF!</f>
      </c>
      <c r="X180" s="51" t="e">
        <f>Ticker0001_Exchange_Sheet!AK244-#REF!</f>
      </c>
      <c r="Y180" s="51" t="e">
        <f>Ticker0001_Exchange_Sheet!AX244-#REF!</f>
      </c>
      <c r="Z180" s="51" t="e">
        <f>Ticker0001_Exchange_Sheet!AY244-#REF!</f>
      </c>
      <c r="AA180" s="51" t="e">
        <f>Ticker0001_Exchange_Sheet!AZ244-#REF!</f>
      </c>
      <c r="AB180" s="51" t="e">
        <f>Ticker0001_Exchange_Sheet!BA244-#REF!</f>
      </c>
      <c r="AC180" s="51" t="e">
        <f>Ticker0001_Exchange_Sheet!BB244-#REF!</f>
      </c>
      <c r="AD180" s="51" t="e">
        <f>Ticker0001_Exchange_Sheet!BC244-#REF!</f>
      </c>
      <c r="AE180" s="51" t="e">
        <f>Ticker0001_Exchange_Sheet!BD244-#REF!</f>
      </c>
      <c r="AF180" s="51" t="e">
        <f>Ticker0001_Exchange_Sheet!BE244-#REF!</f>
      </c>
      <c r="AG180" s="51" t="e">
        <f>Ticker0001_Exchange_Sheet!BF244-#REF!</f>
      </c>
      <c r="AH180" s="51" t="e">
        <f>Ticker0001_Exchange_Sheet!BG244-#REF!</f>
      </c>
      <c r="AI180" s="51" t="e">
        <f>Ticker0001_Exchange_Sheet!BH244-#REF!</f>
      </c>
      <c r="AJ180" s="51" t="e">
        <f>Ticker0001_Exchange_Sheet!BI244-#REF!</f>
      </c>
      <c r="AK180" s="51" t="e">
        <f>Ticker0001_Exchange_Sheet!BJ244-#REF!</f>
      </c>
      <c r="AL180" s="51" t="e">
        <f>Ticker0001_Exchange_Sheet!BK244-#REF!</f>
      </c>
      <c r="AM180" s="51" t="e">
        <f>Ticker0001_Exchange_Sheet!BL244-#REF!</f>
      </c>
      <c r="AN180" s="51" t="e">
        <f>Ticker0001_Exchange_Sheet!BM244-#REF!</f>
      </c>
      <c r="AO180" s="51" t="e">
        <f>Ticker0001_Exchange_Sheet!BN244-#REF!</f>
      </c>
      <c r="AP180" s="51" t="e">
        <f>Ticker0001_Exchange_Sheet!BO244-#REF!</f>
      </c>
      <c r="AQ180" s="51" t="e">
        <f>Ticker0001_Exchange_Sheet!BP244-#REF!</f>
      </c>
      <c r="AR180" s="51" t="e">
        <f>Ticker0001_Exchange_Sheet!BQ244-#REF!</f>
      </c>
      <c r="AS180" s="51" t="e">
        <f>Ticker0001_Exchange_Sheet!BR244-#REF!</f>
      </c>
      <c r="AT180" s="51" t="e">
        <f>Ticker0001_Exchange_Sheet!BS244-#REF!</f>
      </c>
      <c r="AU180" s="51" t="e">
        <f>Ticker0001_Exchange_Sheet!BT244-#REF!</f>
      </c>
      <c r="AV180" s="51" t="e">
        <f>Ticker0001_Exchange_Sheet!BU244-#REF!</f>
      </c>
      <c r="AW180" s="51" t="e">
        <f>Ticker0001_Exchange_Sheet!BV244-#REF!</f>
      </c>
      <c r="AX180" s="51" t="e">
        <f>Ticker0001_Exchange_Sheet!BW244-#REF!</f>
      </c>
      <c r="AY180" s="51" t="e">
        <f>Ticker0001_Exchange_Sheet!BX244-#REF!</f>
      </c>
      <c r="AZ180" s="51" t="e">
        <f>Ticker0001_Exchange_Sheet!BY244-#REF!</f>
      </c>
      <c r="BA180" s="51" t="e">
        <f>Ticker0001_Exchange_Sheet!BZ244-#REF!</f>
      </c>
      <c r="BB180" s="51" t="e">
        <f>Ticker0001_Exchange_Sheet!CA244-#REF!</f>
      </c>
      <c r="BC180" s="51" t="e">
        <f>Ticker0001_Exchange_Sheet!CB244-#REF!</f>
      </c>
      <c r="BD180" s="51" t="e">
        <f>Ticker0001_Exchange_Sheet!CC244-#REF!</f>
      </c>
      <c r="BE180" s="51" t="e">
        <f>Ticker0001_Exchange_Sheet!CD244-#REF!</f>
      </c>
      <c r="BF180" s="51" t="e">
        <f>Ticker0001_Exchange_Sheet!CE244-#REF!</f>
      </c>
      <c r="BG180" s="51" t="e">
        <f>Ticker0001_Exchange_Sheet!CF244-#REF!</f>
      </c>
      <c r="BH180" s="51" t="e">
        <f>Ticker0001_Exchange_Sheet!CG244-#REF!</f>
      </c>
      <c r="BI180" s="51" t="e">
        <f>Ticker0001_Exchange_Sheet!CH244-#REF!</f>
      </c>
      <c r="BJ180" s="51" t="e">
        <f>Ticker0001_Exchange_Sheet!CI244-#REF!</f>
      </c>
      <c r="BK180" s="51" t="e">
        <f>Ticker0001_Exchange_Sheet!CJ244-#REF!</f>
      </c>
      <c r="BL180" s="51" t="e">
        <f>Ticker0001_Exchange_Sheet!CK244-#REF!</f>
      </c>
      <c r="BM180" s="51" t="e">
        <f>Ticker0001_Exchange_Sheet!CL244-#REF!</f>
      </c>
      <c r="BN180" s="51" t="e">
        <f>Ticker0001_Exchange_Sheet!CM244-#REF!</f>
      </c>
      <c r="BO180" s="51" t="e">
        <f>Ticker0001_Exchange_Sheet!CN244-#REF!</f>
      </c>
      <c r="BP180" s="51" t="e">
        <f>Ticker0001_Exchange_Sheet!CO244-#REF!</f>
      </c>
      <c r="BQ180" s="51" t="e">
        <f>Ticker0001_Exchange_Sheet!CP244-#REF!</f>
      </c>
      <c r="BR180" s="51" t="e">
        <f>Ticker0001_Exchange_Sheet!CQ244-#REF!</f>
      </c>
      <c r="BS180" s="51" t="e">
        <f>Ticker0001_Exchange_Sheet!CR244-#REF!</f>
      </c>
      <c r="BT180" s="51" t="e">
        <f>Ticker0001_Exchange_Sheet!CS244-#REF!</f>
      </c>
      <c r="BU180" s="51" t="e">
        <f>Ticker0001_Exchange_Sheet!CT244-#REF!</f>
      </c>
      <c r="BV180" s="51" t="e">
        <f>Ticker0001_Exchange_Sheet!CU244-#REF!</f>
      </c>
      <c r="BW180" s="51" t="e">
        <f>Ticker0001_Exchange_Sheet!CV244-#REF!</f>
      </c>
      <c r="BX180" s="51" t="e">
        <f>Ticker0001_Exchange_Sheet!CW244-#REF!</f>
      </c>
      <c r="BY180" s="51" t="e">
        <f>Ticker0001_Exchange_Sheet!CX244-#REF!</f>
      </c>
      <c r="BZ180" s="51" t="e">
        <f>Ticker0001_Exchange_Sheet!CY244-#REF!</f>
      </c>
      <c r="CA180" s="51" t="e">
        <f>Ticker0001_Exchange_Sheet!CZ244-#REF!</f>
      </c>
      <c r="CB180" s="51" t="e">
        <f>Ticker0001_Exchange_Sheet!DA244-#REF!</f>
      </c>
      <c r="CC180" s="51" t="e">
        <f>Ticker0001_Exchange_Sheet!DB244-#REF!</f>
      </c>
      <c r="CD180" s="51" t="e">
        <f>Ticker0001_Exchange_Sheet!DC244-#REF!</f>
      </c>
      <c r="CE180" s="51" t="e">
        <f>Ticker0001_Exchange_Sheet!DD244-#REF!</f>
      </c>
      <c r="CF180" s="51" t="e">
        <f>Ticker0001_Exchange_Sheet!DE244-#REF!</f>
      </c>
    </row>
    <row r="181" spans="6:84">
      <c r="F181" s="51" t="e">
        <f>Ticker0001_Exchange_Sheet!F245-#REF!</f>
      </c>
      <c r="G181" s="51" t="e">
        <f>Ticker0001_Exchange_Sheet!G245-#REF!</f>
      </c>
      <c r="H181" s="51" t="e">
        <f>Ticker0001_Exchange_Sheet!H245-#REF!</f>
      </c>
      <c r="I181" s="51" t="e">
        <f>Ticker0001_Exchange_Sheet!I245-#REF!</f>
      </c>
      <c r="J181" s="51" t="e">
        <f>Ticker0001_Exchange_Sheet!J245-#REF!</f>
      </c>
      <c r="K181" s="51" t="e">
        <f>Ticker0001_Exchange_Sheet!K245-#REF!</f>
      </c>
      <c r="L181" s="51" t="e">
        <f>Ticker0001_Exchange_Sheet!L245-#REF!</f>
      </c>
      <c r="M181" s="51" t="e">
        <f>Ticker0001_Exchange_Sheet!M245-#REF!</f>
      </c>
      <c r="N181" s="51" t="e">
        <f>Ticker0001_Exchange_Sheet!N245-#REF!</f>
      </c>
      <c r="O181" s="51" t="e">
        <f>Ticker0001_Exchange_Sheet!O245-#REF!</f>
      </c>
      <c r="P181" s="51" t="e">
        <f>Ticker0001_Exchange_Sheet!P245-#REF!</f>
      </c>
      <c r="Q181" s="51" t="e">
        <f>Ticker0001_Exchange_Sheet!Q245-#REF!</f>
      </c>
      <c r="R181" s="51" t="e">
        <f>Ticker0001_Exchange_Sheet!R245-#REF!</f>
      </c>
      <c r="S181" s="51" t="e">
        <f>Ticker0001_Exchange_Sheet!S245-#REF!</f>
      </c>
      <c r="T181" s="51" t="e">
        <f>Ticker0001_Exchange_Sheet!T245-#REF!</f>
      </c>
      <c r="U181" s="51" t="e">
        <f>Ticker0001_Exchange_Sheet!U245-#REF!</f>
      </c>
      <c r="V181" s="51" t="e">
        <f>Ticker0001_Exchange_Sheet!V245-#REF!</f>
      </c>
      <c r="W181" s="51" t="e">
        <f>Ticker0001_Exchange_Sheet!W245-#REF!</f>
      </c>
      <c r="X181" s="51" t="e">
        <f>Ticker0001_Exchange_Sheet!AK245-#REF!</f>
      </c>
      <c r="Y181" s="51" t="e">
        <f>Ticker0001_Exchange_Sheet!AX245-#REF!</f>
      </c>
      <c r="Z181" s="51" t="e">
        <f>Ticker0001_Exchange_Sheet!AY245-#REF!</f>
      </c>
      <c r="AA181" s="51" t="e">
        <f>Ticker0001_Exchange_Sheet!AZ245-#REF!</f>
      </c>
      <c r="AB181" s="51" t="e">
        <f>Ticker0001_Exchange_Sheet!BA245-#REF!</f>
      </c>
      <c r="AC181" s="51" t="e">
        <f>Ticker0001_Exchange_Sheet!BB245-#REF!</f>
      </c>
      <c r="AD181" s="51" t="e">
        <f>Ticker0001_Exchange_Sheet!BC245-#REF!</f>
      </c>
      <c r="AE181" s="51" t="e">
        <f>Ticker0001_Exchange_Sheet!BD245-#REF!</f>
      </c>
      <c r="AF181" s="51" t="e">
        <f>Ticker0001_Exchange_Sheet!BE245-#REF!</f>
      </c>
      <c r="AG181" s="51" t="e">
        <f>Ticker0001_Exchange_Sheet!BF245-#REF!</f>
      </c>
      <c r="AH181" s="51" t="e">
        <f>Ticker0001_Exchange_Sheet!BG245-#REF!</f>
      </c>
      <c r="AI181" s="51" t="e">
        <f>Ticker0001_Exchange_Sheet!BH245-#REF!</f>
      </c>
      <c r="AJ181" s="51" t="e">
        <f>Ticker0001_Exchange_Sheet!BI245-#REF!</f>
      </c>
      <c r="AK181" s="51" t="e">
        <f>Ticker0001_Exchange_Sheet!BJ245-#REF!</f>
      </c>
      <c r="AL181" s="51" t="e">
        <f>Ticker0001_Exchange_Sheet!BK245-#REF!</f>
      </c>
      <c r="AM181" s="51" t="e">
        <f>Ticker0001_Exchange_Sheet!BL245-#REF!</f>
      </c>
      <c r="AN181" s="51" t="e">
        <f>Ticker0001_Exchange_Sheet!BM245-#REF!</f>
      </c>
      <c r="AO181" s="51" t="e">
        <f>Ticker0001_Exchange_Sheet!BN245-#REF!</f>
      </c>
      <c r="AP181" s="51" t="e">
        <f>Ticker0001_Exchange_Sheet!BO245-#REF!</f>
      </c>
      <c r="AQ181" s="51" t="e">
        <f>Ticker0001_Exchange_Sheet!BP245-#REF!</f>
      </c>
      <c r="AR181" s="51" t="e">
        <f>Ticker0001_Exchange_Sheet!BQ245-#REF!</f>
      </c>
      <c r="AS181" s="51" t="e">
        <f>Ticker0001_Exchange_Sheet!BR245-#REF!</f>
      </c>
      <c r="AT181" s="51" t="e">
        <f>Ticker0001_Exchange_Sheet!BS245-#REF!</f>
      </c>
      <c r="AU181" s="51" t="e">
        <f>Ticker0001_Exchange_Sheet!BT245-#REF!</f>
      </c>
      <c r="AV181" s="51" t="e">
        <f>Ticker0001_Exchange_Sheet!BU245-#REF!</f>
      </c>
      <c r="AW181" s="51" t="e">
        <f>Ticker0001_Exchange_Sheet!BV245-#REF!</f>
      </c>
      <c r="AX181" s="51" t="e">
        <f>Ticker0001_Exchange_Sheet!BW245-#REF!</f>
      </c>
      <c r="AY181" s="51" t="e">
        <f>Ticker0001_Exchange_Sheet!BX245-#REF!</f>
      </c>
      <c r="AZ181" s="51" t="e">
        <f>Ticker0001_Exchange_Sheet!BY245-#REF!</f>
      </c>
      <c r="BA181" s="51" t="e">
        <f>Ticker0001_Exchange_Sheet!BZ245-#REF!</f>
      </c>
      <c r="BB181" s="51" t="e">
        <f>Ticker0001_Exchange_Sheet!CA245-#REF!</f>
      </c>
      <c r="BC181" s="51" t="e">
        <f>Ticker0001_Exchange_Sheet!CB245-#REF!</f>
      </c>
      <c r="BD181" s="51" t="e">
        <f>Ticker0001_Exchange_Sheet!CC245-#REF!</f>
      </c>
      <c r="BE181" s="51" t="e">
        <f>Ticker0001_Exchange_Sheet!CD245-#REF!</f>
      </c>
      <c r="BF181" s="51" t="e">
        <f>Ticker0001_Exchange_Sheet!CE245-#REF!</f>
      </c>
      <c r="BG181" s="51" t="e">
        <f>Ticker0001_Exchange_Sheet!CF245-#REF!</f>
      </c>
      <c r="BH181" s="51" t="e">
        <f>Ticker0001_Exchange_Sheet!CG245-#REF!</f>
      </c>
      <c r="BI181" s="51" t="e">
        <f>Ticker0001_Exchange_Sheet!CH245-#REF!</f>
      </c>
      <c r="BJ181" s="51" t="e">
        <f>Ticker0001_Exchange_Sheet!CI245-#REF!</f>
      </c>
      <c r="BK181" s="51" t="e">
        <f>Ticker0001_Exchange_Sheet!CJ245-#REF!</f>
      </c>
      <c r="BL181" s="51" t="e">
        <f>Ticker0001_Exchange_Sheet!CK245-#REF!</f>
      </c>
      <c r="BM181" s="51" t="e">
        <f>Ticker0001_Exchange_Sheet!CL245-#REF!</f>
      </c>
      <c r="BN181" s="51" t="e">
        <f>Ticker0001_Exchange_Sheet!CM245-#REF!</f>
      </c>
      <c r="BO181" s="51" t="e">
        <f>Ticker0001_Exchange_Sheet!CN245-#REF!</f>
      </c>
      <c r="BP181" s="51" t="e">
        <f>Ticker0001_Exchange_Sheet!CO245-#REF!</f>
      </c>
      <c r="BQ181" s="51" t="e">
        <f>Ticker0001_Exchange_Sheet!CP245-#REF!</f>
      </c>
      <c r="BR181" s="51" t="e">
        <f>Ticker0001_Exchange_Sheet!CQ245-#REF!</f>
      </c>
      <c r="BS181" s="51" t="e">
        <f>Ticker0001_Exchange_Sheet!CR245-#REF!</f>
      </c>
      <c r="BT181" s="51" t="e">
        <f>Ticker0001_Exchange_Sheet!CS245-#REF!</f>
      </c>
      <c r="BU181" s="51" t="e">
        <f>Ticker0001_Exchange_Sheet!CT245-#REF!</f>
      </c>
      <c r="BV181" s="51" t="e">
        <f>Ticker0001_Exchange_Sheet!CU245-#REF!</f>
      </c>
      <c r="BW181" s="51" t="e">
        <f>Ticker0001_Exchange_Sheet!CV245-#REF!</f>
      </c>
      <c r="BX181" s="51" t="e">
        <f>Ticker0001_Exchange_Sheet!CW245-#REF!</f>
      </c>
      <c r="BY181" s="51" t="e">
        <f>Ticker0001_Exchange_Sheet!CX245-#REF!</f>
      </c>
      <c r="BZ181" s="51" t="e">
        <f>Ticker0001_Exchange_Sheet!CY245-#REF!</f>
      </c>
      <c r="CA181" s="51" t="e">
        <f>Ticker0001_Exchange_Sheet!CZ245-#REF!</f>
      </c>
      <c r="CB181" s="51" t="e">
        <f>Ticker0001_Exchange_Sheet!DA245-#REF!</f>
      </c>
      <c r="CC181" s="51" t="e">
        <f>Ticker0001_Exchange_Sheet!DB245-#REF!</f>
      </c>
      <c r="CD181" s="51" t="e">
        <f>Ticker0001_Exchange_Sheet!DC245-#REF!</f>
      </c>
      <c r="CE181" s="51" t="e">
        <f>Ticker0001_Exchange_Sheet!DD245-#REF!</f>
      </c>
      <c r="CF181" s="51" t="e">
        <f>Ticker0001_Exchange_Sheet!DE245-#REF!</f>
      </c>
    </row>
    <row r="182" spans="6:84">
      <c r="F182" s="51" t="e">
        <f>Ticker0001_Exchange_Sheet!F247-#REF!</f>
      </c>
      <c r="G182" s="51" t="e">
        <f>Ticker0001_Exchange_Sheet!G247-#REF!</f>
      </c>
      <c r="H182" s="51" t="e">
        <f>Ticker0001_Exchange_Sheet!H247-#REF!</f>
      </c>
      <c r="I182" s="51" t="e">
        <f>Ticker0001_Exchange_Sheet!I247-#REF!</f>
      </c>
      <c r="J182" s="51" t="e">
        <f>Ticker0001_Exchange_Sheet!J247-#REF!</f>
      </c>
      <c r="K182" s="51" t="e">
        <f>Ticker0001_Exchange_Sheet!K247-#REF!</f>
      </c>
      <c r="L182" s="51" t="e">
        <f>Ticker0001_Exchange_Sheet!L247-#REF!</f>
      </c>
      <c r="M182" s="51" t="e">
        <f>Ticker0001_Exchange_Sheet!M247-#REF!</f>
      </c>
      <c r="N182" s="51" t="e">
        <f>Ticker0001_Exchange_Sheet!N247-#REF!</f>
      </c>
      <c r="O182" s="51" t="e">
        <f>Ticker0001_Exchange_Sheet!O247-#REF!</f>
      </c>
      <c r="P182" s="51" t="e">
        <f>Ticker0001_Exchange_Sheet!P247-#REF!</f>
      </c>
      <c r="Q182" s="51" t="e">
        <f>Ticker0001_Exchange_Sheet!Q247-#REF!</f>
      </c>
      <c r="R182" s="51" t="e">
        <f>Ticker0001_Exchange_Sheet!R247-#REF!</f>
      </c>
      <c r="S182" s="51" t="e">
        <f>Ticker0001_Exchange_Sheet!S247-#REF!</f>
      </c>
      <c r="T182" s="51" t="e">
        <f>Ticker0001_Exchange_Sheet!T247-#REF!</f>
      </c>
      <c r="U182" s="51" t="e">
        <f>Ticker0001_Exchange_Sheet!U247-#REF!</f>
      </c>
      <c r="V182" s="51" t="e">
        <f>Ticker0001_Exchange_Sheet!V247-#REF!</f>
      </c>
      <c r="W182" s="51" t="e">
        <f>Ticker0001_Exchange_Sheet!W247-#REF!</f>
      </c>
      <c r="X182" s="51" t="e">
        <f>Ticker0001_Exchange_Sheet!AK247-#REF!</f>
      </c>
      <c r="Y182" s="51" t="e">
        <f>Ticker0001_Exchange_Sheet!AX247-#REF!</f>
      </c>
      <c r="Z182" s="51" t="e">
        <f>Ticker0001_Exchange_Sheet!AY247-#REF!</f>
      </c>
      <c r="AA182" s="51" t="e">
        <f>Ticker0001_Exchange_Sheet!AZ247-#REF!</f>
      </c>
      <c r="AB182" s="51" t="e">
        <f>Ticker0001_Exchange_Sheet!BA247-#REF!</f>
      </c>
      <c r="AC182" s="51" t="e">
        <f>Ticker0001_Exchange_Sheet!BB247-#REF!</f>
      </c>
      <c r="AD182" s="51" t="e">
        <f>Ticker0001_Exchange_Sheet!BC247-#REF!</f>
      </c>
      <c r="AE182" s="51" t="e">
        <f>Ticker0001_Exchange_Sheet!BD247-#REF!</f>
      </c>
      <c r="AF182" s="51" t="e">
        <f>Ticker0001_Exchange_Sheet!BE247-#REF!</f>
      </c>
      <c r="AG182" s="51" t="e">
        <f>Ticker0001_Exchange_Sheet!BF247-#REF!</f>
      </c>
      <c r="AH182" s="51" t="e">
        <f>Ticker0001_Exchange_Sheet!BG247-#REF!</f>
      </c>
      <c r="AI182" s="51" t="e">
        <f>Ticker0001_Exchange_Sheet!BH247-#REF!</f>
      </c>
      <c r="AJ182" s="51" t="e">
        <f>Ticker0001_Exchange_Sheet!BI247-#REF!</f>
      </c>
      <c r="AK182" s="51" t="e">
        <f>Ticker0001_Exchange_Sheet!BJ247-#REF!</f>
      </c>
      <c r="AL182" s="51" t="e">
        <f>Ticker0001_Exchange_Sheet!BK247-#REF!</f>
      </c>
      <c r="AM182" s="51" t="e">
        <f>Ticker0001_Exchange_Sheet!BL247-#REF!</f>
      </c>
      <c r="AN182" s="51" t="e">
        <f>Ticker0001_Exchange_Sheet!BM247-#REF!</f>
      </c>
      <c r="AO182" s="51" t="e">
        <f>Ticker0001_Exchange_Sheet!BN247-#REF!</f>
      </c>
      <c r="AP182" s="51" t="e">
        <f>Ticker0001_Exchange_Sheet!BO247-#REF!</f>
      </c>
      <c r="AQ182" s="51" t="e">
        <f>Ticker0001_Exchange_Sheet!BP247-#REF!</f>
      </c>
      <c r="AR182" s="51" t="e">
        <f>Ticker0001_Exchange_Sheet!BQ247-#REF!</f>
      </c>
      <c r="AS182" s="51" t="e">
        <f>Ticker0001_Exchange_Sheet!BR247-#REF!</f>
      </c>
      <c r="AT182" s="51" t="e">
        <f>Ticker0001_Exchange_Sheet!BS247-#REF!</f>
      </c>
      <c r="AU182" s="51" t="e">
        <f>Ticker0001_Exchange_Sheet!BT247-#REF!</f>
      </c>
      <c r="AV182" s="51" t="e">
        <f>Ticker0001_Exchange_Sheet!BU247-#REF!</f>
      </c>
      <c r="AW182" s="51" t="e">
        <f>Ticker0001_Exchange_Sheet!BV247-#REF!</f>
      </c>
      <c r="AX182" s="51" t="e">
        <f>Ticker0001_Exchange_Sheet!BW247-#REF!</f>
      </c>
      <c r="AY182" s="51" t="e">
        <f>Ticker0001_Exchange_Sheet!BX247-#REF!</f>
      </c>
      <c r="AZ182" s="51" t="e">
        <f>Ticker0001_Exchange_Sheet!BY247-#REF!</f>
      </c>
      <c r="BA182" s="51" t="e">
        <f>Ticker0001_Exchange_Sheet!BZ247-#REF!</f>
      </c>
      <c r="BB182" s="51" t="e">
        <f>Ticker0001_Exchange_Sheet!CA247-#REF!</f>
      </c>
      <c r="BC182" s="51" t="e">
        <f>Ticker0001_Exchange_Sheet!CB247-#REF!</f>
      </c>
      <c r="BD182" s="51" t="e">
        <f>Ticker0001_Exchange_Sheet!CC247-#REF!</f>
      </c>
      <c r="BE182" s="51" t="e">
        <f>Ticker0001_Exchange_Sheet!CD247-#REF!</f>
      </c>
      <c r="BF182" s="51" t="e">
        <f>Ticker0001_Exchange_Sheet!CE247-#REF!</f>
      </c>
      <c r="BG182" s="51" t="e">
        <f>Ticker0001_Exchange_Sheet!CF247-#REF!</f>
      </c>
      <c r="BH182" s="51" t="e">
        <f>Ticker0001_Exchange_Sheet!CG247-#REF!</f>
      </c>
      <c r="BI182" s="51" t="e">
        <f>Ticker0001_Exchange_Sheet!CH247-#REF!</f>
      </c>
      <c r="BJ182" s="51" t="e">
        <f>Ticker0001_Exchange_Sheet!CI247-#REF!</f>
      </c>
      <c r="BK182" s="51" t="e">
        <f>Ticker0001_Exchange_Sheet!CJ247-#REF!</f>
      </c>
      <c r="BL182" s="51" t="e">
        <f>Ticker0001_Exchange_Sheet!CK247-#REF!</f>
      </c>
      <c r="BM182" s="51" t="e">
        <f>Ticker0001_Exchange_Sheet!CL247-#REF!</f>
      </c>
      <c r="BN182" s="51" t="e">
        <f>Ticker0001_Exchange_Sheet!CM247-#REF!</f>
      </c>
      <c r="BO182" s="51" t="e">
        <f>Ticker0001_Exchange_Sheet!CN247-#REF!</f>
      </c>
      <c r="BP182" s="51" t="e">
        <f>Ticker0001_Exchange_Sheet!CO247-#REF!</f>
      </c>
      <c r="BQ182" s="51" t="e">
        <f>Ticker0001_Exchange_Sheet!CP247-#REF!</f>
      </c>
      <c r="BR182" s="51" t="e">
        <f>Ticker0001_Exchange_Sheet!CQ247-#REF!</f>
      </c>
      <c r="BS182" s="51" t="e">
        <f>Ticker0001_Exchange_Sheet!CR247-#REF!</f>
      </c>
      <c r="BT182" s="51" t="e">
        <f>Ticker0001_Exchange_Sheet!CS247-#REF!</f>
      </c>
      <c r="BU182" s="51" t="e">
        <f>Ticker0001_Exchange_Sheet!CT247-#REF!</f>
      </c>
      <c r="BV182" s="51" t="e">
        <f>Ticker0001_Exchange_Sheet!CU247-#REF!</f>
      </c>
      <c r="BW182" s="51" t="e">
        <f>Ticker0001_Exchange_Sheet!CV247-#REF!</f>
      </c>
      <c r="BX182" s="51" t="e">
        <f>Ticker0001_Exchange_Sheet!CW247-#REF!</f>
      </c>
      <c r="BY182" s="51" t="e">
        <f>Ticker0001_Exchange_Sheet!CX247-#REF!</f>
      </c>
      <c r="BZ182" s="51" t="e">
        <f>Ticker0001_Exchange_Sheet!CY247-#REF!</f>
      </c>
      <c r="CA182" s="51" t="e">
        <f>Ticker0001_Exchange_Sheet!CZ247-#REF!</f>
      </c>
      <c r="CB182" s="51" t="e">
        <f>Ticker0001_Exchange_Sheet!DA247-#REF!</f>
      </c>
      <c r="CC182" s="51" t="e">
        <f>Ticker0001_Exchange_Sheet!DB247-#REF!</f>
      </c>
      <c r="CD182" s="51" t="e">
        <f>Ticker0001_Exchange_Sheet!DC247-#REF!</f>
      </c>
      <c r="CE182" s="51" t="e">
        <f>Ticker0001_Exchange_Sheet!DD247-#REF!</f>
      </c>
      <c r="CF182" s="51" t="e">
        <f>Ticker0001_Exchange_Sheet!DE247-#REF!</f>
      </c>
    </row>
    <row r="183" spans="6:84">
      <c r="F183" s="51" t="e">
        <f>Ticker0001_Exchange_Sheet!F248-#REF!</f>
      </c>
      <c r="G183" s="51" t="e">
        <f>Ticker0001_Exchange_Sheet!G248-#REF!</f>
      </c>
      <c r="H183" s="51" t="e">
        <f>Ticker0001_Exchange_Sheet!H248-#REF!</f>
      </c>
      <c r="I183" s="51" t="e">
        <f>Ticker0001_Exchange_Sheet!I248-#REF!</f>
      </c>
      <c r="J183" s="51" t="e">
        <f>Ticker0001_Exchange_Sheet!J248-#REF!</f>
      </c>
      <c r="K183" s="51" t="e">
        <f>Ticker0001_Exchange_Sheet!K248-#REF!</f>
      </c>
      <c r="L183" s="51" t="e">
        <f>Ticker0001_Exchange_Sheet!L248-#REF!</f>
      </c>
      <c r="M183" s="51" t="e">
        <f>Ticker0001_Exchange_Sheet!M248-#REF!</f>
      </c>
      <c r="N183" s="51" t="e">
        <f>Ticker0001_Exchange_Sheet!N248-#REF!</f>
      </c>
      <c r="O183" s="51" t="e">
        <f>Ticker0001_Exchange_Sheet!O248-#REF!</f>
      </c>
      <c r="P183" s="51" t="e">
        <f>Ticker0001_Exchange_Sheet!P248-#REF!</f>
      </c>
      <c r="Q183" s="51" t="e">
        <f>Ticker0001_Exchange_Sheet!Q248-#REF!</f>
      </c>
      <c r="R183" s="51" t="e">
        <f>Ticker0001_Exchange_Sheet!R248-#REF!</f>
      </c>
      <c r="S183" s="51" t="e">
        <f>Ticker0001_Exchange_Sheet!S248-#REF!</f>
      </c>
      <c r="T183" s="51" t="e">
        <f>Ticker0001_Exchange_Sheet!T248-#REF!</f>
      </c>
      <c r="U183" s="51" t="e">
        <f>Ticker0001_Exchange_Sheet!U248-#REF!</f>
      </c>
      <c r="V183" s="51" t="e">
        <f>Ticker0001_Exchange_Sheet!V248-#REF!</f>
      </c>
      <c r="W183" s="51" t="e">
        <f>Ticker0001_Exchange_Sheet!W248-#REF!</f>
      </c>
      <c r="X183" s="51" t="e">
        <f>Ticker0001_Exchange_Sheet!AK248-#REF!</f>
      </c>
      <c r="Y183" s="51" t="e">
        <f>Ticker0001_Exchange_Sheet!AX248-#REF!</f>
      </c>
      <c r="Z183" s="51" t="e">
        <f>Ticker0001_Exchange_Sheet!AY248-#REF!</f>
      </c>
      <c r="AA183" s="51" t="e">
        <f>Ticker0001_Exchange_Sheet!AZ248-#REF!</f>
      </c>
      <c r="AB183" s="51" t="e">
        <f>Ticker0001_Exchange_Sheet!BA248-#REF!</f>
      </c>
      <c r="AC183" s="51" t="e">
        <f>Ticker0001_Exchange_Sheet!BB248-#REF!</f>
      </c>
      <c r="AD183" s="51" t="e">
        <f>Ticker0001_Exchange_Sheet!BC248-#REF!</f>
      </c>
      <c r="AE183" s="51" t="e">
        <f>Ticker0001_Exchange_Sheet!BD248-#REF!</f>
      </c>
      <c r="AF183" s="51" t="e">
        <f>Ticker0001_Exchange_Sheet!BE248-#REF!</f>
      </c>
      <c r="AG183" s="51" t="e">
        <f>Ticker0001_Exchange_Sheet!BF248-#REF!</f>
      </c>
      <c r="AH183" s="51" t="e">
        <f>Ticker0001_Exchange_Sheet!BG248-#REF!</f>
      </c>
      <c r="AI183" s="51" t="e">
        <f>Ticker0001_Exchange_Sheet!BH248-#REF!</f>
      </c>
      <c r="AJ183" s="51" t="e">
        <f>Ticker0001_Exchange_Sheet!BI248-#REF!</f>
      </c>
      <c r="AK183" s="51" t="e">
        <f>Ticker0001_Exchange_Sheet!BJ248-#REF!</f>
      </c>
      <c r="AL183" s="51" t="e">
        <f>Ticker0001_Exchange_Sheet!BK248-#REF!</f>
      </c>
      <c r="AM183" s="51" t="e">
        <f>Ticker0001_Exchange_Sheet!BL248-#REF!</f>
      </c>
      <c r="AN183" s="51" t="e">
        <f>Ticker0001_Exchange_Sheet!BM248-#REF!</f>
      </c>
      <c r="AO183" s="51" t="e">
        <f>Ticker0001_Exchange_Sheet!BN248-#REF!</f>
      </c>
      <c r="AP183" s="51" t="e">
        <f>Ticker0001_Exchange_Sheet!BO248-#REF!</f>
      </c>
      <c r="AQ183" s="51" t="e">
        <f>Ticker0001_Exchange_Sheet!BP248-#REF!</f>
      </c>
      <c r="AR183" s="51" t="e">
        <f>Ticker0001_Exchange_Sheet!BQ248-#REF!</f>
      </c>
      <c r="AS183" s="51" t="e">
        <f>Ticker0001_Exchange_Sheet!BR248-#REF!</f>
      </c>
      <c r="AT183" s="51" t="e">
        <f>Ticker0001_Exchange_Sheet!BS248-#REF!</f>
      </c>
      <c r="AU183" s="51" t="e">
        <f>Ticker0001_Exchange_Sheet!BT248-#REF!</f>
      </c>
      <c r="AV183" s="51" t="e">
        <f>Ticker0001_Exchange_Sheet!BU248-#REF!</f>
      </c>
      <c r="AW183" s="51" t="e">
        <f>Ticker0001_Exchange_Sheet!BV248-#REF!</f>
      </c>
      <c r="AX183" s="51" t="e">
        <f>Ticker0001_Exchange_Sheet!BW248-#REF!</f>
      </c>
      <c r="AY183" s="51" t="e">
        <f>Ticker0001_Exchange_Sheet!BX248-#REF!</f>
      </c>
      <c r="AZ183" s="51" t="e">
        <f>Ticker0001_Exchange_Sheet!BY248-#REF!</f>
      </c>
      <c r="BA183" s="51" t="e">
        <f>Ticker0001_Exchange_Sheet!BZ248-#REF!</f>
      </c>
      <c r="BB183" s="51" t="e">
        <f>Ticker0001_Exchange_Sheet!CA248-#REF!</f>
      </c>
      <c r="BC183" s="51" t="e">
        <f>Ticker0001_Exchange_Sheet!CB248-#REF!</f>
      </c>
      <c r="BD183" s="51" t="e">
        <f>Ticker0001_Exchange_Sheet!CC248-#REF!</f>
      </c>
      <c r="BE183" s="51" t="e">
        <f>Ticker0001_Exchange_Sheet!CD248-#REF!</f>
      </c>
      <c r="BF183" s="51" t="e">
        <f>Ticker0001_Exchange_Sheet!CE248-#REF!</f>
      </c>
      <c r="BG183" s="51" t="e">
        <f>Ticker0001_Exchange_Sheet!CF248-#REF!</f>
      </c>
      <c r="BH183" s="51" t="e">
        <f>Ticker0001_Exchange_Sheet!CG248-#REF!</f>
      </c>
      <c r="BI183" s="51" t="e">
        <f>Ticker0001_Exchange_Sheet!CH248-#REF!</f>
      </c>
      <c r="BJ183" s="51" t="e">
        <f>Ticker0001_Exchange_Sheet!CI248-#REF!</f>
      </c>
      <c r="BK183" s="51" t="e">
        <f>Ticker0001_Exchange_Sheet!CJ248-#REF!</f>
      </c>
      <c r="BL183" s="51" t="e">
        <f>Ticker0001_Exchange_Sheet!CK248-#REF!</f>
      </c>
      <c r="BM183" s="51" t="e">
        <f>Ticker0001_Exchange_Sheet!CL248-#REF!</f>
      </c>
      <c r="BN183" s="51" t="e">
        <f>Ticker0001_Exchange_Sheet!CM248-#REF!</f>
      </c>
      <c r="BO183" s="51" t="e">
        <f>Ticker0001_Exchange_Sheet!CN248-#REF!</f>
      </c>
      <c r="BP183" s="51" t="e">
        <f>Ticker0001_Exchange_Sheet!CO248-#REF!</f>
      </c>
      <c r="BQ183" s="51" t="e">
        <f>Ticker0001_Exchange_Sheet!CP248-#REF!</f>
      </c>
      <c r="BR183" s="51" t="e">
        <f>Ticker0001_Exchange_Sheet!CQ248-#REF!</f>
      </c>
      <c r="BS183" s="51" t="e">
        <f>Ticker0001_Exchange_Sheet!CR248-#REF!</f>
      </c>
      <c r="BT183" s="51" t="e">
        <f>Ticker0001_Exchange_Sheet!CS248-#REF!</f>
      </c>
      <c r="BU183" s="51" t="e">
        <f>Ticker0001_Exchange_Sheet!CT248-#REF!</f>
      </c>
      <c r="BV183" s="51" t="e">
        <f>Ticker0001_Exchange_Sheet!CU248-#REF!</f>
      </c>
      <c r="BW183" s="51" t="e">
        <f>Ticker0001_Exchange_Sheet!CV248-#REF!</f>
      </c>
      <c r="BX183" s="51" t="e">
        <f>Ticker0001_Exchange_Sheet!CW248-#REF!</f>
      </c>
      <c r="BY183" s="51" t="e">
        <f>Ticker0001_Exchange_Sheet!CX248-#REF!</f>
      </c>
      <c r="BZ183" s="51" t="e">
        <f>Ticker0001_Exchange_Sheet!CY248-#REF!</f>
      </c>
      <c r="CA183" s="51" t="e">
        <f>Ticker0001_Exchange_Sheet!CZ248-#REF!</f>
      </c>
      <c r="CB183" s="51" t="e">
        <f>Ticker0001_Exchange_Sheet!DA248-#REF!</f>
      </c>
      <c r="CC183" s="51" t="e">
        <f>Ticker0001_Exchange_Sheet!DB248-#REF!</f>
      </c>
      <c r="CD183" s="51" t="e">
        <f>Ticker0001_Exchange_Sheet!DC248-#REF!</f>
      </c>
      <c r="CE183" s="51" t="e">
        <f>Ticker0001_Exchange_Sheet!DD248-#REF!</f>
      </c>
      <c r="CF183" s="51" t="e">
        <f>Ticker0001_Exchange_Sheet!DE248-#REF!</f>
      </c>
    </row>
    <row r="184" spans="6:84">
      <c r="F184" s="51" t="e">
        <f>Ticker0001_Exchange_Sheet!F249-#REF!</f>
      </c>
      <c r="G184" s="51" t="e">
        <f>Ticker0001_Exchange_Sheet!G249-#REF!</f>
      </c>
      <c r="H184" s="51" t="e">
        <f>Ticker0001_Exchange_Sheet!H249-#REF!</f>
      </c>
      <c r="I184" s="51" t="e">
        <f>Ticker0001_Exchange_Sheet!I249-#REF!</f>
      </c>
      <c r="J184" s="51" t="e">
        <f>Ticker0001_Exchange_Sheet!J249-#REF!</f>
      </c>
      <c r="K184" s="51" t="e">
        <f>Ticker0001_Exchange_Sheet!K249-#REF!</f>
      </c>
      <c r="L184" s="51" t="e">
        <f>Ticker0001_Exchange_Sheet!L249-#REF!</f>
      </c>
      <c r="M184" s="51" t="e">
        <f>Ticker0001_Exchange_Sheet!M249-#REF!</f>
      </c>
      <c r="N184" s="51" t="e">
        <f>Ticker0001_Exchange_Sheet!N249-#REF!</f>
      </c>
      <c r="O184" s="51" t="e">
        <f>Ticker0001_Exchange_Sheet!O249-#REF!</f>
      </c>
      <c r="P184" s="51" t="e">
        <f>Ticker0001_Exchange_Sheet!P249-#REF!</f>
      </c>
      <c r="Q184" s="51" t="e">
        <f>Ticker0001_Exchange_Sheet!Q249-#REF!</f>
      </c>
      <c r="R184" s="51" t="e">
        <f>Ticker0001_Exchange_Sheet!R249-#REF!</f>
      </c>
      <c r="S184" s="51" t="e">
        <f>Ticker0001_Exchange_Sheet!S249-#REF!</f>
      </c>
      <c r="T184" s="51" t="e">
        <f>Ticker0001_Exchange_Sheet!T249-#REF!</f>
      </c>
      <c r="U184" s="51" t="e">
        <f>Ticker0001_Exchange_Sheet!U249-#REF!</f>
      </c>
      <c r="V184" s="51" t="e">
        <f>Ticker0001_Exchange_Sheet!V249-#REF!</f>
      </c>
      <c r="W184" s="51" t="e">
        <f>Ticker0001_Exchange_Sheet!W249-#REF!</f>
      </c>
      <c r="X184" s="51" t="e">
        <f>Ticker0001_Exchange_Sheet!AK249-#REF!</f>
      </c>
      <c r="Y184" s="51" t="e">
        <f>Ticker0001_Exchange_Sheet!AX249-#REF!</f>
      </c>
      <c r="Z184" s="51" t="e">
        <f>Ticker0001_Exchange_Sheet!AY249-#REF!</f>
      </c>
      <c r="AA184" s="51" t="e">
        <f>Ticker0001_Exchange_Sheet!AZ249-#REF!</f>
      </c>
      <c r="AB184" s="51" t="e">
        <f>Ticker0001_Exchange_Sheet!BA249-#REF!</f>
      </c>
      <c r="AC184" s="51" t="e">
        <f>Ticker0001_Exchange_Sheet!BB249-#REF!</f>
      </c>
      <c r="AD184" s="51" t="e">
        <f>Ticker0001_Exchange_Sheet!BC249-#REF!</f>
      </c>
      <c r="AE184" s="51" t="e">
        <f>Ticker0001_Exchange_Sheet!BD249-#REF!</f>
      </c>
      <c r="AF184" s="51" t="e">
        <f>Ticker0001_Exchange_Sheet!BE249-#REF!</f>
      </c>
      <c r="AG184" s="51" t="e">
        <f>Ticker0001_Exchange_Sheet!BF249-#REF!</f>
      </c>
      <c r="AH184" s="51" t="e">
        <f>Ticker0001_Exchange_Sheet!BG249-#REF!</f>
      </c>
      <c r="AI184" s="51" t="e">
        <f>Ticker0001_Exchange_Sheet!BH249-#REF!</f>
      </c>
      <c r="AJ184" s="51" t="e">
        <f>Ticker0001_Exchange_Sheet!BI249-#REF!</f>
      </c>
      <c r="AK184" s="51" t="e">
        <f>Ticker0001_Exchange_Sheet!BJ249-#REF!</f>
      </c>
      <c r="AL184" s="51" t="e">
        <f>Ticker0001_Exchange_Sheet!BK249-#REF!</f>
      </c>
      <c r="AM184" s="51" t="e">
        <f>Ticker0001_Exchange_Sheet!BL249-#REF!</f>
      </c>
      <c r="AN184" s="51" t="e">
        <f>Ticker0001_Exchange_Sheet!BM249-#REF!</f>
      </c>
      <c r="AO184" s="51" t="e">
        <f>Ticker0001_Exchange_Sheet!BN249-#REF!</f>
      </c>
      <c r="AP184" s="51" t="e">
        <f>Ticker0001_Exchange_Sheet!BO249-#REF!</f>
      </c>
      <c r="AQ184" s="51" t="e">
        <f>Ticker0001_Exchange_Sheet!BP249-#REF!</f>
      </c>
      <c r="AR184" s="51" t="e">
        <f>Ticker0001_Exchange_Sheet!BQ249-#REF!</f>
      </c>
      <c r="AS184" s="51" t="e">
        <f>Ticker0001_Exchange_Sheet!BR249-#REF!</f>
      </c>
      <c r="AT184" s="51" t="e">
        <f>Ticker0001_Exchange_Sheet!BS249-#REF!</f>
      </c>
      <c r="AU184" s="51" t="e">
        <f>Ticker0001_Exchange_Sheet!BT249-#REF!</f>
      </c>
      <c r="AV184" s="51" t="e">
        <f>Ticker0001_Exchange_Sheet!BU249-#REF!</f>
      </c>
      <c r="AW184" s="51" t="e">
        <f>Ticker0001_Exchange_Sheet!BV249-#REF!</f>
      </c>
      <c r="AX184" s="51" t="e">
        <f>Ticker0001_Exchange_Sheet!BW249-#REF!</f>
      </c>
      <c r="AY184" s="51" t="e">
        <f>Ticker0001_Exchange_Sheet!BX249-#REF!</f>
      </c>
      <c r="AZ184" s="51" t="e">
        <f>Ticker0001_Exchange_Sheet!BY249-#REF!</f>
      </c>
      <c r="BA184" s="51" t="e">
        <f>Ticker0001_Exchange_Sheet!BZ249-#REF!</f>
      </c>
      <c r="BB184" s="51" t="e">
        <f>Ticker0001_Exchange_Sheet!CA249-#REF!</f>
      </c>
      <c r="BC184" s="51" t="e">
        <f>Ticker0001_Exchange_Sheet!CB249-#REF!</f>
      </c>
      <c r="BD184" s="51" t="e">
        <f>Ticker0001_Exchange_Sheet!CC249-#REF!</f>
      </c>
      <c r="BE184" s="51" t="e">
        <f>Ticker0001_Exchange_Sheet!CD249-#REF!</f>
      </c>
      <c r="BF184" s="51" t="e">
        <f>Ticker0001_Exchange_Sheet!CE249-#REF!</f>
      </c>
      <c r="BG184" s="51" t="e">
        <f>Ticker0001_Exchange_Sheet!CF249-#REF!</f>
      </c>
      <c r="BH184" s="51" t="e">
        <f>Ticker0001_Exchange_Sheet!CG249-#REF!</f>
      </c>
      <c r="BI184" s="51" t="e">
        <f>Ticker0001_Exchange_Sheet!CH249-#REF!</f>
      </c>
      <c r="BJ184" s="51" t="e">
        <f>Ticker0001_Exchange_Sheet!CI249-#REF!</f>
      </c>
      <c r="BK184" s="51" t="e">
        <f>Ticker0001_Exchange_Sheet!CJ249-#REF!</f>
      </c>
      <c r="BL184" s="51" t="e">
        <f>Ticker0001_Exchange_Sheet!CK249-#REF!</f>
      </c>
      <c r="BM184" s="51" t="e">
        <f>Ticker0001_Exchange_Sheet!CL249-#REF!</f>
      </c>
      <c r="BN184" s="51" t="e">
        <f>Ticker0001_Exchange_Sheet!CM249-#REF!</f>
      </c>
      <c r="BO184" s="51" t="e">
        <f>Ticker0001_Exchange_Sheet!CN249-#REF!</f>
      </c>
      <c r="BP184" s="51" t="e">
        <f>Ticker0001_Exchange_Sheet!CO249-#REF!</f>
      </c>
      <c r="BQ184" s="51" t="e">
        <f>Ticker0001_Exchange_Sheet!CP249-#REF!</f>
      </c>
      <c r="BR184" s="51" t="e">
        <f>Ticker0001_Exchange_Sheet!CQ249-#REF!</f>
      </c>
      <c r="BS184" s="51" t="e">
        <f>Ticker0001_Exchange_Sheet!CR249-#REF!</f>
      </c>
      <c r="BT184" s="51" t="e">
        <f>Ticker0001_Exchange_Sheet!CS249-#REF!</f>
      </c>
      <c r="BU184" s="51" t="e">
        <f>Ticker0001_Exchange_Sheet!CT249-#REF!</f>
      </c>
      <c r="BV184" s="51" t="e">
        <f>Ticker0001_Exchange_Sheet!CU249-#REF!</f>
      </c>
      <c r="BW184" s="51" t="e">
        <f>Ticker0001_Exchange_Sheet!CV249-#REF!</f>
      </c>
      <c r="BX184" s="51" t="e">
        <f>Ticker0001_Exchange_Sheet!CW249-#REF!</f>
      </c>
      <c r="BY184" s="51" t="e">
        <f>Ticker0001_Exchange_Sheet!CX249-#REF!</f>
      </c>
      <c r="BZ184" s="51" t="e">
        <f>Ticker0001_Exchange_Sheet!CY249-#REF!</f>
      </c>
      <c r="CA184" s="51" t="e">
        <f>Ticker0001_Exchange_Sheet!CZ249-#REF!</f>
      </c>
      <c r="CB184" s="51" t="e">
        <f>Ticker0001_Exchange_Sheet!DA249-#REF!</f>
      </c>
      <c r="CC184" s="51" t="e">
        <f>Ticker0001_Exchange_Sheet!DB249-#REF!</f>
      </c>
      <c r="CD184" s="51" t="e">
        <f>Ticker0001_Exchange_Sheet!DC249-#REF!</f>
      </c>
      <c r="CE184" s="51" t="e">
        <f>Ticker0001_Exchange_Sheet!DD249-#REF!</f>
      </c>
      <c r="CF184" s="51" t="e">
        <f>Ticker0001_Exchange_Sheet!DE249-#REF!</f>
      </c>
    </row>
    <row r="185" spans="6:84">
      <c r="F185" s="51" t="e">
        <f>Ticker0001_Exchange_Sheet!F250-#REF!</f>
      </c>
      <c r="G185" s="51" t="e">
        <f>Ticker0001_Exchange_Sheet!G250-#REF!</f>
      </c>
      <c r="H185" s="51" t="e">
        <f>Ticker0001_Exchange_Sheet!H250-#REF!</f>
      </c>
      <c r="I185" s="51" t="e">
        <f>Ticker0001_Exchange_Sheet!I250-#REF!</f>
      </c>
      <c r="J185" s="51" t="e">
        <f>Ticker0001_Exchange_Sheet!J250-#REF!</f>
      </c>
      <c r="K185" s="51" t="e">
        <f>Ticker0001_Exchange_Sheet!K250-#REF!</f>
      </c>
      <c r="L185" s="51" t="e">
        <f>Ticker0001_Exchange_Sheet!L250-#REF!</f>
      </c>
      <c r="M185" s="51" t="e">
        <f>Ticker0001_Exchange_Sheet!M250-#REF!</f>
      </c>
      <c r="N185" s="51" t="e">
        <f>Ticker0001_Exchange_Sheet!N250-#REF!</f>
      </c>
      <c r="O185" s="51" t="e">
        <f>Ticker0001_Exchange_Sheet!O250-#REF!</f>
      </c>
      <c r="P185" s="51" t="e">
        <f>Ticker0001_Exchange_Sheet!P250-#REF!</f>
      </c>
      <c r="Q185" s="51" t="e">
        <f>Ticker0001_Exchange_Sheet!Q250-#REF!</f>
      </c>
      <c r="R185" s="51" t="e">
        <f>Ticker0001_Exchange_Sheet!R250-#REF!</f>
      </c>
      <c r="S185" s="51" t="e">
        <f>Ticker0001_Exchange_Sheet!S250-#REF!</f>
      </c>
      <c r="T185" s="51" t="e">
        <f>Ticker0001_Exchange_Sheet!T250-#REF!</f>
      </c>
      <c r="U185" s="51" t="e">
        <f>Ticker0001_Exchange_Sheet!U250-#REF!</f>
      </c>
      <c r="V185" s="51" t="e">
        <f>Ticker0001_Exchange_Sheet!V250-#REF!</f>
      </c>
      <c r="W185" s="51" t="e">
        <f>Ticker0001_Exchange_Sheet!W250-#REF!</f>
      </c>
      <c r="X185" s="51" t="e">
        <f>Ticker0001_Exchange_Sheet!AK250-#REF!</f>
      </c>
      <c r="Y185" s="51" t="e">
        <f>Ticker0001_Exchange_Sheet!AX250-#REF!</f>
      </c>
      <c r="Z185" s="51" t="e">
        <f>Ticker0001_Exchange_Sheet!AY250-#REF!</f>
      </c>
      <c r="AA185" s="51" t="e">
        <f>Ticker0001_Exchange_Sheet!AZ250-#REF!</f>
      </c>
      <c r="AB185" s="51" t="e">
        <f>Ticker0001_Exchange_Sheet!BA250-#REF!</f>
      </c>
      <c r="AC185" s="51" t="e">
        <f>Ticker0001_Exchange_Sheet!BB250-#REF!</f>
      </c>
      <c r="AD185" s="51" t="e">
        <f>Ticker0001_Exchange_Sheet!BC250-#REF!</f>
      </c>
      <c r="AE185" s="51" t="e">
        <f>Ticker0001_Exchange_Sheet!BD250-#REF!</f>
      </c>
      <c r="AF185" s="51" t="e">
        <f>Ticker0001_Exchange_Sheet!BE250-#REF!</f>
      </c>
      <c r="AG185" s="51" t="e">
        <f>Ticker0001_Exchange_Sheet!BF250-#REF!</f>
      </c>
      <c r="AH185" s="51" t="e">
        <f>Ticker0001_Exchange_Sheet!BG250-#REF!</f>
      </c>
      <c r="AI185" s="51" t="e">
        <f>Ticker0001_Exchange_Sheet!BH250-#REF!</f>
      </c>
      <c r="AJ185" s="51" t="e">
        <f>Ticker0001_Exchange_Sheet!BI250-#REF!</f>
      </c>
      <c r="AK185" s="51" t="e">
        <f>Ticker0001_Exchange_Sheet!BJ250-#REF!</f>
      </c>
      <c r="AL185" s="51" t="e">
        <f>Ticker0001_Exchange_Sheet!BK250-#REF!</f>
      </c>
      <c r="AM185" s="51" t="e">
        <f>Ticker0001_Exchange_Sheet!BL250-#REF!</f>
      </c>
      <c r="AN185" s="51" t="e">
        <f>Ticker0001_Exchange_Sheet!BM250-#REF!</f>
      </c>
      <c r="AO185" s="51" t="e">
        <f>Ticker0001_Exchange_Sheet!BN250-#REF!</f>
      </c>
      <c r="AP185" s="51" t="e">
        <f>Ticker0001_Exchange_Sheet!BO250-#REF!</f>
      </c>
      <c r="AQ185" s="51" t="e">
        <f>Ticker0001_Exchange_Sheet!BP250-#REF!</f>
      </c>
      <c r="AR185" s="51" t="e">
        <f>Ticker0001_Exchange_Sheet!BQ250-#REF!</f>
      </c>
      <c r="AS185" s="51" t="e">
        <f>Ticker0001_Exchange_Sheet!BR250-#REF!</f>
      </c>
      <c r="AT185" s="51" t="e">
        <f>Ticker0001_Exchange_Sheet!BS250-#REF!</f>
      </c>
      <c r="AU185" s="51" t="e">
        <f>Ticker0001_Exchange_Sheet!BT250-#REF!</f>
      </c>
      <c r="AV185" s="51" t="e">
        <f>Ticker0001_Exchange_Sheet!BU250-#REF!</f>
      </c>
      <c r="AW185" s="51" t="e">
        <f>Ticker0001_Exchange_Sheet!BV250-#REF!</f>
      </c>
      <c r="AX185" s="51" t="e">
        <f>Ticker0001_Exchange_Sheet!BW250-#REF!</f>
      </c>
      <c r="AY185" s="51" t="e">
        <f>Ticker0001_Exchange_Sheet!BX250-#REF!</f>
      </c>
      <c r="AZ185" s="51" t="e">
        <f>Ticker0001_Exchange_Sheet!BY250-#REF!</f>
      </c>
      <c r="BA185" s="51" t="e">
        <f>Ticker0001_Exchange_Sheet!BZ250-#REF!</f>
      </c>
      <c r="BB185" s="51" t="e">
        <f>Ticker0001_Exchange_Sheet!CA250-#REF!</f>
      </c>
      <c r="BC185" s="51" t="e">
        <f>Ticker0001_Exchange_Sheet!CB250-#REF!</f>
      </c>
      <c r="BD185" s="51" t="e">
        <f>Ticker0001_Exchange_Sheet!CC250-#REF!</f>
      </c>
      <c r="BE185" s="51" t="e">
        <f>Ticker0001_Exchange_Sheet!CD250-#REF!</f>
      </c>
      <c r="BF185" s="51" t="e">
        <f>Ticker0001_Exchange_Sheet!CE250-#REF!</f>
      </c>
      <c r="BG185" s="51" t="e">
        <f>Ticker0001_Exchange_Sheet!CF250-#REF!</f>
      </c>
      <c r="BH185" s="51" t="e">
        <f>Ticker0001_Exchange_Sheet!CG250-#REF!</f>
      </c>
      <c r="BI185" s="51" t="e">
        <f>Ticker0001_Exchange_Sheet!CH250-#REF!</f>
      </c>
      <c r="BJ185" s="51" t="e">
        <f>Ticker0001_Exchange_Sheet!CI250-#REF!</f>
      </c>
      <c r="BK185" s="51" t="e">
        <f>Ticker0001_Exchange_Sheet!CJ250-#REF!</f>
      </c>
      <c r="BL185" s="51" t="e">
        <f>Ticker0001_Exchange_Sheet!CK250-#REF!</f>
      </c>
      <c r="BM185" s="51" t="e">
        <f>Ticker0001_Exchange_Sheet!CL250-#REF!</f>
      </c>
      <c r="BN185" s="51" t="e">
        <f>Ticker0001_Exchange_Sheet!CM250-#REF!</f>
      </c>
      <c r="BO185" s="51" t="e">
        <f>Ticker0001_Exchange_Sheet!CN250-#REF!</f>
      </c>
      <c r="BP185" s="51" t="e">
        <f>Ticker0001_Exchange_Sheet!CO250-#REF!</f>
      </c>
      <c r="BQ185" s="51" t="e">
        <f>Ticker0001_Exchange_Sheet!CP250-#REF!</f>
      </c>
      <c r="BR185" s="51" t="e">
        <f>Ticker0001_Exchange_Sheet!CQ250-#REF!</f>
      </c>
      <c r="BS185" s="51" t="e">
        <f>Ticker0001_Exchange_Sheet!CR250-#REF!</f>
      </c>
      <c r="BT185" s="51" t="e">
        <f>Ticker0001_Exchange_Sheet!CS250-#REF!</f>
      </c>
      <c r="BU185" s="51" t="e">
        <f>Ticker0001_Exchange_Sheet!CT250-#REF!</f>
      </c>
      <c r="BV185" s="51" t="e">
        <f>Ticker0001_Exchange_Sheet!CU250-#REF!</f>
      </c>
      <c r="BW185" s="51" t="e">
        <f>Ticker0001_Exchange_Sheet!CV250-#REF!</f>
      </c>
      <c r="BX185" s="51" t="e">
        <f>Ticker0001_Exchange_Sheet!CW250-#REF!</f>
      </c>
      <c r="BY185" s="51" t="e">
        <f>Ticker0001_Exchange_Sheet!CX250-#REF!</f>
      </c>
      <c r="BZ185" s="51" t="e">
        <f>Ticker0001_Exchange_Sheet!CY250-#REF!</f>
      </c>
      <c r="CA185" s="51" t="e">
        <f>Ticker0001_Exchange_Sheet!CZ250-#REF!</f>
      </c>
      <c r="CB185" s="51" t="e">
        <f>Ticker0001_Exchange_Sheet!DA250-#REF!</f>
      </c>
      <c r="CC185" s="51" t="e">
        <f>Ticker0001_Exchange_Sheet!DB250-#REF!</f>
      </c>
      <c r="CD185" s="51" t="e">
        <f>Ticker0001_Exchange_Sheet!DC250-#REF!</f>
      </c>
      <c r="CE185" s="51" t="e">
        <f>Ticker0001_Exchange_Sheet!DD250-#REF!</f>
      </c>
      <c r="CF185" s="51" t="e">
        <f>Ticker0001_Exchange_Sheet!DE250-#REF!</f>
      </c>
    </row>
    <row r="186" spans="6:84">
      <c r="F186" s="51" t="e">
        <f>Ticker0001_Exchange_Sheet!F253-#REF!</f>
      </c>
      <c r="G186" s="51" t="e">
        <f>Ticker0001_Exchange_Sheet!G253-#REF!</f>
      </c>
      <c r="H186" s="51" t="e">
        <f>Ticker0001_Exchange_Sheet!H253-#REF!</f>
      </c>
      <c r="I186" s="51" t="e">
        <f>Ticker0001_Exchange_Sheet!I253-#REF!</f>
      </c>
      <c r="J186" s="51" t="e">
        <f>Ticker0001_Exchange_Sheet!J253-#REF!</f>
      </c>
      <c r="K186" s="51" t="e">
        <f>Ticker0001_Exchange_Sheet!K253-#REF!</f>
      </c>
      <c r="L186" s="51" t="e">
        <f>Ticker0001_Exchange_Sheet!L253-#REF!</f>
      </c>
      <c r="M186" s="51" t="e">
        <f>Ticker0001_Exchange_Sheet!M253-#REF!</f>
      </c>
      <c r="N186" s="51" t="e">
        <f>Ticker0001_Exchange_Sheet!N253-#REF!</f>
      </c>
      <c r="O186" s="51" t="e">
        <f>Ticker0001_Exchange_Sheet!O253-#REF!</f>
      </c>
      <c r="P186" s="51" t="e">
        <f>Ticker0001_Exchange_Sheet!P253-#REF!</f>
      </c>
      <c r="Q186" s="51" t="e">
        <f>Ticker0001_Exchange_Sheet!Q253-#REF!</f>
      </c>
      <c r="R186" s="51" t="e">
        <f>Ticker0001_Exchange_Sheet!R253-#REF!</f>
      </c>
      <c r="S186" s="51" t="e">
        <f>Ticker0001_Exchange_Sheet!S253-#REF!</f>
      </c>
      <c r="T186" s="51" t="e">
        <f>Ticker0001_Exchange_Sheet!T253-#REF!</f>
      </c>
      <c r="U186" s="51" t="e">
        <f>Ticker0001_Exchange_Sheet!U253-#REF!</f>
      </c>
      <c r="V186" s="51" t="e">
        <f>Ticker0001_Exchange_Sheet!V253-#REF!</f>
      </c>
      <c r="W186" s="51" t="e">
        <f>Ticker0001_Exchange_Sheet!W253-#REF!</f>
      </c>
      <c r="X186" s="51" t="e">
        <f>Ticker0001_Exchange_Sheet!AK253-#REF!</f>
      </c>
      <c r="Y186" s="51" t="e">
        <f>Ticker0001_Exchange_Sheet!AX253-#REF!</f>
      </c>
      <c r="Z186" s="51" t="e">
        <f>Ticker0001_Exchange_Sheet!AY253-#REF!</f>
      </c>
      <c r="AA186" s="51" t="e">
        <f>Ticker0001_Exchange_Sheet!AZ253-#REF!</f>
      </c>
      <c r="AB186" s="51" t="e">
        <f>Ticker0001_Exchange_Sheet!BA253-#REF!</f>
      </c>
      <c r="AC186" s="51" t="e">
        <f>Ticker0001_Exchange_Sheet!BB253-#REF!</f>
      </c>
      <c r="AD186" s="51" t="e">
        <f>Ticker0001_Exchange_Sheet!BC253-#REF!</f>
      </c>
      <c r="AE186" s="51" t="e">
        <f>Ticker0001_Exchange_Sheet!BD253-#REF!</f>
      </c>
      <c r="AF186" s="51" t="e">
        <f>Ticker0001_Exchange_Sheet!BE253-#REF!</f>
      </c>
      <c r="AG186" s="51" t="e">
        <f>Ticker0001_Exchange_Sheet!BF253-#REF!</f>
      </c>
      <c r="AH186" s="51" t="e">
        <f>Ticker0001_Exchange_Sheet!BG253-#REF!</f>
      </c>
      <c r="AI186" s="51" t="e">
        <f>Ticker0001_Exchange_Sheet!BH253-#REF!</f>
      </c>
      <c r="AJ186" s="51" t="e">
        <f>Ticker0001_Exchange_Sheet!BI253-#REF!</f>
      </c>
      <c r="AK186" s="51" t="e">
        <f>Ticker0001_Exchange_Sheet!BJ253-#REF!</f>
      </c>
      <c r="AL186" s="51" t="e">
        <f>Ticker0001_Exchange_Sheet!BK253-#REF!</f>
      </c>
      <c r="AM186" s="51" t="e">
        <f>Ticker0001_Exchange_Sheet!BL253-#REF!</f>
      </c>
      <c r="AN186" s="51" t="e">
        <f>Ticker0001_Exchange_Sheet!BM253-#REF!</f>
      </c>
      <c r="AO186" s="51" t="e">
        <f>Ticker0001_Exchange_Sheet!BN253-#REF!</f>
      </c>
      <c r="AP186" s="51" t="e">
        <f>Ticker0001_Exchange_Sheet!BO253-#REF!</f>
      </c>
      <c r="AQ186" s="51" t="e">
        <f>Ticker0001_Exchange_Sheet!BP253-#REF!</f>
      </c>
      <c r="AR186" s="51" t="e">
        <f>Ticker0001_Exchange_Sheet!BQ253-#REF!</f>
      </c>
      <c r="AS186" s="51" t="e">
        <f>Ticker0001_Exchange_Sheet!BR253-#REF!</f>
      </c>
      <c r="AT186" s="51" t="e">
        <f>Ticker0001_Exchange_Sheet!BS253-#REF!</f>
      </c>
      <c r="AU186" s="51" t="e">
        <f>Ticker0001_Exchange_Sheet!BT253-#REF!</f>
      </c>
      <c r="AV186" s="51" t="e">
        <f>Ticker0001_Exchange_Sheet!BU253-#REF!</f>
      </c>
      <c r="AW186" s="51" t="e">
        <f>Ticker0001_Exchange_Sheet!BV253-#REF!</f>
      </c>
      <c r="AX186" s="51" t="e">
        <f>Ticker0001_Exchange_Sheet!BW253-#REF!</f>
      </c>
      <c r="AY186" s="51" t="e">
        <f>Ticker0001_Exchange_Sheet!BX253-#REF!</f>
      </c>
      <c r="AZ186" s="51" t="e">
        <f>Ticker0001_Exchange_Sheet!BY253-#REF!</f>
      </c>
      <c r="BA186" s="51" t="e">
        <f>Ticker0001_Exchange_Sheet!BZ253-#REF!</f>
      </c>
      <c r="BB186" s="51" t="e">
        <f>Ticker0001_Exchange_Sheet!CA253-#REF!</f>
      </c>
      <c r="BC186" s="51" t="e">
        <f>Ticker0001_Exchange_Sheet!CB253-#REF!</f>
      </c>
      <c r="BD186" s="51" t="e">
        <f>Ticker0001_Exchange_Sheet!CC253-#REF!</f>
      </c>
      <c r="BE186" s="51" t="e">
        <f>Ticker0001_Exchange_Sheet!CD253-#REF!</f>
      </c>
      <c r="BF186" s="51" t="e">
        <f>Ticker0001_Exchange_Sheet!CE253-#REF!</f>
      </c>
      <c r="BG186" s="51" t="e">
        <f>Ticker0001_Exchange_Sheet!CF253-#REF!</f>
      </c>
      <c r="BH186" s="51" t="e">
        <f>Ticker0001_Exchange_Sheet!CG253-#REF!</f>
      </c>
      <c r="BI186" s="51" t="e">
        <f>Ticker0001_Exchange_Sheet!CH253-#REF!</f>
      </c>
      <c r="BJ186" s="51" t="e">
        <f>Ticker0001_Exchange_Sheet!CI253-#REF!</f>
      </c>
      <c r="BK186" s="51" t="e">
        <f>Ticker0001_Exchange_Sheet!CJ253-#REF!</f>
      </c>
      <c r="BL186" s="51" t="e">
        <f>Ticker0001_Exchange_Sheet!CK253-#REF!</f>
      </c>
      <c r="BM186" s="51" t="e">
        <f>Ticker0001_Exchange_Sheet!CL253-#REF!</f>
      </c>
      <c r="BN186" s="51" t="e">
        <f>Ticker0001_Exchange_Sheet!CM253-#REF!</f>
      </c>
      <c r="BO186" s="51" t="e">
        <f>Ticker0001_Exchange_Sheet!CN253-#REF!</f>
      </c>
      <c r="BP186" s="51" t="e">
        <f>Ticker0001_Exchange_Sheet!CO253-#REF!</f>
      </c>
      <c r="BQ186" s="51" t="e">
        <f>Ticker0001_Exchange_Sheet!CP253-#REF!</f>
      </c>
      <c r="BR186" s="51" t="e">
        <f>Ticker0001_Exchange_Sheet!CQ253-#REF!</f>
      </c>
      <c r="BS186" s="51" t="e">
        <f>Ticker0001_Exchange_Sheet!CR253-#REF!</f>
      </c>
      <c r="BT186" s="51" t="e">
        <f>Ticker0001_Exchange_Sheet!CS253-#REF!</f>
      </c>
      <c r="BU186" s="51" t="e">
        <f>Ticker0001_Exchange_Sheet!CT253-#REF!</f>
      </c>
      <c r="BV186" s="51" t="e">
        <f>Ticker0001_Exchange_Sheet!CU253-#REF!</f>
      </c>
      <c r="BW186" s="51" t="e">
        <f>Ticker0001_Exchange_Sheet!CV253-#REF!</f>
      </c>
      <c r="BX186" s="51" t="e">
        <f>Ticker0001_Exchange_Sheet!CW253-#REF!</f>
      </c>
      <c r="BY186" s="51" t="e">
        <f>Ticker0001_Exchange_Sheet!CX253-#REF!</f>
      </c>
      <c r="BZ186" s="51" t="e">
        <f>Ticker0001_Exchange_Sheet!CY253-#REF!</f>
      </c>
      <c r="CA186" s="51" t="e">
        <f>Ticker0001_Exchange_Sheet!CZ253-#REF!</f>
      </c>
      <c r="CB186" s="51" t="e">
        <f>Ticker0001_Exchange_Sheet!DA253-#REF!</f>
      </c>
      <c r="CC186" s="51" t="e">
        <f>Ticker0001_Exchange_Sheet!DB253-#REF!</f>
      </c>
      <c r="CD186" s="51" t="e">
        <f>Ticker0001_Exchange_Sheet!DC253-#REF!</f>
      </c>
      <c r="CE186" s="51" t="e">
        <f>Ticker0001_Exchange_Sheet!DD253-#REF!</f>
      </c>
      <c r="CF186" s="51" t="e">
        <f>Ticker0001_Exchange_Sheet!DE253-#REF!</f>
      </c>
    </row>
    <row r="187" spans="6:84">
      <c r="F187" s="51" t="e">
        <f>Ticker0001_Exchange_Sheet!F254-#REF!</f>
      </c>
      <c r="G187" s="51" t="e">
        <f>Ticker0001_Exchange_Sheet!G254-#REF!</f>
      </c>
      <c r="H187" s="51" t="e">
        <f>Ticker0001_Exchange_Sheet!H254-#REF!</f>
      </c>
      <c r="I187" s="51" t="e">
        <f>Ticker0001_Exchange_Sheet!I254-#REF!</f>
      </c>
      <c r="J187" s="51" t="e">
        <f>Ticker0001_Exchange_Sheet!J254-#REF!</f>
      </c>
      <c r="K187" s="51" t="e">
        <f>Ticker0001_Exchange_Sheet!K254-#REF!</f>
      </c>
      <c r="L187" s="51" t="e">
        <f>Ticker0001_Exchange_Sheet!L254-#REF!</f>
      </c>
      <c r="M187" s="51" t="e">
        <f>Ticker0001_Exchange_Sheet!M254-#REF!</f>
      </c>
      <c r="N187" s="51" t="e">
        <f>Ticker0001_Exchange_Sheet!N254-#REF!</f>
      </c>
      <c r="O187" s="51" t="e">
        <f>Ticker0001_Exchange_Sheet!O254-#REF!</f>
      </c>
      <c r="P187" s="51" t="e">
        <f>Ticker0001_Exchange_Sheet!P254-#REF!</f>
      </c>
      <c r="Q187" s="51" t="e">
        <f>Ticker0001_Exchange_Sheet!Q254-#REF!</f>
      </c>
      <c r="R187" s="51" t="e">
        <f>Ticker0001_Exchange_Sheet!R254-#REF!</f>
      </c>
      <c r="S187" s="51" t="e">
        <f>Ticker0001_Exchange_Sheet!S254-#REF!</f>
      </c>
      <c r="T187" s="51" t="e">
        <f>Ticker0001_Exchange_Sheet!T254-#REF!</f>
      </c>
      <c r="U187" s="51" t="e">
        <f>Ticker0001_Exchange_Sheet!U254-#REF!</f>
      </c>
      <c r="V187" s="51" t="e">
        <f>Ticker0001_Exchange_Sheet!V254-#REF!</f>
      </c>
      <c r="W187" s="51" t="e">
        <f>Ticker0001_Exchange_Sheet!W254-#REF!</f>
      </c>
      <c r="X187" s="51" t="e">
        <f>Ticker0001_Exchange_Sheet!AK254-#REF!</f>
      </c>
      <c r="Y187" s="51" t="e">
        <f>Ticker0001_Exchange_Sheet!AX254-#REF!</f>
      </c>
      <c r="Z187" s="51" t="e">
        <f>Ticker0001_Exchange_Sheet!AY254-#REF!</f>
      </c>
      <c r="AA187" s="51" t="e">
        <f>Ticker0001_Exchange_Sheet!AZ254-#REF!</f>
      </c>
      <c r="AB187" s="51" t="e">
        <f>Ticker0001_Exchange_Sheet!BA254-#REF!</f>
      </c>
      <c r="AC187" s="51" t="e">
        <f>Ticker0001_Exchange_Sheet!BB254-#REF!</f>
      </c>
      <c r="AD187" s="51" t="e">
        <f>Ticker0001_Exchange_Sheet!BC254-#REF!</f>
      </c>
      <c r="AE187" s="51" t="e">
        <f>Ticker0001_Exchange_Sheet!BD254-#REF!</f>
      </c>
      <c r="AF187" s="51" t="e">
        <f>Ticker0001_Exchange_Sheet!BE254-#REF!</f>
      </c>
      <c r="AG187" s="51" t="e">
        <f>Ticker0001_Exchange_Sheet!BF254-#REF!</f>
      </c>
      <c r="AH187" s="51" t="e">
        <f>Ticker0001_Exchange_Sheet!BG254-#REF!</f>
      </c>
      <c r="AI187" s="51" t="e">
        <f>Ticker0001_Exchange_Sheet!BH254-#REF!</f>
      </c>
      <c r="AJ187" s="51" t="e">
        <f>Ticker0001_Exchange_Sheet!BI254-#REF!</f>
      </c>
      <c r="AK187" s="51" t="e">
        <f>Ticker0001_Exchange_Sheet!BJ254-#REF!</f>
      </c>
      <c r="AL187" s="51" t="e">
        <f>Ticker0001_Exchange_Sheet!BK254-#REF!</f>
      </c>
      <c r="AM187" s="51" t="e">
        <f>Ticker0001_Exchange_Sheet!BL254-#REF!</f>
      </c>
      <c r="AN187" s="51" t="e">
        <f>Ticker0001_Exchange_Sheet!BM254-#REF!</f>
      </c>
      <c r="AO187" s="51" t="e">
        <f>Ticker0001_Exchange_Sheet!BN254-#REF!</f>
      </c>
      <c r="AP187" s="51" t="e">
        <f>Ticker0001_Exchange_Sheet!BO254-#REF!</f>
      </c>
      <c r="AQ187" s="51" t="e">
        <f>Ticker0001_Exchange_Sheet!BP254-#REF!</f>
      </c>
      <c r="AR187" s="51" t="e">
        <f>Ticker0001_Exchange_Sheet!BQ254-#REF!</f>
      </c>
      <c r="AS187" s="51" t="e">
        <f>Ticker0001_Exchange_Sheet!BR254-#REF!</f>
      </c>
      <c r="AT187" s="51" t="e">
        <f>Ticker0001_Exchange_Sheet!BS254-#REF!</f>
      </c>
      <c r="AU187" s="51" t="e">
        <f>Ticker0001_Exchange_Sheet!BT254-#REF!</f>
      </c>
      <c r="AV187" s="51" t="e">
        <f>Ticker0001_Exchange_Sheet!BU254-#REF!</f>
      </c>
      <c r="AW187" s="51" t="e">
        <f>Ticker0001_Exchange_Sheet!BV254-#REF!</f>
      </c>
      <c r="AX187" s="51" t="e">
        <f>Ticker0001_Exchange_Sheet!BW254-#REF!</f>
      </c>
      <c r="AY187" s="51" t="e">
        <f>Ticker0001_Exchange_Sheet!BX254-#REF!</f>
      </c>
      <c r="AZ187" s="51" t="e">
        <f>Ticker0001_Exchange_Sheet!BY254-#REF!</f>
      </c>
      <c r="BA187" s="51" t="e">
        <f>Ticker0001_Exchange_Sheet!BZ254-#REF!</f>
      </c>
      <c r="BB187" s="51" t="e">
        <f>Ticker0001_Exchange_Sheet!CA254-#REF!</f>
      </c>
      <c r="BC187" s="51" t="e">
        <f>Ticker0001_Exchange_Sheet!CB254-#REF!</f>
      </c>
      <c r="BD187" s="51" t="e">
        <f>Ticker0001_Exchange_Sheet!CC254-#REF!</f>
      </c>
      <c r="BE187" s="51" t="e">
        <f>Ticker0001_Exchange_Sheet!CD254-#REF!</f>
      </c>
      <c r="BF187" s="51" t="e">
        <f>Ticker0001_Exchange_Sheet!CE254-#REF!</f>
      </c>
      <c r="BG187" s="51" t="e">
        <f>Ticker0001_Exchange_Sheet!CF254-#REF!</f>
      </c>
      <c r="BH187" s="51" t="e">
        <f>Ticker0001_Exchange_Sheet!CG254-#REF!</f>
      </c>
      <c r="BI187" s="51" t="e">
        <f>Ticker0001_Exchange_Sheet!CH254-#REF!</f>
      </c>
      <c r="BJ187" s="51" t="e">
        <f>Ticker0001_Exchange_Sheet!CI254-#REF!</f>
      </c>
      <c r="BK187" s="51" t="e">
        <f>Ticker0001_Exchange_Sheet!CJ254-#REF!</f>
      </c>
      <c r="BL187" s="51" t="e">
        <f>Ticker0001_Exchange_Sheet!CK254-#REF!</f>
      </c>
      <c r="BM187" s="51" t="e">
        <f>Ticker0001_Exchange_Sheet!CL254-#REF!</f>
      </c>
      <c r="BN187" s="51" t="e">
        <f>Ticker0001_Exchange_Sheet!CM254-#REF!</f>
      </c>
      <c r="BO187" s="51" t="e">
        <f>Ticker0001_Exchange_Sheet!CN254-#REF!</f>
      </c>
      <c r="BP187" s="51" t="e">
        <f>Ticker0001_Exchange_Sheet!CO254-#REF!</f>
      </c>
      <c r="BQ187" s="51" t="e">
        <f>Ticker0001_Exchange_Sheet!CP254-#REF!</f>
      </c>
      <c r="BR187" s="51" t="e">
        <f>Ticker0001_Exchange_Sheet!CQ254-#REF!</f>
      </c>
      <c r="BS187" s="51" t="e">
        <f>Ticker0001_Exchange_Sheet!CR254-#REF!</f>
      </c>
      <c r="BT187" s="51" t="e">
        <f>Ticker0001_Exchange_Sheet!CS254-#REF!</f>
      </c>
      <c r="BU187" s="51" t="e">
        <f>Ticker0001_Exchange_Sheet!CT254-#REF!</f>
      </c>
      <c r="BV187" s="51" t="e">
        <f>Ticker0001_Exchange_Sheet!CU254-#REF!</f>
      </c>
      <c r="BW187" s="51" t="e">
        <f>Ticker0001_Exchange_Sheet!CV254-#REF!</f>
      </c>
      <c r="BX187" s="51" t="e">
        <f>Ticker0001_Exchange_Sheet!CW254-#REF!</f>
      </c>
      <c r="BY187" s="51" t="e">
        <f>Ticker0001_Exchange_Sheet!CX254-#REF!</f>
      </c>
      <c r="BZ187" s="51" t="e">
        <f>Ticker0001_Exchange_Sheet!CY254-#REF!</f>
      </c>
      <c r="CA187" s="51" t="e">
        <f>Ticker0001_Exchange_Sheet!CZ254-#REF!</f>
      </c>
      <c r="CB187" s="51" t="e">
        <f>Ticker0001_Exchange_Sheet!DA254-#REF!</f>
      </c>
      <c r="CC187" s="51" t="e">
        <f>Ticker0001_Exchange_Sheet!DB254-#REF!</f>
      </c>
      <c r="CD187" s="51" t="e">
        <f>Ticker0001_Exchange_Sheet!DC254-#REF!</f>
      </c>
      <c r="CE187" s="51" t="e">
        <f>Ticker0001_Exchange_Sheet!DD254-#REF!</f>
      </c>
      <c r="CF187" s="51" t="e">
        <f>Ticker0001_Exchange_Sheet!DE254-#REF!</f>
      </c>
    </row>
    <row r="188" spans="6:84">
      <c r="F188" s="51" t="e">
        <f>Ticker0001_Exchange_Sheet!F255-#REF!</f>
      </c>
      <c r="G188" s="51" t="e">
        <f>Ticker0001_Exchange_Sheet!G255-#REF!</f>
      </c>
      <c r="H188" s="51" t="e">
        <f>Ticker0001_Exchange_Sheet!H255-#REF!</f>
      </c>
      <c r="I188" s="51" t="e">
        <f>Ticker0001_Exchange_Sheet!I255-#REF!</f>
      </c>
      <c r="J188" s="51" t="e">
        <f>Ticker0001_Exchange_Sheet!J255-#REF!</f>
      </c>
      <c r="K188" s="51" t="e">
        <f>Ticker0001_Exchange_Sheet!K255-#REF!</f>
      </c>
      <c r="L188" s="51" t="e">
        <f>Ticker0001_Exchange_Sheet!L255-#REF!</f>
      </c>
      <c r="M188" s="51" t="e">
        <f>Ticker0001_Exchange_Sheet!M255-#REF!</f>
      </c>
      <c r="N188" s="51" t="e">
        <f>Ticker0001_Exchange_Sheet!N255-#REF!</f>
      </c>
      <c r="O188" s="51" t="e">
        <f>Ticker0001_Exchange_Sheet!O255-#REF!</f>
      </c>
      <c r="P188" s="51" t="e">
        <f>Ticker0001_Exchange_Sheet!P255-#REF!</f>
      </c>
      <c r="Q188" s="51" t="e">
        <f>Ticker0001_Exchange_Sheet!Q255-#REF!</f>
      </c>
      <c r="R188" s="51" t="e">
        <f>Ticker0001_Exchange_Sheet!R255-#REF!</f>
      </c>
      <c r="S188" s="51" t="e">
        <f>Ticker0001_Exchange_Sheet!S255-#REF!</f>
      </c>
      <c r="T188" s="51" t="e">
        <f>Ticker0001_Exchange_Sheet!T255-#REF!</f>
      </c>
      <c r="U188" s="51" t="e">
        <f>Ticker0001_Exchange_Sheet!U255-#REF!</f>
      </c>
      <c r="V188" s="51" t="e">
        <f>Ticker0001_Exchange_Sheet!V255-#REF!</f>
      </c>
      <c r="W188" s="51" t="e">
        <f>Ticker0001_Exchange_Sheet!W255-#REF!</f>
      </c>
      <c r="X188" s="51" t="e">
        <f>Ticker0001_Exchange_Sheet!AK255-#REF!</f>
      </c>
      <c r="Y188" s="51" t="e">
        <f>Ticker0001_Exchange_Sheet!AX255-#REF!</f>
      </c>
      <c r="Z188" s="51" t="e">
        <f>Ticker0001_Exchange_Sheet!AY255-#REF!</f>
      </c>
      <c r="AA188" s="51" t="e">
        <f>Ticker0001_Exchange_Sheet!AZ255-#REF!</f>
      </c>
      <c r="AB188" s="51" t="e">
        <f>Ticker0001_Exchange_Sheet!BA255-#REF!</f>
      </c>
      <c r="AC188" s="51" t="e">
        <f>Ticker0001_Exchange_Sheet!BB255-#REF!</f>
      </c>
      <c r="AD188" s="51" t="e">
        <f>Ticker0001_Exchange_Sheet!BC255-#REF!</f>
      </c>
      <c r="AE188" s="51" t="e">
        <f>Ticker0001_Exchange_Sheet!BD255-#REF!</f>
      </c>
      <c r="AF188" s="51" t="e">
        <f>Ticker0001_Exchange_Sheet!BE255-#REF!</f>
      </c>
      <c r="AG188" s="51" t="e">
        <f>Ticker0001_Exchange_Sheet!BF255-#REF!</f>
      </c>
      <c r="AH188" s="51" t="e">
        <f>Ticker0001_Exchange_Sheet!BG255-#REF!</f>
      </c>
      <c r="AI188" s="51" t="e">
        <f>Ticker0001_Exchange_Sheet!BH255-#REF!</f>
      </c>
      <c r="AJ188" s="51" t="e">
        <f>Ticker0001_Exchange_Sheet!BI255-#REF!</f>
      </c>
      <c r="AK188" s="51" t="e">
        <f>Ticker0001_Exchange_Sheet!BJ255-#REF!</f>
      </c>
      <c r="AL188" s="51" t="e">
        <f>Ticker0001_Exchange_Sheet!BK255-#REF!</f>
      </c>
      <c r="AM188" s="51" t="e">
        <f>Ticker0001_Exchange_Sheet!BL255-#REF!</f>
      </c>
      <c r="AN188" s="51" t="e">
        <f>Ticker0001_Exchange_Sheet!BM255-#REF!</f>
      </c>
      <c r="AO188" s="51" t="e">
        <f>Ticker0001_Exchange_Sheet!BN255-#REF!</f>
      </c>
      <c r="AP188" s="51" t="e">
        <f>Ticker0001_Exchange_Sheet!BO255-#REF!</f>
      </c>
      <c r="AQ188" s="51" t="e">
        <f>Ticker0001_Exchange_Sheet!BP255-#REF!</f>
      </c>
      <c r="AR188" s="51" t="e">
        <f>Ticker0001_Exchange_Sheet!BQ255-#REF!</f>
      </c>
      <c r="AS188" s="51" t="e">
        <f>Ticker0001_Exchange_Sheet!BR255-#REF!</f>
      </c>
      <c r="AT188" s="51" t="e">
        <f>Ticker0001_Exchange_Sheet!BS255-#REF!</f>
      </c>
      <c r="AU188" s="51" t="e">
        <f>Ticker0001_Exchange_Sheet!BT255-#REF!</f>
      </c>
      <c r="AV188" s="51" t="e">
        <f>Ticker0001_Exchange_Sheet!BU255-#REF!</f>
      </c>
      <c r="AW188" s="51" t="e">
        <f>Ticker0001_Exchange_Sheet!BV255-#REF!</f>
      </c>
      <c r="AX188" s="51" t="e">
        <f>Ticker0001_Exchange_Sheet!BW255-#REF!</f>
      </c>
      <c r="AY188" s="51" t="e">
        <f>Ticker0001_Exchange_Sheet!BX255-#REF!</f>
      </c>
      <c r="AZ188" s="51" t="e">
        <f>Ticker0001_Exchange_Sheet!BY255-#REF!</f>
      </c>
      <c r="BA188" s="51" t="e">
        <f>Ticker0001_Exchange_Sheet!BZ255-#REF!</f>
      </c>
      <c r="BB188" s="51" t="e">
        <f>Ticker0001_Exchange_Sheet!CA255-#REF!</f>
      </c>
      <c r="BC188" s="51" t="e">
        <f>Ticker0001_Exchange_Sheet!CB255-#REF!</f>
      </c>
      <c r="BD188" s="51" t="e">
        <f>Ticker0001_Exchange_Sheet!CC255-#REF!</f>
      </c>
      <c r="BE188" s="51" t="e">
        <f>Ticker0001_Exchange_Sheet!CD255-#REF!</f>
      </c>
      <c r="BF188" s="51" t="e">
        <f>Ticker0001_Exchange_Sheet!CE255-#REF!</f>
      </c>
      <c r="BG188" s="51" t="e">
        <f>Ticker0001_Exchange_Sheet!CF255-#REF!</f>
      </c>
      <c r="BH188" s="51" t="e">
        <f>Ticker0001_Exchange_Sheet!CG255-#REF!</f>
      </c>
      <c r="BI188" s="51" t="e">
        <f>Ticker0001_Exchange_Sheet!CH255-#REF!</f>
      </c>
      <c r="BJ188" s="51" t="e">
        <f>Ticker0001_Exchange_Sheet!CI255-#REF!</f>
      </c>
      <c r="BK188" s="51" t="e">
        <f>Ticker0001_Exchange_Sheet!CJ255-#REF!</f>
      </c>
      <c r="BL188" s="51" t="e">
        <f>Ticker0001_Exchange_Sheet!CK255-#REF!</f>
      </c>
      <c r="BM188" s="51" t="e">
        <f>Ticker0001_Exchange_Sheet!CL255-#REF!</f>
      </c>
      <c r="BN188" s="51" t="e">
        <f>Ticker0001_Exchange_Sheet!CM255-#REF!</f>
      </c>
      <c r="BO188" s="51" t="e">
        <f>Ticker0001_Exchange_Sheet!CN255-#REF!</f>
      </c>
      <c r="BP188" s="51" t="e">
        <f>Ticker0001_Exchange_Sheet!CO255-#REF!</f>
      </c>
      <c r="BQ188" s="51" t="e">
        <f>Ticker0001_Exchange_Sheet!CP255-#REF!</f>
      </c>
      <c r="BR188" s="51" t="e">
        <f>Ticker0001_Exchange_Sheet!CQ255-#REF!</f>
      </c>
      <c r="BS188" s="51" t="e">
        <f>Ticker0001_Exchange_Sheet!CR255-#REF!</f>
      </c>
      <c r="BT188" s="51" t="e">
        <f>Ticker0001_Exchange_Sheet!CS255-#REF!</f>
      </c>
      <c r="BU188" s="51" t="e">
        <f>Ticker0001_Exchange_Sheet!CT255-#REF!</f>
      </c>
      <c r="BV188" s="51" t="e">
        <f>Ticker0001_Exchange_Sheet!CU255-#REF!</f>
      </c>
      <c r="BW188" s="51" t="e">
        <f>Ticker0001_Exchange_Sheet!CV255-#REF!</f>
      </c>
      <c r="BX188" s="51" t="e">
        <f>Ticker0001_Exchange_Sheet!CW255-#REF!</f>
      </c>
      <c r="BY188" s="51" t="e">
        <f>Ticker0001_Exchange_Sheet!CX255-#REF!</f>
      </c>
      <c r="BZ188" s="51" t="e">
        <f>Ticker0001_Exchange_Sheet!CY255-#REF!</f>
      </c>
      <c r="CA188" s="51" t="e">
        <f>Ticker0001_Exchange_Sheet!CZ255-#REF!</f>
      </c>
      <c r="CB188" s="51" t="e">
        <f>Ticker0001_Exchange_Sheet!DA255-#REF!</f>
      </c>
      <c r="CC188" s="51" t="e">
        <f>Ticker0001_Exchange_Sheet!DB255-#REF!</f>
      </c>
      <c r="CD188" s="51" t="e">
        <f>Ticker0001_Exchange_Sheet!DC255-#REF!</f>
      </c>
      <c r="CE188" s="51" t="e">
        <f>Ticker0001_Exchange_Sheet!DD255-#REF!</f>
      </c>
      <c r="CF188" s="51" t="e">
        <f>Ticker0001_Exchange_Sheet!DE255-#REF!</f>
      </c>
    </row>
    <row r="189" spans="6:84">
      <c r="F189" s="51" t="e">
        <f>Ticker0001_Exchange_Sheet!F256-#REF!</f>
      </c>
      <c r="G189" s="51" t="e">
        <f>Ticker0001_Exchange_Sheet!G256-#REF!</f>
      </c>
      <c r="H189" s="51" t="e">
        <f>Ticker0001_Exchange_Sheet!H256-#REF!</f>
      </c>
      <c r="I189" s="51" t="e">
        <f>Ticker0001_Exchange_Sheet!I256-#REF!</f>
      </c>
      <c r="J189" s="51" t="e">
        <f>Ticker0001_Exchange_Sheet!J256-#REF!</f>
      </c>
      <c r="K189" s="51" t="e">
        <f>Ticker0001_Exchange_Sheet!K256-#REF!</f>
      </c>
      <c r="L189" s="51" t="e">
        <f>Ticker0001_Exchange_Sheet!L256-#REF!</f>
      </c>
      <c r="M189" s="51" t="e">
        <f>Ticker0001_Exchange_Sheet!M256-#REF!</f>
      </c>
      <c r="N189" s="51" t="e">
        <f>Ticker0001_Exchange_Sheet!N256-#REF!</f>
      </c>
      <c r="O189" s="51" t="e">
        <f>Ticker0001_Exchange_Sheet!O256-#REF!</f>
      </c>
      <c r="P189" s="51" t="e">
        <f>Ticker0001_Exchange_Sheet!P256-#REF!</f>
      </c>
      <c r="Q189" s="51" t="e">
        <f>Ticker0001_Exchange_Sheet!Q256-#REF!</f>
      </c>
      <c r="R189" s="51" t="e">
        <f>Ticker0001_Exchange_Sheet!R256-#REF!</f>
      </c>
      <c r="S189" s="51" t="e">
        <f>Ticker0001_Exchange_Sheet!S256-#REF!</f>
      </c>
      <c r="T189" s="51" t="e">
        <f>Ticker0001_Exchange_Sheet!T256-#REF!</f>
      </c>
      <c r="U189" s="51" t="e">
        <f>Ticker0001_Exchange_Sheet!U256-#REF!</f>
      </c>
      <c r="V189" s="51" t="e">
        <f>Ticker0001_Exchange_Sheet!V256-#REF!</f>
      </c>
      <c r="W189" s="51" t="e">
        <f>Ticker0001_Exchange_Sheet!W256-#REF!</f>
      </c>
      <c r="X189" s="51" t="e">
        <f>Ticker0001_Exchange_Sheet!AK256-#REF!</f>
      </c>
      <c r="Y189" s="51" t="e">
        <f>Ticker0001_Exchange_Sheet!AX256-#REF!</f>
      </c>
      <c r="Z189" s="51" t="e">
        <f>Ticker0001_Exchange_Sheet!AY256-#REF!</f>
      </c>
      <c r="AA189" s="51" t="e">
        <f>Ticker0001_Exchange_Sheet!AZ256-#REF!</f>
      </c>
      <c r="AB189" s="51" t="e">
        <f>Ticker0001_Exchange_Sheet!BA256-#REF!</f>
      </c>
      <c r="AC189" s="51" t="e">
        <f>Ticker0001_Exchange_Sheet!BB256-#REF!</f>
      </c>
      <c r="AD189" s="51" t="e">
        <f>Ticker0001_Exchange_Sheet!BC256-#REF!</f>
      </c>
      <c r="AE189" s="51" t="e">
        <f>Ticker0001_Exchange_Sheet!BD256-#REF!</f>
      </c>
      <c r="AF189" s="51" t="e">
        <f>Ticker0001_Exchange_Sheet!BE256-#REF!</f>
      </c>
      <c r="AG189" s="51" t="e">
        <f>Ticker0001_Exchange_Sheet!BF256-#REF!</f>
      </c>
      <c r="AH189" s="51" t="e">
        <f>Ticker0001_Exchange_Sheet!BG256-#REF!</f>
      </c>
      <c r="AI189" s="51" t="e">
        <f>Ticker0001_Exchange_Sheet!BH256-#REF!</f>
      </c>
      <c r="AJ189" s="51" t="e">
        <f>Ticker0001_Exchange_Sheet!BI256-#REF!</f>
      </c>
      <c r="AK189" s="51" t="e">
        <f>Ticker0001_Exchange_Sheet!BJ256-#REF!</f>
      </c>
      <c r="AL189" s="51" t="e">
        <f>Ticker0001_Exchange_Sheet!BK256-#REF!</f>
      </c>
      <c r="AM189" s="51" t="e">
        <f>Ticker0001_Exchange_Sheet!BL256-#REF!</f>
      </c>
      <c r="AN189" s="51" t="e">
        <f>Ticker0001_Exchange_Sheet!BM256-#REF!</f>
      </c>
      <c r="AO189" s="51" t="e">
        <f>Ticker0001_Exchange_Sheet!BN256-#REF!</f>
      </c>
      <c r="AP189" s="51" t="e">
        <f>Ticker0001_Exchange_Sheet!BO256-#REF!</f>
      </c>
      <c r="AQ189" s="51" t="e">
        <f>Ticker0001_Exchange_Sheet!BP256-#REF!</f>
      </c>
      <c r="AR189" s="51" t="e">
        <f>Ticker0001_Exchange_Sheet!BQ256-#REF!</f>
      </c>
      <c r="AS189" s="51" t="e">
        <f>Ticker0001_Exchange_Sheet!BR256-#REF!</f>
      </c>
      <c r="AT189" s="51" t="e">
        <f>Ticker0001_Exchange_Sheet!BS256-#REF!</f>
      </c>
      <c r="AU189" s="51" t="e">
        <f>Ticker0001_Exchange_Sheet!BT256-#REF!</f>
      </c>
      <c r="AV189" s="51" t="e">
        <f>Ticker0001_Exchange_Sheet!BU256-#REF!</f>
      </c>
      <c r="AW189" s="51" t="e">
        <f>Ticker0001_Exchange_Sheet!BV256-#REF!</f>
      </c>
      <c r="AX189" s="51" t="e">
        <f>Ticker0001_Exchange_Sheet!BW256-#REF!</f>
      </c>
      <c r="AY189" s="51" t="e">
        <f>Ticker0001_Exchange_Sheet!BX256-#REF!</f>
      </c>
      <c r="AZ189" s="51" t="e">
        <f>Ticker0001_Exchange_Sheet!BY256-#REF!</f>
      </c>
      <c r="BA189" s="51" t="e">
        <f>Ticker0001_Exchange_Sheet!BZ256-#REF!</f>
      </c>
      <c r="BB189" s="51" t="e">
        <f>Ticker0001_Exchange_Sheet!CA256-#REF!</f>
      </c>
      <c r="BC189" s="51" t="e">
        <f>Ticker0001_Exchange_Sheet!CB256-#REF!</f>
      </c>
      <c r="BD189" s="51" t="e">
        <f>Ticker0001_Exchange_Sheet!CC256-#REF!</f>
      </c>
      <c r="BE189" s="51" t="e">
        <f>Ticker0001_Exchange_Sheet!CD256-#REF!</f>
      </c>
      <c r="BF189" s="51" t="e">
        <f>Ticker0001_Exchange_Sheet!CE256-#REF!</f>
      </c>
      <c r="BG189" s="51" t="e">
        <f>Ticker0001_Exchange_Sheet!CF256-#REF!</f>
      </c>
      <c r="BH189" s="51" t="e">
        <f>Ticker0001_Exchange_Sheet!CG256-#REF!</f>
      </c>
      <c r="BI189" s="51" t="e">
        <f>Ticker0001_Exchange_Sheet!CH256-#REF!</f>
      </c>
      <c r="BJ189" s="51" t="e">
        <f>Ticker0001_Exchange_Sheet!CI256-#REF!</f>
      </c>
      <c r="BK189" s="51" t="e">
        <f>Ticker0001_Exchange_Sheet!CJ256-#REF!</f>
      </c>
      <c r="BL189" s="51" t="e">
        <f>Ticker0001_Exchange_Sheet!CK256-#REF!</f>
      </c>
      <c r="BM189" s="51" t="e">
        <f>Ticker0001_Exchange_Sheet!CL256-#REF!</f>
      </c>
      <c r="BN189" s="51" t="e">
        <f>Ticker0001_Exchange_Sheet!CM256-#REF!</f>
      </c>
      <c r="BO189" s="51" t="e">
        <f>Ticker0001_Exchange_Sheet!CN256-#REF!</f>
      </c>
      <c r="BP189" s="51" t="e">
        <f>Ticker0001_Exchange_Sheet!CO256-#REF!</f>
      </c>
      <c r="BQ189" s="51" t="e">
        <f>Ticker0001_Exchange_Sheet!CP256-#REF!</f>
      </c>
      <c r="BR189" s="51" t="e">
        <f>Ticker0001_Exchange_Sheet!CQ256-#REF!</f>
      </c>
      <c r="BS189" s="51" t="e">
        <f>Ticker0001_Exchange_Sheet!CR256-#REF!</f>
      </c>
      <c r="BT189" s="51" t="e">
        <f>Ticker0001_Exchange_Sheet!CS256-#REF!</f>
      </c>
      <c r="BU189" s="51" t="e">
        <f>Ticker0001_Exchange_Sheet!CT256-#REF!</f>
      </c>
      <c r="BV189" s="51" t="e">
        <f>Ticker0001_Exchange_Sheet!CU256-#REF!</f>
      </c>
      <c r="BW189" s="51" t="e">
        <f>Ticker0001_Exchange_Sheet!CV256-#REF!</f>
      </c>
      <c r="BX189" s="51" t="e">
        <f>Ticker0001_Exchange_Sheet!CW256-#REF!</f>
      </c>
      <c r="BY189" s="51" t="e">
        <f>Ticker0001_Exchange_Sheet!CX256-#REF!</f>
      </c>
      <c r="BZ189" s="51" t="e">
        <f>Ticker0001_Exchange_Sheet!CY256-#REF!</f>
      </c>
      <c r="CA189" s="51" t="e">
        <f>Ticker0001_Exchange_Sheet!CZ256-#REF!</f>
      </c>
      <c r="CB189" s="51" t="e">
        <f>Ticker0001_Exchange_Sheet!DA256-#REF!</f>
      </c>
      <c r="CC189" s="51" t="e">
        <f>Ticker0001_Exchange_Sheet!DB256-#REF!</f>
      </c>
      <c r="CD189" s="51" t="e">
        <f>Ticker0001_Exchange_Sheet!DC256-#REF!</f>
      </c>
      <c r="CE189" s="51" t="e">
        <f>Ticker0001_Exchange_Sheet!DD256-#REF!</f>
      </c>
      <c r="CF189" s="51" t="e">
        <f>Ticker0001_Exchange_Sheet!DE256-#REF!</f>
      </c>
    </row>
    <row r="190" spans="6:84">
      <c r="F190" s="51" t="e">
        <f>Ticker0001_Exchange_Sheet!F257-#REF!</f>
      </c>
      <c r="G190" s="51" t="e">
        <f>Ticker0001_Exchange_Sheet!G257-#REF!</f>
      </c>
      <c r="H190" s="51" t="e">
        <f>Ticker0001_Exchange_Sheet!H257-#REF!</f>
      </c>
      <c r="I190" s="51" t="e">
        <f>Ticker0001_Exchange_Sheet!I257-#REF!</f>
      </c>
      <c r="J190" s="51" t="e">
        <f>Ticker0001_Exchange_Sheet!J257-#REF!</f>
      </c>
      <c r="K190" s="51" t="e">
        <f>Ticker0001_Exchange_Sheet!K257-#REF!</f>
      </c>
      <c r="L190" s="51" t="e">
        <f>Ticker0001_Exchange_Sheet!L257-#REF!</f>
      </c>
      <c r="M190" s="51" t="e">
        <f>Ticker0001_Exchange_Sheet!M257-#REF!</f>
      </c>
      <c r="N190" s="51" t="e">
        <f>Ticker0001_Exchange_Sheet!N257-#REF!</f>
      </c>
      <c r="O190" s="51" t="e">
        <f>Ticker0001_Exchange_Sheet!O257-#REF!</f>
      </c>
      <c r="P190" s="51" t="e">
        <f>Ticker0001_Exchange_Sheet!P257-#REF!</f>
      </c>
      <c r="Q190" s="51" t="e">
        <f>Ticker0001_Exchange_Sheet!Q257-#REF!</f>
      </c>
      <c r="R190" s="51" t="e">
        <f>Ticker0001_Exchange_Sheet!R257-#REF!</f>
      </c>
      <c r="S190" s="51" t="e">
        <f>Ticker0001_Exchange_Sheet!S257-#REF!</f>
      </c>
      <c r="T190" s="51" t="e">
        <f>Ticker0001_Exchange_Sheet!T257-#REF!</f>
      </c>
      <c r="U190" s="51" t="e">
        <f>Ticker0001_Exchange_Sheet!U257-#REF!</f>
      </c>
      <c r="V190" s="51" t="e">
        <f>Ticker0001_Exchange_Sheet!V257-#REF!</f>
      </c>
      <c r="W190" s="51" t="e">
        <f>Ticker0001_Exchange_Sheet!W257-#REF!</f>
      </c>
      <c r="X190" s="51" t="e">
        <f>Ticker0001_Exchange_Sheet!AK257-#REF!</f>
      </c>
      <c r="Y190" s="51" t="e">
        <f>Ticker0001_Exchange_Sheet!AX257-#REF!</f>
      </c>
      <c r="Z190" s="51" t="e">
        <f>Ticker0001_Exchange_Sheet!AY257-#REF!</f>
      </c>
      <c r="AA190" s="51" t="e">
        <f>Ticker0001_Exchange_Sheet!AZ257-#REF!</f>
      </c>
      <c r="AB190" s="51" t="e">
        <f>Ticker0001_Exchange_Sheet!BA257-#REF!</f>
      </c>
      <c r="AC190" s="51" t="e">
        <f>Ticker0001_Exchange_Sheet!BB257-#REF!</f>
      </c>
      <c r="AD190" s="51" t="e">
        <f>Ticker0001_Exchange_Sheet!BC257-#REF!</f>
      </c>
      <c r="AE190" s="51" t="e">
        <f>Ticker0001_Exchange_Sheet!BD257-#REF!</f>
      </c>
      <c r="AF190" s="51" t="e">
        <f>Ticker0001_Exchange_Sheet!BE257-#REF!</f>
      </c>
      <c r="AG190" s="51" t="e">
        <f>Ticker0001_Exchange_Sheet!BF257-#REF!</f>
      </c>
      <c r="AH190" s="51" t="e">
        <f>Ticker0001_Exchange_Sheet!BG257-#REF!</f>
      </c>
      <c r="AI190" s="51" t="e">
        <f>Ticker0001_Exchange_Sheet!BH257-#REF!</f>
      </c>
      <c r="AJ190" s="51" t="e">
        <f>Ticker0001_Exchange_Sheet!BI257-#REF!</f>
      </c>
      <c r="AK190" s="51" t="e">
        <f>Ticker0001_Exchange_Sheet!BJ257-#REF!</f>
      </c>
      <c r="AL190" s="51" t="e">
        <f>Ticker0001_Exchange_Sheet!BK257-#REF!</f>
      </c>
      <c r="AM190" s="51" t="e">
        <f>Ticker0001_Exchange_Sheet!BL257-#REF!</f>
      </c>
      <c r="AN190" s="51" t="e">
        <f>Ticker0001_Exchange_Sheet!BM257-#REF!</f>
      </c>
      <c r="AO190" s="51" t="e">
        <f>Ticker0001_Exchange_Sheet!BN257-#REF!</f>
      </c>
      <c r="AP190" s="51" t="e">
        <f>Ticker0001_Exchange_Sheet!BO257-#REF!</f>
      </c>
      <c r="AQ190" s="51" t="e">
        <f>Ticker0001_Exchange_Sheet!BP257-#REF!</f>
      </c>
      <c r="AR190" s="51" t="e">
        <f>Ticker0001_Exchange_Sheet!BQ257-#REF!</f>
      </c>
      <c r="AS190" s="51" t="e">
        <f>Ticker0001_Exchange_Sheet!BR257-#REF!</f>
      </c>
      <c r="AT190" s="51" t="e">
        <f>Ticker0001_Exchange_Sheet!BS257-#REF!</f>
      </c>
      <c r="AU190" s="51" t="e">
        <f>Ticker0001_Exchange_Sheet!BT257-#REF!</f>
      </c>
      <c r="AV190" s="51" t="e">
        <f>Ticker0001_Exchange_Sheet!BU257-#REF!</f>
      </c>
      <c r="AW190" s="51" t="e">
        <f>Ticker0001_Exchange_Sheet!BV257-#REF!</f>
      </c>
      <c r="AX190" s="51" t="e">
        <f>Ticker0001_Exchange_Sheet!BW257-#REF!</f>
      </c>
      <c r="AY190" s="51" t="e">
        <f>Ticker0001_Exchange_Sheet!BX257-#REF!</f>
      </c>
      <c r="AZ190" s="51" t="e">
        <f>Ticker0001_Exchange_Sheet!BY257-#REF!</f>
      </c>
      <c r="BA190" s="51" t="e">
        <f>Ticker0001_Exchange_Sheet!BZ257-#REF!</f>
      </c>
      <c r="BB190" s="51" t="e">
        <f>Ticker0001_Exchange_Sheet!CA257-#REF!</f>
      </c>
      <c r="BC190" s="51" t="e">
        <f>Ticker0001_Exchange_Sheet!CB257-#REF!</f>
      </c>
      <c r="BD190" s="51" t="e">
        <f>Ticker0001_Exchange_Sheet!CC257-#REF!</f>
      </c>
      <c r="BE190" s="51" t="e">
        <f>Ticker0001_Exchange_Sheet!CD257-#REF!</f>
      </c>
      <c r="BF190" s="51" t="e">
        <f>Ticker0001_Exchange_Sheet!CE257-#REF!</f>
      </c>
      <c r="BG190" s="51" t="e">
        <f>Ticker0001_Exchange_Sheet!CF257-#REF!</f>
      </c>
      <c r="BH190" s="51" t="e">
        <f>Ticker0001_Exchange_Sheet!CG257-#REF!</f>
      </c>
      <c r="BI190" s="51" t="e">
        <f>Ticker0001_Exchange_Sheet!CH257-#REF!</f>
      </c>
      <c r="BJ190" s="51" t="e">
        <f>Ticker0001_Exchange_Sheet!CI257-#REF!</f>
      </c>
      <c r="BK190" s="51" t="e">
        <f>Ticker0001_Exchange_Sheet!CJ257-#REF!</f>
      </c>
      <c r="BL190" s="51" t="e">
        <f>Ticker0001_Exchange_Sheet!CK257-#REF!</f>
      </c>
      <c r="BM190" s="51" t="e">
        <f>Ticker0001_Exchange_Sheet!CL257-#REF!</f>
      </c>
      <c r="BN190" s="51" t="e">
        <f>Ticker0001_Exchange_Sheet!CM257-#REF!</f>
      </c>
      <c r="BO190" s="51" t="e">
        <f>Ticker0001_Exchange_Sheet!CN257-#REF!</f>
      </c>
      <c r="BP190" s="51" t="e">
        <f>Ticker0001_Exchange_Sheet!CO257-#REF!</f>
      </c>
      <c r="BQ190" s="51" t="e">
        <f>Ticker0001_Exchange_Sheet!CP257-#REF!</f>
      </c>
      <c r="BR190" s="51" t="e">
        <f>Ticker0001_Exchange_Sheet!CQ257-#REF!</f>
      </c>
      <c r="BS190" s="51" t="e">
        <f>Ticker0001_Exchange_Sheet!CR257-#REF!</f>
      </c>
      <c r="BT190" s="51" t="e">
        <f>Ticker0001_Exchange_Sheet!CS257-#REF!</f>
      </c>
      <c r="BU190" s="51" t="e">
        <f>Ticker0001_Exchange_Sheet!CT257-#REF!</f>
      </c>
      <c r="BV190" s="51" t="e">
        <f>Ticker0001_Exchange_Sheet!CU257-#REF!</f>
      </c>
      <c r="BW190" s="51" t="e">
        <f>Ticker0001_Exchange_Sheet!CV257-#REF!</f>
      </c>
      <c r="BX190" s="51" t="e">
        <f>Ticker0001_Exchange_Sheet!CW257-#REF!</f>
      </c>
      <c r="BY190" s="51" t="e">
        <f>Ticker0001_Exchange_Sheet!CX257-#REF!</f>
      </c>
      <c r="BZ190" s="51" t="e">
        <f>Ticker0001_Exchange_Sheet!CY257-#REF!</f>
      </c>
      <c r="CA190" s="51" t="e">
        <f>Ticker0001_Exchange_Sheet!CZ257-#REF!</f>
      </c>
      <c r="CB190" s="51" t="e">
        <f>Ticker0001_Exchange_Sheet!DA257-#REF!</f>
      </c>
      <c r="CC190" s="51" t="e">
        <f>Ticker0001_Exchange_Sheet!DB257-#REF!</f>
      </c>
      <c r="CD190" s="51" t="e">
        <f>Ticker0001_Exchange_Sheet!DC257-#REF!</f>
      </c>
      <c r="CE190" s="51" t="e">
        <f>Ticker0001_Exchange_Sheet!DD257-#REF!</f>
      </c>
      <c r="CF190" s="51" t="e">
        <f>Ticker0001_Exchange_Sheet!DE257-#REF!</f>
      </c>
    </row>
    <row r="191" spans="6:84">
      <c r="F191" s="51" t="e">
        <f>Ticker0001_Exchange_Sheet!F258-#REF!</f>
      </c>
      <c r="G191" s="51" t="e">
        <f>Ticker0001_Exchange_Sheet!G258-#REF!</f>
      </c>
      <c r="H191" s="51" t="e">
        <f>Ticker0001_Exchange_Sheet!H258-#REF!</f>
      </c>
      <c r="I191" s="51" t="e">
        <f>Ticker0001_Exchange_Sheet!I258-#REF!</f>
      </c>
      <c r="J191" s="51" t="e">
        <f>Ticker0001_Exchange_Sheet!J258-#REF!</f>
      </c>
      <c r="K191" s="51" t="e">
        <f>Ticker0001_Exchange_Sheet!K258-#REF!</f>
      </c>
      <c r="L191" s="51" t="e">
        <f>Ticker0001_Exchange_Sheet!L258-#REF!</f>
      </c>
      <c r="M191" s="51" t="e">
        <f>Ticker0001_Exchange_Sheet!M258-#REF!</f>
      </c>
      <c r="N191" s="51" t="e">
        <f>Ticker0001_Exchange_Sheet!N258-#REF!</f>
      </c>
      <c r="O191" s="51" t="e">
        <f>Ticker0001_Exchange_Sheet!O258-#REF!</f>
      </c>
      <c r="P191" s="51" t="e">
        <f>Ticker0001_Exchange_Sheet!P258-#REF!</f>
      </c>
      <c r="Q191" s="51" t="e">
        <f>Ticker0001_Exchange_Sheet!Q258-#REF!</f>
      </c>
      <c r="R191" s="51" t="e">
        <f>Ticker0001_Exchange_Sheet!R258-#REF!</f>
      </c>
      <c r="S191" s="51" t="e">
        <f>Ticker0001_Exchange_Sheet!S258-#REF!</f>
      </c>
      <c r="T191" s="51" t="e">
        <f>Ticker0001_Exchange_Sheet!T258-#REF!</f>
      </c>
      <c r="U191" s="51" t="e">
        <f>Ticker0001_Exchange_Sheet!U258-#REF!</f>
      </c>
      <c r="V191" s="51" t="e">
        <f>Ticker0001_Exchange_Sheet!V258-#REF!</f>
      </c>
      <c r="W191" s="51" t="e">
        <f>Ticker0001_Exchange_Sheet!W258-#REF!</f>
      </c>
      <c r="X191" s="51" t="e">
        <f>Ticker0001_Exchange_Sheet!AK258-#REF!</f>
      </c>
      <c r="Y191" s="51" t="e">
        <f>Ticker0001_Exchange_Sheet!AX258-#REF!</f>
      </c>
      <c r="Z191" s="51" t="e">
        <f>Ticker0001_Exchange_Sheet!AY258-#REF!</f>
      </c>
      <c r="AA191" s="51" t="e">
        <f>Ticker0001_Exchange_Sheet!AZ258-#REF!</f>
      </c>
      <c r="AB191" s="51" t="e">
        <f>Ticker0001_Exchange_Sheet!BA258-#REF!</f>
      </c>
      <c r="AC191" s="51" t="e">
        <f>Ticker0001_Exchange_Sheet!BB258-#REF!</f>
      </c>
      <c r="AD191" s="51" t="e">
        <f>Ticker0001_Exchange_Sheet!BC258-#REF!</f>
      </c>
      <c r="AE191" s="51" t="e">
        <f>Ticker0001_Exchange_Sheet!BD258-#REF!</f>
      </c>
      <c r="AF191" s="51" t="e">
        <f>Ticker0001_Exchange_Sheet!BE258-#REF!</f>
      </c>
      <c r="AG191" s="51" t="e">
        <f>Ticker0001_Exchange_Sheet!BF258-#REF!</f>
      </c>
      <c r="AH191" s="51" t="e">
        <f>Ticker0001_Exchange_Sheet!BG258-#REF!</f>
      </c>
      <c r="AI191" s="51" t="e">
        <f>Ticker0001_Exchange_Sheet!BH258-#REF!</f>
      </c>
      <c r="AJ191" s="51" t="e">
        <f>Ticker0001_Exchange_Sheet!BI258-#REF!</f>
      </c>
      <c r="AK191" s="51" t="e">
        <f>Ticker0001_Exchange_Sheet!BJ258-#REF!</f>
      </c>
      <c r="AL191" s="51" t="e">
        <f>Ticker0001_Exchange_Sheet!BK258-#REF!</f>
      </c>
      <c r="AM191" s="51" t="e">
        <f>Ticker0001_Exchange_Sheet!BL258-#REF!</f>
      </c>
      <c r="AN191" s="51" t="e">
        <f>Ticker0001_Exchange_Sheet!BM258-#REF!</f>
      </c>
      <c r="AO191" s="51" t="e">
        <f>Ticker0001_Exchange_Sheet!BN258-#REF!</f>
      </c>
      <c r="AP191" s="51" t="e">
        <f>Ticker0001_Exchange_Sheet!BO258-#REF!</f>
      </c>
      <c r="AQ191" s="51" t="e">
        <f>Ticker0001_Exchange_Sheet!BP258-#REF!</f>
      </c>
      <c r="AR191" s="51" t="e">
        <f>Ticker0001_Exchange_Sheet!BQ258-#REF!</f>
      </c>
      <c r="AS191" s="51" t="e">
        <f>Ticker0001_Exchange_Sheet!BR258-#REF!</f>
      </c>
      <c r="AT191" s="51" t="e">
        <f>Ticker0001_Exchange_Sheet!BS258-#REF!</f>
      </c>
      <c r="AU191" s="51" t="e">
        <f>Ticker0001_Exchange_Sheet!BT258-#REF!</f>
      </c>
      <c r="AV191" s="51" t="e">
        <f>Ticker0001_Exchange_Sheet!BU258-#REF!</f>
      </c>
      <c r="AW191" s="51" t="e">
        <f>Ticker0001_Exchange_Sheet!BV258-#REF!</f>
      </c>
      <c r="AX191" s="51" t="e">
        <f>Ticker0001_Exchange_Sheet!BW258-#REF!</f>
      </c>
      <c r="AY191" s="51" t="e">
        <f>Ticker0001_Exchange_Sheet!BX258-#REF!</f>
      </c>
      <c r="AZ191" s="51" t="e">
        <f>Ticker0001_Exchange_Sheet!BY258-#REF!</f>
      </c>
      <c r="BA191" s="51" t="e">
        <f>Ticker0001_Exchange_Sheet!BZ258-#REF!</f>
      </c>
      <c r="BB191" s="51" t="e">
        <f>Ticker0001_Exchange_Sheet!CA258-#REF!</f>
      </c>
      <c r="BC191" s="51" t="e">
        <f>Ticker0001_Exchange_Sheet!CB258-#REF!</f>
      </c>
      <c r="BD191" s="51" t="e">
        <f>Ticker0001_Exchange_Sheet!CC258-#REF!</f>
      </c>
      <c r="BE191" s="51" t="e">
        <f>Ticker0001_Exchange_Sheet!CD258-#REF!</f>
      </c>
      <c r="BF191" s="51" t="e">
        <f>Ticker0001_Exchange_Sheet!CE258-#REF!</f>
      </c>
      <c r="BG191" s="51" t="e">
        <f>Ticker0001_Exchange_Sheet!CF258-#REF!</f>
      </c>
      <c r="BH191" s="51" t="e">
        <f>Ticker0001_Exchange_Sheet!CG258-#REF!</f>
      </c>
      <c r="BI191" s="51" t="e">
        <f>Ticker0001_Exchange_Sheet!CH258-#REF!</f>
      </c>
      <c r="BJ191" s="51" t="e">
        <f>Ticker0001_Exchange_Sheet!CI258-#REF!</f>
      </c>
      <c r="BK191" s="51" t="e">
        <f>Ticker0001_Exchange_Sheet!CJ258-#REF!</f>
      </c>
      <c r="BL191" s="51" t="e">
        <f>Ticker0001_Exchange_Sheet!CK258-#REF!</f>
      </c>
      <c r="BM191" s="51" t="e">
        <f>Ticker0001_Exchange_Sheet!CL258-#REF!</f>
      </c>
      <c r="BN191" s="51" t="e">
        <f>Ticker0001_Exchange_Sheet!CM258-#REF!</f>
      </c>
      <c r="BO191" s="51" t="e">
        <f>Ticker0001_Exchange_Sheet!CN258-#REF!</f>
      </c>
      <c r="BP191" s="51" t="e">
        <f>Ticker0001_Exchange_Sheet!CO258-#REF!</f>
      </c>
      <c r="BQ191" s="51" t="e">
        <f>Ticker0001_Exchange_Sheet!CP258-#REF!</f>
      </c>
      <c r="BR191" s="51" t="e">
        <f>Ticker0001_Exchange_Sheet!CQ258-#REF!</f>
      </c>
      <c r="BS191" s="51" t="e">
        <f>Ticker0001_Exchange_Sheet!CR258-#REF!</f>
      </c>
      <c r="BT191" s="51" t="e">
        <f>Ticker0001_Exchange_Sheet!CS258-#REF!</f>
      </c>
      <c r="BU191" s="51" t="e">
        <f>Ticker0001_Exchange_Sheet!CT258-#REF!</f>
      </c>
      <c r="BV191" s="51" t="e">
        <f>Ticker0001_Exchange_Sheet!CU258-#REF!</f>
      </c>
      <c r="BW191" s="51" t="e">
        <f>Ticker0001_Exchange_Sheet!CV258-#REF!</f>
      </c>
      <c r="BX191" s="51" t="e">
        <f>Ticker0001_Exchange_Sheet!CW258-#REF!</f>
      </c>
      <c r="BY191" s="51" t="e">
        <f>Ticker0001_Exchange_Sheet!CX258-#REF!</f>
      </c>
      <c r="BZ191" s="51" t="e">
        <f>Ticker0001_Exchange_Sheet!CY258-#REF!</f>
      </c>
      <c r="CA191" s="51" t="e">
        <f>Ticker0001_Exchange_Sheet!CZ258-#REF!</f>
      </c>
      <c r="CB191" s="51" t="e">
        <f>Ticker0001_Exchange_Sheet!DA258-#REF!</f>
      </c>
      <c r="CC191" s="51" t="e">
        <f>Ticker0001_Exchange_Sheet!DB258-#REF!</f>
      </c>
      <c r="CD191" s="51" t="e">
        <f>Ticker0001_Exchange_Sheet!DC258-#REF!</f>
      </c>
      <c r="CE191" s="51" t="e">
        <f>Ticker0001_Exchange_Sheet!DD258-#REF!</f>
      </c>
      <c r="CF191" s="51" t="e">
        <f>Ticker0001_Exchange_Sheet!DE258-#REF!</f>
      </c>
    </row>
    <row r="192" spans="6:84">
      <c r="F192" s="51" t="e">
        <f>Ticker0001_Exchange_Sheet!F259-#REF!</f>
      </c>
      <c r="G192" s="51" t="e">
        <f>Ticker0001_Exchange_Sheet!G259-#REF!</f>
      </c>
      <c r="H192" s="51" t="e">
        <f>Ticker0001_Exchange_Sheet!H259-#REF!</f>
      </c>
      <c r="I192" s="51" t="e">
        <f>Ticker0001_Exchange_Sheet!I259-#REF!</f>
      </c>
      <c r="J192" s="51" t="e">
        <f>Ticker0001_Exchange_Sheet!J259-#REF!</f>
      </c>
      <c r="K192" s="51" t="e">
        <f>Ticker0001_Exchange_Sheet!K259-#REF!</f>
      </c>
      <c r="L192" s="51" t="e">
        <f>Ticker0001_Exchange_Sheet!L259-#REF!</f>
      </c>
      <c r="M192" s="51" t="e">
        <f>Ticker0001_Exchange_Sheet!M259-#REF!</f>
      </c>
      <c r="N192" s="51" t="e">
        <f>Ticker0001_Exchange_Sheet!N259-#REF!</f>
      </c>
      <c r="O192" s="51" t="e">
        <f>Ticker0001_Exchange_Sheet!O259-#REF!</f>
      </c>
      <c r="P192" s="51" t="e">
        <f>Ticker0001_Exchange_Sheet!P259-#REF!</f>
      </c>
      <c r="Q192" s="51" t="e">
        <f>Ticker0001_Exchange_Sheet!Q259-#REF!</f>
      </c>
      <c r="R192" s="51" t="e">
        <f>Ticker0001_Exchange_Sheet!R259-#REF!</f>
      </c>
      <c r="S192" s="51" t="e">
        <f>Ticker0001_Exchange_Sheet!S259-#REF!</f>
      </c>
      <c r="T192" s="51" t="e">
        <f>Ticker0001_Exchange_Sheet!T259-#REF!</f>
      </c>
      <c r="U192" s="51" t="e">
        <f>Ticker0001_Exchange_Sheet!U259-#REF!</f>
      </c>
      <c r="V192" s="51" t="e">
        <f>Ticker0001_Exchange_Sheet!V259-#REF!</f>
      </c>
      <c r="W192" s="51" t="e">
        <f>Ticker0001_Exchange_Sheet!W259-#REF!</f>
      </c>
      <c r="X192" s="51" t="e">
        <f>Ticker0001_Exchange_Sheet!AK259-#REF!</f>
      </c>
      <c r="Y192" s="51" t="e">
        <f>Ticker0001_Exchange_Sheet!AX259-#REF!</f>
      </c>
      <c r="Z192" s="51" t="e">
        <f>Ticker0001_Exchange_Sheet!AY259-#REF!</f>
      </c>
      <c r="AA192" s="51" t="e">
        <f>Ticker0001_Exchange_Sheet!AZ259-#REF!</f>
      </c>
      <c r="AB192" s="51" t="e">
        <f>Ticker0001_Exchange_Sheet!BA259-#REF!</f>
      </c>
      <c r="AC192" s="51" t="e">
        <f>Ticker0001_Exchange_Sheet!BB259-#REF!</f>
      </c>
      <c r="AD192" s="51" t="e">
        <f>Ticker0001_Exchange_Sheet!BC259-#REF!</f>
      </c>
      <c r="AE192" s="51" t="e">
        <f>Ticker0001_Exchange_Sheet!BD259-#REF!</f>
      </c>
      <c r="AF192" s="51" t="e">
        <f>Ticker0001_Exchange_Sheet!BE259-#REF!</f>
      </c>
      <c r="AG192" s="51" t="e">
        <f>Ticker0001_Exchange_Sheet!BF259-#REF!</f>
      </c>
      <c r="AH192" s="51" t="e">
        <f>Ticker0001_Exchange_Sheet!BG259-#REF!</f>
      </c>
      <c r="AI192" s="51" t="e">
        <f>Ticker0001_Exchange_Sheet!BH259-#REF!</f>
      </c>
      <c r="AJ192" s="51" t="e">
        <f>Ticker0001_Exchange_Sheet!BI259-#REF!</f>
      </c>
      <c r="AK192" s="51" t="e">
        <f>Ticker0001_Exchange_Sheet!BJ259-#REF!</f>
      </c>
      <c r="AL192" s="51" t="e">
        <f>Ticker0001_Exchange_Sheet!BK259-#REF!</f>
      </c>
      <c r="AM192" s="51" t="e">
        <f>Ticker0001_Exchange_Sheet!BL259-#REF!</f>
      </c>
      <c r="AN192" s="51" t="e">
        <f>Ticker0001_Exchange_Sheet!BM259-#REF!</f>
      </c>
      <c r="AO192" s="51" t="e">
        <f>Ticker0001_Exchange_Sheet!BN259-#REF!</f>
      </c>
      <c r="AP192" s="51" t="e">
        <f>Ticker0001_Exchange_Sheet!BO259-#REF!</f>
      </c>
      <c r="AQ192" s="51" t="e">
        <f>Ticker0001_Exchange_Sheet!BP259-#REF!</f>
      </c>
      <c r="AR192" s="51" t="e">
        <f>Ticker0001_Exchange_Sheet!BQ259-#REF!</f>
      </c>
      <c r="AS192" s="51" t="e">
        <f>Ticker0001_Exchange_Sheet!BR259-#REF!</f>
      </c>
      <c r="AT192" s="51" t="e">
        <f>Ticker0001_Exchange_Sheet!BS259-#REF!</f>
      </c>
      <c r="AU192" s="51" t="e">
        <f>Ticker0001_Exchange_Sheet!BT259-#REF!</f>
      </c>
      <c r="AV192" s="51" t="e">
        <f>Ticker0001_Exchange_Sheet!BU259-#REF!</f>
      </c>
      <c r="AW192" s="51" t="e">
        <f>Ticker0001_Exchange_Sheet!BV259-#REF!</f>
      </c>
      <c r="AX192" s="51" t="e">
        <f>Ticker0001_Exchange_Sheet!BW259-#REF!</f>
      </c>
      <c r="AY192" s="51" t="e">
        <f>Ticker0001_Exchange_Sheet!BX259-#REF!</f>
      </c>
      <c r="AZ192" s="51" t="e">
        <f>Ticker0001_Exchange_Sheet!BY259-#REF!</f>
      </c>
      <c r="BA192" s="51" t="e">
        <f>Ticker0001_Exchange_Sheet!BZ259-#REF!</f>
      </c>
      <c r="BB192" s="51" t="e">
        <f>Ticker0001_Exchange_Sheet!CA259-#REF!</f>
      </c>
      <c r="BC192" s="51" t="e">
        <f>Ticker0001_Exchange_Sheet!CB259-#REF!</f>
      </c>
      <c r="BD192" s="51" t="e">
        <f>Ticker0001_Exchange_Sheet!CC259-#REF!</f>
      </c>
      <c r="BE192" s="51" t="e">
        <f>Ticker0001_Exchange_Sheet!CD259-#REF!</f>
      </c>
      <c r="BF192" s="51" t="e">
        <f>Ticker0001_Exchange_Sheet!CE259-#REF!</f>
      </c>
      <c r="BG192" s="51" t="e">
        <f>Ticker0001_Exchange_Sheet!CF259-#REF!</f>
      </c>
      <c r="BH192" s="51" t="e">
        <f>Ticker0001_Exchange_Sheet!CG259-#REF!</f>
      </c>
      <c r="BI192" s="51" t="e">
        <f>Ticker0001_Exchange_Sheet!CH259-#REF!</f>
      </c>
      <c r="BJ192" s="51" t="e">
        <f>Ticker0001_Exchange_Sheet!CI259-#REF!</f>
      </c>
      <c r="BK192" s="51" t="e">
        <f>Ticker0001_Exchange_Sheet!CJ259-#REF!</f>
      </c>
      <c r="BL192" s="51" t="e">
        <f>Ticker0001_Exchange_Sheet!CK259-#REF!</f>
      </c>
      <c r="BM192" s="51" t="e">
        <f>Ticker0001_Exchange_Sheet!CL259-#REF!</f>
      </c>
      <c r="BN192" s="51" t="e">
        <f>Ticker0001_Exchange_Sheet!CM259-#REF!</f>
      </c>
      <c r="BO192" s="51" t="e">
        <f>Ticker0001_Exchange_Sheet!CN259-#REF!</f>
      </c>
      <c r="BP192" s="51" t="e">
        <f>Ticker0001_Exchange_Sheet!CO259-#REF!</f>
      </c>
      <c r="BQ192" s="51" t="e">
        <f>Ticker0001_Exchange_Sheet!CP259-#REF!</f>
      </c>
      <c r="BR192" s="51" t="e">
        <f>Ticker0001_Exchange_Sheet!CQ259-#REF!</f>
      </c>
      <c r="BS192" s="51" t="e">
        <f>Ticker0001_Exchange_Sheet!CR259-#REF!</f>
      </c>
      <c r="BT192" s="51" t="e">
        <f>Ticker0001_Exchange_Sheet!CS259-#REF!</f>
      </c>
      <c r="BU192" s="51" t="e">
        <f>Ticker0001_Exchange_Sheet!CT259-#REF!</f>
      </c>
      <c r="BV192" s="51" t="e">
        <f>Ticker0001_Exchange_Sheet!CU259-#REF!</f>
      </c>
      <c r="BW192" s="51" t="e">
        <f>Ticker0001_Exchange_Sheet!CV259-#REF!</f>
      </c>
      <c r="BX192" s="51" t="e">
        <f>Ticker0001_Exchange_Sheet!CW259-#REF!</f>
      </c>
      <c r="BY192" s="51" t="e">
        <f>Ticker0001_Exchange_Sheet!CX259-#REF!</f>
      </c>
      <c r="BZ192" s="51" t="e">
        <f>Ticker0001_Exchange_Sheet!CY259-#REF!</f>
      </c>
      <c r="CA192" s="51" t="e">
        <f>Ticker0001_Exchange_Sheet!CZ259-#REF!</f>
      </c>
      <c r="CB192" s="51" t="e">
        <f>Ticker0001_Exchange_Sheet!DA259-#REF!</f>
      </c>
      <c r="CC192" s="51" t="e">
        <f>Ticker0001_Exchange_Sheet!DB259-#REF!</f>
      </c>
      <c r="CD192" s="51" t="e">
        <f>Ticker0001_Exchange_Sheet!DC259-#REF!</f>
      </c>
      <c r="CE192" s="51" t="e">
        <f>Ticker0001_Exchange_Sheet!DD259-#REF!</f>
      </c>
      <c r="CF192" s="51" t="e">
        <f>Ticker0001_Exchange_Sheet!DE259-#REF!</f>
      </c>
    </row>
    <row r="193" spans="6:84">
      <c r="F193" s="51" t="e">
        <f>Ticker0001_Exchange_Sheet!F260-#REF!</f>
      </c>
      <c r="G193" s="51" t="e">
        <f>Ticker0001_Exchange_Sheet!G260-#REF!</f>
      </c>
      <c r="H193" s="51" t="e">
        <f>Ticker0001_Exchange_Sheet!H260-#REF!</f>
      </c>
      <c r="I193" s="51" t="e">
        <f>Ticker0001_Exchange_Sheet!I260-#REF!</f>
      </c>
      <c r="J193" s="51" t="e">
        <f>Ticker0001_Exchange_Sheet!J260-#REF!</f>
      </c>
      <c r="K193" s="51" t="e">
        <f>Ticker0001_Exchange_Sheet!K260-#REF!</f>
      </c>
      <c r="L193" s="51" t="e">
        <f>Ticker0001_Exchange_Sheet!L260-#REF!</f>
      </c>
      <c r="M193" s="51" t="e">
        <f>Ticker0001_Exchange_Sheet!M260-#REF!</f>
      </c>
      <c r="N193" s="51" t="e">
        <f>Ticker0001_Exchange_Sheet!N260-#REF!</f>
      </c>
      <c r="O193" s="51" t="e">
        <f>Ticker0001_Exchange_Sheet!O260-#REF!</f>
      </c>
      <c r="P193" s="51" t="e">
        <f>Ticker0001_Exchange_Sheet!P260-#REF!</f>
      </c>
      <c r="Q193" s="51" t="e">
        <f>Ticker0001_Exchange_Sheet!Q260-#REF!</f>
      </c>
      <c r="R193" s="51" t="e">
        <f>Ticker0001_Exchange_Sheet!R260-#REF!</f>
      </c>
      <c r="S193" s="51" t="e">
        <f>Ticker0001_Exchange_Sheet!S260-#REF!</f>
      </c>
      <c r="T193" s="51" t="e">
        <f>Ticker0001_Exchange_Sheet!T260-#REF!</f>
      </c>
      <c r="U193" s="51" t="e">
        <f>Ticker0001_Exchange_Sheet!U260-#REF!</f>
      </c>
      <c r="V193" s="51" t="e">
        <f>Ticker0001_Exchange_Sheet!V260-#REF!</f>
      </c>
      <c r="W193" s="51" t="e">
        <f>Ticker0001_Exchange_Sheet!W260-#REF!</f>
      </c>
      <c r="X193" s="51" t="e">
        <f>Ticker0001_Exchange_Sheet!AK260-#REF!</f>
      </c>
      <c r="Y193" s="51" t="e">
        <f>Ticker0001_Exchange_Sheet!AX260-#REF!</f>
      </c>
      <c r="Z193" s="51" t="e">
        <f>Ticker0001_Exchange_Sheet!AY260-#REF!</f>
      </c>
      <c r="AA193" s="51" t="e">
        <f>Ticker0001_Exchange_Sheet!AZ260-#REF!</f>
      </c>
      <c r="AB193" s="51" t="e">
        <f>Ticker0001_Exchange_Sheet!BA260-#REF!</f>
      </c>
      <c r="AC193" s="51" t="e">
        <f>Ticker0001_Exchange_Sheet!BB260-#REF!</f>
      </c>
      <c r="AD193" s="51" t="e">
        <f>Ticker0001_Exchange_Sheet!BC260-#REF!</f>
      </c>
      <c r="AE193" s="51" t="e">
        <f>Ticker0001_Exchange_Sheet!BD260-#REF!</f>
      </c>
      <c r="AF193" s="51" t="e">
        <f>Ticker0001_Exchange_Sheet!BE260-#REF!</f>
      </c>
      <c r="AG193" s="51" t="e">
        <f>Ticker0001_Exchange_Sheet!BF260-#REF!</f>
      </c>
      <c r="AH193" s="51" t="e">
        <f>Ticker0001_Exchange_Sheet!BG260-#REF!</f>
      </c>
      <c r="AI193" s="51" t="e">
        <f>Ticker0001_Exchange_Sheet!BH260-#REF!</f>
      </c>
      <c r="AJ193" s="51" t="e">
        <f>Ticker0001_Exchange_Sheet!BI260-#REF!</f>
      </c>
      <c r="AK193" s="51" t="e">
        <f>Ticker0001_Exchange_Sheet!BJ260-#REF!</f>
      </c>
      <c r="AL193" s="51" t="e">
        <f>Ticker0001_Exchange_Sheet!BK260-#REF!</f>
      </c>
      <c r="AM193" s="51" t="e">
        <f>Ticker0001_Exchange_Sheet!BL260-#REF!</f>
      </c>
      <c r="AN193" s="51" t="e">
        <f>Ticker0001_Exchange_Sheet!BM260-#REF!</f>
      </c>
      <c r="AO193" s="51" t="e">
        <f>Ticker0001_Exchange_Sheet!BN260-#REF!</f>
      </c>
      <c r="AP193" s="51" t="e">
        <f>Ticker0001_Exchange_Sheet!BO260-#REF!</f>
      </c>
      <c r="AQ193" s="51" t="e">
        <f>Ticker0001_Exchange_Sheet!BP260-#REF!</f>
      </c>
      <c r="AR193" s="51" t="e">
        <f>Ticker0001_Exchange_Sheet!BQ260-#REF!</f>
      </c>
      <c r="AS193" s="51" t="e">
        <f>Ticker0001_Exchange_Sheet!BR260-#REF!</f>
      </c>
      <c r="AT193" s="51" t="e">
        <f>Ticker0001_Exchange_Sheet!BS260-#REF!</f>
      </c>
      <c r="AU193" s="51" t="e">
        <f>Ticker0001_Exchange_Sheet!BT260-#REF!</f>
      </c>
      <c r="AV193" s="51" t="e">
        <f>Ticker0001_Exchange_Sheet!BU260-#REF!</f>
      </c>
      <c r="AW193" s="51" t="e">
        <f>Ticker0001_Exchange_Sheet!BV260-#REF!</f>
      </c>
      <c r="AX193" s="51" t="e">
        <f>Ticker0001_Exchange_Sheet!BW260-#REF!</f>
      </c>
      <c r="AY193" s="51" t="e">
        <f>Ticker0001_Exchange_Sheet!BX260-#REF!</f>
      </c>
      <c r="AZ193" s="51" t="e">
        <f>Ticker0001_Exchange_Sheet!BY260-#REF!</f>
      </c>
      <c r="BA193" s="51" t="e">
        <f>Ticker0001_Exchange_Sheet!BZ260-#REF!</f>
      </c>
      <c r="BB193" s="51" t="e">
        <f>Ticker0001_Exchange_Sheet!CA260-#REF!</f>
      </c>
      <c r="BC193" s="51" t="e">
        <f>Ticker0001_Exchange_Sheet!CB260-#REF!</f>
      </c>
      <c r="BD193" s="51" t="e">
        <f>Ticker0001_Exchange_Sheet!CC260-#REF!</f>
      </c>
      <c r="BE193" s="51" t="e">
        <f>Ticker0001_Exchange_Sheet!CD260-#REF!</f>
      </c>
      <c r="BF193" s="51" t="e">
        <f>Ticker0001_Exchange_Sheet!CE260-#REF!</f>
      </c>
      <c r="BG193" s="51" t="e">
        <f>Ticker0001_Exchange_Sheet!CF260-#REF!</f>
      </c>
      <c r="BH193" s="51" t="e">
        <f>Ticker0001_Exchange_Sheet!CG260-#REF!</f>
      </c>
      <c r="BI193" s="51" t="e">
        <f>Ticker0001_Exchange_Sheet!CH260-#REF!</f>
      </c>
      <c r="BJ193" s="51" t="e">
        <f>Ticker0001_Exchange_Sheet!CI260-#REF!</f>
      </c>
      <c r="BK193" s="51" t="e">
        <f>Ticker0001_Exchange_Sheet!CJ260-#REF!</f>
      </c>
      <c r="BL193" s="51" t="e">
        <f>Ticker0001_Exchange_Sheet!CK260-#REF!</f>
      </c>
      <c r="BM193" s="51" t="e">
        <f>Ticker0001_Exchange_Sheet!CL260-#REF!</f>
      </c>
      <c r="BN193" s="51" t="e">
        <f>Ticker0001_Exchange_Sheet!CM260-#REF!</f>
      </c>
      <c r="BO193" s="51" t="e">
        <f>Ticker0001_Exchange_Sheet!CN260-#REF!</f>
      </c>
      <c r="BP193" s="51" t="e">
        <f>Ticker0001_Exchange_Sheet!CO260-#REF!</f>
      </c>
      <c r="BQ193" s="51" t="e">
        <f>Ticker0001_Exchange_Sheet!CP260-#REF!</f>
      </c>
      <c r="BR193" s="51" t="e">
        <f>Ticker0001_Exchange_Sheet!CQ260-#REF!</f>
      </c>
      <c r="BS193" s="51" t="e">
        <f>Ticker0001_Exchange_Sheet!CR260-#REF!</f>
      </c>
      <c r="BT193" s="51" t="e">
        <f>Ticker0001_Exchange_Sheet!CS260-#REF!</f>
      </c>
      <c r="BU193" s="51" t="e">
        <f>Ticker0001_Exchange_Sheet!CT260-#REF!</f>
      </c>
      <c r="BV193" s="51" t="e">
        <f>Ticker0001_Exchange_Sheet!CU260-#REF!</f>
      </c>
      <c r="BW193" s="51" t="e">
        <f>Ticker0001_Exchange_Sheet!CV260-#REF!</f>
      </c>
      <c r="BX193" s="51" t="e">
        <f>Ticker0001_Exchange_Sheet!CW260-#REF!</f>
      </c>
      <c r="BY193" s="51" t="e">
        <f>Ticker0001_Exchange_Sheet!CX260-#REF!</f>
      </c>
      <c r="BZ193" s="51" t="e">
        <f>Ticker0001_Exchange_Sheet!CY260-#REF!</f>
      </c>
      <c r="CA193" s="51" t="e">
        <f>Ticker0001_Exchange_Sheet!CZ260-#REF!</f>
      </c>
      <c r="CB193" s="51" t="e">
        <f>Ticker0001_Exchange_Sheet!DA260-#REF!</f>
      </c>
      <c r="CC193" s="51" t="e">
        <f>Ticker0001_Exchange_Sheet!DB260-#REF!</f>
      </c>
      <c r="CD193" s="51" t="e">
        <f>Ticker0001_Exchange_Sheet!DC260-#REF!</f>
      </c>
      <c r="CE193" s="51" t="e">
        <f>Ticker0001_Exchange_Sheet!DD260-#REF!</f>
      </c>
      <c r="CF193" s="51" t="e">
        <f>Ticker0001_Exchange_Sheet!DE260-#REF!</f>
      </c>
    </row>
    <row r="194" spans="6:84">
      <c r="F194" s="51" t="e">
        <f>Ticker0001_Exchange_Sheet!F261-#REF!</f>
      </c>
      <c r="G194" s="51" t="e">
        <f>Ticker0001_Exchange_Sheet!G261-#REF!</f>
      </c>
      <c r="H194" s="51" t="e">
        <f>Ticker0001_Exchange_Sheet!H261-#REF!</f>
      </c>
      <c r="I194" s="51" t="e">
        <f>Ticker0001_Exchange_Sheet!I261-#REF!</f>
      </c>
      <c r="J194" s="51" t="e">
        <f>Ticker0001_Exchange_Sheet!J261-#REF!</f>
      </c>
      <c r="K194" s="51" t="e">
        <f>Ticker0001_Exchange_Sheet!K261-#REF!</f>
      </c>
      <c r="L194" s="51" t="e">
        <f>Ticker0001_Exchange_Sheet!L261-#REF!</f>
      </c>
      <c r="M194" s="51" t="e">
        <f>Ticker0001_Exchange_Sheet!M261-#REF!</f>
      </c>
      <c r="N194" s="51" t="e">
        <f>Ticker0001_Exchange_Sheet!N261-#REF!</f>
      </c>
      <c r="O194" s="51" t="e">
        <f>Ticker0001_Exchange_Sheet!O261-#REF!</f>
      </c>
      <c r="P194" s="51" t="e">
        <f>Ticker0001_Exchange_Sheet!P261-#REF!</f>
      </c>
      <c r="Q194" s="51" t="e">
        <f>Ticker0001_Exchange_Sheet!Q261-#REF!</f>
      </c>
      <c r="R194" s="51" t="e">
        <f>Ticker0001_Exchange_Sheet!R261-#REF!</f>
      </c>
      <c r="S194" s="51" t="e">
        <f>Ticker0001_Exchange_Sheet!S261-#REF!</f>
      </c>
      <c r="T194" s="51" t="e">
        <f>Ticker0001_Exchange_Sheet!T261-#REF!</f>
      </c>
      <c r="U194" s="51" t="e">
        <f>Ticker0001_Exchange_Sheet!U261-#REF!</f>
      </c>
      <c r="V194" s="51" t="e">
        <f>Ticker0001_Exchange_Sheet!V261-#REF!</f>
      </c>
      <c r="W194" s="51" t="e">
        <f>Ticker0001_Exchange_Sheet!W261-#REF!</f>
      </c>
      <c r="X194" s="51" t="e">
        <f>Ticker0001_Exchange_Sheet!AK261-#REF!</f>
      </c>
      <c r="Y194" s="51" t="e">
        <f>Ticker0001_Exchange_Sheet!AX261-#REF!</f>
      </c>
      <c r="Z194" s="51" t="e">
        <f>Ticker0001_Exchange_Sheet!AY261-#REF!</f>
      </c>
      <c r="AA194" s="51" t="e">
        <f>Ticker0001_Exchange_Sheet!AZ261-#REF!</f>
      </c>
      <c r="AB194" s="51" t="e">
        <f>Ticker0001_Exchange_Sheet!BA261-#REF!</f>
      </c>
      <c r="AC194" s="51" t="e">
        <f>Ticker0001_Exchange_Sheet!BB261-#REF!</f>
      </c>
      <c r="AD194" s="51" t="e">
        <f>Ticker0001_Exchange_Sheet!BC261-#REF!</f>
      </c>
      <c r="AE194" s="51" t="e">
        <f>Ticker0001_Exchange_Sheet!BD261-#REF!</f>
      </c>
      <c r="AF194" s="51" t="e">
        <f>Ticker0001_Exchange_Sheet!BE261-#REF!</f>
      </c>
      <c r="AG194" s="51" t="e">
        <f>Ticker0001_Exchange_Sheet!BF261-#REF!</f>
      </c>
      <c r="AH194" s="51" t="e">
        <f>Ticker0001_Exchange_Sheet!BG261-#REF!</f>
      </c>
      <c r="AI194" s="51" t="e">
        <f>Ticker0001_Exchange_Sheet!BH261-#REF!</f>
      </c>
      <c r="AJ194" s="51" t="e">
        <f>Ticker0001_Exchange_Sheet!BI261-#REF!</f>
      </c>
      <c r="AK194" s="51" t="e">
        <f>Ticker0001_Exchange_Sheet!BJ261-#REF!</f>
      </c>
      <c r="AL194" s="51" t="e">
        <f>Ticker0001_Exchange_Sheet!BK261-#REF!</f>
      </c>
      <c r="AM194" s="51" t="e">
        <f>Ticker0001_Exchange_Sheet!BL261-#REF!</f>
      </c>
      <c r="AN194" s="51" t="e">
        <f>Ticker0001_Exchange_Sheet!BM261-#REF!</f>
      </c>
      <c r="AO194" s="51" t="e">
        <f>Ticker0001_Exchange_Sheet!BN261-#REF!</f>
      </c>
      <c r="AP194" s="51" t="e">
        <f>Ticker0001_Exchange_Sheet!BO261-#REF!</f>
      </c>
      <c r="AQ194" s="51" t="e">
        <f>Ticker0001_Exchange_Sheet!BP261-#REF!</f>
      </c>
      <c r="AR194" s="51" t="e">
        <f>Ticker0001_Exchange_Sheet!BQ261-#REF!</f>
      </c>
      <c r="AS194" s="51" t="e">
        <f>Ticker0001_Exchange_Sheet!BR261-#REF!</f>
      </c>
      <c r="AT194" s="51" t="e">
        <f>Ticker0001_Exchange_Sheet!BS261-#REF!</f>
      </c>
      <c r="AU194" s="51" t="e">
        <f>Ticker0001_Exchange_Sheet!BT261-#REF!</f>
      </c>
      <c r="AV194" s="51" t="e">
        <f>Ticker0001_Exchange_Sheet!BU261-#REF!</f>
      </c>
      <c r="AW194" s="51" t="e">
        <f>Ticker0001_Exchange_Sheet!BV261-#REF!</f>
      </c>
      <c r="AX194" s="51" t="e">
        <f>Ticker0001_Exchange_Sheet!BW261-#REF!</f>
      </c>
      <c r="AY194" s="51" t="e">
        <f>Ticker0001_Exchange_Sheet!BX261-#REF!</f>
      </c>
      <c r="AZ194" s="51" t="e">
        <f>Ticker0001_Exchange_Sheet!BY261-#REF!</f>
      </c>
      <c r="BA194" s="51" t="e">
        <f>Ticker0001_Exchange_Sheet!BZ261-#REF!</f>
      </c>
      <c r="BB194" s="51" t="e">
        <f>Ticker0001_Exchange_Sheet!CA261-#REF!</f>
      </c>
      <c r="BC194" s="51" t="e">
        <f>Ticker0001_Exchange_Sheet!CB261-#REF!</f>
      </c>
      <c r="BD194" s="51" t="e">
        <f>Ticker0001_Exchange_Sheet!CC261-#REF!</f>
      </c>
      <c r="BE194" s="51" t="e">
        <f>Ticker0001_Exchange_Sheet!CD261-#REF!</f>
      </c>
      <c r="BF194" s="51" t="e">
        <f>Ticker0001_Exchange_Sheet!CE261-#REF!</f>
      </c>
      <c r="BG194" s="51" t="e">
        <f>Ticker0001_Exchange_Sheet!CF261-#REF!</f>
      </c>
      <c r="BH194" s="51" t="e">
        <f>Ticker0001_Exchange_Sheet!CG261-#REF!</f>
      </c>
      <c r="BI194" s="51" t="e">
        <f>Ticker0001_Exchange_Sheet!CH261-#REF!</f>
      </c>
      <c r="BJ194" s="51" t="e">
        <f>Ticker0001_Exchange_Sheet!CI261-#REF!</f>
      </c>
      <c r="BK194" s="51" t="e">
        <f>Ticker0001_Exchange_Sheet!CJ261-#REF!</f>
      </c>
      <c r="BL194" s="51" t="e">
        <f>Ticker0001_Exchange_Sheet!CK261-#REF!</f>
      </c>
      <c r="BM194" s="51" t="e">
        <f>Ticker0001_Exchange_Sheet!CL261-#REF!</f>
      </c>
      <c r="BN194" s="51" t="e">
        <f>Ticker0001_Exchange_Sheet!CM261-#REF!</f>
      </c>
      <c r="BO194" s="51" t="e">
        <f>Ticker0001_Exchange_Sheet!CN261-#REF!</f>
      </c>
      <c r="BP194" s="51" t="e">
        <f>Ticker0001_Exchange_Sheet!CO261-#REF!</f>
      </c>
      <c r="BQ194" s="51" t="e">
        <f>Ticker0001_Exchange_Sheet!CP261-#REF!</f>
      </c>
      <c r="BR194" s="51" t="e">
        <f>Ticker0001_Exchange_Sheet!CQ261-#REF!</f>
      </c>
      <c r="BS194" s="51" t="e">
        <f>Ticker0001_Exchange_Sheet!CR261-#REF!</f>
      </c>
      <c r="BT194" s="51" t="e">
        <f>Ticker0001_Exchange_Sheet!CS261-#REF!</f>
      </c>
      <c r="BU194" s="51" t="e">
        <f>Ticker0001_Exchange_Sheet!CT261-#REF!</f>
      </c>
      <c r="BV194" s="51" t="e">
        <f>Ticker0001_Exchange_Sheet!CU261-#REF!</f>
      </c>
      <c r="BW194" s="51" t="e">
        <f>Ticker0001_Exchange_Sheet!CV261-#REF!</f>
      </c>
      <c r="BX194" s="51" t="e">
        <f>Ticker0001_Exchange_Sheet!CW261-#REF!</f>
      </c>
      <c r="BY194" s="51" t="e">
        <f>Ticker0001_Exchange_Sheet!CX261-#REF!</f>
      </c>
      <c r="BZ194" s="51" t="e">
        <f>Ticker0001_Exchange_Sheet!CY261-#REF!</f>
      </c>
      <c r="CA194" s="51" t="e">
        <f>Ticker0001_Exchange_Sheet!CZ261-#REF!</f>
      </c>
      <c r="CB194" s="51" t="e">
        <f>Ticker0001_Exchange_Sheet!DA261-#REF!</f>
      </c>
      <c r="CC194" s="51" t="e">
        <f>Ticker0001_Exchange_Sheet!DB261-#REF!</f>
      </c>
      <c r="CD194" s="51" t="e">
        <f>Ticker0001_Exchange_Sheet!DC261-#REF!</f>
      </c>
      <c r="CE194" s="51" t="e">
        <f>Ticker0001_Exchange_Sheet!DD261-#REF!</f>
      </c>
      <c r="CF194" s="51" t="e">
        <f>Ticker0001_Exchange_Sheet!DE261-#REF!</f>
      </c>
    </row>
    <row r="195" spans="6:84">
      <c r="F195" s="51" t="e">
        <f>Ticker0001_Exchange_Sheet!F262-#REF!</f>
      </c>
      <c r="G195" s="51" t="e">
        <f>Ticker0001_Exchange_Sheet!G262-#REF!</f>
      </c>
      <c r="H195" s="51" t="e">
        <f>Ticker0001_Exchange_Sheet!H262-#REF!</f>
      </c>
      <c r="I195" s="51" t="e">
        <f>Ticker0001_Exchange_Sheet!I262-#REF!</f>
      </c>
      <c r="J195" s="51" t="e">
        <f>Ticker0001_Exchange_Sheet!J262-#REF!</f>
      </c>
      <c r="K195" s="51" t="e">
        <f>Ticker0001_Exchange_Sheet!K262-#REF!</f>
      </c>
      <c r="L195" s="51" t="e">
        <f>Ticker0001_Exchange_Sheet!L262-#REF!</f>
      </c>
      <c r="M195" s="51" t="e">
        <f>Ticker0001_Exchange_Sheet!M262-#REF!</f>
      </c>
      <c r="N195" s="51" t="e">
        <f>Ticker0001_Exchange_Sheet!N262-#REF!</f>
      </c>
      <c r="O195" s="51" t="e">
        <f>Ticker0001_Exchange_Sheet!O262-#REF!</f>
      </c>
      <c r="P195" s="51" t="e">
        <f>Ticker0001_Exchange_Sheet!P262-#REF!</f>
      </c>
      <c r="Q195" s="51" t="e">
        <f>Ticker0001_Exchange_Sheet!Q262-#REF!</f>
      </c>
      <c r="R195" s="51" t="e">
        <f>Ticker0001_Exchange_Sheet!R262-#REF!</f>
      </c>
      <c r="S195" s="51" t="e">
        <f>Ticker0001_Exchange_Sheet!S262-#REF!</f>
      </c>
      <c r="T195" s="51" t="e">
        <f>Ticker0001_Exchange_Sheet!T262-#REF!</f>
      </c>
      <c r="U195" s="51" t="e">
        <f>Ticker0001_Exchange_Sheet!U262-#REF!</f>
      </c>
      <c r="V195" s="51" t="e">
        <f>Ticker0001_Exchange_Sheet!V262-#REF!</f>
      </c>
      <c r="W195" s="51" t="e">
        <f>Ticker0001_Exchange_Sheet!W262-#REF!</f>
      </c>
      <c r="X195" s="51" t="e">
        <f>Ticker0001_Exchange_Sheet!AK262-#REF!</f>
      </c>
      <c r="Y195" s="51" t="e">
        <f>Ticker0001_Exchange_Sheet!AX262-#REF!</f>
      </c>
      <c r="Z195" s="51" t="e">
        <f>Ticker0001_Exchange_Sheet!AY262-#REF!</f>
      </c>
      <c r="AA195" s="51" t="e">
        <f>Ticker0001_Exchange_Sheet!AZ262-#REF!</f>
      </c>
      <c r="AB195" s="51" t="e">
        <f>Ticker0001_Exchange_Sheet!BA262-#REF!</f>
      </c>
      <c r="AC195" s="51" t="e">
        <f>Ticker0001_Exchange_Sheet!BB262-#REF!</f>
      </c>
      <c r="AD195" s="51" t="e">
        <f>Ticker0001_Exchange_Sheet!BC262-#REF!</f>
      </c>
      <c r="AE195" s="51" t="e">
        <f>Ticker0001_Exchange_Sheet!BD262-#REF!</f>
      </c>
      <c r="AF195" s="51" t="e">
        <f>Ticker0001_Exchange_Sheet!BE262-#REF!</f>
      </c>
      <c r="AG195" s="51" t="e">
        <f>Ticker0001_Exchange_Sheet!BF262-#REF!</f>
      </c>
      <c r="AH195" s="51" t="e">
        <f>Ticker0001_Exchange_Sheet!BG262-#REF!</f>
      </c>
      <c r="AI195" s="51" t="e">
        <f>Ticker0001_Exchange_Sheet!BH262-#REF!</f>
      </c>
      <c r="AJ195" s="51" t="e">
        <f>Ticker0001_Exchange_Sheet!BI262-#REF!</f>
      </c>
      <c r="AK195" s="51" t="e">
        <f>Ticker0001_Exchange_Sheet!BJ262-#REF!</f>
      </c>
      <c r="AL195" s="51" t="e">
        <f>Ticker0001_Exchange_Sheet!BK262-#REF!</f>
      </c>
      <c r="AM195" s="51" t="e">
        <f>Ticker0001_Exchange_Sheet!BL262-#REF!</f>
      </c>
      <c r="AN195" s="51" t="e">
        <f>Ticker0001_Exchange_Sheet!BM262-#REF!</f>
      </c>
      <c r="AO195" s="51" t="e">
        <f>Ticker0001_Exchange_Sheet!BN262-#REF!</f>
      </c>
      <c r="AP195" s="51" t="e">
        <f>Ticker0001_Exchange_Sheet!BO262-#REF!</f>
      </c>
      <c r="AQ195" s="51" t="e">
        <f>Ticker0001_Exchange_Sheet!BP262-#REF!</f>
      </c>
      <c r="AR195" s="51" t="e">
        <f>Ticker0001_Exchange_Sheet!BQ262-#REF!</f>
      </c>
      <c r="AS195" s="51" t="e">
        <f>Ticker0001_Exchange_Sheet!BR262-#REF!</f>
      </c>
      <c r="AT195" s="51" t="e">
        <f>Ticker0001_Exchange_Sheet!BS262-#REF!</f>
      </c>
      <c r="AU195" s="51" t="e">
        <f>Ticker0001_Exchange_Sheet!BT262-#REF!</f>
      </c>
      <c r="AV195" s="51" t="e">
        <f>Ticker0001_Exchange_Sheet!BU262-#REF!</f>
      </c>
      <c r="AW195" s="51" t="e">
        <f>Ticker0001_Exchange_Sheet!BV262-#REF!</f>
      </c>
      <c r="AX195" s="51" t="e">
        <f>Ticker0001_Exchange_Sheet!BW262-#REF!</f>
      </c>
      <c r="AY195" s="51" t="e">
        <f>Ticker0001_Exchange_Sheet!BX262-#REF!</f>
      </c>
      <c r="AZ195" s="51" t="e">
        <f>Ticker0001_Exchange_Sheet!BY262-#REF!</f>
      </c>
      <c r="BA195" s="51" t="e">
        <f>Ticker0001_Exchange_Sheet!BZ262-#REF!</f>
      </c>
      <c r="BB195" s="51" t="e">
        <f>Ticker0001_Exchange_Sheet!CA262-#REF!</f>
      </c>
      <c r="BC195" s="51" t="e">
        <f>Ticker0001_Exchange_Sheet!CB262-#REF!</f>
      </c>
      <c r="BD195" s="51" t="e">
        <f>Ticker0001_Exchange_Sheet!CC262-#REF!</f>
      </c>
      <c r="BE195" s="51" t="e">
        <f>Ticker0001_Exchange_Sheet!CD262-#REF!</f>
      </c>
      <c r="BF195" s="51" t="e">
        <f>Ticker0001_Exchange_Sheet!CE262-#REF!</f>
      </c>
      <c r="BG195" s="51" t="e">
        <f>Ticker0001_Exchange_Sheet!CF262-#REF!</f>
      </c>
      <c r="BH195" s="51" t="e">
        <f>Ticker0001_Exchange_Sheet!CG262-#REF!</f>
      </c>
      <c r="BI195" s="51" t="e">
        <f>Ticker0001_Exchange_Sheet!CH262-#REF!</f>
      </c>
      <c r="BJ195" s="51" t="e">
        <f>Ticker0001_Exchange_Sheet!CI262-#REF!</f>
      </c>
      <c r="BK195" s="51" t="e">
        <f>Ticker0001_Exchange_Sheet!CJ262-#REF!</f>
      </c>
      <c r="BL195" s="51" t="e">
        <f>Ticker0001_Exchange_Sheet!CK262-#REF!</f>
      </c>
      <c r="BM195" s="51" t="e">
        <f>Ticker0001_Exchange_Sheet!CL262-#REF!</f>
      </c>
      <c r="BN195" s="51" t="e">
        <f>Ticker0001_Exchange_Sheet!CM262-#REF!</f>
      </c>
      <c r="BO195" s="51" t="e">
        <f>Ticker0001_Exchange_Sheet!CN262-#REF!</f>
      </c>
      <c r="BP195" s="51" t="e">
        <f>Ticker0001_Exchange_Sheet!CO262-#REF!</f>
      </c>
      <c r="BQ195" s="51" t="e">
        <f>Ticker0001_Exchange_Sheet!CP262-#REF!</f>
      </c>
      <c r="BR195" s="51" t="e">
        <f>Ticker0001_Exchange_Sheet!CQ262-#REF!</f>
      </c>
      <c r="BS195" s="51" t="e">
        <f>Ticker0001_Exchange_Sheet!CR262-#REF!</f>
      </c>
      <c r="BT195" s="51" t="e">
        <f>Ticker0001_Exchange_Sheet!CS262-#REF!</f>
      </c>
      <c r="BU195" s="51" t="e">
        <f>Ticker0001_Exchange_Sheet!CT262-#REF!</f>
      </c>
      <c r="BV195" s="51" t="e">
        <f>Ticker0001_Exchange_Sheet!CU262-#REF!</f>
      </c>
      <c r="BW195" s="51" t="e">
        <f>Ticker0001_Exchange_Sheet!CV262-#REF!</f>
      </c>
      <c r="BX195" s="51" t="e">
        <f>Ticker0001_Exchange_Sheet!CW262-#REF!</f>
      </c>
      <c r="BY195" s="51" t="e">
        <f>Ticker0001_Exchange_Sheet!CX262-#REF!</f>
      </c>
      <c r="BZ195" s="51" t="e">
        <f>Ticker0001_Exchange_Sheet!CY262-#REF!</f>
      </c>
      <c r="CA195" s="51" t="e">
        <f>Ticker0001_Exchange_Sheet!CZ262-#REF!</f>
      </c>
      <c r="CB195" s="51" t="e">
        <f>Ticker0001_Exchange_Sheet!DA262-#REF!</f>
      </c>
      <c r="CC195" s="51" t="e">
        <f>Ticker0001_Exchange_Sheet!DB262-#REF!</f>
      </c>
      <c r="CD195" s="51" t="e">
        <f>Ticker0001_Exchange_Sheet!DC262-#REF!</f>
      </c>
      <c r="CE195" s="51" t="e">
        <f>Ticker0001_Exchange_Sheet!DD262-#REF!</f>
      </c>
      <c r="CF195" s="51" t="e">
        <f>Ticker0001_Exchange_Sheet!DE262-#REF!</f>
      </c>
    </row>
    <row r="196" spans="6:84">
      <c r="F196" s="51" t="e">
        <f>Ticker0001_Exchange_Sheet!F263-#REF!</f>
      </c>
      <c r="G196" s="51" t="e">
        <f>Ticker0001_Exchange_Sheet!G263-#REF!</f>
      </c>
      <c r="H196" s="51" t="e">
        <f>Ticker0001_Exchange_Sheet!H263-#REF!</f>
      </c>
      <c r="I196" s="51" t="e">
        <f>Ticker0001_Exchange_Sheet!I263-#REF!</f>
      </c>
      <c r="J196" s="51" t="e">
        <f>Ticker0001_Exchange_Sheet!J263-#REF!</f>
      </c>
      <c r="K196" s="51" t="e">
        <f>Ticker0001_Exchange_Sheet!K263-#REF!</f>
      </c>
      <c r="L196" s="51" t="e">
        <f>Ticker0001_Exchange_Sheet!L263-#REF!</f>
      </c>
      <c r="M196" s="51" t="e">
        <f>Ticker0001_Exchange_Sheet!M263-#REF!</f>
      </c>
      <c r="N196" s="51" t="e">
        <f>Ticker0001_Exchange_Sheet!N263-#REF!</f>
      </c>
      <c r="O196" s="51" t="e">
        <f>Ticker0001_Exchange_Sheet!O263-#REF!</f>
      </c>
      <c r="P196" s="51" t="e">
        <f>Ticker0001_Exchange_Sheet!P263-#REF!</f>
      </c>
      <c r="Q196" s="51" t="e">
        <f>Ticker0001_Exchange_Sheet!Q263-#REF!</f>
      </c>
      <c r="R196" s="51" t="e">
        <f>Ticker0001_Exchange_Sheet!R263-#REF!</f>
      </c>
      <c r="S196" s="51" t="e">
        <f>Ticker0001_Exchange_Sheet!S263-#REF!</f>
      </c>
      <c r="T196" s="51" t="e">
        <f>Ticker0001_Exchange_Sheet!T263-#REF!</f>
      </c>
      <c r="U196" s="51" t="e">
        <f>Ticker0001_Exchange_Sheet!U263-#REF!</f>
      </c>
      <c r="V196" s="51" t="e">
        <f>Ticker0001_Exchange_Sheet!V263-#REF!</f>
      </c>
      <c r="W196" s="51" t="e">
        <f>Ticker0001_Exchange_Sheet!W263-#REF!</f>
      </c>
      <c r="X196" s="51" t="e">
        <f>Ticker0001_Exchange_Sheet!AK263-#REF!</f>
      </c>
      <c r="Y196" s="51" t="e">
        <f>Ticker0001_Exchange_Sheet!AX263-#REF!</f>
      </c>
      <c r="Z196" s="51" t="e">
        <f>Ticker0001_Exchange_Sheet!AY263-#REF!</f>
      </c>
      <c r="AA196" s="51" t="e">
        <f>Ticker0001_Exchange_Sheet!AZ263-#REF!</f>
      </c>
      <c r="AB196" s="51" t="e">
        <f>Ticker0001_Exchange_Sheet!BA263-#REF!</f>
      </c>
      <c r="AC196" s="51" t="e">
        <f>Ticker0001_Exchange_Sheet!BB263-#REF!</f>
      </c>
      <c r="AD196" s="51" t="e">
        <f>Ticker0001_Exchange_Sheet!BC263-#REF!</f>
      </c>
      <c r="AE196" s="51" t="e">
        <f>Ticker0001_Exchange_Sheet!BD263-#REF!</f>
      </c>
      <c r="AF196" s="51" t="e">
        <f>Ticker0001_Exchange_Sheet!BE263-#REF!</f>
      </c>
      <c r="AG196" s="51" t="e">
        <f>Ticker0001_Exchange_Sheet!BF263-#REF!</f>
      </c>
      <c r="AH196" s="51" t="e">
        <f>Ticker0001_Exchange_Sheet!BG263-#REF!</f>
      </c>
      <c r="AI196" s="51" t="e">
        <f>Ticker0001_Exchange_Sheet!BH263-#REF!</f>
      </c>
      <c r="AJ196" s="51" t="e">
        <f>Ticker0001_Exchange_Sheet!BI263-#REF!</f>
      </c>
      <c r="AK196" s="51" t="e">
        <f>Ticker0001_Exchange_Sheet!BJ263-#REF!</f>
      </c>
      <c r="AL196" s="51" t="e">
        <f>Ticker0001_Exchange_Sheet!BK263-#REF!</f>
      </c>
      <c r="AM196" s="51" t="e">
        <f>Ticker0001_Exchange_Sheet!BL263-#REF!</f>
      </c>
      <c r="AN196" s="51" t="e">
        <f>Ticker0001_Exchange_Sheet!BM263-#REF!</f>
      </c>
      <c r="AO196" s="51" t="e">
        <f>Ticker0001_Exchange_Sheet!BN263-#REF!</f>
      </c>
      <c r="AP196" s="51" t="e">
        <f>Ticker0001_Exchange_Sheet!BO263-#REF!</f>
      </c>
      <c r="AQ196" s="51" t="e">
        <f>Ticker0001_Exchange_Sheet!BP263-#REF!</f>
      </c>
      <c r="AR196" s="51" t="e">
        <f>Ticker0001_Exchange_Sheet!BQ263-#REF!</f>
      </c>
      <c r="AS196" s="51" t="e">
        <f>Ticker0001_Exchange_Sheet!BR263-#REF!</f>
      </c>
      <c r="AT196" s="51" t="e">
        <f>Ticker0001_Exchange_Sheet!BS263-#REF!</f>
      </c>
      <c r="AU196" s="51" t="e">
        <f>Ticker0001_Exchange_Sheet!BT263-#REF!</f>
      </c>
      <c r="AV196" s="51" t="e">
        <f>Ticker0001_Exchange_Sheet!BU263-#REF!</f>
      </c>
      <c r="AW196" s="51" t="e">
        <f>Ticker0001_Exchange_Sheet!BV263-#REF!</f>
      </c>
      <c r="AX196" s="51" t="e">
        <f>Ticker0001_Exchange_Sheet!BW263-#REF!</f>
      </c>
      <c r="AY196" s="51" t="e">
        <f>Ticker0001_Exchange_Sheet!BX263-#REF!</f>
      </c>
      <c r="AZ196" s="51" t="e">
        <f>Ticker0001_Exchange_Sheet!BY263-#REF!</f>
      </c>
      <c r="BA196" s="51" t="e">
        <f>Ticker0001_Exchange_Sheet!BZ263-#REF!</f>
      </c>
      <c r="BB196" s="51" t="e">
        <f>Ticker0001_Exchange_Sheet!CA263-#REF!</f>
      </c>
      <c r="BC196" s="51" t="e">
        <f>Ticker0001_Exchange_Sheet!CB263-#REF!</f>
      </c>
      <c r="BD196" s="51" t="e">
        <f>Ticker0001_Exchange_Sheet!CC263-#REF!</f>
      </c>
      <c r="BE196" s="51" t="e">
        <f>Ticker0001_Exchange_Sheet!CD263-#REF!</f>
      </c>
      <c r="BF196" s="51" t="e">
        <f>Ticker0001_Exchange_Sheet!CE263-#REF!</f>
      </c>
      <c r="BG196" s="51" t="e">
        <f>Ticker0001_Exchange_Sheet!CF263-#REF!</f>
      </c>
      <c r="BH196" s="51" t="e">
        <f>Ticker0001_Exchange_Sheet!CG263-#REF!</f>
      </c>
      <c r="BI196" s="51" t="e">
        <f>Ticker0001_Exchange_Sheet!CH263-#REF!</f>
      </c>
      <c r="BJ196" s="51" t="e">
        <f>Ticker0001_Exchange_Sheet!CI263-#REF!</f>
      </c>
      <c r="BK196" s="51" t="e">
        <f>Ticker0001_Exchange_Sheet!CJ263-#REF!</f>
      </c>
      <c r="BL196" s="51" t="e">
        <f>Ticker0001_Exchange_Sheet!CK263-#REF!</f>
      </c>
      <c r="BM196" s="51" t="e">
        <f>Ticker0001_Exchange_Sheet!CL263-#REF!</f>
      </c>
      <c r="BN196" s="51" t="e">
        <f>Ticker0001_Exchange_Sheet!CM263-#REF!</f>
      </c>
      <c r="BO196" s="51" t="e">
        <f>Ticker0001_Exchange_Sheet!CN263-#REF!</f>
      </c>
      <c r="BP196" s="51" t="e">
        <f>Ticker0001_Exchange_Sheet!CO263-#REF!</f>
      </c>
      <c r="BQ196" s="51" t="e">
        <f>Ticker0001_Exchange_Sheet!CP263-#REF!</f>
      </c>
      <c r="BR196" s="51" t="e">
        <f>Ticker0001_Exchange_Sheet!CQ263-#REF!</f>
      </c>
      <c r="BS196" s="51" t="e">
        <f>Ticker0001_Exchange_Sheet!CR263-#REF!</f>
      </c>
      <c r="BT196" s="51" t="e">
        <f>Ticker0001_Exchange_Sheet!CS263-#REF!</f>
      </c>
      <c r="BU196" s="51" t="e">
        <f>Ticker0001_Exchange_Sheet!CT263-#REF!</f>
      </c>
      <c r="BV196" s="51" t="e">
        <f>Ticker0001_Exchange_Sheet!CU263-#REF!</f>
      </c>
      <c r="BW196" s="51" t="e">
        <f>Ticker0001_Exchange_Sheet!CV263-#REF!</f>
      </c>
      <c r="BX196" s="51" t="e">
        <f>Ticker0001_Exchange_Sheet!CW263-#REF!</f>
      </c>
      <c r="BY196" s="51" t="e">
        <f>Ticker0001_Exchange_Sheet!CX263-#REF!</f>
      </c>
      <c r="BZ196" s="51" t="e">
        <f>Ticker0001_Exchange_Sheet!CY263-#REF!</f>
      </c>
      <c r="CA196" s="51" t="e">
        <f>Ticker0001_Exchange_Sheet!CZ263-#REF!</f>
      </c>
      <c r="CB196" s="51" t="e">
        <f>Ticker0001_Exchange_Sheet!DA263-#REF!</f>
      </c>
      <c r="CC196" s="51" t="e">
        <f>Ticker0001_Exchange_Sheet!DB263-#REF!</f>
      </c>
      <c r="CD196" s="51" t="e">
        <f>Ticker0001_Exchange_Sheet!DC263-#REF!</f>
      </c>
      <c r="CE196" s="51" t="e">
        <f>Ticker0001_Exchange_Sheet!DD263-#REF!</f>
      </c>
      <c r="CF196" s="51" t="e">
        <f>Ticker0001_Exchange_Sheet!DE263-#REF!</f>
      </c>
    </row>
    <row r="197" spans="6:84">
      <c r="F197" s="51" t="e">
        <f>Ticker0001_Exchange_Sheet!F264-#REF!</f>
      </c>
      <c r="G197" s="51" t="e">
        <f>Ticker0001_Exchange_Sheet!G264-#REF!</f>
      </c>
      <c r="H197" s="51" t="e">
        <f>Ticker0001_Exchange_Sheet!H264-#REF!</f>
      </c>
      <c r="I197" s="51" t="e">
        <f>Ticker0001_Exchange_Sheet!I264-#REF!</f>
      </c>
      <c r="J197" s="51" t="e">
        <f>Ticker0001_Exchange_Sheet!J264-#REF!</f>
      </c>
      <c r="K197" s="51" t="e">
        <f>Ticker0001_Exchange_Sheet!K264-#REF!</f>
      </c>
      <c r="L197" s="51" t="e">
        <f>Ticker0001_Exchange_Sheet!L264-#REF!</f>
      </c>
      <c r="M197" s="51" t="e">
        <f>Ticker0001_Exchange_Sheet!M264-#REF!</f>
      </c>
      <c r="N197" s="51" t="e">
        <f>Ticker0001_Exchange_Sheet!N264-#REF!</f>
      </c>
      <c r="O197" s="51" t="e">
        <f>Ticker0001_Exchange_Sheet!O264-#REF!</f>
      </c>
      <c r="P197" s="51" t="e">
        <f>Ticker0001_Exchange_Sheet!P264-#REF!</f>
      </c>
      <c r="Q197" s="51" t="e">
        <f>Ticker0001_Exchange_Sheet!Q264-#REF!</f>
      </c>
      <c r="R197" s="51" t="e">
        <f>Ticker0001_Exchange_Sheet!R264-#REF!</f>
      </c>
      <c r="S197" s="51" t="e">
        <f>Ticker0001_Exchange_Sheet!S264-#REF!</f>
      </c>
      <c r="T197" s="51" t="e">
        <f>Ticker0001_Exchange_Sheet!T264-#REF!</f>
      </c>
      <c r="U197" s="51" t="e">
        <f>Ticker0001_Exchange_Sheet!U264-#REF!</f>
      </c>
      <c r="V197" s="51" t="e">
        <f>Ticker0001_Exchange_Sheet!V264-#REF!</f>
      </c>
      <c r="W197" s="51" t="e">
        <f>Ticker0001_Exchange_Sheet!W264-#REF!</f>
      </c>
      <c r="X197" s="51" t="e">
        <f>Ticker0001_Exchange_Sheet!AK264-#REF!</f>
      </c>
      <c r="Y197" s="51" t="e">
        <f>Ticker0001_Exchange_Sheet!AX264-#REF!</f>
      </c>
      <c r="Z197" s="51" t="e">
        <f>Ticker0001_Exchange_Sheet!AY264-#REF!</f>
      </c>
      <c r="AA197" s="51" t="e">
        <f>Ticker0001_Exchange_Sheet!AZ264-#REF!</f>
      </c>
      <c r="AB197" s="51" t="e">
        <f>Ticker0001_Exchange_Sheet!BA264-#REF!</f>
      </c>
      <c r="AC197" s="51" t="e">
        <f>Ticker0001_Exchange_Sheet!BB264-#REF!</f>
      </c>
      <c r="AD197" s="51" t="e">
        <f>Ticker0001_Exchange_Sheet!BC264-#REF!</f>
      </c>
      <c r="AE197" s="51" t="e">
        <f>Ticker0001_Exchange_Sheet!BD264-#REF!</f>
      </c>
      <c r="AF197" s="51" t="e">
        <f>Ticker0001_Exchange_Sheet!BE264-#REF!</f>
      </c>
      <c r="AG197" s="51" t="e">
        <f>Ticker0001_Exchange_Sheet!BF264-#REF!</f>
      </c>
      <c r="AH197" s="51" t="e">
        <f>Ticker0001_Exchange_Sheet!BG264-#REF!</f>
      </c>
      <c r="AI197" s="51" t="e">
        <f>Ticker0001_Exchange_Sheet!BH264-#REF!</f>
      </c>
      <c r="AJ197" s="51" t="e">
        <f>Ticker0001_Exchange_Sheet!BI264-#REF!</f>
      </c>
      <c r="AK197" s="51" t="e">
        <f>Ticker0001_Exchange_Sheet!BJ264-#REF!</f>
      </c>
      <c r="AL197" s="51" t="e">
        <f>Ticker0001_Exchange_Sheet!BK264-#REF!</f>
      </c>
      <c r="AM197" s="51" t="e">
        <f>Ticker0001_Exchange_Sheet!BL264-#REF!</f>
      </c>
      <c r="AN197" s="51" t="e">
        <f>Ticker0001_Exchange_Sheet!BM264-#REF!</f>
      </c>
      <c r="AO197" s="51" t="e">
        <f>Ticker0001_Exchange_Sheet!BN264-#REF!</f>
      </c>
      <c r="AP197" s="51" t="e">
        <f>Ticker0001_Exchange_Sheet!BO264-#REF!</f>
      </c>
      <c r="AQ197" s="51" t="e">
        <f>Ticker0001_Exchange_Sheet!BP264-#REF!</f>
      </c>
      <c r="AR197" s="51" t="e">
        <f>Ticker0001_Exchange_Sheet!BQ264-#REF!</f>
      </c>
      <c r="AS197" s="51" t="e">
        <f>Ticker0001_Exchange_Sheet!BR264-#REF!</f>
      </c>
      <c r="AT197" s="51" t="e">
        <f>Ticker0001_Exchange_Sheet!BS264-#REF!</f>
      </c>
      <c r="AU197" s="51" t="e">
        <f>Ticker0001_Exchange_Sheet!BT264-#REF!</f>
      </c>
      <c r="AV197" s="51" t="e">
        <f>Ticker0001_Exchange_Sheet!BU264-#REF!</f>
      </c>
      <c r="AW197" s="51" t="e">
        <f>Ticker0001_Exchange_Sheet!BV264-#REF!</f>
      </c>
      <c r="AX197" s="51" t="e">
        <f>Ticker0001_Exchange_Sheet!BW264-#REF!</f>
      </c>
      <c r="AY197" s="51" t="e">
        <f>Ticker0001_Exchange_Sheet!BX264-#REF!</f>
      </c>
      <c r="AZ197" s="51" t="e">
        <f>Ticker0001_Exchange_Sheet!BY264-#REF!</f>
      </c>
      <c r="BA197" s="51" t="e">
        <f>Ticker0001_Exchange_Sheet!BZ264-#REF!</f>
      </c>
      <c r="BB197" s="51" t="e">
        <f>Ticker0001_Exchange_Sheet!CA264-#REF!</f>
      </c>
      <c r="BC197" s="51" t="e">
        <f>Ticker0001_Exchange_Sheet!CB264-#REF!</f>
      </c>
      <c r="BD197" s="51" t="e">
        <f>Ticker0001_Exchange_Sheet!CC264-#REF!</f>
      </c>
      <c r="BE197" s="51" t="e">
        <f>Ticker0001_Exchange_Sheet!CD264-#REF!</f>
      </c>
      <c r="BF197" s="51" t="e">
        <f>Ticker0001_Exchange_Sheet!CE264-#REF!</f>
      </c>
      <c r="BG197" s="51" t="e">
        <f>Ticker0001_Exchange_Sheet!CF264-#REF!</f>
      </c>
      <c r="BH197" s="51" t="e">
        <f>Ticker0001_Exchange_Sheet!CG264-#REF!</f>
      </c>
      <c r="BI197" s="51" t="e">
        <f>Ticker0001_Exchange_Sheet!CH264-#REF!</f>
      </c>
      <c r="BJ197" s="51" t="e">
        <f>Ticker0001_Exchange_Sheet!CI264-#REF!</f>
      </c>
      <c r="BK197" s="51" t="e">
        <f>Ticker0001_Exchange_Sheet!CJ264-#REF!</f>
      </c>
      <c r="BL197" s="51" t="e">
        <f>Ticker0001_Exchange_Sheet!CK264-#REF!</f>
      </c>
      <c r="BM197" s="51" t="e">
        <f>Ticker0001_Exchange_Sheet!CL264-#REF!</f>
      </c>
      <c r="BN197" s="51" t="e">
        <f>Ticker0001_Exchange_Sheet!CM264-#REF!</f>
      </c>
      <c r="BO197" s="51" t="e">
        <f>Ticker0001_Exchange_Sheet!CN264-#REF!</f>
      </c>
      <c r="BP197" s="51" t="e">
        <f>Ticker0001_Exchange_Sheet!CO264-#REF!</f>
      </c>
      <c r="BQ197" s="51" t="e">
        <f>Ticker0001_Exchange_Sheet!CP264-#REF!</f>
      </c>
      <c r="BR197" s="51" t="e">
        <f>Ticker0001_Exchange_Sheet!CQ264-#REF!</f>
      </c>
      <c r="BS197" s="51" t="e">
        <f>Ticker0001_Exchange_Sheet!CR264-#REF!</f>
      </c>
      <c r="BT197" s="51" t="e">
        <f>Ticker0001_Exchange_Sheet!CS264-#REF!</f>
      </c>
      <c r="BU197" s="51" t="e">
        <f>Ticker0001_Exchange_Sheet!CT264-#REF!</f>
      </c>
      <c r="BV197" s="51" t="e">
        <f>Ticker0001_Exchange_Sheet!CU264-#REF!</f>
      </c>
      <c r="BW197" s="51" t="e">
        <f>Ticker0001_Exchange_Sheet!CV264-#REF!</f>
      </c>
      <c r="BX197" s="51" t="e">
        <f>Ticker0001_Exchange_Sheet!CW264-#REF!</f>
      </c>
      <c r="BY197" s="51" t="e">
        <f>Ticker0001_Exchange_Sheet!CX264-#REF!</f>
      </c>
      <c r="BZ197" s="51" t="e">
        <f>Ticker0001_Exchange_Sheet!CY264-#REF!</f>
      </c>
      <c r="CA197" s="51" t="e">
        <f>Ticker0001_Exchange_Sheet!CZ264-#REF!</f>
      </c>
      <c r="CB197" s="51" t="e">
        <f>Ticker0001_Exchange_Sheet!DA264-#REF!</f>
      </c>
      <c r="CC197" s="51" t="e">
        <f>Ticker0001_Exchange_Sheet!DB264-#REF!</f>
      </c>
      <c r="CD197" s="51" t="e">
        <f>Ticker0001_Exchange_Sheet!DC264-#REF!</f>
      </c>
      <c r="CE197" s="51" t="e">
        <f>Ticker0001_Exchange_Sheet!DD264-#REF!</f>
      </c>
      <c r="CF197" s="51" t="e">
        <f>Ticker0001_Exchange_Sheet!DE264-#REF!</f>
      </c>
    </row>
    <row r="198" spans="6:84">
      <c r="F198" s="51" t="e">
        <f>Ticker0001_Exchange_Sheet!F267-#REF!</f>
      </c>
      <c r="G198" s="51" t="e">
        <f>Ticker0001_Exchange_Sheet!G267-#REF!</f>
      </c>
      <c r="H198" s="51" t="e">
        <f>Ticker0001_Exchange_Sheet!H267-#REF!</f>
      </c>
      <c r="I198" s="51" t="e">
        <f>Ticker0001_Exchange_Sheet!I267-#REF!</f>
      </c>
      <c r="J198" s="51" t="e">
        <f>Ticker0001_Exchange_Sheet!J267-#REF!</f>
      </c>
      <c r="K198" s="51" t="e">
        <f>Ticker0001_Exchange_Sheet!K267-#REF!</f>
      </c>
      <c r="L198" s="51" t="e">
        <f>Ticker0001_Exchange_Sheet!L267-#REF!</f>
      </c>
      <c r="M198" s="51" t="e">
        <f>Ticker0001_Exchange_Sheet!M267-#REF!</f>
      </c>
      <c r="N198" s="51" t="e">
        <f>Ticker0001_Exchange_Sheet!N267-#REF!</f>
      </c>
      <c r="O198" s="51" t="e">
        <f>Ticker0001_Exchange_Sheet!O267-#REF!</f>
      </c>
      <c r="P198" s="51" t="e">
        <f>Ticker0001_Exchange_Sheet!P267-#REF!</f>
      </c>
      <c r="Q198" s="51" t="e">
        <f>Ticker0001_Exchange_Sheet!Q267-#REF!</f>
      </c>
      <c r="R198" s="51" t="e">
        <f>Ticker0001_Exchange_Sheet!R267-#REF!</f>
      </c>
      <c r="S198" s="51" t="e">
        <f>Ticker0001_Exchange_Sheet!S267-#REF!</f>
      </c>
      <c r="T198" s="51" t="e">
        <f>Ticker0001_Exchange_Sheet!T267-#REF!</f>
      </c>
      <c r="U198" s="51" t="e">
        <f>Ticker0001_Exchange_Sheet!U267-#REF!</f>
      </c>
      <c r="V198" s="51" t="e">
        <f>Ticker0001_Exchange_Sheet!V267-#REF!</f>
      </c>
      <c r="W198" s="51" t="e">
        <f>Ticker0001_Exchange_Sheet!W267-#REF!</f>
      </c>
      <c r="X198" s="51" t="e">
        <f>Ticker0001_Exchange_Sheet!AK267-#REF!</f>
      </c>
      <c r="Y198" s="51" t="e">
        <f>Ticker0001_Exchange_Sheet!AX267-#REF!</f>
      </c>
      <c r="Z198" s="51" t="e">
        <f>Ticker0001_Exchange_Sheet!AY267-#REF!</f>
      </c>
      <c r="AA198" s="51" t="e">
        <f>Ticker0001_Exchange_Sheet!AZ267-#REF!</f>
      </c>
      <c r="AB198" s="51" t="e">
        <f>Ticker0001_Exchange_Sheet!BA267-#REF!</f>
      </c>
      <c r="AC198" s="51" t="e">
        <f>Ticker0001_Exchange_Sheet!BB267-#REF!</f>
      </c>
      <c r="AD198" s="51" t="e">
        <f>Ticker0001_Exchange_Sheet!BC267-#REF!</f>
      </c>
      <c r="AE198" s="51" t="e">
        <f>Ticker0001_Exchange_Sheet!BD267-#REF!</f>
      </c>
      <c r="AF198" s="51" t="e">
        <f>Ticker0001_Exchange_Sheet!BE267-#REF!</f>
      </c>
      <c r="AG198" s="51" t="e">
        <f>Ticker0001_Exchange_Sheet!BF267-#REF!</f>
      </c>
      <c r="AH198" s="51" t="e">
        <f>Ticker0001_Exchange_Sheet!BG267-#REF!</f>
      </c>
      <c r="AI198" s="51" t="e">
        <f>Ticker0001_Exchange_Sheet!BH267-#REF!</f>
      </c>
      <c r="AJ198" s="51" t="e">
        <f>Ticker0001_Exchange_Sheet!BI267-#REF!</f>
      </c>
      <c r="AK198" s="51" t="e">
        <f>Ticker0001_Exchange_Sheet!BJ267-#REF!</f>
      </c>
      <c r="AL198" s="51" t="e">
        <f>Ticker0001_Exchange_Sheet!BK267-#REF!</f>
      </c>
      <c r="AM198" s="51" t="e">
        <f>Ticker0001_Exchange_Sheet!BL267-#REF!</f>
      </c>
      <c r="AN198" s="51" t="e">
        <f>Ticker0001_Exchange_Sheet!BM267-#REF!</f>
      </c>
      <c r="AO198" s="51" t="e">
        <f>Ticker0001_Exchange_Sheet!BN267-#REF!</f>
      </c>
      <c r="AP198" s="51" t="e">
        <f>Ticker0001_Exchange_Sheet!BO267-#REF!</f>
      </c>
      <c r="AQ198" s="51" t="e">
        <f>Ticker0001_Exchange_Sheet!BP267-#REF!</f>
      </c>
      <c r="AR198" s="51" t="e">
        <f>Ticker0001_Exchange_Sheet!BQ267-#REF!</f>
      </c>
      <c r="AS198" s="51" t="e">
        <f>Ticker0001_Exchange_Sheet!BR267-#REF!</f>
      </c>
      <c r="AT198" s="51" t="e">
        <f>Ticker0001_Exchange_Sheet!BS267-#REF!</f>
      </c>
      <c r="AU198" s="51" t="e">
        <f>Ticker0001_Exchange_Sheet!BT267-#REF!</f>
      </c>
      <c r="AV198" s="51" t="e">
        <f>Ticker0001_Exchange_Sheet!BU267-#REF!</f>
      </c>
      <c r="AW198" s="51" t="e">
        <f>Ticker0001_Exchange_Sheet!BV267-#REF!</f>
      </c>
      <c r="AX198" s="51" t="e">
        <f>Ticker0001_Exchange_Sheet!BW267-#REF!</f>
      </c>
      <c r="AY198" s="51" t="e">
        <f>Ticker0001_Exchange_Sheet!BX267-#REF!</f>
      </c>
      <c r="AZ198" s="51" t="e">
        <f>Ticker0001_Exchange_Sheet!BY267-#REF!</f>
      </c>
      <c r="BA198" s="51" t="e">
        <f>Ticker0001_Exchange_Sheet!BZ267-#REF!</f>
      </c>
      <c r="BB198" s="51" t="e">
        <f>Ticker0001_Exchange_Sheet!CA267-#REF!</f>
      </c>
      <c r="BC198" s="51" t="e">
        <f>Ticker0001_Exchange_Sheet!CB267-#REF!</f>
      </c>
      <c r="BD198" s="51" t="e">
        <f>Ticker0001_Exchange_Sheet!CC267-#REF!</f>
      </c>
      <c r="BE198" s="51" t="e">
        <f>Ticker0001_Exchange_Sheet!CD267-#REF!</f>
      </c>
      <c r="BF198" s="51" t="e">
        <f>Ticker0001_Exchange_Sheet!CE267-#REF!</f>
      </c>
      <c r="BG198" s="51" t="e">
        <f>Ticker0001_Exchange_Sheet!CF267-#REF!</f>
      </c>
      <c r="BH198" s="51" t="e">
        <f>Ticker0001_Exchange_Sheet!CG267-#REF!</f>
      </c>
      <c r="BI198" s="51" t="e">
        <f>Ticker0001_Exchange_Sheet!CH267-#REF!</f>
      </c>
      <c r="BJ198" s="51" t="e">
        <f>Ticker0001_Exchange_Sheet!CI267-#REF!</f>
      </c>
      <c r="BK198" s="51" t="e">
        <f>Ticker0001_Exchange_Sheet!CJ267-#REF!</f>
      </c>
      <c r="BL198" s="51" t="e">
        <f>Ticker0001_Exchange_Sheet!CK267-#REF!</f>
      </c>
      <c r="BM198" s="51" t="e">
        <f>Ticker0001_Exchange_Sheet!CL267-#REF!</f>
      </c>
      <c r="BN198" s="51" t="e">
        <f>Ticker0001_Exchange_Sheet!CM267-#REF!</f>
      </c>
      <c r="BO198" s="51" t="e">
        <f>Ticker0001_Exchange_Sheet!CN267-#REF!</f>
      </c>
      <c r="BP198" s="51" t="e">
        <f>Ticker0001_Exchange_Sheet!CO267-#REF!</f>
      </c>
      <c r="BQ198" s="51" t="e">
        <f>Ticker0001_Exchange_Sheet!CP267-#REF!</f>
      </c>
      <c r="BR198" s="51" t="e">
        <f>Ticker0001_Exchange_Sheet!CQ267-#REF!</f>
      </c>
      <c r="BS198" s="51" t="e">
        <f>Ticker0001_Exchange_Sheet!CR267-#REF!</f>
      </c>
      <c r="BT198" s="51" t="e">
        <f>Ticker0001_Exchange_Sheet!CS267-#REF!</f>
      </c>
      <c r="BU198" s="51" t="e">
        <f>Ticker0001_Exchange_Sheet!CT267-#REF!</f>
      </c>
      <c r="BV198" s="51" t="e">
        <f>Ticker0001_Exchange_Sheet!CU267-#REF!</f>
      </c>
      <c r="BW198" s="51" t="e">
        <f>Ticker0001_Exchange_Sheet!CV267-#REF!</f>
      </c>
      <c r="BX198" s="51" t="e">
        <f>Ticker0001_Exchange_Sheet!CW267-#REF!</f>
      </c>
      <c r="BY198" s="51" t="e">
        <f>Ticker0001_Exchange_Sheet!CX267-#REF!</f>
      </c>
      <c r="BZ198" s="51" t="e">
        <f>Ticker0001_Exchange_Sheet!CY267-#REF!</f>
      </c>
      <c r="CA198" s="51" t="e">
        <f>Ticker0001_Exchange_Sheet!CZ267-#REF!</f>
      </c>
      <c r="CB198" s="51" t="e">
        <f>Ticker0001_Exchange_Sheet!DA267-#REF!</f>
      </c>
      <c r="CC198" s="51" t="e">
        <f>Ticker0001_Exchange_Sheet!DB267-#REF!</f>
      </c>
      <c r="CD198" s="51" t="e">
        <f>Ticker0001_Exchange_Sheet!DC267-#REF!</f>
      </c>
      <c r="CE198" s="51" t="e">
        <f>Ticker0001_Exchange_Sheet!DD267-#REF!</f>
      </c>
      <c r="CF198" s="51" t="e">
        <f>Ticker0001_Exchange_Sheet!DE267-#REF!</f>
      </c>
    </row>
    <row r="199" spans="6:84">
      <c r="F199" s="51" t="e">
        <f>Ticker0001_Exchange_Sheet!F268-#REF!</f>
      </c>
      <c r="G199" s="51" t="e">
        <f>Ticker0001_Exchange_Sheet!G268-#REF!</f>
      </c>
      <c r="H199" s="51" t="e">
        <f>Ticker0001_Exchange_Sheet!H268-#REF!</f>
      </c>
      <c r="I199" s="51" t="e">
        <f>Ticker0001_Exchange_Sheet!I268-#REF!</f>
      </c>
      <c r="J199" s="51" t="e">
        <f>Ticker0001_Exchange_Sheet!J268-#REF!</f>
      </c>
      <c r="K199" s="51" t="e">
        <f>Ticker0001_Exchange_Sheet!K268-#REF!</f>
      </c>
      <c r="L199" s="51" t="e">
        <f>Ticker0001_Exchange_Sheet!L268-#REF!</f>
      </c>
      <c r="M199" s="51" t="e">
        <f>Ticker0001_Exchange_Sheet!M268-#REF!</f>
      </c>
      <c r="N199" s="51" t="e">
        <f>Ticker0001_Exchange_Sheet!N268-#REF!</f>
      </c>
      <c r="O199" s="51" t="e">
        <f>Ticker0001_Exchange_Sheet!O268-#REF!</f>
      </c>
      <c r="P199" s="51" t="e">
        <f>Ticker0001_Exchange_Sheet!P268-#REF!</f>
      </c>
      <c r="Q199" s="51" t="e">
        <f>Ticker0001_Exchange_Sheet!Q268-#REF!</f>
      </c>
      <c r="R199" s="51" t="e">
        <f>Ticker0001_Exchange_Sheet!R268-#REF!</f>
      </c>
      <c r="S199" s="51" t="e">
        <f>Ticker0001_Exchange_Sheet!S268-#REF!</f>
      </c>
      <c r="T199" s="51" t="e">
        <f>Ticker0001_Exchange_Sheet!T268-#REF!</f>
      </c>
      <c r="U199" s="51" t="e">
        <f>Ticker0001_Exchange_Sheet!U268-#REF!</f>
      </c>
      <c r="V199" s="51" t="e">
        <f>Ticker0001_Exchange_Sheet!V268-#REF!</f>
      </c>
      <c r="W199" s="51" t="e">
        <f>Ticker0001_Exchange_Sheet!W268-#REF!</f>
      </c>
      <c r="X199" s="51" t="e">
        <f>Ticker0001_Exchange_Sheet!AK268-#REF!</f>
      </c>
      <c r="Y199" s="51" t="e">
        <f>Ticker0001_Exchange_Sheet!AX268-#REF!</f>
      </c>
      <c r="Z199" s="51" t="e">
        <f>Ticker0001_Exchange_Sheet!AY268-#REF!</f>
      </c>
      <c r="AA199" s="51" t="e">
        <f>Ticker0001_Exchange_Sheet!AZ268-#REF!</f>
      </c>
      <c r="AB199" s="51" t="e">
        <f>Ticker0001_Exchange_Sheet!BA268-#REF!</f>
      </c>
      <c r="AC199" s="51" t="e">
        <f>Ticker0001_Exchange_Sheet!BB268-#REF!</f>
      </c>
      <c r="AD199" s="51" t="e">
        <f>Ticker0001_Exchange_Sheet!BC268-#REF!</f>
      </c>
      <c r="AE199" s="51" t="e">
        <f>Ticker0001_Exchange_Sheet!BD268-#REF!</f>
      </c>
      <c r="AF199" s="51" t="e">
        <f>Ticker0001_Exchange_Sheet!BE268-#REF!</f>
      </c>
      <c r="AG199" s="51" t="e">
        <f>Ticker0001_Exchange_Sheet!BF268-#REF!</f>
      </c>
      <c r="AH199" s="51" t="e">
        <f>Ticker0001_Exchange_Sheet!BG268-#REF!</f>
      </c>
      <c r="AI199" s="51" t="e">
        <f>Ticker0001_Exchange_Sheet!BH268-#REF!</f>
      </c>
      <c r="AJ199" s="51" t="e">
        <f>Ticker0001_Exchange_Sheet!BI268-#REF!</f>
      </c>
      <c r="AK199" s="51" t="e">
        <f>Ticker0001_Exchange_Sheet!BJ268-#REF!</f>
      </c>
      <c r="AL199" s="51" t="e">
        <f>Ticker0001_Exchange_Sheet!BK268-#REF!</f>
      </c>
      <c r="AM199" s="51" t="e">
        <f>Ticker0001_Exchange_Sheet!BL268-#REF!</f>
      </c>
      <c r="AN199" s="51" t="e">
        <f>Ticker0001_Exchange_Sheet!BM268-#REF!</f>
      </c>
      <c r="AO199" s="51" t="e">
        <f>Ticker0001_Exchange_Sheet!BN268-#REF!</f>
      </c>
      <c r="AP199" s="51" t="e">
        <f>Ticker0001_Exchange_Sheet!BO268-#REF!</f>
      </c>
      <c r="AQ199" s="51" t="e">
        <f>Ticker0001_Exchange_Sheet!BP268-#REF!</f>
      </c>
      <c r="AR199" s="51" t="e">
        <f>Ticker0001_Exchange_Sheet!BQ268-#REF!</f>
      </c>
      <c r="AS199" s="51" t="e">
        <f>Ticker0001_Exchange_Sheet!BR268-#REF!</f>
      </c>
      <c r="AT199" s="51" t="e">
        <f>Ticker0001_Exchange_Sheet!BS268-#REF!</f>
      </c>
      <c r="AU199" s="51" t="e">
        <f>Ticker0001_Exchange_Sheet!BT268-#REF!</f>
      </c>
      <c r="AV199" s="51" t="e">
        <f>Ticker0001_Exchange_Sheet!BU268-#REF!</f>
      </c>
      <c r="AW199" s="51" t="e">
        <f>Ticker0001_Exchange_Sheet!BV268-#REF!</f>
      </c>
      <c r="AX199" s="51" t="e">
        <f>Ticker0001_Exchange_Sheet!BW268-#REF!</f>
      </c>
      <c r="AY199" s="51" t="e">
        <f>Ticker0001_Exchange_Sheet!BX268-#REF!</f>
      </c>
      <c r="AZ199" s="51" t="e">
        <f>Ticker0001_Exchange_Sheet!BY268-#REF!</f>
      </c>
      <c r="BA199" s="51" t="e">
        <f>Ticker0001_Exchange_Sheet!BZ268-#REF!</f>
      </c>
      <c r="BB199" s="51" t="e">
        <f>Ticker0001_Exchange_Sheet!CA268-#REF!</f>
      </c>
      <c r="BC199" s="51" t="e">
        <f>Ticker0001_Exchange_Sheet!CB268-#REF!</f>
      </c>
      <c r="BD199" s="51" t="e">
        <f>Ticker0001_Exchange_Sheet!CC268-#REF!</f>
      </c>
      <c r="BE199" s="51" t="e">
        <f>Ticker0001_Exchange_Sheet!CD268-#REF!</f>
      </c>
      <c r="BF199" s="51" t="e">
        <f>Ticker0001_Exchange_Sheet!CE268-#REF!</f>
      </c>
      <c r="BG199" s="51" t="e">
        <f>Ticker0001_Exchange_Sheet!CF268-#REF!</f>
      </c>
      <c r="BH199" s="51" t="e">
        <f>Ticker0001_Exchange_Sheet!CG268-#REF!</f>
      </c>
      <c r="BI199" s="51" t="e">
        <f>Ticker0001_Exchange_Sheet!CH268-#REF!</f>
      </c>
      <c r="BJ199" s="51" t="e">
        <f>Ticker0001_Exchange_Sheet!CI268-#REF!</f>
      </c>
      <c r="BK199" s="51" t="e">
        <f>Ticker0001_Exchange_Sheet!CJ268-#REF!</f>
      </c>
      <c r="BL199" s="51" t="e">
        <f>Ticker0001_Exchange_Sheet!CK268-#REF!</f>
      </c>
      <c r="BM199" s="51" t="e">
        <f>Ticker0001_Exchange_Sheet!CL268-#REF!</f>
      </c>
      <c r="BN199" s="51" t="e">
        <f>Ticker0001_Exchange_Sheet!CM268-#REF!</f>
      </c>
      <c r="BO199" s="51" t="e">
        <f>Ticker0001_Exchange_Sheet!CN268-#REF!</f>
      </c>
      <c r="BP199" s="51" t="e">
        <f>Ticker0001_Exchange_Sheet!CO268-#REF!</f>
      </c>
      <c r="BQ199" s="51" t="e">
        <f>Ticker0001_Exchange_Sheet!CP268-#REF!</f>
      </c>
      <c r="BR199" s="51" t="e">
        <f>Ticker0001_Exchange_Sheet!CQ268-#REF!</f>
      </c>
      <c r="BS199" s="51" t="e">
        <f>Ticker0001_Exchange_Sheet!CR268-#REF!</f>
      </c>
      <c r="BT199" s="51" t="e">
        <f>Ticker0001_Exchange_Sheet!CS268-#REF!</f>
      </c>
      <c r="BU199" s="51" t="e">
        <f>Ticker0001_Exchange_Sheet!CT268-#REF!</f>
      </c>
      <c r="BV199" s="51" t="e">
        <f>Ticker0001_Exchange_Sheet!CU268-#REF!</f>
      </c>
      <c r="BW199" s="51" t="e">
        <f>Ticker0001_Exchange_Sheet!CV268-#REF!</f>
      </c>
      <c r="BX199" s="51" t="e">
        <f>Ticker0001_Exchange_Sheet!CW268-#REF!</f>
      </c>
      <c r="BY199" s="51" t="e">
        <f>Ticker0001_Exchange_Sheet!CX268-#REF!</f>
      </c>
      <c r="BZ199" s="51" t="e">
        <f>Ticker0001_Exchange_Sheet!CY268-#REF!</f>
      </c>
      <c r="CA199" s="51" t="e">
        <f>Ticker0001_Exchange_Sheet!CZ268-#REF!</f>
      </c>
      <c r="CB199" s="51" t="e">
        <f>Ticker0001_Exchange_Sheet!DA268-#REF!</f>
      </c>
      <c r="CC199" s="51" t="e">
        <f>Ticker0001_Exchange_Sheet!DB268-#REF!</f>
      </c>
      <c r="CD199" s="51" t="e">
        <f>Ticker0001_Exchange_Sheet!DC268-#REF!</f>
      </c>
      <c r="CE199" s="51" t="e">
        <f>Ticker0001_Exchange_Sheet!DD268-#REF!</f>
      </c>
      <c r="CF199" s="51" t="e">
        <f>Ticker0001_Exchange_Sheet!DE268-#REF!</f>
      </c>
    </row>
    <row r="200" spans="6:84">
      <c r="F200" s="51" t="e">
        <f>Ticker0001_Exchange_Sheet!F269-#REF!</f>
      </c>
      <c r="G200" s="51" t="e">
        <f>Ticker0001_Exchange_Sheet!G269-#REF!</f>
      </c>
      <c r="H200" s="51" t="e">
        <f>Ticker0001_Exchange_Sheet!H269-#REF!</f>
      </c>
      <c r="I200" s="51" t="e">
        <f>Ticker0001_Exchange_Sheet!I269-#REF!</f>
      </c>
      <c r="J200" s="51" t="e">
        <f>Ticker0001_Exchange_Sheet!J269-#REF!</f>
      </c>
      <c r="K200" s="51" t="e">
        <f>Ticker0001_Exchange_Sheet!K269-#REF!</f>
      </c>
      <c r="L200" s="51" t="e">
        <f>Ticker0001_Exchange_Sheet!L269-#REF!</f>
      </c>
      <c r="M200" s="51" t="e">
        <f>Ticker0001_Exchange_Sheet!M269-#REF!</f>
      </c>
      <c r="N200" s="51" t="e">
        <f>Ticker0001_Exchange_Sheet!N269-#REF!</f>
      </c>
      <c r="O200" s="51" t="e">
        <f>Ticker0001_Exchange_Sheet!O269-#REF!</f>
      </c>
      <c r="P200" s="51" t="e">
        <f>Ticker0001_Exchange_Sheet!P269-#REF!</f>
      </c>
      <c r="Q200" s="51" t="e">
        <f>Ticker0001_Exchange_Sheet!Q269-#REF!</f>
      </c>
      <c r="R200" s="51" t="e">
        <f>Ticker0001_Exchange_Sheet!R269-#REF!</f>
      </c>
      <c r="S200" s="51" t="e">
        <f>Ticker0001_Exchange_Sheet!S269-#REF!</f>
      </c>
      <c r="T200" s="51" t="e">
        <f>Ticker0001_Exchange_Sheet!T269-#REF!</f>
      </c>
      <c r="U200" s="51" t="e">
        <f>Ticker0001_Exchange_Sheet!U269-#REF!</f>
      </c>
      <c r="V200" s="51" t="e">
        <f>Ticker0001_Exchange_Sheet!V269-#REF!</f>
      </c>
      <c r="W200" s="51" t="e">
        <f>Ticker0001_Exchange_Sheet!W269-#REF!</f>
      </c>
      <c r="X200" s="51" t="e">
        <f>Ticker0001_Exchange_Sheet!AK269-#REF!</f>
      </c>
      <c r="Y200" s="51" t="e">
        <f>Ticker0001_Exchange_Sheet!AX269-#REF!</f>
      </c>
      <c r="Z200" s="51" t="e">
        <f>Ticker0001_Exchange_Sheet!AY269-#REF!</f>
      </c>
      <c r="AA200" s="51" t="e">
        <f>Ticker0001_Exchange_Sheet!AZ269-#REF!</f>
      </c>
      <c r="AB200" s="51" t="e">
        <f>Ticker0001_Exchange_Sheet!BA269-#REF!</f>
      </c>
      <c r="AC200" s="51" t="e">
        <f>Ticker0001_Exchange_Sheet!BB269-#REF!</f>
      </c>
      <c r="AD200" s="51" t="e">
        <f>Ticker0001_Exchange_Sheet!BC269-#REF!</f>
      </c>
      <c r="AE200" s="51" t="e">
        <f>Ticker0001_Exchange_Sheet!BD269-#REF!</f>
      </c>
      <c r="AF200" s="51" t="e">
        <f>Ticker0001_Exchange_Sheet!BE269-#REF!</f>
      </c>
      <c r="AG200" s="51" t="e">
        <f>Ticker0001_Exchange_Sheet!BF269-#REF!</f>
      </c>
      <c r="AH200" s="51" t="e">
        <f>Ticker0001_Exchange_Sheet!BG269-#REF!</f>
      </c>
      <c r="AI200" s="51" t="e">
        <f>Ticker0001_Exchange_Sheet!BH269-#REF!</f>
      </c>
      <c r="AJ200" s="51" t="e">
        <f>Ticker0001_Exchange_Sheet!BI269-#REF!</f>
      </c>
      <c r="AK200" s="51" t="e">
        <f>Ticker0001_Exchange_Sheet!BJ269-#REF!</f>
      </c>
      <c r="AL200" s="51" t="e">
        <f>Ticker0001_Exchange_Sheet!BK269-#REF!</f>
      </c>
      <c r="AM200" s="51" t="e">
        <f>Ticker0001_Exchange_Sheet!BL269-#REF!</f>
      </c>
      <c r="AN200" s="51" t="e">
        <f>Ticker0001_Exchange_Sheet!BM269-#REF!</f>
      </c>
      <c r="AO200" s="51" t="e">
        <f>Ticker0001_Exchange_Sheet!BN269-#REF!</f>
      </c>
      <c r="AP200" s="51" t="e">
        <f>Ticker0001_Exchange_Sheet!BO269-#REF!</f>
      </c>
      <c r="AQ200" s="51" t="e">
        <f>Ticker0001_Exchange_Sheet!BP269-#REF!</f>
      </c>
      <c r="AR200" s="51" t="e">
        <f>Ticker0001_Exchange_Sheet!BQ269-#REF!</f>
      </c>
      <c r="AS200" s="51" t="e">
        <f>Ticker0001_Exchange_Sheet!BR269-#REF!</f>
      </c>
      <c r="AT200" s="51" t="e">
        <f>Ticker0001_Exchange_Sheet!BS269-#REF!</f>
      </c>
      <c r="AU200" s="51" t="e">
        <f>Ticker0001_Exchange_Sheet!BT269-#REF!</f>
      </c>
      <c r="AV200" s="51" t="e">
        <f>Ticker0001_Exchange_Sheet!BU269-#REF!</f>
      </c>
      <c r="AW200" s="51" t="e">
        <f>Ticker0001_Exchange_Sheet!BV269-#REF!</f>
      </c>
      <c r="AX200" s="51" t="e">
        <f>Ticker0001_Exchange_Sheet!BW269-#REF!</f>
      </c>
      <c r="AY200" s="51" t="e">
        <f>Ticker0001_Exchange_Sheet!BX269-#REF!</f>
      </c>
      <c r="AZ200" s="51" t="e">
        <f>Ticker0001_Exchange_Sheet!BY269-#REF!</f>
      </c>
      <c r="BA200" s="51" t="e">
        <f>Ticker0001_Exchange_Sheet!BZ269-#REF!</f>
      </c>
      <c r="BB200" s="51" t="e">
        <f>Ticker0001_Exchange_Sheet!CA269-#REF!</f>
      </c>
      <c r="BC200" s="51" t="e">
        <f>Ticker0001_Exchange_Sheet!CB269-#REF!</f>
      </c>
      <c r="BD200" s="51" t="e">
        <f>Ticker0001_Exchange_Sheet!CC269-#REF!</f>
      </c>
      <c r="BE200" s="51" t="e">
        <f>Ticker0001_Exchange_Sheet!CD269-#REF!</f>
      </c>
      <c r="BF200" s="51" t="e">
        <f>Ticker0001_Exchange_Sheet!CE269-#REF!</f>
      </c>
      <c r="BG200" s="51" t="e">
        <f>Ticker0001_Exchange_Sheet!CF269-#REF!</f>
      </c>
      <c r="BH200" s="51" t="e">
        <f>Ticker0001_Exchange_Sheet!CG269-#REF!</f>
      </c>
      <c r="BI200" s="51" t="e">
        <f>Ticker0001_Exchange_Sheet!CH269-#REF!</f>
      </c>
      <c r="BJ200" s="51" t="e">
        <f>Ticker0001_Exchange_Sheet!CI269-#REF!</f>
      </c>
      <c r="BK200" s="51" t="e">
        <f>Ticker0001_Exchange_Sheet!CJ269-#REF!</f>
      </c>
      <c r="BL200" s="51" t="e">
        <f>Ticker0001_Exchange_Sheet!CK269-#REF!</f>
      </c>
      <c r="BM200" s="51" t="e">
        <f>Ticker0001_Exchange_Sheet!CL269-#REF!</f>
      </c>
      <c r="BN200" s="51" t="e">
        <f>Ticker0001_Exchange_Sheet!CM269-#REF!</f>
      </c>
      <c r="BO200" s="51" t="e">
        <f>Ticker0001_Exchange_Sheet!CN269-#REF!</f>
      </c>
      <c r="BP200" s="51" t="e">
        <f>Ticker0001_Exchange_Sheet!CO269-#REF!</f>
      </c>
      <c r="BQ200" s="51" t="e">
        <f>Ticker0001_Exchange_Sheet!CP269-#REF!</f>
      </c>
      <c r="BR200" s="51" t="e">
        <f>Ticker0001_Exchange_Sheet!CQ269-#REF!</f>
      </c>
      <c r="BS200" s="51" t="e">
        <f>Ticker0001_Exchange_Sheet!CR269-#REF!</f>
      </c>
      <c r="BT200" s="51" t="e">
        <f>Ticker0001_Exchange_Sheet!CS269-#REF!</f>
      </c>
      <c r="BU200" s="51" t="e">
        <f>Ticker0001_Exchange_Sheet!CT269-#REF!</f>
      </c>
      <c r="BV200" s="51" t="e">
        <f>Ticker0001_Exchange_Sheet!CU269-#REF!</f>
      </c>
      <c r="BW200" s="51" t="e">
        <f>Ticker0001_Exchange_Sheet!CV269-#REF!</f>
      </c>
      <c r="BX200" s="51" t="e">
        <f>Ticker0001_Exchange_Sheet!CW269-#REF!</f>
      </c>
      <c r="BY200" s="51" t="e">
        <f>Ticker0001_Exchange_Sheet!CX269-#REF!</f>
      </c>
      <c r="BZ200" s="51" t="e">
        <f>Ticker0001_Exchange_Sheet!CY269-#REF!</f>
      </c>
      <c r="CA200" s="51" t="e">
        <f>Ticker0001_Exchange_Sheet!CZ269-#REF!</f>
      </c>
      <c r="CB200" s="51" t="e">
        <f>Ticker0001_Exchange_Sheet!DA269-#REF!</f>
      </c>
      <c r="CC200" s="51" t="e">
        <f>Ticker0001_Exchange_Sheet!DB269-#REF!</f>
      </c>
      <c r="CD200" s="51" t="e">
        <f>Ticker0001_Exchange_Sheet!DC269-#REF!</f>
      </c>
      <c r="CE200" s="51" t="e">
        <f>Ticker0001_Exchange_Sheet!DD269-#REF!</f>
      </c>
      <c r="CF200" s="51" t="e">
        <f>Ticker0001_Exchange_Sheet!DE269-#REF!</f>
      </c>
    </row>
    <row r="201" spans="6:84">
      <c r="F201" s="51" t="e">
        <f>Ticker0001_Exchange_Sheet!F270-#REF!</f>
      </c>
      <c r="G201" s="51" t="e">
        <f>Ticker0001_Exchange_Sheet!G270-#REF!</f>
      </c>
      <c r="H201" s="51" t="e">
        <f>Ticker0001_Exchange_Sheet!H270-#REF!</f>
      </c>
      <c r="I201" s="51" t="e">
        <f>Ticker0001_Exchange_Sheet!I270-#REF!</f>
      </c>
      <c r="J201" s="51" t="e">
        <f>Ticker0001_Exchange_Sheet!J270-#REF!</f>
      </c>
      <c r="K201" s="51" t="e">
        <f>Ticker0001_Exchange_Sheet!K270-#REF!</f>
      </c>
      <c r="L201" s="51" t="e">
        <f>Ticker0001_Exchange_Sheet!L270-#REF!</f>
      </c>
      <c r="M201" s="51" t="e">
        <f>Ticker0001_Exchange_Sheet!M270-#REF!</f>
      </c>
      <c r="N201" s="51" t="e">
        <f>Ticker0001_Exchange_Sheet!N270-#REF!</f>
      </c>
      <c r="O201" s="51" t="e">
        <f>Ticker0001_Exchange_Sheet!O270-#REF!</f>
      </c>
      <c r="P201" s="51" t="e">
        <f>Ticker0001_Exchange_Sheet!P270-#REF!</f>
      </c>
      <c r="Q201" s="51" t="e">
        <f>Ticker0001_Exchange_Sheet!Q270-#REF!</f>
      </c>
      <c r="R201" s="51" t="e">
        <f>Ticker0001_Exchange_Sheet!R270-#REF!</f>
      </c>
      <c r="S201" s="51" t="e">
        <f>Ticker0001_Exchange_Sheet!S270-#REF!</f>
      </c>
      <c r="T201" s="51" t="e">
        <f>Ticker0001_Exchange_Sheet!T270-#REF!</f>
      </c>
      <c r="U201" s="51" t="e">
        <f>Ticker0001_Exchange_Sheet!U270-#REF!</f>
      </c>
      <c r="V201" s="51" t="e">
        <f>Ticker0001_Exchange_Sheet!V270-#REF!</f>
      </c>
      <c r="W201" s="51" t="e">
        <f>Ticker0001_Exchange_Sheet!W270-#REF!</f>
      </c>
      <c r="X201" s="51" t="e">
        <f>Ticker0001_Exchange_Sheet!AK270-#REF!</f>
      </c>
      <c r="Y201" s="51" t="e">
        <f>Ticker0001_Exchange_Sheet!AX270-#REF!</f>
      </c>
      <c r="Z201" s="51" t="e">
        <f>Ticker0001_Exchange_Sheet!AY270-#REF!</f>
      </c>
      <c r="AA201" s="51" t="e">
        <f>Ticker0001_Exchange_Sheet!AZ270-#REF!</f>
      </c>
      <c r="AB201" s="51" t="e">
        <f>Ticker0001_Exchange_Sheet!BA270-#REF!</f>
      </c>
      <c r="AC201" s="51" t="e">
        <f>Ticker0001_Exchange_Sheet!BB270-#REF!</f>
      </c>
      <c r="AD201" s="51" t="e">
        <f>Ticker0001_Exchange_Sheet!BC270-#REF!</f>
      </c>
      <c r="AE201" s="51" t="e">
        <f>Ticker0001_Exchange_Sheet!BD270-#REF!</f>
      </c>
      <c r="AF201" s="51" t="e">
        <f>Ticker0001_Exchange_Sheet!BE270-#REF!</f>
      </c>
      <c r="AG201" s="51" t="e">
        <f>Ticker0001_Exchange_Sheet!BF270-#REF!</f>
      </c>
      <c r="AH201" s="51" t="e">
        <f>Ticker0001_Exchange_Sheet!BG270-#REF!</f>
      </c>
      <c r="AI201" s="51" t="e">
        <f>Ticker0001_Exchange_Sheet!BH270-#REF!</f>
      </c>
      <c r="AJ201" s="51" t="e">
        <f>Ticker0001_Exchange_Sheet!BI270-#REF!</f>
      </c>
      <c r="AK201" s="51" t="e">
        <f>Ticker0001_Exchange_Sheet!BJ270-#REF!</f>
      </c>
      <c r="AL201" s="51" t="e">
        <f>Ticker0001_Exchange_Sheet!BK270-#REF!</f>
      </c>
      <c r="AM201" s="51" t="e">
        <f>Ticker0001_Exchange_Sheet!BL270-#REF!</f>
      </c>
      <c r="AN201" s="51" t="e">
        <f>Ticker0001_Exchange_Sheet!BM270-#REF!</f>
      </c>
      <c r="AO201" s="51" t="e">
        <f>Ticker0001_Exchange_Sheet!BN270-#REF!</f>
      </c>
      <c r="AP201" s="51" t="e">
        <f>Ticker0001_Exchange_Sheet!BO270-#REF!</f>
      </c>
      <c r="AQ201" s="51" t="e">
        <f>Ticker0001_Exchange_Sheet!BP270-#REF!</f>
      </c>
      <c r="AR201" s="51" t="e">
        <f>Ticker0001_Exchange_Sheet!BQ270-#REF!</f>
      </c>
      <c r="AS201" s="51" t="e">
        <f>Ticker0001_Exchange_Sheet!BR270-#REF!</f>
      </c>
      <c r="AT201" s="51" t="e">
        <f>Ticker0001_Exchange_Sheet!BS270-#REF!</f>
      </c>
      <c r="AU201" s="51" t="e">
        <f>Ticker0001_Exchange_Sheet!BT270-#REF!</f>
      </c>
      <c r="AV201" s="51" t="e">
        <f>Ticker0001_Exchange_Sheet!BU270-#REF!</f>
      </c>
      <c r="AW201" s="51" t="e">
        <f>Ticker0001_Exchange_Sheet!BV270-#REF!</f>
      </c>
      <c r="AX201" s="51" t="e">
        <f>Ticker0001_Exchange_Sheet!BW270-#REF!</f>
      </c>
      <c r="AY201" s="51" t="e">
        <f>Ticker0001_Exchange_Sheet!BX270-#REF!</f>
      </c>
      <c r="AZ201" s="51" t="e">
        <f>Ticker0001_Exchange_Sheet!BY270-#REF!</f>
      </c>
      <c r="BA201" s="51" t="e">
        <f>Ticker0001_Exchange_Sheet!BZ270-#REF!</f>
      </c>
      <c r="BB201" s="51" t="e">
        <f>Ticker0001_Exchange_Sheet!CA270-#REF!</f>
      </c>
      <c r="BC201" s="51" t="e">
        <f>Ticker0001_Exchange_Sheet!CB270-#REF!</f>
      </c>
      <c r="BD201" s="51" t="e">
        <f>Ticker0001_Exchange_Sheet!CC270-#REF!</f>
      </c>
      <c r="BE201" s="51" t="e">
        <f>Ticker0001_Exchange_Sheet!CD270-#REF!</f>
      </c>
      <c r="BF201" s="51" t="e">
        <f>Ticker0001_Exchange_Sheet!CE270-#REF!</f>
      </c>
      <c r="BG201" s="51" t="e">
        <f>Ticker0001_Exchange_Sheet!CF270-#REF!</f>
      </c>
      <c r="BH201" s="51" t="e">
        <f>Ticker0001_Exchange_Sheet!CG270-#REF!</f>
      </c>
      <c r="BI201" s="51" t="e">
        <f>Ticker0001_Exchange_Sheet!CH270-#REF!</f>
      </c>
      <c r="BJ201" s="51" t="e">
        <f>Ticker0001_Exchange_Sheet!CI270-#REF!</f>
      </c>
      <c r="BK201" s="51" t="e">
        <f>Ticker0001_Exchange_Sheet!CJ270-#REF!</f>
      </c>
      <c r="BL201" s="51" t="e">
        <f>Ticker0001_Exchange_Sheet!CK270-#REF!</f>
      </c>
      <c r="BM201" s="51" t="e">
        <f>Ticker0001_Exchange_Sheet!CL270-#REF!</f>
      </c>
      <c r="BN201" s="51" t="e">
        <f>Ticker0001_Exchange_Sheet!CM270-#REF!</f>
      </c>
      <c r="BO201" s="51" t="e">
        <f>Ticker0001_Exchange_Sheet!CN270-#REF!</f>
      </c>
      <c r="BP201" s="51" t="e">
        <f>Ticker0001_Exchange_Sheet!CO270-#REF!</f>
      </c>
      <c r="BQ201" s="51" t="e">
        <f>Ticker0001_Exchange_Sheet!CP270-#REF!</f>
      </c>
      <c r="BR201" s="51" t="e">
        <f>Ticker0001_Exchange_Sheet!CQ270-#REF!</f>
      </c>
      <c r="BS201" s="51" t="e">
        <f>Ticker0001_Exchange_Sheet!CR270-#REF!</f>
      </c>
      <c r="BT201" s="51" t="e">
        <f>Ticker0001_Exchange_Sheet!CS270-#REF!</f>
      </c>
      <c r="BU201" s="51" t="e">
        <f>Ticker0001_Exchange_Sheet!CT270-#REF!</f>
      </c>
      <c r="BV201" s="51" t="e">
        <f>Ticker0001_Exchange_Sheet!CU270-#REF!</f>
      </c>
      <c r="BW201" s="51" t="e">
        <f>Ticker0001_Exchange_Sheet!CV270-#REF!</f>
      </c>
      <c r="BX201" s="51" t="e">
        <f>Ticker0001_Exchange_Sheet!CW270-#REF!</f>
      </c>
      <c r="BY201" s="51" t="e">
        <f>Ticker0001_Exchange_Sheet!CX270-#REF!</f>
      </c>
      <c r="BZ201" s="51" t="e">
        <f>Ticker0001_Exchange_Sheet!CY270-#REF!</f>
      </c>
      <c r="CA201" s="51" t="e">
        <f>Ticker0001_Exchange_Sheet!CZ270-#REF!</f>
      </c>
      <c r="CB201" s="51" t="e">
        <f>Ticker0001_Exchange_Sheet!DA270-#REF!</f>
      </c>
      <c r="CC201" s="51" t="e">
        <f>Ticker0001_Exchange_Sheet!DB270-#REF!</f>
      </c>
      <c r="CD201" s="51" t="e">
        <f>Ticker0001_Exchange_Sheet!DC270-#REF!</f>
      </c>
      <c r="CE201" s="51" t="e">
        <f>Ticker0001_Exchange_Sheet!DD270-#REF!</f>
      </c>
      <c r="CF201" s="51" t="e">
        <f>Ticker0001_Exchange_Sheet!DE270-#REF!</f>
      </c>
    </row>
    <row r="202" spans="6:84">
      <c r="F202" s="51" t="e">
        <f>Ticker0001_Exchange_Sheet!F271-#REF!</f>
      </c>
      <c r="G202" s="51" t="e">
        <f>Ticker0001_Exchange_Sheet!G271-#REF!</f>
      </c>
      <c r="H202" s="51" t="e">
        <f>Ticker0001_Exchange_Sheet!H271-#REF!</f>
      </c>
      <c r="I202" s="51" t="e">
        <f>Ticker0001_Exchange_Sheet!I271-#REF!</f>
      </c>
      <c r="J202" s="51" t="e">
        <f>Ticker0001_Exchange_Sheet!J271-#REF!</f>
      </c>
      <c r="K202" s="51" t="e">
        <f>Ticker0001_Exchange_Sheet!K271-#REF!</f>
      </c>
      <c r="L202" s="51" t="e">
        <f>Ticker0001_Exchange_Sheet!L271-#REF!</f>
      </c>
      <c r="M202" s="51" t="e">
        <f>Ticker0001_Exchange_Sheet!M271-#REF!</f>
      </c>
      <c r="N202" s="51" t="e">
        <f>Ticker0001_Exchange_Sheet!N271-#REF!</f>
      </c>
      <c r="O202" s="51" t="e">
        <f>Ticker0001_Exchange_Sheet!O271-#REF!</f>
      </c>
      <c r="P202" s="51" t="e">
        <f>Ticker0001_Exchange_Sheet!P271-#REF!</f>
      </c>
      <c r="Q202" s="51" t="e">
        <f>Ticker0001_Exchange_Sheet!Q271-#REF!</f>
      </c>
      <c r="R202" s="51" t="e">
        <f>Ticker0001_Exchange_Sheet!R271-#REF!</f>
      </c>
      <c r="S202" s="51" t="e">
        <f>Ticker0001_Exchange_Sheet!S271-#REF!</f>
      </c>
      <c r="T202" s="51" t="e">
        <f>Ticker0001_Exchange_Sheet!T271-#REF!</f>
      </c>
      <c r="U202" s="51" t="e">
        <f>Ticker0001_Exchange_Sheet!U271-#REF!</f>
      </c>
      <c r="V202" s="51" t="e">
        <f>Ticker0001_Exchange_Sheet!V271-#REF!</f>
      </c>
      <c r="W202" s="51" t="e">
        <f>Ticker0001_Exchange_Sheet!W271-#REF!</f>
      </c>
      <c r="X202" s="51" t="e">
        <f>Ticker0001_Exchange_Sheet!AK271-#REF!</f>
      </c>
      <c r="Y202" s="51" t="e">
        <f>Ticker0001_Exchange_Sheet!AX271-#REF!</f>
      </c>
      <c r="Z202" s="51" t="e">
        <f>Ticker0001_Exchange_Sheet!AY271-#REF!</f>
      </c>
      <c r="AA202" s="51" t="e">
        <f>Ticker0001_Exchange_Sheet!AZ271-#REF!</f>
      </c>
      <c r="AB202" s="51" t="e">
        <f>Ticker0001_Exchange_Sheet!BA271-#REF!</f>
      </c>
      <c r="AC202" s="51" t="e">
        <f>Ticker0001_Exchange_Sheet!BB271-#REF!</f>
      </c>
      <c r="AD202" s="51" t="e">
        <f>Ticker0001_Exchange_Sheet!BC271-#REF!</f>
      </c>
      <c r="AE202" s="51" t="e">
        <f>Ticker0001_Exchange_Sheet!BD271-#REF!</f>
      </c>
      <c r="AF202" s="51" t="e">
        <f>Ticker0001_Exchange_Sheet!BE271-#REF!</f>
      </c>
      <c r="AG202" s="51" t="e">
        <f>Ticker0001_Exchange_Sheet!BF271-#REF!</f>
      </c>
      <c r="AH202" s="51" t="e">
        <f>Ticker0001_Exchange_Sheet!BG271-#REF!</f>
      </c>
      <c r="AI202" s="51" t="e">
        <f>Ticker0001_Exchange_Sheet!BH271-#REF!</f>
      </c>
      <c r="AJ202" s="51" t="e">
        <f>Ticker0001_Exchange_Sheet!BI271-#REF!</f>
      </c>
      <c r="AK202" s="51" t="e">
        <f>Ticker0001_Exchange_Sheet!BJ271-#REF!</f>
      </c>
      <c r="AL202" s="51" t="e">
        <f>Ticker0001_Exchange_Sheet!BK271-#REF!</f>
      </c>
      <c r="AM202" s="51" t="e">
        <f>Ticker0001_Exchange_Sheet!BL271-#REF!</f>
      </c>
      <c r="AN202" s="51" t="e">
        <f>Ticker0001_Exchange_Sheet!BM271-#REF!</f>
      </c>
      <c r="AO202" s="51" t="e">
        <f>Ticker0001_Exchange_Sheet!BN271-#REF!</f>
      </c>
      <c r="AP202" s="51" t="e">
        <f>Ticker0001_Exchange_Sheet!BO271-#REF!</f>
      </c>
      <c r="AQ202" s="51" t="e">
        <f>Ticker0001_Exchange_Sheet!BP271-#REF!</f>
      </c>
      <c r="AR202" s="51" t="e">
        <f>Ticker0001_Exchange_Sheet!BQ271-#REF!</f>
      </c>
      <c r="AS202" s="51" t="e">
        <f>Ticker0001_Exchange_Sheet!BR271-#REF!</f>
      </c>
      <c r="AT202" s="51" t="e">
        <f>Ticker0001_Exchange_Sheet!BS271-#REF!</f>
      </c>
      <c r="AU202" s="51" t="e">
        <f>Ticker0001_Exchange_Sheet!BT271-#REF!</f>
      </c>
      <c r="AV202" s="51" t="e">
        <f>Ticker0001_Exchange_Sheet!BU271-#REF!</f>
      </c>
      <c r="AW202" s="51" t="e">
        <f>Ticker0001_Exchange_Sheet!BV271-#REF!</f>
      </c>
      <c r="AX202" s="51" t="e">
        <f>Ticker0001_Exchange_Sheet!BW271-#REF!</f>
      </c>
      <c r="AY202" s="51" t="e">
        <f>Ticker0001_Exchange_Sheet!BX271-#REF!</f>
      </c>
      <c r="AZ202" s="51" t="e">
        <f>Ticker0001_Exchange_Sheet!BY271-#REF!</f>
      </c>
      <c r="BA202" s="51" t="e">
        <f>Ticker0001_Exchange_Sheet!BZ271-#REF!</f>
      </c>
      <c r="BB202" s="51" t="e">
        <f>Ticker0001_Exchange_Sheet!CA271-#REF!</f>
      </c>
      <c r="BC202" s="51" t="e">
        <f>Ticker0001_Exchange_Sheet!CB271-#REF!</f>
      </c>
      <c r="BD202" s="51" t="e">
        <f>Ticker0001_Exchange_Sheet!CC271-#REF!</f>
      </c>
      <c r="BE202" s="51" t="e">
        <f>Ticker0001_Exchange_Sheet!CD271-#REF!</f>
      </c>
      <c r="BF202" s="51" t="e">
        <f>Ticker0001_Exchange_Sheet!CE271-#REF!</f>
      </c>
      <c r="BG202" s="51" t="e">
        <f>Ticker0001_Exchange_Sheet!CF271-#REF!</f>
      </c>
      <c r="BH202" s="51" t="e">
        <f>Ticker0001_Exchange_Sheet!CG271-#REF!</f>
      </c>
      <c r="BI202" s="51" t="e">
        <f>Ticker0001_Exchange_Sheet!CH271-#REF!</f>
      </c>
      <c r="BJ202" s="51" t="e">
        <f>Ticker0001_Exchange_Sheet!CI271-#REF!</f>
      </c>
      <c r="BK202" s="51" t="e">
        <f>Ticker0001_Exchange_Sheet!CJ271-#REF!</f>
      </c>
      <c r="BL202" s="51" t="e">
        <f>Ticker0001_Exchange_Sheet!CK271-#REF!</f>
      </c>
      <c r="BM202" s="51" t="e">
        <f>Ticker0001_Exchange_Sheet!CL271-#REF!</f>
      </c>
      <c r="BN202" s="51" t="e">
        <f>Ticker0001_Exchange_Sheet!CM271-#REF!</f>
      </c>
      <c r="BO202" s="51" t="e">
        <f>Ticker0001_Exchange_Sheet!CN271-#REF!</f>
      </c>
      <c r="BP202" s="51" t="e">
        <f>Ticker0001_Exchange_Sheet!CO271-#REF!</f>
      </c>
      <c r="BQ202" s="51" t="e">
        <f>Ticker0001_Exchange_Sheet!CP271-#REF!</f>
      </c>
      <c r="BR202" s="51" t="e">
        <f>Ticker0001_Exchange_Sheet!CQ271-#REF!</f>
      </c>
      <c r="BS202" s="51" t="e">
        <f>Ticker0001_Exchange_Sheet!CR271-#REF!</f>
      </c>
      <c r="BT202" s="51" t="e">
        <f>Ticker0001_Exchange_Sheet!CS271-#REF!</f>
      </c>
      <c r="BU202" s="51" t="e">
        <f>Ticker0001_Exchange_Sheet!CT271-#REF!</f>
      </c>
      <c r="BV202" s="51" t="e">
        <f>Ticker0001_Exchange_Sheet!CU271-#REF!</f>
      </c>
      <c r="BW202" s="51" t="e">
        <f>Ticker0001_Exchange_Sheet!CV271-#REF!</f>
      </c>
      <c r="BX202" s="51" t="e">
        <f>Ticker0001_Exchange_Sheet!CW271-#REF!</f>
      </c>
      <c r="BY202" s="51" t="e">
        <f>Ticker0001_Exchange_Sheet!CX271-#REF!</f>
      </c>
      <c r="BZ202" s="51" t="e">
        <f>Ticker0001_Exchange_Sheet!CY271-#REF!</f>
      </c>
      <c r="CA202" s="51" t="e">
        <f>Ticker0001_Exchange_Sheet!CZ271-#REF!</f>
      </c>
      <c r="CB202" s="51" t="e">
        <f>Ticker0001_Exchange_Sheet!DA271-#REF!</f>
      </c>
      <c r="CC202" s="51" t="e">
        <f>Ticker0001_Exchange_Sheet!DB271-#REF!</f>
      </c>
      <c r="CD202" s="51" t="e">
        <f>Ticker0001_Exchange_Sheet!DC271-#REF!</f>
      </c>
      <c r="CE202" s="51" t="e">
        <f>Ticker0001_Exchange_Sheet!DD271-#REF!</f>
      </c>
      <c r="CF202" s="51" t="e">
        <f>Ticker0001_Exchange_Sheet!DE271-#REF!</f>
      </c>
    </row>
    <row r="203" spans="6:84">
      <c r="F203" s="51" t="e">
        <f>Ticker0001_Exchange_Sheet!F272-#REF!</f>
      </c>
      <c r="G203" s="51" t="e">
        <f>Ticker0001_Exchange_Sheet!G272-#REF!</f>
      </c>
      <c r="H203" s="51" t="e">
        <f>Ticker0001_Exchange_Sheet!H272-#REF!</f>
      </c>
      <c r="I203" s="51" t="e">
        <f>Ticker0001_Exchange_Sheet!I272-#REF!</f>
      </c>
      <c r="J203" s="51" t="e">
        <f>Ticker0001_Exchange_Sheet!J272-#REF!</f>
      </c>
      <c r="K203" s="51" t="e">
        <f>Ticker0001_Exchange_Sheet!K272-#REF!</f>
      </c>
      <c r="L203" s="51" t="e">
        <f>Ticker0001_Exchange_Sheet!L272-#REF!</f>
      </c>
      <c r="M203" s="51" t="e">
        <f>Ticker0001_Exchange_Sheet!M272-#REF!</f>
      </c>
      <c r="N203" s="51" t="e">
        <f>Ticker0001_Exchange_Sheet!N272-#REF!</f>
      </c>
      <c r="O203" s="51" t="e">
        <f>Ticker0001_Exchange_Sheet!O272-#REF!</f>
      </c>
      <c r="P203" s="51" t="e">
        <f>Ticker0001_Exchange_Sheet!P272-#REF!</f>
      </c>
      <c r="Q203" s="51" t="e">
        <f>Ticker0001_Exchange_Sheet!Q272-#REF!</f>
      </c>
      <c r="R203" s="51" t="e">
        <f>Ticker0001_Exchange_Sheet!R272-#REF!</f>
      </c>
      <c r="S203" s="51" t="e">
        <f>Ticker0001_Exchange_Sheet!S272-#REF!</f>
      </c>
      <c r="T203" s="51" t="e">
        <f>Ticker0001_Exchange_Sheet!T272-#REF!</f>
      </c>
      <c r="U203" s="51" t="e">
        <f>Ticker0001_Exchange_Sheet!U272-#REF!</f>
      </c>
      <c r="V203" s="51" t="e">
        <f>Ticker0001_Exchange_Sheet!V272-#REF!</f>
      </c>
      <c r="W203" s="51" t="e">
        <f>Ticker0001_Exchange_Sheet!W272-#REF!</f>
      </c>
      <c r="X203" s="51" t="e">
        <f>Ticker0001_Exchange_Sheet!AK272-#REF!</f>
      </c>
      <c r="Y203" s="51" t="e">
        <f>Ticker0001_Exchange_Sheet!AX272-#REF!</f>
      </c>
      <c r="Z203" s="51" t="e">
        <f>Ticker0001_Exchange_Sheet!AY272-#REF!</f>
      </c>
      <c r="AA203" s="51" t="e">
        <f>Ticker0001_Exchange_Sheet!AZ272-#REF!</f>
      </c>
      <c r="AB203" s="51" t="e">
        <f>Ticker0001_Exchange_Sheet!BA272-#REF!</f>
      </c>
      <c r="AC203" s="51" t="e">
        <f>Ticker0001_Exchange_Sheet!BB272-#REF!</f>
      </c>
      <c r="AD203" s="51" t="e">
        <f>Ticker0001_Exchange_Sheet!BC272-#REF!</f>
      </c>
      <c r="AE203" s="51" t="e">
        <f>Ticker0001_Exchange_Sheet!BD272-#REF!</f>
      </c>
      <c r="AF203" s="51" t="e">
        <f>Ticker0001_Exchange_Sheet!BE272-#REF!</f>
      </c>
      <c r="AG203" s="51" t="e">
        <f>Ticker0001_Exchange_Sheet!BF272-#REF!</f>
      </c>
      <c r="AH203" s="51" t="e">
        <f>Ticker0001_Exchange_Sheet!BG272-#REF!</f>
      </c>
      <c r="AI203" s="51" t="e">
        <f>Ticker0001_Exchange_Sheet!BH272-#REF!</f>
      </c>
      <c r="AJ203" s="51" t="e">
        <f>Ticker0001_Exchange_Sheet!BI272-#REF!</f>
      </c>
      <c r="AK203" s="51" t="e">
        <f>Ticker0001_Exchange_Sheet!BJ272-#REF!</f>
      </c>
      <c r="AL203" s="51" t="e">
        <f>Ticker0001_Exchange_Sheet!BK272-#REF!</f>
      </c>
      <c r="AM203" s="51" t="e">
        <f>Ticker0001_Exchange_Sheet!BL272-#REF!</f>
      </c>
      <c r="AN203" s="51" t="e">
        <f>Ticker0001_Exchange_Sheet!BM272-#REF!</f>
      </c>
      <c r="AO203" s="51" t="e">
        <f>Ticker0001_Exchange_Sheet!BN272-#REF!</f>
      </c>
      <c r="AP203" s="51" t="e">
        <f>Ticker0001_Exchange_Sheet!BO272-#REF!</f>
      </c>
      <c r="AQ203" s="51" t="e">
        <f>Ticker0001_Exchange_Sheet!BP272-#REF!</f>
      </c>
      <c r="AR203" s="51" t="e">
        <f>Ticker0001_Exchange_Sheet!BQ272-#REF!</f>
      </c>
      <c r="AS203" s="51" t="e">
        <f>Ticker0001_Exchange_Sheet!BR272-#REF!</f>
      </c>
      <c r="AT203" s="51" t="e">
        <f>Ticker0001_Exchange_Sheet!BS272-#REF!</f>
      </c>
      <c r="AU203" s="51" t="e">
        <f>Ticker0001_Exchange_Sheet!BT272-#REF!</f>
      </c>
      <c r="AV203" s="51" t="e">
        <f>Ticker0001_Exchange_Sheet!BU272-#REF!</f>
      </c>
      <c r="AW203" s="51" t="e">
        <f>Ticker0001_Exchange_Sheet!BV272-#REF!</f>
      </c>
      <c r="AX203" s="51" t="e">
        <f>Ticker0001_Exchange_Sheet!BW272-#REF!</f>
      </c>
      <c r="AY203" s="51" t="e">
        <f>Ticker0001_Exchange_Sheet!BX272-#REF!</f>
      </c>
      <c r="AZ203" s="51" t="e">
        <f>Ticker0001_Exchange_Sheet!BY272-#REF!</f>
      </c>
      <c r="BA203" s="51" t="e">
        <f>Ticker0001_Exchange_Sheet!BZ272-#REF!</f>
      </c>
      <c r="BB203" s="51" t="e">
        <f>Ticker0001_Exchange_Sheet!CA272-#REF!</f>
      </c>
      <c r="BC203" s="51" t="e">
        <f>Ticker0001_Exchange_Sheet!CB272-#REF!</f>
      </c>
      <c r="BD203" s="51" t="e">
        <f>Ticker0001_Exchange_Sheet!CC272-#REF!</f>
      </c>
      <c r="BE203" s="51" t="e">
        <f>Ticker0001_Exchange_Sheet!CD272-#REF!</f>
      </c>
      <c r="BF203" s="51" t="e">
        <f>Ticker0001_Exchange_Sheet!CE272-#REF!</f>
      </c>
      <c r="BG203" s="51" t="e">
        <f>Ticker0001_Exchange_Sheet!CF272-#REF!</f>
      </c>
      <c r="BH203" s="51" t="e">
        <f>Ticker0001_Exchange_Sheet!CG272-#REF!</f>
      </c>
      <c r="BI203" s="51" t="e">
        <f>Ticker0001_Exchange_Sheet!CH272-#REF!</f>
      </c>
      <c r="BJ203" s="51" t="e">
        <f>Ticker0001_Exchange_Sheet!CI272-#REF!</f>
      </c>
      <c r="BK203" s="51" t="e">
        <f>Ticker0001_Exchange_Sheet!CJ272-#REF!</f>
      </c>
      <c r="BL203" s="51" t="e">
        <f>Ticker0001_Exchange_Sheet!CK272-#REF!</f>
      </c>
      <c r="BM203" s="51" t="e">
        <f>Ticker0001_Exchange_Sheet!CL272-#REF!</f>
      </c>
      <c r="BN203" s="51" t="e">
        <f>Ticker0001_Exchange_Sheet!CM272-#REF!</f>
      </c>
      <c r="BO203" s="51" t="e">
        <f>Ticker0001_Exchange_Sheet!CN272-#REF!</f>
      </c>
      <c r="BP203" s="51" t="e">
        <f>Ticker0001_Exchange_Sheet!CO272-#REF!</f>
      </c>
      <c r="BQ203" s="51" t="e">
        <f>Ticker0001_Exchange_Sheet!CP272-#REF!</f>
      </c>
      <c r="BR203" s="51" t="e">
        <f>Ticker0001_Exchange_Sheet!CQ272-#REF!</f>
      </c>
      <c r="BS203" s="51" t="e">
        <f>Ticker0001_Exchange_Sheet!CR272-#REF!</f>
      </c>
      <c r="BT203" s="51" t="e">
        <f>Ticker0001_Exchange_Sheet!CS272-#REF!</f>
      </c>
      <c r="BU203" s="51" t="e">
        <f>Ticker0001_Exchange_Sheet!CT272-#REF!</f>
      </c>
      <c r="BV203" s="51" t="e">
        <f>Ticker0001_Exchange_Sheet!CU272-#REF!</f>
      </c>
      <c r="BW203" s="51" t="e">
        <f>Ticker0001_Exchange_Sheet!CV272-#REF!</f>
      </c>
      <c r="BX203" s="51" t="e">
        <f>Ticker0001_Exchange_Sheet!CW272-#REF!</f>
      </c>
      <c r="BY203" s="51" t="e">
        <f>Ticker0001_Exchange_Sheet!CX272-#REF!</f>
      </c>
      <c r="BZ203" s="51" t="e">
        <f>Ticker0001_Exchange_Sheet!CY272-#REF!</f>
      </c>
      <c r="CA203" s="51" t="e">
        <f>Ticker0001_Exchange_Sheet!CZ272-#REF!</f>
      </c>
      <c r="CB203" s="51" t="e">
        <f>Ticker0001_Exchange_Sheet!DA272-#REF!</f>
      </c>
      <c r="CC203" s="51" t="e">
        <f>Ticker0001_Exchange_Sheet!DB272-#REF!</f>
      </c>
      <c r="CD203" s="51" t="e">
        <f>Ticker0001_Exchange_Sheet!DC272-#REF!</f>
      </c>
      <c r="CE203" s="51" t="e">
        <f>Ticker0001_Exchange_Sheet!DD272-#REF!</f>
      </c>
      <c r="CF203" s="51" t="e">
        <f>Ticker0001_Exchange_Sheet!DE272-#REF!</f>
      </c>
    </row>
    <row r="204" spans="6:84">
      <c r="F204" s="51" t="e">
        <f>Ticker0001_Exchange_Sheet!F273-#REF!</f>
      </c>
      <c r="G204" s="51" t="e">
        <f>Ticker0001_Exchange_Sheet!G273-#REF!</f>
      </c>
      <c r="H204" s="51" t="e">
        <f>Ticker0001_Exchange_Sheet!H273-#REF!</f>
      </c>
      <c r="I204" s="51" t="e">
        <f>Ticker0001_Exchange_Sheet!I273-#REF!</f>
      </c>
      <c r="J204" s="51" t="e">
        <f>Ticker0001_Exchange_Sheet!J273-#REF!</f>
      </c>
      <c r="K204" s="51" t="e">
        <f>Ticker0001_Exchange_Sheet!K273-#REF!</f>
      </c>
      <c r="L204" s="51" t="e">
        <f>Ticker0001_Exchange_Sheet!L273-#REF!</f>
      </c>
      <c r="M204" s="51" t="e">
        <f>Ticker0001_Exchange_Sheet!M273-#REF!</f>
      </c>
      <c r="N204" s="51" t="e">
        <f>Ticker0001_Exchange_Sheet!N273-#REF!</f>
      </c>
      <c r="O204" s="51" t="e">
        <f>Ticker0001_Exchange_Sheet!O273-#REF!</f>
      </c>
      <c r="P204" s="51" t="e">
        <f>Ticker0001_Exchange_Sheet!P273-#REF!</f>
      </c>
      <c r="Q204" s="51" t="e">
        <f>Ticker0001_Exchange_Sheet!Q273-#REF!</f>
      </c>
      <c r="R204" s="51" t="e">
        <f>Ticker0001_Exchange_Sheet!R273-#REF!</f>
      </c>
      <c r="S204" s="51" t="e">
        <f>Ticker0001_Exchange_Sheet!S273-#REF!</f>
      </c>
      <c r="T204" s="51" t="e">
        <f>Ticker0001_Exchange_Sheet!T273-#REF!</f>
      </c>
      <c r="U204" s="51" t="e">
        <f>Ticker0001_Exchange_Sheet!U273-#REF!</f>
      </c>
      <c r="V204" s="51" t="e">
        <f>Ticker0001_Exchange_Sheet!V273-#REF!</f>
      </c>
      <c r="W204" s="51" t="e">
        <f>Ticker0001_Exchange_Sheet!W273-#REF!</f>
      </c>
      <c r="X204" s="51" t="e">
        <f>Ticker0001_Exchange_Sheet!AK273-#REF!</f>
      </c>
      <c r="Y204" s="51" t="e">
        <f>Ticker0001_Exchange_Sheet!AX273-#REF!</f>
      </c>
      <c r="Z204" s="51" t="e">
        <f>Ticker0001_Exchange_Sheet!AY273-#REF!</f>
      </c>
      <c r="AA204" s="51" t="e">
        <f>Ticker0001_Exchange_Sheet!AZ273-#REF!</f>
      </c>
      <c r="AB204" s="51" t="e">
        <f>Ticker0001_Exchange_Sheet!BA273-#REF!</f>
      </c>
      <c r="AC204" s="51" t="e">
        <f>Ticker0001_Exchange_Sheet!BB273-#REF!</f>
      </c>
      <c r="AD204" s="51" t="e">
        <f>Ticker0001_Exchange_Sheet!BC273-#REF!</f>
      </c>
      <c r="AE204" s="51" t="e">
        <f>Ticker0001_Exchange_Sheet!BD273-#REF!</f>
      </c>
      <c r="AF204" s="51" t="e">
        <f>Ticker0001_Exchange_Sheet!BE273-#REF!</f>
      </c>
      <c r="AG204" s="51" t="e">
        <f>Ticker0001_Exchange_Sheet!BF273-#REF!</f>
      </c>
      <c r="AH204" s="51" t="e">
        <f>Ticker0001_Exchange_Sheet!BG273-#REF!</f>
      </c>
      <c r="AI204" s="51" t="e">
        <f>Ticker0001_Exchange_Sheet!BH273-#REF!</f>
      </c>
      <c r="AJ204" s="51" t="e">
        <f>Ticker0001_Exchange_Sheet!BI273-#REF!</f>
      </c>
      <c r="AK204" s="51" t="e">
        <f>Ticker0001_Exchange_Sheet!BJ273-#REF!</f>
      </c>
      <c r="AL204" s="51" t="e">
        <f>Ticker0001_Exchange_Sheet!BK273-#REF!</f>
      </c>
      <c r="AM204" s="51" t="e">
        <f>Ticker0001_Exchange_Sheet!BL273-#REF!</f>
      </c>
      <c r="AN204" s="51" t="e">
        <f>Ticker0001_Exchange_Sheet!BM273-#REF!</f>
      </c>
      <c r="AO204" s="51" t="e">
        <f>Ticker0001_Exchange_Sheet!BN273-#REF!</f>
      </c>
      <c r="AP204" s="51" t="e">
        <f>Ticker0001_Exchange_Sheet!BO273-#REF!</f>
      </c>
      <c r="AQ204" s="51" t="e">
        <f>Ticker0001_Exchange_Sheet!BP273-#REF!</f>
      </c>
      <c r="AR204" s="51" t="e">
        <f>Ticker0001_Exchange_Sheet!BQ273-#REF!</f>
      </c>
      <c r="AS204" s="51" t="e">
        <f>Ticker0001_Exchange_Sheet!BR273-#REF!</f>
      </c>
      <c r="AT204" s="51" t="e">
        <f>Ticker0001_Exchange_Sheet!BS273-#REF!</f>
      </c>
      <c r="AU204" s="51" t="e">
        <f>Ticker0001_Exchange_Sheet!BT273-#REF!</f>
      </c>
      <c r="AV204" s="51" t="e">
        <f>Ticker0001_Exchange_Sheet!BU273-#REF!</f>
      </c>
      <c r="AW204" s="51" t="e">
        <f>Ticker0001_Exchange_Sheet!BV273-#REF!</f>
      </c>
      <c r="AX204" s="51" t="e">
        <f>Ticker0001_Exchange_Sheet!BW273-#REF!</f>
      </c>
      <c r="AY204" s="51" t="e">
        <f>Ticker0001_Exchange_Sheet!BX273-#REF!</f>
      </c>
      <c r="AZ204" s="51" t="e">
        <f>Ticker0001_Exchange_Sheet!BY273-#REF!</f>
      </c>
      <c r="BA204" s="51" t="e">
        <f>Ticker0001_Exchange_Sheet!BZ273-#REF!</f>
      </c>
      <c r="BB204" s="51" t="e">
        <f>Ticker0001_Exchange_Sheet!CA273-#REF!</f>
      </c>
      <c r="BC204" s="51" t="e">
        <f>Ticker0001_Exchange_Sheet!CB273-#REF!</f>
      </c>
      <c r="BD204" s="51" t="e">
        <f>Ticker0001_Exchange_Sheet!CC273-#REF!</f>
      </c>
      <c r="BE204" s="51" t="e">
        <f>Ticker0001_Exchange_Sheet!CD273-#REF!</f>
      </c>
      <c r="BF204" s="51" t="e">
        <f>Ticker0001_Exchange_Sheet!CE273-#REF!</f>
      </c>
      <c r="BG204" s="51" t="e">
        <f>Ticker0001_Exchange_Sheet!CF273-#REF!</f>
      </c>
      <c r="BH204" s="51" t="e">
        <f>Ticker0001_Exchange_Sheet!CG273-#REF!</f>
      </c>
      <c r="BI204" s="51" t="e">
        <f>Ticker0001_Exchange_Sheet!CH273-#REF!</f>
      </c>
      <c r="BJ204" s="51" t="e">
        <f>Ticker0001_Exchange_Sheet!CI273-#REF!</f>
      </c>
      <c r="BK204" s="51" t="e">
        <f>Ticker0001_Exchange_Sheet!CJ273-#REF!</f>
      </c>
      <c r="BL204" s="51" t="e">
        <f>Ticker0001_Exchange_Sheet!CK273-#REF!</f>
      </c>
      <c r="BM204" s="51" t="e">
        <f>Ticker0001_Exchange_Sheet!CL273-#REF!</f>
      </c>
      <c r="BN204" s="51" t="e">
        <f>Ticker0001_Exchange_Sheet!CM273-#REF!</f>
      </c>
      <c r="BO204" s="51" t="e">
        <f>Ticker0001_Exchange_Sheet!CN273-#REF!</f>
      </c>
      <c r="BP204" s="51" t="e">
        <f>Ticker0001_Exchange_Sheet!CO273-#REF!</f>
      </c>
      <c r="BQ204" s="51" t="e">
        <f>Ticker0001_Exchange_Sheet!CP273-#REF!</f>
      </c>
      <c r="BR204" s="51" t="e">
        <f>Ticker0001_Exchange_Sheet!CQ273-#REF!</f>
      </c>
      <c r="BS204" s="51" t="e">
        <f>Ticker0001_Exchange_Sheet!CR273-#REF!</f>
      </c>
      <c r="BT204" s="51" t="e">
        <f>Ticker0001_Exchange_Sheet!CS273-#REF!</f>
      </c>
      <c r="BU204" s="51" t="e">
        <f>Ticker0001_Exchange_Sheet!CT273-#REF!</f>
      </c>
      <c r="BV204" s="51" t="e">
        <f>Ticker0001_Exchange_Sheet!CU273-#REF!</f>
      </c>
      <c r="BW204" s="51" t="e">
        <f>Ticker0001_Exchange_Sheet!CV273-#REF!</f>
      </c>
      <c r="BX204" s="51" t="e">
        <f>Ticker0001_Exchange_Sheet!CW273-#REF!</f>
      </c>
      <c r="BY204" s="51" t="e">
        <f>Ticker0001_Exchange_Sheet!CX273-#REF!</f>
      </c>
      <c r="BZ204" s="51" t="e">
        <f>Ticker0001_Exchange_Sheet!CY273-#REF!</f>
      </c>
      <c r="CA204" s="51" t="e">
        <f>Ticker0001_Exchange_Sheet!CZ273-#REF!</f>
      </c>
      <c r="CB204" s="51" t="e">
        <f>Ticker0001_Exchange_Sheet!DA273-#REF!</f>
      </c>
      <c r="CC204" s="51" t="e">
        <f>Ticker0001_Exchange_Sheet!DB273-#REF!</f>
      </c>
      <c r="CD204" s="51" t="e">
        <f>Ticker0001_Exchange_Sheet!DC273-#REF!</f>
      </c>
      <c r="CE204" s="51" t="e">
        <f>Ticker0001_Exchange_Sheet!DD273-#REF!</f>
      </c>
      <c r="CF204" s="51" t="e">
        <f>Ticker0001_Exchange_Sheet!DE273-#REF!</f>
      </c>
    </row>
    <row r="205" spans="6:84">
      <c r="F205" s="51" t="e">
        <f>Ticker0001_Exchange_Sheet!F274-#REF!</f>
      </c>
      <c r="G205" s="51" t="e">
        <f>Ticker0001_Exchange_Sheet!G274-#REF!</f>
      </c>
      <c r="H205" s="51" t="e">
        <f>Ticker0001_Exchange_Sheet!H274-#REF!</f>
      </c>
      <c r="I205" s="51" t="e">
        <f>Ticker0001_Exchange_Sheet!I274-#REF!</f>
      </c>
      <c r="J205" s="51" t="e">
        <f>Ticker0001_Exchange_Sheet!J274-#REF!</f>
      </c>
      <c r="K205" s="51" t="e">
        <f>Ticker0001_Exchange_Sheet!K274-#REF!</f>
      </c>
      <c r="L205" s="51" t="e">
        <f>Ticker0001_Exchange_Sheet!L274-#REF!</f>
      </c>
      <c r="M205" s="51" t="e">
        <f>Ticker0001_Exchange_Sheet!M274-#REF!</f>
      </c>
      <c r="N205" s="51" t="e">
        <f>Ticker0001_Exchange_Sheet!N274-#REF!</f>
      </c>
      <c r="O205" s="51" t="e">
        <f>Ticker0001_Exchange_Sheet!O274-#REF!</f>
      </c>
      <c r="P205" s="51" t="e">
        <f>Ticker0001_Exchange_Sheet!P274-#REF!</f>
      </c>
      <c r="Q205" s="51" t="e">
        <f>Ticker0001_Exchange_Sheet!Q274-#REF!</f>
      </c>
      <c r="R205" s="51" t="e">
        <f>Ticker0001_Exchange_Sheet!R274-#REF!</f>
      </c>
      <c r="S205" s="51" t="e">
        <f>Ticker0001_Exchange_Sheet!S274-#REF!</f>
      </c>
      <c r="T205" s="51" t="e">
        <f>Ticker0001_Exchange_Sheet!T274-#REF!</f>
      </c>
      <c r="U205" s="51" t="e">
        <f>Ticker0001_Exchange_Sheet!U274-#REF!</f>
      </c>
      <c r="V205" s="51" t="e">
        <f>Ticker0001_Exchange_Sheet!V274-#REF!</f>
      </c>
      <c r="W205" s="51" t="e">
        <f>Ticker0001_Exchange_Sheet!W274-#REF!</f>
      </c>
      <c r="X205" s="51" t="e">
        <f>Ticker0001_Exchange_Sheet!AK274-#REF!</f>
      </c>
      <c r="Y205" s="51" t="e">
        <f>Ticker0001_Exchange_Sheet!AX274-#REF!</f>
      </c>
      <c r="Z205" s="51" t="e">
        <f>Ticker0001_Exchange_Sheet!AY274-#REF!</f>
      </c>
      <c r="AA205" s="51" t="e">
        <f>Ticker0001_Exchange_Sheet!AZ274-#REF!</f>
      </c>
      <c r="AB205" s="51" t="e">
        <f>Ticker0001_Exchange_Sheet!BA274-#REF!</f>
      </c>
      <c r="AC205" s="51" t="e">
        <f>Ticker0001_Exchange_Sheet!BB274-#REF!</f>
      </c>
      <c r="AD205" s="51" t="e">
        <f>Ticker0001_Exchange_Sheet!BC274-#REF!</f>
      </c>
      <c r="AE205" s="51" t="e">
        <f>Ticker0001_Exchange_Sheet!BD274-#REF!</f>
      </c>
      <c r="AF205" s="51" t="e">
        <f>Ticker0001_Exchange_Sheet!BE274-#REF!</f>
      </c>
      <c r="AG205" s="51" t="e">
        <f>Ticker0001_Exchange_Sheet!BF274-#REF!</f>
      </c>
      <c r="AH205" s="51" t="e">
        <f>Ticker0001_Exchange_Sheet!BG274-#REF!</f>
      </c>
      <c r="AI205" s="51" t="e">
        <f>Ticker0001_Exchange_Sheet!BH274-#REF!</f>
      </c>
      <c r="AJ205" s="51" t="e">
        <f>Ticker0001_Exchange_Sheet!BI274-#REF!</f>
      </c>
      <c r="AK205" s="51" t="e">
        <f>Ticker0001_Exchange_Sheet!BJ274-#REF!</f>
      </c>
      <c r="AL205" s="51" t="e">
        <f>Ticker0001_Exchange_Sheet!BK274-#REF!</f>
      </c>
      <c r="AM205" s="51" t="e">
        <f>Ticker0001_Exchange_Sheet!BL274-#REF!</f>
      </c>
      <c r="AN205" s="51" t="e">
        <f>Ticker0001_Exchange_Sheet!BM274-#REF!</f>
      </c>
      <c r="AO205" s="51" t="e">
        <f>Ticker0001_Exchange_Sheet!BN274-#REF!</f>
      </c>
      <c r="AP205" s="51" t="e">
        <f>Ticker0001_Exchange_Sheet!BO274-#REF!</f>
      </c>
      <c r="AQ205" s="51" t="e">
        <f>Ticker0001_Exchange_Sheet!BP274-#REF!</f>
      </c>
      <c r="AR205" s="51" t="e">
        <f>Ticker0001_Exchange_Sheet!BQ274-#REF!</f>
      </c>
      <c r="AS205" s="51" t="e">
        <f>Ticker0001_Exchange_Sheet!BR274-#REF!</f>
      </c>
      <c r="AT205" s="51" t="e">
        <f>Ticker0001_Exchange_Sheet!BS274-#REF!</f>
      </c>
      <c r="AU205" s="51" t="e">
        <f>Ticker0001_Exchange_Sheet!BT274-#REF!</f>
      </c>
      <c r="AV205" s="51" t="e">
        <f>Ticker0001_Exchange_Sheet!BU274-#REF!</f>
      </c>
      <c r="AW205" s="51" t="e">
        <f>Ticker0001_Exchange_Sheet!BV274-#REF!</f>
      </c>
      <c r="AX205" s="51" t="e">
        <f>Ticker0001_Exchange_Sheet!BW274-#REF!</f>
      </c>
      <c r="AY205" s="51" t="e">
        <f>Ticker0001_Exchange_Sheet!BX274-#REF!</f>
      </c>
      <c r="AZ205" s="51" t="e">
        <f>Ticker0001_Exchange_Sheet!BY274-#REF!</f>
      </c>
      <c r="BA205" s="51" t="e">
        <f>Ticker0001_Exchange_Sheet!BZ274-#REF!</f>
      </c>
      <c r="BB205" s="51" t="e">
        <f>Ticker0001_Exchange_Sheet!CA274-#REF!</f>
      </c>
      <c r="BC205" s="51" t="e">
        <f>Ticker0001_Exchange_Sheet!CB274-#REF!</f>
      </c>
      <c r="BD205" s="51" t="e">
        <f>Ticker0001_Exchange_Sheet!CC274-#REF!</f>
      </c>
      <c r="BE205" s="51" t="e">
        <f>Ticker0001_Exchange_Sheet!CD274-#REF!</f>
      </c>
      <c r="BF205" s="51" t="e">
        <f>Ticker0001_Exchange_Sheet!CE274-#REF!</f>
      </c>
      <c r="BG205" s="51" t="e">
        <f>Ticker0001_Exchange_Sheet!CF274-#REF!</f>
      </c>
      <c r="BH205" s="51" t="e">
        <f>Ticker0001_Exchange_Sheet!CG274-#REF!</f>
      </c>
      <c r="BI205" s="51" t="e">
        <f>Ticker0001_Exchange_Sheet!CH274-#REF!</f>
      </c>
      <c r="BJ205" s="51" t="e">
        <f>Ticker0001_Exchange_Sheet!CI274-#REF!</f>
      </c>
      <c r="BK205" s="51" t="e">
        <f>Ticker0001_Exchange_Sheet!CJ274-#REF!</f>
      </c>
      <c r="BL205" s="51" t="e">
        <f>Ticker0001_Exchange_Sheet!CK274-#REF!</f>
      </c>
      <c r="BM205" s="51" t="e">
        <f>Ticker0001_Exchange_Sheet!CL274-#REF!</f>
      </c>
      <c r="BN205" s="51" t="e">
        <f>Ticker0001_Exchange_Sheet!CM274-#REF!</f>
      </c>
      <c r="BO205" s="51" t="e">
        <f>Ticker0001_Exchange_Sheet!CN274-#REF!</f>
      </c>
      <c r="BP205" s="51" t="e">
        <f>Ticker0001_Exchange_Sheet!CO274-#REF!</f>
      </c>
      <c r="BQ205" s="51" t="e">
        <f>Ticker0001_Exchange_Sheet!CP274-#REF!</f>
      </c>
      <c r="BR205" s="51" t="e">
        <f>Ticker0001_Exchange_Sheet!CQ274-#REF!</f>
      </c>
      <c r="BS205" s="51" t="e">
        <f>Ticker0001_Exchange_Sheet!CR274-#REF!</f>
      </c>
      <c r="BT205" s="51" t="e">
        <f>Ticker0001_Exchange_Sheet!CS274-#REF!</f>
      </c>
      <c r="BU205" s="51" t="e">
        <f>Ticker0001_Exchange_Sheet!CT274-#REF!</f>
      </c>
      <c r="BV205" s="51" t="e">
        <f>Ticker0001_Exchange_Sheet!CU274-#REF!</f>
      </c>
      <c r="BW205" s="51" t="e">
        <f>Ticker0001_Exchange_Sheet!CV274-#REF!</f>
      </c>
      <c r="BX205" s="51" t="e">
        <f>Ticker0001_Exchange_Sheet!CW274-#REF!</f>
      </c>
      <c r="BY205" s="51" t="e">
        <f>Ticker0001_Exchange_Sheet!CX274-#REF!</f>
      </c>
      <c r="BZ205" s="51" t="e">
        <f>Ticker0001_Exchange_Sheet!CY274-#REF!</f>
      </c>
      <c r="CA205" s="51" t="e">
        <f>Ticker0001_Exchange_Sheet!CZ274-#REF!</f>
      </c>
      <c r="CB205" s="51" t="e">
        <f>Ticker0001_Exchange_Sheet!DA274-#REF!</f>
      </c>
      <c r="CC205" s="51" t="e">
        <f>Ticker0001_Exchange_Sheet!DB274-#REF!</f>
      </c>
      <c r="CD205" s="51" t="e">
        <f>Ticker0001_Exchange_Sheet!DC274-#REF!</f>
      </c>
      <c r="CE205" s="51" t="e">
        <f>Ticker0001_Exchange_Sheet!DD274-#REF!</f>
      </c>
      <c r="CF205" s="51" t="e">
        <f>Ticker0001_Exchange_Sheet!DE274-#REF!</f>
      </c>
    </row>
    <row r="206" spans="6:84">
      <c r="F206" s="51" t="e">
        <f>Ticker0001_Exchange_Sheet!F275-#REF!</f>
      </c>
      <c r="G206" s="51" t="e">
        <f>Ticker0001_Exchange_Sheet!G275-#REF!</f>
      </c>
      <c r="H206" s="51" t="e">
        <f>Ticker0001_Exchange_Sheet!H275-#REF!</f>
      </c>
      <c r="I206" s="51" t="e">
        <f>Ticker0001_Exchange_Sheet!I275-#REF!</f>
      </c>
      <c r="J206" s="51" t="e">
        <f>Ticker0001_Exchange_Sheet!J275-#REF!</f>
      </c>
      <c r="K206" s="51" t="e">
        <f>Ticker0001_Exchange_Sheet!K275-#REF!</f>
      </c>
      <c r="L206" s="51" t="e">
        <f>Ticker0001_Exchange_Sheet!L275-#REF!</f>
      </c>
      <c r="M206" s="51" t="e">
        <f>Ticker0001_Exchange_Sheet!M275-#REF!</f>
      </c>
      <c r="N206" s="51" t="e">
        <f>Ticker0001_Exchange_Sheet!N275-#REF!</f>
      </c>
      <c r="O206" s="51" t="e">
        <f>Ticker0001_Exchange_Sheet!O275-#REF!</f>
      </c>
      <c r="P206" s="51" t="e">
        <f>Ticker0001_Exchange_Sheet!P275-#REF!</f>
      </c>
      <c r="Q206" s="51" t="e">
        <f>Ticker0001_Exchange_Sheet!Q275-#REF!</f>
      </c>
      <c r="R206" s="51" t="e">
        <f>Ticker0001_Exchange_Sheet!R275-#REF!</f>
      </c>
      <c r="S206" s="51" t="e">
        <f>Ticker0001_Exchange_Sheet!S275-#REF!</f>
      </c>
      <c r="T206" s="51" t="e">
        <f>Ticker0001_Exchange_Sheet!T275-#REF!</f>
      </c>
      <c r="U206" s="51" t="e">
        <f>Ticker0001_Exchange_Sheet!U275-#REF!</f>
      </c>
      <c r="V206" s="51" t="e">
        <f>Ticker0001_Exchange_Sheet!V275-#REF!</f>
      </c>
      <c r="W206" s="51" t="e">
        <f>Ticker0001_Exchange_Sheet!W275-#REF!</f>
      </c>
      <c r="X206" s="51" t="e">
        <f>Ticker0001_Exchange_Sheet!AK275-#REF!</f>
      </c>
      <c r="Y206" s="51" t="e">
        <f>Ticker0001_Exchange_Sheet!AX275-#REF!</f>
      </c>
      <c r="Z206" s="51" t="e">
        <f>Ticker0001_Exchange_Sheet!AY275-#REF!</f>
      </c>
      <c r="AA206" s="51" t="e">
        <f>Ticker0001_Exchange_Sheet!AZ275-#REF!</f>
      </c>
      <c r="AB206" s="51" t="e">
        <f>Ticker0001_Exchange_Sheet!BA275-#REF!</f>
      </c>
      <c r="AC206" s="51" t="e">
        <f>Ticker0001_Exchange_Sheet!BB275-#REF!</f>
      </c>
      <c r="AD206" s="51" t="e">
        <f>Ticker0001_Exchange_Sheet!BC275-#REF!</f>
      </c>
      <c r="AE206" s="51" t="e">
        <f>Ticker0001_Exchange_Sheet!BD275-#REF!</f>
      </c>
      <c r="AF206" s="51" t="e">
        <f>Ticker0001_Exchange_Sheet!BE275-#REF!</f>
      </c>
      <c r="AG206" s="51" t="e">
        <f>Ticker0001_Exchange_Sheet!BF275-#REF!</f>
      </c>
      <c r="AH206" s="51" t="e">
        <f>Ticker0001_Exchange_Sheet!BG275-#REF!</f>
      </c>
      <c r="AI206" s="51" t="e">
        <f>Ticker0001_Exchange_Sheet!BH275-#REF!</f>
      </c>
      <c r="AJ206" s="51" t="e">
        <f>Ticker0001_Exchange_Sheet!BI275-#REF!</f>
      </c>
      <c r="AK206" s="51" t="e">
        <f>Ticker0001_Exchange_Sheet!BJ275-#REF!</f>
      </c>
      <c r="AL206" s="51" t="e">
        <f>Ticker0001_Exchange_Sheet!BK275-#REF!</f>
      </c>
      <c r="AM206" s="51" t="e">
        <f>Ticker0001_Exchange_Sheet!BL275-#REF!</f>
      </c>
      <c r="AN206" s="51" t="e">
        <f>Ticker0001_Exchange_Sheet!BM275-#REF!</f>
      </c>
      <c r="AO206" s="51" t="e">
        <f>Ticker0001_Exchange_Sheet!BN275-#REF!</f>
      </c>
      <c r="AP206" s="51" t="e">
        <f>Ticker0001_Exchange_Sheet!BO275-#REF!</f>
      </c>
      <c r="AQ206" s="51" t="e">
        <f>Ticker0001_Exchange_Sheet!BP275-#REF!</f>
      </c>
      <c r="AR206" s="51" t="e">
        <f>Ticker0001_Exchange_Sheet!BQ275-#REF!</f>
      </c>
      <c r="AS206" s="51" t="e">
        <f>Ticker0001_Exchange_Sheet!BR275-#REF!</f>
      </c>
      <c r="AT206" s="51" t="e">
        <f>Ticker0001_Exchange_Sheet!BS275-#REF!</f>
      </c>
      <c r="AU206" s="51" t="e">
        <f>Ticker0001_Exchange_Sheet!BT275-#REF!</f>
      </c>
      <c r="AV206" s="51" t="e">
        <f>Ticker0001_Exchange_Sheet!BU275-#REF!</f>
      </c>
      <c r="AW206" s="51" t="e">
        <f>Ticker0001_Exchange_Sheet!BV275-#REF!</f>
      </c>
      <c r="AX206" s="51" t="e">
        <f>Ticker0001_Exchange_Sheet!BW275-#REF!</f>
      </c>
      <c r="AY206" s="51" t="e">
        <f>Ticker0001_Exchange_Sheet!BX275-#REF!</f>
      </c>
      <c r="AZ206" s="51" t="e">
        <f>Ticker0001_Exchange_Sheet!BY275-#REF!</f>
      </c>
      <c r="BA206" s="51" t="e">
        <f>Ticker0001_Exchange_Sheet!BZ275-#REF!</f>
      </c>
      <c r="BB206" s="51" t="e">
        <f>Ticker0001_Exchange_Sheet!CA275-#REF!</f>
      </c>
      <c r="BC206" s="51" t="e">
        <f>Ticker0001_Exchange_Sheet!CB275-#REF!</f>
      </c>
      <c r="BD206" s="51" t="e">
        <f>Ticker0001_Exchange_Sheet!CC275-#REF!</f>
      </c>
      <c r="BE206" s="51" t="e">
        <f>Ticker0001_Exchange_Sheet!CD275-#REF!</f>
      </c>
      <c r="BF206" s="51" t="e">
        <f>Ticker0001_Exchange_Sheet!CE275-#REF!</f>
      </c>
      <c r="BG206" s="51" t="e">
        <f>Ticker0001_Exchange_Sheet!CF275-#REF!</f>
      </c>
      <c r="BH206" s="51" t="e">
        <f>Ticker0001_Exchange_Sheet!CG275-#REF!</f>
      </c>
      <c r="BI206" s="51" t="e">
        <f>Ticker0001_Exchange_Sheet!CH275-#REF!</f>
      </c>
      <c r="BJ206" s="51" t="e">
        <f>Ticker0001_Exchange_Sheet!CI275-#REF!</f>
      </c>
      <c r="BK206" s="51" t="e">
        <f>Ticker0001_Exchange_Sheet!CJ275-#REF!</f>
      </c>
      <c r="BL206" s="51" t="e">
        <f>Ticker0001_Exchange_Sheet!CK275-#REF!</f>
      </c>
      <c r="BM206" s="51" t="e">
        <f>Ticker0001_Exchange_Sheet!CL275-#REF!</f>
      </c>
      <c r="BN206" s="51" t="e">
        <f>Ticker0001_Exchange_Sheet!CM275-#REF!</f>
      </c>
      <c r="BO206" s="51" t="e">
        <f>Ticker0001_Exchange_Sheet!CN275-#REF!</f>
      </c>
      <c r="BP206" s="51" t="e">
        <f>Ticker0001_Exchange_Sheet!CO275-#REF!</f>
      </c>
      <c r="BQ206" s="51" t="e">
        <f>Ticker0001_Exchange_Sheet!CP275-#REF!</f>
      </c>
      <c r="BR206" s="51" t="e">
        <f>Ticker0001_Exchange_Sheet!CQ275-#REF!</f>
      </c>
      <c r="BS206" s="51" t="e">
        <f>Ticker0001_Exchange_Sheet!CR275-#REF!</f>
      </c>
      <c r="BT206" s="51" t="e">
        <f>Ticker0001_Exchange_Sheet!CS275-#REF!</f>
      </c>
      <c r="BU206" s="51" t="e">
        <f>Ticker0001_Exchange_Sheet!CT275-#REF!</f>
      </c>
      <c r="BV206" s="51" t="e">
        <f>Ticker0001_Exchange_Sheet!CU275-#REF!</f>
      </c>
      <c r="BW206" s="51" t="e">
        <f>Ticker0001_Exchange_Sheet!CV275-#REF!</f>
      </c>
      <c r="BX206" s="51" t="e">
        <f>Ticker0001_Exchange_Sheet!CW275-#REF!</f>
      </c>
      <c r="BY206" s="51" t="e">
        <f>Ticker0001_Exchange_Sheet!CX275-#REF!</f>
      </c>
      <c r="BZ206" s="51" t="e">
        <f>Ticker0001_Exchange_Sheet!CY275-#REF!</f>
      </c>
      <c r="CA206" s="51" t="e">
        <f>Ticker0001_Exchange_Sheet!CZ275-#REF!</f>
      </c>
      <c r="CB206" s="51" t="e">
        <f>Ticker0001_Exchange_Sheet!DA275-#REF!</f>
      </c>
      <c r="CC206" s="51" t="e">
        <f>Ticker0001_Exchange_Sheet!DB275-#REF!</f>
      </c>
      <c r="CD206" s="51" t="e">
        <f>Ticker0001_Exchange_Sheet!DC275-#REF!</f>
      </c>
      <c r="CE206" s="51" t="e">
        <f>Ticker0001_Exchange_Sheet!DD275-#REF!</f>
      </c>
      <c r="CF206" s="51" t="e">
        <f>Ticker0001_Exchange_Sheet!DE275-#REF!</f>
      </c>
    </row>
    <row r="207" spans="6:84">
      <c r="F207" s="51" t="e">
        <f>Ticker0001_Exchange_Sheet!F276-#REF!</f>
      </c>
      <c r="G207" s="51" t="e">
        <f>Ticker0001_Exchange_Sheet!G276-#REF!</f>
      </c>
      <c r="H207" s="51" t="e">
        <f>Ticker0001_Exchange_Sheet!H276-#REF!</f>
      </c>
      <c r="I207" s="51" t="e">
        <f>Ticker0001_Exchange_Sheet!I276-#REF!</f>
      </c>
      <c r="J207" s="51" t="e">
        <f>Ticker0001_Exchange_Sheet!J276-#REF!</f>
      </c>
      <c r="K207" s="51" t="e">
        <f>Ticker0001_Exchange_Sheet!K276-#REF!</f>
      </c>
      <c r="L207" s="51" t="e">
        <f>Ticker0001_Exchange_Sheet!L276-#REF!</f>
      </c>
      <c r="M207" s="51" t="e">
        <f>Ticker0001_Exchange_Sheet!M276-#REF!</f>
      </c>
      <c r="N207" s="51" t="e">
        <f>Ticker0001_Exchange_Sheet!N276-#REF!</f>
      </c>
      <c r="O207" s="51" t="e">
        <f>Ticker0001_Exchange_Sheet!O276-#REF!</f>
      </c>
      <c r="P207" s="51" t="e">
        <f>Ticker0001_Exchange_Sheet!P276-#REF!</f>
      </c>
      <c r="Q207" s="51" t="e">
        <f>Ticker0001_Exchange_Sheet!Q276-#REF!</f>
      </c>
      <c r="R207" s="51" t="e">
        <f>Ticker0001_Exchange_Sheet!R276-#REF!</f>
      </c>
      <c r="S207" s="51" t="e">
        <f>Ticker0001_Exchange_Sheet!S276-#REF!</f>
      </c>
      <c r="T207" s="51" t="e">
        <f>Ticker0001_Exchange_Sheet!T276-#REF!</f>
      </c>
      <c r="U207" s="51" t="e">
        <f>Ticker0001_Exchange_Sheet!U276-#REF!</f>
      </c>
      <c r="V207" s="51" t="e">
        <f>Ticker0001_Exchange_Sheet!V276-#REF!</f>
      </c>
      <c r="W207" s="51" t="e">
        <f>Ticker0001_Exchange_Sheet!W276-#REF!</f>
      </c>
      <c r="X207" s="51" t="e">
        <f>Ticker0001_Exchange_Sheet!AK276-#REF!</f>
      </c>
      <c r="Y207" s="51" t="e">
        <f>Ticker0001_Exchange_Sheet!AX276-#REF!</f>
      </c>
      <c r="Z207" s="51" t="e">
        <f>Ticker0001_Exchange_Sheet!AY276-#REF!</f>
      </c>
      <c r="AA207" s="51" t="e">
        <f>Ticker0001_Exchange_Sheet!AZ276-#REF!</f>
      </c>
      <c r="AB207" s="51" t="e">
        <f>Ticker0001_Exchange_Sheet!BA276-#REF!</f>
      </c>
      <c r="AC207" s="51" t="e">
        <f>Ticker0001_Exchange_Sheet!BB276-#REF!</f>
      </c>
      <c r="AD207" s="51" t="e">
        <f>Ticker0001_Exchange_Sheet!BC276-#REF!</f>
      </c>
      <c r="AE207" s="51" t="e">
        <f>Ticker0001_Exchange_Sheet!BD276-#REF!</f>
      </c>
      <c r="AF207" s="51" t="e">
        <f>Ticker0001_Exchange_Sheet!BE276-#REF!</f>
      </c>
      <c r="AG207" s="51" t="e">
        <f>Ticker0001_Exchange_Sheet!BF276-#REF!</f>
      </c>
      <c r="AH207" s="51" t="e">
        <f>Ticker0001_Exchange_Sheet!BG276-#REF!</f>
      </c>
      <c r="AI207" s="51" t="e">
        <f>Ticker0001_Exchange_Sheet!BH276-#REF!</f>
      </c>
      <c r="AJ207" s="51" t="e">
        <f>Ticker0001_Exchange_Sheet!BI276-#REF!</f>
      </c>
      <c r="AK207" s="51" t="e">
        <f>Ticker0001_Exchange_Sheet!BJ276-#REF!</f>
      </c>
      <c r="AL207" s="51" t="e">
        <f>Ticker0001_Exchange_Sheet!BK276-#REF!</f>
      </c>
      <c r="AM207" s="51" t="e">
        <f>Ticker0001_Exchange_Sheet!BL276-#REF!</f>
      </c>
      <c r="AN207" s="51" t="e">
        <f>Ticker0001_Exchange_Sheet!BM276-#REF!</f>
      </c>
      <c r="AO207" s="51" t="e">
        <f>Ticker0001_Exchange_Sheet!BN276-#REF!</f>
      </c>
      <c r="AP207" s="51" t="e">
        <f>Ticker0001_Exchange_Sheet!BO276-#REF!</f>
      </c>
      <c r="AQ207" s="51" t="e">
        <f>Ticker0001_Exchange_Sheet!BP276-#REF!</f>
      </c>
      <c r="AR207" s="51" t="e">
        <f>Ticker0001_Exchange_Sheet!BQ276-#REF!</f>
      </c>
      <c r="AS207" s="51" t="e">
        <f>Ticker0001_Exchange_Sheet!BR276-#REF!</f>
      </c>
      <c r="AT207" s="51" t="e">
        <f>Ticker0001_Exchange_Sheet!BS276-#REF!</f>
      </c>
      <c r="AU207" s="51" t="e">
        <f>Ticker0001_Exchange_Sheet!BT276-#REF!</f>
      </c>
      <c r="AV207" s="51" t="e">
        <f>Ticker0001_Exchange_Sheet!BU276-#REF!</f>
      </c>
      <c r="AW207" s="51" t="e">
        <f>Ticker0001_Exchange_Sheet!BV276-#REF!</f>
      </c>
      <c r="AX207" s="51" t="e">
        <f>Ticker0001_Exchange_Sheet!BW276-#REF!</f>
      </c>
      <c r="AY207" s="51" t="e">
        <f>Ticker0001_Exchange_Sheet!BX276-#REF!</f>
      </c>
      <c r="AZ207" s="51" t="e">
        <f>Ticker0001_Exchange_Sheet!BY276-#REF!</f>
      </c>
      <c r="BA207" s="51" t="e">
        <f>Ticker0001_Exchange_Sheet!BZ276-#REF!</f>
      </c>
      <c r="BB207" s="51" t="e">
        <f>Ticker0001_Exchange_Sheet!CA276-#REF!</f>
      </c>
      <c r="BC207" s="51" t="e">
        <f>Ticker0001_Exchange_Sheet!CB276-#REF!</f>
      </c>
      <c r="BD207" s="51" t="e">
        <f>Ticker0001_Exchange_Sheet!CC276-#REF!</f>
      </c>
      <c r="BE207" s="51" t="e">
        <f>Ticker0001_Exchange_Sheet!CD276-#REF!</f>
      </c>
      <c r="BF207" s="51" t="e">
        <f>Ticker0001_Exchange_Sheet!CE276-#REF!</f>
      </c>
      <c r="BG207" s="51" t="e">
        <f>Ticker0001_Exchange_Sheet!CF276-#REF!</f>
      </c>
      <c r="BH207" s="51" t="e">
        <f>Ticker0001_Exchange_Sheet!CG276-#REF!</f>
      </c>
      <c r="BI207" s="51" t="e">
        <f>Ticker0001_Exchange_Sheet!CH276-#REF!</f>
      </c>
      <c r="BJ207" s="51" t="e">
        <f>Ticker0001_Exchange_Sheet!CI276-#REF!</f>
      </c>
      <c r="BK207" s="51" t="e">
        <f>Ticker0001_Exchange_Sheet!CJ276-#REF!</f>
      </c>
      <c r="BL207" s="51" t="e">
        <f>Ticker0001_Exchange_Sheet!CK276-#REF!</f>
      </c>
      <c r="BM207" s="51" t="e">
        <f>Ticker0001_Exchange_Sheet!CL276-#REF!</f>
      </c>
      <c r="BN207" s="51" t="e">
        <f>Ticker0001_Exchange_Sheet!CM276-#REF!</f>
      </c>
      <c r="BO207" s="51" t="e">
        <f>Ticker0001_Exchange_Sheet!CN276-#REF!</f>
      </c>
      <c r="BP207" s="51" t="e">
        <f>Ticker0001_Exchange_Sheet!CO276-#REF!</f>
      </c>
      <c r="BQ207" s="51" t="e">
        <f>Ticker0001_Exchange_Sheet!CP276-#REF!</f>
      </c>
      <c r="BR207" s="51" t="e">
        <f>Ticker0001_Exchange_Sheet!CQ276-#REF!</f>
      </c>
      <c r="BS207" s="51" t="e">
        <f>Ticker0001_Exchange_Sheet!CR276-#REF!</f>
      </c>
      <c r="BT207" s="51" t="e">
        <f>Ticker0001_Exchange_Sheet!CS276-#REF!</f>
      </c>
      <c r="BU207" s="51" t="e">
        <f>Ticker0001_Exchange_Sheet!CT276-#REF!</f>
      </c>
      <c r="BV207" s="51" t="e">
        <f>Ticker0001_Exchange_Sheet!CU276-#REF!</f>
      </c>
      <c r="BW207" s="51" t="e">
        <f>Ticker0001_Exchange_Sheet!CV276-#REF!</f>
      </c>
      <c r="BX207" s="51" t="e">
        <f>Ticker0001_Exchange_Sheet!CW276-#REF!</f>
      </c>
      <c r="BY207" s="51" t="e">
        <f>Ticker0001_Exchange_Sheet!CX276-#REF!</f>
      </c>
      <c r="BZ207" s="51" t="e">
        <f>Ticker0001_Exchange_Sheet!CY276-#REF!</f>
      </c>
      <c r="CA207" s="51" t="e">
        <f>Ticker0001_Exchange_Sheet!CZ276-#REF!</f>
      </c>
      <c r="CB207" s="51" t="e">
        <f>Ticker0001_Exchange_Sheet!DA276-#REF!</f>
      </c>
      <c r="CC207" s="51" t="e">
        <f>Ticker0001_Exchange_Sheet!DB276-#REF!</f>
      </c>
      <c r="CD207" s="51" t="e">
        <f>Ticker0001_Exchange_Sheet!DC276-#REF!</f>
      </c>
      <c r="CE207" s="51" t="e">
        <f>Ticker0001_Exchange_Sheet!DD276-#REF!</f>
      </c>
      <c r="CF207" s="51" t="e">
        <f>Ticker0001_Exchange_Sheet!DE276-#REF!</f>
      </c>
    </row>
    <row r="208" spans="6:84">
      <c r="F208" s="51" t="e">
        <f>Ticker0001_Exchange_Sheet!F277-#REF!</f>
      </c>
      <c r="G208" s="51" t="e">
        <f>Ticker0001_Exchange_Sheet!G277-#REF!</f>
      </c>
      <c r="H208" s="51" t="e">
        <f>Ticker0001_Exchange_Sheet!H277-#REF!</f>
      </c>
      <c r="I208" s="51" t="e">
        <f>Ticker0001_Exchange_Sheet!I277-#REF!</f>
      </c>
      <c r="J208" s="51" t="e">
        <f>Ticker0001_Exchange_Sheet!J277-#REF!</f>
      </c>
      <c r="K208" s="51" t="e">
        <f>Ticker0001_Exchange_Sheet!K277-#REF!</f>
      </c>
      <c r="L208" s="51" t="e">
        <f>Ticker0001_Exchange_Sheet!L277-#REF!</f>
      </c>
      <c r="M208" s="51" t="e">
        <f>Ticker0001_Exchange_Sheet!M277-#REF!</f>
      </c>
      <c r="N208" s="51" t="e">
        <f>Ticker0001_Exchange_Sheet!N277-#REF!</f>
      </c>
      <c r="O208" s="51" t="e">
        <f>Ticker0001_Exchange_Sheet!O277-#REF!</f>
      </c>
      <c r="P208" s="51" t="e">
        <f>Ticker0001_Exchange_Sheet!P277-#REF!</f>
      </c>
      <c r="Q208" s="51" t="e">
        <f>Ticker0001_Exchange_Sheet!Q277-#REF!</f>
      </c>
      <c r="R208" s="51" t="e">
        <f>Ticker0001_Exchange_Sheet!R277-#REF!</f>
      </c>
      <c r="S208" s="51" t="e">
        <f>Ticker0001_Exchange_Sheet!S277-#REF!</f>
      </c>
      <c r="T208" s="51" t="e">
        <f>Ticker0001_Exchange_Sheet!T277-#REF!</f>
      </c>
      <c r="U208" s="51" t="e">
        <f>Ticker0001_Exchange_Sheet!U277-#REF!</f>
      </c>
      <c r="V208" s="51" t="e">
        <f>Ticker0001_Exchange_Sheet!V277-#REF!</f>
      </c>
      <c r="W208" s="51" t="e">
        <f>Ticker0001_Exchange_Sheet!W277-#REF!</f>
      </c>
      <c r="X208" s="51" t="e">
        <f>Ticker0001_Exchange_Sheet!AK277-#REF!</f>
      </c>
      <c r="Y208" s="51" t="e">
        <f>Ticker0001_Exchange_Sheet!AX277-#REF!</f>
      </c>
      <c r="Z208" s="51" t="e">
        <f>Ticker0001_Exchange_Sheet!AY277-#REF!</f>
      </c>
      <c r="AA208" s="51" t="e">
        <f>Ticker0001_Exchange_Sheet!AZ277-#REF!</f>
      </c>
      <c r="AB208" s="51" t="e">
        <f>Ticker0001_Exchange_Sheet!BA277-#REF!</f>
      </c>
      <c r="AC208" s="51" t="e">
        <f>Ticker0001_Exchange_Sheet!BB277-#REF!</f>
      </c>
      <c r="AD208" s="51" t="e">
        <f>Ticker0001_Exchange_Sheet!BC277-#REF!</f>
      </c>
      <c r="AE208" s="51" t="e">
        <f>Ticker0001_Exchange_Sheet!BD277-#REF!</f>
      </c>
      <c r="AF208" s="51" t="e">
        <f>Ticker0001_Exchange_Sheet!BE277-#REF!</f>
      </c>
      <c r="AG208" s="51" t="e">
        <f>Ticker0001_Exchange_Sheet!BF277-#REF!</f>
      </c>
      <c r="AH208" s="51" t="e">
        <f>Ticker0001_Exchange_Sheet!BG277-#REF!</f>
      </c>
      <c r="AI208" s="51" t="e">
        <f>Ticker0001_Exchange_Sheet!BH277-#REF!</f>
      </c>
      <c r="AJ208" s="51" t="e">
        <f>Ticker0001_Exchange_Sheet!BI277-#REF!</f>
      </c>
      <c r="AK208" s="51" t="e">
        <f>Ticker0001_Exchange_Sheet!BJ277-#REF!</f>
      </c>
      <c r="AL208" s="51" t="e">
        <f>Ticker0001_Exchange_Sheet!BK277-#REF!</f>
      </c>
      <c r="AM208" s="51" t="e">
        <f>Ticker0001_Exchange_Sheet!BL277-#REF!</f>
      </c>
      <c r="AN208" s="51" t="e">
        <f>Ticker0001_Exchange_Sheet!BM277-#REF!</f>
      </c>
      <c r="AO208" s="51" t="e">
        <f>Ticker0001_Exchange_Sheet!BN277-#REF!</f>
      </c>
      <c r="AP208" s="51" t="e">
        <f>Ticker0001_Exchange_Sheet!BO277-#REF!</f>
      </c>
      <c r="AQ208" s="51" t="e">
        <f>Ticker0001_Exchange_Sheet!BP277-#REF!</f>
      </c>
      <c r="AR208" s="51" t="e">
        <f>Ticker0001_Exchange_Sheet!BQ277-#REF!</f>
      </c>
      <c r="AS208" s="51" t="e">
        <f>Ticker0001_Exchange_Sheet!BR277-#REF!</f>
      </c>
      <c r="AT208" s="51" t="e">
        <f>Ticker0001_Exchange_Sheet!BS277-#REF!</f>
      </c>
      <c r="AU208" s="51" t="e">
        <f>Ticker0001_Exchange_Sheet!BT277-#REF!</f>
      </c>
      <c r="AV208" s="51" t="e">
        <f>Ticker0001_Exchange_Sheet!BU277-#REF!</f>
      </c>
      <c r="AW208" s="51" t="e">
        <f>Ticker0001_Exchange_Sheet!BV277-#REF!</f>
      </c>
      <c r="AX208" s="51" t="e">
        <f>Ticker0001_Exchange_Sheet!BW277-#REF!</f>
      </c>
      <c r="AY208" s="51" t="e">
        <f>Ticker0001_Exchange_Sheet!BX277-#REF!</f>
      </c>
      <c r="AZ208" s="51" t="e">
        <f>Ticker0001_Exchange_Sheet!BY277-#REF!</f>
      </c>
      <c r="BA208" s="51" t="e">
        <f>Ticker0001_Exchange_Sheet!BZ277-#REF!</f>
      </c>
      <c r="BB208" s="51" t="e">
        <f>Ticker0001_Exchange_Sheet!CA277-#REF!</f>
      </c>
      <c r="BC208" s="51" t="e">
        <f>Ticker0001_Exchange_Sheet!CB277-#REF!</f>
      </c>
      <c r="BD208" s="51" t="e">
        <f>Ticker0001_Exchange_Sheet!CC277-#REF!</f>
      </c>
      <c r="BE208" s="51" t="e">
        <f>Ticker0001_Exchange_Sheet!CD277-#REF!</f>
      </c>
      <c r="BF208" s="51" t="e">
        <f>Ticker0001_Exchange_Sheet!CE277-#REF!</f>
      </c>
      <c r="BG208" s="51" t="e">
        <f>Ticker0001_Exchange_Sheet!CF277-#REF!</f>
      </c>
      <c r="BH208" s="51" t="e">
        <f>Ticker0001_Exchange_Sheet!CG277-#REF!</f>
      </c>
      <c r="BI208" s="51" t="e">
        <f>Ticker0001_Exchange_Sheet!CH277-#REF!</f>
      </c>
      <c r="BJ208" s="51" t="e">
        <f>Ticker0001_Exchange_Sheet!CI277-#REF!</f>
      </c>
      <c r="BK208" s="51" t="e">
        <f>Ticker0001_Exchange_Sheet!CJ277-#REF!</f>
      </c>
      <c r="BL208" s="51" t="e">
        <f>Ticker0001_Exchange_Sheet!CK277-#REF!</f>
      </c>
      <c r="BM208" s="51" t="e">
        <f>Ticker0001_Exchange_Sheet!CL277-#REF!</f>
      </c>
      <c r="BN208" s="51" t="e">
        <f>Ticker0001_Exchange_Sheet!CM277-#REF!</f>
      </c>
      <c r="BO208" s="51" t="e">
        <f>Ticker0001_Exchange_Sheet!CN277-#REF!</f>
      </c>
      <c r="BP208" s="51" t="e">
        <f>Ticker0001_Exchange_Sheet!CO277-#REF!</f>
      </c>
      <c r="BQ208" s="51" t="e">
        <f>Ticker0001_Exchange_Sheet!CP277-#REF!</f>
      </c>
      <c r="BR208" s="51" t="e">
        <f>Ticker0001_Exchange_Sheet!CQ277-#REF!</f>
      </c>
      <c r="BS208" s="51" t="e">
        <f>Ticker0001_Exchange_Sheet!CR277-#REF!</f>
      </c>
      <c r="BT208" s="51" t="e">
        <f>Ticker0001_Exchange_Sheet!CS277-#REF!</f>
      </c>
      <c r="BU208" s="51" t="e">
        <f>Ticker0001_Exchange_Sheet!CT277-#REF!</f>
      </c>
      <c r="BV208" s="51" t="e">
        <f>Ticker0001_Exchange_Sheet!CU277-#REF!</f>
      </c>
      <c r="BW208" s="51" t="e">
        <f>Ticker0001_Exchange_Sheet!CV277-#REF!</f>
      </c>
      <c r="BX208" s="51" t="e">
        <f>Ticker0001_Exchange_Sheet!CW277-#REF!</f>
      </c>
      <c r="BY208" s="51" t="e">
        <f>Ticker0001_Exchange_Sheet!CX277-#REF!</f>
      </c>
      <c r="BZ208" s="51" t="e">
        <f>Ticker0001_Exchange_Sheet!CY277-#REF!</f>
      </c>
      <c r="CA208" s="51" t="e">
        <f>Ticker0001_Exchange_Sheet!CZ277-#REF!</f>
      </c>
      <c r="CB208" s="51" t="e">
        <f>Ticker0001_Exchange_Sheet!DA277-#REF!</f>
      </c>
      <c r="CC208" s="51" t="e">
        <f>Ticker0001_Exchange_Sheet!DB277-#REF!</f>
      </c>
      <c r="CD208" s="51" t="e">
        <f>Ticker0001_Exchange_Sheet!DC277-#REF!</f>
      </c>
      <c r="CE208" s="51" t="e">
        <f>Ticker0001_Exchange_Sheet!DD277-#REF!</f>
      </c>
      <c r="CF208" s="51" t="e">
        <f>Ticker0001_Exchange_Sheet!DE277-#REF!</f>
      </c>
    </row>
    <row r="209" spans="6:84">
      <c r="F209" s="51" t="e">
        <f>Ticker0001_Exchange_Sheet!F278-#REF!</f>
      </c>
      <c r="G209" s="51" t="e">
        <f>Ticker0001_Exchange_Sheet!G278-#REF!</f>
      </c>
      <c r="H209" s="51" t="e">
        <f>Ticker0001_Exchange_Sheet!H278-#REF!</f>
      </c>
      <c r="I209" s="51" t="e">
        <f>Ticker0001_Exchange_Sheet!I278-#REF!</f>
      </c>
      <c r="J209" s="51" t="e">
        <f>Ticker0001_Exchange_Sheet!J278-#REF!</f>
      </c>
      <c r="K209" s="51" t="e">
        <f>Ticker0001_Exchange_Sheet!K278-#REF!</f>
      </c>
      <c r="L209" s="51" t="e">
        <f>Ticker0001_Exchange_Sheet!L278-#REF!</f>
      </c>
      <c r="M209" s="51" t="e">
        <f>Ticker0001_Exchange_Sheet!M278-#REF!</f>
      </c>
      <c r="N209" s="51" t="e">
        <f>Ticker0001_Exchange_Sheet!N278-#REF!</f>
      </c>
      <c r="O209" s="51" t="e">
        <f>Ticker0001_Exchange_Sheet!O278-#REF!</f>
      </c>
      <c r="P209" s="51" t="e">
        <f>Ticker0001_Exchange_Sheet!P278-#REF!</f>
      </c>
      <c r="Q209" s="51" t="e">
        <f>Ticker0001_Exchange_Sheet!Q278-#REF!</f>
      </c>
      <c r="R209" s="51" t="e">
        <f>Ticker0001_Exchange_Sheet!R278-#REF!</f>
      </c>
      <c r="S209" s="51" t="e">
        <f>Ticker0001_Exchange_Sheet!S278-#REF!</f>
      </c>
      <c r="T209" s="51" t="e">
        <f>Ticker0001_Exchange_Sheet!T278-#REF!</f>
      </c>
      <c r="U209" s="51" t="e">
        <f>Ticker0001_Exchange_Sheet!U278-#REF!</f>
      </c>
      <c r="V209" s="51" t="e">
        <f>Ticker0001_Exchange_Sheet!V278-#REF!</f>
      </c>
      <c r="W209" s="51" t="e">
        <f>Ticker0001_Exchange_Sheet!W278-#REF!</f>
      </c>
      <c r="X209" s="51" t="e">
        <f>Ticker0001_Exchange_Sheet!AK278-#REF!</f>
      </c>
      <c r="Y209" s="51" t="e">
        <f>Ticker0001_Exchange_Sheet!AX278-#REF!</f>
      </c>
      <c r="Z209" s="51" t="e">
        <f>Ticker0001_Exchange_Sheet!AY278-#REF!</f>
      </c>
      <c r="AA209" s="51" t="e">
        <f>Ticker0001_Exchange_Sheet!AZ278-#REF!</f>
      </c>
      <c r="AB209" s="51" t="e">
        <f>Ticker0001_Exchange_Sheet!BA278-#REF!</f>
      </c>
      <c r="AC209" s="51" t="e">
        <f>Ticker0001_Exchange_Sheet!BB278-#REF!</f>
      </c>
      <c r="AD209" s="51" t="e">
        <f>Ticker0001_Exchange_Sheet!BC278-#REF!</f>
      </c>
      <c r="AE209" s="51" t="e">
        <f>Ticker0001_Exchange_Sheet!BD278-#REF!</f>
      </c>
      <c r="AF209" s="51" t="e">
        <f>Ticker0001_Exchange_Sheet!BE278-#REF!</f>
      </c>
      <c r="AG209" s="51" t="e">
        <f>Ticker0001_Exchange_Sheet!BF278-#REF!</f>
      </c>
      <c r="AH209" s="51" t="e">
        <f>Ticker0001_Exchange_Sheet!BG278-#REF!</f>
      </c>
      <c r="AI209" s="51" t="e">
        <f>Ticker0001_Exchange_Sheet!BH278-#REF!</f>
      </c>
      <c r="AJ209" s="51" t="e">
        <f>Ticker0001_Exchange_Sheet!BI278-#REF!</f>
      </c>
      <c r="AK209" s="51" t="e">
        <f>Ticker0001_Exchange_Sheet!BJ278-#REF!</f>
      </c>
      <c r="AL209" s="51" t="e">
        <f>Ticker0001_Exchange_Sheet!BK278-#REF!</f>
      </c>
      <c r="AM209" s="51" t="e">
        <f>Ticker0001_Exchange_Sheet!BL278-#REF!</f>
      </c>
      <c r="AN209" s="51" t="e">
        <f>Ticker0001_Exchange_Sheet!BM278-#REF!</f>
      </c>
      <c r="AO209" s="51" t="e">
        <f>Ticker0001_Exchange_Sheet!BN278-#REF!</f>
      </c>
      <c r="AP209" s="51" t="e">
        <f>Ticker0001_Exchange_Sheet!BO278-#REF!</f>
      </c>
      <c r="AQ209" s="51" t="e">
        <f>Ticker0001_Exchange_Sheet!BP278-#REF!</f>
      </c>
      <c r="AR209" s="51" t="e">
        <f>Ticker0001_Exchange_Sheet!BQ278-#REF!</f>
      </c>
      <c r="AS209" s="51" t="e">
        <f>Ticker0001_Exchange_Sheet!BR278-#REF!</f>
      </c>
      <c r="AT209" s="51" t="e">
        <f>Ticker0001_Exchange_Sheet!BS278-#REF!</f>
      </c>
      <c r="AU209" s="51" t="e">
        <f>Ticker0001_Exchange_Sheet!BT278-#REF!</f>
      </c>
      <c r="AV209" s="51" t="e">
        <f>Ticker0001_Exchange_Sheet!BU278-#REF!</f>
      </c>
      <c r="AW209" s="51" t="e">
        <f>Ticker0001_Exchange_Sheet!BV278-#REF!</f>
      </c>
      <c r="AX209" s="51" t="e">
        <f>Ticker0001_Exchange_Sheet!BW278-#REF!</f>
      </c>
      <c r="AY209" s="51" t="e">
        <f>Ticker0001_Exchange_Sheet!BX278-#REF!</f>
      </c>
      <c r="AZ209" s="51" t="e">
        <f>Ticker0001_Exchange_Sheet!BY278-#REF!</f>
      </c>
      <c r="BA209" s="51" t="e">
        <f>Ticker0001_Exchange_Sheet!BZ278-#REF!</f>
      </c>
      <c r="BB209" s="51" t="e">
        <f>Ticker0001_Exchange_Sheet!CA278-#REF!</f>
      </c>
      <c r="BC209" s="51" t="e">
        <f>Ticker0001_Exchange_Sheet!CB278-#REF!</f>
      </c>
      <c r="BD209" s="51" t="e">
        <f>Ticker0001_Exchange_Sheet!CC278-#REF!</f>
      </c>
      <c r="BE209" s="51" t="e">
        <f>Ticker0001_Exchange_Sheet!CD278-#REF!</f>
      </c>
      <c r="BF209" s="51" t="e">
        <f>Ticker0001_Exchange_Sheet!CE278-#REF!</f>
      </c>
      <c r="BG209" s="51" t="e">
        <f>Ticker0001_Exchange_Sheet!CF278-#REF!</f>
      </c>
      <c r="BH209" s="51" t="e">
        <f>Ticker0001_Exchange_Sheet!CG278-#REF!</f>
      </c>
      <c r="BI209" s="51" t="e">
        <f>Ticker0001_Exchange_Sheet!CH278-#REF!</f>
      </c>
      <c r="BJ209" s="51" t="e">
        <f>Ticker0001_Exchange_Sheet!CI278-#REF!</f>
      </c>
      <c r="BK209" s="51" t="e">
        <f>Ticker0001_Exchange_Sheet!CJ278-#REF!</f>
      </c>
      <c r="BL209" s="51" t="e">
        <f>Ticker0001_Exchange_Sheet!CK278-#REF!</f>
      </c>
      <c r="BM209" s="51" t="e">
        <f>Ticker0001_Exchange_Sheet!CL278-#REF!</f>
      </c>
      <c r="BN209" s="51" t="e">
        <f>Ticker0001_Exchange_Sheet!CM278-#REF!</f>
      </c>
      <c r="BO209" s="51" t="e">
        <f>Ticker0001_Exchange_Sheet!CN278-#REF!</f>
      </c>
      <c r="BP209" s="51" t="e">
        <f>Ticker0001_Exchange_Sheet!CO278-#REF!</f>
      </c>
      <c r="BQ209" s="51" t="e">
        <f>Ticker0001_Exchange_Sheet!CP278-#REF!</f>
      </c>
      <c r="BR209" s="51" t="e">
        <f>Ticker0001_Exchange_Sheet!CQ278-#REF!</f>
      </c>
      <c r="BS209" s="51" t="e">
        <f>Ticker0001_Exchange_Sheet!CR278-#REF!</f>
      </c>
      <c r="BT209" s="51" t="e">
        <f>Ticker0001_Exchange_Sheet!CS278-#REF!</f>
      </c>
      <c r="BU209" s="51" t="e">
        <f>Ticker0001_Exchange_Sheet!CT278-#REF!</f>
      </c>
      <c r="BV209" s="51" t="e">
        <f>Ticker0001_Exchange_Sheet!CU278-#REF!</f>
      </c>
      <c r="BW209" s="51" t="e">
        <f>Ticker0001_Exchange_Sheet!CV278-#REF!</f>
      </c>
      <c r="BX209" s="51" t="e">
        <f>Ticker0001_Exchange_Sheet!CW278-#REF!</f>
      </c>
      <c r="BY209" s="51" t="e">
        <f>Ticker0001_Exchange_Sheet!CX278-#REF!</f>
      </c>
      <c r="BZ209" s="51" t="e">
        <f>Ticker0001_Exchange_Sheet!CY278-#REF!</f>
      </c>
      <c r="CA209" s="51" t="e">
        <f>Ticker0001_Exchange_Sheet!CZ278-#REF!</f>
      </c>
      <c r="CB209" s="51" t="e">
        <f>Ticker0001_Exchange_Sheet!DA278-#REF!</f>
      </c>
      <c r="CC209" s="51" t="e">
        <f>Ticker0001_Exchange_Sheet!DB278-#REF!</f>
      </c>
      <c r="CD209" s="51" t="e">
        <f>Ticker0001_Exchange_Sheet!DC278-#REF!</f>
      </c>
      <c r="CE209" s="51" t="e">
        <f>Ticker0001_Exchange_Sheet!DD278-#REF!</f>
      </c>
      <c r="CF209" s="51" t="e">
        <f>Ticker0001_Exchange_Sheet!DE278-#REF!</f>
      </c>
    </row>
    <row r="210" spans="6:84">
      <c r="F210" s="51" t="e">
        <f>Ticker0001_Exchange_Sheet!F279-#REF!</f>
      </c>
      <c r="G210" s="51" t="e">
        <f>Ticker0001_Exchange_Sheet!G279-#REF!</f>
      </c>
      <c r="H210" s="51" t="e">
        <f>Ticker0001_Exchange_Sheet!H279-#REF!</f>
      </c>
      <c r="I210" s="51" t="e">
        <f>Ticker0001_Exchange_Sheet!I279-#REF!</f>
      </c>
      <c r="J210" s="51" t="e">
        <f>Ticker0001_Exchange_Sheet!J279-#REF!</f>
      </c>
      <c r="K210" s="51" t="e">
        <f>Ticker0001_Exchange_Sheet!K279-#REF!</f>
      </c>
      <c r="L210" s="51" t="e">
        <f>Ticker0001_Exchange_Sheet!L279-#REF!</f>
      </c>
      <c r="M210" s="51" t="e">
        <f>Ticker0001_Exchange_Sheet!M279-#REF!</f>
      </c>
      <c r="N210" s="51" t="e">
        <f>Ticker0001_Exchange_Sheet!N279-#REF!</f>
      </c>
      <c r="O210" s="51" t="e">
        <f>Ticker0001_Exchange_Sheet!O279-#REF!</f>
      </c>
      <c r="P210" s="51" t="e">
        <f>Ticker0001_Exchange_Sheet!P279-#REF!</f>
      </c>
      <c r="Q210" s="51" t="e">
        <f>Ticker0001_Exchange_Sheet!Q279-#REF!</f>
      </c>
      <c r="R210" s="51" t="e">
        <f>Ticker0001_Exchange_Sheet!R279-#REF!</f>
      </c>
      <c r="S210" s="51" t="e">
        <f>Ticker0001_Exchange_Sheet!S279-#REF!</f>
      </c>
      <c r="T210" s="51" t="e">
        <f>Ticker0001_Exchange_Sheet!T279-#REF!</f>
      </c>
      <c r="U210" s="51" t="e">
        <f>Ticker0001_Exchange_Sheet!U279-#REF!</f>
      </c>
      <c r="V210" s="51" t="e">
        <f>Ticker0001_Exchange_Sheet!V279-#REF!</f>
      </c>
      <c r="W210" s="51" t="e">
        <f>Ticker0001_Exchange_Sheet!W279-#REF!</f>
      </c>
      <c r="X210" s="51" t="e">
        <f>Ticker0001_Exchange_Sheet!AK279-#REF!</f>
      </c>
      <c r="Y210" s="51" t="e">
        <f>Ticker0001_Exchange_Sheet!AX279-#REF!</f>
      </c>
      <c r="Z210" s="51" t="e">
        <f>Ticker0001_Exchange_Sheet!AY279-#REF!</f>
      </c>
      <c r="AA210" s="51" t="e">
        <f>Ticker0001_Exchange_Sheet!AZ279-#REF!</f>
      </c>
      <c r="AB210" s="51" t="e">
        <f>Ticker0001_Exchange_Sheet!BA279-#REF!</f>
      </c>
      <c r="AC210" s="51" t="e">
        <f>Ticker0001_Exchange_Sheet!BB279-#REF!</f>
      </c>
      <c r="AD210" s="51" t="e">
        <f>Ticker0001_Exchange_Sheet!BC279-#REF!</f>
      </c>
      <c r="AE210" s="51" t="e">
        <f>Ticker0001_Exchange_Sheet!BD279-#REF!</f>
      </c>
      <c r="AF210" s="51" t="e">
        <f>Ticker0001_Exchange_Sheet!BE279-#REF!</f>
      </c>
      <c r="AG210" s="51" t="e">
        <f>Ticker0001_Exchange_Sheet!BF279-#REF!</f>
      </c>
      <c r="AH210" s="51" t="e">
        <f>Ticker0001_Exchange_Sheet!BG279-#REF!</f>
      </c>
      <c r="AI210" s="51" t="e">
        <f>Ticker0001_Exchange_Sheet!BH279-#REF!</f>
      </c>
      <c r="AJ210" s="51" t="e">
        <f>Ticker0001_Exchange_Sheet!BI279-#REF!</f>
      </c>
      <c r="AK210" s="51" t="e">
        <f>Ticker0001_Exchange_Sheet!BJ279-#REF!</f>
      </c>
      <c r="AL210" s="51" t="e">
        <f>Ticker0001_Exchange_Sheet!BK279-#REF!</f>
      </c>
      <c r="AM210" s="51" t="e">
        <f>Ticker0001_Exchange_Sheet!BL279-#REF!</f>
      </c>
      <c r="AN210" s="51" t="e">
        <f>Ticker0001_Exchange_Sheet!BM279-#REF!</f>
      </c>
      <c r="AO210" s="51" t="e">
        <f>Ticker0001_Exchange_Sheet!BN279-#REF!</f>
      </c>
      <c r="AP210" s="51" t="e">
        <f>Ticker0001_Exchange_Sheet!BO279-#REF!</f>
      </c>
      <c r="AQ210" s="51" t="e">
        <f>Ticker0001_Exchange_Sheet!BP279-#REF!</f>
      </c>
      <c r="AR210" s="51" t="e">
        <f>Ticker0001_Exchange_Sheet!BQ279-#REF!</f>
      </c>
      <c r="AS210" s="51" t="e">
        <f>Ticker0001_Exchange_Sheet!BR279-#REF!</f>
      </c>
      <c r="AT210" s="51" t="e">
        <f>Ticker0001_Exchange_Sheet!BS279-#REF!</f>
      </c>
      <c r="AU210" s="51" t="e">
        <f>Ticker0001_Exchange_Sheet!BT279-#REF!</f>
      </c>
      <c r="AV210" s="51" t="e">
        <f>Ticker0001_Exchange_Sheet!BU279-#REF!</f>
      </c>
      <c r="AW210" s="51" t="e">
        <f>Ticker0001_Exchange_Sheet!BV279-#REF!</f>
      </c>
      <c r="AX210" s="51" t="e">
        <f>Ticker0001_Exchange_Sheet!BW279-#REF!</f>
      </c>
      <c r="AY210" s="51" t="e">
        <f>Ticker0001_Exchange_Sheet!BX279-#REF!</f>
      </c>
      <c r="AZ210" s="51" t="e">
        <f>Ticker0001_Exchange_Sheet!BY279-#REF!</f>
      </c>
      <c r="BA210" s="51" t="e">
        <f>Ticker0001_Exchange_Sheet!BZ279-#REF!</f>
      </c>
      <c r="BB210" s="51" t="e">
        <f>Ticker0001_Exchange_Sheet!CA279-#REF!</f>
      </c>
      <c r="BC210" s="51" t="e">
        <f>Ticker0001_Exchange_Sheet!CB279-#REF!</f>
      </c>
      <c r="BD210" s="51" t="e">
        <f>Ticker0001_Exchange_Sheet!CC279-#REF!</f>
      </c>
      <c r="BE210" s="51" t="e">
        <f>Ticker0001_Exchange_Sheet!CD279-#REF!</f>
      </c>
      <c r="BF210" s="51" t="e">
        <f>Ticker0001_Exchange_Sheet!CE279-#REF!</f>
      </c>
      <c r="BG210" s="51" t="e">
        <f>Ticker0001_Exchange_Sheet!CF279-#REF!</f>
      </c>
      <c r="BH210" s="51" t="e">
        <f>Ticker0001_Exchange_Sheet!CG279-#REF!</f>
      </c>
      <c r="BI210" s="51" t="e">
        <f>Ticker0001_Exchange_Sheet!CH279-#REF!</f>
      </c>
      <c r="BJ210" s="51" t="e">
        <f>Ticker0001_Exchange_Sheet!CI279-#REF!</f>
      </c>
      <c r="BK210" s="51" t="e">
        <f>Ticker0001_Exchange_Sheet!CJ279-#REF!</f>
      </c>
      <c r="BL210" s="51" t="e">
        <f>Ticker0001_Exchange_Sheet!CK279-#REF!</f>
      </c>
      <c r="BM210" s="51" t="e">
        <f>Ticker0001_Exchange_Sheet!CL279-#REF!</f>
      </c>
      <c r="BN210" s="51" t="e">
        <f>Ticker0001_Exchange_Sheet!CM279-#REF!</f>
      </c>
      <c r="BO210" s="51" t="e">
        <f>Ticker0001_Exchange_Sheet!CN279-#REF!</f>
      </c>
      <c r="BP210" s="51" t="e">
        <f>Ticker0001_Exchange_Sheet!CO279-#REF!</f>
      </c>
      <c r="BQ210" s="51" t="e">
        <f>Ticker0001_Exchange_Sheet!CP279-#REF!</f>
      </c>
      <c r="BR210" s="51" t="e">
        <f>Ticker0001_Exchange_Sheet!CQ279-#REF!</f>
      </c>
      <c r="BS210" s="51" t="e">
        <f>Ticker0001_Exchange_Sheet!CR279-#REF!</f>
      </c>
      <c r="BT210" s="51" t="e">
        <f>Ticker0001_Exchange_Sheet!CS279-#REF!</f>
      </c>
      <c r="BU210" s="51" t="e">
        <f>Ticker0001_Exchange_Sheet!CT279-#REF!</f>
      </c>
      <c r="BV210" s="51" t="e">
        <f>Ticker0001_Exchange_Sheet!CU279-#REF!</f>
      </c>
      <c r="BW210" s="51" t="e">
        <f>Ticker0001_Exchange_Sheet!CV279-#REF!</f>
      </c>
      <c r="BX210" s="51" t="e">
        <f>Ticker0001_Exchange_Sheet!CW279-#REF!</f>
      </c>
      <c r="BY210" s="51" t="e">
        <f>Ticker0001_Exchange_Sheet!CX279-#REF!</f>
      </c>
      <c r="BZ210" s="51" t="e">
        <f>Ticker0001_Exchange_Sheet!CY279-#REF!</f>
      </c>
      <c r="CA210" s="51" t="e">
        <f>Ticker0001_Exchange_Sheet!CZ279-#REF!</f>
      </c>
      <c r="CB210" s="51" t="e">
        <f>Ticker0001_Exchange_Sheet!DA279-#REF!</f>
      </c>
      <c r="CC210" s="51" t="e">
        <f>Ticker0001_Exchange_Sheet!DB279-#REF!</f>
      </c>
      <c r="CD210" s="51" t="e">
        <f>Ticker0001_Exchange_Sheet!DC279-#REF!</f>
      </c>
      <c r="CE210" s="51" t="e">
        <f>Ticker0001_Exchange_Sheet!DD279-#REF!</f>
      </c>
      <c r="CF210" s="51" t="e">
        <f>Ticker0001_Exchange_Sheet!DE279-#REF!</f>
      </c>
    </row>
    <row r="211" spans="6:84">
      <c r="F211" s="51" t="e">
        <f>Ticker0001_Exchange_Sheet!F280-#REF!</f>
      </c>
      <c r="G211" s="51" t="e">
        <f>Ticker0001_Exchange_Sheet!G280-#REF!</f>
      </c>
      <c r="H211" s="51" t="e">
        <f>Ticker0001_Exchange_Sheet!H280-#REF!</f>
      </c>
      <c r="I211" s="51" t="e">
        <f>Ticker0001_Exchange_Sheet!I280-#REF!</f>
      </c>
      <c r="J211" s="51" t="e">
        <f>Ticker0001_Exchange_Sheet!J280-#REF!</f>
      </c>
      <c r="K211" s="51" t="e">
        <f>Ticker0001_Exchange_Sheet!K280-#REF!</f>
      </c>
      <c r="L211" s="51" t="e">
        <f>Ticker0001_Exchange_Sheet!L280-#REF!</f>
      </c>
      <c r="M211" s="51" t="e">
        <f>Ticker0001_Exchange_Sheet!M280-#REF!</f>
      </c>
      <c r="N211" s="51" t="e">
        <f>Ticker0001_Exchange_Sheet!N280-#REF!</f>
      </c>
      <c r="O211" s="51" t="e">
        <f>Ticker0001_Exchange_Sheet!O280-#REF!</f>
      </c>
      <c r="P211" s="51" t="e">
        <f>Ticker0001_Exchange_Sheet!P280-#REF!</f>
      </c>
      <c r="Q211" s="51" t="e">
        <f>Ticker0001_Exchange_Sheet!Q280-#REF!</f>
      </c>
      <c r="R211" s="51" t="e">
        <f>Ticker0001_Exchange_Sheet!R280-#REF!</f>
      </c>
      <c r="S211" s="51" t="e">
        <f>Ticker0001_Exchange_Sheet!S280-#REF!</f>
      </c>
      <c r="T211" s="51" t="e">
        <f>Ticker0001_Exchange_Sheet!T280-#REF!</f>
      </c>
      <c r="U211" s="51" t="e">
        <f>Ticker0001_Exchange_Sheet!U280-#REF!</f>
      </c>
      <c r="V211" s="51" t="e">
        <f>Ticker0001_Exchange_Sheet!V280-#REF!</f>
      </c>
      <c r="W211" s="51" t="e">
        <f>Ticker0001_Exchange_Sheet!W280-#REF!</f>
      </c>
      <c r="X211" s="51" t="e">
        <f>Ticker0001_Exchange_Sheet!AK280-#REF!</f>
      </c>
      <c r="Y211" s="51" t="e">
        <f>Ticker0001_Exchange_Sheet!AX280-#REF!</f>
      </c>
      <c r="Z211" s="51" t="e">
        <f>Ticker0001_Exchange_Sheet!AY280-#REF!</f>
      </c>
      <c r="AA211" s="51" t="e">
        <f>Ticker0001_Exchange_Sheet!AZ280-#REF!</f>
      </c>
      <c r="AB211" s="51" t="e">
        <f>Ticker0001_Exchange_Sheet!BA280-#REF!</f>
      </c>
      <c r="AC211" s="51" t="e">
        <f>Ticker0001_Exchange_Sheet!BB280-#REF!</f>
      </c>
      <c r="AD211" s="51" t="e">
        <f>Ticker0001_Exchange_Sheet!BC280-#REF!</f>
      </c>
      <c r="AE211" s="51" t="e">
        <f>Ticker0001_Exchange_Sheet!BD280-#REF!</f>
      </c>
      <c r="AF211" s="51" t="e">
        <f>Ticker0001_Exchange_Sheet!BE280-#REF!</f>
      </c>
      <c r="AG211" s="51" t="e">
        <f>Ticker0001_Exchange_Sheet!BF280-#REF!</f>
      </c>
      <c r="AH211" s="51" t="e">
        <f>Ticker0001_Exchange_Sheet!BG280-#REF!</f>
      </c>
      <c r="AI211" s="51" t="e">
        <f>Ticker0001_Exchange_Sheet!BH280-#REF!</f>
      </c>
      <c r="AJ211" s="51" t="e">
        <f>Ticker0001_Exchange_Sheet!BI280-#REF!</f>
      </c>
      <c r="AK211" s="51" t="e">
        <f>Ticker0001_Exchange_Sheet!BJ280-#REF!</f>
      </c>
      <c r="AL211" s="51" t="e">
        <f>Ticker0001_Exchange_Sheet!BK280-#REF!</f>
      </c>
      <c r="AM211" s="51" t="e">
        <f>Ticker0001_Exchange_Sheet!BL280-#REF!</f>
      </c>
      <c r="AN211" s="51" t="e">
        <f>Ticker0001_Exchange_Sheet!BM280-#REF!</f>
      </c>
      <c r="AO211" s="51" t="e">
        <f>Ticker0001_Exchange_Sheet!BN280-#REF!</f>
      </c>
      <c r="AP211" s="51" t="e">
        <f>Ticker0001_Exchange_Sheet!BO280-#REF!</f>
      </c>
      <c r="AQ211" s="51" t="e">
        <f>Ticker0001_Exchange_Sheet!BP280-#REF!</f>
      </c>
      <c r="AR211" s="51" t="e">
        <f>Ticker0001_Exchange_Sheet!BQ280-#REF!</f>
      </c>
      <c r="AS211" s="51" t="e">
        <f>Ticker0001_Exchange_Sheet!BR280-#REF!</f>
      </c>
      <c r="AT211" s="51" t="e">
        <f>Ticker0001_Exchange_Sheet!BS280-#REF!</f>
      </c>
      <c r="AU211" s="51" t="e">
        <f>Ticker0001_Exchange_Sheet!BT280-#REF!</f>
      </c>
      <c r="AV211" s="51" t="e">
        <f>Ticker0001_Exchange_Sheet!BU280-#REF!</f>
      </c>
      <c r="AW211" s="51" t="e">
        <f>Ticker0001_Exchange_Sheet!BV280-#REF!</f>
      </c>
      <c r="AX211" s="51" t="e">
        <f>Ticker0001_Exchange_Sheet!BW280-#REF!</f>
      </c>
      <c r="AY211" s="51" t="e">
        <f>Ticker0001_Exchange_Sheet!BX280-#REF!</f>
      </c>
      <c r="AZ211" s="51" t="e">
        <f>Ticker0001_Exchange_Sheet!BY280-#REF!</f>
      </c>
      <c r="BA211" s="51" t="e">
        <f>Ticker0001_Exchange_Sheet!BZ280-#REF!</f>
      </c>
      <c r="BB211" s="51" t="e">
        <f>Ticker0001_Exchange_Sheet!CA280-#REF!</f>
      </c>
      <c r="BC211" s="51" t="e">
        <f>Ticker0001_Exchange_Sheet!CB280-#REF!</f>
      </c>
      <c r="BD211" s="51" t="e">
        <f>Ticker0001_Exchange_Sheet!CC280-#REF!</f>
      </c>
      <c r="BE211" s="51" t="e">
        <f>Ticker0001_Exchange_Sheet!CD280-#REF!</f>
      </c>
      <c r="BF211" s="51" t="e">
        <f>Ticker0001_Exchange_Sheet!CE280-#REF!</f>
      </c>
      <c r="BG211" s="51" t="e">
        <f>Ticker0001_Exchange_Sheet!CF280-#REF!</f>
      </c>
      <c r="BH211" s="51" t="e">
        <f>Ticker0001_Exchange_Sheet!CG280-#REF!</f>
      </c>
      <c r="BI211" s="51" t="e">
        <f>Ticker0001_Exchange_Sheet!CH280-#REF!</f>
      </c>
      <c r="BJ211" s="51" t="e">
        <f>Ticker0001_Exchange_Sheet!CI280-#REF!</f>
      </c>
      <c r="BK211" s="51" t="e">
        <f>Ticker0001_Exchange_Sheet!CJ280-#REF!</f>
      </c>
      <c r="BL211" s="51" t="e">
        <f>Ticker0001_Exchange_Sheet!CK280-#REF!</f>
      </c>
      <c r="BM211" s="51" t="e">
        <f>Ticker0001_Exchange_Sheet!CL280-#REF!</f>
      </c>
      <c r="BN211" s="51" t="e">
        <f>Ticker0001_Exchange_Sheet!CM280-#REF!</f>
      </c>
      <c r="BO211" s="51" t="e">
        <f>Ticker0001_Exchange_Sheet!CN280-#REF!</f>
      </c>
      <c r="BP211" s="51" t="e">
        <f>Ticker0001_Exchange_Sheet!CO280-#REF!</f>
      </c>
      <c r="BQ211" s="51" t="e">
        <f>Ticker0001_Exchange_Sheet!CP280-#REF!</f>
      </c>
      <c r="BR211" s="51" t="e">
        <f>Ticker0001_Exchange_Sheet!CQ280-#REF!</f>
      </c>
      <c r="BS211" s="51" t="e">
        <f>Ticker0001_Exchange_Sheet!CR280-#REF!</f>
      </c>
      <c r="BT211" s="51" t="e">
        <f>Ticker0001_Exchange_Sheet!CS280-#REF!</f>
      </c>
      <c r="BU211" s="51" t="e">
        <f>Ticker0001_Exchange_Sheet!CT280-#REF!</f>
      </c>
      <c r="BV211" s="51" t="e">
        <f>Ticker0001_Exchange_Sheet!CU280-#REF!</f>
      </c>
      <c r="BW211" s="51" t="e">
        <f>Ticker0001_Exchange_Sheet!CV280-#REF!</f>
      </c>
      <c r="BX211" s="51" t="e">
        <f>Ticker0001_Exchange_Sheet!CW280-#REF!</f>
      </c>
      <c r="BY211" s="51" t="e">
        <f>Ticker0001_Exchange_Sheet!CX280-#REF!</f>
      </c>
      <c r="BZ211" s="51" t="e">
        <f>Ticker0001_Exchange_Sheet!CY280-#REF!</f>
      </c>
      <c r="CA211" s="51" t="e">
        <f>Ticker0001_Exchange_Sheet!CZ280-#REF!</f>
      </c>
      <c r="CB211" s="51" t="e">
        <f>Ticker0001_Exchange_Sheet!DA280-#REF!</f>
      </c>
      <c r="CC211" s="51" t="e">
        <f>Ticker0001_Exchange_Sheet!DB280-#REF!</f>
      </c>
      <c r="CD211" s="51" t="e">
        <f>Ticker0001_Exchange_Sheet!DC280-#REF!</f>
      </c>
      <c r="CE211" s="51" t="e">
        <f>Ticker0001_Exchange_Sheet!DD280-#REF!</f>
      </c>
      <c r="CF211" s="51" t="e">
        <f>Ticker0001_Exchange_Sheet!DE280-#REF!</f>
      </c>
    </row>
    <row r="212" spans="6:84">
      <c r="F212" s="51" t="e">
        <f>Ticker0001_Exchange_Sheet!F281-#REF!</f>
      </c>
      <c r="G212" s="51" t="e">
        <f>Ticker0001_Exchange_Sheet!G281-#REF!</f>
      </c>
      <c r="H212" s="51" t="e">
        <f>Ticker0001_Exchange_Sheet!H281-#REF!</f>
      </c>
      <c r="I212" s="51" t="e">
        <f>Ticker0001_Exchange_Sheet!I281-#REF!</f>
      </c>
      <c r="J212" s="51" t="e">
        <f>Ticker0001_Exchange_Sheet!J281-#REF!</f>
      </c>
      <c r="K212" s="51" t="e">
        <f>Ticker0001_Exchange_Sheet!K281-#REF!</f>
      </c>
      <c r="L212" s="51" t="e">
        <f>Ticker0001_Exchange_Sheet!L281-#REF!</f>
      </c>
      <c r="M212" s="51" t="e">
        <f>Ticker0001_Exchange_Sheet!M281-#REF!</f>
      </c>
      <c r="N212" s="51" t="e">
        <f>Ticker0001_Exchange_Sheet!N281-#REF!</f>
      </c>
      <c r="O212" s="51" t="e">
        <f>Ticker0001_Exchange_Sheet!O281-#REF!</f>
      </c>
      <c r="P212" s="51" t="e">
        <f>Ticker0001_Exchange_Sheet!P281-#REF!</f>
      </c>
      <c r="Q212" s="51" t="e">
        <f>Ticker0001_Exchange_Sheet!Q281-#REF!</f>
      </c>
      <c r="R212" s="51" t="e">
        <f>Ticker0001_Exchange_Sheet!R281-#REF!</f>
      </c>
      <c r="S212" s="51" t="e">
        <f>Ticker0001_Exchange_Sheet!S281-#REF!</f>
      </c>
      <c r="T212" s="51" t="e">
        <f>Ticker0001_Exchange_Sheet!T281-#REF!</f>
      </c>
      <c r="U212" s="51" t="e">
        <f>Ticker0001_Exchange_Sheet!U281-#REF!</f>
      </c>
      <c r="V212" s="51" t="e">
        <f>Ticker0001_Exchange_Sheet!V281-#REF!</f>
      </c>
      <c r="W212" s="51" t="e">
        <f>Ticker0001_Exchange_Sheet!W281-#REF!</f>
      </c>
      <c r="X212" s="51" t="e">
        <f>Ticker0001_Exchange_Sheet!AK281-#REF!</f>
      </c>
      <c r="Y212" s="51" t="e">
        <f>Ticker0001_Exchange_Sheet!AX281-#REF!</f>
      </c>
      <c r="Z212" s="51" t="e">
        <f>Ticker0001_Exchange_Sheet!AY281-#REF!</f>
      </c>
      <c r="AA212" s="51" t="e">
        <f>Ticker0001_Exchange_Sheet!AZ281-#REF!</f>
      </c>
      <c r="AB212" s="51" t="e">
        <f>Ticker0001_Exchange_Sheet!BA281-#REF!</f>
      </c>
      <c r="AC212" s="51" t="e">
        <f>Ticker0001_Exchange_Sheet!BB281-#REF!</f>
      </c>
      <c r="AD212" s="51" t="e">
        <f>Ticker0001_Exchange_Sheet!BC281-#REF!</f>
      </c>
      <c r="AE212" s="51" t="e">
        <f>Ticker0001_Exchange_Sheet!BD281-#REF!</f>
      </c>
      <c r="AF212" s="51" t="e">
        <f>Ticker0001_Exchange_Sheet!BE281-#REF!</f>
      </c>
      <c r="AG212" s="51" t="e">
        <f>Ticker0001_Exchange_Sheet!BF281-#REF!</f>
      </c>
      <c r="AH212" s="51" t="e">
        <f>Ticker0001_Exchange_Sheet!BG281-#REF!</f>
      </c>
      <c r="AI212" s="51" t="e">
        <f>Ticker0001_Exchange_Sheet!BH281-#REF!</f>
      </c>
      <c r="AJ212" s="51" t="e">
        <f>Ticker0001_Exchange_Sheet!BI281-#REF!</f>
      </c>
      <c r="AK212" s="51" t="e">
        <f>Ticker0001_Exchange_Sheet!BJ281-#REF!</f>
      </c>
      <c r="AL212" s="51" t="e">
        <f>Ticker0001_Exchange_Sheet!BK281-#REF!</f>
      </c>
      <c r="AM212" s="51" t="e">
        <f>Ticker0001_Exchange_Sheet!BL281-#REF!</f>
      </c>
      <c r="AN212" s="51" t="e">
        <f>Ticker0001_Exchange_Sheet!BM281-#REF!</f>
      </c>
      <c r="AO212" s="51" t="e">
        <f>Ticker0001_Exchange_Sheet!BN281-#REF!</f>
      </c>
      <c r="AP212" s="51" t="e">
        <f>Ticker0001_Exchange_Sheet!BO281-#REF!</f>
      </c>
      <c r="AQ212" s="51" t="e">
        <f>Ticker0001_Exchange_Sheet!BP281-#REF!</f>
      </c>
      <c r="AR212" s="51" t="e">
        <f>Ticker0001_Exchange_Sheet!BQ281-#REF!</f>
      </c>
      <c r="AS212" s="51" t="e">
        <f>Ticker0001_Exchange_Sheet!BR281-#REF!</f>
      </c>
      <c r="AT212" s="51" t="e">
        <f>Ticker0001_Exchange_Sheet!BS281-#REF!</f>
      </c>
      <c r="AU212" s="51" t="e">
        <f>Ticker0001_Exchange_Sheet!BT281-#REF!</f>
      </c>
      <c r="AV212" s="51" t="e">
        <f>Ticker0001_Exchange_Sheet!BU281-#REF!</f>
      </c>
      <c r="AW212" s="51" t="e">
        <f>Ticker0001_Exchange_Sheet!BV281-#REF!</f>
      </c>
      <c r="AX212" s="51" t="e">
        <f>Ticker0001_Exchange_Sheet!BW281-#REF!</f>
      </c>
      <c r="AY212" s="51" t="e">
        <f>Ticker0001_Exchange_Sheet!BX281-#REF!</f>
      </c>
      <c r="AZ212" s="51" t="e">
        <f>Ticker0001_Exchange_Sheet!BY281-#REF!</f>
      </c>
      <c r="BA212" s="51" t="e">
        <f>Ticker0001_Exchange_Sheet!BZ281-#REF!</f>
      </c>
      <c r="BB212" s="51" t="e">
        <f>Ticker0001_Exchange_Sheet!CA281-#REF!</f>
      </c>
      <c r="BC212" s="51" t="e">
        <f>Ticker0001_Exchange_Sheet!CB281-#REF!</f>
      </c>
      <c r="BD212" s="51" t="e">
        <f>Ticker0001_Exchange_Sheet!CC281-#REF!</f>
      </c>
      <c r="BE212" s="51" t="e">
        <f>Ticker0001_Exchange_Sheet!CD281-#REF!</f>
      </c>
      <c r="BF212" s="51" t="e">
        <f>Ticker0001_Exchange_Sheet!CE281-#REF!</f>
      </c>
      <c r="BG212" s="51" t="e">
        <f>Ticker0001_Exchange_Sheet!CF281-#REF!</f>
      </c>
      <c r="BH212" s="51" t="e">
        <f>Ticker0001_Exchange_Sheet!CG281-#REF!</f>
      </c>
      <c r="BI212" s="51" t="e">
        <f>Ticker0001_Exchange_Sheet!CH281-#REF!</f>
      </c>
      <c r="BJ212" s="51" t="e">
        <f>Ticker0001_Exchange_Sheet!CI281-#REF!</f>
      </c>
      <c r="BK212" s="51" t="e">
        <f>Ticker0001_Exchange_Sheet!CJ281-#REF!</f>
      </c>
      <c r="BL212" s="51" t="e">
        <f>Ticker0001_Exchange_Sheet!CK281-#REF!</f>
      </c>
      <c r="BM212" s="51" t="e">
        <f>Ticker0001_Exchange_Sheet!CL281-#REF!</f>
      </c>
      <c r="BN212" s="51" t="e">
        <f>Ticker0001_Exchange_Sheet!CM281-#REF!</f>
      </c>
      <c r="BO212" s="51" t="e">
        <f>Ticker0001_Exchange_Sheet!CN281-#REF!</f>
      </c>
      <c r="BP212" s="51" t="e">
        <f>Ticker0001_Exchange_Sheet!CO281-#REF!</f>
      </c>
      <c r="BQ212" s="51" t="e">
        <f>Ticker0001_Exchange_Sheet!CP281-#REF!</f>
      </c>
      <c r="BR212" s="51" t="e">
        <f>Ticker0001_Exchange_Sheet!CQ281-#REF!</f>
      </c>
      <c r="BS212" s="51" t="e">
        <f>Ticker0001_Exchange_Sheet!CR281-#REF!</f>
      </c>
      <c r="BT212" s="51" t="e">
        <f>Ticker0001_Exchange_Sheet!CS281-#REF!</f>
      </c>
      <c r="BU212" s="51" t="e">
        <f>Ticker0001_Exchange_Sheet!CT281-#REF!</f>
      </c>
      <c r="BV212" s="51" t="e">
        <f>Ticker0001_Exchange_Sheet!CU281-#REF!</f>
      </c>
      <c r="BW212" s="51" t="e">
        <f>Ticker0001_Exchange_Sheet!CV281-#REF!</f>
      </c>
      <c r="BX212" s="51" t="e">
        <f>Ticker0001_Exchange_Sheet!CW281-#REF!</f>
      </c>
      <c r="BY212" s="51" t="e">
        <f>Ticker0001_Exchange_Sheet!CX281-#REF!</f>
      </c>
      <c r="BZ212" s="51" t="e">
        <f>Ticker0001_Exchange_Sheet!CY281-#REF!</f>
      </c>
      <c r="CA212" s="51" t="e">
        <f>Ticker0001_Exchange_Sheet!CZ281-#REF!</f>
      </c>
      <c r="CB212" s="51" t="e">
        <f>Ticker0001_Exchange_Sheet!DA281-#REF!</f>
      </c>
      <c r="CC212" s="51" t="e">
        <f>Ticker0001_Exchange_Sheet!DB281-#REF!</f>
      </c>
      <c r="CD212" s="51" t="e">
        <f>Ticker0001_Exchange_Sheet!DC281-#REF!</f>
      </c>
      <c r="CE212" s="51" t="e">
        <f>Ticker0001_Exchange_Sheet!DD281-#REF!</f>
      </c>
      <c r="CF212" s="51" t="e">
        <f>Ticker0001_Exchange_Sheet!DE281-#REF!</f>
      </c>
    </row>
    <row r="213" spans="6:84">
      <c r="F213" s="51" t="e">
        <f>Ticker0001_Exchange_Sheet!F282-#REF!</f>
      </c>
      <c r="G213" s="51" t="e">
        <f>Ticker0001_Exchange_Sheet!G282-#REF!</f>
      </c>
      <c r="H213" s="51" t="e">
        <f>Ticker0001_Exchange_Sheet!H282-#REF!</f>
      </c>
      <c r="I213" s="51" t="e">
        <f>Ticker0001_Exchange_Sheet!I282-#REF!</f>
      </c>
      <c r="J213" s="51" t="e">
        <f>Ticker0001_Exchange_Sheet!J282-#REF!</f>
      </c>
      <c r="K213" s="51" t="e">
        <f>Ticker0001_Exchange_Sheet!K282-#REF!</f>
      </c>
      <c r="L213" s="51" t="e">
        <f>Ticker0001_Exchange_Sheet!L282-#REF!</f>
      </c>
      <c r="M213" s="51" t="e">
        <f>Ticker0001_Exchange_Sheet!M282-#REF!</f>
      </c>
      <c r="N213" s="51" t="e">
        <f>Ticker0001_Exchange_Sheet!N282-#REF!</f>
      </c>
      <c r="O213" s="51" t="e">
        <f>Ticker0001_Exchange_Sheet!O282-#REF!</f>
      </c>
      <c r="P213" s="51" t="e">
        <f>Ticker0001_Exchange_Sheet!P282-#REF!</f>
      </c>
      <c r="Q213" s="51" t="e">
        <f>Ticker0001_Exchange_Sheet!Q282-#REF!</f>
      </c>
      <c r="R213" s="51" t="e">
        <f>Ticker0001_Exchange_Sheet!R282-#REF!</f>
      </c>
      <c r="S213" s="51" t="e">
        <f>Ticker0001_Exchange_Sheet!S282-#REF!</f>
      </c>
      <c r="T213" s="51" t="e">
        <f>Ticker0001_Exchange_Sheet!T282-#REF!</f>
      </c>
      <c r="U213" s="51" t="e">
        <f>Ticker0001_Exchange_Sheet!U282-#REF!</f>
      </c>
      <c r="V213" s="51" t="e">
        <f>Ticker0001_Exchange_Sheet!V282-#REF!</f>
      </c>
      <c r="W213" s="51" t="e">
        <f>Ticker0001_Exchange_Sheet!W282-#REF!</f>
      </c>
      <c r="X213" s="51" t="e">
        <f>Ticker0001_Exchange_Sheet!AK282-#REF!</f>
      </c>
      <c r="Y213" s="51" t="e">
        <f>Ticker0001_Exchange_Sheet!AX282-#REF!</f>
      </c>
      <c r="Z213" s="51" t="e">
        <f>Ticker0001_Exchange_Sheet!AY282-#REF!</f>
      </c>
      <c r="AA213" s="51" t="e">
        <f>Ticker0001_Exchange_Sheet!AZ282-#REF!</f>
      </c>
      <c r="AB213" s="51" t="e">
        <f>Ticker0001_Exchange_Sheet!BA282-#REF!</f>
      </c>
      <c r="AC213" s="51" t="e">
        <f>Ticker0001_Exchange_Sheet!BB282-#REF!</f>
      </c>
      <c r="AD213" s="51" t="e">
        <f>Ticker0001_Exchange_Sheet!BC282-#REF!</f>
      </c>
      <c r="AE213" s="51" t="e">
        <f>Ticker0001_Exchange_Sheet!BD282-#REF!</f>
      </c>
      <c r="AF213" s="51" t="e">
        <f>Ticker0001_Exchange_Sheet!BE282-#REF!</f>
      </c>
      <c r="AG213" s="51" t="e">
        <f>Ticker0001_Exchange_Sheet!BF282-#REF!</f>
      </c>
      <c r="AH213" s="51" t="e">
        <f>Ticker0001_Exchange_Sheet!BG282-#REF!</f>
      </c>
      <c r="AI213" s="51" t="e">
        <f>Ticker0001_Exchange_Sheet!BH282-#REF!</f>
      </c>
      <c r="AJ213" s="51" t="e">
        <f>Ticker0001_Exchange_Sheet!BI282-#REF!</f>
      </c>
      <c r="AK213" s="51" t="e">
        <f>Ticker0001_Exchange_Sheet!BJ282-#REF!</f>
      </c>
      <c r="AL213" s="51" t="e">
        <f>Ticker0001_Exchange_Sheet!BK282-#REF!</f>
      </c>
      <c r="AM213" s="51" t="e">
        <f>Ticker0001_Exchange_Sheet!BL282-#REF!</f>
      </c>
      <c r="AN213" s="51" t="e">
        <f>Ticker0001_Exchange_Sheet!BM282-#REF!</f>
      </c>
      <c r="AO213" s="51" t="e">
        <f>Ticker0001_Exchange_Sheet!BN282-#REF!</f>
      </c>
      <c r="AP213" s="51" t="e">
        <f>Ticker0001_Exchange_Sheet!BO282-#REF!</f>
      </c>
      <c r="AQ213" s="51" t="e">
        <f>Ticker0001_Exchange_Sheet!BP282-#REF!</f>
      </c>
      <c r="AR213" s="51" t="e">
        <f>Ticker0001_Exchange_Sheet!BQ282-#REF!</f>
      </c>
      <c r="AS213" s="51" t="e">
        <f>Ticker0001_Exchange_Sheet!BR282-#REF!</f>
      </c>
      <c r="AT213" s="51" t="e">
        <f>Ticker0001_Exchange_Sheet!BS282-#REF!</f>
      </c>
      <c r="AU213" s="51" t="e">
        <f>Ticker0001_Exchange_Sheet!BT282-#REF!</f>
      </c>
      <c r="AV213" s="51" t="e">
        <f>Ticker0001_Exchange_Sheet!BU282-#REF!</f>
      </c>
      <c r="AW213" s="51" t="e">
        <f>Ticker0001_Exchange_Sheet!BV282-#REF!</f>
      </c>
      <c r="AX213" s="51" t="e">
        <f>Ticker0001_Exchange_Sheet!BW282-#REF!</f>
      </c>
      <c r="AY213" s="51" t="e">
        <f>Ticker0001_Exchange_Sheet!BX282-#REF!</f>
      </c>
      <c r="AZ213" s="51" t="e">
        <f>Ticker0001_Exchange_Sheet!BY282-#REF!</f>
      </c>
      <c r="BA213" s="51" t="e">
        <f>Ticker0001_Exchange_Sheet!BZ282-#REF!</f>
      </c>
      <c r="BB213" s="51" t="e">
        <f>Ticker0001_Exchange_Sheet!CA282-#REF!</f>
      </c>
      <c r="BC213" s="51" t="e">
        <f>Ticker0001_Exchange_Sheet!CB282-#REF!</f>
      </c>
      <c r="BD213" s="51" t="e">
        <f>Ticker0001_Exchange_Sheet!CC282-#REF!</f>
      </c>
      <c r="BE213" s="51" t="e">
        <f>Ticker0001_Exchange_Sheet!CD282-#REF!</f>
      </c>
      <c r="BF213" s="51" t="e">
        <f>Ticker0001_Exchange_Sheet!CE282-#REF!</f>
      </c>
      <c r="BG213" s="51" t="e">
        <f>Ticker0001_Exchange_Sheet!CF282-#REF!</f>
      </c>
      <c r="BH213" s="51" t="e">
        <f>Ticker0001_Exchange_Sheet!CG282-#REF!</f>
      </c>
      <c r="BI213" s="51" t="e">
        <f>Ticker0001_Exchange_Sheet!CH282-#REF!</f>
      </c>
      <c r="BJ213" s="51" t="e">
        <f>Ticker0001_Exchange_Sheet!CI282-#REF!</f>
      </c>
      <c r="BK213" s="51" t="e">
        <f>Ticker0001_Exchange_Sheet!CJ282-#REF!</f>
      </c>
      <c r="BL213" s="51" t="e">
        <f>Ticker0001_Exchange_Sheet!CK282-#REF!</f>
      </c>
      <c r="BM213" s="51" t="e">
        <f>Ticker0001_Exchange_Sheet!CL282-#REF!</f>
      </c>
      <c r="BN213" s="51" t="e">
        <f>Ticker0001_Exchange_Sheet!CM282-#REF!</f>
      </c>
      <c r="BO213" s="51" t="e">
        <f>Ticker0001_Exchange_Sheet!CN282-#REF!</f>
      </c>
      <c r="BP213" s="51" t="e">
        <f>Ticker0001_Exchange_Sheet!CO282-#REF!</f>
      </c>
      <c r="BQ213" s="51" t="e">
        <f>Ticker0001_Exchange_Sheet!CP282-#REF!</f>
      </c>
      <c r="BR213" s="51" t="e">
        <f>Ticker0001_Exchange_Sheet!CQ282-#REF!</f>
      </c>
      <c r="BS213" s="51" t="e">
        <f>Ticker0001_Exchange_Sheet!CR282-#REF!</f>
      </c>
      <c r="BT213" s="51" t="e">
        <f>Ticker0001_Exchange_Sheet!CS282-#REF!</f>
      </c>
      <c r="BU213" s="51" t="e">
        <f>Ticker0001_Exchange_Sheet!CT282-#REF!</f>
      </c>
      <c r="BV213" s="51" t="e">
        <f>Ticker0001_Exchange_Sheet!CU282-#REF!</f>
      </c>
      <c r="BW213" s="51" t="e">
        <f>Ticker0001_Exchange_Sheet!CV282-#REF!</f>
      </c>
      <c r="BX213" s="51" t="e">
        <f>Ticker0001_Exchange_Sheet!CW282-#REF!</f>
      </c>
      <c r="BY213" s="51" t="e">
        <f>Ticker0001_Exchange_Sheet!CX282-#REF!</f>
      </c>
      <c r="BZ213" s="51" t="e">
        <f>Ticker0001_Exchange_Sheet!CY282-#REF!</f>
      </c>
      <c r="CA213" s="51" t="e">
        <f>Ticker0001_Exchange_Sheet!CZ282-#REF!</f>
      </c>
      <c r="CB213" s="51" t="e">
        <f>Ticker0001_Exchange_Sheet!DA282-#REF!</f>
      </c>
      <c r="CC213" s="51" t="e">
        <f>Ticker0001_Exchange_Sheet!DB282-#REF!</f>
      </c>
      <c r="CD213" s="51" t="e">
        <f>Ticker0001_Exchange_Sheet!DC282-#REF!</f>
      </c>
      <c r="CE213" s="51" t="e">
        <f>Ticker0001_Exchange_Sheet!DD282-#REF!</f>
      </c>
      <c r="CF213" s="51" t="e">
        <f>Ticker0001_Exchange_Sheet!DE282-#REF!</f>
      </c>
    </row>
    <row r="214" spans="6:84">
      <c r="F214" s="51" t="e">
        <f>Ticker0001_Exchange_Sheet!F283-#REF!</f>
      </c>
      <c r="G214" s="51" t="e">
        <f>Ticker0001_Exchange_Sheet!G283-#REF!</f>
      </c>
      <c r="H214" s="51" t="e">
        <f>Ticker0001_Exchange_Sheet!H283-#REF!</f>
      </c>
      <c r="I214" s="51" t="e">
        <f>Ticker0001_Exchange_Sheet!I283-#REF!</f>
      </c>
      <c r="J214" s="51" t="e">
        <f>Ticker0001_Exchange_Sheet!J283-#REF!</f>
      </c>
      <c r="K214" s="51" t="e">
        <f>Ticker0001_Exchange_Sheet!K283-#REF!</f>
      </c>
      <c r="L214" s="51" t="e">
        <f>Ticker0001_Exchange_Sheet!L283-#REF!</f>
      </c>
      <c r="M214" s="51" t="e">
        <f>Ticker0001_Exchange_Sheet!M283-#REF!</f>
      </c>
      <c r="N214" s="51" t="e">
        <f>Ticker0001_Exchange_Sheet!N283-#REF!</f>
      </c>
      <c r="O214" s="51" t="e">
        <f>Ticker0001_Exchange_Sheet!O283-#REF!</f>
      </c>
      <c r="P214" s="51" t="e">
        <f>Ticker0001_Exchange_Sheet!P283-#REF!</f>
      </c>
      <c r="Q214" s="51" t="e">
        <f>Ticker0001_Exchange_Sheet!Q283-#REF!</f>
      </c>
      <c r="R214" s="51" t="e">
        <f>Ticker0001_Exchange_Sheet!R283-#REF!</f>
      </c>
      <c r="S214" s="51" t="e">
        <f>Ticker0001_Exchange_Sheet!S283-#REF!</f>
      </c>
      <c r="T214" s="51" t="e">
        <f>Ticker0001_Exchange_Sheet!T283-#REF!</f>
      </c>
      <c r="U214" s="51" t="e">
        <f>Ticker0001_Exchange_Sheet!U283-#REF!</f>
      </c>
      <c r="V214" s="51" t="e">
        <f>Ticker0001_Exchange_Sheet!V283-#REF!</f>
      </c>
      <c r="W214" s="51" t="e">
        <f>Ticker0001_Exchange_Sheet!W283-#REF!</f>
      </c>
      <c r="X214" s="51" t="e">
        <f>Ticker0001_Exchange_Sheet!AK283-#REF!</f>
      </c>
      <c r="Y214" s="51" t="e">
        <f>Ticker0001_Exchange_Sheet!AX283-#REF!</f>
      </c>
      <c r="Z214" s="51" t="e">
        <f>Ticker0001_Exchange_Sheet!AY283-#REF!</f>
      </c>
      <c r="AA214" s="51" t="e">
        <f>Ticker0001_Exchange_Sheet!AZ283-#REF!</f>
      </c>
      <c r="AB214" s="51" t="e">
        <f>Ticker0001_Exchange_Sheet!BA283-#REF!</f>
      </c>
      <c r="AC214" s="51" t="e">
        <f>Ticker0001_Exchange_Sheet!BB283-#REF!</f>
      </c>
      <c r="AD214" s="51" t="e">
        <f>Ticker0001_Exchange_Sheet!BC283-#REF!</f>
      </c>
      <c r="AE214" s="51" t="e">
        <f>Ticker0001_Exchange_Sheet!BD283-#REF!</f>
      </c>
      <c r="AF214" s="51" t="e">
        <f>Ticker0001_Exchange_Sheet!BE283-#REF!</f>
      </c>
      <c r="AG214" s="51" t="e">
        <f>Ticker0001_Exchange_Sheet!BF283-#REF!</f>
      </c>
      <c r="AH214" s="51" t="e">
        <f>Ticker0001_Exchange_Sheet!BG283-#REF!</f>
      </c>
      <c r="AI214" s="51" t="e">
        <f>Ticker0001_Exchange_Sheet!BH283-#REF!</f>
      </c>
      <c r="AJ214" s="51" t="e">
        <f>Ticker0001_Exchange_Sheet!BI283-#REF!</f>
      </c>
      <c r="AK214" s="51" t="e">
        <f>Ticker0001_Exchange_Sheet!BJ283-#REF!</f>
      </c>
      <c r="AL214" s="51" t="e">
        <f>Ticker0001_Exchange_Sheet!BK283-#REF!</f>
      </c>
      <c r="AM214" s="51" t="e">
        <f>Ticker0001_Exchange_Sheet!BL283-#REF!</f>
      </c>
      <c r="AN214" s="51" t="e">
        <f>Ticker0001_Exchange_Sheet!BM283-#REF!</f>
      </c>
      <c r="AO214" s="51" t="e">
        <f>Ticker0001_Exchange_Sheet!BN283-#REF!</f>
      </c>
      <c r="AP214" s="51" t="e">
        <f>Ticker0001_Exchange_Sheet!BO283-#REF!</f>
      </c>
      <c r="AQ214" s="51" t="e">
        <f>Ticker0001_Exchange_Sheet!BP283-#REF!</f>
      </c>
      <c r="AR214" s="51" t="e">
        <f>Ticker0001_Exchange_Sheet!BQ283-#REF!</f>
      </c>
      <c r="AS214" s="51" t="e">
        <f>Ticker0001_Exchange_Sheet!BR283-#REF!</f>
      </c>
      <c r="AT214" s="51" t="e">
        <f>Ticker0001_Exchange_Sheet!BS283-#REF!</f>
      </c>
      <c r="AU214" s="51" t="e">
        <f>Ticker0001_Exchange_Sheet!BT283-#REF!</f>
      </c>
      <c r="AV214" s="51" t="e">
        <f>Ticker0001_Exchange_Sheet!BU283-#REF!</f>
      </c>
      <c r="AW214" s="51" t="e">
        <f>Ticker0001_Exchange_Sheet!BV283-#REF!</f>
      </c>
      <c r="AX214" s="51" t="e">
        <f>Ticker0001_Exchange_Sheet!BW283-#REF!</f>
      </c>
      <c r="AY214" s="51" t="e">
        <f>Ticker0001_Exchange_Sheet!BX283-#REF!</f>
      </c>
      <c r="AZ214" s="51" t="e">
        <f>Ticker0001_Exchange_Sheet!BY283-#REF!</f>
      </c>
      <c r="BA214" s="51" t="e">
        <f>Ticker0001_Exchange_Sheet!BZ283-#REF!</f>
      </c>
      <c r="BB214" s="51" t="e">
        <f>Ticker0001_Exchange_Sheet!CA283-#REF!</f>
      </c>
      <c r="BC214" s="51" t="e">
        <f>Ticker0001_Exchange_Sheet!CB283-#REF!</f>
      </c>
      <c r="BD214" s="51" t="e">
        <f>Ticker0001_Exchange_Sheet!CC283-#REF!</f>
      </c>
      <c r="BE214" s="51" t="e">
        <f>Ticker0001_Exchange_Sheet!CD283-#REF!</f>
      </c>
      <c r="BF214" s="51" t="e">
        <f>Ticker0001_Exchange_Sheet!CE283-#REF!</f>
      </c>
      <c r="BG214" s="51" t="e">
        <f>Ticker0001_Exchange_Sheet!CF283-#REF!</f>
      </c>
      <c r="BH214" s="51" t="e">
        <f>Ticker0001_Exchange_Sheet!CG283-#REF!</f>
      </c>
      <c r="BI214" s="51" t="e">
        <f>Ticker0001_Exchange_Sheet!CH283-#REF!</f>
      </c>
      <c r="BJ214" s="51" t="e">
        <f>Ticker0001_Exchange_Sheet!CI283-#REF!</f>
      </c>
      <c r="BK214" s="51" t="e">
        <f>Ticker0001_Exchange_Sheet!CJ283-#REF!</f>
      </c>
      <c r="BL214" s="51" t="e">
        <f>Ticker0001_Exchange_Sheet!CK283-#REF!</f>
      </c>
      <c r="BM214" s="51" t="e">
        <f>Ticker0001_Exchange_Sheet!CL283-#REF!</f>
      </c>
      <c r="BN214" s="51" t="e">
        <f>Ticker0001_Exchange_Sheet!CM283-#REF!</f>
      </c>
      <c r="BO214" s="51" t="e">
        <f>Ticker0001_Exchange_Sheet!CN283-#REF!</f>
      </c>
      <c r="BP214" s="51" t="e">
        <f>Ticker0001_Exchange_Sheet!CO283-#REF!</f>
      </c>
      <c r="BQ214" s="51" t="e">
        <f>Ticker0001_Exchange_Sheet!CP283-#REF!</f>
      </c>
      <c r="BR214" s="51" t="e">
        <f>Ticker0001_Exchange_Sheet!CQ283-#REF!</f>
      </c>
      <c r="BS214" s="51" t="e">
        <f>Ticker0001_Exchange_Sheet!CR283-#REF!</f>
      </c>
      <c r="BT214" s="51" t="e">
        <f>Ticker0001_Exchange_Sheet!CS283-#REF!</f>
      </c>
      <c r="BU214" s="51" t="e">
        <f>Ticker0001_Exchange_Sheet!CT283-#REF!</f>
      </c>
      <c r="BV214" s="51" t="e">
        <f>Ticker0001_Exchange_Sheet!CU283-#REF!</f>
      </c>
      <c r="BW214" s="51" t="e">
        <f>Ticker0001_Exchange_Sheet!CV283-#REF!</f>
      </c>
      <c r="BX214" s="51" t="e">
        <f>Ticker0001_Exchange_Sheet!CW283-#REF!</f>
      </c>
      <c r="BY214" s="51" t="e">
        <f>Ticker0001_Exchange_Sheet!CX283-#REF!</f>
      </c>
      <c r="BZ214" s="51" t="e">
        <f>Ticker0001_Exchange_Sheet!CY283-#REF!</f>
      </c>
      <c r="CA214" s="51" t="e">
        <f>Ticker0001_Exchange_Sheet!CZ283-#REF!</f>
      </c>
      <c r="CB214" s="51" t="e">
        <f>Ticker0001_Exchange_Sheet!DA283-#REF!</f>
      </c>
      <c r="CC214" s="51" t="e">
        <f>Ticker0001_Exchange_Sheet!DB283-#REF!</f>
      </c>
      <c r="CD214" s="51" t="e">
        <f>Ticker0001_Exchange_Sheet!DC283-#REF!</f>
      </c>
      <c r="CE214" s="51" t="e">
        <f>Ticker0001_Exchange_Sheet!DD283-#REF!</f>
      </c>
      <c r="CF214" s="51" t="e">
        <f>Ticker0001_Exchange_Sheet!DE283-#REF!</f>
      </c>
    </row>
    <row r="215" spans="6:84">
      <c r="F215" s="51" t="e">
        <f>Ticker0001_Exchange_Sheet!F284-#REF!</f>
      </c>
      <c r="G215" s="51" t="e">
        <f>Ticker0001_Exchange_Sheet!G284-#REF!</f>
      </c>
      <c r="H215" s="51" t="e">
        <f>Ticker0001_Exchange_Sheet!H284-#REF!</f>
      </c>
      <c r="I215" s="51" t="e">
        <f>Ticker0001_Exchange_Sheet!I284-#REF!</f>
      </c>
      <c r="J215" s="51" t="e">
        <f>Ticker0001_Exchange_Sheet!J284-#REF!</f>
      </c>
      <c r="K215" s="51" t="e">
        <f>Ticker0001_Exchange_Sheet!K284-#REF!</f>
      </c>
      <c r="L215" s="51" t="e">
        <f>Ticker0001_Exchange_Sheet!L284-#REF!</f>
      </c>
      <c r="M215" s="51" t="e">
        <f>Ticker0001_Exchange_Sheet!M284-#REF!</f>
      </c>
      <c r="N215" s="51" t="e">
        <f>Ticker0001_Exchange_Sheet!N284-#REF!</f>
      </c>
      <c r="O215" s="51" t="e">
        <f>Ticker0001_Exchange_Sheet!O284-#REF!</f>
      </c>
      <c r="P215" s="51" t="e">
        <f>Ticker0001_Exchange_Sheet!P284-#REF!</f>
      </c>
      <c r="Q215" s="51" t="e">
        <f>Ticker0001_Exchange_Sheet!Q284-#REF!</f>
      </c>
      <c r="R215" s="51" t="e">
        <f>Ticker0001_Exchange_Sheet!R284-#REF!</f>
      </c>
      <c r="S215" s="51" t="e">
        <f>Ticker0001_Exchange_Sheet!S284-#REF!</f>
      </c>
      <c r="T215" s="51" t="e">
        <f>Ticker0001_Exchange_Sheet!T284-#REF!</f>
      </c>
      <c r="U215" s="51" t="e">
        <f>Ticker0001_Exchange_Sheet!U284-#REF!</f>
      </c>
      <c r="V215" s="51" t="e">
        <f>Ticker0001_Exchange_Sheet!V284-#REF!</f>
      </c>
      <c r="W215" s="51" t="e">
        <f>Ticker0001_Exchange_Sheet!W284-#REF!</f>
      </c>
      <c r="X215" s="51" t="e">
        <f>Ticker0001_Exchange_Sheet!AK284-#REF!</f>
      </c>
      <c r="Y215" s="51" t="e">
        <f>Ticker0001_Exchange_Sheet!AX284-#REF!</f>
      </c>
      <c r="Z215" s="51" t="e">
        <f>Ticker0001_Exchange_Sheet!AY284-#REF!</f>
      </c>
      <c r="AA215" s="51" t="e">
        <f>Ticker0001_Exchange_Sheet!AZ284-#REF!</f>
      </c>
      <c r="AB215" s="51" t="e">
        <f>Ticker0001_Exchange_Sheet!BA284-#REF!</f>
      </c>
      <c r="AC215" s="51" t="e">
        <f>Ticker0001_Exchange_Sheet!BB284-#REF!</f>
      </c>
      <c r="AD215" s="51" t="e">
        <f>Ticker0001_Exchange_Sheet!BC284-#REF!</f>
      </c>
      <c r="AE215" s="51" t="e">
        <f>Ticker0001_Exchange_Sheet!BD284-#REF!</f>
      </c>
      <c r="AF215" s="51" t="e">
        <f>Ticker0001_Exchange_Sheet!BE284-#REF!</f>
      </c>
      <c r="AG215" s="51" t="e">
        <f>Ticker0001_Exchange_Sheet!BF284-#REF!</f>
      </c>
      <c r="AH215" s="51" t="e">
        <f>Ticker0001_Exchange_Sheet!BG284-#REF!</f>
      </c>
      <c r="AI215" s="51" t="e">
        <f>Ticker0001_Exchange_Sheet!BH284-#REF!</f>
      </c>
      <c r="AJ215" s="51" t="e">
        <f>Ticker0001_Exchange_Sheet!BI284-#REF!</f>
      </c>
      <c r="AK215" s="51" t="e">
        <f>Ticker0001_Exchange_Sheet!BJ284-#REF!</f>
      </c>
      <c r="AL215" s="51" t="e">
        <f>Ticker0001_Exchange_Sheet!BK284-#REF!</f>
      </c>
      <c r="AM215" s="51" t="e">
        <f>Ticker0001_Exchange_Sheet!BL284-#REF!</f>
      </c>
      <c r="AN215" s="51" t="e">
        <f>Ticker0001_Exchange_Sheet!BM284-#REF!</f>
      </c>
      <c r="AO215" s="51" t="e">
        <f>Ticker0001_Exchange_Sheet!BN284-#REF!</f>
      </c>
      <c r="AP215" s="51" t="e">
        <f>Ticker0001_Exchange_Sheet!BO284-#REF!</f>
      </c>
      <c r="AQ215" s="51" t="e">
        <f>Ticker0001_Exchange_Sheet!BP284-#REF!</f>
      </c>
      <c r="AR215" s="51" t="e">
        <f>Ticker0001_Exchange_Sheet!BQ284-#REF!</f>
      </c>
      <c r="AS215" s="51" t="e">
        <f>Ticker0001_Exchange_Sheet!BR284-#REF!</f>
      </c>
      <c r="AT215" s="51" t="e">
        <f>Ticker0001_Exchange_Sheet!BS284-#REF!</f>
      </c>
      <c r="AU215" s="51" t="e">
        <f>Ticker0001_Exchange_Sheet!BT284-#REF!</f>
      </c>
      <c r="AV215" s="51" t="e">
        <f>Ticker0001_Exchange_Sheet!BU284-#REF!</f>
      </c>
      <c r="AW215" s="51" t="e">
        <f>Ticker0001_Exchange_Sheet!BV284-#REF!</f>
      </c>
      <c r="AX215" s="51" t="e">
        <f>Ticker0001_Exchange_Sheet!BW284-#REF!</f>
      </c>
      <c r="AY215" s="51" t="e">
        <f>Ticker0001_Exchange_Sheet!BX284-#REF!</f>
      </c>
      <c r="AZ215" s="51" t="e">
        <f>Ticker0001_Exchange_Sheet!BY284-#REF!</f>
      </c>
      <c r="BA215" s="51" t="e">
        <f>Ticker0001_Exchange_Sheet!BZ284-#REF!</f>
      </c>
      <c r="BB215" s="51" t="e">
        <f>Ticker0001_Exchange_Sheet!CA284-#REF!</f>
      </c>
      <c r="BC215" s="51" t="e">
        <f>Ticker0001_Exchange_Sheet!CB284-#REF!</f>
      </c>
      <c r="BD215" s="51" t="e">
        <f>Ticker0001_Exchange_Sheet!CC284-#REF!</f>
      </c>
      <c r="BE215" s="51" t="e">
        <f>Ticker0001_Exchange_Sheet!CD284-#REF!</f>
      </c>
      <c r="BF215" s="51" t="e">
        <f>Ticker0001_Exchange_Sheet!CE284-#REF!</f>
      </c>
      <c r="BG215" s="51" t="e">
        <f>Ticker0001_Exchange_Sheet!CF284-#REF!</f>
      </c>
      <c r="BH215" s="51" t="e">
        <f>Ticker0001_Exchange_Sheet!CG284-#REF!</f>
      </c>
      <c r="BI215" s="51" t="e">
        <f>Ticker0001_Exchange_Sheet!CH284-#REF!</f>
      </c>
      <c r="BJ215" s="51" t="e">
        <f>Ticker0001_Exchange_Sheet!CI284-#REF!</f>
      </c>
      <c r="BK215" s="51" t="e">
        <f>Ticker0001_Exchange_Sheet!CJ284-#REF!</f>
      </c>
      <c r="BL215" s="51" t="e">
        <f>Ticker0001_Exchange_Sheet!CK284-#REF!</f>
      </c>
      <c r="BM215" s="51" t="e">
        <f>Ticker0001_Exchange_Sheet!CL284-#REF!</f>
      </c>
      <c r="BN215" s="51" t="e">
        <f>Ticker0001_Exchange_Sheet!CM284-#REF!</f>
      </c>
      <c r="BO215" s="51" t="e">
        <f>Ticker0001_Exchange_Sheet!CN284-#REF!</f>
      </c>
      <c r="BP215" s="51" t="e">
        <f>Ticker0001_Exchange_Sheet!CO284-#REF!</f>
      </c>
      <c r="BQ215" s="51" t="e">
        <f>Ticker0001_Exchange_Sheet!CP284-#REF!</f>
      </c>
      <c r="BR215" s="51" t="e">
        <f>Ticker0001_Exchange_Sheet!CQ284-#REF!</f>
      </c>
      <c r="BS215" s="51" t="e">
        <f>Ticker0001_Exchange_Sheet!CR284-#REF!</f>
      </c>
      <c r="BT215" s="51" t="e">
        <f>Ticker0001_Exchange_Sheet!CS284-#REF!</f>
      </c>
      <c r="BU215" s="51" t="e">
        <f>Ticker0001_Exchange_Sheet!CT284-#REF!</f>
      </c>
      <c r="BV215" s="51" t="e">
        <f>Ticker0001_Exchange_Sheet!CU284-#REF!</f>
      </c>
      <c r="BW215" s="51" t="e">
        <f>Ticker0001_Exchange_Sheet!CV284-#REF!</f>
      </c>
      <c r="BX215" s="51" t="e">
        <f>Ticker0001_Exchange_Sheet!CW284-#REF!</f>
      </c>
      <c r="BY215" s="51" t="e">
        <f>Ticker0001_Exchange_Sheet!CX284-#REF!</f>
      </c>
      <c r="BZ215" s="51" t="e">
        <f>Ticker0001_Exchange_Sheet!CY284-#REF!</f>
      </c>
      <c r="CA215" s="51" t="e">
        <f>Ticker0001_Exchange_Sheet!CZ284-#REF!</f>
      </c>
      <c r="CB215" s="51" t="e">
        <f>Ticker0001_Exchange_Sheet!DA284-#REF!</f>
      </c>
      <c r="CC215" s="51" t="e">
        <f>Ticker0001_Exchange_Sheet!DB284-#REF!</f>
      </c>
      <c r="CD215" s="51" t="e">
        <f>Ticker0001_Exchange_Sheet!DC284-#REF!</f>
      </c>
      <c r="CE215" s="51" t="e">
        <f>Ticker0001_Exchange_Sheet!DD284-#REF!</f>
      </c>
      <c r="CF215" s="51" t="e">
        <f>Ticker0001_Exchange_Sheet!DE284-#REF!</f>
      </c>
    </row>
    <row r="216" spans="6:84">
      <c r="F216" s="51" t="e">
        <f>Ticker0001_Exchange_Sheet!F285-#REF!</f>
      </c>
      <c r="G216" s="51" t="e">
        <f>Ticker0001_Exchange_Sheet!G285-#REF!</f>
      </c>
      <c r="H216" s="51" t="e">
        <f>Ticker0001_Exchange_Sheet!H285-#REF!</f>
      </c>
      <c r="I216" s="51" t="e">
        <f>Ticker0001_Exchange_Sheet!I285-#REF!</f>
      </c>
      <c r="J216" s="51" t="e">
        <f>Ticker0001_Exchange_Sheet!J285-#REF!</f>
      </c>
      <c r="K216" s="51" t="e">
        <f>Ticker0001_Exchange_Sheet!K285-#REF!</f>
      </c>
      <c r="L216" s="51" t="e">
        <f>Ticker0001_Exchange_Sheet!L285-#REF!</f>
      </c>
      <c r="M216" s="51" t="e">
        <f>Ticker0001_Exchange_Sheet!M285-#REF!</f>
      </c>
      <c r="N216" s="51" t="e">
        <f>Ticker0001_Exchange_Sheet!N285-#REF!</f>
      </c>
      <c r="O216" s="51" t="e">
        <f>Ticker0001_Exchange_Sheet!O285-#REF!</f>
      </c>
      <c r="P216" s="51" t="e">
        <f>Ticker0001_Exchange_Sheet!P285-#REF!</f>
      </c>
      <c r="Q216" s="51" t="e">
        <f>Ticker0001_Exchange_Sheet!Q285-#REF!</f>
      </c>
      <c r="R216" s="51" t="e">
        <f>Ticker0001_Exchange_Sheet!R285-#REF!</f>
      </c>
      <c r="S216" s="51" t="e">
        <f>Ticker0001_Exchange_Sheet!S285-#REF!</f>
      </c>
      <c r="T216" s="51" t="e">
        <f>Ticker0001_Exchange_Sheet!T285-#REF!</f>
      </c>
      <c r="U216" s="51" t="e">
        <f>Ticker0001_Exchange_Sheet!U285-#REF!</f>
      </c>
      <c r="V216" s="51" t="e">
        <f>Ticker0001_Exchange_Sheet!V285-#REF!</f>
      </c>
      <c r="W216" s="51" t="e">
        <f>Ticker0001_Exchange_Sheet!W285-#REF!</f>
      </c>
      <c r="X216" s="51" t="e">
        <f>Ticker0001_Exchange_Sheet!AK285-#REF!</f>
      </c>
      <c r="Y216" s="51" t="e">
        <f>Ticker0001_Exchange_Sheet!AX285-#REF!</f>
      </c>
      <c r="Z216" s="51" t="e">
        <f>Ticker0001_Exchange_Sheet!AY285-#REF!</f>
      </c>
      <c r="AA216" s="51" t="e">
        <f>Ticker0001_Exchange_Sheet!AZ285-#REF!</f>
      </c>
      <c r="AB216" s="51" t="e">
        <f>Ticker0001_Exchange_Sheet!BA285-#REF!</f>
      </c>
      <c r="AC216" s="51" t="e">
        <f>Ticker0001_Exchange_Sheet!BB285-#REF!</f>
      </c>
      <c r="AD216" s="51" t="e">
        <f>Ticker0001_Exchange_Sheet!BC285-#REF!</f>
      </c>
      <c r="AE216" s="51" t="e">
        <f>Ticker0001_Exchange_Sheet!BD285-#REF!</f>
      </c>
      <c r="AF216" s="51" t="e">
        <f>Ticker0001_Exchange_Sheet!BE285-#REF!</f>
      </c>
      <c r="AG216" s="51" t="e">
        <f>Ticker0001_Exchange_Sheet!BF285-#REF!</f>
      </c>
      <c r="AH216" s="51" t="e">
        <f>Ticker0001_Exchange_Sheet!BG285-#REF!</f>
      </c>
      <c r="AI216" s="51" t="e">
        <f>Ticker0001_Exchange_Sheet!BH285-#REF!</f>
      </c>
      <c r="AJ216" s="51" t="e">
        <f>Ticker0001_Exchange_Sheet!BI285-#REF!</f>
      </c>
      <c r="AK216" s="51" t="e">
        <f>Ticker0001_Exchange_Sheet!BJ285-#REF!</f>
      </c>
      <c r="AL216" s="51" t="e">
        <f>Ticker0001_Exchange_Sheet!BK285-#REF!</f>
      </c>
      <c r="AM216" s="51" t="e">
        <f>Ticker0001_Exchange_Sheet!BL285-#REF!</f>
      </c>
      <c r="AN216" s="51" t="e">
        <f>Ticker0001_Exchange_Sheet!BM285-#REF!</f>
      </c>
      <c r="AO216" s="51" t="e">
        <f>Ticker0001_Exchange_Sheet!BN285-#REF!</f>
      </c>
      <c r="AP216" s="51" t="e">
        <f>Ticker0001_Exchange_Sheet!BO285-#REF!</f>
      </c>
      <c r="AQ216" s="51" t="e">
        <f>Ticker0001_Exchange_Sheet!BP285-#REF!</f>
      </c>
      <c r="AR216" s="51" t="e">
        <f>Ticker0001_Exchange_Sheet!BQ285-#REF!</f>
      </c>
      <c r="AS216" s="51" t="e">
        <f>Ticker0001_Exchange_Sheet!BR285-#REF!</f>
      </c>
      <c r="AT216" s="51" t="e">
        <f>Ticker0001_Exchange_Sheet!BS285-#REF!</f>
      </c>
      <c r="AU216" s="51" t="e">
        <f>Ticker0001_Exchange_Sheet!BT285-#REF!</f>
      </c>
      <c r="AV216" s="51" t="e">
        <f>Ticker0001_Exchange_Sheet!BU285-#REF!</f>
      </c>
      <c r="AW216" s="51" t="e">
        <f>Ticker0001_Exchange_Sheet!BV285-#REF!</f>
      </c>
      <c r="AX216" s="51" t="e">
        <f>Ticker0001_Exchange_Sheet!BW285-#REF!</f>
      </c>
      <c r="AY216" s="51" t="e">
        <f>Ticker0001_Exchange_Sheet!BX285-#REF!</f>
      </c>
      <c r="AZ216" s="51" t="e">
        <f>Ticker0001_Exchange_Sheet!BY285-#REF!</f>
      </c>
      <c r="BA216" s="51" t="e">
        <f>Ticker0001_Exchange_Sheet!BZ285-#REF!</f>
      </c>
      <c r="BB216" s="51" t="e">
        <f>Ticker0001_Exchange_Sheet!CA285-#REF!</f>
      </c>
      <c r="BC216" s="51" t="e">
        <f>Ticker0001_Exchange_Sheet!CB285-#REF!</f>
      </c>
      <c r="BD216" s="51" t="e">
        <f>Ticker0001_Exchange_Sheet!CC285-#REF!</f>
      </c>
      <c r="BE216" s="51" t="e">
        <f>Ticker0001_Exchange_Sheet!CD285-#REF!</f>
      </c>
      <c r="BF216" s="51" t="e">
        <f>Ticker0001_Exchange_Sheet!CE285-#REF!</f>
      </c>
      <c r="BG216" s="51" t="e">
        <f>Ticker0001_Exchange_Sheet!CF285-#REF!</f>
      </c>
      <c r="BH216" s="51" t="e">
        <f>Ticker0001_Exchange_Sheet!CG285-#REF!</f>
      </c>
      <c r="BI216" s="51" t="e">
        <f>Ticker0001_Exchange_Sheet!CH285-#REF!</f>
      </c>
      <c r="BJ216" s="51" t="e">
        <f>Ticker0001_Exchange_Sheet!CI285-#REF!</f>
      </c>
      <c r="BK216" s="51" t="e">
        <f>Ticker0001_Exchange_Sheet!CJ285-#REF!</f>
      </c>
      <c r="BL216" s="51" t="e">
        <f>Ticker0001_Exchange_Sheet!CK285-#REF!</f>
      </c>
      <c r="BM216" s="51" t="e">
        <f>Ticker0001_Exchange_Sheet!CL285-#REF!</f>
      </c>
      <c r="BN216" s="51" t="e">
        <f>Ticker0001_Exchange_Sheet!CM285-#REF!</f>
      </c>
      <c r="BO216" s="51" t="e">
        <f>Ticker0001_Exchange_Sheet!CN285-#REF!</f>
      </c>
      <c r="BP216" s="51" t="e">
        <f>Ticker0001_Exchange_Sheet!CO285-#REF!</f>
      </c>
      <c r="BQ216" s="51" t="e">
        <f>Ticker0001_Exchange_Sheet!CP285-#REF!</f>
      </c>
      <c r="BR216" s="51" t="e">
        <f>Ticker0001_Exchange_Sheet!CQ285-#REF!</f>
      </c>
      <c r="BS216" s="51" t="e">
        <f>Ticker0001_Exchange_Sheet!CR285-#REF!</f>
      </c>
      <c r="BT216" s="51" t="e">
        <f>Ticker0001_Exchange_Sheet!CS285-#REF!</f>
      </c>
      <c r="BU216" s="51" t="e">
        <f>Ticker0001_Exchange_Sheet!CT285-#REF!</f>
      </c>
      <c r="BV216" s="51" t="e">
        <f>Ticker0001_Exchange_Sheet!CU285-#REF!</f>
      </c>
      <c r="BW216" s="51" t="e">
        <f>Ticker0001_Exchange_Sheet!CV285-#REF!</f>
      </c>
      <c r="BX216" s="51" t="e">
        <f>Ticker0001_Exchange_Sheet!CW285-#REF!</f>
      </c>
      <c r="BY216" s="51" t="e">
        <f>Ticker0001_Exchange_Sheet!CX285-#REF!</f>
      </c>
      <c r="BZ216" s="51" t="e">
        <f>Ticker0001_Exchange_Sheet!CY285-#REF!</f>
      </c>
      <c r="CA216" s="51" t="e">
        <f>Ticker0001_Exchange_Sheet!CZ285-#REF!</f>
      </c>
      <c r="CB216" s="51" t="e">
        <f>Ticker0001_Exchange_Sheet!DA285-#REF!</f>
      </c>
      <c r="CC216" s="51" t="e">
        <f>Ticker0001_Exchange_Sheet!DB285-#REF!</f>
      </c>
      <c r="CD216" s="51" t="e">
        <f>Ticker0001_Exchange_Sheet!DC285-#REF!</f>
      </c>
      <c r="CE216" s="51" t="e">
        <f>Ticker0001_Exchange_Sheet!DD285-#REF!</f>
      </c>
      <c r="CF216" s="51" t="e">
        <f>Ticker0001_Exchange_Sheet!DE285-#REF!</f>
      </c>
    </row>
    <row r="217" spans="6:84">
      <c r="F217" s="51" t="e">
        <f>Ticker0001_Exchange_Sheet!F286-#REF!</f>
      </c>
      <c r="G217" s="51" t="e">
        <f>Ticker0001_Exchange_Sheet!G286-#REF!</f>
      </c>
      <c r="H217" s="51" t="e">
        <f>Ticker0001_Exchange_Sheet!H286-#REF!</f>
      </c>
      <c r="I217" s="51" t="e">
        <f>Ticker0001_Exchange_Sheet!I286-#REF!</f>
      </c>
      <c r="J217" s="51" t="e">
        <f>Ticker0001_Exchange_Sheet!J286-#REF!</f>
      </c>
      <c r="K217" s="51" t="e">
        <f>Ticker0001_Exchange_Sheet!K286-#REF!</f>
      </c>
      <c r="L217" s="51" t="e">
        <f>Ticker0001_Exchange_Sheet!L286-#REF!</f>
      </c>
      <c r="M217" s="51" t="e">
        <f>Ticker0001_Exchange_Sheet!M286-#REF!</f>
      </c>
      <c r="N217" s="51" t="e">
        <f>Ticker0001_Exchange_Sheet!N286-#REF!</f>
      </c>
      <c r="O217" s="51" t="e">
        <f>Ticker0001_Exchange_Sheet!O286-#REF!</f>
      </c>
      <c r="P217" s="51" t="e">
        <f>Ticker0001_Exchange_Sheet!P286-#REF!</f>
      </c>
      <c r="Q217" s="51" t="e">
        <f>Ticker0001_Exchange_Sheet!Q286-#REF!</f>
      </c>
      <c r="R217" s="51" t="e">
        <f>Ticker0001_Exchange_Sheet!R286-#REF!</f>
      </c>
      <c r="S217" s="51" t="e">
        <f>Ticker0001_Exchange_Sheet!S286-#REF!</f>
      </c>
      <c r="T217" s="51" t="e">
        <f>Ticker0001_Exchange_Sheet!T286-#REF!</f>
      </c>
      <c r="U217" s="51" t="e">
        <f>Ticker0001_Exchange_Sheet!U286-#REF!</f>
      </c>
      <c r="V217" s="51" t="e">
        <f>Ticker0001_Exchange_Sheet!V286-#REF!</f>
      </c>
      <c r="W217" s="51" t="e">
        <f>Ticker0001_Exchange_Sheet!W286-#REF!</f>
      </c>
      <c r="X217" s="51" t="e">
        <f>Ticker0001_Exchange_Sheet!AK286-#REF!</f>
      </c>
      <c r="Y217" s="51" t="e">
        <f>Ticker0001_Exchange_Sheet!AX286-#REF!</f>
      </c>
      <c r="Z217" s="51" t="e">
        <f>Ticker0001_Exchange_Sheet!AY286-#REF!</f>
      </c>
      <c r="AA217" s="51" t="e">
        <f>Ticker0001_Exchange_Sheet!AZ286-#REF!</f>
      </c>
      <c r="AB217" s="51" t="e">
        <f>Ticker0001_Exchange_Sheet!BA286-#REF!</f>
      </c>
      <c r="AC217" s="51" t="e">
        <f>Ticker0001_Exchange_Sheet!BB286-#REF!</f>
      </c>
      <c r="AD217" s="51" t="e">
        <f>Ticker0001_Exchange_Sheet!BC286-#REF!</f>
      </c>
      <c r="AE217" s="51" t="e">
        <f>Ticker0001_Exchange_Sheet!BD286-#REF!</f>
      </c>
      <c r="AF217" s="51" t="e">
        <f>Ticker0001_Exchange_Sheet!BE286-#REF!</f>
      </c>
      <c r="AG217" s="51" t="e">
        <f>Ticker0001_Exchange_Sheet!BF286-#REF!</f>
      </c>
      <c r="AH217" s="51" t="e">
        <f>Ticker0001_Exchange_Sheet!BG286-#REF!</f>
      </c>
      <c r="AI217" s="51" t="e">
        <f>Ticker0001_Exchange_Sheet!BH286-#REF!</f>
      </c>
      <c r="AJ217" s="51" t="e">
        <f>Ticker0001_Exchange_Sheet!BI286-#REF!</f>
      </c>
      <c r="AK217" s="51" t="e">
        <f>Ticker0001_Exchange_Sheet!BJ286-#REF!</f>
      </c>
      <c r="AL217" s="51" t="e">
        <f>Ticker0001_Exchange_Sheet!BK286-#REF!</f>
      </c>
      <c r="AM217" s="51" t="e">
        <f>Ticker0001_Exchange_Sheet!BL286-#REF!</f>
      </c>
      <c r="AN217" s="51" t="e">
        <f>Ticker0001_Exchange_Sheet!BM286-#REF!</f>
      </c>
      <c r="AO217" s="51" t="e">
        <f>Ticker0001_Exchange_Sheet!BN286-#REF!</f>
      </c>
      <c r="AP217" s="51" t="e">
        <f>Ticker0001_Exchange_Sheet!BO286-#REF!</f>
      </c>
      <c r="AQ217" s="51" t="e">
        <f>Ticker0001_Exchange_Sheet!BP286-#REF!</f>
      </c>
      <c r="AR217" s="51" t="e">
        <f>Ticker0001_Exchange_Sheet!BQ286-#REF!</f>
      </c>
      <c r="AS217" s="51" t="e">
        <f>Ticker0001_Exchange_Sheet!BR286-#REF!</f>
      </c>
      <c r="AT217" s="51" t="e">
        <f>Ticker0001_Exchange_Sheet!BS286-#REF!</f>
      </c>
      <c r="AU217" s="51" t="e">
        <f>Ticker0001_Exchange_Sheet!BT286-#REF!</f>
      </c>
      <c r="AV217" s="51" t="e">
        <f>Ticker0001_Exchange_Sheet!BU286-#REF!</f>
      </c>
      <c r="AW217" s="51" t="e">
        <f>Ticker0001_Exchange_Sheet!BV286-#REF!</f>
      </c>
      <c r="AX217" s="51" t="e">
        <f>Ticker0001_Exchange_Sheet!BW286-#REF!</f>
      </c>
      <c r="AY217" s="51" t="e">
        <f>Ticker0001_Exchange_Sheet!BX286-#REF!</f>
      </c>
      <c r="AZ217" s="51" t="e">
        <f>Ticker0001_Exchange_Sheet!BY286-#REF!</f>
      </c>
      <c r="BA217" s="51" t="e">
        <f>Ticker0001_Exchange_Sheet!BZ286-#REF!</f>
      </c>
      <c r="BB217" s="51" t="e">
        <f>Ticker0001_Exchange_Sheet!CA286-#REF!</f>
      </c>
      <c r="BC217" s="51" t="e">
        <f>Ticker0001_Exchange_Sheet!CB286-#REF!</f>
      </c>
      <c r="BD217" s="51" t="e">
        <f>Ticker0001_Exchange_Sheet!CC286-#REF!</f>
      </c>
      <c r="BE217" s="51" t="e">
        <f>Ticker0001_Exchange_Sheet!CD286-#REF!</f>
      </c>
      <c r="BF217" s="51" t="e">
        <f>Ticker0001_Exchange_Sheet!CE286-#REF!</f>
      </c>
      <c r="BG217" s="51" t="e">
        <f>Ticker0001_Exchange_Sheet!CF286-#REF!</f>
      </c>
      <c r="BH217" s="51" t="e">
        <f>Ticker0001_Exchange_Sheet!CG286-#REF!</f>
      </c>
      <c r="BI217" s="51" t="e">
        <f>Ticker0001_Exchange_Sheet!CH286-#REF!</f>
      </c>
      <c r="BJ217" s="51" t="e">
        <f>Ticker0001_Exchange_Sheet!CI286-#REF!</f>
      </c>
      <c r="BK217" s="51" t="e">
        <f>Ticker0001_Exchange_Sheet!CJ286-#REF!</f>
      </c>
      <c r="BL217" s="51" t="e">
        <f>Ticker0001_Exchange_Sheet!CK286-#REF!</f>
      </c>
      <c r="BM217" s="51" t="e">
        <f>Ticker0001_Exchange_Sheet!CL286-#REF!</f>
      </c>
      <c r="BN217" s="51" t="e">
        <f>Ticker0001_Exchange_Sheet!CM286-#REF!</f>
      </c>
      <c r="BO217" s="51" t="e">
        <f>Ticker0001_Exchange_Sheet!CN286-#REF!</f>
      </c>
      <c r="BP217" s="51" t="e">
        <f>Ticker0001_Exchange_Sheet!CO286-#REF!</f>
      </c>
      <c r="BQ217" s="51" t="e">
        <f>Ticker0001_Exchange_Sheet!CP286-#REF!</f>
      </c>
      <c r="BR217" s="51" t="e">
        <f>Ticker0001_Exchange_Sheet!CQ286-#REF!</f>
      </c>
      <c r="BS217" s="51" t="e">
        <f>Ticker0001_Exchange_Sheet!CR286-#REF!</f>
      </c>
      <c r="BT217" s="51" t="e">
        <f>Ticker0001_Exchange_Sheet!CS286-#REF!</f>
      </c>
      <c r="BU217" s="51" t="e">
        <f>Ticker0001_Exchange_Sheet!CT286-#REF!</f>
      </c>
      <c r="BV217" s="51" t="e">
        <f>Ticker0001_Exchange_Sheet!CU286-#REF!</f>
      </c>
      <c r="BW217" s="51" t="e">
        <f>Ticker0001_Exchange_Sheet!CV286-#REF!</f>
      </c>
      <c r="BX217" s="51" t="e">
        <f>Ticker0001_Exchange_Sheet!CW286-#REF!</f>
      </c>
      <c r="BY217" s="51" t="e">
        <f>Ticker0001_Exchange_Sheet!CX286-#REF!</f>
      </c>
      <c r="BZ217" s="51" t="e">
        <f>Ticker0001_Exchange_Sheet!CY286-#REF!</f>
      </c>
      <c r="CA217" s="51" t="e">
        <f>Ticker0001_Exchange_Sheet!CZ286-#REF!</f>
      </c>
      <c r="CB217" s="51" t="e">
        <f>Ticker0001_Exchange_Sheet!DA286-#REF!</f>
      </c>
      <c r="CC217" s="51" t="e">
        <f>Ticker0001_Exchange_Sheet!DB286-#REF!</f>
      </c>
      <c r="CD217" s="51" t="e">
        <f>Ticker0001_Exchange_Sheet!DC286-#REF!</f>
      </c>
      <c r="CE217" s="51" t="e">
        <f>Ticker0001_Exchange_Sheet!DD286-#REF!</f>
      </c>
      <c r="CF217" s="51" t="e">
        <f>Ticker0001_Exchange_Sheet!DE286-#REF!</f>
      </c>
    </row>
    <row r="218" spans="6:84">
      <c r="F218" s="51" t="e">
        <f>Ticker0001_Exchange_Sheet!F287-#REF!</f>
      </c>
      <c r="G218" s="51" t="e">
        <f>Ticker0001_Exchange_Sheet!G287-#REF!</f>
      </c>
      <c r="H218" s="51" t="e">
        <f>Ticker0001_Exchange_Sheet!H287-#REF!</f>
      </c>
      <c r="I218" s="51" t="e">
        <f>Ticker0001_Exchange_Sheet!I287-#REF!</f>
      </c>
      <c r="J218" s="51" t="e">
        <f>Ticker0001_Exchange_Sheet!J287-#REF!</f>
      </c>
      <c r="K218" s="51" t="e">
        <f>Ticker0001_Exchange_Sheet!K287-#REF!</f>
      </c>
      <c r="L218" s="51" t="e">
        <f>Ticker0001_Exchange_Sheet!L287-#REF!</f>
      </c>
      <c r="M218" s="51" t="e">
        <f>Ticker0001_Exchange_Sheet!M287-#REF!</f>
      </c>
      <c r="N218" s="51" t="e">
        <f>Ticker0001_Exchange_Sheet!N287-#REF!</f>
      </c>
      <c r="O218" s="51" t="e">
        <f>Ticker0001_Exchange_Sheet!O287-#REF!</f>
      </c>
      <c r="P218" s="51" t="e">
        <f>Ticker0001_Exchange_Sheet!P287-#REF!</f>
      </c>
      <c r="Q218" s="51" t="e">
        <f>Ticker0001_Exchange_Sheet!Q287-#REF!</f>
      </c>
      <c r="R218" s="51" t="e">
        <f>Ticker0001_Exchange_Sheet!R287-#REF!</f>
      </c>
      <c r="S218" s="51" t="e">
        <f>Ticker0001_Exchange_Sheet!S287-#REF!</f>
      </c>
      <c r="T218" s="51" t="e">
        <f>Ticker0001_Exchange_Sheet!T287-#REF!</f>
      </c>
      <c r="U218" s="51" t="e">
        <f>Ticker0001_Exchange_Sheet!U287-#REF!</f>
      </c>
      <c r="V218" s="51" t="e">
        <f>Ticker0001_Exchange_Sheet!V287-#REF!</f>
      </c>
      <c r="W218" s="51" t="e">
        <f>Ticker0001_Exchange_Sheet!W287-#REF!</f>
      </c>
      <c r="X218" s="51" t="e">
        <f>Ticker0001_Exchange_Sheet!AK287-#REF!</f>
      </c>
      <c r="Y218" s="51" t="e">
        <f>Ticker0001_Exchange_Sheet!AX287-#REF!</f>
      </c>
      <c r="Z218" s="51" t="e">
        <f>Ticker0001_Exchange_Sheet!AY287-#REF!</f>
      </c>
      <c r="AA218" s="51" t="e">
        <f>Ticker0001_Exchange_Sheet!AZ287-#REF!</f>
      </c>
      <c r="AB218" s="51" t="e">
        <f>Ticker0001_Exchange_Sheet!BA287-#REF!</f>
      </c>
      <c r="AC218" s="51" t="e">
        <f>Ticker0001_Exchange_Sheet!BB287-#REF!</f>
      </c>
      <c r="AD218" s="51" t="e">
        <f>Ticker0001_Exchange_Sheet!BC287-#REF!</f>
      </c>
      <c r="AE218" s="51" t="e">
        <f>Ticker0001_Exchange_Sheet!BD287-#REF!</f>
      </c>
      <c r="AF218" s="51" t="e">
        <f>Ticker0001_Exchange_Sheet!BE287-#REF!</f>
      </c>
      <c r="AG218" s="51" t="e">
        <f>Ticker0001_Exchange_Sheet!BF287-#REF!</f>
      </c>
      <c r="AH218" s="51" t="e">
        <f>Ticker0001_Exchange_Sheet!BG287-#REF!</f>
      </c>
      <c r="AI218" s="51" t="e">
        <f>Ticker0001_Exchange_Sheet!BH287-#REF!</f>
      </c>
      <c r="AJ218" s="51" t="e">
        <f>Ticker0001_Exchange_Sheet!BI287-#REF!</f>
      </c>
      <c r="AK218" s="51" t="e">
        <f>Ticker0001_Exchange_Sheet!BJ287-#REF!</f>
      </c>
      <c r="AL218" s="51" t="e">
        <f>Ticker0001_Exchange_Sheet!BK287-#REF!</f>
      </c>
      <c r="AM218" s="51" t="e">
        <f>Ticker0001_Exchange_Sheet!BL287-#REF!</f>
      </c>
      <c r="AN218" s="51" t="e">
        <f>Ticker0001_Exchange_Sheet!BM287-#REF!</f>
      </c>
      <c r="AO218" s="51" t="e">
        <f>Ticker0001_Exchange_Sheet!BN287-#REF!</f>
      </c>
      <c r="AP218" s="51" t="e">
        <f>Ticker0001_Exchange_Sheet!BO287-#REF!</f>
      </c>
      <c r="AQ218" s="51" t="e">
        <f>Ticker0001_Exchange_Sheet!BP287-#REF!</f>
      </c>
      <c r="AR218" s="51" t="e">
        <f>Ticker0001_Exchange_Sheet!BQ287-#REF!</f>
      </c>
      <c r="AS218" s="51" t="e">
        <f>Ticker0001_Exchange_Sheet!BR287-#REF!</f>
      </c>
      <c r="AT218" s="51" t="e">
        <f>Ticker0001_Exchange_Sheet!BS287-#REF!</f>
      </c>
      <c r="AU218" s="51" t="e">
        <f>Ticker0001_Exchange_Sheet!BT287-#REF!</f>
      </c>
      <c r="AV218" s="51" t="e">
        <f>Ticker0001_Exchange_Sheet!BU287-#REF!</f>
      </c>
      <c r="AW218" s="51" t="e">
        <f>Ticker0001_Exchange_Sheet!BV287-#REF!</f>
      </c>
      <c r="AX218" s="51" t="e">
        <f>Ticker0001_Exchange_Sheet!BW287-#REF!</f>
      </c>
      <c r="AY218" s="51" t="e">
        <f>Ticker0001_Exchange_Sheet!BX287-#REF!</f>
      </c>
      <c r="AZ218" s="51" t="e">
        <f>Ticker0001_Exchange_Sheet!BY287-#REF!</f>
      </c>
      <c r="BA218" s="51" t="e">
        <f>Ticker0001_Exchange_Sheet!BZ287-#REF!</f>
      </c>
      <c r="BB218" s="51" t="e">
        <f>Ticker0001_Exchange_Sheet!CA287-#REF!</f>
      </c>
      <c r="BC218" s="51" t="e">
        <f>Ticker0001_Exchange_Sheet!CB287-#REF!</f>
      </c>
      <c r="BD218" s="51" t="e">
        <f>Ticker0001_Exchange_Sheet!CC287-#REF!</f>
      </c>
      <c r="BE218" s="51" t="e">
        <f>Ticker0001_Exchange_Sheet!CD287-#REF!</f>
      </c>
      <c r="BF218" s="51" t="e">
        <f>Ticker0001_Exchange_Sheet!CE287-#REF!</f>
      </c>
      <c r="BG218" s="51" t="e">
        <f>Ticker0001_Exchange_Sheet!CF287-#REF!</f>
      </c>
      <c r="BH218" s="51" t="e">
        <f>Ticker0001_Exchange_Sheet!CG287-#REF!</f>
      </c>
      <c r="BI218" s="51" t="e">
        <f>Ticker0001_Exchange_Sheet!CH287-#REF!</f>
      </c>
      <c r="BJ218" s="51" t="e">
        <f>Ticker0001_Exchange_Sheet!CI287-#REF!</f>
      </c>
      <c r="BK218" s="51" t="e">
        <f>Ticker0001_Exchange_Sheet!CJ287-#REF!</f>
      </c>
      <c r="BL218" s="51" t="e">
        <f>Ticker0001_Exchange_Sheet!CK287-#REF!</f>
      </c>
      <c r="BM218" s="51" t="e">
        <f>Ticker0001_Exchange_Sheet!CL287-#REF!</f>
      </c>
      <c r="BN218" s="51" t="e">
        <f>Ticker0001_Exchange_Sheet!CM287-#REF!</f>
      </c>
      <c r="BO218" s="51" t="e">
        <f>Ticker0001_Exchange_Sheet!CN287-#REF!</f>
      </c>
      <c r="BP218" s="51" t="e">
        <f>Ticker0001_Exchange_Sheet!CO287-#REF!</f>
      </c>
      <c r="BQ218" s="51" t="e">
        <f>Ticker0001_Exchange_Sheet!CP287-#REF!</f>
      </c>
      <c r="BR218" s="51" t="e">
        <f>Ticker0001_Exchange_Sheet!CQ287-#REF!</f>
      </c>
      <c r="BS218" s="51" t="e">
        <f>Ticker0001_Exchange_Sheet!CR287-#REF!</f>
      </c>
      <c r="BT218" s="51" t="e">
        <f>Ticker0001_Exchange_Sheet!CS287-#REF!</f>
      </c>
      <c r="BU218" s="51" t="e">
        <f>Ticker0001_Exchange_Sheet!CT287-#REF!</f>
      </c>
      <c r="BV218" s="51" t="e">
        <f>Ticker0001_Exchange_Sheet!CU287-#REF!</f>
      </c>
      <c r="BW218" s="51" t="e">
        <f>Ticker0001_Exchange_Sheet!CV287-#REF!</f>
      </c>
      <c r="BX218" s="51" t="e">
        <f>Ticker0001_Exchange_Sheet!CW287-#REF!</f>
      </c>
      <c r="BY218" s="51" t="e">
        <f>Ticker0001_Exchange_Sheet!CX287-#REF!</f>
      </c>
      <c r="BZ218" s="51" t="e">
        <f>Ticker0001_Exchange_Sheet!CY287-#REF!</f>
      </c>
      <c r="CA218" s="51" t="e">
        <f>Ticker0001_Exchange_Sheet!CZ287-#REF!</f>
      </c>
      <c r="CB218" s="51" t="e">
        <f>Ticker0001_Exchange_Sheet!DA287-#REF!</f>
      </c>
      <c r="CC218" s="51" t="e">
        <f>Ticker0001_Exchange_Sheet!DB287-#REF!</f>
      </c>
      <c r="CD218" s="51" t="e">
        <f>Ticker0001_Exchange_Sheet!DC287-#REF!</f>
      </c>
      <c r="CE218" s="51" t="e">
        <f>Ticker0001_Exchange_Sheet!DD287-#REF!</f>
      </c>
      <c r="CF218" s="51" t="e">
        <f>Ticker0001_Exchange_Sheet!DE287-#REF!</f>
      </c>
    </row>
    <row r="219" spans="6:84">
      <c r="F219" s="51" t="e">
        <f>Ticker0001_Exchange_Sheet!F288-#REF!</f>
      </c>
      <c r="G219" s="51" t="e">
        <f>Ticker0001_Exchange_Sheet!G288-#REF!</f>
      </c>
      <c r="H219" s="51" t="e">
        <f>Ticker0001_Exchange_Sheet!H288-#REF!</f>
      </c>
      <c r="I219" s="51" t="e">
        <f>Ticker0001_Exchange_Sheet!I288-#REF!</f>
      </c>
      <c r="J219" s="51" t="e">
        <f>Ticker0001_Exchange_Sheet!J288-#REF!</f>
      </c>
      <c r="K219" s="51" t="e">
        <f>Ticker0001_Exchange_Sheet!K288-#REF!</f>
      </c>
      <c r="L219" s="51" t="e">
        <f>Ticker0001_Exchange_Sheet!L288-#REF!</f>
      </c>
      <c r="M219" s="51" t="e">
        <f>Ticker0001_Exchange_Sheet!M288-#REF!</f>
      </c>
      <c r="N219" s="51" t="e">
        <f>Ticker0001_Exchange_Sheet!N288-#REF!</f>
      </c>
      <c r="O219" s="51" t="e">
        <f>Ticker0001_Exchange_Sheet!O288-#REF!</f>
      </c>
      <c r="P219" s="51" t="e">
        <f>Ticker0001_Exchange_Sheet!P288-#REF!</f>
      </c>
      <c r="Q219" s="51" t="e">
        <f>Ticker0001_Exchange_Sheet!Q288-#REF!</f>
      </c>
      <c r="R219" s="51" t="e">
        <f>Ticker0001_Exchange_Sheet!R288-#REF!</f>
      </c>
      <c r="S219" s="51" t="e">
        <f>Ticker0001_Exchange_Sheet!S288-#REF!</f>
      </c>
      <c r="T219" s="51" t="e">
        <f>Ticker0001_Exchange_Sheet!T288-#REF!</f>
      </c>
      <c r="U219" s="51" t="e">
        <f>Ticker0001_Exchange_Sheet!U288-#REF!</f>
      </c>
      <c r="V219" s="51" t="e">
        <f>Ticker0001_Exchange_Sheet!V288-#REF!</f>
      </c>
      <c r="W219" s="51" t="e">
        <f>Ticker0001_Exchange_Sheet!W288-#REF!</f>
      </c>
      <c r="X219" s="51" t="e">
        <f>Ticker0001_Exchange_Sheet!AK288-#REF!</f>
      </c>
      <c r="Y219" s="51" t="e">
        <f>Ticker0001_Exchange_Sheet!AX288-#REF!</f>
      </c>
      <c r="Z219" s="51" t="e">
        <f>Ticker0001_Exchange_Sheet!AY288-#REF!</f>
      </c>
      <c r="AA219" s="51" t="e">
        <f>Ticker0001_Exchange_Sheet!AZ288-#REF!</f>
      </c>
      <c r="AB219" s="51" t="e">
        <f>Ticker0001_Exchange_Sheet!BA288-#REF!</f>
      </c>
      <c r="AC219" s="51" t="e">
        <f>Ticker0001_Exchange_Sheet!BB288-#REF!</f>
      </c>
      <c r="AD219" s="51" t="e">
        <f>Ticker0001_Exchange_Sheet!BC288-#REF!</f>
      </c>
      <c r="AE219" s="51" t="e">
        <f>Ticker0001_Exchange_Sheet!BD288-#REF!</f>
      </c>
      <c r="AF219" s="51" t="e">
        <f>Ticker0001_Exchange_Sheet!BE288-#REF!</f>
      </c>
      <c r="AG219" s="51" t="e">
        <f>Ticker0001_Exchange_Sheet!BF288-#REF!</f>
      </c>
      <c r="AH219" s="51" t="e">
        <f>Ticker0001_Exchange_Sheet!BG288-#REF!</f>
      </c>
      <c r="AI219" s="51" t="e">
        <f>Ticker0001_Exchange_Sheet!BH288-#REF!</f>
      </c>
      <c r="AJ219" s="51" t="e">
        <f>Ticker0001_Exchange_Sheet!BI288-#REF!</f>
      </c>
      <c r="AK219" s="51" t="e">
        <f>Ticker0001_Exchange_Sheet!BJ288-#REF!</f>
      </c>
      <c r="AL219" s="51" t="e">
        <f>Ticker0001_Exchange_Sheet!BK288-#REF!</f>
      </c>
      <c r="AM219" s="51" t="e">
        <f>Ticker0001_Exchange_Sheet!BL288-#REF!</f>
      </c>
      <c r="AN219" s="51" t="e">
        <f>Ticker0001_Exchange_Sheet!BM288-#REF!</f>
      </c>
      <c r="AO219" s="51" t="e">
        <f>Ticker0001_Exchange_Sheet!BN288-#REF!</f>
      </c>
      <c r="AP219" s="51" t="e">
        <f>Ticker0001_Exchange_Sheet!BO288-#REF!</f>
      </c>
      <c r="AQ219" s="51" t="e">
        <f>Ticker0001_Exchange_Sheet!BP288-#REF!</f>
      </c>
      <c r="AR219" s="51" t="e">
        <f>Ticker0001_Exchange_Sheet!BQ288-#REF!</f>
      </c>
      <c r="AS219" s="51" t="e">
        <f>Ticker0001_Exchange_Sheet!BR288-#REF!</f>
      </c>
      <c r="AT219" s="51" t="e">
        <f>Ticker0001_Exchange_Sheet!BS288-#REF!</f>
      </c>
      <c r="AU219" s="51" t="e">
        <f>Ticker0001_Exchange_Sheet!BT288-#REF!</f>
      </c>
      <c r="AV219" s="51" t="e">
        <f>Ticker0001_Exchange_Sheet!BU288-#REF!</f>
      </c>
      <c r="AW219" s="51" t="e">
        <f>Ticker0001_Exchange_Sheet!BV288-#REF!</f>
      </c>
      <c r="AX219" s="51" t="e">
        <f>Ticker0001_Exchange_Sheet!BW288-#REF!</f>
      </c>
      <c r="AY219" s="51" t="e">
        <f>Ticker0001_Exchange_Sheet!BX288-#REF!</f>
      </c>
      <c r="AZ219" s="51" t="e">
        <f>Ticker0001_Exchange_Sheet!BY288-#REF!</f>
      </c>
      <c r="BA219" s="51" t="e">
        <f>Ticker0001_Exchange_Sheet!BZ288-#REF!</f>
      </c>
      <c r="BB219" s="51" t="e">
        <f>Ticker0001_Exchange_Sheet!CA288-#REF!</f>
      </c>
      <c r="BC219" s="51" t="e">
        <f>Ticker0001_Exchange_Sheet!CB288-#REF!</f>
      </c>
      <c r="BD219" s="51" t="e">
        <f>Ticker0001_Exchange_Sheet!CC288-#REF!</f>
      </c>
      <c r="BE219" s="51" t="e">
        <f>Ticker0001_Exchange_Sheet!CD288-#REF!</f>
      </c>
      <c r="BF219" s="51" t="e">
        <f>Ticker0001_Exchange_Sheet!CE288-#REF!</f>
      </c>
      <c r="BG219" s="51" t="e">
        <f>Ticker0001_Exchange_Sheet!CF288-#REF!</f>
      </c>
      <c r="BH219" s="51" t="e">
        <f>Ticker0001_Exchange_Sheet!CG288-#REF!</f>
      </c>
      <c r="BI219" s="51" t="e">
        <f>Ticker0001_Exchange_Sheet!CH288-#REF!</f>
      </c>
      <c r="BJ219" s="51" t="e">
        <f>Ticker0001_Exchange_Sheet!CI288-#REF!</f>
      </c>
      <c r="BK219" s="51" t="e">
        <f>Ticker0001_Exchange_Sheet!CJ288-#REF!</f>
      </c>
      <c r="BL219" s="51" t="e">
        <f>Ticker0001_Exchange_Sheet!CK288-#REF!</f>
      </c>
      <c r="BM219" s="51" t="e">
        <f>Ticker0001_Exchange_Sheet!CL288-#REF!</f>
      </c>
      <c r="BN219" s="51" t="e">
        <f>Ticker0001_Exchange_Sheet!CM288-#REF!</f>
      </c>
      <c r="BO219" s="51" t="e">
        <f>Ticker0001_Exchange_Sheet!CN288-#REF!</f>
      </c>
      <c r="BP219" s="51" t="e">
        <f>Ticker0001_Exchange_Sheet!CO288-#REF!</f>
      </c>
      <c r="BQ219" s="51" t="e">
        <f>Ticker0001_Exchange_Sheet!CP288-#REF!</f>
      </c>
      <c r="BR219" s="51" t="e">
        <f>Ticker0001_Exchange_Sheet!CQ288-#REF!</f>
      </c>
      <c r="BS219" s="51" t="e">
        <f>Ticker0001_Exchange_Sheet!CR288-#REF!</f>
      </c>
      <c r="BT219" s="51" t="e">
        <f>Ticker0001_Exchange_Sheet!CS288-#REF!</f>
      </c>
      <c r="BU219" s="51" t="e">
        <f>Ticker0001_Exchange_Sheet!CT288-#REF!</f>
      </c>
      <c r="BV219" s="51" t="e">
        <f>Ticker0001_Exchange_Sheet!CU288-#REF!</f>
      </c>
      <c r="BW219" s="51" t="e">
        <f>Ticker0001_Exchange_Sheet!CV288-#REF!</f>
      </c>
      <c r="BX219" s="51" t="e">
        <f>Ticker0001_Exchange_Sheet!CW288-#REF!</f>
      </c>
      <c r="BY219" s="51" t="e">
        <f>Ticker0001_Exchange_Sheet!CX288-#REF!</f>
      </c>
      <c r="BZ219" s="51" t="e">
        <f>Ticker0001_Exchange_Sheet!CY288-#REF!</f>
      </c>
      <c r="CA219" s="51" t="e">
        <f>Ticker0001_Exchange_Sheet!CZ288-#REF!</f>
      </c>
      <c r="CB219" s="51" t="e">
        <f>Ticker0001_Exchange_Sheet!DA288-#REF!</f>
      </c>
      <c r="CC219" s="51" t="e">
        <f>Ticker0001_Exchange_Sheet!DB288-#REF!</f>
      </c>
      <c r="CD219" s="51" t="e">
        <f>Ticker0001_Exchange_Sheet!DC288-#REF!</f>
      </c>
      <c r="CE219" s="51" t="e">
        <f>Ticker0001_Exchange_Sheet!DD288-#REF!</f>
      </c>
      <c r="CF219" s="51" t="e">
        <f>Ticker0001_Exchange_Sheet!DE288-#REF!</f>
      </c>
    </row>
    <row r="220" spans="6:84">
      <c r="F220" s="51" t="e">
        <f>Ticker0001_Exchange_Sheet!F289-#REF!</f>
      </c>
      <c r="G220" s="51" t="e">
        <f>Ticker0001_Exchange_Sheet!G289-#REF!</f>
      </c>
      <c r="H220" s="51" t="e">
        <f>Ticker0001_Exchange_Sheet!H289-#REF!</f>
      </c>
      <c r="I220" s="51" t="e">
        <f>Ticker0001_Exchange_Sheet!I289-#REF!</f>
      </c>
      <c r="J220" s="51" t="e">
        <f>Ticker0001_Exchange_Sheet!J289-#REF!</f>
      </c>
      <c r="K220" s="51" t="e">
        <f>Ticker0001_Exchange_Sheet!K289-#REF!</f>
      </c>
      <c r="L220" s="51" t="e">
        <f>Ticker0001_Exchange_Sheet!L289-#REF!</f>
      </c>
      <c r="M220" s="51" t="e">
        <f>Ticker0001_Exchange_Sheet!M289-#REF!</f>
      </c>
      <c r="N220" s="51" t="e">
        <f>Ticker0001_Exchange_Sheet!N289-#REF!</f>
      </c>
      <c r="O220" s="51" t="e">
        <f>Ticker0001_Exchange_Sheet!O289-#REF!</f>
      </c>
      <c r="P220" s="51" t="e">
        <f>Ticker0001_Exchange_Sheet!P289-#REF!</f>
      </c>
      <c r="Q220" s="51" t="e">
        <f>Ticker0001_Exchange_Sheet!Q289-#REF!</f>
      </c>
      <c r="R220" s="51" t="e">
        <f>Ticker0001_Exchange_Sheet!R289-#REF!</f>
      </c>
      <c r="S220" s="51" t="e">
        <f>Ticker0001_Exchange_Sheet!S289-#REF!</f>
      </c>
      <c r="T220" s="51" t="e">
        <f>Ticker0001_Exchange_Sheet!T289-#REF!</f>
      </c>
      <c r="U220" s="51" t="e">
        <f>Ticker0001_Exchange_Sheet!U289-#REF!</f>
      </c>
      <c r="V220" s="51" t="e">
        <f>Ticker0001_Exchange_Sheet!V289-#REF!</f>
      </c>
      <c r="W220" s="51" t="e">
        <f>Ticker0001_Exchange_Sheet!W289-#REF!</f>
      </c>
      <c r="X220" s="51" t="e">
        <f>Ticker0001_Exchange_Sheet!AK289-#REF!</f>
      </c>
      <c r="Y220" s="51" t="e">
        <f>Ticker0001_Exchange_Sheet!AX289-#REF!</f>
      </c>
      <c r="Z220" s="51" t="e">
        <f>Ticker0001_Exchange_Sheet!AY289-#REF!</f>
      </c>
      <c r="AA220" s="51" t="e">
        <f>Ticker0001_Exchange_Sheet!AZ289-#REF!</f>
      </c>
      <c r="AB220" s="51" t="e">
        <f>Ticker0001_Exchange_Sheet!BA289-#REF!</f>
      </c>
      <c r="AC220" s="51" t="e">
        <f>Ticker0001_Exchange_Sheet!BB289-#REF!</f>
      </c>
      <c r="AD220" s="51" t="e">
        <f>Ticker0001_Exchange_Sheet!BC289-#REF!</f>
      </c>
      <c r="AE220" s="51" t="e">
        <f>Ticker0001_Exchange_Sheet!BD289-#REF!</f>
      </c>
      <c r="AF220" s="51" t="e">
        <f>Ticker0001_Exchange_Sheet!BE289-#REF!</f>
      </c>
      <c r="AG220" s="51" t="e">
        <f>Ticker0001_Exchange_Sheet!BF289-#REF!</f>
      </c>
      <c r="AH220" s="51" t="e">
        <f>Ticker0001_Exchange_Sheet!BG289-#REF!</f>
      </c>
      <c r="AI220" s="51" t="e">
        <f>Ticker0001_Exchange_Sheet!BH289-#REF!</f>
      </c>
      <c r="AJ220" s="51" t="e">
        <f>Ticker0001_Exchange_Sheet!BI289-#REF!</f>
      </c>
      <c r="AK220" s="51" t="e">
        <f>Ticker0001_Exchange_Sheet!BJ289-#REF!</f>
      </c>
      <c r="AL220" s="51" t="e">
        <f>Ticker0001_Exchange_Sheet!BK289-#REF!</f>
      </c>
      <c r="AM220" s="51" t="e">
        <f>Ticker0001_Exchange_Sheet!BL289-#REF!</f>
      </c>
      <c r="AN220" s="51" t="e">
        <f>Ticker0001_Exchange_Sheet!BM289-#REF!</f>
      </c>
      <c r="AO220" s="51" t="e">
        <f>Ticker0001_Exchange_Sheet!BN289-#REF!</f>
      </c>
      <c r="AP220" s="51" t="e">
        <f>Ticker0001_Exchange_Sheet!BO289-#REF!</f>
      </c>
      <c r="AQ220" s="51" t="e">
        <f>Ticker0001_Exchange_Sheet!BP289-#REF!</f>
      </c>
      <c r="AR220" s="51" t="e">
        <f>Ticker0001_Exchange_Sheet!BQ289-#REF!</f>
      </c>
      <c r="AS220" s="51" t="e">
        <f>Ticker0001_Exchange_Sheet!BR289-#REF!</f>
      </c>
      <c r="AT220" s="51" t="e">
        <f>Ticker0001_Exchange_Sheet!BS289-#REF!</f>
      </c>
      <c r="AU220" s="51" t="e">
        <f>Ticker0001_Exchange_Sheet!BT289-#REF!</f>
      </c>
      <c r="AV220" s="51" t="e">
        <f>Ticker0001_Exchange_Sheet!BU289-#REF!</f>
      </c>
      <c r="AW220" s="51" t="e">
        <f>Ticker0001_Exchange_Sheet!BV289-#REF!</f>
      </c>
      <c r="AX220" s="51" t="e">
        <f>Ticker0001_Exchange_Sheet!BW289-#REF!</f>
      </c>
      <c r="AY220" s="51" t="e">
        <f>Ticker0001_Exchange_Sheet!BX289-#REF!</f>
      </c>
      <c r="AZ220" s="51" t="e">
        <f>Ticker0001_Exchange_Sheet!BY289-#REF!</f>
      </c>
      <c r="BA220" s="51" t="e">
        <f>Ticker0001_Exchange_Sheet!BZ289-#REF!</f>
      </c>
      <c r="BB220" s="51" t="e">
        <f>Ticker0001_Exchange_Sheet!CA289-#REF!</f>
      </c>
      <c r="BC220" s="51" t="e">
        <f>Ticker0001_Exchange_Sheet!CB289-#REF!</f>
      </c>
      <c r="BD220" s="51" t="e">
        <f>Ticker0001_Exchange_Sheet!CC289-#REF!</f>
      </c>
      <c r="BE220" s="51" t="e">
        <f>Ticker0001_Exchange_Sheet!CD289-#REF!</f>
      </c>
      <c r="BF220" s="51" t="e">
        <f>Ticker0001_Exchange_Sheet!CE289-#REF!</f>
      </c>
      <c r="BG220" s="51" t="e">
        <f>Ticker0001_Exchange_Sheet!CF289-#REF!</f>
      </c>
      <c r="BH220" s="51" t="e">
        <f>Ticker0001_Exchange_Sheet!CG289-#REF!</f>
      </c>
      <c r="BI220" s="51" t="e">
        <f>Ticker0001_Exchange_Sheet!CH289-#REF!</f>
      </c>
      <c r="BJ220" s="51" t="e">
        <f>Ticker0001_Exchange_Sheet!CI289-#REF!</f>
      </c>
      <c r="BK220" s="51" t="e">
        <f>Ticker0001_Exchange_Sheet!CJ289-#REF!</f>
      </c>
      <c r="BL220" s="51" t="e">
        <f>Ticker0001_Exchange_Sheet!CK289-#REF!</f>
      </c>
      <c r="BM220" s="51" t="e">
        <f>Ticker0001_Exchange_Sheet!CL289-#REF!</f>
      </c>
      <c r="BN220" s="51" t="e">
        <f>Ticker0001_Exchange_Sheet!CM289-#REF!</f>
      </c>
      <c r="BO220" s="51" t="e">
        <f>Ticker0001_Exchange_Sheet!CN289-#REF!</f>
      </c>
      <c r="BP220" s="51" t="e">
        <f>Ticker0001_Exchange_Sheet!CO289-#REF!</f>
      </c>
      <c r="BQ220" s="51" t="e">
        <f>Ticker0001_Exchange_Sheet!CP289-#REF!</f>
      </c>
      <c r="BR220" s="51" t="e">
        <f>Ticker0001_Exchange_Sheet!CQ289-#REF!</f>
      </c>
      <c r="BS220" s="51" t="e">
        <f>Ticker0001_Exchange_Sheet!CR289-#REF!</f>
      </c>
      <c r="BT220" s="51" t="e">
        <f>Ticker0001_Exchange_Sheet!CS289-#REF!</f>
      </c>
      <c r="BU220" s="51" t="e">
        <f>Ticker0001_Exchange_Sheet!CT289-#REF!</f>
      </c>
      <c r="BV220" s="51" t="e">
        <f>Ticker0001_Exchange_Sheet!CU289-#REF!</f>
      </c>
      <c r="BW220" s="51" t="e">
        <f>Ticker0001_Exchange_Sheet!CV289-#REF!</f>
      </c>
      <c r="BX220" s="51" t="e">
        <f>Ticker0001_Exchange_Sheet!CW289-#REF!</f>
      </c>
      <c r="BY220" s="51" t="e">
        <f>Ticker0001_Exchange_Sheet!CX289-#REF!</f>
      </c>
      <c r="BZ220" s="51" t="e">
        <f>Ticker0001_Exchange_Sheet!CY289-#REF!</f>
      </c>
      <c r="CA220" s="51" t="e">
        <f>Ticker0001_Exchange_Sheet!CZ289-#REF!</f>
      </c>
      <c r="CB220" s="51" t="e">
        <f>Ticker0001_Exchange_Sheet!DA289-#REF!</f>
      </c>
      <c r="CC220" s="51" t="e">
        <f>Ticker0001_Exchange_Sheet!DB289-#REF!</f>
      </c>
      <c r="CD220" s="51" t="e">
        <f>Ticker0001_Exchange_Sheet!DC289-#REF!</f>
      </c>
      <c r="CE220" s="51" t="e">
        <f>Ticker0001_Exchange_Sheet!DD289-#REF!</f>
      </c>
      <c r="CF220" s="51" t="e">
        <f>Ticker0001_Exchange_Sheet!DE289-#REF!</f>
      </c>
    </row>
    <row r="221" spans="6:84">
      <c r="F221" s="51" t="e">
        <f>Ticker0001_Exchange_Sheet!F290-#REF!</f>
      </c>
      <c r="G221" s="51" t="e">
        <f>Ticker0001_Exchange_Sheet!G290-#REF!</f>
      </c>
      <c r="H221" s="51" t="e">
        <f>Ticker0001_Exchange_Sheet!H290-#REF!</f>
      </c>
      <c r="I221" s="51" t="e">
        <f>Ticker0001_Exchange_Sheet!I290-#REF!</f>
      </c>
      <c r="J221" s="51" t="e">
        <f>Ticker0001_Exchange_Sheet!J290-#REF!</f>
      </c>
      <c r="K221" s="51" t="e">
        <f>Ticker0001_Exchange_Sheet!K290-#REF!</f>
      </c>
      <c r="L221" s="51" t="e">
        <f>Ticker0001_Exchange_Sheet!L290-#REF!</f>
      </c>
      <c r="M221" s="51" t="e">
        <f>Ticker0001_Exchange_Sheet!M290-#REF!</f>
      </c>
      <c r="N221" s="51" t="e">
        <f>Ticker0001_Exchange_Sheet!N290-#REF!</f>
      </c>
      <c r="O221" s="51" t="e">
        <f>Ticker0001_Exchange_Sheet!O290-#REF!</f>
      </c>
      <c r="P221" s="51" t="e">
        <f>Ticker0001_Exchange_Sheet!P290-#REF!</f>
      </c>
      <c r="Q221" s="51" t="e">
        <f>Ticker0001_Exchange_Sheet!Q290-#REF!</f>
      </c>
      <c r="R221" s="51" t="e">
        <f>Ticker0001_Exchange_Sheet!R290-#REF!</f>
      </c>
      <c r="S221" s="51" t="e">
        <f>Ticker0001_Exchange_Sheet!S290-#REF!</f>
      </c>
      <c r="T221" s="51" t="e">
        <f>Ticker0001_Exchange_Sheet!T290-#REF!</f>
      </c>
      <c r="U221" s="51" t="e">
        <f>Ticker0001_Exchange_Sheet!U290-#REF!</f>
      </c>
      <c r="V221" s="51" t="e">
        <f>Ticker0001_Exchange_Sheet!V290-#REF!</f>
      </c>
      <c r="W221" s="51" t="e">
        <f>Ticker0001_Exchange_Sheet!W290-#REF!</f>
      </c>
      <c r="X221" s="51" t="e">
        <f>Ticker0001_Exchange_Sheet!AK290-#REF!</f>
      </c>
      <c r="Y221" s="51" t="e">
        <f>Ticker0001_Exchange_Sheet!AX290-#REF!</f>
      </c>
      <c r="Z221" s="51" t="e">
        <f>Ticker0001_Exchange_Sheet!AY290-#REF!</f>
      </c>
      <c r="AA221" s="51" t="e">
        <f>Ticker0001_Exchange_Sheet!AZ290-#REF!</f>
      </c>
      <c r="AB221" s="51" t="e">
        <f>Ticker0001_Exchange_Sheet!BA290-#REF!</f>
      </c>
      <c r="AC221" s="51" t="e">
        <f>Ticker0001_Exchange_Sheet!BB290-#REF!</f>
      </c>
      <c r="AD221" s="51" t="e">
        <f>Ticker0001_Exchange_Sheet!BC290-#REF!</f>
      </c>
      <c r="AE221" s="51" t="e">
        <f>Ticker0001_Exchange_Sheet!BD290-#REF!</f>
      </c>
      <c r="AF221" s="51" t="e">
        <f>Ticker0001_Exchange_Sheet!BE290-#REF!</f>
      </c>
      <c r="AG221" s="51" t="e">
        <f>Ticker0001_Exchange_Sheet!BF290-#REF!</f>
      </c>
      <c r="AH221" s="51" t="e">
        <f>Ticker0001_Exchange_Sheet!BG290-#REF!</f>
      </c>
      <c r="AI221" s="51" t="e">
        <f>Ticker0001_Exchange_Sheet!BH290-#REF!</f>
      </c>
      <c r="AJ221" s="51" t="e">
        <f>Ticker0001_Exchange_Sheet!BI290-#REF!</f>
      </c>
      <c r="AK221" s="51" t="e">
        <f>Ticker0001_Exchange_Sheet!BJ290-#REF!</f>
      </c>
      <c r="AL221" s="51" t="e">
        <f>Ticker0001_Exchange_Sheet!BK290-#REF!</f>
      </c>
      <c r="AM221" s="51" t="e">
        <f>Ticker0001_Exchange_Sheet!BL290-#REF!</f>
      </c>
      <c r="AN221" s="51" t="e">
        <f>Ticker0001_Exchange_Sheet!BM290-#REF!</f>
      </c>
      <c r="AO221" s="51" t="e">
        <f>Ticker0001_Exchange_Sheet!BN290-#REF!</f>
      </c>
      <c r="AP221" s="51" t="e">
        <f>Ticker0001_Exchange_Sheet!BO290-#REF!</f>
      </c>
      <c r="AQ221" s="51" t="e">
        <f>Ticker0001_Exchange_Sheet!BP290-#REF!</f>
      </c>
      <c r="AR221" s="51" t="e">
        <f>Ticker0001_Exchange_Sheet!BQ290-#REF!</f>
      </c>
      <c r="AS221" s="51" t="e">
        <f>Ticker0001_Exchange_Sheet!BR290-#REF!</f>
      </c>
      <c r="AT221" s="51" t="e">
        <f>Ticker0001_Exchange_Sheet!BS290-#REF!</f>
      </c>
      <c r="AU221" s="51" t="e">
        <f>Ticker0001_Exchange_Sheet!BT290-#REF!</f>
      </c>
      <c r="AV221" s="51" t="e">
        <f>Ticker0001_Exchange_Sheet!BU290-#REF!</f>
      </c>
      <c r="AW221" s="51" t="e">
        <f>Ticker0001_Exchange_Sheet!BV290-#REF!</f>
      </c>
      <c r="AX221" s="51" t="e">
        <f>Ticker0001_Exchange_Sheet!BW290-#REF!</f>
      </c>
      <c r="AY221" s="51" t="e">
        <f>Ticker0001_Exchange_Sheet!BX290-#REF!</f>
      </c>
      <c r="AZ221" s="51" t="e">
        <f>Ticker0001_Exchange_Sheet!BY290-#REF!</f>
      </c>
      <c r="BA221" s="51" t="e">
        <f>Ticker0001_Exchange_Sheet!BZ290-#REF!</f>
      </c>
      <c r="BB221" s="51" t="e">
        <f>Ticker0001_Exchange_Sheet!CA290-#REF!</f>
      </c>
      <c r="BC221" s="51" t="e">
        <f>Ticker0001_Exchange_Sheet!CB290-#REF!</f>
      </c>
      <c r="BD221" s="51" t="e">
        <f>Ticker0001_Exchange_Sheet!CC290-#REF!</f>
      </c>
      <c r="BE221" s="51" t="e">
        <f>Ticker0001_Exchange_Sheet!CD290-#REF!</f>
      </c>
      <c r="BF221" s="51" t="e">
        <f>Ticker0001_Exchange_Sheet!CE290-#REF!</f>
      </c>
      <c r="BG221" s="51" t="e">
        <f>Ticker0001_Exchange_Sheet!CF290-#REF!</f>
      </c>
      <c r="BH221" s="51" t="e">
        <f>Ticker0001_Exchange_Sheet!CG290-#REF!</f>
      </c>
      <c r="BI221" s="51" t="e">
        <f>Ticker0001_Exchange_Sheet!CH290-#REF!</f>
      </c>
      <c r="BJ221" s="51" t="e">
        <f>Ticker0001_Exchange_Sheet!CI290-#REF!</f>
      </c>
      <c r="BK221" s="51" t="e">
        <f>Ticker0001_Exchange_Sheet!CJ290-#REF!</f>
      </c>
      <c r="BL221" s="51" t="e">
        <f>Ticker0001_Exchange_Sheet!CK290-#REF!</f>
      </c>
      <c r="BM221" s="51" t="e">
        <f>Ticker0001_Exchange_Sheet!CL290-#REF!</f>
      </c>
      <c r="BN221" s="51" t="e">
        <f>Ticker0001_Exchange_Sheet!CM290-#REF!</f>
      </c>
      <c r="BO221" s="51" t="e">
        <f>Ticker0001_Exchange_Sheet!CN290-#REF!</f>
      </c>
      <c r="BP221" s="51" t="e">
        <f>Ticker0001_Exchange_Sheet!CO290-#REF!</f>
      </c>
      <c r="BQ221" s="51" t="e">
        <f>Ticker0001_Exchange_Sheet!CP290-#REF!</f>
      </c>
      <c r="BR221" s="51" t="e">
        <f>Ticker0001_Exchange_Sheet!CQ290-#REF!</f>
      </c>
      <c r="BS221" s="51" t="e">
        <f>Ticker0001_Exchange_Sheet!CR290-#REF!</f>
      </c>
      <c r="BT221" s="51" t="e">
        <f>Ticker0001_Exchange_Sheet!CS290-#REF!</f>
      </c>
      <c r="BU221" s="51" t="e">
        <f>Ticker0001_Exchange_Sheet!CT290-#REF!</f>
      </c>
      <c r="BV221" s="51" t="e">
        <f>Ticker0001_Exchange_Sheet!CU290-#REF!</f>
      </c>
      <c r="BW221" s="51" t="e">
        <f>Ticker0001_Exchange_Sheet!CV290-#REF!</f>
      </c>
      <c r="BX221" s="51" t="e">
        <f>Ticker0001_Exchange_Sheet!CW290-#REF!</f>
      </c>
      <c r="BY221" s="51" t="e">
        <f>Ticker0001_Exchange_Sheet!CX290-#REF!</f>
      </c>
      <c r="BZ221" s="51" t="e">
        <f>Ticker0001_Exchange_Sheet!CY290-#REF!</f>
      </c>
      <c r="CA221" s="51" t="e">
        <f>Ticker0001_Exchange_Sheet!CZ290-#REF!</f>
      </c>
      <c r="CB221" s="51" t="e">
        <f>Ticker0001_Exchange_Sheet!DA290-#REF!</f>
      </c>
      <c r="CC221" s="51" t="e">
        <f>Ticker0001_Exchange_Sheet!DB290-#REF!</f>
      </c>
      <c r="CD221" s="51" t="e">
        <f>Ticker0001_Exchange_Sheet!DC290-#REF!</f>
      </c>
      <c r="CE221" s="51" t="e">
        <f>Ticker0001_Exchange_Sheet!DD290-#REF!</f>
      </c>
      <c r="CF221" s="51" t="e">
        <f>Ticker0001_Exchange_Sheet!DE290-#REF!</f>
      </c>
    </row>
    <row r="222" spans="6:84">
      <c r="F222" s="51" t="e">
        <f>Ticker0001_Exchange_Sheet!F291-#REF!</f>
      </c>
      <c r="G222" s="51" t="e">
        <f>Ticker0001_Exchange_Sheet!G291-#REF!</f>
      </c>
      <c r="H222" s="51" t="e">
        <f>Ticker0001_Exchange_Sheet!H291-#REF!</f>
      </c>
      <c r="I222" s="51" t="e">
        <f>Ticker0001_Exchange_Sheet!I291-#REF!</f>
      </c>
      <c r="J222" s="51" t="e">
        <f>Ticker0001_Exchange_Sheet!J291-#REF!</f>
      </c>
      <c r="K222" s="51" t="e">
        <f>Ticker0001_Exchange_Sheet!K291-#REF!</f>
      </c>
      <c r="L222" s="51" t="e">
        <f>Ticker0001_Exchange_Sheet!L291-#REF!</f>
      </c>
      <c r="M222" s="51" t="e">
        <f>Ticker0001_Exchange_Sheet!M291-#REF!</f>
      </c>
      <c r="N222" s="51" t="e">
        <f>Ticker0001_Exchange_Sheet!N291-#REF!</f>
      </c>
      <c r="O222" s="51" t="e">
        <f>Ticker0001_Exchange_Sheet!O291-#REF!</f>
      </c>
      <c r="P222" s="51" t="e">
        <f>Ticker0001_Exchange_Sheet!P291-#REF!</f>
      </c>
      <c r="Q222" s="51" t="e">
        <f>Ticker0001_Exchange_Sheet!Q291-#REF!</f>
      </c>
      <c r="R222" s="51" t="e">
        <f>Ticker0001_Exchange_Sheet!R291-#REF!</f>
      </c>
      <c r="S222" s="51" t="e">
        <f>Ticker0001_Exchange_Sheet!S291-#REF!</f>
      </c>
      <c r="T222" s="51" t="e">
        <f>Ticker0001_Exchange_Sheet!T291-#REF!</f>
      </c>
      <c r="U222" s="51" t="e">
        <f>Ticker0001_Exchange_Sheet!U291-#REF!</f>
      </c>
      <c r="V222" s="51" t="e">
        <f>Ticker0001_Exchange_Sheet!V291-#REF!</f>
      </c>
      <c r="W222" s="51" t="e">
        <f>Ticker0001_Exchange_Sheet!W291-#REF!</f>
      </c>
      <c r="X222" s="51" t="e">
        <f>Ticker0001_Exchange_Sheet!AK291-#REF!</f>
      </c>
      <c r="Y222" s="51" t="e">
        <f>Ticker0001_Exchange_Sheet!AX291-#REF!</f>
      </c>
      <c r="Z222" s="51" t="e">
        <f>Ticker0001_Exchange_Sheet!AY291-#REF!</f>
      </c>
      <c r="AA222" s="51" t="e">
        <f>Ticker0001_Exchange_Sheet!AZ291-#REF!</f>
      </c>
      <c r="AB222" s="51" t="e">
        <f>Ticker0001_Exchange_Sheet!BA291-#REF!</f>
      </c>
      <c r="AC222" s="51" t="e">
        <f>Ticker0001_Exchange_Sheet!BB291-#REF!</f>
      </c>
      <c r="AD222" s="51" t="e">
        <f>Ticker0001_Exchange_Sheet!BC291-#REF!</f>
      </c>
      <c r="AE222" s="51" t="e">
        <f>Ticker0001_Exchange_Sheet!BD291-#REF!</f>
      </c>
      <c r="AF222" s="51" t="e">
        <f>Ticker0001_Exchange_Sheet!BE291-#REF!</f>
      </c>
      <c r="AG222" s="51" t="e">
        <f>Ticker0001_Exchange_Sheet!BF291-#REF!</f>
      </c>
      <c r="AH222" s="51" t="e">
        <f>Ticker0001_Exchange_Sheet!BG291-#REF!</f>
      </c>
      <c r="AI222" s="51" t="e">
        <f>Ticker0001_Exchange_Sheet!BH291-#REF!</f>
      </c>
      <c r="AJ222" s="51" t="e">
        <f>Ticker0001_Exchange_Sheet!BI291-#REF!</f>
      </c>
      <c r="AK222" s="51" t="e">
        <f>Ticker0001_Exchange_Sheet!BJ291-#REF!</f>
      </c>
      <c r="AL222" s="51" t="e">
        <f>Ticker0001_Exchange_Sheet!BK291-#REF!</f>
      </c>
      <c r="AM222" s="51" t="e">
        <f>Ticker0001_Exchange_Sheet!BL291-#REF!</f>
      </c>
      <c r="AN222" s="51" t="e">
        <f>Ticker0001_Exchange_Sheet!BM291-#REF!</f>
      </c>
      <c r="AO222" s="51" t="e">
        <f>Ticker0001_Exchange_Sheet!BN291-#REF!</f>
      </c>
      <c r="AP222" s="51" t="e">
        <f>Ticker0001_Exchange_Sheet!BO291-#REF!</f>
      </c>
      <c r="AQ222" s="51" t="e">
        <f>Ticker0001_Exchange_Sheet!BP291-#REF!</f>
      </c>
      <c r="AR222" s="51" t="e">
        <f>Ticker0001_Exchange_Sheet!BQ291-#REF!</f>
      </c>
      <c r="AS222" s="51" t="e">
        <f>Ticker0001_Exchange_Sheet!BR291-#REF!</f>
      </c>
      <c r="AT222" s="51" t="e">
        <f>Ticker0001_Exchange_Sheet!BS291-#REF!</f>
      </c>
      <c r="AU222" s="51" t="e">
        <f>Ticker0001_Exchange_Sheet!BT291-#REF!</f>
      </c>
      <c r="AV222" s="51" t="e">
        <f>Ticker0001_Exchange_Sheet!BU291-#REF!</f>
      </c>
      <c r="AW222" s="51" t="e">
        <f>Ticker0001_Exchange_Sheet!BV291-#REF!</f>
      </c>
      <c r="AX222" s="51" t="e">
        <f>Ticker0001_Exchange_Sheet!BW291-#REF!</f>
      </c>
      <c r="AY222" s="51" t="e">
        <f>Ticker0001_Exchange_Sheet!BX291-#REF!</f>
      </c>
      <c r="AZ222" s="51" t="e">
        <f>Ticker0001_Exchange_Sheet!BY291-#REF!</f>
      </c>
      <c r="BA222" s="51" t="e">
        <f>Ticker0001_Exchange_Sheet!BZ291-#REF!</f>
      </c>
      <c r="BB222" s="51" t="e">
        <f>Ticker0001_Exchange_Sheet!CA291-#REF!</f>
      </c>
      <c r="BC222" s="51" t="e">
        <f>Ticker0001_Exchange_Sheet!CB291-#REF!</f>
      </c>
      <c r="BD222" s="51" t="e">
        <f>Ticker0001_Exchange_Sheet!CC291-#REF!</f>
      </c>
      <c r="BE222" s="51" t="e">
        <f>Ticker0001_Exchange_Sheet!CD291-#REF!</f>
      </c>
      <c r="BF222" s="51" t="e">
        <f>Ticker0001_Exchange_Sheet!CE291-#REF!</f>
      </c>
      <c r="BG222" s="51" t="e">
        <f>Ticker0001_Exchange_Sheet!CF291-#REF!</f>
      </c>
      <c r="BH222" s="51" t="e">
        <f>Ticker0001_Exchange_Sheet!CG291-#REF!</f>
      </c>
      <c r="BI222" s="51" t="e">
        <f>Ticker0001_Exchange_Sheet!CH291-#REF!</f>
      </c>
      <c r="BJ222" s="51" t="e">
        <f>Ticker0001_Exchange_Sheet!CI291-#REF!</f>
      </c>
      <c r="BK222" s="51" t="e">
        <f>Ticker0001_Exchange_Sheet!CJ291-#REF!</f>
      </c>
      <c r="BL222" s="51" t="e">
        <f>Ticker0001_Exchange_Sheet!CK291-#REF!</f>
      </c>
      <c r="BM222" s="51" t="e">
        <f>Ticker0001_Exchange_Sheet!CL291-#REF!</f>
      </c>
      <c r="BN222" s="51" t="e">
        <f>Ticker0001_Exchange_Sheet!CM291-#REF!</f>
      </c>
      <c r="BO222" s="51" t="e">
        <f>Ticker0001_Exchange_Sheet!CN291-#REF!</f>
      </c>
      <c r="BP222" s="51" t="e">
        <f>Ticker0001_Exchange_Sheet!CO291-#REF!</f>
      </c>
      <c r="BQ222" s="51" t="e">
        <f>Ticker0001_Exchange_Sheet!CP291-#REF!</f>
      </c>
      <c r="BR222" s="51" t="e">
        <f>Ticker0001_Exchange_Sheet!CQ291-#REF!</f>
      </c>
      <c r="BS222" s="51" t="e">
        <f>Ticker0001_Exchange_Sheet!CR291-#REF!</f>
      </c>
      <c r="BT222" s="51" t="e">
        <f>Ticker0001_Exchange_Sheet!CS291-#REF!</f>
      </c>
      <c r="BU222" s="51" t="e">
        <f>Ticker0001_Exchange_Sheet!CT291-#REF!</f>
      </c>
      <c r="BV222" s="51" t="e">
        <f>Ticker0001_Exchange_Sheet!CU291-#REF!</f>
      </c>
      <c r="BW222" s="51" t="e">
        <f>Ticker0001_Exchange_Sheet!CV291-#REF!</f>
      </c>
      <c r="BX222" s="51" t="e">
        <f>Ticker0001_Exchange_Sheet!CW291-#REF!</f>
      </c>
      <c r="BY222" s="51" t="e">
        <f>Ticker0001_Exchange_Sheet!CX291-#REF!</f>
      </c>
      <c r="BZ222" s="51" t="e">
        <f>Ticker0001_Exchange_Sheet!CY291-#REF!</f>
      </c>
      <c r="CA222" s="51" t="e">
        <f>Ticker0001_Exchange_Sheet!CZ291-#REF!</f>
      </c>
      <c r="CB222" s="51" t="e">
        <f>Ticker0001_Exchange_Sheet!DA291-#REF!</f>
      </c>
      <c r="CC222" s="51" t="e">
        <f>Ticker0001_Exchange_Sheet!DB291-#REF!</f>
      </c>
      <c r="CD222" s="51" t="e">
        <f>Ticker0001_Exchange_Sheet!DC291-#REF!</f>
      </c>
      <c r="CE222" s="51" t="e">
        <f>Ticker0001_Exchange_Sheet!DD291-#REF!</f>
      </c>
      <c r="CF222" s="51" t="e">
        <f>Ticker0001_Exchange_Sheet!DE291-#REF!</f>
      </c>
    </row>
    <row r="223" spans="6:84">
      <c r="F223" s="51" t="e">
        <f>Ticker0001_Exchange_Sheet!F292-#REF!</f>
      </c>
      <c r="G223" s="51" t="e">
        <f>Ticker0001_Exchange_Sheet!G292-#REF!</f>
      </c>
      <c r="H223" s="51" t="e">
        <f>Ticker0001_Exchange_Sheet!H292-#REF!</f>
      </c>
      <c r="I223" s="51" t="e">
        <f>Ticker0001_Exchange_Sheet!I292-#REF!</f>
      </c>
      <c r="J223" s="51" t="e">
        <f>Ticker0001_Exchange_Sheet!J292-#REF!</f>
      </c>
      <c r="K223" s="51" t="e">
        <f>Ticker0001_Exchange_Sheet!K292-#REF!</f>
      </c>
      <c r="L223" s="51" t="e">
        <f>Ticker0001_Exchange_Sheet!L292-#REF!</f>
      </c>
      <c r="M223" s="51" t="e">
        <f>Ticker0001_Exchange_Sheet!M292-#REF!</f>
      </c>
      <c r="N223" s="51" t="e">
        <f>Ticker0001_Exchange_Sheet!N292-#REF!</f>
      </c>
      <c r="O223" s="51" t="e">
        <f>Ticker0001_Exchange_Sheet!O292-#REF!</f>
      </c>
      <c r="P223" s="51" t="e">
        <f>Ticker0001_Exchange_Sheet!P292-#REF!</f>
      </c>
      <c r="Q223" s="51" t="e">
        <f>Ticker0001_Exchange_Sheet!Q292-#REF!</f>
      </c>
      <c r="R223" s="51" t="e">
        <f>Ticker0001_Exchange_Sheet!R292-#REF!</f>
      </c>
      <c r="S223" s="51" t="e">
        <f>Ticker0001_Exchange_Sheet!S292-#REF!</f>
      </c>
      <c r="T223" s="51" t="e">
        <f>Ticker0001_Exchange_Sheet!T292-#REF!</f>
      </c>
      <c r="U223" s="51" t="e">
        <f>Ticker0001_Exchange_Sheet!U292-#REF!</f>
      </c>
      <c r="V223" s="51" t="e">
        <f>Ticker0001_Exchange_Sheet!V292-#REF!</f>
      </c>
      <c r="W223" s="51" t="e">
        <f>Ticker0001_Exchange_Sheet!W292-#REF!</f>
      </c>
      <c r="X223" s="51" t="e">
        <f>Ticker0001_Exchange_Sheet!AK292-#REF!</f>
      </c>
      <c r="Y223" s="51" t="e">
        <f>Ticker0001_Exchange_Sheet!AX292-#REF!</f>
      </c>
      <c r="Z223" s="51" t="e">
        <f>Ticker0001_Exchange_Sheet!AY292-#REF!</f>
      </c>
      <c r="AA223" s="51" t="e">
        <f>Ticker0001_Exchange_Sheet!AZ292-#REF!</f>
      </c>
      <c r="AB223" s="51" t="e">
        <f>Ticker0001_Exchange_Sheet!BA292-#REF!</f>
      </c>
      <c r="AC223" s="51" t="e">
        <f>Ticker0001_Exchange_Sheet!BB292-#REF!</f>
      </c>
      <c r="AD223" s="51" t="e">
        <f>Ticker0001_Exchange_Sheet!BC292-#REF!</f>
      </c>
      <c r="AE223" s="51" t="e">
        <f>Ticker0001_Exchange_Sheet!BD292-#REF!</f>
      </c>
      <c r="AF223" s="51" t="e">
        <f>Ticker0001_Exchange_Sheet!BE292-#REF!</f>
      </c>
      <c r="AG223" s="51" t="e">
        <f>Ticker0001_Exchange_Sheet!BF292-#REF!</f>
      </c>
      <c r="AH223" s="51" t="e">
        <f>Ticker0001_Exchange_Sheet!BG292-#REF!</f>
      </c>
      <c r="AI223" s="51" t="e">
        <f>Ticker0001_Exchange_Sheet!BH292-#REF!</f>
      </c>
      <c r="AJ223" s="51" t="e">
        <f>Ticker0001_Exchange_Sheet!BI292-#REF!</f>
      </c>
      <c r="AK223" s="51" t="e">
        <f>Ticker0001_Exchange_Sheet!BJ292-#REF!</f>
      </c>
      <c r="AL223" s="51" t="e">
        <f>Ticker0001_Exchange_Sheet!BK292-#REF!</f>
      </c>
      <c r="AM223" s="51" t="e">
        <f>Ticker0001_Exchange_Sheet!BL292-#REF!</f>
      </c>
      <c r="AN223" s="51" t="e">
        <f>Ticker0001_Exchange_Sheet!BM292-#REF!</f>
      </c>
      <c r="AO223" s="51" t="e">
        <f>Ticker0001_Exchange_Sheet!BN292-#REF!</f>
      </c>
      <c r="AP223" s="51" t="e">
        <f>Ticker0001_Exchange_Sheet!BO292-#REF!</f>
      </c>
      <c r="AQ223" s="51" t="e">
        <f>Ticker0001_Exchange_Sheet!BP292-#REF!</f>
      </c>
      <c r="AR223" s="51" t="e">
        <f>Ticker0001_Exchange_Sheet!BQ292-#REF!</f>
      </c>
      <c r="AS223" s="51" t="e">
        <f>Ticker0001_Exchange_Sheet!BR292-#REF!</f>
      </c>
      <c r="AT223" s="51" t="e">
        <f>Ticker0001_Exchange_Sheet!BS292-#REF!</f>
      </c>
      <c r="AU223" s="51" t="e">
        <f>Ticker0001_Exchange_Sheet!BT292-#REF!</f>
      </c>
      <c r="AV223" s="51" t="e">
        <f>Ticker0001_Exchange_Sheet!BU292-#REF!</f>
      </c>
      <c r="AW223" s="51" t="e">
        <f>Ticker0001_Exchange_Sheet!BV292-#REF!</f>
      </c>
      <c r="AX223" s="51" t="e">
        <f>Ticker0001_Exchange_Sheet!BW292-#REF!</f>
      </c>
      <c r="AY223" s="51" t="e">
        <f>Ticker0001_Exchange_Sheet!BX292-#REF!</f>
      </c>
      <c r="AZ223" s="51" t="e">
        <f>Ticker0001_Exchange_Sheet!BY292-#REF!</f>
      </c>
      <c r="BA223" s="51" t="e">
        <f>Ticker0001_Exchange_Sheet!BZ292-#REF!</f>
      </c>
      <c r="BB223" s="51" t="e">
        <f>Ticker0001_Exchange_Sheet!CA292-#REF!</f>
      </c>
      <c r="BC223" s="51" t="e">
        <f>Ticker0001_Exchange_Sheet!CB292-#REF!</f>
      </c>
      <c r="BD223" s="51" t="e">
        <f>Ticker0001_Exchange_Sheet!CC292-#REF!</f>
      </c>
      <c r="BE223" s="51" t="e">
        <f>Ticker0001_Exchange_Sheet!CD292-#REF!</f>
      </c>
      <c r="BF223" s="51" t="e">
        <f>Ticker0001_Exchange_Sheet!CE292-#REF!</f>
      </c>
      <c r="BG223" s="51" t="e">
        <f>Ticker0001_Exchange_Sheet!CF292-#REF!</f>
      </c>
      <c r="BH223" s="51" t="e">
        <f>Ticker0001_Exchange_Sheet!CG292-#REF!</f>
      </c>
      <c r="BI223" s="51" t="e">
        <f>Ticker0001_Exchange_Sheet!CH292-#REF!</f>
      </c>
      <c r="BJ223" s="51" t="e">
        <f>Ticker0001_Exchange_Sheet!CI292-#REF!</f>
      </c>
      <c r="BK223" s="51" t="e">
        <f>Ticker0001_Exchange_Sheet!CJ292-#REF!</f>
      </c>
      <c r="BL223" s="51" t="e">
        <f>Ticker0001_Exchange_Sheet!CK292-#REF!</f>
      </c>
      <c r="BM223" s="51" t="e">
        <f>Ticker0001_Exchange_Sheet!CL292-#REF!</f>
      </c>
      <c r="BN223" s="51" t="e">
        <f>Ticker0001_Exchange_Sheet!CM292-#REF!</f>
      </c>
      <c r="BO223" s="51" t="e">
        <f>Ticker0001_Exchange_Sheet!CN292-#REF!</f>
      </c>
      <c r="BP223" s="51" t="e">
        <f>Ticker0001_Exchange_Sheet!CO292-#REF!</f>
      </c>
      <c r="BQ223" s="51" t="e">
        <f>Ticker0001_Exchange_Sheet!CP292-#REF!</f>
      </c>
      <c r="BR223" s="51" t="e">
        <f>Ticker0001_Exchange_Sheet!CQ292-#REF!</f>
      </c>
      <c r="BS223" s="51" t="e">
        <f>Ticker0001_Exchange_Sheet!CR292-#REF!</f>
      </c>
      <c r="BT223" s="51" t="e">
        <f>Ticker0001_Exchange_Sheet!CS292-#REF!</f>
      </c>
      <c r="BU223" s="51" t="e">
        <f>Ticker0001_Exchange_Sheet!CT292-#REF!</f>
      </c>
      <c r="BV223" s="51" t="e">
        <f>Ticker0001_Exchange_Sheet!CU292-#REF!</f>
      </c>
      <c r="BW223" s="51" t="e">
        <f>Ticker0001_Exchange_Sheet!CV292-#REF!</f>
      </c>
      <c r="BX223" s="51" t="e">
        <f>Ticker0001_Exchange_Sheet!CW292-#REF!</f>
      </c>
      <c r="BY223" s="51" t="e">
        <f>Ticker0001_Exchange_Sheet!CX292-#REF!</f>
      </c>
      <c r="BZ223" s="51" t="e">
        <f>Ticker0001_Exchange_Sheet!CY292-#REF!</f>
      </c>
      <c r="CA223" s="51" t="e">
        <f>Ticker0001_Exchange_Sheet!CZ292-#REF!</f>
      </c>
      <c r="CB223" s="51" t="e">
        <f>Ticker0001_Exchange_Sheet!DA292-#REF!</f>
      </c>
      <c r="CC223" s="51" t="e">
        <f>Ticker0001_Exchange_Sheet!DB292-#REF!</f>
      </c>
      <c r="CD223" s="51" t="e">
        <f>Ticker0001_Exchange_Sheet!DC292-#REF!</f>
      </c>
      <c r="CE223" s="51" t="e">
        <f>Ticker0001_Exchange_Sheet!DD292-#REF!</f>
      </c>
      <c r="CF223" s="51" t="e">
        <f>Ticker0001_Exchange_Sheet!DE292-#REF!</f>
      </c>
    </row>
    <row r="224" spans="6:84">
      <c r="F224" s="51" t="e">
        <f>Ticker0001_Exchange_Sheet!F293-#REF!</f>
      </c>
      <c r="G224" s="51" t="e">
        <f>Ticker0001_Exchange_Sheet!G293-#REF!</f>
      </c>
      <c r="H224" s="51" t="e">
        <f>Ticker0001_Exchange_Sheet!H293-#REF!</f>
      </c>
      <c r="I224" s="51" t="e">
        <f>Ticker0001_Exchange_Sheet!I293-#REF!</f>
      </c>
      <c r="J224" s="51" t="e">
        <f>Ticker0001_Exchange_Sheet!J293-#REF!</f>
      </c>
      <c r="K224" s="51" t="e">
        <f>Ticker0001_Exchange_Sheet!K293-#REF!</f>
      </c>
      <c r="L224" s="51" t="e">
        <f>Ticker0001_Exchange_Sheet!L293-#REF!</f>
      </c>
      <c r="M224" s="51" t="e">
        <f>Ticker0001_Exchange_Sheet!M293-#REF!</f>
      </c>
      <c r="N224" s="51" t="e">
        <f>Ticker0001_Exchange_Sheet!N293-#REF!</f>
      </c>
      <c r="O224" s="51" t="e">
        <f>Ticker0001_Exchange_Sheet!O293-#REF!</f>
      </c>
      <c r="P224" s="51" t="e">
        <f>Ticker0001_Exchange_Sheet!P293-#REF!</f>
      </c>
      <c r="Q224" s="51" t="e">
        <f>Ticker0001_Exchange_Sheet!Q293-#REF!</f>
      </c>
      <c r="R224" s="51" t="e">
        <f>Ticker0001_Exchange_Sheet!R293-#REF!</f>
      </c>
      <c r="S224" s="51" t="e">
        <f>Ticker0001_Exchange_Sheet!S293-#REF!</f>
      </c>
      <c r="T224" s="51" t="e">
        <f>Ticker0001_Exchange_Sheet!T293-#REF!</f>
      </c>
      <c r="U224" s="51" t="e">
        <f>Ticker0001_Exchange_Sheet!U293-#REF!</f>
      </c>
      <c r="V224" s="51" t="e">
        <f>Ticker0001_Exchange_Sheet!V293-#REF!</f>
      </c>
      <c r="W224" s="51" t="e">
        <f>Ticker0001_Exchange_Sheet!W293-#REF!</f>
      </c>
      <c r="X224" s="51" t="e">
        <f>Ticker0001_Exchange_Sheet!AK293-#REF!</f>
      </c>
      <c r="Y224" s="51" t="e">
        <f>Ticker0001_Exchange_Sheet!AX293-#REF!</f>
      </c>
      <c r="Z224" s="51" t="e">
        <f>Ticker0001_Exchange_Sheet!AY293-#REF!</f>
      </c>
      <c r="AA224" s="51" t="e">
        <f>Ticker0001_Exchange_Sheet!AZ293-#REF!</f>
      </c>
      <c r="AB224" s="51" t="e">
        <f>Ticker0001_Exchange_Sheet!BA293-#REF!</f>
      </c>
      <c r="AC224" s="51" t="e">
        <f>Ticker0001_Exchange_Sheet!BB293-#REF!</f>
      </c>
      <c r="AD224" s="51" t="e">
        <f>Ticker0001_Exchange_Sheet!BC293-#REF!</f>
      </c>
      <c r="AE224" s="51" t="e">
        <f>Ticker0001_Exchange_Sheet!BD293-#REF!</f>
      </c>
      <c r="AF224" s="51" t="e">
        <f>Ticker0001_Exchange_Sheet!BE293-#REF!</f>
      </c>
      <c r="AG224" s="51" t="e">
        <f>Ticker0001_Exchange_Sheet!BF293-#REF!</f>
      </c>
      <c r="AH224" s="51" t="e">
        <f>Ticker0001_Exchange_Sheet!BG293-#REF!</f>
      </c>
      <c r="AI224" s="51" t="e">
        <f>Ticker0001_Exchange_Sheet!BH293-#REF!</f>
      </c>
      <c r="AJ224" s="51" t="e">
        <f>Ticker0001_Exchange_Sheet!BI293-#REF!</f>
      </c>
      <c r="AK224" s="51" t="e">
        <f>Ticker0001_Exchange_Sheet!BJ293-#REF!</f>
      </c>
      <c r="AL224" s="51" t="e">
        <f>Ticker0001_Exchange_Sheet!BK293-#REF!</f>
      </c>
      <c r="AM224" s="51" t="e">
        <f>Ticker0001_Exchange_Sheet!BL293-#REF!</f>
      </c>
      <c r="AN224" s="51" t="e">
        <f>Ticker0001_Exchange_Sheet!BM293-#REF!</f>
      </c>
      <c r="AO224" s="51" t="e">
        <f>Ticker0001_Exchange_Sheet!BN293-#REF!</f>
      </c>
      <c r="AP224" s="51" t="e">
        <f>Ticker0001_Exchange_Sheet!BO293-#REF!</f>
      </c>
      <c r="AQ224" s="51" t="e">
        <f>Ticker0001_Exchange_Sheet!BP293-#REF!</f>
      </c>
      <c r="AR224" s="51" t="e">
        <f>Ticker0001_Exchange_Sheet!BQ293-#REF!</f>
      </c>
      <c r="AS224" s="51" t="e">
        <f>Ticker0001_Exchange_Sheet!BR293-#REF!</f>
      </c>
      <c r="AT224" s="51" t="e">
        <f>Ticker0001_Exchange_Sheet!BS293-#REF!</f>
      </c>
      <c r="AU224" s="51" t="e">
        <f>Ticker0001_Exchange_Sheet!BT293-#REF!</f>
      </c>
      <c r="AV224" s="51" t="e">
        <f>Ticker0001_Exchange_Sheet!BU293-#REF!</f>
      </c>
      <c r="AW224" s="51" t="e">
        <f>Ticker0001_Exchange_Sheet!BV293-#REF!</f>
      </c>
      <c r="AX224" s="51" t="e">
        <f>Ticker0001_Exchange_Sheet!BW293-#REF!</f>
      </c>
      <c r="AY224" s="51" t="e">
        <f>Ticker0001_Exchange_Sheet!BX293-#REF!</f>
      </c>
      <c r="AZ224" s="51" t="e">
        <f>Ticker0001_Exchange_Sheet!BY293-#REF!</f>
      </c>
      <c r="BA224" s="51" t="e">
        <f>Ticker0001_Exchange_Sheet!BZ293-#REF!</f>
      </c>
      <c r="BB224" s="51" t="e">
        <f>Ticker0001_Exchange_Sheet!CA293-#REF!</f>
      </c>
      <c r="BC224" s="51" t="e">
        <f>Ticker0001_Exchange_Sheet!CB293-#REF!</f>
      </c>
      <c r="BD224" s="51" t="e">
        <f>Ticker0001_Exchange_Sheet!CC293-#REF!</f>
      </c>
      <c r="BE224" s="51" t="e">
        <f>Ticker0001_Exchange_Sheet!CD293-#REF!</f>
      </c>
      <c r="BF224" s="51" t="e">
        <f>Ticker0001_Exchange_Sheet!CE293-#REF!</f>
      </c>
      <c r="BG224" s="51" t="e">
        <f>Ticker0001_Exchange_Sheet!CF293-#REF!</f>
      </c>
      <c r="BH224" s="51" t="e">
        <f>Ticker0001_Exchange_Sheet!CG293-#REF!</f>
      </c>
      <c r="BI224" s="51" t="e">
        <f>Ticker0001_Exchange_Sheet!CH293-#REF!</f>
      </c>
      <c r="BJ224" s="51" t="e">
        <f>Ticker0001_Exchange_Sheet!CI293-#REF!</f>
      </c>
      <c r="BK224" s="51" t="e">
        <f>Ticker0001_Exchange_Sheet!CJ293-#REF!</f>
      </c>
      <c r="BL224" s="51" t="e">
        <f>Ticker0001_Exchange_Sheet!CK293-#REF!</f>
      </c>
      <c r="BM224" s="51" t="e">
        <f>Ticker0001_Exchange_Sheet!CL293-#REF!</f>
      </c>
      <c r="BN224" s="51" t="e">
        <f>Ticker0001_Exchange_Sheet!CM293-#REF!</f>
      </c>
      <c r="BO224" s="51" t="e">
        <f>Ticker0001_Exchange_Sheet!CN293-#REF!</f>
      </c>
      <c r="BP224" s="51" t="e">
        <f>Ticker0001_Exchange_Sheet!CO293-#REF!</f>
      </c>
      <c r="BQ224" s="51" t="e">
        <f>Ticker0001_Exchange_Sheet!CP293-#REF!</f>
      </c>
      <c r="BR224" s="51" t="e">
        <f>Ticker0001_Exchange_Sheet!CQ293-#REF!</f>
      </c>
      <c r="BS224" s="51" t="e">
        <f>Ticker0001_Exchange_Sheet!CR293-#REF!</f>
      </c>
      <c r="BT224" s="51" t="e">
        <f>Ticker0001_Exchange_Sheet!CS293-#REF!</f>
      </c>
      <c r="BU224" s="51" t="e">
        <f>Ticker0001_Exchange_Sheet!CT293-#REF!</f>
      </c>
      <c r="BV224" s="51" t="e">
        <f>Ticker0001_Exchange_Sheet!CU293-#REF!</f>
      </c>
      <c r="BW224" s="51" t="e">
        <f>Ticker0001_Exchange_Sheet!CV293-#REF!</f>
      </c>
      <c r="BX224" s="51" t="e">
        <f>Ticker0001_Exchange_Sheet!CW293-#REF!</f>
      </c>
      <c r="BY224" s="51" t="e">
        <f>Ticker0001_Exchange_Sheet!CX293-#REF!</f>
      </c>
      <c r="BZ224" s="51" t="e">
        <f>Ticker0001_Exchange_Sheet!CY293-#REF!</f>
      </c>
      <c r="CA224" s="51" t="e">
        <f>Ticker0001_Exchange_Sheet!CZ293-#REF!</f>
      </c>
      <c r="CB224" s="51" t="e">
        <f>Ticker0001_Exchange_Sheet!DA293-#REF!</f>
      </c>
      <c r="CC224" s="51" t="e">
        <f>Ticker0001_Exchange_Sheet!DB293-#REF!</f>
      </c>
      <c r="CD224" s="51" t="e">
        <f>Ticker0001_Exchange_Sheet!DC293-#REF!</f>
      </c>
      <c r="CE224" s="51" t="e">
        <f>Ticker0001_Exchange_Sheet!DD293-#REF!</f>
      </c>
      <c r="CF224" s="51" t="e">
        <f>Ticker0001_Exchange_Sheet!DE293-#REF!</f>
      </c>
    </row>
    <row r="225" spans="6:84">
      <c r="F225" s="51" t="e">
        <f>Ticker0001_Exchange_Sheet!F294-#REF!</f>
      </c>
      <c r="G225" s="51" t="e">
        <f>Ticker0001_Exchange_Sheet!G294-#REF!</f>
      </c>
      <c r="H225" s="51" t="e">
        <f>Ticker0001_Exchange_Sheet!H294-#REF!</f>
      </c>
      <c r="I225" s="51" t="e">
        <f>Ticker0001_Exchange_Sheet!I294-#REF!</f>
      </c>
      <c r="J225" s="51" t="e">
        <f>Ticker0001_Exchange_Sheet!J294-#REF!</f>
      </c>
      <c r="K225" s="51" t="e">
        <f>Ticker0001_Exchange_Sheet!K294-#REF!</f>
      </c>
      <c r="L225" s="51" t="e">
        <f>Ticker0001_Exchange_Sheet!L294-#REF!</f>
      </c>
      <c r="M225" s="51" t="e">
        <f>Ticker0001_Exchange_Sheet!M294-#REF!</f>
      </c>
      <c r="N225" s="51" t="e">
        <f>Ticker0001_Exchange_Sheet!N294-#REF!</f>
      </c>
      <c r="O225" s="51" t="e">
        <f>Ticker0001_Exchange_Sheet!O294-#REF!</f>
      </c>
      <c r="P225" s="51" t="e">
        <f>Ticker0001_Exchange_Sheet!P294-#REF!</f>
      </c>
      <c r="Q225" s="51" t="e">
        <f>Ticker0001_Exchange_Sheet!Q294-#REF!</f>
      </c>
      <c r="R225" s="51" t="e">
        <f>Ticker0001_Exchange_Sheet!R294-#REF!</f>
      </c>
      <c r="S225" s="51" t="e">
        <f>Ticker0001_Exchange_Sheet!S294-#REF!</f>
      </c>
      <c r="T225" s="51" t="e">
        <f>Ticker0001_Exchange_Sheet!T294-#REF!</f>
      </c>
      <c r="U225" s="51" t="e">
        <f>Ticker0001_Exchange_Sheet!U294-#REF!</f>
      </c>
      <c r="V225" s="51" t="e">
        <f>Ticker0001_Exchange_Sheet!V294-#REF!</f>
      </c>
      <c r="W225" s="51" t="e">
        <f>Ticker0001_Exchange_Sheet!W294-#REF!</f>
      </c>
      <c r="X225" s="51" t="e">
        <f>Ticker0001_Exchange_Sheet!AK294-#REF!</f>
      </c>
      <c r="Y225" s="51" t="e">
        <f>Ticker0001_Exchange_Sheet!AX294-#REF!</f>
      </c>
      <c r="Z225" s="51" t="e">
        <f>Ticker0001_Exchange_Sheet!AY294-#REF!</f>
      </c>
      <c r="AA225" s="51" t="e">
        <f>Ticker0001_Exchange_Sheet!AZ294-#REF!</f>
      </c>
      <c r="AB225" s="51" t="e">
        <f>Ticker0001_Exchange_Sheet!BA294-#REF!</f>
      </c>
      <c r="AC225" s="51" t="e">
        <f>Ticker0001_Exchange_Sheet!BB294-#REF!</f>
      </c>
      <c r="AD225" s="51" t="e">
        <f>Ticker0001_Exchange_Sheet!BC294-#REF!</f>
      </c>
      <c r="AE225" s="51" t="e">
        <f>Ticker0001_Exchange_Sheet!BD294-#REF!</f>
      </c>
      <c r="AF225" s="51" t="e">
        <f>Ticker0001_Exchange_Sheet!BE294-#REF!</f>
      </c>
      <c r="AG225" s="51" t="e">
        <f>Ticker0001_Exchange_Sheet!BF294-#REF!</f>
      </c>
      <c r="AH225" s="51" t="e">
        <f>Ticker0001_Exchange_Sheet!BG294-#REF!</f>
      </c>
      <c r="AI225" s="51" t="e">
        <f>Ticker0001_Exchange_Sheet!BH294-#REF!</f>
      </c>
      <c r="AJ225" s="51" t="e">
        <f>Ticker0001_Exchange_Sheet!BI294-#REF!</f>
      </c>
      <c r="AK225" s="51" t="e">
        <f>Ticker0001_Exchange_Sheet!BJ294-#REF!</f>
      </c>
      <c r="AL225" s="51" t="e">
        <f>Ticker0001_Exchange_Sheet!BK294-#REF!</f>
      </c>
      <c r="AM225" s="51" t="e">
        <f>Ticker0001_Exchange_Sheet!BL294-#REF!</f>
      </c>
      <c r="AN225" s="51" t="e">
        <f>Ticker0001_Exchange_Sheet!BM294-#REF!</f>
      </c>
      <c r="AO225" s="51" t="e">
        <f>Ticker0001_Exchange_Sheet!BN294-#REF!</f>
      </c>
      <c r="AP225" s="51" t="e">
        <f>Ticker0001_Exchange_Sheet!BO294-#REF!</f>
      </c>
      <c r="AQ225" s="51" t="e">
        <f>Ticker0001_Exchange_Sheet!BP294-#REF!</f>
      </c>
      <c r="AR225" s="51" t="e">
        <f>Ticker0001_Exchange_Sheet!BQ294-#REF!</f>
      </c>
      <c r="AS225" s="51" t="e">
        <f>Ticker0001_Exchange_Sheet!BR294-#REF!</f>
      </c>
      <c r="AT225" s="51" t="e">
        <f>Ticker0001_Exchange_Sheet!BS294-#REF!</f>
      </c>
      <c r="AU225" s="51" t="e">
        <f>Ticker0001_Exchange_Sheet!BT294-#REF!</f>
      </c>
      <c r="AV225" s="51" t="e">
        <f>Ticker0001_Exchange_Sheet!BU294-#REF!</f>
      </c>
      <c r="AW225" s="51" t="e">
        <f>Ticker0001_Exchange_Sheet!BV294-#REF!</f>
      </c>
      <c r="AX225" s="51" t="e">
        <f>Ticker0001_Exchange_Sheet!BW294-#REF!</f>
      </c>
      <c r="AY225" s="51" t="e">
        <f>Ticker0001_Exchange_Sheet!BX294-#REF!</f>
      </c>
      <c r="AZ225" s="51" t="e">
        <f>Ticker0001_Exchange_Sheet!BY294-#REF!</f>
      </c>
      <c r="BA225" s="51" t="e">
        <f>Ticker0001_Exchange_Sheet!BZ294-#REF!</f>
      </c>
      <c r="BB225" s="51" t="e">
        <f>Ticker0001_Exchange_Sheet!CA294-#REF!</f>
      </c>
      <c r="BC225" s="51" t="e">
        <f>Ticker0001_Exchange_Sheet!CB294-#REF!</f>
      </c>
      <c r="BD225" s="51" t="e">
        <f>Ticker0001_Exchange_Sheet!CC294-#REF!</f>
      </c>
      <c r="BE225" s="51" t="e">
        <f>Ticker0001_Exchange_Sheet!CD294-#REF!</f>
      </c>
      <c r="BF225" s="51" t="e">
        <f>Ticker0001_Exchange_Sheet!CE294-#REF!</f>
      </c>
      <c r="BG225" s="51" t="e">
        <f>Ticker0001_Exchange_Sheet!CF294-#REF!</f>
      </c>
      <c r="BH225" s="51" t="e">
        <f>Ticker0001_Exchange_Sheet!CG294-#REF!</f>
      </c>
      <c r="BI225" s="51" t="e">
        <f>Ticker0001_Exchange_Sheet!CH294-#REF!</f>
      </c>
      <c r="BJ225" s="51" t="e">
        <f>Ticker0001_Exchange_Sheet!CI294-#REF!</f>
      </c>
      <c r="BK225" s="51" t="e">
        <f>Ticker0001_Exchange_Sheet!CJ294-#REF!</f>
      </c>
      <c r="BL225" s="51" t="e">
        <f>Ticker0001_Exchange_Sheet!CK294-#REF!</f>
      </c>
      <c r="BM225" s="51" t="e">
        <f>Ticker0001_Exchange_Sheet!CL294-#REF!</f>
      </c>
      <c r="BN225" s="51" t="e">
        <f>Ticker0001_Exchange_Sheet!CM294-#REF!</f>
      </c>
      <c r="BO225" s="51" t="e">
        <f>Ticker0001_Exchange_Sheet!CN294-#REF!</f>
      </c>
      <c r="BP225" s="51" t="e">
        <f>Ticker0001_Exchange_Sheet!CO294-#REF!</f>
      </c>
      <c r="BQ225" s="51" t="e">
        <f>Ticker0001_Exchange_Sheet!CP294-#REF!</f>
      </c>
      <c r="BR225" s="51" t="e">
        <f>Ticker0001_Exchange_Sheet!CQ294-#REF!</f>
      </c>
      <c r="BS225" s="51" t="e">
        <f>Ticker0001_Exchange_Sheet!CR294-#REF!</f>
      </c>
      <c r="BT225" s="51" t="e">
        <f>Ticker0001_Exchange_Sheet!CS294-#REF!</f>
      </c>
      <c r="BU225" s="51" t="e">
        <f>Ticker0001_Exchange_Sheet!CT294-#REF!</f>
      </c>
      <c r="BV225" s="51" t="e">
        <f>Ticker0001_Exchange_Sheet!CU294-#REF!</f>
      </c>
      <c r="BW225" s="51" t="e">
        <f>Ticker0001_Exchange_Sheet!CV294-#REF!</f>
      </c>
      <c r="BX225" s="51" t="e">
        <f>Ticker0001_Exchange_Sheet!CW294-#REF!</f>
      </c>
      <c r="BY225" s="51" t="e">
        <f>Ticker0001_Exchange_Sheet!CX294-#REF!</f>
      </c>
      <c r="BZ225" s="51" t="e">
        <f>Ticker0001_Exchange_Sheet!CY294-#REF!</f>
      </c>
      <c r="CA225" s="51" t="e">
        <f>Ticker0001_Exchange_Sheet!CZ294-#REF!</f>
      </c>
      <c r="CB225" s="51" t="e">
        <f>Ticker0001_Exchange_Sheet!DA294-#REF!</f>
      </c>
      <c r="CC225" s="51" t="e">
        <f>Ticker0001_Exchange_Sheet!DB294-#REF!</f>
      </c>
      <c r="CD225" s="51" t="e">
        <f>Ticker0001_Exchange_Sheet!DC294-#REF!</f>
      </c>
      <c r="CE225" s="51" t="e">
        <f>Ticker0001_Exchange_Sheet!DD294-#REF!</f>
      </c>
      <c r="CF225" s="51" t="e">
        <f>Ticker0001_Exchange_Sheet!DE294-#REF!</f>
      </c>
    </row>
    <row r="226" spans="6:84">
      <c r="F226" s="51" t="e">
        <f>Ticker0001_Exchange_Sheet!F295-#REF!</f>
      </c>
      <c r="G226" s="51" t="e">
        <f>Ticker0001_Exchange_Sheet!G295-#REF!</f>
      </c>
      <c r="H226" s="51" t="e">
        <f>Ticker0001_Exchange_Sheet!H295-#REF!</f>
      </c>
      <c r="I226" s="51" t="e">
        <f>Ticker0001_Exchange_Sheet!I295-#REF!</f>
      </c>
      <c r="J226" s="51" t="e">
        <f>Ticker0001_Exchange_Sheet!J295-#REF!</f>
      </c>
      <c r="K226" s="51" t="e">
        <f>Ticker0001_Exchange_Sheet!K295-#REF!</f>
      </c>
      <c r="L226" s="51" t="e">
        <f>Ticker0001_Exchange_Sheet!L295-#REF!</f>
      </c>
      <c r="M226" s="51" t="e">
        <f>Ticker0001_Exchange_Sheet!M295-#REF!</f>
      </c>
      <c r="N226" s="51" t="e">
        <f>Ticker0001_Exchange_Sheet!N295-#REF!</f>
      </c>
      <c r="O226" s="51" t="e">
        <f>Ticker0001_Exchange_Sheet!O295-#REF!</f>
      </c>
      <c r="P226" s="51" t="e">
        <f>Ticker0001_Exchange_Sheet!P295-#REF!</f>
      </c>
      <c r="Q226" s="51" t="e">
        <f>Ticker0001_Exchange_Sheet!Q295-#REF!</f>
      </c>
      <c r="R226" s="51" t="e">
        <f>Ticker0001_Exchange_Sheet!R295-#REF!</f>
      </c>
      <c r="S226" s="51" t="e">
        <f>Ticker0001_Exchange_Sheet!S295-#REF!</f>
      </c>
      <c r="T226" s="51" t="e">
        <f>Ticker0001_Exchange_Sheet!T295-#REF!</f>
      </c>
      <c r="U226" s="51" t="e">
        <f>Ticker0001_Exchange_Sheet!U295-#REF!</f>
      </c>
      <c r="V226" s="51" t="e">
        <f>Ticker0001_Exchange_Sheet!V295-#REF!</f>
      </c>
      <c r="W226" s="51" t="e">
        <f>Ticker0001_Exchange_Sheet!W295-#REF!</f>
      </c>
      <c r="X226" s="51" t="e">
        <f>Ticker0001_Exchange_Sheet!AK295-#REF!</f>
      </c>
      <c r="Y226" s="51" t="e">
        <f>Ticker0001_Exchange_Sheet!AX295-#REF!</f>
      </c>
      <c r="Z226" s="51" t="e">
        <f>Ticker0001_Exchange_Sheet!AY295-#REF!</f>
      </c>
      <c r="AA226" s="51" t="e">
        <f>Ticker0001_Exchange_Sheet!AZ295-#REF!</f>
      </c>
      <c r="AB226" s="51" t="e">
        <f>Ticker0001_Exchange_Sheet!BA295-#REF!</f>
      </c>
      <c r="AC226" s="51" t="e">
        <f>Ticker0001_Exchange_Sheet!BB295-#REF!</f>
      </c>
      <c r="AD226" s="51" t="e">
        <f>Ticker0001_Exchange_Sheet!BC295-#REF!</f>
      </c>
      <c r="AE226" s="51" t="e">
        <f>Ticker0001_Exchange_Sheet!BD295-#REF!</f>
      </c>
      <c r="AF226" s="51" t="e">
        <f>Ticker0001_Exchange_Sheet!BE295-#REF!</f>
      </c>
      <c r="AG226" s="51" t="e">
        <f>Ticker0001_Exchange_Sheet!BF295-#REF!</f>
      </c>
      <c r="AH226" s="51" t="e">
        <f>Ticker0001_Exchange_Sheet!BG295-#REF!</f>
      </c>
      <c r="AI226" s="51" t="e">
        <f>Ticker0001_Exchange_Sheet!BH295-#REF!</f>
      </c>
      <c r="AJ226" s="51" t="e">
        <f>Ticker0001_Exchange_Sheet!BI295-#REF!</f>
      </c>
      <c r="AK226" s="51" t="e">
        <f>Ticker0001_Exchange_Sheet!BJ295-#REF!</f>
      </c>
      <c r="AL226" s="51" t="e">
        <f>Ticker0001_Exchange_Sheet!BK295-#REF!</f>
      </c>
      <c r="AM226" s="51" t="e">
        <f>Ticker0001_Exchange_Sheet!BL295-#REF!</f>
      </c>
      <c r="AN226" s="51" t="e">
        <f>Ticker0001_Exchange_Sheet!BM295-#REF!</f>
      </c>
      <c r="AO226" s="51" t="e">
        <f>Ticker0001_Exchange_Sheet!BN295-#REF!</f>
      </c>
      <c r="AP226" s="51" t="e">
        <f>Ticker0001_Exchange_Sheet!BO295-#REF!</f>
      </c>
      <c r="AQ226" s="51" t="e">
        <f>Ticker0001_Exchange_Sheet!BP295-#REF!</f>
      </c>
      <c r="AR226" s="51" t="e">
        <f>Ticker0001_Exchange_Sheet!BQ295-#REF!</f>
      </c>
      <c r="AS226" s="51" t="e">
        <f>Ticker0001_Exchange_Sheet!BR295-#REF!</f>
      </c>
      <c r="AT226" s="51" t="e">
        <f>Ticker0001_Exchange_Sheet!BS295-#REF!</f>
      </c>
      <c r="AU226" s="51" t="e">
        <f>Ticker0001_Exchange_Sheet!BT295-#REF!</f>
      </c>
      <c r="AV226" s="51" t="e">
        <f>Ticker0001_Exchange_Sheet!BU295-#REF!</f>
      </c>
      <c r="AW226" s="51" t="e">
        <f>Ticker0001_Exchange_Sheet!BV295-#REF!</f>
      </c>
      <c r="AX226" s="51" t="e">
        <f>Ticker0001_Exchange_Sheet!BW295-#REF!</f>
      </c>
      <c r="AY226" s="51" t="e">
        <f>Ticker0001_Exchange_Sheet!BX295-#REF!</f>
      </c>
      <c r="AZ226" s="51" t="e">
        <f>Ticker0001_Exchange_Sheet!BY295-#REF!</f>
      </c>
      <c r="BA226" s="51" t="e">
        <f>Ticker0001_Exchange_Sheet!BZ295-#REF!</f>
      </c>
      <c r="BB226" s="51" t="e">
        <f>Ticker0001_Exchange_Sheet!CA295-#REF!</f>
      </c>
      <c r="BC226" s="51" t="e">
        <f>Ticker0001_Exchange_Sheet!CB295-#REF!</f>
      </c>
      <c r="BD226" s="51" t="e">
        <f>Ticker0001_Exchange_Sheet!CC295-#REF!</f>
      </c>
      <c r="BE226" s="51" t="e">
        <f>Ticker0001_Exchange_Sheet!CD295-#REF!</f>
      </c>
      <c r="BF226" s="51" t="e">
        <f>Ticker0001_Exchange_Sheet!CE295-#REF!</f>
      </c>
      <c r="BG226" s="51" t="e">
        <f>Ticker0001_Exchange_Sheet!CF295-#REF!</f>
      </c>
      <c r="BH226" s="51" t="e">
        <f>Ticker0001_Exchange_Sheet!CG295-#REF!</f>
      </c>
      <c r="BI226" s="51" t="e">
        <f>Ticker0001_Exchange_Sheet!CH295-#REF!</f>
      </c>
      <c r="BJ226" s="51" t="e">
        <f>Ticker0001_Exchange_Sheet!CI295-#REF!</f>
      </c>
      <c r="BK226" s="51" t="e">
        <f>Ticker0001_Exchange_Sheet!CJ295-#REF!</f>
      </c>
      <c r="BL226" s="51" t="e">
        <f>Ticker0001_Exchange_Sheet!CK295-#REF!</f>
      </c>
      <c r="BM226" s="51" t="e">
        <f>Ticker0001_Exchange_Sheet!CL295-#REF!</f>
      </c>
      <c r="BN226" s="51" t="e">
        <f>Ticker0001_Exchange_Sheet!CM295-#REF!</f>
      </c>
      <c r="BO226" s="51" t="e">
        <f>Ticker0001_Exchange_Sheet!CN295-#REF!</f>
      </c>
      <c r="BP226" s="51" t="e">
        <f>Ticker0001_Exchange_Sheet!CO295-#REF!</f>
      </c>
      <c r="BQ226" s="51" t="e">
        <f>Ticker0001_Exchange_Sheet!CP295-#REF!</f>
      </c>
      <c r="BR226" s="51" t="e">
        <f>Ticker0001_Exchange_Sheet!CQ295-#REF!</f>
      </c>
      <c r="BS226" s="51" t="e">
        <f>Ticker0001_Exchange_Sheet!CR295-#REF!</f>
      </c>
      <c r="BT226" s="51" t="e">
        <f>Ticker0001_Exchange_Sheet!CS295-#REF!</f>
      </c>
      <c r="BU226" s="51" t="e">
        <f>Ticker0001_Exchange_Sheet!CT295-#REF!</f>
      </c>
      <c r="BV226" s="51" t="e">
        <f>Ticker0001_Exchange_Sheet!CU295-#REF!</f>
      </c>
      <c r="BW226" s="51" t="e">
        <f>Ticker0001_Exchange_Sheet!CV295-#REF!</f>
      </c>
      <c r="BX226" s="51" t="e">
        <f>Ticker0001_Exchange_Sheet!CW295-#REF!</f>
      </c>
      <c r="BY226" s="51" t="e">
        <f>Ticker0001_Exchange_Sheet!CX295-#REF!</f>
      </c>
      <c r="BZ226" s="51" t="e">
        <f>Ticker0001_Exchange_Sheet!CY295-#REF!</f>
      </c>
      <c r="CA226" s="51" t="e">
        <f>Ticker0001_Exchange_Sheet!CZ295-#REF!</f>
      </c>
      <c r="CB226" s="51" t="e">
        <f>Ticker0001_Exchange_Sheet!DA295-#REF!</f>
      </c>
      <c r="CC226" s="51" t="e">
        <f>Ticker0001_Exchange_Sheet!DB295-#REF!</f>
      </c>
      <c r="CD226" s="51" t="e">
        <f>Ticker0001_Exchange_Sheet!DC295-#REF!</f>
      </c>
      <c r="CE226" s="51" t="e">
        <f>Ticker0001_Exchange_Sheet!DD295-#REF!</f>
      </c>
      <c r="CF226" s="51" t="e">
        <f>Ticker0001_Exchange_Sheet!DE295-#REF!</f>
      </c>
    </row>
    <row r="227" spans="6:84">
      <c r="F227" s="51" t="e">
        <f>Ticker0001_Exchange_Sheet!F296-#REF!</f>
      </c>
      <c r="G227" s="51" t="e">
        <f>Ticker0001_Exchange_Sheet!G296-#REF!</f>
      </c>
      <c r="H227" s="51" t="e">
        <f>Ticker0001_Exchange_Sheet!H296-#REF!</f>
      </c>
      <c r="I227" s="51" t="e">
        <f>Ticker0001_Exchange_Sheet!I296-#REF!</f>
      </c>
      <c r="J227" s="51" t="e">
        <f>Ticker0001_Exchange_Sheet!J296-#REF!</f>
      </c>
      <c r="K227" s="51" t="e">
        <f>Ticker0001_Exchange_Sheet!K296-#REF!</f>
      </c>
      <c r="L227" s="51" t="e">
        <f>Ticker0001_Exchange_Sheet!L296-#REF!</f>
      </c>
      <c r="M227" s="51" t="e">
        <f>Ticker0001_Exchange_Sheet!M296-#REF!</f>
      </c>
      <c r="N227" s="51" t="e">
        <f>Ticker0001_Exchange_Sheet!N296-#REF!</f>
      </c>
      <c r="O227" s="51" t="e">
        <f>Ticker0001_Exchange_Sheet!O296-#REF!</f>
      </c>
      <c r="P227" s="51" t="e">
        <f>Ticker0001_Exchange_Sheet!P296-#REF!</f>
      </c>
      <c r="Q227" s="51" t="e">
        <f>Ticker0001_Exchange_Sheet!Q296-#REF!</f>
      </c>
      <c r="R227" s="51" t="e">
        <f>Ticker0001_Exchange_Sheet!R296-#REF!</f>
      </c>
      <c r="S227" s="51" t="e">
        <f>Ticker0001_Exchange_Sheet!S296-#REF!</f>
      </c>
      <c r="T227" s="51" t="e">
        <f>Ticker0001_Exchange_Sheet!T296-#REF!</f>
      </c>
      <c r="U227" s="51" t="e">
        <f>Ticker0001_Exchange_Sheet!U296-#REF!</f>
      </c>
      <c r="V227" s="51" t="e">
        <f>Ticker0001_Exchange_Sheet!V296-#REF!</f>
      </c>
      <c r="W227" s="51" t="e">
        <f>Ticker0001_Exchange_Sheet!W296-#REF!</f>
      </c>
      <c r="X227" s="51" t="e">
        <f>Ticker0001_Exchange_Sheet!AK296-#REF!</f>
      </c>
      <c r="Y227" s="51" t="e">
        <f>Ticker0001_Exchange_Sheet!AX296-#REF!</f>
      </c>
      <c r="Z227" s="51" t="e">
        <f>Ticker0001_Exchange_Sheet!AY296-#REF!</f>
      </c>
      <c r="AA227" s="51" t="e">
        <f>Ticker0001_Exchange_Sheet!AZ296-#REF!</f>
      </c>
      <c r="AB227" s="51" t="e">
        <f>Ticker0001_Exchange_Sheet!BA296-#REF!</f>
      </c>
      <c r="AC227" s="51" t="e">
        <f>Ticker0001_Exchange_Sheet!BB296-#REF!</f>
      </c>
      <c r="AD227" s="51" t="e">
        <f>Ticker0001_Exchange_Sheet!BC296-#REF!</f>
      </c>
      <c r="AE227" s="51" t="e">
        <f>Ticker0001_Exchange_Sheet!BD296-#REF!</f>
      </c>
      <c r="AF227" s="51" t="e">
        <f>Ticker0001_Exchange_Sheet!BE296-#REF!</f>
      </c>
      <c r="AG227" s="51" t="e">
        <f>Ticker0001_Exchange_Sheet!BF296-#REF!</f>
      </c>
      <c r="AH227" s="51" t="e">
        <f>Ticker0001_Exchange_Sheet!BG296-#REF!</f>
      </c>
      <c r="AI227" s="51" t="e">
        <f>Ticker0001_Exchange_Sheet!BH296-#REF!</f>
      </c>
      <c r="AJ227" s="51" t="e">
        <f>Ticker0001_Exchange_Sheet!BI296-#REF!</f>
      </c>
      <c r="AK227" s="51" t="e">
        <f>Ticker0001_Exchange_Sheet!BJ296-#REF!</f>
      </c>
      <c r="AL227" s="51" t="e">
        <f>Ticker0001_Exchange_Sheet!BK296-#REF!</f>
      </c>
      <c r="AM227" s="51" t="e">
        <f>Ticker0001_Exchange_Sheet!BL296-#REF!</f>
      </c>
      <c r="AN227" s="51" t="e">
        <f>Ticker0001_Exchange_Sheet!BM296-#REF!</f>
      </c>
      <c r="AO227" s="51" t="e">
        <f>Ticker0001_Exchange_Sheet!BN296-#REF!</f>
      </c>
      <c r="AP227" s="51" t="e">
        <f>Ticker0001_Exchange_Sheet!BO296-#REF!</f>
      </c>
      <c r="AQ227" s="51" t="e">
        <f>Ticker0001_Exchange_Sheet!BP296-#REF!</f>
      </c>
      <c r="AR227" s="51" t="e">
        <f>Ticker0001_Exchange_Sheet!BQ296-#REF!</f>
      </c>
      <c r="AS227" s="51" t="e">
        <f>Ticker0001_Exchange_Sheet!BR296-#REF!</f>
      </c>
      <c r="AT227" s="51" t="e">
        <f>Ticker0001_Exchange_Sheet!BS296-#REF!</f>
      </c>
      <c r="AU227" s="51" t="e">
        <f>Ticker0001_Exchange_Sheet!BT296-#REF!</f>
      </c>
      <c r="AV227" s="51" t="e">
        <f>Ticker0001_Exchange_Sheet!BU296-#REF!</f>
      </c>
      <c r="AW227" s="51" t="e">
        <f>Ticker0001_Exchange_Sheet!BV296-#REF!</f>
      </c>
      <c r="AX227" s="51" t="e">
        <f>Ticker0001_Exchange_Sheet!BW296-#REF!</f>
      </c>
      <c r="AY227" s="51" t="e">
        <f>Ticker0001_Exchange_Sheet!BX296-#REF!</f>
      </c>
      <c r="AZ227" s="51" t="e">
        <f>Ticker0001_Exchange_Sheet!BY296-#REF!</f>
      </c>
      <c r="BA227" s="51" t="e">
        <f>Ticker0001_Exchange_Sheet!BZ296-#REF!</f>
      </c>
      <c r="BB227" s="51" t="e">
        <f>Ticker0001_Exchange_Sheet!CA296-#REF!</f>
      </c>
      <c r="BC227" s="51" t="e">
        <f>Ticker0001_Exchange_Sheet!CB296-#REF!</f>
      </c>
      <c r="BD227" s="51" t="e">
        <f>Ticker0001_Exchange_Sheet!CC296-#REF!</f>
      </c>
      <c r="BE227" s="51" t="e">
        <f>Ticker0001_Exchange_Sheet!CD296-#REF!</f>
      </c>
      <c r="BF227" s="51" t="e">
        <f>Ticker0001_Exchange_Sheet!CE296-#REF!</f>
      </c>
      <c r="BG227" s="51" t="e">
        <f>Ticker0001_Exchange_Sheet!CF296-#REF!</f>
      </c>
      <c r="BH227" s="51" t="e">
        <f>Ticker0001_Exchange_Sheet!CG296-#REF!</f>
      </c>
      <c r="BI227" s="51" t="e">
        <f>Ticker0001_Exchange_Sheet!CH296-#REF!</f>
      </c>
      <c r="BJ227" s="51" t="e">
        <f>Ticker0001_Exchange_Sheet!CI296-#REF!</f>
      </c>
      <c r="BK227" s="51" t="e">
        <f>Ticker0001_Exchange_Sheet!CJ296-#REF!</f>
      </c>
      <c r="BL227" s="51" t="e">
        <f>Ticker0001_Exchange_Sheet!CK296-#REF!</f>
      </c>
      <c r="BM227" s="51" t="e">
        <f>Ticker0001_Exchange_Sheet!CL296-#REF!</f>
      </c>
      <c r="BN227" s="51" t="e">
        <f>Ticker0001_Exchange_Sheet!CM296-#REF!</f>
      </c>
      <c r="BO227" s="51" t="e">
        <f>Ticker0001_Exchange_Sheet!CN296-#REF!</f>
      </c>
      <c r="BP227" s="51" t="e">
        <f>Ticker0001_Exchange_Sheet!CO296-#REF!</f>
      </c>
      <c r="BQ227" s="51" t="e">
        <f>Ticker0001_Exchange_Sheet!CP296-#REF!</f>
      </c>
      <c r="BR227" s="51" t="e">
        <f>Ticker0001_Exchange_Sheet!CQ296-#REF!</f>
      </c>
      <c r="BS227" s="51" t="e">
        <f>Ticker0001_Exchange_Sheet!CR296-#REF!</f>
      </c>
      <c r="BT227" s="51" t="e">
        <f>Ticker0001_Exchange_Sheet!CS296-#REF!</f>
      </c>
      <c r="BU227" s="51" t="e">
        <f>Ticker0001_Exchange_Sheet!CT296-#REF!</f>
      </c>
      <c r="BV227" s="51" t="e">
        <f>Ticker0001_Exchange_Sheet!CU296-#REF!</f>
      </c>
      <c r="BW227" s="51" t="e">
        <f>Ticker0001_Exchange_Sheet!CV296-#REF!</f>
      </c>
      <c r="BX227" s="51" t="e">
        <f>Ticker0001_Exchange_Sheet!CW296-#REF!</f>
      </c>
      <c r="BY227" s="51" t="e">
        <f>Ticker0001_Exchange_Sheet!CX296-#REF!</f>
      </c>
      <c r="BZ227" s="51" t="e">
        <f>Ticker0001_Exchange_Sheet!CY296-#REF!</f>
      </c>
      <c r="CA227" s="51" t="e">
        <f>Ticker0001_Exchange_Sheet!CZ296-#REF!</f>
      </c>
      <c r="CB227" s="51" t="e">
        <f>Ticker0001_Exchange_Sheet!DA296-#REF!</f>
      </c>
      <c r="CC227" s="51" t="e">
        <f>Ticker0001_Exchange_Sheet!DB296-#REF!</f>
      </c>
      <c r="CD227" s="51" t="e">
        <f>Ticker0001_Exchange_Sheet!DC296-#REF!</f>
      </c>
      <c r="CE227" s="51" t="e">
        <f>Ticker0001_Exchange_Sheet!DD296-#REF!</f>
      </c>
      <c r="CF227" s="51" t="e">
        <f>Ticker0001_Exchange_Sheet!DE296-#REF!</f>
      </c>
    </row>
    <row r="228" spans="6:84">
      <c r="F228" s="51" t="e">
        <f>Ticker0001_Exchange_Sheet!F297-#REF!</f>
      </c>
      <c r="G228" s="51" t="e">
        <f>Ticker0001_Exchange_Sheet!G297-#REF!</f>
      </c>
      <c r="H228" s="51" t="e">
        <f>Ticker0001_Exchange_Sheet!H297-#REF!</f>
      </c>
      <c r="I228" s="51" t="e">
        <f>Ticker0001_Exchange_Sheet!I297-#REF!</f>
      </c>
      <c r="J228" s="51" t="e">
        <f>Ticker0001_Exchange_Sheet!J297-#REF!</f>
      </c>
      <c r="K228" s="51" t="e">
        <f>Ticker0001_Exchange_Sheet!K297-#REF!</f>
      </c>
      <c r="L228" s="51" t="e">
        <f>Ticker0001_Exchange_Sheet!L297-#REF!</f>
      </c>
      <c r="M228" s="51" t="e">
        <f>Ticker0001_Exchange_Sheet!M297-#REF!</f>
      </c>
      <c r="N228" s="51" t="e">
        <f>Ticker0001_Exchange_Sheet!N297-#REF!</f>
      </c>
      <c r="O228" s="51" t="e">
        <f>Ticker0001_Exchange_Sheet!O297-#REF!</f>
      </c>
      <c r="P228" s="51" t="e">
        <f>Ticker0001_Exchange_Sheet!P297-#REF!</f>
      </c>
      <c r="Q228" s="51" t="e">
        <f>Ticker0001_Exchange_Sheet!Q297-#REF!</f>
      </c>
      <c r="R228" s="51" t="e">
        <f>Ticker0001_Exchange_Sheet!R297-#REF!</f>
      </c>
      <c r="S228" s="51" t="e">
        <f>Ticker0001_Exchange_Sheet!S297-#REF!</f>
      </c>
      <c r="T228" s="51" t="e">
        <f>Ticker0001_Exchange_Sheet!T297-#REF!</f>
      </c>
      <c r="U228" s="51" t="e">
        <f>Ticker0001_Exchange_Sheet!U297-#REF!</f>
      </c>
      <c r="V228" s="51" t="e">
        <f>Ticker0001_Exchange_Sheet!V297-#REF!</f>
      </c>
      <c r="W228" s="51" t="e">
        <f>Ticker0001_Exchange_Sheet!W297-#REF!</f>
      </c>
      <c r="X228" s="51" t="e">
        <f>Ticker0001_Exchange_Sheet!AK297-#REF!</f>
      </c>
      <c r="Y228" s="51" t="e">
        <f>Ticker0001_Exchange_Sheet!AX297-#REF!</f>
      </c>
      <c r="Z228" s="51" t="e">
        <f>Ticker0001_Exchange_Sheet!AY297-#REF!</f>
      </c>
      <c r="AA228" s="51" t="e">
        <f>Ticker0001_Exchange_Sheet!AZ297-#REF!</f>
      </c>
      <c r="AB228" s="51" t="e">
        <f>Ticker0001_Exchange_Sheet!BA297-#REF!</f>
      </c>
      <c r="AC228" s="51" t="e">
        <f>Ticker0001_Exchange_Sheet!BB297-#REF!</f>
      </c>
      <c r="AD228" s="51" t="e">
        <f>Ticker0001_Exchange_Sheet!BC297-#REF!</f>
      </c>
      <c r="AE228" s="51" t="e">
        <f>Ticker0001_Exchange_Sheet!BD297-#REF!</f>
      </c>
      <c r="AF228" s="51" t="e">
        <f>Ticker0001_Exchange_Sheet!BE297-#REF!</f>
      </c>
      <c r="AG228" s="51" t="e">
        <f>Ticker0001_Exchange_Sheet!BF297-#REF!</f>
      </c>
      <c r="AH228" s="51" t="e">
        <f>Ticker0001_Exchange_Sheet!BG297-#REF!</f>
      </c>
      <c r="AI228" s="51" t="e">
        <f>Ticker0001_Exchange_Sheet!BH297-#REF!</f>
      </c>
      <c r="AJ228" s="51" t="e">
        <f>Ticker0001_Exchange_Sheet!BI297-#REF!</f>
      </c>
      <c r="AK228" s="51" t="e">
        <f>Ticker0001_Exchange_Sheet!BJ297-#REF!</f>
      </c>
      <c r="AL228" s="51" t="e">
        <f>Ticker0001_Exchange_Sheet!BK297-#REF!</f>
      </c>
      <c r="AM228" s="51" t="e">
        <f>Ticker0001_Exchange_Sheet!BL297-#REF!</f>
      </c>
      <c r="AN228" s="51" t="e">
        <f>Ticker0001_Exchange_Sheet!BM297-#REF!</f>
      </c>
      <c r="AO228" s="51" t="e">
        <f>Ticker0001_Exchange_Sheet!BN297-#REF!</f>
      </c>
      <c r="AP228" s="51" t="e">
        <f>Ticker0001_Exchange_Sheet!BO297-#REF!</f>
      </c>
      <c r="AQ228" s="51" t="e">
        <f>Ticker0001_Exchange_Sheet!BP297-#REF!</f>
      </c>
      <c r="AR228" s="51" t="e">
        <f>Ticker0001_Exchange_Sheet!BQ297-#REF!</f>
      </c>
      <c r="AS228" s="51" t="e">
        <f>Ticker0001_Exchange_Sheet!BR297-#REF!</f>
      </c>
      <c r="AT228" s="51" t="e">
        <f>Ticker0001_Exchange_Sheet!BS297-#REF!</f>
      </c>
      <c r="AU228" s="51" t="e">
        <f>Ticker0001_Exchange_Sheet!BT297-#REF!</f>
      </c>
      <c r="AV228" s="51" t="e">
        <f>Ticker0001_Exchange_Sheet!BU297-#REF!</f>
      </c>
      <c r="AW228" s="51" t="e">
        <f>Ticker0001_Exchange_Sheet!BV297-#REF!</f>
      </c>
      <c r="AX228" s="51" t="e">
        <f>Ticker0001_Exchange_Sheet!BW297-#REF!</f>
      </c>
      <c r="AY228" s="51" t="e">
        <f>Ticker0001_Exchange_Sheet!BX297-#REF!</f>
      </c>
      <c r="AZ228" s="51" t="e">
        <f>Ticker0001_Exchange_Sheet!BY297-#REF!</f>
      </c>
      <c r="BA228" s="51" t="e">
        <f>Ticker0001_Exchange_Sheet!BZ297-#REF!</f>
      </c>
      <c r="BB228" s="51" t="e">
        <f>Ticker0001_Exchange_Sheet!CA297-#REF!</f>
      </c>
      <c r="BC228" s="51" t="e">
        <f>Ticker0001_Exchange_Sheet!CB297-#REF!</f>
      </c>
      <c r="BD228" s="51" t="e">
        <f>Ticker0001_Exchange_Sheet!CC297-#REF!</f>
      </c>
      <c r="BE228" s="51" t="e">
        <f>Ticker0001_Exchange_Sheet!CD297-#REF!</f>
      </c>
      <c r="BF228" s="51" t="e">
        <f>Ticker0001_Exchange_Sheet!CE297-#REF!</f>
      </c>
      <c r="BG228" s="51" t="e">
        <f>Ticker0001_Exchange_Sheet!CF297-#REF!</f>
      </c>
      <c r="BH228" s="51" t="e">
        <f>Ticker0001_Exchange_Sheet!CG297-#REF!</f>
      </c>
      <c r="BI228" s="51" t="e">
        <f>Ticker0001_Exchange_Sheet!CH297-#REF!</f>
      </c>
      <c r="BJ228" s="51" t="e">
        <f>Ticker0001_Exchange_Sheet!CI297-#REF!</f>
      </c>
      <c r="BK228" s="51" t="e">
        <f>Ticker0001_Exchange_Sheet!CJ297-#REF!</f>
      </c>
      <c r="BL228" s="51" t="e">
        <f>Ticker0001_Exchange_Sheet!CK297-#REF!</f>
      </c>
      <c r="BM228" s="51" t="e">
        <f>Ticker0001_Exchange_Sheet!CL297-#REF!</f>
      </c>
      <c r="BN228" s="51" t="e">
        <f>Ticker0001_Exchange_Sheet!CM297-#REF!</f>
      </c>
      <c r="BO228" s="51" t="e">
        <f>Ticker0001_Exchange_Sheet!CN297-#REF!</f>
      </c>
      <c r="BP228" s="51" t="e">
        <f>Ticker0001_Exchange_Sheet!CO297-#REF!</f>
      </c>
      <c r="BQ228" s="51" t="e">
        <f>Ticker0001_Exchange_Sheet!CP297-#REF!</f>
      </c>
      <c r="BR228" s="51" t="e">
        <f>Ticker0001_Exchange_Sheet!CQ297-#REF!</f>
      </c>
      <c r="BS228" s="51" t="e">
        <f>Ticker0001_Exchange_Sheet!CR297-#REF!</f>
      </c>
      <c r="BT228" s="51" t="e">
        <f>Ticker0001_Exchange_Sheet!CS297-#REF!</f>
      </c>
      <c r="BU228" s="51" t="e">
        <f>Ticker0001_Exchange_Sheet!CT297-#REF!</f>
      </c>
      <c r="BV228" s="51" t="e">
        <f>Ticker0001_Exchange_Sheet!CU297-#REF!</f>
      </c>
      <c r="BW228" s="51" t="e">
        <f>Ticker0001_Exchange_Sheet!CV297-#REF!</f>
      </c>
      <c r="BX228" s="51" t="e">
        <f>Ticker0001_Exchange_Sheet!CW297-#REF!</f>
      </c>
      <c r="BY228" s="51" t="e">
        <f>Ticker0001_Exchange_Sheet!CX297-#REF!</f>
      </c>
      <c r="BZ228" s="51" t="e">
        <f>Ticker0001_Exchange_Sheet!CY297-#REF!</f>
      </c>
      <c r="CA228" s="51" t="e">
        <f>Ticker0001_Exchange_Sheet!CZ297-#REF!</f>
      </c>
      <c r="CB228" s="51" t="e">
        <f>Ticker0001_Exchange_Sheet!DA297-#REF!</f>
      </c>
      <c r="CC228" s="51" t="e">
        <f>Ticker0001_Exchange_Sheet!DB297-#REF!</f>
      </c>
      <c r="CD228" s="51" t="e">
        <f>Ticker0001_Exchange_Sheet!DC297-#REF!</f>
      </c>
      <c r="CE228" s="51" t="e">
        <f>Ticker0001_Exchange_Sheet!DD297-#REF!</f>
      </c>
      <c r="CF228" s="51" t="e">
        <f>Ticker0001_Exchange_Sheet!DE297-#REF!</f>
      </c>
    </row>
    <row r="229" spans="6:84">
      <c r="F229" s="51" t="e">
        <f>Ticker0001_Exchange_Sheet!F298-#REF!</f>
      </c>
      <c r="G229" s="51" t="e">
        <f>Ticker0001_Exchange_Sheet!G298-#REF!</f>
      </c>
      <c r="H229" s="51" t="e">
        <f>Ticker0001_Exchange_Sheet!H298-#REF!</f>
      </c>
      <c r="I229" s="51" t="e">
        <f>Ticker0001_Exchange_Sheet!I298-#REF!</f>
      </c>
      <c r="J229" s="51" t="e">
        <f>Ticker0001_Exchange_Sheet!J298-#REF!</f>
      </c>
      <c r="K229" s="51" t="e">
        <f>Ticker0001_Exchange_Sheet!K298-#REF!</f>
      </c>
      <c r="L229" s="51" t="e">
        <f>Ticker0001_Exchange_Sheet!L298-#REF!</f>
      </c>
      <c r="M229" s="51" t="e">
        <f>Ticker0001_Exchange_Sheet!M298-#REF!</f>
      </c>
      <c r="N229" s="51" t="e">
        <f>Ticker0001_Exchange_Sheet!N298-#REF!</f>
      </c>
      <c r="O229" s="51" t="e">
        <f>Ticker0001_Exchange_Sheet!O298-#REF!</f>
      </c>
      <c r="P229" s="51" t="e">
        <f>Ticker0001_Exchange_Sheet!P298-#REF!</f>
      </c>
      <c r="Q229" s="51" t="e">
        <f>Ticker0001_Exchange_Sheet!Q298-#REF!</f>
      </c>
      <c r="R229" s="51" t="e">
        <f>Ticker0001_Exchange_Sheet!R298-#REF!</f>
      </c>
      <c r="S229" s="51" t="e">
        <f>Ticker0001_Exchange_Sheet!S298-#REF!</f>
      </c>
      <c r="T229" s="51" t="e">
        <f>Ticker0001_Exchange_Sheet!T298-#REF!</f>
      </c>
      <c r="U229" s="51" t="e">
        <f>Ticker0001_Exchange_Sheet!U298-#REF!</f>
      </c>
      <c r="V229" s="51" t="e">
        <f>Ticker0001_Exchange_Sheet!V298-#REF!</f>
      </c>
      <c r="W229" s="51" t="e">
        <f>Ticker0001_Exchange_Sheet!W298-#REF!</f>
      </c>
      <c r="X229" s="51" t="e">
        <f>Ticker0001_Exchange_Sheet!AK298-#REF!</f>
      </c>
      <c r="Y229" s="51" t="e">
        <f>Ticker0001_Exchange_Sheet!AX298-#REF!</f>
      </c>
      <c r="Z229" s="51" t="e">
        <f>Ticker0001_Exchange_Sheet!AY298-#REF!</f>
      </c>
      <c r="AA229" s="51" t="e">
        <f>Ticker0001_Exchange_Sheet!AZ298-#REF!</f>
      </c>
      <c r="AB229" s="51" t="e">
        <f>Ticker0001_Exchange_Sheet!BA298-#REF!</f>
      </c>
      <c r="AC229" s="51" t="e">
        <f>Ticker0001_Exchange_Sheet!BB298-#REF!</f>
      </c>
      <c r="AD229" s="51" t="e">
        <f>Ticker0001_Exchange_Sheet!BC298-#REF!</f>
      </c>
      <c r="AE229" s="51" t="e">
        <f>Ticker0001_Exchange_Sheet!BD298-#REF!</f>
      </c>
      <c r="AF229" s="51" t="e">
        <f>Ticker0001_Exchange_Sheet!BE298-#REF!</f>
      </c>
      <c r="AG229" s="51" t="e">
        <f>Ticker0001_Exchange_Sheet!BF298-#REF!</f>
      </c>
      <c r="AH229" s="51" t="e">
        <f>Ticker0001_Exchange_Sheet!BG298-#REF!</f>
      </c>
      <c r="AI229" s="51" t="e">
        <f>Ticker0001_Exchange_Sheet!BH298-#REF!</f>
      </c>
      <c r="AJ229" s="51" t="e">
        <f>Ticker0001_Exchange_Sheet!BI298-#REF!</f>
      </c>
      <c r="AK229" s="51" t="e">
        <f>Ticker0001_Exchange_Sheet!BJ298-#REF!</f>
      </c>
      <c r="AL229" s="51" t="e">
        <f>Ticker0001_Exchange_Sheet!BK298-#REF!</f>
      </c>
      <c r="AM229" s="51" t="e">
        <f>Ticker0001_Exchange_Sheet!BL298-#REF!</f>
      </c>
      <c r="AN229" s="51" t="e">
        <f>Ticker0001_Exchange_Sheet!BM298-#REF!</f>
      </c>
      <c r="AO229" s="51" t="e">
        <f>Ticker0001_Exchange_Sheet!BN298-#REF!</f>
      </c>
      <c r="AP229" s="51" t="e">
        <f>Ticker0001_Exchange_Sheet!BO298-#REF!</f>
      </c>
      <c r="AQ229" s="51" t="e">
        <f>Ticker0001_Exchange_Sheet!BP298-#REF!</f>
      </c>
      <c r="AR229" s="51" t="e">
        <f>Ticker0001_Exchange_Sheet!BQ298-#REF!</f>
      </c>
      <c r="AS229" s="51" t="e">
        <f>Ticker0001_Exchange_Sheet!BR298-#REF!</f>
      </c>
      <c r="AT229" s="51" t="e">
        <f>Ticker0001_Exchange_Sheet!BS298-#REF!</f>
      </c>
      <c r="AU229" s="51" t="e">
        <f>Ticker0001_Exchange_Sheet!BT298-#REF!</f>
      </c>
      <c r="AV229" s="51" t="e">
        <f>Ticker0001_Exchange_Sheet!BU298-#REF!</f>
      </c>
      <c r="AW229" s="51" t="e">
        <f>Ticker0001_Exchange_Sheet!BV298-#REF!</f>
      </c>
      <c r="AX229" s="51" t="e">
        <f>Ticker0001_Exchange_Sheet!BW298-#REF!</f>
      </c>
      <c r="AY229" s="51" t="e">
        <f>Ticker0001_Exchange_Sheet!BX298-#REF!</f>
      </c>
      <c r="AZ229" s="51" t="e">
        <f>Ticker0001_Exchange_Sheet!BY298-#REF!</f>
      </c>
      <c r="BA229" s="51" t="e">
        <f>Ticker0001_Exchange_Sheet!BZ298-#REF!</f>
      </c>
      <c r="BB229" s="51" t="e">
        <f>Ticker0001_Exchange_Sheet!CA298-#REF!</f>
      </c>
      <c r="BC229" s="51" t="e">
        <f>Ticker0001_Exchange_Sheet!CB298-#REF!</f>
      </c>
      <c r="BD229" s="51" t="e">
        <f>Ticker0001_Exchange_Sheet!CC298-#REF!</f>
      </c>
      <c r="BE229" s="51" t="e">
        <f>Ticker0001_Exchange_Sheet!CD298-#REF!</f>
      </c>
      <c r="BF229" s="51" t="e">
        <f>Ticker0001_Exchange_Sheet!CE298-#REF!</f>
      </c>
      <c r="BG229" s="51" t="e">
        <f>Ticker0001_Exchange_Sheet!CF298-#REF!</f>
      </c>
      <c r="BH229" s="51" t="e">
        <f>Ticker0001_Exchange_Sheet!CG298-#REF!</f>
      </c>
      <c r="BI229" s="51" t="e">
        <f>Ticker0001_Exchange_Sheet!CH298-#REF!</f>
      </c>
      <c r="BJ229" s="51" t="e">
        <f>Ticker0001_Exchange_Sheet!CI298-#REF!</f>
      </c>
      <c r="BK229" s="51" t="e">
        <f>Ticker0001_Exchange_Sheet!CJ298-#REF!</f>
      </c>
      <c r="BL229" s="51" t="e">
        <f>Ticker0001_Exchange_Sheet!CK298-#REF!</f>
      </c>
      <c r="BM229" s="51" t="e">
        <f>Ticker0001_Exchange_Sheet!CL298-#REF!</f>
      </c>
      <c r="BN229" s="51" t="e">
        <f>Ticker0001_Exchange_Sheet!CM298-#REF!</f>
      </c>
      <c r="BO229" s="51" t="e">
        <f>Ticker0001_Exchange_Sheet!CN298-#REF!</f>
      </c>
      <c r="BP229" s="51" t="e">
        <f>Ticker0001_Exchange_Sheet!CO298-#REF!</f>
      </c>
      <c r="BQ229" s="51" t="e">
        <f>Ticker0001_Exchange_Sheet!CP298-#REF!</f>
      </c>
      <c r="BR229" s="51" t="e">
        <f>Ticker0001_Exchange_Sheet!CQ298-#REF!</f>
      </c>
      <c r="BS229" s="51" t="e">
        <f>Ticker0001_Exchange_Sheet!CR298-#REF!</f>
      </c>
      <c r="BT229" s="51" t="e">
        <f>Ticker0001_Exchange_Sheet!CS298-#REF!</f>
      </c>
      <c r="BU229" s="51" t="e">
        <f>Ticker0001_Exchange_Sheet!CT298-#REF!</f>
      </c>
      <c r="BV229" s="51" t="e">
        <f>Ticker0001_Exchange_Sheet!CU298-#REF!</f>
      </c>
      <c r="BW229" s="51" t="e">
        <f>Ticker0001_Exchange_Sheet!CV298-#REF!</f>
      </c>
      <c r="BX229" s="51" t="e">
        <f>Ticker0001_Exchange_Sheet!CW298-#REF!</f>
      </c>
      <c r="BY229" s="51" t="e">
        <f>Ticker0001_Exchange_Sheet!CX298-#REF!</f>
      </c>
      <c r="BZ229" s="51" t="e">
        <f>Ticker0001_Exchange_Sheet!CY298-#REF!</f>
      </c>
      <c r="CA229" s="51" t="e">
        <f>Ticker0001_Exchange_Sheet!CZ298-#REF!</f>
      </c>
      <c r="CB229" s="51" t="e">
        <f>Ticker0001_Exchange_Sheet!DA298-#REF!</f>
      </c>
      <c r="CC229" s="51" t="e">
        <f>Ticker0001_Exchange_Sheet!DB298-#REF!</f>
      </c>
      <c r="CD229" s="51" t="e">
        <f>Ticker0001_Exchange_Sheet!DC298-#REF!</f>
      </c>
      <c r="CE229" s="51" t="e">
        <f>Ticker0001_Exchange_Sheet!DD298-#REF!</f>
      </c>
      <c r="CF229" s="51" t="e">
        <f>Ticker0001_Exchange_Sheet!DE298-#REF!</f>
      </c>
    </row>
    <row r="230" spans="6:84">
      <c r="F230" s="51" t="e">
        <f>Ticker0001_Exchange_Sheet!F299-#REF!</f>
      </c>
      <c r="G230" s="51" t="e">
        <f>Ticker0001_Exchange_Sheet!G299-#REF!</f>
      </c>
      <c r="H230" s="51" t="e">
        <f>Ticker0001_Exchange_Sheet!H299-#REF!</f>
      </c>
      <c r="I230" s="51" t="e">
        <f>Ticker0001_Exchange_Sheet!I299-#REF!</f>
      </c>
      <c r="J230" s="51" t="e">
        <f>Ticker0001_Exchange_Sheet!J299-#REF!</f>
      </c>
      <c r="K230" s="51" t="e">
        <f>Ticker0001_Exchange_Sheet!K299-#REF!</f>
      </c>
      <c r="L230" s="51" t="e">
        <f>Ticker0001_Exchange_Sheet!L299-#REF!</f>
      </c>
      <c r="M230" s="51" t="e">
        <f>Ticker0001_Exchange_Sheet!M299-#REF!</f>
      </c>
      <c r="N230" s="51" t="e">
        <f>Ticker0001_Exchange_Sheet!N299-#REF!</f>
      </c>
      <c r="O230" s="51" t="e">
        <f>Ticker0001_Exchange_Sheet!O299-#REF!</f>
      </c>
      <c r="P230" s="51" t="e">
        <f>Ticker0001_Exchange_Sheet!P299-#REF!</f>
      </c>
      <c r="Q230" s="51" t="e">
        <f>Ticker0001_Exchange_Sheet!Q299-#REF!</f>
      </c>
      <c r="R230" s="51" t="e">
        <f>Ticker0001_Exchange_Sheet!R299-#REF!</f>
      </c>
      <c r="S230" s="51" t="e">
        <f>Ticker0001_Exchange_Sheet!S299-#REF!</f>
      </c>
      <c r="T230" s="51" t="e">
        <f>Ticker0001_Exchange_Sheet!T299-#REF!</f>
      </c>
      <c r="U230" s="51" t="e">
        <f>Ticker0001_Exchange_Sheet!U299-#REF!</f>
      </c>
      <c r="V230" s="51" t="e">
        <f>Ticker0001_Exchange_Sheet!V299-#REF!</f>
      </c>
      <c r="W230" s="51" t="e">
        <f>Ticker0001_Exchange_Sheet!W299-#REF!</f>
      </c>
      <c r="X230" s="51" t="e">
        <f>Ticker0001_Exchange_Sheet!AK299-#REF!</f>
      </c>
      <c r="Y230" s="51" t="e">
        <f>Ticker0001_Exchange_Sheet!AX299-#REF!</f>
      </c>
      <c r="Z230" s="51" t="e">
        <f>Ticker0001_Exchange_Sheet!AY299-#REF!</f>
      </c>
      <c r="AA230" s="51" t="e">
        <f>Ticker0001_Exchange_Sheet!AZ299-#REF!</f>
      </c>
      <c r="AB230" s="51" t="e">
        <f>Ticker0001_Exchange_Sheet!BA299-#REF!</f>
      </c>
      <c r="AC230" s="51" t="e">
        <f>Ticker0001_Exchange_Sheet!BB299-#REF!</f>
      </c>
      <c r="AD230" s="51" t="e">
        <f>Ticker0001_Exchange_Sheet!BC299-#REF!</f>
      </c>
      <c r="AE230" s="51" t="e">
        <f>Ticker0001_Exchange_Sheet!BD299-#REF!</f>
      </c>
      <c r="AF230" s="51" t="e">
        <f>Ticker0001_Exchange_Sheet!BE299-#REF!</f>
      </c>
      <c r="AG230" s="51" t="e">
        <f>Ticker0001_Exchange_Sheet!BF299-#REF!</f>
      </c>
      <c r="AH230" s="51" t="e">
        <f>Ticker0001_Exchange_Sheet!BG299-#REF!</f>
      </c>
      <c r="AI230" s="51" t="e">
        <f>Ticker0001_Exchange_Sheet!BH299-#REF!</f>
      </c>
      <c r="AJ230" s="51" t="e">
        <f>Ticker0001_Exchange_Sheet!BI299-#REF!</f>
      </c>
      <c r="AK230" s="51" t="e">
        <f>Ticker0001_Exchange_Sheet!BJ299-#REF!</f>
      </c>
      <c r="AL230" s="51" t="e">
        <f>Ticker0001_Exchange_Sheet!BK299-#REF!</f>
      </c>
      <c r="AM230" s="51" t="e">
        <f>Ticker0001_Exchange_Sheet!BL299-#REF!</f>
      </c>
      <c r="AN230" s="51" t="e">
        <f>Ticker0001_Exchange_Sheet!BM299-#REF!</f>
      </c>
      <c r="AO230" s="51" t="e">
        <f>Ticker0001_Exchange_Sheet!BN299-#REF!</f>
      </c>
      <c r="AP230" s="51" t="e">
        <f>Ticker0001_Exchange_Sheet!BO299-#REF!</f>
      </c>
      <c r="AQ230" s="51" t="e">
        <f>Ticker0001_Exchange_Sheet!BP299-#REF!</f>
      </c>
      <c r="AR230" s="51" t="e">
        <f>Ticker0001_Exchange_Sheet!BQ299-#REF!</f>
      </c>
      <c r="AS230" s="51" t="e">
        <f>Ticker0001_Exchange_Sheet!BR299-#REF!</f>
      </c>
      <c r="AT230" s="51" t="e">
        <f>Ticker0001_Exchange_Sheet!BS299-#REF!</f>
      </c>
      <c r="AU230" s="51" t="e">
        <f>Ticker0001_Exchange_Sheet!BT299-#REF!</f>
      </c>
      <c r="AV230" s="51" t="e">
        <f>Ticker0001_Exchange_Sheet!BU299-#REF!</f>
      </c>
      <c r="AW230" s="51" t="e">
        <f>Ticker0001_Exchange_Sheet!BV299-#REF!</f>
      </c>
      <c r="AX230" s="51" t="e">
        <f>Ticker0001_Exchange_Sheet!BW299-#REF!</f>
      </c>
      <c r="AY230" s="51" t="e">
        <f>Ticker0001_Exchange_Sheet!BX299-#REF!</f>
      </c>
      <c r="AZ230" s="51" t="e">
        <f>Ticker0001_Exchange_Sheet!BY299-#REF!</f>
      </c>
      <c r="BA230" s="51" t="e">
        <f>Ticker0001_Exchange_Sheet!BZ299-#REF!</f>
      </c>
      <c r="BB230" s="51" t="e">
        <f>Ticker0001_Exchange_Sheet!CA299-#REF!</f>
      </c>
      <c r="BC230" s="51" t="e">
        <f>Ticker0001_Exchange_Sheet!CB299-#REF!</f>
      </c>
      <c r="BD230" s="51" t="e">
        <f>Ticker0001_Exchange_Sheet!CC299-#REF!</f>
      </c>
      <c r="BE230" s="51" t="e">
        <f>Ticker0001_Exchange_Sheet!CD299-#REF!</f>
      </c>
      <c r="BF230" s="51" t="e">
        <f>Ticker0001_Exchange_Sheet!CE299-#REF!</f>
      </c>
      <c r="BG230" s="51" t="e">
        <f>Ticker0001_Exchange_Sheet!CF299-#REF!</f>
      </c>
      <c r="BH230" s="51" t="e">
        <f>Ticker0001_Exchange_Sheet!CG299-#REF!</f>
      </c>
      <c r="BI230" s="51" t="e">
        <f>Ticker0001_Exchange_Sheet!CH299-#REF!</f>
      </c>
      <c r="BJ230" s="51" t="e">
        <f>Ticker0001_Exchange_Sheet!CI299-#REF!</f>
      </c>
      <c r="BK230" s="51" t="e">
        <f>Ticker0001_Exchange_Sheet!CJ299-#REF!</f>
      </c>
      <c r="BL230" s="51" t="e">
        <f>Ticker0001_Exchange_Sheet!CK299-#REF!</f>
      </c>
      <c r="BM230" s="51" t="e">
        <f>Ticker0001_Exchange_Sheet!CL299-#REF!</f>
      </c>
      <c r="BN230" s="51" t="e">
        <f>Ticker0001_Exchange_Sheet!CM299-#REF!</f>
      </c>
      <c r="BO230" s="51" t="e">
        <f>Ticker0001_Exchange_Sheet!CN299-#REF!</f>
      </c>
      <c r="BP230" s="51" t="e">
        <f>Ticker0001_Exchange_Sheet!CO299-#REF!</f>
      </c>
      <c r="BQ230" s="51" t="e">
        <f>Ticker0001_Exchange_Sheet!CP299-#REF!</f>
      </c>
      <c r="BR230" s="51" t="e">
        <f>Ticker0001_Exchange_Sheet!CQ299-#REF!</f>
      </c>
      <c r="BS230" s="51" t="e">
        <f>Ticker0001_Exchange_Sheet!CR299-#REF!</f>
      </c>
      <c r="BT230" s="51" t="e">
        <f>Ticker0001_Exchange_Sheet!CS299-#REF!</f>
      </c>
      <c r="BU230" s="51" t="e">
        <f>Ticker0001_Exchange_Sheet!CT299-#REF!</f>
      </c>
      <c r="BV230" s="51" t="e">
        <f>Ticker0001_Exchange_Sheet!CU299-#REF!</f>
      </c>
      <c r="BW230" s="51" t="e">
        <f>Ticker0001_Exchange_Sheet!CV299-#REF!</f>
      </c>
      <c r="BX230" s="51" t="e">
        <f>Ticker0001_Exchange_Sheet!CW299-#REF!</f>
      </c>
      <c r="BY230" s="51" t="e">
        <f>Ticker0001_Exchange_Sheet!CX299-#REF!</f>
      </c>
      <c r="BZ230" s="51" t="e">
        <f>Ticker0001_Exchange_Sheet!CY299-#REF!</f>
      </c>
      <c r="CA230" s="51" t="e">
        <f>Ticker0001_Exchange_Sheet!CZ299-#REF!</f>
      </c>
      <c r="CB230" s="51" t="e">
        <f>Ticker0001_Exchange_Sheet!DA299-#REF!</f>
      </c>
      <c r="CC230" s="51" t="e">
        <f>Ticker0001_Exchange_Sheet!DB299-#REF!</f>
      </c>
      <c r="CD230" s="51" t="e">
        <f>Ticker0001_Exchange_Sheet!DC299-#REF!</f>
      </c>
      <c r="CE230" s="51" t="e">
        <f>Ticker0001_Exchange_Sheet!DD299-#REF!</f>
      </c>
      <c r="CF230" s="51" t="e">
        <f>Ticker0001_Exchange_Sheet!DE299-#REF!</f>
      </c>
    </row>
    <row r="231" spans="6:84">
      <c r="F231" s="51" t="e">
        <f>Ticker0001_Exchange_Sheet!F300-#REF!</f>
      </c>
      <c r="G231" s="51" t="e">
        <f>Ticker0001_Exchange_Sheet!G300-#REF!</f>
      </c>
      <c r="H231" s="51" t="e">
        <f>Ticker0001_Exchange_Sheet!H300-#REF!</f>
      </c>
      <c r="I231" s="51" t="e">
        <f>Ticker0001_Exchange_Sheet!I300-#REF!</f>
      </c>
      <c r="J231" s="51" t="e">
        <f>Ticker0001_Exchange_Sheet!J300-#REF!</f>
      </c>
      <c r="K231" s="51" t="e">
        <f>Ticker0001_Exchange_Sheet!K300-#REF!</f>
      </c>
      <c r="L231" s="51" t="e">
        <f>Ticker0001_Exchange_Sheet!L300-#REF!</f>
      </c>
      <c r="M231" s="51" t="e">
        <f>Ticker0001_Exchange_Sheet!M300-#REF!</f>
      </c>
      <c r="N231" s="51" t="e">
        <f>Ticker0001_Exchange_Sheet!N300-#REF!</f>
      </c>
      <c r="O231" s="51" t="e">
        <f>Ticker0001_Exchange_Sheet!O300-#REF!</f>
      </c>
      <c r="P231" s="51" t="e">
        <f>Ticker0001_Exchange_Sheet!P300-#REF!</f>
      </c>
      <c r="Q231" s="51" t="e">
        <f>Ticker0001_Exchange_Sheet!Q300-#REF!</f>
      </c>
      <c r="R231" s="51" t="e">
        <f>Ticker0001_Exchange_Sheet!R300-#REF!</f>
      </c>
      <c r="S231" s="51" t="e">
        <f>Ticker0001_Exchange_Sheet!S300-#REF!</f>
      </c>
      <c r="T231" s="51" t="e">
        <f>Ticker0001_Exchange_Sheet!T300-#REF!</f>
      </c>
      <c r="U231" s="51" t="e">
        <f>Ticker0001_Exchange_Sheet!U300-#REF!</f>
      </c>
      <c r="V231" s="51" t="e">
        <f>Ticker0001_Exchange_Sheet!V300-#REF!</f>
      </c>
      <c r="W231" s="51" t="e">
        <f>Ticker0001_Exchange_Sheet!W300-#REF!</f>
      </c>
      <c r="X231" s="51" t="e">
        <f>Ticker0001_Exchange_Sheet!AK300-#REF!</f>
      </c>
      <c r="Y231" s="51" t="e">
        <f>Ticker0001_Exchange_Sheet!AX300-#REF!</f>
      </c>
      <c r="Z231" s="51" t="e">
        <f>Ticker0001_Exchange_Sheet!AY300-#REF!</f>
      </c>
      <c r="AA231" s="51" t="e">
        <f>Ticker0001_Exchange_Sheet!AZ300-#REF!</f>
      </c>
      <c r="AB231" s="51" t="e">
        <f>Ticker0001_Exchange_Sheet!BA300-#REF!</f>
      </c>
      <c r="AC231" s="51" t="e">
        <f>Ticker0001_Exchange_Sheet!BB300-#REF!</f>
      </c>
      <c r="AD231" s="51" t="e">
        <f>Ticker0001_Exchange_Sheet!BC300-#REF!</f>
      </c>
      <c r="AE231" s="51" t="e">
        <f>Ticker0001_Exchange_Sheet!BD300-#REF!</f>
      </c>
      <c r="AF231" s="51" t="e">
        <f>Ticker0001_Exchange_Sheet!BE300-#REF!</f>
      </c>
      <c r="AG231" s="51" t="e">
        <f>Ticker0001_Exchange_Sheet!BF300-#REF!</f>
      </c>
      <c r="AH231" s="51" t="e">
        <f>Ticker0001_Exchange_Sheet!BG300-#REF!</f>
      </c>
      <c r="AI231" s="51" t="e">
        <f>Ticker0001_Exchange_Sheet!BH300-#REF!</f>
      </c>
      <c r="AJ231" s="51" t="e">
        <f>Ticker0001_Exchange_Sheet!BI300-#REF!</f>
      </c>
      <c r="AK231" s="51" t="e">
        <f>Ticker0001_Exchange_Sheet!BJ300-#REF!</f>
      </c>
      <c r="AL231" s="51" t="e">
        <f>Ticker0001_Exchange_Sheet!BK300-#REF!</f>
      </c>
      <c r="AM231" s="51" t="e">
        <f>Ticker0001_Exchange_Sheet!BL300-#REF!</f>
      </c>
      <c r="AN231" s="51" t="e">
        <f>Ticker0001_Exchange_Sheet!BM300-#REF!</f>
      </c>
      <c r="AO231" s="51" t="e">
        <f>Ticker0001_Exchange_Sheet!BN300-#REF!</f>
      </c>
      <c r="AP231" s="51" t="e">
        <f>Ticker0001_Exchange_Sheet!BO300-#REF!</f>
      </c>
      <c r="AQ231" s="51" t="e">
        <f>Ticker0001_Exchange_Sheet!BP300-#REF!</f>
      </c>
      <c r="AR231" s="51" t="e">
        <f>Ticker0001_Exchange_Sheet!BQ300-#REF!</f>
      </c>
      <c r="AS231" s="51" t="e">
        <f>Ticker0001_Exchange_Sheet!BR300-#REF!</f>
      </c>
      <c r="AT231" s="51" t="e">
        <f>Ticker0001_Exchange_Sheet!BS300-#REF!</f>
      </c>
      <c r="AU231" s="51" t="e">
        <f>Ticker0001_Exchange_Sheet!BT300-#REF!</f>
      </c>
      <c r="AV231" s="51" t="e">
        <f>Ticker0001_Exchange_Sheet!BU300-#REF!</f>
      </c>
      <c r="AW231" s="51" t="e">
        <f>Ticker0001_Exchange_Sheet!BV300-#REF!</f>
      </c>
      <c r="AX231" s="51" t="e">
        <f>Ticker0001_Exchange_Sheet!BW300-#REF!</f>
      </c>
      <c r="AY231" s="51" t="e">
        <f>Ticker0001_Exchange_Sheet!BX300-#REF!</f>
      </c>
      <c r="AZ231" s="51" t="e">
        <f>Ticker0001_Exchange_Sheet!BY300-#REF!</f>
      </c>
      <c r="BA231" s="51" t="e">
        <f>Ticker0001_Exchange_Sheet!BZ300-#REF!</f>
      </c>
      <c r="BB231" s="51" t="e">
        <f>Ticker0001_Exchange_Sheet!CA300-#REF!</f>
      </c>
      <c r="BC231" s="51" t="e">
        <f>Ticker0001_Exchange_Sheet!CB300-#REF!</f>
      </c>
      <c r="BD231" s="51" t="e">
        <f>Ticker0001_Exchange_Sheet!CC300-#REF!</f>
      </c>
      <c r="BE231" s="51" t="e">
        <f>Ticker0001_Exchange_Sheet!CD300-#REF!</f>
      </c>
      <c r="BF231" s="51" t="e">
        <f>Ticker0001_Exchange_Sheet!CE300-#REF!</f>
      </c>
      <c r="BG231" s="51" t="e">
        <f>Ticker0001_Exchange_Sheet!CF300-#REF!</f>
      </c>
      <c r="BH231" s="51" t="e">
        <f>Ticker0001_Exchange_Sheet!CG300-#REF!</f>
      </c>
      <c r="BI231" s="51" t="e">
        <f>Ticker0001_Exchange_Sheet!CH300-#REF!</f>
      </c>
      <c r="BJ231" s="51" t="e">
        <f>Ticker0001_Exchange_Sheet!CI300-#REF!</f>
      </c>
      <c r="BK231" s="51" t="e">
        <f>Ticker0001_Exchange_Sheet!CJ300-#REF!</f>
      </c>
      <c r="BL231" s="51" t="e">
        <f>Ticker0001_Exchange_Sheet!CK300-#REF!</f>
      </c>
      <c r="BM231" s="51" t="e">
        <f>Ticker0001_Exchange_Sheet!CL300-#REF!</f>
      </c>
      <c r="BN231" s="51" t="e">
        <f>Ticker0001_Exchange_Sheet!CM300-#REF!</f>
      </c>
      <c r="BO231" s="51" t="e">
        <f>Ticker0001_Exchange_Sheet!CN300-#REF!</f>
      </c>
      <c r="BP231" s="51" t="e">
        <f>Ticker0001_Exchange_Sheet!CO300-#REF!</f>
      </c>
      <c r="BQ231" s="51" t="e">
        <f>Ticker0001_Exchange_Sheet!CP300-#REF!</f>
      </c>
      <c r="BR231" s="51" t="e">
        <f>Ticker0001_Exchange_Sheet!CQ300-#REF!</f>
      </c>
      <c r="BS231" s="51" t="e">
        <f>Ticker0001_Exchange_Sheet!CR300-#REF!</f>
      </c>
      <c r="BT231" s="51" t="e">
        <f>Ticker0001_Exchange_Sheet!CS300-#REF!</f>
      </c>
      <c r="BU231" s="51" t="e">
        <f>Ticker0001_Exchange_Sheet!CT300-#REF!</f>
      </c>
      <c r="BV231" s="51" t="e">
        <f>Ticker0001_Exchange_Sheet!CU300-#REF!</f>
      </c>
      <c r="BW231" s="51" t="e">
        <f>Ticker0001_Exchange_Sheet!CV300-#REF!</f>
      </c>
      <c r="BX231" s="51" t="e">
        <f>Ticker0001_Exchange_Sheet!CW300-#REF!</f>
      </c>
      <c r="BY231" s="51" t="e">
        <f>Ticker0001_Exchange_Sheet!CX300-#REF!</f>
      </c>
      <c r="BZ231" s="51" t="e">
        <f>Ticker0001_Exchange_Sheet!CY300-#REF!</f>
      </c>
      <c r="CA231" s="51" t="e">
        <f>Ticker0001_Exchange_Sheet!CZ300-#REF!</f>
      </c>
      <c r="CB231" s="51" t="e">
        <f>Ticker0001_Exchange_Sheet!DA300-#REF!</f>
      </c>
      <c r="CC231" s="51" t="e">
        <f>Ticker0001_Exchange_Sheet!DB300-#REF!</f>
      </c>
      <c r="CD231" s="51" t="e">
        <f>Ticker0001_Exchange_Sheet!DC300-#REF!</f>
      </c>
      <c r="CE231" s="51" t="e">
        <f>Ticker0001_Exchange_Sheet!DD300-#REF!</f>
      </c>
      <c r="CF231" s="51" t="e">
        <f>Ticker0001_Exchange_Sheet!DE300-#REF!</f>
      </c>
    </row>
    <row r="232" spans="6:84">
      <c r="F232" s="51" t="e">
        <f>Ticker0001_Exchange_Sheet!F301-#REF!</f>
      </c>
      <c r="G232" s="51" t="e">
        <f>Ticker0001_Exchange_Sheet!G301-#REF!</f>
      </c>
      <c r="H232" s="51" t="e">
        <f>Ticker0001_Exchange_Sheet!H301-#REF!</f>
      </c>
      <c r="I232" s="51" t="e">
        <f>Ticker0001_Exchange_Sheet!I301-#REF!</f>
      </c>
      <c r="J232" s="51" t="e">
        <f>Ticker0001_Exchange_Sheet!J301-#REF!</f>
      </c>
      <c r="K232" s="51" t="e">
        <f>Ticker0001_Exchange_Sheet!K301-#REF!</f>
      </c>
      <c r="L232" s="51" t="e">
        <f>Ticker0001_Exchange_Sheet!L301-#REF!</f>
      </c>
      <c r="M232" s="51" t="e">
        <f>Ticker0001_Exchange_Sheet!M301-#REF!</f>
      </c>
      <c r="N232" s="51" t="e">
        <f>Ticker0001_Exchange_Sheet!N301-#REF!</f>
      </c>
      <c r="O232" s="51" t="e">
        <f>Ticker0001_Exchange_Sheet!O301-#REF!</f>
      </c>
      <c r="P232" s="51" t="e">
        <f>Ticker0001_Exchange_Sheet!P301-#REF!</f>
      </c>
      <c r="Q232" s="51" t="e">
        <f>Ticker0001_Exchange_Sheet!Q301-#REF!</f>
      </c>
      <c r="R232" s="51" t="e">
        <f>Ticker0001_Exchange_Sheet!R301-#REF!</f>
      </c>
      <c r="S232" s="51" t="e">
        <f>Ticker0001_Exchange_Sheet!S301-#REF!</f>
      </c>
      <c r="T232" s="51" t="e">
        <f>Ticker0001_Exchange_Sheet!T301-#REF!</f>
      </c>
      <c r="U232" s="51" t="e">
        <f>Ticker0001_Exchange_Sheet!U301-#REF!</f>
      </c>
      <c r="V232" s="51" t="e">
        <f>Ticker0001_Exchange_Sheet!V301-#REF!</f>
      </c>
      <c r="W232" s="51" t="e">
        <f>Ticker0001_Exchange_Sheet!W301-#REF!</f>
      </c>
      <c r="X232" s="51" t="e">
        <f>Ticker0001_Exchange_Sheet!AK301-#REF!</f>
      </c>
      <c r="Y232" s="51" t="e">
        <f>Ticker0001_Exchange_Sheet!AX301-#REF!</f>
      </c>
      <c r="Z232" s="51" t="e">
        <f>Ticker0001_Exchange_Sheet!AY301-#REF!</f>
      </c>
      <c r="AA232" s="51" t="e">
        <f>Ticker0001_Exchange_Sheet!AZ301-#REF!</f>
      </c>
      <c r="AB232" s="51" t="e">
        <f>Ticker0001_Exchange_Sheet!BA301-#REF!</f>
      </c>
      <c r="AC232" s="51" t="e">
        <f>Ticker0001_Exchange_Sheet!BB301-#REF!</f>
      </c>
      <c r="AD232" s="51" t="e">
        <f>Ticker0001_Exchange_Sheet!BC301-#REF!</f>
      </c>
      <c r="AE232" s="51" t="e">
        <f>Ticker0001_Exchange_Sheet!BD301-#REF!</f>
      </c>
      <c r="AF232" s="51" t="e">
        <f>Ticker0001_Exchange_Sheet!BE301-#REF!</f>
      </c>
      <c r="AG232" s="51" t="e">
        <f>Ticker0001_Exchange_Sheet!BF301-#REF!</f>
      </c>
      <c r="AH232" s="51" t="e">
        <f>Ticker0001_Exchange_Sheet!BG301-#REF!</f>
      </c>
      <c r="AI232" s="51" t="e">
        <f>Ticker0001_Exchange_Sheet!BH301-#REF!</f>
      </c>
      <c r="AJ232" s="51" t="e">
        <f>Ticker0001_Exchange_Sheet!BI301-#REF!</f>
      </c>
      <c r="AK232" s="51" t="e">
        <f>Ticker0001_Exchange_Sheet!BJ301-#REF!</f>
      </c>
      <c r="AL232" s="51" t="e">
        <f>Ticker0001_Exchange_Sheet!BK301-#REF!</f>
      </c>
      <c r="AM232" s="51" t="e">
        <f>Ticker0001_Exchange_Sheet!BL301-#REF!</f>
      </c>
      <c r="AN232" s="51" t="e">
        <f>Ticker0001_Exchange_Sheet!BM301-#REF!</f>
      </c>
      <c r="AO232" s="51" t="e">
        <f>Ticker0001_Exchange_Sheet!BN301-#REF!</f>
      </c>
      <c r="AP232" s="51" t="e">
        <f>Ticker0001_Exchange_Sheet!BO301-#REF!</f>
      </c>
      <c r="AQ232" s="51" t="e">
        <f>Ticker0001_Exchange_Sheet!BP301-#REF!</f>
      </c>
      <c r="AR232" s="51" t="e">
        <f>Ticker0001_Exchange_Sheet!BQ301-#REF!</f>
      </c>
      <c r="AS232" s="51" t="e">
        <f>Ticker0001_Exchange_Sheet!BR301-#REF!</f>
      </c>
      <c r="AT232" s="51" t="e">
        <f>Ticker0001_Exchange_Sheet!BS301-#REF!</f>
      </c>
      <c r="AU232" s="51" t="e">
        <f>Ticker0001_Exchange_Sheet!BT301-#REF!</f>
      </c>
      <c r="AV232" s="51" t="e">
        <f>Ticker0001_Exchange_Sheet!BU301-#REF!</f>
      </c>
      <c r="AW232" s="51" t="e">
        <f>Ticker0001_Exchange_Sheet!BV301-#REF!</f>
      </c>
      <c r="AX232" s="51" t="e">
        <f>Ticker0001_Exchange_Sheet!BW301-#REF!</f>
      </c>
      <c r="AY232" s="51" t="e">
        <f>Ticker0001_Exchange_Sheet!BX301-#REF!</f>
      </c>
      <c r="AZ232" s="51" t="e">
        <f>Ticker0001_Exchange_Sheet!BY301-#REF!</f>
      </c>
      <c r="BA232" s="51" t="e">
        <f>Ticker0001_Exchange_Sheet!BZ301-#REF!</f>
      </c>
      <c r="BB232" s="51" t="e">
        <f>Ticker0001_Exchange_Sheet!CA301-#REF!</f>
      </c>
      <c r="BC232" s="51" t="e">
        <f>Ticker0001_Exchange_Sheet!CB301-#REF!</f>
      </c>
      <c r="BD232" s="51" t="e">
        <f>Ticker0001_Exchange_Sheet!CC301-#REF!</f>
      </c>
      <c r="BE232" s="51" t="e">
        <f>Ticker0001_Exchange_Sheet!CD301-#REF!</f>
      </c>
      <c r="BF232" s="51" t="e">
        <f>Ticker0001_Exchange_Sheet!CE301-#REF!</f>
      </c>
      <c r="BG232" s="51" t="e">
        <f>Ticker0001_Exchange_Sheet!CF301-#REF!</f>
      </c>
      <c r="BH232" s="51" t="e">
        <f>Ticker0001_Exchange_Sheet!CG301-#REF!</f>
      </c>
      <c r="BI232" s="51" t="e">
        <f>Ticker0001_Exchange_Sheet!CH301-#REF!</f>
      </c>
      <c r="BJ232" s="51" t="e">
        <f>Ticker0001_Exchange_Sheet!CI301-#REF!</f>
      </c>
      <c r="BK232" s="51" t="e">
        <f>Ticker0001_Exchange_Sheet!CJ301-#REF!</f>
      </c>
      <c r="BL232" s="51" t="e">
        <f>Ticker0001_Exchange_Sheet!CK301-#REF!</f>
      </c>
      <c r="BM232" s="51" t="e">
        <f>Ticker0001_Exchange_Sheet!CL301-#REF!</f>
      </c>
      <c r="BN232" s="51" t="e">
        <f>Ticker0001_Exchange_Sheet!CM301-#REF!</f>
      </c>
      <c r="BO232" s="51" t="e">
        <f>Ticker0001_Exchange_Sheet!CN301-#REF!</f>
      </c>
      <c r="BP232" s="51" t="e">
        <f>Ticker0001_Exchange_Sheet!CO301-#REF!</f>
      </c>
      <c r="BQ232" s="51" t="e">
        <f>Ticker0001_Exchange_Sheet!CP301-#REF!</f>
      </c>
      <c r="BR232" s="51" t="e">
        <f>Ticker0001_Exchange_Sheet!CQ301-#REF!</f>
      </c>
      <c r="BS232" s="51" t="e">
        <f>Ticker0001_Exchange_Sheet!CR301-#REF!</f>
      </c>
      <c r="BT232" s="51" t="e">
        <f>Ticker0001_Exchange_Sheet!CS301-#REF!</f>
      </c>
      <c r="BU232" s="51" t="e">
        <f>Ticker0001_Exchange_Sheet!CT301-#REF!</f>
      </c>
      <c r="BV232" s="51" t="e">
        <f>Ticker0001_Exchange_Sheet!CU301-#REF!</f>
      </c>
      <c r="BW232" s="51" t="e">
        <f>Ticker0001_Exchange_Sheet!CV301-#REF!</f>
      </c>
      <c r="BX232" s="51" t="e">
        <f>Ticker0001_Exchange_Sheet!CW301-#REF!</f>
      </c>
      <c r="BY232" s="51" t="e">
        <f>Ticker0001_Exchange_Sheet!CX301-#REF!</f>
      </c>
      <c r="BZ232" s="51" t="e">
        <f>Ticker0001_Exchange_Sheet!CY301-#REF!</f>
      </c>
      <c r="CA232" s="51" t="e">
        <f>Ticker0001_Exchange_Sheet!CZ301-#REF!</f>
      </c>
      <c r="CB232" s="51" t="e">
        <f>Ticker0001_Exchange_Sheet!DA301-#REF!</f>
      </c>
      <c r="CC232" s="51" t="e">
        <f>Ticker0001_Exchange_Sheet!DB301-#REF!</f>
      </c>
      <c r="CD232" s="51" t="e">
        <f>Ticker0001_Exchange_Sheet!DC301-#REF!</f>
      </c>
      <c r="CE232" s="51" t="e">
        <f>Ticker0001_Exchange_Sheet!DD301-#REF!</f>
      </c>
      <c r="CF232" s="51" t="e">
        <f>Ticker0001_Exchange_Sheet!DE301-#REF!</f>
      </c>
    </row>
    <row r="233" spans="6:84">
      <c r="F233" s="51" t="e">
        <f>Ticker0001_Exchange_Sheet!F302-#REF!</f>
      </c>
      <c r="G233" s="51" t="e">
        <f>Ticker0001_Exchange_Sheet!G302-#REF!</f>
      </c>
      <c r="H233" s="51" t="e">
        <f>Ticker0001_Exchange_Sheet!H302-#REF!</f>
      </c>
      <c r="I233" s="51" t="e">
        <f>Ticker0001_Exchange_Sheet!I302-#REF!</f>
      </c>
      <c r="J233" s="51" t="e">
        <f>Ticker0001_Exchange_Sheet!J302-#REF!</f>
      </c>
      <c r="K233" s="51" t="e">
        <f>Ticker0001_Exchange_Sheet!K302-#REF!</f>
      </c>
      <c r="L233" s="51" t="e">
        <f>Ticker0001_Exchange_Sheet!L302-#REF!</f>
      </c>
      <c r="M233" s="51" t="e">
        <f>Ticker0001_Exchange_Sheet!M302-#REF!</f>
      </c>
      <c r="N233" s="51" t="e">
        <f>Ticker0001_Exchange_Sheet!N302-#REF!</f>
      </c>
      <c r="O233" s="51" t="e">
        <f>Ticker0001_Exchange_Sheet!O302-#REF!</f>
      </c>
      <c r="P233" s="51" t="e">
        <f>Ticker0001_Exchange_Sheet!P302-#REF!</f>
      </c>
      <c r="Q233" s="51" t="e">
        <f>Ticker0001_Exchange_Sheet!Q302-#REF!</f>
      </c>
      <c r="R233" s="51" t="e">
        <f>Ticker0001_Exchange_Sheet!R302-#REF!</f>
      </c>
      <c r="S233" s="51" t="e">
        <f>Ticker0001_Exchange_Sheet!S302-#REF!</f>
      </c>
      <c r="T233" s="51" t="e">
        <f>Ticker0001_Exchange_Sheet!T302-#REF!</f>
      </c>
      <c r="U233" s="51" t="e">
        <f>Ticker0001_Exchange_Sheet!U302-#REF!</f>
      </c>
      <c r="V233" s="51" t="e">
        <f>Ticker0001_Exchange_Sheet!V302-#REF!</f>
      </c>
      <c r="W233" s="51" t="e">
        <f>Ticker0001_Exchange_Sheet!W302-#REF!</f>
      </c>
      <c r="X233" s="51" t="e">
        <f>Ticker0001_Exchange_Sheet!AK302-#REF!</f>
      </c>
      <c r="Y233" s="51" t="e">
        <f>Ticker0001_Exchange_Sheet!AX302-#REF!</f>
      </c>
      <c r="Z233" s="51" t="e">
        <f>Ticker0001_Exchange_Sheet!AY302-#REF!</f>
      </c>
      <c r="AA233" s="51" t="e">
        <f>Ticker0001_Exchange_Sheet!AZ302-#REF!</f>
      </c>
      <c r="AB233" s="51" t="e">
        <f>Ticker0001_Exchange_Sheet!BA302-#REF!</f>
      </c>
      <c r="AC233" s="51" t="e">
        <f>Ticker0001_Exchange_Sheet!BB302-#REF!</f>
      </c>
      <c r="AD233" s="51" t="e">
        <f>Ticker0001_Exchange_Sheet!BC302-#REF!</f>
      </c>
      <c r="AE233" s="51" t="e">
        <f>Ticker0001_Exchange_Sheet!BD302-#REF!</f>
      </c>
      <c r="AF233" s="51" t="e">
        <f>Ticker0001_Exchange_Sheet!BE302-#REF!</f>
      </c>
      <c r="AG233" s="51" t="e">
        <f>Ticker0001_Exchange_Sheet!BF302-#REF!</f>
      </c>
      <c r="AH233" s="51" t="e">
        <f>Ticker0001_Exchange_Sheet!BG302-#REF!</f>
      </c>
      <c r="AI233" s="51" t="e">
        <f>Ticker0001_Exchange_Sheet!BH302-#REF!</f>
      </c>
      <c r="AJ233" s="51" t="e">
        <f>Ticker0001_Exchange_Sheet!BI302-#REF!</f>
      </c>
      <c r="AK233" s="51" t="e">
        <f>Ticker0001_Exchange_Sheet!BJ302-#REF!</f>
      </c>
      <c r="AL233" s="51" t="e">
        <f>Ticker0001_Exchange_Sheet!BK302-#REF!</f>
      </c>
      <c r="AM233" s="51" t="e">
        <f>Ticker0001_Exchange_Sheet!BL302-#REF!</f>
      </c>
      <c r="AN233" s="51" t="e">
        <f>Ticker0001_Exchange_Sheet!BM302-#REF!</f>
      </c>
      <c r="AO233" s="51" t="e">
        <f>Ticker0001_Exchange_Sheet!BN302-#REF!</f>
      </c>
      <c r="AP233" s="51" t="e">
        <f>Ticker0001_Exchange_Sheet!BO302-#REF!</f>
      </c>
      <c r="AQ233" s="51" t="e">
        <f>Ticker0001_Exchange_Sheet!BP302-#REF!</f>
      </c>
      <c r="AR233" s="51" t="e">
        <f>Ticker0001_Exchange_Sheet!BQ302-#REF!</f>
      </c>
      <c r="AS233" s="51" t="e">
        <f>Ticker0001_Exchange_Sheet!BR302-#REF!</f>
      </c>
      <c r="AT233" s="51" t="e">
        <f>Ticker0001_Exchange_Sheet!BS302-#REF!</f>
      </c>
      <c r="AU233" s="51" t="e">
        <f>Ticker0001_Exchange_Sheet!BT302-#REF!</f>
      </c>
      <c r="AV233" s="51" t="e">
        <f>Ticker0001_Exchange_Sheet!BU302-#REF!</f>
      </c>
      <c r="AW233" s="51" t="e">
        <f>Ticker0001_Exchange_Sheet!BV302-#REF!</f>
      </c>
      <c r="AX233" s="51" t="e">
        <f>Ticker0001_Exchange_Sheet!BW302-#REF!</f>
      </c>
      <c r="AY233" s="51" t="e">
        <f>Ticker0001_Exchange_Sheet!BX302-#REF!</f>
      </c>
      <c r="AZ233" s="51" t="e">
        <f>Ticker0001_Exchange_Sheet!BY302-#REF!</f>
      </c>
      <c r="BA233" s="51" t="e">
        <f>Ticker0001_Exchange_Sheet!BZ302-#REF!</f>
      </c>
      <c r="BB233" s="51" t="e">
        <f>Ticker0001_Exchange_Sheet!CA302-#REF!</f>
      </c>
      <c r="BC233" s="51" t="e">
        <f>Ticker0001_Exchange_Sheet!CB302-#REF!</f>
      </c>
      <c r="BD233" s="51" t="e">
        <f>Ticker0001_Exchange_Sheet!CC302-#REF!</f>
      </c>
      <c r="BE233" s="51" t="e">
        <f>Ticker0001_Exchange_Sheet!CD302-#REF!</f>
      </c>
      <c r="BF233" s="51" t="e">
        <f>Ticker0001_Exchange_Sheet!CE302-#REF!</f>
      </c>
      <c r="BG233" s="51" t="e">
        <f>Ticker0001_Exchange_Sheet!CF302-#REF!</f>
      </c>
      <c r="BH233" s="51" t="e">
        <f>Ticker0001_Exchange_Sheet!CG302-#REF!</f>
      </c>
      <c r="BI233" s="51" t="e">
        <f>Ticker0001_Exchange_Sheet!CH302-#REF!</f>
      </c>
      <c r="BJ233" s="51" t="e">
        <f>Ticker0001_Exchange_Sheet!CI302-#REF!</f>
      </c>
      <c r="BK233" s="51" t="e">
        <f>Ticker0001_Exchange_Sheet!CJ302-#REF!</f>
      </c>
      <c r="BL233" s="51" t="e">
        <f>Ticker0001_Exchange_Sheet!CK302-#REF!</f>
      </c>
      <c r="BM233" s="51" t="e">
        <f>Ticker0001_Exchange_Sheet!CL302-#REF!</f>
      </c>
      <c r="BN233" s="51" t="e">
        <f>Ticker0001_Exchange_Sheet!CM302-#REF!</f>
      </c>
      <c r="BO233" s="51" t="e">
        <f>Ticker0001_Exchange_Sheet!CN302-#REF!</f>
      </c>
      <c r="BP233" s="51" t="e">
        <f>Ticker0001_Exchange_Sheet!CO302-#REF!</f>
      </c>
      <c r="BQ233" s="51" t="e">
        <f>Ticker0001_Exchange_Sheet!CP302-#REF!</f>
      </c>
      <c r="BR233" s="51" t="e">
        <f>Ticker0001_Exchange_Sheet!CQ302-#REF!</f>
      </c>
      <c r="BS233" s="51" t="e">
        <f>Ticker0001_Exchange_Sheet!CR302-#REF!</f>
      </c>
      <c r="BT233" s="51" t="e">
        <f>Ticker0001_Exchange_Sheet!CS302-#REF!</f>
      </c>
      <c r="BU233" s="51" t="e">
        <f>Ticker0001_Exchange_Sheet!CT302-#REF!</f>
      </c>
      <c r="BV233" s="51" t="e">
        <f>Ticker0001_Exchange_Sheet!CU302-#REF!</f>
      </c>
      <c r="BW233" s="51" t="e">
        <f>Ticker0001_Exchange_Sheet!CV302-#REF!</f>
      </c>
      <c r="BX233" s="51" t="e">
        <f>Ticker0001_Exchange_Sheet!CW302-#REF!</f>
      </c>
      <c r="BY233" s="51" t="e">
        <f>Ticker0001_Exchange_Sheet!CX302-#REF!</f>
      </c>
      <c r="BZ233" s="51" t="e">
        <f>Ticker0001_Exchange_Sheet!CY302-#REF!</f>
      </c>
      <c r="CA233" s="51" t="e">
        <f>Ticker0001_Exchange_Sheet!CZ302-#REF!</f>
      </c>
      <c r="CB233" s="51" t="e">
        <f>Ticker0001_Exchange_Sheet!DA302-#REF!</f>
      </c>
      <c r="CC233" s="51" t="e">
        <f>Ticker0001_Exchange_Sheet!DB302-#REF!</f>
      </c>
      <c r="CD233" s="51" t="e">
        <f>Ticker0001_Exchange_Sheet!DC302-#REF!</f>
      </c>
      <c r="CE233" s="51" t="e">
        <f>Ticker0001_Exchange_Sheet!DD302-#REF!</f>
      </c>
      <c r="CF233" s="51" t="e">
        <f>Ticker0001_Exchange_Sheet!DE302-#REF!</f>
      </c>
    </row>
    <row r="234" spans="6:84">
      <c r="F234" s="51" t="e">
        <f>Ticker0001_Exchange_Sheet!F303-#REF!</f>
      </c>
      <c r="G234" s="51" t="e">
        <f>Ticker0001_Exchange_Sheet!G303-#REF!</f>
      </c>
      <c r="H234" s="51" t="e">
        <f>Ticker0001_Exchange_Sheet!H303-#REF!</f>
      </c>
      <c r="I234" s="51" t="e">
        <f>Ticker0001_Exchange_Sheet!I303-#REF!</f>
      </c>
      <c r="J234" s="51" t="e">
        <f>Ticker0001_Exchange_Sheet!J303-#REF!</f>
      </c>
      <c r="K234" s="51" t="e">
        <f>Ticker0001_Exchange_Sheet!K303-#REF!</f>
      </c>
      <c r="L234" s="51" t="e">
        <f>Ticker0001_Exchange_Sheet!L303-#REF!</f>
      </c>
      <c r="M234" s="51" t="e">
        <f>Ticker0001_Exchange_Sheet!M303-#REF!</f>
      </c>
      <c r="N234" s="51" t="e">
        <f>Ticker0001_Exchange_Sheet!N303-#REF!</f>
      </c>
      <c r="O234" s="51" t="e">
        <f>Ticker0001_Exchange_Sheet!O303-#REF!</f>
      </c>
      <c r="P234" s="51" t="e">
        <f>Ticker0001_Exchange_Sheet!P303-#REF!</f>
      </c>
      <c r="Q234" s="51" t="e">
        <f>Ticker0001_Exchange_Sheet!Q303-#REF!</f>
      </c>
      <c r="R234" s="51" t="e">
        <f>Ticker0001_Exchange_Sheet!R303-#REF!</f>
      </c>
      <c r="S234" s="51" t="e">
        <f>Ticker0001_Exchange_Sheet!S303-#REF!</f>
      </c>
      <c r="T234" s="51" t="e">
        <f>Ticker0001_Exchange_Sheet!T303-#REF!</f>
      </c>
      <c r="U234" s="51" t="e">
        <f>Ticker0001_Exchange_Sheet!U303-#REF!</f>
      </c>
      <c r="V234" s="51" t="e">
        <f>Ticker0001_Exchange_Sheet!V303-#REF!</f>
      </c>
      <c r="W234" s="51" t="e">
        <f>Ticker0001_Exchange_Sheet!W303-#REF!</f>
      </c>
      <c r="X234" s="51" t="e">
        <f>Ticker0001_Exchange_Sheet!AK303-#REF!</f>
      </c>
      <c r="Y234" s="51" t="e">
        <f>Ticker0001_Exchange_Sheet!AX303-#REF!</f>
      </c>
      <c r="Z234" s="51" t="e">
        <f>Ticker0001_Exchange_Sheet!AY303-#REF!</f>
      </c>
      <c r="AA234" s="51" t="e">
        <f>Ticker0001_Exchange_Sheet!AZ303-#REF!</f>
      </c>
      <c r="AB234" s="51" t="e">
        <f>Ticker0001_Exchange_Sheet!BA303-#REF!</f>
      </c>
      <c r="AC234" s="51" t="e">
        <f>Ticker0001_Exchange_Sheet!BB303-#REF!</f>
      </c>
      <c r="AD234" s="51" t="e">
        <f>Ticker0001_Exchange_Sheet!BC303-#REF!</f>
      </c>
      <c r="AE234" s="51" t="e">
        <f>Ticker0001_Exchange_Sheet!BD303-#REF!</f>
      </c>
      <c r="AF234" s="51" t="e">
        <f>Ticker0001_Exchange_Sheet!BE303-#REF!</f>
      </c>
      <c r="AG234" s="51" t="e">
        <f>Ticker0001_Exchange_Sheet!BF303-#REF!</f>
      </c>
      <c r="AH234" s="51" t="e">
        <f>Ticker0001_Exchange_Sheet!BG303-#REF!</f>
      </c>
      <c r="AI234" s="51" t="e">
        <f>Ticker0001_Exchange_Sheet!BH303-#REF!</f>
      </c>
      <c r="AJ234" s="51" t="e">
        <f>Ticker0001_Exchange_Sheet!BI303-#REF!</f>
      </c>
      <c r="AK234" s="51" t="e">
        <f>Ticker0001_Exchange_Sheet!BJ303-#REF!</f>
      </c>
      <c r="AL234" s="51" t="e">
        <f>Ticker0001_Exchange_Sheet!BK303-#REF!</f>
      </c>
      <c r="AM234" s="51" t="e">
        <f>Ticker0001_Exchange_Sheet!BL303-#REF!</f>
      </c>
      <c r="AN234" s="51" t="e">
        <f>Ticker0001_Exchange_Sheet!BM303-#REF!</f>
      </c>
      <c r="AO234" s="51" t="e">
        <f>Ticker0001_Exchange_Sheet!BN303-#REF!</f>
      </c>
      <c r="AP234" s="51" t="e">
        <f>Ticker0001_Exchange_Sheet!BO303-#REF!</f>
      </c>
      <c r="AQ234" s="51" t="e">
        <f>Ticker0001_Exchange_Sheet!BP303-#REF!</f>
      </c>
      <c r="AR234" s="51" t="e">
        <f>Ticker0001_Exchange_Sheet!BQ303-#REF!</f>
      </c>
      <c r="AS234" s="51" t="e">
        <f>Ticker0001_Exchange_Sheet!BR303-#REF!</f>
      </c>
      <c r="AT234" s="51" t="e">
        <f>Ticker0001_Exchange_Sheet!BS303-#REF!</f>
      </c>
      <c r="AU234" s="51" t="e">
        <f>Ticker0001_Exchange_Sheet!BT303-#REF!</f>
      </c>
      <c r="AV234" s="51" t="e">
        <f>Ticker0001_Exchange_Sheet!BU303-#REF!</f>
      </c>
      <c r="AW234" s="51" t="e">
        <f>Ticker0001_Exchange_Sheet!BV303-#REF!</f>
      </c>
      <c r="AX234" s="51" t="e">
        <f>Ticker0001_Exchange_Sheet!BW303-#REF!</f>
      </c>
      <c r="AY234" s="51" t="e">
        <f>Ticker0001_Exchange_Sheet!BX303-#REF!</f>
      </c>
      <c r="AZ234" s="51" t="e">
        <f>Ticker0001_Exchange_Sheet!BY303-#REF!</f>
      </c>
      <c r="BA234" s="51" t="e">
        <f>Ticker0001_Exchange_Sheet!BZ303-#REF!</f>
      </c>
      <c r="BB234" s="51" t="e">
        <f>Ticker0001_Exchange_Sheet!CA303-#REF!</f>
      </c>
      <c r="BC234" s="51" t="e">
        <f>Ticker0001_Exchange_Sheet!CB303-#REF!</f>
      </c>
      <c r="BD234" s="51" t="e">
        <f>Ticker0001_Exchange_Sheet!CC303-#REF!</f>
      </c>
      <c r="BE234" s="51" t="e">
        <f>Ticker0001_Exchange_Sheet!CD303-#REF!</f>
      </c>
      <c r="BF234" s="51" t="e">
        <f>Ticker0001_Exchange_Sheet!CE303-#REF!</f>
      </c>
      <c r="BG234" s="51" t="e">
        <f>Ticker0001_Exchange_Sheet!CF303-#REF!</f>
      </c>
      <c r="BH234" s="51" t="e">
        <f>Ticker0001_Exchange_Sheet!CG303-#REF!</f>
      </c>
      <c r="BI234" s="51" t="e">
        <f>Ticker0001_Exchange_Sheet!CH303-#REF!</f>
      </c>
      <c r="BJ234" s="51" t="e">
        <f>Ticker0001_Exchange_Sheet!CI303-#REF!</f>
      </c>
      <c r="BK234" s="51" t="e">
        <f>Ticker0001_Exchange_Sheet!CJ303-#REF!</f>
      </c>
      <c r="BL234" s="51" t="e">
        <f>Ticker0001_Exchange_Sheet!CK303-#REF!</f>
      </c>
      <c r="BM234" s="51" t="e">
        <f>Ticker0001_Exchange_Sheet!CL303-#REF!</f>
      </c>
      <c r="BN234" s="51" t="e">
        <f>Ticker0001_Exchange_Sheet!CM303-#REF!</f>
      </c>
      <c r="BO234" s="51" t="e">
        <f>Ticker0001_Exchange_Sheet!CN303-#REF!</f>
      </c>
      <c r="BP234" s="51" t="e">
        <f>Ticker0001_Exchange_Sheet!CO303-#REF!</f>
      </c>
      <c r="BQ234" s="51" t="e">
        <f>Ticker0001_Exchange_Sheet!CP303-#REF!</f>
      </c>
      <c r="BR234" s="51" t="e">
        <f>Ticker0001_Exchange_Sheet!CQ303-#REF!</f>
      </c>
      <c r="BS234" s="51" t="e">
        <f>Ticker0001_Exchange_Sheet!CR303-#REF!</f>
      </c>
      <c r="BT234" s="51" t="e">
        <f>Ticker0001_Exchange_Sheet!CS303-#REF!</f>
      </c>
      <c r="BU234" s="51" t="e">
        <f>Ticker0001_Exchange_Sheet!CT303-#REF!</f>
      </c>
      <c r="BV234" s="51" t="e">
        <f>Ticker0001_Exchange_Sheet!CU303-#REF!</f>
      </c>
      <c r="BW234" s="51" t="e">
        <f>Ticker0001_Exchange_Sheet!CV303-#REF!</f>
      </c>
      <c r="BX234" s="51" t="e">
        <f>Ticker0001_Exchange_Sheet!CW303-#REF!</f>
      </c>
      <c r="BY234" s="51" t="e">
        <f>Ticker0001_Exchange_Sheet!CX303-#REF!</f>
      </c>
      <c r="BZ234" s="51" t="e">
        <f>Ticker0001_Exchange_Sheet!CY303-#REF!</f>
      </c>
      <c r="CA234" s="51" t="e">
        <f>Ticker0001_Exchange_Sheet!CZ303-#REF!</f>
      </c>
      <c r="CB234" s="51" t="e">
        <f>Ticker0001_Exchange_Sheet!DA303-#REF!</f>
      </c>
      <c r="CC234" s="51" t="e">
        <f>Ticker0001_Exchange_Sheet!DB303-#REF!</f>
      </c>
      <c r="CD234" s="51" t="e">
        <f>Ticker0001_Exchange_Sheet!DC303-#REF!</f>
      </c>
      <c r="CE234" s="51" t="e">
        <f>Ticker0001_Exchange_Sheet!DD303-#REF!</f>
      </c>
      <c r="CF234" s="51" t="e">
        <f>Ticker0001_Exchange_Sheet!DE303-#REF!</f>
      </c>
    </row>
    <row r="235" spans="6:84">
      <c r="F235" s="51" t="e">
        <f>Ticker0001_Exchange_Sheet!F304-#REF!</f>
      </c>
      <c r="G235" s="51" t="e">
        <f>Ticker0001_Exchange_Sheet!G304-#REF!</f>
      </c>
      <c r="H235" s="51" t="e">
        <f>Ticker0001_Exchange_Sheet!H304-#REF!</f>
      </c>
      <c r="I235" s="51" t="e">
        <f>Ticker0001_Exchange_Sheet!I304-#REF!</f>
      </c>
      <c r="J235" s="51" t="e">
        <f>Ticker0001_Exchange_Sheet!J304-#REF!</f>
      </c>
      <c r="K235" s="51" t="e">
        <f>Ticker0001_Exchange_Sheet!K304-#REF!</f>
      </c>
      <c r="L235" s="51" t="e">
        <f>Ticker0001_Exchange_Sheet!L304-#REF!</f>
      </c>
      <c r="M235" s="51" t="e">
        <f>Ticker0001_Exchange_Sheet!M304-#REF!</f>
      </c>
      <c r="N235" s="51" t="e">
        <f>Ticker0001_Exchange_Sheet!N304-#REF!</f>
      </c>
      <c r="O235" s="51" t="e">
        <f>Ticker0001_Exchange_Sheet!O304-#REF!</f>
      </c>
      <c r="P235" s="51" t="e">
        <f>Ticker0001_Exchange_Sheet!P304-#REF!</f>
      </c>
      <c r="Q235" s="51" t="e">
        <f>Ticker0001_Exchange_Sheet!Q304-#REF!</f>
      </c>
      <c r="R235" s="51" t="e">
        <f>Ticker0001_Exchange_Sheet!R304-#REF!</f>
      </c>
      <c r="S235" s="51" t="e">
        <f>Ticker0001_Exchange_Sheet!S304-#REF!</f>
      </c>
      <c r="T235" s="51" t="e">
        <f>Ticker0001_Exchange_Sheet!T304-#REF!</f>
      </c>
      <c r="U235" s="51" t="e">
        <f>Ticker0001_Exchange_Sheet!U304-#REF!</f>
      </c>
      <c r="V235" s="51" t="e">
        <f>Ticker0001_Exchange_Sheet!V304-#REF!</f>
      </c>
      <c r="W235" s="51" t="e">
        <f>Ticker0001_Exchange_Sheet!W304-#REF!</f>
      </c>
      <c r="X235" s="51" t="e">
        <f>Ticker0001_Exchange_Sheet!AK304-#REF!</f>
      </c>
      <c r="Y235" s="51" t="e">
        <f>Ticker0001_Exchange_Sheet!AX304-#REF!</f>
      </c>
      <c r="Z235" s="51" t="e">
        <f>Ticker0001_Exchange_Sheet!AY304-#REF!</f>
      </c>
      <c r="AA235" s="51" t="e">
        <f>Ticker0001_Exchange_Sheet!AZ304-#REF!</f>
      </c>
      <c r="AB235" s="51" t="e">
        <f>Ticker0001_Exchange_Sheet!BA304-#REF!</f>
      </c>
      <c r="AC235" s="51" t="e">
        <f>Ticker0001_Exchange_Sheet!BB304-#REF!</f>
      </c>
      <c r="AD235" s="51" t="e">
        <f>Ticker0001_Exchange_Sheet!BC304-#REF!</f>
      </c>
      <c r="AE235" s="51" t="e">
        <f>Ticker0001_Exchange_Sheet!BD304-#REF!</f>
      </c>
      <c r="AF235" s="51" t="e">
        <f>Ticker0001_Exchange_Sheet!BE304-#REF!</f>
      </c>
      <c r="AG235" s="51" t="e">
        <f>Ticker0001_Exchange_Sheet!BF304-#REF!</f>
      </c>
      <c r="AH235" s="51" t="e">
        <f>Ticker0001_Exchange_Sheet!BG304-#REF!</f>
      </c>
      <c r="AI235" s="51" t="e">
        <f>Ticker0001_Exchange_Sheet!BH304-#REF!</f>
      </c>
      <c r="AJ235" s="51" t="e">
        <f>Ticker0001_Exchange_Sheet!BI304-#REF!</f>
      </c>
      <c r="AK235" s="51" t="e">
        <f>Ticker0001_Exchange_Sheet!BJ304-#REF!</f>
      </c>
      <c r="AL235" s="51" t="e">
        <f>Ticker0001_Exchange_Sheet!BK304-#REF!</f>
      </c>
      <c r="AM235" s="51" t="e">
        <f>Ticker0001_Exchange_Sheet!BL304-#REF!</f>
      </c>
      <c r="AN235" s="51" t="e">
        <f>Ticker0001_Exchange_Sheet!BM304-#REF!</f>
      </c>
      <c r="AO235" s="51" t="e">
        <f>Ticker0001_Exchange_Sheet!BN304-#REF!</f>
      </c>
      <c r="AP235" s="51" t="e">
        <f>Ticker0001_Exchange_Sheet!BO304-#REF!</f>
      </c>
      <c r="AQ235" s="51" t="e">
        <f>Ticker0001_Exchange_Sheet!BP304-#REF!</f>
      </c>
      <c r="AR235" s="51" t="e">
        <f>Ticker0001_Exchange_Sheet!BQ304-#REF!</f>
      </c>
      <c r="AS235" s="51" t="e">
        <f>Ticker0001_Exchange_Sheet!BR304-#REF!</f>
      </c>
      <c r="AT235" s="51" t="e">
        <f>Ticker0001_Exchange_Sheet!BS304-#REF!</f>
      </c>
      <c r="AU235" s="51" t="e">
        <f>Ticker0001_Exchange_Sheet!BT304-#REF!</f>
      </c>
      <c r="AV235" s="51" t="e">
        <f>Ticker0001_Exchange_Sheet!BU304-#REF!</f>
      </c>
      <c r="AW235" s="51" t="e">
        <f>Ticker0001_Exchange_Sheet!BV304-#REF!</f>
      </c>
      <c r="AX235" s="51" t="e">
        <f>Ticker0001_Exchange_Sheet!BW304-#REF!</f>
      </c>
      <c r="AY235" s="51" t="e">
        <f>Ticker0001_Exchange_Sheet!BX304-#REF!</f>
      </c>
      <c r="AZ235" s="51" t="e">
        <f>Ticker0001_Exchange_Sheet!BY304-#REF!</f>
      </c>
      <c r="BA235" s="51" t="e">
        <f>Ticker0001_Exchange_Sheet!BZ304-#REF!</f>
      </c>
      <c r="BB235" s="51" t="e">
        <f>Ticker0001_Exchange_Sheet!CA304-#REF!</f>
      </c>
      <c r="BC235" s="51" t="e">
        <f>Ticker0001_Exchange_Sheet!CB304-#REF!</f>
      </c>
      <c r="BD235" s="51" t="e">
        <f>Ticker0001_Exchange_Sheet!CC304-#REF!</f>
      </c>
      <c r="BE235" s="51" t="e">
        <f>Ticker0001_Exchange_Sheet!CD304-#REF!</f>
      </c>
      <c r="BF235" s="51" t="e">
        <f>Ticker0001_Exchange_Sheet!CE304-#REF!</f>
      </c>
      <c r="BG235" s="51" t="e">
        <f>Ticker0001_Exchange_Sheet!CF304-#REF!</f>
      </c>
      <c r="BH235" s="51" t="e">
        <f>Ticker0001_Exchange_Sheet!CG304-#REF!</f>
      </c>
      <c r="BI235" s="51" t="e">
        <f>Ticker0001_Exchange_Sheet!CH304-#REF!</f>
      </c>
      <c r="BJ235" s="51" t="e">
        <f>Ticker0001_Exchange_Sheet!CI304-#REF!</f>
      </c>
      <c r="BK235" s="51" t="e">
        <f>Ticker0001_Exchange_Sheet!CJ304-#REF!</f>
      </c>
      <c r="BL235" s="51" t="e">
        <f>Ticker0001_Exchange_Sheet!CK304-#REF!</f>
      </c>
      <c r="BM235" s="51" t="e">
        <f>Ticker0001_Exchange_Sheet!CL304-#REF!</f>
      </c>
      <c r="BN235" s="51" t="e">
        <f>Ticker0001_Exchange_Sheet!CM304-#REF!</f>
      </c>
      <c r="BO235" s="51" t="e">
        <f>Ticker0001_Exchange_Sheet!CN304-#REF!</f>
      </c>
      <c r="BP235" s="51" t="e">
        <f>Ticker0001_Exchange_Sheet!CO304-#REF!</f>
      </c>
      <c r="BQ235" s="51" t="e">
        <f>Ticker0001_Exchange_Sheet!CP304-#REF!</f>
      </c>
      <c r="BR235" s="51" t="e">
        <f>Ticker0001_Exchange_Sheet!CQ304-#REF!</f>
      </c>
      <c r="BS235" s="51" t="e">
        <f>Ticker0001_Exchange_Sheet!CR304-#REF!</f>
      </c>
      <c r="BT235" s="51" t="e">
        <f>Ticker0001_Exchange_Sheet!CS304-#REF!</f>
      </c>
      <c r="BU235" s="51" t="e">
        <f>Ticker0001_Exchange_Sheet!CT304-#REF!</f>
      </c>
      <c r="BV235" s="51" t="e">
        <f>Ticker0001_Exchange_Sheet!CU304-#REF!</f>
      </c>
      <c r="BW235" s="51" t="e">
        <f>Ticker0001_Exchange_Sheet!CV304-#REF!</f>
      </c>
      <c r="BX235" s="51" t="e">
        <f>Ticker0001_Exchange_Sheet!CW304-#REF!</f>
      </c>
      <c r="BY235" s="51" t="e">
        <f>Ticker0001_Exchange_Sheet!CX304-#REF!</f>
      </c>
      <c r="BZ235" s="51" t="e">
        <f>Ticker0001_Exchange_Sheet!CY304-#REF!</f>
      </c>
      <c r="CA235" s="51" t="e">
        <f>Ticker0001_Exchange_Sheet!CZ304-#REF!</f>
      </c>
      <c r="CB235" s="51" t="e">
        <f>Ticker0001_Exchange_Sheet!DA304-#REF!</f>
      </c>
      <c r="CC235" s="51" t="e">
        <f>Ticker0001_Exchange_Sheet!DB304-#REF!</f>
      </c>
      <c r="CD235" s="51" t="e">
        <f>Ticker0001_Exchange_Sheet!DC304-#REF!</f>
      </c>
      <c r="CE235" s="51" t="e">
        <f>Ticker0001_Exchange_Sheet!DD304-#REF!</f>
      </c>
      <c r="CF235" s="51" t="e">
        <f>Ticker0001_Exchange_Sheet!DE304-#REF!</f>
      </c>
    </row>
    <row r="236" spans="6:84">
      <c r="F236" s="51" t="e">
        <f>Ticker0001_Exchange_Sheet!F305-#REF!</f>
      </c>
      <c r="G236" s="51" t="e">
        <f>Ticker0001_Exchange_Sheet!G305-#REF!</f>
      </c>
      <c r="H236" s="51" t="e">
        <f>Ticker0001_Exchange_Sheet!H305-#REF!</f>
      </c>
      <c r="I236" s="51" t="e">
        <f>Ticker0001_Exchange_Sheet!I305-#REF!</f>
      </c>
      <c r="J236" s="51" t="e">
        <f>Ticker0001_Exchange_Sheet!J305-#REF!</f>
      </c>
      <c r="K236" s="51" t="e">
        <f>Ticker0001_Exchange_Sheet!K305-#REF!</f>
      </c>
      <c r="L236" s="51" t="e">
        <f>Ticker0001_Exchange_Sheet!L305-#REF!</f>
      </c>
      <c r="M236" s="51" t="e">
        <f>Ticker0001_Exchange_Sheet!M305-#REF!</f>
      </c>
      <c r="N236" s="51" t="e">
        <f>Ticker0001_Exchange_Sheet!N305-#REF!</f>
      </c>
      <c r="O236" s="51" t="e">
        <f>Ticker0001_Exchange_Sheet!O305-#REF!</f>
      </c>
      <c r="P236" s="51" t="e">
        <f>Ticker0001_Exchange_Sheet!P305-#REF!</f>
      </c>
      <c r="Q236" s="51" t="e">
        <f>Ticker0001_Exchange_Sheet!Q305-#REF!</f>
      </c>
      <c r="R236" s="51" t="e">
        <f>Ticker0001_Exchange_Sheet!R305-#REF!</f>
      </c>
      <c r="S236" s="51" t="e">
        <f>Ticker0001_Exchange_Sheet!S305-#REF!</f>
      </c>
      <c r="T236" s="51" t="e">
        <f>Ticker0001_Exchange_Sheet!T305-#REF!</f>
      </c>
      <c r="U236" s="51" t="e">
        <f>Ticker0001_Exchange_Sheet!U305-#REF!</f>
      </c>
      <c r="V236" s="51" t="e">
        <f>Ticker0001_Exchange_Sheet!V305-#REF!</f>
      </c>
      <c r="W236" s="51" t="e">
        <f>Ticker0001_Exchange_Sheet!W305-#REF!</f>
      </c>
      <c r="X236" s="51" t="e">
        <f>Ticker0001_Exchange_Sheet!AK305-#REF!</f>
      </c>
      <c r="Y236" s="51" t="e">
        <f>Ticker0001_Exchange_Sheet!AX305-#REF!</f>
      </c>
      <c r="Z236" s="51" t="e">
        <f>Ticker0001_Exchange_Sheet!AY305-#REF!</f>
      </c>
      <c r="AA236" s="51" t="e">
        <f>Ticker0001_Exchange_Sheet!AZ305-#REF!</f>
      </c>
      <c r="AB236" s="51" t="e">
        <f>Ticker0001_Exchange_Sheet!BA305-#REF!</f>
      </c>
      <c r="AC236" s="51" t="e">
        <f>Ticker0001_Exchange_Sheet!BB305-#REF!</f>
      </c>
      <c r="AD236" s="51" t="e">
        <f>Ticker0001_Exchange_Sheet!BC305-#REF!</f>
      </c>
      <c r="AE236" s="51" t="e">
        <f>Ticker0001_Exchange_Sheet!BD305-#REF!</f>
      </c>
      <c r="AF236" s="51" t="e">
        <f>Ticker0001_Exchange_Sheet!BE305-#REF!</f>
      </c>
      <c r="AG236" s="51" t="e">
        <f>Ticker0001_Exchange_Sheet!BF305-#REF!</f>
      </c>
      <c r="AH236" s="51" t="e">
        <f>Ticker0001_Exchange_Sheet!BG305-#REF!</f>
      </c>
      <c r="AI236" s="51" t="e">
        <f>Ticker0001_Exchange_Sheet!BH305-#REF!</f>
      </c>
      <c r="AJ236" s="51" t="e">
        <f>Ticker0001_Exchange_Sheet!BI305-#REF!</f>
      </c>
      <c r="AK236" s="51" t="e">
        <f>Ticker0001_Exchange_Sheet!BJ305-#REF!</f>
      </c>
      <c r="AL236" s="51" t="e">
        <f>Ticker0001_Exchange_Sheet!BK305-#REF!</f>
      </c>
      <c r="AM236" s="51" t="e">
        <f>Ticker0001_Exchange_Sheet!BL305-#REF!</f>
      </c>
      <c r="AN236" s="51" t="e">
        <f>Ticker0001_Exchange_Sheet!BM305-#REF!</f>
      </c>
      <c r="AO236" s="51" t="e">
        <f>Ticker0001_Exchange_Sheet!BN305-#REF!</f>
      </c>
      <c r="AP236" s="51" t="e">
        <f>Ticker0001_Exchange_Sheet!BO305-#REF!</f>
      </c>
      <c r="AQ236" s="51" t="e">
        <f>Ticker0001_Exchange_Sheet!BP305-#REF!</f>
      </c>
      <c r="AR236" s="51" t="e">
        <f>Ticker0001_Exchange_Sheet!BQ305-#REF!</f>
      </c>
      <c r="AS236" s="51" t="e">
        <f>Ticker0001_Exchange_Sheet!BR305-#REF!</f>
      </c>
      <c r="AT236" s="51" t="e">
        <f>Ticker0001_Exchange_Sheet!BS305-#REF!</f>
      </c>
      <c r="AU236" s="51" t="e">
        <f>Ticker0001_Exchange_Sheet!BT305-#REF!</f>
      </c>
      <c r="AV236" s="51" t="e">
        <f>Ticker0001_Exchange_Sheet!BU305-#REF!</f>
      </c>
      <c r="AW236" s="51" t="e">
        <f>Ticker0001_Exchange_Sheet!BV305-#REF!</f>
      </c>
      <c r="AX236" s="51" t="e">
        <f>Ticker0001_Exchange_Sheet!BW305-#REF!</f>
      </c>
      <c r="AY236" s="51" t="e">
        <f>Ticker0001_Exchange_Sheet!BX305-#REF!</f>
      </c>
      <c r="AZ236" s="51" t="e">
        <f>Ticker0001_Exchange_Sheet!BY305-#REF!</f>
      </c>
      <c r="BA236" s="51" t="e">
        <f>Ticker0001_Exchange_Sheet!BZ305-#REF!</f>
      </c>
      <c r="BB236" s="51" t="e">
        <f>Ticker0001_Exchange_Sheet!CA305-#REF!</f>
      </c>
      <c r="BC236" s="51" t="e">
        <f>Ticker0001_Exchange_Sheet!CB305-#REF!</f>
      </c>
      <c r="BD236" s="51" t="e">
        <f>Ticker0001_Exchange_Sheet!CC305-#REF!</f>
      </c>
      <c r="BE236" s="51" t="e">
        <f>Ticker0001_Exchange_Sheet!CD305-#REF!</f>
      </c>
      <c r="BF236" s="51" t="e">
        <f>Ticker0001_Exchange_Sheet!CE305-#REF!</f>
      </c>
      <c r="BG236" s="51" t="e">
        <f>Ticker0001_Exchange_Sheet!CF305-#REF!</f>
      </c>
      <c r="BH236" s="51" t="e">
        <f>Ticker0001_Exchange_Sheet!CG305-#REF!</f>
      </c>
      <c r="BI236" s="51" t="e">
        <f>Ticker0001_Exchange_Sheet!CH305-#REF!</f>
      </c>
      <c r="BJ236" s="51" t="e">
        <f>Ticker0001_Exchange_Sheet!CI305-#REF!</f>
      </c>
      <c r="BK236" s="51" t="e">
        <f>Ticker0001_Exchange_Sheet!CJ305-#REF!</f>
      </c>
      <c r="BL236" s="51" t="e">
        <f>Ticker0001_Exchange_Sheet!CK305-#REF!</f>
      </c>
      <c r="BM236" s="51" t="e">
        <f>Ticker0001_Exchange_Sheet!CL305-#REF!</f>
      </c>
      <c r="BN236" s="51" t="e">
        <f>Ticker0001_Exchange_Sheet!CM305-#REF!</f>
      </c>
      <c r="BO236" s="51" t="e">
        <f>Ticker0001_Exchange_Sheet!CN305-#REF!</f>
      </c>
      <c r="BP236" s="51" t="e">
        <f>Ticker0001_Exchange_Sheet!CO305-#REF!</f>
      </c>
      <c r="BQ236" s="51" t="e">
        <f>Ticker0001_Exchange_Sheet!CP305-#REF!</f>
      </c>
      <c r="BR236" s="51" t="e">
        <f>Ticker0001_Exchange_Sheet!CQ305-#REF!</f>
      </c>
      <c r="BS236" s="51" t="e">
        <f>Ticker0001_Exchange_Sheet!CR305-#REF!</f>
      </c>
      <c r="BT236" s="51" t="e">
        <f>Ticker0001_Exchange_Sheet!CS305-#REF!</f>
      </c>
      <c r="BU236" s="51" t="e">
        <f>Ticker0001_Exchange_Sheet!CT305-#REF!</f>
      </c>
      <c r="BV236" s="51" t="e">
        <f>Ticker0001_Exchange_Sheet!CU305-#REF!</f>
      </c>
      <c r="BW236" s="51" t="e">
        <f>Ticker0001_Exchange_Sheet!CV305-#REF!</f>
      </c>
      <c r="BX236" s="51" t="e">
        <f>Ticker0001_Exchange_Sheet!CW305-#REF!</f>
      </c>
      <c r="BY236" s="51" t="e">
        <f>Ticker0001_Exchange_Sheet!CX305-#REF!</f>
      </c>
      <c r="BZ236" s="51" t="e">
        <f>Ticker0001_Exchange_Sheet!CY305-#REF!</f>
      </c>
      <c r="CA236" s="51" t="e">
        <f>Ticker0001_Exchange_Sheet!CZ305-#REF!</f>
      </c>
      <c r="CB236" s="51" t="e">
        <f>Ticker0001_Exchange_Sheet!DA305-#REF!</f>
      </c>
      <c r="CC236" s="51" t="e">
        <f>Ticker0001_Exchange_Sheet!DB305-#REF!</f>
      </c>
      <c r="CD236" s="51" t="e">
        <f>Ticker0001_Exchange_Sheet!DC305-#REF!</f>
      </c>
      <c r="CE236" s="51" t="e">
        <f>Ticker0001_Exchange_Sheet!DD305-#REF!</f>
      </c>
      <c r="CF236" s="51" t="e">
        <f>Ticker0001_Exchange_Sheet!DE305-#REF!</f>
      </c>
    </row>
    <row r="237" spans="6:84">
      <c r="F237" s="51" t="e">
        <f>Ticker0001_Exchange_Sheet!F306-#REF!</f>
      </c>
      <c r="G237" s="51" t="e">
        <f>Ticker0001_Exchange_Sheet!G306-#REF!</f>
      </c>
      <c r="H237" s="51" t="e">
        <f>Ticker0001_Exchange_Sheet!H306-#REF!</f>
      </c>
      <c r="I237" s="51" t="e">
        <f>Ticker0001_Exchange_Sheet!I306-#REF!</f>
      </c>
      <c r="J237" s="51" t="e">
        <f>Ticker0001_Exchange_Sheet!J306-#REF!</f>
      </c>
      <c r="K237" s="51" t="e">
        <f>Ticker0001_Exchange_Sheet!K306-#REF!</f>
      </c>
      <c r="L237" s="51" t="e">
        <f>Ticker0001_Exchange_Sheet!L306-#REF!</f>
      </c>
      <c r="M237" s="51" t="e">
        <f>Ticker0001_Exchange_Sheet!M306-#REF!</f>
      </c>
      <c r="N237" s="51" t="e">
        <f>Ticker0001_Exchange_Sheet!N306-#REF!</f>
      </c>
      <c r="O237" s="51" t="e">
        <f>Ticker0001_Exchange_Sheet!O306-#REF!</f>
      </c>
      <c r="P237" s="51" t="e">
        <f>Ticker0001_Exchange_Sheet!P306-#REF!</f>
      </c>
      <c r="Q237" s="51" t="e">
        <f>Ticker0001_Exchange_Sheet!Q306-#REF!</f>
      </c>
      <c r="R237" s="51" t="e">
        <f>Ticker0001_Exchange_Sheet!R306-#REF!</f>
      </c>
      <c r="S237" s="51" t="e">
        <f>Ticker0001_Exchange_Sheet!S306-#REF!</f>
      </c>
      <c r="T237" s="51" t="e">
        <f>Ticker0001_Exchange_Sheet!T306-#REF!</f>
      </c>
      <c r="U237" s="51" t="e">
        <f>Ticker0001_Exchange_Sheet!U306-#REF!</f>
      </c>
      <c r="V237" s="51" t="e">
        <f>Ticker0001_Exchange_Sheet!V306-#REF!</f>
      </c>
      <c r="W237" s="51" t="e">
        <f>Ticker0001_Exchange_Sheet!W306-#REF!</f>
      </c>
      <c r="X237" s="51" t="e">
        <f>Ticker0001_Exchange_Sheet!AK306-#REF!</f>
      </c>
      <c r="Y237" s="51" t="e">
        <f>Ticker0001_Exchange_Sheet!AX306-#REF!</f>
      </c>
      <c r="Z237" s="51" t="e">
        <f>Ticker0001_Exchange_Sheet!AY306-#REF!</f>
      </c>
      <c r="AA237" s="51" t="e">
        <f>Ticker0001_Exchange_Sheet!AZ306-#REF!</f>
      </c>
      <c r="AB237" s="51" t="e">
        <f>Ticker0001_Exchange_Sheet!BA306-#REF!</f>
      </c>
      <c r="AC237" s="51" t="e">
        <f>Ticker0001_Exchange_Sheet!BB306-#REF!</f>
      </c>
      <c r="AD237" s="51" t="e">
        <f>Ticker0001_Exchange_Sheet!BC306-#REF!</f>
      </c>
      <c r="AE237" s="51" t="e">
        <f>Ticker0001_Exchange_Sheet!BD306-#REF!</f>
      </c>
      <c r="AF237" s="51" t="e">
        <f>Ticker0001_Exchange_Sheet!BE306-#REF!</f>
      </c>
      <c r="AG237" s="51" t="e">
        <f>Ticker0001_Exchange_Sheet!BF306-#REF!</f>
      </c>
      <c r="AH237" s="51" t="e">
        <f>Ticker0001_Exchange_Sheet!BG306-#REF!</f>
      </c>
      <c r="AI237" s="51" t="e">
        <f>Ticker0001_Exchange_Sheet!BH306-#REF!</f>
      </c>
      <c r="AJ237" s="51" t="e">
        <f>Ticker0001_Exchange_Sheet!BI306-#REF!</f>
      </c>
      <c r="AK237" s="51" t="e">
        <f>Ticker0001_Exchange_Sheet!BJ306-#REF!</f>
      </c>
      <c r="AL237" s="51" t="e">
        <f>Ticker0001_Exchange_Sheet!BK306-#REF!</f>
      </c>
      <c r="AM237" s="51" t="e">
        <f>Ticker0001_Exchange_Sheet!BL306-#REF!</f>
      </c>
      <c r="AN237" s="51" t="e">
        <f>Ticker0001_Exchange_Sheet!BM306-#REF!</f>
      </c>
      <c r="AO237" s="51" t="e">
        <f>Ticker0001_Exchange_Sheet!BN306-#REF!</f>
      </c>
      <c r="AP237" s="51" t="e">
        <f>Ticker0001_Exchange_Sheet!BO306-#REF!</f>
      </c>
      <c r="AQ237" s="51" t="e">
        <f>Ticker0001_Exchange_Sheet!BP306-#REF!</f>
      </c>
      <c r="AR237" s="51" t="e">
        <f>Ticker0001_Exchange_Sheet!BQ306-#REF!</f>
      </c>
      <c r="AS237" s="51" t="e">
        <f>Ticker0001_Exchange_Sheet!BR306-#REF!</f>
      </c>
      <c r="AT237" s="51" t="e">
        <f>Ticker0001_Exchange_Sheet!BS306-#REF!</f>
      </c>
      <c r="AU237" s="51" t="e">
        <f>Ticker0001_Exchange_Sheet!BT306-#REF!</f>
      </c>
      <c r="AV237" s="51" t="e">
        <f>Ticker0001_Exchange_Sheet!BU306-#REF!</f>
      </c>
      <c r="AW237" s="51" t="e">
        <f>Ticker0001_Exchange_Sheet!BV306-#REF!</f>
      </c>
      <c r="AX237" s="51" t="e">
        <f>Ticker0001_Exchange_Sheet!BW306-#REF!</f>
      </c>
      <c r="AY237" s="51" t="e">
        <f>Ticker0001_Exchange_Sheet!BX306-#REF!</f>
      </c>
      <c r="AZ237" s="51" t="e">
        <f>Ticker0001_Exchange_Sheet!BY306-#REF!</f>
      </c>
      <c r="BA237" s="51" t="e">
        <f>Ticker0001_Exchange_Sheet!BZ306-#REF!</f>
      </c>
      <c r="BB237" s="51" t="e">
        <f>Ticker0001_Exchange_Sheet!CA306-#REF!</f>
      </c>
      <c r="BC237" s="51" t="e">
        <f>Ticker0001_Exchange_Sheet!CB306-#REF!</f>
      </c>
      <c r="BD237" s="51" t="e">
        <f>Ticker0001_Exchange_Sheet!CC306-#REF!</f>
      </c>
      <c r="BE237" s="51" t="e">
        <f>Ticker0001_Exchange_Sheet!CD306-#REF!</f>
      </c>
      <c r="BF237" s="51" t="e">
        <f>Ticker0001_Exchange_Sheet!CE306-#REF!</f>
      </c>
      <c r="BG237" s="51" t="e">
        <f>Ticker0001_Exchange_Sheet!CF306-#REF!</f>
      </c>
      <c r="BH237" s="51" t="e">
        <f>Ticker0001_Exchange_Sheet!CG306-#REF!</f>
      </c>
      <c r="BI237" s="51" t="e">
        <f>Ticker0001_Exchange_Sheet!CH306-#REF!</f>
      </c>
      <c r="BJ237" s="51" t="e">
        <f>Ticker0001_Exchange_Sheet!CI306-#REF!</f>
      </c>
      <c r="BK237" s="51" t="e">
        <f>Ticker0001_Exchange_Sheet!CJ306-#REF!</f>
      </c>
      <c r="BL237" s="51" t="e">
        <f>Ticker0001_Exchange_Sheet!CK306-#REF!</f>
      </c>
      <c r="BM237" s="51" t="e">
        <f>Ticker0001_Exchange_Sheet!CL306-#REF!</f>
      </c>
      <c r="BN237" s="51" t="e">
        <f>Ticker0001_Exchange_Sheet!CM306-#REF!</f>
      </c>
      <c r="BO237" s="51" t="e">
        <f>Ticker0001_Exchange_Sheet!CN306-#REF!</f>
      </c>
      <c r="BP237" s="51" t="e">
        <f>Ticker0001_Exchange_Sheet!CO306-#REF!</f>
      </c>
      <c r="BQ237" s="51" t="e">
        <f>Ticker0001_Exchange_Sheet!CP306-#REF!</f>
      </c>
      <c r="BR237" s="51" t="e">
        <f>Ticker0001_Exchange_Sheet!CQ306-#REF!</f>
      </c>
      <c r="BS237" s="51" t="e">
        <f>Ticker0001_Exchange_Sheet!CR306-#REF!</f>
      </c>
      <c r="BT237" s="51" t="e">
        <f>Ticker0001_Exchange_Sheet!CS306-#REF!</f>
      </c>
      <c r="BU237" s="51" t="e">
        <f>Ticker0001_Exchange_Sheet!CT306-#REF!</f>
      </c>
      <c r="BV237" s="51" t="e">
        <f>Ticker0001_Exchange_Sheet!CU306-#REF!</f>
      </c>
      <c r="BW237" s="51" t="e">
        <f>Ticker0001_Exchange_Sheet!CV306-#REF!</f>
      </c>
      <c r="BX237" s="51" t="e">
        <f>Ticker0001_Exchange_Sheet!CW306-#REF!</f>
      </c>
      <c r="BY237" s="51" t="e">
        <f>Ticker0001_Exchange_Sheet!CX306-#REF!</f>
      </c>
      <c r="BZ237" s="51" t="e">
        <f>Ticker0001_Exchange_Sheet!CY306-#REF!</f>
      </c>
      <c r="CA237" s="51" t="e">
        <f>Ticker0001_Exchange_Sheet!CZ306-#REF!</f>
      </c>
      <c r="CB237" s="51" t="e">
        <f>Ticker0001_Exchange_Sheet!DA306-#REF!</f>
      </c>
      <c r="CC237" s="51" t="e">
        <f>Ticker0001_Exchange_Sheet!DB306-#REF!</f>
      </c>
      <c r="CD237" s="51" t="e">
        <f>Ticker0001_Exchange_Sheet!DC306-#REF!</f>
      </c>
      <c r="CE237" s="51" t="e">
        <f>Ticker0001_Exchange_Sheet!DD306-#REF!</f>
      </c>
      <c r="CF237" s="51" t="e">
        <f>Ticker0001_Exchange_Sheet!DE306-#REF!</f>
      </c>
    </row>
    <row r="238" spans="6:84">
      <c r="F238" s="51" t="e">
        <f>Ticker0001_Exchange_Sheet!F307-#REF!</f>
      </c>
      <c r="G238" s="51" t="e">
        <f>Ticker0001_Exchange_Sheet!G307-#REF!</f>
      </c>
      <c r="H238" s="51" t="e">
        <f>Ticker0001_Exchange_Sheet!H307-#REF!</f>
      </c>
      <c r="I238" s="51" t="e">
        <f>Ticker0001_Exchange_Sheet!I307-#REF!</f>
      </c>
      <c r="J238" s="51" t="e">
        <f>Ticker0001_Exchange_Sheet!J307-#REF!</f>
      </c>
      <c r="K238" s="51" t="e">
        <f>Ticker0001_Exchange_Sheet!K307-#REF!</f>
      </c>
      <c r="L238" s="51" t="e">
        <f>Ticker0001_Exchange_Sheet!L307-#REF!</f>
      </c>
      <c r="M238" s="51" t="e">
        <f>Ticker0001_Exchange_Sheet!M307-#REF!</f>
      </c>
      <c r="N238" s="51" t="e">
        <f>Ticker0001_Exchange_Sheet!N307-#REF!</f>
      </c>
      <c r="O238" s="51" t="e">
        <f>Ticker0001_Exchange_Sheet!O307-#REF!</f>
      </c>
      <c r="P238" s="51" t="e">
        <f>Ticker0001_Exchange_Sheet!P307-#REF!</f>
      </c>
      <c r="Q238" s="51" t="e">
        <f>Ticker0001_Exchange_Sheet!Q307-#REF!</f>
      </c>
      <c r="R238" s="51" t="e">
        <f>Ticker0001_Exchange_Sheet!R307-#REF!</f>
      </c>
      <c r="S238" s="51" t="e">
        <f>Ticker0001_Exchange_Sheet!S307-#REF!</f>
      </c>
      <c r="T238" s="51" t="e">
        <f>Ticker0001_Exchange_Sheet!T307-#REF!</f>
      </c>
      <c r="U238" s="51" t="e">
        <f>Ticker0001_Exchange_Sheet!U307-#REF!</f>
      </c>
      <c r="V238" s="51" t="e">
        <f>Ticker0001_Exchange_Sheet!V307-#REF!</f>
      </c>
      <c r="W238" s="51" t="e">
        <f>Ticker0001_Exchange_Sheet!W307-#REF!</f>
      </c>
      <c r="X238" s="51" t="e">
        <f>Ticker0001_Exchange_Sheet!AK307-#REF!</f>
      </c>
      <c r="Y238" s="51" t="e">
        <f>Ticker0001_Exchange_Sheet!AX307-#REF!</f>
      </c>
      <c r="Z238" s="51" t="e">
        <f>Ticker0001_Exchange_Sheet!AY307-#REF!</f>
      </c>
      <c r="AA238" s="51" t="e">
        <f>Ticker0001_Exchange_Sheet!AZ307-#REF!</f>
      </c>
      <c r="AB238" s="51" t="e">
        <f>Ticker0001_Exchange_Sheet!BA307-#REF!</f>
      </c>
      <c r="AC238" s="51" t="e">
        <f>Ticker0001_Exchange_Sheet!BB307-#REF!</f>
      </c>
      <c r="AD238" s="51" t="e">
        <f>Ticker0001_Exchange_Sheet!BC307-#REF!</f>
      </c>
      <c r="AE238" s="51" t="e">
        <f>Ticker0001_Exchange_Sheet!BD307-#REF!</f>
      </c>
      <c r="AF238" s="51" t="e">
        <f>Ticker0001_Exchange_Sheet!BE307-#REF!</f>
      </c>
      <c r="AG238" s="51" t="e">
        <f>Ticker0001_Exchange_Sheet!BF307-#REF!</f>
      </c>
      <c r="AH238" s="51" t="e">
        <f>Ticker0001_Exchange_Sheet!BG307-#REF!</f>
      </c>
      <c r="AI238" s="51" t="e">
        <f>Ticker0001_Exchange_Sheet!BH307-#REF!</f>
      </c>
      <c r="AJ238" s="51" t="e">
        <f>Ticker0001_Exchange_Sheet!BI307-#REF!</f>
      </c>
      <c r="AK238" s="51" t="e">
        <f>Ticker0001_Exchange_Sheet!BJ307-#REF!</f>
      </c>
      <c r="AL238" s="51" t="e">
        <f>Ticker0001_Exchange_Sheet!BK307-#REF!</f>
      </c>
      <c r="AM238" s="51" t="e">
        <f>Ticker0001_Exchange_Sheet!BL307-#REF!</f>
      </c>
      <c r="AN238" s="51" t="e">
        <f>Ticker0001_Exchange_Sheet!BM307-#REF!</f>
      </c>
      <c r="AO238" s="51" t="e">
        <f>Ticker0001_Exchange_Sheet!BN307-#REF!</f>
      </c>
      <c r="AP238" s="51" t="e">
        <f>Ticker0001_Exchange_Sheet!BO307-#REF!</f>
      </c>
      <c r="AQ238" s="51" t="e">
        <f>Ticker0001_Exchange_Sheet!BP307-#REF!</f>
      </c>
      <c r="AR238" s="51" t="e">
        <f>Ticker0001_Exchange_Sheet!BQ307-#REF!</f>
      </c>
      <c r="AS238" s="51" t="e">
        <f>Ticker0001_Exchange_Sheet!BR307-#REF!</f>
      </c>
      <c r="AT238" s="51" t="e">
        <f>Ticker0001_Exchange_Sheet!BS307-#REF!</f>
      </c>
      <c r="AU238" s="51" t="e">
        <f>Ticker0001_Exchange_Sheet!BT307-#REF!</f>
      </c>
      <c r="AV238" s="51" t="e">
        <f>Ticker0001_Exchange_Sheet!BU307-#REF!</f>
      </c>
      <c r="AW238" s="51" t="e">
        <f>Ticker0001_Exchange_Sheet!BV307-#REF!</f>
      </c>
      <c r="AX238" s="51" t="e">
        <f>Ticker0001_Exchange_Sheet!BW307-#REF!</f>
      </c>
      <c r="AY238" s="51" t="e">
        <f>Ticker0001_Exchange_Sheet!BX307-#REF!</f>
      </c>
      <c r="AZ238" s="51" t="e">
        <f>Ticker0001_Exchange_Sheet!BY307-#REF!</f>
      </c>
      <c r="BA238" s="51" t="e">
        <f>Ticker0001_Exchange_Sheet!BZ307-#REF!</f>
      </c>
      <c r="BB238" s="51" t="e">
        <f>Ticker0001_Exchange_Sheet!CA307-#REF!</f>
      </c>
      <c r="BC238" s="51" t="e">
        <f>Ticker0001_Exchange_Sheet!CB307-#REF!</f>
      </c>
      <c r="BD238" s="51" t="e">
        <f>Ticker0001_Exchange_Sheet!CC307-#REF!</f>
      </c>
      <c r="BE238" s="51" t="e">
        <f>Ticker0001_Exchange_Sheet!CD307-#REF!</f>
      </c>
      <c r="BF238" s="51" t="e">
        <f>Ticker0001_Exchange_Sheet!CE307-#REF!</f>
      </c>
      <c r="BG238" s="51" t="e">
        <f>Ticker0001_Exchange_Sheet!CF307-#REF!</f>
      </c>
      <c r="BH238" s="51" t="e">
        <f>Ticker0001_Exchange_Sheet!CG307-#REF!</f>
      </c>
      <c r="BI238" s="51" t="e">
        <f>Ticker0001_Exchange_Sheet!CH307-#REF!</f>
      </c>
      <c r="BJ238" s="51" t="e">
        <f>Ticker0001_Exchange_Sheet!CI307-#REF!</f>
      </c>
      <c r="BK238" s="51" t="e">
        <f>Ticker0001_Exchange_Sheet!CJ307-#REF!</f>
      </c>
      <c r="BL238" s="51" t="e">
        <f>Ticker0001_Exchange_Sheet!CK307-#REF!</f>
      </c>
      <c r="BM238" s="51" t="e">
        <f>Ticker0001_Exchange_Sheet!CL307-#REF!</f>
      </c>
      <c r="BN238" s="51" t="e">
        <f>Ticker0001_Exchange_Sheet!CM307-#REF!</f>
      </c>
      <c r="BO238" s="51" t="e">
        <f>Ticker0001_Exchange_Sheet!CN307-#REF!</f>
      </c>
      <c r="BP238" s="51" t="e">
        <f>Ticker0001_Exchange_Sheet!CO307-#REF!</f>
      </c>
      <c r="BQ238" s="51" t="e">
        <f>Ticker0001_Exchange_Sheet!CP307-#REF!</f>
      </c>
      <c r="BR238" s="51" t="e">
        <f>Ticker0001_Exchange_Sheet!CQ307-#REF!</f>
      </c>
      <c r="BS238" s="51" t="e">
        <f>Ticker0001_Exchange_Sheet!CR307-#REF!</f>
      </c>
      <c r="BT238" s="51" t="e">
        <f>Ticker0001_Exchange_Sheet!CS307-#REF!</f>
      </c>
      <c r="BU238" s="51" t="e">
        <f>Ticker0001_Exchange_Sheet!CT307-#REF!</f>
      </c>
      <c r="BV238" s="51" t="e">
        <f>Ticker0001_Exchange_Sheet!CU307-#REF!</f>
      </c>
      <c r="BW238" s="51" t="e">
        <f>Ticker0001_Exchange_Sheet!CV307-#REF!</f>
      </c>
      <c r="BX238" s="51" t="e">
        <f>Ticker0001_Exchange_Sheet!CW307-#REF!</f>
      </c>
      <c r="BY238" s="51" t="e">
        <f>Ticker0001_Exchange_Sheet!CX307-#REF!</f>
      </c>
      <c r="BZ238" s="51" t="e">
        <f>Ticker0001_Exchange_Sheet!CY307-#REF!</f>
      </c>
      <c r="CA238" s="51" t="e">
        <f>Ticker0001_Exchange_Sheet!CZ307-#REF!</f>
      </c>
      <c r="CB238" s="51" t="e">
        <f>Ticker0001_Exchange_Sheet!DA307-#REF!</f>
      </c>
      <c r="CC238" s="51" t="e">
        <f>Ticker0001_Exchange_Sheet!DB307-#REF!</f>
      </c>
      <c r="CD238" s="51" t="e">
        <f>Ticker0001_Exchange_Sheet!DC307-#REF!</f>
      </c>
      <c r="CE238" s="51" t="e">
        <f>Ticker0001_Exchange_Sheet!DD307-#REF!</f>
      </c>
      <c r="CF238" s="51" t="e">
        <f>Ticker0001_Exchange_Sheet!DE307-#REF!</f>
      </c>
    </row>
    <row r="239" spans="6:84">
      <c r="F239" s="51" t="e">
        <f>Ticker0001_Exchange_Sheet!F308-#REF!</f>
      </c>
      <c r="G239" s="51" t="e">
        <f>Ticker0001_Exchange_Sheet!G308-#REF!</f>
      </c>
      <c r="H239" s="51" t="e">
        <f>Ticker0001_Exchange_Sheet!H308-#REF!</f>
      </c>
      <c r="I239" s="51" t="e">
        <f>Ticker0001_Exchange_Sheet!I308-#REF!</f>
      </c>
      <c r="J239" s="51" t="e">
        <f>Ticker0001_Exchange_Sheet!J308-#REF!</f>
      </c>
      <c r="K239" s="51" t="e">
        <f>Ticker0001_Exchange_Sheet!K308-#REF!</f>
      </c>
      <c r="L239" s="51" t="e">
        <f>Ticker0001_Exchange_Sheet!L308-#REF!</f>
      </c>
      <c r="M239" s="51" t="e">
        <f>Ticker0001_Exchange_Sheet!M308-#REF!</f>
      </c>
      <c r="N239" s="51" t="e">
        <f>Ticker0001_Exchange_Sheet!N308-#REF!</f>
      </c>
      <c r="O239" s="51" t="e">
        <f>Ticker0001_Exchange_Sheet!O308-#REF!</f>
      </c>
      <c r="P239" s="51" t="e">
        <f>Ticker0001_Exchange_Sheet!P308-#REF!</f>
      </c>
      <c r="Q239" s="51" t="e">
        <f>Ticker0001_Exchange_Sheet!Q308-#REF!</f>
      </c>
      <c r="R239" s="51" t="e">
        <f>Ticker0001_Exchange_Sheet!R308-#REF!</f>
      </c>
      <c r="S239" s="51" t="e">
        <f>Ticker0001_Exchange_Sheet!S308-#REF!</f>
      </c>
      <c r="T239" s="51" t="e">
        <f>Ticker0001_Exchange_Sheet!T308-#REF!</f>
      </c>
      <c r="U239" s="51" t="e">
        <f>Ticker0001_Exchange_Sheet!U308-#REF!</f>
      </c>
      <c r="V239" s="51" t="e">
        <f>Ticker0001_Exchange_Sheet!V308-#REF!</f>
      </c>
      <c r="W239" s="51" t="e">
        <f>Ticker0001_Exchange_Sheet!W308-#REF!</f>
      </c>
      <c r="X239" s="51" t="e">
        <f>Ticker0001_Exchange_Sheet!AK308-#REF!</f>
      </c>
      <c r="Y239" s="51" t="e">
        <f>Ticker0001_Exchange_Sheet!AX308-#REF!</f>
      </c>
      <c r="Z239" s="51" t="e">
        <f>Ticker0001_Exchange_Sheet!AY308-#REF!</f>
      </c>
      <c r="AA239" s="51" t="e">
        <f>Ticker0001_Exchange_Sheet!AZ308-#REF!</f>
      </c>
      <c r="AB239" s="51" t="e">
        <f>Ticker0001_Exchange_Sheet!BA308-#REF!</f>
      </c>
      <c r="AC239" s="51" t="e">
        <f>Ticker0001_Exchange_Sheet!BB308-#REF!</f>
      </c>
      <c r="AD239" s="51" t="e">
        <f>Ticker0001_Exchange_Sheet!BC308-#REF!</f>
      </c>
      <c r="AE239" s="51" t="e">
        <f>Ticker0001_Exchange_Sheet!BD308-#REF!</f>
      </c>
      <c r="AF239" s="51" t="e">
        <f>Ticker0001_Exchange_Sheet!BE308-#REF!</f>
      </c>
      <c r="AG239" s="51" t="e">
        <f>Ticker0001_Exchange_Sheet!BF308-#REF!</f>
      </c>
      <c r="AH239" s="51" t="e">
        <f>Ticker0001_Exchange_Sheet!BG308-#REF!</f>
      </c>
      <c r="AI239" s="51" t="e">
        <f>Ticker0001_Exchange_Sheet!BH308-#REF!</f>
      </c>
      <c r="AJ239" s="51" t="e">
        <f>Ticker0001_Exchange_Sheet!BI308-#REF!</f>
      </c>
      <c r="AK239" s="51" t="e">
        <f>Ticker0001_Exchange_Sheet!BJ308-#REF!</f>
      </c>
      <c r="AL239" s="51" t="e">
        <f>Ticker0001_Exchange_Sheet!BK308-#REF!</f>
      </c>
      <c r="AM239" s="51" t="e">
        <f>Ticker0001_Exchange_Sheet!BL308-#REF!</f>
      </c>
      <c r="AN239" s="51" t="e">
        <f>Ticker0001_Exchange_Sheet!BM308-#REF!</f>
      </c>
      <c r="AO239" s="51" t="e">
        <f>Ticker0001_Exchange_Sheet!BN308-#REF!</f>
      </c>
      <c r="AP239" s="51" t="e">
        <f>Ticker0001_Exchange_Sheet!BO308-#REF!</f>
      </c>
      <c r="AQ239" s="51" t="e">
        <f>Ticker0001_Exchange_Sheet!BP308-#REF!</f>
      </c>
      <c r="AR239" s="51" t="e">
        <f>Ticker0001_Exchange_Sheet!BQ308-#REF!</f>
      </c>
      <c r="AS239" s="51" t="e">
        <f>Ticker0001_Exchange_Sheet!BR308-#REF!</f>
      </c>
      <c r="AT239" s="51" t="e">
        <f>Ticker0001_Exchange_Sheet!BS308-#REF!</f>
      </c>
      <c r="AU239" s="51" t="e">
        <f>Ticker0001_Exchange_Sheet!BT308-#REF!</f>
      </c>
      <c r="AV239" s="51" t="e">
        <f>Ticker0001_Exchange_Sheet!BU308-#REF!</f>
      </c>
      <c r="AW239" s="51" t="e">
        <f>Ticker0001_Exchange_Sheet!BV308-#REF!</f>
      </c>
      <c r="AX239" s="51" t="e">
        <f>Ticker0001_Exchange_Sheet!BW308-#REF!</f>
      </c>
      <c r="AY239" s="51" t="e">
        <f>Ticker0001_Exchange_Sheet!BX308-#REF!</f>
      </c>
      <c r="AZ239" s="51" t="e">
        <f>Ticker0001_Exchange_Sheet!BY308-#REF!</f>
      </c>
      <c r="BA239" s="51" t="e">
        <f>Ticker0001_Exchange_Sheet!BZ308-#REF!</f>
      </c>
      <c r="BB239" s="51" t="e">
        <f>Ticker0001_Exchange_Sheet!CA308-#REF!</f>
      </c>
      <c r="BC239" s="51" t="e">
        <f>Ticker0001_Exchange_Sheet!CB308-#REF!</f>
      </c>
      <c r="BD239" s="51" t="e">
        <f>Ticker0001_Exchange_Sheet!CC308-#REF!</f>
      </c>
      <c r="BE239" s="51" t="e">
        <f>Ticker0001_Exchange_Sheet!CD308-#REF!</f>
      </c>
      <c r="BF239" s="51" t="e">
        <f>Ticker0001_Exchange_Sheet!CE308-#REF!</f>
      </c>
      <c r="BG239" s="51" t="e">
        <f>Ticker0001_Exchange_Sheet!CF308-#REF!</f>
      </c>
      <c r="BH239" s="51" t="e">
        <f>Ticker0001_Exchange_Sheet!CG308-#REF!</f>
      </c>
      <c r="BI239" s="51" t="e">
        <f>Ticker0001_Exchange_Sheet!CH308-#REF!</f>
      </c>
      <c r="BJ239" s="51" t="e">
        <f>Ticker0001_Exchange_Sheet!CI308-#REF!</f>
      </c>
      <c r="BK239" s="51" t="e">
        <f>Ticker0001_Exchange_Sheet!CJ308-#REF!</f>
      </c>
      <c r="BL239" s="51" t="e">
        <f>Ticker0001_Exchange_Sheet!CK308-#REF!</f>
      </c>
      <c r="BM239" s="51" t="e">
        <f>Ticker0001_Exchange_Sheet!CL308-#REF!</f>
      </c>
      <c r="BN239" s="51" t="e">
        <f>Ticker0001_Exchange_Sheet!CM308-#REF!</f>
      </c>
      <c r="BO239" s="51" t="e">
        <f>Ticker0001_Exchange_Sheet!CN308-#REF!</f>
      </c>
      <c r="BP239" s="51" t="e">
        <f>Ticker0001_Exchange_Sheet!CO308-#REF!</f>
      </c>
      <c r="BQ239" s="51" t="e">
        <f>Ticker0001_Exchange_Sheet!CP308-#REF!</f>
      </c>
      <c r="BR239" s="51" t="e">
        <f>Ticker0001_Exchange_Sheet!CQ308-#REF!</f>
      </c>
      <c r="BS239" s="51" t="e">
        <f>Ticker0001_Exchange_Sheet!CR308-#REF!</f>
      </c>
      <c r="BT239" s="51" t="e">
        <f>Ticker0001_Exchange_Sheet!CS308-#REF!</f>
      </c>
      <c r="BU239" s="51" t="e">
        <f>Ticker0001_Exchange_Sheet!CT308-#REF!</f>
      </c>
      <c r="BV239" s="51" t="e">
        <f>Ticker0001_Exchange_Sheet!CU308-#REF!</f>
      </c>
      <c r="BW239" s="51" t="e">
        <f>Ticker0001_Exchange_Sheet!CV308-#REF!</f>
      </c>
      <c r="BX239" s="51" t="e">
        <f>Ticker0001_Exchange_Sheet!CW308-#REF!</f>
      </c>
      <c r="BY239" s="51" t="e">
        <f>Ticker0001_Exchange_Sheet!CX308-#REF!</f>
      </c>
      <c r="BZ239" s="51" t="e">
        <f>Ticker0001_Exchange_Sheet!CY308-#REF!</f>
      </c>
      <c r="CA239" s="51" t="e">
        <f>Ticker0001_Exchange_Sheet!CZ308-#REF!</f>
      </c>
      <c r="CB239" s="51" t="e">
        <f>Ticker0001_Exchange_Sheet!DA308-#REF!</f>
      </c>
      <c r="CC239" s="51" t="e">
        <f>Ticker0001_Exchange_Sheet!DB308-#REF!</f>
      </c>
      <c r="CD239" s="51" t="e">
        <f>Ticker0001_Exchange_Sheet!DC308-#REF!</f>
      </c>
      <c r="CE239" s="51" t="e">
        <f>Ticker0001_Exchange_Sheet!DD308-#REF!</f>
      </c>
      <c r="CF239" s="51" t="e">
        <f>Ticker0001_Exchange_Sheet!DE308-#REF!</f>
      </c>
    </row>
    <row r="240" spans="6:84">
      <c r="F240" s="51" t="e">
        <f>Ticker0001_Exchange_Sheet!F309-#REF!</f>
      </c>
      <c r="G240" s="51" t="e">
        <f>Ticker0001_Exchange_Sheet!G309-#REF!</f>
      </c>
      <c r="H240" s="51" t="e">
        <f>Ticker0001_Exchange_Sheet!H309-#REF!</f>
      </c>
      <c r="I240" s="51" t="e">
        <f>Ticker0001_Exchange_Sheet!I309-#REF!</f>
      </c>
      <c r="J240" s="51" t="e">
        <f>Ticker0001_Exchange_Sheet!J309-#REF!</f>
      </c>
      <c r="K240" s="51" t="e">
        <f>Ticker0001_Exchange_Sheet!K309-#REF!</f>
      </c>
      <c r="L240" s="51" t="e">
        <f>Ticker0001_Exchange_Sheet!L309-#REF!</f>
      </c>
      <c r="M240" s="51" t="e">
        <f>Ticker0001_Exchange_Sheet!M309-#REF!</f>
      </c>
      <c r="N240" s="51" t="e">
        <f>Ticker0001_Exchange_Sheet!N309-#REF!</f>
      </c>
      <c r="O240" s="51" t="e">
        <f>Ticker0001_Exchange_Sheet!O309-#REF!</f>
      </c>
      <c r="P240" s="51" t="e">
        <f>Ticker0001_Exchange_Sheet!P309-#REF!</f>
      </c>
      <c r="Q240" s="51" t="e">
        <f>Ticker0001_Exchange_Sheet!Q309-#REF!</f>
      </c>
      <c r="R240" s="51" t="e">
        <f>Ticker0001_Exchange_Sheet!R309-#REF!</f>
      </c>
      <c r="S240" s="51" t="e">
        <f>Ticker0001_Exchange_Sheet!S309-#REF!</f>
      </c>
      <c r="T240" s="51" t="e">
        <f>Ticker0001_Exchange_Sheet!T309-#REF!</f>
      </c>
      <c r="U240" s="51" t="e">
        <f>Ticker0001_Exchange_Sheet!U309-#REF!</f>
      </c>
      <c r="V240" s="51" t="e">
        <f>Ticker0001_Exchange_Sheet!V309-#REF!</f>
      </c>
      <c r="W240" s="51" t="e">
        <f>Ticker0001_Exchange_Sheet!W309-#REF!</f>
      </c>
      <c r="X240" s="51" t="e">
        <f>Ticker0001_Exchange_Sheet!AK309-#REF!</f>
      </c>
      <c r="Y240" s="51" t="e">
        <f>Ticker0001_Exchange_Sheet!AX309-#REF!</f>
      </c>
      <c r="Z240" s="51" t="e">
        <f>Ticker0001_Exchange_Sheet!AY309-#REF!</f>
      </c>
      <c r="AA240" s="51" t="e">
        <f>Ticker0001_Exchange_Sheet!AZ309-#REF!</f>
      </c>
      <c r="AB240" s="51" t="e">
        <f>Ticker0001_Exchange_Sheet!BA309-#REF!</f>
      </c>
      <c r="AC240" s="51" t="e">
        <f>Ticker0001_Exchange_Sheet!BB309-#REF!</f>
      </c>
      <c r="AD240" s="51" t="e">
        <f>Ticker0001_Exchange_Sheet!BC309-#REF!</f>
      </c>
      <c r="AE240" s="51" t="e">
        <f>Ticker0001_Exchange_Sheet!BD309-#REF!</f>
      </c>
      <c r="AF240" s="51" t="e">
        <f>Ticker0001_Exchange_Sheet!BE309-#REF!</f>
      </c>
      <c r="AG240" s="51" t="e">
        <f>Ticker0001_Exchange_Sheet!BF309-#REF!</f>
      </c>
      <c r="AH240" s="51" t="e">
        <f>Ticker0001_Exchange_Sheet!BG309-#REF!</f>
      </c>
      <c r="AI240" s="51" t="e">
        <f>Ticker0001_Exchange_Sheet!BH309-#REF!</f>
      </c>
      <c r="AJ240" s="51" t="e">
        <f>Ticker0001_Exchange_Sheet!BI309-#REF!</f>
      </c>
      <c r="AK240" s="51" t="e">
        <f>Ticker0001_Exchange_Sheet!BJ309-#REF!</f>
      </c>
      <c r="AL240" s="51" t="e">
        <f>Ticker0001_Exchange_Sheet!BK309-#REF!</f>
      </c>
      <c r="AM240" s="51" t="e">
        <f>Ticker0001_Exchange_Sheet!BL309-#REF!</f>
      </c>
      <c r="AN240" s="51" t="e">
        <f>Ticker0001_Exchange_Sheet!BM309-#REF!</f>
      </c>
      <c r="AO240" s="51" t="e">
        <f>Ticker0001_Exchange_Sheet!BN309-#REF!</f>
      </c>
      <c r="AP240" s="51" t="e">
        <f>Ticker0001_Exchange_Sheet!BO309-#REF!</f>
      </c>
      <c r="AQ240" s="51" t="e">
        <f>Ticker0001_Exchange_Sheet!BP309-#REF!</f>
      </c>
      <c r="AR240" s="51" t="e">
        <f>Ticker0001_Exchange_Sheet!BQ309-#REF!</f>
      </c>
      <c r="AS240" s="51" t="e">
        <f>Ticker0001_Exchange_Sheet!BR309-#REF!</f>
      </c>
      <c r="AT240" s="51" t="e">
        <f>Ticker0001_Exchange_Sheet!BS309-#REF!</f>
      </c>
      <c r="AU240" s="51" t="e">
        <f>Ticker0001_Exchange_Sheet!BT309-#REF!</f>
      </c>
      <c r="AV240" s="51" t="e">
        <f>Ticker0001_Exchange_Sheet!BU309-#REF!</f>
      </c>
      <c r="AW240" s="51" t="e">
        <f>Ticker0001_Exchange_Sheet!BV309-#REF!</f>
      </c>
      <c r="AX240" s="51" t="e">
        <f>Ticker0001_Exchange_Sheet!BW309-#REF!</f>
      </c>
      <c r="AY240" s="51" t="e">
        <f>Ticker0001_Exchange_Sheet!BX309-#REF!</f>
      </c>
      <c r="AZ240" s="51" t="e">
        <f>Ticker0001_Exchange_Sheet!BY309-#REF!</f>
      </c>
      <c r="BA240" s="51" t="e">
        <f>Ticker0001_Exchange_Sheet!BZ309-#REF!</f>
      </c>
      <c r="BB240" s="51" t="e">
        <f>Ticker0001_Exchange_Sheet!CA309-#REF!</f>
      </c>
      <c r="BC240" s="51" t="e">
        <f>Ticker0001_Exchange_Sheet!CB309-#REF!</f>
      </c>
      <c r="BD240" s="51" t="e">
        <f>Ticker0001_Exchange_Sheet!CC309-#REF!</f>
      </c>
      <c r="BE240" s="51" t="e">
        <f>Ticker0001_Exchange_Sheet!CD309-#REF!</f>
      </c>
      <c r="BF240" s="51" t="e">
        <f>Ticker0001_Exchange_Sheet!CE309-#REF!</f>
      </c>
      <c r="BG240" s="51" t="e">
        <f>Ticker0001_Exchange_Sheet!CF309-#REF!</f>
      </c>
      <c r="BH240" s="51" t="e">
        <f>Ticker0001_Exchange_Sheet!CG309-#REF!</f>
      </c>
      <c r="BI240" s="51" t="e">
        <f>Ticker0001_Exchange_Sheet!CH309-#REF!</f>
      </c>
      <c r="BJ240" s="51" t="e">
        <f>Ticker0001_Exchange_Sheet!CI309-#REF!</f>
      </c>
      <c r="BK240" s="51" t="e">
        <f>Ticker0001_Exchange_Sheet!CJ309-#REF!</f>
      </c>
      <c r="BL240" s="51" t="e">
        <f>Ticker0001_Exchange_Sheet!CK309-#REF!</f>
      </c>
      <c r="BM240" s="51" t="e">
        <f>Ticker0001_Exchange_Sheet!CL309-#REF!</f>
      </c>
      <c r="BN240" s="51" t="e">
        <f>Ticker0001_Exchange_Sheet!CM309-#REF!</f>
      </c>
      <c r="BO240" s="51" t="e">
        <f>Ticker0001_Exchange_Sheet!CN309-#REF!</f>
      </c>
      <c r="BP240" s="51" t="e">
        <f>Ticker0001_Exchange_Sheet!CO309-#REF!</f>
      </c>
      <c r="BQ240" s="51" t="e">
        <f>Ticker0001_Exchange_Sheet!CP309-#REF!</f>
      </c>
      <c r="BR240" s="51" t="e">
        <f>Ticker0001_Exchange_Sheet!CQ309-#REF!</f>
      </c>
      <c r="BS240" s="51" t="e">
        <f>Ticker0001_Exchange_Sheet!CR309-#REF!</f>
      </c>
      <c r="BT240" s="51" t="e">
        <f>Ticker0001_Exchange_Sheet!CS309-#REF!</f>
      </c>
      <c r="BU240" s="51" t="e">
        <f>Ticker0001_Exchange_Sheet!CT309-#REF!</f>
      </c>
      <c r="BV240" s="51" t="e">
        <f>Ticker0001_Exchange_Sheet!CU309-#REF!</f>
      </c>
      <c r="BW240" s="51" t="e">
        <f>Ticker0001_Exchange_Sheet!CV309-#REF!</f>
      </c>
      <c r="BX240" s="51" t="e">
        <f>Ticker0001_Exchange_Sheet!CW309-#REF!</f>
      </c>
      <c r="BY240" s="51" t="e">
        <f>Ticker0001_Exchange_Sheet!CX309-#REF!</f>
      </c>
      <c r="BZ240" s="51" t="e">
        <f>Ticker0001_Exchange_Sheet!CY309-#REF!</f>
      </c>
      <c r="CA240" s="51" t="e">
        <f>Ticker0001_Exchange_Sheet!CZ309-#REF!</f>
      </c>
      <c r="CB240" s="51" t="e">
        <f>Ticker0001_Exchange_Sheet!DA309-#REF!</f>
      </c>
      <c r="CC240" s="51" t="e">
        <f>Ticker0001_Exchange_Sheet!DB309-#REF!</f>
      </c>
      <c r="CD240" s="51" t="e">
        <f>Ticker0001_Exchange_Sheet!DC309-#REF!</f>
      </c>
      <c r="CE240" s="51" t="e">
        <f>Ticker0001_Exchange_Sheet!DD309-#REF!</f>
      </c>
      <c r="CF240" s="51" t="e">
        <f>Ticker0001_Exchange_Sheet!DE309-#REF!</f>
      </c>
    </row>
    <row r="241" spans="6:84">
      <c r="F241" s="51" t="e">
        <f>Ticker0001_Exchange_Sheet!F310-#REF!</f>
      </c>
      <c r="G241" s="51" t="e">
        <f>Ticker0001_Exchange_Sheet!G310-#REF!</f>
      </c>
      <c r="H241" s="51" t="e">
        <f>Ticker0001_Exchange_Sheet!H310-#REF!</f>
      </c>
      <c r="I241" s="51" t="e">
        <f>Ticker0001_Exchange_Sheet!I310-#REF!</f>
      </c>
      <c r="J241" s="51" t="e">
        <f>Ticker0001_Exchange_Sheet!J310-#REF!</f>
      </c>
      <c r="K241" s="51" t="e">
        <f>Ticker0001_Exchange_Sheet!K310-#REF!</f>
      </c>
      <c r="L241" s="51" t="e">
        <f>Ticker0001_Exchange_Sheet!L310-#REF!</f>
      </c>
      <c r="M241" s="51" t="e">
        <f>Ticker0001_Exchange_Sheet!M310-#REF!</f>
      </c>
      <c r="N241" s="51" t="e">
        <f>Ticker0001_Exchange_Sheet!N310-#REF!</f>
      </c>
      <c r="O241" s="51" t="e">
        <f>Ticker0001_Exchange_Sheet!O310-#REF!</f>
      </c>
      <c r="P241" s="51" t="e">
        <f>Ticker0001_Exchange_Sheet!P310-#REF!</f>
      </c>
      <c r="Q241" s="51" t="e">
        <f>Ticker0001_Exchange_Sheet!Q310-#REF!</f>
      </c>
      <c r="R241" s="51" t="e">
        <f>Ticker0001_Exchange_Sheet!R310-#REF!</f>
      </c>
      <c r="S241" s="51" t="e">
        <f>Ticker0001_Exchange_Sheet!S310-#REF!</f>
      </c>
      <c r="T241" s="51" t="e">
        <f>Ticker0001_Exchange_Sheet!T310-#REF!</f>
      </c>
      <c r="U241" s="51" t="e">
        <f>Ticker0001_Exchange_Sheet!U310-#REF!</f>
      </c>
      <c r="V241" s="51" t="e">
        <f>Ticker0001_Exchange_Sheet!V310-#REF!</f>
      </c>
      <c r="W241" s="51" t="e">
        <f>Ticker0001_Exchange_Sheet!W310-#REF!</f>
      </c>
      <c r="X241" s="51" t="e">
        <f>Ticker0001_Exchange_Sheet!AK310-#REF!</f>
      </c>
      <c r="Y241" s="51" t="e">
        <f>Ticker0001_Exchange_Sheet!AX310-#REF!</f>
      </c>
      <c r="Z241" s="51" t="e">
        <f>Ticker0001_Exchange_Sheet!AY310-#REF!</f>
      </c>
      <c r="AA241" s="51" t="e">
        <f>Ticker0001_Exchange_Sheet!AZ310-#REF!</f>
      </c>
      <c r="AB241" s="51" t="e">
        <f>Ticker0001_Exchange_Sheet!BA310-#REF!</f>
      </c>
      <c r="AC241" s="51" t="e">
        <f>Ticker0001_Exchange_Sheet!BB310-#REF!</f>
      </c>
      <c r="AD241" s="51" t="e">
        <f>Ticker0001_Exchange_Sheet!BC310-#REF!</f>
      </c>
      <c r="AE241" s="51" t="e">
        <f>Ticker0001_Exchange_Sheet!BD310-#REF!</f>
      </c>
      <c r="AF241" s="51" t="e">
        <f>Ticker0001_Exchange_Sheet!BE310-#REF!</f>
      </c>
      <c r="AG241" s="51" t="e">
        <f>Ticker0001_Exchange_Sheet!BF310-#REF!</f>
      </c>
      <c r="AH241" s="51" t="e">
        <f>Ticker0001_Exchange_Sheet!BG310-#REF!</f>
      </c>
      <c r="AI241" s="51" t="e">
        <f>Ticker0001_Exchange_Sheet!BH310-#REF!</f>
      </c>
      <c r="AJ241" s="51" t="e">
        <f>Ticker0001_Exchange_Sheet!BI310-#REF!</f>
      </c>
      <c r="AK241" s="51" t="e">
        <f>Ticker0001_Exchange_Sheet!BJ310-#REF!</f>
      </c>
      <c r="AL241" s="51" t="e">
        <f>Ticker0001_Exchange_Sheet!BK310-#REF!</f>
      </c>
      <c r="AM241" s="51" t="e">
        <f>Ticker0001_Exchange_Sheet!BL310-#REF!</f>
      </c>
      <c r="AN241" s="51" t="e">
        <f>Ticker0001_Exchange_Sheet!BM310-#REF!</f>
      </c>
      <c r="AO241" s="51" t="e">
        <f>Ticker0001_Exchange_Sheet!BN310-#REF!</f>
      </c>
      <c r="AP241" s="51" t="e">
        <f>Ticker0001_Exchange_Sheet!BO310-#REF!</f>
      </c>
      <c r="AQ241" s="51" t="e">
        <f>Ticker0001_Exchange_Sheet!BP310-#REF!</f>
      </c>
      <c r="AR241" s="51" t="e">
        <f>Ticker0001_Exchange_Sheet!BQ310-#REF!</f>
      </c>
      <c r="AS241" s="51" t="e">
        <f>Ticker0001_Exchange_Sheet!BR310-#REF!</f>
      </c>
      <c r="AT241" s="51" t="e">
        <f>Ticker0001_Exchange_Sheet!BS310-#REF!</f>
      </c>
      <c r="AU241" s="51" t="e">
        <f>Ticker0001_Exchange_Sheet!BT310-#REF!</f>
      </c>
      <c r="AV241" s="51" t="e">
        <f>Ticker0001_Exchange_Sheet!BU310-#REF!</f>
      </c>
      <c r="AW241" s="51" t="e">
        <f>Ticker0001_Exchange_Sheet!BV310-#REF!</f>
      </c>
      <c r="AX241" s="51" t="e">
        <f>Ticker0001_Exchange_Sheet!BW310-#REF!</f>
      </c>
      <c r="AY241" s="51" t="e">
        <f>Ticker0001_Exchange_Sheet!BX310-#REF!</f>
      </c>
      <c r="AZ241" s="51" t="e">
        <f>Ticker0001_Exchange_Sheet!BY310-#REF!</f>
      </c>
      <c r="BA241" s="51" t="e">
        <f>Ticker0001_Exchange_Sheet!BZ310-#REF!</f>
      </c>
      <c r="BB241" s="51" t="e">
        <f>Ticker0001_Exchange_Sheet!CA310-#REF!</f>
      </c>
      <c r="BC241" s="51" t="e">
        <f>Ticker0001_Exchange_Sheet!CB310-#REF!</f>
      </c>
      <c r="BD241" s="51" t="e">
        <f>Ticker0001_Exchange_Sheet!CC310-#REF!</f>
      </c>
      <c r="BE241" s="51" t="e">
        <f>Ticker0001_Exchange_Sheet!CD310-#REF!</f>
      </c>
      <c r="BF241" s="51" t="e">
        <f>Ticker0001_Exchange_Sheet!CE310-#REF!</f>
      </c>
      <c r="BG241" s="51" t="e">
        <f>Ticker0001_Exchange_Sheet!CF310-#REF!</f>
      </c>
      <c r="BH241" s="51" t="e">
        <f>Ticker0001_Exchange_Sheet!CG310-#REF!</f>
      </c>
      <c r="BI241" s="51" t="e">
        <f>Ticker0001_Exchange_Sheet!CH310-#REF!</f>
      </c>
      <c r="BJ241" s="51" t="e">
        <f>Ticker0001_Exchange_Sheet!CI310-#REF!</f>
      </c>
      <c r="BK241" s="51" t="e">
        <f>Ticker0001_Exchange_Sheet!CJ310-#REF!</f>
      </c>
      <c r="BL241" s="51" t="e">
        <f>Ticker0001_Exchange_Sheet!CK310-#REF!</f>
      </c>
      <c r="BM241" s="51" t="e">
        <f>Ticker0001_Exchange_Sheet!CL310-#REF!</f>
      </c>
      <c r="BN241" s="51" t="e">
        <f>Ticker0001_Exchange_Sheet!CM310-#REF!</f>
      </c>
      <c r="BO241" s="51" t="e">
        <f>Ticker0001_Exchange_Sheet!CN310-#REF!</f>
      </c>
      <c r="BP241" s="51" t="e">
        <f>Ticker0001_Exchange_Sheet!CO310-#REF!</f>
      </c>
      <c r="BQ241" s="51" t="e">
        <f>Ticker0001_Exchange_Sheet!CP310-#REF!</f>
      </c>
      <c r="BR241" s="51" t="e">
        <f>Ticker0001_Exchange_Sheet!CQ310-#REF!</f>
      </c>
      <c r="BS241" s="51" t="e">
        <f>Ticker0001_Exchange_Sheet!CR310-#REF!</f>
      </c>
      <c r="BT241" s="51" t="e">
        <f>Ticker0001_Exchange_Sheet!CS310-#REF!</f>
      </c>
      <c r="BU241" s="51" t="e">
        <f>Ticker0001_Exchange_Sheet!CT310-#REF!</f>
      </c>
      <c r="BV241" s="51" t="e">
        <f>Ticker0001_Exchange_Sheet!CU310-#REF!</f>
      </c>
      <c r="BW241" s="51" t="e">
        <f>Ticker0001_Exchange_Sheet!CV310-#REF!</f>
      </c>
      <c r="BX241" s="51" t="e">
        <f>Ticker0001_Exchange_Sheet!CW310-#REF!</f>
      </c>
      <c r="BY241" s="51" t="e">
        <f>Ticker0001_Exchange_Sheet!CX310-#REF!</f>
      </c>
      <c r="BZ241" s="51" t="e">
        <f>Ticker0001_Exchange_Sheet!CY310-#REF!</f>
      </c>
      <c r="CA241" s="51" t="e">
        <f>Ticker0001_Exchange_Sheet!CZ310-#REF!</f>
      </c>
      <c r="CB241" s="51" t="e">
        <f>Ticker0001_Exchange_Sheet!DA310-#REF!</f>
      </c>
      <c r="CC241" s="51" t="e">
        <f>Ticker0001_Exchange_Sheet!DB310-#REF!</f>
      </c>
      <c r="CD241" s="51" t="e">
        <f>Ticker0001_Exchange_Sheet!DC310-#REF!</f>
      </c>
      <c r="CE241" s="51" t="e">
        <f>Ticker0001_Exchange_Sheet!DD310-#REF!</f>
      </c>
      <c r="CF241" s="51" t="e">
        <f>Ticker0001_Exchange_Sheet!DE310-#REF!</f>
      </c>
    </row>
    <row r="242" spans="6:84">
      <c r="F242" s="51" t="e">
        <f>Ticker0001_Exchange_Sheet!F311-#REF!</f>
      </c>
      <c r="G242" s="51" t="e">
        <f>Ticker0001_Exchange_Sheet!G311-#REF!</f>
      </c>
      <c r="H242" s="51" t="e">
        <f>Ticker0001_Exchange_Sheet!H311-#REF!</f>
      </c>
      <c r="I242" s="51" t="e">
        <f>Ticker0001_Exchange_Sheet!I311-#REF!</f>
      </c>
      <c r="J242" s="51" t="e">
        <f>Ticker0001_Exchange_Sheet!J311-#REF!</f>
      </c>
      <c r="K242" s="51" t="e">
        <f>Ticker0001_Exchange_Sheet!K311-#REF!</f>
      </c>
      <c r="L242" s="51" t="e">
        <f>Ticker0001_Exchange_Sheet!L311-#REF!</f>
      </c>
      <c r="M242" s="51" t="e">
        <f>Ticker0001_Exchange_Sheet!M311-#REF!</f>
      </c>
      <c r="N242" s="51" t="e">
        <f>Ticker0001_Exchange_Sheet!N311-#REF!</f>
      </c>
      <c r="O242" s="51" t="e">
        <f>Ticker0001_Exchange_Sheet!O311-#REF!</f>
      </c>
      <c r="P242" s="51" t="e">
        <f>Ticker0001_Exchange_Sheet!P311-#REF!</f>
      </c>
      <c r="Q242" s="51" t="e">
        <f>Ticker0001_Exchange_Sheet!Q311-#REF!</f>
      </c>
      <c r="R242" s="51" t="e">
        <f>Ticker0001_Exchange_Sheet!R311-#REF!</f>
      </c>
      <c r="S242" s="51" t="e">
        <f>Ticker0001_Exchange_Sheet!S311-#REF!</f>
      </c>
      <c r="T242" s="51" t="e">
        <f>Ticker0001_Exchange_Sheet!T311-#REF!</f>
      </c>
      <c r="U242" s="51" t="e">
        <f>Ticker0001_Exchange_Sheet!U311-#REF!</f>
      </c>
      <c r="V242" s="51" t="e">
        <f>Ticker0001_Exchange_Sheet!V311-#REF!</f>
      </c>
      <c r="W242" s="51" t="e">
        <f>Ticker0001_Exchange_Sheet!W311-#REF!</f>
      </c>
      <c r="X242" s="51" t="e">
        <f>Ticker0001_Exchange_Sheet!AK311-#REF!</f>
      </c>
      <c r="Y242" s="51" t="e">
        <f>Ticker0001_Exchange_Sheet!AX311-#REF!</f>
      </c>
      <c r="Z242" s="51" t="e">
        <f>Ticker0001_Exchange_Sheet!AY311-#REF!</f>
      </c>
      <c r="AA242" s="51" t="e">
        <f>Ticker0001_Exchange_Sheet!AZ311-#REF!</f>
      </c>
      <c r="AB242" s="51" t="e">
        <f>Ticker0001_Exchange_Sheet!BA311-#REF!</f>
      </c>
      <c r="AC242" s="51" t="e">
        <f>Ticker0001_Exchange_Sheet!BB311-#REF!</f>
      </c>
      <c r="AD242" s="51" t="e">
        <f>Ticker0001_Exchange_Sheet!BC311-#REF!</f>
      </c>
      <c r="AE242" s="51" t="e">
        <f>Ticker0001_Exchange_Sheet!BD311-#REF!</f>
      </c>
      <c r="AF242" s="51" t="e">
        <f>Ticker0001_Exchange_Sheet!BE311-#REF!</f>
      </c>
      <c r="AG242" s="51" t="e">
        <f>Ticker0001_Exchange_Sheet!BF311-#REF!</f>
      </c>
      <c r="AH242" s="51" t="e">
        <f>Ticker0001_Exchange_Sheet!BG311-#REF!</f>
      </c>
      <c r="AI242" s="51" t="e">
        <f>Ticker0001_Exchange_Sheet!BH311-#REF!</f>
      </c>
      <c r="AJ242" s="51" t="e">
        <f>Ticker0001_Exchange_Sheet!BI311-#REF!</f>
      </c>
      <c r="AK242" s="51" t="e">
        <f>Ticker0001_Exchange_Sheet!BJ311-#REF!</f>
      </c>
      <c r="AL242" s="51" t="e">
        <f>Ticker0001_Exchange_Sheet!BK311-#REF!</f>
      </c>
      <c r="AM242" s="51" t="e">
        <f>Ticker0001_Exchange_Sheet!BL311-#REF!</f>
      </c>
      <c r="AN242" s="51" t="e">
        <f>Ticker0001_Exchange_Sheet!BM311-#REF!</f>
      </c>
      <c r="AO242" s="51" t="e">
        <f>Ticker0001_Exchange_Sheet!BN311-#REF!</f>
      </c>
      <c r="AP242" s="51" t="e">
        <f>Ticker0001_Exchange_Sheet!BO311-#REF!</f>
      </c>
      <c r="AQ242" s="51" t="e">
        <f>Ticker0001_Exchange_Sheet!BP311-#REF!</f>
      </c>
      <c r="AR242" s="51" t="e">
        <f>Ticker0001_Exchange_Sheet!BQ311-#REF!</f>
      </c>
      <c r="AS242" s="51" t="e">
        <f>Ticker0001_Exchange_Sheet!BR311-#REF!</f>
      </c>
      <c r="AT242" s="51" t="e">
        <f>Ticker0001_Exchange_Sheet!BS311-#REF!</f>
      </c>
      <c r="AU242" s="51" t="e">
        <f>Ticker0001_Exchange_Sheet!BT311-#REF!</f>
      </c>
      <c r="AV242" s="51" t="e">
        <f>Ticker0001_Exchange_Sheet!BU311-#REF!</f>
      </c>
      <c r="AW242" s="51" t="e">
        <f>Ticker0001_Exchange_Sheet!BV311-#REF!</f>
      </c>
      <c r="AX242" s="51" t="e">
        <f>Ticker0001_Exchange_Sheet!BW311-#REF!</f>
      </c>
      <c r="AY242" s="51" t="e">
        <f>Ticker0001_Exchange_Sheet!BX311-#REF!</f>
      </c>
      <c r="AZ242" s="51" t="e">
        <f>Ticker0001_Exchange_Sheet!BY311-#REF!</f>
      </c>
      <c r="BA242" s="51" t="e">
        <f>Ticker0001_Exchange_Sheet!BZ311-#REF!</f>
      </c>
      <c r="BB242" s="51" t="e">
        <f>Ticker0001_Exchange_Sheet!CA311-#REF!</f>
      </c>
      <c r="BC242" s="51" t="e">
        <f>Ticker0001_Exchange_Sheet!CB311-#REF!</f>
      </c>
      <c r="BD242" s="51" t="e">
        <f>Ticker0001_Exchange_Sheet!CC311-#REF!</f>
      </c>
      <c r="BE242" s="51" t="e">
        <f>Ticker0001_Exchange_Sheet!CD311-#REF!</f>
      </c>
      <c r="BF242" s="51" t="e">
        <f>Ticker0001_Exchange_Sheet!CE311-#REF!</f>
      </c>
      <c r="BG242" s="51" t="e">
        <f>Ticker0001_Exchange_Sheet!CF311-#REF!</f>
      </c>
      <c r="BH242" s="51" t="e">
        <f>Ticker0001_Exchange_Sheet!CG311-#REF!</f>
      </c>
      <c r="BI242" s="51" t="e">
        <f>Ticker0001_Exchange_Sheet!CH311-#REF!</f>
      </c>
      <c r="BJ242" s="51" t="e">
        <f>Ticker0001_Exchange_Sheet!CI311-#REF!</f>
      </c>
      <c r="BK242" s="51" t="e">
        <f>Ticker0001_Exchange_Sheet!CJ311-#REF!</f>
      </c>
      <c r="BL242" s="51" t="e">
        <f>Ticker0001_Exchange_Sheet!CK311-#REF!</f>
      </c>
      <c r="BM242" s="51" t="e">
        <f>Ticker0001_Exchange_Sheet!CL311-#REF!</f>
      </c>
      <c r="BN242" s="51" t="e">
        <f>Ticker0001_Exchange_Sheet!CM311-#REF!</f>
      </c>
      <c r="BO242" s="51" t="e">
        <f>Ticker0001_Exchange_Sheet!CN311-#REF!</f>
      </c>
      <c r="BP242" s="51" t="e">
        <f>Ticker0001_Exchange_Sheet!CO311-#REF!</f>
      </c>
      <c r="BQ242" s="51" t="e">
        <f>Ticker0001_Exchange_Sheet!CP311-#REF!</f>
      </c>
      <c r="BR242" s="51" t="e">
        <f>Ticker0001_Exchange_Sheet!CQ311-#REF!</f>
      </c>
      <c r="BS242" s="51" t="e">
        <f>Ticker0001_Exchange_Sheet!CR311-#REF!</f>
      </c>
      <c r="BT242" s="51" t="e">
        <f>Ticker0001_Exchange_Sheet!CS311-#REF!</f>
      </c>
      <c r="BU242" s="51" t="e">
        <f>Ticker0001_Exchange_Sheet!CT311-#REF!</f>
      </c>
      <c r="BV242" s="51" t="e">
        <f>Ticker0001_Exchange_Sheet!CU311-#REF!</f>
      </c>
      <c r="BW242" s="51" t="e">
        <f>Ticker0001_Exchange_Sheet!CV311-#REF!</f>
      </c>
      <c r="BX242" s="51" t="e">
        <f>Ticker0001_Exchange_Sheet!CW311-#REF!</f>
      </c>
      <c r="BY242" s="51" t="e">
        <f>Ticker0001_Exchange_Sheet!CX311-#REF!</f>
      </c>
      <c r="BZ242" s="51" t="e">
        <f>Ticker0001_Exchange_Sheet!CY311-#REF!</f>
      </c>
      <c r="CA242" s="51" t="e">
        <f>Ticker0001_Exchange_Sheet!CZ311-#REF!</f>
      </c>
      <c r="CB242" s="51" t="e">
        <f>Ticker0001_Exchange_Sheet!DA311-#REF!</f>
      </c>
      <c r="CC242" s="51" t="e">
        <f>Ticker0001_Exchange_Sheet!DB311-#REF!</f>
      </c>
      <c r="CD242" s="51" t="e">
        <f>Ticker0001_Exchange_Sheet!DC311-#REF!</f>
      </c>
      <c r="CE242" s="51" t="e">
        <f>Ticker0001_Exchange_Sheet!DD311-#REF!</f>
      </c>
      <c r="CF242" s="51" t="e">
        <f>Ticker0001_Exchange_Sheet!DE311-#REF!</f>
      </c>
    </row>
    <row r="243" spans="6:84">
      <c r="F243" s="51" t="e">
        <f>Ticker0001_Exchange_Sheet!F312-#REF!</f>
      </c>
      <c r="G243" s="51" t="e">
        <f>Ticker0001_Exchange_Sheet!G312-#REF!</f>
      </c>
      <c r="H243" s="51" t="e">
        <f>Ticker0001_Exchange_Sheet!H312-#REF!</f>
      </c>
      <c r="I243" s="51" t="e">
        <f>Ticker0001_Exchange_Sheet!I312-#REF!</f>
      </c>
      <c r="J243" s="51" t="e">
        <f>Ticker0001_Exchange_Sheet!J312-#REF!</f>
      </c>
      <c r="K243" s="51" t="e">
        <f>Ticker0001_Exchange_Sheet!K312-#REF!</f>
      </c>
      <c r="L243" s="51" t="e">
        <f>Ticker0001_Exchange_Sheet!L312-#REF!</f>
      </c>
      <c r="M243" s="51" t="e">
        <f>Ticker0001_Exchange_Sheet!M312-#REF!</f>
      </c>
      <c r="N243" s="51" t="e">
        <f>Ticker0001_Exchange_Sheet!N312-#REF!</f>
      </c>
      <c r="O243" s="51" t="e">
        <f>Ticker0001_Exchange_Sheet!O312-#REF!</f>
      </c>
      <c r="P243" s="51" t="e">
        <f>Ticker0001_Exchange_Sheet!P312-#REF!</f>
      </c>
      <c r="Q243" s="51" t="e">
        <f>Ticker0001_Exchange_Sheet!Q312-#REF!</f>
      </c>
      <c r="R243" s="51" t="e">
        <f>Ticker0001_Exchange_Sheet!R312-#REF!</f>
      </c>
      <c r="S243" s="51" t="e">
        <f>Ticker0001_Exchange_Sheet!S312-#REF!</f>
      </c>
      <c r="T243" s="51" t="e">
        <f>Ticker0001_Exchange_Sheet!T312-#REF!</f>
      </c>
      <c r="U243" s="51" t="e">
        <f>Ticker0001_Exchange_Sheet!U312-#REF!</f>
      </c>
      <c r="V243" s="51" t="e">
        <f>Ticker0001_Exchange_Sheet!V312-#REF!</f>
      </c>
      <c r="W243" s="51" t="e">
        <f>Ticker0001_Exchange_Sheet!W312-#REF!</f>
      </c>
      <c r="X243" s="51" t="e">
        <f>Ticker0001_Exchange_Sheet!AK312-#REF!</f>
      </c>
      <c r="Y243" s="51" t="e">
        <f>Ticker0001_Exchange_Sheet!AX312-#REF!</f>
      </c>
      <c r="Z243" s="51" t="e">
        <f>Ticker0001_Exchange_Sheet!AY312-#REF!</f>
      </c>
      <c r="AA243" s="51" t="e">
        <f>Ticker0001_Exchange_Sheet!AZ312-#REF!</f>
      </c>
      <c r="AB243" s="51" t="e">
        <f>Ticker0001_Exchange_Sheet!BA312-#REF!</f>
      </c>
      <c r="AC243" s="51" t="e">
        <f>Ticker0001_Exchange_Sheet!BB312-#REF!</f>
      </c>
      <c r="AD243" s="51" t="e">
        <f>Ticker0001_Exchange_Sheet!BC312-#REF!</f>
      </c>
      <c r="AE243" s="51" t="e">
        <f>Ticker0001_Exchange_Sheet!BD312-#REF!</f>
      </c>
      <c r="AF243" s="51" t="e">
        <f>Ticker0001_Exchange_Sheet!BE312-#REF!</f>
      </c>
      <c r="AG243" s="51" t="e">
        <f>Ticker0001_Exchange_Sheet!BF312-#REF!</f>
      </c>
      <c r="AH243" s="51" t="e">
        <f>Ticker0001_Exchange_Sheet!BG312-#REF!</f>
      </c>
      <c r="AI243" s="51" t="e">
        <f>Ticker0001_Exchange_Sheet!BH312-#REF!</f>
      </c>
      <c r="AJ243" s="51" t="e">
        <f>Ticker0001_Exchange_Sheet!BI312-#REF!</f>
      </c>
      <c r="AK243" s="51" t="e">
        <f>Ticker0001_Exchange_Sheet!BJ312-#REF!</f>
      </c>
      <c r="AL243" s="51" t="e">
        <f>Ticker0001_Exchange_Sheet!BK312-#REF!</f>
      </c>
      <c r="AM243" s="51" t="e">
        <f>Ticker0001_Exchange_Sheet!BL312-#REF!</f>
      </c>
      <c r="AN243" s="51" t="e">
        <f>Ticker0001_Exchange_Sheet!BM312-#REF!</f>
      </c>
      <c r="AO243" s="51" t="e">
        <f>Ticker0001_Exchange_Sheet!BN312-#REF!</f>
      </c>
      <c r="AP243" s="51" t="e">
        <f>Ticker0001_Exchange_Sheet!BO312-#REF!</f>
      </c>
      <c r="AQ243" s="51" t="e">
        <f>Ticker0001_Exchange_Sheet!BP312-#REF!</f>
      </c>
      <c r="AR243" s="51" t="e">
        <f>Ticker0001_Exchange_Sheet!BQ312-#REF!</f>
      </c>
      <c r="AS243" s="51" t="e">
        <f>Ticker0001_Exchange_Sheet!BR312-#REF!</f>
      </c>
      <c r="AT243" s="51" t="e">
        <f>Ticker0001_Exchange_Sheet!BS312-#REF!</f>
      </c>
      <c r="AU243" s="51" t="e">
        <f>Ticker0001_Exchange_Sheet!BT312-#REF!</f>
      </c>
      <c r="AV243" s="51" t="e">
        <f>Ticker0001_Exchange_Sheet!BU312-#REF!</f>
      </c>
      <c r="AW243" s="51" t="e">
        <f>Ticker0001_Exchange_Sheet!BV312-#REF!</f>
      </c>
      <c r="AX243" s="51" t="e">
        <f>Ticker0001_Exchange_Sheet!BW312-#REF!</f>
      </c>
      <c r="AY243" s="51" t="e">
        <f>Ticker0001_Exchange_Sheet!BX312-#REF!</f>
      </c>
      <c r="AZ243" s="51" t="e">
        <f>Ticker0001_Exchange_Sheet!BY312-#REF!</f>
      </c>
      <c r="BA243" s="51" t="e">
        <f>Ticker0001_Exchange_Sheet!BZ312-#REF!</f>
      </c>
      <c r="BB243" s="51" t="e">
        <f>Ticker0001_Exchange_Sheet!CA312-#REF!</f>
      </c>
      <c r="BC243" s="51" t="e">
        <f>Ticker0001_Exchange_Sheet!CB312-#REF!</f>
      </c>
      <c r="BD243" s="51" t="e">
        <f>Ticker0001_Exchange_Sheet!CC312-#REF!</f>
      </c>
      <c r="BE243" s="51" t="e">
        <f>Ticker0001_Exchange_Sheet!CD312-#REF!</f>
      </c>
      <c r="BF243" s="51" t="e">
        <f>Ticker0001_Exchange_Sheet!CE312-#REF!</f>
      </c>
      <c r="BG243" s="51" t="e">
        <f>Ticker0001_Exchange_Sheet!CF312-#REF!</f>
      </c>
      <c r="BH243" s="51" t="e">
        <f>Ticker0001_Exchange_Sheet!CG312-#REF!</f>
      </c>
      <c r="BI243" s="51" t="e">
        <f>Ticker0001_Exchange_Sheet!CH312-#REF!</f>
      </c>
      <c r="BJ243" s="51" t="e">
        <f>Ticker0001_Exchange_Sheet!CI312-#REF!</f>
      </c>
      <c r="BK243" s="51" t="e">
        <f>Ticker0001_Exchange_Sheet!CJ312-#REF!</f>
      </c>
      <c r="BL243" s="51" t="e">
        <f>Ticker0001_Exchange_Sheet!CK312-#REF!</f>
      </c>
      <c r="BM243" s="51" t="e">
        <f>Ticker0001_Exchange_Sheet!CL312-#REF!</f>
      </c>
      <c r="BN243" s="51" t="e">
        <f>Ticker0001_Exchange_Sheet!CM312-#REF!</f>
      </c>
      <c r="BO243" s="51" t="e">
        <f>Ticker0001_Exchange_Sheet!CN312-#REF!</f>
      </c>
      <c r="BP243" s="51" t="e">
        <f>Ticker0001_Exchange_Sheet!CO312-#REF!</f>
      </c>
      <c r="BQ243" s="51" t="e">
        <f>Ticker0001_Exchange_Sheet!CP312-#REF!</f>
      </c>
      <c r="BR243" s="51" t="e">
        <f>Ticker0001_Exchange_Sheet!CQ312-#REF!</f>
      </c>
      <c r="BS243" s="51" t="e">
        <f>Ticker0001_Exchange_Sheet!CR312-#REF!</f>
      </c>
      <c r="BT243" s="51" t="e">
        <f>Ticker0001_Exchange_Sheet!CS312-#REF!</f>
      </c>
      <c r="BU243" s="51" t="e">
        <f>Ticker0001_Exchange_Sheet!CT312-#REF!</f>
      </c>
      <c r="BV243" s="51" t="e">
        <f>Ticker0001_Exchange_Sheet!CU312-#REF!</f>
      </c>
      <c r="BW243" s="51" t="e">
        <f>Ticker0001_Exchange_Sheet!CV312-#REF!</f>
      </c>
      <c r="BX243" s="51" t="e">
        <f>Ticker0001_Exchange_Sheet!CW312-#REF!</f>
      </c>
      <c r="BY243" s="51" t="e">
        <f>Ticker0001_Exchange_Sheet!CX312-#REF!</f>
      </c>
      <c r="BZ243" s="51" t="e">
        <f>Ticker0001_Exchange_Sheet!CY312-#REF!</f>
      </c>
      <c r="CA243" s="51" t="e">
        <f>Ticker0001_Exchange_Sheet!CZ312-#REF!</f>
      </c>
      <c r="CB243" s="51" t="e">
        <f>Ticker0001_Exchange_Sheet!DA312-#REF!</f>
      </c>
      <c r="CC243" s="51" t="e">
        <f>Ticker0001_Exchange_Sheet!DB312-#REF!</f>
      </c>
      <c r="CD243" s="51" t="e">
        <f>Ticker0001_Exchange_Sheet!DC312-#REF!</f>
      </c>
      <c r="CE243" s="51" t="e">
        <f>Ticker0001_Exchange_Sheet!DD312-#REF!</f>
      </c>
      <c r="CF243" s="51" t="e">
        <f>Ticker0001_Exchange_Sheet!DE312-#REF!</f>
      </c>
    </row>
    <row r="244" spans="6:84">
      <c r="F244" s="51" t="e">
        <f>Ticker0001_Exchange_Sheet!F313-#REF!</f>
      </c>
      <c r="G244" s="51" t="e">
        <f>Ticker0001_Exchange_Sheet!G313-#REF!</f>
      </c>
      <c r="H244" s="51" t="e">
        <f>Ticker0001_Exchange_Sheet!H313-#REF!</f>
      </c>
      <c r="I244" s="51" t="e">
        <f>Ticker0001_Exchange_Sheet!I313-#REF!</f>
      </c>
      <c r="J244" s="51" t="e">
        <f>Ticker0001_Exchange_Sheet!J313-#REF!</f>
      </c>
      <c r="K244" s="51" t="e">
        <f>Ticker0001_Exchange_Sheet!K313-#REF!</f>
      </c>
      <c r="L244" s="51" t="e">
        <f>Ticker0001_Exchange_Sheet!L313-#REF!</f>
      </c>
      <c r="M244" s="51" t="e">
        <f>Ticker0001_Exchange_Sheet!M313-#REF!</f>
      </c>
      <c r="N244" s="51" t="e">
        <f>Ticker0001_Exchange_Sheet!N313-#REF!</f>
      </c>
      <c r="O244" s="51" t="e">
        <f>Ticker0001_Exchange_Sheet!O313-#REF!</f>
      </c>
      <c r="P244" s="51" t="e">
        <f>Ticker0001_Exchange_Sheet!P313-#REF!</f>
      </c>
      <c r="Q244" s="51" t="e">
        <f>Ticker0001_Exchange_Sheet!Q313-#REF!</f>
      </c>
      <c r="R244" s="51" t="e">
        <f>Ticker0001_Exchange_Sheet!R313-#REF!</f>
      </c>
      <c r="S244" s="51" t="e">
        <f>Ticker0001_Exchange_Sheet!S313-#REF!</f>
      </c>
      <c r="T244" s="51" t="e">
        <f>Ticker0001_Exchange_Sheet!T313-#REF!</f>
      </c>
      <c r="U244" s="51" t="e">
        <f>Ticker0001_Exchange_Sheet!U313-#REF!</f>
      </c>
      <c r="V244" s="51" t="e">
        <f>Ticker0001_Exchange_Sheet!V313-#REF!</f>
      </c>
      <c r="W244" s="51" t="e">
        <f>Ticker0001_Exchange_Sheet!W313-#REF!</f>
      </c>
      <c r="X244" s="51" t="e">
        <f>Ticker0001_Exchange_Sheet!AK313-#REF!</f>
      </c>
      <c r="Y244" s="51" t="e">
        <f>Ticker0001_Exchange_Sheet!AX313-#REF!</f>
      </c>
      <c r="Z244" s="51" t="e">
        <f>Ticker0001_Exchange_Sheet!AY313-#REF!</f>
      </c>
      <c r="AA244" s="51" t="e">
        <f>Ticker0001_Exchange_Sheet!AZ313-#REF!</f>
      </c>
      <c r="AB244" s="51" t="e">
        <f>Ticker0001_Exchange_Sheet!BA313-#REF!</f>
      </c>
      <c r="AC244" s="51" t="e">
        <f>Ticker0001_Exchange_Sheet!BB313-#REF!</f>
      </c>
      <c r="AD244" s="51" t="e">
        <f>Ticker0001_Exchange_Sheet!BC313-#REF!</f>
      </c>
      <c r="AE244" s="51" t="e">
        <f>Ticker0001_Exchange_Sheet!BD313-#REF!</f>
      </c>
      <c r="AF244" s="51" t="e">
        <f>Ticker0001_Exchange_Sheet!BE313-#REF!</f>
      </c>
      <c r="AG244" s="51" t="e">
        <f>Ticker0001_Exchange_Sheet!BF313-#REF!</f>
      </c>
      <c r="AH244" s="51" t="e">
        <f>Ticker0001_Exchange_Sheet!BG313-#REF!</f>
      </c>
      <c r="AI244" s="51" t="e">
        <f>Ticker0001_Exchange_Sheet!BH313-#REF!</f>
      </c>
      <c r="AJ244" s="51" t="e">
        <f>Ticker0001_Exchange_Sheet!BI313-#REF!</f>
      </c>
      <c r="AK244" s="51" t="e">
        <f>Ticker0001_Exchange_Sheet!BJ313-#REF!</f>
      </c>
      <c r="AL244" s="51" t="e">
        <f>Ticker0001_Exchange_Sheet!BK313-#REF!</f>
      </c>
      <c r="AM244" s="51" t="e">
        <f>Ticker0001_Exchange_Sheet!BL313-#REF!</f>
      </c>
      <c r="AN244" s="51" t="e">
        <f>Ticker0001_Exchange_Sheet!BM313-#REF!</f>
      </c>
      <c r="AO244" s="51" t="e">
        <f>Ticker0001_Exchange_Sheet!BN313-#REF!</f>
      </c>
      <c r="AP244" s="51" t="e">
        <f>Ticker0001_Exchange_Sheet!BO313-#REF!</f>
      </c>
      <c r="AQ244" s="51" t="e">
        <f>Ticker0001_Exchange_Sheet!BP313-#REF!</f>
      </c>
      <c r="AR244" s="51" t="e">
        <f>Ticker0001_Exchange_Sheet!BQ313-#REF!</f>
      </c>
      <c r="AS244" s="51" t="e">
        <f>Ticker0001_Exchange_Sheet!BR313-#REF!</f>
      </c>
      <c r="AT244" s="51" t="e">
        <f>Ticker0001_Exchange_Sheet!BS313-#REF!</f>
      </c>
      <c r="AU244" s="51" t="e">
        <f>Ticker0001_Exchange_Sheet!BT313-#REF!</f>
      </c>
      <c r="AV244" s="51" t="e">
        <f>Ticker0001_Exchange_Sheet!BU313-#REF!</f>
      </c>
      <c r="AW244" s="51" t="e">
        <f>Ticker0001_Exchange_Sheet!BV313-#REF!</f>
      </c>
      <c r="AX244" s="51" t="e">
        <f>Ticker0001_Exchange_Sheet!BW313-#REF!</f>
      </c>
      <c r="AY244" s="51" t="e">
        <f>Ticker0001_Exchange_Sheet!BX313-#REF!</f>
      </c>
      <c r="AZ244" s="51" t="e">
        <f>Ticker0001_Exchange_Sheet!BY313-#REF!</f>
      </c>
      <c r="BA244" s="51" t="e">
        <f>Ticker0001_Exchange_Sheet!BZ313-#REF!</f>
      </c>
      <c r="BB244" s="51" t="e">
        <f>Ticker0001_Exchange_Sheet!CA313-#REF!</f>
      </c>
      <c r="BC244" s="51" t="e">
        <f>Ticker0001_Exchange_Sheet!CB313-#REF!</f>
      </c>
      <c r="BD244" s="51" t="e">
        <f>Ticker0001_Exchange_Sheet!CC313-#REF!</f>
      </c>
      <c r="BE244" s="51" t="e">
        <f>Ticker0001_Exchange_Sheet!CD313-#REF!</f>
      </c>
      <c r="BF244" s="51" t="e">
        <f>Ticker0001_Exchange_Sheet!CE313-#REF!</f>
      </c>
      <c r="BG244" s="51" t="e">
        <f>Ticker0001_Exchange_Sheet!CF313-#REF!</f>
      </c>
      <c r="BH244" s="51" t="e">
        <f>Ticker0001_Exchange_Sheet!CG313-#REF!</f>
      </c>
      <c r="BI244" s="51" t="e">
        <f>Ticker0001_Exchange_Sheet!CH313-#REF!</f>
      </c>
      <c r="BJ244" s="51" t="e">
        <f>Ticker0001_Exchange_Sheet!CI313-#REF!</f>
      </c>
      <c r="BK244" s="51" t="e">
        <f>Ticker0001_Exchange_Sheet!CJ313-#REF!</f>
      </c>
      <c r="BL244" s="51" t="e">
        <f>Ticker0001_Exchange_Sheet!CK313-#REF!</f>
      </c>
      <c r="BM244" s="51" t="e">
        <f>Ticker0001_Exchange_Sheet!CL313-#REF!</f>
      </c>
      <c r="BN244" s="51" t="e">
        <f>Ticker0001_Exchange_Sheet!CM313-#REF!</f>
      </c>
      <c r="BO244" s="51" t="e">
        <f>Ticker0001_Exchange_Sheet!CN313-#REF!</f>
      </c>
      <c r="BP244" s="51" t="e">
        <f>Ticker0001_Exchange_Sheet!CO313-#REF!</f>
      </c>
      <c r="BQ244" s="51" t="e">
        <f>Ticker0001_Exchange_Sheet!CP313-#REF!</f>
      </c>
      <c r="BR244" s="51" t="e">
        <f>Ticker0001_Exchange_Sheet!CQ313-#REF!</f>
      </c>
      <c r="BS244" s="51" t="e">
        <f>Ticker0001_Exchange_Sheet!CR313-#REF!</f>
      </c>
      <c r="BT244" s="51" t="e">
        <f>Ticker0001_Exchange_Sheet!CS313-#REF!</f>
      </c>
      <c r="BU244" s="51" t="e">
        <f>Ticker0001_Exchange_Sheet!CT313-#REF!</f>
      </c>
      <c r="BV244" s="51" t="e">
        <f>Ticker0001_Exchange_Sheet!CU313-#REF!</f>
      </c>
      <c r="BW244" s="51" t="e">
        <f>Ticker0001_Exchange_Sheet!CV313-#REF!</f>
      </c>
      <c r="BX244" s="51" t="e">
        <f>Ticker0001_Exchange_Sheet!CW313-#REF!</f>
      </c>
      <c r="BY244" s="51" t="e">
        <f>Ticker0001_Exchange_Sheet!CX313-#REF!</f>
      </c>
      <c r="BZ244" s="51" t="e">
        <f>Ticker0001_Exchange_Sheet!CY313-#REF!</f>
      </c>
      <c r="CA244" s="51" t="e">
        <f>Ticker0001_Exchange_Sheet!CZ313-#REF!</f>
      </c>
      <c r="CB244" s="51" t="e">
        <f>Ticker0001_Exchange_Sheet!DA313-#REF!</f>
      </c>
      <c r="CC244" s="51" t="e">
        <f>Ticker0001_Exchange_Sheet!DB313-#REF!</f>
      </c>
      <c r="CD244" s="51" t="e">
        <f>Ticker0001_Exchange_Sheet!DC313-#REF!</f>
      </c>
      <c r="CE244" s="51" t="e">
        <f>Ticker0001_Exchange_Sheet!DD313-#REF!</f>
      </c>
      <c r="CF244" s="51" t="e">
        <f>Ticker0001_Exchange_Sheet!DE313-#REF!</f>
      </c>
    </row>
    <row r="245" spans="6:84">
      <c r="F245" s="51" t="e">
        <f>Ticker0001_Exchange_Sheet!F314-#REF!</f>
      </c>
      <c r="G245" s="51" t="e">
        <f>Ticker0001_Exchange_Sheet!G314-#REF!</f>
      </c>
      <c r="H245" s="51" t="e">
        <f>Ticker0001_Exchange_Sheet!H314-#REF!</f>
      </c>
      <c r="I245" s="51" t="e">
        <f>Ticker0001_Exchange_Sheet!I314-#REF!</f>
      </c>
      <c r="J245" s="51" t="e">
        <f>Ticker0001_Exchange_Sheet!J314-#REF!</f>
      </c>
      <c r="K245" s="51" t="e">
        <f>Ticker0001_Exchange_Sheet!K314-#REF!</f>
      </c>
      <c r="L245" s="51" t="e">
        <f>Ticker0001_Exchange_Sheet!L314-#REF!</f>
      </c>
      <c r="M245" s="51" t="e">
        <f>Ticker0001_Exchange_Sheet!M314-#REF!</f>
      </c>
      <c r="N245" s="51" t="e">
        <f>Ticker0001_Exchange_Sheet!N314-#REF!</f>
      </c>
      <c r="O245" s="51" t="e">
        <f>Ticker0001_Exchange_Sheet!O314-#REF!</f>
      </c>
      <c r="P245" s="51" t="e">
        <f>Ticker0001_Exchange_Sheet!P314-#REF!</f>
      </c>
      <c r="Q245" s="51" t="e">
        <f>Ticker0001_Exchange_Sheet!Q314-#REF!</f>
      </c>
      <c r="R245" s="51" t="e">
        <f>Ticker0001_Exchange_Sheet!R314-#REF!</f>
      </c>
      <c r="S245" s="51" t="e">
        <f>Ticker0001_Exchange_Sheet!S314-#REF!</f>
      </c>
      <c r="T245" s="51" t="e">
        <f>Ticker0001_Exchange_Sheet!T314-#REF!</f>
      </c>
      <c r="U245" s="51" t="e">
        <f>Ticker0001_Exchange_Sheet!U314-#REF!</f>
      </c>
      <c r="V245" s="51" t="e">
        <f>Ticker0001_Exchange_Sheet!V314-#REF!</f>
      </c>
      <c r="W245" s="51" t="e">
        <f>Ticker0001_Exchange_Sheet!W314-#REF!</f>
      </c>
      <c r="X245" s="51" t="e">
        <f>Ticker0001_Exchange_Sheet!AK314-#REF!</f>
      </c>
      <c r="Y245" s="51" t="e">
        <f>Ticker0001_Exchange_Sheet!AX314-#REF!</f>
      </c>
      <c r="Z245" s="51" t="e">
        <f>Ticker0001_Exchange_Sheet!AY314-#REF!</f>
      </c>
      <c r="AA245" s="51" t="e">
        <f>Ticker0001_Exchange_Sheet!AZ314-#REF!</f>
      </c>
      <c r="AB245" s="51" t="e">
        <f>Ticker0001_Exchange_Sheet!BA314-#REF!</f>
      </c>
      <c r="AC245" s="51" t="e">
        <f>Ticker0001_Exchange_Sheet!BB314-#REF!</f>
      </c>
      <c r="AD245" s="51" t="e">
        <f>Ticker0001_Exchange_Sheet!BC314-#REF!</f>
      </c>
      <c r="AE245" s="51" t="e">
        <f>Ticker0001_Exchange_Sheet!BD314-#REF!</f>
      </c>
      <c r="AF245" s="51" t="e">
        <f>Ticker0001_Exchange_Sheet!BE314-#REF!</f>
      </c>
      <c r="AG245" s="51" t="e">
        <f>Ticker0001_Exchange_Sheet!BF314-#REF!</f>
      </c>
      <c r="AH245" s="51" t="e">
        <f>Ticker0001_Exchange_Sheet!BG314-#REF!</f>
      </c>
      <c r="AI245" s="51" t="e">
        <f>Ticker0001_Exchange_Sheet!BH314-#REF!</f>
      </c>
      <c r="AJ245" s="51" t="e">
        <f>Ticker0001_Exchange_Sheet!BI314-#REF!</f>
      </c>
      <c r="AK245" s="51" t="e">
        <f>Ticker0001_Exchange_Sheet!BJ314-#REF!</f>
      </c>
      <c r="AL245" s="51" t="e">
        <f>Ticker0001_Exchange_Sheet!BK314-#REF!</f>
      </c>
      <c r="AM245" s="51" t="e">
        <f>Ticker0001_Exchange_Sheet!BL314-#REF!</f>
      </c>
      <c r="AN245" s="51" t="e">
        <f>Ticker0001_Exchange_Sheet!BM314-#REF!</f>
      </c>
      <c r="AO245" s="51" t="e">
        <f>Ticker0001_Exchange_Sheet!BN314-#REF!</f>
      </c>
      <c r="AP245" s="51" t="e">
        <f>Ticker0001_Exchange_Sheet!BO314-#REF!</f>
      </c>
      <c r="AQ245" s="51" t="e">
        <f>Ticker0001_Exchange_Sheet!BP314-#REF!</f>
      </c>
      <c r="AR245" s="51" t="e">
        <f>Ticker0001_Exchange_Sheet!BQ314-#REF!</f>
      </c>
      <c r="AS245" s="51" t="e">
        <f>Ticker0001_Exchange_Sheet!BR314-#REF!</f>
      </c>
      <c r="AT245" s="51" t="e">
        <f>Ticker0001_Exchange_Sheet!BS314-#REF!</f>
      </c>
      <c r="AU245" s="51" t="e">
        <f>Ticker0001_Exchange_Sheet!BT314-#REF!</f>
      </c>
      <c r="AV245" s="51" t="e">
        <f>Ticker0001_Exchange_Sheet!BU314-#REF!</f>
      </c>
      <c r="AW245" s="51" t="e">
        <f>Ticker0001_Exchange_Sheet!BV314-#REF!</f>
      </c>
      <c r="AX245" s="51" t="e">
        <f>Ticker0001_Exchange_Sheet!BW314-#REF!</f>
      </c>
      <c r="AY245" s="51" t="e">
        <f>Ticker0001_Exchange_Sheet!BX314-#REF!</f>
      </c>
      <c r="AZ245" s="51" t="e">
        <f>Ticker0001_Exchange_Sheet!BY314-#REF!</f>
      </c>
      <c r="BA245" s="51" t="e">
        <f>Ticker0001_Exchange_Sheet!BZ314-#REF!</f>
      </c>
      <c r="BB245" s="51" t="e">
        <f>Ticker0001_Exchange_Sheet!CA314-#REF!</f>
      </c>
      <c r="BC245" s="51" t="e">
        <f>Ticker0001_Exchange_Sheet!CB314-#REF!</f>
      </c>
      <c r="BD245" s="51" t="e">
        <f>Ticker0001_Exchange_Sheet!CC314-#REF!</f>
      </c>
      <c r="BE245" s="51" t="e">
        <f>Ticker0001_Exchange_Sheet!CD314-#REF!</f>
      </c>
      <c r="BF245" s="51" t="e">
        <f>Ticker0001_Exchange_Sheet!CE314-#REF!</f>
      </c>
      <c r="BG245" s="51" t="e">
        <f>Ticker0001_Exchange_Sheet!CF314-#REF!</f>
      </c>
      <c r="BH245" s="51" t="e">
        <f>Ticker0001_Exchange_Sheet!CG314-#REF!</f>
      </c>
      <c r="BI245" s="51" t="e">
        <f>Ticker0001_Exchange_Sheet!CH314-#REF!</f>
      </c>
      <c r="BJ245" s="51" t="e">
        <f>Ticker0001_Exchange_Sheet!CI314-#REF!</f>
      </c>
      <c r="BK245" s="51" t="e">
        <f>Ticker0001_Exchange_Sheet!CJ314-#REF!</f>
      </c>
      <c r="BL245" s="51" t="e">
        <f>Ticker0001_Exchange_Sheet!CK314-#REF!</f>
      </c>
      <c r="BM245" s="51" t="e">
        <f>Ticker0001_Exchange_Sheet!CL314-#REF!</f>
      </c>
      <c r="BN245" s="51" t="e">
        <f>Ticker0001_Exchange_Sheet!CM314-#REF!</f>
      </c>
      <c r="BO245" s="51" t="e">
        <f>Ticker0001_Exchange_Sheet!CN314-#REF!</f>
      </c>
      <c r="BP245" s="51" t="e">
        <f>Ticker0001_Exchange_Sheet!CO314-#REF!</f>
      </c>
      <c r="BQ245" s="51" t="e">
        <f>Ticker0001_Exchange_Sheet!CP314-#REF!</f>
      </c>
      <c r="BR245" s="51" t="e">
        <f>Ticker0001_Exchange_Sheet!CQ314-#REF!</f>
      </c>
      <c r="BS245" s="51" t="e">
        <f>Ticker0001_Exchange_Sheet!CR314-#REF!</f>
      </c>
      <c r="BT245" s="51" t="e">
        <f>Ticker0001_Exchange_Sheet!CS314-#REF!</f>
      </c>
      <c r="BU245" s="51" t="e">
        <f>Ticker0001_Exchange_Sheet!CT314-#REF!</f>
      </c>
      <c r="BV245" s="51" t="e">
        <f>Ticker0001_Exchange_Sheet!CU314-#REF!</f>
      </c>
      <c r="BW245" s="51" t="e">
        <f>Ticker0001_Exchange_Sheet!CV314-#REF!</f>
      </c>
      <c r="BX245" s="51" t="e">
        <f>Ticker0001_Exchange_Sheet!CW314-#REF!</f>
      </c>
      <c r="BY245" s="51" t="e">
        <f>Ticker0001_Exchange_Sheet!CX314-#REF!</f>
      </c>
      <c r="BZ245" s="51" t="e">
        <f>Ticker0001_Exchange_Sheet!CY314-#REF!</f>
      </c>
      <c r="CA245" s="51" t="e">
        <f>Ticker0001_Exchange_Sheet!CZ314-#REF!</f>
      </c>
      <c r="CB245" s="51" t="e">
        <f>Ticker0001_Exchange_Sheet!DA314-#REF!</f>
      </c>
      <c r="CC245" s="51" t="e">
        <f>Ticker0001_Exchange_Sheet!DB314-#REF!</f>
      </c>
      <c r="CD245" s="51" t="e">
        <f>Ticker0001_Exchange_Sheet!DC314-#REF!</f>
      </c>
      <c r="CE245" s="51" t="e">
        <f>Ticker0001_Exchange_Sheet!DD314-#REF!</f>
      </c>
      <c r="CF245" s="51" t="e">
        <f>Ticker0001_Exchange_Sheet!DE314-#REF!</f>
      </c>
    </row>
    <row r="246" spans="6:84">
      <c r="F246" s="51" t="e">
        <f>Ticker0001_Exchange_Sheet!F315-#REF!</f>
      </c>
      <c r="G246" s="51" t="e">
        <f>Ticker0001_Exchange_Sheet!G315-#REF!</f>
      </c>
      <c r="H246" s="51" t="e">
        <f>Ticker0001_Exchange_Sheet!H315-#REF!</f>
      </c>
      <c r="I246" s="51" t="e">
        <f>Ticker0001_Exchange_Sheet!I315-#REF!</f>
      </c>
      <c r="J246" s="51" t="e">
        <f>Ticker0001_Exchange_Sheet!J315-#REF!</f>
      </c>
      <c r="K246" s="51" t="e">
        <f>Ticker0001_Exchange_Sheet!K315-#REF!</f>
      </c>
      <c r="L246" s="51" t="e">
        <f>Ticker0001_Exchange_Sheet!L315-#REF!</f>
      </c>
      <c r="M246" s="51" t="e">
        <f>Ticker0001_Exchange_Sheet!M315-#REF!</f>
      </c>
      <c r="N246" s="51" t="e">
        <f>Ticker0001_Exchange_Sheet!N315-#REF!</f>
      </c>
      <c r="O246" s="51" t="e">
        <f>Ticker0001_Exchange_Sheet!O315-#REF!</f>
      </c>
      <c r="P246" s="51" t="e">
        <f>Ticker0001_Exchange_Sheet!P315-#REF!</f>
      </c>
      <c r="Q246" s="51" t="e">
        <f>Ticker0001_Exchange_Sheet!Q315-#REF!</f>
      </c>
      <c r="R246" s="51" t="e">
        <f>Ticker0001_Exchange_Sheet!R315-#REF!</f>
      </c>
      <c r="S246" s="51" t="e">
        <f>Ticker0001_Exchange_Sheet!S315-#REF!</f>
      </c>
      <c r="T246" s="51" t="e">
        <f>Ticker0001_Exchange_Sheet!T315-#REF!</f>
      </c>
      <c r="U246" s="51" t="e">
        <f>Ticker0001_Exchange_Sheet!U315-#REF!</f>
      </c>
      <c r="V246" s="51" t="e">
        <f>Ticker0001_Exchange_Sheet!V315-#REF!</f>
      </c>
      <c r="W246" s="51" t="e">
        <f>Ticker0001_Exchange_Sheet!W315-#REF!</f>
      </c>
      <c r="X246" s="51" t="e">
        <f>Ticker0001_Exchange_Sheet!AK315-#REF!</f>
      </c>
      <c r="Y246" s="51" t="e">
        <f>Ticker0001_Exchange_Sheet!AX315-#REF!</f>
      </c>
      <c r="Z246" s="51" t="e">
        <f>Ticker0001_Exchange_Sheet!AY315-#REF!</f>
      </c>
      <c r="AA246" s="51" t="e">
        <f>Ticker0001_Exchange_Sheet!AZ315-#REF!</f>
      </c>
      <c r="AB246" s="51" t="e">
        <f>Ticker0001_Exchange_Sheet!BA315-#REF!</f>
      </c>
      <c r="AC246" s="51" t="e">
        <f>Ticker0001_Exchange_Sheet!BB315-#REF!</f>
      </c>
      <c r="AD246" s="51" t="e">
        <f>Ticker0001_Exchange_Sheet!BC315-#REF!</f>
      </c>
      <c r="AE246" s="51" t="e">
        <f>Ticker0001_Exchange_Sheet!BD315-#REF!</f>
      </c>
      <c r="AF246" s="51" t="e">
        <f>Ticker0001_Exchange_Sheet!BE315-#REF!</f>
      </c>
      <c r="AG246" s="51" t="e">
        <f>Ticker0001_Exchange_Sheet!BF315-#REF!</f>
      </c>
      <c r="AH246" s="51" t="e">
        <f>Ticker0001_Exchange_Sheet!BG315-#REF!</f>
      </c>
      <c r="AI246" s="51" t="e">
        <f>Ticker0001_Exchange_Sheet!BH315-#REF!</f>
      </c>
      <c r="AJ246" s="51" t="e">
        <f>Ticker0001_Exchange_Sheet!BI315-#REF!</f>
      </c>
      <c r="AK246" s="51" t="e">
        <f>Ticker0001_Exchange_Sheet!BJ315-#REF!</f>
      </c>
      <c r="AL246" s="51" t="e">
        <f>Ticker0001_Exchange_Sheet!BK315-#REF!</f>
      </c>
      <c r="AM246" s="51" t="e">
        <f>Ticker0001_Exchange_Sheet!BL315-#REF!</f>
      </c>
      <c r="AN246" s="51" t="e">
        <f>Ticker0001_Exchange_Sheet!BM315-#REF!</f>
      </c>
      <c r="AO246" s="51" t="e">
        <f>Ticker0001_Exchange_Sheet!BN315-#REF!</f>
      </c>
      <c r="AP246" s="51" t="e">
        <f>Ticker0001_Exchange_Sheet!BO315-#REF!</f>
      </c>
      <c r="AQ246" s="51" t="e">
        <f>Ticker0001_Exchange_Sheet!BP315-#REF!</f>
      </c>
      <c r="AR246" s="51" t="e">
        <f>Ticker0001_Exchange_Sheet!BQ315-#REF!</f>
      </c>
      <c r="AS246" s="51" t="e">
        <f>Ticker0001_Exchange_Sheet!BR315-#REF!</f>
      </c>
      <c r="AT246" s="51" t="e">
        <f>Ticker0001_Exchange_Sheet!BS315-#REF!</f>
      </c>
      <c r="AU246" s="51" t="e">
        <f>Ticker0001_Exchange_Sheet!BT315-#REF!</f>
      </c>
      <c r="AV246" s="51" t="e">
        <f>Ticker0001_Exchange_Sheet!BU315-#REF!</f>
      </c>
      <c r="AW246" s="51" t="e">
        <f>Ticker0001_Exchange_Sheet!BV315-#REF!</f>
      </c>
      <c r="AX246" s="51" t="e">
        <f>Ticker0001_Exchange_Sheet!BW315-#REF!</f>
      </c>
      <c r="AY246" s="51" t="e">
        <f>Ticker0001_Exchange_Sheet!BX315-#REF!</f>
      </c>
      <c r="AZ246" s="51" t="e">
        <f>Ticker0001_Exchange_Sheet!BY315-#REF!</f>
      </c>
      <c r="BA246" s="51" t="e">
        <f>Ticker0001_Exchange_Sheet!BZ315-#REF!</f>
      </c>
      <c r="BB246" s="51" t="e">
        <f>Ticker0001_Exchange_Sheet!CA315-#REF!</f>
      </c>
      <c r="BC246" s="51" t="e">
        <f>Ticker0001_Exchange_Sheet!CB315-#REF!</f>
      </c>
      <c r="BD246" s="51" t="e">
        <f>Ticker0001_Exchange_Sheet!CC315-#REF!</f>
      </c>
      <c r="BE246" s="51" t="e">
        <f>Ticker0001_Exchange_Sheet!CD315-#REF!</f>
      </c>
      <c r="BF246" s="51" t="e">
        <f>Ticker0001_Exchange_Sheet!CE315-#REF!</f>
      </c>
      <c r="BG246" s="51" t="e">
        <f>Ticker0001_Exchange_Sheet!CF315-#REF!</f>
      </c>
      <c r="BH246" s="51" t="e">
        <f>Ticker0001_Exchange_Sheet!CG315-#REF!</f>
      </c>
      <c r="BI246" s="51" t="e">
        <f>Ticker0001_Exchange_Sheet!CH315-#REF!</f>
      </c>
      <c r="BJ246" s="51" t="e">
        <f>Ticker0001_Exchange_Sheet!CI315-#REF!</f>
      </c>
      <c r="BK246" s="51" t="e">
        <f>Ticker0001_Exchange_Sheet!CJ315-#REF!</f>
      </c>
      <c r="BL246" s="51" t="e">
        <f>Ticker0001_Exchange_Sheet!CK315-#REF!</f>
      </c>
      <c r="BM246" s="51" t="e">
        <f>Ticker0001_Exchange_Sheet!CL315-#REF!</f>
      </c>
      <c r="BN246" s="51" t="e">
        <f>Ticker0001_Exchange_Sheet!CM315-#REF!</f>
      </c>
      <c r="BO246" s="51" t="e">
        <f>Ticker0001_Exchange_Sheet!CN315-#REF!</f>
      </c>
      <c r="BP246" s="51" t="e">
        <f>Ticker0001_Exchange_Sheet!CO315-#REF!</f>
      </c>
      <c r="BQ246" s="51" t="e">
        <f>Ticker0001_Exchange_Sheet!CP315-#REF!</f>
      </c>
      <c r="BR246" s="51" t="e">
        <f>Ticker0001_Exchange_Sheet!CQ315-#REF!</f>
      </c>
      <c r="BS246" s="51" t="e">
        <f>Ticker0001_Exchange_Sheet!CR315-#REF!</f>
      </c>
      <c r="BT246" s="51" t="e">
        <f>Ticker0001_Exchange_Sheet!CS315-#REF!</f>
      </c>
      <c r="BU246" s="51" t="e">
        <f>Ticker0001_Exchange_Sheet!CT315-#REF!</f>
      </c>
      <c r="BV246" s="51" t="e">
        <f>Ticker0001_Exchange_Sheet!CU315-#REF!</f>
      </c>
      <c r="BW246" s="51" t="e">
        <f>Ticker0001_Exchange_Sheet!CV315-#REF!</f>
      </c>
      <c r="BX246" s="51" t="e">
        <f>Ticker0001_Exchange_Sheet!CW315-#REF!</f>
      </c>
      <c r="BY246" s="51" t="e">
        <f>Ticker0001_Exchange_Sheet!CX315-#REF!</f>
      </c>
      <c r="BZ246" s="51" t="e">
        <f>Ticker0001_Exchange_Sheet!CY315-#REF!</f>
      </c>
      <c r="CA246" s="51" t="e">
        <f>Ticker0001_Exchange_Sheet!CZ315-#REF!</f>
      </c>
      <c r="CB246" s="51" t="e">
        <f>Ticker0001_Exchange_Sheet!DA315-#REF!</f>
      </c>
      <c r="CC246" s="51" t="e">
        <f>Ticker0001_Exchange_Sheet!DB315-#REF!</f>
      </c>
      <c r="CD246" s="51" t="e">
        <f>Ticker0001_Exchange_Sheet!DC315-#REF!</f>
      </c>
      <c r="CE246" s="51" t="e">
        <f>Ticker0001_Exchange_Sheet!DD315-#REF!</f>
      </c>
      <c r="CF246" s="51" t="e">
        <f>Ticker0001_Exchange_Sheet!DE315-#REF!</f>
      </c>
    </row>
    <row r="247" spans="6:84">
      <c r="F247" s="51" t="e">
        <f>Ticker0001_Exchange_Sheet!F316-#REF!</f>
      </c>
      <c r="G247" s="51" t="e">
        <f>Ticker0001_Exchange_Sheet!G316-#REF!</f>
      </c>
      <c r="H247" s="51" t="e">
        <f>Ticker0001_Exchange_Sheet!H316-#REF!</f>
      </c>
      <c r="I247" s="51" t="e">
        <f>Ticker0001_Exchange_Sheet!I316-#REF!</f>
      </c>
      <c r="J247" s="51" t="e">
        <f>Ticker0001_Exchange_Sheet!J316-#REF!</f>
      </c>
      <c r="K247" s="51" t="e">
        <f>Ticker0001_Exchange_Sheet!K316-#REF!</f>
      </c>
      <c r="L247" s="51" t="e">
        <f>Ticker0001_Exchange_Sheet!L316-#REF!</f>
      </c>
      <c r="M247" s="51" t="e">
        <f>Ticker0001_Exchange_Sheet!M316-#REF!</f>
      </c>
      <c r="N247" s="51" t="e">
        <f>Ticker0001_Exchange_Sheet!N316-#REF!</f>
      </c>
      <c r="O247" s="51" t="e">
        <f>Ticker0001_Exchange_Sheet!O316-#REF!</f>
      </c>
      <c r="P247" s="51" t="e">
        <f>Ticker0001_Exchange_Sheet!P316-#REF!</f>
      </c>
      <c r="Q247" s="51" t="e">
        <f>Ticker0001_Exchange_Sheet!Q316-#REF!</f>
      </c>
      <c r="R247" s="51" t="e">
        <f>Ticker0001_Exchange_Sheet!R316-#REF!</f>
      </c>
      <c r="S247" s="51" t="e">
        <f>Ticker0001_Exchange_Sheet!S316-#REF!</f>
      </c>
      <c r="T247" s="51" t="e">
        <f>Ticker0001_Exchange_Sheet!T316-#REF!</f>
      </c>
      <c r="U247" s="51" t="e">
        <f>Ticker0001_Exchange_Sheet!U316-#REF!</f>
      </c>
      <c r="V247" s="51" t="e">
        <f>Ticker0001_Exchange_Sheet!V316-#REF!</f>
      </c>
      <c r="W247" s="51" t="e">
        <f>Ticker0001_Exchange_Sheet!W316-#REF!</f>
      </c>
      <c r="X247" s="51" t="e">
        <f>Ticker0001_Exchange_Sheet!AK316-#REF!</f>
      </c>
      <c r="Y247" s="51" t="e">
        <f>Ticker0001_Exchange_Sheet!AX316-#REF!</f>
      </c>
      <c r="Z247" s="51" t="e">
        <f>Ticker0001_Exchange_Sheet!AY316-#REF!</f>
      </c>
      <c r="AA247" s="51" t="e">
        <f>Ticker0001_Exchange_Sheet!AZ316-#REF!</f>
      </c>
      <c r="AB247" s="51" t="e">
        <f>Ticker0001_Exchange_Sheet!BA316-#REF!</f>
      </c>
      <c r="AC247" s="51" t="e">
        <f>Ticker0001_Exchange_Sheet!BB316-#REF!</f>
      </c>
      <c r="AD247" s="51" t="e">
        <f>Ticker0001_Exchange_Sheet!BC316-#REF!</f>
      </c>
      <c r="AE247" s="51" t="e">
        <f>Ticker0001_Exchange_Sheet!BD316-#REF!</f>
      </c>
      <c r="AF247" s="51" t="e">
        <f>Ticker0001_Exchange_Sheet!BE316-#REF!</f>
      </c>
      <c r="AG247" s="51" t="e">
        <f>Ticker0001_Exchange_Sheet!BF316-#REF!</f>
      </c>
      <c r="AH247" s="51" t="e">
        <f>Ticker0001_Exchange_Sheet!BG316-#REF!</f>
      </c>
      <c r="AI247" s="51" t="e">
        <f>Ticker0001_Exchange_Sheet!BH316-#REF!</f>
      </c>
      <c r="AJ247" s="51" t="e">
        <f>Ticker0001_Exchange_Sheet!BI316-#REF!</f>
      </c>
      <c r="AK247" s="51" t="e">
        <f>Ticker0001_Exchange_Sheet!BJ316-#REF!</f>
      </c>
      <c r="AL247" s="51" t="e">
        <f>Ticker0001_Exchange_Sheet!BK316-#REF!</f>
      </c>
      <c r="AM247" s="51" t="e">
        <f>Ticker0001_Exchange_Sheet!BL316-#REF!</f>
      </c>
      <c r="AN247" s="51" t="e">
        <f>Ticker0001_Exchange_Sheet!BM316-#REF!</f>
      </c>
      <c r="AO247" s="51" t="e">
        <f>Ticker0001_Exchange_Sheet!BN316-#REF!</f>
      </c>
      <c r="AP247" s="51" t="e">
        <f>Ticker0001_Exchange_Sheet!BO316-#REF!</f>
      </c>
      <c r="AQ247" s="51" t="e">
        <f>Ticker0001_Exchange_Sheet!BP316-#REF!</f>
      </c>
      <c r="AR247" s="51" t="e">
        <f>Ticker0001_Exchange_Sheet!BQ316-#REF!</f>
      </c>
      <c r="AS247" s="51" t="e">
        <f>Ticker0001_Exchange_Sheet!BR316-#REF!</f>
      </c>
      <c r="AT247" s="51" t="e">
        <f>Ticker0001_Exchange_Sheet!BS316-#REF!</f>
      </c>
      <c r="AU247" s="51" t="e">
        <f>Ticker0001_Exchange_Sheet!BT316-#REF!</f>
      </c>
      <c r="AV247" s="51" t="e">
        <f>Ticker0001_Exchange_Sheet!BU316-#REF!</f>
      </c>
      <c r="AW247" s="51" t="e">
        <f>Ticker0001_Exchange_Sheet!BV316-#REF!</f>
      </c>
      <c r="AX247" s="51" t="e">
        <f>Ticker0001_Exchange_Sheet!BW316-#REF!</f>
      </c>
      <c r="AY247" s="51" t="e">
        <f>Ticker0001_Exchange_Sheet!BX316-#REF!</f>
      </c>
      <c r="AZ247" s="51" t="e">
        <f>Ticker0001_Exchange_Sheet!BY316-#REF!</f>
      </c>
      <c r="BA247" s="51" t="e">
        <f>Ticker0001_Exchange_Sheet!BZ316-#REF!</f>
      </c>
      <c r="BB247" s="51" t="e">
        <f>Ticker0001_Exchange_Sheet!CA316-#REF!</f>
      </c>
      <c r="BC247" s="51" t="e">
        <f>Ticker0001_Exchange_Sheet!CB316-#REF!</f>
      </c>
      <c r="BD247" s="51" t="e">
        <f>Ticker0001_Exchange_Sheet!CC316-#REF!</f>
      </c>
      <c r="BE247" s="51" t="e">
        <f>Ticker0001_Exchange_Sheet!CD316-#REF!</f>
      </c>
      <c r="BF247" s="51" t="e">
        <f>Ticker0001_Exchange_Sheet!CE316-#REF!</f>
      </c>
      <c r="BG247" s="51" t="e">
        <f>Ticker0001_Exchange_Sheet!CF316-#REF!</f>
      </c>
      <c r="BH247" s="51" t="e">
        <f>Ticker0001_Exchange_Sheet!CG316-#REF!</f>
      </c>
      <c r="BI247" s="51" t="e">
        <f>Ticker0001_Exchange_Sheet!CH316-#REF!</f>
      </c>
      <c r="BJ247" s="51" t="e">
        <f>Ticker0001_Exchange_Sheet!CI316-#REF!</f>
      </c>
      <c r="BK247" s="51" t="e">
        <f>Ticker0001_Exchange_Sheet!CJ316-#REF!</f>
      </c>
      <c r="BL247" s="51" t="e">
        <f>Ticker0001_Exchange_Sheet!CK316-#REF!</f>
      </c>
      <c r="BM247" s="51" t="e">
        <f>Ticker0001_Exchange_Sheet!CL316-#REF!</f>
      </c>
      <c r="BN247" s="51" t="e">
        <f>Ticker0001_Exchange_Sheet!CM316-#REF!</f>
      </c>
      <c r="BO247" s="51" t="e">
        <f>Ticker0001_Exchange_Sheet!CN316-#REF!</f>
      </c>
      <c r="BP247" s="51" t="e">
        <f>Ticker0001_Exchange_Sheet!CO316-#REF!</f>
      </c>
      <c r="BQ247" s="51" t="e">
        <f>Ticker0001_Exchange_Sheet!CP316-#REF!</f>
      </c>
      <c r="BR247" s="51" t="e">
        <f>Ticker0001_Exchange_Sheet!CQ316-#REF!</f>
      </c>
      <c r="BS247" s="51" t="e">
        <f>Ticker0001_Exchange_Sheet!CR316-#REF!</f>
      </c>
      <c r="BT247" s="51" t="e">
        <f>Ticker0001_Exchange_Sheet!CS316-#REF!</f>
      </c>
      <c r="BU247" s="51" t="e">
        <f>Ticker0001_Exchange_Sheet!CT316-#REF!</f>
      </c>
      <c r="BV247" s="51" t="e">
        <f>Ticker0001_Exchange_Sheet!CU316-#REF!</f>
      </c>
      <c r="BW247" s="51" t="e">
        <f>Ticker0001_Exchange_Sheet!CV316-#REF!</f>
      </c>
      <c r="BX247" s="51" t="e">
        <f>Ticker0001_Exchange_Sheet!CW316-#REF!</f>
      </c>
      <c r="BY247" s="51" t="e">
        <f>Ticker0001_Exchange_Sheet!CX316-#REF!</f>
      </c>
      <c r="BZ247" s="51" t="e">
        <f>Ticker0001_Exchange_Sheet!CY316-#REF!</f>
      </c>
      <c r="CA247" s="51" t="e">
        <f>Ticker0001_Exchange_Sheet!CZ316-#REF!</f>
      </c>
      <c r="CB247" s="51" t="e">
        <f>Ticker0001_Exchange_Sheet!DA316-#REF!</f>
      </c>
      <c r="CC247" s="51" t="e">
        <f>Ticker0001_Exchange_Sheet!DB316-#REF!</f>
      </c>
      <c r="CD247" s="51" t="e">
        <f>Ticker0001_Exchange_Sheet!DC316-#REF!</f>
      </c>
      <c r="CE247" s="51" t="e">
        <f>Ticker0001_Exchange_Sheet!DD316-#REF!</f>
      </c>
      <c r="CF247" s="51" t="e">
        <f>Ticker0001_Exchange_Sheet!DE316-#REF!</f>
      </c>
    </row>
    <row r="248" spans="6:84">
      <c r="F248" s="51" t="e">
        <f>Ticker0001_Exchange_Sheet!F317-#REF!</f>
      </c>
      <c r="G248" s="51" t="e">
        <f>Ticker0001_Exchange_Sheet!G317-#REF!</f>
      </c>
      <c r="H248" s="51" t="e">
        <f>Ticker0001_Exchange_Sheet!H317-#REF!</f>
      </c>
      <c r="I248" s="51" t="e">
        <f>Ticker0001_Exchange_Sheet!I317-#REF!</f>
      </c>
      <c r="J248" s="51" t="e">
        <f>Ticker0001_Exchange_Sheet!J317-#REF!</f>
      </c>
      <c r="K248" s="51" t="e">
        <f>Ticker0001_Exchange_Sheet!K317-#REF!</f>
      </c>
      <c r="L248" s="51" t="e">
        <f>Ticker0001_Exchange_Sheet!L317-#REF!</f>
      </c>
      <c r="M248" s="51" t="e">
        <f>Ticker0001_Exchange_Sheet!M317-#REF!</f>
      </c>
      <c r="N248" s="51" t="e">
        <f>Ticker0001_Exchange_Sheet!N317-#REF!</f>
      </c>
      <c r="O248" s="51" t="e">
        <f>Ticker0001_Exchange_Sheet!O317-#REF!</f>
      </c>
      <c r="P248" s="51" t="e">
        <f>Ticker0001_Exchange_Sheet!P317-#REF!</f>
      </c>
      <c r="Q248" s="51" t="e">
        <f>Ticker0001_Exchange_Sheet!Q317-#REF!</f>
      </c>
      <c r="R248" s="51" t="e">
        <f>Ticker0001_Exchange_Sheet!R317-#REF!</f>
      </c>
      <c r="S248" s="51" t="e">
        <f>Ticker0001_Exchange_Sheet!S317-#REF!</f>
      </c>
      <c r="T248" s="51" t="e">
        <f>Ticker0001_Exchange_Sheet!T317-#REF!</f>
      </c>
      <c r="U248" s="51" t="e">
        <f>Ticker0001_Exchange_Sheet!U317-#REF!</f>
      </c>
      <c r="V248" s="51" t="e">
        <f>Ticker0001_Exchange_Sheet!V317-#REF!</f>
      </c>
      <c r="W248" s="51" t="e">
        <f>Ticker0001_Exchange_Sheet!W317-#REF!</f>
      </c>
      <c r="X248" s="51" t="e">
        <f>Ticker0001_Exchange_Sheet!AK317-#REF!</f>
      </c>
      <c r="Y248" s="51" t="e">
        <f>Ticker0001_Exchange_Sheet!AX317-#REF!</f>
      </c>
      <c r="Z248" s="51" t="e">
        <f>Ticker0001_Exchange_Sheet!AY317-#REF!</f>
      </c>
      <c r="AA248" s="51" t="e">
        <f>Ticker0001_Exchange_Sheet!AZ317-#REF!</f>
      </c>
      <c r="AB248" s="51" t="e">
        <f>Ticker0001_Exchange_Sheet!BA317-#REF!</f>
      </c>
      <c r="AC248" s="51" t="e">
        <f>Ticker0001_Exchange_Sheet!BB317-#REF!</f>
      </c>
      <c r="AD248" s="51" t="e">
        <f>Ticker0001_Exchange_Sheet!BC317-#REF!</f>
      </c>
      <c r="AE248" s="51" t="e">
        <f>Ticker0001_Exchange_Sheet!BD317-#REF!</f>
      </c>
      <c r="AF248" s="51" t="e">
        <f>Ticker0001_Exchange_Sheet!BE317-#REF!</f>
      </c>
      <c r="AG248" s="51" t="e">
        <f>Ticker0001_Exchange_Sheet!BF317-#REF!</f>
      </c>
      <c r="AH248" s="51" t="e">
        <f>Ticker0001_Exchange_Sheet!BG317-#REF!</f>
      </c>
      <c r="AI248" s="51" t="e">
        <f>Ticker0001_Exchange_Sheet!BH317-#REF!</f>
      </c>
      <c r="AJ248" s="51" t="e">
        <f>Ticker0001_Exchange_Sheet!BI317-#REF!</f>
      </c>
      <c r="AK248" s="51" t="e">
        <f>Ticker0001_Exchange_Sheet!BJ317-#REF!</f>
      </c>
      <c r="AL248" s="51" t="e">
        <f>Ticker0001_Exchange_Sheet!BK317-#REF!</f>
      </c>
      <c r="AM248" s="51" t="e">
        <f>Ticker0001_Exchange_Sheet!BL317-#REF!</f>
      </c>
      <c r="AN248" s="51" t="e">
        <f>Ticker0001_Exchange_Sheet!BM317-#REF!</f>
      </c>
      <c r="AO248" s="51" t="e">
        <f>Ticker0001_Exchange_Sheet!BN317-#REF!</f>
      </c>
      <c r="AP248" s="51" t="e">
        <f>Ticker0001_Exchange_Sheet!BO317-#REF!</f>
      </c>
      <c r="AQ248" s="51" t="e">
        <f>Ticker0001_Exchange_Sheet!BP317-#REF!</f>
      </c>
      <c r="AR248" s="51" t="e">
        <f>Ticker0001_Exchange_Sheet!BQ317-#REF!</f>
      </c>
      <c r="AS248" s="51" t="e">
        <f>Ticker0001_Exchange_Sheet!BR317-#REF!</f>
      </c>
      <c r="AT248" s="51" t="e">
        <f>Ticker0001_Exchange_Sheet!BS317-#REF!</f>
      </c>
      <c r="AU248" s="51" t="e">
        <f>Ticker0001_Exchange_Sheet!BT317-#REF!</f>
      </c>
      <c r="AV248" s="51" t="e">
        <f>Ticker0001_Exchange_Sheet!BU317-#REF!</f>
      </c>
      <c r="AW248" s="51" t="e">
        <f>Ticker0001_Exchange_Sheet!BV317-#REF!</f>
      </c>
      <c r="AX248" s="51" t="e">
        <f>Ticker0001_Exchange_Sheet!BW317-#REF!</f>
      </c>
      <c r="AY248" s="51" t="e">
        <f>Ticker0001_Exchange_Sheet!BX317-#REF!</f>
      </c>
      <c r="AZ248" s="51" t="e">
        <f>Ticker0001_Exchange_Sheet!BY317-#REF!</f>
      </c>
      <c r="BA248" s="51" t="e">
        <f>Ticker0001_Exchange_Sheet!BZ317-#REF!</f>
      </c>
      <c r="BB248" s="51" t="e">
        <f>Ticker0001_Exchange_Sheet!CA317-#REF!</f>
      </c>
      <c r="BC248" s="51" t="e">
        <f>Ticker0001_Exchange_Sheet!CB317-#REF!</f>
      </c>
      <c r="BD248" s="51" t="e">
        <f>Ticker0001_Exchange_Sheet!CC317-#REF!</f>
      </c>
      <c r="BE248" s="51" t="e">
        <f>Ticker0001_Exchange_Sheet!CD317-#REF!</f>
      </c>
      <c r="BF248" s="51" t="e">
        <f>Ticker0001_Exchange_Sheet!CE317-#REF!</f>
      </c>
      <c r="BG248" s="51" t="e">
        <f>Ticker0001_Exchange_Sheet!CF317-#REF!</f>
      </c>
      <c r="BH248" s="51" t="e">
        <f>Ticker0001_Exchange_Sheet!CG317-#REF!</f>
      </c>
      <c r="BI248" s="51" t="e">
        <f>Ticker0001_Exchange_Sheet!CH317-#REF!</f>
      </c>
      <c r="BJ248" s="51" t="e">
        <f>Ticker0001_Exchange_Sheet!CI317-#REF!</f>
      </c>
      <c r="BK248" s="51" t="e">
        <f>Ticker0001_Exchange_Sheet!CJ317-#REF!</f>
      </c>
      <c r="BL248" s="51" t="e">
        <f>Ticker0001_Exchange_Sheet!CK317-#REF!</f>
      </c>
      <c r="BM248" s="51" t="e">
        <f>Ticker0001_Exchange_Sheet!CL317-#REF!</f>
      </c>
      <c r="BN248" s="51" t="e">
        <f>Ticker0001_Exchange_Sheet!CM317-#REF!</f>
      </c>
      <c r="BO248" s="51" t="e">
        <f>Ticker0001_Exchange_Sheet!CN317-#REF!</f>
      </c>
      <c r="BP248" s="51" t="e">
        <f>Ticker0001_Exchange_Sheet!CO317-#REF!</f>
      </c>
      <c r="BQ248" s="51" t="e">
        <f>Ticker0001_Exchange_Sheet!CP317-#REF!</f>
      </c>
      <c r="BR248" s="51" t="e">
        <f>Ticker0001_Exchange_Sheet!CQ317-#REF!</f>
      </c>
      <c r="BS248" s="51" t="e">
        <f>Ticker0001_Exchange_Sheet!CR317-#REF!</f>
      </c>
      <c r="BT248" s="51" t="e">
        <f>Ticker0001_Exchange_Sheet!CS317-#REF!</f>
      </c>
      <c r="BU248" s="51" t="e">
        <f>Ticker0001_Exchange_Sheet!CT317-#REF!</f>
      </c>
      <c r="BV248" s="51" t="e">
        <f>Ticker0001_Exchange_Sheet!CU317-#REF!</f>
      </c>
      <c r="BW248" s="51" t="e">
        <f>Ticker0001_Exchange_Sheet!CV317-#REF!</f>
      </c>
      <c r="BX248" s="51" t="e">
        <f>Ticker0001_Exchange_Sheet!CW317-#REF!</f>
      </c>
      <c r="BY248" s="51" t="e">
        <f>Ticker0001_Exchange_Sheet!CX317-#REF!</f>
      </c>
      <c r="BZ248" s="51" t="e">
        <f>Ticker0001_Exchange_Sheet!CY317-#REF!</f>
      </c>
      <c r="CA248" s="51" t="e">
        <f>Ticker0001_Exchange_Sheet!CZ317-#REF!</f>
      </c>
      <c r="CB248" s="51" t="e">
        <f>Ticker0001_Exchange_Sheet!DA317-#REF!</f>
      </c>
      <c r="CC248" s="51" t="e">
        <f>Ticker0001_Exchange_Sheet!DB317-#REF!</f>
      </c>
      <c r="CD248" s="51" t="e">
        <f>Ticker0001_Exchange_Sheet!DC317-#REF!</f>
      </c>
      <c r="CE248" s="51" t="e">
        <f>Ticker0001_Exchange_Sheet!DD317-#REF!</f>
      </c>
      <c r="CF248" s="51" t="e">
        <f>Ticker0001_Exchange_Sheet!DE317-#REF!</f>
      </c>
    </row>
    <row r="249" spans="6:84">
      <c r="F249" s="51" t="e">
        <f>Ticker0001_Exchange_Sheet!F318-#REF!</f>
      </c>
      <c r="G249" s="51" t="e">
        <f>Ticker0001_Exchange_Sheet!G318-#REF!</f>
      </c>
      <c r="H249" s="51" t="e">
        <f>Ticker0001_Exchange_Sheet!H318-#REF!</f>
      </c>
      <c r="I249" s="51" t="e">
        <f>Ticker0001_Exchange_Sheet!I318-#REF!</f>
      </c>
      <c r="J249" s="51" t="e">
        <f>Ticker0001_Exchange_Sheet!J318-#REF!</f>
      </c>
      <c r="K249" s="51" t="e">
        <f>Ticker0001_Exchange_Sheet!K318-#REF!</f>
      </c>
      <c r="L249" s="51" t="e">
        <f>Ticker0001_Exchange_Sheet!L318-#REF!</f>
      </c>
      <c r="M249" s="51" t="e">
        <f>Ticker0001_Exchange_Sheet!M318-#REF!</f>
      </c>
      <c r="N249" s="51" t="e">
        <f>Ticker0001_Exchange_Sheet!N318-#REF!</f>
      </c>
      <c r="O249" s="51" t="e">
        <f>Ticker0001_Exchange_Sheet!O318-#REF!</f>
      </c>
      <c r="P249" s="51" t="e">
        <f>Ticker0001_Exchange_Sheet!P318-#REF!</f>
      </c>
      <c r="Q249" s="51" t="e">
        <f>Ticker0001_Exchange_Sheet!Q318-#REF!</f>
      </c>
      <c r="R249" s="51" t="e">
        <f>Ticker0001_Exchange_Sheet!R318-#REF!</f>
      </c>
      <c r="S249" s="51" t="e">
        <f>Ticker0001_Exchange_Sheet!S318-#REF!</f>
      </c>
      <c r="T249" s="51" t="e">
        <f>Ticker0001_Exchange_Sheet!T318-#REF!</f>
      </c>
      <c r="U249" s="51" t="e">
        <f>Ticker0001_Exchange_Sheet!U318-#REF!</f>
      </c>
      <c r="V249" s="51" t="e">
        <f>Ticker0001_Exchange_Sheet!V318-#REF!</f>
      </c>
      <c r="W249" s="51" t="e">
        <f>Ticker0001_Exchange_Sheet!W318-#REF!</f>
      </c>
      <c r="X249" s="51" t="e">
        <f>Ticker0001_Exchange_Sheet!AK318-#REF!</f>
      </c>
      <c r="Y249" s="51" t="e">
        <f>Ticker0001_Exchange_Sheet!AX318-#REF!</f>
      </c>
      <c r="Z249" s="51" t="e">
        <f>Ticker0001_Exchange_Sheet!AY318-#REF!</f>
      </c>
      <c r="AA249" s="51" t="e">
        <f>Ticker0001_Exchange_Sheet!AZ318-#REF!</f>
      </c>
      <c r="AB249" s="51" t="e">
        <f>Ticker0001_Exchange_Sheet!BA318-#REF!</f>
      </c>
      <c r="AC249" s="51" t="e">
        <f>Ticker0001_Exchange_Sheet!BB318-#REF!</f>
      </c>
      <c r="AD249" s="51" t="e">
        <f>Ticker0001_Exchange_Sheet!BC318-#REF!</f>
      </c>
      <c r="AE249" s="51" t="e">
        <f>Ticker0001_Exchange_Sheet!BD318-#REF!</f>
      </c>
      <c r="AF249" s="51" t="e">
        <f>Ticker0001_Exchange_Sheet!BE318-#REF!</f>
      </c>
      <c r="AG249" s="51" t="e">
        <f>Ticker0001_Exchange_Sheet!BF318-#REF!</f>
      </c>
      <c r="AH249" s="51" t="e">
        <f>Ticker0001_Exchange_Sheet!BG318-#REF!</f>
      </c>
      <c r="AI249" s="51" t="e">
        <f>Ticker0001_Exchange_Sheet!BH318-#REF!</f>
      </c>
      <c r="AJ249" s="51" t="e">
        <f>Ticker0001_Exchange_Sheet!BI318-#REF!</f>
      </c>
      <c r="AK249" s="51" t="e">
        <f>Ticker0001_Exchange_Sheet!BJ318-#REF!</f>
      </c>
      <c r="AL249" s="51" t="e">
        <f>Ticker0001_Exchange_Sheet!BK318-#REF!</f>
      </c>
      <c r="AM249" s="51" t="e">
        <f>Ticker0001_Exchange_Sheet!BL318-#REF!</f>
      </c>
      <c r="AN249" s="51" t="e">
        <f>Ticker0001_Exchange_Sheet!BM318-#REF!</f>
      </c>
      <c r="AO249" s="51" t="e">
        <f>Ticker0001_Exchange_Sheet!BN318-#REF!</f>
      </c>
      <c r="AP249" s="51" t="e">
        <f>Ticker0001_Exchange_Sheet!BO318-#REF!</f>
      </c>
      <c r="AQ249" s="51" t="e">
        <f>Ticker0001_Exchange_Sheet!BP318-#REF!</f>
      </c>
      <c r="AR249" s="51" t="e">
        <f>Ticker0001_Exchange_Sheet!BQ318-#REF!</f>
      </c>
      <c r="AS249" s="51" t="e">
        <f>Ticker0001_Exchange_Sheet!BR318-#REF!</f>
      </c>
      <c r="AT249" s="51" t="e">
        <f>Ticker0001_Exchange_Sheet!BS318-#REF!</f>
      </c>
      <c r="AU249" s="51" t="e">
        <f>Ticker0001_Exchange_Sheet!BT318-#REF!</f>
      </c>
      <c r="AV249" s="51" t="e">
        <f>Ticker0001_Exchange_Sheet!BU318-#REF!</f>
      </c>
      <c r="AW249" s="51" t="e">
        <f>Ticker0001_Exchange_Sheet!BV318-#REF!</f>
      </c>
      <c r="AX249" s="51" t="e">
        <f>Ticker0001_Exchange_Sheet!BW318-#REF!</f>
      </c>
      <c r="AY249" s="51" t="e">
        <f>Ticker0001_Exchange_Sheet!BX318-#REF!</f>
      </c>
      <c r="AZ249" s="51" t="e">
        <f>Ticker0001_Exchange_Sheet!BY318-#REF!</f>
      </c>
      <c r="BA249" s="51" t="e">
        <f>Ticker0001_Exchange_Sheet!BZ318-#REF!</f>
      </c>
      <c r="BB249" s="51" t="e">
        <f>Ticker0001_Exchange_Sheet!CA318-#REF!</f>
      </c>
      <c r="BC249" s="51" t="e">
        <f>Ticker0001_Exchange_Sheet!CB318-#REF!</f>
      </c>
      <c r="BD249" s="51" t="e">
        <f>Ticker0001_Exchange_Sheet!CC318-#REF!</f>
      </c>
      <c r="BE249" s="51" t="e">
        <f>Ticker0001_Exchange_Sheet!CD318-#REF!</f>
      </c>
      <c r="BF249" s="51" t="e">
        <f>Ticker0001_Exchange_Sheet!CE318-#REF!</f>
      </c>
      <c r="BG249" s="51" t="e">
        <f>Ticker0001_Exchange_Sheet!CF318-#REF!</f>
      </c>
      <c r="BH249" s="51" t="e">
        <f>Ticker0001_Exchange_Sheet!CG318-#REF!</f>
      </c>
      <c r="BI249" s="51" t="e">
        <f>Ticker0001_Exchange_Sheet!CH318-#REF!</f>
      </c>
      <c r="BJ249" s="51" t="e">
        <f>Ticker0001_Exchange_Sheet!CI318-#REF!</f>
      </c>
      <c r="BK249" s="51" t="e">
        <f>Ticker0001_Exchange_Sheet!CJ318-#REF!</f>
      </c>
      <c r="BL249" s="51" t="e">
        <f>Ticker0001_Exchange_Sheet!CK318-#REF!</f>
      </c>
      <c r="BM249" s="51" t="e">
        <f>Ticker0001_Exchange_Sheet!CL318-#REF!</f>
      </c>
      <c r="BN249" s="51" t="e">
        <f>Ticker0001_Exchange_Sheet!CM318-#REF!</f>
      </c>
      <c r="BO249" s="51" t="e">
        <f>Ticker0001_Exchange_Sheet!CN318-#REF!</f>
      </c>
      <c r="BP249" s="51" t="e">
        <f>Ticker0001_Exchange_Sheet!CO318-#REF!</f>
      </c>
      <c r="BQ249" s="51" t="e">
        <f>Ticker0001_Exchange_Sheet!CP318-#REF!</f>
      </c>
      <c r="BR249" s="51" t="e">
        <f>Ticker0001_Exchange_Sheet!CQ318-#REF!</f>
      </c>
      <c r="BS249" s="51" t="e">
        <f>Ticker0001_Exchange_Sheet!CR318-#REF!</f>
      </c>
      <c r="BT249" s="51" t="e">
        <f>Ticker0001_Exchange_Sheet!CS318-#REF!</f>
      </c>
      <c r="BU249" s="51" t="e">
        <f>Ticker0001_Exchange_Sheet!CT318-#REF!</f>
      </c>
      <c r="BV249" s="51" t="e">
        <f>Ticker0001_Exchange_Sheet!CU318-#REF!</f>
      </c>
      <c r="BW249" s="51" t="e">
        <f>Ticker0001_Exchange_Sheet!CV318-#REF!</f>
      </c>
      <c r="BX249" s="51" t="e">
        <f>Ticker0001_Exchange_Sheet!CW318-#REF!</f>
      </c>
      <c r="BY249" s="51" t="e">
        <f>Ticker0001_Exchange_Sheet!CX318-#REF!</f>
      </c>
      <c r="BZ249" s="51" t="e">
        <f>Ticker0001_Exchange_Sheet!CY318-#REF!</f>
      </c>
      <c r="CA249" s="51" t="e">
        <f>Ticker0001_Exchange_Sheet!CZ318-#REF!</f>
      </c>
      <c r="CB249" s="51" t="e">
        <f>Ticker0001_Exchange_Sheet!DA318-#REF!</f>
      </c>
      <c r="CC249" s="51" t="e">
        <f>Ticker0001_Exchange_Sheet!DB318-#REF!</f>
      </c>
      <c r="CD249" s="51" t="e">
        <f>Ticker0001_Exchange_Sheet!DC318-#REF!</f>
      </c>
      <c r="CE249" s="51" t="e">
        <f>Ticker0001_Exchange_Sheet!DD318-#REF!</f>
      </c>
      <c r="CF249" s="51" t="e">
        <f>Ticker0001_Exchange_Sheet!DE318-#REF!</f>
      </c>
    </row>
    <row r="250" spans="6:84">
      <c r="F250" s="51" t="e">
        <f>Ticker0001_Exchange_Sheet!F319-#REF!</f>
      </c>
      <c r="G250" s="51" t="e">
        <f>Ticker0001_Exchange_Sheet!G319-#REF!</f>
      </c>
      <c r="H250" s="51" t="e">
        <f>Ticker0001_Exchange_Sheet!H319-#REF!</f>
      </c>
      <c r="I250" s="51" t="e">
        <f>Ticker0001_Exchange_Sheet!I319-#REF!</f>
      </c>
      <c r="J250" s="51" t="e">
        <f>Ticker0001_Exchange_Sheet!J319-#REF!</f>
      </c>
      <c r="K250" s="51" t="e">
        <f>Ticker0001_Exchange_Sheet!K319-#REF!</f>
      </c>
      <c r="L250" s="51" t="e">
        <f>Ticker0001_Exchange_Sheet!L319-#REF!</f>
      </c>
      <c r="M250" s="51" t="e">
        <f>Ticker0001_Exchange_Sheet!M319-#REF!</f>
      </c>
      <c r="N250" s="51" t="e">
        <f>Ticker0001_Exchange_Sheet!N319-#REF!</f>
      </c>
      <c r="O250" s="51" t="e">
        <f>Ticker0001_Exchange_Sheet!O319-#REF!</f>
      </c>
      <c r="P250" s="51" t="e">
        <f>Ticker0001_Exchange_Sheet!P319-#REF!</f>
      </c>
      <c r="Q250" s="51" t="e">
        <f>Ticker0001_Exchange_Sheet!Q319-#REF!</f>
      </c>
      <c r="R250" s="51" t="e">
        <f>Ticker0001_Exchange_Sheet!R319-#REF!</f>
      </c>
      <c r="S250" s="51" t="e">
        <f>Ticker0001_Exchange_Sheet!S319-#REF!</f>
      </c>
      <c r="T250" s="51" t="e">
        <f>Ticker0001_Exchange_Sheet!T319-#REF!</f>
      </c>
      <c r="U250" s="51" t="e">
        <f>Ticker0001_Exchange_Sheet!U319-#REF!</f>
      </c>
      <c r="V250" s="51" t="e">
        <f>Ticker0001_Exchange_Sheet!V319-#REF!</f>
      </c>
      <c r="W250" s="51" t="e">
        <f>Ticker0001_Exchange_Sheet!W319-#REF!</f>
      </c>
      <c r="X250" s="51" t="e">
        <f>Ticker0001_Exchange_Sheet!AK319-#REF!</f>
      </c>
      <c r="Y250" s="51" t="e">
        <f>Ticker0001_Exchange_Sheet!AX319-#REF!</f>
      </c>
      <c r="Z250" s="51" t="e">
        <f>Ticker0001_Exchange_Sheet!AY319-#REF!</f>
      </c>
      <c r="AA250" s="51" t="e">
        <f>Ticker0001_Exchange_Sheet!AZ319-#REF!</f>
      </c>
      <c r="AB250" s="51" t="e">
        <f>Ticker0001_Exchange_Sheet!BA319-#REF!</f>
      </c>
      <c r="AC250" s="51" t="e">
        <f>Ticker0001_Exchange_Sheet!BB319-#REF!</f>
      </c>
      <c r="AD250" s="51" t="e">
        <f>Ticker0001_Exchange_Sheet!BC319-#REF!</f>
      </c>
      <c r="AE250" s="51" t="e">
        <f>Ticker0001_Exchange_Sheet!BD319-#REF!</f>
      </c>
      <c r="AF250" s="51" t="e">
        <f>Ticker0001_Exchange_Sheet!BE319-#REF!</f>
      </c>
      <c r="AG250" s="51" t="e">
        <f>Ticker0001_Exchange_Sheet!BF319-#REF!</f>
      </c>
      <c r="AH250" s="51" t="e">
        <f>Ticker0001_Exchange_Sheet!BG319-#REF!</f>
      </c>
      <c r="AI250" s="51" t="e">
        <f>Ticker0001_Exchange_Sheet!BH319-#REF!</f>
      </c>
      <c r="AJ250" s="51" t="e">
        <f>Ticker0001_Exchange_Sheet!BI319-#REF!</f>
      </c>
      <c r="AK250" s="51" t="e">
        <f>Ticker0001_Exchange_Sheet!BJ319-#REF!</f>
      </c>
      <c r="AL250" s="51" t="e">
        <f>Ticker0001_Exchange_Sheet!BK319-#REF!</f>
      </c>
      <c r="AM250" s="51" t="e">
        <f>Ticker0001_Exchange_Sheet!BL319-#REF!</f>
      </c>
      <c r="AN250" s="51" t="e">
        <f>Ticker0001_Exchange_Sheet!BM319-#REF!</f>
      </c>
      <c r="AO250" s="51" t="e">
        <f>Ticker0001_Exchange_Sheet!BN319-#REF!</f>
      </c>
      <c r="AP250" s="51" t="e">
        <f>Ticker0001_Exchange_Sheet!BO319-#REF!</f>
      </c>
      <c r="AQ250" s="51" t="e">
        <f>Ticker0001_Exchange_Sheet!BP319-#REF!</f>
      </c>
      <c r="AR250" s="51" t="e">
        <f>Ticker0001_Exchange_Sheet!BQ319-#REF!</f>
      </c>
      <c r="AS250" s="51" t="e">
        <f>Ticker0001_Exchange_Sheet!BR319-#REF!</f>
      </c>
      <c r="AT250" s="51" t="e">
        <f>Ticker0001_Exchange_Sheet!BS319-#REF!</f>
      </c>
      <c r="AU250" s="51" t="e">
        <f>Ticker0001_Exchange_Sheet!BT319-#REF!</f>
      </c>
      <c r="AV250" s="51" t="e">
        <f>Ticker0001_Exchange_Sheet!BU319-#REF!</f>
      </c>
      <c r="AW250" s="51" t="e">
        <f>Ticker0001_Exchange_Sheet!BV319-#REF!</f>
      </c>
      <c r="AX250" s="51" t="e">
        <f>Ticker0001_Exchange_Sheet!BW319-#REF!</f>
      </c>
      <c r="AY250" s="51" t="e">
        <f>Ticker0001_Exchange_Sheet!BX319-#REF!</f>
      </c>
      <c r="AZ250" s="51" t="e">
        <f>Ticker0001_Exchange_Sheet!BY319-#REF!</f>
      </c>
      <c r="BA250" s="51" t="e">
        <f>Ticker0001_Exchange_Sheet!BZ319-#REF!</f>
      </c>
      <c r="BB250" s="51" t="e">
        <f>Ticker0001_Exchange_Sheet!CA319-#REF!</f>
      </c>
      <c r="BC250" s="51" t="e">
        <f>Ticker0001_Exchange_Sheet!CB319-#REF!</f>
      </c>
      <c r="BD250" s="51" t="e">
        <f>Ticker0001_Exchange_Sheet!CC319-#REF!</f>
      </c>
      <c r="BE250" s="51" t="e">
        <f>Ticker0001_Exchange_Sheet!CD319-#REF!</f>
      </c>
      <c r="BF250" s="51" t="e">
        <f>Ticker0001_Exchange_Sheet!CE319-#REF!</f>
      </c>
      <c r="BG250" s="51" t="e">
        <f>Ticker0001_Exchange_Sheet!CF319-#REF!</f>
      </c>
      <c r="BH250" s="51" t="e">
        <f>Ticker0001_Exchange_Sheet!CG319-#REF!</f>
      </c>
      <c r="BI250" s="51" t="e">
        <f>Ticker0001_Exchange_Sheet!CH319-#REF!</f>
      </c>
      <c r="BJ250" s="51" t="e">
        <f>Ticker0001_Exchange_Sheet!CI319-#REF!</f>
      </c>
      <c r="BK250" s="51" t="e">
        <f>Ticker0001_Exchange_Sheet!CJ319-#REF!</f>
      </c>
      <c r="BL250" s="51" t="e">
        <f>Ticker0001_Exchange_Sheet!CK319-#REF!</f>
      </c>
      <c r="BM250" s="51" t="e">
        <f>Ticker0001_Exchange_Sheet!CL319-#REF!</f>
      </c>
      <c r="BN250" s="51" t="e">
        <f>Ticker0001_Exchange_Sheet!CM319-#REF!</f>
      </c>
      <c r="BO250" s="51" t="e">
        <f>Ticker0001_Exchange_Sheet!CN319-#REF!</f>
      </c>
      <c r="BP250" s="51" t="e">
        <f>Ticker0001_Exchange_Sheet!CO319-#REF!</f>
      </c>
      <c r="BQ250" s="51" t="e">
        <f>Ticker0001_Exchange_Sheet!CP319-#REF!</f>
      </c>
      <c r="BR250" s="51" t="e">
        <f>Ticker0001_Exchange_Sheet!CQ319-#REF!</f>
      </c>
      <c r="BS250" s="51" t="e">
        <f>Ticker0001_Exchange_Sheet!CR319-#REF!</f>
      </c>
      <c r="BT250" s="51" t="e">
        <f>Ticker0001_Exchange_Sheet!CS319-#REF!</f>
      </c>
      <c r="BU250" s="51" t="e">
        <f>Ticker0001_Exchange_Sheet!CT319-#REF!</f>
      </c>
      <c r="BV250" s="51" t="e">
        <f>Ticker0001_Exchange_Sheet!CU319-#REF!</f>
      </c>
      <c r="BW250" s="51" t="e">
        <f>Ticker0001_Exchange_Sheet!CV319-#REF!</f>
      </c>
      <c r="BX250" s="51" t="e">
        <f>Ticker0001_Exchange_Sheet!CW319-#REF!</f>
      </c>
      <c r="BY250" s="51" t="e">
        <f>Ticker0001_Exchange_Sheet!CX319-#REF!</f>
      </c>
      <c r="BZ250" s="51" t="e">
        <f>Ticker0001_Exchange_Sheet!CY319-#REF!</f>
      </c>
      <c r="CA250" s="51" t="e">
        <f>Ticker0001_Exchange_Sheet!CZ319-#REF!</f>
      </c>
      <c r="CB250" s="51" t="e">
        <f>Ticker0001_Exchange_Sheet!DA319-#REF!</f>
      </c>
      <c r="CC250" s="51" t="e">
        <f>Ticker0001_Exchange_Sheet!DB319-#REF!</f>
      </c>
      <c r="CD250" s="51" t="e">
        <f>Ticker0001_Exchange_Sheet!DC319-#REF!</f>
      </c>
      <c r="CE250" s="51" t="e">
        <f>Ticker0001_Exchange_Sheet!DD319-#REF!</f>
      </c>
      <c r="CF250" s="51" t="e">
        <f>Ticker0001_Exchange_Sheet!DE319-#REF!</f>
      </c>
    </row>
  </sheetData>
  <pageMargins left="0.7" right="0.7" top="0.75" bottom="0.75" header="0.3" footer="0.3"/>
  <pageSetup paperSize="9" orientation="portrait" r:id="rId1"/>
  <customProperties>
    <customPr name="Qube.Worksheet.Visibility" r:id="rId2"/>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2053</vt:i4>
      </vt:variant>
    </vt:vector>
  </HeadingPairs>
  <TitlesOfParts>
    <vt:vector size="2079" baseType="lpstr">
      <vt:lpstr>Cover Sheet</vt:lpstr>
      <vt:lpstr>Revenue summary</vt:lpstr>
      <vt:lpstr>Segment - Products</vt:lpstr>
      <vt:lpstr>Segment - Services</vt:lpstr>
      <vt:lpstr>Ticker0001_Live_Sheet</vt:lpstr>
      <vt:lpstr>Ticker0001_Validation_Sheet</vt:lpstr>
      <vt:lpstr>Ticker0001_Annotation_Sheet</vt:lpstr>
      <vt:lpstr>Income Statement</vt:lpstr>
      <vt:lpstr>Balance Sheet</vt:lpstr>
      <vt:lpstr>Cash Flow Statement</vt:lpstr>
      <vt:lpstr>Geo</vt:lpstr>
      <vt:lpstr>Debt Schedule</vt:lpstr>
      <vt:lpstr>Estimate Changes</vt:lpstr>
      <vt:lpstr>AvE</vt:lpstr>
      <vt:lpstr>Valuation</vt:lpstr>
      <vt:lpstr>Scenario analysis</vt:lpstr>
      <vt:lpstr>Illustrative DCF</vt:lpstr>
      <vt:lpstr>Ticker0001_Exchange_Sheet</vt:lpstr>
      <vt:lpstr>AvE_F4Q23</vt:lpstr>
      <vt:lpstr>AvE_F1Q24</vt:lpstr>
      <vt:lpstr>AvE_F2Q24</vt:lpstr>
      <vt:lpstr>AvE_F3Q24</vt:lpstr>
      <vt:lpstr>AvE_F1Q25</vt:lpstr>
      <vt:lpstr>AvE F1Q23</vt:lpstr>
      <vt:lpstr>Macro1</vt:lpstr>
      <vt:lpstr>delta Qsheet</vt:lpstr>
      <vt:lpstr>A_ALL_Ticker0001</vt:lpstr>
      <vt:lpstr>Ticker0001_Annotation_Sheet!A_ALL_KEYWORDS_TYPE_ScalarContributed_EQTY_200000801</vt:lpstr>
      <vt:lpstr>A_ALL_KEYWORDS_TYPE_ScalarContributed_EQTY_200000801</vt:lpstr>
      <vt:lpstr>Ticker0001_Annotation_Sheet!A_ALL_KEYWORDS_TYPE_ScalarContributed_ISSR_208000149</vt:lpstr>
      <vt:lpstr>Ticker0001_Annotation_Sheet!A_ALL_KEYWORDS_TYPE_ScalarReference_EQTY_200000801</vt:lpstr>
      <vt:lpstr>Ticker0001_Annotation_Sheet!A_ALL_KEYWORDS_TYPE_ScalarReference_ISSR_208000149</vt:lpstr>
      <vt:lpstr>Ticker0001_Annotation_Sheet!A_ALL_KEYWORDS_TYPE_Vector_EQTY_200000801</vt:lpstr>
      <vt:lpstr>Ticker0001_Annotation_Sheet!A_ALL_KEYWORDS_TYPE_Vector_ISSR_208000149</vt:lpstr>
      <vt:lpstr>A_ALL_KEYWORDS_TYPE_Vector_ISSR_208000149</vt:lpstr>
      <vt:lpstr>Ticker0001_Annotation_Sheet!A_ALL_PERIODS_Ticker0001</vt:lpstr>
      <vt:lpstr>Ticker0001_Annotation_Sheet!A_ALL_SECTION_KEYWORDS_EQTY_200000801_1314</vt:lpstr>
      <vt:lpstr>Ticker0001_Annotation_Sheet!A_ALL_SECTION_KEYWORDS_EQTY_200000801_1319</vt:lpstr>
      <vt:lpstr>Ticker0001_Annotation_Sheet!A_ALL_SECTION_KEYWORDS_EQTY_200000801_131E</vt:lpstr>
      <vt:lpstr>Ticker0001_Annotation_Sheet!A_ALL_SECTION_KEYWORDS_EQTY_200000801_131O</vt:lpstr>
      <vt:lpstr>Ticker0001_Annotation_Sheet!A_ALL_SECTION_KEYWORDS_EQTY_200000801_13A</vt:lpstr>
      <vt:lpstr>A_ALL_SECTION_KEYWORDS_EQTY_200000801_13A</vt:lpstr>
      <vt:lpstr>Ticker0001_Annotation_Sheet!A_ALL_SECTION_KEYWORDS_EQTY_200000801_13K</vt:lpstr>
      <vt:lpstr>Ticker0001_Annotation_Sheet!A_ALL_SECTION_KEYWORDS_EQTY_200000801_13U</vt:lpstr>
      <vt:lpstr>Ticker0001_Annotation_Sheet!A_ALL_SECTION_KEYWORDS_EQTY_200000801_13V</vt:lpstr>
      <vt:lpstr>Ticker0001_Annotation_Sheet!A_ALL_SECTION_KEYWORDS_EQTY_200000801_13W</vt:lpstr>
      <vt:lpstr>Ticker0001_Annotation_Sheet!A_ALL_SECTION_KEYWORDS_EQTY_200000801_Reference_Data</vt:lpstr>
      <vt:lpstr>Ticker0001_Annotation_Sheet!A_ALL_SECTION_KEYWORDS_ISSR_208000149_1314</vt:lpstr>
      <vt:lpstr>Ticker0001_Annotation_Sheet!A_ALL_SECTION_KEYWORDS_ISSR_208000149_13168</vt:lpstr>
      <vt:lpstr>Ticker0001_Annotation_Sheet!A_ALL_SECTION_KEYWORDS_ISSR_208000149_1316T</vt:lpstr>
      <vt:lpstr>Ticker0001_Annotation_Sheet!A_ALL_SECTION_KEYWORDS_ISSR_208000149_1316U</vt:lpstr>
      <vt:lpstr>Ticker0001_Annotation_Sheet!A_ALL_SECTION_KEYWORDS_ISSR_208000149_1319</vt:lpstr>
      <vt:lpstr>Ticker0001_Annotation_Sheet!A_ALL_SECTION_KEYWORDS_ISSR_208000149_131E</vt:lpstr>
      <vt:lpstr>Ticker0001_Annotation_Sheet!A_ALL_SECTION_KEYWORDS_ISSR_208000149_131J</vt:lpstr>
      <vt:lpstr>Ticker0001_Annotation_Sheet!A_ALL_SECTION_KEYWORDS_ISSR_208000149_131O</vt:lpstr>
      <vt:lpstr>A_ALL_SECTION_KEYWORDS_ISSR_208000149_131O</vt:lpstr>
      <vt:lpstr>Ticker0001_Annotation_Sheet!A_ALL_SECTION_KEYWORDS_ISSR_208000149_136E</vt:lpstr>
      <vt:lpstr>Ticker0001_Annotation_Sheet!A_ALL_SECTION_KEYWORDS_ISSR_208000149_136J</vt:lpstr>
      <vt:lpstr>Ticker0001_Annotation_Sheet!A_ALL_SECTION_KEYWORDS_ISSR_208000149_13A</vt:lpstr>
      <vt:lpstr>Ticker0001_Annotation_Sheet!A_ALL_SECTION_KEYWORDS_ISSR_208000149_13U</vt:lpstr>
      <vt:lpstr>Ticker0001_Annotation_Sheet!A_ALL_SECTION_KEYWORDS_ISSR_208000149_13V</vt:lpstr>
      <vt:lpstr>Ticker0001_Annotation_Sheet!A_ALL_SECTION_KEYWORDS_ISSR_208000149_Reference_Data</vt:lpstr>
      <vt:lpstr>Ticker0001_Annotation_Sheet!A_ALL_SECTIONS_EQTY_200000801</vt:lpstr>
      <vt:lpstr>Ticker0001_Annotation_Sheet!A_ALL_SECTIONS_ISSR_208000149</vt:lpstr>
      <vt:lpstr>Ticker0001_Annotation_Sheet!A_CURRENCY_EQTY_200000801_PRI</vt:lpstr>
      <vt:lpstr>Ticker0001_Annotation_Sheet!A_CURRENCY_EQTY_200000801_PUB</vt:lpstr>
      <vt:lpstr>Ticker0001_Annotation_Sheet!A_CURRENCY_EQTY_200000801_REP</vt:lpstr>
      <vt:lpstr>Ticker0001_Annotation_Sheet!A_CURRENCY_ISSR_208000149_REP</vt:lpstr>
      <vt:lpstr>Ticker0001_Annotation_Sheet!A_ENTITY_DATA_EQTY_200000801</vt:lpstr>
      <vt:lpstr>Ticker0001_Annotation_Sheet!A_ENTITY_DATA_ISSR_208000149</vt:lpstr>
      <vt:lpstr>Ticker0001_Annotation_Sheet!A_KEYWORD_EQTY_200000801_AMER_CONVICTION</vt:lpstr>
      <vt:lpstr>Ticker0001_Annotation_Sheet!A_KEYWORD_EQTY_200000801_AMER_LIST</vt:lpstr>
      <vt:lpstr>Ticker0001_Annotation_Sheet!A_KEYWORD_EQTY_200000801_BETA_ANALYST</vt:lpstr>
      <vt:lpstr>Ticker0001_Annotation_Sheet!A_KEYWORD_EQTY_200000801_BVPS</vt:lpstr>
      <vt:lpstr>Ticker0001_Annotation_Sheet!A_KEYWORD_EQTY_200000801_BVPS_PUB</vt:lpstr>
      <vt:lpstr>Ticker0001_Annotation_Sheet!A_KEYWORD_EQTY_200000801_CEEE_EPS</vt:lpstr>
      <vt:lpstr>Ticker0001_Annotation_Sheet!A_KEYWORD_EQTY_200000801_CEEE_NDEBT</vt:lpstr>
      <vt:lpstr>Ticker0001_Annotation_Sheet!A_KEYWORD_EQTY_200000801_CF_NI_PRE_PREF</vt:lpstr>
      <vt:lpstr>Ticker0001_Annotation_Sheet!A_KEYWORD_EQTY_200000801_COMMON_DIV_PAID</vt:lpstr>
      <vt:lpstr>Ticker0001_Annotation_Sheet!A_KEYWORD_EQTY_200000801_CURRENCY_ISO</vt:lpstr>
      <vt:lpstr>Ticker0001_Annotation_Sheet!A_KEYWORD_EQTY_200000801_DILUTE_SHARES</vt:lpstr>
      <vt:lpstr>Ticker0001_Annotation_Sheet!A_KEYWORD_EQTY_200000801_DPS</vt:lpstr>
      <vt:lpstr>Ticker0001_Annotation_Sheet!A_KEYWORD_EQTY_200000801_DPS_PUB</vt:lpstr>
      <vt:lpstr>Ticker0001_Annotation_Sheet!A_KEYWORD_EQTY_200000801_DPS_SPECIAL_PUB</vt:lpstr>
      <vt:lpstr>Ticker0001_Annotation_Sheet!A_KEYWORD_EQTY_200000801_EBIT_PUB</vt:lpstr>
      <vt:lpstr>Ticker0001_Annotation_Sheet!A_KEYWORD_EQTY_200000801_EBITDA_PUB</vt:lpstr>
      <vt:lpstr>Ticker0001_Annotation_Sheet!A_KEYWORD_EQTY_200000801_EPS</vt:lpstr>
      <vt:lpstr>Ticker0001_Annotation_Sheet!A_KEYWORD_EQTY_200000801_EPS_EX_ESO_B</vt:lpstr>
      <vt:lpstr>Ticker0001_Annotation_Sheet!A_KEYWORD_EQTY_200000801_EPS_EX_ESO_D</vt:lpstr>
      <vt:lpstr>Ticker0001_Annotation_Sheet!A_KEYWORD_EQTY_200000801_EPS_FUL_DIL</vt:lpstr>
      <vt:lpstr>Ticker0001_Annotation_Sheet!A_KEYWORD_EQTY_200000801_EPS_POST_BASIC</vt:lpstr>
      <vt:lpstr>Ticker0001_Annotation_Sheet!A_KEYWORD_EQTY_200000801_EPS_PUB</vt:lpstr>
      <vt:lpstr>Ticker0001_Annotation_Sheet!A_KEYWORD_EQTY_200000801_EPS_PUB_EX_ESO</vt:lpstr>
      <vt:lpstr>Ticker0001_Annotation_Sheet!A_KEYWORD_EQTY_200000801_EQ_PUB</vt:lpstr>
      <vt:lpstr>Ticker0001_Annotation_Sheet!A_KEYWORD_EQTY_200000801_ESO_POST_TAX</vt:lpstr>
      <vt:lpstr>Ticker0001_Annotation_Sheet!A_KEYWORD_EQTY_200000801_ESO_YEAR</vt:lpstr>
      <vt:lpstr>Ticker0001_Annotation_Sheet!A_KEYWORD_EQTY_200000801_EV_ADJ_PUB</vt:lpstr>
      <vt:lpstr>Ticker0001_Annotation_Sheet!A_KEYWORD_EQTY_200000801_FREE_FLOAT</vt:lpstr>
      <vt:lpstr>Ticker0001_Annotation_Sheet!A_KEYWORD_EQTY_200000801_FULLY_DIL_EPS</vt:lpstr>
      <vt:lpstr>Ticker0001_Annotation_Sheet!A_KEYWORD_EQTY_200000801_FV_GRANT</vt:lpstr>
      <vt:lpstr>Ticker0001_Annotation_Sheet!A_KEYWORD_EQTY_200000801_INC_MINORITY</vt:lpstr>
      <vt:lpstr>Ticker0001_Annotation_Sheet!A_KEYWORD_EQTY_200000801_Interim_Type</vt:lpstr>
      <vt:lpstr>Ticker0001_Annotation_Sheet!A_KEYWORD_EQTY_200000801_LEGAL_RATING</vt:lpstr>
      <vt:lpstr>Ticker0001_Annotation_Sheet!A_KEYWORD_EQTY_200000801_MARGIN_TAX_RATE</vt:lpstr>
      <vt:lpstr>Ticker0001_Annotation_Sheet!A_KEYWORD_EQTY_200000801_MKT_EQ_RISK_PREM</vt:lpstr>
      <vt:lpstr>Ticker0001_Annotation_Sheet!A_KEYWORD_EQTY_200000801_NET_DEBT_EX_LEASES_PUB</vt:lpstr>
      <vt:lpstr>Ticker0001_Annotation_Sheet!A_KEYWORD_EQTY_200000801_NET_DEBT_PUB</vt:lpstr>
      <vt:lpstr>Ticker0001_Annotation_Sheet!A_KEYWORD_EQTY_200000801_NET_EARNING</vt:lpstr>
      <vt:lpstr>Ticker0001_Annotation_Sheet!A_KEYWORD_EQTY_200000801_NET_INC</vt:lpstr>
      <vt:lpstr>Ticker0001_Annotation_Sheet!A_KEYWORD_EQTY_200000801_NI_PRE_PREF</vt:lpstr>
      <vt:lpstr>Ticker0001_Annotation_Sheet!A_KEYWORD_EQTY_200000801_NI_PUB</vt:lpstr>
      <vt:lpstr>Ticker0001_Annotation_Sheet!A_KEYWORD_EQTY_200000801_NON_OP_ADD</vt:lpstr>
      <vt:lpstr>Ticker0001_Annotation_Sheet!A_KEYWORD_EQTY_200000801_NOT_IN_USE</vt:lpstr>
      <vt:lpstr>Ticker0001_Annotation_Sheet!A_KEYWORD_EQTY_200000801_NUM_SH</vt:lpstr>
      <vt:lpstr>Ticker0001_Annotation_Sheet!A_KEYWORD_EQTY_200000801_PREF_DIV</vt:lpstr>
      <vt:lpstr>Ticker0001_Annotation_Sheet!A_KEYWORD_EQTY_200000801_PRICE_CURRENCY_ISO</vt:lpstr>
      <vt:lpstr>Ticker0001_Annotation_Sheet!A_KEYWORD_EQTY_200000801_PROV_INC_TAX</vt:lpstr>
      <vt:lpstr>Ticker0001_Annotation_Sheet!A_KEYWORD_EQTY_200000801_PTP_PUB</vt:lpstr>
      <vt:lpstr>Ticker0001_Annotation_Sheet!A_KEYWORD_EQTY_200000801_PUB_CURRENCY_ISO</vt:lpstr>
      <vt:lpstr>Ticker0001_Annotation_Sheet!A_KEYWORD_EQTY_200000801_REPUR_ACTUAL</vt:lpstr>
      <vt:lpstr>Ticker0001_Annotation_Sheet!A_KEYWORD_EQTY_200000801_REPUR_REMAINING</vt:lpstr>
      <vt:lpstr>Ticker0001_Annotation_Sheet!A_KEYWORD_EQTY_200000801_REPUR_SUSPENDED</vt:lpstr>
      <vt:lpstr>Ticker0001_Annotation_Sheet!A_KEYWORD_EQTY_200000801_REPUR_TOT_AUTH</vt:lpstr>
      <vt:lpstr>Ticker0001_Annotation_Sheet!A_KEYWORD_EQTY_200000801_REVS_PUB</vt:lpstr>
      <vt:lpstr>Ticker0001_Annotation_Sheet!A_KEYWORD_EQTY_200000801_RISK_FR_RATE</vt:lpstr>
      <vt:lpstr>Ticker0001_Annotation_Sheet!A_KEYWORD_EQTY_200000801_Security_Name</vt:lpstr>
      <vt:lpstr>Ticker0001_Annotation_Sheet!A_KEYWORD_EQTY_200000801_SH</vt:lpstr>
      <vt:lpstr>Ticker0001_Annotation_Sheet!A_KEYWORD_EQTY_200000801_TARGET_PRICE</vt:lpstr>
      <vt:lpstr>Ticker0001_Annotation_Sheet!A_KEYWORD_EQTY_200000801_TARGET_PRICE_FUNDAMENTAL</vt:lpstr>
      <vt:lpstr>Ticker0001_Annotation_Sheet!A_KEYWORD_EQTY_200000801_TARGET_PRICE_MA</vt:lpstr>
      <vt:lpstr>Ticker0001_Annotation_Sheet!A_KEYWORD_EQTY_200000801_TAX_EXC</vt:lpstr>
      <vt:lpstr>Ticker0001_Annotation_Sheet!A_KEYWORD_EQTY_200000801_Ticker</vt:lpstr>
      <vt:lpstr>Ticker0001_Annotation_Sheet!A_KEYWORD_EQTY_200000801_TP_PERIOD</vt:lpstr>
      <vt:lpstr>Ticker0001_Annotation_Sheet!A_KEYWORD_ISSR_208000149_ACC_AMORT</vt:lpstr>
      <vt:lpstr>Ticker0001_Annotation_Sheet!A_KEYWORD_ISSR_208000149_ACC_DDA</vt:lpstr>
      <vt:lpstr>Ticker0001_Annotation_Sheet!A_KEYWORD_ISSR_208000149_ACC_END_DATE</vt:lpstr>
      <vt:lpstr>Ticker0001_Annotation_Sheet!A_KEYWORD_ISSR_208000149_ACC_PAY_GQ</vt:lpstr>
      <vt:lpstr>Ticker0001_Annotation_Sheet!A_KEYWORD_ISSR_208000149_ACQ</vt:lpstr>
      <vt:lpstr>Ticker0001_Annotation_Sheet!A_KEYWORD_ISSR_208000149_ADJ_UNF_PENS_GOOD</vt:lpstr>
      <vt:lpstr>Ticker0001_Annotation_Sheet!A_KEYWORD_ISSR_208000149_ASSOC_JV_ADDBK</vt:lpstr>
      <vt:lpstr>Ticker0001_Annotation_Sheet!A_KEYWORD_ISSR_208000149_ASSOCIATE</vt:lpstr>
      <vt:lpstr>Ticker0001_Annotation_Sheet!A_KEYWORD_ISSR_208000149_ASSOCIATE_OP</vt:lpstr>
      <vt:lpstr>Ticker0001_Annotation_Sheet!A_KEYWORD_ISSR_208000149_AVG_AGE_CUST</vt:lpstr>
      <vt:lpstr>Ticker0001_Annotation_Sheet!A_KEYWORD_ISSR_208000149_AVG_HSHLD_INC_CUST</vt:lpstr>
      <vt:lpstr>Ticker0001_Annotation_Sheet!A_KEYWORD_ISSR_208000149_BAL_MINO_INT</vt:lpstr>
      <vt:lpstr>Ticker0001_Annotation_Sheet!A_KEYWORD_ISSR_208000149_CAP_LEASES</vt:lpstr>
      <vt:lpstr>Ticker0001_Annotation_Sheet!A_KEYWORD_ISSR_208000149_CAPEX</vt:lpstr>
      <vt:lpstr>Ticker0001_Annotation_Sheet!A_KEYWORD_ISSR_208000149_CAPEX_EXPANSION</vt:lpstr>
      <vt:lpstr>Ticker0001_Annotation_Sheet!A_KEYWORD_ISSR_208000149_CAPEX_MAINTENANCE</vt:lpstr>
      <vt:lpstr>Ticker0001_Annotation_Sheet!A_KEYWORD_ISSR_208000149_CASH_EQ</vt:lpstr>
      <vt:lpstr>Ticker0001_Annotation_Sheet!A_KEYWORD_ISSR_208000149_CASH_INT_EXP</vt:lpstr>
      <vt:lpstr>Ticker0001_Annotation_Sheet!A_KEYWORD_ISSR_208000149_CASH_PCT_OS_US</vt:lpstr>
      <vt:lpstr>Ticker0001_Annotation_Sheet!A_KEYWORD_ISSR_208000149_CASH_TAX_EXP</vt:lpstr>
      <vt:lpstr>Ticker0001_Annotation_Sheet!A_KEYWORD_ISSR_208000149_CF_FIN</vt:lpstr>
      <vt:lpstr>Ticker0001_Annotation_Sheet!A_KEYWORD_ISSR_208000149_CF_INC_MINORITY</vt:lpstr>
      <vt:lpstr>Ticker0001_Annotation_Sheet!A_KEYWORD_ISSR_208000149_CF_INV</vt:lpstr>
      <vt:lpstr>Ticker0001_Annotation_Sheet!A_KEYWORD_ISSR_208000149_CF_OPS</vt:lpstr>
      <vt:lpstr>Ticker0001_Annotation_Sheet!A_KEYWORD_ISSR_208000149_CHG_DEF_TAX_CF</vt:lpstr>
      <vt:lpstr>Ticker0001_Annotation_Sheet!A_KEYWORD_ISSR_208000149_CHG_LT_DEBT</vt:lpstr>
      <vt:lpstr>Ticker0001_Annotation_Sheet!A_KEYWORD_ISSR_208000149_CO_BOR_MARGIN</vt:lpstr>
      <vt:lpstr>Ticker0001_Annotation_Sheet!A_KEYWORD_ISSR_208000149_COGS_PCT_ROW</vt:lpstr>
      <vt:lpstr>Ticker0001_Annotation_Sheet!A_KEYWORD_ISSR_208000149_COGS_PCT_US</vt:lpstr>
      <vt:lpstr>Ticker0001_Annotation_Sheet!A_KEYWORD_ISSR_208000149_COST_GD_SD</vt:lpstr>
      <vt:lpstr>Ticker0001_Annotation_Sheet!A_KEYWORD_ISSR_208000149_CUR_ASS</vt:lpstr>
      <vt:lpstr>Ticker0001_Annotation_Sheet!A_KEYWORD_ISSR_208000149_CURRENCY_ISO</vt:lpstr>
      <vt:lpstr>Ticker0001_Annotation_Sheet!A_KEYWORD_ISSR_208000149_DEBTORS</vt:lpstr>
      <vt:lpstr>Ticker0001_Annotation_Sheet!A_KEYWORD_ISSR_208000149_DEF_INC_TAX</vt:lpstr>
      <vt:lpstr>Ticker0001_Annotation_Sheet!A_KEYWORD_ISSR_208000149_DEPR_AMORT</vt:lpstr>
      <vt:lpstr>Ticker0001_Annotation_Sheet!A_KEYWORD_ISSR_208000149_DEPR_ROU_ASSETS</vt:lpstr>
      <vt:lpstr>Ticker0001_Annotation_Sheet!A_KEYWORD_ISSR_208000149_DEPREC</vt:lpstr>
      <vt:lpstr>Ticker0001_Annotation_Sheet!A_KEYWORD_ISSR_208000149_DIV_PAID</vt:lpstr>
      <vt:lpstr>Ticker0001_Annotation_Sheet!A_KEYWORD_ISSR_208000149_DIVDS_ASSOC_JV</vt:lpstr>
      <vt:lpstr>Ticker0001_Annotation_Sheet!A_KEYWORD_ISSR_208000149_DIVDS_PD_MINORITIES</vt:lpstr>
      <vt:lpstr>Ticker0001_Annotation_Sheet!A_KEYWORD_ISSR_208000149_DIVEST</vt:lpstr>
      <vt:lpstr>Ticker0001_Annotation_Sheet!A_KEYWORD_ISSR_208000149_EBIT</vt:lpstr>
      <vt:lpstr>Ticker0001_Annotation_Sheet!A_KEYWORD_ISSR_208000149_EBIT_FIN_SEGMENT</vt:lpstr>
      <vt:lpstr>Ticker0001_Annotation_Sheet!A_KEYWORD_ISSR_208000149_EBITDA_CALC</vt:lpstr>
      <vt:lpstr>Ticker0001_Annotation_Sheet!A_KEYWORD_ISSR_208000149_EMPLOYEES</vt:lpstr>
      <vt:lpstr>Ticker0001_Annotation_Sheet!A_KEYWORD_ISSR_208000149_EQ</vt:lpstr>
      <vt:lpstr>Ticker0001_Annotation_Sheet!A_KEYWORD_ISSR_208000149_ESO_PRE_TAX</vt:lpstr>
      <vt:lpstr>Ticker0001_Annotation_Sheet!A_KEYWORD_ISSR_208000149_EXP_GLASS</vt:lpstr>
      <vt:lpstr>Ticker0001_Annotation_Sheet!A_KEYWORD_ISSR_208000149_EXP_OIL_DERIV_NGLS_PLASTICS</vt:lpstr>
      <vt:lpstr>Ticker0001_Annotation_Sheet!A_KEYWORD_ISSR_208000149_EXP_OIL_PETRO_FUEL</vt:lpstr>
      <vt:lpstr>Ticker0001_Annotation_Sheet!A_KEYWORD_ISSR_208000149_EXP_OTH_COMMODITY</vt:lpstr>
      <vt:lpstr>Ticker0001_Annotation_Sheet!A_KEYWORD_ISSR_208000149_EXP_OTH_COST</vt:lpstr>
      <vt:lpstr>Ticker0001_Annotation_Sheet!A_KEYWORD_ISSR_208000149_EXP_PAPER_PULP</vt:lpstr>
      <vt:lpstr>Ticker0001_Annotation_Sheet!A_KEYWORD_ISSR_208000149_EXP_WATER</vt:lpstr>
      <vt:lpstr>Ticker0001_Annotation_Sheet!A_KEYWORD_ISSR_208000149_FIX_ASS_INV</vt:lpstr>
      <vt:lpstr>Ticker0001_Annotation_Sheet!A_KEYWORD_ISSR_208000149_FLOATING_PCT_LOCAL_DEBT</vt:lpstr>
      <vt:lpstr>Ticker0001_Annotation_Sheet!A_KEYWORD_ISSR_208000149_FLOATING_PCT_LOCAL_DEBT_HEDGED</vt:lpstr>
      <vt:lpstr>Ticker0001_Annotation_Sheet!A_KEYWORD_ISSR_208000149_FOREX</vt:lpstr>
      <vt:lpstr>Ticker0001_Annotation_Sheet!A_KEYWORD_ISSR_208000149_GCI_INFL</vt:lpstr>
      <vt:lpstr>Ticker0001_Annotation_Sheet!A_KEYWORD_ISSR_208000149_GOODWILL_AMORT</vt:lpstr>
      <vt:lpstr>Ticker0001_Annotation_Sheet!A_KEYWORD_ISSR_208000149_GR_FIX_ASS</vt:lpstr>
      <vt:lpstr>Ticker0001_Annotation_Sheet!A_KEYWORD_ISSR_208000149_GR_INTANG</vt:lpstr>
      <vt:lpstr>Ticker0001_Annotation_Sheet!A_KEYWORD_ISSR_208000149_INS_TOT_HOMEOWNERS_PIF_GRTH</vt:lpstr>
      <vt:lpstr>Ticker0001_Annotation_Sheet!A_KEYWORD_ISSR_208000149_INT_EXP_IND</vt:lpstr>
      <vt:lpstr>Ticker0001_Annotation_Sheet!A_KEYWORD_ISSR_208000149_INT_INC_IND</vt:lpstr>
      <vt:lpstr>Ticker0001_Annotation_Sheet!A_KEYWORD_ISSR_208000149_INV_SECUR</vt:lpstr>
      <vt:lpstr>Ticker0001_Annotation_Sheet!A_KEYWORD_ISSR_208000149_Issuer_Name</vt:lpstr>
      <vt:lpstr>Ticker0001_Annotation_Sheet!A_KEYWORD_ISSR_208000149_LEASE_ADOPT</vt:lpstr>
      <vt:lpstr>Ticker0001_Annotation_Sheet!A_KEYWORD_ISSR_208000149_LEASE_DEEM_DEPR</vt:lpstr>
      <vt:lpstr>Ticker0001_Annotation_Sheet!A_KEYWORD_ISSR_208000149_LEASE_DEEM_INT</vt:lpstr>
      <vt:lpstr>Ticker0001_Annotation_Sheet!A_KEYWORD_ISSR_208000149_LEASE_INT_CHG</vt:lpstr>
      <vt:lpstr>Ticker0001_Annotation_Sheet!A_KEYWORD_ISSR_208000149_LEASE_PAY</vt:lpstr>
      <vt:lpstr>Ticker0001_Annotation_Sheet!A_KEYWORD_ISSR_208000149_LEASE_PRINCIPAL_CASH</vt:lpstr>
      <vt:lpstr>Ticker0001_Annotation_Sheet!A_KEYWORD_ISSR_208000149_LT_DEBT</vt:lpstr>
      <vt:lpstr>Ticker0001_Annotation_Sheet!A_KEYWORD_ISSR_208000149_LT_LEASE_LIAB</vt:lpstr>
      <vt:lpstr>Ticker0001_Annotation_Sheet!A_KEYWORD_ISSR_208000149_MA_PROB</vt:lpstr>
      <vt:lpstr>Ticker0001_Annotation_Sheet!A_KEYWORD_ISSR_208000149_MINORITIES</vt:lpstr>
      <vt:lpstr>Ticker0001_Annotation_Sheet!A_KEYWORD_ISSR_208000149_MV_ASSOCIATES</vt:lpstr>
      <vt:lpstr>Ticker0001_Annotation_Sheet!A_KEYWORD_ISSR_208000149_NET_DEBT</vt:lpstr>
      <vt:lpstr>Ticker0001_Annotation_Sheet!A_KEYWORD_ISSR_208000149_NET_DEBT_ADJ</vt:lpstr>
      <vt:lpstr>Ticker0001_Annotation_Sheet!A_KEYWORD_ISSR_208000149_NET_FIX_ASS</vt:lpstr>
      <vt:lpstr>Ticker0001_Annotation_Sheet!A_KEYWORD_ISSR_208000149_NET_INT_CH</vt:lpstr>
      <vt:lpstr>Ticker0001_Annotation_Sheet!A_KEYWORD_ISSR_208000149_NET_INT_EXP</vt:lpstr>
      <vt:lpstr>Ticker0001_Annotation_Sheet!A_KEYWORD_ISSR_208000149_NET_INTANG</vt:lpstr>
      <vt:lpstr>Ticker0001_Annotation_Sheet!A_KEYWORD_ISSR_208000149_NET_OP_LOSS_CFWD</vt:lpstr>
      <vt:lpstr>Ticker0001_Annotation_Sheet!A_KEYWORD_ISSR_208000149_NONPPE_CAPEX</vt:lpstr>
      <vt:lpstr>Ticker0001_Annotation_Sheet!A_KEYWORD_ISSR_208000149_OP_COST</vt:lpstr>
      <vt:lpstr>Ticker0001_Annotation_Sheet!A_KEYWORD_ISSR_208000149_ORD_SH_FUND</vt:lpstr>
      <vt:lpstr>Ticker0001_Annotation_Sheet!A_KEYWORD_ISSR_208000149_OTH_ADJ_CASH_TAX</vt:lpstr>
      <vt:lpstr>Ticker0001_Annotation_Sheet!A_KEYWORD_ISSR_208000149_OTH_COST_INC</vt:lpstr>
      <vt:lpstr>Ticker0001_Annotation_Sheet!A_KEYWORD_ISSR_208000149_OTH_CUR_ASS</vt:lpstr>
      <vt:lpstr>Ticker0001_Annotation_Sheet!A_KEYWORD_ISSR_208000149_OTH_CUR_LIABS</vt:lpstr>
      <vt:lpstr>Ticker0001_Annotation_Sheet!A_KEYWORD_ISSR_208000149_OTH_DACF_ADJ</vt:lpstr>
      <vt:lpstr>Ticker0001_Annotation_Sheet!A_KEYWORD_ISSR_208000149_OTH_FIN_CF</vt:lpstr>
      <vt:lpstr>Ticker0001_Annotation_Sheet!A_KEYWORD_ISSR_208000149_OTH_GCI_ADJ</vt:lpstr>
      <vt:lpstr>Ticker0001_Annotation_Sheet!A_KEYWORD_ISSR_208000149_OTH_INV_CF</vt:lpstr>
      <vt:lpstr>Ticker0001_Annotation_Sheet!A_KEYWORD_ISSR_208000149_OTH_LT_ASS</vt:lpstr>
      <vt:lpstr>Ticker0001_Annotation_Sheet!A_KEYWORD_ISSR_208000149_OTH_LT_CRED_GQ</vt:lpstr>
      <vt:lpstr>Ticker0001_Annotation_Sheet!A_KEYWORD_ISSR_208000149_OTH_NONCASH_ADJ</vt:lpstr>
      <vt:lpstr>Ticker0001_Annotation_Sheet!A_KEYWORD_ISSR_208000149_OTH_OP_CF</vt:lpstr>
      <vt:lpstr>Ticker0001_Annotation_Sheet!A_KEYWORD_ISSR_208000149_OTH_OP_INC_EXP</vt:lpstr>
      <vt:lpstr>Ticker0001_Annotation_Sheet!A_KEYWORD_ISSR_208000149_PERIOD_MILESTONE</vt:lpstr>
      <vt:lpstr>Ticker0001_Annotation_Sheet!A_KEYWORD_ISSR_208000149_PL_SALE_ASSETS</vt:lpstr>
      <vt:lpstr>Ticker0001_Annotation_Sheet!A_KEYWORD_ISSR_208000149_PREF_SH</vt:lpstr>
      <vt:lpstr>Ticker0001_Annotation_Sheet!A_KEYWORD_ISSR_208000149_PROFIT_ON_DISP</vt:lpstr>
      <vt:lpstr>Ticker0001_Annotation_Sheet!A_KEYWORD_ISSR_208000149_PT_PROF</vt:lpstr>
      <vt:lpstr>Ticker0001_Annotation_Sheet!A_KEYWORD_ISSR_208000149_RD_EXP</vt:lpstr>
      <vt:lpstr>Ticker0001_Annotation_Sheet!A_KEYWORD_ISSR_208000149_REV_FIN_SEGMENT</vt:lpstr>
      <vt:lpstr>Ticker0001_Annotation_Sheet!A_KEYWORD_ISSR_208000149_REV_SEG1_NAME</vt:lpstr>
      <vt:lpstr>Ticker0001_Annotation_Sheet!A_KEYWORD_ISSR_208000149_REV_SEG1_VALUE</vt:lpstr>
      <vt:lpstr>Ticker0001_Annotation_Sheet!A_KEYWORD_ISSR_208000149_REV_SEG2_NAME</vt:lpstr>
      <vt:lpstr>Ticker0001_Annotation_Sheet!A_KEYWORD_ISSR_208000149_REV_SEG2_VALUE</vt:lpstr>
      <vt:lpstr>Ticker0001_Annotation_Sheet!A_KEYWORD_ISSR_208000149_REV_SEG3_NAME</vt:lpstr>
      <vt:lpstr>Ticker0001_Annotation_Sheet!A_KEYWORD_ISSR_208000149_REV_SEG3_VALUE</vt:lpstr>
      <vt:lpstr>Ticker0001_Annotation_Sheet!A_KEYWORD_ISSR_208000149_REV_SEG4_NAME</vt:lpstr>
      <vt:lpstr>Ticker0001_Annotation_Sheet!A_KEYWORD_ISSR_208000149_REV_SEG4_VALUE</vt:lpstr>
      <vt:lpstr>Ticker0001_Annotation_Sheet!A_KEYWORD_ISSR_208000149_ROU_ASSET</vt:lpstr>
      <vt:lpstr>Ticker0001_Annotation_Sheet!A_KEYWORD_ISSR_208000149_SALES</vt:lpstr>
      <vt:lpstr>Ticker0001_Annotation_Sheet!A_KEYWORD_ISSR_208000149_SALES_ARGENTINA</vt:lpstr>
      <vt:lpstr>Ticker0001_Annotation_Sheet!A_KEYWORD_ISSR_208000149_SALES_AUSTRA</vt:lpstr>
      <vt:lpstr>Ticker0001_Annotation_Sheet!A_KEYWORD_ISSR_208000149_SALES_AUSTRIA</vt:lpstr>
      <vt:lpstr>Ticker0001_Annotation_Sheet!A_KEYWORD_ISSR_208000149_SALES_COMPANY0377</vt:lpstr>
      <vt:lpstr>Ticker0001_Annotation_Sheet!A_KEYWORD_ISSR_208000149_SALES_BRAZIL</vt:lpstr>
      <vt:lpstr>Ticker0001_Annotation_Sheet!A_KEYWORD_ISSR_208000149_SALES_CANADA</vt:lpstr>
      <vt:lpstr>Ticker0001_Annotation_Sheet!A_KEYWORD_ISSR_208000149_SALES_CEE</vt:lpstr>
      <vt:lpstr>Ticker0001_Annotation_Sheet!A_KEYWORD_ISSR_208000149_SALES_CHILE</vt:lpstr>
      <vt:lpstr>Ticker0001_Annotation_Sheet!A_KEYWORD_ISSR_208000149_SALES_CHINA</vt:lpstr>
      <vt:lpstr>Ticker0001_Annotation_Sheet!A_KEYWORD_ISSR_208000149_SALES_COLOMBIA</vt:lpstr>
      <vt:lpstr>Ticker0001_Annotation_Sheet!A_KEYWORD_ISSR_208000149_SALES_CONS</vt:lpstr>
      <vt:lpstr>Ticker0001_Annotation_Sheet!A_KEYWORD_ISSR_208000149_SALES_EU_EX_UK</vt:lpstr>
      <vt:lpstr>Ticker0001_Annotation_Sheet!A_KEYWORD_ISSR_208000149_SALES_FINAN</vt:lpstr>
      <vt:lpstr>Ticker0001_Annotation_Sheet!A_KEYWORD_ISSR_208000149_SALES_FRA</vt:lpstr>
      <vt:lpstr>Ticker0001_Annotation_Sheet!A_KEYWORD_ISSR_208000149_SALES_FX_ARS</vt:lpstr>
      <vt:lpstr>Ticker0001_Annotation_Sheet!A_KEYWORD_ISSR_208000149_SALES_FX_BRL</vt:lpstr>
      <vt:lpstr>Ticker0001_Annotation_Sheet!A_KEYWORD_ISSR_208000149_SALES_FX_CAD</vt:lpstr>
      <vt:lpstr>Ticker0001_Annotation_Sheet!A_KEYWORD_ISSR_208000149_SALES_FX_CLP</vt:lpstr>
      <vt:lpstr>Ticker0001_Annotation_Sheet!A_KEYWORD_ISSR_208000149_SALES_FX_CNY</vt:lpstr>
      <vt:lpstr>Ticker0001_Annotation_Sheet!A_KEYWORD_ISSR_208000149_SALES_FX_COP</vt:lpstr>
      <vt:lpstr>Ticker0001_Annotation_Sheet!A_KEYWORD_ISSR_208000149_SALES_FX_EUR</vt:lpstr>
      <vt:lpstr>Ticker0001_Annotation_Sheet!A_KEYWORD_ISSR_208000149_SALES_FX_GPB</vt:lpstr>
      <vt:lpstr>Ticker0001_Annotation_Sheet!A_KEYWORD_ISSR_208000149_SALES_FX_INR</vt:lpstr>
      <vt:lpstr>Ticker0001_Annotation_Sheet!A_KEYWORD_ISSR_208000149_SALES_FX_MXN</vt:lpstr>
      <vt:lpstr>Ticker0001_Annotation_Sheet!A_KEYWORD_ISSR_208000149_SALES_FX_OTH</vt:lpstr>
      <vt:lpstr>Ticker0001_Annotation_Sheet!A_KEYWORD_ISSR_208000149_SALES_FX_RUB</vt:lpstr>
      <vt:lpstr>Ticker0001_Annotation_Sheet!A_KEYWORD_ISSR_208000149_SALES_FX_USD</vt:lpstr>
      <vt:lpstr>Ticker0001_Annotation_Sheet!A_KEYWORD_ISSR_208000149_SALES_FX_VEF</vt:lpstr>
      <vt:lpstr>Ticker0001_Annotation_Sheet!A_KEYWORD_ISSR_208000149_SALES_FX_YEN</vt:lpstr>
      <vt:lpstr>Ticker0001_Annotation_Sheet!A_KEYWORD_ISSR_208000149_SALES_GER</vt:lpstr>
      <vt:lpstr>Ticker0001_Annotation_Sheet!A_KEYWORD_ISSR_208000149_SALES_GOV</vt:lpstr>
      <vt:lpstr>Ticker0001_Annotation_Sheet!A_KEYWORD_ISSR_208000149_SALES_GRE</vt:lpstr>
      <vt:lpstr>Ticker0001_Annotation_Sheet!A_KEYWORD_ISSR_208000149_SALES_HONG_KONG</vt:lpstr>
      <vt:lpstr>Ticker0001_Annotation_Sheet!A_KEYWORD_ISSR_208000149_SALES_IND</vt:lpstr>
      <vt:lpstr>Ticker0001_Annotation_Sheet!A_KEYWORD_ISSR_208000149_SALES_INDIA</vt:lpstr>
      <vt:lpstr>Ticker0001_Annotation_Sheet!A_KEYWORD_ISSR_208000149_SALES_INDONESIA</vt:lpstr>
      <vt:lpstr>Ticker0001_Annotation_Sheet!A_KEYWORD_ISSR_208000149_SALES_IRE</vt:lpstr>
      <vt:lpstr>Ticker0001_Annotation_Sheet!A_KEYWORD_ISSR_208000149_SALES_ITA</vt:lpstr>
      <vt:lpstr>Ticker0001_Annotation_Sheet!A_KEYWORD_ISSR_208000149_SALES_JAPAN</vt:lpstr>
      <vt:lpstr>Ticker0001_Annotation_Sheet!A_KEYWORD_ISSR_208000149_SALES_ME</vt:lpstr>
      <vt:lpstr>Ticker0001_Annotation_Sheet!A_KEYWORD_ISSR_208000149_SALES_MEXICO</vt:lpstr>
      <vt:lpstr>Ticker0001_Annotation_Sheet!A_KEYWORD_ISSR_208000149_SALES_NETH</vt:lpstr>
      <vt:lpstr>Ticker0001_Annotation_Sheet!A_KEYWORD_ISSR_208000149_SALES_NIGERIA</vt:lpstr>
      <vt:lpstr>Ticker0001_Annotation_Sheet!A_KEYWORD_ISSR_208000149_SALES_NOR</vt:lpstr>
      <vt:lpstr>Ticker0001_Annotation_Sheet!A_KEYWORD_ISSR_208000149_SALES_NZ</vt:lpstr>
      <vt:lpstr>Ticker0001_Annotation_Sheet!A_KEYWORD_ISSR_208000149_SALES_OIL_GAS</vt:lpstr>
      <vt:lpstr>Ticker0001_Annotation_Sheet!A_KEYWORD_ISSR_208000149_SALES_OTH_AEJ</vt:lpstr>
      <vt:lpstr>Ticker0001_Annotation_Sheet!A_KEYWORD_ISSR_208000149_SALES_OTH_AFRICA</vt:lpstr>
      <vt:lpstr>Ticker0001_Annotation_Sheet!A_KEYWORD_ISSR_208000149_SALES_OTH_AM</vt:lpstr>
      <vt:lpstr>Ticker0001_Annotation_Sheet!A_KEYWORD_ISSR_208000149_SALES_OTH_CEE</vt:lpstr>
      <vt:lpstr>Ticker0001_Annotation_Sheet!A_KEYWORD_ISSR_208000149_SALES_OTH_DEV_ASIA</vt:lpstr>
      <vt:lpstr>Ticker0001_Annotation_Sheet!A_KEYWORD_ISSR_208000149_SALES_OTH_EMEA</vt:lpstr>
      <vt:lpstr>Ticker0001_Annotation_Sheet!A_KEYWORD_ISSR_208000149_SALES_OTH_EMERG_ASIA</vt:lpstr>
      <vt:lpstr>Ticker0001_Annotation_Sheet!A_KEYWORD_ISSR_208000149_SALES_OTH_LATAM</vt:lpstr>
      <vt:lpstr>Ticker0001_Annotation_Sheet!A_KEYWORD_ISSR_208000149_SALES_OTH_ME</vt:lpstr>
      <vt:lpstr>Ticker0001_Annotation_Sheet!A_KEYWORD_ISSR_208000149_SALES_OTH_NO_AMER</vt:lpstr>
      <vt:lpstr>Ticker0001_Annotation_Sheet!A_KEYWORD_ISSR_208000149_SALES_OTH_WEST_EURO</vt:lpstr>
      <vt:lpstr>Ticker0001_Annotation_Sheet!A_KEYWORD_ISSR_208000149_SALES_OTHER</vt:lpstr>
      <vt:lpstr>Ticker0001_Annotation_Sheet!A_KEYWORD_ISSR_208000149_SALES_POLAND</vt:lpstr>
      <vt:lpstr>Ticker0001_Annotation_Sheet!A_KEYWORD_ISSR_208000149_SALES_POR</vt:lpstr>
      <vt:lpstr>Ticker0001_Annotation_Sheet!A_KEYWORD_ISSR_208000149_SALES_RUSSIA</vt:lpstr>
      <vt:lpstr>Ticker0001_Annotation_Sheet!A_KEYWORD_ISSR_208000149_SALES_SAUDI_ARABIA</vt:lpstr>
      <vt:lpstr>Ticker0001_Annotation_Sheet!A_KEYWORD_ISSR_208000149_SALES_SINGAPORE</vt:lpstr>
      <vt:lpstr>Ticker0001_Annotation_Sheet!A_KEYWORD_ISSR_208000149_SALES_SK</vt:lpstr>
      <vt:lpstr>Ticker0001_Annotation_Sheet!A_KEYWORD_ISSR_208000149_SALES_SMB</vt:lpstr>
      <vt:lpstr>Ticker0001_Annotation_Sheet!A_KEYWORD_ISSR_208000149_SALES_SO_AFRICA</vt:lpstr>
      <vt:lpstr>Ticker0001_Annotation_Sheet!A_KEYWORD_ISSR_208000149_SALES_SPA</vt:lpstr>
      <vt:lpstr>Ticker0001_Annotation_Sheet!A_KEYWORD_ISSR_208000149_SALES_SWE</vt:lpstr>
      <vt:lpstr>Ticker0001_Annotation_Sheet!A_KEYWORD_ISSR_208000149_SALES_SWIT</vt:lpstr>
      <vt:lpstr>Ticker0001_Annotation_Sheet!A_KEYWORD_ISSR_208000149_SALES_TAIWAN</vt:lpstr>
      <vt:lpstr>Ticker0001_Annotation_Sheet!A_KEYWORD_ISSR_208000149_SALES_THAILAND</vt:lpstr>
      <vt:lpstr>Ticker0001_Annotation_Sheet!A_KEYWORD_ISSR_208000149_SALES_TOT_AFRICA</vt:lpstr>
      <vt:lpstr>Ticker0001_Annotation_Sheet!A_KEYWORD_ISSR_208000149_SALES_TOT_AM</vt:lpstr>
      <vt:lpstr>Ticker0001_Annotation_Sheet!A_KEYWORD_ISSR_208000149_SALES_TOT_ASIA</vt:lpstr>
      <vt:lpstr>Ticker0001_Annotation_Sheet!A_KEYWORD_ISSR_208000149_SALES_TOT_EMEA</vt:lpstr>
      <vt:lpstr>Ticker0001_Annotation_Sheet!A_KEYWORD_ISSR_208000149_SALES_TURKEY</vt:lpstr>
      <vt:lpstr>Ticker0001_Annotation_Sheet!A_KEYWORD_ISSR_208000149_SALES_UAE</vt:lpstr>
      <vt:lpstr>Ticker0001_Annotation_Sheet!A_KEYWORD_ISSR_208000149_SALES_UK</vt:lpstr>
      <vt:lpstr>Ticker0001_Annotation_Sheet!A_KEYWORD_ISSR_208000149_SALES_US</vt:lpstr>
      <vt:lpstr>Ticker0001_Annotation_Sheet!A_KEYWORD_ISSR_208000149_SALES_VENEZUELA</vt:lpstr>
      <vt:lpstr>Ticker0001_Annotation_Sheet!A_KEYWORD_ISSR_208000149_SEL_GL_AD</vt:lpstr>
      <vt:lpstr>Ticker0001_Annotation_Sheet!A_KEYWORD_ISSR_208000149_SGA_PCT_ROW</vt:lpstr>
      <vt:lpstr>Ticker0001_Annotation_Sheet!A_KEYWORD_ISSR_208000149_SGA_PCT_US</vt:lpstr>
      <vt:lpstr>Ticker0001_Annotation_Sheet!A_KEYWORD_ISSR_208000149_SH_REPUR</vt:lpstr>
      <vt:lpstr>Ticker0001_Annotation_Sheet!A_KEYWORD_ISSR_208000149_SHORT_T_DEBT</vt:lpstr>
      <vt:lpstr>Ticker0001_Annotation_Sheet!A_KEYWORD_ISSR_208000149_SHORT_TERM_LIABS</vt:lpstr>
      <vt:lpstr>Ticker0001_Annotation_Sheet!A_KEYWORD_ISSR_208000149_ST_LEASE_LIAB</vt:lpstr>
      <vt:lpstr>Ticker0001_Annotation_Sheet!A_KEYWORD_ISSR_208000149_STOCKS</vt:lpstr>
      <vt:lpstr>Ticker0001_Annotation_Sheet!A_KEYWORD_ISSR_208000149_TOT_ASSET</vt:lpstr>
      <vt:lpstr>Ticker0001_Annotation_Sheet!A_KEYWORD_ISSR_208000149_TOT_CF</vt:lpstr>
      <vt:lpstr>Ticker0001_Annotation_Sheet!A_KEYWORD_ISSR_208000149_TOT_LIAB</vt:lpstr>
      <vt:lpstr>Ticker0001_Annotation_Sheet!A_KEYWORD_ISSR_208000149_TOT_LIAB_EQ</vt:lpstr>
      <vt:lpstr>Ticker0001_Annotation_Sheet!A_KEYWORD_ISSR_208000149_TOT_LT_LIAB</vt:lpstr>
      <vt:lpstr>Ticker0001_Annotation_Sheet!A_KEYWORD_ISSR_208000149_TOT_OPS_EXP</vt:lpstr>
      <vt:lpstr>Ticker0001_Annotation_Sheet!A_KEYWORD_ISSR_208000149_TOT_OPS_EXP_DDA</vt:lpstr>
      <vt:lpstr>Ticker0001_Annotation_Sheet!A_KEYWORD_ISSR_208000149_TOT_PCT_USD_DEBT_HEDGED</vt:lpstr>
      <vt:lpstr>Ticker0001_Annotation_Sheet!A_KEYWORD_ISSR_208000149_TOT_USD_DEBT</vt:lpstr>
      <vt:lpstr>Ticker0001_Annotation_Sheet!A_KEYWORD_ISSR_208000149_UNF_PENS</vt:lpstr>
      <vt:lpstr>Ticker0001_Annotation_Sheet!A_KEYWORD_ISSR_208000149_UNF_PENS_LIAB_OTH</vt:lpstr>
      <vt:lpstr>Ticker0001_Annotation_Sheet!A_KEYWORD_ISSR_208000149_UNF_PENS_OFF</vt:lpstr>
      <vt:lpstr>Ticker0001_Annotation_Sheet!A_KEYWORD_ISSR_208000149_WORK_CAP</vt:lpstr>
      <vt:lpstr>Ticker0001_Annotation_Sheet!A_LIVEDATA_EQTY_200000801</vt:lpstr>
      <vt:lpstr>Ticker0001_Annotation_Sheet!A_LIVEDATA_ISSR_208000149</vt:lpstr>
      <vt:lpstr>Ticker0001_Annotation_Sheet!A_PERIOD_2000</vt:lpstr>
      <vt:lpstr>Ticker0001_Annotation_Sheet!A_PERIOD_2000_Q1</vt:lpstr>
      <vt:lpstr>Ticker0001_Annotation_Sheet!A_PERIOD_2000_Q2</vt:lpstr>
      <vt:lpstr>Ticker0001_Annotation_Sheet!A_PERIOD_2000_Q3</vt:lpstr>
      <vt:lpstr>Ticker0001_Annotation_Sheet!A_PERIOD_2000_Q4</vt:lpstr>
      <vt:lpstr>Ticker0001_Annotation_Sheet!A_PERIOD_2001</vt:lpstr>
      <vt:lpstr>Ticker0001_Annotation_Sheet!A_PERIOD_2001_Q1</vt:lpstr>
      <vt:lpstr>Ticker0001_Annotation_Sheet!A_PERIOD_2001_Q2</vt:lpstr>
      <vt:lpstr>Ticker0001_Annotation_Sheet!A_PERIOD_2001_Q3</vt:lpstr>
      <vt:lpstr>Ticker0001_Annotation_Sheet!A_PERIOD_2001_Q4</vt:lpstr>
      <vt:lpstr>Ticker0001_Annotation_Sheet!A_PERIOD_2002</vt:lpstr>
      <vt:lpstr>Ticker0001_Annotation_Sheet!A_PERIOD_2002_Q1</vt:lpstr>
      <vt:lpstr>Ticker0001_Annotation_Sheet!A_PERIOD_2002_Q2</vt:lpstr>
      <vt:lpstr>Ticker0001_Annotation_Sheet!A_PERIOD_2002_Q3</vt:lpstr>
      <vt:lpstr>Ticker0001_Annotation_Sheet!A_PERIOD_2002_Q4</vt:lpstr>
      <vt:lpstr>Ticker0001_Annotation_Sheet!A_PERIOD_2003</vt:lpstr>
      <vt:lpstr>Ticker0001_Annotation_Sheet!A_PERIOD_2003_Q1</vt:lpstr>
      <vt:lpstr>Ticker0001_Annotation_Sheet!A_PERIOD_2003_Q2</vt:lpstr>
      <vt:lpstr>Ticker0001_Annotation_Sheet!A_PERIOD_2003_Q3</vt:lpstr>
      <vt:lpstr>Ticker0001_Annotation_Sheet!A_PERIOD_2003_Q4</vt:lpstr>
      <vt:lpstr>Ticker0001_Annotation_Sheet!A_PERIOD_2004</vt:lpstr>
      <vt:lpstr>Ticker0001_Annotation_Sheet!A_PERIOD_2004_Q1</vt:lpstr>
      <vt:lpstr>Ticker0001_Annotation_Sheet!A_PERIOD_2004_Q2</vt:lpstr>
      <vt:lpstr>Ticker0001_Annotation_Sheet!A_PERIOD_2004_Q3</vt:lpstr>
      <vt:lpstr>Ticker0001_Annotation_Sheet!A_PERIOD_2004_Q4</vt:lpstr>
      <vt:lpstr>Ticker0001_Annotation_Sheet!A_PERIOD_2005</vt:lpstr>
      <vt:lpstr>Ticker0001_Annotation_Sheet!A_PERIOD_2005_Q1</vt:lpstr>
      <vt:lpstr>Ticker0001_Annotation_Sheet!A_PERIOD_2005_Q2</vt:lpstr>
      <vt:lpstr>Ticker0001_Annotation_Sheet!A_PERIOD_2005_Q3</vt:lpstr>
      <vt:lpstr>Ticker0001_Annotation_Sheet!A_PERIOD_2005_Q4</vt:lpstr>
      <vt:lpstr>Ticker0001_Annotation_Sheet!A_PERIOD_2006</vt:lpstr>
      <vt:lpstr>Ticker0001_Annotation_Sheet!A_PERIOD_2006_Q1</vt:lpstr>
      <vt:lpstr>Ticker0001_Annotation_Sheet!A_PERIOD_2006_Q2</vt:lpstr>
      <vt:lpstr>Ticker0001_Annotation_Sheet!A_PERIOD_2006_Q3</vt:lpstr>
      <vt:lpstr>Ticker0001_Annotation_Sheet!A_PERIOD_2006_Q4</vt:lpstr>
      <vt:lpstr>Ticker0001_Annotation_Sheet!A_PERIOD_2007</vt:lpstr>
      <vt:lpstr>Ticker0001_Annotation_Sheet!A_PERIOD_2007_Q1</vt:lpstr>
      <vt:lpstr>Ticker0001_Annotation_Sheet!A_PERIOD_2007_Q2</vt:lpstr>
      <vt:lpstr>Ticker0001_Annotation_Sheet!A_PERIOD_2007_Q3</vt:lpstr>
      <vt:lpstr>Ticker0001_Annotation_Sheet!A_PERIOD_2007_Q4</vt:lpstr>
      <vt:lpstr>Ticker0001_Annotation_Sheet!A_PERIOD_2008</vt:lpstr>
      <vt:lpstr>Ticker0001_Annotation_Sheet!A_PERIOD_2008_Q1</vt:lpstr>
      <vt:lpstr>Ticker0001_Annotation_Sheet!A_PERIOD_2008_Q2</vt:lpstr>
      <vt:lpstr>Ticker0001_Annotation_Sheet!A_PERIOD_2008_Q3</vt:lpstr>
      <vt:lpstr>Ticker0001_Annotation_Sheet!A_PERIOD_2008_Q4</vt:lpstr>
      <vt:lpstr>Ticker0001_Annotation_Sheet!A_PERIOD_2009</vt:lpstr>
      <vt:lpstr>Ticker0001_Annotation_Sheet!A_PERIOD_2009_Q1</vt:lpstr>
      <vt:lpstr>Ticker0001_Annotation_Sheet!A_PERIOD_2009_Q2</vt:lpstr>
      <vt:lpstr>Ticker0001_Annotation_Sheet!A_PERIOD_2009_Q3</vt:lpstr>
      <vt:lpstr>Ticker0001_Annotation_Sheet!A_PERIOD_2009_Q4</vt:lpstr>
      <vt:lpstr>Ticker0001_Annotation_Sheet!A_PERIOD_2010</vt:lpstr>
      <vt:lpstr>Ticker0001_Annotation_Sheet!A_PERIOD_2010_Q1</vt:lpstr>
      <vt:lpstr>Ticker0001_Annotation_Sheet!A_PERIOD_2010_Q2</vt:lpstr>
      <vt:lpstr>Ticker0001_Annotation_Sheet!A_PERIOD_2010_Q3</vt:lpstr>
      <vt:lpstr>Ticker0001_Annotation_Sheet!A_PERIOD_2010_Q4</vt:lpstr>
      <vt:lpstr>Ticker0001_Annotation_Sheet!A_PERIOD_2011</vt:lpstr>
      <vt:lpstr>Ticker0001_Annotation_Sheet!A_PERIOD_2011_Q1</vt:lpstr>
      <vt:lpstr>Ticker0001_Annotation_Sheet!A_PERIOD_2011_Q2</vt:lpstr>
      <vt:lpstr>Ticker0001_Annotation_Sheet!A_PERIOD_2011_Q3</vt:lpstr>
      <vt:lpstr>Ticker0001_Annotation_Sheet!A_PERIOD_2011_Q4</vt:lpstr>
      <vt:lpstr>Ticker0001_Annotation_Sheet!A_PERIOD_2012</vt:lpstr>
      <vt:lpstr>Ticker0001_Annotation_Sheet!A_PERIOD_2012_Q1</vt:lpstr>
      <vt:lpstr>Ticker0001_Annotation_Sheet!A_PERIOD_2012_Q2</vt:lpstr>
      <vt:lpstr>Ticker0001_Annotation_Sheet!A_PERIOD_2012_Q3</vt:lpstr>
      <vt:lpstr>Ticker0001_Annotation_Sheet!A_PERIOD_2012_Q4</vt:lpstr>
      <vt:lpstr>Ticker0001_Annotation_Sheet!A_PERIOD_2013</vt:lpstr>
      <vt:lpstr>Ticker0001_Annotation_Sheet!A_PERIOD_2013_Q1</vt:lpstr>
      <vt:lpstr>Ticker0001_Annotation_Sheet!A_PERIOD_2013_Q2</vt:lpstr>
      <vt:lpstr>Ticker0001_Annotation_Sheet!A_PERIOD_2013_Q3</vt:lpstr>
      <vt:lpstr>Ticker0001_Annotation_Sheet!A_PERIOD_2013_Q4</vt:lpstr>
      <vt:lpstr>Ticker0001_Annotation_Sheet!A_PERIOD_2014</vt:lpstr>
      <vt:lpstr>Ticker0001_Annotation_Sheet!A_PERIOD_2014_Q1</vt:lpstr>
      <vt:lpstr>Ticker0001_Annotation_Sheet!A_PERIOD_2014_Q2</vt:lpstr>
      <vt:lpstr>Ticker0001_Annotation_Sheet!A_PERIOD_2014_Q3</vt:lpstr>
      <vt:lpstr>Ticker0001_Annotation_Sheet!A_PERIOD_2014_Q4</vt:lpstr>
      <vt:lpstr>Ticker0001_Annotation_Sheet!A_PERIOD_2015</vt:lpstr>
      <vt:lpstr>Ticker0001_Annotation_Sheet!A_PERIOD_2015_Q1</vt:lpstr>
      <vt:lpstr>Ticker0001_Annotation_Sheet!A_PERIOD_2015_Q2</vt:lpstr>
      <vt:lpstr>Ticker0001_Annotation_Sheet!A_PERIOD_2015_Q3</vt:lpstr>
      <vt:lpstr>Ticker0001_Annotation_Sheet!A_PERIOD_2015_Q4</vt:lpstr>
      <vt:lpstr>Ticker0001_Annotation_Sheet!A_PERIOD_2016</vt:lpstr>
      <vt:lpstr>Ticker0001_Annotation_Sheet!A_PERIOD_2016_Q1</vt:lpstr>
      <vt:lpstr>Ticker0001_Annotation_Sheet!A_PERIOD_2016_Q2</vt:lpstr>
      <vt:lpstr>Ticker0001_Annotation_Sheet!A_PERIOD_2016_Q3</vt:lpstr>
      <vt:lpstr>Ticker0001_Annotation_Sheet!A_PERIOD_2016_Q4</vt:lpstr>
      <vt:lpstr>Ticker0001_Annotation_Sheet!A_PERIOD_2017</vt:lpstr>
      <vt:lpstr>Ticker0001_Annotation_Sheet!A_PERIOD_2017_Q1</vt:lpstr>
      <vt:lpstr>Ticker0001_Annotation_Sheet!A_PERIOD_2017_Q2</vt:lpstr>
      <vt:lpstr>Ticker0001_Annotation_Sheet!A_PERIOD_2017_Q3</vt:lpstr>
      <vt:lpstr>Ticker0001_Annotation_Sheet!A_PERIOD_2017_Q4</vt:lpstr>
      <vt:lpstr>Ticker0001_Annotation_Sheet!A_PERIOD_2018</vt:lpstr>
      <vt:lpstr>Ticker0001_Annotation_Sheet!A_PERIOD_2018_Q1</vt:lpstr>
      <vt:lpstr>Ticker0001_Annotation_Sheet!A_PERIOD_2018_Q2</vt:lpstr>
      <vt:lpstr>Ticker0001_Annotation_Sheet!A_PERIOD_2018_Q3</vt:lpstr>
      <vt:lpstr>Ticker0001_Annotation_Sheet!A_PERIOD_2018_Q4</vt:lpstr>
      <vt:lpstr>Ticker0001_Annotation_Sheet!A_PERIOD_2019</vt:lpstr>
      <vt:lpstr>Ticker0001_Annotation_Sheet!A_PERIOD_2019_Q1</vt:lpstr>
      <vt:lpstr>Ticker0001_Annotation_Sheet!A_PERIOD_2019_Q2</vt:lpstr>
      <vt:lpstr>Ticker0001_Annotation_Sheet!A_PERIOD_2019_Q3</vt:lpstr>
      <vt:lpstr>Ticker0001_Annotation_Sheet!A_PERIOD_2019_Q4</vt:lpstr>
      <vt:lpstr>Ticker0001_Annotation_Sheet!A_PERIOD_2020</vt:lpstr>
      <vt:lpstr>Ticker0001_Annotation_Sheet!A_PERIOD_2020_Q1</vt:lpstr>
      <vt:lpstr>Ticker0001_Annotation_Sheet!A_PERIOD_2020_Q2</vt:lpstr>
      <vt:lpstr>Ticker0001_Annotation_Sheet!A_PERIOD_2020_Q3</vt:lpstr>
      <vt:lpstr>Ticker0001_Annotation_Sheet!A_PERIOD_2020_Q4</vt:lpstr>
      <vt:lpstr>Ticker0001_Annotation_Sheet!A_PERIOD_2021</vt:lpstr>
      <vt:lpstr>Ticker0001_Annotation_Sheet!A_PERIOD_2021_Q1</vt:lpstr>
      <vt:lpstr>Ticker0001_Annotation_Sheet!A_PERIOD_2021_Q2</vt:lpstr>
      <vt:lpstr>Ticker0001_Annotation_Sheet!A_PERIOD_2021_Q3</vt:lpstr>
      <vt:lpstr>Ticker0001_Annotation_Sheet!A_PERIOD_2021_Q4</vt:lpstr>
      <vt:lpstr>Ticker0001_Annotation_Sheet!A_PERIOD_2022</vt:lpstr>
      <vt:lpstr>Ticker0001_Annotation_Sheet!A_PERIOD_2022_Q1</vt:lpstr>
      <vt:lpstr>Ticker0001_Annotation_Sheet!A_PERIOD_2022_Q2</vt:lpstr>
      <vt:lpstr>Ticker0001_Annotation_Sheet!A_PERIOD_2022_Q3</vt:lpstr>
      <vt:lpstr>Ticker0001_Annotation_Sheet!A_PERIOD_2022_Q4</vt:lpstr>
      <vt:lpstr>Ticker0001_Annotation_Sheet!A_PERIOD_2023</vt:lpstr>
      <vt:lpstr>Ticker0001_Annotation_Sheet!A_PERIOD_2023_Q1</vt:lpstr>
      <vt:lpstr>Ticker0001_Annotation_Sheet!A_PERIOD_2023_Q2</vt:lpstr>
      <vt:lpstr>Ticker0001_Annotation_Sheet!A_PERIOD_2023_Q3</vt:lpstr>
      <vt:lpstr>Ticker0001_Annotation_Sheet!A_PERIOD_2023_Q4</vt:lpstr>
      <vt:lpstr>Ticker0001_Annotation_Sheet!A_PERIOD_2024</vt:lpstr>
      <vt:lpstr>Ticker0001_Annotation_Sheet!A_PERIOD_2024_Q1</vt:lpstr>
      <vt:lpstr>Ticker0001_Annotation_Sheet!A_PERIOD_2024_Q2</vt:lpstr>
      <vt:lpstr>Ticker0001_Annotation_Sheet!A_PERIOD_2024_Q3</vt:lpstr>
      <vt:lpstr>Ticker0001_Annotation_Sheet!A_PERIOD_2024_Q4</vt:lpstr>
      <vt:lpstr>Ticker0001_Annotation_Sheet!A_PERIOD_2025</vt:lpstr>
      <vt:lpstr>Ticker0001_Annotation_Sheet!A_PERIOD_2025_Q1</vt:lpstr>
      <vt:lpstr>Ticker0001_Annotation_Sheet!A_PERIOD_2025_Q2</vt:lpstr>
      <vt:lpstr>Ticker0001_Annotation_Sheet!A_PERIOD_2025_Q3</vt:lpstr>
      <vt:lpstr>Ticker0001_Annotation_Sheet!A_PERIOD_2025_Q4</vt:lpstr>
      <vt:lpstr>Ticker0001_Annotation_Sheet!A_PERIOD_2026</vt:lpstr>
      <vt:lpstr>Ticker0001_Annotation_Sheet!A_PERIOD_2026_Q1</vt:lpstr>
      <vt:lpstr>Ticker0001_Annotation_Sheet!A_PERIOD_2026_Q2</vt:lpstr>
      <vt:lpstr>Ticker0001_Annotation_Sheet!A_PERIOD_2026_Q3</vt:lpstr>
      <vt:lpstr>Ticker0001_Annotation_Sheet!A_PERIOD_2026_Q4</vt:lpstr>
      <vt:lpstr>Ticker0001_Annotation_Sheet!A_PERIOD_2027</vt:lpstr>
      <vt:lpstr>Ticker0001_Annotation_Sheet!A_PERIOD_2027_Q1</vt:lpstr>
      <vt:lpstr>Ticker0001_Annotation_Sheet!A_PERIOD_2027_Q2</vt:lpstr>
      <vt:lpstr>Ticker0001_Annotation_Sheet!A_PERIOD_2027_Q3</vt:lpstr>
      <vt:lpstr>Ticker0001_Annotation_Sheet!A_PERIOD_2027_Q4</vt:lpstr>
      <vt:lpstr>Ticker0001_Annotation_Sheet!A_PERIOD_2028</vt:lpstr>
      <vt:lpstr>Ticker0001_Annotation_Sheet!A_PERIOD_2028_Q1</vt:lpstr>
      <vt:lpstr>Ticker0001_Annotation_Sheet!A_PERIOD_2028_Q2</vt:lpstr>
      <vt:lpstr>Ticker0001_Annotation_Sheet!A_PERIOD_2028_Q3</vt:lpstr>
      <vt:lpstr>Ticker0001_Annotation_Sheet!A_PERIOD_2028_Q4</vt:lpstr>
      <vt:lpstr>Ticker0001_Annotation_Sheet!A_PERIOD_2029</vt:lpstr>
      <vt:lpstr>Ticker0001_Annotation_Sheet!A_PERIOD_2029_Q1</vt:lpstr>
      <vt:lpstr>Ticker0001_Annotation_Sheet!A_PERIOD_2029_Q2</vt:lpstr>
      <vt:lpstr>Ticker0001_Annotation_Sheet!A_PERIOD_2029_Q3</vt:lpstr>
      <vt:lpstr>Ticker0001_Annotation_Sheet!A_PERIOD_2029_Q4</vt:lpstr>
      <vt:lpstr>Ticker0001_Annotation_Sheet!A_PERIOD_2030</vt:lpstr>
      <vt:lpstr>Ticker0001_Annotation_Sheet!A_PERIOD_2030_Q1</vt:lpstr>
      <vt:lpstr>Ticker0001_Annotation_Sheet!A_PERIOD_2030_Q2</vt:lpstr>
      <vt:lpstr>Ticker0001_Annotation_Sheet!A_PERIOD_2030_Q3</vt:lpstr>
      <vt:lpstr>Ticker0001_Annotation_Sheet!A_PERIOD_2030_Q4</vt:lpstr>
      <vt:lpstr>Ticker0001_Annotation_Sheet!A_SECTION_EQTY_200000801_1314</vt:lpstr>
      <vt:lpstr>Ticker0001_Annotation_Sheet!A_SECTION_EQTY_200000801_1319</vt:lpstr>
      <vt:lpstr>Ticker0001_Annotation_Sheet!A_SECTION_EQTY_200000801_131E</vt:lpstr>
      <vt:lpstr>Ticker0001_Annotation_Sheet!A_SECTION_EQTY_200000801_131O</vt:lpstr>
      <vt:lpstr>Ticker0001_Annotation_Sheet!A_SECTION_EQTY_200000801_13A</vt:lpstr>
      <vt:lpstr>Ticker0001_Annotation_Sheet!A_SECTION_EQTY_200000801_13K</vt:lpstr>
      <vt:lpstr>Ticker0001_Annotation_Sheet!A_SECTION_EQTY_200000801_13U</vt:lpstr>
      <vt:lpstr>Ticker0001_Annotation_Sheet!A_SECTION_EQTY_200000801_13V</vt:lpstr>
      <vt:lpstr>Ticker0001_Annotation_Sheet!A_SECTION_EQTY_200000801_13W</vt:lpstr>
      <vt:lpstr>Ticker0001_Annotation_Sheet!A_SECTION_EQTY_200000801_Reference_Data</vt:lpstr>
      <vt:lpstr>Ticker0001_Annotation_Sheet!A_SECTION_ISSR_208000149_1314</vt:lpstr>
      <vt:lpstr>Ticker0001_Annotation_Sheet!A_SECTION_ISSR_208000149_13168</vt:lpstr>
      <vt:lpstr>Ticker0001_Annotation_Sheet!A_SECTION_ISSR_208000149_1316T</vt:lpstr>
      <vt:lpstr>Ticker0001_Annotation_Sheet!A_SECTION_ISSR_208000149_1316U</vt:lpstr>
      <vt:lpstr>Ticker0001_Annotation_Sheet!A_SECTION_ISSR_208000149_1319</vt:lpstr>
      <vt:lpstr>Ticker0001_Annotation_Sheet!A_SECTION_ISSR_208000149_131E</vt:lpstr>
      <vt:lpstr>Ticker0001_Annotation_Sheet!A_SECTION_ISSR_208000149_131J</vt:lpstr>
      <vt:lpstr>Ticker0001_Annotation_Sheet!A_SECTION_ISSR_208000149_131O</vt:lpstr>
      <vt:lpstr>Ticker0001_Annotation_Sheet!A_SECTION_ISSR_208000149_136E</vt:lpstr>
      <vt:lpstr>Ticker0001_Annotation_Sheet!A_SECTION_ISSR_208000149_136J</vt:lpstr>
      <vt:lpstr>Ticker0001_Annotation_Sheet!A_SECTION_ISSR_208000149_13A</vt:lpstr>
      <vt:lpstr>Ticker0001_Annotation_Sheet!A_SECTION_ISSR_208000149_13U</vt:lpstr>
      <vt:lpstr>Ticker0001_Annotation_Sheet!A_SECTION_ISSR_208000149_13V</vt:lpstr>
      <vt:lpstr>Ticker0001_Annotation_Sheet!A_SECTION_ISSR_208000149_Reference_Data</vt:lpstr>
      <vt:lpstr>Ticker0001_Annotation_Sheet!A_TEMPLATEHASH</vt:lpstr>
      <vt:lpstr>E_ALL_Ticker0001</vt:lpstr>
      <vt:lpstr>Ticker0001_Exchange_Sheet!E_ALL_KEYWORDS_TYPE_ScalarContributed_EQTY_200000801</vt:lpstr>
      <vt:lpstr>E_ALL_KEYWORDS_TYPE_ScalarContributed_EQTY_200000801</vt:lpstr>
      <vt:lpstr>Ticker0001_Exchange_Sheet!E_ALL_KEYWORDS_TYPE_ScalarContributed_ISSR_208000149</vt:lpstr>
      <vt:lpstr>Ticker0001_Exchange_Sheet!E_ALL_KEYWORDS_TYPE_ScalarReference_EQTY_200000801</vt:lpstr>
      <vt:lpstr>Ticker0001_Exchange_Sheet!E_ALL_KEYWORDS_TYPE_ScalarReference_ISSR_208000149</vt:lpstr>
      <vt:lpstr>Ticker0001_Exchange_Sheet!E_ALL_KEYWORDS_TYPE_Vector_EQTY_200000801</vt:lpstr>
      <vt:lpstr>Ticker0001_Exchange_Sheet!E_ALL_KEYWORDS_TYPE_Vector_ISSR_208000149</vt:lpstr>
      <vt:lpstr>Ticker0001_Exchange_Sheet!E_ALL_PERIODS_Ticker0001</vt:lpstr>
      <vt:lpstr>Ticker0001_Exchange_Sheet!E_ALL_SECTION_KEYWORDS_EQTY_200000801_1314</vt:lpstr>
      <vt:lpstr>Ticker0001_Exchange_Sheet!E_ALL_SECTION_KEYWORDS_EQTY_200000801_1319</vt:lpstr>
      <vt:lpstr>Ticker0001_Exchange_Sheet!E_ALL_SECTION_KEYWORDS_EQTY_200000801_131E</vt:lpstr>
      <vt:lpstr>Ticker0001_Exchange_Sheet!E_ALL_SECTION_KEYWORDS_EQTY_200000801_131O</vt:lpstr>
      <vt:lpstr>Ticker0001_Exchange_Sheet!E_ALL_SECTION_KEYWORDS_EQTY_200000801_13A</vt:lpstr>
      <vt:lpstr>E_ALL_SECTION_KEYWORDS_EQTY_200000801_13A</vt:lpstr>
      <vt:lpstr>Ticker0001_Exchange_Sheet!E_ALL_SECTION_KEYWORDS_EQTY_200000801_13K</vt:lpstr>
      <vt:lpstr>Ticker0001_Exchange_Sheet!E_ALL_SECTION_KEYWORDS_EQTY_200000801_13U</vt:lpstr>
      <vt:lpstr>Ticker0001_Exchange_Sheet!E_ALL_SECTION_KEYWORDS_EQTY_200000801_13V</vt:lpstr>
      <vt:lpstr>Ticker0001_Exchange_Sheet!E_ALL_SECTION_KEYWORDS_EQTY_200000801_13W</vt:lpstr>
      <vt:lpstr>Ticker0001_Exchange_Sheet!E_ALL_SECTION_KEYWORDS_EQTY_200000801_Reference_Data</vt:lpstr>
      <vt:lpstr>Ticker0001_Exchange_Sheet!E_ALL_SECTION_KEYWORDS_ISSR_208000149_1314</vt:lpstr>
      <vt:lpstr>Ticker0001_Exchange_Sheet!E_ALL_SECTION_KEYWORDS_ISSR_208000149_13168</vt:lpstr>
      <vt:lpstr>Ticker0001_Exchange_Sheet!E_ALL_SECTION_KEYWORDS_ISSR_208000149_1316T</vt:lpstr>
      <vt:lpstr>Ticker0001_Exchange_Sheet!E_ALL_SECTION_KEYWORDS_ISSR_208000149_1316U</vt:lpstr>
      <vt:lpstr>Ticker0001_Exchange_Sheet!E_ALL_SECTION_KEYWORDS_ISSR_208000149_1319</vt:lpstr>
      <vt:lpstr>Ticker0001_Exchange_Sheet!E_ALL_SECTION_KEYWORDS_ISSR_208000149_131E</vt:lpstr>
      <vt:lpstr>Ticker0001_Exchange_Sheet!E_ALL_SECTION_KEYWORDS_ISSR_208000149_131J</vt:lpstr>
      <vt:lpstr>Ticker0001_Exchange_Sheet!E_ALL_SECTION_KEYWORDS_ISSR_208000149_131O</vt:lpstr>
      <vt:lpstr>Ticker0001_Exchange_Sheet!E_ALL_SECTION_KEYWORDS_ISSR_208000149_136E</vt:lpstr>
      <vt:lpstr>Ticker0001_Exchange_Sheet!E_ALL_SECTION_KEYWORDS_ISSR_208000149_136J</vt:lpstr>
      <vt:lpstr>Ticker0001_Exchange_Sheet!E_ALL_SECTION_KEYWORDS_ISSR_208000149_13A</vt:lpstr>
      <vt:lpstr>Ticker0001_Exchange_Sheet!E_ALL_SECTION_KEYWORDS_ISSR_208000149_13U</vt:lpstr>
      <vt:lpstr>Ticker0001_Exchange_Sheet!E_ALL_SECTION_KEYWORDS_ISSR_208000149_13V</vt:lpstr>
      <vt:lpstr>Ticker0001_Exchange_Sheet!E_ALL_SECTION_KEYWORDS_ISSR_208000149_Reference_Data</vt:lpstr>
      <vt:lpstr>Ticker0001_Exchange_Sheet!E_ALL_SECTIONS_EQTY_200000801</vt:lpstr>
      <vt:lpstr>Ticker0001_Exchange_Sheet!E_ALL_SECTIONS_ISSR_208000149</vt:lpstr>
      <vt:lpstr>Ticker0001_Exchange_Sheet!E_CURRENCY_EQTY_200000801_PRI</vt:lpstr>
      <vt:lpstr>Ticker0001_Exchange_Sheet!E_CURRENCY_EQTY_200000801_PUB</vt:lpstr>
      <vt:lpstr>Ticker0001_Exchange_Sheet!E_CURRENCY_EQTY_200000801_REP</vt:lpstr>
      <vt:lpstr>Ticker0001_Exchange_Sheet!E_CURRENCY_ISSR_208000149_REP</vt:lpstr>
      <vt:lpstr>Ticker0001_Exchange_Sheet!E_ENTITY_DATA_EQTY_200000801</vt:lpstr>
      <vt:lpstr>Ticker0001_Exchange_Sheet!E_ENTITY_DATA_ISSR_208000149</vt:lpstr>
      <vt:lpstr>Ticker0001_Exchange_Sheet!E_KEYWORD_EQTY_200000801_AMER_CONVICTION</vt:lpstr>
      <vt:lpstr>Ticker0001_Exchange_Sheet!E_KEYWORD_EQTY_200000801_AMER_LIST</vt:lpstr>
      <vt:lpstr>Ticker0001_Exchange_Sheet!E_KEYWORD_EQTY_200000801_BETA_ANALYST</vt:lpstr>
      <vt:lpstr>Ticker0001_Exchange_Sheet!E_KEYWORD_EQTY_200000801_BVPS</vt:lpstr>
      <vt:lpstr>Ticker0001_Exchange_Sheet!E_KEYWORD_EQTY_200000801_BVPS_PUB</vt:lpstr>
      <vt:lpstr>Ticker0001_Exchange_Sheet!E_KEYWORD_EQTY_200000801_CEEE_EPS</vt:lpstr>
      <vt:lpstr>Ticker0001_Exchange_Sheet!E_KEYWORD_EQTY_200000801_CEEE_NDEBT</vt:lpstr>
      <vt:lpstr>Ticker0001_Exchange_Sheet!E_KEYWORD_EQTY_200000801_CF_NI_PRE_PREF</vt:lpstr>
      <vt:lpstr>Ticker0001_Exchange_Sheet!E_KEYWORD_EQTY_200000801_COMMON_DIV_PAID</vt:lpstr>
      <vt:lpstr>Ticker0001_Exchange_Sheet!E_KEYWORD_EQTY_200000801_CURRENCY_ISO</vt:lpstr>
      <vt:lpstr>Ticker0001_Exchange_Sheet!E_KEYWORD_EQTY_200000801_DILUTE_SHARES</vt:lpstr>
      <vt:lpstr>Ticker0001_Exchange_Sheet!E_KEYWORD_EQTY_200000801_DPS</vt:lpstr>
      <vt:lpstr>Ticker0001_Exchange_Sheet!E_KEYWORD_EQTY_200000801_DPS_PUB</vt:lpstr>
      <vt:lpstr>Ticker0001_Exchange_Sheet!E_KEYWORD_EQTY_200000801_DPS_SPECIAL_PUB</vt:lpstr>
      <vt:lpstr>Ticker0001_Exchange_Sheet!E_KEYWORD_EQTY_200000801_EBIT_PUB</vt:lpstr>
      <vt:lpstr>Ticker0001_Exchange_Sheet!E_KEYWORD_EQTY_200000801_EBITDA_PUB</vt:lpstr>
      <vt:lpstr>Ticker0001_Exchange_Sheet!E_KEYWORD_EQTY_200000801_EPS</vt:lpstr>
      <vt:lpstr>Ticker0001_Exchange_Sheet!E_KEYWORD_EQTY_200000801_EPS_EX_ESO_B</vt:lpstr>
      <vt:lpstr>Ticker0001_Exchange_Sheet!E_KEYWORD_EQTY_200000801_EPS_EX_ESO_D</vt:lpstr>
      <vt:lpstr>Ticker0001_Exchange_Sheet!E_KEYWORD_EQTY_200000801_EPS_FUL_DIL</vt:lpstr>
      <vt:lpstr>Ticker0001_Exchange_Sheet!E_KEYWORD_EQTY_200000801_EPS_POST_BASIC</vt:lpstr>
      <vt:lpstr>Ticker0001_Exchange_Sheet!E_KEYWORD_EQTY_200000801_EPS_PUB</vt:lpstr>
      <vt:lpstr>Ticker0001_Exchange_Sheet!E_KEYWORD_EQTY_200000801_EPS_PUB_EX_ESO</vt:lpstr>
      <vt:lpstr>Ticker0001_Exchange_Sheet!E_KEYWORD_EQTY_200000801_EQ_PUB</vt:lpstr>
      <vt:lpstr>Ticker0001_Exchange_Sheet!E_KEYWORD_EQTY_200000801_ESO_POST_TAX</vt:lpstr>
      <vt:lpstr>Ticker0001_Exchange_Sheet!E_KEYWORD_EQTY_200000801_ESO_YEAR</vt:lpstr>
      <vt:lpstr>Ticker0001_Exchange_Sheet!E_KEYWORD_EQTY_200000801_EV_ADJ_PUB</vt:lpstr>
      <vt:lpstr>Ticker0001_Exchange_Sheet!E_KEYWORD_EQTY_200000801_FREE_FLOAT</vt:lpstr>
      <vt:lpstr>Ticker0001_Exchange_Sheet!E_KEYWORD_EQTY_200000801_FULLY_DIL_EPS</vt:lpstr>
      <vt:lpstr>Ticker0001_Exchange_Sheet!E_KEYWORD_EQTY_200000801_FV_GRANT</vt:lpstr>
      <vt:lpstr>Ticker0001_Exchange_Sheet!E_KEYWORD_EQTY_200000801_INC_MINORITY</vt:lpstr>
      <vt:lpstr>Ticker0001_Exchange_Sheet!E_KEYWORD_EQTY_200000801_Interim_Type</vt:lpstr>
      <vt:lpstr>Ticker0001_Exchange_Sheet!E_KEYWORD_EQTY_200000801_LEGAL_RATING</vt:lpstr>
      <vt:lpstr>Ticker0001_Exchange_Sheet!E_KEYWORD_EQTY_200000801_MARGIN_TAX_RATE</vt:lpstr>
      <vt:lpstr>Ticker0001_Exchange_Sheet!E_KEYWORD_EQTY_200000801_MKT_EQ_RISK_PREM</vt:lpstr>
      <vt:lpstr>Ticker0001_Exchange_Sheet!E_KEYWORD_EQTY_200000801_NET_DEBT_EX_LEASES_PUB</vt:lpstr>
      <vt:lpstr>Ticker0001_Exchange_Sheet!E_KEYWORD_EQTY_200000801_NET_DEBT_PUB</vt:lpstr>
      <vt:lpstr>Ticker0001_Exchange_Sheet!E_KEYWORD_EQTY_200000801_NET_EARNING</vt:lpstr>
      <vt:lpstr>Ticker0001_Exchange_Sheet!E_KEYWORD_EQTY_200000801_NET_INC</vt:lpstr>
      <vt:lpstr>Ticker0001_Exchange_Sheet!E_KEYWORD_EQTY_200000801_NI_PRE_PREF</vt:lpstr>
      <vt:lpstr>Ticker0001_Exchange_Sheet!E_KEYWORD_EQTY_200000801_NI_PUB</vt:lpstr>
      <vt:lpstr>Ticker0001_Exchange_Sheet!E_KEYWORD_EQTY_200000801_NON_OP_ADD</vt:lpstr>
      <vt:lpstr>Ticker0001_Exchange_Sheet!E_KEYWORD_EQTY_200000801_NOT_IN_USE</vt:lpstr>
      <vt:lpstr>Ticker0001_Exchange_Sheet!E_KEYWORD_EQTY_200000801_NUM_SH</vt:lpstr>
      <vt:lpstr>Ticker0001_Exchange_Sheet!E_KEYWORD_EQTY_200000801_PREF_DIV</vt:lpstr>
      <vt:lpstr>Ticker0001_Exchange_Sheet!E_KEYWORD_EQTY_200000801_PRICE_CURRENCY_ISO</vt:lpstr>
      <vt:lpstr>Ticker0001_Exchange_Sheet!E_KEYWORD_EQTY_200000801_PROV_INC_TAX</vt:lpstr>
      <vt:lpstr>Ticker0001_Exchange_Sheet!E_KEYWORD_EQTY_200000801_PTP_PUB</vt:lpstr>
      <vt:lpstr>Ticker0001_Exchange_Sheet!E_KEYWORD_EQTY_200000801_PUB_CURRENCY_ISO</vt:lpstr>
      <vt:lpstr>Ticker0001_Exchange_Sheet!E_KEYWORD_EQTY_200000801_REPUR_ACTUAL</vt:lpstr>
      <vt:lpstr>Ticker0001_Exchange_Sheet!E_KEYWORD_EQTY_200000801_REPUR_REMAINING</vt:lpstr>
      <vt:lpstr>Ticker0001_Exchange_Sheet!E_KEYWORD_EQTY_200000801_REPUR_SUSPENDED</vt:lpstr>
      <vt:lpstr>Ticker0001_Exchange_Sheet!E_KEYWORD_EQTY_200000801_REPUR_TOT_AUTH</vt:lpstr>
      <vt:lpstr>Ticker0001_Exchange_Sheet!E_KEYWORD_EQTY_200000801_REVS_PUB</vt:lpstr>
      <vt:lpstr>Ticker0001_Exchange_Sheet!E_KEYWORD_EQTY_200000801_RISK_FR_RATE</vt:lpstr>
      <vt:lpstr>Ticker0001_Exchange_Sheet!E_KEYWORD_EQTY_200000801_Security_Name</vt:lpstr>
      <vt:lpstr>Ticker0001_Exchange_Sheet!E_KEYWORD_EQTY_200000801_SH</vt:lpstr>
      <vt:lpstr>Ticker0001_Exchange_Sheet!E_KEYWORD_EQTY_200000801_TARGET_PRICE</vt:lpstr>
      <vt:lpstr>Ticker0001_Exchange_Sheet!E_KEYWORD_EQTY_200000801_TARGET_PRICE_FUNDAMENTAL</vt:lpstr>
      <vt:lpstr>Ticker0001_Exchange_Sheet!E_KEYWORD_EQTY_200000801_TARGET_PRICE_MA</vt:lpstr>
      <vt:lpstr>Ticker0001_Exchange_Sheet!E_KEYWORD_EQTY_200000801_TAX_EXC</vt:lpstr>
      <vt:lpstr>Ticker0001_Exchange_Sheet!E_KEYWORD_EQTY_200000801_Ticker</vt:lpstr>
      <vt:lpstr>Ticker0001_Exchange_Sheet!E_KEYWORD_EQTY_200000801_TP_PERIOD</vt:lpstr>
      <vt:lpstr>Ticker0001_Exchange_Sheet!E_KEYWORD_ISSR_208000149_ACC_AMORT</vt:lpstr>
      <vt:lpstr>Ticker0001_Exchange_Sheet!E_KEYWORD_ISSR_208000149_ACC_DDA</vt:lpstr>
      <vt:lpstr>Ticker0001_Exchange_Sheet!E_KEYWORD_ISSR_208000149_ACC_END_DATE</vt:lpstr>
      <vt:lpstr>Ticker0001_Exchange_Sheet!E_KEYWORD_ISSR_208000149_ACC_PAY_GQ</vt:lpstr>
      <vt:lpstr>Ticker0001_Exchange_Sheet!E_KEYWORD_ISSR_208000149_ACQ</vt:lpstr>
      <vt:lpstr>Ticker0001_Exchange_Sheet!E_KEYWORD_ISSR_208000149_ADJ_UNF_PENS_GOOD</vt:lpstr>
      <vt:lpstr>Ticker0001_Exchange_Sheet!E_KEYWORD_ISSR_208000149_ASSOC_JV_ADDBK</vt:lpstr>
      <vt:lpstr>Ticker0001_Exchange_Sheet!E_KEYWORD_ISSR_208000149_ASSOCIATE</vt:lpstr>
      <vt:lpstr>Ticker0001_Exchange_Sheet!E_KEYWORD_ISSR_208000149_ASSOCIATE_OP</vt:lpstr>
      <vt:lpstr>Ticker0001_Exchange_Sheet!E_KEYWORD_ISSR_208000149_AVG_AGE_CUST</vt:lpstr>
      <vt:lpstr>Ticker0001_Exchange_Sheet!E_KEYWORD_ISSR_208000149_AVG_HSHLD_INC_CUST</vt:lpstr>
      <vt:lpstr>Ticker0001_Exchange_Sheet!E_KEYWORD_ISSR_208000149_BAL_MINO_INT</vt:lpstr>
      <vt:lpstr>Ticker0001_Exchange_Sheet!E_KEYWORD_ISSR_208000149_CAP_LEASES</vt:lpstr>
      <vt:lpstr>Ticker0001_Exchange_Sheet!E_KEYWORD_ISSR_208000149_CAPEX</vt:lpstr>
      <vt:lpstr>Ticker0001_Exchange_Sheet!E_KEYWORD_ISSR_208000149_CAPEX_EXPANSION</vt:lpstr>
      <vt:lpstr>Ticker0001_Exchange_Sheet!E_KEYWORD_ISSR_208000149_CAPEX_MAINTENANCE</vt:lpstr>
      <vt:lpstr>Ticker0001_Exchange_Sheet!E_KEYWORD_ISSR_208000149_CASH_EQ</vt:lpstr>
      <vt:lpstr>Ticker0001_Exchange_Sheet!E_KEYWORD_ISSR_208000149_CASH_INT_EXP</vt:lpstr>
      <vt:lpstr>Ticker0001_Exchange_Sheet!E_KEYWORD_ISSR_208000149_CASH_PCT_OS_US</vt:lpstr>
      <vt:lpstr>Ticker0001_Exchange_Sheet!E_KEYWORD_ISSR_208000149_CASH_TAX_EXP</vt:lpstr>
      <vt:lpstr>Ticker0001_Exchange_Sheet!E_KEYWORD_ISSR_208000149_CF_FIN</vt:lpstr>
      <vt:lpstr>Ticker0001_Exchange_Sheet!E_KEYWORD_ISSR_208000149_CF_INC_MINORITY</vt:lpstr>
      <vt:lpstr>Ticker0001_Exchange_Sheet!E_KEYWORD_ISSR_208000149_CF_INV</vt:lpstr>
      <vt:lpstr>Ticker0001_Exchange_Sheet!E_KEYWORD_ISSR_208000149_CF_OPS</vt:lpstr>
      <vt:lpstr>Ticker0001_Exchange_Sheet!E_KEYWORD_ISSR_208000149_CHG_DEF_TAX_CF</vt:lpstr>
      <vt:lpstr>Ticker0001_Exchange_Sheet!E_KEYWORD_ISSR_208000149_CHG_LT_DEBT</vt:lpstr>
      <vt:lpstr>Ticker0001_Exchange_Sheet!E_KEYWORD_ISSR_208000149_CO_BOR_MARGIN</vt:lpstr>
      <vt:lpstr>Ticker0001_Exchange_Sheet!E_KEYWORD_ISSR_208000149_COGS_PCT_ROW</vt:lpstr>
      <vt:lpstr>Ticker0001_Exchange_Sheet!E_KEYWORD_ISSR_208000149_COGS_PCT_US</vt:lpstr>
      <vt:lpstr>Ticker0001_Exchange_Sheet!E_KEYWORD_ISSR_208000149_COST_GD_SD</vt:lpstr>
      <vt:lpstr>Ticker0001_Exchange_Sheet!E_KEYWORD_ISSR_208000149_CUR_ASS</vt:lpstr>
      <vt:lpstr>Ticker0001_Exchange_Sheet!E_KEYWORD_ISSR_208000149_CURRENCY_ISO</vt:lpstr>
      <vt:lpstr>Ticker0001_Exchange_Sheet!E_KEYWORD_ISSR_208000149_DEBTORS</vt:lpstr>
      <vt:lpstr>Ticker0001_Exchange_Sheet!E_KEYWORD_ISSR_208000149_DEF_INC_TAX</vt:lpstr>
      <vt:lpstr>Ticker0001_Exchange_Sheet!E_KEYWORD_ISSR_208000149_DEPR_AMORT</vt:lpstr>
      <vt:lpstr>Ticker0001_Exchange_Sheet!E_KEYWORD_ISSR_208000149_DEPR_ROU_ASSETS</vt:lpstr>
      <vt:lpstr>Ticker0001_Exchange_Sheet!E_KEYWORD_ISSR_208000149_DEPREC</vt:lpstr>
      <vt:lpstr>Ticker0001_Exchange_Sheet!E_KEYWORD_ISSR_208000149_DIV_PAID</vt:lpstr>
      <vt:lpstr>Ticker0001_Exchange_Sheet!E_KEYWORD_ISSR_208000149_DIVDS_ASSOC_JV</vt:lpstr>
      <vt:lpstr>Ticker0001_Exchange_Sheet!E_KEYWORD_ISSR_208000149_DIVDS_PD_MINORITIES</vt:lpstr>
      <vt:lpstr>Ticker0001_Exchange_Sheet!E_KEYWORD_ISSR_208000149_DIVEST</vt:lpstr>
      <vt:lpstr>Ticker0001_Exchange_Sheet!E_KEYWORD_ISSR_208000149_EBIT</vt:lpstr>
      <vt:lpstr>Ticker0001_Exchange_Sheet!E_KEYWORD_ISSR_208000149_EBIT_FIN_SEGMENT</vt:lpstr>
      <vt:lpstr>Ticker0001_Exchange_Sheet!E_KEYWORD_ISSR_208000149_EBITDA_CALC</vt:lpstr>
      <vt:lpstr>Ticker0001_Exchange_Sheet!E_KEYWORD_ISSR_208000149_EMPLOYEES</vt:lpstr>
      <vt:lpstr>Ticker0001_Exchange_Sheet!E_KEYWORD_ISSR_208000149_EQ</vt:lpstr>
      <vt:lpstr>Ticker0001_Exchange_Sheet!E_KEYWORD_ISSR_208000149_ESO_PRE_TAX</vt:lpstr>
      <vt:lpstr>Ticker0001_Exchange_Sheet!E_KEYWORD_ISSR_208000149_EXP_GLASS</vt:lpstr>
      <vt:lpstr>Ticker0001_Exchange_Sheet!E_KEYWORD_ISSR_208000149_EXP_OIL_DERIV_NGLS_PLASTICS</vt:lpstr>
      <vt:lpstr>Ticker0001_Exchange_Sheet!E_KEYWORD_ISSR_208000149_EXP_OIL_PETRO_FUEL</vt:lpstr>
      <vt:lpstr>Ticker0001_Exchange_Sheet!E_KEYWORD_ISSR_208000149_EXP_OTH_COMMODITY</vt:lpstr>
      <vt:lpstr>Ticker0001_Exchange_Sheet!E_KEYWORD_ISSR_208000149_EXP_OTH_COST</vt:lpstr>
      <vt:lpstr>Ticker0001_Exchange_Sheet!E_KEYWORD_ISSR_208000149_EXP_PAPER_PULP</vt:lpstr>
      <vt:lpstr>Ticker0001_Exchange_Sheet!E_KEYWORD_ISSR_208000149_EXP_WATER</vt:lpstr>
      <vt:lpstr>Ticker0001_Exchange_Sheet!E_KEYWORD_ISSR_208000149_FIX_ASS_INV</vt:lpstr>
      <vt:lpstr>Ticker0001_Exchange_Sheet!E_KEYWORD_ISSR_208000149_FLOATING_PCT_LOCAL_DEBT</vt:lpstr>
      <vt:lpstr>Ticker0001_Exchange_Sheet!E_KEYWORD_ISSR_208000149_FLOATING_PCT_LOCAL_DEBT_HEDGED</vt:lpstr>
      <vt:lpstr>Ticker0001_Exchange_Sheet!E_KEYWORD_ISSR_208000149_FOREX</vt:lpstr>
      <vt:lpstr>Ticker0001_Exchange_Sheet!E_KEYWORD_ISSR_208000149_GCI_INFL</vt:lpstr>
      <vt:lpstr>Ticker0001_Exchange_Sheet!E_KEYWORD_ISSR_208000149_GOODWILL_AMORT</vt:lpstr>
      <vt:lpstr>Ticker0001_Exchange_Sheet!E_KEYWORD_ISSR_208000149_GR_FIX_ASS</vt:lpstr>
      <vt:lpstr>Ticker0001_Exchange_Sheet!E_KEYWORD_ISSR_208000149_GR_INTANG</vt:lpstr>
      <vt:lpstr>Ticker0001_Exchange_Sheet!E_KEYWORD_ISSR_208000149_INS_TOT_HOMEOWNERS_PIF_GRTH</vt:lpstr>
      <vt:lpstr>Ticker0001_Exchange_Sheet!E_KEYWORD_ISSR_208000149_INT_EXP_IND</vt:lpstr>
      <vt:lpstr>Ticker0001_Exchange_Sheet!E_KEYWORD_ISSR_208000149_INT_INC_IND</vt:lpstr>
      <vt:lpstr>Ticker0001_Exchange_Sheet!E_KEYWORD_ISSR_208000149_INV_SECUR</vt:lpstr>
      <vt:lpstr>Ticker0001_Exchange_Sheet!E_KEYWORD_ISSR_208000149_Issuer_Name</vt:lpstr>
      <vt:lpstr>Ticker0001_Exchange_Sheet!E_KEYWORD_ISSR_208000149_LEASE_ADOPT</vt:lpstr>
      <vt:lpstr>Ticker0001_Exchange_Sheet!E_KEYWORD_ISSR_208000149_LEASE_DEEM_DEPR</vt:lpstr>
      <vt:lpstr>Ticker0001_Exchange_Sheet!E_KEYWORD_ISSR_208000149_LEASE_DEEM_INT</vt:lpstr>
      <vt:lpstr>Ticker0001_Exchange_Sheet!E_KEYWORD_ISSR_208000149_LEASE_INT_CHG</vt:lpstr>
      <vt:lpstr>Ticker0001_Exchange_Sheet!E_KEYWORD_ISSR_208000149_LEASE_PAY</vt:lpstr>
      <vt:lpstr>Ticker0001_Exchange_Sheet!E_KEYWORD_ISSR_208000149_LEASE_PRINCIPAL_CASH</vt:lpstr>
      <vt:lpstr>Ticker0001_Exchange_Sheet!E_KEYWORD_ISSR_208000149_LT_DEBT</vt:lpstr>
      <vt:lpstr>Ticker0001_Exchange_Sheet!E_KEYWORD_ISSR_208000149_LT_LEASE_LIAB</vt:lpstr>
      <vt:lpstr>Ticker0001_Exchange_Sheet!E_KEYWORD_ISSR_208000149_MA_PROB</vt:lpstr>
      <vt:lpstr>Ticker0001_Exchange_Sheet!E_KEYWORD_ISSR_208000149_MINORITIES</vt:lpstr>
      <vt:lpstr>Ticker0001_Exchange_Sheet!E_KEYWORD_ISSR_208000149_MV_ASSOCIATES</vt:lpstr>
      <vt:lpstr>Ticker0001_Exchange_Sheet!E_KEYWORD_ISSR_208000149_NET_DEBT</vt:lpstr>
      <vt:lpstr>Ticker0001_Exchange_Sheet!E_KEYWORD_ISSR_208000149_NET_DEBT_ADJ</vt:lpstr>
      <vt:lpstr>Ticker0001_Exchange_Sheet!E_KEYWORD_ISSR_208000149_NET_FIX_ASS</vt:lpstr>
      <vt:lpstr>Ticker0001_Exchange_Sheet!E_KEYWORD_ISSR_208000149_NET_INT_CH</vt:lpstr>
      <vt:lpstr>Ticker0001_Exchange_Sheet!E_KEYWORD_ISSR_208000149_NET_INT_EXP</vt:lpstr>
      <vt:lpstr>Ticker0001_Exchange_Sheet!E_KEYWORD_ISSR_208000149_NET_INTANG</vt:lpstr>
      <vt:lpstr>Ticker0001_Exchange_Sheet!E_KEYWORD_ISSR_208000149_NET_OP_LOSS_CFWD</vt:lpstr>
      <vt:lpstr>Ticker0001_Exchange_Sheet!E_KEYWORD_ISSR_208000149_NONPPE_CAPEX</vt:lpstr>
      <vt:lpstr>Ticker0001_Exchange_Sheet!E_KEYWORD_ISSR_208000149_OP_COST</vt:lpstr>
      <vt:lpstr>Ticker0001_Exchange_Sheet!E_KEYWORD_ISSR_208000149_ORD_SH_FUND</vt:lpstr>
      <vt:lpstr>Ticker0001_Exchange_Sheet!E_KEYWORD_ISSR_208000149_OTH_ADJ_CASH_TAX</vt:lpstr>
      <vt:lpstr>Ticker0001_Exchange_Sheet!E_KEYWORD_ISSR_208000149_OTH_COST_INC</vt:lpstr>
      <vt:lpstr>Ticker0001_Exchange_Sheet!E_KEYWORD_ISSR_208000149_OTH_CUR_ASS</vt:lpstr>
      <vt:lpstr>Ticker0001_Exchange_Sheet!E_KEYWORD_ISSR_208000149_OTH_CUR_LIABS</vt:lpstr>
      <vt:lpstr>Ticker0001_Exchange_Sheet!E_KEYWORD_ISSR_208000149_OTH_DACF_ADJ</vt:lpstr>
      <vt:lpstr>Ticker0001_Exchange_Sheet!E_KEYWORD_ISSR_208000149_OTH_FIN_CF</vt:lpstr>
      <vt:lpstr>Ticker0001_Exchange_Sheet!E_KEYWORD_ISSR_208000149_OTH_GCI_ADJ</vt:lpstr>
      <vt:lpstr>Ticker0001_Exchange_Sheet!E_KEYWORD_ISSR_208000149_OTH_INV_CF</vt:lpstr>
      <vt:lpstr>Ticker0001_Exchange_Sheet!E_KEYWORD_ISSR_208000149_OTH_LT_ASS</vt:lpstr>
      <vt:lpstr>Ticker0001_Exchange_Sheet!E_KEYWORD_ISSR_208000149_OTH_LT_CRED_GQ</vt:lpstr>
      <vt:lpstr>Ticker0001_Exchange_Sheet!E_KEYWORD_ISSR_208000149_OTH_NONCASH_ADJ</vt:lpstr>
      <vt:lpstr>Ticker0001_Exchange_Sheet!E_KEYWORD_ISSR_208000149_OTH_OP_CF</vt:lpstr>
      <vt:lpstr>Ticker0001_Exchange_Sheet!E_KEYWORD_ISSR_208000149_OTH_OP_INC_EXP</vt:lpstr>
      <vt:lpstr>Ticker0001_Exchange_Sheet!E_KEYWORD_ISSR_208000149_PERIOD_MILESTONE</vt:lpstr>
      <vt:lpstr>Ticker0001_Exchange_Sheet!E_KEYWORD_ISSR_208000149_PL_SALE_ASSETS</vt:lpstr>
      <vt:lpstr>Ticker0001_Exchange_Sheet!E_KEYWORD_ISSR_208000149_PREF_SH</vt:lpstr>
      <vt:lpstr>Ticker0001_Exchange_Sheet!E_KEYWORD_ISSR_208000149_PROFIT_ON_DISP</vt:lpstr>
      <vt:lpstr>Ticker0001_Exchange_Sheet!E_KEYWORD_ISSR_208000149_PT_PROF</vt:lpstr>
      <vt:lpstr>Ticker0001_Exchange_Sheet!E_KEYWORD_ISSR_208000149_RD_EXP</vt:lpstr>
      <vt:lpstr>Ticker0001_Exchange_Sheet!E_KEYWORD_ISSR_208000149_REV_FIN_SEGMENT</vt:lpstr>
      <vt:lpstr>Ticker0001_Exchange_Sheet!E_KEYWORD_ISSR_208000149_REV_SEG1_NAME</vt:lpstr>
      <vt:lpstr>Ticker0001_Exchange_Sheet!E_KEYWORD_ISSR_208000149_REV_SEG1_VALUE</vt:lpstr>
      <vt:lpstr>Ticker0001_Exchange_Sheet!E_KEYWORD_ISSR_208000149_REV_SEG2_NAME</vt:lpstr>
      <vt:lpstr>Ticker0001_Exchange_Sheet!E_KEYWORD_ISSR_208000149_REV_SEG2_VALUE</vt:lpstr>
      <vt:lpstr>Ticker0001_Exchange_Sheet!E_KEYWORD_ISSR_208000149_REV_SEG3_NAME</vt:lpstr>
      <vt:lpstr>Ticker0001_Exchange_Sheet!E_KEYWORD_ISSR_208000149_REV_SEG3_VALUE</vt:lpstr>
      <vt:lpstr>Ticker0001_Exchange_Sheet!E_KEYWORD_ISSR_208000149_REV_SEG4_NAME</vt:lpstr>
      <vt:lpstr>Ticker0001_Exchange_Sheet!E_KEYWORD_ISSR_208000149_REV_SEG4_VALUE</vt:lpstr>
      <vt:lpstr>Ticker0001_Exchange_Sheet!E_KEYWORD_ISSR_208000149_ROU_ASSET</vt:lpstr>
      <vt:lpstr>Ticker0001_Exchange_Sheet!E_KEYWORD_ISSR_208000149_SALES</vt:lpstr>
      <vt:lpstr>Ticker0001_Exchange_Sheet!E_KEYWORD_ISSR_208000149_SALES_ARGENTINA</vt:lpstr>
      <vt:lpstr>Ticker0001_Exchange_Sheet!E_KEYWORD_ISSR_208000149_SALES_AUSTRA</vt:lpstr>
      <vt:lpstr>Ticker0001_Exchange_Sheet!E_KEYWORD_ISSR_208000149_SALES_AUSTRIA</vt:lpstr>
      <vt:lpstr>Ticker0001_Exchange_Sheet!E_KEYWORD_ISSR_208000149_SALES_COMPANY0377</vt:lpstr>
      <vt:lpstr>Ticker0001_Exchange_Sheet!E_KEYWORD_ISSR_208000149_SALES_BRAZIL</vt:lpstr>
      <vt:lpstr>Ticker0001_Exchange_Sheet!E_KEYWORD_ISSR_208000149_SALES_CANADA</vt:lpstr>
      <vt:lpstr>Ticker0001_Exchange_Sheet!E_KEYWORD_ISSR_208000149_SALES_CEE</vt:lpstr>
      <vt:lpstr>Ticker0001_Exchange_Sheet!E_KEYWORD_ISSR_208000149_SALES_CHILE</vt:lpstr>
      <vt:lpstr>Ticker0001_Exchange_Sheet!E_KEYWORD_ISSR_208000149_SALES_CHINA</vt:lpstr>
      <vt:lpstr>Ticker0001_Exchange_Sheet!E_KEYWORD_ISSR_208000149_SALES_COLOMBIA</vt:lpstr>
      <vt:lpstr>Ticker0001_Exchange_Sheet!E_KEYWORD_ISSR_208000149_SALES_CONS</vt:lpstr>
      <vt:lpstr>Ticker0001_Exchange_Sheet!E_KEYWORD_ISSR_208000149_SALES_EU_EX_UK</vt:lpstr>
      <vt:lpstr>Ticker0001_Exchange_Sheet!E_KEYWORD_ISSR_208000149_SALES_FINAN</vt:lpstr>
      <vt:lpstr>Ticker0001_Exchange_Sheet!E_KEYWORD_ISSR_208000149_SALES_FRA</vt:lpstr>
      <vt:lpstr>Ticker0001_Exchange_Sheet!E_KEYWORD_ISSR_208000149_SALES_FX_ARS</vt:lpstr>
      <vt:lpstr>Ticker0001_Exchange_Sheet!E_KEYWORD_ISSR_208000149_SALES_FX_BRL</vt:lpstr>
      <vt:lpstr>Ticker0001_Exchange_Sheet!E_KEYWORD_ISSR_208000149_SALES_FX_CAD</vt:lpstr>
      <vt:lpstr>Ticker0001_Exchange_Sheet!E_KEYWORD_ISSR_208000149_SALES_FX_CLP</vt:lpstr>
      <vt:lpstr>Ticker0001_Exchange_Sheet!E_KEYWORD_ISSR_208000149_SALES_FX_CNY</vt:lpstr>
      <vt:lpstr>Ticker0001_Exchange_Sheet!E_KEYWORD_ISSR_208000149_SALES_FX_COP</vt:lpstr>
      <vt:lpstr>Ticker0001_Exchange_Sheet!E_KEYWORD_ISSR_208000149_SALES_FX_EUR</vt:lpstr>
      <vt:lpstr>Ticker0001_Exchange_Sheet!E_KEYWORD_ISSR_208000149_SALES_FX_GPB</vt:lpstr>
      <vt:lpstr>Ticker0001_Exchange_Sheet!E_KEYWORD_ISSR_208000149_SALES_FX_INR</vt:lpstr>
      <vt:lpstr>Ticker0001_Exchange_Sheet!E_KEYWORD_ISSR_208000149_SALES_FX_MXN</vt:lpstr>
      <vt:lpstr>Ticker0001_Exchange_Sheet!E_KEYWORD_ISSR_208000149_SALES_FX_OTH</vt:lpstr>
      <vt:lpstr>Ticker0001_Exchange_Sheet!E_KEYWORD_ISSR_208000149_SALES_FX_RUB</vt:lpstr>
      <vt:lpstr>Ticker0001_Exchange_Sheet!E_KEYWORD_ISSR_208000149_SALES_FX_USD</vt:lpstr>
      <vt:lpstr>Ticker0001_Exchange_Sheet!E_KEYWORD_ISSR_208000149_SALES_FX_VEF</vt:lpstr>
      <vt:lpstr>Ticker0001_Exchange_Sheet!E_KEYWORD_ISSR_208000149_SALES_FX_YEN</vt:lpstr>
      <vt:lpstr>Ticker0001_Exchange_Sheet!E_KEYWORD_ISSR_208000149_SALES_GER</vt:lpstr>
      <vt:lpstr>Ticker0001_Exchange_Sheet!E_KEYWORD_ISSR_208000149_SALES_GOV</vt:lpstr>
      <vt:lpstr>Ticker0001_Exchange_Sheet!E_KEYWORD_ISSR_208000149_SALES_GRE</vt:lpstr>
      <vt:lpstr>Ticker0001_Exchange_Sheet!E_KEYWORD_ISSR_208000149_SALES_HONG_KONG</vt:lpstr>
      <vt:lpstr>Ticker0001_Exchange_Sheet!E_KEYWORD_ISSR_208000149_SALES_IND</vt:lpstr>
      <vt:lpstr>Ticker0001_Exchange_Sheet!E_KEYWORD_ISSR_208000149_SALES_INDIA</vt:lpstr>
      <vt:lpstr>Ticker0001_Exchange_Sheet!E_KEYWORD_ISSR_208000149_SALES_INDONESIA</vt:lpstr>
      <vt:lpstr>Ticker0001_Exchange_Sheet!E_KEYWORD_ISSR_208000149_SALES_IRE</vt:lpstr>
      <vt:lpstr>Ticker0001_Exchange_Sheet!E_KEYWORD_ISSR_208000149_SALES_ITA</vt:lpstr>
      <vt:lpstr>Ticker0001_Exchange_Sheet!E_KEYWORD_ISSR_208000149_SALES_JAPAN</vt:lpstr>
      <vt:lpstr>Ticker0001_Exchange_Sheet!E_KEYWORD_ISSR_208000149_SALES_ME</vt:lpstr>
      <vt:lpstr>Ticker0001_Exchange_Sheet!E_KEYWORD_ISSR_208000149_SALES_MEXICO</vt:lpstr>
      <vt:lpstr>Ticker0001_Exchange_Sheet!E_KEYWORD_ISSR_208000149_SALES_NETH</vt:lpstr>
      <vt:lpstr>Ticker0001_Exchange_Sheet!E_KEYWORD_ISSR_208000149_SALES_NIGERIA</vt:lpstr>
      <vt:lpstr>Ticker0001_Exchange_Sheet!E_KEYWORD_ISSR_208000149_SALES_NOR</vt:lpstr>
      <vt:lpstr>Ticker0001_Exchange_Sheet!E_KEYWORD_ISSR_208000149_SALES_NZ</vt:lpstr>
      <vt:lpstr>Ticker0001_Exchange_Sheet!E_KEYWORD_ISSR_208000149_SALES_OIL_GAS</vt:lpstr>
      <vt:lpstr>Ticker0001_Exchange_Sheet!E_KEYWORD_ISSR_208000149_SALES_OTH_AEJ</vt:lpstr>
      <vt:lpstr>Ticker0001_Exchange_Sheet!E_KEYWORD_ISSR_208000149_SALES_OTH_AFRICA</vt:lpstr>
      <vt:lpstr>Ticker0001_Exchange_Sheet!E_KEYWORD_ISSR_208000149_SALES_OTH_AM</vt:lpstr>
      <vt:lpstr>Ticker0001_Exchange_Sheet!E_KEYWORD_ISSR_208000149_SALES_OTH_CEE</vt:lpstr>
      <vt:lpstr>Ticker0001_Exchange_Sheet!E_KEYWORD_ISSR_208000149_SALES_OTH_DEV_ASIA</vt:lpstr>
      <vt:lpstr>Ticker0001_Exchange_Sheet!E_KEYWORD_ISSR_208000149_SALES_OTH_EMEA</vt:lpstr>
      <vt:lpstr>Ticker0001_Exchange_Sheet!E_KEYWORD_ISSR_208000149_SALES_OTH_EMERG_ASIA</vt:lpstr>
      <vt:lpstr>Ticker0001_Exchange_Sheet!E_KEYWORD_ISSR_208000149_SALES_OTH_LATAM</vt:lpstr>
      <vt:lpstr>Ticker0001_Exchange_Sheet!E_KEYWORD_ISSR_208000149_SALES_OTH_ME</vt:lpstr>
      <vt:lpstr>Ticker0001_Exchange_Sheet!E_KEYWORD_ISSR_208000149_SALES_OTH_NO_AMER</vt:lpstr>
      <vt:lpstr>Ticker0001_Exchange_Sheet!E_KEYWORD_ISSR_208000149_SALES_OTH_WEST_EURO</vt:lpstr>
      <vt:lpstr>Ticker0001_Exchange_Sheet!E_KEYWORD_ISSR_208000149_SALES_OTHER</vt:lpstr>
      <vt:lpstr>Ticker0001_Exchange_Sheet!E_KEYWORD_ISSR_208000149_SALES_POLAND</vt:lpstr>
      <vt:lpstr>Ticker0001_Exchange_Sheet!E_KEYWORD_ISSR_208000149_SALES_POR</vt:lpstr>
      <vt:lpstr>Ticker0001_Exchange_Sheet!E_KEYWORD_ISSR_208000149_SALES_RUSSIA</vt:lpstr>
      <vt:lpstr>Ticker0001_Exchange_Sheet!E_KEYWORD_ISSR_208000149_SALES_SAUDI_ARABIA</vt:lpstr>
      <vt:lpstr>Ticker0001_Exchange_Sheet!E_KEYWORD_ISSR_208000149_SALES_SINGAPORE</vt:lpstr>
      <vt:lpstr>Ticker0001_Exchange_Sheet!E_KEYWORD_ISSR_208000149_SALES_SK</vt:lpstr>
      <vt:lpstr>Ticker0001_Exchange_Sheet!E_KEYWORD_ISSR_208000149_SALES_SMB</vt:lpstr>
      <vt:lpstr>Ticker0001_Exchange_Sheet!E_KEYWORD_ISSR_208000149_SALES_SO_AFRICA</vt:lpstr>
      <vt:lpstr>Ticker0001_Exchange_Sheet!E_KEYWORD_ISSR_208000149_SALES_SPA</vt:lpstr>
      <vt:lpstr>Ticker0001_Exchange_Sheet!E_KEYWORD_ISSR_208000149_SALES_SWE</vt:lpstr>
      <vt:lpstr>Ticker0001_Exchange_Sheet!E_KEYWORD_ISSR_208000149_SALES_SWIT</vt:lpstr>
      <vt:lpstr>Ticker0001_Exchange_Sheet!E_KEYWORD_ISSR_208000149_SALES_TAIWAN</vt:lpstr>
      <vt:lpstr>Ticker0001_Exchange_Sheet!E_KEYWORD_ISSR_208000149_SALES_THAILAND</vt:lpstr>
      <vt:lpstr>Ticker0001_Exchange_Sheet!E_KEYWORD_ISSR_208000149_SALES_TOT_AFRICA</vt:lpstr>
      <vt:lpstr>Ticker0001_Exchange_Sheet!E_KEYWORD_ISSR_208000149_SALES_TOT_AM</vt:lpstr>
      <vt:lpstr>Ticker0001_Exchange_Sheet!E_KEYWORD_ISSR_208000149_SALES_TOT_ASIA</vt:lpstr>
      <vt:lpstr>Ticker0001_Exchange_Sheet!E_KEYWORD_ISSR_208000149_SALES_TOT_EMEA</vt:lpstr>
      <vt:lpstr>Ticker0001_Exchange_Sheet!E_KEYWORD_ISSR_208000149_SALES_TURKEY</vt:lpstr>
      <vt:lpstr>Ticker0001_Exchange_Sheet!E_KEYWORD_ISSR_208000149_SALES_UAE</vt:lpstr>
      <vt:lpstr>Ticker0001_Exchange_Sheet!E_KEYWORD_ISSR_208000149_SALES_UK</vt:lpstr>
      <vt:lpstr>Ticker0001_Exchange_Sheet!E_KEYWORD_ISSR_208000149_SALES_US</vt:lpstr>
      <vt:lpstr>Ticker0001_Exchange_Sheet!E_KEYWORD_ISSR_208000149_SALES_VENEZUELA</vt:lpstr>
      <vt:lpstr>Ticker0001_Exchange_Sheet!E_KEYWORD_ISSR_208000149_SEL_GL_AD</vt:lpstr>
      <vt:lpstr>Ticker0001_Exchange_Sheet!E_KEYWORD_ISSR_208000149_SGA_PCT_ROW</vt:lpstr>
      <vt:lpstr>Ticker0001_Exchange_Sheet!E_KEYWORD_ISSR_208000149_SGA_PCT_US</vt:lpstr>
      <vt:lpstr>Ticker0001_Exchange_Sheet!E_KEYWORD_ISSR_208000149_SH_REPUR</vt:lpstr>
      <vt:lpstr>Ticker0001_Exchange_Sheet!E_KEYWORD_ISSR_208000149_SHORT_T_DEBT</vt:lpstr>
      <vt:lpstr>Ticker0001_Exchange_Sheet!E_KEYWORD_ISSR_208000149_SHORT_TERM_LIABS</vt:lpstr>
      <vt:lpstr>Ticker0001_Exchange_Sheet!E_KEYWORD_ISSR_208000149_ST_LEASE_LIAB</vt:lpstr>
      <vt:lpstr>Ticker0001_Exchange_Sheet!E_KEYWORD_ISSR_208000149_STOCKS</vt:lpstr>
      <vt:lpstr>Ticker0001_Exchange_Sheet!E_KEYWORD_ISSR_208000149_TOT_ASSET</vt:lpstr>
      <vt:lpstr>Ticker0001_Exchange_Sheet!E_KEYWORD_ISSR_208000149_TOT_CF</vt:lpstr>
      <vt:lpstr>Ticker0001_Exchange_Sheet!E_KEYWORD_ISSR_208000149_TOT_LIAB</vt:lpstr>
      <vt:lpstr>Ticker0001_Exchange_Sheet!E_KEYWORD_ISSR_208000149_TOT_LIAB_EQ</vt:lpstr>
      <vt:lpstr>Ticker0001_Exchange_Sheet!E_KEYWORD_ISSR_208000149_TOT_LT_LIAB</vt:lpstr>
      <vt:lpstr>Ticker0001_Exchange_Sheet!E_KEYWORD_ISSR_208000149_TOT_OPS_EXP</vt:lpstr>
      <vt:lpstr>Ticker0001_Exchange_Sheet!E_KEYWORD_ISSR_208000149_TOT_OPS_EXP_DDA</vt:lpstr>
      <vt:lpstr>Ticker0001_Exchange_Sheet!E_KEYWORD_ISSR_208000149_TOT_PCT_USD_DEBT_HEDGED</vt:lpstr>
      <vt:lpstr>Ticker0001_Exchange_Sheet!E_KEYWORD_ISSR_208000149_TOT_USD_DEBT</vt:lpstr>
      <vt:lpstr>Ticker0001_Exchange_Sheet!E_KEYWORD_ISSR_208000149_UNF_PENS</vt:lpstr>
      <vt:lpstr>Ticker0001_Exchange_Sheet!E_KEYWORD_ISSR_208000149_UNF_PENS_LIAB_OTH</vt:lpstr>
      <vt:lpstr>Ticker0001_Exchange_Sheet!E_KEYWORD_ISSR_208000149_UNF_PENS_OFF</vt:lpstr>
      <vt:lpstr>Ticker0001_Exchange_Sheet!E_KEYWORD_ISSR_208000149_WORK_CAP</vt:lpstr>
      <vt:lpstr>Ticker0001_Exchange_Sheet!E_LIVEDATA_EQTY_200000801</vt:lpstr>
      <vt:lpstr>Ticker0001_Exchange_Sheet!E_LIVEDATA_ISSR_208000149</vt:lpstr>
      <vt:lpstr>Ticker0001_Exchange_Sheet!E_PERIOD_2000</vt:lpstr>
      <vt:lpstr>Ticker0001_Exchange_Sheet!E_PERIOD_2000_Q1</vt:lpstr>
      <vt:lpstr>Ticker0001_Exchange_Sheet!E_PERIOD_2000_Q2</vt:lpstr>
      <vt:lpstr>Ticker0001_Exchange_Sheet!E_PERIOD_2000_Q3</vt:lpstr>
      <vt:lpstr>Ticker0001_Exchange_Sheet!E_PERIOD_2000_Q4</vt:lpstr>
      <vt:lpstr>Ticker0001_Exchange_Sheet!E_PERIOD_2001</vt:lpstr>
      <vt:lpstr>Ticker0001_Exchange_Sheet!E_PERIOD_2001_Q1</vt:lpstr>
      <vt:lpstr>Ticker0001_Exchange_Sheet!E_PERIOD_2001_Q2</vt:lpstr>
      <vt:lpstr>Ticker0001_Exchange_Sheet!E_PERIOD_2001_Q3</vt:lpstr>
      <vt:lpstr>Ticker0001_Exchange_Sheet!E_PERIOD_2001_Q4</vt:lpstr>
      <vt:lpstr>Ticker0001_Exchange_Sheet!E_PERIOD_2002</vt:lpstr>
      <vt:lpstr>Ticker0001_Exchange_Sheet!E_PERIOD_2002_Q1</vt:lpstr>
      <vt:lpstr>Ticker0001_Exchange_Sheet!E_PERIOD_2002_Q2</vt:lpstr>
      <vt:lpstr>Ticker0001_Exchange_Sheet!E_PERIOD_2002_Q3</vt:lpstr>
      <vt:lpstr>Ticker0001_Exchange_Sheet!E_PERIOD_2002_Q4</vt:lpstr>
      <vt:lpstr>Ticker0001_Exchange_Sheet!E_PERIOD_2003</vt:lpstr>
      <vt:lpstr>Ticker0001_Exchange_Sheet!E_PERIOD_2003_Q1</vt:lpstr>
      <vt:lpstr>Ticker0001_Exchange_Sheet!E_PERIOD_2003_Q2</vt:lpstr>
      <vt:lpstr>Ticker0001_Exchange_Sheet!E_PERIOD_2003_Q3</vt:lpstr>
      <vt:lpstr>Ticker0001_Exchange_Sheet!E_PERIOD_2003_Q4</vt:lpstr>
      <vt:lpstr>Ticker0001_Exchange_Sheet!E_PERIOD_2004</vt:lpstr>
      <vt:lpstr>Ticker0001_Exchange_Sheet!E_PERIOD_2004_Q1</vt:lpstr>
      <vt:lpstr>Ticker0001_Exchange_Sheet!E_PERIOD_2004_Q2</vt:lpstr>
      <vt:lpstr>Ticker0001_Exchange_Sheet!E_PERIOD_2004_Q3</vt:lpstr>
      <vt:lpstr>Ticker0001_Exchange_Sheet!E_PERIOD_2004_Q4</vt:lpstr>
      <vt:lpstr>Ticker0001_Exchange_Sheet!E_PERIOD_2005</vt:lpstr>
      <vt:lpstr>Ticker0001_Exchange_Sheet!E_PERIOD_2005_Q1</vt:lpstr>
      <vt:lpstr>Ticker0001_Exchange_Sheet!E_PERIOD_2005_Q2</vt:lpstr>
      <vt:lpstr>Ticker0001_Exchange_Sheet!E_PERIOD_2005_Q3</vt:lpstr>
      <vt:lpstr>Ticker0001_Exchange_Sheet!E_PERIOD_2005_Q4</vt:lpstr>
      <vt:lpstr>Ticker0001_Exchange_Sheet!E_PERIOD_2006</vt:lpstr>
      <vt:lpstr>Ticker0001_Exchange_Sheet!E_PERIOD_2006_Q1</vt:lpstr>
      <vt:lpstr>Ticker0001_Exchange_Sheet!E_PERIOD_2006_Q2</vt:lpstr>
      <vt:lpstr>Ticker0001_Exchange_Sheet!E_PERIOD_2006_Q3</vt:lpstr>
      <vt:lpstr>Ticker0001_Exchange_Sheet!E_PERIOD_2006_Q4</vt:lpstr>
      <vt:lpstr>Ticker0001_Exchange_Sheet!E_PERIOD_2007</vt:lpstr>
      <vt:lpstr>Ticker0001_Exchange_Sheet!E_PERIOD_2007_Q1</vt:lpstr>
      <vt:lpstr>Ticker0001_Exchange_Sheet!E_PERIOD_2007_Q2</vt:lpstr>
      <vt:lpstr>Ticker0001_Exchange_Sheet!E_PERIOD_2007_Q3</vt:lpstr>
      <vt:lpstr>Ticker0001_Exchange_Sheet!E_PERIOD_2007_Q4</vt:lpstr>
      <vt:lpstr>Ticker0001_Exchange_Sheet!E_PERIOD_2008</vt:lpstr>
      <vt:lpstr>Ticker0001_Exchange_Sheet!E_PERIOD_2008_Q1</vt:lpstr>
      <vt:lpstr>Ticker0001_Exchange_Sheet!E_PERIOD_2008_Q2</vt:lpstr>
      <vt:lpstr>Ticker0001_Exchange_Sheet!E_PERIOD_2008_Q3</vt:lpstr>
      <vt:lpstr>Ticker0001_Exchange_Sheet!E_PERIOD_2008_Q4</vt:lpstr>
      <vt:lpstr>Ticker0001_Exchange_Sheet!E_PERIOD_2009</vt:lpstr>
      <vt:lpstr>Ticker0001_Exchange_Sheet!E_PERIOD_2009_Q1</vt:lpstr>
      <vt:lpstr>Ticker0001_Exchange_Sheet!E_PERIOD_2009_Q2</vt:lpstr>
      <vt:lpstr>Ticker0001_Exchange_Sheet!E_PERIOD_2009_Q3</vt:lpstr>
      <vt:lpstr>Ticker0001_Exchange_Sheet!E_PERIOD_2009_Q4</vt:lpstr>
      <vt:lpstr>Ticker0001_Exchange_Sheet!E_PERIOD_2010</vt:lpstr>
      <vt:lpstr>Ticker0001_Exchange_Sheet!E_PERIOD_2010_Q1</vt:lpstr>
      <vt:lpstr>Ticker0001_Exchange_Sheet!E_PERIOD_2010_Q2</vt:lpstr>
      <vt:lpstr>Ticker0001_Exchange_Sheet!E_PERIOD_2010_Q3</vt:lpstr>
      <vt:lpstr>Ticker0001_Exchange_Sheet!E_PERIOD_2010_Q4</vt:lpstr>
      <vt:lpstr>Ticker0001_Exchange_Sheet!E_PERIOD_2011</vt:lpstr>
      <vt:lpstr>Ticker0001_Exchange_Sheet!E_PERIOD_2011_Q1</vt:lpstr>
      <vt:lpstr>Ticker0001_Exchange_Sheet!E_PERIOD_2011_Q2</vt:lpstr>
      <vt:lpstr>Ticker0001_Exchange_Sheet!E_PERIOD_2011_Q3</vt:lpstr>
      <vt:lpstr>Ticker0001_Exchange_Sheet!E_PERIOD_2011_Q4</vt:lpstr>
      <vt:lpstr>Ticker0001_Exchange_Sheet!E_PERIOD_2012</vt:lpstr>
      <vt:lpstr>Ticker0001_Exchange_Sheet!E_PERIOD_2012_Q1</vt:lpstr>
      <vt:lpstr>Ticker0001_Exchange_Sheet!E_PERIOD_2012_Q2</vt:lpstr>
      <vt:lpstr>Ticker0001_Exchange_Sheet!E_PERIOD_2012_Q3</vt:lpstr>
      <vt:lpstr>Ticker0001_Exchange_Sheet!E_PERIOD_2012_Q4</vt:lpstr>
      <vt:lpstr>Ticker0001_Exchange_Sheet!E_PERIOD_2013</vt:lpstr>
      <vt:lpstr>Ticker0001_Exchange_Sheet!E_PERIOD_2013_Q1</vt:lpstr>
      <vt:lpstr>Ticker0001_Exchange_Sheet!E_PERIOD_2013_Q2</vt:lpstr>
      <vt:lpstr>Ticker0001_Exchange_Sheet!E_PERIOD_2013_Q3</vt:lpstr>
      <vt:lpstr>Ticker0001_Exchange_Sheet!E_PERIOD_2013_Q4</vt:lpstr>
      <vt:lpstr>Ticker0001_Exchange_Sheet!E_PERIOD_2014</vt:lpstr>
      <vt:lpstr>Ticker0001_Exchange_Sheet!E_PERIOD_2014_Q1</vt:lpstr>
      <vt:lpstr>Ticker0001_Exchange_Sheet!E_PERIOD_2014_Q2</vt:lpstr>
      <vt:lpstr>Ticker0001_Exchange_Sheet!E_PERIOD_2014_Q3</vt:lpstr>
      <vt:lpstr>Ticker0001_Exchange_Sheet!E_PERIOD_2014_Q4</vt:lpstr>
      <vt:lpstr>Ticker0001_Exchange_Sheet!E_PERIOD_2015</vt:lpstr>
      <vt:lpstr>Ticker0001_Exchange_Sheet!E_PERIOD_2015_Q1</vt:lpstr>
      <vt:lpstr>Ticker0001_Exchange_Sheet!E_PERIOD_2015_Q2</vt:lpstr>
      <vt:lpstr>Ticker0001_Exchange_Sheet!E_PERIOD_2015_Q3</vt:lpstr>
      <vt:lpstr>Ticker0001_Exchange_Sheet!E_PERIOD_2015_Q4</vt:lpstr>
      <vt:lpstr>Ticker0001_Exchange_Sheet!E_PERIOD_2016</vt:lpstr>
      <vt:lpstr>Ticker0001_Exchange_Sheet!E_PERIOD_2016_Q1</vt:lpstr>
      <vt:lpstr>Ticker0001_Exchange_Sheet!E_PERIOD_2016_Q2</vt:lpstr>
      <vt:lpstr>Ticker0001_Exchange_Sheet!E_PERIOD_2016_Q3</vt:lpstr>
      <vt:lpstr>Ticker0001_Exchange_Sheet!E_PERIOD_2016_Q4</vt:lpstr>
      <vt:lpstr>Ticker0001_Exchange_Sheet!E_PERIOD_2017</vt:lpstr>
      <vt:lpstr>Ticker0001_Exchange_Sheet!E_PERIOD_2017_Q1</vt:lpstr>
      <vt:lpstr>Ticker0001_Exchange_Sheet!E_PERIOD_2017_Q2</vt:lpstr>
      <vt:lpstr>Ticker0001_Exchange_Sheet!E_PERIOD_2017_Q3</vt:lpstr>
      <vt:lpstr>Ticker0001_Exchange_Sheet!E_PERIOD_2017_Q4</vt:lpstr>
      <vt:lpstr>Ticker0001_Exchange_Sheet!E_PERIOD_2018</vt:lpstr>
      <vt:lpstr>Ticker0001_Exchange_Sheet!E_PERIOD_2018_Q1</vt:lpstr>
      <vt:lpstr>Ticker0001_Exchange_Sheet!E_PERIOD_2018_Q2</vt:lpstr>
      <vt:lpstr>Ticker0001_Exchange_Sheet!E_PERIOD_2018_Q3</vt:lpstr>
      <vt:lpstr>Ticker0001_Exchange_Sheet!E_PERIOD_2018_Q4</vt:lpstr>
      <vt:lpstr>Ticker0001_Exchange_Sheet!E_PERIOD_2019</vt:lpstr>
      <vt:lpstr>Ticker0001_Exchange_Sheet!E_PERIOD_2019_Q1</vt:lpstr>
      <vt:lpstr>Ticker0001_Exchange_Sheet!E_PERIOD_2019_Q2</vt:lpstr>
      <vt:lpstr>Ticker0001_Exchange_Sheet!E_PERIOD_2019_Q3</vt:lpstr>
      <vt:lpstr>Ticker0001_Exchange_Sheet!E_PERIOD_2019_Q4</vt:lpstr>
      <vt:lpstr>Ticker0001_Exchange_Sheet!E_PERIOD_2020</vt:lpstr>
      <vt:lpstr>Ticker0001_Exchange_Sheet!E_PERIOD_2020_Q1</vt:lpstr>
      <vt:lpstr>Ticker0001_Exchange_Sheet!E_PERIOD_2020_Q2</vt:lpstr>
      <vt:lpstr>Ticker0001_Exchange_Sheet!E_PERIOD_2020_Q3</vt:lpstr>
      <vt:lpstr>Ticker0001_Exchange_Sheet!E_PERIOD_2020_Q4</vt:lpstr>
      <vt:lpstr>Ticker0001_Exchange_Sheet!E_PERIOD_2021</vt:lpstr>
      <vt:lpstr>Ticker0001_Exchange_Sheet!E_PERIOD_2021_Q1</vt:lpstr>
      <vt:lpstr>Ticker0001_Exchange_Sheet!E_PERIOD_2021_Q2</vt:lpstr>
      <vt:lpstr>Ticker0001_Exchange_Sheet!E_PERIOD_2021_Q3</vt:lpstr>
      <vt:lpstr>Ticker0001_Exchange_Sheet!E_PERIOD_2021_Q4</vt:lpstr>
      <vt:lpstr>Ticker0001_Exchange_Sheet!E_PERIOD_2022</vt:lpstr>
      <vt:lpstr>Ticker0001_Exchange_Sheet!E_PERIOD_2022_Q1</vt:lpstr>
      <vt:lpstr>Ticker0001_Exchange_Sheet!E_PERIOD_2022_Q2</vt:lpstr>
      <vt:lpstr>Ticker0001_Exchange_Sheet!E_PERIOD_2022_Q3</vt:lpstr>
      <vt:lpstr>Ticker0001_Exchange_Sheet!E_PERIOD_2022_Q4</vt:lpstr>
      <vt:lpstr>Ticker0001_Exchange_Sheet!E_PERIOD_2023</vt:lpstr>
      <vt:lpstr>Ticker0001_Exchange_Sheet!E_PERIOD_2023_Q1</vt:lpstr>
      <vt:lpstr>Ticker0001_Exchange_Sheet!E_PERIOD_2023_Q2</vt:lpstr>
      <vt:lpstr>Ticker0001_Exchange_Sheet!E_PERIOD_2023_Q3</vt:lpstr>
      <vt:lpstr>Ticker0001_Exchange_Sheet!E_PERIOD_2023_Q4</vt:lpstr>
      <vt:lpstr>Ticker0001_Exchange_Sheet!E_PERIOD_2024</vt:lpstr>
      <vt:lpstr>Ticker0001_Exchange_Sheet!E_PERIOD_2024_Q1</vt:lpstr>
      <vt:lpstr>Ticker0001_Exchange_Sheet!E_PERIOD_2024_Q2</vt:lpstr>
      <vt:lpstr>Ticker0001_Exchange_Sheet!E_PERIOD_2024_Q3</vt:lpstr>
      <vt:lpstr>Ticker0001_Exchange_Sheet!E_PERIOD_2024_Q4</vt:lpstr>
      <vt:lpstr>Ticker0001_Exchange_Sheet!E_PERIOD_2025</vt:lpstr>
      <vt:lpstr>Ticker0001_Exchange_Sheet!E_PERIOD_2025_Q1</vt:lpstr>
      <vt:lpstr>Ticker0001_Exchange_Sheet!E_PERIOD_2025_Q2</vt:lpstr>
      <vt:lpstr>Ticker0001_Exchange_Sheet!E_PERIOD_2025_Q3</vt:lpstr>
      <vt:lpstr>Ticker0001_Exchange_Sheet!E_PERIOD_2025_Q4</vt:lpstr>
      <vt:lpstr>Ticker0001_Exchange_Sheet!E_PERIOD_2026</vt:lpstr>
      <vt:lpstr>Ticker0001_Exchange_Sheet!E_PERIOD_2026_Q1</vt:lpstr>
      <vt:lpstr>Ticker0001_Exchange_Sheet!E_PERIOD_2026_Q2</vt:lpstr>
      <vt:lpstr>Ticker0001_Exchange_Sheet!E_PERIOD_2026_Q3</vt:lpstr>
      <vt:lpstr>Ticker0001_Exchange_Sheet!E_PERIOD_2026_Q4</vt:lpstr>
      <vt:lpstr>Ticker0001_Exchange_Sheet!E_PERIOD_2027</vt:lpstr>
      <vt:lpstr>Ticker0001_Exchange_Sheet!E_PERIOD_2027_Q1</vt:lpstr>
      <vt:lpstr>Ticker0001_Exchange_Sheet!E_PERIOD_2027_Q2</vt:lpstr>
      <vt:lpstr>Ticker0001_Exchange_Sheet!E_PERIOD_2027_Q3</vt:lpstr>
      <vt:lpstr>Ticker0001_Exchange_Sheet!E_PERIOD_2027_Q4</vt:lpstr>
      <vt:lpstr>Ticker0001_Exchange_Sheet!E_PERIOD_2028</vt:lpstr>
      <vt:lpstr>Ticker0001_Exchange_Sheet!E_PERIOD_2028_Q1</vt:lpstr>
      <vt:lpstr>Ticker0001_Exchange_Sheet!E_PERIOD_2028_Q2</vt:lpstr>
      <vt:lpstr>Ticker0001_Exchange_Sheet!E_PERIOD_2028_Q3</vt:lpstr>
      <vt:lpstr>Ticker0001_Exchange_Sheet!E_PERIOD_2028_Q4</vt:lpstr>
      <vt:lpstr>Ticker0001_Exchange_Sheet!E_PERIOD_2029</vt:lpstr>
      <vt:lpstr>Ticker0001_Exchange_Sheet!E_PERIOD_2029_Q1</vt:lpstr>
      <vt:lpstr>Ticker0001_Exchange_Sheet!E_PERIOD_2029_Q2</vt:lpstr>
      <vt:lpstr>Ticker0001_Exchange_Sheet!E_PERIOD_2029_Q3</vt:lpstr>
      <vt:lpstr>Ticker0001_Exchange_Sheet!E_PERIOD_2029_Q4</vt:lpstr>
      <vt:lpstr>Ticker0001_Exchange_Sheet!E_PERIOD_2030</vt:lpstr>
      <vt:lpstr>Ticker0001_Exchange_Sheet!E_PERIOD_2030_Q1</vt:lpstr>
      <vt:lpstr>Ticker0001_Exchange_Sheet!E_PERIOD_2030_Q2</vt:lpstr>
      <vt:lpstr>Ticker0001_Exchange_Sheet!E_PERIOD_2030_Q3</vt:lpstr>
      <vt:lpstr>Ticker0001_Exchange_Sheet!E_PERIOD_2030_Q4</vt:lpstr>
      <vt:lpstr>Ticker0001_Exchange_Sheet!E_SECTION_EQTY_200000801_1314</vt:lpstr>
      <vt:lpstr>Ticker0001_Exchange_Sheet!E_SECTION_EQTY_200000801_1319</vt:lpstr>
      <vt:lpstr>Ticker0001_Exchange_Sheet!E_SECTION_EQTY_200000801_131E</vt:lpstr>
      <vt:lpstr>Ticker0001_Exchange_Sheet!E_SECTION_EQTY_200000801_131O</vt:lpstr>
      <vt:lpstr>Ticker0001_Exchange_Sheet!E_SECTION_EQTY_200000801_13A</vt:lpstr>
      <vt:lpstr>Ticker0001_Exchange_Sheet!E_SECTION_EQTY_200000801_13K</vt:lpstr>
      <vt:lpstr>Ticker0001_Exchange_Sheet!E_SECTION_EQTY_200000801_13U</vt:lpstr>
      <vt:lpstr>Ticker0001_Exchange_Sheet!E_SECTION_EQTY_200000801_13V</vt:lpstr>
      <vt:lpstr>Ticker0001_Exchange_Sheet!E_SECTION_EQTY_200000801_13W</vt:lpstr>
      <vt:lpstr>Ticker0001_Exchange_Sheet!E_SECTION_EQTY_200000801_Reference_Data</vt:lpstr>
      <vt:lpstr>Ticker0001_Exchange_Sheet!E_SECTION_ISSR_208000149_1314</vt:lpstr>
      <vt:lpstr>Ticker0001_Exchange_Sheet!E_SECTION_ISSR_208000149_13168</vt:lpstr>
      <vt:lpstr>Ticker0001_Exchange_Sheet!E_SECTION_ISSR_208000149_1316T</vt:lpstr>
      <vt:lpstr>Ticker0001_Exchange_Sheet!E_SECTION_ISSR_208000149_1316U</vt:lpstr>
      <vt:lpstr>Ticker0001_Exchange_Sheet!E_SECTION_ISSR_208000149_1319</vt:lpstr>
      <vt:lpstr>Ticker0001_Exchange_Sheet!E_SECTION_ISSR_208000149_131E</vt:lpstr>
      <vt:lpstr>Ticker0001_Exchange_Sheet!E_SECTION_ISSR_208000149_131J</vt:lpstr>
      <vt:lpstr>Ticker0001_Exchange_Sheet!E_SECTION_ISSR_208000149_131O</vt:lpstr>
      <vt:lpstr>Ticker0001_Exchange_Sheet!E_SECTION_ISSR_208000149_136E</vt:lpstr>
      <vt:lpstr>Ticker0001_Exchange_Sheet!E_SECTION_ISSR_208000149_136J</vt:lpstr>
      <vt:lpstr>Ticker0001_Exchange_Sheet!E_SECTION_ISSR_208000149_13A</vt:lpstr>
      <vt:lpstr>Ticker0001_Exchange_Sheet!E_SECTION_ISSR_208000149_13U</vt:lpstr>
      <vt:lpstr>Ticker0001_Exchange_Sheet!E_SECTION_ISSR_208000149_13V</vt:lpstr>
      <vt:lpstr>Ticker0001_Exchange_Sheet!E_SECTION_ISSR_208000149_Reference_Data</vt:lpstr>
      <vt:lpstr>Ticker0001_Exchange_Sheet!E_TEMPLATEHASH</vt:lpstr>
      <vt:lpstr>L_ALL_Ticker0001</vt:lpstr>
      <vt:lpstr>Ticker0001_Live_Sheet!L_ALL_KEYWORDS_TYPE_ScalarContributed_EQTY_200000801</vt:lpstr>
      <vt:lpstr>L_ALL_KEYWORDS_TYPE_ScalarContributed_EQTY_200000801</vt:lpstr>
      <vt:lpstr>Ticker0001_Live_Sheet!L_ALL_KEYWORDS_TYPE_ScalarContributed_ISSR_208000149</vt:lpstr>
      <vt:lpstr>Ticker0001_Live_Sheet!L_ALL_KEYWORDS_TYPE_ScalarReference_EQTY_200000801</vt:lpstr>
      <vt:lpstr>Ticker0001_Live_Sheet!L_ALL_KEYWORDS_TYPE_ScalarReference_ISSR_208000149</vt:lpstr>
      <vt:lpstr>Ticker0001_Live_Sheet!L_ALL_KEYWORDS_TYPE_Vector_EQTY_200000801</vt:lpstr>
      <vt:lpstr>Ticker0001_Live_Sheet!L_ALL_KEYWORDS_TYPE_Vector_ISSR_208000149</vt:lpstr>
      <vt:lpstr>L_ALL_KEYWORDS_TYPE_Vector_ISSR_208000149</vt:lpstr>
      <vt:lpstr>Ticker0001_Live_Sheet!L_ALL_PERIODS_Ticker0001</vt:lpstr>
      <vt:lpstr>Ticker0001_Live_Sheet!L_ALL_SECTION_KEYWORDS_EQTY_200000801_1314</vt:lpstr>
      <vt:lpstr>Ticker0001_Live_Sheet!L_ALL_SECTION_KEYWORDS_EQTY_200000801_1319</vt:lpstr>
      <vt:lpstr>Ticker0001_Live_Sheet!L_ALL_SECTION_KEYWORDS_EQTY_200000801_131E</vt:lpstr>
      <vt:lpstr>Ticker0001_Live_Sheet!L_ALL_SECTION_KEYWORDS_EQTY_200000801_131O</vt:lpstr>
      <vt:lpstr>Ticker0001_Live_Sheet!L_ALL_SECTION_KEYWORDS_EQTY_200000801_13A</vt:lpstr>
      <vt:lpstr>L_ALL_SECTION_KEYWORDS_EQTY_200000801_13A</vt:lpstr>
      <vt:lpstr>Ticker0001_Live_Sheet!L_ALL_SECTION_KEYWORDS_EQTY_200000801_13K</vt:lpstr>
      <vt:lpstr>Ticker0001_Live_Sheet!L_ALL_SECTION_KEYWORDS_EQTY_200000801_13U</vt:lpstr>
      <vt:lpstr>Ticker0001_Live_Sheet!L_ALL_SECTION_KEYWORDS_EQTY_200000801_13V</vt:lpstr>
      <vt:lpstr>Ticker0001_Live_Sheet!L_ALL_SECTION_KEYWORDS_EQTY_200000801_13W</vt:lpstr>
      <vt:lpstr>Ticker0001_Live_Sheet!L_ALL_SECTION_KEYWORDS_EQTY_200000801_Reference_Data</vt:lpstr>
      <vt:lpstr>Ticker0001_Live_Sheet!L_ALL_SECTION_KEYWORDS_ISSR_208000149_1314</vt:lpstr>
      <vt:lpstr>Ticker0001_Live_Sheet!L_ALL_SECTION_KEYWORDS_ISSR_208000149_13168</vt:lpstr>
      <vt:lpstr>Ticker0001_Live_Sheet!L_ALL_SECTION_KEYWORDS_ISSR_208000149_1316T</vt:lpstr>
      <vt:lpstr>Ticker0001_Live_Sheet!L_ALL_SECTION_KEYWORDS_ISSR_208000149_1316U</vt:lpstr>
      <vt:lpstr>Ticker0001_Live_Sheet!L_ALL_SECTION_KEYWORDS_ISSR_208000149_1319</vt:lpstr>
      <vt:lpstr>Ticker0001_Live_Sheet!L_ALL_SECTION_KEYWORDS_ISSR_208000149_131E</vt:lpstr>
      <vt:lpstr>Ticker0001_Live_Sheet!L_ALL_SECTION_KEYWORDS_ISSR_208000149_131J</vt:lpstr>
      <vt:lpstr>Ticker0001_Live_Sheet!L_ALL_SECTION_KEYWORDS_ISSR_208000149_131O</vt:lpstr>
      <vt:lpstr>L_ALL_SECTION_KEYWORDS_ISSR_208000149_131O</vt:lpstr>
      <vt:lpstr>Ticker0001_Live_Sheet!L_ALL_SECTION_KEYWORDS_ISSR_208000149_136E</vt:lpstr>
      <vt:lpstr>Ticker0001_Live_Sheet!L_ALL_SECTION_KEYWORDS_ISSR_208000149_136J</vt:lpstr>
      <vt:lpstr>Ticker0001_Live_Sheet!L_ALL_SECTION_KEYWORDS_ISSR_208000149_13A</vt:lpstr>
      <vt:lpstr>Ticker0001_Live_Sheet!L_ALL_SECTION_KEYWORDS_ISSR_208000149_13U</vt:lpstr>
      <vt:lpstr>Ticker0001_Live_Sheet!L_ALL_SECTION_KEYWORDS_ISSR_208000149_13V</vt:lpstr>
      <vt:lpstr>Ticker0001_Live_Sheet!L_ALL_SECTION_KEYWORDS_ISSR_208000149_Reference_Data</vt:lpstr>
      <vt:lpstr>Ticker0001_Live_Sheet!L_ALL_SECTIONS_EQTY_200000801</vt:lpstr>
      <vt:lpstr>Ticker0001_Live_Sheet!L_ALL_SECTIONS_ISSR_208000149</vt:lpstr>
      <vt:lpstr>Ticker0001_Live_Sheet!L_CURRENCY_EQTY_200000801_PRI</vt:lpstr>
      <vt:lpstr>Ticker0001_Live_Sheet!L_CURRENCY_EQTY_200000801_PUB</vt:lpstr>
      <vt:lpstr>Ticker0001_Live_Sheet!L_CURRENCY_EQTY_200000801_REP</vt:lpstr>
      <vt:lpstr>Ticker0001_Live_Sheet!L_CURRENCY_ISSR_208000149_REP</vt:lpstr>
      <vt:lpstr>Ticker0001_Live_Sheet!L_ENTITY_DATA_EQTY_200000801</vt:lpstr>
      <vt:lpstr>Ticker0001_Live_Sheet!L_ENTITY_DATA_ISSR_208000149</vt:lpstr>
      <vt:lpstr>Ticker0001_Live_Sheet!L_KEYWORD_EQTY_200000801_AMER_CONVICTION</vt:lpstr>
      <vt:lpstr>Ticker0001_Live_Sheet!L_KEYWORD_EQTY_200000801_AMER_LIST</vt:lpstr>
      <vt:lpstr>Ticker0001_Live_Sheet!L_KEYWORD_EQTY_200000801_BETA_ANALYST</vt:lpstr>
      <vt:lpstr>Ticker0001_Live_Sheet!L_KEYWORD_EQTY_200000801_BVPS</vt:lpstr>
      <vt:lpstr>Ticker0001_Live_Sheet!L_KEYWORD_EQTY_200000801_BVPS_PUB</vt:lpstr>
      <vt:lpstr>Ticker0001_Live_Sheet!L_KEYWORD_EQTY_200000801_CEEE_EPS</vt:lpstr>
      <vt:lpstr>Ticker0001_Live_Sheet!L_KEYWORD_EQTY_200000801_CEEE_NDEBT</vt:lpstr>
      <vt:lpstr>Ticker0001_Live_Sheet!L_KEYWORD_EQTY_200000801_CF_NI_PRE_PREF</vt:lpstr>
      <vt:lpstr>Ticker0001_Live_Sheet!L_KEYWORD_EQTY_200000801_COMMON_DIV_PAID</vt:lpstr>
      <vt:lpstr>Ticker0001_Live_Sheet!L_KEYWORD_EQTY_200000801_CURRENCY_ISO</vt:lpstr>
      <vt:lpstr>Ticker0001_Live_Sheet!L_KEYWORD_EQTY_200000801_DILUTE_SHARES</vt:lpstr>
      <vt:lpstr>Ticker0001_Live_Sheet!L_KEYWORD_EQTY_200000801_DPS</vt:lpstr>
      <vt:lpstr>Ticker0001_Live_Sheet!L_KEYWORD_EQTY_200000801_DPS_PUB</vt:lpstr>
      <vt:lpstr>Ticker0001_Live_Sheet!L_KEYWORD_EQTY_200000801_DPS_SPECIAL_PUB</vt:lpstr>
      <vt:lpstr>Ticker0001_Live_Sheet!L_KEYWORD_EQTY_200000801_EBIT_PUB</vt:lpstr>
      <vt:lpstr>Ticker0001_Live_Sheet!L_KEYWORD_EQTY_200000801_EBITDA_PUB</vt:lpstr>
      <vt:lpstr>Ticker0001_Live_Sheet!L_KEYWORD_EQTY_200000801_EPS</vt:lpstr>
      <vt:lpstr>Ticker0001_Live_Sheet!L_KEYWORD_EQTY_200000801_EPS_EX_ESO_B</vt:lpstr>
      <vt:lpstr>Ticker0001_Live_Sheet!L_KEYWORD_EQTY_200000801_EPS_EX_ESO_D</vt:lpstr>
      <vt:lpstr>Ticker0001_Live_Sheet!L_KEYWORD_EQTY_200000801_EPS_FUL_DIL</vt:lpstr>
      <vt:lpstr>Ticker0001_Live_Sheet!L_KEYWORD_EQTY_200000801_EPS_POST_BASIC</vt:lpstr>
      <vt:lpstr>Ticker0001_Live_Sheet!L_KEYWORD_EQTY_200000801_EPS_PUB</vt:lpstr>
      <vt:lpstr>Ticker0001_Live_Sheet!L_KEYWORD_EQTY_200000801_EPS_PUB_EX_ESO</vt:lpstr>
      <vt:lpstr>Ticker0001_Live_Sheet!L_KEYWORD_EQTY_200000801_EQ_PUB</vt:lpstr>
      <vt:lpstr>Ticker0001_Live_Sheet!L_KEYWORD_EQTY_200000801_ESO_POST_TAX</vt:lpstr>
      <vt:lpstr>Ticker0001_Live_Sheet!L_KEYWORD_EQTY_200000801_ESO_YEAR</vt:lpstr>
      <vt:lpstr>Ticker0001_Live_Sheet!L_KEYWORD_EQTY_200000801_EV_ADJ_PUB</vt:lpstr>
      <vt:lpstr>Ticker0001_Live_Sheet!L_KEYWORD_EQTY_200000801_FREE_FLOAT</vt:lpstr>
      <vt:lpstr>Ticker0001_Live_Sheet!L_KEYWORD_EQTY_200000801_FULLY_DIL_EPS</vt:lpstr>
      <vt:lpstr>Ticker0001_Live_Sheet!L_KEYWORD_EQTY_200000801_FV_GRANT</vt:lpstr>
      <vt:lpstr>Ticker0001_Live_Sheet!L_KEYWORD_EQTY_200000801_INC_MINORITY</vt:lpstr>
      <vt:lpstr>Ticker0001_Live_Sheet!L_KEYWORD_EQTY_200000801_Interim_Type</vt:lpstr>
      <vt:lpstr>Ticker0001_Live_Sheet!L_KEYWORD_EQTY_200000801_LEGAL_RATING</vt:lpstr>
      <vt:lpstr>Ticker0001_Live_Sheet!L_KEYWORD_EQTY_200000801_MARGIN_TAX_RATE</vt:lpstr>
      <vt:lpstr>Ticker0001_Live_Sheet!L_KEYWORD_EQTY_200000801_MKT_EQ_RISK_PREM</vt:lpstr>
      <vt:lpstr>Ticker0001_Live_Sheet!L_KEYWORD_EQTY_200000801_NET_DEBT_EX_LEASES_PUB</vt:lpstr>
      <vt:lpstr>Ticker0001_Live_Sheet!L_KEYWORD_EQTY_200000801_NET_DEBT_PUB</vt:lpstr>
      <vt:lpstr>Ticker0001_Live_Sheet!L_KEYWORD_EQTY_200000801_NET_EARNING</vt:lpstr>
      <vt:lpstr>Ticker0001_Live_Sheet!L_KEYWORD_EQTY_200000801_NET_INC</vt:lpstr>
      <vt:lpstr>Ticker0001_Live_Sheet!L_KEYWORD_EQTY_200000801_NI_PRE_PREF</vt:lpstr>
      <vt:lpstr>Ticker0001_Live_Sheet!L_KEYWORD_EQTY_200000801_NI_PUB</vt:lpstr>
      <vt:lpstr>Ticker0001_Live_Sheet!L_KEYWORD_EQTY_200000801_NON_OP_ADD</vt:lpstr>
      <vt:lpstr>Ticker0001_Live_Sheet!L_KEYWORD_EQTY_200000801_NOT_IN_USE</vt:lpstr>
      <vt:lpstr>Ticker0001_Live_Sheet!L_KEYWORD_EQTY_200000801_NUM_SH</vt:lpstr>
      <vt:lpstr>Ticker0001_Live_Sheet!L_KEYWORD_EQTY_200000801_PREF_DIV</vt:lpstr>
      <vt:lpstr>Ticker0001_Live_Sheet!L_KEYWORD_EQTY_200000801_PRICE_CURRENCY_ISO</vt:lpstr>
      <vt:lpstr>Ticker0001_Live_Sheet!L_KEYWORD_EQTY_200000801_PROV_INC_TAX</vt:lpstr>
      <vt:lpstr>Ticker0001_Live_Sheet!L_KEYWORD_EQTY_200000801_PTP_PUB</vt:lpstr>
      <vt:lpstr>Ticker0001_Live_Sheet!L_KEYWORD_EQTY_200000801_PUB_CURRENCY_ISO</vt:lpstr>
      <vt:lpstr>Ticker0001_Live_Sheet!L_KEYWORD_EQTY_200000801_REPUR_ACTUAL</vt:lpstr>
      <vt:lpstr>Ticker0001_Live_Sheet!L_KEYWORD_EQTY_200000801_REPUR_REMAINING</vt:lpstr>
      <vt:lpstr>Ticker0001_Live_Sheet!L_KEYWORD_EQTY_200000801_REPUR_SUSPENDED</vt:lpstr>
      <vt:lpstr>Ticker0001_Live_Sheet!L_KEYWORD_EQTY_200000801_REPUR_TOT_AUTH</vt:lpstr>
      <vt:lpstr>Ticker0001_Live_Sheet!L_KEYWORD_EQTY_200000801_REVS_PUB</vt:lpstr>
      <vt:lpstr>Ticker0001_Live_Sheet!L_KEYWORD_EQTY_200000801_RISK_FR_RATE</vt:lpstr>
      <vt:lpstr>Ticker0001_Live_Sheet!L_KEYWORD_EQTY_200000801_Security_Name</vt:lpstr>
      <vt:lpstr>Ticker0001_Live_Sheet!L_KEYWORD_EQTY_200000801_SH</vt:lpstr>
      <vt:lpstr>Ticker0001_Live_Sheet!L_KEYWORD_EQTY_200000801_TARGET_PRICE</vt:lpstr>
      <vt:lpstr>Ticker0001_Live_Sheet!L_KEYWORD_EQTY_200000801_TARGET_PRICE_FUNDAMENTAL</vt:lpstr>
      <vt:lpstr>Ticker0001_Live_Sheet!L_KEYWORD_EQTY_200000801_TARGET_PRICE_MA</vt:lpstr>
      <vt:lpstr>Ticker0001_Live_Sheet!L_KEYWORD_EQTY_200000801_TAX_EXC</vt:lpstr>
      <vt:lpstr>Ticker0001_Live_Sheet!L_KEYWORD_EQTY_200000801_Ticker</vt:lpstr>
      <vt:lpstr>Ticker0001_Live_Sheet!L_KEYWORD_EQTY_200000801_TP_PERIOD</vt:lpstr>
      <vt:lpstr>Ticker0001_Live_Sheet!L_KEYWORD_ISSR_208000149_ACC_AMORT</vt:lpstr>
      <vt:lpstr>Ticker0001_Live_Sheet!L_KEYWORD_ISSR_208000149_ACC_DDA</vt:lpstr>
      <vt:lpstr>Ticker0001_Live_Sheet!L_KEYWORD_ISSR_208000149_ACC_END_DATE</vt:lpstr>
      <vt:lpstr>Ticker0001_Live_Sheet!L_KEYWORD_ISSR_208000149_ACC_PAY_GQ</vt:lpstr>
      <vt:lpstr>Ticker0001_Live_Sheet!L_KEYWORD_ISSR_208000149_ACQ</vt:lpstr>
      <vt:lpstr>Ticker0001_Live_Sheet!L_KEYWORD_ISSR_208000149_ADJ_UNF_PENS_GOOD</vt:lpstr>
      <vt:lpstr>Ticker0001_Live_Sheet!L_KEYWORD_ISSR_208000149_ASSOC_JV_ADDBK</vt:lpstr>
      <vt:lpstr>Ticker0001_Live_Sheet!L_KEYWORD_ISSR_208000149_ASSOCIATE</vt:lpstr>
      <vt:lpstr>Ticker0001_Live_Sheet!L_KEYWORD_ISSR_208000149_ASSOCIATE_OP</vt:lpstr>
      <vt:lpstr>Ticker0001_Live_Sheet!L_KEYWORD_ISSR_208000149_AVG_AGE_CUST</vt:lpstr>
      <vt:lpstr>Ticker0001_Live_Sheet!L_KEYWORD_ISSR_208000149_AVG_HSHLD_INC_CUST</vt:lpstr>
      <vt:lpstr>Ticker0001_Live_Sheet!L_KEYWORD_ISSR_208000149_BAL_MINO_INT</vt:lpstr>
      <vt:lpstr>Ticker0001_Live_Sheet!L_KEYWORD_ISSR_208000149_CAP_LEASES</vt:lpstr>
      <vt:lpstr>Ticker0001_Live_Sheet!L_KEYWORD_ISSR_208000149_CAPEX</vt:lpstr>
      <vt:lpstr>Ticker0001_Live_Sheet!L_KEYWORD_ISSR_208000149_CAPEX_EXPANSION</vt:lpstr>
      <vt:lpstr>Ticker0001_Live_Sheet!L_KEYWORD_ISSR_208000149_CAPEX_MAINTENANCE</vt:lpstr>
      <vt:lpstr>Ticker0001_Live_Sheet!L_KEYWORD_ISSR_208000149_CASH_EQ</vt:lpstr>
      <vt:lpstr>Ticker0001_Live_Sheet!L_KEYWORD_ISSR_208000149_CASH_INT_EXP</vt:lpstr>
      <vt:lpstr>Ticker0001_Live_Sheet!L_KEYWORD_ISSR_208000149_CASH_PCT_OS_US</vt:lpstr>
      <vt:lpstr>Ticker0001_Live_Sheet!L_KEYWORD_ISSR_208000149_CASH_TAX_EXP</vt:lpstr>
      <vt:lpstr>Ticker0001_Live_Sheet!L_KEYWORD_ISSR_208000149_CF_FIN</vt:lpstr>
      <vt:lpstr>Ticker0001_Live_Sheet!L_KEYWORD_ISSR_208000149_CF_INC_MINORITY</vt:lpstr>
      <vt:lpstr>Ticker0001_Live_Sheet!L_KEYWORD_ISSR_208000149_CF_INV</vt:lpstr>
      <vt:lpstr>Ticker0001_Live_Sheet!L_KEYWORD_ISSR_208000149_CF_OPS</vt:lpstr>
      <vt:lpstr>Ticker0001_Live_Sheet!L_KEYWORD_ISSR_208000149_CHG_DEF_TAX_CF</vt:lpstr>
      <vt:lpstr>Ticker0001_Live_Sheet!L_KEYWORD_ISSR_208000149_CHG_LT_DEBT</vt:lpstr>
      <vt:lpstr>Ticker0001_Live_Sheet!L_KEYWORD_ISSR_208000149_CO_BOR_MARGIN</vt:lpstr>
      <vt:lpstr>Ticker0001_Live_Sheet!L_KEYWORD_ISSR_208000149_COGS_PCT_ROW</vt:lpstr>
      <vt:lpstr>Ticker0001_Live_Sheet!L_KEYWORD_ISSR_208000149_COGS_PCT_US</vt:lpstr>
      <vt:lpstr>Ticker0001_Live_Sheet!L_KEYWORD_ISSR_208000149_COST_GD_SD</vt:lpstr>
      <vt:lpstr>Ticker0001_Live_Sheet!L_KEYWORD_ISSR_208000149_CUR_ASS</vt:lpstr>
      <vt:lpstr>Ticker0001_Live_Sheet!L_KEYWORD_ISSR_208000149_CURRENCY_ISO</vt:lpstr>
      <vt:lpstr>Ticker0001_Live_Sheet!L_KEYWORD_ISSR_208000149_DEBTORS</vt:lpstr>
      <vt:lpstr>Ticker0001_Live_Sheet!L_KEYWORD_ISSR_208000149_DEF_INC_TAX</vt:lpstr>
      <vt:lpstr>Ticker0001_Live_Sheet!L_KEYWORD_ISSR_208000149_DEPR_AMORT</vt:lpstr>
      <vt:lpstr>Ticker0001_Live_Sheet!L_KEYWORD_ISSR_208000149_DEPR_ROU_ASSETS</vt:lpstr>
      <vt:lpstr>Ticker0001_Live_Sheet!L_KEYWORD_ISSR_208000149_DEPREC</vt:lpstr>
      <vt:lpstr>Ticker0001_Live_Sheet!L_KEYWORD_ISSR_208000149_DIV_PAID</vt:lpstr>
      <vt:lpstr>Ticker0001_Live_Sheet!L_KEYWORD_ISSR_208000149_DIVDS_ASSOC_JV</vt:lpstr>
      <vt:lpstr>Ticker0001_Live_Sheet!L_KEYWORD_ISSR_208000149_DIVDS_PD_MINORITIES</vt:lpstr>
      <vt:lpstr>Ticker0001_Live_Sheet!L_KEYWORD_ISSR_208000149_DIVEST</vt:lpstr>
      <vt:lpstr>Ticker0001_Live_Sheet!L_KEYWORD_ISSR_208000149_EBIT</vt:lpstr>
      <vt:lpstr>Ticker0001_Live_Sheet!L_KEYWORD_ISSR_208000149_EBIT_FIN_SEGMENT</vt:lpstr>
      <vt:lpstr>Ticker0001_Live_Sheet!L_KEYWORD_ISSR_208000149_EBITDA_CALC</vt:lpstr>
      <vt:lpstr>Ticker0001_Live_Sheet!L_KEYWORD_ISSR_208000149_EMPLOYEES</vt:lpstr>
      <vt:lpstr>Ticker0001_Live_Sheet!L_KEYWORD_ISSR_208000149_EQ</vt:lpstr>
      <vt:lpstr>Ticker0001_Live_Sheet!L_KEYWORD_ISSR_208000149_ESO_PRE_TAX</vt:lpstr>
      <vt:lpstr>Ticker0001_Live_Sheet!L_KEYWORD_ISSR_208000149_EXP_GLASS</vt:lpstr>
      <vt:lpstr>Ticker0001_Live_Sheet!L_KEYWORD_ISSR_208000149_EXP_OIL_DERIV_NGLS_PLASTICS</vt:lpstr>
      <vt:lpstr>Ticker0001_Live_Sheet!L_KEYWORD_ISSR_208000149_EXP_OIL_PETRO_FUEL</vt:lpstr>
      <vt:lpstr>Ticker0001_Live_Sheet!L_KEYWORD_ISSR_208000149_EXP_OTH_COMMODITY</vt:lpstr>
      <vt:lpstr>Ticker0001_Live_Sheet!L_KEYWORD_ISSR_208000149_EXP_OTH_COST</vt:lpstr>
      <vt:lpstr>Ticker0001_Live_Sheet!L_KEYWORD_ISSR_208000149_EXP_PAPER_PULP</vt:lpstr>
      <vt:lpstr>Ticker0001_Live_Sheet!L_KEYWORD_ISSR_208000149_EXP_WATER</vt:lpstr>
      <vt:lpstr>Ticker0001_Live_Sheet!L_KEYWORD_ISSR_208000149_FIX_ASS_INV</vt:lpstr>
      <vt:lpstr>Ticker0001_Live_Sheet!L_KEYWORD_ISSR_208000149_FLOATING_PCT_LOCAL_DEBT</vt:lpstr>
      <vt:lpstr>Ticker0001_Live_Sheet!L_KEYWORD_ISSR_208000149_FLOATING_PCT_LOCAL_DEBT_HEDGED</vt:lpstr>
      <vt:lpstr>Ticker0001_Live_Sheet!L_KEYWORD_ISSR_208000149_FOREX</vt:lpstr>
      <vt:lpstr>Ticker0001_Live_Sheet!L_KEYWORD_ISSR_208000149_GCI_INFL</vt:lpstr>
      <vt:lpstr>Ticker0001_Live_Sheet!L_KEYWORD_ISSR_208000149_GOODWILL_AMORT</vt:lpstr>
      <vt:lpstr>Ticker0001_Live_Sheet!L_KEYWORD_ISSR_208000149_GR_FIX_ASS</vt:lpstr>
      <vt:lpstr>Ticker0001_Live_Sheet!L_KEYWORD_ISSR_208000149_GR_INTANG</vt:lpstr>
      <vt:lpstr>Ticker0001_Live_Sheet!L_KEYWORD_ISSR_208000149_INS_TOT_HOMEOWNERS_PIF_GRTH</vt:lpstr>
      <vt:lpstr>Ticker0001_Live_Sheet!L_KEYWORD_ISSR_208000149_INT_EXP_IND</vt:lpstr>
      <vt:lpstr>Ticker0001_Live_Sheet!L_KEYWORD_ISSR_208000149_INT_INC_IND</vt:lpstr>
      <vt:lpstr>Ticker0001_Live_Sheet!L_KEYWORD_ISSR_208000149_INV_SECUR</vt:lpstr>
      <vt:lpstr>Ticker0001_Live_Sheet!L_KEYWORD_ISSR_208000149_Issuer_Name</vt:lpstr>
      <vt:lpstr>Ticker0001_Live_Sheet!L_KEYWORD_ISSR_208000149_LEASE_ADOPT</vt:lpstr>
      <vt:lpstr>Ticker0001_Live_Sheet!L_KEYWORD_ISSR_208000149_LEASE_DEEM_DEPR</vt:lpstr>
      <vt:lpstr>Ticker0001_Live_Sheet!L_KEYWORD_ISSR_208000149_LEASE_DEEM_INT</vt:lpstr>
      <vt:lpstr>Ticker0001_Live_Sheet!L_KEYWORD_ISSR_208000149_LEASE_INT_CHG</vt:lpstr>
      <vt:lpstr>Ticker0001_Live_Sheet!L_KEYWORD_ISSR_208000149_LEASE_PAY</vt:lpstr>
      <vt:lpstr>Ticker0001_Live_Sheet!L_KEYWORD_ISSR_208000149_LEASE_PRINCIPAL_CASH</vt:lpstr>
      <vt:lpstr>Ticker0001_Live_Sheet!L_KEYWORD_ISSR_208000149_LT_DEBT</vt:lpstr>
      <vt:lpstr>Ticker0001_Live_Sheet!L_KEYWORD_ISSR_208000149_LT_LEASE_LIAB</vt:lpstr>
      <vt:lpstr>Ticker0001_Live_Sheet!L_KEYWORD_ISSR_208000149_MA_PROB</vt:lpstr>
      <vt:lpstr>Ticker0001_Live_Sheet!L_KEYWORD_ISSR_208000149_MINORITIES</vt:lpstr>
      <vt:lpstr>Ticker0001_Live_Sheet!L_KEYWORD_ISSR_208000149_MV_ASSOCIATES</vt:lpstr>
      <vt:lpstr>Ticker0001_Live_Sheet!L_KEYWORD_ISSR_208000149_NET_DEBT</vt:lpstr>
      <vt:lpstr>Ticker0001_Live_Sheet!L_KEYWORD_ISSR_208000149_NET_DEBT_ADJ</vt:lpstr>
      <vt:lpstr>Ticker0001_Live_Sheet!L_KEYWORD_ISSR_208000149_NET_FIX_ASS</vt:lpstr>
      <vt:lpstr>Ticker0001_Live_Sheet!L_KEYWORD_ISSR_208000149_NET_INT_CH</vt:lpstr>
      <vt:lpstr>Ticker0001_Live_Sheet!L_KEYWORD_ISSR_208000149_NET_INT_EXP</vt:lpstr>
      <vt:lpstr>Ticker0001_Live_Sheet!L_KEYWORD_ISSR_208000149_NET_INTANG</vt:lpstr>
      <vt:lpstr>Ticker0001_Live_Sheet!L_KEYWORD_ISSR_208000149_NET_OP_LOSS_CFWD</vt:lpstr>
      <vt:lpstr>Ticker0001_Live_Sheet!L_KEYWORD_ISSR_208000149_NONPPE_CAPEX</vt:lpstr>
      <vt:lpstr>Ticker0001_Live_Sheet!L_KEYWORD_ISSR_208000149_OP_COST</vt:lpstr>
      <vt:lpstr>Ticker0001_Live_Sheet!L_KEYWORD_ISSR_208000149_ORD_SH_FUND</vt:lpstr>
      <vt:lpstr>Ticker0001_Live_Sheet!L_KEYWORD_ISSR_208000149_OTH_ADJ_CASH_TAX</vt:lpstr>
      <vt:lpstr>Ticker0001_Live_Sheet!L_KEYWORD_ISSR_208000149_OTH_COST_INC</vt:lpstr>
      <vt:lpstr>Ticker0001_Live_Sheet!L_KEYWORD_ISSR_208000149_OTH_CUR_ASS</vt:lpstr>
      <vt:lpstr>Ticker0001_Live_Sheet!L_KEYWORD_ISSR_208000149_OTH_CUR_LIABS</vt:lpstr>
      <vt:lpstr>Ticker0001_Live_Sheet!L_KEYWORD_ISSR_208000149_OTH_DACF_ADJ</vt:lpstr>
      <vt:lpstr>Ticker0001_Live_Sheet!L_KEYWORD_ISSR_208000149_OTH_FIN_CF</vt:lpstr>
      <vt:lpstr>Ticker0001_Live_Sheet!L_KEYWORD_ISSR_208000149_OTH_GCI_ADJ</vt:lpstr>
      <vt:lpstr>Ticker0001_Live_Sheet!L_KEYWORD_ISSR_208000149_OTH_INV_CF</vt:lpstr>
      <vt:lpstr>Ticker0001_Live_Sheet!L_KEYWORD_ISSR_208000149_OTH_LT_ASS</vt:lpstr>
      <vt:lpstr>Ticker0001_Live_Sheet!L_KEYWORD_ISSR_208000149_OTH_LT_CRED_GQ</vt:lpstr>
      <vt:lpstr>Ticker0001_Live_Sheet!L_KEYWORD_ISSR_208000149_OTH_NONCASH_ADJ</vt:lpstr>
      <vt:lpstr>Ticker0001_Live_Sheet!L_KEYWORD_ISSR_208000149_OTH_OP_CF</vt:lpstr>
      <vt:lpstr>Ticker0001_Live_Sheet!L_KEYWORD_ISSR_208000149_OTH_OP_INC_EXP</vt:lpstr>
      <vt:lpstr>Ticker0001_Live_Sheet!L_KEYWORD_ISSR_208000149_PERIOD_MILESTONE</vt:lpstr>
      <vt:lpstr>Ticker0001_Live_Sheet!L_KEYWORD_ISSR_208000149_PL_SALE_ASSETS</vt:lpstr>
      <vt:lpstr>Ticker0001_Live_Sheet!L_KEYWORD_ISSR_208000149_PREF_SH</vt:lpstr>
      <vt:lpstr>Ticker0001_Live_Sheet!L_KEYWORD_ISSR_208000149_PROFIT_ON_DISP</vt:lpstr>
      <vt:lpstr>Ticker0001_Live_Sheet!L_KEYWORD_ISSR_208000149_PT_PROF</vt:lpstr>
      <vt:lpstr>Ticker0001_Live_Sheet!L_KEYWORD_ISSR_208000149_RD_EXP</vt:lpstr>
      <vt:lpstr>Ticker0001_Live_Sheet!L_KEYWORD_ISSR_208000149_REV_FIN_SEGMENT</vt:lpstr>
      <vt:lpstr>Ticker0001_Live_Sheet!L_KEYWORD_ISSR_208000149_REV_SEG1_NAME</vt:lpstr>
      <vt:lpstr>Ticker0001_Live_Sheet!L_KEYWORD_ISSR_208000149_REV_SEG1_VALUE</vt:lpstr>
      <vt:lpstr>Ticker0001_Live_Sheet!L_KEYWORD_ISSR_208000149_REV_SEG2_NAME</vt:lpstr>
      <vt:lpstr>Ticker0001_Live_Sheet!L_KEYWORD_ISSR_208000149_REV_SEG2_VALUE</vt:lpstr>
      <vt:lpstr>Ticker0001_Live_Sheet!L_KEYWORD_ISSR_208000149_REV_SEG3_NAME</vt:lpstr>
      <vt:lpstr>Ticker0001_Live_Sheet!L_KEYWORD_ISSR_208000149_REV_SEG3_VALUE</vt:lpstr>
      <vt:lpstr>Ticker0001_Live_Sheet!L_KEYWORD_ISSR_208000149_REV_SEG4_NAME</vt:lpstr>
      <vt:lpstr>Ticker0001_Live_Sheet!L_KEYWORD_ISSR_208000149_REV_SEG4_VALUE</vt:lpstr>
      <vt:lpstr>Ticker0001_Live_Sheet!L_KEYWORD_ISSR_208000149_ROU_ASSET</vt:lpstr>
      <vt:lpstr>Ticker0001_Live_Sheet!L_KEYWORD_ISSR_208000149_SALES</vt:lpstr>
      <vt:lpstr>Ticker0001_Live_Sheet!L_KEYWORD_ISSR_208000149_SALES_ARGENTINA</vt:lpstr>
      <vt:lpstr>Ticker0001_Live_Sheet!L_KEYWORD_ISSR_208000149_SALES_AUSTRA</vt:lpstr>
      <vt:lpstr>Ticker0001_Live_Sheet!L_KEYWORD_ISSR_208000149_SALES_AUSTRIA</vt:lpstr>
      <vt:lpstr>Ticker0001_Live_Sheet!L_KEYWORD_ISSR_208000149_SALES_COMPANY0377</vt:lpstr>
      <vt:lpstr>Ticker0001_Live_Sheet!L_KEYWORD_ISSR_208000149_SALES_BRAZIL</vt:lpstr>
      <vt:lpstr>Ticker0001_Live_Sheet!L_KEYWORD_ISSR_208000149_SALES_CANADA</vt:lpstr>
      <vt:lpstr>Ticker0001_Live_Sheet!L_KEYWORD_ISSR_208000149_SALES_CEE</vt:lpstr>
      <vt:lpstr>Ticker0001_Live_Sheet!L_KEYWORD_ISSR_208000149_SALES_CHILE</vt:lpstr>
      <vt:lpstr>Ticker0001_Live_Sheet!L_KEYWORD_ISSR_208000149_SALES_CHINA</vt:lpstr>
      <vt:lpstr>Ticker0001_Live_Sheet!L_KEYWORD_ISSR_208000149_SALES_COLOMBIA</vt:lpstr>
      <vt:lpstr>Ticker0001_Live_Sheet!L_KEYWORD_ISSR_208000149_SALES_CONS</vt:lpstr>
      <vt:lpstr>Ticker0001_Live_Sheet!L_KEYWORD_ISSR_208000149_SALES_EU_EX_UK</vt:lpstr>
      <vt:lpstr>Ticker0001_Live_Sheet!L_KEYWORD_ISSR_208000149_SALES_FINAN</vt:lpstr>
      <vt:lpstr>Ticker0001_Live_Sheet!L_KEYWORD_ISSR_208000149_SALES_FRA</vt:lpstr>
      <vt:lpstr>Ticker0001_Live_Sheet!L_KEYWORD_ISSR_208000149_SALES_FX_ARS</vt:lpstr>
      <vt:lpstr>Ticker0001_Live_Sheet!L_KEYWORD_ISSR_208000149_SALES_FX_BRL</vt:lpstr>
      <vt:lpstr>Ticker0001_Live_Sheet!L_KEYWORD_ISSR_208000149_SALES_FX_CAD</vt:lpstr>
      <vt:lpstr>Ticker0001_Live_Sheet!L_KEYWORD_ISSR_208000149_SALES_FX_CLP</vt:lpstr>
      <vt:lpstr>Ticker0001_Live_Sheet!L_KEYWORD_ISSR_208000149_SALES_FX_CNY</vt:lpstr>
      <vt:lpstr>Ticker0001_Live_Sheet!L_KEYWORD_ISSR_208000149_SALES_FX_COP</vt:lpstr>
      <vt:lpstr>Ticker0001_Live_Sheet!L_KEYWORD_ISSR_208000149_SALES_FX_EUR</vt:lpstr>
      <vt:lpstr>Ticker0001_Live_Sheet!L_KEYWORD_ISSR_208000149_SALES_FX_GPB</vt:lpstr>
      <vt:lpstr>Ticker0001_Live_Sheet!L_KEYWORD_ISSR_208000149_SALES_FX_INR</vt:lpstr>
      <vt:lpstr>Ticker0001_Live_Sheet!L_KEYWORD_ISSR_208000149_SALES_FX_MXN</vt:lpstr>
      <vt:lpstr>Ticker0001_Live_Sheet!L_KEYWORD_ISSR_208000149_SALES_FX_OTH</vt:lpstr>
      <vt:lpstr>Ticker0001_Live_Sheet!L_KEYWORD_ISSR_208000149_SALES_FX_RUB</vt:lpstr>
      <vt:lpstr>Ticker0001_Live_Sheet!L_KEYWORD_ISSR_208000149_SALES_FX_USD</vt:lpstr>
      <vt:lpstr>Ticker0001_Live_Sheet!L_KEYWORD_ISSR_208000149_SALES_FX_VEF</vt:lpstr>
      <vt:lpstr>Ticker0001_Live_Sheet!L_KEYWORD_ISSR_208000149_SALES_FX_YEN</vt:lpstr>
      <vt:lpstr>Ticker0001_Live_Sheet!L_KEYWORD_ISSR_208000149_SALES_GER</vt:lpstr>
      <vt:lpstr>Ticker0001_Live_Sheet!L_KEYWORD_ISSR_208000149_SALES_GOV</vt:lpstr>
      <vt:lpstr>Ticker0001_Live_Sheet!L_KEYWORD_ISSR_208000149_SALES_GRE</vt:lpstr>
      <vt:lpstr>Ticker0001_Live_Sheet!L_KEYWORD_ISSR_208000149_SALES_HONG_KONG</vt:lpstr>
      <vt:lpstr>Ticker0001_Live_Sheet!L_KEYWORD_ISSR_208000149_SALES_IND</vt:lpstr>
      <vt:lpstr>Ticker0001_Live_Sheet!L_KEYWORD_ISSR_208000149_SALES_INDIA</vt:lpstr>
      <vt:lpstr>Ticker0001_Live_Sheet!L_KEYWORD_ISSR_208000149_SALES_INDONESIA</vt:lpstr>
      <vt:lpstr>Ticker0001_Live_Sheet!L_KEYWORD_ISSR_208000149_SALES_IRE</vt:lpstr>
      <vt:lpstr>Ticker0001_Live_Sheet!L_KEYWORD_ISSR_208000149_SALES_ITA</vt:lpstr>
      <vt:lpstr>Ticker0001_Live_Sheet!L_KEYWORD_ISSR_208000149_SALES_JAPAN</vt:lpstr>
      <vt:lpstr>Ticker0001_Live_Sheet!L_KEYWORD_ISSR_208000149_SALES_ME</vt:lpstr>
      <vt:lpstr>Ticker0001_Live_Sheet!L_KEYWORD_ISSR_208000149_SALES_MEXICO</vt:lpstr>
      <vt:lpstr>Ticker0001_Live_Sheet!L_KEYWORD_ISSR_208000149_SALES_NETH</vt:lpstr>
      <vt:lpstr>Ticker0001_Live_Sheet!L_KEYWORD_ISSR_208000149_SALES_NIGERIA</vt:lpstr>
      <vt:lpstr>Ticker0001_Live_Sheet!L_KEYWORD_ISSR_208000149_SALES_NOR</vt:lpstr>
      <vt:lpstr>Ticker0001_Live_Sheet!L_KEYWORD_ISSR_208000149_SALES_NZ</vt:lpstr>
      <vt:lpstr>Ticker0001_Live_Sheet!L_KEYWORD_ISSR_208000149_SALES_OIL_GAS</vt:lpstr>
      <vt:lpstr>Ticker0001_Live_Sheet!L_KEYWORD_ISSR_208000149_SALES_OTH_AEJ</vt:lpstr>
      <vt:lpstr>Ticker0001_Live_Sheet!L_KEYWORD_ISSR_208000149_SALES_OTH_AFRICA</vt:lpstr>
      <vt:lpstr>Ticker0001_Live_Sheet!L_KEYWORD_ISSR_208000149_SALES_OTH_AM</vt:lpstr>
      <vt:lpstr>Ticker0001_Live_Sheet!L_KEYWORD_ISSR_208000149_SALES_OTH_CEE</vt:lpstr>
      <vt:lpstr>Ticker0001_Live_Sheet!L_KEYWORD_ISSR_208000149_SALES_OTH_DEV_ASIA</vt:lpstr>
      <vt:lpstr>Ticker0001_Live_Sheet!L_KEYWORD_ISSR_208000149_SALES_OTH_EMEA</vt:lpstr>
      <vt:lpstr>Ticker0001_Live_Sheet!L_KEYWORD_ISSR_208000149_SALES_OTH_EMERG_ASIA</vt:lpstr>
      <vt:lpstr>Ticker0001_Live_Sheet!L_KEYWORD_ISSR_208000149_SALES_OTH_LATAM</vt:lpstr>
      <vt:lpstr>Ticker0001_Live_Sheet!L_KEYWORD_ISSR_208000149_SALES_OTH_ME</vt:lpstr>
      <vt:lpstr>Ticker0001_Live_Sheet!L_KEYWORD_ISSR_208000149_SALES_OTH_NO_AMER</vt:lpstr>
      <vt:lpstr>Ticker0001_Live_Sheet!L_KEYWORD_ISSR_208000149_SALES_OTH_WEST_EURO</vt:lpstr>
      <vt:lpstr>Ticker0001_Live_Sheet!L_KEYWORD_ISSR_208000149_SALES_OTHER</vt:lpstr>
      <vt:lpstr>Ticker0001_Live_Sheet!L_KEYWORD_ISSR_208000149_SALES_POLAND</vt:lpstr>
      <vt:lpstr>Ticker0001_Live_Sheet!L_KEYWORD_ISSR_208000149_SALES_POR</vt:lpstr>
      <vt:lpstr>Ticker0001_Live_Sheet!L_KEYWORD_ISSR_208000149_SALES_RUSSIA</vt:lpstr>
      <vt:lpstr>Ticker0001_Live_Sheet!L_KEYWORD_ISSR_208000149_SALES_SAUDI_ARABIA</vt:lpstr>
      <vt:lpstr>Ticker0001_Live_Sheet!L_KEYWORD_ISSR_208000149_SALES_SINGAPORE</vt:lpstr>
      <vt:lpstr>Ticker0001_Live_Sheet!L_KEYWORD_ISSR_208000149_SALES_SK</vt:lpstr>
      <vt:lpstr>Ticker0001_Live_Sheet!L_KEYWORD_ISSR_208000149_SALES_SMB</vt:lpstr>
      <vt:lpstr>Ticker0001_Live_Sheet!L_KEYWORD_ISSR_208000149_SALES_SO_AFRICA</vt:lpstr>
      <vt:lpstr>Ticker0001_Live_Sheet!L_KEYWORD_ISSR_208000149_SALES_SPA</vt:lpstr>
      <vt:lpstr>Ticker0001_Live_Sheet!L_KEYWORD_ISSR_208000149_SALES_SWE</vt:lpstr>
      <vt:lpstr>Ticker0001_Live_Sheet!L_KEYWORD_ISSR_208000149_SALES_SWIT</vt:lpstr>
      <vt:lpstr>Ticker0001_Live_Sheet!L_KEYWORD_ISSR_208000149_SALES_TAIWAN</vt:lpstr>
      <vt:lpstr>Ticker0001_Live_Sheet!L_KEYWORD_ISSR_208000149_SALES_THAILAND</vt:lpstr>
      <vt:lpstr>Ticker0001_Live_Sheet!L_KEYWORD_ISSR_208000149_SALES_TOT_AFRICA</vt:lpstr>
      <vt:lpstr>Ticker0001_Live_Sheet!L_KEYWORD_ISSR_208000149_SALES_TOT_AM</vt:lpstr>
      <vt:lpstr>Ticker0001_Live_Sheet!L_KEYWORD_ISSR_208000149_SALES_TOT_ASIA</vt:lpstr>
      <vt:lpstr>Ticker0001_Live_Sheet!L_KEYWORD_ISSR_208000149_SALES_TOT_EMEA</vt:lpstr>
      <vt:lpstr>Ticker0001_Live_Sheet!L_KEYWORD_ISSR_208000149_SALES_TURKEY</vt:lpstr>
      <vt:lpstr>Ticker0001_Live_Sheet!L_KEYWORD_ISSR_208000149_SALES_UAE</vt:lpstr>
      <vt:lpstr>Ticker0001_Live_Sheet!L_KEYWORD_ISSR_208000149_SALES_UK</vt:lpstr>
      <vt:lpstr>Ticker0001_Live_Sheet!L_KEYWORD_ISSR_208000149_SALES_US</vt:lpstr>
      <vt:lpstr>Ticker0001_Live_Sheet!L_KEYWORD_ISSR_208000149_SALES_VENEZUELA</vt:lpstr>
      <vt:lpstr>Ticker0001_Live_Sheet!L_KEYWORD_ISSR_208000149_SEL_GL_AD</vt:lpstr>
      <vt:lpstr>Ticker0001_Live_Sheet!L_KEYWORD_ISSR_208000149_SGA_PCT_ROW</vt:lpstr>
      <vt:lpstr>Ticker0001_Live_Sheet!L_KEYWORD_ISSR_208000149_SGA_PCT_US</vt:lpstr>
      <vt:lpstr>Ticker0001_Live_Sheet!L_KEYWORD_ISSR_208000149_SH_REPUR</vt:lpstr>
      <vt:lpstr>Ticker0001_Live_Sheet!L_KEYWORD_ISSR_208000149_SHORT_T_DEBT</vt:lpstr>
      <vt:lpstr>Ticker0001_Live_Sheet!L_KEYWORD_ISSR_208000149_SHORT_TERM_LIABS</vt:lpstr>
      <vt:lpstr>Ticker0001_Live_Sheet!L_KEYWORD_ISSR_208000149_ST_LEASE_LIAB</vt:lpstr>
      <vt:lpstr>Ticker0001_Live_Sheet!L_KEYWORD_ISSR_208000149_STOCKS</vt:lpstr>
      <vt:lpstr>Ticker0001_Live_Sheet!L_KEYWORD_ISSR_208000149_TOT_ASSET</vt:lpstr>
      <vt:lpstr>Ticker0001_Live_Sheet!L_KEYWORD_ISSR_208000149_TOT_CF</vt:lpstr>
      <vt:lpstr>Ticker0001_Live_Sheet!L_KEYWORD_ISSR_208000149_TOT_LIAB</vt:lpstr>
      <vt:lpstr>Ticker0001_Live_Sheet!L_KEYWORD_ISSR_208000149_TOT_LIAB_EQ</vt:lpstr>
      <vt:lpstr>Ticker0001_Live_Sheet!L_KEYWORD_ISSR_208000149_TOT_LT_LIAB</vt:lpstr>
      <vt:lpstr>Ticker0001_Live_Sheet!L_KEYWORD_ISSR_208000149_TOT_OPS_EXP</vt:lpstr>
      <vt:lpstr>Ticker0001_Live_Sheet!L_KEYWORD_ISSR_208000149_TOT_OPS_EXP_DDA</vt:lpstr>
      <vt:lpstr>Ticker0001_Live_Sheet!L_KEYWORD_ISSR_208000149_TOT_PCT_USD_DEBT_HEDGED</vt:lpstr>
      <vt:lpstr>Ticker0001_Live_Sheet!L_KEYWORD_ISSR_208000149_TOT_USD_DEBT</vt:lpstr>
      <vt:lpstr>Ticker0001_Live_Sheet!L_KEYWORD_ISSR_208000149_UNF_PENS</vt:lpstr>
      <vt:lpstr>Ticker0001_Live_Sheet!L_KEYWORD_ISSR_208000149_UNF_PENS_LIAB_OTH</vt:lpstr>
      <vt:lpstr>Ticker0001_Live_Sheet!L_KEYWORD_ISSR_208000149_UNF_PENS_OFF</vt:lpstr>
      <vt:lpstr>Ticker0001_Live_Sheet!L_KEYWORD_ISSR_208000149_WORK_CAP</vt:lpstr>
      <vt:lpstr>Ticker0001_Live_Sheet!L_LIVEDATA_EQTY_200000801</vt:lpstr>
      <vt:lpstr>Ticker0001_Live_Sheet!L_LIVEDATA_ISSR_208000149</vt:lpstr>
      <vt:lpstr>Ticker0001_Live_Sheet!L_PERIOD_2000</vt:lpstr>
      <vt:lpstr>Ticker0001_Live_Sheet!L_PERIOD_2000_Q1</vt:lpstr>
      <vt:lpstr>Ticker0001_Live_Sheet!L_PERIOD_2000_Q2</vt:lpstr>
      <vt:lpstr>Ticker0001_Live_Sheet!L_PERIOD_2000_Q3</vt:lpstr>
      <vt:lpstr>Ticker0001_Live_Sheet!L_PERIOD_2000_Q4</vt:lpstr>
      <vt:lpstr>Ticker0001_Live_Sheet!L_PERIOD_2001</vt:lpstr>
      <vt:lpstr>Ticker0001_Live_Sheet!L_PERIOD_2001_Q1</vt:lpstr>
      <vt:lpstr>Ticker0001_Live_Sheet!L_PERIOD_2001_Q2</vt:lpstr>
      <vt:lpstr>Ticker0001_Live_Sheet!L_PERIOD_2001_Q3</vt:lpstr>
      <vt:lpstr>Ticker0001_Live_Sheet!L_PERIOD_2001_Q4</vt:lpstr>
      <vt:lpstr>Ticker0001_Live_Sheet!L_PERIOD_2002</vt:lpstr>
      <vt:lpstr>Ticker0001_Live_Sheet!L_PERIOD_2002_Q1</vt:lpstr>
      <vt:lpstr>Ticker0001_Live_Sheet!L_PERIOD_2002_Q2</vt:lpstr>
      <vt:lpstr>Ticker0001_Live_Sheet!L_PERIOD_2002_Q3</vt:lpstr>
      <vt:lpstr>Ticker0001_Live_Sheet!L_PERIOD_2002_Q4</vt:lpstr>
      <vt:lpstr>Ticker0001_Live_Sheet!L_PERIOD_2003</vt:lpstr>
      <vt:lpstr>Ticker0001_Live_Sheet!L_PERIOD_2003_Q1</vt:lpstr>
      <vt:lpstr>Ticker0001_Live_Sheet!L_PERIOD_2003_Q2</vt:lpstr>
      <vt:lpstr>Ticker0001_Live_Sheet!L_PERIOD_2003_Q3</vt:lpstr>
      <vt:lpstr>Ticker0001_Live_Sheet!L_PERIOD_2003_Q4</vt:lpstr>
      <vt:lpstr>Ticker0001_Live_Sheet!L_PERIOD_2004</vt:lpstr>
      <vt:lpstr>Ticker0001_Live_Sheet!L_PERIOD_2004_Q1</vt:lpstr>
      <vt:lpstr>Ticker0001_Live_Sheet!L_PERIOD_2004_Q2</vt:lpstr>
      <vt:lpstr>Ticker0001_Live_Sheet!L_PERIOD_2004_Q3</vt:lpstr>
      <vt:lpstr>Ticker0001_Live_Sheet!L_PERIOD_2004_Q4</vt:lpstr>
      <vt:lpstr>Ticker0001_Live_Sheet!L_PERIOD_2005</vt:lpstr>
      <vt:lpstr>Ticker0001_Live_Sheet!L_PERIOD_2005_Q1</vt:lpstr>
      <vt:lpstr>Ticker0001_Live_Sheet!L_PERIOD_2005_Q2</vt:lpstr>
      <vt:lpstr>Ticker0001_Live_Sheet!L_PERIOD_2005_Q3</vt:lpstr>
      <vt:lpstr>Ticker0001_Live_Sheet!L_PERIOD_2005_Q4</vt:lpstr>
      <vt:lpstr>Ticker0001_Live_Sheet!L_PERIOD_2006</vt:lpstr>
      <vt:lpstr>Ticker0001_Live_Sheet!L_PERIOD_2006_Q1</vt:lpstr>
      <vt:lpstr>Ticker0001_Live_Sheet!L_PERIOD_2006_Q2</vt:lpstr>
      <vt:lpstr>Ticker0001_Live_Sheet!L_PERIOD_2006_Q3</vt:lpstr>
      <vt:lpstr>Ticker0001_Live_Sheet!L_PERIOD_2006_Q4</vt:lpstr>
      <vt:lpstr>Ticker0001_Live_Sheet!L_PERIOD_2007</vt:lpstr>
      <vt:lpstr>Ticker0001_Live_Sheet!L_PERIOD_2007_Q1</vt:lpstr>
      <vt:lpstr>Ticker0001_Live_Sheet!L_PERIOD_2007_Q2</vt:lpstr>
      <vt:lpstr>Ticker0001_Live_Sheet!L_PERIOD_2007_Q3</vt:lpstr>
      <vt:lpstr>Ticker0001_Live_Sheet!L_PERIOD_2007_Q4</vt:lpstr>
      <vt:lpstr>Ticker0001_Live_Sheet!L_PERIOD_2008</vt:lpstr>
      <vt:lpstr>Ticker0001_Live_Sheet!L_PERIOD_2008_Q1</vt:lpstr>
      <vt:lpstr>Ticker0001_Live_Sheet!L_PERIOD_2008_Q2</vt:lpstr>
      <vt:lpstr>Ticker0001_Live_Sheet!L_PERIOD_2008_Q3</vt:lpstr>
      <vt:lpstr>Ticker0001_Live_Sheet!L_PERIOD_2008_Q4</vt:lpstr>
      <vt:lpstr>Ticker0001_Live_Sheet!L_PERIOD_2009</vt:lpstr>
      <vt:lpstr>Ticker0001_Live_Sheet!L_PERIOD_2009_Q1</vt:lpstr>
      <vt:lpstr>Ticker0001_Live_Sheet!L_PERIOD_2009_Q2</vt:lpstr>
      <vt:lpstr>Ticker0001_Live_Sheet!L_PERIOD_2009_Q3</vt:lpstr>
      <vt:lpstr>Ticker0001_Live_Sheet!L_PERIOD_2009_Q4</vt:lpstr>
      <vt:lpstr>Ticker0001_Live_Sheet!L_PERIOD_2010</vt:lpstr>
      <vt:lpstr>Ticker0001_Live_Sheet!L_PERIOD_2010_Q1</vt:lpstr>
      <vt:lpstr>Ticker0001_Live_Sheet!L_PERIOD_2010_Q2</vt:lpstr>
      <vt:lpstr>Ticker0001_Live_Sheet!L_PERIOD_2010_Q3</vt:lpstr>
      <vt:lpstr>Ticker0001_Live_Sheet!L_PERIOD_2010_Q4</vt:lpstr>
      <vt:lpstr>Ticker0001_Live_Sheet!L_PERIOD_2011</vt:lpstr>
      <vt:lpstr>Ticker0001_Live_Sheet!L_PERIOD_2011_Q1</vt:lpstr>
      <vt:lpstr>Ticker0001_Live_Sheet!L_PERIOD_2011_Q2</vt:lpstr>
      <vt:lpstr>Ticker0001_Live_Sheet!L_PERIOD_2011_Q3</vt:lpstr>
      <vt:lpstr>Ticker0001_Live_Sheet!L_PERIOD_2011_Q4</vt:lpstr>
      <vt:lpstr>Ticker0001_Live_Sheet!L_PERIOD_2012</vt:lpstr>
      <vt:lpstr>Ticker0001_Live_Sheet!L_PERIOD_2012_Q1</vt:lpstr>
      <vt:lpstr>Ticker0001_Live_Sheet!L_PERIOD_2012_Q2</vt:lpstr>
      <vt:lpstr>Ticker0001_Live_Sheet!L_PERIOD_2012_Q3</vt:lpstr>
      <vt:lpstr>Ticker0001_Live_Sheet!L_PERIOD_2012_Q4</vt:lpstr>
      <vt:lpstr>Ticker0001_Live_Sheet!L_PERIOD_2013</vt:lpstr>
      <vt:lpstr>Ticker0001_Live_Sheet!L_PERIOD_2013_Q1</vt:lpstr>
      <vt:lpstr>Ticker0001_Live_Sheet!L_PERIOD_2013_Q2</vt:lpstr>
      <vt:lpstr>Ticker0001_Live_Sheet!L_PERIOD_2013_Q3</vt:lpstr>
      <vt:lpstr>Ticker0001_Live_Sheet!L_PERIOD_2013_Q4</vt:lpstr>
      <vt:lpstr>Ticker0001_Live_Sheet!L_PERIOD_2014</vt:lpstr>
      <vt:lpstr>Ticker0001_Live_Sheet!L_PERIOD_2014_Q1</vt:lpstr>
      <vt:lpstr>Ticker0001_Live_Sheet!L_PERIOD_2014_Q2</vt:lpstr>
      <vt:lpstr>Ticker0001_Live_Sheet!L_PERIOD_2014_Q3</vt:lpstr>
      <vt:lpstr>Ticker0001_Live_Sheet!L_PERIOD_2014_Q4</vt:lpstr>
      <vt:lpstr>Ticker0001_Live_Sheet!L_PERIOD_2015</vt:lpstr>
      <vt:lpstr>Ticker0001_Live_Sheet!L_PERIOD_2015_Q1</vt:lpstr>
      <vt:lpstr>Ticker0001_Live_Sheet!L_PERIOD_2015_Q2</vt:lpstr>
      <vt:lpstr>Ticker0001_Live_Sheet!L_PERIOD_2015_Q3</vt:lpstr>
      <vt:lpstr>Ticker0001_Live_Sheet!L_PERIOD_2015_Q4</vt:lpstr>
      <vt:lpstr>Ticker0001_Live_Sheet!L_PERIOD_2016</vt:lpstr>
      <vt:lpstr>Ticker0001_Live_Sheet!L_PERIOD_2016_Q1</vt:lpstr>
      <vt:lpstr>Ticker0001_Live_Sheet!L_PERIOD_2016_Q2</vt:lpstr>
      <vt:lpstr>Ticker0001_Live_Sheet!L_PERIOD_2016_Q3</vt:lpstr>
      <vt:lpstr>Ticker0001_Live_Sheet!L_PERIOD_2016_Q4</vt:lpstr>
      <vt:lpstr>Ticker0001_Live_Sheet!L_PERIOD_2017</vt:lpstr>
      <vt:lpstr>Ticker0001_Live_Sheet!L_PERIOD_2017_Q1</vt:lpstr>
      <vt:lpstr>Ticker0001_Live_Sheet!L_PERIOD_2017_Q2</vt:lpstr>
      <vt:lpstr>Ticker0001_Live_Sheet!L_PERIOD_2017_Q3</vt:lpstr>
      <vt:lpstr>Ticker0001_Live_Sheet!L_PERIOD_2017_Q4</vt:lpstr>
      <vt:lpstr>Ticker0001_Live_Sheet!L_PERIOD_2018</vt:lpstr>
      <vt:lpstr>Ticker0001_Live_Sheet!L_PERIOD_2018_Q1</vt:lpstr>
      <vt:lpstr>Ticker0001_Live_Sheet!L_PERIOD_2018_Q2</vt:lpstr>
      <vt:lpstr>Ticker0001_Live_Sheet!L_PERIOD_2018_Q3</vt:lpstr>
      <vt:lpstr>Ticker0001_Live_Sheet!L_PERIOD_2018_Q4</vt:lpstr>
      <vt:lpstr>Ticker0001_Live_Sheet!L_PERIOD_2019</vt:lpstr>
      <vt:lpstr>Ticker0001_Live_Sheet!L_PERIOD_2019_Q1</vt:lpstr>
      <vt:lpstr>Ticker0001_Live_Sheet!L_PERIOD_2019_Q2</vt:lpstr>
      <vt:lpstr>Ticker0001_Live_Sheet!L_PERIOD_2019_Q3</vt:lpstr>
      <vt:lpstr>Ticker0001_Live_Sheet!L_PERIOD_2019_Q4</vt:lpstr>
      <vt:lpstr>Ticker0001_Live_Sheet!L_PERIOD_2020</vt:lpstr>
      <vt:lpstr>Ticker0001_Live_Sheet!L_PERIOD_2020_Q1</vt:lpstr>
      <vt:lpstr>Ticker0001_Live_Sheet!L_PERIOD_2020_Q2</vt:lpstr>
      <vt:lpstr>Ticker0001_Live_Sheet!L_PERIOD_2020_Q3</vt:lpstr>
      <vt:lpstr>Ticker0001_Live_Sheet!L_PERIOD_2020_Q4</vt:lpstr>
      <vt:lpstr>Ticker0001_Live_Sheet!L_PERIOD_2021</vt:lpstr>
      <vt:lpstr>Ticker0001_Live_Sheet!L_PERIOD_2021_Q1</vt:lpstr>
      <vt:lpstr>Ticker0001_Live_Sheet!L_PERIOD_2021_Q2</vt:lpstr>
      <vt:lpstr>Ticker0001_Live_Sheet!L_PERIOD_2021_Q3</vt:lpstr>
      <vt:lpstr>Ticker0001_Live_Sheet!L_PERIOD_2021_Q4</vt:lpstr>
      <vt:lpstr>Ticker0001_Live_Sheet!L_PERIOD_2022</vt:lpstr>
      <vt:lpstr>Ticker0001_Live_Sheet!L_PERIOD_2022_Q1</vt:lpstr>
      <vt:lpstr>Ticker0001_Live_Sheet!L_PERIOD_2022_Q2</vt:lpstr>
      <vt:lpstr>Ticker0001_Live_Sheet!L_PERIOD_2022_Q3</vt:lpstr>
      <vt:lpstr>Ticker0001_Live_Sheet!L_PERIOD_2022_Q4</vt:lpstr>
      <vt:lpstr>Ticker0001_Live_Sheet!L_PERIOD_2023</vt:lpstr>
      <vt:lpstr>Ticker0001_Live_Sheet!L_PERIOD_2023_Q1</vt:lpstr>
      <vt:lpstr>Ticker0001_Live_Sheet!L_PERIOD_2023_Q2</vt:lpstr>
      <vt:lpstr>Ticker0001_Live_Sheet!L_PERIOD_2023_Q3</vt:lpstr>
      <vt:lpstr>Ticker0001_Live_Sheet!L_PERIOD_2023_Q4</vt:lpstr>
      <vt:lpstr>Ticker0001_Live_Sheet!L_PERIOD_2024</vt:lpstr>
      <vt:lpstr>Ticker0001_Live_Sheet!L_PERIOD_2024_Q1</vt:lpstr>
      <vt:lpstr>Ticker0001_Live_Sheet!L_PERIOD_2024_Q2</vt:lpstr>
      <vt:lpstr>Ticker0001_Live_Sheet!L_PERIOD_2024_Q3</vt:lpstr>
      <vt:lpstr>Ticker0001_Live_Sheet!L_PERIOD_2024_Q4</vt:lpstr>
      <vt:lpstr>Ticker0001_Live_Sheet!L_PERIOD_2025</vt:lpstr>
      <vt:lpstr>Ticker0001_Live_Sheet!L_PERIOD_2025_Q1</vt:lpstr>
      <vt:lpstr>Ticker0001_Live_Sheet!L_PERIOD_2025_Q2</vt:lpstr>
      <vt:lpstr>Ticker0001_Live_Sheet!L_PERIOD_2025_Q3</vt:lpstr>
      <vt:lpstr>Ticker0001_Live_Sheet!L_PERIOD_2025_Q4</vt:lpstr>
      <vt:lpstr>Ticker0001_Live_Sheet!L_PERIOD_2026</vt:lpstr>
      <vt:lpstr>Ticker0001_Live_Sheet!L_PERIOD_2026_Q1</vt:lpstr>
      <vt:lpstr>Ticker0001_Live_Sheet!L_PERIOD_2026_Q2</vt:lpstr>
      <vt:lpstr>Ticker0001_Live_Sheet!L_PERIOD_2026_Q3</vt:lpstr>
      <vt:lpstr>Ticker0001_Live_Sheet!L_PERIOD_2026_Q4</vt:lpstr>
      <vt:lpstr>Ticker0001_Live_Sheet!L_PERIOD_2027</vt:lpstr>
      <vt:lpstr>Ticker0001_Live_Sheet!L_PERIOD_2027_Q1</vt:lpstr>
      <vt:lpstr>Ticker0001_Live_Sheet!L_PERIOD_2027_Q2</vt:lpstr>
      <vt:lpstr>Ticker0001_Live_Sheet!L_PERIOD_2027_Q3</vt:lpstr>
      <vt:lpstr>Ticker0001_Live_Sheet!L_PERIOD_2027_Q4</vt:lpstr>
      <vt:lpstr>Ticker0001_Live_Sheet!L_PERIOD_2028</vt:lpstr>
      <vt:lpstr>Ticker0001_Live_Sheet!L_PERIOD_2028_Q1</vt:lpstr>
      <vt:lpstr>Ticker0001_Live_Sheet!L_PERIOD_2028_Q2</vt:lpstr>
      <vt:lpstr>Ticker0001_Live_Sheet!L_PERIOD_2028_Q3</vt:lpstr>
      <vt:lpstr>Ticker0001_Live_Sheet!L_PERIOD_2028_Q4</vt:lpstr>
      <vt:lpstr>Ticker0001_Live_Sheet!L_PERIOD_2029</vt:lpstr>
      <vt:lpstr>Ticker0001_Live_Sheet!L_PERIOD_2029_Q1</vt:lpstr>
      <vt:lpstr>Ticker0001_Live_Sheet!L_PERIOD_2029_Q2</vt:lpstr>
      <vt:lpstr>Ticker0001_Live_Sheet!L_PERIOD_2029_Q3</vt:lpstr>
      <vt:lpstr>Ticker0001_Live_Sheet!L_PERIOD_2029_Q4</vt:lpstr>
      <vt:lpstr>Ticker0001_Live_Sheet!L_PERIOD_2030</vt:lpstr>
      <vt:lpstr>Ticker0001_Live_Sheet!L_PERIOD_2030_Q1</vt:lpstr>
      <vt:lpstr>Ticker0001_Live_Sheet!L_PERIOD_2030_Q2</vt:lpstr>
      <vt:lpstr>Ticker0001_Live_Sheet!L_PERIOD_2030_Q3</vt:lpstr>
      <vt:lpstr>Ticker0001_Live_Sheet!L_PERIOD_2030_Q4</vt:lpstr>
      <vt:lpstr>Ticker0001_Live_Sheet!L_SECTION_EQTY_200000801_1314</vt:lpstr>
      <vt:lpstr>Ticker0001_Live_Sheet!L_SECTION_EQTY_200000801_1319</vt:lpstr>
      <vt:lpstr>Ticker0001_Live_Sheet!L_SECTION_EQTY_200000801_131E</vt:lpstr>
      <vt:lpstr>Ticker0001_Live_Sheet!L_SECTION_EQTY_200000801_131O</vt:lpstr>
      <vt:lpstr>Ticker0001_Live_Sheet!L_SECTION_EQTY_200000801_13A</vt:lpstr>
      <vt:lpstr>Ticker0001_Live_Sheet!L_SECTION_EQTY_200000801_13K</vt:lpstr>
      <vt:lpstr>Ticker0001_Live_Sheet!L_SECTION_EQTY_200000801_13U</vt:lpstr>
      <vt:lpstr>Ticker0001_Live_Sheet!L_SECTION_EQTY_200000801_13V</vt:lpstr>
      <vt:lpstr>Ticker0001_Live_Sheet!L_SECTION_EQTY_200000801_13W</vt:lpstr>
      <vt:lpstr>Ticker0001_Live_Sheet!L_SECTION_EQTY_200000801_Reference_Data</vt:lpstr>
      <vt:lpstr>Ticker0001_Live_Sheet!L_SECTION_ISSR_208000149_1314</vt:lpstr>
      <vt:lpstr>Ticker0001_Live_Sheet!L_SECTION_ISSR_208000149_13168</vt:lpstr>
      <vt:lpstr>Ticker0001_Live_Sheet!L_SECTION_ISSR_208000149_1316T</vt:lpstr>
      <vt:lpstr>Ticker0001_Live_Sheet!L_SECTION_ISSR_208000149_1316U</vt:lpstr>
      <vt:lpstr>Ticker0001_Live_Sheet!L_SECTION_ISSR_208000149_1319</vt:lpstr>
      <vt:lpstr>Ticker0001_Live_Sheet!L_SECTION_ISSR_208000149_131E</vt:lpstr>
      <vt:lpstr>Ticker0001_Live_Sheet!L_SECTION_ISSR_208000149_131J</vt:lpstr>
      <vt:lpstr>Ticker0001_Live_Sheet!L_SECTION_ISSR_208000149_131O</vt:lpstr>
      <vt:lpstr>Ticker0001_Live_Sheet!L_SECTION_ISSR_208000149_136E</vt:lpstr>
      <vt:lpstr>Ticker0001_Live_Sheet!L_SECTION_ISSR_208000149_136J</vt:lpstr>
      <vt:lpstr>Ticker0001_Live_Sheet!L_SECTION_ISSR_208000149_13A</vt:lpstr>
      <vt:lpstr>Ticker0001_Live_Sheet!L_SECTION_ISSR_208000149_13U</vt:lpstr>
      <vt:lpstr>Ticker0001_Live_Sheet!L_SECTION_ISSR_208000149_13V</vt:lpstr>
      <vt:lpstr>Ticker0001_Live_Sheet!L_SECTION_ISSR_208000149_Reference_Data</vt:lpstr>
      <vt:lpstr>Ticker0001_Live_Sheet!L_TEMPLATEHASH</vt:lpstr>
      <vt:lpstr>AvE!Print_Area</vt:lpstr>
      <vt:lpstr>AvE_F1Q25!Print_Area</vt:lpstr>
      <vt:lpstr>'Balance Sheet'!Print_Area</vt:lpstr>
      <vt:lpstr>'Cash Flow Statement'!Print_Area</vt:lpstr>
      <vt:lpstr>'Cover Sheet'!Print_Area</vt:lpstr>
      <vt:lpstr>'Debt Schedule'!Print_Area</vt:lpstr>
      <vt:lpstr>'Estimate Changes'!Print_Area</vt:lpstr>
      <vt:lpstr>Geo!Print_Area</vt:lpstr>
      <vt:lpstr>'Illustrative DCF'!Print_Area</vt:lpstr>
      <vt:lpstr>'Income Statement'!Print_Area</vt:lpstr>
      <vt:lpstr>'Revenue summary'!Print_Area</vt:lpstr>
      <vt:lpstr>'Scenario analysis'!Print_Area</vt:lpstr>
      <vt:lpstr>'Segment - Products'!Print_Area</vt:lpstr>
      <vt:lpstr>'Segment - Services'!Print_Area</vt:lpstr>
      <vt:lpstr>Valuation!Print_Area</vt:lpstr>
      <vt:lpstr>'Balance Sheet'!Print_Titles</vt:lpstr>
      <vt:lpstr>'Cash Flow Statement'!Print_Titles</vt:lpstr>
      <vt:lpstr>'Debt Schedule'!Print_Titles</vt:lpstr>
      <vt:lpstr>Geo!Print_Titles</vt:lpstr>
      <vt:lpstr>'Income Statement'!Print_Titles</vt:lpstr>
      <vt:lpstr>'Revenue summary'!Print_Titles</vt:lpstr>
      <vt:lpstr>'Segment - Products'!Print_Titles</vt:lpstr>
      <vt:lpstr>'Segment - Services'!Print_Titles</vt:lpstr>
      <vt:lpstr>V_ALL_Ticker0001</vt:lpstr>
      <vt:lpstr>Ticker0001_Validation_Sheet!V_ALL_KEYWORDS_TYPE_ScalarContributed_EQTY_200000801</vt:lpstr>
      <vt:lpstr>V_ALL_KEYWORDS_TYPE_ScalarContributed_EQTY_200000801</vt:lpstr>
      <vt:lpstr>Ticker0001_Validation_Sheet!V_ALL_KEYWORDS_TYPE_ScalarContributed_ISSR_208000149</vt:lpstr>
      <vt:lpstr>Ticker0001_Validation_Sheet!V_ALL_KEYWORDS_TYPE_ScalarReference_EQTY_200000801</vt:lpstr>
      <vt:lpstr>Ticker0001_Validation_Sheet!V_ALL_KEYWORDS_TYPE_ScalarReference_ISSR_208000149</vt:lpstr>
      <vt:lpstr>Ticker0001_Validation_Sheet!V_ALL_KEYWORDS_TYPE_Vector_EQTY_200000801</vt:lpstr>
      <vt:lpstr>Ticker0001_Validation_Sheet!V_ALL_KEYWORDS_TYPE_Vector_ISSR_208000149</vt:lpstr>
      <vt:lpstr>V_ALL_KEYWORDS_TYPE_Vector_ISSR_208000149</vt:lpstr>
      <vt:lpstr>Ticker0001_Validation_Sheet!V_ALL_PERIODS_Ticker0001</vt:lpstr>
      <vt:lpstr>Ticker0001_Validation_Sheet!V_ALL_SECTION_KEYWORDS_EQTY_200000801_1314</vt:lpstr>
      <vt:lpstr>Ticker0001_Validation_Sheet!V_ALL_SECTION_KEYWORDS_EQTY_200000801_1319</vt:lpstr>
      <vt:lpstr>Ticker0001_Validation_Sheet!V_ALL_SECTION_KEYWORDS_EQTY_200000801_131E</vt:lpstr>
      <vt:lpstr>Ticker0001_Validation_Sheet!V_ALL_SECTION_KEYWORDS_EQTY_200000801_131O</vt:lpstr>
      <vt:lpstr>Ticker0001_Validation_Sheet!V_ALL_SECTION_KEYWORDS_EQTY_200000801_13A</vt:lpstr>
      <vt:lpstr>V_ALL_SECTION_KEYWORDS_EQTY_200000801_13A</vt:lpstr>
      <vt:lpstr>Ticker0001_Validation_Sheet!V_ALL_SECTION_KEYWORDS_EQTY_200000801_13K</vt:lpstr>
      <vt:lpstr>Ticker0001_Validation_Sheet!V_ALL_SECTION_KEYWORDS_EQTY_200000801_13U</vt:lpstr>
      <vt:lpstr>Ticker0001_Validation_Sheet!V_ALL_SECTION_KEYWORDS_EQTY_200000801_13V</vt:lpstr>
      <vt:lpstr>Ticker0001_Validation_Sheet!V_ALL_SECTION_KEYWORDS_EQTY_200000801_13W</vt:lpstr>
      <vt:lpstr>Ticker0001_Validation_Sheet!V_ALL_SECTION_KEYWORDS_EQTY_200000801_Reference_Data</vt:lpstr>
      <vt:lpstr>Ticker0001_Validation_Sheet!V_ALL_SECTION_KEYWORDS_ISSR_208000149_1314</vt:lpstr>
      <vt:lpstr>Ticker0001_Validation_Sheet!V_ALL_SECTION_KEYWORDS_ISSR_208000149_13168</vt:lpstr>
      <vt:lpstr>Ticker0001_Validation_Sheet!V_ALL_SECTION_KEYWORDS_ISSR_208000149_1316T</vt:lpstr>
      <vt:lpstr>Ticker0001_Validation_Sheet!V_ALL_SECTION_KEYWORDS_ISSR_208000149_1316U</vt:lpstr>
      <vt:lpstr>Ticker0001_Validation_Sheet!V_ALL_SECTION_KEYWORDS_ISSR_208000149_1319</vt:lpstr>
      <vt:lpstr>Ticker0001_Validation_Sheet!V_ALL_SECTION_KEYWORDS_ISSR_208000149_131E</vt:lpstr>
      <vt:lpstr>Ticker0001_Validation_Sheet!V_ALL_SECTION_KEYWORDS_ISSR_208000149_131J</vt:lpstr>
      <vt:lpstr>Ticker0001_Validation_Sheet!V_ALL_SECTION_KEYWORDS_ISSR_208000149_131O</vt:lpstr>
      <vt:lpstr>V_ALL_SECTION_KEYWORDS_ISSR_208000149_131O</vt:lpstr>
      <vt:lpstr>Ticker0001_Validation_Sheet!V_ALL_SECTION_KEYWORDS_ISSR_208000149_136E</vt:lpstr>
      <vt:lpstr>Ticker0001_Validation_Sheet!V_ALL_SECTION_KEYWORDS_ISSR_208000149_136J</vt:lpstr>
      <vt:lpstr>Ticker0001_Validation_Sheet!V_ALL_SECTION_KEYWORDS_ISSR_208000149_13A</vt:lpstr>
      <vt:lpstr>Ticker0001_Validation_Sheet!V_ALL_SECTION_KEYWORDS_ISSR_208000149_13U</vt:lpstr>
      <vt:lpstr>Ticker0001_Validation_Sheet!V_ALL_SECTION_KEYWORDS_ISSR_208000149_13V</vt:lpstr>
      <vt:lpstr>Ticker0001_Validation_Sheet!V_ALL_SECTION_KEYWORDS_ISSR_208000149_Reference_Data</vt:lpstr>
      <vt:lpstr>Ticker0001_Validation_Sheet!V_ALL_SECTIONS_EQTY_200000801</vt:lpstr>
      <vt:lpstr>Ticker0001_Validation_Sheet!V_ALL_SECTIONS_ISSR_208000149</vt:lpstr>
      <vt:lpstr>Ticker0001_Validation_Sheet!V_CURRENCY_EQTY_200000801_PRI</vt:lpstr>
      <vt:lpstr>Ticker0001_Validation_Sheet!V_CURRENCY_EQTY_200000801_PUB</vt:lpstr>
      <vt:lpstr>Ticker0001_Validation_Sheet!V_CURRENCY_EQTY_200000801_REP</vt:lpstr>
      <vt:lpstr>Ticker0001_Validation_Sheet!V_CURRENCY_ISSR_208000149_REP</vt:lpstr>
      <vt:lpstr>Ticker0001_Validation_Sheet!V_ENTITY_DATA_EQTY_200000801</vt:lpstr>
      <vt:lpstr>Ticker0001_Validation_Sheet!V_ENTITY_DATA_ISSR_208000149</vt:lpstr>
      <vt:lpstr>Ticker0001_Validation_Sheet!V_KEYWORD_EQTY_200000801_AMER_CONVICTION</vt:lpstr>
      <vt:lpstr>Ticker0001_Validation_Sheet!V_KEYWORD_EQTY_200000801_AMER_LIST</vt:lpstr>
      <vt:lpstr>Ticker0001_Validation_Sheet!V_KEYWORD_EQTY_200000801_BETA_ANALYST</vt:lpstr>
      <vt:lpstr>Ticker0001_Validation_Sheet!V_KEYWORD_EQTY_200000801_BVPS</vt:lpstr>
      <vt:lpstr>Ticker0001_Validation_Sheet!V_KEYWORD_EQTY_200000801_BVPS_PUB</vt:lpstr>
      <vt:lpstr>Ticker0001_Validation_Sheet!V_KEYWORD_EQTY_200000801_CEEE_EPS</vt:lpstr>
      <vt:lpstr>Ticker0001_Validation_Sheet!V_KEYWORD_EQTY_200000801_CEEE_NDEBT</vt:lpstr>
      <vt:lpstr>Ticker0001_Validation_Sheet!V_KEYWORD_EQTY_200000801_CF_NI_PRE_PREF</vt:lpstr>
      <vt:lpstr>Ticker0001_Validation_Sheet!V_KEYWORD_EQTY_200000801_COMMON_DIV_PAID</vt:lpstr>
      <vt:lpstr>Ticker0001_Validation_Sheet!V_KEYWORD_EQTY_200000801_CURRENCY_ISO</vt:lpstr>
      <vt:lpstr>Ticker0001_Validation_Sheet!V_KEYWORD_EQTY_200000801_DILUTE_SHARES</vt:lpstr>
      <vt:lpstr>Ticker0001_Validation_Sheet!V_KEYWORD_EQTY_200000801_DPS</vt:lpstr>
      <vt:lpstr>Ticker0001_Validation_Sheet!V_KEYWORD_EQTY_200000801_DPS_PUB</vt:lpstr>
      <vt:lpstr>Ticker0001_Validation_Sheet!V_KEYWORD_EQTY_200000801_DPS_SPECIAL_PUB</vt:lpstr>
      <vt:lpstr>Ticker0001_Validation_Sheet!V_KEYWORD_EQTY_200000801_EBIT_PUB</vt:lpstr>
      <vt:lpstr>Ticker0001_Validation_Sheet!V_KEYWORD_EQTY_200000801_EBITDA_PUB</vt:lpstr>
      <vt:lpstr>Ticker0001_Validation_Sheet!V_KEYWORD_EQTY_200000801_EPS</vt:lpstr>
      <vt:lpstr>Ticker0001_Validation_Sheet!V_KEYWORD_EQTY_200000801_EPS_EX_ESO_B</vt:lpstr>
      <vt:lpstr>Ticker0001_Validation_Sheet!V_KEYWORD_EQTY_200000801_EPS_EX_ESO_D</vt:lpstr>
      <vt:lpstr>Ticker0001_Validation_Sheet!V_KEYWORD_EQTY_200000801_EPS_FUL_DIL</vt:lpstr>
      <vt:lpstr>Ticker0001_Validation_Sheet!V_KEYWORD_EQTY_200000801_EPS_POST_BASIC</vt:lpstr>
      <vt:lpstr>Ticker0001_Validation_Sheet!V_KEYWORD_EQTY_200000801_EPS_PUB</vt:lpstr>
      <vt:lpstr>Ticker0001_Validation_Sheet!V_KEYWORD_EQTY_200000801_EPS_PUB_EX_ESO</vt:lpstr>
      <vt:lpstr>Ticker0001_Validation_Sheet!V_KEYWORD_EQTY_200000801_EQ_PUB</vt:lpstr>
      <vt:lpstr>Ticker0001_Validation_Sheet!V_KEYWORD_EQTY_200000801_ESO_POST_TAX</vt:lpstr>
      <vt:lpstr>Ticker0001_Validation_Sheet!V_KEYWORD_EQTY_200000801_ESO_YEAR</vt:lpstr>
      <vt:lpstr>Ticker0001_Validation_Sheet!V_KEYWORD_EQTY_200000801_EV_ADJ_PUB</vt:lpstr>
      <vt:lpstr>Ticker0001_Validation_Sheet!V_KEYWORD_EQTY_200000801_FREE_FLOAT</vt:lpstr>
      <vt:lpstr>Ticker0001_Validation_Sheet!V_KEYWORD_EQTY_200000801_FULLY_DIL_EPS</vt:lpstr>
      <vt:lpstr>Ticker0001_Validation_Sheet!V_KEYWORD_EQTY_200000801_FV_GRANT</vt:lpstr>
      <vt:lpstr>Ticker0001_Validation_Sheet!V_KEYWORD_EQTY_200000801_INC_MINORITY</vt:lpstr>
      <vt:lpstr>Ticker0001_Validation_Sheet!V_KEYWORD_EQTY_200000801_Interim_Type</vt:lpstr>
      <vt:lpstr>Ticker0001_Validation_Sheet!V_KEYWORD_EQTY_200000801_LEGAL_RATING</vt:lpstr>
      <vt:lpstr>Ticker0001_Validation_Sheet!V_KEYWORD_EQTY_200000801_MARGIN_TAX_RATE</vt:lpstr>
      <vt:lpstr>Ticker0001_Validation_Sheet!V_KEYWORD_EQTY_200000801_MKT_EQ_RISK_PREM</vt:lpstr>
      <vt:lpstr>Ticker0001_Validation_Sheet!V_KEYWORD_EQTY_200000801_NET_DEBT_EX_LEASES_PUB</vt:lpstr>
      <vt:lpstr>Ticker0001_Validation_Sheet!V_KEYWORD_EQTY_200000801_NET_DEBT_PUB</vt:lpstr>
      <vt:lpstr>Ticker0001_Validation_Sheet!V_KEYWORD_EQTY_200000801_NET_EARNING</vt:lpstr>
      <vt:lpstr>Ticker0001_Validation_Sheet!V_KEYWORD_EQTY_200000801_NET_INC</vt:lpstr>
      <vt:lpstr>Ticker0001_Validation_Sheet!V_KEYWORD_EQTY_200000801_NI_PRE_PREF</vt:lpstr>
      <vt:lpstr>Ticker0001_Validation_Sheet!V_KEYWORD_EQTY_200000801_NI_PUB</vt:lpstr>
      <vt:lpstr>Ticker0001_Validation_Sheet!V_KEYWORD_EQTY_200000801_NON_OP_ADD</vt:lpstr>
      <vt:lpstr>Ticker0001_Validation_Sheet!V_KEYWORD_EQTY_200000801_NOT_IN_USE</vt:lpstr>
      <vt:lpstr>Ticker0001_Validation_Sheet!V_KEYWORD_EQTY_200000801_NUM_SH</vt:lpstr>
      <vt:lpstr>Ticker0001_Validation_Sheet!V_KEYWORD_EQTY_200000801_PREF_DIV</vt:lpstr>
      <vt:lpstr>Ticker0001_Validation_Sheet!V_KEYWORD_EQTY_200000801_PRICE_CURRENCY_ISO</vt:lpstr>
      <vt:lpstr>Ticker0001_Validation_Sheet!V_KEYWORD_EQTY_200000801_PROV_INC_TAX</vt:lpstr>
      <vt:lpstr>Ticker0001_Validation_Sheet!V_KEYWORD_EQTY_200000801_PTP_PUB</vt:lpstr>
      <vt:lpstr>Ticker0001_Validation_Sheet!V_KEYWORD_EQTY_200000801_PUB_CURRENCY_ISO</vt:lpstr>
      <vt:lpstr>Ticker0001_Validation_Sheet!V_KEYWORD_EQTY_200000801_REPUR_ACTUAL</vt:lpstr>
      <vt:lpstr>Ticker0001_Validation_Sheet!V_KEYWORD_EQTY_200000801_REPUR_REMAINING</vt:lpstr>
      <vt:lpstr>Ticker0001_Validation_Sheet!V_KEYWORD_EQTY_200000801_REPUR_SUSPENDED</vt:lpstr>
      <vt:lpstr>Ticker0001_Validation_Sheet!V_KEYWORD_EQTY_200000801_REPUR_TOT_AUTH</vt:lpstr>
      <vt:lpstr>Ticker0001_Validation_Sheet!V_KEYWORD_EQTY_200000801_REVS_PUB</vt:lpstr>
      <vt:lpstr>Ticker0001_Validation_Sheet!V_KEYWORD_EQTY_200000801_RISK_FR_RATE</vt:lpstr>
      <vt:lpstr>Ticker0001_Validation_Sheet!V_KEYWORD_EQTY_200000801_Security_Name</vt:lpstr>
      <vt:lpstr>Ticker0001_Validation_Sheet!V_KEYWORD_EQTY_200000801_SH</vt:lpstr>
      <vt:lpstr>Ticker0001_Validation_Sheet!V_KEYWORD_EQTY_200000801_TARGET_PRICE</vt:lpstr>
      <vt:lpstr>Ticker0001_Validation_Sheet!V_KEYWORD_EQTY_200000801_TARGET_PRICE_FUNDAMENTAL</vt:lpstr>
      <vt:lpstr>Ticker0001_Validation_Sheet!V_KEYWORD_EQTY_200000801_TARGET_PRICE_MA</vt:lpstr>
      <vt:lpstr>Ticker0001_Validation_Sheet!V_KEYWORD_EQTY_200000801_TAX_EXC</vt:lpstr>
      <vt:lpstr>Ticker0001_Validation_Sheet!V_KEYWORD_EQTY_200000801_Ticker</vt:lpstr>
      <vt:lpstr>Ticker0001_Validation_Sheet!V_KEYWORD_EQTY_200000801_TP_PERIOD</vt:lpstr>
      <vt:lpstr>Ticker0001_Validation_Sheet!V_KEYWORD_ISSR_208000149_ACC_AMORT</vt:lpstr>
      <vt:lpstr>Ticker0001_Validation_Sheet!V_KEYWORD_ISSR_208000149_ACC_DDA</vt:lpstr>
      <vt:lpstr>Ticker0001_Validation_Sheet!V_KEYWORD_ISSR_208000149_ACC_END_DATE</vt:lpstr>
      <vt:lpstr>Ticker0001_Validation_Sheet!V_KEYWORD_ISSR_208000149_ACC_PAY_GQ</vt:lpstr>
      <vt:lpstr>Ticker0001_Validation_Sheet!V_KEYWORD_ISSR_208000149_ACQ</vt:lpstr>
      <vt:lpstr>Ticker0001_Validation_Sheet!V_KEYWORD_ISSR_208000149_ADJ_UNF_PENS_GOOD</vt:lpstr>
      <vt:lpstr>Ticker0001_Validation_Sheet!V_KEYWORD_ISSR_208000149_ASSOC_JV_ADDBK</vt:lpstr>
      <vt:lpstr>Ticker0001_Validation_Sheet!V_KEYWORD_ISSR_208000149_ASSOCIATE</vt:lpstr>
      <vt:lpstr>Ticker0001_Validation_Sheet!V_KEYWORD_ISSR_208000149_ASSOCIATE_OP</vt:lpstr>
      <vt:lpstr>Ticker0001_Validation_Sheet!V_KEYWORD_ISSR_208000149_AVG_AGE_CUST</vt:lpstr>
      <vt:lpstr>Ticker0001_Validation_Sheet!V_KEYWORD_ISSR_208000149_AVG_HSHLD_INC_CUST</vt:lpstr>
      <vt:lpstr>Ticker0001_Validation_Sheet!V_KEYWORD_ISSR_208000149_BAL_MINO_INT</vt:lpstr>
      <vt:lpstr>Ticker0001_Validation_Sheet!V_KEYWORD_ISSR_208000149_CAP_LEASES</vt:lpstr>
      <vt:lpstr>Ticker0001_Validation_Sheet!V_KEYWORD_ISSR_208000149_CAPEX</vt:lpstr>
      <vt:lpstr>Ticker0001_Validation_Sheet!V_KEYWORD_ISSR_208000149_CAPEX_EXPANSION</vt:lpstr>
      <vt:lpstr>Ticker0001_Validation_Sheet!V_KEYWORD_ISSR_208000149_CAPEX_MAINTENANCE</vt:lpstr>
      <vt:lpstr>Ticker0001_Validation_Sheet!V_KEYWORD_ISSR_208000149_CASH_EQ</vt:lpstr>
      <vt:lpstr>Ticker0001_Validation_Sheet!V_KEYWORD_ISSR_208000149_CASH_INT_EXP</vt:lpstr>
      <vt:lpstr>Ticker0001_Validation_Sheet!V_KEYWORD_ISSR_208000149_CASH_PCT_OS_US</vt:lpstr>
      <vt:lpstr>Ticker0001_Validation_Sheet!V_KEYWORD_ISSR_208000149_CASH_TAX_EXP</vt:lpstr>
      <vt:lpstr>Ticker0001_Validation_Sheet!V_KEYWORD_ISSR_208000149_CF_FIN</vt:lpstr>
      <vt:lpstr>Ticker0001_Validation_Sheet!V_KEYWORD_ISSR_208000149_CF_INC_MINORITY</vt:lpstr>
      <vt:lpstr>Ticker0001_Validation_Sheet!V_KEYWORD_ISSR_208000149_CF_INV</vt:lpstr>
      <vt:lpstr>Ticker0001_Validation_Sheet!V_KEYWORD_ISSR_208000149_CF_OPS</vt:lpstr>
      <vt:lpstr>Ticker0001_Validation_Sheet!V_KEYWORD_ISSR_208000149_CHG_DEF_TAX_CF</vt:lpstr>
      <vt:lpstr>Ticker0001_Validation_Sheet!V_KEYWORD_ISSR_208000149_CHG_LT_DEBT</vt:lpstr>
      <vt:lpstr>Ticker0001_Validation_Sheet!V_KEYWORD_ISSR_208000149_CO_BOR_MARGIN</vt:lpstr>
      <vt:lpstr>Ticker0001_Validation_Sheet!V_KEYWORD_ISSR_208000149_COGS_PCT_ROW</vt:lpstr>
      <vt:lpstr>Ticker0001_Validation_Sheet!V_KEYWORD_ISSR_208000149_COGS_PCT_US</vt:lpstr>
      <vt:lpstr>Ticker0001_Validation_Sheet!V_KEYWORD_ISSR_208000149_COST_GD_SD</vt:lpstr>
      <vt:lpstr>Ticker0001_Validation_Sheet!V_KEYWORD_ISSR_208000149_CUR_ASS</vt:lpstr>
      <vt:lpstr>Ticker0001_Validation_Sheet!V_KEYWORD_ISSR_208000149_CURRENCY_ISO</vt:lpstr>
      <vt:lpstr>Ticker0001_Validation_Sheet!V_KEYWORD_ISSR_208000149_DEBTORS</vt:lpstr>
      <vt:lpstr>Ticker0001_Validation_Sheet!V_KEYWORD_ISSR_208000149_DEF_INC_TAX</vt:lpstr>
      <vt:lpstr>Ticker0001_Validation_Sheet!V_KEYWORD_ISSR_208000149_DEPR_AMORT</vt:lpstr>
      <vt:lpstr>Ticker0001_Validation_Sheet!V_KEYWORD_ISSR_208000149_DEPR_ROU_ASSETS</vt:lpstr>
      <vt:lpstr>Ticker0001_Validation_Sheet!V_KEYWORD_ISSR_208000149_DEPREC</vt:lpstr>
      <vt:lpstr>Ticker0001_Validation_Sheet!V_KEYWORD_ISSR_208000149_DIV_PAID</vt:lpstr>
      <vt:lpstr>Ticker0001_Validation_Sheet!V_KEYWORD_ISSR_208000149_DIVDS_ASSOC_JV</vt:lpstr>
      <vt:lpstr>Ticker0001_Validation_Sheet!V_KEYWORD_ISSR_208000149_DIVDS_PD_MINORITIES</vt:lpstr>
      <vt:lpstr>Ticker0001_Validation_Sheet!V_KEYWORD_ISSR_208000149_DIVEST</vt:lpstr>
      <vt:lpstr>Ticker0001_Validation_Sheet!V_KEYWORD_ISSR_208000149_EBIT</vt:lpstr>
      <vt:lpstr>Ticker0001_Validation_Sheet!V_KEYWORD_ISSR_208000149_EBIT_FIN_SEGMENT</vt:lpstr>
      <vt:lpstr>Ticker0001_Validation_Sheet!V_KEYWORD_ISSR_208000149_EBITDA_CALC</vt:lpstr>
      <vt:lpstr>Ticker0001_Validation_Sheet!V_KEYWORD_ISSR_208000149_EMPLOYEES</vt:lpstr>
      <vt:lpstr>Ticker0001_Validation_Sheet!V_KEYWORD_ISSR_208000149_EQ</vt:lpstr>
      <vt:lpstr>Ticker0001_Validation_Sheet!V_KEYWORD_ISSR_208000149_ESO_PRE_TAX</vt:lpstr>
      <vt:lpstr>Ticker0001_Validation_Sheet!V_KEYWORD_ISSR_208000149_EXP_GLASS</vt:lpstr>
      <vt:lpstr>Ticker0001_Validation_Sheet!V_KEYWORD_ISSR_208000149_EXP_OIL_DERIV_NGLS_PLASTICS</vt:lpstr>
      <vt:lpstr>Ticker0001_Validation_Sheet!V_KEYWORD_ISSR_208000149_EXP_OIL_PETRO_FUEL</vt:lpstr>
      <vt:lpstr>Ticker0001_Validation_Sheet!V_KEYWORD_ISSR_208000149_EXP_OTH_COMMODITY</vt:lpstr>
      <vt:lpstr>Ticker0001_Validation_Sheet!V_KEYWORD_ISSR_208000149_EXP_OTH_COST</vt:lpstr>
      <vt:lpstr>Ticker0001_Validation_Sheet!V_KEYWORD_ISSR_208000149_EXP_PAPER_PULP</vt:lpstr>
      <vt:lpstr>Ticker0001_Validation_Sheet!V_KEYWORD_ISSR_208000149_EXP_WATER</vt:lpstr>
      <vt:lpstr>Ticker0001_Validation_Sheet!V_KEYWORD_ISSR_208000149_FIX_ASS_INV</vt:lpstr>
      <vt:lpstr>Ticker0001_Validation_Sheet!V_KEYWORD_ISSR_208000149_FLOATING_PCT_LOCAL_DEBT</vt:lpstr>
      <vt:lpstr>Ticker0001_Validation_Sheet!V_KEYWORD_ISSR_208000149_FLOATING_PCT_LOCAL_DEBT_HEDGED</vt:lpstr>
      <vt:lpstr>Ticker0001_Validation_Sheet!V_KEYWORD_ISSR_208000149_FOREX</vt:lpstr>
      <vt:lpstr>Ticker0001_Validation_Sheet!V_KEYWORD_ISSR_208000149_GCI_INFL</vt:lpstr>
      <vt:lpstr>Ticker0001_Validation_Sheet!V_KEYWORD_ISSR_208000149_GOODWILL_AMORT</vt:lpstr>
      <vt:lpstr>Ticker0001_Validation_Sheet!V_KEYWORD_ISSR_208000149_GR_FIX_ASS</vt:lpstr>
      <vt:lpstr>Ticker0001_Validation_Sheet!V_KEYWORD_ISSR_208000149_GR_INTANG</vt:lpstr>
      <vt:lpstr>Ticker0001_Validation_Sheet!V_KEYWORD_ISSR_208000149_INS_TOT_HOMEOWNERS_PIF_GRTH</vt:lpstr>
      <vt:lpstr>Ticker0001_Validation_Sheet!V_KEYWORD_ISSR_208000149_INT_EXP_IND</vt:lpstr>
      <vt:lpstr>Ticker0001_Validation_Sheet!V_KEYWORD_ISSR_208000149_INT_INC_IND</vt:lpstr>
      <vt:lpstr>Ticker0001_Validation_Sheet!V_KEYWORD_ISSR_208000149_INV_SECUR</vt:lpstr>
      <vt:lpstr>Ticker0001_Validation_Sheet!V_KEYWORD_ISSR_208000149_Issuer_Name</vt:lpstr>
      <vt:lpstr>Ticker0001_Validation_Sheet!V_KEYWORD_ISSR_208000149_LEASE_ADOPT</vt:lpstr>
      <vt:lpstr>Ticker0001_Validation_Sheet!V_KEYWORD_ISSR_208000149_LEASE_DEEM_DEPR</vt:lpstr>
      <vt:lpstr>Ticker0001_Validation_Sheet!V_KEYWORD_ISSR_208000149_LEASE_DEEM_INT</vt:lpstr>
      <vt:lpstr>Ticker0001_Validation_Sheet!V_KEYWORD_ISSR_208000149_LEASE_INT_CHG</vt:lpstr>
      <vt:lpstr>Ticker0001_Validation_Sheet!V_KEYWORD_ISSR_208000149_LEASE_PAY</vt:lpstr>
      <vt:lpstr>Ticker0001_Validation_Sheet!V_KEYWORD_ISSR_208000149_LEASE_PRINCIPAL_CASH</vt:lpstr>
      <vt:lpstr>Ticker0001_Validation_Sheet!V_KEYWORD_ISSR_208000149_LT_DEBT</vt:lpstr>
      <vt:lpstr>Ticker0001_Validation_Sheet!V_KEYWORD_ISSR_208000149_LT_LEASE_LIAB</vt:lpstr>
      <vt:lpstr>Ticker0001_Validation_Sheet!V_KEYWORD_ISSR_208000149_MA_PROB</vt:lpstr>
      <vt:lpstr>Ticker0001_Validation_Sheet!V_KEYWORD_ISSR_208000149_MINORITIES</vt:lpstr>
      <vt:lpstr>Ticker0001_Validation_Sheet!V_KEYWORD_ISSR_208000149_MV_ASSOCIATES</vt:lpstr>
      <vt:lpstr>Ticker0001_Validation_Sheet!V_KEYWORD_ISSR_208000149_NET_DEBT</vt:lpstr>
      <vt:lpstr>Ticker0001_Validation_Sheet!V_KEYWORD_ISSR_208000149_NET_DEBT_ADJ</vt:lpstr>
      <vt:lpstr>Ticker0001_Validation_Sheet!V_KEYWORD_ISSR_208000149_NET_FIX_ASS</vt:lpstr>
      <vt:lpstr>Ticker0001_Validation_Sheet!V_KEYWORD_ISSR_208000149_NET_INT_CH</vt:lpstr>
      <vt:lpstr>Ticker0001_Validation_Sheet!V_KEYWORD_ISSR_208000149_NET_INT_EXP</vt:lpstr>
      <vt:lpstr>Ticker0001_Validation_Sheet!V_KEYWORD_ISSR_208000149_NET_INTANG</vt:lpstr>
      <vt:lpstr>Ticker0001_Validation_Sheet!V_KEYWORD_ISSR_208000149_NET_OP_LOSS_CFWD</vt:lpstr>
      <vt:lpstr>Ticker0001_Validation_Sheet!V_KEYWORD_ISSR_208000149_NONPPE_CAPEX</vt:lpstr>
      <vt:lpstr>Ticker0001_Validation_Sheet!V_KEYWORD_ISSR_208000149_OP_COST</vt:lpstr>
      <vt:lpstr>Ticker0001_Validation_Sheet!V_KEYWORD_ISSR_208000149_ORD_SH_FUND</vt:lpstr>
      <vt:lpstr>Ticker0001_Validation_Sheet!V_KEYWORD_ISSR_208000149_OTH_ADJ_CASH_TAX</vt:lpstr>
      <vt:lpstr>Ticker0001_Validation_Sheet!V_KEYWORD_ISSR_208000149_OTH_COST_INC</vt:lpstr>
      <vt:lpstr>Ticker0001_Validation_Sheet!V_KEYWORD_ISSR_208000149_OTH_CUR_ASS</vt:lpstr>
      <vt:lpstr>Ticker0001_Validation_Sheet!V_KEYWORD_ISSR_208000149_OTH_CUR_LIABS</vt:lpstr>
      <vt:lpstr>Ticker0001_Validation_Sheet!V_KEYWORD_ISSR_208000149_OTH_DACF_ADJ</vt:lpstr>
      <vt:lpstr>Ticker0001_Validation_Sheet!V_KEYWORD_ISSR_208000149_OTH_FIN_CF</vt:lpstr>
      <vt:lpstr>Ticker0001_Validation_Sheet!V_KEYWORD_ISSR_208000149_OTH_GCI_ADJ</vt:lpstr>
      <vt:lpstr>Ticker0001_Validation_Sheet!V_KEYWORD_ISSR_208000149_OTH_INV_CF</vt:lpstr>
      <vt:lpstr>Ticker0001_Validation_Sheet!V_KEYWORD_ISSR_208000149_OTH_LT_ASS</vt:lpstr>
      <vt:lpstr>Ticker0001_Validation_Sheet!V_KEYWORD_ISSR_208000149_OTH_LT_CRED_GQ</vt:lpstr>
      <vt:lpstr>Ticker0001_Validation_Sheet!V_KEYWORD_ISSR_208000149_OTH_NONCASH_ADJ</vt:lpstr>
      <vt:lpstr>Ticker0001_Validation_Sheet!V_KEYWORD_ISSR_208000149_OTH_OP_CF</vt:lpstr>
      <vt:lpstr>Ticker0001_Validation_Sheet!V_KEYWORD_ISSR_208000149_OTH_OP_INC_EXP</vt:lpstr>
      <vt:lpstr>Ticker0001_Validation_Sheet!V_KEYWORD_ISSR_208000149_PERIOD_MILESTONE</vt:lpstr>
      <vt:lpstr>Ticker0001_Validation_Sheet!V_KEYWORD_ISSR_208000149_PL_SALE_ASSETS</vt:lpstr>
      <vt:lpstr>Ticker0001_Validation_Sheet!V_KEYWORD_ISSR_208000149_PREF_SH</vt:lpstr>
      <vt:lpstr>Ticker0001_Validation_Sheet!V_KEYWORD_ISSR_208000149_PROFIT_ON_DISP</vt:lpstr>
      <vt:lpstr>Ticker0001_Validation_Sheet!V_KEYWORD_ISSR_208000149_PT_PROF</vt:lpstr>
      <vt:lpstr>Ticker0001_Validation_Sheet!V_KEYWORD_ISSR_208000149_RD_EXP</vt:lpstr>
      <vt:lpstr>Ticker0001_Validation_Sheet!V_KEYWORD_ISSR_208000149_REV_FIN_SEGMENT</vt:lpstr>
      <vt:lpstr>Ticker0001_Validation_Sheet!V_KEYWORD_ISSR_208000149_REV_SEG1_NAME</vt:lpstr>
      <vt:lpstr>Ticker0001_Validation_Sheet!V_KEYWORD_ISSR_208000149_REV_SEG1_VALUE</vt:lpstr>
      <vt:lpstr>Ticker0001_Validation_Sheet!V_KEYWORD_ISSR_208000149_REV_SEG2_NAME</vt:lpstr>
      <vt:lpstr>Ticker0001_Validation_Sheet!V_KEYWORD_ISSR_208000149_REV_SEG2_VALUE</vt:lpstr>
      <vt:lpstr>Ticker0001_Validation_Sheet!V_KEYWORD_ISSR_208000149_REV_SEG3_NAME</vt:lpstr>
      <vt:lpstr>Ticker0001_Validation_Sheet!V_KEYWORD_ISSR_208000149_REV_SEG3_VALUE</vt:lpstr>
      <vt:lpstr>Ticker0001_Validation_Sheet!V_KEYWORD_ISSR_208000149_REV_SEG4_NAME</vt:lpstr>
      <vt:lpstr>Ticker0001_Validation_Sheet!V_KEYWORD_ISSR_208000149_REV_SEG4_VALUE</vt:lpstr>
      <vt:lpstr>Ticker0001_Validation_Sheet!V_KEYWORD_ISSR_208000149_ROU_ASSET</vt:lpstr>
      <vt:lpstr>Ticker0001_Validation_Sheet!V_KEYWORD_ISSR_208000149_SALES</vt:lpstr>
      <vt:lpstr>Ticker0001_Validation_Sheet!V_KEYWORD_ISSR_208000149_SALES_ARGENTINA</vt:lpstr>
      <vt:lpstr>Ticker0001_Validation_Sheet!V_KEYWORD_ISSR_208000149_SALES_AUSTRA</vt:lpstr>
      <vt:lpstr>Ticker0001_Validation_Sheet!V_KEYWORD_ISSR_208000149_SALES_AUSTRIA</vt:lpstr>
      <vt:lpstr>Ticker0001_Validation_Sheet!V_KEYWORD_ISSR_208000149_SALES_COMPANY0377</vt:lpstr>
      <vt:lpstr>Ticker0001_Validation_Sheet!V_KEYWORD_ISSR_208000149_SALES_BRAZIL</vt:lpstr>
      <vt:lpstr>Ticker0001_Validation_Sheet!V_KEYWORD_ISSR_208000149_SALES_CANADA</vt:lpstr>
      <vt:lpstr>Ticker0001_Validation_Sheet!V_KEYWORD_ISSR_208000149_SALES_CEE</vt:lpstr>
      <vt:lpstr>Ticker0001_Validation_Sheet!V_KEYWORD_ISSR_208000149_SALES_CHILE</vt:lpstr>
      <vt:lpstr>Ticker0001_Validation_Sheet!V_KEYWORD_ISSR_208000149_SALES_CHINA</vt:lpstr>
      <vt:lpstr>Ticker0001_Validation_Sheet!V_KEYWORD_ISSR_208000149_SALES_COLOMBIA</vt:lpstr>
      <vt:lpstr>Ticker0001_Validation_Sheet!V_KEYWORD_ISSR_208000149_SALES_CONS</vt:lpstr>
      <vt:lpstr>Ticker0001_Validation_Sheet!V_KEYWORD_ISSR_208000149_SALES_EU_EX_UK</vt:lpstr>
      <vt:lpstr>Ticker0001_Validation_Sheet!V_KEYWORD_ISSR_208000149_SALES_FINAN</vt:lpstr>
      <vt:lpstr>Ticker0001_Validation_Sheet!V_KEYWORD_ISSR_208000149_SALES_FRA</vt:lpstr>
      <vt:lpstr>Ticker0001_Validation_Sheet!V_KEYWORD_ISSR_208000149_SALES_FX_ARS</vt:lpstr>
      <vt:lpstr>Ticker0001_Validation_Sheet!V_KEYWORD_ISSR_208000149_SALES_FX_BRL</vt:lpstr>
      <vt:lpstr>Ticker0001_Validation_Sheet!V_KEYWORD_ISSR_208000149_SALES_FX_CAD</vt:lpstr>
      <vt:lpstr>Ticker0001_Validation_Sheet!V_KEYWORD_ISSR_208000149_SALES_FX_CLP</vt:lpstr>
      <vt:lpstr>Ticker0001_Validation_Sheet!V_KEYWORD_ISSR_208000149_SALES_FX_CNY</vt:lpstr>
      <vt:lpstr>Ticker0001_Validation_Sheet!V_KEYWORD_ISSR_208000149_SALES_FX_COP</vt:lpstr>
      <vt:lpstr>Ticker0001_Validation_Sheet!V_KEYWORD_ISSR_208000149_SALES_FX_EUR</vt:lpstr>
      <vt:lpstr>Ticker0001_Validation_Sheet!V_KEYWORD_ISSR_208000149_SALES_FX_GPB</vt:lpstr>
      <vt:lpstr>Ticker0001_Validation_Sheet!V_KEYWORD_ISSR_208000149_SALES_FX_INR</vt:lpstr>
      <vt:lpstr>Ticker0001_Validation_Sheet!V_KEYWORD_ISSR_208000149_SALES_FX_MXN</vt:lpstr>
      <vt:lpstr>Ticker0001_Validation_Sheet!V_KEYWORD_ISSR_208000149_SALES_FX_OTH</vt:lpstr>
      <vt:lpstr>Ticker0001_Validation_Sheet!V_KEYWORD_ISSR_208000149_SALES_FX_RUB</vt:lpstr>
      <vt:lpstr>Ticker0001_Validation_Sheet!V_KEYWORD_ISSR_208000149_SALES_FX_USD</vt:lpstr>
      <vt:lpstr>Ticker0001_Validation_Sheet!V_KEYWORD_ISSR_208000149_SALES_FX_VEF</vt:lpstr>
      <vt:lpstr>Ticker0001_Validation_Sheet!V_KEYWORD_ISSR_208000149_SALES_FX_YEN</vt:lpstr>
      <vt:lpstr>Ticker0001_Validation_Sheet!V_KEYWORD_ISSR_208000149_SALES_GER</vt:lpstr>
      <vt:lpstr>Ticker0001_Validation_Sheet!V_KEYWORD_ISSR_208000149_SALES_GOV</vt:lpstr>
      <vt:lpstr>Ticker0001_Validation_Sheet!V_KEYWORD_ISSR_208000149_SALES_GRE</vt:lpstr>
      <vt:lpstr>Ticker0001_Validation_Sheet!V_KEYWORD_ISSR_208000149_SALES_HONG_KONG</vt:lpstr>
      <vt:lpstr>Ticker0001_Validation_Sheet!V_KEYWORD_ISSR_208000149_SALES_IND</vt:lpstr>
      <vt:lpstr>Ticker0001_Validation_Sheet!V_KEYWORD_ISSR_208000149_SALES_INDIA</vt:lpstr>
      <vt:lpstr>Ticker0001_Validation_Sheet!V_KEYWORD_ISSR_208000149_SALES_INDONESIA</vt:lpstr>
      <vt:lpstr>Ticker0001_Validation_Sheet!V_KEYWORD_ISSR_208000149_SALES_IRE</vt:lpstr>
      <vt:lpstr>Ticker0001_Validation_Sheet!V_KEYWORD_ISSR_208000149_SALES_ITA</vt:lpstr>
      <vt:lpstr>Ticker0001_Validation_Sheet!V_KEYWORD_ISSR_208000149_SALES_JAPAN</vt:lpstr>
      <vt:lpstr>Ticker0001_Validation_Sheet!V_KEYWORD_ISSR_208000149_SALES_ME</vt:lpstr>
      <vt:lpstr>Ticker0001_Validation_Sheet!V_KEYWORD_ISSR_208000149_SALES_MEXICO</vt:lpstr>
      <vt:lpstr>Ticker0001_Validation_Sheet!V_KEYWORD_ISSR_208000149_SALES_NETH</vt:lpstr>
      <vt:lpstr>Ticker0001_Validation_Sheet!V_KEYWORD_ISSR_208000149_SALES_NIGERIA</vt:lpstr>
      <vt:lpstr>Ticker0001_Validation_Sheet!V_KEYWORD_ISSR_208000149_SALES_NOR</vt:lpstr>
      <vt:lpstr>Ticker0001_Validation_Sheet!V_KEYWORD_ISSR_208000149_SALES_NZ</vt:lpstr>
      <vt:lpstr>Ticker0001_Validation_Sheet!V_KEYWORD_ISSR_208000149_SALES_OIL_GAS</vt:lpstr>
      <vt:lpstr>Ticker0001_Validation_Sheet!V_KEYWORD_ISSR_208000149_SALES_OTH_AEJ</vt:lpstr>
      <vt:lpstr>Ticker0001_Validation_Sheet!V_KEYWORD_ISSR_208000149_SALES_OTH_AFRICA</vt:lpstr>
      <vt:lpstr>Ticker0001_Validation_Sheet!V_KEYWORD_ISSR_208000149_SALES_OTH_AM</vt:lpstr>
      <vt:lpstr>Ticker0001_Validation_Sheet!V_KEYWORD_ISSR_208000149_SALES_OTH_CEE</vt:lpstr>
      <vt:lpstr>Ticker0001_Validation_Sheet!V_KEYWORD_ISSR_208000149_SALES_OTH_DEV_ASIA</vt:lpstr>
      <vt:lpstr>Ticker0001_Validation_Sheet!V_KEYWORD_ISSR_208000149_SALES_OTH_EMEA</vt:lpstr>
      <vt:lpstr>Ticker0001_Validation_Sheet!V_KEYWORD_ISSR_208000149_SALES_OTH_EMERG_ASIA</vt:lpstr>
      <vt:lpstr>Ticker0001_Validation_Sheet!V_KEYWORD_ISSR_208000149_SALES_OTH_LATAM</vt:lpstr>
      <vt:lpstr>Ticker0001_Validation_Sheet!V_KEYWORD_ISSR_208000149_SALES_OTH_ME</vt:lpstr>
      <vt:lpstr>Ticker0001_Validation_Sheet!V_KEYWORD_ISSR_208000149_SALES_OTH_NO_AMER</vt:lpstr>
      <vt:lpstr>Ticker0001_Validation_Sheet!V_KEYWORD_ISSR_208000149_SALES_OTH_WEST_EURO</vt:lpstr>
      <vt:lpstr>Ticker0001_Validation_Sheet!V_KEYWORD_ISSR_208000149_SALES_OTHER</vt:lpstr>
      <vt:lpstr>Ticker0001_Validation_Sheet!V_KEYWORD_ISSR_208000149_SALES_POLAND</vt:lpstr>
      <vt:lpstr>Ticker0001_Validation_Sheet!V_KEYWORD_ISSR_208000149_SALES_POR</vt:lpstr>
      <vt:lpstr>Ticker0001_Validation_Sheet!V_KEYWORD_ISSR_208000149_SALES_RUSSIA</vt:lpstr>
      <vt:lpstr>Ticker0001_Validation_Sheet!V_KEYWORD_ISSR_208000149_SALES_SAUDI_ARABIA</vt:lpstr>
      <vt:lpstr>Ticker0001_Validation_Sheet!V_KEYWORD_ISSR_208000149_SALES_SINGAPORE</vt:lpstr>
      <vt:lpstr>Ticker0001_Validation_Sheet!V_KEYWORD_ISSR_208000149_SALES_SK</vt:lpstr>
      <vt:lpstr>Ticker0001_Validation_Sheet!V_KEYWORD_ISSR_208000149_SALES_SMB</vt:lpstr>
      <vt:lpstr>Ticker0001_Validation_Sheet!V_KEYWORD_ISSR_208000149_SALES_SO_AFRICA</vt:lpstr>
      <vt:lpstr>Ticker0001_Validation_Sheet!V_KEYWORD_ISSR_208000149_SALES_SPA</vt:lpstr>
      <vt:lpstr>Ticker0001_Validation_Sheet!V_KEYWORD_ISSR_208000149_SALES_SWE</vt:lpstr>
      <vt:lpstr>Ticker0001_Validation_Sheet!V_KEYWORD_ISSR_208000149_SALES_SWIT</vt:lpstr>
      <vt:lpstr>Ticker0001_Validation_Sheet!V_KEYWORD_ISSR_208000149_SALES_TAIWAN</vt:lpstr>
      <vt:lpstr>Ticker0001_Validation_Sheet!V_KEYWORD_ISSR_208000149_SALES_THAILAND</vt:lpstr>
      <vt:lpstr>Ticker0001_Validation_Sheet!V_KEYWORD_ISSR_208000149_SALES_TOT_AFRICA</vt:lpstr>
      <vt:lpstr>Ticker0001_Validation_Sheet!V_KEYWORD_ISSR_208000149_SALES_TOT_AM</vt:lpstr>
      <vt:lpstr>Ticker0001_Validation_Sheet!V_KEYWORD_ISSR_208000149_SALES_TOT_ASIA</vt:lpstr>
      <vt:lpstr>Ticker0001_Validation_Sheet!V_KEYWORD_ISSR_208000149_SALES_TOT_EMEA</vt:lpstr>
      <vt:lpstr>Ticker0001_Validation_Sheet!V_KEYWORD_ISSR_208000149_SALES_TURKEY</vt:lpstr>
      <vt:lpstr>Ticker0001_Validation_Sheet!V_KEYWORD_ISSR_208000149_SALES_UAE</vt:lpstr>
      <vt:lpstr>Ticker0001_Validation_Sheet!V_KEYWORD_ISSR_208000149_SALES_UK</vt:lpstr>
      <vt:lpstr>Ticker0001_Validation_Sheet!V_KEYWORD_ISSR_208000149_SALES_US</vt:lpstr>
      <vt:lpstr>Ticker0001_Validation_Sheet!V_KEYWORD_ISSR_208000149_SALES_VENEZUELA</vt:lpstr>
      <vt:lpstr>Ticker0001_Validation_Sheet!V_KEYWORD_ISSR_208000149_SEL_GL_AD</vt:lpstr>
      <vt:lpstr>Ticker0001_Validation_Sheet!V_KEYWORD_ISSR_208000149_SGA_PCT_ROW</vt:lpstr>
      <vt:lpstr>Ticker0001_Validation_Sheet!V_KEYWORD_ISSR_208000149_SGA_PCT_US</vt:lpstr>
      <vt:lpstr>Ticker0001_Validation_Sheet!V_KEYWORD_ISSR_208000149_SH_REPUR</vt:lpstr>
      <vt:lpstr>Ticker0001_Validation_Sheet!V_KEYWORD_ISSR_208000149_SHORT_T_DEBT</vt:lpstr>
      <vt:lpstr>Ticker0001_Validation_Sheet!V_KEYWORD_ISSR_208000149_SHORT_TERM_LIABS</vt:lpstr>
      <vt:lpstr>Ticker0001_Validation_Sheet!V_KEYWORD_ISSR_208000149_ST_LEASE_LIAB</vt:lpstr>
      <vt:lpstr>Ticker0001_Validation_Sheet!V_KEYWORD_ISSR_208000149_STOCKS</vt:lpstr>
      <vt:lpstr>Ticker0001_Validation_Sheet!V_KEYWORD_ISSR_208000149_TOT_ASSET</vt:lpstr>
      <vt:lpstr>Ticker0001_Validation_Sheet!V_KEYWORD_ISSR_208000149_TOT_CF</vt:lpstr>
      <vt:lpstr>Ticker0001_Validation_Sheet!V_KEYWORD_ISSR_208000149_TOT_LIAB</vt:lpstr>
      <vt:lpstr>Ticker0001_Validation_Sheet!V_KEYWORD_ISSR_208000149_TOT_LIAB_EQ</vt:lpstr>
      <vt:lpstr>Ticker0001_Validation_Sheet!V_KEYWORD_ISSR_208000149_TOT_LT_LIAB</vt:lpstr>
      <vt:lpstr>Ticker0001_Validation_Sheet!V_KEYWORD_ISSR_208000149_TOT_OPS_EXP</vt:lpstr>
      <vt:lpstr>Ticker0001_Validation_Sheet!V_KEYWORD_ISSR_208000149_TOT_OPS_EXP_DDA</vt:lpstr>
      <vt:lpstr>Ticker0001_Validation_Sheet!V_KEYWORD_ISSR_208000149_TOT_PCT_USD_DEBT_HEDGED</vt:lpstr>
      <vt:lpstr>Ticker0001_Validation_Sheet!V_KEYWORD_ISSR_208000149_TOT_USD_DEBT</vt:lpstr>
      <vt:lpstr>Ticker0001_Validation_Sheet!V_KEYWORD_ISSR_208000149_UNF_PENS</vt:lpstr>
      <vt:lpstr>Ticker0001_Validation_Sheet!V_KEYWORD_ISSR_208000149_UNF_PENS_LIAB_OTH</vt:lpstr>
      <vt:lpstr>Ticker0001_Validation_Sheet!V_KEYWORD_ISSR_208000149_UNF_PENS_OFF</vt:lpstr>
      <vt:lpstr>Ticker0001_Validation_Sheet!V_KEYWORD_ISSR_208000149_WORK_CAP</vt:lpstr>
      <vt:lpstr>Ticker0001_Validation_Sheet!V_LIVEDATA_EQTY_200000801</vt:lpstr>
      <vt:lpstr>Ticker0001_Validation_Sheet!V_LIVEDATA_ISSR_208000149</vt:lpstr>
      <vt:lpstr>Ticker0001_Validation_Sheet!V_PERIOD_2000</vt:lpstr>
      <vt:lpstr>Ticker0001_Validation_Sheet!V_PERIOD_2000_Q1</vt:lpstr>
      <vt:lpstr>Ticker0001_Validation_Sheet!V_PERIOD_2000_Q2</vt:lpstr>
      <vt:lpstr>Ticker0001_Validation_Sheet!V_PERIOD_2000_Q3</vt:lpstr>
      <vt:lpstr>Ticker0001_Validation_Sheet!V_PERIOD_2000_Q4</vt:lpstr>
      <vt:lpstr>Ticker0001_Validation_Sheet!V_PERIOD_2001</vt:lpstr>
      <vt:lpstr>Ticker0001_Validation_Sheet!V_PERIOD_2001_Q1</vt:lpstr>
      <vt:lpstr>Ticker0001_Validation_Sheet!V_PERIOD_2001_Q2</vt:lpstr>
      <vt:lpstr>Ticker0001_Validation_Sheet!V_PERIOD_2001_Q3</vt:lpstr>
      <vt:lpstr>Ticker0001_Validation_Sheet!V_PERIOD_2001_Q4</vt:lpstr>
      <vt:lpstr>Ticker0001_Validation_Sheet!V_PERIOD_2002</vt:lpstr>
      <vt:lpstr>Ticker0001_Validation_Sheet!V_PERIOD_2002_Q1</vt:lpstr>
      <vt:lpstr>Ticker0001_Validation_Sheet!V_PERIOD_2002_Q2</vt:lpstr>
      <vt:lpstr>Ticker0001_Validation_Sheet!V_PERIOD_2002_Q3</vt:lpstr>
      <vt:lpstr>Ticker0001_Validation_Sheet!V_PERIOD_2002_Q4</vt:lpstr>
      <vt:lpstr>Ticker0001_Validation_Sheet!V_PERIOD_2003</vt:lpstr>
      <vt:lpstr>Ticker0001_Validation_Sheet!V_PERIOD_2003_Q1</vt:lpstr>
      <vt:lpstr>Ticker0001_Validation_Sheet!V_PERIOD_2003_Q2</vt:lpstr>
      <vt:lpstr>Ticker0001_Validation_Sheet!V_PERIOD_2003_Q3</vt:lpstr>
      <vt:lpstr>Ticker0001_Validation_Sheet!V_PERIOD_2003_Q4</vt:lpstr>
      <vt:lpstr>Ticker0001_Validation_Sheet!V_PERIOD_2004</vt:lpstr>
      <vt:lpstr>Ticker0001_Validation_Sheet!V_PERIOD_2004_Q1</vt:lpstr>
      <vt:lpstr>Ticker0001_Validation_Sheet!V_PERIOD_2004_Q2</vt:lpstr>
      <vt:lpstr>Ticker0001_Validation_Sheet!V_PERIOD_2004_Q3</vt:lpstr>
      <vt:lpstr>Ticker0001_Validation_Sheet!V_PERIOD_2004_Q4</vt:lpstr>
      <vt:lpstr>Ticker0001_Validation_Sheet!V_PERIOD_2005</vt:lpstr>
      <vt:lpstr>Ticker0001_Validation_Sheet!V_PERIOD_2005_Q1</vt:lpstr>
      <vt:lpstr>Ticker0001_Validation_Sheet!V_PERIOD_2005_Q2</vt:lpstr>
      <vt:lpstr>Ticker0001_Validation_Sheet!V_PERIOD_2005_Q3</vt:lpstr>
      <vt:lpstr>Ticker0001_Validation_Sheet!V_PERIOD_2005_Q4</vt:lpstr>
      <vt:lpstr>Ticker0001_Validation_Sheet!V_PERIOD_2006</vt:lpstr>
      <vt:lpstr>Ticker0001_Validation_Sheet!V_PERIOD_2006_Q1</vt:lpstr>
      <vt:lpstr>Ticker0001_Validation_Sheet!V_PERIOD_2006_Q2</vt:lpstr>
      <vt:lpstr>Ticker0001_Validation_Sheet!V_PERIOD_2006_Q3</vt:lpstr>
      <vt:lpstr>Ticker0001_Validation_Sheet!V_PERIOD_2006_Q4</vt:lpstr>
      <vt:lpstr>Ticker0001_Validation_Sheet!V_PERIOD_2007</vt:lpstr>
      <vt:lpstr>Ticker0001_Validation_Sheet!V_PERIOD_2007_Q1</vt:lpstr>
      <vt:lpstr>Ticker0001_Validation_Sheet!V_PERIOD_2007_Q2</vt:lpstr>
      <vt:lpstr>Ticker0001_Validation_Sheet!V_PERIOD_2007_Q3</vt:lpstr>
      <vt:lpstr>Ticker0001_Validation_Sheet!V_PERIOD_2007_Q4</vt:lpstr>
      <vt:lpstr>Ticker0001_Validation_Sheet!V_PERIOD_2008</vt:lpstr>
      <vt:lpstr>Ticker0001_Validation_Sheet!V_PERIOD_2008_Q1</vt:lpstr>
      <vt:lpstr>Ticker0001_Validation_Sheet!V_PERIOD_2008_Q2</vt:lpstr>
      <vt:lpstr>Ticker0001_Validation_Sheet!V_PERIOD_2008_Q3</vt:lpstr>
      <vt:lpstr>Ticker0001_Validation_Sheet!V_PERIOD_2008_Q4</vt:lpstr>
      <vt:lpstr>Ticker0001_Validation_Sheet!V_PERIOD_2009</vt:lpstr>
      <vt:lpstr>Ticker0001_Validation_Sheet!V_PERIOD_2009_Q1</vt:lpstr>
      <vt:lpstr>Ticker0001_Validation_Sheet!V_PERIOD_2009_Q2</vt:lpstr>
      <vt:lpstr>Ticker0001_Validation_Sheet!V_PERIOD_2009_Q3</vt:lpstr>
      <vt:lpstr>Ticker0001_Validation_Sheet!V_PERIOD_2009_Q4</vt:lpstr>
      <vt:lpstr>Ticker0001_Validation_Sheet!V_PERIOD_2010</vt:lpstr>
      <vt:lpstr>Ticker0001_Validation_Sheet!V_PERIOD_2010_Q1</vt:lpstr>
      <vt:lpstr>Ticker0001_Validation_Sheet!V_PERIOD_2010_Q2</vt:lpstr>
      <vt:lpstr>Ticker0001_Validation_Sheet!V_PERIOD_2010_Q3</vt:lpstr>
      <vt:lpstr>Ticker0001_Validation_Sheet!V_PERIOD_2010_Q4</vt:lpstr>
      <vt:lpstr>Ticker0001_Validation_Sheet!V_PERIOD_2011</vt:lpstr>
      <vt:lpstr>Ticker0001_Validation_Sheet!V_PERIOD_2011_Q1</vt:lpstr>
      <vt:lpstr>Ticker0001_Validation_Sheet!V_PERIOD_2011_Q2</vt:lpstr>
      <vt:lpstr>Ticker0001_Validation_Sheet!V_PERIOD_2011_Q3</vt:lpstr>
      <vt:lpstr>Ticker0001_Validation_Sheet!V_PERIOD_2011_Q4</vt:lpstr>
      <vt:lpstr>Ticker0001_Validation_Sheet!V_PERIOD_2012</vt:lpstr>
      <vt:lpstr>Ticker0001_Validation_Sheet!V_PERIOD_2012_Q1</vt:lpstr>
      <vt:lpstr>Ticker0001_Validation_Sheet!V_PERIOD_2012_Q2</vt:lpstr>
      <vt:lpstr>Ticker0001_Validation_Sheet!V_PERIOD_2012_Q3</vt:lpstr>
      <vt:lpstr>Ticker0001_Validation_Sheet!V_PERIOD_2012_Q4</vt:lpstr>
      <vt:lpstr>Ticker0001_Validation_Sheet!V_PERIOD_2013</vt:lpstr>
      <vt:lpstr>Ticker0001_Validation_Sheet!V_PERIOD_2013_Q1</vt:lpstr>
      <vt:lpstr>Ticker0001_Validation_Sheet!V_PERIOD_2013_Q2</vt:lpstr>
      <vt:lpstr>Ticker0001_Validation_Sheet!V_PERIOD_2013_Q3</vt:lpstr>
      <vt:lpstr>Ticker0001_Validation_Sheet!V_PERIOD_2013_Q4</vt:lpstr>
      <vt:lpstr>Ticker0001_Validation_Sheet!V_PERIOD_2014</vt:lpstr>
      <vt:lpstr>Ticker0001_Validation_Sheet!V_PERIOD_2014_Q1</vt:lpstr>
      <vt:lpstr>Ticker0001_Validation_Sheet!V_PERIOD_2014_Q2</vt:lpstr>
      <vt:lpstr>Ticker0001_Validation_Sheet!V_PERIOD_2014_Q3</vt:lpstr>
      <vt:lpstr>Ticker0001_Validation_Sheet!V_PERIOD_2014_Q4</vt:lpstr>
      <vt:lpstr>Ticker0001_Validation_Sheet!V_PERIOD_2015</vt:lpstr>
      <vt:lpstr>Ticker0001_Validation_Sheet!V_PERIOD_2015_Q1</vt:lpstr>
      <vt:lpstr>Ticker0001_Validation_Sheet!V_PERIOD_2015_Q2</vt:lpstr>
      <vt:lpstr>Ticker0001_Validation_Sheet!V_PERIOD_2015_Q3</vt:lpstr>
      <vt:lpstr>Ticker0001_Validation_Sheet!V_PERIOD_2015_Q4</vt:lpstr>
      <vt:lpstr>Ticker0001_Validation_Sheet!V_PERIOD_2016</vt:lpstr>
      <vt:lpstr>Ticker0001_Validation_Sheet!V_PERIOD_2016_Q1</vt:lpstr>
      <vt:lpstr>Ticker0001_Validation_Sheet!V_PERIOD_2016_Q2</vt:lpstr>
      <vt:lpstr>Ticker0001_Validation_Sheet!V_PERIOD_2016_Q3</vt:lpstr>
      <vt:lpstr>Ticker0001_Validation_Sheet!V_PERIOD_2016_Q4</vt:lpstr>
      <vt:lpstr>Ticker0001_Validation_Sheet!V_PERIOD_2017</vt:lpstr>
      <vt:lpstr>Ticker0001_Validation_Sheet!V_PERIOD_2017_Q1</vt:lpstr>
      <vt:lpstr>Ticker0001_Validation_Sheet!V_PERIOD_2017_Q2</vt:lpstr>
      <vt:lpstr>Ticker0001_Validation_Sheet!V_PERIOD_2017_Q3</vt:lpstr>
      <vt:lpstr>Ticker0001_Validation_Sheet!V_PERIOD_2017_Q4</vt:lpstr>
      <vt:lpstr>Ticker0001_Validation_Sheet!V_PERIOD_2018</vt:lpstr>
      <vt:lpstr>Ticker0001_Validation_Sheet!V_PERIOD_2018_Q1</vt:lpstr>
      <vt:lpstr>Ticker0001_Validation_Sheet!V_PERIOD_2018_Q2</vt:lpstr>
      <vt:lpstr>Ticker0001_Validation_Sheet!V_PERIOD_2018_Q3</vt:lpstr>
      <vt:lpstr>Ticker0001_Validation_Sheet!V_PERIOD_2018_Q4</vt:lpstr>
      <vt:lpstr>Ticker0001_Validation_Sheet!V_PERIOD_2019</vt:lpstr>
      <vt:lpstr>Ticker0001_Validation_Sheet!V_PERIOD_2019_Q1</vt:lpstr>
      <vt:lpstr>Ticker0001_Validation_Sheet!V_PERIOD_2019_Q2</vt:lpstr>
      <vt:lpstr>Ticker0001_Validation_Sheet!V_PERIOD_2019_Q3</vt:lpstr>
      <vt:lpstr>Ticker0001_Validation_Sheet!V_PERIOD_2019_Q4</vt:lpstr>
      <vt:lpstr>Ticker0001_Validation_Sheet!V_PERIOD_2020</vt:lpstr>
      <vt:lpstr>Ticker0001_Validation_Sheet!V_PERIOD_2020_Q1</vt:lpstr>
      <vt:lpstr>Ticker0001_Validation_Sheet!V_PERIOD_2020_Q2</vt:lpstr>
      <vt:lpstr>Ticker0001_Validation_Sheet!V_PERIOD_2020_Q3</vt:lpstr>
      <vt:lpstr>Ticker0001_Validation_Sheet!V_PERIOD_2020_Q4</vt:lpstr>
      <vt:lpstr>Ticker0001_Validation_Sheet!V_PERIOD_2021</vt:lpstr>
      <vt:lpstr>Ticker0001_Validation_Sheet!V_PERIOD_2021_Q1</vt:lpstr>
      <vt:lpstr>Ticker0001_Validation_Sheet!V_PERIOD_2021_Q2</vt:lpstr>
      <vt:lpstr>Ticker0001_Validation_Sheet!V_PERIOD_2021_Q3</vt:lpstr>
      <vt:lpstr>Ticker0001_Validation_Sheet!V_PERIOD_2021_Q4</vt:lpstr>
      <vt:lpstr>Ticker0001_Validation_Sheet!V_PERIOD_2022</vt:lpstr>
      <vt:lpstr>Ticker0001_Validation_Sheet!V_PERIOD_2022_Q1</vt:lpstr>
      <vt:lpstr>Ticker0001_Validation_Sheet!V_PERIOD_2022_Q2</vt:lpstr>
      <vt:lpstr>Ticker0001_Validation_Sheet!V_PERIOD_2022_Q3</vt:lpstr>
      <vt:lpstr>Ticker0001_Validation_Sheet!V_PERIOD_2022_Q4</vt:lpstr>
      <vt:lpstr>Ticker0001_Validation_Sheet!V_PERIOD_2023</vt:lpstr>
      <vt:lpstr>Ticker0001_Validation_Sheet!V_PERIOD_2023_Q1</vt:lpstr>
      <vt:lpstr>Ticker0001_Validation_Sheet!V_PERIOD_2023_Q2</vt:lpstr>
      <vt:lpstr>Ticker0001_Validation_Sheet!V_PERIOD_2023_Q3</vt:lpstr>
      <vt:lpstr>Ticker0001_Validation_Sheet!V_PERIOD_2023_Q4</vt:lpstr>
      <vt:lpstr>Ticker0001_Validation_Sheet!V_PERIOD_2024</vt:lpstr>
      <vt:lpstr>Ticker0001_Validation_Sheet!V_PERIOD_2024_Q1</vt:lpstr>
      <vt:lpstr>Ticker0001_Validation_Sheet!V_PERIOD_2024_Q2</vt:lpstr>
      <vt:lpstr>Ticker0001_Validation_Sheet!V_PERIOD_2024_Q3</vt:lpstr>
      <vt:lpstr>Ticker0001_Validation_Sheet!V_PERIOD_2024_Q4</vt:lpstr>
      <vt:lpstr>Ticker0001_Validation_Sheet!V_PERIOD_2025</vt:lpstr>
      <vt:lpstr>Ticker0001_Validation_Sheet!V_PERIOD_2025_Q1</vt:lpstr>
      <vt:lpstr>Ticker0001_Validation_Sheet!V_PERIOD_2025_Q2</vt:lpstr>
      <vt:lpstr>Ticker0001_Validation_Sheet!V_PERIOD_2025_Q3</vt:lpstr>
      <vt:lpstr>Ticker0001_Validation_Sheet!V_PERIOD_2025_Q4</vt:lpstr>
      <vt:lpstr>Ticker0001_Validation_Sheet!V_PERIOD_2026</vt:lpstr>
      <vt:lpstr>Ticker0001_Validation_Sheet!V_PERIOD_2026_Q1</vt:lpstr>
      <vt:lpstr>Ticker0001_Validation_Sheet!V_PERIOD_2026_Q2</vt:lpstr>
      <vt:lpstr>Ticker0001_Validation_Sheet!V_PERIOD_2026_Q3</vt:lpstr>
      <vt:lpstr>Ticker0001_Validation_Sheet!V_PERIOD_2026_Q4</vt:lpstr>
      <vt:lpstr>Ticker0001_Validation_Sheet!V_PERIOD_2027</vt:lpstr>
      <vt:lpstr>Ticker0001_Validation_Sheet!V_PERIOD_2027_Q1</vt:lpstr>
      <vt:lpstr>Ticker0001_Validation_Sheet!V_PERIOD_2027_Q2</vt:lpstr>
      <vt:lpstr>Ticker0001_Validation_Sheet!V_PERIOD_2027_Q3</vt:lpstr>
      <vt:lpstr>Ticker0001_Validation_Sheet!V_PERIOD_2027_Q4</vt:lpstr>
      <vt:lpstr>Ticker0001_Validation_Sheet!V_PERIOD_2028</vt:lpstr>
      <vt:lpstr>Ticker0001_Validation_Sheet!V_PERIOD_2028_Q1</vt:lpstr>
      <vt:lpstr>Ticker0001_Validation_Sheet!V_PERIOD_2028_Q2</vt:lpstr>
      <vt:lpstr>Ticker0001_Validation_Sheet!V_PERIOD_2028_Q3</vt:lpstr>
      <vt:lpstr>Ticker0001_Validation_Sheet!V_PERIOD_2028_Q4</vt:lpstr>
      <vt:lpstr>Ticker0001_Validation_Sheet!V_PERIOD_2029</vt:lpstr>
      <vt:lpstr>Ticker0001_Validation_Sheet!V_PERIOD_2029_Q1</vt:lpstr>
      <vt:lpstr>Ticker0001_Validation_Sheet!V_PERIOD_2029_Q2</vt:lpstr>
      <vt:lpstr>Ticker0001_Validation_Sheet!V_PERIOD_2029_Q3</vt:lpstr>
      <vt:lpstr>Ticker0001_Validation_Sheet!V_PERIOD_2029_Q4</vt:lpstr>
      <vt:lpstr>Ticker0001_Validation_Sheet!V_PERIOD_2030</vt:lpstr>
      <vt:lpstr>Ticker0001_Validation_Sheet!V_PERIOD_2030_Q1</vt:lpstr>
      <vt:lpstr>Ticker0001_Validation_Sheet!V_PERIOD_2030_Q2</vt:lpstr>
      <vt:lpstr>Ticker0001_Validation_Sheet!V_PERIOD_2030_Q3</vt:lpstr>
      <vt:lpstr>Ticker0001_Validation_Sheet!V_PERIOD_2030_Q4</vt:lpstr>
      <vt:lpstr>Ticker0001_Validation_Sheet!V_SECTION_EQTY_200000801_1314</vt:lpstr>
      <vt:lpstr>Ticker0001_Validation_Sheet!V_SECTION_EQTY_200000801_1319</vt:lpstr>
      <vt:lpstr>Ticker0001_Validation_Sheet!V_SECTION_EQTY_200000801_131E</vt:lpstr>
      <vt:lpstr>Ticker0001_Validation_Sheet!V_SECTION_EQTY_200000801_131O</vt:lpstr>
      <vt:lpstr>Ticker0001_Validation_Sheet!V_SECTION_EQTY_200000801_13A</vt:lpstr>
      <vt:lpstr>Ticker0001_Validation_Sheet!V_SECTION_EQTY_200000801_13K</vt:lpstr>
      <vt:lpstr>Ticker0001_Validation_Sheet!V_SECTION_EQTY_200000801_13U</vt:lpstr>
      <vt:lpstr>Ticker0001_Validation_Sheet!V_SECTION_EQTY_200000801_13V</vt:lpstr>
      <vt:lpstr>Ticker0001_Validation_Sheet!V_SECTION_EQTY_200000801_13W</vt:lpstr>
      <vt:lpstr>Ticker0001_Validation_Sheet!V_SECTION_EQTY_200000801_Reference_Data</vt:lpstr>
      <vt:lpstr>Ticker0001_Validation_Sheet!V_SECTION_ISSR_208000149_1314</vt:lpstr>
      <vt:lpstr>Ticker0001_Validation_Sheet!V_SECTION_ISSR_208000149_13168</vt:lpstr>
      <vt:lpstr>Ticker0001_Validation_Sheet!V_SECTION_ISSR_208000149_1316T</vt:lpstr>
      <vt:lpstr>Ticker0001_Validation_Sheet!V_SECTION_ISSR_208000149_1316U</vt:lpstr>
      <vt:lpstr>Ticker0001_Validation_Sheet!V_SECTION_ISSR_208000149_1319</vt:lpstr>
      <vt:lpstr>Ticker0001_Validation_Sheet!V_SECTION_ISSR_208000149_131E</vt:lpstr>
      <vt:lpstr>Ticker0001_Validation_Sheet!V_SECTION_ISSR_208000149_131J</vt:lpstr>
      <vt:lpstr>Ticker0001_Validation_Sheet!V_SECTION_ISSR_208000149_131O</vt:lpstr>
      <vt:lpstr>Ticker0001_Validation_Sheet!V_SECTION_ISSR_208000149_136E</vt:lpstr>
      <vt:lpstr>Ticker0001_Validation_Sheet!V_SECTION_ISSR_208000149_136J</vt:lpstr>
      <vt:lpstr>Ticker0001_Validation_Sheet!V_SECTION_ISSR_208000149_13A</vt:lpstr>
      <vt:lpstr>Ticker0001_Validation_Sheet!V_SECTION_ISSR_208000149_13U</vt:lpstr>
      <vt:lpstr>Ticker0001_Validation_Sheet!V_SECTION_ISSR_208000149_13V</vt:lpstr>
      <vt:lpstr>Ticker0001_Validation_Sheet!V_SECTION_ISSR_208000149_Reference_Data</vt:lpstr>
      <vt:lpstr>Ticker0001_Validation_Sheet!V_TEMPLATEHASH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Anonymous</dc:creator>
  <cp:lastModifiedBy>Anonymous</cp:lastModifiedBy>
  <dcterms:created xsi:type="dcterms:W3CDTF">2026-01-01T00:00:00Z</dcterms:created>
  <dcterms:modified xsi:type="dcterms:W3CDTF">2026-01-01T00:00:00Z</dcterms:modified>
</cp:coreProperties>
</file>